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ocumenttasks/documenttask1.xml" ContentType="application/vnd.ms-excel.documenttask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totalenvmt.sharepoint.com/sites/pmo/Shared Documents/02 Design/Projects/Contracts/0059_PoaRR/Design Fee 25/Residential/"/>
    </mc:Choice>
  </mc:AlternateContent>
  <xr:revisionPtr revIDLastSave="8636" documentId="13_ncr:1_{15D9B1A1-8BD2-4A59-BAFF-48969639E583}" xr6:coauthVersionLast="47" xr6:coauthVersionMax="47" xr10:uidLastSave="{7BAF9280-02E2-446A-8691-EB94ACA72CD2}"/>
  <bookViews>
    <workbookView xWindow="-120" yWindow="-120" windowWidth="29040" windowHeight="15720" tabRatio="593" firstSheet="1" activeTab="2" xr2:uid="{00000000-000D-0000-FFFF-FFFF00000000}"/>
  </bookViews>
  <sheets>
    <sheet name="Pkgs Summary" sheetId="25" r:id="rId1"/>
    <sheet name="Design Fee" sheetId="20" r:id="rId2"/>
    <sheet name="AR | Drawing List" sheetId="11" r:id="rId3"/>
    <sheet name="ST | Drawing List" sheetId="12" r:id="rId4"/>
    <sheet name="MEP | Drawing List" sheetId="17" r:id="rId5"/>
    <sheet name="LS | Drawing List" sheetId="16" r:id="rId6"/>
    <sheet name="BOQ COST" sheetId="22" r:id="rId7"/>
    <sheet name="old LS" sheetId="23" state="hidden" r:id="rId8"/>
  </sheets>
  <definedNames>
    <definedName name="_" localSheetId="0" hidden="1">#REF!</definedName>
    <definedName name="_" localSheetId="3" hidden="1">#REF!</definedName>
    <definedName name="_" hidden="1">#REF!</definedName>
    <definedName name="__123Graph_A" localSheetId="0" hidden="1">#REF!</definedName>
    <definedName name="__123Graph_A" hidden="1">#REF!</definedName>
    <definedName name="__123Graph_B" localSheetId="0" hidden="1">#REF!</definedName>
    <definedName name="__123Graph_B" hidden="1">#REF!</definedName>
    <definedName name="__123Graph_C" localSheetId="0" hidden="1">#REF!</definedName>
    <definedName name="__123Graph_C" hidden="1">#REF!</definedName>
    <definedName name="__123Graph_D" hidden="1">#REF!</definedName>
    <definedName name="__123Graph_E" hidden="1">#REF!</definedName>
    <definedName name="__123Graph_F" hidden="1">#REF!</definedName>
    <definedName name="__123Graph_X" hidden="1">#REF!</definedName>
    <definedName name="__IntlFixup" hidden="1">TRUE</definedName>
    <definedName name="_Dist_Bin" localSheetId="3" hidden="1">#REF!</definedName>
    <definedName name="_Dist_Bin" hidden="1">#REF!</definedName>
    <definedName name="_Dist_Values" localSheetId="3" hidden="1">#REF!</definedName>
    <definedName name="_Dist_Values" hidden="1">#REF!</definedName>
    <definedName name="_Fill" localSheetId="3" hidden="1">#REF!</definedName>
    <definedName name="_Fill" hidden="1">#REF!</definedName>
    <definedName name="_xlnm._FilterDatabase" localSheetId="2" hidden="1">'AR | Drawing List'!$A$5:$U$3379</definedName>
    <definedName name="_xlnm._FilterDatabase" localSheetId="1" hidden="1">'Design Fee'!$A$1:$FG$258</definedName>
    <definedName name="_xlnm._FilterDatabase" localSheetId="5" hidden="1">'LS | Drawing List'!$A$5:$T$346</definedName>
    <definedName name="_xlnm._FilterDatabase" localSheetId="4" hidden="1">'MEP | Drawing List'!$A$5:$T$1015</definedName>
    <definedName name="_xlnm._FilterDatabase" localSheetId="0" hidden="1">'Pkgs Summary'!$K$5:$M$247</definedName>
    <definedName name="_xlnm._FilterDatabase" localSheetId="3" hidden="1">'ST | Drawing List'!$A$5:$T$7370</definedName>
    <definedName name="_xlnm._FilterDatabase" hidden="1">#REF!</definedName>
    <definedName name="_Key1" localSheetId="0" hidden="1">#REF!</definedName>
    <definedName name="_Key1" hidden="1">#REF!</definedName>
    <definedName name="_Key2" hidden="1">#REF!</definedName>
    <definedName name="_Order1" hidden="1">255</definedName>
    <definedName name="_Parse_In" hidden="1">#REF!</definedName>
    <definedName name="_Parse_Out" localSheetId="0" hidden="1">#REF!</definedName>
    <definedName name="_Parse_Out" localSheetId="3" hidden="1">#REF!</definedName>
    <definedName name="_Parse_Out" hidden="1">#REF!</definedName>
    <definedName name="_Regression_Int" hidden="1">1</definedName>
    <definedName name="_Sort" localSheetId="3" hidden="1">#REF!</definedName>
    <definedName name="_Sort" hidden="1">#REF!</definedName>
    <definedName name="_Table2_In1" hidden="1">#REF!</definedName>
    <definedName name="_Table2_In2" hidden="1">#REF!</definedName>
    <definedName name="_Table2_Out" hidden="1">#REF!</definedName>
    <definedName name="_Table3_In2" hidden="1">#REF!</definedName>
    <definedName name="ALupro" localSheetId="0" hidden="1">{"BSSCHA4",#N/A,FALSE,"sch bs"}</definedName>
    <definedName name="ALupro" localSheetId="3" hidden="1">{"BSSCHA4",#N/A,FALSE,"sch bs"}</definedName>
    <definedName name="ALupro" hidden="1">{"BSSCHA4",#N/A,FALSE,"sch bs"}</definedName>
    <definedName name="annexure" localSheetId="0" hidden="1">{"BSSCHA4",#N/A,FALSE,"sch bs"}</definedName>
    <definedName name="annexure" localSheetId="3" hidden="1">{"BSSCHA4",#N/A,FALSE,"sch bs"}</definedName>
    <definedName name="annexure" hidden="1">{"BSSCHA4",#N/A,FALSE,"sch bs"}</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BG_Del" hidden="1">15</definedName>
    <definedName name="BG_Ins" hidden="1">4</definedName>
    <definedName name="BG_Mod" hidden="1">6</definedName>
    <definedName name="BLPH1" hidden="1">#REF!</definedName>
    <definedName name="depn" localSheetId="3" hidden="1">#REF!</definedName>
    <definedName name="depn" hidden="1">#REF!</definedName>
    <definedName name="Empty" localSheetId="3" hidden="1">#REF!</definedName>
    <definedName name="Empty" hidden="1">#REF!</definedName>
    <definedName name="Empty1" localSheetId="3" hidden="1">#REF!</definedName>
    <definedName name="Empty1" hidden="1">#REF!</definedName>
    <definedName name="Empty2" hidden="1">#REF!</definedName>
    <definedName name="etc" hidden="1">#REF!</definedName>
    <definedName name="EV__LASTREFTIME__" hidden="1">39021.6595138889</definedName>
    <definedName name="EV__MAXEXPCOLS__" hidden="1">100</definedName>
    <definedName name="EV__MAXEXPROWS__" hidden="1">1000</definedName>
    <definedName name="EV__WBEVMODE__" hidden="1">1</definedName>
    <definedName name="EV__WBREFOPTIONS__" hidden="1">134217728</definedName>
    <definedName name="EV__WBVERSION__" hidden="1">0</definedName>
    <definedName name="FA" localSheetId="3" hidden="1">#REF!</definedName>
    <definedName name="FA" hidden="1">#REF!</definedName>
    <definedName name="fffffffffffffffffffffffffffjjjjjj" localSheetId="0" hidden="1">#REF!</definedName>
    <definedName name="fffffffffffffffffffffffffffjjjjjj" hidden="1">#REF!</definedName>
    <definedName name="fgfg" localSheetId="3" hidden="1">#REF!</definedName>
    <definedName name="fgfg" hidden="1">#REF!</definedName>
    <definedName name="form3cd" hidden="1">#REF!</definedName>
    <definedName name="gallup" localSheetId="0" hidden="1">{"a4p&amp;L",#N/A,FALSE,"tr &amp; pl"}</definedName>
    <definedName name="gallup" localSheetId="3" hidden="1">{"a4p&amp;L",#N/A,FALSE,"tr &amp; pl"}</definedName>
    <definedName name="gallup" hidden="1">{"a4p&amp;L",#N/A,FALSE,"tr &amp; pl"}</definedName>
    <definedName name="hgkh" localSheetId="0" hidden="1">{#N/A,#N/A,FALSE,"Aging Summary";#N/A,#N/A,FALSE,"Ratio Analysis";#N/A,#N/A,FALSE,"Test 120 Day Accts";#N/A,#N/A,FALSE,"Tickmarks"}</definedName>
    <definedName name="hgkh" localSheetId="3" hidden="1">{#N/A,#N/A,FALSE,"Aging Summary";#N/A,#N/A,FALSE,"Ratio Analysis";#N/A,#N/A,FALSE,"Test 120 Day Accts";#N/A,#N/A,FALSE,"Tickmarks"}</definedName>
    <definedName name="hgkh" hidden="1">{#N/A,#N/A,FALSE,"Aging Summary";#N/A,#N/A,FALSE,"Ratio Analysis";#N/A,#N/A,FALSE,"Test 120 Day Accts";#N/A,#N/A,FALSE,"Tickmarks"}</definedName>
    <definedName name="HTML_CodePage" hidden="1">1252</definedName>
    <definedName name="HTML_Description" hidden="1">""</definedName>
    <definedName name="HTML_Email" hidden="1">"neerajk@ranbaxy.co.in"</definedName>
    <definedName name="HTML_Header" hidden="1">"September 2000"</definedName>
    <definedName name="HTML_LastUpdate" hidden="1">"10/3/00"</definedName>
    <definedName name="HTML_LineAfter" hidden="1">FALSE</definedName>
    <definedName name="HTML_LineBefore" hidden="1">FALSE</definedName>
    <definedName name="HTML_Name" hidden="1">"Neeraj Kukreti"</definedName>
    <definedName name="HTML_OBDlg2" hidden="1">TRUE</definedName>
    <definedName name="HTML_OBDlg4" hidden="1">TRUE</definedName>
    <definedName name="HTML_OS" hidden="1">0</definedName>
    <definedName name="HTML_PathFile" hidden="1">"C:\WINDOWS\Desktop\cash_flash.htm"</definedName>
    <definedName name="HTML_Title" hidden="1">"cf_SEP2000"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REPAIR" hidden="1">"c2087"</definedName>
    <definedName name="IQ_MARKETCAP" hidden="1">"c712"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Z_SCORE" hidden="1">"c1339"</definedName>
    <definedName name="M" hidden="1">#REF!</definedName>
    <definedName name="_xlnm.Print_Area" localSheetId="1">'Design Fee'!$A$2:$FG$253</definedName>
    <definedName name="_xlnm.Print_Area" localSheetId="0">'Pkgs Summary'!$AU$221</definedName>
    <definedName name="_xlnm.Print_Titles" localSheetId="0">'Pkgs Summary'!$1:$6</definedName>
    <definedName name="Prof" localSheetId="0" hidden="1">#REF!</definedName>
    <definedName name="Prof" hidden="1">#REF!</definedName>
    <definedName name="q" localSheetId="0" hidden="1">#REF!</definedName>
    <definedName name="q" localSheetId="3" hidden="1">#REF!</definedName>
    <definedName name="q" hidden="1">#REF!</definedName>
    <definedName name="SAPBEXdnldView" hidden="1">"431YL7QMJN6KP6IQEL77FEM9L"</definedName>
    <definedName name="SAPBEXsysID" hidden="1">"BP1"</definedName>
    <definedName name="shp" hidden="1">#REF!</definedName>
    <definedName name="SORT1" localSheetId="3" hidden="1">#REF!</definedName>
    <definedName name="SORT1" hidden="1">#REF!</definedName>
    <definedName name="v" hidden="1">#REF!,#REF!</definedName>
    <definedName name="vivek1" localSheetId="0" hidden="1">#REF!</definedName>
    <definedName name="vivek1" localSheetId="3" hidden="1">#REF!</definedName>
    <definedName name="vivek1" hidden="1">#REF!</definedName>
    <definedName name="vivek11" localSheetId="3" hidden="1">#REF!</definedName>
    <definedName name="vivek11" hidden="1">#REF!</definedName>
    <definedName name="vivek12" localSheetId="3" hidden="1">#REF!</definedName>
    <definedName name="vivek12" hidden="1">#REF!</definedName>
    <definedName name="vivek13" hidden="1">#REF!</definedName>
    <definedName name="vivek17" hidden="1">#REF!</definedName>
    <definedName name="vivek18" hidden="1">#REF!</definedName>
    <definedName name="vivek2" hidden="1">#REF!</definedName>
    <definedName name="vivek220" hidden="1">#REF!</definedName>
    <definedName name="vivek288888" hidden="1">#REF!</definedName>
    <definedName name="vivek2dddddddddddddddd" hidden="1">#REF!</definedName>
    <definedName name="vivek2oooooooooooooooo" hidden="1">#REF!</definedName>
    <definedName name="vivek3" hidden="1">#REF!</definedName>
    <definedName name="vivek4" hidden="1">#REF!</definedName>
    <definedName name="vivek444" hidden="1">#REF!</definedName>
    <definedName name="vivek5" hidden="1">#REF!</definedName>
    <definedName name="vivek6" hidden="1">#REF!</definedName>
    <definedName name="vivek6666" hidden="1">#REF!</definedName>
    <definedName name="vivek9" hidden="1">#REF!</definedName>
    <definedName name="wrn.A4BSSCH." localSheetId="0" hidden="1">{"BSSCHA4",#N/A,FALSE,"sch bs"}</definedName>
    <definedName name="wrn.A4BSSCH." localSheetId="3" hidden="1">{"BSSCHA4",#N/A,FALSE,"sch bs"}</definedName>
    <definedName name="wrn.A4BSSCH." hidden="1">{"BSSCHA4",#N/A,FALSE,"sch bs"}</definedName>
    <definedName name="wrn.A4PL." localSheetId="0" hidden="1">{"a4p&amp;L",#N/A,FALSE,"tr &amp; pl"}</definedName>
    <definedName name="wrn.A4PL." localSheetId="3" hidden="1">{"a4p&amp;L",#N/A,FALSE,"tr &amp; pl"}</definedName>
    <definedName name="wrn.A4PL." hidden="1">{"a4p&amp;L",#N/A,FALSE,"tr &amp; pl"}</definedName>
    <definedName name="wrn.Aging._.and._.Trend._.Analysis." localSheetId="0"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krutiCMA." localSheetId="0" hidden="1">{#N/A,#N/A,FALSE,"OPSTATE";#N/A,#N/A,FALSE,"BSLIABILITY";#N/A,#N/A,FALSE,"BSASSETS";#N/A,#N/A,FALSE,"Sheet1"}</definedName>
    <definedName name="wrn.AkrutiCMA." localSheetId="3" hidden="1">{#N/A,#N/A,FALSE,"OPSTATE";#N/A,#N/A,FALSE,"BSLIABILITY";#N/A,#N/A,FALSE,"BSASSETS";#N/A,#N/A,FALSE,"Sheet1"}</definedName>
    <definedName name="wrn.AkrutiCMA." hidden="1">{#N/A,#N/A,FALSE,"OPSTATE";#N/A,#N/A,FALSE,"BSLIABILITY";#N/A,#N/A,FALSE,"BSASSETS";#N/A,#N/A,FALSE,"Sheet1"}</definedName>
    <definedName name="wrn.All." localSheetId="0"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wrn.All." localSheetId="3"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wrn.All."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wrn.BSA4." localSheetId="0" hidden="1">{"A4BS",#N/A,FALSE,"bs"}</definedName>
    <definedName name="wrn.BSA4." localSheetId="3" hidden="1">{"A4BS",#N/A,FALSE,"bs"}</definedName>
    <definedName name="wrn.BSA4." hidden="1">{"A4BS",#N/A,FALSE,"bs"}</definedName>
    <definedName name="wrn.capA4." localSheetId="0" hidden="1">{"capA4",#N/A,FALSE,"capt"}</definedName>
    <definedName name="wrn.capA4." localSheetId="3" hidden="1">{"capA4",#N/A,FALSE,"capt"}</definedName>
    <definedName name="wrn.capA4." hidden="1">{"capA4",#N/A,FALSE,"capt"}</definedName>
    <definedName name="wrn.depschA4." localSheetId="0" hidden="1">{"A4depsch",#N/A,FALSE,"fa&amp;dep"}</definedName>
    <definedName name="wrn.depschA4." localSheetId="3" hidden="1">{"A4depsch",#N/A,FALSE,"fa&amp;dep"}</definedName>
    <definedName name="wrn.depschA4." hidden="1">{"A4depsch",#N/A,FALSE,"fa&amp;dep"}</definedName>
    <definedName name="wrn.EVEREST." localSheetId="0" hidden="1">{#N/A,#N/A,FALSE,"BANKLIMITS";#N/A,#N/A,FALSE,"OPSTATE";#N/A,#N/A,FALSE,"BSLIABILITY";#N/A,#N/A,FALSE,"BSASSETS";#N/A,#N/A,FALSE,"CABUILDUP";#N/A,#N/A,FALSE,"WCASSESS";#N/A,#N/A,FALSE,"FUNDFLOW";#N/A,#N/A,FALSE,"DSCR";#N/A,#N/A,FALSE,"RATIOS";#N/A,#N/A,FALSE,"Term loan"}</definedName>
    <definedName name="wrn.EVEREST." localSheetId="3" hidden="1">{#N/A,#N/A,FALSE,"BANKLIMITS";#N/A,#N/A,FALSE,"OPSTATE";#N/A,#N/A,FALSE,"BSLIABILITY";#N/A,#N/A,FALSE,"BSASSETS";#N/A,#N/A,FALSE,"CABUILDUP";#N/A,#N/A,FALSE,"WCASSESS";#N/A,#N/A,FALSE,"FUNDFLOW";#N/A,#N/A,FALSE,"DSCR";#N/A,#N/A,FALSE,"RATIOS";#N/A,#N/A,FALSE,"Term loan"}</definedName>
    <definedName name="wrn.EVEREST." hidden="1">{#N/A,#N/A,FALSE,"BANKLIMITS";#N/A,#N/A,FALSE,"OPSTATE";#N/A,#N/A,FALSE,"BSLIABILITY";#N/A,#N/A,FALSE,"BSASSETS";#N/A,#N/A,FALSE,"CABUILDUP";#N/A,#N/A,FALSE,"WCASSESS";#N/A,#N/A,FALSE,"FUNDFLOW";#N/A,#N/A,FALSE,"DSCR";#N/A,#N/A,FALSE,"RATIOS";#N/A,#N/A,FALSE,"Term loan"}</definedName>
    <definedName name="wrn.Full._.Financials." localSheetId="0" hidden="1">{#N/A,#N/A,TRUE,"Financials";#N/A,#N/A,TRUE,"Operating Statistics";#N/A,#N/A,TRUE,"Capex &amp; Depreciation";#N/A,#N/A,TRUE,"Debt"}</definedName>
    <definedName name="wrn.Full._.Financials." localSheetId="3" hidden="1">{#N/A,#N/A,TRUE,"Financials";#N/A,#N/A,TRUE,"Operating Statistics";#N/A,#N/A,TRUE,"Capex &amp; Depreciation";#N/A,#N/A,TRUE,"Debt"}</definedName>
    <definedName name="wrn.Full._.Financials." hidden="1">{#N/A,#N/A,TRUE,"Financials";#N/A,#N/A,TRUE,"Operating Statistics";#N/A,#N/A,TRUE,"Capex &amp; Depreciation";#N/A,#N/A,TRUE,"Debt"}</definedName>
    <definedName name="wrn.One._.Pager._.plus._.Technicals." localSheetId="0" hidden="1">{#N/A,#N/A,FALSE,"One Pager";#N/A,#N/A,FALSE,"Technical"}</definedName>
    <definedName name="wrn.One._.Pager._.plus._.Technicals." localSheetId="3" hidden="1">{#N/A,#N/A,FALSE,"One Pager";#N/A,#N/A,FALSE,"Technical"}</definedName>
    <definedName name="wrn.One._.Pager._.plus._.Technicals." hidden="1">{#N/A,#N/A,FALSE,"One Pager";#N/A,#N/A,FALSE,"Technical"}</definedName>
    <definedName name="wrn.PLSCHA4." localSheetId="0" hidden="1">{"A4PLSCH",#N/A,FALSE,"sch pl"}</definedName>
    <definedName name="wrn.PLSCHA4." localSheetId="3" hidden="1">{"A4PLSCH",#N/A,FALSE,"sch pl"}</definedName>
    <definedName name="wrn.PLSCHA4." hidden="1">{"A4PLSCH",#N/A,FALSE,"sch pl"}</definedName>
    <definedName name="wrn.Print." localSheetId="0" hidden="1">{"scenario",#N/A,FALSE,"Scenarios";"IS",#N/A,FALSE,"IS";"BS",#N/A,FALSE,"BS";"CFS",#N/A,FALSE,"CFS";"Tax",#N/A,FALSE,"Tax";"Debt",#N/A,FALSE,"Debt";"VAS",#N/A,FALSE,"VAS_Rev";"EFS",#N/A,FALSE,"EFS";"EDI",#N/A,FALSE,"EDI";"MMS",#N/A,FALSE,"MMS";"Intra",#N/A,FALSE,"Intranet";"FA",#N/A,FALSE,"Fix_Assets";"PSTN",#N/A,FALSE,"PSTN_Lines";"PreOp",#N/A,FALSE,"Pre-Op";"InterExp",#N/A,FALSE,"Int'l_Exp";"Propcost",#N/A,FALSE,"PROP_COST";"LLCost",#N/A,FALSE,"LL_Cost";"NetCost",#N/A,FALSE,"Inet_Conn";"Phase1",#N/A,FALSE,"Phase1";"Srvrcost",#N/A,FALSE,"SRV_Cost";"DCF",#N/A,FALSE,"DCF";"DCFCO",#N/A,FALSE,"DCF_CO"}</definedName>
    <definedName name="wrn.Print." localSheetId="3" hidden="1">{"scenario",#N/A,FALSE,"Scenarios";"IS",#N/A,FALSE,"IS";"BS",#N/A,FALSE,"BS";"CFS",#N/A,FALSE,"CFS";"Tax",#N/A,FALSE,"Tax";"Debt",#N/A,FALSE,"Debt";"VAS",#N/A,FALSE,"VAS_Rev";"EFS",#N/A,FALSE,"EFS";"EDI",#N/A,FALSE,"EDI";"MMS",#N/A,FALSE,"MMS";"Intra",#N/A,FALSE,"Intranet";"FA",#N/A,FALSE,"Fix_Assets";"PSTN",#N/A,FALSE,"PSTN_Lines";"PreOp",#N/A,FALSE,"Pre-Op";"InterExp",#N/A,FALSE,"Int'l_Exp";"Propcost",#N/A,FALSE,"PROP_COST";"LLCost",#N/A,FALSE,"LL_Cost";"NetCost",#N/A,FALSE,"Inet_Conn";"Phase1",#N/A,FALSE,"Phase1";"Srvrcost",#N/A,FALSE,"SRV_Cost";"DCF",#N/A,FALSE,"DCF";"DCFCO",#N/A,FALSE,"DCF_CO"}</definedName>
    <definedName name="wrn.Print." hidden="1">{"scenario",#N/A,FALSE,"Scenarios";"IS",#N/A,FALSE,"IS";"BS",#N/A,FALSE,"BS";"CFS",#N/A,FALSE,"CFS";"Tax",#N/A,FALSE,"Tax";"Debt",#N/A,FALSE,"Debt";"VAS",#N/A,FALSE,"VAS_Rev";"EFS",#N/A,FALSE,"EFS";"EDI",#N/A,FALSE,"EDI";"MMS",#N/A,FALSE,"MMS";"Intra",#N/A,FALSE,"Intranet";"FA",#N/A,FALSE,"Fix_Assets";"PSTN",#N/A,FALSE,"PSTN_Lines";"PreOp",#N/A,FALSE,"Pre-Op";"InterExp",#N/A,FALSE,"Int'l_Exp";"Propcost",#N/A,FALSE,"PROP_COST";"LLCost",#N/A,FALSE,"LL_Cost";"NetCost",#N/A,FALSE,"Inet_Conn";"Phase1",#N/A,FALSE,"Phase1";"Srvrcost",#N/A,FALSE,"SRV_Cost";"DCF",#N/A,FALSE,"DCF";"DCFCO",#N/A,FALSE,"DCF_CO"}</definedName>
    <definedName name="wrn.PrintShort." localSheetId="0" hidden="1">{"scenario",#N/A,FALSE,"Scenarios";"IS",#N/A,FALSE,"IS";"BS",#N/A,FALSE,"BS";"CFS",#N/A,FALSE,"CFS";"Intra",#N/A,FALSE,"Intranet";"MMS",#N/A,FALSE,"MMS";"EDI",#N/A,FALSE,"EDI";"EFS",#N/A,FALSE,"EFS";"DCF",#N/A,FALSE,"DCF";"Tax",#N/A,FALSE,"Tax";"Debt",#N/A,FALSE,"Debt";"VAS",#N/A,FALSE,"VAS_Rev";"FA",#N/A,FALSE,"Fix_Assets";"Summary",#N/A,FALSE,"SUMMARY"}</definedName>
    <definedName name="wrn.PrintShort." localSheetId="3" hidden="1">{"scenario",#N/A,FALSE,"Scenarios";"IS",#N/A,FALSE,"IS";"BS",#N/A,FALSE,"BS";"CFS",#N/A,FALSE,"CFS";"Intra",#N/A,FALSE,"Intranet";"MMS",#N/A,FALSE,"MMS";"EDI",#N/A,FALSE,"EDI";"EFS",#N/A,FALSE,"EFS";"DCF",#N/A,FALSE,"DCF";"Tax",#N/A,FALSE,"Tax";"Debt",#N/A,FALSE,"Debt";"VAS",#N/A,FALSE,"VAS_Rev";"FA",#N/A,FALSE,"Fix_Assets";"Summary",#N/A,FALSE,"SUMMARY"}</definedName>
    <definedName name="wrn.PrintShort." hidden="1">{"scenario",#N/A,FALSE,"Scenarios";"IS",#N/A,FALSE,"IS";"BS",#N/A,FALSE,"BS";"CFS",#N/A,FALSE,"CFS";"Intra",#N/A,FALSE,"Intranet";"MMS",#N/A,FALSE,"MMS";"EDI",#N/A,FALSE,"EDI";"EFS",#N/A,FALSE,"EFS";"DCF",#N/A,FALSE,"DCF";"Tax",#N/A,FALSE,"Tax";"Debt",#N/A,FALSE,"Debt";"VAS",#N/A,FALSE,"VAS_Rev";"FA",#N/A,FALSE,"Fix_Assets";"Summary",#N/A,FALSE,"SUMMARY"}</definedName>
    <definedName name="wrn.Saiwadi." localSheetId="0" hidden="1">{#N/A,#N/A,FALSE,"Sheet1";#N/A,#N/A,FALSE,"cost";#N/A,#N/A,FALSE,"prog";#N/A,#N/A,FALSE,"Nova-Area";#N/A,#N/A,FALSE,"BM-NOVA";#N/A,#N/A,FALSE,"Metropolis";#N/A,#N/A,FALSE,"BM-Metropolis";#N/A,#N/A,FALSE,"monthcf";#N/A,#N/A,FALSE,"Repayment Schedule"}</definedName>
    <definedName name="wrn.Saiwadi." localSheetId="3" hidden="1">{#N/A,#N/A,FALSE,"Sheet1";#N/A,#N/A,FALSE,"cost";#N/A,#N/A,FALSE,"prog";#N/A,#N/A,FALSE,"Nova-Area";#N/A,#N/A,FALSE,"BM-NOVA";#N/A,#N/A,FALSE,"Metropolis";#N/A,#N/A,FALSE,"BM-Metropolis";#N/A,#N/A,FALSE,"monthcf";#N/A,#N/A,FALSE,"Repayment Schedule"}</definedName>
    <definedName name="wrn.Saiwadi." hidden="1">{#N/A,#N/A,FALSE,"Sheet1";#N/A,#N/A,FALSE,"cost";#N/A,#N/A,FALSE,"prog";#N/A,#N/A,FALSE,"Nova-Area";#N/A,#N/A,FALSE,"BM-NOVA";#N/A,#N/A,FALSE,"Metropolis";#N/A,#N/A,FALSE,"BM-Metropolis";#N/A,#N/A,FALSE,"monthcf";#N/A,#N/A,FALSE,"Repayment Schedule"}</definedName>
    <definedName name="wrn.SunSteel." localSheetId="0" hidden="1">{#N/A,#N/A,FALSE,"BANKLIMITS";#N/A,#N/A,FALSE,"OPSTATE";#N/A,#N/A,FALSE,"BEP sales";#N/A,#N/A,FALSE,"Capacity-rolling";#N/A,#N/A,FALSE,"Capacity ingot";#N/A,#N/A,FALSE,"DSCR-TL";#N/A,#N/A,FALSE,"DSCR GROSS";#N/A,#N/A,FALSE,"BSLIABILITY";#N/A,#N/A,FALSE,"BSASSETS";#N/A,#N/A,FALSE,"CABUILDUP";#N/A,#N/A,FALSE,"WCASSESS";#N/A,#N/A,FALSE,"FUNDFLOW";#N/A,#N/A,FALSE,"RATIOS";#N/A,#N/A,FALSE,"Term loan";#N/A,#N/A,FALSE,"Depreciation"}</definedName>
    <definedName name="wrn.SunSteel." localSheetId="3" hidden="1">{#N/A,#N/A,FALSE,"BANKLIMITS";#N/A,#N/A,FALSE,"OPSTATE";#N/A,#N/A,FALSE,"BEP sales";#N/A,#N/A,FALSE,"Capacity-rolling";#N/A,#N/A,FALSE,"Capacity ingot";#N/A,#N/A,FALSE,"DSCR-TL";#N/A,#N/A,FALSE,"DSCR GROSS";#N/A,#N/A,FALSE,"BSLIABILITY";#N/A,#N/A,FALSE,"BSASSETS";#N/A,#N/A,FALSE,"CABUILDUP";#N/A,#N/A,FALSE,"WCASSESS";#N/A,#N/A,FALSE,"FUNDFLOW";#N/A,#N/A,FALSE,"RATIOS";#N/A,#N/A,FALSE,"Term loan";#N/A,#N/A,FALSE,"Depreciation"}</definedName>
    <definedName name="wrn.SunSteel." hidden="1">{#N/A,#N/A,FALSE,"BANKLIMITS";#N/A,#N/A,FALSE,"OPSTATE";#N/A,#N/A,FALSE,"BEP sales";#N/A,#N/A,FALSE,"Capacity-rolling";#N/A,#N/A,FALSE,"Capacity ingot";#N/A,#N/A,FALSE,"DSCR-TL";#N/A,#N/A,FALSE,"DSCR GROSS";#N/A,#N/A,FALSE,"BSLIABILITY";#N/A,#N/A,FALSE,"BSASSETS";#N/A,#N/A,FALSE,"CABUILDUP";#N/A,#N/A,FALSE,"WCASSESS";#N/A,#N/A,FALSE,"FUNDFLOW";#N/A,#N/A,FALSE,"RATIOS";#N/A,#N/A,FALSE,"Term loan";#N/A,#N/A,FALSE,"Depreciation"}</definedName>
    <definedName name="wrn.SWATINORMAL." localSheetId="0" hidden="1">{#N/A,#N/A,FALSE,"BANKLIMITS";#N/A,#N/A,FALSE,"OPSTATE";#N/A,#N/A,FALSE,"BSLIABILITY";#N/A,#N/A,FALSE,"BSASSETS";#N/A,#N/A,FALSE,"CABUILDUP";#N/A,#N/A,FALSE,"WCASSESS";#N/A,#N/A,FALSE,"FUNDFLOW";#N/A,#N/A,FALSE,"DSCR";#N/A,#N/A,FALSE,"RATIOS";#N/A,#N/A,FALSE,"Dep"}</definedName>
    <definedName name="wrn.SWATINORMAL." localSheetId="3" hidden="1">{#N/A,#N/A,FALSE,"BANKLIMITS";#N/A,#N/A,FALSE,"OPSTATE";#N/A,#N/A,FALSE,"BSLIABILITY";#N/A,#N/A,FALSE,"BSASSETS";#N/A,#N/A,FALSE,"CABUILDUP";#N/A,#N/A,FALSE,"WCASSESS";#N/A,#N/A,FALSE,"FUNDFLOW";#N/A,#N/A,FALSE,"DSCR";#N/A,#N/A,FALSE,"RATIOS";#N/A,#N/A,FALSE,"Dep"}</definedName>
    <definedName name="wrn.SWATINORMAL." hidden="1">{#N/A,#N/A,FALSE,"BANKLIMITS";#N/A,#N/A,FALSE,"OPSTATE";#N/A,#N/A,FALSE,"BSLIABILITY";#N/A,#N/A,FALSE,"BSASSETS";#N/A,#N/A,FALSE,"CABUILDUP";#N/A,#N/A,FALSE,"WCASSESS";#N/A,#N/A,FALSE,"FUNDFLOW";#N/A,#N/A,FALSE,"DSCR";#N/A,#N/A,FALSE,"RATIOS";#N/A,#N/A,FALSE,"Dep"}</definedName>
    <definedName name="XREF_COLUMN_2" hidden="1">#REF!</definedName>
    <definedName name="XREF_COLUMN_3" hidden="1">#REF!</definedName>
    <definedName name="XREF_COLUMN_4" hidden="1">#REF!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CopyRangeCount" hidden="1">6</definedName>
    <definedName name="XYZ" hidden="1">#REF!,#REF!</definedName>
    <definedName name="Z_0185ADC1_3830_11D3_88E4_00104B2D4E50_.wvu.FilterData" localSheetId="0" hidden="1">#REF!</definedName>
    <definedName name="Z_0185ADC1_3830_11D3_88E4_00104B2D4E50_.wvu.FilterData" localSheetId="3" hidden="1">#REF!</definedName>
    <definedName name="Z_0185ADC1_3830_11D3_88E4_00104B2D4E50_.wvu.FilterData" hidden="1">#REF!</definedName>
    <definedName name="Z_0185ADC2_3830_11D3_88E4_00104B2D4E50_.wvu.FilterData" localSheetId="3" hidden="1">#REF!</definedName>
    <definedName name="Z_0185ADC2_3830_11D3_88E4_00104B2D4E50_.wvu.FilterData" hidden="1">#REF!</definedName>
    <definedName name="Z_020243C4_4FC9_11D3_88E5_00104B2D4E50_.wvu.FilterData" hidden="1">#REF!</definedName>
    <definedName name="Z_020243C5_4FC9_11D3_88E5_00104B2D4E50_.wvu.FilterData" hidden="1">#REF!</definedName>
    <definedName name="Z_020243D6_4FC9_11D3_88E5_00104B2D4E50_.wvu.FilterData" hidden="1">#REF!</definedName>
    <definedName name="Z_020243D9_4FC9_11D3_88E5_00104B2D4E50_.wvu.FilterData" hidden="1">#REF!</definedName>
    <definedName name="Z_18E867C2_363F_11D3_B384_00104B203064_.wvu.Cols" hidden="1">#REF!</definedName>
    <definedName name="Z_18E867C2_363F_11D3_B384_00104B203064_.wvu.FilterData" hidden="1">#REF!</definedName>
    <definedName name="Z_18E867C6_363F_11D3_B384_00104B203064_.wvu.FilterData" hidden="1">#REF!</definedName>
    <definedName name="Z_2529F30F_675A_11D3_88E6_00104B2D4E50_.wvu.FilterData" hidden="1">#REF!</definedName>
    <definedName name="Z_37C90060_2018_11D3_9FEA_008048EE1BB3_.wvu.Cols" hidden="1">#REF!</definedName>
    <definedName name="Z_37C90060_2018_11D3_9FEA_008048EE1BB3_.wvu.FilterData" hidden="1">#REF!</definedName>
    <definedName name="Z_37C90061_2018_11D3_9FEA_008048EE1BB3_.wvu.FilterData" hidden="1">#REF!</definedName>
    <definedName name="Z_37C90063_2018_11D3_9FEA_008048EE1BB3_.wvu.FilterData" hidden="1">#REF!</definedName>
    <definedName name="Z_42177D60_3622_11D3_B2D2_008048EE2662_.wvu.FilterData" hidden="1">#REF!</definedName>
    <definedName name="Z_87846904_F246_11D2_88E4_00104B2D4E50_.wvu.PrintTitles" hidden="1">#REF!,#REF!</definedName>
    <definedName name="Z_9C36B7A0_8E17_11D3_B2D2_008048EE2662_.wvu.Rows" hidden="1">#REF!,#REF!,#REF!</definedName>
    <definedName name="Z_AF67EA27_37A9_11D3_88E4_00104B2D4E50_.wvu.FilterData" hidden="1">#REF!</definedName>
    <definedName name="Z_CC26C000_67A6_11D3_B801_444553540000_.wvu.FilterData" hidden="1">#REF!</definedName>
    <definedName name="Z_D840F8B1_668B_11D3_88E6_00104B2D4E50_.wvu.FilterData" hidden="1">#REF!</definedName>
    <definedName name="Z_F0339D6F_2232_11D3_88E4_00104B2D4E50_.wvu.FilterData"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7359" i="12" l="1"/>
  <c r="X7358" i="12"/>
  <c r="X7357" i="12"/>
  <c r="X7356" i="12"/>
  <c r="X7355" i="12"/>
  <c r="X4538" i="12"/>
  <c r="X4539" i="12"/>
  <c r="G755" i="17"/>
  <c r="G754" i="17"/>
  <c r="G753" i="17"/>
  <c r="G752" i="17"/>
  <c r="G751" i="17"/>
  <c r="G750" i="17"/>
  <c r="G749" i="17"/>
  <c r="G748" i="17"/>
  <c r="G747" i="17"/>
  <c r="G746" i="17"/>
  <c r="G745" i="17"/>
  <c r="G744" i="17"/>
  <c r="G743" i="17"/>
  <c r="G742" i="17"/>
  <c r="G741" i="17"/>
  <c r="G740" i="17"/>
  <c r="G739" i="17"/>
  <c r="G738" i="17"/>
  <c r="X7349" i="12"/>
  <c r="X7348" i="12"/>
  <c r="X7347" i="12"/>
  <c r="X7346" i="12"/>
  <c r="X7345" i="12"/>
  <c r="G3158" i="11"/>
  <c r="G3157" i="11"/>
  <c r="G3156" i="11"/>
  <c r="G3155" i="11"/>
  <c r="G3154" i="11"/>
  <c r="G3153" i="11"/>
  <c r="G3152" i="11"/>
  <c r="G316" i="17"/>
  <c r="G317" i="17"/>
  <c r="G601" i="11"/>
  <c r="G600" i="11"/>
  <c r="G598" i="11"/>
  <c r="X7354" i="12"/>
  <c r="X7353" i="12"/>
  <c r="G159" i="11"/>
  <c r="G158" i="11"/>
  <c r="G157" i="11"/>
  <c r="G156"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2305" i="11"/>
  <c r="G2304" i="11"/>
  <c r="G2303" i="11"/>
  <c r="G2302" i="11"/>
  <c r="G2301" i="11"/>
  <c r="G2300" i="11"/>
  <c r="G2299" i="11"/>
  <c r="G2298" i="11"/>
  <c r="G2297" i="11"/>
  <c r="G2296" i="11"/>
  <c r="G2295" i="11"/>
  <c r="G2294" i="11"/>
  <c r="G2293" i="11"/>
  <c r="G2292" i="11"/>
  <c r="G2291" i="11"/>
  <c r="G2290" i="11"/>
  <c r="G2289" i="11"/>
  <c r="G2288" i="11"/>
  <c r="G2287" i="11"/>
  <c r="G2286" i="11"/>
  <c r="G599" i="11"/>
  <c r="G580" i="11"/>
  <c r="G579" i="11"/>
  <c r="X6820" i="12"/>
  <c r="G299" i="16"/>
  <c r="G208" i="12"/>
  <c r="G207" i="12"/>
  <c r="G206" i="12"/>
  <c r="G205" i="12"/>
  <c r="G204" i="12"/>
  <c r="G203" i="12"/>
  <c r="G202" i="12"/>
  <c r="G201" i="12"/>
  <c r="G200" i="12"/>
  <c r="G199" i="12"/>
  <c r="G198" i="12"/>
  <c r="G197" i="12"/>
  <c r="G196" i="12"/>
  <c r="G195" i="12"/>
  <c r="G194" i="12"/>
  <c r="G193" i="12"/>
  <c r="G192" i="12"/>
  <c r="G191" i="12"/>
  <c r="G190" i="12"/>
  <c r="G189" i="12"/>
  <c r="G188" i="12"/>
  <c r="G187" i="12"/>
  <c r="G186" i="12"/>
  <c r="G185" i="12"/>
  <c r="G184" i="12"/>
  <c r="G183" i="12"/>
  <c r="G182" i="12"/>
  <c r="G181" i="12"/>
  <c r="G180" i="12"/>
  <c r="G179" i="12"/>
  <c r="G178" i="12"/>
  <c r="G177" i="12"/>
  <c r="G176" i="12"/>
  <c r="G175" i="12"/>
  <c r="G174" i="12"/>
  <c r="G173" i="12"/>
  <c r="G172" i="12"/>
  <c r="G171" i="12"/>
  <c r="G170" i="12"/>
  <c r="G169" i="12"/>
  <c r="G168" i="12"/>
  <c r="G167" i="12"/>
  <c r="G166" i="12"/>
  <c r="G165" i="12"/>
  <c r="G164" i="12"/>
  <c r="G163" i="12"/>
  <c r="X6851" i="12" l="1"/>
  <c r="G63" i="17"/>
  <c r="G3124" i="11"/>
  <c r="G315" i="16"/>
  <c r="G311" i="16"/>
  <c r="G365" i="17"/>
  <c r="G364" i="17"/>
  <c r="G82" i="16" l="1"/>
  <c r="G250" i="16"/>
  <c r="G2012" i="11" l="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9" i="11"/>
  <c r="G1978" i="11"/>
  <c r="G1977" i="11"/>
  <c r="G1976" i="11"/>
  <c r="G1975" i="11"/>
  <c r="G1974" i="11"/>
  <c r="G1973" i="11"/>
  <c r="G1972" i="11"/>
  <c r="G1971" i="11"/>
  <c r="G1970" i="11"/>
  <c r="G1969" i="11"/>
  <c r="G1968" i="11"/>
  <c r="G1967" i="11"/>
  <c r="G1966" i="11"/>
  <c r="G1965" i="11"/>
  <c r="G1964" i="11"/>
  <c r="G1963" i="11"/>
  <c r="G1962" i="11"/>
  <c r="G1961" i="11"/>
  <c r="G1960" i="11"/>
  <c r="G1959" i="11"/>
  <c r="G1958" i="11"/>
  <c r="G1957" i="11"/>
  <c r="G1956" i="11"/>
  <c r="G1955" i="11"/>
  <c r="G1954" i="11"/>
  <c r="G1953" i="11"/>
  <c r="G1952" i="11"/>
  <c r="G1951" i="11"/>
  <c r="G1950" i="11"/>
  <c r="G1949" i="11"/>
  <c r="G1948" i="11"/>
  <c r="G1947" i="11"/>
  <c r="G1946" i="11"/>
  <c r="G1945" i="11"/>
  <c r="G1944" i="11"/>
  <c r="G1943" i="11"/>
  <c r="G1942" i="11"/>
  <c r="G1941" i="11"/>
  <c r="G1940" i="11"/>
  <c r="G1939" i="11"/>
  <c r="G1938" i="11"/>
  <c r="G1937" i="11"/>
  <c r="G1936" i="11"/>
  <c r="G1935" i="11"/>
  <c r="G1934" i="11"/>
  <c r="G1933" i="11"/>
  <c r="G1932"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2"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G1769" i="11"/>
  <c r="G1768" i="11"/>
  <c r="G1767" i="11"/>
  <c r="G1766" i="11"/>
  <c r="G1765" i="11"/>
  <c r="G1764" i="11"/>
  <c r="G1763" i="11"/>
  <c r="G1762" i="11"/>
  <c r="G1761" i="11"/>
  <c r="G1760" i="11"/>
  <c r="G1759" i="11"/>
  <c r="G1758" i="11"/>
  <c r="G1757" i="11"/>
  <c r="G1756" i="11"/>
  <c r="G1755" i="11"/>
  <c r="G1754" i="11"/>
  <c r="G1753" i="11"/>
  <c r="G1752" i="11"/>
  <c r="G1751" i="11"/>
  <c r="G1750" i="11"/>
  <c r="G1749" i="11"/>
  <c r="G1748" i="11"/>
  <c r="G1747" i="11"/>
  <c r="G1746" i="11"/>
  <c r="G1745" i="11"/>
  <c r="G1744" i="11"/>
  <c r="G1743" i="11"/>
  <c r="G1742" i="11"/>
  <c r="G1741" i="11"/>
  <c r="G1740" i="11"/>
  <c r="G1739" i="11"/>
  <c r="G1738" i="11"/>
  <c r="G1737" i="11"/>
  <c r="G1736" i="11"/>
  <c r="G1735" i="11"/>
  <c r="G1734" i="11"/>
  <c r="G1733" i="11"/>
  <c r="G1732" i="11"/>
  <c r="G1731" i="11"/>
  <c r="G1730" i="11"/>
  <c r="G1729" i="11"/>
  <c r="G1728" i="11"/>
  <c r="G1727" i="11"/>
  <c r="G1726" i="11"/>
  <c r="G1725" i="11"/>
  <c r="G1724" i="11"/>
  <c r="G1723" i="11"/>
  <c r="G1722" i="11"/>
  <c r="G1721" i="11"/>
  <c r="G1720" i="11"/>
  <c r="G1719" i="11"/>
  <c r="G1718" i="11"/>
  <c r="G1717" i="11"/>
  <c r="G1716" i="11"/>
  <c r="G1715" i="11"/>
  <c r="G1714" i="11"/>
  <c r="G1713" i="11"/>
  <c r="G1712" i="11"/>
  <c r="G2152" i="11"/>
  <c r="G2151" i="11"/>
  <c r="G2150" i="11"/>
  <c r="G2149" i="11"/>
  <c r="G2148"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3" i="11"/>
  <c r="G2052" i="11"/>
  <c r="G2051" i="11"/>
  <c r="G2050" i="11"/>
  <c r="G2049" i="11"/>
  <c r="G2048" i="11"/>
  <c r="G2047" i="11"/>
  <c r="G2046" i="11"/>
  <c r="G2045" i="11"/>
  <c r="G2044" i="11"/>
  <c r="G2043" i="11"/>
  <c r="G2042" i="11"/>
  <c r="G2041" i="11"/>
  <c r="G2040" i="11"/>
  <c r="G2039" i="11"/>
  <c r="G2038" i="11"/>
  <c r="G2037" i="11"/>
  <c r="G2036" i="11"/>
  <c r="G2035" i="11"/>
  <c r="G2034" i="11"/>
  <c r="G2033" i="11"/>
  <c r="G2032" i="11"/>
  <c r="G2031" i="11"/>
  <c r="G2030" i="11"/>
  <c r="G2029" i="11"/>
  <c r="G2028" i="11"/>
  <c r="G2027" i="11"/>
  <c r="G2026" i="11"/>
  <c r="G2025" i="11"/>
  <c r="G2024" i="11"/>
  <c r="G2023" i="11"/>
  <c r="G2022" i="11"/>
  <c r="G2021" i="11"/>
  <c r="G2020" i="11"/>
  <c r="G2019" i="11"/>
  <c r="G2018" i="11"/>
  <c r="G2017" i="11"/>
  <c r="G2016" i="11"/>
  <c r="G2015" i="11"/>
  <c r="G2014" i="11"/>
  <c r="G201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1512" i="11"/>
  <c r="G1511" i="11"/>
  <c r="G1510" i="11"/>
  <c r="G1509" i="11"/>
  <c r="G1508" i="11"/>
  <c r="G1507" i="11"/>
  <c r="G1506" i="11"/>
  <c r="G1505" i="11"/>
  <c r="G1504" i="11"/>
  <c r="G1503" i="11"/>
  <c r="G1502" i="11"/>
  <c r="G1501" i="11"/>
  <c r="G1500" i="11"/>
  <c r="G1499" i="11"/>
  <c r="G1498" i="11"/>
  <c r="G1497" i="11"/>
  <c r="G1496" i="11"/>
  <c r="G1495" i="11"/>
  <c r="G1494" i="11"/>
  <c r="G1493" i="11"/>
  <c r="G1492" i="11"/>
  <c r="G1491" i="11"/>
  <c r="G1490" i="11"/>
  <c r="G1489" i="11"/>
  <c r="G1488" i="11"/>
  <c r="G1487" i="11"/>
  <c r="G1486" i="11"/>
  <c r="G1485" i="11"/>
  <c r="G1484" i="11"/>
  <c r="G1483" i="11"/>
  <c r="G1482" i="11"/>
  <c r="G1481" i="11"/>
  <c r="G1480" i="11"/>
  <c r="G1479" i="11"/>
  <c r="G1582" i="11"/>
  <c r="G1581" i="11"/>
  <c r="G1580" i="11"/>
  <c r="G1579" i="11"/>
  <c r="G1578" i="11"/>
  <c r="G1577" i="11"/>
  <c r="G1576" i="11"/>
  <c r="G1575" i="11"/>
  <c r="G1574" i="11"/>
  <c r="G1573" i="11"/>
  <c r="G1572" i="11"/>
  <c r="G1571" i="11"/>
  <c r="G1570" i="11"/>
  <c r="G1569" i="11"/>
  <c r="G1568" i="11"/>
  <c r="G1567" i="11"/>
  <c r="G1566" i="11"/>
  <c r="G1565" i="11"/>
  <c r="G1564" i="11"/>
  <c r="G1563" i="11"/>
  <c r="G1562" i="11"/>
  <c r="G1561" i="11"/>
  <c r="G1560" i="11"/>
  <c r="G1559" i="11"/>
  <c r="G1558" i="11"/>
  <c r="G1557" i="11"/>
  <c r="G1556" i="11"/>
  <c r="G1555" i="11"/>
  <c r="G1554" i="11"/>
  <c r="G1553" i="11"/>
  <c r="G1552" i="11"/>
  <c r="G1551" i="11"/>
  <c r="G1550" i="11"/>
  <c r="G1549" i="11"/>
  <c r="G1548" i="11"/>
  <c r="G1547" i="11"/>
  <c r="G1546" i="11"/>
  <c r="G1545" i="11"/>
  <c r="G1544" i="11"/>
  <c r="G1543" i="11"/>
  <c r="G1542" i="11"/>
  <c r="G1541" i="11"/>
  <c r="G1540" i="11"/>
  <c r="G1539" i="11"/>
  <c r="G1538" i="11"/>
  <c r="G1537" i="11"/>
  <c r="G1536" i="11"/>
  <c r="G1535" i="11"/>
  <c r="G1534" i="11"/>
  <c r="G1533" i="11"/>
  <c r="G1532" i="11"/>
  <c r="G1531" i="11"/>
  <c r="G1530" i="11"/>
  <c r="G1529" i="11"/>
  <c r="G1528" i="11"/>
  <c r="G1527" i="11"/>
  <c r="G1526" i="11"/>
  <c r="G1525" i="11"/>
  <c r="G1524" i="11"/>
  <c r="G1523" i="11"/>
  <c r="G1522" i="11"/>
  <c r="G1521" i="11"/>
  <c r="G1520" i="11"/>
  <c r="G1519" i="11"/>
  <c r="G1518" i="11"/>
  <c r="G1517" i="11"/>
  <c r="G1516" i="11"/>
  <c r="G1515" i="11"/>
  <c r="G1514" i="11"/>
  <c r="G1513" i="11"/>
  <c r="G1652" i="11"/>
  <c r="G1651" i="11"/>
  <c r="G1650" i="11"/>
  <c r="G1649" i="11"/>
  <c r="G1648" i="11"/>
  <c r="G1647" i="11"/>
  <c r="G1646" i="11"/>
  <c r="G1645" i="11"/>
  <c r="G1644" i="11"/>
  <c r="G1643" i="11"/>
  <c r="G1642" i="11"/>
  <c r="G1641" i="11"/>
  <c r="G1640" i="11"/>
  <c r="G1639" i="11"/>
  <c r="G1638" i="11"/>
  <c r="G1637" i="11"/>
  <c r="G1636" i="11"/>
  <c r="G1635" i="11"/>
  <c r="G1634" i="11"/>
  <c r="G1633" i="11"/>
  <c r="G1632" i="11"/>
  <c r="G1631" i="11"/>
  <c r="G1630" i="11"/>
  <c r="G1629" i="11"/>
  <c r="G1628" i="11"/>
  <c r="G1627" i="11"/>
  <c r="G1626" i="11"/>
  <c r="G1625" i="11"/>
  <c r="G1624" i="11"/>
  <c r="G1623" i="11"/>
  <c r="G1622" i="11"/>
  <c r="G1621" i="11"/>
  <c r="G1620" i="11"/>
  <c r="G1619" i="11"/>
  <c r="G1618" i="11"/>
  <c r="G1617" i="11"/>
  <c r="G1616" i="11"/>
  <c r="G1615" i="11"/>
  <c r="G1614" i="11"/>
  <c r="G1613" i="11"/>
  <c r="G1612" i="11"/>
  <c r="G1611" i="11"/>
  <c r="G1610" i="11"/>
  <c r="G1609" i="11"/>
  <c r="G1608" i="11"/>
  <c r="G1607" i="11"/>
  <c r="G1606" i="11"/>
  <c r="G1605" i="11"/>
  <c r="G1604" i="11"/>
  <c r="G1603" i="11"/>
  <c r="G1602" i="11"/>
  <c r="G1601" i="11"/>
  <c r="G1600" i="11"/>
  <c r="G1599" i="11"/>
  <c r="G1598" i="11"/>
  <c r="G1597" i="11"/>
  <c r="G1596" i="11"/>
  <c r="G1595" i="11"/>
  <c r="G1594" i="11"/>
  <c r="G1593" i="11"/>
  <c r="G1592" i="11"/>
  <c r="G1591" i="11"/>
  <c r="G1590" i="11"/>
  <c r="G1589" i="11"/>
  <c r="G1588" i="11"/>
  <c r="G1587" i="11"/>
  <c r="G1586" i="11"/>
  <c r="G1585" i="11"/>
  <c r="G1584" i="11"/>
  <c r="G1583" i="11"/>
  <c r="G2531" i="11"/>
  <c r="G2530" i="11"/>
  <c r="G2529" i="11"/>
  <c r="G2528" i="11"/>
  <c r="G2527" i="11"/>
  <c r="G2526" i="11"/>
  <c r="G2525" i="11"/>
  <c r="G2524" i="11"/>
  <c r="G2523" i="11"/>
  <c r="G2522" i="11"/>
  <c r="G2521" i="11"/>
  <c r="G2520" i="11"/>
  <c r="G2519" i="11"/>
  <c r="G2518" i="11"/>
  <c r="G2517" i="11"/>
  <c r="G2516" i="11"/>
  <c r="G2515" i="11"/>
  <c r="G2514" i="11"/>
  <c r="G2513" i="11"/>
  <c r="G2512" i="11"/>
  <c r="G2511" i="11"/>
  <c r="G2510" i="11"/>
  <c r="G2509" i="11"/>
  <c r="G2508" i="11"/>
  <c r="G2507" i="11"/>
  <c r="G2506" i="11"/>
  <c r="G2505" i="11"/>
  <c r="G2504" i="11"/>
  <c r="G2503" i="11"/>
  <c r="G2502" i="11"/>
  <c r="G2501" i="11"/>
  <c r="G2500" i="11"/>
  <c r="G2499" i="11"/>
  <c r="G2498" i="11"/>
  <c r="G2497" i="11"/>
  <c r="G2496" i="11"/>
  <c r="G2495" i="11"/>
  <c r="G2494" i="11"/>
  <c r="G2493" i="11"/>
  <c r="G2492" i="11"/>
  <c r="G2491" i="11"/>
  <c r="G2490" i="11"/>
  <c r="G2489" i="11"/>
  <c r="G2488" i="11"/>
  <c r="G2487" i="11"/>
  <c r="G2486" i="11"/>
  <c r="G2485" i="11"/>
  <c r="G2484" i="11"/>
  <c r="G2483" i="11"/>
  <c r="G2482" i="11"/>
  <c r="G2481" i="11"/>
  <c r="G2480" i="11"/>
  <c r="G2479" i="11"/>
  <c r="G2478" i="11"/>
  <c r="G2477" i="11"/>
  <c r="G2476" i="11"/>
  <c r="G2475" i="11"/>
  <c r="G2474" i="11"/>
  <c r="G2473" i="11"/>
  <c r="G2472" i="11"/>
  <c r="G2471" i="11"/>
  <c r="G2470" i="11"/>
  <c r="G2469" i="11"/>
  <c r="G2468" i="11"/>
  <c r="G2467" i="11"/>
  <c r="G2466" i="11"/>
  <c r="G2465" i="11"/>
  <c r="G2464" i="11"/>
  <c r="G2463" i="11"/>
  <c r="G2462" i="11"/>
  <c r="G2461" i="11"/>
  <c r="G2460" i="11"/>
  <c r="G2459" i="11"/>
  <c r="G2458" i="11"/>
  <c r="G2457" i="11"/>
  <c r="G2456" i="11"/>
  <c r="G2455" i="11"/>
  <c r="G2454" i="11"/>
  <c r="G2453" i="11"/>
  <c r="G2452" i="11"/>
  <c r="G2451" i="11"/>
  <c r="G2450" i="11"/>
  <c r="G2449" i="11"/>
  <c r="G2448" i="11"/>
  <c r="G2447" i="11"/>
  <c r="G2446" i="11"/>
  <c r="G2445" i="11"/>
  <c r="G2444" i="11"/>
  <c r="G2443" i="11"/>
  <c r="G2442" i="11"/>
  <c r="G2441" i="11"/>
  <c r="G2440" i="11"/>
  <c r="G2439" i="11"/>
  <c r="G2438" i="11"/>
  <c r="G2437" i="11"/>
  <c r="G2436" i="11"/>
  <c r="G2435" i="11"/>
  <c r="G2434" i="11"/>
  <c r="G2433" i="11"/>
  <c r="G2432" i="11"/>
  <c r="G2431" i="11"/>
  <c r="G2430" i="11"/>
  <c r="G2429" i="11"/>
  <c r="G2428" i="11"/>
  <c r="G2427" i="11"/>
  <c r="G2426" i="11"/>
  <c r="G2425" i="11"/>
  <c r="G2424" i="11"/>
  <c r="G2423" i="11"/>
  <c r="G2422" i="11"/>
  <c r="G2421" i="11"/>
  <c r="G2420" i="11"/>
  <c r="G2419" i="11"/>
  <c r="G2418" i="11"/>
  <c r="G2417" i="11"/>
  <c r="G2416" i="11"/>
  <c r="G2415" i="11"/>
  <c r="G2414" i="11"/>
  <c r="G2413" i="11"/>
  <c r="G2412" i="11"/>
  <c r="G2411" i="11"/>
  <c r="G2410" i="11"/>
  <c r="G2409" i="11"/>
  <c r="G2408" i="11"/>
  <c r="G2407" i="11"/>
  <c r="G2406" i="11"/>
  <c r="G2405" i="11"/>
  <c r="G2404" i="11"/>
  <c r="G2403" i="11"/>
  <c r="G2402" i="11"/>
  <c r="G2401" i="11"/>
  <c r="G2400" i="11"/>
  <c r="G2399" i="11"/>
  <c r="G2398" i="11"/>
  <c r="G2397" i="11"/>
  <c r="G2396" i="11"/>
  <c r="G2395" i="11"/>
  <c r="G2394" i="11"/>
  <c r="G2393" i="11"/>
  <c r="G2392" i="11"/>
  <c r="G2391" i="11"/>
  <c r="G2390" i="11"/>
  <c r="G2389" i="11"/>
  <c r="G2388" i="11"/>
  <c r="G2387" i="11"/>
  <c r="G2386" i="11"/>
  <c r="G2385" i="11"/>
  <c r="G2384" i="11"/>
  <c r="G2383" i="11"/>
  <c r="G2382" i="11"/>
  <c r="G2381" i="11"/>
  <c r="G2380" i="11"/>
  <c r="G2379" i="11"/>
  <c r="G2378" i="11"/>
  <c r="G2377" i="11"/>
  <c r="G2376" i="11"/>
  <c r="G2375" i="11"/>
  <c r="G2374" i="11"/>
  <c r="G2373" i="11"/>
  <c r="G2372" i="11"/>
  <c r="G2371" i="11"/>
  <c r="G2370" i="11"/>
  <c r="G2369" i="11"/>
  <c r="G2368" i="11"/>
  <c r="G2367" i="11"/>
  <c r="G2366" i="11"/>
  <c r="G2365" i="11"/>
  <c r="G2364" i="11"/>
  <c r="G2363" i="11"/>
  <c r="G2362" i="11"/>
  <c r="G2361" i="11"/>
  <c r="G2360" i="11"/>
  <c r="G2359" i="11"/>
  <c r="G2358" i="11"/>
  <c r="G2357" i="11"/>
  <c r="G2356" i="11"/>
  <c r="G2355" i="11"/>
  <c r="G2354" i="11"/>
  <c r="G2353" i="11"/>
  <c r="G2352" i="11"/>
  <c r="G2351" i="11"/>
  <c r="G2350" i="11"/>
  <c r="G2349" i="11"/>
  <c r="G2348" i="11"/>
  <c r="G2347" i="11"/>
  <c r="G2346" i="11"/>
  <c r="G2345" i="11"/>
  <c r="G2344" i="11"/>
  <c r="G2343" i="11"/>
  <c r="G2342" i="11"/>
  <c r="G2341" i="11"/>
  <c r="G2340" i="11"/>
  <c r="G2339" i="11"/>
  <c r="G2338" i="11"/>
  <c r="G2337" i="11"/>
  <c r="G2336" i="11"/>
  <c r="G2335" i="11"/>
  <c r="G2334" i="11"/>
  <c r="G2333" i="11"/>
  <c r="G2332" i="11"/>
  <c r="G2331" i="11"/>
  <c r="G2330" i="11"/>
  <c r="G2329" i="11"/>
  <c r="G2328" i="11"/>
  <c r="G2327" i="11"/>
  <c r="G2326" i="11"/>
  <c r="G2325" i="11"/>
  <c r="G2324" i="11"/>
  <c r="G2323" i="11"/>
  <c r="G2322" i="11"/>
  <c r="G2321" i="11"/>
  <c r="G2320" i="11"/>
  <c r="G2319" i="11"/>
  <c r="G2318" i="11"/>
  <c r="G2317" i="11"/>
  <c r="G2316" i="11"/>
  <c r="G2315" i="11"/>
  <c r="G2314" i="11"/>
  <c r="G2313" i="11"/>
  <c r="G2312" i="11"/>
  <c r="G2311" i="11"/>
  <c r="G2310" i="11"/>
  <c r="G2309" i="11"/>
  <c r="G2308" i="11"/>
  <c r="G2709" i="11"/>
  <c r="G2708" i="11"/>
  <c r="G2707" i="11"/>
  <c r="G2706" i="11"/>
  <c r="G2705" i="11"/>
  <c r="G2704" i="11"/>
  <c r="G2703" i="11"/>
  <c r="G2702" i="11"/>
  <c r="G2701" i="11"/>
  <c r="G2700" i="11"/>
  <c r="G2699" i="11"/>
  <c r="G2698" i="11"/>
  <c r="G2697" i="11"/>
  <c r="G2696" i="11"/>
  <c r="G2695" i="11"/>
  <c r="G2694" i="11"/>
  <c r="G2693" i="11"/>
  <c r="G2692" i="11"/>
  <c r="G2691" i="11"/>
  <c r="G2690" i="11"/>
  <c r="G2689" i="11"/>
  <c r="G2688" i="11"/>
  <c r="G2687" i="11"/>
  <c r="G2686" i="11"/>
  <c r="G2685" i="11"/>
  <c r="G2684" i="11"/>
  <c r="G2683" i="11"/>
  <c r="G2682" i="11"/>
  <c r="G2681" i="11"/>
  <c r="G2680" i="11"/>
  <c r="G2679" i="11"/>
  <c r="G2678" i="11"/>
  <c r="G2677" i="11"/>
  <c r="G2676" i="11"/>
  <c r="G2675" i="11"/>
  <c r="G2674" i="11"/>
  <c r="G2673" i="11"/>
  <c r="G2672" i="11"/>
  <c r="G2671" i="11"/>
  <c r="G2670" i="11"/>
  <c r="G2669" i="11"/>
  <c r="G2668" i="11"/>
  <c r="G2667" i="11"/>
  <c r="G2666" i="11"/>
  <c r="G2665" i="11"/>
  <c r="G2664" i="11"/>
  <c r="G2663" i="11"/>
  <c r="G2662" i="11"/>
  <c r="G2661" i="11"/>
  <c r="G2660" i="11"/>
  <c r="G2659" i="11"/>
  <c r="G2658" i="11"/>
  <c r="G2657" i="11"/>
  <c r="G2656" i="11"/>
  <c r="G2655" i="11"/>
  <c r="G2654" i="11"/>
  <c r="G2653" i="11"/>
  <c r="G2652" i="11"/>
  <c r="G2651" i="11"/>
  <c r="G2650" i="11"/>
  <c r="G2649" i="11"/>
  <c r="G2648" i="11"/>
  <c r="G2647" i="11"/>
  <c r="G2646" i="11"/>
  <c r="G2645" i="11"/>
  <c r="G2644" i="11"/>
  <c r="G2643" i="11"/>
  <c r="G2642" i="11"/>
  <c r="G2641" i="11"/>
  <c r="G2640" i="11"/>
  <c r="G2639" i="11"/>
  <c r="G2638" i="11"/>
  <c r="G2637" i="11"/>
  <c r="G2636" i="11"/>
  <c r="G2635" i="11"/>
  <c r="G2634" i="11"/>
  <c r="G2633" i="11"/>
  <c r="G2632" i="11"/>
  <c r="G2631" i="11"/>
  <c r="G2630" i="11"/>
  <c r="G2629" i="11"/>
  <c r="G2628" i="11"/>
  <c r="G2627" i="11"/>
  <c r="G2626" i="11"/>
  <c r="G2625" i="11"/>
  <c r="G2624" i="11"/>
  <c r="G2623" i="11"/>
  <c r="G2622" i="11"/>
  <c r="G2621" i="11"/>
  <c r="G2620" i="11"/>
  <c r="G2619" i="11"/>
  <c r="G2618" i="11"/>
  <c r="G2617" i="11"/>
  <c r="G2616" i="11"/>
  <c r="G2615" i="11"/>
  <c r="G2614" i="11"/>
  <c r="G2613" i="11"/>
  <c r="G2612" i="11"/>
  <c r="G2611" i="11"/>
  <c r="G2610" i="11"/>
  <c r="G2609" i="11"/>
  <c r="G2608" i="11"/>
  <c r="G2607" i="11"/>
  <c r="G2606" i="11"/>
  <c r="G2605" i="11"/>
  <c r="G2604" i="11"/>
  <c r="G2603" i="11"/>
  <c r="G2602" i="11"/>
  <c r="G2601" i="11"/>
  <c r="G2600" i="11"/>
  <c r="G2599" i="11"/>
  <c r="G2598" i="11"/>
  <c r="G2597" i="11"/>
  <c r="G2596" i="11"/>
  <c r="G2595" i="11"/>
  <c r="G2594" i="11"/>
  <c r="G2593" i="11"/>
  <c r="G2592" i="11"/>
  <c r="G2591" i="11"/>
  <c r="G2590" i="11"/>
  <c r="G2589" i="11"/>
  <c r="G2588" i="11"/>
  <c r="G2587" i="11"/>
  <c r="G2586" i="11"/>
  <c r="G2585" i="11"/>
  <c r="G2584" i="11"/>
  <c r="G2583" i="11"/>
  <c r="G2582" i="11"/>
  <c r="G2581" i="11"/>
  <c r="G2580" i="11"/>
  <c r="G2579" i="11"/>
  <c r="G2578" i="11"/>
  <c r="G2577" i="11"/>
  <c r="G2576" i="11"/>
  <c r="G2575" i="11"/>
  <c r="G2574" i="11"/>
  <c r="G2573" i="11"/>
  <c r="G2572" i="11"/>
  <c r="G2571" i="11"/>
  <c r="G2570" i="11"/>
  <c r="G2569" i="11"/>
  <c r="G2568" i="11"/>
  <c r="G2567" i="11"/>
  <c r="G2566" i="11"/>
  <c r="G2565" i="11"/>
  <c r="G2564" i="11"/>
  <c r="G2563" i="11"/>
  <c r="G2562" i="11"/>
  <c r="G2561" i="11"/>
  <c r="G2560" i="11"/>
  <c r="G2559" i="11"/>
  <c r="G2558" i="11"/>
  <c r="G2557" i="11"/>
  <c r="G2556" i="11"/>
  <c r="G2555" i="11"/>
  <c r="G2554" i="11"/>
  <c r="G2553" i="11"/>
  <c r="G2552" i="11"/>
  <c r="G2551" i="11"/>
  <c r="G2550" i="11"/>
  <c r="G2549" i="11"/>
  <c r="G2548" i="11"/>
  <c r="G2547" i="11"/>
  <c r="G2546" i="11"/>
  <c r="G2545" i="11"/>
  <c r="G2544" i="11"/>
  <c r="G2543" i="11"/>
  <c r="G2542" i="11"/>
  <c r="G2541" i="11"/>
  <c r="G2540" i="11"/>
  <c r="G2539" i="11"/>
  <c r="G2538" i="11"/>
  <c r="G2537" i="11"/>
  <c r="G2536" i="11"/>
  <c r="G2535" i="11"/>
  <c r="G2534" i="11"/>
  <c r="G2533" i="11"/>
  <c r="G2532" i="11"/>
  <c r="G899" i="11"/>
  <c r="G898" i="11"/>
  <c r="G897" i="11"/>
  <c r="G896" i="11"/>
  <c r="G895" i="11"/>
  <c r="G894" i="11"/>
  <c r="G893" i="11"/>
  <c r="G892" i="11"/>
  <c r="G891" i="11"/>
  <c r="G890" i="11"/>
  <c r="G889" i="11"/>
  <c r="G888" i="11"/>
  <c r="G887" i="11"/>
  <c r="G886" i="11"/>
  <c r="G885" i="11"/>
  <c r="G884" i="11"/>
  <c r="G883" i="11"/>
  <c r="G882" i="11"/>
  <c r="G881" i="11"/>
  <c r="G880" i="11"/>
  <c r="G879" i="11"/>
  <c r="G878" i="11"/>
  <c r="G877" i="11"/>
  <c r="G876" i="11"/>
  <c r="G875" i="11"/>
  <c r="G874" i="11"/>
  <c r="G873" i="11"/>
  <c r="G872" i="11"/>
  <c r="G871" i="11"/>
  <c r="G870" i="11"/>
  <c r="G869" i="11"/>
  <c r="G868" i="11"/>
  <c r="G867" i="11"/>
  <c r="G866" i="11"/>
  <c r="G865" i="11"/>
  <c r="G864" i="11"/>
  <c r="G863" i="11"/>
  <c r="G862" i="11"/>
  <c r="G995" i="11"/>
  <c r="G994" i="11"/>
  <c r="G993" i="11"/>
  <c r="G992" i="11"/>
  <c r="G991" i="11"/>
  <c r="G990" i="11"/>
  <c r="G989" i="11"/>
  <c r="G988" i="11"/>
  <c r="G987" i="11"/>
  <c r="G986" i="11"/>
  <c r="G985" i="11"/>
  <c r="G984" i="11"/>
  <c r="G983" i="11"/>
  <c r="G982" i="11"/>
  <c r="G981" i="11"/>
  <c r="G980" i="11"/>
  <c r="G979" i="11"/>
  <c r="G978" i="11"/>
  <c r="G977" i="11"/>
  <c r="G976" i="11"/>
  <c r="G975" i="11"/>
  <c r="G974" i="11"/>
  <c r="G973" i="11"/>
  <c r="G972" i="11"/>
  <c r="G971" i="11"/>
  <c r="G970" i="11"/>
  <c r="G969" i="11"/>
  <c r="G968" i="11"/>
  <c r="G967" i="11"/>
  <c r="G966" i="11"/>
  <c r="G965" i="11"/>
  <c r="G964" i="11"/>
  <c r="G963" i="11"/>
  <c r="G962" i="11"/>
  <c r="G961" i="11"/>
  <c r="G960" i="11"/>
  <c r="G959" i="11"/>
  <c r="G958" i="11"/>
  <c r="G957" i="11"/>
  <c r="G956" i="11"/>
  <c r="G955" i="11"/>
  <c r="G954" i="11"/>
  <c r="G953" i="11"/>
  <c r="G952" i="11"/>
  <c r="G951" i="11"/>
  <c r="G950" i="11"/>
  <c r="G949" i="11"/>
  <c r="G948" i="11"/>
  <c r="G947" i="11"/>
  <c r="G946" i="11"/>
  <c r="G945" i="11"/>
  <c r="G944" i="11"/>
  <c r="G943" i="11"/>
  <c r="G942" i="11"/>
  <c r="G941" i="11"/>
  <c r="G940" i="11"/>
  <c r="G939" i="11"/>
  <c r="G938" i="11"/>
  <c r="G937" i="11"/>
  <c r="G936" i="11"/>
  <c r="G935" i="11"/>
  <c r="G934" i="11"/>
  <c r="G933" i="11"/>
  <c r="G932" i="11"/>
  <c r="G931" i="11"/>
  <c r="G930" i="11"/>
  <c r="G929" i="11"/>
  <c r="G928" i="11"/>
  <c r="G927" i="11"/>
  <c r="G926" i="11"/>
  <c r="G925" i="11"/>
  <c r="G924" i="11"/>
  <c r="G923" i="11"/>
  <c r="G922" i="11"/>
  <c r="G921" i="11"/>
  <c r="G920" i="11"/>
  <c r="G919" i="11"/>
  <c r="G918" i="11"/>
  <c r="G917" i="11"/>
  <c r="G916" i="11"/>
  <c r="G915" i="11"/>
  <c r="G914" i="11"/>
  <c r="G913" i="11"/>
  <c r="G912" i="11"/>
  <c r="G911" i="11"/>
  <c r="G910" i="11"/>
  <c r="G909" i="11"/>
  <c r="G908" i="11"/>
  <c r="G907" i="11"/>
  <c r="G906" i="11"/>
  <c r="G905" i="11"/>
  <c r="G904" i="11"/>
  <c r="G903" i="11"/>
  <c r="G902" i="11"/>
  <c r="G901" i="11"/>
  <c r="G900" i="11"/>
  <c r="G1091" i="11"/>
  <c r="G1090" i="11"/>
  <c r="G1089" i="11"/>
  <c r="G1088" i="11"/>
  <c r="G1087" i="11"/>
  <c r="G1086" i="11"/>
  <c r="G1085" i="11"/>
  <c r="G1084" i="11"/>
  <c r="G1083" i="11"/>
  <c r="G1082" i="11"/>
  <c r="G1081" i="11"/>
  <c r="G1080" i="11"/>
  <c r="G1079" i="11"/>
  <c r="G1078" i="11"/>
  <c r="G1077" i="11"/>
  <c r="G1076" i="11"/>
  <c r="G1075" i="11"/>
  <c r="G1074" i="11"/>
  <c r="G1073" i="11"/>
  <c r="G1072" i="11"/>
  <c r="G1071" i="11"/>
  <c r="G1070" i="11"/>
  <c r="G1069" i="11"/>
  <c r="G1068" i="11"/>
  <c r="G1067" i="11"/>
  <c r="G1066" i="11"/>
  <c r="G1065" i="11"/>
  <c r="G1064" i="11"/>
  <c r="G1063" i="11"/>
  <c r="G1062" i="11"/>
  <c r="G1061" i="11"/>
  <c r="G1060" i="11"/>
  <c r="G1059" i="11"/>
  <c r="G1058" i="11"/>
  <c r="G1057" i="11"/>
  <c r="G1056" i="11"/>
  <c r="G1055" i="11"/>
  <c r="G1054" i="11"/>
  <c r="G1053" i="11"/>
  <c r="G1052" i="11"/>
  <c r="G1051" i="11"/>
  <c r="G1050" i="11"/>
  <c r="G1049" i="11"/>
  <c r="G1048" i="11"/>
  <c r="G1047" i="11"/>
  <c r="G1046" i="11"/>
  <c r="G1045" i="11"/>
  <c r="G1044" i="11"/>
  <c r="G1043" i="11"/>
  <c r="G1042" i="11"/>
  <c r="G1041" i="11"/>
  <c r="G1040" i="11"/>
  <c r="G1039" i="11"/>
  <c r="G1038" i="11"/>
  <c r="G1037" i="11"/>
  <c r="G1036" i="11"/>
  <c r="G1035" i="11"/>
  <c r="G1034" i="11"/>
  <c r="G1033" i="11"/>
  <c r="G1032" i="11"/>
  <c r="G1031" i="11"/>
  <c r="G1030" i="11"/>
  <c r="G1029" i="11"/>
  <c r="G1028" i="11"/>
  <c r="G1027" i="11"/>
  <c r="G1026" i="11"/>
  <c r="G1025" i="11"/>
  <c r="G1024" i="11"/>
  <c r="G1023" i="11"/>
  <c r="G1022" i="11"/>
  <c r="G1021" i="11"/>
  <c r="G1020" i="11"/>
  <c r="G1019" i="11"/>
  <c r="G1018" i="11"/>
  <c r="G1017" i="11"/>
  <c r="G1016" i="11"/>
  <c r="G1015" i="11"/>
  <c r="G1014" i="11"/>
  <c r="G1013" i="11"/>
  <c r="G1012" i="11"/>
  <c r="G1011" i="11"/>
  <c r="G1010" i="11"/>
  <c r="G1009" i="11"/>
  <c r="G1008" i="11"/>
  <c r="G1007" i="11"/>
  <c r="G1006" i="11"/>
  <c r="G1005" i="11"/>
  <c r="G1004" i="11"/>
  <c r="G1003" i="11"/>
  <c r="G1002" i="11"/>
  <c r="G1001" i="11"/>
  <c r="G1000" i="11"/>
  <c r="G999" i="11"/>
  <c r="G998" i="11"/>
  <c r="G997" i="11"/>
  <c r="G996" i="11"/>
  <c r="G1187" i="11"/>
  <c r="G1186" i="11"/>
  <c r="G1185" i="11"/>
  <c r="G1184" i="11"/>
  <c r="G1183" i="11"/>
  <c r="G1182" i="11"/>
  <c r="G1181" i="11"/>
  <c r="G1180" i="11"/>
  <c r="G1179" i="11"/>
  <c r="G1178" i="11"/>
  <c r="G1177" i="11"/>
  <c r="G1176" i="11"/>
  <c r="G1175" i="11"/>
  <c r="G1174" i="11"/>
  <c r="G1173" i="11"/>
  <c r="G1172" i="11"/>
  <c r="G1171" i="11"/>
  <c r="G1170" i="11"/>
  <c r="G1169" i="11"/>
  <c r="G1168" i="11"/>
  <c r="G1167" i="11"/>
  <c r="G1166" i="11"/>
  <c r="G1165" i="11"/>
  <c r="G1164" i="11"/>
  <c r="G1163" i="11"/>
  <c r="G1162" i="11"/>
  <c r="G1161" i="11"/>
  <c r="G1160" i="11"/>
  <c r="G1159" i="11"/>
  <c r="G1158" i="11"/>
  <c r="G1157" i="11"/>
  <c r="G1156" i="11"/>
  <c r="G1155" i="11"/>
  <c r="G1154" i="11"/>
  <c r="G1153" i="11"/>
  <c r="G1152" i="11"/>
  <c r="G1151" i="11"/>
  <c r="G1150" i="11"/>
  <c r="G1149" i="11"/>
  <c r="G1148" i="11"/>
  <c r="G1147" i="11"/>
  <c r="G1146" i="11"/>
  <c r="G1145" i="11"/>
  <c r="G1144" i="11"/>
  <c r="G1143" i="11"/>
  <c r="G1142" i="11"/>
  <c r="G1141" i="11"/>
  <c r="G1140" i="11"/>
  <c r="G1139" i="11"/>
  <c r="G1138" i="11"/>
  <c r="G1137" i="11"/>
  <c r="G1136" i="11"/>
  <c r="G1135" i="11"/>
  <c r="G1134" i="11"/>
  <c r="G1133" i="11"/>
  <c r="G1132" i="11"/>
  <c r="G1131" i="11"/>
  <c r="G1130" i="11"/>
  <c r="G1129" i="11"/>
  <c r="G1128" i="11"/>
  <c r="G1127" i="11"/>
  <c r="G1126" i="11"/>
  <c r="G1125" i="11"/>
  <c r="G1124" i="11"/>
  <c r="G1123" i="11"/>
  <c r="G1122" i="11"/>
  <c r="G1121" i="11"/>
  <c r="G1120" i="11"/>
  <c r="G1119" i="11"/>
  <c r="G1118" i="11"/>
  <c r="G1117" i="11"/>
  <c r="G1116" i="11"/>
  <c r="G1115" i="11"/>
  <c r="G1114" i="11"/>
  <c r="G1113" i="11"/>
  <c r="G1112" i="11"/>
  <c r="G1111" i="11"/>
  <c r="G1110" i="11"/>
  <c r="G1109" i="11"/>
  <c r="G1108" i="11"/>
  <c r="G1107" i="11"/>
  <c r="G1106" i="11"/>
  <c r="G1105" i="11"/>
  <c r="G1104" i="11"/>
  <c r="G1103" i="11"/>
  <c r="G1102" i="11"/>
  <c r="G1101" i="11"/>
  <c r="G1100" i="11"/>
  <c r="G1099" i="11"/>
  <c r="G1098" i="11"/>
  <c r="G1097" i="11"/>
  <c r="G1096" i="11"/>
  <c r="G1095" i="11"/>
  <c r="G1094" i="11"/>
  <c r="G1093" i="11"/>
  <c r="G1092" i="11"/>
  <c r="G1211" i="11"/>
  <c r="G1210" i="11"/>
  <c r="G1209" i="11"/>
  <c r="G1208" i="11"/>
  <c r="G1207" i="11"/>
  <c r="G1206" i="11"/>
  <c r="G1205" i="11"/>
  <c r="G1204" i="11"/>
  <c r="G1203" i="11"/>
  <c r="G1202" i="11"/>
  <c r="G1201" i="11"/>
  <c r="G1200" i="11"/>
  <c r="G1199" i="11"/>
  <c r="G1198" i="11"/>
  <c r="G1197" i="11"/>
  <c r="G1196" i="11"/>
  <c r="G1195" i="11"/>
  <c r="G1194" i="11"/>
  <c r="G1193" i="11"/>
  <c r="G1192" i="11"/>
  <c r="G1191" i="11"/>
  <c r="G1190" i="11"/>
  <c r="G1189" i="11"/>
  <c r="G1188" i="11"/>
  <c r="G1235" i="11"/>
  <c r="G1234" i="11"/>
  <c r="G1233" i="11"/>
  <c r="G1232" i="11"/>
  <c r="G1231" i="11"/>
  <c r="G1230" i="11"/>
  <c r="G1229" i="11"/>
  <c r="G1228" i="11"/>
  <c r="G1227" i="11"/>
  <c r="G1226" i="11"/>
  <c r="G1225" i="11"/>
  <c r="G1224" i="11"/>
  <c r="G1223" i="11"/>
  <c r="G1222" i="11"/>
  <c r="G1221" i="11"/>
  <c r="G1220" i="11"/>
  <c r="G1219" i="11"/>
  <c r="G1218" i="11"/>
  <c r="G1217" i="11"/>
  <c r="G1216" i="11"/>
  <c r="G1215" i="11"/>
  <c r="G1214" i="11"/>
  <c r="G1213" i="11"/>
  <c r="G1212" i="11"/>
  <c r="G1259" i="11"/>
  <c r="G1258" i="11"/>
  <c r="G1257" i="11"/>
  <c r="G1256" i="11"/>
  <c r="G1255" i="11"/>
  <c r="G1254" i="11"/>
  <c r="G1253" i="11"/>
  <c r="G1252" i="11"/>
  <c r="G1251" i="11"/>
  <c r="G1250" i="11"/>
  <c r="G1249" i="11"/>
  <c r="G1248" i="11"/>
  <c r="G1247" i="11"/>
  <c r="G1246" i="11"/>
  <c r="G1245" i="11"/>
  <c r="G1244" i="11"/>
  <c r="G1243" i="11"/>
  <c r="G1242" i="11"/>
  <c r="G1241" i="11"/>
  <c r="G1240" i="11"/>
  <c r="G1239" i="11"/>
  <c r="G1238" i="11"/>
  <c r="G1237" i="11"/>
  <c r="G1236" i="11"/>
  <c r="G3044" i="11"/>
  <c r="G3043" i="11"/>
  <c r="G3042" i="11"/>
  <c r="G3041" i="11"/>
  <c r="G3040" i="11"/>
  <c r="G3039" i="11"/>
  <c r="G3038" i="11"/>
  <c r="G3037" i="11"/>
  <c r="G3036" i="11"/>
  <c r="G3035" i="11"/>
  <c r="G3034" i="11"/>
  <c r="G3033" i="11"/>
  <c r="G3032" i="11"/>
  <c r="G3031" i="11"/>
  <c r="G3030" i="11"/>
  <c r="G3029" i="11"/>
  <c r="G3028" i="11"/>
  <c r="G3027" i="11"/>
  <c r="G3026" i="11"/>
  <c r="G3025" i="11"/>
  <c r="G3024" i="11"/>
  <c r="G3023" i="11"/>
  <c r="G3022" i="11"/>
  <c r="G3021" i="11"/>
  <c r="G3020" i="11"/>
  <c r="G3019" i="11"/>
  <c r="G3018" i="11"/>
  <c r="G3017" i="11"/>
  <c r="G3016" i="11"/>
  <c r="G3015" i="11"/>
  <c r="G3014" i="11"/>
  <c r="G3013" i="11"/>
  <c r="G3012" i="11"/>
  <c r="G3011" i="11"/>
  <c r="G3010" i="11"/>
  <c r="G3009" i="11"/>
  <c r="G3008" i="11"/>
  <c r="G3007" i="11"/>
  <c r="G3006" i="11"/>
  <c r="G3005" i="11"/>
  <c r="G3004" i="11"/>
  <c r="G3003" i="11"/>
  <c r="G3002" i="11"/>
  <c r="G3001" i="11"/>
  <c r="G3000" i="11"/>
  <c r="G2999" i="11"/>
  <c r="G2998" i="11"/>
  <c r="G2997" i="11"/>
  <c r="G2996" i="11"/>
  <c r="G2995" i="11"/>
  <c r="G2994" i="11"/>
  <c r="G2993" i="11"/>
  <c r="G2992" i="11"/>
  <c r="G2991" i="11"/>
  <c r="G2990" i="11"/>
  <c r="G2989" i="11"/>
  <c r="G2988" i="11"/>
  <c r="G2987" i="11"/>
  <c r="G2986" i="11"/>
  <c r="G2985" i="11"/>
  <c r="G2984" i="11"/>
  <c r="G2983" i="11"/>
  <c r="G2982" i="11"/>
  <c r="G2981" i="11"/>
  <c r="G2980" i="11"/>
  <c r="G2979" i="11"/>
  <c r="G2978" i="11"/>
  <c r="G2977" i="11"/>
  <c r="G2976" i="11"/>
  <c r="G2975" i="11"/>
  <c r="G2974" i="11"/>
  <c r="G2973" i="11"/>
  <c r="G2972" i="11"/>
  <c r="G2971" i="11"/>
  <c r="G2970" i="11"/>
  <c r="G2969" i="11"/>
  <c r="G2968" i="11"/>
  <c r="G2967" i="11"/>
  <c r="G2966" i="11"/>
  <c r="G2965" i="11"/>
  <c r="G2964" i="11"/>
  <c r="G2963" i="11"/>
  <c r="G2962" i="11"/>
  <c r="G2961" i="11"/>
  <c r="G2960" i="11"/>
  <c r="G2959" i="11"/>
  <c r="G2958" i="11"/>
  <c r="G2957" i="11"/>
  <c r="G2956" i="11"/>
  <c r="G2955" i="11"/>
  <c r="G2954" i="11"/>
  <c r="G2953" i="11"/>
  <c r="G2952" i="11"/>
  <c r="G2951" i="11"/>
  <c r="G2950" i="11"/>
  <c r="G2949" i="11"/>
  <c r="G2948" i="11"/>
  <c r="G2947" i="11"/>
  <c r="G2946" i="11"/>
  <c r="G2945" i="11"/>
  <c r="G2944" i="11"/>
  <c r="G2943" i="11"/>
  <c r="G2942" i="11"/>
  <c r="G2941" i="11"/>
  <c r="G2940" i="11"/>
  <c r="G2939" i="11"/>
  <c r="G2938" i="11"/>
  <c r="G2781" i="11"/>
  <c r="G2780" i="11"/>
  <c r="G2779" i="11"/>
  <c r="G2778" i="11"/>
  <c r="G2777" i="11"/>
  <c r="G2776" i="11"/>
  <c r="G2775" i="11"/>
  <c r="G2774" i="11"/>
  <c r="G2773" i="11"/>
  <c r="G2772" i="11"/>
  <c r="G2771" i="11"/>
  <c r="G2770" i="11"/>
  <c r="G2769" i="11"/>
  <c r="G2768" i="11"/>
  <c r="G2767" i="11"/>
  <c r="G2766" i="11"/>
  <c r="G2765" i="11"/>
  <c r="G2764" i="11"/>
  <c r="G2763" i="11"/>
  <c r="G2762" i="11"/>
  <c r="G2761" i="11"/>
  <c r="G2760" i="11"/>
  <c r="G2759" i="11"/>
  <c r="G2758" i="11"/>
  <c r="G2757" i="11"/>
  <c r="G2756" i="11"/>
  <c r="G2755" i="11"/>
  <c r="G2754" i="11"/>
  <c r="G2753" i="11"/>
  <c r="G2752" i="11"/>
  <c r="G2751" i="11"/>
  <c r="G2750" i="11"/>
  <c r="G2749" i="11"/>
  <c r="G2748" i="11"/>
  <c r="G2747" i="11"/>
  <c r="G2746" i="11"/>
  <c r="G2745" i="11"/>
  <c r="G2744" i="11"/>
  <c r="G2743" i="11"/>
  <c r="G2742" i="11"/>
  <c r="G2741" i="11"/>
  <c r="G2740" i="11"/>
  <c r="G2739" i="11"/>
  <c r="G2738" i="11"/>
  <c r="G2737" i="11"/>
  <c r="G2736" i="11"/>
  <c r="G2735" i="11"/>
  <c r="G2734" i="11"/>
  <c r="G2733" i="11"/>
  <c r="G2732" i="11"/>
  <c r="G2731" i="11"/>
  <c r="G2730" i="11"/>
  <c r="G2729" i="11"/>
  <c r="G2728" i="11"/>
  <c r="G2727" i="11"/>
  <c r="G2726" i="11"/>
  <c r="G2725" i="11"/>
  <c r="G2724" i="11"/>
  <c r="G2723" i="11"/>
  <c r="G2722" i="11"/>
  <c r="G2721" i="11"/>
  <c r="G2720" i="11"/>
  <c r="G2719" i="11"/>
  <c r="G2718" i="11"/>
  <c r="G2717" i="11"/>
  <c r="G2716" i="11"/>
  <c r="G2715" i="11"/>
  <c r="G2714" i="11"/>
  <c r="G2713" i="11"/>
  <c r="G2712" i="11"/>
  <c r="G2851" i="11"/>
  <c r="G2850" i="11"/>
  <c r="G2849" i="11"/>
  <c r="G2848" i="11"/>
  <c r="G2847" i="11"/>
  <c r="G2846" i="11"/>
  <c r="G2845" i="11"/>
  <c r="G2844" i="11"/>
  <c r="G2843" i="11"/>
  <c r="G2842" i="11"/>
  <c r="G2841" i="11"/>
  <c r="G2840" i="11"/>
  <c r="G2839" i="11"/>
  <c r="G2838" i="11"/>
  <c r="G2837" i="11"/>
  <c r="G2836" i="11"/>
  <c r="G2835" i="11"/>
  <c r="G2834" i="11"/>
  <c r="G2833" i="11"/>
  <c r="G2832" i="11"/>
  <c r="G2831" i="11"/>
  <c r="G2830" i="11"/>
  <c r="G2829" i="11"/>
  <c r="G2828" i="11"/>
  <c r="G2827" i="11"/>
  <c r="G2826" i="11"/>
  <c r="G2825" i="11"/>
  <c r="G2824" i="11"/>
  <c r="G2823" i="11"/>
  <c r="G2822" i="11"/>
  <c r="G2821" i="11"/>
  <c r="G2820" i="11"/>
  <c r="G2819" i="11"/>
  <c r="G2818" i="11"/>
  <c r="G2817" i="11"/>
  <c r="G2816" i="11"/>
  <c r="G2815" i="11"/>
  <c r="G2814" i="11"/>
  <c r="G2813" i="11"/>
  <c r="G2812" i="11"/>
  <c r="G2811" i="11"/>
  <c r="G2810" i="11"/>
  <c r="G2809" i="11"/>
  <c r="G2808" i="11"/>
  <c r="G2807" i="11"/>
  <c r="G2806" i="11"/>
  <c r="G2805" i="11"/>
  <c r="G2804" i="11"/>
  <c r="G2803" i="11"/>
  <c r="G2802" i="11"/>
  <c r="G2801" i="11"/>
  <c r="G2800" i="11"/>
  <c r="G2799" i="11"/>
  <c r="G2798" i="11"/>
  <c r="G2797" i="11"/>
  <c r="G2796" i="11"/>
  <c r="G2795" i="11"/>
  <c r="G2794" i="11"/>
  <c r="G2793" i="11"/>
  <c r="G2792" i="11"/>
  <c r="G2791" i="11"/>
  <c r="G2790" i="11"/>
  <c r="G2789" i="11"/>
  <c r="G2788" i="11"/>
  <c r="G2787" i="11"/>
  <c r="G2786" i="11"/>
  <c r="G2785" i="11"/>
  <c r="G2784" i="11"/>
  <c r="G2783" i="11"/>
  <c r="G2782" i="11"/>
  <c r="G2921" i="11"/>
  <c r="G2920" i="11"/>
  <c r="G2919" i="11"/>
  <c r="G2918" i="11"/>
  <c r="G2917" i="11"/>
  <c r="G2916" i="11"/>
  <c r="G2915" i="11"/>
  <c r="G2914" i="11"/>
  <c r="G2913" i="11"/>
  <c r="G2912" i="11"/>
  <c r="G2911" i="11"/>
  <c r="G2910" i="11"/>
  <c r="G2909" i="11"/>
  <c r="G2908" i="11"/>
  <c r="G2907" i="11"/>
  <c r="G2906" i="11"/>
  <c r="G2905" i="11"/>
  <c r="G2904" i="11"/>
  <c r="G2903" i="11"/>
  <c r="G2902" i="11"/>
  <c r="G2901" i="11"/>
  <c r="G2900" i="11"/>
  <c r="G2899" i="11"/>
  <c r="G2898" i="11"/>
  <c r="G2897" i="11"/>
  <c r="G2896" i="11"/>
  <c r="G2895" i="11"/>
  <c r="G2894" i="11"/>
  <c r="G2893" i="11"/>
  <c r="G2892" i="11"/>
  <c r="G2891" i="11"/>
  <c r="G2890" i="11"/>
  <c r="G2889" i="11"/>
  <c r="G2888" i="11"/>
  <c r="G2887" i="11"/>
  <c r="G2886" i="11"/>
  <c r="G2885" i="11"/>
  <c r="G2884" i="11"/>
  <c r="G2883" i="11"/>
  <c r="G2882" i="11"/>
  <c r="G2881" i="11"/>
  <c r="G2880" i="11"/>
  <c r="G2879" i="11"/>
  <c r="G2878" i="11"/>
  <c r="G2877" i="11"/>
  <c r="G2876" i="11"/>
  <c r="G2875" i="11"/>
  <c r="G2874" i="11"/>
  <c r="G2873" i="11"/>
  <c r="G2872" i="11"/>
  <c r="G2871" i="11"/>
  <c r="G2870" i="11"/>
  <c r="G2869" i="11"/>
  <c r="G2868" i="11"/>
  <c r="G2867" i="11"/>
  <c r="G2866" i="11"/>
  <c r="G2865" i="11"/>
  <c r="G2864" i="11"/>
  <c r="G2863" i="11"/>
  <c r="G2862" i="11"/>
  <c r="G2861" i="11"/>
  <c r="G2860" i="11"/>
  <c r="G2859" i="11"/>
  <c r="G2858" i="11"/>
  <c r="G2857" i="11"/>
  <c r="G2856" i="11"/>
  <c r="G2855" i="11"/>
  <c r="G2854" i="11"/>
  <c r="G2853" i="11"/>
  <c r="G2852" i="11"/>
  <c r="G737" i="11"/>
  <c r="G736" i="11"/>
  <c r="G735" i="11"/>
  <c r="G734" i="11"/>
  <c r="G733" i="11"/>
  <c r="G732" i="11"/>
  <c r="G731" i="11"/>
  <c r="G730" i="11"/>
  <c r="G729" i="11"/>
  <c r="G728" i="11"/>
  <c r="G727" i="11"/>
  <c r="G726" i="11"/>
  <c r="G725" i="11"/>
  <c r="G724" i="11"/>
  <c r="G723" i="11"/>
  <c r="G722" i="11"/>
  <c r="G721" i="11"/>
  <c r="G720" i="11"/>
  <c r="G719" i="11"/>
  <c r="G718" i="11"/>
  <c r="G717" i="11"/>
  <c r="G716" i="11"/>
  <c r="G715" i="11"/>
  <c r="G714" i="11"/>
  <c r="G713" i="11"/>
  <c r="G712" i="11"/>
  <c r="G711" i="11"/>
  <c r="G710" i="11"/>
  <c r="G709" i="11"/>
  <c r="G708" i="11"/>
  <c r="G707" i="11"/>
  <c r="G706" i="11"/>
  <c r="G705" i="11"/>
  <c r="G704" i="11"/>
  <c r="G703" i="11"/>
  <c r="G702" i="11"/>
  <c r="G701" i="11"/>
  <c r="G700" i="11"/>
  <c r="G699" i="11"/>
  <c r="G698" i="11"/>
  <c r="G697" i="11"/>
  <c r="G696" i="11"/>
  <c r="G695" i="11"/>
  <c r="G694" i="11"/>
  <c r="G693" i="11"/>
  <c r="G692" i="11"/>
  <c r="G691" i="11"/>
  <c r="G690" i="11"/>
  <c r="G689" i="11"/>
  <c r="G688" i="11"/>
  <c r="G687" i="11"/>
  <c r="G686" i="11"/>
  <c r="G685" i="11"/>
  <c r="G684" i="11"/>
  <c r="G683" i="11"/>
  <c r="G682" i="11"/>
  <c r="G681" i="11"/>
  <c r="G680" i="11"/>
  <c r="G679" i="11"/>
  <c r="G678" i="11"/>
  <c r="G677" i="11"/>
  <c r="G676" i="11"/>
  <c r="G675" i="11"/>
  <c r="G674" i="11"/>
  <c r="G673" i="11"/>
  <c r="G672" i="11"/>
  <c r="G671" i="11"/>
  <c r="G670" i="11"/>
  <c r="G669" i="11"/>
  <c r="G668" i="11"/>
  <c r="G667" i="11"/>
  <c r="G666" i="11"/>
  <c r="G809" i="11"/>
  <c r="G808" i="11"/>
  <c r="G807" i="11"/>
  <c r="G806" i="11"/>
  <c r="G805" i="11"/>
  <c r="G804" i="11"/>
  <c r="G803" i="11"/>
  <c r="G802" i="11"/>
  <c r="G801" i="11"/>
  <c r="G800" i="11"/>
  <c r="G799" i="11"/>
  <c r="G798" i="11"/>
  <c r="G797" i="11"/>
  <c r="G796" i="11"/>
  <c r="G795" i="11"/>
  <c r="G794" i="11"/>
  <c r="G793" i="11"/>
  <c r="G792" i="11"/>
  <c r="G791" i="11"/>
  <c r="G790" i="11"/>
  <c r="G789" i="11"/>
  <c r="G788" i="11"/>
  <c r="G787" i="11"/>
  <c r="G786" i="11"/>
  <c r="G785" i="11"/>
  <c r="G784" i="11"/>
  <c r="G783" i="11"/>
  <c r="G782" i="11"/>
  <c r="G781" i="11"/>
  <c r="G780" i="11"/>
  <c r="G779" i="11"/>
  <c r="G778" i="11"/>
  <c r="G777" i="11"/>
  <c r="G776" i="11"/>
  <c r="G775" i="11"/>
  <c r="G774" i="11"/>
  <c r="G773" i="11"/>
  <c r="G772" i="11"/>
  <c r="G771" i="11"/>
  <c r="G770" i="11"/>
  <c r="G769" i="11"/>
  <c r="G768" i="11"/>
  <c r="G767" i="11"/>
  <c r="G766" i="11"/>
  <c r="G765" i="11"/>
  <c r="G764" i="11"/>
  <c r="G763" i="11"/>
  <c r="G762" i="11"/>
  <c r="G761" i="11"/>
  <c r="G760" i="11"/>
  <c r="G759" i="11"/>
  <c r="G758" i="11"/>
  <c r="G757" i="11"/>
  <c r="G756" i="11"/>
  <c r="G755" i="11"/>
  <c r="G754" i="11"/>
  <c r="G753" i="11"/>
  <c r="G752" i="11"/>
  <c r="G751" i="11"/>
  <c r="G750" i="11"/>
  <c r="G749" i="11"/>
  <c r="G748" i="11"/>
  <c r="G747" i="11"/>
  <c r="G746" i="11"/>
  <c r="G745" i="11"/>
  <c r="G744" i="11"/>
  <c r="G743" i="11"/>
  <c r="G742" i="11"/>
  <c r="G741" i="11"/>
  <c r="G740" i="11"/>
  <c r="G739" i="11"/>
  <c r="G738" i="11"/>
  <c r="G845" i="11"/>
  <c r="G844" i="11"/>
  <c r="G843" i="11"/>
  <c r="G842" i="11"/>
  <c r="G841" i="11"/>
  <c r="G840" i="11"/>
  <c r="G839" i="11"/>
  <c r="G838" i="11"/>
  <c r="G837" i="11"/>
  <c r="G836" i="11"/>
  <c r="G835" i="11"/>
  <c r="G834" i="11"/>
  <c r="G833" i="11"/>
  <c r="G832" i="11"/>
  <c r="G831" i="11"/>
  <c r="G830" i="11"/>
  <c r="G829" i="11"/>
  <c r="G828" i="11"/>
  <c r="G827" i="11"/>
  <c r="G826" i="11"/>
  <c r="G825" i="11"/>
  <c r="G824" i="11"/>
  <c r="G823" i="11"/>
  <c r="G822" i="11"/>
  <c r="G821" i="11"/>
  <c r="G820" i="11"/>
  <c r="G819" i="11"/>
  <c r="G818" i="11"/>
  <c r="G817" i="11"/>
  <c r="G816" i="11"/>
  <c r="G815" i="11"/>
  <c r="G814" i="11"/>
  <c r="G813" i="11"/>
  <c r="G812" i="11"/>
  <c r="G811" i="11"/>
  <c r="G810" i="11"/>
  <c r="G459" i="17"/>
  <c r="G469" i="17"/>
  <c r="G468" i="17"/>
  <c r="G467" i="17"/>
  <c r="G466" i="17"/>
  <c r="G465" i="17"/>
  <c r="G464" i="17"/>
  <c r="G463" i="17"/>
  <c r="G462" i="17"/>
  <c r="G461" i="17"/>
  <c r="G460" i="17"/>
  <c r="G589" i="11" l="1"/>
  <c r="G588" i="11"/>
  <c r="G587" i="11"/>
  <c r="G586" i="11"/>
  <c r="G585" i="11"/>
  <c r="G584" i="11"/>
  <c r="G583" i="11"/>
  <c r="G582" i="11"/>
  <c r="G581" i="11"/>
  <c r="G578" i="11"/>
  <c r="G577" i="11"/>
  <c r="G576" i="11"/>
  <c r="G575" i="11"/>
  <c r="G574" i="11"/>
  <c r="G573" i="11"/>
  <c r="G572" i="11"/>
  <c r="G609" i="11"/>
  <c r="G608" i="11"/>
  <c r="G607" i="11"/>
  <c r="G606" i="11"/>
  <c r="G605" i="11"/>
  <c r="G604" i="11"/>
  <c r="G603" i="11"/>
  <c r="G602" i="11"/>
  <c r="G597" i="11"/>
  <c r="G596" i="11"/>
  <c r="G595" i="11"/>
  <c r="G594" i="11"/>
  <c r="G593" i="11"/>
  <c r="G592" i="11"/>
  <c r="G591" i="11"/>
  <c r="G590" i="11"/>
  <c r="G610" i="11"/>
  <c r="G518" i="11"/>
  <c r="G533" i="11"/>
  <c r="G532" i="11"/>
  <c r="G531" i="11"/>
  <c r="G530" i="11"/>
  <c r="G529" i="11"/>
  <c r="G528" i="11"/>
  <c r="G527" i="11"/>
  <c r="G526" i="11"/>
  <c r="G525" i="11"/>
  <c r="G524" i="11"/>
  <c r="G523" i="11"/>
  <c r="G522" i="11"/>
  <c r="G521" i="11"/>
  <c r="G520" i="11"/>
  <c r="G519" i="11"/>
  <c r="G548" i="11"/>
  <c r="G547" i="11"/>
  <c r="G546" i="11"/>
  <c r="G545" i="11"/>
  <c r="G544" i="11"/>
  <c r="G543" i="11"/>
  <c r="G542" i="11"/>
  <c r="G541" i="11"/>
  <c r="G540" i="11"/>
  <c r="G539" i="11"/>
  <c r="G538" i="11"/>
  <c r="G537" i="11"/>
  <c r="G536" i="11"/>
  <c r="G535" i="11"/>
  <c r="G534" i="11"/>
  <c r="G373" i="11"/>
  <c r="G372" i="11"/>
  <c r="G371" i="11"/>
  <c r="G370" i="11"/>
  <c r="G369" i="11"/>
  <c r="G341" i="11"/>
  <c r="G340" i="11"/>
  <c r="G339" i="11"/>
  <c r="G338" i="11"/>
  <c r="G337" i="11"/>
  <c r="G336" i="11"/>
  <c r="G326" i="11"/>
  <c r="G325" i="11"/>
  <c r="G335" i="11"/>
  <c r="G334" i="11"/>
  <c r="G333" i="11"/>
  <c r="G332" i="11"/>
  <c r="G331" i="11"/>
  <c r="G330" i="11"/>
  <c r="G329" i="11"/>
  <c r="G328" i="11"/>
  <c r="G327"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374" i="11"/>
  <c r="G356" i="11"/>
  <c r="G355" i="11"/>
  <c r="G354" i="11"/>
  <c r="G353" i="11"/>
  <c r="G352" i="11"/>
  <c r="G351" i="11"/>
  <c r="G350" i="11"/>
  <c r="G349" i="11"/>
  <c r="G348" i="11"/>
  <c r="G347" i="11"/>
  <c r="G346" i="11"/>
  <c r="G345" i="11"/>
  <c r="G344" i="11"/>
  <c r="G343" i="11"/>
  <c r="G342" i="11"/>
  <c r="G368" i="11"/>
  <c r="G367" i="11"/>
  <c r="G366" i="11"/>
  <c r="G365" i="11"/>
  <c r="G364" i="11"/>
  <c r="G363" i="11"/>
  <c r="G362" i="11"/>
  <c r="G361" i="11"/>
  <c r="G360" i="11"/>
  <c r="G359" i="11"/>
  <c r="G358" i="11"/>
  <c r="G357" i="11"/>
  <c r="G419" i="11"/>
  <c r="G418" i="11"/>
  <c r="G417" i="11"/>
  <c r="G416" i="11"/>
  <c r="G409" i="11"/>
  <c r="G415" i="11"/>
  <c r="G408" i="11"/>
  <c r="G407" i="11"/>
  <c r="G406" i="11"/>
  <c r="G405" i="11"/>
  <c r="G401" i="11"/>
  <c r="G241" i="11"/>
  <c r="G508" i="11"/>
  <c r="G507" i="11"/>
  <c r="G512" i="11"/>
  <c r="G511" i="11"/>
  <c r="G510" i="11"/>
  <c r="G506" i="11"/>
  <c r="G505" i="11"/>
  <c r="G504" i="11"/>
  <c r="G503" i="11"/>
  <c r="G497" i="11"/>
  <c r="G496" i="11"/>
  <c r="G495" i="11"/>
  <c r="G442" i="11"/>
  <c r="G441" i="11"/>
  <c r="G438" i="11"/>
  <c r="G437" i="11"/>
  <c r="G436" i="11"/>
  <c r="G435" i="11"/>
  <c r="G434" i="11"/>
  <c r="G433" i="11"/>
  <c r="G432" i="11"/>
  <c r="G431" i="11"/>
  <c r="G430" i="11"/>
  <c r="G429" i="11"/>
  <c r="G428" i="11"/>
  <c r="G427" i="11"/>
  <c r="G439" i="11"/>
  <c r="G440" i="11"/>
  <c r="G165" i="11"/>
  <c r="G164" i="11"/>
  <c r="G163" i="11"/>
  <c r="G162" i="11"/>
  <c r="G161" i="11"/>
  <c r="G160" i="11"/>
  <c r="G155" i="11"/>
  <c r="G154" i="11"/>
  <c r="G153" i="11"/>
  <c r="G152" i="11"/>
  <c r="G151" i="11"/>
  <c r="G150" i="11"/>
  <c r="G149" i="11"/>
  <c r="G148" i="11"/>
  <c r="G147" i="11"/>
  <c r="G146" i="11"/>
  <c r="G267" i="11"/>
  <c r="G266" i="11"/>
  <c r="G265" i="11"/>
  <c r="G264" i="11"/>
  <c r="G263" i="11"/>
  <c r="G262" i="11"/>
  <c r="G261" i="11"/>
  <c r="G260" i="11"/>
  <c r="G259" i="11"/>
  <c r="G258" i="11"/>
  <c r="G257" i="11"/>
  <c r="G256" i="11"/>
  <c r="G255" i="11"/>
  <c r="G254" i="11"/>
  <c r="G253" i="11"/>
  <c r="G252" i="11"/>
  <c r="G251" i="11"/>
  <c r="G250" i="11"/>
  <c r="G249" i="11"/>
  <c r="G248" i="11"/>
  <c r="G247" i="11"/>
  <c r="G246" i="11"/>
  <c r="G245" i="11"/>
  <c r="G244" i="11"/>
  <c r="G243" i="11"/>
  <c r="G242" i="11"/>
  <c r="G240" i="11"/>
  <c r="G239" i="11"/>
  <c r="G3122" i="11"/>
  <c r="G3121" i="11"/>
  <c r="G3120" i="11"/>
  <c r="G3119" i="11"/>
  <c r="G3151" i="11"/>
  <c r="G3150" i="11"/>
  <c r="G3080" i="11"/>
  <c r="G3079" i="11"/>
  <c r="G3078" i="11"/>
  <c r="G3077" i="11"/>
  <c r="G3076" i="11"/>
  <c r="G3075" i="11"/>
  <c r="G3074" i="11"/>
  <c r="G3073" i="11"/>
  <c r="G3072" i="11"/>
  <c r="G3071" i="11"/>
  <c r="G3070" i="11"/>
  <c r="G3069" i="11"/>
  <c r="G3068" i="11"/>
  <c r="G3067" i="11"/>
  <c r="G3066" i="11"/>
  <c r="G3065" i="11"/>
  <c r="G3064" i="11"/>
  <c r="G3063" i="11"/>
  <c r="G3062" i="11"/>
  <c r="G3061" i="11"/>
  <c r="G3060" i="11"/>
  <c r="G3059" i="11"/>
  <c r="G3058" i="11"/>
  <c r="G3057" i="11"/>
  <c r="G3056" i="11"/>
  <c r="G3055" i="11"/>
  <c r="G3054" i="11"/>
  <c r="G3053" i="11"/>
  <c r="G16" i="11"/>
  <c r="G15" i="11"/>
  <c r="G14" i="11"/>
  <c r="G3297" i="11"/>
  <c r="G3296" i="11"/>
  <c r="G3295" i="11"/>
  <c r="G3294" i="11"/>
  <c r="G3293" i="11"/>
  <c r="G3292" i="11"/>
  <c r="G3291" i="11"/>
  <c r="G3290" i="11"/>
  <c r="G3289" i="11"/>
  <c r="G96" i="16"/>
  <c r="G95" i="16"/>
  <c r="G94" i="16"/>
  <c r="G93" i="16"/>
  <c r="G92" i="16"/>
  <c r="G91" i="16"/>
  <c r="G90" i="16"/>
  <c r="G89" i="16"/>
  <c r="G88" i="16"/>
  <c r="G87" i="16"/>
  <c r="G86" i="16"/>
  <c r="G85" i="16"/>
  <c r="G79" i="16"/>
  <c r="G78" i="16"/>
  <c r="G77" i="16"/>
  <c r="G76" i="16"/>
  <c r="G75" i="16"/>
  <c r="G74" i="16"/>
  <c r="G73" i="16"/>
  <c r="G72" i="16"/>
  <c r="G71" i="16"/>
  <c r="G81" i="16"/>
  <c r="G80" i="16"/>
  <c r="G70" i="16"/>
  <c r="G36" i="16"/>
  <c r="G35" i="16"/>
  <c r="G34" i="16"/>
  <c r="G33" i="16"/>
  <c r="G32" i="16"/>
  <c r="G31" i="16"/>
  <c r="G30" i="16"/>
  <c r="G52" i="16"/>
  <c r="G51" i="16"/>
  <c r="G50" i="16"/>
  <c r="G49" i="16"/>
  <c r="G48" i="16"/>
  <c r="G47" i="16"/>
  <c r="G46" i="16"/>
  <c r="G45" i="16"/>
  <c r="G44" i="16"/>
  <c r="G43" i="16"/>
  <c r="G42" i="16"/>
  <c r="G41" i="16"/>
  <c r="G40" i="16"/>
  <c r="G39" i="16"/>
  <c r="G38" i="16"/>
  <c r="G37" i="16"/>
  <c r="G60" i="16"/>
  <c r="G59" i="16"/>
  <c r="G58" i="16"/>
  <c r="G57" i="16"/>
  <c r="G56" i="16"/>
  <c r="G55" i="16"/>
  <c r="G54" i="16"/>
  <c r="G53" i="16"/>
  <c r="G29" i="16"/>
  <c r="G344" i="16"/>
  <c r="G343" i="16"/>
  <c r="G342" i="16"/>
  <c r="G341" i="16"/>
  <c r="G340" i="16"/>
  <c r="G339" i="16"/>
  <c r="G338" i="16"/>
  <c r="G337" i="16"/>
  <c r="G336" i="16"/>
  <c r="G335" i="16"/>
  <c r="G332" i="16"/>
  <c r="G331" i="16"/>
  <c r="G330" i="16"/>
  <c r="G329" i="16"/>
  <c r="G328" i="16"/>
  <c r="G327" i="16"/>
  <c r="G326" i="16"/>
  <c r="G325" i="16"/>
  <c r="G324" i="16"/>
  <c r="G323" i="16"/>
  <c r="G322" i="16"/>
  <c r="G321" i="16"/>
  <c r="G320" i="16"/>
  <c r="G319" i="16"/>
  <c r="G318" i="16"/>
  <c r="G317" i="16"/>
  <c r="G316" i="16"/>
  <c r="G314" i="16"/>
  <c r="G313" i="16"/>
  <c r="G312" i="16"/>
  <c r="G310" i="16"/>
  <c r="G309" i="16"/>
  <c r="G308" i="16"/>
  <c r="G307" i="16"/>
  <c r="G306" i="16"/>
  <c r="G305" i="16"/>
  <c r="G304" i="16"/>
  <c r="G303" i="16"/>
  <c r="G302" i="16"/>
  <c r="G301" i="16"/>
  <c r="G300" i="16"/>
  <c r="G298" i="16"/>
  <c r="G297" i="16"/>
  <c r="G296" i="16"/>
  <c r="G295" i="16"/>
  <c r="G294" i="16"/>
  <c r="G293" i="16"/>
  <c r="G292" i="16"/>
  <c r="G291" i="16"/>
  <c r="G290" i="16"/>
  <c r="G289" i="16"/>
  <c r="G288" i="16"/>
  <c r="G287" i="16"/>
  <c r="G286" i="16"/>
  <c r="G285" i="16"/>
  <c r="G284" i="16"/>
  <c r="G283" i="16"/>
  <c r="G280" i="16"/>
  <c r="G279" i="16"/>
  <c r="G278" i="16"/>
  <c r="G277" i="16"/>
  <c r="G276" i="16"/>
  <c r="G275" i="16"/>
  <c r="G274" i="16"/>
  <c r="G273" i="16"/>
  <c r="G272" i="16"/>
  <c r="G271" i="16"/>
  <c r="G270" i="16"/>
  <c r="G269" i="16"/>
  <c r="G268" i="16"/>
  <c r="G267" i="16"/>
  <c r="G266" i="16"/>
  <c r="G265" i="16"/>
  <c r="G264" i="16"/>
  <c r="G263" i="16"/>
  <c r="G262" i="16"/>
  <c r="G261" i="16"/>
  <c r="G260" i="16"/>
  <c r="G259" i="16"/>
  <c r="G258" i="16"/>
  <c r="G257" i="16"/>
  <c r="G256" i="16"/>
  <c r="G255" i="16"/>
  <c r="G254" i="16"/>
  <c r="G253" i="16"/>
  <c r="G252" i="16"/>
  <c r="G251" i="16"/>
  <c r="G249" i="16"/>
  <c r="G248" i="16"/>
  <c r="G247" i="16"/>
  <c r="G246" i="16"/>
  <c r="G245" i="16"/>
  <c r="G244" i="16"/>
  <c r="G243" i="16"/>
  <c r="G242" i="16"/>
  <c r="G241" i="16"/>
  <c r="G240" i="16"/>
  <c r="G239" i="16"/>
  <c r="G238" i="16"/>
  <c r="G237" i="16"/>
  <c r="G236" i="16"/>
  <c r="G235" i="16"/>
  <c r="G234" i="16"/>
  <c r="G233" i="16"/>
  <c r="G232" i="16"/>
  <c r="G231" i="16"/>
  <c r="G230" i="16"/>
  <c r="G229" i="16"/>
  <c r="G228" i="16"/>
  <c r="G227" i="16"/>
  <c r="G226" i="16"/>
  <c r="G225" i="16"/>
  <c r="G97" i="16"/>
  <c r="G84" i="16"/>
  <c r="G66" i="16"/>
  <c r="G65" i="16"/>
  <c r="G64" i="16"/>
  <c r="G63" i="16"/>
  <c r="G62" i="16"/>
  <c r="G61" i="16"/>
  <c r="G26" i="16"/>
  <c r="G25" i="16"/>
  <c r="G24" i="16"/>
  <c r="G23" i="16"/>
  <c r="G21" i="16"/>
  <c r="G20" i="16"/>
  <c r="G19" i="16"/>
  <c r="G18" i="16"/>
  <c r="G17" i="16"/>
  <c r="G16" i="16"/>
  <c r="G15" i="16"/>
  <c r="G14" i="16"/>
  <c r="G13" i="16"/>
  <c r="G12" i="16"/>
  <c r="G11" i="16"/>
  <c r="G10" i="16"/>
  <c r="G9" i="16"/>
  <c r="G22" i="16"/>
  <c r="G452" i="17"/>
  <c r="G453" i="17"/>
  <c r="G454" i="17"/>
  <c r="G455" i="17"/>
  <c r="G442" i="17"/>
  <c r="G441" i="17"/>
  <c r="G440" i="17"/>
  <c r="G439" i="17"/>
  <c r="G438" i="17"/>
  <c r="G437" i="17"/>
  <c r="G436" i="17"/>
  <c r="G435" i="17"/>
  <c r="G434" i="17"/>
  <c r="G433" i="17"/>
  <c r="G432" i="17"/>
  <c r="G431" i="17"/>
  <c r="G430" i="17"/>
  <c r="G429" i="17"/>
  <c r="G428" i="17"/>
  <c r="G427" i="17"/>
  <c r="G426" i="17"/>
  <c r="G425" i="17"/>
  <c r="G424" i="17"/>
  <c r="G423" i="17"/>
  <c r="G422" i="17"/>
  <c r="G421" i="17"/>
  <c r="G420" i="17"/>
  <c r="G419" i="17"/>
  <c r="G418" i="17"/>
  <c r="G417" i="17"/>
  <c r="G416" i="17"/>
  <c r="G415" i="17"/>
  <c r="G414" i="17"/>
  <c r="G413" i="17"/>
  <c r="G412" i="17"/>
  <c r="G411" i="17"/>
  <c r="G410" i="17"/>
  <c r="G409" i="17"/>
  <c r="G408" i="17"/>
  <c r="G407" i="17"/>
  <c r="G406" i="17"/>
  <c r="G405" i="17"/>
  <c r="G404" i="17"/>
  <c r="G403" i="17"/>
  <c r="G402" i="17"/>
  <c r="G401" i="17"/>
  <c r="G400" i="17"/>
  <c r="G399" i="17"/>
  <c r="G398" i="17"/>
  <c r="G397" i="17"/>
  <c r="G396" i="17"/>
  <c r="G395" i="17"/>
  <c r="G394" i="17"/>
  <c r="G393" i="17"/>
  <c r="G392" i="17"/>
  <c r="G391" i="17"/>
  <c r="G390" i="17"/>
  <c r="G389" i="17"/>
  <c r="G388" i="17"/>
  <c r="G387" i="17"/>
  <c r="G386" i="17"/>
  <c r="G385" i="17"/>
  <c r="G384" i="17"/>
  <c r="G383" i="17"/>
  <c r="G382" i="17"/>
  <c r="G381" i="17"/>
  <c r="G380" i="17"/>
  <c r="G379" i="17"/>
  <c r="G378" i="17"/>
  <c r="G377" i="17"/>
  <c r="G376" i="17"/>
  <c r="G375" i="17"/>
  <c r="G374" i="17"/>
  <c r="G373" i="17"/>
  <c r="G372" i="17"/>
  <c r="G371" i="17"/>
  <c r="G370" i="17"/>
  <c r="G369" i="17"/>
  <c r="G368" i="17"/>
  <c r="G367" i="17"/>
  <c r="G366" i="17"/>
  <c r="G363" i="17"/>
  <c r="G362" i="17"/>
  <c r="G361" i="17"/>
  <c r="G360" i="17"/>
  <c r="G359" i="17"/>
  <c r="G358" i="17"/>
  <c r="G357" i="17"/>
  <c r="G356" i="17"/>
  <c r="G355" i="17"/>
  <c r="G354" i="17"/>
  <c r="G353" i="17"/>
  <c r="G352" i="17"/>
  <c r="G351" i="17"/>
  <c r="G350" i="17"/>
  <c r="G349" i="17"/>
  <c r="G348" i="17"/>
  <c r="G347" i="17"/>
  <c r="G346" i="17"/>
  <c r="G345" i="17"/>
  <c r="G344" i="17"/>
  <c r="G343" i="17"/>
  <c r="G342" i="17"/>
  <c r="G341" i="17"/>
  <c r="G340" i="17"/>
  <c r="G339" i="17"/>
  <c r="G338" i="17"/>
  <c r="G337" i="17"/>
  <c r="G336" i="17"/>
  <c r="G335" i="17"/>
  <c r="G334" i="17"/>
  <c r="G333" i="17"/>
  <c r="G332" i="17"/>
  <c r="G331" i="17"/>
  <c r="G330" i="17"/>
  <c r="G329" i="17"/>
  <c r="G328" i="17"/>
  <c r="G327" i="17"/>
  <c r="G326" i="17"/>
  <c r="G325" i="17"/>
  <c r="G324" i="17"/>
  <c r="G323" i="17"/>
  <c r="G322" i="17"/>
  <c r="G321" i="17"/>
  <c r="G312" i="17"/>
  <c r="G311" i="17"/>
  <c r="G310" i="17"/>
  <c r="G309" i="17"/>
  <c r="G280" i="17"/>
  <c r="G279" i="17"/>
  <c r="G278" i="17"/>
  <c r="G277" i="17"/>
  <c r="G276" i="17"/>
  <c r="G275" i="17"/>
  <c r="G274" i="17"/>
  <c r="G273" i="17"/>
  <c r="G272" i="17"/>
  <c r="G271" i="17"/>
  <c r="G270" i="17"/>
  <c r="G269" i="17"/>
  <c r="G268" i="17"/>
  <c r="G267" i="17"/>
  <c r="G266" i="17"/>
  <c r="G265" i="17"/>
  <c r="G264" i="17"/>
  <c r="G263" i="17"/>
  <c r="G262" i="17"/>
  <c r="G261" i="17"/>
  <c r="G260" i="17"/>
  <c r="G259" i="17"/>
  <c r="G258" i="17"/>
  <c r="G257" i="17"/>
  <c r="G256" i="17"/>
  <c r="G255" i="17"/>
  <c r="G254" i="17"/>
  <c r="G253" i="17"/>
  <c r="G252" i="17"/>
  <c r="G251" i="17"/>
  <c r="G250" i="17"/>
  <c r="G249" i="17"/>
  <c r="G296" i="17"/>
  <c r="G295" i="17"/>
  <c r="G294" i="17"/>
  <c r="G293" i="17"/>
  <c r="G292" i="17"/>
  <c r="G291" i="17"/>
  <c r="G290" i="17"/>
  <c r="G289" i="17"/>
  <c r="G288" i="17"/>
  <c r="G287" i="17"/>
  <c r="G286" i="17"/>
  <c r="G285" i="17"/>
  <c r="G284" i="17"/>
  <c r="G283" i="17"/>
  <c r="G282" i="17"/>
  <c r="G281" i="17"/>
  <c r="G304" i="17"/>
  <c r="G303" i="17"/>
  <c r="G302" i="17"/>
  <c r="G301" i="17"/>
  <c r="G300" i="17"/>
  <c r="G299" i="17"/>
  <c r="G298" i="17"/>
  <c r="G297" i="17"/>
  <c r="G140" i="17"/>
  <c r="G139" i="17"/>
  <c r="G141" i="17"/>
  <c r="G932" i="17"/>
  <c r="G931" i="17"/>
  <c r="G930" i="17"/>
  <c r="G929" i="17"/>
  <c r="G928" i="17"/>
  <c r="G927" i="17"/>
  <c r="G926" i="17"/>
  <c r="G925" i="17"/>
  <c r="G924" i="17"/>
  <c r="G923" i="17"/>
  <c r="G922" i="17"/>
  <c r="G921" i="17"/>
  <c r="G920" i="17"/>
  <c r="G919" i="17"/>
  <c r="G918" i="17"/>
  <c r="G917" i="17"/>
  <c r="G916" i="17"/>
  <c r="G915" i="17"/>
  <c r="G914" i="17"/>
  <c r="G913" i="17"/>
  <c r="G912" i="17"/>
  <c r="G911" i="17"/>
  <c r="G910" i="17"/>
  <c r="G909" i="17"/>
  <c r="G908" i="17"/>
  <c r="G907" i="17"/>
  <c r="G906" i="17"/>
  <c r="G905" i="17"/>
  <c r="G904" i="17"/>
  <c r="G903" i="17"/>
  <c r="G902" i="17"/>
  <c r="G901" i="17"/>
  <c r="G900" i="17"/>
  <c r="G899" i="17"/>
  <c r="G898" i="17"/>
  <c r="G897" i="17"/>
  <c r="G896" i="17"/>
  <c r="G895" i="17"/>
  <c r="G894" i="17"/>
  <c r="G893" i="17"/>
  <c r="G892" i="17"/>
  <c r="G891" i="17"/>
  <c r="G890" i="17"/>
  <c r="G889" i="17"/>
  <c r="G888" i="17"/>
  <c r="G887" i="17"/>
  <c r="G886" i="17"/>
  <c r="G885" i="17"/>
  <c r="G884" i="17"/>
  <c r="G883" i="17"/>
  <c r="G882" i="17"/>
  <c r="G881" i="17"/>
  <c r="G880" i="17"/>
  <c r="G879" i="17"/>
  <c r="G878" i="17"/>
  <c r="G315" i="17" l="1"/>
  <c r="G313" i="17"/>
  <c r="G308" i="17"/>
  <c r="G307" i="17"/>
  <c r="G306" i="17"/>
  <c r="G305" i="17"/>
  <c r="G248" i="17"/>
  <c r="G247" i="17"/>
  <c r="G246" i="17"/>
  <c r="G245" i="17"/>
  <c r="G244" i="17"/>
  <c r="G243" i="17"/>
  <c r="G242" i="17"/>
  <c r="G241" i="17"/>
  <c r="G240" i="17"/>
  <c r="G239" i="17"/>
  <c r="G238" i="17"/>
  <c r="G237" i="17"/>
  <c r="G236" i="17"/>
  <c r="G235" i="17"/>
  <c r="G234" i="17"/>
  <c r="G233" i="17"/>
  <c r="G232" i="17"/>
  <c r="G231" i="17"/>
  <c r="G230" i="17"/>
  <c r="G229" i="17"/>
  <c r="G228" i="17"/>
  <c r="G227" i="17"/>
  <c r="G226" i="17"/>
  <c r="G225" i="17"/>
  <c r="G224" i="17"/>
  <c r="G223" i="17"/>
  <c r="G222" i="17"/>
  <c r="G221" i="17"/>
  <c r="G220" i="17"/>
  <c r="G219" i="17"/>
  <c r="G218" i="17"/>
  <c r="G217" i="17"/>
  <c r="G216" i="17"/>
  <c r="G215" i="17"/>
  <c r="G214" i="17"/>
  <c r="G213" i="17"/>
  <c r="G212" i="17"/>
  <c r="G211" i="17"/>
  <c r="G210" i="17"/>
  <c r="G209" i="17"/>
  <c r="G208" i="17"/>
  <c r="G207" i="17"/>
  <c r="G206" i="17"/>
  <c r="G205" i="17"/>
  <c r="G204" i="17"/>
  <c r="G203" i="17"/>
  <c r="G202" i="17"/>
  <c r="G201" i="17"/>
  <c r="G200" i="17"/>
  <c r="G199" i="17"/>
  <c r="G198" i="17"/>
  <c r="G197" i="17"/>
  <c r="G196" i="17"/>
  <c r="G195" i="17"/>
  <c r="G194" i="17"/>
  <c r="G193" i="17"/>
  <c r="G192" i="17"/>
  <c r="G191" i="17"/>
  <c r="G190" i="17"/>
  <c r="G189" i="17"/>
  <c r="G188" i="17"/>
  <c r="G187" i="17"/>
  <c r="G186" i="17"/>
  <c r="G185" i="17"/>
  <c r="G184" i="17"/>
  <c r="G183" i="17"/>
  <c r="G182" i="17"/>
  <c r="G181" i="17"/>
  <c r="G180" i="17"/>
  <c r="G179" i="17"/>
  <c r="G178" i="17"/>
  <c r="G177" i="17"/>
  <c r="G176" i="17"/>
  <c r="G175" i="17"/>
  <c r="G174" i="17"/>
  <c r="G173" i="17"/>
  <c r="G172" i="17"/>
  <c r="G171" i="17"/>
  <c r="G170" i="17"/>
  <c r="G169" i="17"/>
  <c r="G168" i="17"/>
  <c r="G167" i="17"/>
  <c r="G166" i="17"/>
  <c r="G165" i="17"/>
  <c r="G164" i="17"/>
  <c r="G163" i="17"/>
  <c r="G162" i="17"/>
  <c r="G161" i="17"/>
  <c r="G160" i="17"/>
  <c r="G159" i="17"/>
  <c r="G158" i="17"/>
  <c r="G157" i="17"/>
  <c r="G156" i="17"/>
  <c r="G155" i="17"/>
  <c r="G154" i="17"/>
  <c r="G153" i="17"/>
  <c r="G152" i="17"/>
  <c r="G151" i="17"/>
  <c r="G150" i="17"/>
  <c r="G149" i="17"/>
  <c r="G148" i="17"/>
  <c r="G147" i="17"/>
  <c r="G146" i="17"/>
  <c r="G145" i="17"/>
  <c r="X7341" i="12"/>
  <c r="X7340" i="12"/>
  <c r="G1004" i="17" l="1"/>
  <c r="G1003" i="17"/>
  <c r="G1002" i="17"/>
  <c r="G1001" i="17"/>
  <c r="G1000" i="17"/>
  <c r="G999" i="17"/>
  <c r="G998" i="17"/>
  <c r="G1007" i="17"/>
  <c r="G1006" i="17"/>
  <c r="G1005" i="17"/>
  <c r="X6852" i="12" l="1"/>
  <c r="X7352" i="12"/>
  <c r="X7351" i="12"/>
  <c r="X7350" i="12"/>
  <c r="X7344" i="12"/>
  <c r="X7343" i="12"/>
  <c r="X7342" i="12"/>
  <c r="X7339" i="12"/>
  <c r="X7338" i="12"/>
  <c r="X7337" i="12"/>
  <c r="X7336" i="12"/>
  <c r="X7335" i="12"/>
  <c r="X7334" i="12"/>
  <c r="X7333" i="12"/>
  <c r="X7332" i="12"/>
  <c r="X7331" i="12"/>
  <c r="X7330" i="12"/>
  <c r="X7329" i="12"/>
  <c r="X7328" i="12"/>
  <c r="X7327" i="12"/>
  <c r="X7326" i="12"/>
  <c r="X7325" i="12"/>
  <c r="X7324" i="12"/>
  <c r="X7323" i="12"/>
  <c r="X7322" i="12"/>
  <c r="X7321" i="12"/>
  <c r="X7320" i="12"/>
  <c r="X7319" i="12"/>
  <c r="X7318" i="12"/>
  <c r="X7317" i="12"/>
  <c r="X7316" i="12"/>
  <c r="X7315" i="12"/>
  <c r="X7314" i="12"/>
  <c r="X7313" i="12"/>
  <c r="X7312" i="12"/>
  <c r="X7311" i="12"/>
  <c r="X7310" i="12"/>
  <c r="X7309" i="12"/>
  <c r="X7308" i="12"/>
  <c r="X7307" i="12"/>
  <c r="X7306" i="12"/>
  <c r="X7305" i="12"/>
  <c r="X7304" i="12"/>
  <c r="X7303" i="12"/>
  <c r="X7302" i="12"/>
  <c r="X7301" i="12"/>
  <c r="X7300" i="12"/>
  <c r="X7299" i="12"/>
  <c r="X7298" i="12"/>
  <c r="X7297" i="12"/>
  <c r="X7296" i="12"/>
  <c r="X7295" i="12"/>
  <c r="X7294" i="12"/>
  <c r="X7293" i="12"/>
  <c r="X7292" i="12"/>
  <c r="X7291" i="12"/>
  <c r="X7290" i="12"/>
  <c r="X7289" i="12"/>
  <c r="X7288" i="12"/>
  <c r="X7287" i="12"/>
  <c r="X7286" i="12"/>
  <c r="X7285" i="12"/>
  <c r="X7284" i="12"/>
  <c r="X7283" i="12"/>
  <c r="X7282" i="12"/>
  <c r="X7281" i="12"/>
  <c r="X7280" i="12"/>
  <c r="X7279" i="12"/>
  <c r="X7278" i="12"/>
  <c r="X7277" i="12"/>
  <c r="X7276" i="12"/>
  <c r="X7275" i="12"/>
  <c r="X7274" i="12"/>
  <c r="X7273" i="12"/>
  <c r="X7272" i="12"/>
  <c r="X7271" i="12"/>
  <c r="X7270" i="12"/>
  <c r="X7269" i="12"/>
  <c r="X7268" i="12"/>
  <c r="X7267" i="12"/>
  <c r="X7266" i="12"/>
  <c r="X7265" i="12"/>
  <c r="X7264" i="12"/>
  <c r="X7263" i="12"/>
  <c r="X7262" i="12"/>
  <c r="X7261" i="12"/>
  <c r="X7260" i="12"/>
  <c r="X7259" i="12"/>
  <c r="X7258" i="12"/>
  <c r="X7257" i="12"/>
  <c r="X7256" i="12"/>
  <c r="X7255" i="12"/>
  <c r="X7254" i="12"/>
  <c r="X7253" i="12"/>
  <c r="X7252" i="12"/>
  <c r="X7251" i="12"/>
  <c r="X7250" i="12"/>
  <c r="X7249" i="12"/>
  <c r="X7248" i="12"/>
  <c r="X7247" i="12"/>
  <c r="X7246" i="12"/>
  <c r="X7245" i="12"/>
  <c r="X7244" i="12"/>
  <c r="X7243" i="12"/>
  <c r="X7242" i="12"/>
  <c r="X7241" i="12"/>
  <c r="X7240" i="12"/>
  <c r="X7239" i="12"/>
  <c r="X7238" i="12"/>
  <c r="X7237" i="12"/>
  <c r="X7236" i="12"/>
  <c r="X7235" i="12"/>
  <c r="X7234" i="12"/>
  <c r="X7233" i="12"/>
  <c r="X7232" i="12"/>
  <c r="X7231" i="12"/>
  <c r="X7230" i="12"/>
  <c r="X7229" i="12"/>
  <c r="X7228" i="12"/>
  <c r="X7227" i="12"/>
  <c r="X7226" i="12"/>
  <c r="X7225" i="12"/>
  <c r="X7224" i="12"/>
  <c r="X7223" i="12"/>
  <c r="X7222" i="12"/>
  <c r="X7221" i="12"/>
  <c r="X7220" i="12"/>
  <c r="X7219" i="12"/>
  <c r="X7218" i="12"/>
  <c r="X7217" i="12"/>
  <c r="X7216" i="12"/>
  <c r="X7215" i="12"/>
  <c r="X7214" i="12"/>
  <c r="X7213" i="12"/>
  <c r="X7212" i="12"/>
  <c r="X7211" i="12"/>
  <c r="X7210" i="12"/>
  <c r="X7209" i="12"/>
  <c r="X7208" i="12"/>
  <c r="X7207" i="12"/>
  <c r="X7206" i="12"/>
  <c r="X7205" i="12"/>
  <c r="X7204" i="12"/>
  <c r="X7203" i="12"/>
  <c r="X7202" i="12"/>
  <c r="X7201" i="12"/>
  <c r="X7200" i="12"/>
  <c r="X7199" i="12"/>
  <c r="X7198" i="12"/>
  <c r="X7197" i="12"/>
  <c r="X7196" i="12"/>
  <c r="X7195" i="12"/>
  <c r="X7194" i="12"/>
  <c r="X7193" i="12"/>
  <c r="X7192" i="12"/>
  <c r="X7191" i="12"/>
  <c r="X7190" i="12"/>
  <c r="X7189" i="12"/>
  <c r="X7188" i="12"/>
  <c r="X7178" i="12"/>
  <c r="X7177" i="12"/>
  <c r="X7176" i="12"/>
  <c r="X7175" i="12"/>
  <c r="X7174" i="12"/>
  <c r="X7173" i="12"/>
  <c r="X7172" i="12"/>
  <c r="X7171" i="12"/>
  <c r="X7170" i="12"/>
  <c r="X7169" i="12"/>
  <c r="X7168" i="12"/>
  <c r="X7167" i="12"/>
  <c r="X7166" i="12"/>
  <c r="X7165" i="12"/>
  <c r="X7164" i="12"/>
  <c r="X7163" i="12"/>
  <c r="X7162" i="12"/>
  <c r="X7161" i="12"/>
  <c r="X7160" i="12"/>
  <c r="X7159" i="12"/>
  <c r="X7158" i="12"/>
  <c r="X7157" i="12"/>
  <c r="X7156" i="12"/>
  <c r="X7155" i="12"/>
  <c r="X7154" i="12"/>
  <c r="X7153" i="12"/>
  <c r="X7152" i="12"/>
  <c r="X7151" i="12"/>
  <c r="X7150" i="12"/>
  <c r="X7149" i="12"/>
  <c r="X7148" i="12"/>
  <c r="X7147" i="12"/>
  <c r="X7146" i="12"/>
  <c r="X7145" i="12"/>
  <c r="X7144" i="12"/>
  <c r="X7143" i="12"/>
  <c r="X7142" i="12"/>
  <c r="X7141" i="12"/>
  <c r="X7140" i="12"/>
  <c r="X7139" i="12"/>
  <c r="X7138" i="12"/>
  <c r="X7137" i="12"/>
  <c r="X7136" i="12"/>
  <c r="X7135" i="12"/>
  <c r="X7134" i="12"/>
  <c r="X7133" i="12"/>
  <c r="X7132" i="12"/>
  <c r="X7131" i="12"/>
  <c r="X7130" i="12"/>
  <c r="X7129" i="12"/>
  <c r="X7128" i="12"/>
  <c r="X7127" i="12"/>
  <c r="X7126" i="12"/>
  <c r="X7125" i="12"/>
  <c r="X7124" i="12"/>
  <c r="X7123" i="12"/>
  <c r="X7122" i="12"/>
  <c r="X7121" i="12"/>
  <c r="X7120" i="12"/>
  <c r="X7119" i="12"/>
  <c r="X7118" i="12"/>
  <c r="X7117" i="12"/>
  <c r="X7116" i="12"/>
  <c r="X7115" i="12"/>
  <c r="X7114" i="12"/>
  <c r="X7113" i="12"/>
  <c r="X7112" i="12"/>
  <c r="X7111" i="12"/>
  <c r="X7110" i="12"/>
  <c r="X7109" i="12"/>
  <c r="X7108" i="12"/>
  <c r="X7107" i="12"/>
  <c r="X7106" i="12"/>
  <c r="X7105" i="12"/>
  <c r="X7104" i="12"/>
  <c r="X7103" i="12"/>
  <c r="X7102" i="12"/>
  <c r="X7101" i="12"/>
  <c r="X7100" i="12"/>
  <c r="X7099" i="12"/>
  <c r="X7098" i="12"/>
  <c r="X7097" i="12"/>
  <c r="X7096" i="12"/>
  <c r="X7095" i="12"/>
  <c r="X7094" i="12"/>
  <c r="X7093" i="12"/>
  <c r="X7092" i="12"/>
  <c r="X7091" i="12"/>
  <c r="X7090" i="12"/>
  <c r="X7089" i="12"/>
  <c r="X7088" i="12"/>
  <c r="X7087" i="12"/>
  <c r="X7086" i="12"/>
  <c r="X7085" i="12"/>
  <c r="X7084" i="12"/>
  <c r="X7083" i="12"/>
  <c r="X7082" i="12"/>
  <c r="X7081" i="12"/>
  <c r="X7080" i="12"/>
  <c r="X7079" i="12"/>
  <c r="X7078" i="12"/>
  <c r="X7077" i="12"/>
  <c r="X7076" i="12"/>
  <c r="X7075" i="12"/>
  <c r="X7074" i="12"/>
  <c r="X7073" i="12"/>
  <c r="X7072" i="12"/>
  <c r="X7071" i="12"/>
  <c r="X7070" i="12"/>
  <c r="X7069" i="12"/>
  <c r="X7068" i="12"/>
  <c r="X7067" i="12"/>
  <c r="X7066" i="12"/>
  <c r="X7065" i="12"/>
  <c r="X7064" i="12"/>
  <c r="X7063" i="12"/>
  <c r="X7062" i="12"/>
  <c r="X7061" i="12"/>
  <c r="X7060" i="12"/>
  <c r="X7059" i="12"/>
  <c r="X7058" i="12"/>
  <c r="X7057" i="12"/>
  <c r="X7056" i="12"/>
  <c r="X7055" i="12"/>
  <c r="X7054" i="12"/>
  <c r="X7053" i="12"/>
  <c r="X7052" i="12"/>
  <c r="X7051" i="12"/>
  <c r="X7050" i="12"/>
  <c r="X7049" i="12"/>
  <c r="X7048" i="12"/>
  <c r="X7047" i="12"/>
  <c r="X7046" i="12"/>
  <c r="X7045" i="12"/>
  <c r="X7044" i="12"/>
  <c r="X7043" i="12"/>
  <c r="X7042" i="12"/>
  <c r="X7041" i="12"/>
  <c r="X7040" i="12"/>
  <c r="X7039" i="12"/>
  <c r="X7038" i="12"/>
  <c r="X7037" i="12"/>
  <c r="X7036" i="12"/>
  <c r="X7035" i="12"/>
  <c r="X7034" i="12"/>
  <c r="X7033" i="12"/>
  <c r="X7032" i="12"/>
  <c r="X7031" i="12"/>
  <c r="X7030" i="12"/>
  <c r="X7029" i="12"/>
  <c r="X7028" i="12"/>
  <c r="X7027" i="12"/>
  <c r="X7026" i="12"/>
  <c r="X7025" i="12"/>
  <c r="X7024" i="12"/>
  <c r="X7023" i="12"/>
  <c r="X7022" i="12"/>
  <c r="X7021" i="12"/>
  <c r="X7020" i="12"/>
  <c r="X7019" i="12"/>
  <c r="X7018" i="12"/>
  <c r="X7017" i="12"/>
  <c r="X7016" i="12"/>
  <c r="X7015" i="12"/>
  <c r="X7014" i="12"/>
  <c r="X7013" i="12"/>
  <c r="X7012" i="12"/>
  <c r="X7011" i="12"/>
  <c r="X7010" i="12"/>
  <c r="X7009" i="12"/>
  <c r="X7008" i="12"/>
  <c r="X7007" i="12"/>
  <c r="X7006" i="12"/>
  <c r="X7005" i="12"/>
  <c r="X7004" i="12"/>
  <c r="X7003" i="12"/>
  <c r="X7002" i="12"/>
  <c r="X7001" i="12"/>
  <c r="X7000" i="12"/>
  <c r="X6999" i="12"/>
  <c r="X6998" i="12"/>
  <c r="X6997" i="12"/>
  <c r="X6996" i="12"/>
  <c r="X6995" i="12"/>
  <c r="X6994" i="12"/>
  <c r="X6993" i="12"/>
  <c r="X6992" i="12"/>
  <c r="X6991" i="12"/>
  <c r="X6990" i="12"/>
  <c r="X6989" i="12"/>
  <c r="X6988" i="12"/>
  <c r="X6987" i="12"/>
  <c r="X6986" i="12"/>
  <c r="X6985" i="12"/>
  <c r="X6984" i="12"/>
  <c r="X6983" i="12"/>
  <c r="X6982" i="12"/>
  <c r="X6981" i="12"/>
  <c r="X6980" i="12"/>
  <c r="X6979" i="12"/>
  <c r="X6978" i="12"/>
  <c r="X6977" i="12"/>
  <c r="X6976" i="12"/>
  <c r="X6975" i="12"/>
  <c r="X6974" i="12"/>
  <c r="X6973" i="12"/>
  <c r="X6972" i="12"/>
  <c r="X6971" i="12"/>
  <c r="X6970" i="12"/>
  <c r="X6969" i="12"/>
  <c r="X6968" i="12"/>
  <c r="X6967" i="12"/>
  <c r="X6966" i="12"/>
  <c r="X6965" i="12"/>
  <c r="X6964" i="12"/>
  <c r="X6963" i="12"/>
  <c r="X6962" i="12"/>
  <c r="X6961" i="12"/>
  <c r="X6960" i="12"/>
  <c r="X6959" i="12"/>
  <c r="X6958" i="12"/>
  <c r="X6957" i="12"/>
  <c r="X6956" i="12"/>
  <c r="X6955" i="12"/>
  <c r="X6954" i="12"/>
  <c r="X6953" i="12"/>
  <c r="X6952" i="12"/>
  <c r="X6951" i="12"/>
  <c r="X6950" i="12"/>
  <c r="X6949" i="12"/>
  <c r="X6948" i="12"/>
  <c r="X6947" i="12"/>
  <c r="X6946" i="12"/>
  <c r="X6945" i="12"/>
  <c r="X6944" i="12"/>
  <c r="X6943" i="12"/>
  <c r="X6942" i="12"/>
  <c r="X6941" i="12"/>
  <c r="X6940" i="12"/>
  <c r="X6939" i="12"/>
  <c r="X6938" i="12"/>
  <c r="X6937" i="12"/>
  <c r="X6936" i="12"/>
  <c r="X6935" i="12"/>
  <c r="X6934" i="12"/>
  <c r="X6933" i="12"/>
  <c r="X6932" i="12"/>
  <c r="X6931" i="12"/>
  <c r="X6930" i="12"/>
  <c r="X6929" i="12"/>
  <c r="X6928" i="12"/>
  <c r="X6927" i="12"/>
  <c r="X6926" i="12"/>
  <c r="X6925" i="12"/>
  <c r="X6924" i="12"/>
  <c r="X6923" i="12"/>
  <c r="X6922" i="12"/>
  <c r="X6921" i="12"/>
  <c r="X6920" i="12"/>
  <c r="X6919" i="12"/>
  <c r="X6918" i="12"/>
  <c r="X6917" i="12"/>
  <c r="X6916" i="12"/>
  <c r="X6915" i="12"/>
  <c r="X6914" i="12"/>
  <c r="X6913" i="12"/>
  <c r="X6912" i="12"/>
  <c r="X6911" i="12"/>
  <c r="X6910" i="12"/>
  <c r="X6909" i="12"/>
  <c r="X6908" i="12"/>
  <c r="X6907" i="12"/>
  <c r="X6906" i="12"/>
  <c r="X6905" i="12"/>
  <c r="X6904" i="12"/>
  <c r="X6903" i="12"/>
  <c r="X6902" i="12"/>
  <c r="X6901" i="12"/>
  <c r="X6900" i="12"/>
  <c r="X6899" i="12"/>
  <c r="X6898" i="12"/>
  <c r="X6897" i="12"/>
  <c r="X6896" i="12"/>
  <c r="X6895" i="12"/>
  <c r="X6894" i="12"/>
  <c r="X6893" i="12"/>
  <c r="X6892" i="12"/>
  <c r="X6891" i="12"/>
  <c r="X6890" i="12"/>
  <c r="X6889" i="12"/>
  <c r="X6888" i="12"/>
  <c r="X6887" i="12"/>
  <c r="X6886" i="12"/>
  <c r="X6885" i="12"/>
  <c r="X6884" i="12"/>
  <c r="X6883" i="12"/>
  <c r="X6882" i="12"/>
  <c r="X6881" i="12"/>
  <c r="X6880" i="12"/>
  <c r="X6879" i="12"/>
  <c r="X6878" i="12"/>
  <c r="X6877" i="12"/>
  <c r="X6876" i="12"/>
  <c r="X6875" i="12"/>
  <c r="X6874" i="12"/>
  <c r="X6873" i="12"/>
  <c r="X6872" i="12"/>
  <c r="X6871" i="12"/>
  <c r="X6870" i="12"/>
  <c r="X6869" i="12"/>
  <c r="X6868" i="12"/>
  <c r="X6867" i="12"/>
  <c r="X6866" i="12"/>
  <c r="X6865" i="12"/>
  <c r="X6864" i="12"/>
  <c r="X6863" i="12"/>
  <c r="X6862" i="12"/>
  <c r="X6861" i="12"/>
  <c r="X6860" i="12"/>
  <c r="X6859" i="12"/>
  <c r="X6858" i="12"/>
  <c r="X6857" i="12"/>
  <c r="X6856" i="12"/>
  <c r="X6855" i="12"/>
  <c r="X6854" i="12"/>
  <c r="X6850" i="12"/>
  <c r="X6849" i="12"/>
  <c r="X6848" i="12"/>
  <c r="X6847" i="12"/>
  <c r="X6846" i="12"/>
  <c r="X6845" i="12"/>
  <c r="X6844" i="12"/>
  <c r="X6843" i="12"/>
  <c r="X6842" i="12"/>
  <c r="X6841" i="12"/>
  <c r="X6840" i="12"/>
  <c r="X6839" i="12"/>
  <c r="X6838" i="12"/>
  <c r="X6837" i="12"/>
  <c r="X6836" i="12"/>
  <c r="X6835" i="12"/>
  <c r="X6834" i="12"/>
  <c r="X6833" i="12"/>
  <c r="X6832" i="12"/>
  <c r="X6831" i="12"/>
  <c r="X6830" i="12"/>
  <c r="X6829" i="12"/>
  <c r="X6828" i="12"/>
  <c r="X6827" i="12"/>
  <c r="X6819" i="12"/>
  <c r="X6818" i="12"/>
  <c r="X6817" i="12"/>
  <c r="X6816" i="12"/>
  <c r="X6815" i="12"/>
  <c r="X6814" i="12"/>
  <c r="X6813" i="12"/>
  <c r="X6812" i="12"/>
  <c r="X6811" i="12"/>
  <c r="X6810" i="12"/>
  <c r="X6809" i="12"/>
  <c r="X6808" i="12"/>
  <c r="X6807" i="12"/>
  <c r="X6806" i="12"/>
  <c r="X6805" i="12"/>
  <c r="X6804" i="12"/>
  <c r="X6803" i="12"/>
  <c r="X6802" i="12"/>
  <c r="X6801" i="12"/>
  <c r="X6800" i="12"/>
  <c r="X6799" i="12"/>
  <c r="X6798" i="12"/>
  <c r="X6797" i="12"/>
  <c r="X6796" i="12"/>
  <c r="X6795" i="12"/>
  <c r="X6794" i="12"/>
  <c r="X6793" i="12"/>
  <c r="X6792" i="12"/>
  <c r="X6791" i="12"/>
  <c r="X6790" i="12"/>
  <c r="X6789" i="12"/>
  <c r="X6788" i="12"/>
  <c r="X6787" i="12"/>
  <c r="X6786" i="12"/>
  <c r="X6785" i="12"/>
  <c r="X6784" i="12"/>
  <c r="X6783" i="12"/>
  <c r="X6782" i="12"/>
  <c r="X6781" i="12"/>
  <c r="X6780" i="12"/>
  <c r="X6779" i="12"/>
  <c r="X6778" i="12"/>
  <c r="X6777" i="12"/>
  <c r="X6776" i="12"/>
  <c r="X6775" i="12"/>
  <c r="X6774" i="12"/>
  <c r="X6773" i="12"/>
  <c r="X6772" i="12"/>
  <c r="X6771" i="12"/>
  <c r="X6770" i="12"/>
  <c r="X6769" i="12"/>
  <c r="X6768" i="12"/>
  <c r="X6767" i="12"/>
  <c r="X6766" i="12"/>
  <c r="X6765" i="12"/>
  <c r="X6764" i="12"/>
  <c r="X6763" i="12"/>
  <c r="X6762" i="12"/>
  <c r="X6761" i="12"/>
  <c r="X6760" i="12"/>
  <c r="X6759" i="12"/>
  <c r="X6758" i="12"/>
  <c r="X6757" i="12"/>
  <c r="X6756" i="12"/>
  <c r="X6755" i="12"/>
  <c r="X6754" i="12"/>
  <c r="X6753" i="12"/>
  <c r="X6752" i="12"/>
  <c r="X6751" i="12"/>
  <c r="X6750" i="12"/>
  <c r="X6749" i="12"/>
  <c r="X6748" i="12"/>
  <c r="X6747" i="12"/>
  <c r="X6746" i="12"/>
  <c r="X6745" i="12"/>
  <c r="X6744" i="12"/>
  <c r="X6743" i="12"/>
  <c r="X6742" i="12"/>
  <c r="X6741" i="12"/>
  <c r="X6740" i="12"/>
  <c r="X6739" i="12"/>
  <c r="X6738" i="12"/>
  <c r="X6737" i="12"/>
  <c r="X6736" i="12"/>
  <c r="X6735" i="12"/>
  <c r="X6734" i="12"/>
  <c r="X6733" i="12"/>
  <c r="X6732" i="12"/>
  <c r="X6731" i="12"/>
  <c r="X6730" i="12"/>
  <c r="X6729" i="12"/>
  <c r="X6728" i="12"/>
  <c r="X6727" i="12"/>
  <c r="X6726" i="12"/>
  <c r="X6725" i="12"/>
  <c r="X6724" i="12"/>
  <c r="X6723" i="12"/>
  <c r="X6722" i="12"/>
  <c r="X6721" i="12"/>
  <c r="X6720" i="12"/>
  <c r="X6719" i="12"/>
  <c r="X6718" i="12"/>
  <c r="X6717" i="12"/>
  <c r="X6716" i="12"/>
  <c r="X6715" i="12"/>
  <c r="X6714" i="12"/>
  <c r="X6713" i="12"/>
  <c r="X6712" i="12"/>
  <c r="X6711" i="12"/>
  <c r="X6710" i="12"/>
  <c r="X6709" i="12"/>
  <c r="X6708" i="12"/>
  <c r="X6707" i="12"/>
  <c r="X6706" i="12"/>
  <c r="X6705" i="12"/>
  <c r="X6704" i="12"/>
  <c r="X6703" i="12"/>
  <c r="X6702" i="12"/>
  <c r="X6699" i="12"/>
  <c r="X6698" i="12"/>
  <c r="X6697" i="12"/>
  <c r="X6696" i="12"/>
  <c r="X6695" i="12"/>
  <c r="X6694" i="12"/>
  <c r="X6693" i="12"/>
  <c r="X6692" i="12"/>
  <c r="X6691" i="12"/>
  <c r="X6690" i="12"/>
  <c r="X6689" i="12"/>
  <c r="X6688" i="12"/>
  <c r="X6687" i="12"/>
  <c r="X6686" i="12"/>
  <c r="X6685" i="12"/>
  <c r="X6684" i="12"/>
  <c r="X6683" i="12"/>
  <c r="X6682" i="12"/>
  <c r="X6681" i="12"/>
  <c r="X6680" i="12"/>
  <c r="X6679" i="12"/>
  <c r="X6678" i="12"/>
  <c r="X6677" i="12"/>
  <c r="X6676" i="12"/>
  <c r="X6675" i="12"/>
  <c r="X6674" i="12"/>
  <c r="X6673" i="12"/>
  <c r="X6672" i="12"/>
  <c r="X6671" i="12"/>
  <c r="X6670" i="12"/>
  <c r="X6669" i="12"/>
  <c r="X6668" i="12"/>
  <c r="X6667" i="12"/>
  <c r="X6666" i="12"/>
  <c r="X6665" i="12"/>
  <c r="X6664" i="12"/>
  <c r="X6663" i="12"/>
  <c r="X6662" i="12"/>
  <c r="X6661" i="12"/>
  <c r="X6660" i="12"/>
  <c r="X6659" i="12"/>
  <c r="X6658" i="12"/>
  <c r="X6657" i="12"/>
  <c r="X6656" i="12"/>
  <c r="X6655" i="12"/>
  <c r="X6654" i="12"/>
  <c r="X6653" i="12"/>
  <c r="X6652" i="12"/>
  <c r="X6651" i="12"/>
  <c r="X6650" i="12"/>
  <c r="X6649" i="12"/>
  <c r="X6648" i="12"/>
  <c r="X6647" i="12"/>
  <c r="X6646" i="12"/>
  <c r="X6645" i="12"/>
  <c r="X6644" i="12"/>
  <c r="X6643" i="12"/>
  <c r="X6642" i="12"/>
  <c r="X6641" i="12"/>
  <c r="X6640" i="12"/>
  <c r="X6639" i="12"/>
  <c r="X6638" i="12"/>
  <c r="X6637" i="12"/>
  <c r="X6636" i="12"/>
  <c r="X6635" i="12"/>
  <c r="X6634" i="12"/>
  <c r="X6633" i="12"/>
  <c r="X6632" i="12"/>
  <c r="X6631" i="12"/>
  <c r="X6630" i="12"/>
  <c r="X6629" i="12"/>
  <c r="X6628" i="12"/>
  <c r="X6627" i="12"/>
  <c r="X6626" i="12"/>
  <c r="X6625" i="12"/>
  <c r="X6624" i="12"/>
  <c r="X6623" i="12"/>
  <c r="X6622" i="12"/>
  <c r="X6621" i="12"/>
  <c r="X6620" i="12"/>
  <c r="X6619" i="12"/>
  <c r="X6618" i="12"/>
  <c r="X6617" i="12"/>
  <c r="X6616" i="12"/>
  <c r="X6615" i="12"/>
  <c r="X6614" i="12"/>
  <c r="X6613" i="12"/>
  <c r="X6612" i="12"/>
  <c r="X6611" i="12"/>
  <c r="X6610" i="12"/>
  <c r="X6609" i="12"/>
  <c r="X6608" i="12"/>
  <c r="X6607" i="12"/>
  <c r="X6606" i="12"/>
  <c r="X6605" i="12"/>
  <c r="X6604" i="12"/>
  <c r="X6603" i="12"/>
  <c r="X6602" i="12"/>
  <c r="X6601" i="12"/>
  <c r="X6600" i="12"/>
  <c r="X6599" i="12"/>
  <c r="X6598" i="12"/>
  <c r="X6597" i="12"/>
  <c r="X6596" i="12"/>
  <c r="X6595" i="12"/>
  <c r="X6594" i="12"/>
  <c r="X6593" i="12"/>
  <c r="X6592" i="12"/>
  <c r="X6591" i="12"/>
  <c r="X6590" i="12"/>
  <c r="X6589" i="12"/>
  <c r="X6588" i="12"/>
  <c r="X6587" i="12"/>
  <c r="X6586" i="12"/>
  <c r="X6585" i="12"/>
  <c r="X6584" i="12"/>
  <c r="X6583" i="12"/>
  <c r="X6582" i="12"/>
  <c r="X6581" i="12"/>
  <c r="X6580" i="12"/>
  <c r="X6579" i="12"/>
  <c r="X6578" i="12"/>
  <c r="X6577" i="12"/>
  <c r="X6576" i="12"/>
  <c r="X6575" i="12"/>
  <c r="X6574" i="12"/>
  <c r="X6573" i="12"/>
  <c r="X6572" i="12"/>
  <c r="X6571" i="12"/>
  <c r="X6570" i="12"/>
  <c r="X6569" i="12"/>
  <c r="X6568" i="12"/>
  <c r="X6567" i="12"/>
  <c r="X6566" i="12"/>
  <c r="X6565" i="12"/>
  <c r="X6564" i="12"/>
  <c r="X6563" i="12"/>
  <c r="X6562" i="12"/>
  <c r="X6561" i="12"/>
  <c r="X6560" i="12"/>
  <c r="X6559" i="12"/>
  <c r="X6558" i="12"/>
  <c r="X6557" i="12"/>
  <c r="X6556" i="12"/>
  <c r="X6555" i="12"/>
  <c r="X6554" i="12"/>
  <c r="X6553" i="12"/>
  <c r="X6552" i="12"/>
  <c r="X6551" i="12"/>
  <c r="X6550" i="12"/>
  <c r="X6549" i="12"/>
  <c r="X6548" i="12"/>
  <c r="X6547" i="12"/>
  <c r="X6546" i="12"/>
  <c r="X6545" i="12"/>
  <c r="X6544" i="12"/>
  <c r="X6543" i="12"/>
  <c r="X6542" i="12"/>
  <c r="X6541" i="12"/>
  <c r="X6540" i="12"/>
  <c r="X6539" i="12"/>
  <c r="X6538" i="12"/>
  <c r="X6537" i="12"/>
  <c r="X6536" i="12"/>
  <c r="X6535" i="12"/>
  <c r="X6534" i="12"/>
  <c r="X6533" i="12"/>
  <c r="X6532" i="12"/>
  <c r="X6531" i="12"/>
  <c r="X6530" i="12"/>
  <c r="X6529" i="12"/>
  <c r="X6528" i="12"/>
  <c r="X6527" i="12"/>
  <c r="X6526" i="12"/>
  <c r="X6525" i="12"/>
  <c r="X6524" i="12"/>
  <c r="X6523" i="12"/>
  <c r="X6522" i="12"/>
  <c r="X6521" i="12"/>
  <c r="X6520" i="12"/>
  <c r="X6519" i="12"/>
  <c r="X6518" i="12"/>
  <c r="X6517" i="12"/>
  <c r="X6516" i="12"/>
  <c r="X6515" i="12"/>
  <c r="X6514" i="12"/>
  <c r="X6513" i="12"/>
  <c r="X6512" i="12"/>
  <c r="X6511" i="12"/>
  <c r="X6510" i="12"/>
  <c r="X6509" i="12"/>
  <c r="X6508" i="12"/>
  <c r="X6507" i="12"/>
  <c r="X6506" i="12"/>
  <c r="X6505" i="12"/>
  <c r="X6504" i="12"/>
  <c r="X6503" i="12"/>
  <c r="X6502" i="12"/>
  <c r="X6501" i="12"/>
  <c r="X6500" i="12"/>
  <c r="X6499" i="12"/>
  <c r="X6498" i="12"/>
  <c r="X6497" i="12"/>
  <c r="X6496" i="12"/>
  <c r="X6495" i="12"/>
  <c r="X6494" i="12"/>
  <c r="X6493" i="12"/>
  <c r="X6492" i="12"/>
  <c r="X6491" i="12"/>
  <c r="X6490" i="12"/>
  <c r="X6489" i="12"/>
  <c r="X6488" i="12"/>
  <c r="X6487" i="12"/>
  <c r="X6486" i="12"/>
  <c r="X6485" i="12"/>
  <c r="X6484" i="12"/>
  <c r="X6483" i="12"/>
  <c r="X6482" i="12"/>
  <c r="X6481" i="12"/>
  <c r="X6480" i="12"/>
  <c r="X6479" i="12"/>
  <c r="X6478" i="12"/>
  <c r="X6477" i="12"/>
  <c r="X6476" i="12"/>
  <c r="X6475" i="12"/>
  <c r="X6474" i="12"/>
  <c r="X6473" i="12"/>
  <c r="X6472" i="12"/>
  <c r="X6471" i="12"/>
  <c r="X6470" i="12"/>
  <c r="X6469" i="12"/>
  <c r="X6468" i="12"/>
  <c r="X6467" i="12"/>
  <c r="X6466" i="12"/>
  <c r="X6465" i="12"/>
  <c r="X6464" i="12"/>
  <c r="X6463" i="12"/>
  <c r="X6462" i="12"/>
  <c r="X6461" i="12"/>
  <c r="X6460" i="12"/>
  <c r="X6459" i="12"/>
  <c r="X6458" i="12"/>
  <c r="X6457" i="12"/>
  <c r="X6456" i="12"/>
  <c r="X6455" i="12"/>
  <c r="X6454" i="12"/>
  <c r="X6453" i="12"/>
  <c r="X6452" i="12"/>
  <c r="X6451" i="12"/>
  <c r="X6450" i="12"/>
  <c r="X6449" i="12"/>
  <c r="X6448" i="12"/>
  <c r="X6447" i="12"/>
  <c r="X6446" i="12"/>
  <c r="X6445" i="12"/>
  <c r="X6444" i="12"/>
  <c r="X6443" i="12"/>
  <c r="X6442" i="12"/>
  <c r="X6441" i="12"/>
  <c r="X6440" i="12"/>
  <c r="X6439" i="12"/>
  <c r="X6438" i="12"/>
  <c r="X6437" i="12"/>
  <c r="X6436" i="12"/>
  <c r="X6435" i="12"/>
  <c r="X6434" i="12"/>
  <c r="X6433" i="12"/>
  <c r="X6432" i="12"/>
  <c r="X6431" i="12"/>
  <c r="X6430" i="12"/>
  <c r="X6429" i="12"/>
  <c r="X6428" i="12"/>
  <c r="X6427" i="12"/>
  <c r="X6426" i="12"/>
  <c r="X6425" i="12"/>
  <c r="X6424" i="12"/>
  <c r="X6423" i="12"/>
  <c r="X6422" i="12"/>
  <c r="X6421" i="12"/>
  <c r="X6420" i="12"/>
  <c r="X6419" i="12"/>
  <c r="X6418" i="12"/>
  <c r="X6417" i="12"/>
  <c r="X6416" i="12"/>
  <c r="X6415" i="12"/>
  <c r="X6414" i="12"/>
  <c r="X6413" i="12"/>
  <c r="X6412" i="12"/>
  <c r="X6411" i="12"/>
  <c r="X6410" i="12"/>
  <c r="X6409" i="12"/>
  <c r="X6408" i="12"/>
  <c r="X6407" i="12"/>
  <c r="X6406" i="12"/>
  <c r="X6405" i="12"/>
  <c r="X6404" i="12"/>
  <c r="X6403" i="12"/>
  <c r="X6402" i="12"/>
  <c r="X6401" i="12"/>
  <c r="X6400" i="12"/>
  <c r="X6399" i="12"/>
  <c r="X6398" i="12"/>
  <c r="X6397" i="12"/>
  <c r="X6396" i="12"/>
  <c r="X6395" i="12"/>
  <c r="X6394" i="12"/>
  <c r="X6393" i="12"/>
  <c r="X6392" i="12"/>
  <c r="X6391" i="12"/>
  <c r="X6390" i="12"/>
  <c r="X6389" i="12"/>
  <c r="X6388" i="12"/>
  <c r="X6387" i="12"/>
  <c r="X6386" i="12"/>
  <c r="X6385" i="12"/>
  <c r="X6384" i="12"/>
  <c r="X6383" i="12"/>
  <c r="X6382" i="12"/>
  <c r="X6381" i="12"/>
  <c r="X6380" i="12"/>
  <c r="X6379" i="12"/>
  <c r="X6378" i="12"/>
  <c r="X6377" i="12"/>
  <c r="X6376" i="12"/>
  <c r="X6375" i="12"/>
  <c r="X6374" i="12"/>
  <c r="X6373" i="12"/>
  <c r="X6372" i="12"/>
  <c r="X6371" i="12"/>
  <c r="X6370" i="12"/>
  <c r="X6369" i="12"/>
  <c r="X6368" i="12"/>
  <c r="X6367" i="12"/>
  <c r="X6366" i="12"/>
  <c r="X6365" i="12"/>
  <c r="X6364" i="12"/>
  <c r="X6363" i="12"/>
  <c r="X6362" i="12"/>
  <c r="X6361" i="12"/>
  <c r="X6360" i="12"/>
  <c r="X6359" i="12"/>
  <c r="X6358" i="12"/>
  <c r="X6357" i="12"/>
  <c r="X6356" i="12"/>
  <c r="X6355" i="12"/>
  <c r="X6354" i="12"/>
  <c r="X6353" i="12"/>
  <c r="X6352" i="12"/>
  <c r="X6351" i="12"/>
  <c r="X6350" i="12"/>
  <c r="X6349" i="12"/>
  <c r="X6348" i="12"/>
  <c r="X6347" i="12"/>
  <c r="X6346" i="12"/>
  <c r="X6345" i="12"/>
  <c r="X6344" i="12"/>
  <c r="X6343" i="12"/>
  <c r="X6342" i="12"/>
  <c r="X6341" i="12"/>
  <c r="X6340" i="12"/>
  <c r="X6339" i="12"/>
  <c r="X6338" i="12"/>
  <c r="X6337" i="12"/>
  <c r="X6336" i="12"/>
  <c r="X6335" i="12"/>
  <c r="X6334" i="12"/>
  <c r="X6333" i="12"/>
  <c r="X6332" i="12"/>
  <c r="X6331" i="12"/>
  <c r="X6330" i="12"/>
  <c r="X6329" i="12"/>
  <c r="X6328" i="12"/>
  <c r="X6327" i="12"/>
  <c r="X6326" i="12"/>
  <c r="X6325" i="12"/>
  <c r="X6324" i="12"/>
  <c r="X6323" i="12"/>
  <c r="X6322" i="12"/>
  <c r="X6321" i="12"/>
  <c r="X6320" i="12"/>
  <c r="X6319" i="12"/>
  <c r="X6318" i="12"/>
  <c r="X6317" i="12"/>
  <c r="X6316" i="12"/>
  <c r="X6315" i="12"/>
  <c r="X6314" i="12"/>
  <c r="X6313" i="12"/>
  <c r="X6312" i="12"/>
  <c r="X6311" i="12"/>
  <c r="X6310" i="12"/>
  <c r="X6309" i="12"/>
  <c r="X6308" i="12"/>
  <c r="X6307" i="12"/>
  <c r="X6306" i="12"/>
  <c r="X6305" i="12"/>
  <c r="X6304" i="12"/>
  <c r="X6303" i="12"/>
  <c r="X6302" i="12"/>
  <c r="X6301" i="12"/>
  <c r="X6300" i="12"/>
  <c r="X6299" i="12"/>
  <c r="X6298" i="12"/>
  <c r="X6297" i="12"/>
  <c r="X6296" i="12"/>
  <c r="X6295" i="12"/>
  <c r="X6294" i="12"/>
  <c r="X6293" i="12"/>
  <c r="X6292" i="12"/>
  <c r="X6291" i="12"/>
  <c r="X6290" i="12"/>
  <c r="X6289" i="12"/>
  <c r="X6288" i="12"/>
  <c r="X6287" i="12"/>
  <c r="X6286" i="12"/>
  <c r="X6283" i="12"/>
  <c r="X6282" i="12"/>
  <c r="X6281" i="12"/>
  <c r="X6280" i="12"/>
  <c r="X6279" i="12"/>
  <c r="X6278" i="12"/>
  <c r="X6277" i="12"/>
  <c r="X6276" i="12"/>
  <c r="X6275" i="12"/>
  <c r="X6274" i="12"/>
  <c r="X6273" i="12"/>
  <c r="X6272" i="12"/>
  <c r="X6271" i="12"/>
  <c r="X6270" i="12"/>
  <c r="X6269" i="12"/>
  <c r="X6268" i="12"/>
  <c r="X6267" i="12"/>
  <c r="X6266" i="12"/>
  <c r="X6265" i="12"/>
  <c r="X6264" i="12"/>
  <c r="X6263" i="12"/>
  <c r="X6262" i="12"/>
  <c r="X6261" i="12"/>
  <c r="X6260" i="12"/>
  <c r="X6259" i="12"/>
  <c r="X6258" i="12"/>
  <c r="X6257" i="12"/>
  <c r="X6256" i="12"/>
  <c r="X6255" i="12"/>
  <c r="X6254" i="12"/>
  <c r="X6253" i="12"/>
  <c r="X6252" i="12"/>
  <c r="X6251" i="12"/>
  <c r="X6250" i="12"/>
  <c r="X6249" i="12"/>
  <c r="X6248" i="12"/>
  <c r="X6247" i="12"/>
  <c r="X6246" i="12"/>
  <c r="X6245" i="12"/>
  <c r="X6244" i="12"/>
  <c r="X6243" i="12"/>
  <c r="X6242" i="12"/>
  <c r="X6241" i="12"/>
  <c r="X6240" i="12"/>
  <c r="X6239" i="12"/>
  <c r="X6238" i="12"/>
  <c r="X6237" i="12"/>
  <c r="X6236" i="12"/>
  <c r="X6235" i="12"/>
  <c r="X6234" i="12"/>
  <c r="X6233" i="12"/>
  <c r="X6232" i="12"/>
  <c r="X6231" i="12"/>
  <c r="X6230" i="12"/>
  <c r="X6229" i="12"/>
  <c r="X6228" i="12"/>
  <c r="X6227" i="12"/>
  <c r="X6226" i="12"/>
  <c r="X6225" i="12"/>
  <c r="X6224" i="12"/>
  <c r="X6223" i="12"/>
  <c r="X6222" i="12"/>
  <c r="X6221" i="12"/>
  <c r="X6220" i="12"/>
  <c r="X6219" i="12"/>
  <c r="X6218" i="12"/>
  <c r="X6217" i="12"/>
  <c r="X6216" i="12"/>
  <c r="X6215" i="12"/>
  <c r="X6214" i="12"/>
  <c r="X6213" i="12"/>
  <c r="X6212" i="12"/>
  <c r="X6211" i="12"/>
  <c r="X6210" i="12"/>
  <c r="X6209" i="12"/>
  <c r="X6208" i="12"/>
  <c r="X6207" i="12"/>
  <c r="X6206" i="12"/>
  <c r="X6205" i="12"/>
  <c r="X6204" i="12"/>
  <c r="X6203" i="12"/>
  <c r="X6202" i="12"/>
  <c r="X6201" i="12"/>
  <c r="X6200" i="12"/>
  <c r="X6199" i="12"/>
  <c r="X6198" i="12"/>
  <c r="X6197" i="12"/>
  <c r="X6196" i="12"/>
  <c r="X6195" i="12"/>
  <c r="X6194" i="12"/>
  <c r="X6193" i="12"/>
  <c r="X6192" i="12"/>
  <c r="X6191" i="12"/>
  <c r="X6190" i="12"/>
  <c r="X6189" i="12"/>
  <c r="X6188" i="12"/>
  <c r="X6187" i="12"/>
  <c r="X6186" i="12"/>
  <c r="X6185" i="12"/>
  <c r="X6184" i="12"/>
  <c r="X6183" i="12"/>
  <c r="X6182" i="12"/>
  <c r="X6181" i="12"/>
  <c r="X6180" i="12"/>
  <c r="X6179" i="12"/>
  <c r="X6178" i="12"/>
  <c r="X6177" i="12"/>
  <c r="X6176" i="12"/>
  <c r="X6175" i="12"/>
  <c r="X6174" i="12"/>
  <c r="X6173" i="12"/>
  <c r="X6172" i="12"/>
  <c r="X6171" i="12"/>
  <c r="X6170" i="12"/>
  <c r="X6169" i="12"/>
  <c r="X6168" i="12"/>
  <c r="X6167" i="12"/>
  <c r="X6166" i="12"/>
  <c r="X6165" i="12"/>
  <c r="X6164" i="12"/>
  <c r="X6163" i="12"/>
  <c r="X6162" i="12"/>
  <c r="X6161" i="12"/>
  <c r="X6160" i="12"/>
  <c r="X6159" i="12"/>
  <c r="X6158" i="12"/>
  <c r="X6157" i="12"/>
  <c r="X6156" i="12"/>
  <c r="X6155" i="12"/>
  <c r="X6154" i="12"/>
  <c r="X6153" i="12"/>
  <c r="X6152" i="12"/>
  <c r="X6151" i="12"/>
  <c r="X6150" i="12"/>
  <c r="X6149" i="12"/>
  <c r="X6148" i="12"/>
  <c r="X6147" i="12"/>
  <c r="X6146" i="12"/>
  <c r="X6145" i="12"/>
  <c r="X6144" i="12"/>
  <c r="X6143" i="12"/>
  <c r="X6142" i="12"/>
  <c r="X6141" i="12"/>
  <c r="X6140" i="12"/>
  <c r="X6139" i="12"/>
  <c r="X6138" i="12"/>
  <c r="X6137" i="12"/>
  <c r="X6136" i="12"/>
  <c r="X6135" i="12"/>
  <c r="X6134" i="12"/>
  <c r="X6133" i="12"/>
  <c r="X6132" i="12"/>
  <c r="X6131" i="12"/>
  <c r="X6130" i="12"/>
  <c r="X6129" i="12"/>
  <c r="X6128" i="12"/>
  <c r="X6127" i="12"/>
  <c r="X6126" i="12"/>
  <c r="X6125" i="12"/>
  <c r="X6124" i="12"/>
  <c r="X6123" i="12"/>
  <c r="X6122" i="12"/>
  <c r="X6121" i="12"/>
  <c r="X6120" i="12"/>
  <c r="X6119" i="12"/>
  <c r="X6118" i="12"/>
  <c r="X6117" i="12"/>
  <c r="X6116" i="12"/>
  <c r="X6115" i="12"/>
  <c r="X6114" i="12"/>
  <c r="X6113" i="12"/>
  <c r="X6112" i="12"/>
  <c r="X6111" i="12"/>
  <c r="X6110" i="12"/>
  <c r="X6109" i="12"/>
  <c r="X6108" i="12"/>
  <c r="X6107" i="12"/>
  <c r="X6106" i="12"/>
  <c r="X6105" i="12"/>
  <c r="X6104" i="12"/>
  <c r="X6103" i="12"/>
  <c r="X6102" i="12"/>
  <c r="X6101" i="12"/>
  <c r="X6100" i="12"/>
  <c r="X6099" i="12"/>
  <c r="X6098" i="12"/>
  <c r="X6097" i="12"/>
  <c r="X6096" i="12"/>
  <c r="X6095" i="12"/>
  <c r="X6094" i="12"/>
  <c r="X6093" i="12"/>
  <c r="X6092" i="12"/>
  <c r="X6091" i="12"/>
  <c r="X6090" i="12"/>
  <c r="X6089" i="12"/>
  <c r="X6088" i="12"/>
  <c r="X6087" i="12"/>
  <c r="X6086" i="12"/>
  <c r="X6085" i="12"/>
  <c r="X6084" i="12"/>
  <c r="X6083" i="12"/>
  <c r="X6082" i="12"/>
  <c r="X6081" i="12"/>
  <c r="X6080" i="12"/>
  <c r="X6079" i="12"/>
  <c r="X6078" i="12"/>
  <c r="X6077" i="12"/>
  <c r="X6076" i="12"/>
  <c r="X6075" i="12"/>
  <c r="X6074" i="12"/>
  <c r="X6073" i="12"/>
  <c r="X6072" i="12"/>
  <c r="X6071" i="12"/>
  <c r="X6070" i="12"/>
  <c r="X6069" i="12"/>
  <c r="X6068" i="12"/>
  <c r="X6067" i="12"/>
  <c r="X6066" i="12"/>
  <c r="X6065" i="12"/>
  <c r="X6064" i="12"/>
  <c r="X6063" i="12"/>
  <c r="X6062" i="12"/>
  <c r="X6061" i="12"/>
  <c r="X6060" i="12"/>
  <c r="X6059" i="12"/>
  <c r="X6058" i="12"/>
  <c r="X6057" i="12"/>
  <c r="X6056" i="12"/>
  <c r="X6055" i="12"/>
  <c r="X6054" i="12"/>
  <c r="X6053" i="12"/>
  <c r="X6052" i="12"/>
  <c r="X6051" i="12"/>
  <c r="X6050" i="12"/>
  <c r="X6049" i="12"/>
  <c r="X6048" i="12"/>
  <c r="X6047" i="12"/>
  <c r="X6046" i="12"/>
  <c r="X6045" i="12"/>
  <c r="X6044" i="12"/>
  <c r="X6043" i="12"/>
  <c r="X6042" i="12"/>
  <c r="X6041" i="12"/>
  <c r="X6040" i="12"/>
  <c r="X6039" i="12"/>
  <c r="X6038" i="12"/>
  <c r="X6037" i="12"/>
  <c r="X6036" i="12"/>
  <c r="X6035" i="12"/>
  <c r="X6034" i="12"/>
  <c r="X6033" i="12"/>
  <c r="X6032" i="12"/>
  <c r="X6031" i="12"/>
  <c r="X6030" i="12"/>
  <c r="X6029" i="12"/>
  <c r="X6028" i="12"/>
  <c r="X6027" i="12"/>
  <c r="X6026" i="12"/>
  <c r="X6025" i="12"/>
  <c r="X6024" i="12"/>
  <c r="X6023" i="12"/>
  <c r="X6022" i="12"/>
  <c r="X6021" i="12"/>
  <c r="X6020" i="12"/>
  <c r="X6019" i="12"/>
  <c r="X6018" i="12"/>
  <c r="X6017" i="12"/>
  <c r="X6016" i="12"/>
  <c r="X6015" i="12"/>
  <c r="X6014" i="12"/>
  <c r="X6013" i="12"/>
  <c r="X6012" i="12"/>
  <c r="X6011" i="12"/>
  <c r="X6010" i="12"/>
  <c r="X6009" i="12"/>
  <c r="X6008" i="12"/>
  <c r="X6007" i="12"/>
  <c r="X6006" i="12"/>
  <c r="X6005" i="12"/>
  <c r="X6004" i="12"/>
  <c r="X6003" i="12"/>
  <c r="X6002" i="12"/>
  <c r="X6001" i="12"/>
  <c r="X6000" i="12"/>
  <c r="X5999" i="12"/>
  <c r="X5998" i="12"/>
  <c r="X5997" i="12"/>
  <c r="X5996" i="12"/>
  <c r="X5995" i="12"/>
  <c r="X5994" i="12"/>
  <c r="X5993" i="12"/>
  <c r="X5992" i="12"/>
  <c r="X5991" i="12"/>
  <c r="X5990" i="12"/>
  <c r="X5989" i="12"/>
  <c r="X5988" i="12"/>
  <c r="X5987" i="12"/>
  <c r="X5986" i="12"/>
  <c r="X5985" i="12"/>
  <c r="X5984" i="12"/>
  <c r="X5983" i="12"/>
  <c r="X5982" i="12"/>
  <c r="X5981" i="12"/>
  <c r="X5980" i="12"/>
  <c r="X5979" i="12"/>
  <c r="X5978" i="12"/>
  <c r="X5977" i="12"/>
  <c r="X5976" i="12"/>
  <c r="X5975" i="12"/>
  <c r="X5974" i="12"/>
  <c r="X5973" i="12"/>
  <c r="X5972" i="12"/>
  <c r="X5971" i="12"/>
  <c r="X5970" i="12"/>
  <c r="X5969" i="12"/>
  <c r="X5968" i="12"/>
  <c r="X5967" i="12"/>
  <c r="X5966" i="12"/>
  <c r="X5965" i="12"/>
  <c r="X5962" i="12"/>
  <c r="X5961" i="12"/>
  <c r="X5960" i="12"/>
  <c r="X5959" i="12"/>
  <c r="X5958" i="12"/>
  <c r="X5957" i="12"/>
  <c r="X5956" i="12"/>
  <c r="X5955" i="12"/>
  <c r="X5954" i="12"/>
  <c r="X5953" i="12"/>
  <c r="X5952" i="12"/>
  <c r="X5951" i="12"/>
  <c r="X5950" i="12"/>
  <c r="X5949" i="12"/>
  <c r="X5948" i="12"/>
  <c r="X5947" i="12"/>
  <c r="X5946" i="12"/>
  <c r="X5945" i="12"/>
  <c r="X5944" i="12"/>
  <c r="X5943" i="12"/>
  <c r="X5942" i="12"/>
  <c r="X5941" i="12"/>
  <c r="X5940" i="12"/>
  <c r="X5939" i="12"/>
  <c r="X5938" i="12"/>
  <c r="X5937" i="12"/>
  <c r="X5936" i="12"/>
  <c r="X5935" i="12"/>
  <c r="X5934" i="12"/>
  <c r="X5933" i="12"/>
  <c r="X5932" i="12"/>
  <c r="X5931" i="12"/>
  <c r="X5930" i="12"/>
  <c r="X5929" i="12"/>
  <c r="X5928" i="12"/>
  <c r="X5927" i="12"/>
  <c r="X5926" i="12"/>
  <c r="X5925" i="12"/>
  <c r="X5924" i="12"/>
  <c r="X5923" i="12"/>
  <c r="X5922" i="12"/>
  <c r="X5921" i="12"/>
  <c r="X5920" i="12"/>
  <c r="X5919" i="12"/>
  <c r="X5918" i="12"/>
  <c r="X5917" i="12"/>
  <c r="X5916" i="12"/>
  <c r="X5915" i="12"/>
  <c r="X5914" i="12"/>
  <c r="X5913" i="12"/>
  <c r="X5912" i="12"/>
  <c r="X5911" i="12"/>
  <c r="X5910" i="12"/>
  <c r="X5909" i="12"/>
  <c r="X5908" i="12"/>
  <c r="X5907" i="12"/>
  <c r="X5906" i="12"/>
  <c r="X5905" i="12"/>
  <c r="X5904" i="12"/>
  <c r="X5903" i="12"/>
  <c r="X5902" i="12"/>
  <c r="X5901" i="12"/>
  <c r="X5900" i="12"/>
  <c r="X5899" i="12"/>
  <c r="X5898" i="12"/>
  <c r="X5897" i="12"/>
  <c r="X5896" i="12"/>
  <c r="X5895" i="12"/>
  <c r="X5894" i="12"/>
  <c r="X5893" i="12"/>
  <c r="X5892" i="12"/>
  <c r="X5891" i="12"/>
  <c r="X5890" i="12"/>
  <c r="X5889" i="12"/>
  <c r="X5888" i="12"/>
  <c r="X5887" i="12"/>
  <c r="X5886" i="12"/>
  <c r="X5885" i="12"/>
  <c r="X5884" i="12"/>
  <c r="X5883" i="12"/>
  <c r="X5882" i="12"/>
  <c r="X5881" i="12"/>
  <c r="X5880" i="12"/>
  <c r="X5879" i="12"/>
  <c r="X5878" i="12"/>
  <c r="X5877" i="12"/>
  <c r="X5876" i="12"/>
  <c r="X5875" i="12"/>
  <c r="X5874" i="12"/>
  <c r="X5873" i="12"/>
  <c r="X5872" i="12"/>
  <c r="X5871" i="12"/>
  <c r="X5870" i="12"/>
  <c r="X5869" i="12"/>
  <c r="X5868" i="12"/>
  <c r="X5867" i="12"/>
  <c r="X5866" i="12"/>
  <c r="X5865" i="12"/>
  <c r="X5864" i="12"/>
  <c r="X5863" i="12"/>
  <c r="X5862" i="12"/>
  <c r="X5861" i="12"/>
  <c r="X5860" i="12"/>
  <c r="X5859" i="12"/>
  <c r="X5858" i="12"/>
  <c r="X5857" i="12"/>
  <c r="X5856" i="12"/>
  <c r="X5855" i="12"/>
  <c r="X5854" i="12"/>
  <c r="X5853" i="12"/>
  <c r="X5852" i="12"/>
  <c r="X5851" i="12"/>
  <c r="X5850" i="12"/>
  <c r="X5849" i="12"/>
  <c r="X5848" i="12"/>
  <c r="X5847" i="12"/>
  <c r="X5846" i="12"/>
  <c r="X5845" i="12"/>
  <c r="X5844" i="12"/>
  <c r="X5843" i="12"/>
  <c r="X5842" i="12"/>
  <c r="X5841" i="12"/>
  <c r="X5840" i="12"/>
  <c r="X5839" i="12"/>
  <c r="X5838" i="12"/>
  <c r="X5837" i="12"/>
  <c r="X5836" i="12"/>
  <c r="X5835" i="12"/>
  <c r="X5834" i="12"/>
  <c r="X5833" i="12"/>
  <c r="X5832" i="12"/>
  <c r="X5831" i="12"/>
  <c r="X5830" i="12"/>
  <c r="X5829" i="12"/>
  <c r="X5828" i="12"/>
  <c r="X5827" i="12"/>
  <c r="X5826" i="12"/>
  <c r="X5825" i="12"/>
  <c r="X5824" i="12"/>
  <c r="X5823" i="12"/>
  <c r="X5822" i="12"/>
  <c r="X5821" i="12"/>
  <c r="X5820" i="12"/>
  <c r="X5819" i="12"/>
  <c r="X5818" i="12"/>
  <c r="X5817" i="12"/>
  <c r="X5816" i="12"/>
  <c r="X5815" i="12"/>
  <c r="X5814" i="12"/>
  <c r="X5813" i="12"/>
  <c r="X5812" i="12"/>
  <c r="X5811" i="12"/>
  <c r="X5810" i="12"/>
  <c r="X5809" i="12"/>
  <c r="X5808" i="12"/>
  <c r="X5807" i="12"/>
  <c r="X5806" i="12"/>
  <c r="X5805" i="12"/>
  <c r="X5804" i="12"/>
  <c r="X5803" i="12"/>
  <c r="X5802" i="12"/>
  <c r="X5801" i="12"/>
  <c r="X5800" i="12"/>
  <c r="X5799" i="12"/>
  <c r="X5798" i="12"/>
  <c r="X5797" i="12"/>
  <c r="X5796" i="12"/>
  <c r="X5795" i="12"/>
  <c r="X5794" i="12"/>
  <c r="X5793" i="12"/>
  <c r="X5792" i="12"/>
  <c r="X5791" i="12"/>
  <c r="X5790" i="12"/>
  <c r="X5789" i="12"/>
  <c r="X5788" i="12"/>
  <c r="X5787" i="12"/>
  <c r="X5786" i="12"/>
  <c r="X5785" i="12"/>
  <c r="X5784" i="12"/>
  <c r="X5783" i="12"/>
  <c r="X5782" i="12"/>
  <c r="X5781" i="12"/>
  <c r="X5780" i="12"/>
  <c r="X5779" i="12"/>
  <c r="X5778" i="12"/>
  <c r="X5777" i="12"/>
  <c r="X5776" i="12"/>
  <c r="X5775" i="12"/>
  <c r="X5774" i="12"/>
  <c r="X5773" i="12"/>
  <c r="X5772" i="12"/>
  <c r="X5771" i="12"/>
  <c r="X5770" i="12"/>
  <c r="X5769" i="12"/>
  <c r="X5768" i="12"/>
  <c r="X5767" i="12"/>
  <c r="X5766" i="12"/>
  <c r="X5765" i="12"/>
  <c r="X5764" i="12"/>
  <c r="X5763" i="12"/>
  <c r="X5762" i="12"/>
  <c r="X5761" i="12"/>
  <c r="X5760" i="12"/>
  <c r="X5759" i="12"/>
  <c r="X5758" i="12"/>
  <c r="X5757" i="12"/>
  <c r="X5756" i="12"/>
  <c r="X5755" i="12"/>
  <c r="X5754" i="12"/>
  <c r="X5753" i="12"/>
  <c r="X5752" i="12"/>
  <c r="X5751" i="12"/>
  <c r="X5750" i="12"/>
  <c r="X5749" i="12"/>
  <c r="X5748" i="12"/>
  <c r="X5747" i="12"/>
  <c r="X5746" i="12"/>
  <c r="X5745" i="12"/>
  <c r="X5744" i="12"/>
  <c r="X5743" i="12"/>
  <c r="X5742" i="12"/>
  <c r="X5741" i="12"/>
  <c r="X5740" i="12"/>
  <c r="X5739" i="12"/>
  <c r="X5738" i="12"/>
  <c r="X5737" i="12"/>
  <c r="X5736" i="12"/>
  <c r="X5735" i="12"/>
  <c r="X5734" i="12"/>
  <c r="X5733" i="12"/>
  <c r="X5732" i="12"/>
  <c r="X5731" i="12"/>
  <c r="X5730" i="12"/>
  <c r="X5729" i="12"/>
  <c r="X5728" i="12"/>
  <c r="X5727" i="12"/>
  <c r="X5726" i="12"/>
  <c r="X5725" i="12"/>
  <c r="X5724" i="12"/>
  <c r="X5723" i="12"/>
  <c r="X5722" i="12"/>
  <c r="X5721" i="12"/>
  <c r="X5720" i="12"/>
  <c r="X5719" i="12"/>
  <c r="X5718" i="12"/>
  <c r="X5717" i="12"/>
  <c r="X5716" i="12"/>
  <c r="X5715" i="12"/>
  <c r="X5714" i="12"/>
  <c r="X5713" i="12"/>
  <c r="X5712" i="12"/>
  <c r="X5711" i="12"/>
  <c r="X5710" i="12"/>
  <c r="X5709" i="12"/>
  <c r="X5708" i="12"/>
  <c r="X5707" i="12"/>
  <c r="X5706" i="12"/>
  <c r="X5705" i="12"/>
  <c r="X5704" i="12"/>
  <c r="X5703" i="12"/>
  <c r="X5702" i="12"/>
  <c r="X5701" i="12"/>
  <c r="X5700" i="12"/>
  <c r="X5699" i="12"/>
  <c r="X5698" i="12"/>
  <c r="X5697" i="12"/>
  <c r="X5696" i="12"/>
  <c r="X5695" i="12"/>
  <c r="X5694" i="12"/>
  <c r="X5693" i="12"/>
  <c r="X5692" i="12"/>
  <c r="X5691" i="12"/>
  <c r="X5690" i="12"/>
  <c r="X5689" i="12"/>
  <c r="X5688" i="12"/>
  <c r="X5687" i="12"/>
  <c r="X5686" i="12"/>
  <c r="X5685" i="12"/>
  <c r="X5684" i="12"/>
  <c r="X5683" i="12"/>
  <c r="X5682" i="12"/>
  <c r="X5681" i="12"/>
  <c r="X5680" i="12"/>
  <c r="X5679" i="12"/>
  <c r="X5678" i="12"/>
  <c r="X5677" i="12"/>
  <c r="X5676" i="12"/>
  <c r="X5675" i="12"/>
  <c r="X5674" i="12"/>
  <c r="X5673" i="12"/>
  <c r="X5672" i="12"/>
  <c r="X5671" i="12"/>
  <c r="X5670" i="12"/>
  <c r="X5669" i="12"/>
  <c r="X5668" i="12"/>
  <c r="X5667" i="12"/>
  <c r="X5666" i="12"/>
  <c r="X5665" i="12"/>
  <c r="X5664" i="12"/>
  <c r="X5663" i="12"/>
  <c r="X5662" i="12"/>
  <c r="X5661" i="12"/>
  <c r="X5660" i="12"/>
  <c r="X5659" i="12"/>
  <c r="X5658" i="12"/>
  <c r="X5657" i="12"/>
  <c r="X5656" i="12"/>
  <c r="X5655" i="12"/>
  <c r="X5654" i="12"/>
  <c r="X5653" i="12"/>
  <c r="X5652" i="12"/>
  <c r="X5651" i="12"/>
  <c r="X5650" i="12"/>
  <c r="X5649" i="12"/>
  <c r="X5648" i="12"/>
  <c r="X5647" i="12"/>
  <c r="X5646" i="12"/>
  <c r="X5645" i="12"/>
  <c r="X5644" i="12"/>
  <c r="X5643" i="12"/>
  <c r="X5642" i="12"/>
  <c r="X5641" i="12"/>
  <c r="X5640" i="12"/>
  <c r="X5639" i="12"/>
  <c r="X5638" i="12"/>
  <c r="X5637" i="12"/>
  <c r="X5636" i="12"/>
  <c r="X5635" i="12"/>
  <c r="X5634" i="12"/>
  <c r="X5633" i="12"/>
  <c r="X5632" i="12"/>
  <c r="X5631" i="12"/>
  <c r="X5630" i="12"/>
  <c r="X5629" i="12"/>
  <c r="X5628" i="12"/>
  <c r="X5627" i="12"/>
  <c r="X5626" i="12"/>
  <c r="X5625" i="12"/>
  <c r="X5624" i="12"/>
  <c r="X5623" i="12"/>
  <c r="X5622" i="12"/>
  <c r="X5621" i="12"/>
  <c r="X5620" i="12"/>
  <c r="X5619" i="12"/>
  <c r="X5618" i="12"/>
  <c r="X5617" i="12"/>
  <c r="X5616" i="12"/>
  <c r="X5615" i="12"/>
  <c r="X5614" i="12"/>
  <c r="X5613" i="12"/>
  <c r="X5612" i="12"/>
  <c r="X5611" i="12"/>
  <c r="X5610" i="12"/>
  <c r="X5609" i="12"/>
  <c r="X5608" i="12"/>
  <c r="X5607" i="12"/>
  <c r="X5606" i="12"/>
  <c r="X5605" i="12"/>
  <c r="X5604" i="12"/>
  <c r="X5603" i="12"/>
  <c r="X5602" i="12"/>
  <c r="X5601" i="12"/>
  <c r="X5600" i="12"/>
  <c r="X5599" i="12"/>
  <c r="X5598" i="12"/>
  <c r="X5597" i="12"/>
  <c r="X5596" i="12"/>
  <c r="X5595" i="12"/>
  <c r="X5594" i="12"/>
  <c r="X5593" i="12"/>
  <c r="X5592" i="12"/>
  <c r="X5591" i="12"/>
  <c r="X5590" i="12"/>
  <c r="X5589" i="12"/>
  <c r="X5588" i="12"/>
  <c r="X5587" i="12"/>
  <c r="X5586" i="12"/>
  <c r="X5585" i="12"/>
  <c r="X5584" i="12"/>
  <c r="X5583" i="12"/>
  <c r="X5582" i="12"/>
  <c r="X5581" i="12"/>
  <c r="X5580" i="12"/>
  <c r="X5579" i="12"/>
  <c r="X5578" i="12"/>
  <c r="X5577" i="12"/>
  <c r="X5576" i="12"/>
  <c r="X5575" i="12"/>
  <c r="X5574" i="12"/>
  <c r="X5573" i="12"/>
  <c r="X5572" i="12"/>
  <c r="X5571" i="12"/>
  <c r="X5570" i="12"/>
  <c r="X5569" i="12"/>
  <c r="X5568" i="12"/>
  <c r="X5567" i="12"/>
  <c r="X5566" i="12"/>
  <c r="X5565" i="12"/>
  <c r="X5564" i="12"/>
  <c r="X5563" i="12"/>
  <c r="X5562" i="12"/>
  <c r="X5561" i="12"/>
  <c r="X5560" i="12"/>
  <c r="X5559" i="12"/>
  <c r="X5558" i="12"/>
  <c r="X5557" i="12"/>
  <c r="X5556" i="12"/>
  <c r="X5555" i="12"/>
  <c r="X5554" i="12"/>
  <c r="X5553" i="12"/>
  <c r="X5552" i="12"/>
  <c r="X5551" i="12"/>
  <c r="X5548" i="12"/>
  <c r="X5547" i="12"/>
  <c r="X5546" i="12"/>
  <c r="X5545" i="12"/>
  <c r="X5544" i="12"/>
  <c r="X5543" i="12"/>
  <c r="X5542" i="12"/>
  <c r="X5541" i="12"/>
  <c r="X5540" i="12"/>
  <c r="X5539" i="12"/>
  <c r="X5538" i="12"/>
  <c r="X5537" i="12"/>
  <c r="X5536" i="12"/>
  <c r="X5535" i="12"/>
  <c r="X5534" i="12"/>
  <c r="X5533" i="12"/>
  <c r="X5532" i="12"/>
  <c r="X5531" i="12"/>
  <c r="X5530" i="12"/>
  <c r="X5529" i="12"/>
  <c r="X5528" i="12"/>
  <c r="X5527" i="12"/>
  <c r="X5526" i="12"/>
  <c r="X5525" i="12"/>
  <c r="X5524" i="12"/>
  <c r="X5523" i="12"/>
  <c r="X5522" i="12"/>
  <c r="X5521" i="12"/>
  <c r="X5520" i="12"/>
  <c r="X5519" i="12"/>
  <c r="X5518" i="12"/>
  <c r="X5517" i="12"/>
  <c r="X5516" i="12"/>
  <c r="X5515" i="12"/>
  <c r="X5514" i="12"/>
  <c r="X5513" i="12"/>
  <c r="X5512" i="12"/>
  <c r="X5511" i="12"/>
  <c r="X5510" i="12"/>
  <c r="X5509" i="12"/>
  <c r="X5508" i="12"/>
  <c r="X5507" i="12"/>
  <c r="X5506" i="12"/>
  <c r="X5505" i="12"/>
  <c r="X5504" i="12"/>
  <c r="X5503" i="12"/>
  <c r="X5502" i="12"/>
  <c r="X5501" i="12"/>
  <c r="X5500" i="12"/>
  <c r="X5499" i="12"/>
  <c r="X5498" i="12"/>
  <c r="X5497" i="12"/>
  <c r="X5496" i="12"/>
  <c r="X5495" i="12"/>
  <c r="X5494" i="12"/>
  <c r="X5493" i="12"/>
  <c r="X5492" i="12"/>
  <c r="X5491" i="12"/>
  <c r="X5490" i="12"/>
  <c r="X5489" i="12"/>
  <c r="X5488" i="12"/>
  <c r="X5487" i="12"/>
  <c r="X5486" i="12"/>
  <c r="X5485" i="12"/>
  <c r="X5484" i="12"/>
  <c r="X5483" i="12"/>
  <c r="X5482" i="12"/>
  <c r="X5481" i="12"/>
  <c r="X5480" i="12"/>
  <c r="X5479" i="12"/>
  <c r="X5478" i="12"/>
  <c r="X5477" i="12"/>
  <c r="X5476" i="12"/>
  <c r="X5475" i="12"/>
  <c r="X5474" i="12"/>
  <c r="X5473" i="12"/>
  <c r="X5472" i="12"/>
  <c r="X5471" i="12"/>
  <c r="X5470" i="12"/>
  <c r="X5469" i="12"/>
  <c r="X5468" i="12"/>
  <c r="X5467" i="12"/>
  <c r="X5466" i="12"/>
  <c r="X5465" i="12"/>
  <c r="X5464" i="12"/>
  <c r="X5463" i="12"/>
  <c r="X5462" i="12"/>
  <c r="X5461" i="12"/>
  <c r="X5460" i="12"/>
  <c r="X5459" i="12"/>
  <c r="X5458" i="12"/>
  <c r="X5457" i="12"/>
  <c r="X5456" i="12"/>
  <c r="X5455" i="12"/>
  <c r="X5454" i="12"/>
  <c r="X5453" i="12"/>
  <c r="X5452" i="12"/>
  <c r="X5451" i="12"/>
  <c r="X5450" i="12"/>
  <c r="X5449" i="12"/>
  <c r="X5448" i="12"/>
  <c r="X5447" i="12"/>
  <c r="X5446" i="12"/>
  <c r="X5445" i="12"/>
  <c r="X5444" i="12"/>
  <c r="X5443" i="12"/>
  <c r="X5442" i="12"/>
  <c r="X5441" i="12"/>
  <c r="X5440" i="12"/>
  <c r="X5439" i="12"/>
  <c r="X5438" i="12"/>
  <c r="X5437" i="12"/>
  <c r="X5436" i="12"/>
  <c r="X5435" i="12"/>
  <c r="X5434" i="12"/>
  <c r="X5433" i="12"/>
  <c r="X5432" i="12"/>
  <c r="X5431" i="12"/>
  <c r="X5430" i="12"/>
  <c r="X5429" i="12"/>
  <c r="X5428" i="12"/>
  <c r="X5427" i="12"/>
  <c r="X5426" i="12"/>
  <c r="X5425" i="12"/>
  <c r="X5424" i="12"/>
  <c r="X5423" i="12"/>
  <c r="X5422" i="12"/>
  <c r="X5421" i="12"/>
  <c r="X5420" i="12"/>
  <c r="X5419" i="12"/>
  <c r="X5418" i="12"/>
  <c r="X5417" i="12"/>
  <c r="X5416" i="12"/>
  <c r="X5415" i="12"/>
  <c r="X5414" i="12"/>
  <c r="X5413" i="12"/>
  <c r="X5412" i="12"/>
  <c r="X5411" i="12"/>
  <c r="X5410" i="12"/>
  <c r="X5409" i="12"/>
  <c r="X5408" i="12"/>
  <c r="X5407" i="12"/>
  <c r="X5406" i="12"/>
  <c r="X5405" i="12"/>
  <c r="X5404" i="12"/>
  <c r="X5403" i="12"/>
  <c r="X5402" i="12"/>
  <c r="X5401" i="12"/>
  <c r="X5400" i="12"/>
  <c r="X5399" i="12"/>
  <c r="X5398" i="12"/>
  <c r="X5397" i="12"/>
  <c r="X5396" i="12"/>
  <c r="X5395" i="12"/>
  <c r="X5394" i="12"/>
  <c r="X5393" i="12"/>
  <c r="X5392" i="12"/>
  <c r="X5391" i="12"/>
  <c r="X5390" i="12"/>
  <c r="X5389" i="12"/>
  <c r="X5388" i="12"/>
  <c r="X5387" i="12"/>
  <c r="X5386" i="12"/>
  <c r="X5385" i="12"/>
  <c r="X5384" i="12"/>
  <c r="X5383" i="12"/>
  <c r="X5382" i="12"/>
  <c r="X5381" i="12"/>
  <c r="X5380" i="12"/>
  <c r="X5379" i="12"/>
  <c r="X5378" i="12"/>
  <c r="X5377" i="12"/>
  <c r="X5376" i="12"/>
  <c r="X5375" i="12"/>
  <c r="X5374" i="12"/>
  <c r="X5373" i="12"/>
  <c r="X5372" i="12"/>
  <c r="X5371" i="12"/>
  <c r="X5370" i="12"/>
  <c r="X5369" i="12"/>
  <c r="X5368" i="12"/>
  <c r="X5367" i="12"/>
  <c r="X5366" i="12"/>
  <c r="X5365" i="12"/>
  <c r="X5364" i="12"/>
  <c r="X5363" i="12"/>
  <c r="X5362" i="12"/>
  <c r="X5361" i="12"/>
  <c r="X5360" i="12"/>
  <c r="X5359" i="12"/>
  <c r="X5358" i="12"/>
  <c r="X5357" i="12"/>
  <c r="X5356" i="12"/>
  <c r="X5355" i="12"/>
  <c r="X5354" i="12"/>
  <c r="X5353" i="12"/>
  <c r="X5352" i="12"/>
  <c r="X5351" i="12"/>
  <c r="X5350" i="12"/>
  <c r="X5349" i="12"/>
  <c r="X5348" i="12"/>
  <c r="X5347" i="12"/>
  <c r="X5346" i="12"/>
  <c r="X5345" i="12"/>
  <c r="X5344" i="12"/>
  <c r="X5343" i="12"/>
  <c r="X5342" i="12"/>
  <c r="X5341" i="12"/>
  <c r="X5340" i="12"/>
  <c r="X5339" i="12"/>
  <c r="X5338" i="12"/>
  <c r="X5337" i="12"/>
  <c r="X5336" i="12"/>
  <c r="X5335" i="12"/>
  <c r="X5334" i="12"/>
  <c r="X5333" i="12"/>
  <c r="X5332" i="12"/>
  <c r="X5331" i="12"/>
  <c r="X5330" i="12"/>
  <c r="X5329" i="12"/>
  <c r="X5328" i="12"/>
  <c r="X5327" i="12"/>
  <c r="X5326" i="12"/>
  <c r="X5325" i="12"/>
  <c r="X5324" i="12"/>
  <c r="X5323" i="12"/>
  <c r="X5322" i="12"/>
  <c r="X5321" i="12"/>
  <c r="X5320" i="12"/>
  <c r="X5319" i="12"/>
  <c r="X5318" i="12"/>
  <c r="X5317" i="12"/>
  <c r="X5316" i="12"/>
  <c r="X5315" i="12"/>
  <c r="X5314" i="12"/>
  <c r="X5313" i="12"/>
  <c r="X5312" i="12"/>
  <c r="X5311" i="12"/>
  <c r="X5310" i="12"/>
  <c r="X5309" i="12"/>
  <c r="X5308" i="12"/>
  <c r="X5307" i="12"/>
  <c r="X5306" i="12"/>
  <c r="X5305" i="12"/>
  <c r="X5304" i="12"/>
  <c r="X5303" i="12"/>
  <c r="X5302" i="12"/>
  <c r="X5301" i="12"/>
  <c r="X5300" i="12"/>
  <c r="X5299" i="12"/>
  <c r="X5298" i="12"/>
  <c r="X5297" i="12"/>
  <c r="X5296" i="12"/>
  <c r="X5295" i="12"/>
  <c r="X5294" i="12"/>
  <c r="X5293" i="12"/>
  <c r="X5292" i="12"/>
  <c r="X5291" i="12"/>
  <c r="X5290" i="12"/>
  <c r="X5289" i="12"/>
  <c r="X5288" i="12"/>
  <c r="X5287" i="12"/>
  <c r="X5286" i="12"/>
  <c r="X5285" i="12"/>
  <c r="X5284" i="12"/>
  <c r="X5283" i="12"/>
  <c r="X5282" i="12"/>
  <c r="X5281" i="12"/>
  <c r="X5280" i="12"/>
  <c r="X5279" i="12"/>
  <c r="X5278" i="12"/>
  <c r="X5277" i="12"/>
  <c r="X5276" i="12"/>
  <c r="X5275" i="12"/>
  <c r="X5274" i="12"/>
  <c r="X5273" i="12"/>
  <c r="X5272" i="12"/>
  <c r="X5271" i="12"/>
  <c r="X5270" i="12"/>
  <c r="X5269" i="12"/>
  <c r="X5268" i="12"/>
  <c r="X5267" i="12"/>
  <c r="X5266" i="12"/>
  <c r="X5265" i="12"/>
  <c r="X5264" i="12"/>
  <c r="X5263" i="12"/>
  <c r="X5262" i="12"/>
  <c r="X5261" i="12"/>
  <c r="X5260" i="12"/>
  <c r="X5259" i="12"/>
  <c r="X5258" i="12"/>
  <c r="X5257" i="12"/>
  <c r="X5256" i="12"/>
  <c r="X5255" i="12"/>
  <c r="X5254" i="12"/>
  <c r="X5253" i="12"/>
  <c r="X5252" i="12"/>
  <c r="X5251" i="12"/>
  <c r="X5250" i="12"/>
  <c r="X5249" i="12"/>
  <c r="X5248" i="12"/>
  <c r="X5247" i="12"/>
  <c r="X5246" i="12"/>
  <c r="X5245" i="12"/>
  <c r="X5244" i="12"/>
  <c r="X5243" i="12"/>
  <c r="X5242" i="12"/>
  <c r="X5241" i="12"/>
  <c r="X5240" i="12"/>
  <c r="X5239" i="12"/>
  <c r="X5238" i="12"/>
  <c r="X5237" i="12"/>
  <c r="X5236" i="12"/>
  <c r="X5235" i="12"/>
  <c r="X5234" i="12"/>
  <c r="X5233" i="12"/>
  <c r="X5232" i="12"/>
  <c r="X5231" i="12"/>
  <c r="X5230" i="12"/>
  <c r="X5229" i="12"/>
  <c r="X5228" i="12"/>
  <c r="X5227" i="12"/>
  <c r="X5226" i="12"/>
  <c r="X5225" i="12"/>
  <c r="X5224" i="12"/>
  <c r="X5223" i="12"/>
  <c r="X5222" i="12"/>
  <c r="X5221" i="12"/>
  <c r="X5220" i="12"/>
  <c r="X5219" i="12"/>
  <c r="X5218" i="12"/>
  <c r="X5217" i="12"/>
  <c r="X5216" i="12"/>
  <c r="X5215" i="12"/>
  <c r="X5214" i="12"/>
  <c r="X5213" i="12"/>
  <c r="X5212" i="12"/>
  <c r="X5211" i="12"/>
  <c r="X5210" i="12"/>
  <c r="X5209" i="12"/>
  <c r="X5208" i="12"/>
  <c r="X5207" i="12"/>
  <c r="X5206" i="12"/>
  <c r="X5205" i="12"/>
  <c r="X5204" i="12"/>
  <c r="X5203" i="12"/>
  <c r="X5202" i="12"/>
  <c r="X5201" i="12"/>
  <c r="X5200" i="12"/>
  <c r="X5199" i="12"/>
  <c r="X5198" i="12"/>
  <c r="X5197" i="12"/>
  <c r="X5196" i="12"/>
  <c r="X5195" i="12"/>
  <c r="X5194" i="12"/>
  <c r="X5193" i="12"/>
  <c r="X5192" i="12"/>
  <c r="X5191" i="12"/>
  <c r="X5190" i="12"/>
  <c r="X5189" i="12"/>
  <c r="X5188" i="12"/>
  <c r="X5187" i="12"/>
  <c r="X5186" i="12"/>
  <c r="X5185" i="12"/>
  <c r="X5184" i="12"/>
  <c r="X5183" i="12"/>
  <c r="X5182" i="12"/>
  <c r="X5181" i="12"/>
  <c r="X5180" i="12"/>
  <c r="X5179" i="12"/>
  <c r="X5178" i="12"/>
  <c r="X5177" i="12"/>
  <c r="X5176" i="12"/>
  <c r="X5175" i="12"/>
  <c r="X5174" i="12"/>
  <c r="X5173" i="12"/>
  <c r="X5172" i="12"/>
  <c r="X5171" i="12"/>
  <c r="X5170" i="12"/>
  <c r="X5169" i="12"/>
  <c r="X5168" i="12"/>
  <c r="X5167" i="12"/>
  <c r="X5166" i="12"/>
  <c r="X5165" i="12"/>
  <c r="X5164" i="12"/>
  <c r="X5163" i="12"/>
  <c r="X5162" i="12"/>
  <c r="X5161" i="12"/>
  <c r="X5160" i="12"/>
  <c r="X5159" i="12"/>
  <c r="X5158" i="12"/>
  <c r="X5157" i="12"/>
  <c r="X5156" i="12"/>
  <c r="X5155" i="12"/>
  <c r="X5154" i="12"/>
  <c r="X5153" i="12"/>
  <c r="X5152" i="12"/>
  <c r="X5151" i="12"/>
  <c r="X5150" i="12"/>
  <c r="X5149" i="12"/>
  <c r="X5148" i="12"/>
  <c r="X5147" i="12"/>
  <c r="X5146" i="12"/>
  <c r="X5145" i="12"/>
  <c r="X5144" i="12"/>
  <c r="X5143" i="12"/>
  <c r="X5142" i="12"/>
  <c r="X5141" i="12"/>
  <c r="X5140" i="12"/>
  <c r="X5139" i="12"/>
  <c r="X5138" i="12"/>
  <c r="X5137" i="12"/>
  <c r="X5136" i="12"/>
  <c r="X5135" i="12"/>
  <c r="X5134" i="12"/>
  <c r="X5133" i="12"/>
  <c r="X5132" i="12"/>
  <c r="X5131" i="12"/>
  <c r="X5130" i="12"/>
  <c r="X5129" i="12"/>
  <c r="X5128" i="12"/>
  <c r="X5127" i="12"/>
  <c r="X5126" i="12"/>
  <c r="X5125" i="12"/>
  <c r="X5124" i="12"/>
  <c r="X5123" i="12"/>
  <c r="X5122" i="12"/>
  <c r="X5121" i="12"/>
  <c r="X5120" i="12"/>
  <c r="X5119" i="12"/>
  <c r="X5118" i="12"/>
  <c r="X5117" i="12"/>
  <c r="X5116" i="12"/>
  <c r="X5115" i="12"/>
  <c r="X5114" i="12"/>
  <c r="X5113" i="12"/>
  <c r="X5112" i="12"/>
  <c r="X5111" i="12"/>
  <c r="X5110" i="12"/>
  <c r="X5109" i="12"/>
  <c r="X5108" i="12"/>
  <c r="X5107" i="12"/>
  <c r="X5106" i="12"/>
  <c r="X5105" i="12"/>
  <c r="X5104" i="12"/>
  <c r="X5103" i="12"/>
  <c r="X5102" i="12"/>
  <c r="X5101" i="12"/>
  <c r="X5100" i="12"/>
  <c r="X5099" i="12"/>
  <c r="X5098" i="12"/>
  <c r="X5097" i="12"/>
  <c r="X5096" i="12"/>
  <c r="X5095" i="12"/>
  <c r="X5094" i="12"/>
  <c r="X5093" i="12"/>
  <c r="X5092" i="12"/>
  <c r="X5091" i="12"/>
  <c r="X5090" i="12"/>
  <c r="X5089" i="12"/>
  <c r="X5088" i="12"/>
  <c r="X5087" i="12"/>
  <c r="X5086" i="12"/>
  <c r="X5085" i="12"/>
  <c r="X5084" i="12"/>
  <c r="X5083" i="12"/>
  <c r="X5082" i="12"/>
  <c r="X5081" i="12"/>
  <c r="X5080" i="12"/>
  <c r="X5079" i="12"/>
  <c r="X5078" i="12"/>
  <c r="X5077" i="12"/>
  <c r="X5076" i="12"/>
  <c r="X5075" i="12"/>
  <c r="X5074" i="12"/>
  <c r="X5073" i="12"/>
  <c r="X5072" i="12"/>
  <c r="X5071" i="12"/>
  <c r="X5070" i="12"/>
  <c r="X5068" i="12"/>
  <c r="X5067" i="12"/>
  <c r="X5066" i="12"/>
  <c r="X5065" i="12"/>
  <c r="X5064" i="12"/>
  <c r="X5063" i="12"/>
  <c r="X5062" i="12"/>
  <c r="X5061" i="12"/>
  <c r="X5060" i="12"/>
  <c r="X5059" i="12"/>
  <c r="X5058" i="12"/>
  <c r="X5057" i="12"/>
  <c r="X5056" i="12"/>
  <c r="X5055" i="12"/>
  <c r="X5054" i="12"/>
  <c r="X5053" i="12"/>
  <c r="X5052" i="12"/>
  <c r="X5051" i="12"/>
  <c r="X5050" i="12"/>
  <c r="X5049" i="12"/>
  <c r="X5048" i="12"/>
  <c r="X5047" i="12"/>
  <c r="X5046" i="12"/>
  <c r="X5045" i="12"/>
  <c r="X5044" i="12"/>
  <c r="X5043" i="12"/>
  <c r="X5042" i="12"/>
  <c r="X5041" i="12"/>
  <c r="X5040" i="12"/>
  <c r="X5039" i="12"/>
  <c r="X5038" i="12"/>
  <c r="X5037" i="12"/>
  <c r="X5036" i="12"/>
  <c r="X5035" i="12"/>
  <c r="X5034" i="12"/>
  <c r="X5033" i="12"/>
  <c r="X5032" i="12"/>
  <c r="X5031" i="12"/>
  <c r="X5030" i="12"/>
  <c r="X5029" i="12"/>
  <c r="X5028" i="12"/>
  <c r="X5027" i="12"/>
  <c r="X5026" i="12"/>
  <c r="X5025" i="12"/>
  <c r="X5024" i="12"/>
  <c r="X5023" i="12"/>
  <c r="X5022" i="12"/>
  <c r="X5021" i="12"/>
  <c r="X5020" i="12"/>
  <c r="X5019" i="12"/>
  <c r="X5018" i="12"/>
  <c r="X5017" i="12"/>
  <c r="X5016" i="12"/>
  <c r="X5015" i="12"/>
  <c r="X5014" i="12"/>
  <c r="X5013" i="12"/>
  <c r="X5012" i="12"/>
  <c r="X5011" i="12"/>
  <c r="X5010" i="12"/>
  <c r="X5009" i="12"/>
  <c r="X5008" i="12"/>
  <c r="X5007" i="12"/>
  <c r="X5006" i="12"/>
  <c r="X5005" i="12"/>
  <c r="X5004" i="12"/>
  <c r="X5003" i="12"/>
  <c r="X5002" i="12"/>
  <c r="X5001" i="12"/>
  <c r="X5000" i="12"/>
  <c r="X4999" i="12"/>
  <c r="X4998" i="12"/>
  <c r="X4997" i="12"/>
  <c r="X4996" i="12"/>
  <c r="X4995" i="12"/>
  <c r="X4994" i="12"/>
  <c r="X4993" i="12"/>
  <c r="X4992" i="12"/>
  <c r="X4991" i="12"/>
  <c r="X4990" i="12"/>
  <c r="X4989" i="12"/>
  <c r="X4988" i="12"/>
  <c r="X4987" i="12"/>
  <c r="X4986" i="12"/>
  <c r="X4985" i="12"/>
  <c r="X4984" i="12"/>
  <c r="X4983" i="12"/>
  <c r="X4982" i="12"/>
  <c r="X4981" i="12"/>
  <c r="X4980" i="12"/>
  <c r="X4979" i="12"/>
  <c r="X4978" i="12"/>
  <c r="X4977" i="12"/>
  <c r="X4976" i="12"/>
  <c r="X4975" i="12"/>
  <c r="X4974" i="12"/>
  <c r="X4973" i="12"/>
  <c r="X4972" i="12"/>
  <c r="X4971" i="12"/>
  <c r="X4970" i="12"/>
  <c r="X4969" i="12"/>
  <c r="X4968" i="12"/>
  <c r="X4967" i="12"/>
  <c r="X4966" i="12"/>
  <c r="X4965" i="12"/>
  <c r="X4964" i="12"/>
  <c r="X4963" i="12"/>
  <c r="X4962" i="12"/>
  <c r="X4961" i="12"/>
  <c r="X4960" i="12"/>
  <c r="X4959" i="12"/>
  <c r="X4958" i="12"/>
  <c r="X4957" i="12"/>
  <c r="X4956" i="12"/>
  <c r="X4955" i="12"/>
  <c r="X4954" i="12"/>
  <c r="X4953" i="12"/>
  <c r="X4952" i="12"/>
  <c r="X4951" i="12"/>
  <c r="X4950" i="12"/>
  <c r="X4949" i="12"/>
  <c r="X4948" i="12"/>
  <c r="X4947" i="12"/>
  <c r="X4946" i="12"/>
  <c r="X4945" i="12"/>
  <c r="X4944" i="12"/>
  <c r="X4943" i="12"/>
  <c r="X4942" i="12"/>
  <c r="X4941" i="12"/>
  <c r="X4940" i="12"/>
  <c r="X4939" i="12"/>
  <c r="X4938" i="12"/>
  <c r="X4937" i="12"/>
  <c r="X4936" i="12"/>
  <c r="X4935" i="12"/>
  <c r="X4934" i="12"/>
  <c r="X4933" i="12"/>
  <c r="X4932" i="12"/>
  <c r="X4931" i="12"/>
  <c r="X4930" i="12"/>
  <c r="X4927" i="12"/>
  <c r="X4926" i="12"/>
  <c r="X4925" i="12"/>
  <c r="X4924" i="12"/>
  <c r="X4923" i="12"/>
  <c r="X4922" i="12"/>
  <c r="X4921" i="12"/>
  <c r="X4920" i="12"/>
  <c r="X4919" i="12"/>
  <c r="X4918" i="12"/>
  <c r="X4917" i="12"/>
  <c r="X4916" i="12"/>
  <c r="X4915" i="12"/>
  <c r="X4914" i="12"/>
  <c r="X4913" i="12"/>
  <c r="X4912" i="12"/>
  <c r="X4911" i="12"/>
  <c r="X4910" i="12"/>
  <c r="X4909" i="12"/>
  <c r="X4908" i="12"/>
  <c r="X4907" i="12"/>
  <c r="X4906" i="12"/>
  <c r="X4905" i="12"/>
  <c r="X4904" i="12"/>
  <c r="X4903" i="12"/>
  <c r="X4902" i="12"/>
  <c r="X4901" i="12"/>
  <c r="X4900" i="12"/>
  <c r="X4899" i="12"/>
  <c r="X4898" i="12"/>
  <c r="X4897" i="12"/>
  <c r="X4896" i="12"/>
  <c r="X4895" i="12"/>
  <c r="X4894" i="12"/>
  <c r="X4893" i="12"/>
  <c r="X4892" i="12"/>
  <c r="X4891" i="12"/>
  <c r="X4890" i="12"/>
  <c r="X4889" i="12"/>
  <c r="X4888" i="12"/>
  <c r="X4887" i="12"/>
  <c r="X4886" i="12"/>
  <c r="X4885" i="12"/>
  <c r="X4884" i="12"/>
  <c r="X4883" i="12"/>
  <c r="X4882" i="12"/>
  <c r="X4881" i="12"/>
  <c r="X4880" i="12"/>
  <c r="X4879" i="12"/>
  <c r="X4878" i="12"/>
  <c r="X4877" i="12"/>
  <c r="X4876" i="12"/>
  <c r="X4875" i="12"/>
  <c r="X4874" i="12"/>
  <c r="X4873" i="12"/>
  <c r="X4872" i="12"/>
  <c r="X4871" i="12"/>
  <c r="X4870" i="12"/>
  <c r="X4869" i="12"/>
  <c r="X4868" i="12"/>
  <c r="X4867" i="12"/>
  <c r="X4866" i="12"/>
  <c r="X4865" i="12"/>
  <c r="X4864" i="12"/>
  <c r="X4863" i="12"/>
  <c r="X4862" i="12"/>
  <c r="X4861" i="12"/>
  <c r="X4860" i="12"/>
  <c r="X4859" i="12"/>
  <c r="X4858" i="12"/>
  <c r="X4857" i="12"/>
  <c r="X4856" i="12"/>
  <c r="X4855" i="12"/>
  <c r="X4854" i="12"/>
  <c r="X4853" i="12"/>
  <c r="X4852" i="12"/>
  <c r="X4851" i="12"/>
  <c r="X4850" i="12"/>
  <c r="X4849" i="12"/>
  <c r="X4848" i="12"/>
  <c r="X4847" i="12"/>
  <c r="X4846" i="12"/>
  <c r="X4845" i="12"/>
  <c r="X4844" i="12"/>
  <c r="X4843" i="12"/>
  <c r="X4842" i="12"/>
  <c r="X4841" i="12"/>
  <c r="X4840" i="12"/>
  <c r="X4839" i="12"/>
  <c r="X4838" i="12"/>
  <c r="X4837" i="12"/>
  <c r="X4836" i="12"/>
  <c r="X4835" i="12"/>
  <c r="X4834" i="12"/>
  <c r="X4833" i="12"/>
  <c r="X4832" i="12"/>
  <c r="X4831" i="12"/>
  <c r="X4830" i="12"/>
  <c r="X4829" i="12"/>
  <c r="X4828" i="12"/>
  <c r="X4827" i="12"/>
  <c r="X4826" i="12"/>
  <c r="X4825" i="12"/>
  <c r="X4824" i="12"/>
  <c r="X4823" i="12"/>
  <c r="X4822" i="12"/>
  <c r="X4821" i="12"/>
  <c r="X4820" i="12"/>
  <c r="X4819" i="12"/>
  <c r="X4818" i="12"/>
  <c r="X4817" i="12"/>
  <c r="X4816" i="12"/>
  <c r="X4815" i="12"/>
  <c r="X4814" i="12"/>
  <c r="X4813" i="12"/>
  <c r="X4812" i="12"/>
  <c r="X4811" i="12"/>
  <c r="X4810" i="12"/>
  <c r="X4809" i="12"/>
  <c r="X4808" i="12"/>
  <c r="X4807" i="12"/>
  <c r="X4806" i="12"/>
  <c r="X4805" i="12"/>
  <c r="X4804" i="12"/>
  <c r="X4803" i="12"/>
  <c r="X4802" i="12"/>
  <c r="X4801" i="12"/>
  <c r="X4800" i="12"/>
  <c r="X4799" i="12"/>
  <c r="X4798" i="12"/>
  <c r="X4797" i="12"/>
  <c r="X4796" i="12"/>
  <c r="X4795" i="12"/>
  <c r="X4794" i="12"/>
  <c r="X4793" i="12"/>
  <c r="X4792" i="12"/>
  <c r="X4791" i="12"/>
  <c r="X4790" i="12"/>
  <c r="X4789" i="12"/>
  <c r="X4788" i="12"/>
  <c r="X4787" i="12"/>
  <c r="X4786" i="12"/>
  <c r="X4785" i="12"/>
  <c r="X4784" i="12"/>
  <c r="X4783" i="12"/>
  <c r="X4782" i="12"/>
  <c r="X4781" i="12"/>
  <c r="X4780" i="12"/>
  <c r="X4779" i="12"/>
  <c r="X4778" i="12"/>
  <c r="X4777" i="12"/>
  <c r="X4776" i="12"/>
  <c r="X4775" i="12"/>
  <c r="X4774" i="12"/>
  <c r="X4773" i="12"/>
  <c r="X4772" i="12"/>
  <c r="X4771" i="12"/>
  <c r="X4770" i="12"/>
  <c r="X4769" i="12"/>
  <c r="X4768" i="12"/>
  <c r="X4767" i="12"/>
  <c r="X4766" i="12"/>
  <c r="X4765" i="12"/>
  <c r="X4764" i="12"/>
  <c r="X4763" i="12"/>
  <c r="X4762" i="12"/>
  <c r="X4761" i="12"/>
  <c r="X4760" i="12"/>
  <c r="X4759" i="12"/>
  <c r="X4758" i="12"/>
  <c r="X4757" i="12"/>
  <c r="X4756" i="12"/>
  <c r="X4755" i="12"/>
  <c r="X4754" i="12"/>
  <c r="X4753" i="12"/>
  <c r="X4752" i="12"/>
  <c r="X4751" i="12"/>
  <c r="X4750" i="12"/>
  <c r="X4749" i="12"/>
  <c r="X4748" i="12"/>
  <c r="X4747" i="12"/>
  <c r="X4746" i="12"/>
  <c r="X4745" i="12"/>
  <c r="X4744" i="12"/>
  <c r="X4743" i="12"/>
  <c r="X4742" i="12"/>
  <c r="X4741" i="12"/>
  <c r="X4740" i="12"/>
  <c r="X4739" i="12"/>
  <c r="X4738" i="12"/>
  <c r="X4737" i="12"/>
  <c r="X4736" i="12"/>
  <c r="X4735" i="12"/>
  <c r="X4734" i="12"/>
  <c r="X4733" i="12"/>
  <c r="X4732" i="12"/>
  <c r="X4731" i="12"/>
  <c r="X4730" i="12"/>
  <c r="X4729" i="12"/>
  <c r="X4728" i="12"/>
  <c r="X4727" i="12"/>
  <c r="X4726" i="12"/>
  <c r="X4725" i="12"/>
  <c r="X4724" i="12"/>
  <c r="X4723" i="12"/>
  <c r="X4722" i="12"/>
  <c r="X4721" i="12"/>
  <c r="X4720" i="12"/>
  <c r="X4719" i="12"/>
  <c r="X4718" i="12"/>
  <c r="X4717" i="12"/>
  <c r="X4716" i="12"/>
  <c r="X4715" i="12"/>
  <c r="X4714" i="12"/>
  <c r="X4713" i="12"/>
  <c r="X4712" i="12"/>
  <c r="X4711" i="12"/>
  <c r="X4710" i="12"/>
  <c r="X4709" i="12"/>
  <c r="X4708" i="12"/>
  <c r="X4707" i="12"/>
  <c r="X4706" i="12"/>
  <c r="X4705" i="12"/>
  <c r="X4704" i="12"/>
  <c r="X4703" i="12"/>
  <c r="X4702" i="12"/>
  <c r="X4701" i="12"/>
  <c r="X4700" i="12"/>
  <c r="X4699" i="12"/>
  <c r="X4698" i="12"/>
  <c r="X4697" i="12"/>
  <c r="X4696" i="12"/>
  <c r="X4695" i="12"/>
  <c r="X4694" i="12"/>
  <c r="X4693" i="12"/>
  <c r="X4692" i="12"/>
  <c r="X4691" i="12"/>
  <c r="X4690" i="12"/>
  <c r="X4689" i="12"/>
  <c r="X4688" i="12"/>
  <c r="X4687" i="12"/>
  <c r="X4686" i="12"/>
  <c r="X4685" i="12"/>
  <c r="X4684" i="12"/>
  <c r="X4683" i="12"/>
  <c r="X4682" i="12"/>
  <c r="X4681" i="12"/>
  <c r="X4680" i="12"/>
  <c r="X4679" i="12"/>
  <c r="X4678" i="12"/>
  <c r="X4677" i="12"/>
  <c r="X4676" i="12"/>
  <c r="X4675" i="12"/>
  <c r="X4674" i="12"/>
  <c r="X4673" i="12"/>
  <c r="X4672" i="12"/>
  <c r="X4671" i="12"/>
  <c r="X4670" i="12"/>
  <c r="X4669" i="12"/>
  <c r="X4668" i="12"/>
  <c r="X4667" i="12"/>
  <c r="X4666" i="12"/>
  <c r="X4665" i="12"/>
  <c r="X4664" i="12"/>
  <c r="X4663" i="12"/>
  <c r="X4662" i="12"/>
  <c r="X4661" i="12"/>
  <c r="X4660" i="12"/>
  <c r="X4659" i="12"/>
  <c r="X4658" i="12"/>
  <c r="X4657" i="12"/>
  <c r="X4656" i="12"/>
  <c r="X4655" i="12"/>
  <c r="X4654" i="12"/>
  <c r="X4653" i="12"/>
  <c r="X4652" i="12"/>
  <c r="X4651" i="12"/>
  <c r="X4650" i="12"/>
  <c r="X4649" i="12"/>
  <c r="X4648" i="12"/>
  <c r="X4647" i="12"/>
  <c r="X4646" i="12"/>
  <c r="X4645" i="12"/>
  <c r="X4644" i="12"/>
  <c r="X4643" i="12"/>
  <c r="X4642" i="12"/>
  <c r="X4641" i="12"/>
  <c r="X4640" i="12"/>
  <c r="X4639" i="12"/>
  <c r="X4638" i="12"/>
  <c r="X4637" i="12"/>
  <c r="X4636" i="12"/>
  <c r="X4635" i="12"/>
  <c r="X4634" i="12"/>
  <c r="X4633" i="12"/>
  <c r="X4632" i="12"/>
  <c r="X4631" i="12"/>
  <c r="X4630" i="12"/>
  <c r="X4629" i="12"/>
  <c r="X4628" i="12"/>
  <c r="X4627" i="12"/>
  <c r="X4626" i="12"/>
  <c r="X4625" i="12"/>
  <c r="X4624" i="12"/>
  <c r="X4623" i="12"/>
  <c r="X4622" i="12"/>
  <c r="X4621" i="12"/>
  <c r="X4620" i="12"/>
  <c r="X4619" i="12"/>
  <c r="X4618" i="12"/>
  <c r="X4617" i="12"/>
  <c r="X4616" i="12"/>
  <c r="X4615" i="12"/>
  <c r="X4614" i="12"/>
  <c r="X4613" i="12"/>
  <c r="X4612" i="12"/>
  <c r="X4611" i="12"/>
  <c r="X4610" i="12"/>
  <c r="X4609" i="12"/>
  <c r="X4608" i="12"/>
  <c r="X4607" i="12"/>
  <c r="X4606" i="12"/>
  <c r="X4605" i="12"/>
  <c r="X4604" i="12"/>
  <c r="X4603" i="12"/>
  <c r="X4602" i="12"/>
  <c r="X4601" i="12"/>
  <c r="X4600" i="12"/>
  <c r="X4599" i="12"/>
  <c r="X4598" i="12"/>
  <c r="X4597" i="12"/>
  <c r="X4596" i="12"/>
  <c r="X4595" i="12"/>
  <c r="X4594" i="12"/>
  <c r="X4593" i="12"/>
  <c r="X4592" i="12"/>
  <c r="X4591" i="12"/>
  <c r="X4590" i="12"/>
  <c r="X4589" i="12"/>
  <c r="X4588" i="12"/>
  <c r="X4587" i="12"/>
  <c r="X4586" i="12"/>
  <c r="X4585" i="12"/>
  <c r="X4584" i="12"/>
  <c r="X4583" i="12"/>
  <c r="X4582" i="12"/>
  <c r="X4581" i="12"/>
  <c r="X4580" i="12"/>
  <c r="X4579" i="12"/>
  <c r="X4578" i="12"/>
  <c r="X4577" i="12"/>
  <c r="X4576" i="12"/>
  <c r="X4575" i="12"/>
  <c r="X4574" i="12"/>
  <c r="X4573" i="12"/>
  <c r="X4572" i="12"/>
  <c r="X4571" i="12"/>
  <c r="X4570" i="12"/>
  <c r="X4569" i="12"/>
  <c r="X4568" i="12"/>
  <c r="X4567" i="12"/>
  <c r="X4566" i="12"/>
  <c r="X4565" i="12"/>
  <c r="X4564" i="12"/>
  <c r="X4563" i="12"/>
  <c r="X4562" i="12"/>
  <c r="X4561" i="12"/>
  <c r="X4560" i="12"/>
  <c r="X4559" i="12"/>
  <c r="X4558" i="12"/>
  <c r="X4557" i="12"/>
  <c r="X4556" i="12"/>
  <c r="X4555" i="12"/>
  <c r="X4554" i="12"/>
  <c r="X4553" i="12"/>
  <c r="X4552" i="12"/>
  <c r="X4551" i="12"/>
  <c r="X4550" i="12"/>
  <c r="X4549" i="12"/>
  <c r="X4548" i="12"/>
  <c r="X4547" i="12"/>
  <c r="X4546" i="12"/>
  <c r="X4545" i="12"/>
  <c r="X4544" i="12"/>
  <c r="X4543" i="12"/>
  <c r="X4540" i="12"/>
  <c r="X4537" i="12"/>
  <c r="X4536" i="12"/>
  <c r="X4535" i="12"/>
  <c r="X4534" i="12"/>
  <c r="X4533" i="12"/>
  <c r="X4532" i="12"/>
  <c r="X4531" i="12"/>
  <c r="X4530" i="12"/>
  <c r="X4529" i="12"/>
  <c r="X4528" i="12"/>
  <c r="X4527" i="12"/>
  <c r="X4526" i="12"/>
  <c r="X4525" i="12"/>
  <c r="X4524" i="12"/>
  <c r="X4523" i="12"/>
  <c r="X4522" i="12"/>
  <c r="X4521" i="12"/>
  <c r="X4520" i="12"/>
  <c r="X4519" i="12"/>
  <c r="X4518" i="12"/>
  <c r="X4517" i="12"/>
  <c r="X4516" i="12"/>
  <c r="X4515" i="12"/>
  <c r="X4514" i="12"/>
  <c r="X4513" i="12"/>
  <c r="X4512" i="12"/>
  <c r="X4511" i="12"/>
  <c r="X4510" i="12"/>
  <c r="X4509" i="12"/>
  <c r="X4508" i="12"/>
  <c r="X4507" i="12"/>
  <c r="X4506" i="12"/>
  <c r="X4505" i="12"/>
  <c r="X4504" i="12"/>
  <c r="X4503" i="12"/>
  <c r="X4502" i="12"/>
  <c r="X4501" i="12"/>
  <c r="X4500" i="12"/>
  <c r="X4499" i="12"/>
  <c r="X4498" i="12"/>
  <c r="X4497" i="12"/>
  <c r="X4496" i="12"/>
  <c r="X4495" i="12"/>
  <c r="X4494" i="12"/>
  <c r="X4493" i="12"/>
  <c r="X4492" i="12"/>
  <c r="X4491" i="12"/>
  <c r="X4490" i="12"/>
  <c r="X4489" i="12"/>
  <c r="X4488" i="12"/>
  <c r="X4487" i="12"/>
  <c r="X4486" i="12"/>
  <c r="X4485" i="12"/>
  <c r="X4484" i="12"/>
  <c r="X4483" i="12"/>
  <c r="X4482" i="12"/>
  <c r="X4481" i="12"/>
  <c r="X4480" i="12"/>
  <c r="X4479" i="12"/>
  <c r="X4478" i="12"/>
  <c r="X4477" i="12"/>
  <c r="X4476" i="12"/>
  <c r="X4475" i="12"/>
  <c r="X4474" i="12"/>
  <c r="X4473" i="12"/>
  <c r="X4472" i="12"/>
  <c r="X4471" i="12"/>
  <c r="X4470" i="12"/>
  <c r="X4469" i="12"/>
  <c r="X4468" i="12"/>
  <c r="X4467" i="12"/>
  <c r="X4466" i="12"/>
  <c r="X4465" i="12"/>
  <c r="X4464" i="12"/>
  <c r="X4463" i="12"/>
  <c r="X4462" i="12"/>
  <c r="X4461" i="12"/>
  <c r="X4460" i="12"/>
  <c r="X4459" i="12"/>
  <c r="X4458" i="12"/>
  <c r="X4457" i="12"/>
  <c r="X4456" i="12"/>
  <c r="X4455" i="12"/>
  <c r="X4454" i="12"/>
  <c r="X4453" i="12"/>
  <c r="X4452" i="12"/>
  <c r="X4451" i="12"/>
  <c r="X4450" i="12"/>
  <c r="X4449" i="12"/>
  <c r="X4448" i="12"/>
  <c r="X4447" i="12"/>
  <c r="X4446" i="12"/>
  <c r="X4445" i="12"/>
  <c r="X4444" i="12"/>
  <c r="X4443" i="12"/>
  <c r="X4442" i="12"/>
  <c r="X4441" i="12"/>
  <c r="X4440" i="12"/>
  <c r="X4439" i="12"/>
  <c r="X4438" i="12"/>
  <c r="X4437" i="12"/>
  <c r="X4436" i="12"/>
  <c r="X4435" i="12"/>
  <c r="X4434" i="12"/>
  <c r="X4433" i="12"/>
  <c r="X4432" i="12"/>
  <c r="X4431" i="12"/>
  <c r="X4430" i="12"/>
  <c r="X4429" i="12"/>
  <c r="X4428" i="12"/>
  <c r="X4427" i="12"/>
  <c r="X4426" i="12"/>
  <c r="X4425" i="12"/>
  <c r="X4424" i="12"/>
  <c r="X4423" i="12"/>
  <c r="X4422" i="12"/>
  <c r="X4421" i="12"/>
  <c r="X4420" i="12"/>
  <c r="X4419" i="12"/>
  <c r="X4418" i="12"/>
  <c r="X4417" i="12"/>
  <c r="X4416" i="12"/>
  <c r="X4415" i="12"/>
  <c r="X4414" i="12"/>
  <c r="X4413" i="12"/>
  <c r="X4412" i="12"/>
  <c r="X4411" i="12"/>
  <c r="X4410" i="12"/>
  <c r="X4409" i="12"/>
  <c r="X4408" i="12"/>
  <c r="X4407" i="12"/>
  <c r="X4406" i="12"/>
  <c r="X4405" i="12"/>
  <c r="X4404" i="12"/>
  <c r="X4403" i="12"/>
  <c r="X4402" i="12"/>
  <c r="X4401" i="12"/>
  <c r="X4400" i="12"/>
  <c r="X4399" i="12"/>
  <c r="X4398" i="12"/>
  <c r="X4397" i="12"/>
  <c r="X4396" i="12"/>
  <c r="X4395" i="12"/>
  <c r="X4394" i="12"/>
  <c r="X4393" i="12"/>
  <c r="X4392" i="12"/>
  <c r="X4391" i="12"/>
  <c r="X4390" i="12"/>
  <c r="X4389" i="12"/>
  <c r="X4388" i="12"/>
  <c r="X4387" i="12"/>
  <c r="X4386" i="12"/>
  <c r="X4385" i="12"/>
  <c r="X4384" i="12"/>
  <c r="X4383" i="12"/>
  <c r="X4382" i="12"/>
  <c r="X4381" i="12"/>
  <c r="X4380" i="12"/>
  <c r="X4379" i="12"/>
  <c r="X4378" i="12"/>
  <c r="X4377" i="12"/>
  <c r="X4376" i="12"/>
  <c r="X4375" i="12"/>
  <c r="X4374" i="12"/>
  <c r="X4373" i="12"/>
  <c r="X4372" i="12"/>
  <c r="X4371" i="12"/>
  <c r="X4370" i="12"/>
  <c r="X4369" i="12"/>
  <c r="X4368" i="12"/>
  <c r="X4367" i="12"/>
  <c r="X4366" i="12"/>
  <c r="X4365" i="12"/>
  <c r="X4364" i="12"/>
  <c r="X4363" i="12"/>
  <c r="X4362" i="12"/>
  <c r="X4361" i="12"/>
  <c r="X4360" i="12"/>
  <c r="X4359" i="12"/>
  <c r="X4358" i="12"/>
  <c r="X4357" i="12"/>
  <c r="X4356" i="12"/>
  <c r="X4355" i="12"/>
  <c r="X4354" i="12"/>
  <c r="X4353" i="12"/>
  <c r="X4352" i="12"/>
  <c r="X4351" i="12"/>
  <c r="X4350" i="12"/>
  <c r="X4349" i="12"/>
  <c r="X4348" i="12"/>
  <c r="X4347" i="12"/>
  <c r="X4346" i="12"/>
  <c r="X4345" i="12"/>
  <c r="X4344" i="12"/>
  <c r="X4343" i="12"/>
  <c r="X4342" i="12"/>
  <c r="X4341" i="12"/>
  <c r="X4340" i="12"/>
  <c r="X4339" i="12"/>
  <c r="X4338" i="12"/>
  <c r="X4337" i="12"/>
  <c r="X4336" i="12"/>
  <c r="X4335" i="12"/>
  <c r="X4334" i="12"/>
  <c r="X4333" i="12"/>
  <c r="X4332" i="12"/>
  <c r="X4331" i="12"/>
  <c r="X4330" i="12"/>
  <c r="X4329" i="12"/>
  <c r="X4328" i="12"/>
  <c r="X4327" i="12"/>
  <c r="X4326" i="12"/>
  <c r="X4325" i="12"/>
  <c r="X4324" i="12"/>
  <c r="X4323" i="12"/>
  <c r="X4322" i="12"/>
  <c r="X4321" i="12"/>
  <c r="X4320" i="12"/>
  <c r="X4319" i="12"/>
  <c r="X4318" i="12"/>
  <c r="X4317" i="12"/>
  <c r="X4316" i="12"/>
  <c r="X4315" i="12"/>
  <c r="X4314" i="12"/>
  <c r="X4313" i="12"/>
  <c r="X4312" i="12"/>
  <c r="X4311" i="12"/>
  <c r="X4310" i="12"/>
  <c r="X4309" i="12"/>
  <c r="X4308" i="12"/>
  <c r="X4307" i="12"/>
  <c r="X4306" i="12"/>
  <c r="X4305" i="12"/>
  <c r="X4304" i="12"/>
  <c r="X4303" i="12"/>
  <c r="X4302" i="12"/>
  <c r="X4301" i="12"/>
  <c r="X4300" i="12"/>
  <c r="X4299" i="12"/>
  <c r="X4298" i="12"/>
  <c r="X4297" i="12"/>
  <c r="X4296" i="12"/>
  <c r="X4295" i="12"/>
  <c r="X4294" i="12"/>
  <c r="X4293" i="12"/>
  <c r="X4292" i="12"/>
  <c r="X4291" i="12"/>
  <c r="X4290" i="12"/>
  <c r="X4289" i="12"/>
  <c r="X4288" i="12"/>
  <c r="X4287" i="12"/>
  <c r="X4286" i="12"/>
  <c r="X4285" i="12"/>
  <c r="X4284" i="12"/>
  <c r="X4283" i="12"/>
  <c r="X4282" i="12"/>
  <c r="X4281" i="12"/>
  <c r="X4280" i="12"/>
  <c r="X4279" i="12"/>
  <c r="X4278" i="12"/>
  <c r="X4277" i="12"/>
  <c r="X4276" i="12"/>
  <c r="X4275" i="12"/>
  <c r="X4274" i="12"/>
  <c r="X4273" i="12"/>
  <c r="X4272" i="12"/>
  <c r="X4271" i="12"/>
  <c r="X4270" i="12"/>
  <c r="X4269" i="12"/>
  <c r="X4268" i="12"/>
  <c r="X4267" i="12"/>
  <c r="X4266" i="12"/>
  <c r="X4265" i="12"/>
  <c r="X4264" i="12"/>
  <c r="X4263" i="12"/>
  <c r="X4262" i="12"/>
  <c r="X4261" i="12"/>
  <c r="X4260" i="12"/>
  <c r="X4259" i="12"/>
  <c r="X4258" i="12"/>
  <c r="X4257" i="12"/>
  <c r="X4256" i="12"/>
  <c r="X4255" i="12"/>
  <c r="X4254" i="12"/>
  <c r="X4253" i="12"/>
  <c r="X4252" i="12"/>
  <c r="X4251" i="12"/>
  <c r="X4250" i="12"/>
  <c r="X4249" i="12"/>
  <c r="X4248" i="12"/>
  <c r="X4247" i="12"/>
  <c r="X4246" i="12"/>
  <c r="X4245" i="12"/>
  <c r="X4244" i="12"/>
  <c r="X4243" i="12"/>
  <c r="X4242" i="12"/>
  <c r="X4241" i="12"/>
  <c r="X4240" i="12"/>
  <c r="X4239" i="12"/>
  <c r="X4238" i="12"/>
  <c r="X4237" i="12"/>
  <c r="X4236" i="12"/>
  <c r="X4235" i="12"/>
  <c r="X4234" i="12"/>
  <c r="X4233" i="12"/>
  <c r="X4232" i="12"/>
  <c r="X4231" i="12"/>
  <c r="X4230" i="12"/>
  <c r="X4229" i="12"/>
  <c r="X4228" i="12"/>
  <c r="X4227" i="12"/>
  <c r="X4226" i="12"/>
  <c r="X4225" i="12"/>
  <c r="X4224" i="12"/>
  <c r="X4223" i="12"/>
  <c r="X4222" i="12"/>
  <c r="X4221" i="12"/>
  <c r="X4220" i="12"/>
  <c r="X4219" i="12"/>
  <c r="X4218" i="12"/>
  <c r="X4217" i="12"/>
  <c r="X4216" i="12"/>
  <c r="X4215" i="12"/>
  <c r="X4214" i="12"/>
  <c r="X4213" i="12"/>
  <c r="X4212" i="12"/>
  <c r="X4211" i="12"/>
  <c r="X4210" i="12"/>
  <c r="X4209" i="12"/>
  <c r="X4208" i="12"/>
  <c r="X4207" i="12"/>
  <c r="X4206" i="12"/>
  <c r="X4205" i="12"/>
  <c r="X4204" i="12"/>
  <c r="X4203" i="12"/>
  <c r="X4202" i="12"/>
  <c r="X4201" i="12"/>
  <c r="X4200" i="12"/>
  <c r="X4199" i="12"/>
  <c r="X4198" i="12"/>
  <c r="X4197" i="12"/>
  <c r="X4196" i="12"/>
  <c r="X4195" i="12"/>
  <c r="X4194" i="12"/>
  <c r="X4193" i="12"/>
  <c r="X4192" i="12"/>
  <c r="X4191" i="12"/>
  <c r="X4190" i="12"/>
  <c r="X4189" i="12"/>
  <c r="X4188" i="12"/>
  <c r="X4187" i="12"/>
  <c r="X4186" i="12"/>
  <c r="X4185" i="12"/>
  <c r="X4184" i="12"/>
  <c r="X4183" i="12"/>
  <c r="X4182" i="12"/>
  <c r="X4181" i="12"/>
  <c r="X4180" i="12"/>
  <c r="X4179" i="12"/>
  <c r="X4178" i="12"/>
  <c r="X4177" i="12"/>
  <c r="X4176" i="12"/>
  <c r="X4175" i="12"/>
  <c r="X4174" i="12"/>
  <c r="X4173" i="12"/>
  <c r="X4172" i="12"/>
  <c r="X4171" i="12"/>
  <c r="X4170" i="12"/>
  <c r="X4169" i="12"/>
  <c r="X4168" i="12"/>
  <c r="X4167" i="12"/>
  <c r="X4166" i="12"/>
  <c r="X4165" i="12"/>
  <c r="X4164" i="12"/>
  <c r="X4163" i="12"/>
  <c r="X4162" i="12"/>
  <c r="X4161" i="12"/>
  <c r="X4160" i="12"/>
  <c r="X4159" i="12"/>
  <c r="X4158" i="12"/>
  <c r="X4157" i="12"/>
  <c r="X4156" i="12"/>
  <c r="X4155" i="12"/>
  <c r="X4154" i="12"/>
  <c r="X4153" i="12"/>
  <c r="X4152" i="12"/>
  <c r="X4151" i="12"/>
  <c r="X4150" i="12"/>
  <c r="X4149" i="12"/>
  <c r="X4148" i="12"/>
  <c r="X4147" i="12"/>
  <c r="X4146" i="12"/>
  <c r="X4145" i="12"/>
  <c r="X4144" i="12"/>
  <c r="X4143" i="12"/>
  <c r="X4142" i="12"/>
  <c r="X4141" i="12"/>
  <c r="X4140" i="12"/>
  <c r="X4139" i="12"/>
  <c r="X4138" i="12"/>
  <c r="X4137" i="12"/>
  <c r="X4136" i="12"/>
  <c r="X4135" i="12"/>
  <c r="X4134" i="12"/>
  <c r="X4133" i="12"/>
  <c r="X4132" i="12"/>
  <c r="X4131" i="12"/>
  <c r="X4130" i="12"/>
  <c r="X4129" i="12"/>
  <c r="X4128" i="12"/>
  <c r="X4127" i="12"/>
  <c r="X4126" i="12"/>
  <c r="X4125" i="12"/>
  <c r="X4124" i="12"/>
  <c r="X4123" i="12"/>
  <c r="X4122" i="12"/>
  <c r="X4121" i="12"/>
  <c r="X4120" i="12"/>
  <c r="X4119" i="12"/>
  <c r="X4118" i="12"/>
  <c r="X4117" i="12"/>
  <c r="X4116" i="12"/>
  <c r="X4115" i="12"/>
  <c r="X4114" i="12"/>
  <c r="X4113" i="12"/>
  <c r="X4112" i="12"/>
  <c r="X4111" i="12"/>
  <c r="X4110" i="12"/>
  <c r="X4109" i="12"/>
  <c r="X4108" i="12"/>
  <c r="X4107" i="12"/>
  <c r="X4106" i="12"/>
  <c r="X4105" i="12"/>
  <c r="X4104" i="12"/>
  <c r="X4103" i="12"/>
  <c r="X4102" i="12"/>
  <c r="X4101" i="12"/>
  <c r="X4100" i="12"/>
  <c r="X4099" i="12"/>
  <c r="X4098" i="12"/>
  <c r="X4097" i="12"/>
  <c r="X4096" i="12"/>
  <c r="X4095" i="12"/>
  <c r="X4094" i="12"/>
  <c r="X4093" i="12"/>
  <c r="X4092" i="12"/>
  <c r="X4091" i="12"/>
  <c r="X4090" i="12"/>
  <c r="X4089" i="12"/>
  <c r="X4088" i="12"/>
  <c r="X4087" i="12"/>
  <c r="X4086" i="12"/>
  <c r="X4085" i="12"/>
  <c r="X4084" i="12"/>
  <c r="X4083" i="12"/>
  <c r="X4082" i="12"/>
  <c r="X4081" i="12"/>
  <c r="X4080" i="12"/>
  <c r="X4079" i="12"/>
  <c r="X4078" i="12"/>
  <c r="X4077" i="12"/>
  <c r="X4076" i="12"/>
  <c r="X4075" i="12"/>
  <c r="X4074" i="12"/>
  <c r="X4073" i="12"/>
  <c r="X4072" i="12"/>
  <c r="X4071" i="12"/>
  <c r="X4070" i="12"/>
  <c r="X4069" i="12"/>
  <c r="X4068" i="12"/>
  <c r="X4067" i="12"/>
  <c r="X4066" i="12"/>
  <c r="X4065" i="12"/>
  <c r="X4064" i="12"/>
  <c r="X4063" i="12"/>
  <c r="X4062" i="12"/>
  <c r="X4061" i="12"/>
  <c r="X4060" i="12"/>
  <c r="X4059" i="12"/>
  <c r="X4058" i="12"/>
  <c r="X4057" i="12"/>
  <c r="X4056" i="12"/>
  <c r="X4055" i="12"/>
  <c r="X4054" i="12"/>
  <c r="X4053" i="12"/>
  <c r="X4052" i="12"/>
  <c r="X4051" i="12"/>
  <c r="X4050" i="12"/>
  <c r="X4049" i="12"/>
  <c r="X4048" i="12"/>
  <c r="X4047" i="12"/>
  <c r="X4046" i="12"/>
  <c r="X4045" i="12"/>
  <c r="X4044" i="12"/>
  <c r="X4043" i="12"/>
  <c r="X4042" i="12"/>
  <c r="X4041" i="12"/>
  <c r="X4040" i="12"/>
  <c r="X4039" i="12"/>
  <c r="X4038" i="12"/>
  <c r="X4037" i="12"/>
  <c r="X4036" i="12"/>
  <c r="X4035" i="12"/>
  <c r="X4034" i="12"/>
  <c r="X4033" i="12"/>
  <c r="X4032" i="12"/>
  <c r="X4031" i="12"/>
  <c r="X4030" i="12"/>
  <c r="X4029" i="12"/>
  <c r="X4028" i="12"/>
  <c r="X4027" i="12"/>
  <c r="X4026" i="12"/>
  <c r="X4025" i="12"/>
  <c r="X4024" i="12"/>
  <c r="X4023" i="12"/>
  <c r="X4022" i="12"/>
  <c r="X4021" i="12"/>
  <c r="X4020" i="12"/>
  <c r="X4019" i="12"/>
  <c r="X4018" i="12"/>
  <c r="X4017" i="12"/>
  <c r="X4016" i="12"/>
  <c r="X4015" i="12"/>
  <c r="X4014" i="12"/>
  <c r="X4013" i="12"/>
  <c r="X4012" i="12"/>
  <c r="X4011" i="12"/>
  <c r="X4010" i="12"/>
  <c r="X4009" i="12"/>
  <c r="X4008" i="12"/>
  <c r="X4007" i="12"/>
  <c r="X4006" i="12"/>
  <c r="X4005" i="12"/>
  <c r="X4004" i="12"/>
  <c r="X4003" i="12"/>
  <c r="X4002" i="12"/>
  <c r="X4001" i="12"/>
  <c r="X4000" i="12"/>
  <c r="X3999" i="12"/>
  <c r="X3998" i="12"/>
  <c r="X3997" i="12"/>
  <c r="X3996" i="12"/>
  <c r="X3995" i="12"/>
  <c r="X3994" i="12"/>
  <c r="X3993" i="12"/>
  <c r="X3992" i="12"/>
  <c r="X3991" i="12"/>
  <c r="X3990" i="12"/>
  <c r="X3989" i="12"/>
  <c r="X3988" i="12"/>
  <c r="X3987" i="12"/>
  <c r="X3986" i="12"/>
  <c r="X3985" i="12"/>
  <c r="X3984" i="12"/>
  <c r="X3983" i="12"/>
  <c r="X3982" i="12"/>
  <c r="X3981" i="12"/>
  <c r="X3980" i="12"/>
  <c r="X3979" i="12"/>
  <c r="X3978" i="12"/>
  <c r="X3977" i="12"/>
  <c r="X3976" i="12"/>
  <c r="X3975" i="12"/>
  <c r="X3974" i="12"/>
  <c r="X3973" i="12"/>
  <c r="X3972" i="12"/>
  <c r="X3971" i="12"/>
  <c r="X3970" i="12"/>
  <c r="X3969" i="12"/>
  <c r="X3968" i="12"/>
  <c r="X3967" i="12"/>
  <c r="X3966" i="12"/>
  <c r="X3965" i="12"/>
  <c r="X3964" i="12"/>
  <c r="X3963" i="12"/>
  <c r="X3962" i="12"/>
  <c r="X3961" i="12"/>
  <c r="X3960" i="12"/>
  <c r="X3959" i="12"/>
  <c r="X3958" i="12"/>
  <c r="X3957" i="12"/>
  <c r="X3956" i="12"/>
  <c r="X3955" i="12"/>
  <c r="X3954" i="12"/>
  <c r="X3953" i="12"/>
  <c r="X3952" i="12"/>
  <c r="X3951" i="12"/>
  <c r="X3950" i="12"/>
  <c r="X3949" i="12"/>
  <c r="X3948" i="12"/>
  <c r="X3947" i="12"/>
  <c r="X3946" i="12"/>
  <c r="X3945" i="12"/>
  <c r="X3944" i="12"/>
  <c r="X3943" i="12"/>
  <c r="X3942" i="12"/>
  <c r="X3941" i="12"/>
  <c r="X3940" i="12"/>
  <c r="X3939" i="12"/>
  <c r="X3938" i="12"/>
  <c r="X3937" i="12"/>
  <c r="X3936" i="12"/>
  <c r="X3935" i="12"/>
  <c r="X3934" i="12"/>
  <c r="X3933" i="12"/>
  <c r="X3932" i="12"/>
  <c r="X3931" i="12"/>
  <c r="X3930" i="12"/>
  <c r="X3929" i="12"/>
  <c r="X3928" i="12"/>
  <c r="X3927" i="12"/>
  <c r="X3926" i="12"/>
  <c r="X3925" i="12"/>
  <c r="X3924" i="12"/>
  <c r="X3923" i="12"/>
  <c r="X3922" i="12"/>
  <c r="X3921" i="12"/>
  <c r="X3920" i="12"/>
  <c r="X3919" i="12"/>
  <c r="X3918" i="12"/>
  <c r="X3917" i="12"/>
  <c r="X3916" i="12"/>
  <c r="X3915" i="12"/>
  <c r="X3914" i="12"/>
  <c r="X3913" i="12"/>
  <c r="X3912" i="12"/>
  <c r="X3911" i="12"/>
  <c r="X3910" i="12"/>
  <c r="X3909" i="12"/>
  <c r="X3908" i="12"/>
  <c r="X3907" i="12"/>
  <c r="X3906" i="12"/>
  <c r="X3905" i="12"/>
  <c r="X3904" i="12"/>
  <c r="X3903" i="12"/>
  <c r="X3902" i="12"/>
  <c r="X3901" i="12"/>
  <c r="X3900" i="12"/>
  <c r="X3899" i="12"/>
  <c r="X3898" i="12"/>
  <c r="X3897" i="12"/>
  <c r="X3896" i="12"/>
  <c r="X3895" i="12"/>
  <c r="X3894" i="12"/>
  <c r="X3893" i="12"/>
  <c r="X3892" i="12"/>
  <c r="X3891" i="12"/>
  <c r="X3890" i="12"/>
  <c r="X3889" i="12"/>
  <c r="X3888" i="12"/>
  <c r="X3887" i="12"/>
  <c r="X3886" i="12"/>
  <c r="X3885" i="12"/>
  <c r="X3884" i="12"/>
  <c r="X3883" i="12"/>
  <c r="X3882" i="12"/>
  <c r="X3881" i="12"/>
  <c r="X3880" i="12"/>
  <c r="X3879" i="12"/>
  <c r="X3878" i="12"/>
  <c r="X3877" i="12"/>
  <c r="X3876" i="12"/>
  <c r="X3875" i="12"/>
  <c r="X3874" i="12"/>
  <c r="X3873" i="12"/>
  <c r="X3872" i="12"/>
  <c r="X3871" i="12"/>
  <c r="X3870" i="12"/>
  <c r="X3869" i="12"/>
  <c r="X3868" i="12"/>
  <c r="X3867" i="12"/>
  <c r="X3866" i="12"/>
  <c r="X3865" i="12"/>
  <c r="X3864" i="12"/>
  <c r="X3863" i="12"/>
  <c r="X3862" i="12"/>
  <c r="X3861" i="12"/>
  <c r="X3860" i="12"/>
  <c r="X3859" i="12"/>
  <c r="X3858" i="12"/>
  <c r="X3857" i="12"/>
  <c r="X3856" i="12"/>
  <c r="X3855" i="12"/>
  <c r="X3854" i="12"/>
  <c r="X3853" i="12"/>
  <c r="X3852" i="12"/>
  <c r="X3851" i="12"/>
  <c r="X3850" i="12"/>
  <c r="X3849" i="12"/>
  <c r="X3848" i="12"/>
  <c r="X3847" i="12"/>
  <c r="X3846" i="12"/>
  <c r="X3845" i="12"/>
  <c r="X3844" i="12"/>
  <c r="X3843" i="12"/>
  <c r="X3842" i="12"/>
  <c r="X3841" i="12"/>
  <c r="X3840" i="12"/>
  <c r="X3839" i="12"/>
  <c r="X3838" i="12"/>
  <c r="X3837" i="12"/>
  <c r="X3836" i="12"/>
  <c r="X3835" i="12"/>
  <c r="X3834" i="12"/>
  <c r="X3833" i="12"/>
  <c r="X3832" i="12"/>
  <c r="X3831" i="12"/>
  <c r="X3830" i="12"/>
  <c r="X3829" i="12"/>
  <c r="X3828" i="12"/>
  <c r="X3827" i="12"/>
  <c r="X3826" i="12"/>
  <c r="X3825" i="12"/>
  <c r="X3824" i="12"/>
  <c r="X3823" i="12"/>
  <c r="X3822" i="12"/>
  <c r="X3821" i="12"/>
  <c r="X3820" i="12"/>
  <c r="X3819" i="12"/>
  <c r="X3818" i="12"/>
  <c r="X3817" i="12"/>
  <c r="X3816" i="12"/>
  <c r="X3815" i="12"/>
  <c r="X3814" i="12"/>
  <c r="X3813" i="12"/>
  <c r="X3812" i="12"/>
  <c r="X3811" i="12"/>
  <c r="X3810" i="12"/>
  <c r="X3809" i="12"/>
  <c r="X3808" i="12"/>
  <c r="X3807" i="12"/>
  <c r="X3806" i="12"/>
  <c r="X3805" i="12"/>
  <c r="X3804" i="12"/>
  <c r="X3803" i="12"/>
  <c r="X3802" i="12"/>
  <c r="X3801" i="12"/>
  <c r="X3800" i="12"/>
  <c r="X3799" i="12"/>
  <c r="X3798" i="12"/>
  <c r="X3797" i="12"/>
  <c r="X3796" i="12"/>
  <c r="X3795" i="12"/>
  <c r="X3794" i="12"/>
  <c r="X3793" i="12"/>
  <c r="X3792" i="12"/>
  <c r="X3791" i="12"/>
  <c r="X3790" i="12"/>
  <c r="X3789" i="12"/>
  <c r="X3788" i="12"/>
  <c r="X3787" i="12"/>
  <c r="X3786" i="12"/>
  <c r="X3785" i="12"/>
  <c r="X3784" i="12"/>
  <c r="X3783" i="12"/>
  <c r="X3782" i="12"/>
  <c r="X3781" i="12"/>
  <c r="X3780" i="12"/>
  <c r="X3779" i="12"/>
  <c r="X3778" i="12"/>
  <c r="X3777" i="12"/>
  <c r="X3776" i="12"/>
  <c r="X3775" i="12"/>
  <c r="X3774" i="12"/>
  <c r="X3773" i="12"/>
  <c r="X3772" i="12"/>
  <c r="X3771" i="12"/>
  <c r="X3770" i="12"/>
  <c r="X3769" i="12"/>
  <c r="X3768" i="12"/>
  <c r="X3767" i="12"/>
  <c r="X3766" i="12"/>
  <c r="X3765" i="12"/>
  <c r="X3764" i="12"/>
  <c r="X3763" i="12"/>
  <c r="X3762" i="12"/>
  <c r="X3761" i="12"/>
  <c r="X3760" i="12"/>
  <c r="X3759" i="12"/>
  <c r="X3758" i="12"/>
  <c r="X3757" i="12"/>
  <c r="X3756" i="12"/>
  <c r="X3755" i="12"/>
  <c r="X3754" i="12"/>
  <c r="X3753" i="12"/>
  <c r="X3752" i="12"/>
  <c r="X3751" i="12"/>
  <c r="X3750" i="12"/>
  <c r="X3749" i="12"/>
  <c r="X3748" i="12"/>
  <c r="X3747" i="12"/>
  <c r="X3746" i="12"/>
  <c r="X3745" i="12"/>
  <c r="X3744" i="12"/>
  <c r="X3743" i="12"/>
  <c r="X3742" i="12"/>
  <c r="X3741" i="12"/>
  <c r="X3740" i="12"/>
  <c r="X3739" i="12"/>
  <c r="X3738" i="12"/>
  <c r="X3737" i="12"/>
  <c r="X3736" i="12"/>
  <c r="X3735" i="12"/>
  <c r="X3734" i="12"/>
  <c r="X3733" i="12"/>
  <c r="X3732" i="12"/>
  <c r="X3731" i="12"/>
  <c r="X3730" i="12"/>
  <c r="X3729" i="12"/>
  <c r="X3728" i="12"/>
  <c r="X3727" i="12"/>
  <c r="X3726" i="12"/>
  <c r="X3725" i="12"/>
  <c r="X3724" i="12"/>
  <c r="X3723" i="12"/>
  <c r="X3722" i="12"/>
  <c r="X3721" i="12"/>
  <c r="X3720" i="12"/>
  <c r="X3719" i="12"/>
  <c r="X3718" i="12"/>
  <c r="X3717" i="12"/>
  <c r="X3716" i="12"/>
  <c r="X3715" i="12"/>
  <c r="X3714" i="12"/>
  <c r="X3713" i="12"/>
  <c r="X3712" i="12"/>
  <c r="X3711" i="12"/>
  <c r="X3710" i="12"/>
  <c r="X3709" i="12"/>
  <c r="X3708" i="12"/>
  <c r="X3707" i="12"/>
  <c r="X3706" i="12"/>
  <c r="X3705" i="12"/>
  <c r="X3704" i="12"/>
  <c r="X3703" i="12"/>
  <c r="X3702" i="12"/>
  <c r="X3701" i="12"/>
  <c r="X3700" i="12"/>
  <c r="X3699" i="12"/>
  <c r="X3698" i="12"/>
  <c r="X3697" i="12"/>
  <c r="X3696" i="12"/>
  <c r="X3695" i="12"/>
  <c r="X3694" i="12"/>
  <c r="X3693" i="12"/>
  <c r="X3692" i="12"/>
  <c r="X3691" i="12"/>
  <c r="X3690" i="12"/>
  <c r="X3689" i="12"/>
  <c r="X3688" i="12"/>
  <c r="X3687" i="12"/>
  <c r="X3686" i="12"/>
  <c r="X3685" i="12"/>
  <c r="X3684" i="12"/>
  <c r="X3683" i="12"/>
  <c r="X3682" i="12"/>
  <c r="X3681" i="12"/>
  <c r="X3680" i="12"/>
  <c r="X3679" i="12"/>
  <c r="X3678" i="12"/>
  <c r="X3677" i="12"/>
  <c r="X3676" i="12"/>
  <c r="X3675" i="12"/>
  <c r="X3674" i="12"/>
  <c r="X3673" i="12"/>
  <c r="X3672" i="12"/>
  <c r="X3671" i="12"/>
  <c r="X3670" i="12"/>
  <c r="X3669" i="12"/>
  <c r="X3668" i="12"/>
  <c r="X3667" i="12"/>
  <c r="X3666" i="12"/>
  <c r="X3665" i="12"/>
  <c r="X3664" i="12"/>
  <c r="X3663" i="12"/>
  <c r="X3662" i="12"/>
  <c r="X3661" i="12"/>
  <c r="X3660" i="12"/>
  <c r="X3659" i="12"/>
  <c r="X3658" i="12"/>
  <c r="X3657" i="12"/>
  <c r="X3656" i="12"/>
  <c r="X3655" i="12"/>
  <c r="X3654" i="12"/>
  <c r="X3653" i="12"/>
  <c r="X3652" i="12"/>
  <c r="X3651" i="12"/>
  <c r="X3650" i="12"/>
  <c r="X3649" i="12"/>
  <c r="X3648" i="12"/>
  <c r="X3647" i="12"/>
  <c r="X3646" i="12"/>
  <c r="X3645" i="12"/>
  <c r="X3644" i="12"/>
  <c r="X3643" i="12"/>
  <c r="X3642" i="12"/>
  <c r="X3641" i="12"/>
  <c r="X3640" i="12"/>
  <c r="X3639" i="12"/>
  <c r="X3638" i="12"/>
  <c r="X3637" i="12"/>
  <c r="X3636" i="12"/>
  <c r="X3635" i="12"/>
  <c r="X3634" i="12"/>
  <c r="X3633" i="12"/>
  <c r="X3632" i="12"/>
  <c r="X3631" i="12"/>
  <c r="X3630" i="12"/>
  <c r="X3629" i="12"/>
  <c r="X3628" i="12"/>
  <c r="X3627" i="12"/>
  <c r="X3626" i="12"/>
  <c r="X3625" i="12"/>
  <c r="X3624" i="12"/>
  <c r="X3623" i="12"/>
  <c r="X3622" i="12"/>
  <c r="X3621" i="12"/>
  <c r="X3620" i="12"/>
  <c r="X3619" i="12"/>
  <c r="X3618" i="12"/>
  <c r="X3617" i="12"/>
  <c r="X3616" i="12"/>
  <c r="X3615" i="12"/>
  <c r="X3614" i="12"/>
  <c r="X3613" i="12"/>
  <c r="X3612" i="12"/>
  <c r="X3611" i="12"/>
  <c r="X3610" i="12"/>
  <c r="X3609" i="12"/>
  <c r="X3608" i="12"/>
  <c r="X3607" i="12"/>
  <c r="X3606" i="12"/>
  <c r="X3605" i="12"/>
  <c r="X3604" i="12"/>
  <c r="X3603" i="12"/>
  <c r="X3602" i="12"/>
  <c r="X3601" i="12"/>
  <c r="X3600" i="12"/>
  <c r="X3599" i="12"/>
  <c r="X3598" i="12"/>
  <c r="X3597" i="12"/>
  <c r="X3596" i="12"/>
  <c r="X3595" i="12"/>
  <c r="X3594" i="12"/>
  <c r="X3593" i="12"/>
  <c r="X3592" i="12"/>
  <c r="X3591" i="12"/>
  <c r="X3590" i="12"/>
  <c r="X3589" i="12"/>
  <c r="X3588" i="12"/>
  <c r="X3587" i="12"/>
  <c r="X3586" i="12"/>
  <c r="X3585" i="12"/>
  <c r="X3584" i="12"/>
  <c r="X3583" i="12"/>
  <c r="X3582" i="12"/>
  <c r="X3581" i="12"/>
  <c r="X3580" i="12"/>
  <c r="X3579" i="12"/>
  <c r="X3578" i="12"/>
  <c r="X3577" i="12"/>
  <c r="X3576" i="12"/>
  <c r="X3575" i="12"/>
  <c r="X3574" i="12"/>
  <c r="X3573" i="12"/>
  <c r="X3572" i="12"/>
  <c r="X3571" i="12"/>
  <c r="X3570" i="12"/>
  <c r="X3569" i="12"/>
  <c r="X3568" i="12"/>
  <c r="X3567" i="12"/>
  <c r="X3566" i="12"/>
  <c r="X3565" i="12"/>
  <c r="X3564" i="12"/>
  <c r="X3563" i="12"/>
  <c r="X3562" i="12"/>
  <c r="X3561" i="12"/>
  <c r="X3560" i="12"/>
  <c r="X3559" i="12"/>
  <c r="X3558" i="12"/>
  <c r="X3557" i="12"/>
  <c r="X3556" i="12"/>
  <c r="X3555" i="12"/>
  <c r="X3554" i="12"/>
  <c r="X3553" i="12"/>
  <c r="X3552" i="12"/>
  <c r="X3551" i="12"/>
  <c r="X3550" i="12"/>
  <c r="X3549" i="12"/>
  <c r="X3548" i="12"/>
  <c r="X3547" i="12"/>
  <c r="X3546" i="12"/>
  <c r="X3545" i="12"/>
  <c r="X3544" i="12"/>
  <c r="X3543" i="12"/>
  <c r="X3542" i="12"/>
  <c r="X3541" i="12"/>
  <c r="X3540" i="12"/>
  <c r="X3539" i="12"/>
  <c r="X3538" i="12"/>
  <c r="X3537" i="12"/>
  <c r="X3536" i="12"/>
  <c r="X3535" i="12"/>
  <c r="X3534" i="12"/>
  <c r="X3533" i="12"/>
  <c r="X3532" i="12"/>
  <c r="X3531" i="12"/>
  <c r="X3530" i="12"/>
  <c r="X3529" i="12"/>
  <c r="X3528" i="12"/>
  <c r="X3527" i="12"/>
  <c r="X3526" i="12"/>
  <c r="X3525" i="12"/>
  <c r="X3524" i="12"/>
  <c r="X3523" i="12"/>
  <c r="X3522" i="12"/>
  <c r="X3521" i="12"/>
  <c r="X3520" i="12"/>
  <c r="X3519" i="12"/>
  <c r="X3518" i="12"/>
  <c r="X3517" i="12"/>
  <c r="X3516" i="12"/>
  <c r="X3515" i="12"/>
  <c r="X3514" i="12"/>
  <c r="X3513" i="12"/>
  <c r="X3512" i="12"/>
  <c r="X3511" i="12"/>
  <c r="X3510" i="12"/>
  <c r="X3509" i="12"/>
  <c r="X3508" i="12"/>
  <c r="X3507" i="12"/>
  <c r="X3506" i="12"/>
  <c r="X3505" i="12"/>
  <c r="X3504" i="12"/>
  <c r="X3503" i="12"/>
  <c r="X3502" i="12"/>
  <c r="X3501" i="12"/>
  <c r="X3500" i="12"/>
  <c r="X3499" i="12"/>
  <c r="X3498" i="12"/>
  <c r="X3497" i="12"/>
  <c r="X3496" i="12"/>
  <c r="X3495" i="12"/>
  <c r="X3494" i="12"/>
  <c r="X3493" i="12"/>
  <c r="X3492" i="12"/>
  <c r="X3491" i="12"/>
  <c r="X3490" i="12"/>
  <c r="X3489" i="12"/>
  <c r="X3488" i="12"/>
  <c r="X3487" i="12"/>
  <c r="X3486" i="12"/>
  <c r="X3485" i="12"/>
  <c r="X3484" i="12"/>
  <c r="X3483" i="12"/>
  <c r="X3482" i="12"/>
  <c r="X3481" i="12"/>
  <c r="X3480" i="12"/>
  <c r="X3479" i="12"/>
  <c r="X3478" i="12"/>
  <c r="X3477" i="12"/>
  <c r="X3476" i="12"/>
  <c r="X3475" i="12"/>
  <c r="X3474" i="12"/>
  <c r="X3473" i="12"/>
  <c r="X3472" i="12"/>
  <c r="X3471" i="12"/>
  <c r="X3470" i="12"/>
  <c r="X3469" i="12"/>
  <c r="X3468" i="12"/>
  <c r="X3467" i="12"/>
  <c r="X3466" i="12"/>
  <c r="X3465" i="12"/>
  <c r="X3464" i="12"/>
  <c r="X3463" i="12"/>
  <c r="X3462" i="12"/>
  <c r="X3461" i="12"/>
  <c r="X3460" i="12"/>
  <c r="X3459" i="12"/>
  <c r="X3458" i="12"/>
  <c r="X3457" i="12"/>
  <c r="X3456" i="12"/>
  <c r="X3455" i="12"/>
  <c r="X3454" i="12"/>
  <c r="X3453" i="12"/>
  <c r="X3452" i="12"/>
  <c r="X3451" i="12"/>
  <c r="X3450" i="12"/>
  <c r="X3449" i="12"/>
  <c r="X3448" i="12"/>
  <c r="X3447" i="12"/>
  <c r="X3446" i="12"/>
  <c r="X3445" i="12"/>
  <c r="X3444" i="12"/>
  <c r="X3443" i="12"/>
  <c r="X3442" i="12"/>
  <c r="X3441" i="12"/>
  <c r="X3440" i="12"/>
  <c r="X3439" i="12"/>
  <c r="X3438" i="12"/>
  <c r="X3437" i="12"/>
  <c r="X3436" i="12"/>
  <c r="X3435" i="12"/>
  <c r="X3434" i="12"/>
  <c r="X3433" i="12"/>
  <c r="X3432" i="12"/>
  <c r="X3431" i="12"/>
  <c r="X3430" i="12"/>
  <c r="X3429" i="12"/>
  <c r="X3428" i="12"/>
  <c r="X3427" i="12"/>
  <c r="X3426" i="12"/>
  <c r="X3425" i="12"/>
  <c r="X3424" i="12"/>
  <c r="X3423" i="12"/>
  <c r="X3422" i="12"/>
  <c r="X3421" i="12"/>
  <c r="X3420" i="12"/>
  <c r="X3419" i="12"/>
  <c r="X3418" i="12"/>
  <c r="X3417" i="12"/>
  <c r="X3416" i="12"/>
  <c r="X3415" i="12"/>
  <c r="X3414" i="12"/>
  <c r="X3413" i="12"/>
  <c r="X3412" i="12"/>
  <c r="X3411" i="12"/>
  <c r="X3410" i="12"/>
  <c r="X3409" i="12"/>
  <c r="X3408" i="12"/>
  <c r="X3407" i="12"/>
  <c r="X3406" i="12"/>
  <c r="X3405" i="12"/>
  <c r="X3404" i="12"/>
  <c r="X3403" i="12"/>
  <c r="X3402" i="12"/>
  <c r="X3401" i="12"/>
  <c r="X3400" i="12"/>
  <c r="X3399" i="12"/>
  <c r="X3398" i="12"/>
  <c r="X3397" i="12"/>
  <c r="X3396" i="12"/>
  <c r="X3395" i="12"/>
  <c r="X3394" i="12"/>
  <c r="X3393" i="12"/>
  <c r="X3392" i="12"/>
  <c r="X3391" i="12"/>
  <c r="X3390" i="12"/>
  <c r="X3389" i="12"/>
  <c r="X3388" i="12"/>
  <c r="X3387" i="12"/>
  <c r="X3386" i="12"/>
  <c r="X3385" i="12"/>
  <c r="X3384" i="12"/>
  <c r="X3383" i="12"/>
  <c r="X3382" i="12"/>
  <c r="X3381" i="12"/>
  <c r="X3380" i="12"/>
  <c r="X3379" i="12"/>
  <c r="X3378" i="12"/>
  <c r="X3377" i="12"/>
  <c r="X3376" i="12"/>
  <c r="X3375" i="12"/>
  <c r="X3374" i="12"/>
  <c r="X3373" i="12"/>
  <c r="X3372" i="12"/>
  <c r="X3371" i="12"/>
  <c r="X3370" i="12"/>
  <c r="X3369" i="12"/>
  <c r="X3368" i="12"/>
  <c r="X3367" i="12"/>
  <c r="X3366" i="12"/>
  <c r="X3365" i="12"/>
  <c r="X3364" i="12"/>
  <c r="X3363" i="12"/>
  <c r="X3362" i="12"/>
  <c r="X3361" i="12"/>
  <c r="X3360" i="12"/>
  <c r="X3359" i="12"/>
  <c r="X3358" i="12"/>
  <c r="X3357" i="12"/>
  <c r="X3356" i="12"/>
  <c r="X3355" i="12"/>
  <c r="X3354" i="12"/>
  <c r="X3353" i="12"/>
  <c r="X3352" i="12"/>
  <c r="X3351" i="12"/>
  <c r="X3350" i="12"/>
  <c r="X3349" i="12"/>
  <c r="X3348" i="12"/>
  <c r="X3347" i="12"/>
  <c r="X3346" i="12"/>
  <c r="X3345" i="12"/>
  <c r="X3344" i="12"/>
  <c r="X3343" i="12"/>
  <c r="X3342" i="12"/>
  <c r="X3341" i="12"/>
  <c r="X3340" i="12"/>
  <c r="X3339" i="12"/>
  <c r="X3338" i="12"/>
  <c r="X3337" i="12"/>
  <c r="X3336" i="12"/>
  <c r="X3335" i="12"/>
  <c r="X3334" i="12"/>
  <c r="X3333" i="12"/>
  <c r="X3332" i="12"/>
  <c r="X3331" i="12"/>
  <c r="X3330" i="12"/>
  <c r="X3329" i="12"/>
  <c r="X3328" i="12"/>
  <c r="X3327" i="12"/>
  <c r="X3326" i="12"/>
  <c r="X3325" i="12"/>
  <c r="X3324" i="12"/>
  <c r="X3323" i="12"/>
  <c r="X3322" i="12"/>
  <c r="X3321" i="12"/>
  <c r="X3320" i="12"/>
  <c r="X3319" i="12"/>
  <c r="X3318" i="12"/>
  <c r="X3317" i="12"/>
  <c r="X3316" i="12"/>
  <c r="X3315" i="12"/>
  <c r="X3314" i="12"/>
  <c r="X3313" i="12"/>
  <c r="X3312" i="12"/>
  <c r="X3311" i="12"/>
  <c r="X3310" i="12"/>
  <c r="X3309" i="12"/>
  <c r="X3308" i="12"/>
  <c r="X3307" i="12"/>
  <c r="X3306" i="12"/>
  <c r="X3305" i="12"/>
  <c r="X3304" i="12"/>
  <c r="X3303" i="12"/>
  <c r="X3302" i="12"/>
  <c r="X3301" i="12"/>
  <c r="X3300" i="12"/>
  <c r="X3299" i="12"/>
  <c r="X3298" i="12"/>
  <c r="X3297" i="12"/>
  <c r="X3296" i="12"/>
  <c r="X3295" i="12"/>
  <c r="X3294" i="12"/>
  <c r="X3293" i="12"/>
  <c r="X3292" i="12"/>
  <c r="X3291" i="12"/>
  <c r="X3290" i="12"/>
  <c r="X3289" i="12"/>
  <c r="X3288" i="12"/>
  <c r="X3287" i="12"/>
  <c r="X3286" i="12"/>
  <c r="X3285" i="12"/>
  <c r="X3284" i="12"/>
  <c r="X3283" i="12"/>
  <c r="X3282" i="12"/>
  <c r="X3281" i="12"/>
  <c r="X3280" i="12"/>
  <c r="X3279" i="12"/>
  <c r="X3278" i="12"/>
  <c r="X3277" i="12"/>
  <c r="X3276" i="12"/>
  <c r="X3275" i="12"/>
  <c r="X3274" i="12"/>
  <c r="X3273" i="12"/>
  <c r="X3272" i="12"/>
  <c r="X3271" i="12"/>
  <c r="X3270" i="12"/>
  <c r="X3269" i="12"/>
  <c r="X3268" i="12"/>
  <c r="X3267" i="12"/>
  <c r="X3266" i="12"/>
  <c r="X3265" i="12"/>
  <c r="X3264" i="12"/>
  <c r="X3263" i="12"/>
  <c r="X3262" i="12"/>
  <c r="X3261" i="12"/>
  <c r="X3260" i="12"/>
  <c r="X3259" i="12"/>
  <c r="X3258" i="12"/>
  <c r="X3257" i="12"/>
  <c r="X3256" i="12"/>
  <c r="X3255" i="12"/>
  <c r="X3254" i="12"/>
  <c r="X3253" i="12"/>
  <c r="X3252" i="12"/>
  <c r="X3251" i="12"/>
  <c r="X3250" i="12"/>
  <c r="X3249" i="12"/>
  <c r="X3248" i="12"/>
  <c r="X3247" i="12"/>
  <c r="X3246" i="12"/>
  <c r="X3245" i="12"/>
  <c r="X3244" i="12"/>
  <c r="X3243" i="12"/>
  <c r="X3242" i="12"/>
  <c r="X3241" i="12"/>
  <c r="X3240" i="12"/>
  <c r="X3239" i="12"/>
  <c r="X3238" i="12"/>
  <c r="X3237" i="12"/>
  <c r="X3236" i="12"/>
  <c r="X3235" i="12"/>
  <c r="X3234" i="12"/>
  <c r="X3233" i="12"/>
  <c r="X3232" i="12"/>
  <c r="X3231" i="12"/>
  <c r="X3230" i="12"/>
  <c r="X3229" i="12"/>
  <c r="X3228" i="12"/>
  <c r="X3227" i="12"/>
  <c r="X3226" i="12"/>
  <c r="X3225" i="12"/>
  <c r="X3224" i="12"/>
  <c r="X3223" i="12"/>
  <c r="X3222" i="12"/>
  <c r="X3221" i="12"/>
  <c r="X3220" i="12"/>
  <c r="X3219" i="12"/>
  <c r="X3218" i="12"/>
  <c r="X3217" i="12"/>
  <c r="X3216" i="12"/>
  <c r="X3215" i="12"/>
  <c r="X3214" i="12"/>
  <c r="X3213" i="12"/>
  <c r="X3212" i="12"/>
  <c r="X3211" i="12"/>
  <c r="X3210" i="12"/>
  <c r="X3209" i="12"/>
  <c r="X3208" i="12"/>
  <c r="X3207" i="12"/>
  <c r="X3206" i="12"/>
  <c r="X3205" i="12"/>
  <c r="X3204" i="12"/>
  <c r="X3203" i="12"/>
  <c r="X3202" i="12"/>
  <c r="X3201" i="12"/>
  <c r="X3200" i="12"/>
  <c r="X3199" i="12"/>
  <c r="X3198" i="12"/>
  <c r="X3197" i="12"/>
  <c r="X3196" i="12"/>
  <c r="X3195" i="12"/>
  <c r="X3194" i="12"/>
  <c r="X3193" i="12"/>
  <c r="X3192" i="12"/>
  <c r="X3191" i="12"/>
  <c r="X3190" i="12"/>
  <c r="X3189" i="12"/>
  <c r="X3188" i="12"/>
  <c r="X3187" i="12"/>
  <c r="X3186" i="12"/>
  <c r="X3185" i="12"/>
  <c r="X3184" i="12"/>
  <c r="X3183" i="12"/>
  <c r="X3182" i="12"/>
  <c r="X3181" i="12"/>
  <c r="X3180" i="12"/>
  <c r="X3179" i="12"/>
  <c r="X3178" i="12"/>
  <c r="X3177" i="12"/>
  <c r="X3176" i="12"/>
  <c r="X3175" i="12"/>
  <c r="X3174" i="12"/>
  <c r="X3173" i="12"/>
  <c r="X3172" i="12"/>
  <c r="X3171" i="12"/>
  <c r="X3170" i="12"/>
  <c r="X3169" i="12"/>
  <c r="X3168" i="12"/>
  <c r="X3167" i="12"/>
  <c r="X3166" i="12"/>
  <c r="X3165" i="12"/>
  <c r="X3164" i="12"/>
  <c r="X3163" i="12"/>
  <c r="X3162" i="12"/>
  <c r="X3161" i="12"/>
  <c r="X3160" i="12"/>
  <c r="X3159" i="12"/>
  <c r="X3158" i="12"/>
  <c r="X3157" i="12"/>
  <c r="X3156" i="12"/>
  <c r="X3155" i="12"/>
  <c r="X3154" i="12"/>
  <c r="X3153" i="12"/>
  <c r="X3152" i="12"/>
  <c r="X3151" i="12"/>
  <c r="X3150" i="12"/>
  <c r="X3149" i="12"/>
  <c r="X3148" i="12"/>
  <c r="X3147" i="12"/>
  <c r="X3146" i="12"/>
  <c r="X3145" i="12"/>
  <c r="X3144" i="12"/>
  <c r="X3143" i="12"/>
  <c r="X3142" i="12"/>
  <c r="X3141" i="12"/>
  <c r="X3140" i="12"/>
  <c r="X3139" i="12"/>
  <c r="X3138" i="12"/>
  <c r="X3137" i="12"/>
  <c r="X3136" i="12"/>
  <c r="X3135" i="12"/>
  <c r="X3134" i="12"/>
  <c r="X3133" i="12"/>
  <c r="X3132" i="12"/>
  <c r="X3131" i="12"/>
  <c r="X3130" i="12"/>
  <c r="X3129" i="12"/>
  <c r="X3128" i="12"/>
  <c r="X3127" i="12"/>
  <c r="X3126" i="12"/>
  <c r="X3125" i="12"/>
  <c r="X3124" i="12"/>
  <c r="X3123" i="12"/>
  <c r="X3122" i="12"/>
  <c r="X3121" i="12"/>
  <c r="X3120" i="12"/>
  <c r="X3119" i="12"/>
  <c r="X3118" i="12"/>
  <c r="X3117" i="12"/>
  <c r="X3116" i="12"/>
  <c r="X3115" i="12"/>
  <c r="X3114" i="12"/>
  <c r="X3113" i="12"/>
  <c r="X3112" i="12"/>
  <c r="X3111" i="12"/>
  <c r="X3110" i="12"/>
  <c r="X3109" i="12"/>
  <c r="X3108" i="12"/>
  <c r="X3107" i="12"/>
  <c r="X3106" i="12"/>
  <c r="X3105" i="12"/>
  <c r="X3104" i="12"/>
  <c r="X3103" i="12"/>
  <c r="X3102" i="12"/>
  <c r="X3101" i="12"/>
  <c r="X3100" i="12"/>
  <c r="X3099" i="12"/>
  <c r="X3098" i="12"/>
  <c r="X3097" i="12"/>
  <c r="X3096" i="12"/>
  <c r="X3095" i="12"/>
  <c r="X3094" i="12"/>
  <c r="X3093" i="12"/>
  <c r="X3092" i="12"/>
  <c r="X3091" i="12"/>
  <c r="X3090" i="12"/>
  <c r="X3089" i="12"/>
  <c r="X3088" i="12"/>
  <c r="X3087" i="12"/>
  <c r="X3086" i="12"/>
  <c r="X3085" i="12"/>
  <c r="X3084" i="12"/>
  <c r="X3083" i="12"/>
  <c r="X3082" i="12"/>
  <c r="X3081" i="12"/>
  <c r="X3080" i="12"/>
  <c r="X3079" i="12"/>
  <c r="X3078" i="12"/>
  <c r="X3077" i="12"/>
  <c r="X3076" i="12"/>
  <c r="X3075" i="12"/>
  <c r="X3074" i="12"/>
  <c r="X3073" i="12"/>
  <c r="X3072" i="12"/>
  <c r="X3071" i="12"/>
  <c r="X3070" i="12"/>
  <c r="X3069" i="12"/>
  <c r="X3068" i="12"/>
  <c r="X3067" i="12"/>
  <c r="X3066" i="12"/>
  <c r="X3065" i="12"/>
  <c r="X3064" i="12"/>
  <c r="X3063" i="12"/>
  <c r="X3062" i="12"/>
  <c r="X3061" i="12"/>
  <c r="X3060" i="12"/>
  <c r="X3059" i="12"/>
  <c r="X3058" i="12"/>
  <c r="X3057" i="12"/>
  <c r="X3056" i="12"/>
  <c r="X3055" i="12"/>
  <c r="X3054" i="12"/>
  <c r="X3053" i="12"/>
  <c r="X3052" i="12"/>
  <c r="X3051" i="12"/>
  <c r="X3050" i="12"/>
  <c r="X3049" i="12"/>
  <c r="X3048" i="12"/>
  <c r="X3047" i="12"/>
  <c r="X3046" i="12"/>
  <c r="X3045" i="12"/>
  <c r="X3044" i="12"/>
  <c r="X3043" i="12"/>
  <c r="X3042" i="12"/>
  <c r="X3041" i="12"/>
  <c r="X3040" i="12"/>
  <c r="X3039" i="12"/>
  <c r="X3038" i="12"/>
  <c r="X3037" i="12"/>
  <c r="X3036" i="12"/>
  <c r="X3035" i="12"/>
  <c r="X3034" i="12"/>
  <c r="X3033" i="12"/>
  <c r="X3032" i="12"/>
  <c r="X3031" i="12"/>
  <c r="X3030" i="12"/>
  <c r="X3029" i="12"/>
  <c r="X3028" i="12"/>
  <c r="X3027" i="12"/>
  <c r="X3026" i="12"/>
  <c r="X3025" i="12"/>
  <c r="X3024" i="12"/>
  <c r="X3023" i="12"/>
  <c r="X3022" i="12"/>
  <c r="X3021" i="12"/>
  <c r="X3020" i="12"/>
  <c r="X3019" i="12"/>
  <c r="X3018" i="12"/>
  <c r="X3017" i="12"/>
  <c r="X3016" i="12"/>
  <c r="X3015" i="12"/>
  <c r="X3014" i="12"/>
  <c r="X3013" i="12"/>
  <c r="X3012" i="12"/>
  <c r="X3011" i="12"/>
  <c r="X3010" i="12"/>
  <c r="X3009" i="12"/>
  <c r="X3008" i="12"/>
  <c r="X3007" i="12"/>
  <c r="X3006" i="12"/>
  <c r="X3005" i="12"/>
  <c r="X3004" i="12"/>
  <c r="X3003" i="12"/>
  <c r="X3002" i="12"/>
  <c r="X3001" i="12"/>
  <c r="X3000" i="12"/>
  <c r="X2999" i="12"/>
  <c r="X2998" i="12"/>
  <c r="X2997" i="12"/>
  <c r="X2996" i="12"/>
  <c r="X2995" i="12"/>
  <c r="X2994" i="12"/>
  <c r="X2993" i="12"/>
  <c r="X2992" i="12"/>
  <c r="X2991" i="12"/>
  <c r="X2990" i="12"/>
  <c r="X2989" i="12"/>
  <c r="X2988" i="12"/>
  <c r="X2987" i="12"/>
  <c r="X2986" i="12"/>
  <c r="X2985" i="12"/>
  <c r="X2984" i="12"/>
  <c r="X2983" i="12"/>
  <c r="X2982" i="12"/>
  <c r="X2981" i="12"/>
  <c r="X2980" i="12"/>
  <c r="X2979" i="12"/>
  <c r="X2978" i="12"/>
  <c r="X2977" i="12"/>
  <c r="X2976" i="12"/>
  <c r="X2975" i="12"/>
  <c r="X2974" i="12"/>
  <c r="X2973" i="12"/>
  <c r="X2972" i="12"/>
  <c r="X2971" i="12"/>
  <c r="X2970" i="12"/>
  <c r="X2969" i="12"/>
  <c r="X2968" i="12"/>
  <c r="X2967" i="12"/>
  <c r="X2966" i="12"/>
  <c r="X2965" i="12"/>
  <c r="X2964" i="12"/>
  <c r="X2963" i="12"/>
  <c r="X2962" i="12"/>
  <c r="X2961" i="12"/>
  <c r="X2960" i="12"/>
  <c r="X2959" i="12"/>
  <c r="X2958" i="12"/>
  <c r="X2957" i="12"/>
  <c r="X2956" i="12"/>
  <c r="X2955" i="12"/>
  <c r="X2954" i="12"/>
  <c r="X2953" i="12"/>
  <c r="X2952" i="12"/>
  <c r="X2951" i="12"/>
  <c r="X2950" i="12"/>
  <c r="X2949" i="12"/>
  <c r="X2948" i="12"/>
  <c r="X2947" i="12"/>
  <c r="X2946" i="12"/>
  <c r="X2945" i="12"/>
  <c r="X2944" i="12"/>
  <c r="X2943" i="12"/>
  <c r="X2942" i="12"/>
  <c r="X2941" i="12"/>
  <c r="X2940" i="12"/>
  <c r="X2939" i="12"/>
  <c r="X2938" i="12"/>
  <c r="X2937" i="12"/>
  <c r="X2936" i="12"/>
  <c r="X2935" i="12"/>
  <c r="X2934" i="12"/>
  <c r="X2933" i="12"/>
  <c r="X2932" i="12"/>
  <c r="X2931" i="12"/>
  <c r="X2930" i="12"/>
  <c r="X2929" i="12"/>
  <c r="X2928" i="12"/>
  <c r="X2927" i="12"/>
  <c r="X2926" i="12"/>
  <c r="X2925" i="12"/>
  <c r="X2924" i="12"/>
  <c r="X2923" i="12"/>
  <c r="X2922" i="12"/>
  <c r="X2921" i="12"/>
  <c r="X2920" i="12"/>
  <c r="X2919" i="12"/>
  <c r="X2918" i="12"/>
  <c r="X2917" i="12"/>
  <c r="X2916" i="12"/>
  <c r="X2915" i="12"/>
  <c r="X2914" i="12"/>
  <c r="X2913" i="12"/>
  <c r="X2912" i="12"/>
  <c r="X2911" i="12"/>
  <c r="X2910" i="12"/>
  <c r="X2909" i="12"/>
  <c r="X2908" i="12"/>
  <c r="X2907" i="12"/>
  <c r="X2906" i="12"/>
  <c r="X2905" i="12"/>
  <c r="X2904" i="12"/>
  <c r="X2903" i="12"/>
  <c r="X2902" i="12"/>
  <c r="X2901" i="12"/>
  <c r="X2900" i="12"/>
  <c r="X2899" i="12"/>
  <c r="X2898" i="12"/>
  <c r="X2897" i="12"/>
  <c r="X2896" i="12"/>
  <c r="X2895" i="12"/>
  <c r="X2894" i="12"/>
  <c r="X2893" i="12"/>
  <c r="X2892" i="12"/>
  <c r="X2891" i="12"/>
  <c r="X2890" i="12"/>
  <c r="X2889" i="12"/>
  <c r="X2888" i="12"/>
  <c r="X2887" i="12"/>
  <c r="X2886" i="12"/>
  <c r="X2885" i="12"/>
  <c r="X2884" i="12"/>
  <c r="X2883" i="12"/>
  <c r="X2882" i="12"/>
  <c r="X2881" i="12"/>
  <c r="X2880" i="12"/>
  <c r="X2879" i="12"/>
  <c r="X2878" i="12"/>
  <c r="X2877" i="12"/>
  <c r="X2876" i="12"/>
  <c r="X2875" i="12"/>
  <c r="X2874" i="12"/>
  <c r="X2873" i="12"/>
  <c r="X2872" i="12"/>
  <c r="X2871" i="12"/>
  <c r="X2870" i="12"/>
  <c r="X2869" i="12"/>
  <c r="X2868" i="12"/>
  <c r="X2867" i="12"/>
  <c r="X2866" i="12"/>
  <c r="X2865" i="12"/>
  <c r="X2864" i="12"/>
  <c r="X2863" i="12"/>
  <c r="X2862" i="12"/>
  <c r="X2861" i="12"/>
  <c r="X2860" i="12"/>
  <c r="X2859" i="12"/>
  <c r="X2858" i="12"/>
  <c r="X2857" i="12"/>
  <c r="X2856" i="12"/>
  <c r="X2855" i="12"/>
  <c r="X2854" i="12"/>
  <c r="X2853" i="12"/>
  <c r="X2852" i="12"/>
  <c r="X2851" i="12"/>
  <c r="X2850" i="12"/>
  <c r="X2849" i="12"/>
  <c r="X2848" i="12"/>
  <c r="X2847" i="12"/>
  <c r="X2846" i="12"/>
  <c r="X2845" i="12"/>
  <c r="X2844" i="12"/>
  <c r="X2843" i="12"/>
  <c r="X2842" i="12"/>
  <c r="X2841" i="12"/>
  <c r="X2840" i="12"/>
  <c r="X2839" i="12"/>
  <c r="X2838" i="12"/>
  <c r="X2837" i="12"/>
  <c r="X2836" i="12"/>
  <c r="X2835" i="12"/>
  <c r="X2834" i="12"/>
  <c r="X2833" i="12"/>
  <c r="X2832" i="12"/>
  <c r="X2831" i="12"/>
  <c r="X2830" i="12"/>
  <c r="X2829" i="12"/>
  <c r="X2828" i="12"/>
  <c r="X2827" i="12"/>
  <c r="X2826" i="12"/>
  <c r="X2825" i="12"/>
  <c r="X2824" i="12"/>
  <c r="X2823" i="12"/>
  <c r="X2822" i="12"/>
  <c r="X2821" i="12"/>
  <c r="X2820" i="12"/>
  <c r="X2819" i="12"/>
  <c r="X2818" i="12"/>
  <c r="X2817" i="12"/>
  <c r="X2816" i="12"/>
  <c r="X2815" i="12"/>
  <c r="X2814" i="12"/>
  <c r="X2813" i="12"/>
  <c r="X2812" i="12"/>
  <c r="X2811" i="12"/>
  <c r="X2810" i="12"/>
  <c r="X2809" i="12"/>
  <c r="X2808" i="12"/>
  <c r="X2807" i="12"/>
  <c r="X2806" i="12"/>
  <c r="X2805" i="12"/>
  <c r="X2804" i="12"/>
  <c r="X2803" i="12"/>
  <c r="X2802" i="12"/>
  <c r="X2801" i="12"/>
  <c r="X2800" i="12"/>
  <c r="X2799" i="12"/>
  <c r="X2798" i="12"/>
  <c r="X2797" i="12"/>
  <c r="X2796" i="12"/>
  <c r="X2795" i="12"/>
  <c r="X2794" i="12"/>
  <c r="X2793" i="12"/>
  <c r="X2792" i="12"/>
  <c r="X2791" i="12"/>
  <c r="X2790" i="12"/>
  <c r="X2789" i="12"/>
  <c r="X2788" i="12"/>
  <c r="X2787" i="12"/>
  <c r="X2786" i="12"/>
  <c r="X2785" i="12"/>
  <c r="X2784" i="12"/>
  <c r="X2783" i="12"/>
  <c r="X2782" i="12"/>
  <c r="X2781" i="12"/>
  <c r="X2780" i="12"/>
  <c r="X2779" i="12"/>
  <c r="X2778" i="12"/>
  <c r="X2777" i="12"/>
  <c r="X2776" i="12"/>
  <c r="X2775" i="12"/>
  <c r="X2774" i="12"/>
  <c r="X2773" i="12"/>
  <c r="X2772" i="12"/>
  <c r="X2771" i="12"/>
  <c r="X2770" i="12"/>
  <c r="X2769" i="12"/>
  <c r="X2768" i="12"/>
  <c r="X2767" i="12"/>
  <c r="X2766" i="12"/>
  <c r="X2765" i="12"/>
  <c r="X2764" i="12"/>
  <c r="X2763" i="12"/>
  <c r="X2762" i="12"/>
  <c r="X2761" i="12"/>
  <c r="X2760" i="12"/>
  <c r="X2759" i="12"/>
  <c r="X2758" i="12"/>
  <c r="X2757" i="12"/>
  <c r="X2756" i="12"/>
  <c r="X2755" i="12"/>
  <c r="X2754" i="12"/>
  <c r="X2753" i="12"/>
  <c r="X2752" i="12"/>
  <c r="X2751" i="12"/>
  <c r="X2750" i="12"/>
  <c r="X2749" i="12"/>
  <c r="X2748" i="12"/>
  <c r="X2747" i="12"/>
  <c r="X2746" i="12"/>
  <c r="X2745" i="12"/>
  <c r="X2744" i="12"/>
  <c r="X2743" i="12"/>
  <c r="X2742" i="12"/>
  <c r="X2741" i="12"/>
  <c r="X2740" i="12"/>
  <c r="X2739" i="12"/>
  <c r="X2738" i="12"/>
  <c r="X2737" i="12"/>
  <c r="X2736" i="12"/>
  <c r="X2735" i="12"/>
  <c r="X2734" i="12"/>
  <c r="X2733" i="12"/>
  <c r="X2732" i="12"/>
  <c r="X2731" i="12"/>
  <c r="X2730" i="12"/>
  <c r="X2729" i="12"/>
  <c r="X2728" i="12"/>
  <c r="X2727" i="12"/>
  <c r="X2726" i="12"/>
  <c r="X2725" i="12"/>
  <c r="X2724" i="12"/>
  <c r="X2723" i="12"/>
  <c r="X2722" i="12"/>
  <c r="X2721" i="12"/>
  <c r="X2720" i="12"/>
  <c r="X2719" i="12"/>
  <c r="X2718" i="12"/>
  <c r="X2717" i="12"/>
  <c r="X2716" i="12"/>
  <c r="X2715" i="12"/>
  <c r="X2714" i="12"/>
  <c r="X2713" i="12"/>
  <c r="X2712" i="12"/>
  <c r="X2711" i="12"/>
  <c r="X2710" i="12"/>
  <c r="X2709" i="12"/>
  <c r="X2708" i="12"/>
  <c r="X2707" i="12"/>
  <c r="X2706" i="12"/>
  <c r="X2705" i="12"/>
  <c r="X2704" i="12"/>
  <c r="X2703" i="12"/>
  <c r="X2702" i="12"/>
  <c r="X2701" i="12"/>
  <c r="X2700" i="12"/>
  <c r="X2699" i="12"/>
  <c r="X2698" i="12"/>
  <c r="X2697" i="12"/>
  <c r="X2696" i="12"/>
  <c r="X2695" i="12"/>
  <c r="X2694" i="12"/>
  <c r="X2693" i="12"/>
  <c r="X2692" i="12"/>
  <c r="X2691" i="12"/>
  <c r="X2690" i="12"/>
  <c r="X2689" i="12"/>
  <c r="X2688" i="12"/>
  <c r="X2687" i="12"/>
  <c r="X2686" i="12"/>
  <c r="X2685" i="12"/>
  <c r="X2684" i="12"/>
  <c r="X2683" i="12"/>
  <c r="X2682" i="12"/>
  <c r="X2681" i="12"/>
  <c r="X2680" i="12"/>
  <c r="X2679" i="12"/>
  <c r="X2678" i="12"/>
  <c r="X2677" i="12"/>
  <c r="X2676" i="12"/>
  <c r="X2675" i="12"/>
  <c r="X2674" i="12"/>
  <c r="X2673" i="12"/>
  <c r="X2672" i="12"/>
  <c r="X2671" i="12"/>
  <c r="X2670" i="12"/>
  <c r="X2669" i="12"/>
  <c r="X2668" i="12"/>
  <c r="X2667" i="12"/>
  <c r="X2666" i="12"/>
  <c r="X2665" i="12"/>
  <c r="X2664" i="12"/>
  <c r="X2663" i="12"/>
  <c r="X2662" i="12"/>
  <c r="X2661" i="12"/>
  <c r="X2660" i="12"/>
  <c r="X2659" i="12"/>
  <c r="X2658" i="12"/>
  <c r="X2657" i="12"/>
  <c r="X2656" i="12"/>
  <c r="X2655" i="12"/>
  <c r="X2654" i="12"/>
  <c r="X2653" i="12"/>
  <c r="X2652" i="12"/>
  <c r="X2651" i="12"/>
  <c r="X2650" i="12"/>
  <c r="X2649" i="12"/>
  <c r="X2648" i="12"/>
  <c r="X2647" i="12"/>
  <c r="X2646" i="12"/>
  <c r="X2645" i="12"/>
  <c r="X2644" i="12"/>
  <c r="X2643" i="12"/>
  <c r="X2642" i="12"/>
  <c r="X2641" i="12"/>
  <c r="X2640" i="12"/>
  <c r="X2639" i="12"/>
  <c r="X2638" i="12"/>
  <c r="X2637" i="12"/>
  <c r="X2636" i="12"/>
  <c r="X2635" i="12"/>
  <c r="X2634" i="12"/>
  <c r="X2633" i="12"/>
  <c r="X2632" i="12"/>
  <c r="X2631" i="12"/>
  <c r="X2630" i="12"/>
  <c r="X2629" i="12"/>
  <c r="X2628" i="12"/>
  <c r="X2627" i="12"/>
  <c r="X2626" i="12"/>
  <c r="X2625" i="12"/>
  <c r="X2624" i="12"/>
  <c r="X2623" i="12"/>
  <c r="X2622" i="12"/>
  <c r="X2621" i="12"/>
  <c r="X2620" i="12"/>
  <c r="X2619" i="12"/>
  <c r="X2618" i="12"/>
  <c r="X2617" i="12"/>
  <c r="X2616" i="12"/>
  <c r="X2615" i="12"/>
  <c r="X2614" i="12"/>
  <c r="X2613" i="12"/>
  <c r="X2612" i="12"/>
  <c r="X2611" i="12"/>
  <c r="X2610" i="12"/>
  <c r="X2609" i="12"/>
  <c r="X2608" i="12"/>
  <c r="X2607" i="12"/>
  <c r="X2606" i="12"/>
  <c r="X2605" i="12"/>
  <c r="X2604" i="12"/>
  <c r="X2603" i="12"/>
  <c r="X2602" i="12"/>
  <c r="X2601" i="12"/>
  <c r="X2600" i="12"/>
  <c r="X2599" i="12"/>
  <c r="X2598" i="12"/>
  <c r="X2597" i="12"/>
  <c r="X2596" i="12"/>
  <c r="X2595" i="12"/>
  <c r="X2594" i="12"/>
  <c r="X2593" i="12"/>
  <c r="X2592" i="12"/>
  <c r="X2591" i="12"/>
  <c r="X2590" i="12"/>
  <c r="X2589" i="12"/>
  <c r="X2588" i="12"/>
  <c r="X2587" i="12"/>
  <c r="X2586" i="12"/>
  <c r="X2585" i="12"/>
  <c r="X2584" i="12"/>
  <c r="X2583" i="12"/>
  <c r="X2582" i="12"/>
  <c r="X2581" i="12"/>
  <c r="X2580" i="12"/>
  <c r="X2579" i="12"/>
  <c r="X2578" i="12"/>
  <c r="X2577" i="12"/>
  <c r="X2576" i="12"/>
  <c r="X2575" i="12"/>
  <c r="X2574" i="12"/>
  <c r="X2573" i="12"/>
  <c r="X2572" i="12"/>
  <c r="X2571" i="12"/>
  <c r="X2570" i="12"/>
  <c r="X2569" i="12"/>
  <c r="X2568" i="12"/>
  <c r="X2567" i="12"/>
  <c r="X2566" i="12"/>
  <c r="X2565" i="12"/>
  <c r="X2564" i="12"/>
  <c r="X2563" i="12"/>
  <c r="X2562" i="12"/>
  <c r="X2561" i="12"/>
  <c r="X2560" i="12"/>
  <c r="X2559" i="12"/>
  <c r="X2558" i="12"/>
  <c r="X2557" i="12"/>
  <c r="X2556" i="12"/>
  <c r="X2555" i="12"/>
  <c r="X2554" i="12"/>
  <c r="X2553" i="12"/>
  <c r="X2552" i="12"/>
  <c r="X2551" i="12"/>
  <c r="X2550" i="12"/>
  <c r="X2549" i="12"/>
  <c r="X2548" i="12"/>
  <c r="X2547" i="12"/>
  <c r="X2546" i="12"/>
  <c r="X2545" i="12"/>
  <c r="X2544" i="12"/>
  <c r="X2543" i="12"/>
  <c r="X2542" i="12"/>
  <c r="X2541" i="12"/>
  <c r="X2540" i="12"/>
  <c r="X2539" i="12"/>
  <c r="X2538" i="12"/>
  <c r="X2537" i="12"/>
  <c r="X2536" i="12"/>
  <c r="X2535" i="12"/>
  <c r="X2534" i="12"/>
  <c r="X2533" i="12"/>
  <c r="X2532" i="12"/>
  <c r="X2531" i="12"/>
  <c r="X2530" i="12"/>
  <c r="X2529" i="12"/>
  <c r="X2528" i="12"/>
  <c r="X2527" i="12"/>
  <c r="X2526" i="12"/>
  <c r="X2525" i="12"/>
  <c r="X2524" i="12"/>
  <c r="X2523" i="12"/>
  <c r="X2522" i="12"/>
  <c r="X2521" i="12"/>
  <c r="X2520" i="12"/>
  <c r="X2519" i="12"/>
  <c r="X2518" i="12"/>
  <c r="X2517" i="12"/>
  <c r="X2516" i="12"/>
  <c r="X2515" i="12"/>
  <c r="X2512" i="12"/>
  <c r="X2511" i="12"/>
  <c r="X2510" i="12"/>
  <c r="X2509" i="12"/>
  <c r="X2508" i="12"/>
  <c r="X2507" i="12"/>
  <c r="X2506" i="12"/>
  <c r="X2505" i="12"/>
  <c r="X2504" i="12"/>
  <c r="X2503" i="12"/>
  <c r="X2502" i="12"/>
  <c r="X2501" i="12"/>
  <c r="X2500" i="12"/>
  <c r="X2499" i="12"/>
  <c r="X2498" i="12"/>
  <c r="X2497" i="12"/>
  <c r="X2496" i="12"/>
  <c r="X2495" i="12"/>
  <c r="X2494" i="12"/>
  <c r="X2493" i="12"/>
  <c r="X2492" i="12"/>
  <c r="X2491" i="12"/>
  <c r="X2490" i="12"/>
  <c r="X2489" i="12"/>
  <c r="X2488" i="12"/>
  <c r="X2487" i="12"/>
  <c r="X2486" i="12"/>
  <c r="X2485" i="12"/>
  <c r="X2484" i="12"/>
  <c r="X2483" i="12"/>
  <c r="X2482" i="12"/>
  <c r="X2481" i="12"/>
  <c r="X2480" i="12"/>
  <c r="X2479" i="12"/>
  <c r="X2478" i="12"/>
  <c r="X2477" i="12"/>
  <c r="X2476" i="12"/>
  <c r="X2475" i="12"/>
  <c r="X2474" i="12"/>
  <c r="X2473" i="12"/>
  <c r="X2472" i="12"/>
  <c r="X2471" i="12"/>
  <c r="X2470" i="12"/>
  <c r="X2469" i="12"/>
  <c r="X2468" i="12"/>
  <c r="X2467" i="12"/>
  <c r="X2466" i="12"/>
  <c r="X2465" i="12"/>
  <c r="X2464" i="12"/>
  <c r="X2463" i="12"/>
  <c r="X2462" i="12"/>
  <c r="X2461" i="12"/>
  <c r="X2460" i="12"/>
  <c r="X2459" i="12"/>
  <c r="X2458" i="12"/>
  <c r="X2457" i="12"/>
  <c r="X2456" i="12"/>
  <c r="X2455" i="12"/>
  <c r="X2454" i="12"/>
  <c r="X2453" i="12"/>
  <c r="X2452" i="12"/>
  <c r="X2451" i="12"/>
  <c r="X2450" i="12"/>
  <c r="X2449" i="12"/>
  <c r="X2448" i="12"/>
  <c r="X2447" i="12"/>
  <c r="X2446" i="12"/>
  <c r="X2445" i="12"/>
  <c r="X2444" i="12"/>
  <c r="X2443" i="12"/>
  <c r="X2442" i="12"/>
  <c r="X2441" i="12"/>
  <c r="X2440" i="12"/>
  <c r="X2439" i="12"/>
  <c r="X2438" i="12"/>
  <c r="X2437" i="12"/>
  <c r="X2436" i="12"/>
  <c r="X2435" i="12"/>
  <c r="X2434" i="12"/>
  <c r="X2433" i="12"/>
  <c r="X2432" i="12"/>
  <c r="X2431" i="12"/>
  <c r="X2430" i="12"/>
  <c r="X2429" i="12"/>
  <c r="X2428" i="12"/>
  <c r="X2427" i="12"/>
  <c r="X2426" i="12"/>
  <c r="X2425" i="12"/>
  <c r="X2424" i="12"/>
  <c r="X2423" i="12"/>
  <c r="X2422" i="12"/>
  <c r="X2421" i="12"/>
  <c r="X2420" i="12"/>
  <c r="X2419" i="12"/>
  <c r="X2418" i="12"/>
  <c r="X2417" i="12"/>
  <c r="X2416" i="12"/>
  <c r="X2415" i="12"/>
  <c r="X2414" i="12"/>
  <c r="X2413" i="12"/>
  <c r="X2412" i="12"/>
  <c r="X2411" i="12"/>
  <c r="X2410" i="12"/>
  <c r="X2409" i="12"/>
  <c r="X2408" i="12"/>
  <c r="X2407" i="12"/>
  <c r="X2406" i="12"/>
  <c r="X2405" i="12"/>
  <c r="X2404" i="12"/>
  <c r="X2403" i="12"/>
  <c r="X2402" i="12"/>
  <c r="X2401" i="12"/>
  <c r="X2400" i="12"/>
  <c r="X2399" i="12"/>
  <c r="X2398" i="12"/>
  <c r="X2397" i="12"/>
  <c r="X2396" i="12"/>
  <c r="X2395" i="12"/>
  <c r="X2394" i="12"/>
  <c r="X2393" i="12"/>
  <c r="X2392" i="12"/>
  <c r="X2391" i="12"/>
  <c r="X2390" i="12"/>
  <c r="X2389" i="12"/>
  <c r="X2388" i="12"/>
  <c r="X2387" i="12"/>
  <c r="X2386" i="12"/>
  <c r="X2385" i="12"/>
  <c r="X2384" i="12"/>
  <c r="X2383" i="12"/>
  <c r="X2382" i="12"/>
  <c r="X2381" i="12"/>
  <c r="X2380" i="12"/>
  <c r="X2379" i="12"/>
  <c r="X2378" i="12"/>
  <c r="X2377" i="12"/>
  <c r="X2376" i="12"/>
  <c r="X2375" i="12"/>
  <c r="X2374" i="12"/>
  <c r="X2373" i="12"/>
  <c r="X2372" i="12"/>
  <c r="X2371" i="12"/>
  <c r="X2370" i="12"/>
  <c r="X2369" i="12"/>
  <c r="X2368" i="12"/>
  <c r="X2367" i="12"/>
  <c r="X2366" i="12"/>
  <c r="X2365" i="12"/>
  <c r="X2364" i="12"/>
  <c r="X2363" i="12"/>
  <c r="X2362" i="12"/>
  <c r="X2361" i="12"/>
  <c r="X2360" i="12"/>
  <c r="X2359" i="12"/>
  <c r="X2358" i="12"/>
  <c r="X2357" i="12"/>
  <c r="X2356" i="12"/>
  <c r="X2355" i="12"/>
  <c r="X2354" i="12"/>
  <c r="X2353" i="12"/>
  <c r="X2352" i="12"/>
  <c r="X2351" i="12"/>
  <c r="X2350" i="12"/>
  <c r="X2349" i="12"/>
  <c r="X2348" i="12"/>
  <c r="X2347" i="12"/>
  <c r="X2346" i="12"/>
  <c r="X2345" i="12"/>
  <c r="X2344" i="12"/>
  <c r="X2343" i="12"/>
  <c r="X2342" i="12"/>
  <c r="X2341" i="12"/>
  <c r="X2340" i="12"/>
  <c r="X2339" i="12"/>
  <c r="X2338" i="12"/>
  <c r="X2337" i="12"/>
  <c r="X2336" i="12"/>
  <c r="X2335" i="12"/>
  <c r="X2334" i="12"/>
  <c r="X2333" i="12"/>
  <c r="X2332" i="12"/>
  <c r="X2331" i="12"/>
  <c r="X2330" i="12"/>
  <c r="X2329" i="12"/>
  <c r="X2328" i="12"/>
  <c r="X2327" i="12"/>
  <c r="X2326" i="12"/>
  <c r="X2325" i="12"/>
  <c r="X2324" i="12"/>
  <c r="X2323" i="12"/>
  <c r="X2322" i="12"/>
  <c r="X2321" i="12"/>
  <c r="X2320" i="12"/>
  <c r="X2319" i="12"/>
  <c r="X2318" i="12"/>
  <c r="X2317" i="12"/>
  <c r="X2316" i="12"/>
  <c r="X2315" i="12"/>
  <c r="X2314" i="12"/>
  <c r="X2313" i="12"/>
  <c r="X2312" i="12"/>
  <c r="X2311" i="12"/>
  <c r="X2310" i="12"/>
  <c r="X2309" i="12"/>
  <c r="X2308" i="12"/>
  <c r="X2307" i="12"/>
  <c r="X2306" i="12"/>
  <c r="X2305" i="12"/>
  <c r="X2304" i="12"/>
  <c r="X2303" i="12"/>
  <c r="X2302" i="12"/>
  <c r="X2301" i="12"/>
  <c r="X2300" i="12"/>
  <c r="X2299" i="12"/>
  <c r="X2298" i="12"/>
  <c r="X2297" i="12"/>
  <c r="X2296" i="12"/>
  <c r="X2295" i="12"/>
  <c r="X2294" i="12"/>
  <c r="X2293" i="12"/>
  <c r="X2292" i="12"/>
  <c r="X2291" i="12"/>
  <c r="X2290" i="12"/>
  <c r="X2289" i="12"/>
  <c r="X2288" i="12"/>
  <c r="X2287" i="12"/>
  <c r="X2286" i="12"/>
  <c r="X2285" i="12"/>
  <c r="X2284" i="12"/>
  <c r="X2283" i="12"/>
  <c r="X2282" i="12"/>
  <c r="X2281" i="12"/>
  <c r="X2280" i="12"/>
  <c r="X2279" i="12"/>
  <c r="X2278" i="12"/>
  <c r="X2277" i="12"/>
  <c r="X2276" i="12"/>
  <c r="X2275" i="12"/>
  <c r="X2274" i="12"/>
  <c r="X2273" i="12"/>
  <c r="X2272" i="12"/>
  <c r="X2271" i="12"/>
  <c r="X2270" i="12"/>
  <c r="X2269" i="12"/>
  <c r="X2268" i="12"/>
  <c r="X2267" i="12"/>
  <c r="X2266" i="12"/>
  <c r="X2265" i="12"/>
  <c r="X2264" i="12"/>
  <c r="X2263" i="12"/>
  <c r="X2262" i="12"/>
  <c r="X2261" i="12"/>
  <c r="X2260" i="12"/>
  <c r="X2259" i="12"/>
  <c r="X2258" i="12"/>
  <c r="X2257" i="12"/>
  <c r="X2256" i="12"/>
  <c r="X2255" i="12"/>
  <c r="X2254" i="12"/>
  <c r="X2253" i="12"/>
  <c r="X2252" i="12"/>
  <c r="X2251" i="12"/>
  <c r="X2250" i="12"/>
  <c r="X2249" i="12"/>
  <c r="X2248" i="12"/>
  <c r="X2247" i="12"/>
  <c r="X2246" i="12"/>
  <c r="X2245" i="12"/>
  <c r="X2244" i="12"/>
  <c r="X2243" i="12"/>
  <c r="X2242" i="12"/>
  <c r="X2241" i="12"/>
  <c r="X2240" i="12"/>
  <c r="X2239" i="12"/>
  <c r="X2238" i="12"/>
  <c r="X2237" i="12"/>
  <c r="X2236" i="12"/>
  <c r="X2235" i="12"/>
  <c r="X2234" i="12"/>
  <c r="X2233" i="12"/>
  <c r="X2232" i="12"/>
  <c r="X2231" i="12"/>
  <c r="X2230" i="12"/>
  <c r="X2229" i="12"/>
  <c r="X2228" i="12"/>
  <c r="X2227" i="12"/>
  <c r="X2226" i="12"/>
  <c r="X2225" i="12"/>
  <c r="X2224" i="12"/>
  <c r="X2223" i="12"/>
  <c r="X2222" i="12"/>
  <c r="X2221" i="12"/>
  <c r="X2220" i="12"/>
  <c r="X2219" i="12"/>
  <c r="X2218" i="12"/>
  <c r="X2217" i="12"/>
  <c r="X2216" i="12"/>
  <c r="X2215" i="12"/>
  <c r="X2214" i="12"/>
  <c r="X2213" i="12"/>
  <c r="X2212" i="12"/>
  <c r="X2211" i="12"/>
  <c r="X2210" i="12"/>
  <c r="X2209" i="12"/>
  <c r="X2208" i="12"/>
  <c r="X2207" i="12"/>
  <c r="X2206" i="12"/>
  <c r="X2205" i="12"/>
  <c r="X2204" i="12"/>
  <c r="X2203" i="12"/>
  <c r="X2202" i="12"/>
  <c r="X2201" i="12"/>
  <c r="X2200" i="12"/>
  <c r="X2199" i="12"/>
  <c r="X2198" i="12"/>
  <c r="X2197" i="12"/>
  <c r="X2196" i="12"/>
  <c r="X2195" i="12"/>
  <c r="X2194" i="12"/>
  <c r="X2193" i="12"/>
  <c r="X2192" i="12"/>
  <c r="X2191" i="12"/>
  <c r="X2190" i="12"/>
  <c r="X2189" i="12"/>
  <c r="X2188" i="12"/>
  <c r="X2187" i="12"/>
  <c r="X2186" i="12"/>
  <c r="X2185" i="12"/>
  <c r="X2184" i="12"/>
  <c r="X2183" i="12"/>
  <c r="X2182" i="12"/>
  <c r="X2181" i="12"/>
  <c r="X2180" i="12"/>
  <c r="X2179" i="12"/>
  <c r="X2178" i="12"/>
  <c r="X2177" i="12"/>
  <c r="X2176" i="12"/>
  <c r="X2175" i="12"/>
  <c r="X2174" i="12"/>
  <c r="X2173" i="12"/>
  <c r="X2172" i="12"/>
  <c r="X2171" i="12"/>
  <c r="X2170" i="12"/>
  <c r="X2169" i="12"/>
  <c r="X2168" i="12"/>
  <c r="X2167" i="12"/>
  <c r="X2166" i="12"/>
  <c r="X2165" i="12"/>
  <c r="X2164" i="12"/>
  <c r="X2163" i="12"/>
  <c r="X2162" i="12"/>
  <c r="X2161" i="12"/>
  <c r="X2160" i="12"/>
  <c r="X2159" i="12"/>
  <c r="X2158" i="12"/>
  <c r="X2157" i="12"/>
  <c r="X2156" i="12"/>
  <c r="X2155" i="12"/>
  <c r="X2154" i="12"/>
  <c r="X2153" i="12"/>
  <c r="X2152" i="12"/>
  <c r="X2151" i="12"/>
  <c r="X2150" i="12"/>
  <c r="X2149" i="12"/>
  <c r="X2148" i="12"/>
  <c r="X2147" i="12"/>
  <c r="X2146" i="12"/>
  <c r="X2145" i="12"/>
  <c r="X2144" i="12"/>
  <c r="X2143" i="12"/>
  <c r="X2142" i="12"/>
  <c r="X2141" i="12"/>
  <c r="X2140" i="12"/>
  <c r="X2139" i="12"/>
  <c r="X2138" i="12"/>
  <c r="X2137" i="12"/>
  <c r="X2136" i="12"/>
  <c r="X2135" i="12"/>
  <c r="X2134" i="12"/>
  <c r="X2133" i="12"/>
  <c r="X2132" i="12"/>
  <c r="X2131" i="12"/>
  <c r="X2130" i="12"/>
  <c r="X2129" i="12"/>
  <c r="X2128" i="12"/>
  <c r="X2127" i="12"/>
  <c r="X2126" i="12"/>
  <c r="X2125" i="12"/>
  <c r="X2124" i="12"/>
  <c r="X2123" i="12"/>
  <c r="X2122" i="12"/>
  <c r="X2121" i="12"/>
  <c r="X2120" i="12"/>
  <c r="X2119" i="12"/>
  <c r="X2118" i="12"/>
  <c r="X2117" i="12"/>
  <c r="X2116" i="12"/>
  <c r="X2115" i="12"/>
  <c r="X2114" i="12"/>
  <c r="X2113" i="12"/>
  <c r="X2112" i="12"/>
  <c r="X2111" i="12"/>
  <c r="X2110" i="12"/>
  <c r="X2109" i="12"/>
  <c r="X2108" i="12"/>
  <c r="X2107" i="12"/>
  <c r="X2106" i="12"/>
  <c r="X2105" i="12"/>
  <c r="X2104" i="12"/>
  <c r="X2103" i="12"/>
  <c r="X2102" i="12"/>
  <c r="X2101" i="12"/>
  <c r="X2100" i="12"/>
  <c r="X2099" i="12"/>
  <c r="X2098" i="12"/>
  <c r="X2097" i="12"/>
  <c r="X2096" i="12"/>
  <c r="X2095" i="12"/>
  <c r="X2094" i="12"/>
  <c r="X2093" i="12"/>
  <c r="X2092" i="12"/>
  <c r="X2091" i="12"/>
  <c r="X2090" i="12"/>
  <c r="X2089" i="12"/>
  <c r="X2088" i="12"/>
  <c r="X2087" i="12"/>
  <c r="X2086" i="12"/>
  <c r="X2085" i="12"/>
  <c r="X2084" i="12"/>
  <c r="X2083" i="12"/>
  <c r="X2082" i="12"/>
  <c r="X2081" i="12"/>
  <c r="X2080" i="12"/>
  <c r="X2079" i="12"/>
  <c r="X2078" i="12"/>
  <c r="X2077" i="12"/>
  <c r="X2076" i="12"/>
  <c r="X2075" i="12"/>
  <c r="X2074" i="12"/>
  <c r="X2073" i="12"/>
  <c r="X2072" i="12"/>
  <c r="X2071" i="12"/>
  <c r="X2070" i="12"/>
  <c r="X2069" i="12"/>
  <c r="X2068" i="12"/>
  <c r="X2067" i="12"/>
  <c r="X2066" i="12"/>
  <c r="X2065" i="12"/>
  <c r="X2064" i="12"/>
  <c r="X2063" i="12"/>
  <c r="X2062" i="12"/>
  <c r="X2061" i="12"/>
  <c r="X2060" i="12"/>
  <c r="X2059" i="12"/>
  <c r="X2058" i="12"/>
  <c r="X2057" i="12"/>
  <c r="X2056" i="12"/>
  <c r="X2055" i="12"/>
  <c r="X2054" i="12"/>
  <c r="X2053" i="12"/>
  <c r="X2052" i="12"/>
  <c r="X2051" i="12"/>
  <c r="X2050" i="12"/>
  <c r="X2049" i="12"/>
  <c r="X2048" i="12"/>
  <c r="X2047" i="12"/>
  <c r="X2046" i="12"/>
  <c r="X2045" i="12"/>
  <c r="X2044" i="12"/>
  <c r="X2043" i="12"/>
  <c r="X2042" i="12"/>
  <c r="X2041" i="12"/>
  <c r="X2040" i="12"/>
  <c r="X2039" i="12"/>
  <c r="X2038" i="12"/>
  <c r="X2037" i="12"/>
  <c r="X2036" i="12"/>
  <c r="X2035" i="12"/>
  <c r="X2034" i="12"/>
  <c r="X2033" i="12"/>
  <c r="X2032" i="12"/>
  <c r="X2031" i="12"/>
  <c r="X2030" i="12"/>
  <c r="X2029" i="12"/>
  <c r="X2028" i="12"/>
  <c r="X2027" i="12"/>
  <c r="X2026" i="12"/>
  <c r="X2025" i="12"/>
  <c r="X2024" i="12"/>
  <c r="X2023" i="12"/>
  <c r="X2022" i="12"/>
  <c r="X2021" i="12"/>
  <c r="X2020" i="12"/>
  <c r="X2019" i="12"/>
  <c r="X2018" i="12"/>
  <c r="X2017" i="12"/>
  <c r="X2016" i="12"/>
  <c r="X2015" i="12"/>
  <c r="X2014" i="12"/>
  <c r="X2013" i="12"/>
  <c r="X2012" i="12"/>
  <c r="X2011" i="12"/>
  <c r="X2010" i="12"/>
  <c r="X2009" i="12"/>
  <c r="X2008" i="12"/>
  <c r="X2007" i="12"/>
  <c r="X2006" i="12"/>
  <c r="X2005" i="12"/>
  <c r="X2004" i="12"/>
  <c r="X2003" i="12"/>
  <c r="X2002" i="12"/>
  <c r="X2001" i="12"/>
  <c r="X2000" i="12"/>
  <c r="X1999" i="12"/>
  <c r="X1998" i="12"/>
  <c r="X1997" i="12"/>
  <c r="X1996" i="12"/>
  <c r="X1995" i="12"/>
  <c r="X1994" i="12"/>
  <c r="X1993" i="12"/>
  <c r="X1992" i="12"/>
  <c r="X1991" i="12"/>
  <c r="X1990" i="12"/>
  <c r="X1989" i="12"/>
  <c r="X1988" i="12"/>
  <c r="X1987" i="12"/>
  <c r="X1986" i="12"/>
  <c r="X1985" i="12"/>
  <c r="X1984" i="12"/>
  <c r="X1983" i="12"/>
  <c r="X1982" i="12"/>
  <c r="X1981" i="12"/>
  <c r="X1980" i="12"/>
  <c r="X1979" i="12"/>
  <c r="X1978" i="12"/>
  <c r="X1977" i="12"/>
  <c r="X1976" i="12"/>
  <c r="X1975" i="12"/>
  <c r="X1974" i="12"/>
  <c r="X1973" i="12"/>
  <c r="X1972" i="12"/>
  <c r="X1971" i="12"/>
  <c r="X1970" i="12"/>
  <c r="X1969" i="12"/>
  <c r="X1968" i="12"/>
  <c r="X1967" i="12"/>
  <c r="X1966" i="12"/>
  <c r="X1965" i="12"/>
  <c r="X1964" i="12"/>
  <c r="X1963" i="12"/>
  <c r="X1962" i="12"/>
  <c r="X1961" i="12"/>
  <c r="X1960" i="12"/>
  <c r="X1959" i="12"/>
  <c r="X1958" i="12"/>
  <c r="X1957" i="12"/>
  <c r="X1956" i="12"/>
  <c r="X1955" i="12"/>
  <c r="X1954" i="12"/>
  <c r="X1953" i="12"/>
  <c r="X1952" i="12"/>
  <c r="X1951" i="12"/>
  <c r="X1950" i="12"/>
  <c r="X1949" i="12"/>
  <c r="X1948" i="12"/>
  <c r="X1947" i="12"/>
  <c r="X1946" i="12"/>
  <c r="X1945" i="12"/>
  <c r="X1944" i="12"/>
  <c r="X1943" i="12"/>
  <c r="X1942" i="12"/>
  <c r="X1941" i="12"/>
  <c r="X1940" i="12"/>
  <c r="X1939" i="12"/>
  <c r="X1938" i="12"/>
  <c r="X1937" i="12"/>
  <c r="X1936" i="12"/>
  <c r="X1935" i="12"/>
  <c r="X1934" i="12"/>
  <c r="X1933" i="12"/>
  <c r="X1932" i="12"/>
  <c r="X1931" i="12"/>
  <c r="X1930" i="12"/>
  <c r="X1929" i="12"/>
  <c r="X1928" i="12"/>
  <c r="X1927" i="12"/>
  <c r="X1926" i="12"/>
  <c r="X1925" i="12"/>
  <c r="X1924" i="12"/>
  <c r="X1923" i="12"/>
  <c r="X1922" i="12"/>
  <c r="X1921" i="12"/>
  <c r="X1920" i="12"/>
  <c r="X1919" i="12"/>
  <c r="X1918" i="12"/>
  <c r="X1917" i="12"/>
  <c r="X1916" i="12"/>
  <c r="X1915" i="12"/>
  <c r="X1914" i="12"/>
  <c r="X1913" i="12"/>
  <c r="X1912" i="12"/>
  <c r="X1911" i="12"/>
  <c r="X1910" i="12"/>
  <c r="X1909" i="12"/>
  <c r="X1908" i="12"/>
  <c r="X1907" i="12"/>
  <c r="X1906" i="12"/>
  <c r="X1905" i="12"/>
  <c r="X1904" i="12"/>
  <c r="X1903" i="12"/>
  <c r="X1902" i="12"/>
  <c r="X1901" i="12"/>
  <c r="X1900" i="12"/>
  <c r="X1899" i="12"/>
  <c r="X1898" i="12"/>
  <c r="X1897" i="12"/>
  <c r="X1896" i="12"/>
  <c r="X1895" i="12"/>
  <c r="X1894" i="12"/>
  <c r="X1893" i="12"/>
  <c r="X1892" i="12"/>
  <c r="X1891" i="12"/>
  <c r="X1890" i="12"/>
  <c r="X1889" i="12"/>
  <c r="X1888" i="12"/>
  <c r="X1887" i="12"/>
  <c r="X1886" i="12"/>
  <c r="X1885" i="12"/>
  <c r="X1884" i="12"/>
  <c r="X1883" i="12"/>
  <c r="X1882" i="12"/>
  <c r="X1881" i="12"/>
  <c r="X1880" i="12"/>
  <c r="X1879" i="12"/>
  <c r="X1878" i="12"/>
  <c r="X1877" i="12"/>
  <c r="X1876" i="12"/>
  <c r="X1875" i="12"/>
  <c r="X1874" i="12"/>
  <c r="X1873" i="12"/>
  <c r="X1872" i="12"/>
  <c r="X1871" i="12"/>
  <c r="X1870" i="12"/>
  <c r="X1869" i="12"/>
  <c r="X1868" i="12"/>
  <c r="X1867" i="12"/>
  <c r="X1866" i="12"/>
  <c r="X1865" i="12"/>
  <c r="X1864" i="12"/>
  <c r="X1863" i="12"/>
  <c r="X1862" i="12"/>
  <c r="X1861" i="12"/>
  <c r="X1860" i="12"/>
  <c r="X1859" i="12"/>
  <c r="X1858" i="12"/>
  <c r="X1857" i="12"/>
  <c r="X1854" i="12"/>
  <c r="X1853" i="12"/>
  <c r="X1852" i="12"/>
  <c r="X1851" i="12"/>
  <c r="X1850" i="12"/>
  <c r="X1849" i="12"/>
  <c r="X1848" i="12"/>
  <c r="X1847" i="12"/>
  <c r="X1846" i="12"/>
  <c r="X1845" i="12"/>
  <c r="X1844" i="12"/>
  <c r="X1843" i="12"/>
  <c r="X1842" i="12"/>
  <c r="X1841" i="12"/>
  <c r="X1840" i="12"/>
  <c r="X1839" i="12"/>
  <c r="X1838" i="12"/>
  <c r="X1837" i="12"/>
  <c r="X1836" i="12"/>
  <c r="X1835" i="12"/>
  <c r="X1834" i="12"/>
  <c r="X1833" i="12"/>
  <c r="X1832" i="12"/>
  <c r="X1831" i="12"/>
  <c r="X1830" i="12"/>
  <c r="X1829" i="12"/>
  <c r="X1828" i="12"/>
  <c r="X1827" i="12"/>
  <c r="X1826" i="12"/>
  <c r="X1825" i="12"/>
  <c r="X1824" i="12"/>
  <c r="X1823" i="12"/>
  <c r="X1822" i="12"/>
  <c r="X1821" i="12"/>
  <c r="X1820" i="12"/>
  <c r="X1819" i="12"/>
  <c r="X1818" i="12"/>
  <c r="X1817" i="12"/>
  <c r="X1816" i="12"/>
  <c r="X1815" i="12"/>
  <c r="X1814" i="12"/>
  <c r="X1813" i="12"/>
  <c r="X1812" i="12"/>
  <c r="X1811" i="12"/>
  <c r="X1810" i="12"/>
  <c r="X1809" i="12"/>
  <c r="X1808" i="12"/>
  <c r="X1807" i="12"/>
  <c r="X1806" i="12"/>
  <c r="X1805" i="12"/>
  <c r="X1804" i="12"/>
  <c r="X1803" i="12"/>
  <c r="X1802" i="12"/>
  <c r="X1801" i="12"/>
  <c r="X1800" i="12"/>
  <c r="X1799" i="12"/>
  <c r="X1798" i="12"/>
  <c r="X1797" i="12"/>
  <c r="X1796" i="12"/>
  <c r="X1795" i="12"/>
  <c r="X1794" i="12"/>
  <c r="X1793" i="12"/>
  <c r="X1792" i="12"/>
  <c r="X1791" i="12"/>
  <c r="X1790" i="12"/>
  <c r="X1789" i="12"/>
  <c r="X1788" i="12"/>
  <c r="X1787" i="12"/>
  <c r="X1786" i="12"/>
  <c r="X1785" i="12"/>
  <c r="X1784" i="12"/>
  <c r="X1783" i="12"/>
  <c r="X1782" i="12"/>
  <c r="X1781" i="12"/>
  <c r="X1780" i="12"/>
  <c r="X1779" i="12"/>
  <c r="X1778" i="12"/>
  <c r="X1777" i="12"/>
  <c r="X1776" i="12"/>
  <c r="X1775" i="12"/>
  <c r="X1774" i="12"/>
  <c r="X1773" i="12"/>
  <c r="X1772" i="12"/>
  <c r="X1771" i="12"/>
  <c r="X1770" i="12"/>
  <c r="X1769" i="12"/>
  <c r="X1768" i="12"/>
  <c r="X1767" i="12"/>
  <c r="X1766" i="12"/>
  <c r="X1765" i="12"/>
  <c r="X1764" i="12"/>
  <c r="X1763" i="12"/>
  <c r="X1762" i="12"/>
  <c r="X1761" i="12"/>
  <c r="X1760" i="12"/>
  <c r="X1759" i="12"/>
  <c r="X1758" i="12"/>
  <c r="X1757" i="12"/>
  <c r="X1756" i="12"/>
  <c r="X1755" i="12"/>
  <c r="X1754" i="12"/>
  <c r="X1753" i="12"/>
  <c r="X1752" i="12"/>
  <c r="X1751" i="12"/>
  <c r="X1750" i="12"/>
  <c r="X1749" i="12"/>
  <c r="X1748" i="12"/>
  <c r="X1747" i="12"/>
  <c r="X1746" i="12"/>
  <c r="X1745" i="12"/>
  <c r="X1744" i="12"/>
  <c r="X1743" i="12"/>
  <c r="X1742" i="12"/>
  <c r="X1741" i="12"/>
  <c r="X1740" i="12"/>
  <c r="X1739" i="12"/>
  <c r="X1738" i="12"/>
  <c r="X1737" i="12"/>
  <c r="X1736" i="12"/>
  <c r="X1735" i="12"/>
  <c r="X1734" i="12"/>
  <c r="X1733" i="12"/>
  <c r="X1732" i="12"/>
  <c r="X1731" i="12"/>
  <c r="X1730" i="12"/>
  <c r="X1729" i="12"/>
  <c r="X1728" i="12"/>
  <c r="X1727" i="12"/>
  <c r="X1726" i="12"/>
  <c r="X1725" i="12"/>
  <c r="X1724" i="12"/>
  <c r="X1723" i="12"/>
  <c r="X1722" i="12"/>
  <c r="X1721" i="12"/>
  <c r="X1720" i="12"/>
  <c r="X1719" i="12"/>
  <c r="X1718" i="12"/>
  <c r="X1717" i="12"/>
  <c r="X1716" i="12"/>
  <c r="X1715" i="12"/>
  <c r="X1714" i="12"/>
  <c r="X1713" i="12"/>
  <c r="X1712" i="12"/>
  <c r="X1711" i="12"/>
  <c r="X1710" i="12"/>
  <c r="X1709" i="12"/>
  <c r="X1708" i="12"/>
  <c r="X1707" i="12"/>
  <c r="X1706" i="12"/>
  <c r="X1705" i="12"/>
  <c r="X1704" i="12"/>
  <c r="X1703" i="12"/>
  <c r="X1702" i="12"/>
  <c r="X1701" i="12"/>
  <c r="X1700" i="12"/>
  <c r="X1699" i="12"/>
  <c r="X1698" i="12"/>
  <c r="X1697" i="12"/>
  <c r="X1696" i="12"/>
  <c r="X1695" i="12"/>
  <c r="X1694" i="12"/>
  <c r="X1693" i="12"/>
  <c r="X1692" i="12"/>
  <c r="X1691" i="12"/>
  <c r="X1690" i="12"/>
  <c r="X1689" i="12"/>
  <c r="X1688" i="12"/>
  <c r="X1687" i="12"/>
  <c r="X1686" i="12"/>
  <c r="X1685" i="12"/>
  <c r="X1684" i="12"/>
  <c r="X1683" i="12"/>
  <c r="X1682" i="12"/>
  <c r="X1681" i="12"/>
  <c r="X1680" i="12"/>
  <c r="X1679" i="12"/>
  <c r="X1678" i="12"/>
  <c r="X1677" i="12"/>
  <c r="X1676" i="12"/>
  <c r="X1675" i="12"/>
  <c r="X1674" i="12"/>
  <c r="X1673" i="12"/>
  <c r="X1672" i="12"/>
  <c r="X1671" i="12"/>
  <c r="X1670" i="12"/>
  <c r="X1669" i="12"/>
  <c r="X1668" i="12"/>
  <c r="X1667" i="12"/>
  <c r="X1666" i="12"/>
  <c r="X1665" i="12"/>
  <c r="X1664" i="12"/>
  <c r="X1663" i="12"/>
  <c r="X1662" i="12"/>
  <c r="X1661" i="12"/>
  <c r="X1660" i="12"/>
  <c r="X1659" i="12"/>
  <c r="X1658" i="12"/>
  <c r="X1657" i="12"/>
  <c r="X1656" i="12"/>
  <c r="X1655" i="12"/>
  <c r="X1654" i="12"/>
  <c r="X1653" i="12"/>
  <c r="X1652" i="12"/>
  <c r="X1651" i="12"/>
  <c r="X1650" i="12"/>
  <c r="X1649" i="12"/>
  <c r="X1648" i="12"/>
  <c r="X1647" i="12"/>
  <c r="X1646" i="12"/>
  <c r="X1645" i="12"/>
  <c r="X1644" i="12"/>
  <c r="X1643" i="12"/>
  <c r="X1642" i="12"/>
  <c r="X1641" i="12"/>
  <c r="X1640" i="12"/>
  <c r="X1639" i="12"/>
  <c r="X1638" i="12"/>
  <c r="X1637" i="12"/>
  <c r="X1636" i="12"/>
  <c r="X1635" i="12"/>
  <c r="X1634" i="12"/>
  <c r="X1633" i="12"/>
  <c r="X1632" i="12"/>
  <c r="X1631" i="12"/>
  <c r="X1630" i="12"/>
  <c r="X1629" i="12"/>
  <c r="X1628" i="12"/>
  <c r="X1627" i="12"/>
  <c r="X1626" i="12"/>
  <c r="X1625" i="12"/>
  <c r="X1624" i="12"/>
  <c r="X1623" i="12"/>
  <c r="X1622" i="12"/>
  <c r="X1621" i="12"/>
  <c r="X1620" i="12"/>
  <c r="X1619" i="12"/>
  <c r="X1618" i="12"/>
  <c r="X1617" i="12"/>
  <c r="X1616" i="12"/>
  <c r="X1615" i="12"/>
  <c r="X1614" i="12"/>
  <c r="X1613" i="12"/>
  <c r="X1612" i="12"/>
  <c r="X1611" i="12"/>
  <c r="X1610" i="12"/>
  <c r="X1609" i="12"/>
  <c r="X1608" i="12"/>
  <c r="X1607" i="12"/>
  <c r="X1606" i="12"/>
  <c r="X1605" i="12"/>
  <c r="X1604" i="12"/>
  <c r="X1603" i="12"/>
  <c r="X1602" i="12"/>
  <c r="X1601" i="12"/>
  <c r="X1600" i="12"/>
  <c r="X1599" i="12"/>
  <c r="X1598" i="12"/>
  <c r="X1597" i="12"/>
  <c r="X1596" i="12"/>
  <c r="X1595" i="12"/>
  <c r="X1594" i="12"/>
  <c r="X1593" i="12"/>
  <c r="X1592" i="12"/>
  <c r="X1591" i="12"/>
  <c r="X1590" i="12"/>
  <c r="X1589" i="12"/>
  <c r="X1588" i="12"/>
  <c r="X1587" i="12"/>
  <c r="X1586" i="12"/>
  <c r="X1585" i="12"/>
  <c r="X1584" i="12"/>
  <c r="X1583" i="12"/>
  <c r="X1582" i="12"/>
  <c r="X1581" i="12"/>
  <c r="X1580" i="12"/>
  <c r="X1579" i="12"/>
  <c r="X1578" i="12"/>
  <c r="X1577" i="12"/>
  <c r="X1576" i="12"/>
  <c r="X1575" i="12"/>
  <c r="X1574" i="12"/>
  <c r="X1573" i="12"/>
  <c r="X1572" i="12"/>
  <c r="X1571" i="12"/>
  <c r="X1570" i="12"/>
  <c r="X1569" i="12"/>
  <c r="X1568" i="12"/>
  <c r="X1567" i="12"/>
  <c r="X1566" i="12"/>
  <c r="X1565" i="12"/>
  <c r="X1564" i="12"/>
  <c r="X1563" i="12"/>
  <c r="X1562" i="12"/>
  <c r="X1561" i="12"/>
  <c r="X1560" i="12"/>
  <c r="X1559" i="12"/>
  <c r="X1558" i="12"/>
  <c r="X1557" i="12"/>
  <c r="X1556" i="12"/>
  <c r="X1555" i="12"/>
  <c r="X1554" i="12"/>
  <c r="X1553" i="12"/>
  <c r="X1552" i="12"/>
  <c r="X1551" i="12"/>
  <c r="X1550" i="12"/>
  <c r="X1549" i="12"/>
  <c r="X1548" i="12"/>
  <c r="X1547" i="12"/>
  <c r="X1546" i="12"/>
  <c r="X1545" i="12"/>
  <c r="X1544" i="12"/>
  <c r="X1543" i="12"/>
  <c r="X1542" i="12"/>
  <c r="X1541" i="12"/>
  <c r="X1540" i="12"/>
  <c r="X1539" i="12"/>
  <c r="X1538" i="12"/>
  <c r="X1537" i="12"/>
  <c r="X1536" i="12"/>
  <c r="X1535" i="12"/>
  <c r="X1534" i="12"/>
  <c r="X1533" i="12"/>
  <c r="X1532" i="12"/>
  <c r="X1531" i="12"/>
  <c r="X1530" i="12"/>
  <c r="X1529" i="12"/>
  <c r="X1528" i="12"/>
  <c r="X1527" i="12"/>
  <c r="X1526" i="12"/>
  <c r="X1525" i="12"/>
  <c r="X1524" i="12"/>
  <c r="X1523" i="12"/>
  <c r="X1522" i="12"/>
  <c r="X1521" i="12"/>
  <c r="X1520" i="12"/>
  <c r="X1519" i="12"/>
  <c r="X1518" i="12"/>
  <c r="X1517" i="12"/>
  <c r="X1516" i="12"/>
  <c r="X1515" i="12"/>
  <c r="X1514" i="12"/>
  <c r="X1513" i="12"/>
  <c r="X1512" i="12"/>
  <c r="X1511" i="12"/>
  <c r="X1510" i="12"/>
  <c r="X1509" i="12"/>
  <c r="X1508" i="12"/>
  <c r="X1507" i="12"/>
  <c r="X1506" i="12"/>
  <c r="X1505" i="12"/>
  <c r="X1504" i="12"/>
  <c r="X1503" i="12"/>
  <c r="X1502" i="12"/>
  <c r="X1501" i="12"/>
  <c r="X1500" i="12"/>
  <c r="X1499" i="12"/>
  <c r="X1498" i="12"/>
  <c r="X1497" i="12"/>
  <c r="X1496" i="12"/>
  <c r="X1495" i="12"/>
  <c r="X1494" i="12"/>
  <c r="X1493" i="12"/>
  <c r="X1492" i="12"/>
  <c r="X1491" i="12"/>
  <c r="X1490" i="12"/>
  <c r="X1489" i="12"/>
  <c r="X1488" i="12"/>
  <c r="X1487" i="12"/>
  <c r="X1486" i="12"/>
  <c r="X1485" i="12"/>
  <c r="X1484" i="12"/>
  <c r="X1483" i="12"/>
  <c r="X1482" i="12"/>
  <c r="X1481" i="12"/>
  <c r="X1480" i="12"/>
  <c r="X1479" i="12"/>
  <c r="X1478" i="12"/>
  <c r="X1477" i="12"/>
  <c r="X1476" i="12"/>
  <c r="X1475" i="12"/>
  <c r="X1474" i="12"/>
  <c r="X1473" i="12"/>
  <c r="X1472" i="12"/>
  <c r="X1471" i="12"/>
  <c r="X1470" i="12"/>
  <c r="X1469" i="12"/>
  <c r="X1468" i="12"/>
  <c r="X1467" i="12"/>
  <c r="X1466" i="12"/>
  <c r="X1465" i="12"/>
  <c r="X1464" i="12"/>
  <c r="X1463" i="12"/>
  <c r="X1462" i="12"/>
  <c r="X1461" i="12"/>
  <c r="X1460" i="12"/>
  <c r="X1459" i="12"/>
  <c r="X1458" i="12"/>
  <c r="X1457" i="12"/>
  <c r="X1456" i="12"/>
  <c r="X1455" i="12"/>
  <c r="X1454" i="12"/>
  <c r="X1453" i="12"/>
  <c r="X1452" i="12"/>
  <c r="X1451" i="12"/>
  <c r="X1450" i="12"/>
  <c r="X1449" i="12"/>
  <c r="X1448" i="12"/>
  <c r="X1447" i="12"/>
  <c r="X1446" i="12"/>
  <c r="X1445" i="12"/>
  <c r="X1444" i="12"/>
  <c r="X1443" i="12"/>
  <c r="X1442" i="12"/>
  <c r="X1441" i="12"/>
  <c r="X1440" i="12"/>
  <c r="X1439" i="12"/>
  <c r="X1438" i="12"/>
  <c r="X1437" i="12"/>
  <c r="X1436" i="12"/>
  <c r="X1435" i="12"/>
  <c r="X1434" i="12"/>
  <c r="X1433" i="12"/>
  <c r="X1432" i="12"/>
  <c r="X1431" i="12"/>
  <c r="X1430" i="12"/>
  <c r="X1429" i="12"/>
  <c r="X1428" i="12"/>
  <c r="X1427" i="12"/>
  <c r="X1426" i="12"/>
  <c r="X1425" i="12"/>
  <c r="X1424" i="12"/>
  <c r="X1423" i="12"/>
  <c r="X1422" i="12"/>
  <c r="X1421" i="12"/>
  <c r="X1420" i="12"/>
  <c r="X1419" i="12"/>
  <c r="X1418" i="12"/>
  <c r="X1417" i="12"/>
  <c r="X1416" i="12"/>
  <c r="X1415" i="12"/>
  <c r="X1414" i="12"/>
  <c r="X1413" i="12"/>
  <c r="X1412" i="12"/>
  <c r="X1411" i="12"/>
  <c r="X1410" i="12"/>
  <c r="X1409" i="12"/>
  <c r="X1408" i="12"/>
  <c r="X1407" i="12"/>
  <c r="X1406" i="12"/>
  <c r="X1405" i="12"/>
  <c r="X1404" i="12"/>
  <c r="X1403" i="12"/>
  <c r="X1402" i="12"/>
  <c r="X1401" i="12"/>
  <c r="X1400" i="12"/>
  <c r="X1399" i="12"/>
  <c r="X1398" i="12"/>
  <c r="X1397" i="12"/>
  <c r="X1396" i="12"/>
  <c r="X1395" i="12"/>
  <c r="X1394" i="12"/>
  <c r="X1393" i="12"/>
  <c r="X1392" i="12"/>
  <c r="X1391" i="12"/>
  <c r="X1390" i="12"/>
  <c r="X1389" i="12"/>
  <c r="X1388" i="12"/>
  <c r="X1387" i="12"/>
  <c r="X1386" i="12"/>
  <c r="X1385" i="12"/>
  <c r="X1384" i="12"/>
  <c r="X1383" i="12"/>
  <c r="X1382" i="12"/>
  <c r="X1381" i="12"/>
  <c r="X1380" i="12"/>
  <c r="X1379" i="12"/>
  <c r="X1378" i="12"/>
  <c r="X1377" i="12"/>
  <c r="X1376" i="12"/>
  <c r="X1375" i="12"/>
  <c r="X1374" i="12"/>
  <c r="X1373" i="12"/>
  <c r="X1372" i="12"/>
  <c r="X1371" i="12"/>
  <c r="X1370" i="12"/>
  <c r="X1369" i="12"/>
  <c r="X1368" i="12"/>
  <c r="X1367" i="12"/>
  <c r="X1366" i="12"/>
  <c r="X1365" i="12"/>
  <c r="X1364" i="12"/>
  <c r="X1363" i="12"/>
  <c r="X1362" i="12"/>
  <c r="X1361" i="12"/>
  <c r="X1360" i="12"/>
  <c r="X1359" i="12"/>
  <c r="X1358" i="12"/>
  <c r="X1357" i="12"/>
  <c r="X1356" i="12"/>
  <c r="X1355" i="12"/>
  <c r="X1354" i="12"/>
  <c r="X1353" i="12"/>
  <c r="X1352" i="12"/>
  <c r="X1351" i="12"/>
  <c r="X1350" i="12"/>
  <c r="X1349" i="12"/>
  <c r="X1348" i="12"/>
  <c r="X1347" i="12"/>
  <c r="X1346" i="12"/>
  <c r="X1345" i="12"/>
  <c r="X1344" i="12"/>
  <c r="X1343" i="12"/>
  <c r="X1342" i="12"/>
  <c r="X1341" i="12"/>
  <c r="X1340" i="12"/>
  <c r="X1339" i="12"/>
  <c r="X1338" i="12"/>
  <c r="X1337" i="12"/>
  <c r="X1336" i="12"/>
  <c r="X1335" i="12"/>
  <c r="X1334" i="12"/>
  <c r="X1333" i="12"/>
  <c r="X1332" i="12"/>
  <c r="X1331" i="12"/>
  <c r="X1330" i="12"/>
  <c r="X1329" i="12"/>
  <c r="X1328" i="12"/>
  <c r="X1327" i="12"/>
  <c r="X1326" i="12"/>
  <c r="X1325" i="12"/>
  <c r="X1324" i="12"/>
  <c r="X1323" i="12"/>
  <c r="X1322" i="12"/>
  <c r="X1321" i="12"/>
  <c r="X1320" i="12"/>
  <c r="X1319" i="12"/>
  <c r="X1318" i="12"/>
  <c r="X1317" i="12"/>
  <c r="X1316" i="12"/>
  <c r="X1315" i="12"/>
  <c r="X1314" i="12"/>
  <c r="X1313" i="12"/>
  <c r="X1312" i="12"/>
  <c r="X1311" i="12"/>
  <c r="X1310" i="12"/>
  <c r="X1309" i="12"/>
  <c r="X1308" i="12"/>
  <c r="X1307" i="12"/>
  <c r="X1306" i="12"/>
  <c r="X1305" i="12"/>
  <c r="X1304" i="12"/>
  <c r="X1303" i="12"/>
  <c r="X1302" i="12"/>
  <c r="X1301" i="12"/>
  <c r="X1300" i="12"/>
  <c r="X1299" i="12"/>
  <c r="X1298" i="12"/>
  <c r="X1297" i="12"/>
  <c r="X1296" i="12"/>
  <c r="X1295" i="12"/>
  <c r="X1294" i="12"/>
  <c r="X1293" i="12"/>
  <c r="X1292" i="12"/>
  <c r="X1291" i="12"/>
  <c r="X1290" i="12"/>
  <c r="X1289" i="12"/>
  <c r="X1288" i="12"/>
  <c r="X1287" i="12"/>
  <c r="X1286" i="12"/>
  <c r="X1285" i="12"/>
  <c r="X1284" i="12"/>
  <c r="X1283" i="12"/>
  <c r="X1282" i="12"/>
  <c r="X1281" i="12"/>
  <c r="X1280" i="12"/>
  <c r="X1279" i="12"/>
  <c r="X1278" i="12"/>
  <c r="X1277" i="12"/>
  <c r="X1276" i="12"/>
  <c r="X1275" i="12"/>
  <c r="X1274" i="12"/>
  <c r="X1273" i="12"/>
  <c r="X1272" i="12"/>
  <c r="X1271" i="12"/>
  <c r="X1270" i="12"/>
  <c r="X1269" i="12"/>
  <c r="X1268" i="12"/>
  <c r="X1267" i="12"/>
  <c r="X1266" i="12"/>
  <c r="X1265" i="12"/>
  <c r="X1264" i="12"/>
  <c r="X1263" i="12"/>
  <c r="X1262" i="12"/>
  <c r="X1261" i="12"/>
  <c r="X1260" i="12"/>
  <c r="X1259" i="12"/>
  <c r="X1258" i="12"/>
  <c r="X1257" i="12"/>
  <c r="X1256" i="12"/>
  <c r="X1255" i="12"/>
  <c r="X1254" i="12"/>
  <c r="X1253" i="12"/>
  <c r="X1252" i="12"/>
  <c r="X1251" i="12"/>
  <c r="X1250" i="12"/>
  <c r="X1249" i="12"/>
  <c r="X1248" i="12"/>
  <c r="X1247" i="12"/>
  <c r="X1246" i="12"/>
  <c r="X1245" i="12"/>
  <c r="X1244" i="12"/>
  <c r="X1243" i="12"/>
  <c r="X1242" i="12"/>
  <c r="X1241" i="12"/>
  <c r="X1240" i="12"/>
  <c r="X1239" i="12"/>
  <c r="X1238" i="12"/>
  <c r="X1237" i="12"/>
  <c r="X1236" i="12"/>
  <c r="X1235" i="12"/>
  <c r="X1234" i="12"/>
  <c r="X1233" i="12"/>
  <c r="X1232" i="12"/>
  <c r="X1231" i="12"/>
  <c r="X1230" i="12"/>
  <c r="X1229" i="12"/>
  <c r="X1228" i="12"/>
  <c r="X1227" i="12"/>
  <c r="X1226" i="12"/>
  <c r="X1225" i="12"/>
  <c r="X1224" i="12"/>
  <c r="X1223" i="12"/>
  <c r="X1222" i="12"/>
  <c r="X1221" i="12"/>
  <c r="X1220" i="12"/>
  <c r="X1219" i="12"/>
  <c r="X1218" i="12"/>
  <c r="X1217" i="12"/>
  <c r="X1216" i="12"/>
  <c r="X1215" i="12"/>
  <c r="X1214" i="12"/>
  <c r="X1213" i="12"/>
  <c r="X1212" i="12"/>
  <c r="X1211" i="12"/>
  <c r="X1210" i="12"/>
  <c r="X1209" i="12"/>
  <c r="X1208" i="12"/>
  <c r="X1207" i="12"/>
  <c r="X1206" i="12"/>
  <c r="X1205" i="12"/>
  <c r="X1204" i="12"/>
  <c r="X1203" i="12"/>
  <c r="X1202" i="12"/>
  <c r="X1201" i="12"/>
  <c r="X1200" i="12"/>
  <c r="X1199" i="12"/>
  <c r="X1198" i="12"/>
  <c r="X1197" i="12"/>
  <c r="X1196" i="12"/>
  <c r="X1195" i="12"/>
  <c r="X1194" i="12"/>
  <c r="X1193" i="12"/>
  <c r="X1192" i="12"/>
  <c r="X1191" i="12"/>
  <c r="X1190" i="12"/>
  <c r="X1189" i="12"/>
  <c r="X1188" i="12"/>
  <c r="X1187" i="12"/>
  <c r="X1186" i="12"/>
  <c r="X1185" i="12"/>
  <c r="X1184" i="12"/>
  <c r="X1183" i="12"/>
  <c r="X1182" i="12"/>
  <c r="X1181" i="12"/>
  <c r="X1180" i="12"/>
  <c r="X1179" i="12"/>
  <c r="X1178" i="12"/>
  <c r="X1177" i="12"/>
  <c r="X1176" i="12"/>
  <c r="X1175" i="12"/>
  <c r="X1174" i="12"/>
  <c r="X1173" i="12"/>
  <c r="X1172" i="12"/>
  <c r="X1171" i="12"/>
  <c r="X1170" i="12"/>
  <c r="X1169" i="12"/>
  <c r="X1168" i="12"/>
  <c r="X1167" i="12"/>
  <c r="X1166" i="12"/>
  <c r="X1165" i="12"/>
  <c r="X1164" i="12"/>
  <c r="X1163" i="12"/>
  <c r="X1162" i="12"/>
  <c r="X1161" i="12"/>
  <c r="X1160" i="12"/>
  <c r="X1159" i="12"/>
  <c r="X1158" i="12"/>
  <c r="X1157" i="12"/>
  <c r="X1156" i="12"/>
  <c r="X1155" i="12"/>
  <c r="X1154" i="12"/>
  <c r="X1153" i="12"/>
  <c r="X1152" i="12"/>
  <c r="X1151" i="12"/>
  <c r="X1150" i="12"/>
  <c r="X1149" i="12"/>
  <c r="X1148" i="12"/>
  <c r="X1147" i="12"/>
  <c r="X1146" i="12"/>
  <c r="X1143" i="12"/>
  <c r="X1142" i="12"/>
  <c r="X1141" i="12"/>
  <c r="X1140" i="12"/>
  <c r="X1139" i="12"/>
  <c r="X1138" i="12"/>
  <c r="X1137" i="12"/>
  <c r="X1136" i="12"/>
  <c r="X1135" i="12"/>
  <c r="X1134" i="12"/>
  <c r="X1133" i="12"/>
  <c r="X1132" i="12"/>
  <c r="X1131" i="12"/>
  <c r="X1130" i="12"/>
  <c r="X1129" i="12"/>
  <c r="X1128" i="12"/>
  <c r="X1127" i="12"/>
  <c r="X1126" i="12"/>
  <c r="X1125" i="12"/>
  <c r="X1124" i="12"/>
  <c r="X1123" i="12"/>
  <c r="X1122" i="12"/>
  <c r="X1121" i="12"/>
  <c r="X1120" i="12"/>
  <c r="X1119" i="12"/>
  <c r="X1118" i="12"/>
  <c r="X1117" i="12"/>
  <c r="X1116" i="12"/>
  <c r="X1115" i="12"/>
  <c r="X1114" i="12"/>
  <c r="X1113" i="12"/>
  <c r="X1112" i="12"/>
  <c r="X1111" i="12"/>
  <c r="X1110" i="12"/>
  <c r="X1109" i="12"/>
  <c r="X1108" i="12"/>
  <c r="X1107" i="12"/>
  <c r="X1106" i="12"/>
  <c r="X1105" i="12"/>
  <c r="X1104" i="12"/>
  <c r="X1103" i="12"/>
  <c r="X1102" i="12"/>
  <c r="X1101" i="12"/>
  <c r="X1100" i="12"/>
  <c r="X1099" i="12"/>
  <c r="X1098" i="12"/>
  <c r="X1097" i="12"/>
  <c r="X1096" i="12"/>
  <c r="X1095" i="12"/>
  <c r="X1094" i="12"/>
  <c r="X1093" i="12"/>
  <c r="X1092" i="12"/>
  <c r="X1091" i="12"/>
  <c r="X1090" i="12"/>
  <c r="X1089" i="12"/>
  <c r="X1088" i="12"/>
  <c r="X1087" i="12"/>
  <c r="X1086" i="12"/>
  <c r="X1085" i="12"/>
  <c r="X1084" i="12"/>
  <c r="X1083" i="12"/>
  <c r="X1082" i="12"/>
  <c r="X1081" i="12"/>
  <c r="X1080" i="12"/>
  <c r="X1079" i="12"/>
  <c r="X1078" i="12"/>
  <c r="X1077" i="12"/>
  <c r="X1076" i="12"/>
  <c r="X1075" i="12"/>
  <c r="X1074" i="12"/>
  <c r="X1073" i="12"/>
  <c r="X1072" i="12"/>
  <c r="X1071" i="12"/>
  <c r="X1070" i="12"/>
  <c r="X1069" i="12"/>
  <c r="X1068" i="12"/>
  <c r="X1067" i="12"/>
  <c r="X1066" i="12"/>
  <c r="X1065" i="12"/>
  <c r="X1064" i="12"/>
  <c r="X1063" i="12"/>
  <c r="X1062" i="12"/>
  <c r="X1061" i="12"/>
  <c r="X1060" i="12"/>
  <c r="X1059" i="12"/>
  <c r="X1058" i="12"/>
  <c r="X1057" i="12"/>
  <c r="X1056" i="12"/>
  <c r="X1055" i="12"/>
  <c r="X1054" i="12"/>
  <c r="X1053" i="12"/>
  <c r="X1052" i="12"/>
  <c r="X1051" i="12"/>
  <c r="X1050" i="12"/>
  <c r="X1049" i="12"/>
  <c r="X1048" i="12"/>
  <c r="X1047" i="12"/>
  <c r="X1046" i="12"/>
  <c r="X1045" i="12"/>
  <c r="X1044" i="12"/>
  <c r="X1043" i="12"/>
  <c r="X1042" i="12"/>
  <c r="X1041" i="12"/>
  <c r="X1040" i="12"/>
  <c r="X1039" i="12"/>
  <c r="X1038" i="12"/>
  <c r="X1037" i="12"/>
  <c r="X1036" i="12"/>
  <c r="X1035" i="12"/>
  <c r="X1034" i="12"/>
  <c r="X1033" i="12"/>
  <c r="X1032" i="12"/>
  <c r="X1031" i="12"/>
  <c r="X1030" i="12"/>
  <c r="X1029" i="12"/>
  <c r="X1028" i="12"/>
  <c r="X1027" i="12"/>
  <c r="X1026" i="12"/>
  <c r="X1025" i="12"/>
  <c r="X1024" i="12"/>
  <c r="X1023" i="12"/>
  <c r="X1022" i="12"/>
  <c r="X1021" i="12"/>
  <c r="X1020" i="12"/>
  <c r="X1019" i="12"/>
  <c r="X1018" i="12"/>
  <c r="X1017" i="12"/>
  <c r="X1016" i="12"/>
  <c r="X1015" i="12"/>
  <c r="X1014" i="12"/>
  <c r="X1013" i="12"/>
  <c r="X1012" i="12"/>
  <c r="X1011" i="12"/>
  <c r="X1010" i="12"/>
  <c r="X1009" i="12"/>
  <c r="X1008" i="12"/>
  <c r="X1007" i="12"/>
  <c r="X1006" i="12"/>
  <c r="X1005" i="12"/>
  <c r="X1004" i="12"/>
  <c r="X1003" i="12"/>
  <c r="X1002" i="12"/>
  <c r="X1001" i="12"/>
  <c r="X1000" i="12"/>
  <c r="X999" i="12"/>
  <c r="X998" i="12"/>
  <c r="X997" i="12"/>
  <c r="X996" i="12"/>
  <c r="X995" i="12"/>
  <c r="X994" i="12"/>
  <c r="X993" i="12"/>
  <c r="X992" i="12"/>
  <c r="X991" i="12"/>
  <c r="X990" i="12"/>
  <c r="X989" i="12"/>
  <c r="X988" i="12"/>
  <c r="X987" i="12"/>
  <c r="X986" i="12"/>
  <c r="X985" i="12"/>
  <c r="X984" i="12"/>
  <c r="X983" i="12"/>
  <c r="X982" i="12"/>
  <c r="X981" i="12"/>
  <c r="X980" i="12"/>
  <c r="X979" i="12"/>
  <c r="X978" i="12"/>
  <c r="X977" i="12"/>
  <c r="X976" i="12"/>
  <c r="X975" i="12"/>
  <c r="X974" i="12"/>
  <c r="X973" i="12"/>
  <c r="X972" i="12"/>
  <c r="X971" i="12"/>
  <c r="X970" i="12"/>
  <c r="X969" i="12"/>
  <c r="X968" i="12"/>
  <c r="X967" i="12"/>
  <c r="X966" i="12"/>
  <c r="X965" i="12"/>
  <c r="X964" i="12"/>
  <c r="X963" i="12"/>
  <c r="X962" i="12"/>
  <c r="X961" i="12"/>
  <c r="X960" i="12"/>
  <c r="X959" i="12"/>
  <c r="X958" i="12"/>
  <c r="X957" i="12"/>
  <c r="X956" i="12"/>
  <c r="X955" i="12"/>
  <c r="X954" i="12"/>
  <c r="X953" i="12"/>
  <c r="X952" i="12"/>
  <c r="X951" i="12"/>
  <c r="X950" i="12"/>
  <c r="X949" i="12"/>
  <c r="X948" i="12"/>
  <c r="X947" i="12"/>
  <c r="X946" i="12"/>
  <c r="X945" i="12"/>
  <c r="X944" i="12"/>
  <c r="X943" i="12"/>
  <c r="X942" i="12"/>
  <c r="X941" i="12"/>
  <c r="X940" i="12"/>
  <c r="X939" i="12"/>
  <c r="X938" i="12"/>
  <c r="X937" i="12"/>
  <c r="X936" i="12"/>
  <c r="X935" i="12"/>
  <c r="X934" i="12"/>
  <c r="X933" i="12"/>
  <c r="X932" i="12"/>
  <c r="X931" i="12"/>
  <c r="X930" i="12"/>
  <c r="X929" i="12"/>
  <c r="X928" i="12"/>
  <c r="X927" i="12"/>
  <c r="X926" i="12"/>
  <c r="X925" i="12"/>
  <c r="X924" i="12"/>
  <c r="X923" i="12"/>
  <c r="X922" i="12"/>
  <c r="X921" i="12"/>
  <c r="X920" i="12"/>
  <c r="X919" i="12"/>
  <c r="X918" i="12"/>
  <c r="X917" i="12"/>
  <c r="X916" i="12"/>
  <c r="X915" i="12"/>
  <c r="X914" i="12"/>
  <c r="X913" i="12"/>
  <c r="X912" i="12"/>
  <c r="X911" i="12"/>
  <c r="X910" i="12"/>
  <c r="X909" i="12"/>
  <c r="X908" i="12"/>
  <c r="X907" i="12"/>
  <c r="X906" i="12"/>
  <c r="X905" i="12"/>
  <c r="X904" i="12"/>
  <c r="X903" i="12"/>
  <c r="X902" i="12"/>
  <c r="X901" i="12"/>
  <c r="X900" i="12"/>
  <c r="X899" i="12"/>
  <c r="X898" i="12"/>
  <c r="X897" i="12"/>
  <c r="X896" i="12"/>
  <c r="X895" i="12"/>
  <c r="X894" i="12"/>
  <c r="X893" i="12"/>
  <c r="X892" i="12"/>
  <c r="X891" i="12"/>
  <c r="X890" i="12"/>
  <c r="X889" i="12"/>
  <c r="X888" i="12"/>
  <c r="X887" i="12"/>
  <c r="X886" i="12"/>
  <c r="X885" i="12"/>
  <c r="X884" i="12"/>
  <c r="X883" i="12"/>
  <c r="X882" i="12"/>
  <c r="X881" i="12"/>
  <c r="X880" i="12"/>
  <c r="X879" i="12"/>
  <c r="X878" i="12"/>
  <c r="X877" i="12"/>
  <c r="X876" i="12"/>
  <c r="X875" i="12"/>
  <c r="X874" i="12"/>
  <c r="X873" i="12"/>
  <c r="X872" i="12"/>
  <c r="X871" i="12"/>
  <c r="X870" i="12"/>
  <c r="X869" i="12"/>
  <c r="X868" i="12"/>
  <c r="X867" i="12"/>
  <c r="X866" i="12"/>
  <c r="X865" i="12"/>
  <c r="X864" i="12"/>
  <c r="X863" i="12"/>
  <c r="X862" i="12"/>
  <c r="X861" i="12"/>
  <c r="X860" i="12"/>
  <c r="X859" i="12"/>
  <c r="X858" i="12"/>
  <c r="X857" i="12"/>
  <c r="X856" i="12"/>
  <c r="X855" i="12"/>
  <c r="X854" i="12"/>
  <c r="X853" i="12"/>
  <c r="X852" i="12"/>
  <c r="X851" i="12"/>
  <c r="X850" i="12"/>
  <c r="X849" i="12"/>
  <c r="X848" i="12"/>
  <c r="X847" i="12"/>
  <c r="X846" i="12"/>
  <c r="X845" i="12"/>
  <c r="X844" i="12"/>
  <c r="X843" i="12"/>
  <c r="X842" i="12"/>
  <c r="X841" i="12"/>
  <c r="X840" i="12"/>
  <c r="X839" i="12"/>
  <c r="X838" i="12"/>
  <c r="X837" i="12"/>
  <c r="X836" i="12"/>
  <c r="X835" i="12"/>
  <c r="X834" i="12"/>
  <c r="X833" i="12"/>
  <c r="X832" i="12"/>
  <c r="X831" i="12"/>
  <c r="X830" i="12"/>
  <c r="X829" i="12"/>
  <c r="X828" i="12"/>
  <c r="X827" i="12"/>
  <c r="X826" i="12"/>
  <c r="X825" i="12"/>
  <c r="X824" i="12"/>
  <c r="X823" i="12"/>
  <c r="X822" i="12"/>
  <c r="X821" i="12"/>
  <c r="X820" i="12"/>
  <c r="X819" i="12"/>
  <c r="X818" i="12"/>
  <c r="X817" i="12"/>
  <c r="X816" i="12"/>
  <c r="X815" i="12"/>
  <c r="X814" i="12"/>
  <c r="X813" i="12"/>
  <c r="X812" i="12"/>
  <c r="X811" i="12"/>
  <c r="X810" i="12"/>
  <c r="X809" i="12"/>
  <c r="X808" i="12"/>
  <c r="X807" i="12"/>
  <c r="X806" i="12"/>
  <c r="X805" i="12"/>
  <c r="X804" i="12"/>
  <c r="X803" i="12"/>
  <c r="X802" i="12"/>
  <c r="X801" i="12"/>
  <c r="X800" i="12"/>
  <c r="X799" i="12"/>
  <c r="X798" i="12"/>
  <c r="X797" i="12"/>
  <c r="X796" i="12"/>
  <c r="X795" i="12"/>
  <c r="X794" i="12"/>
  <c r="X793" i="12"/>
  <c r="X792" i="12"/>
  <c r="X791" i="12"/>
  <c r="X790" i="12"/>
  <c r="X789" i="12"/>
  <c r="X788" i="12"/>
  <c r="X787" i="12"/>
  <c r="X786" i="12"/>
  <c r="X785" i="12"/>
  <c r="X784" i="12"/>
  <c r="X783" i="12"/>
  <c r="X782" i="12"/>
  <c r="X781" i="12"/>
  <c r="X780" i="12"/>
  <c r="X779" i="12"/>
  <c r="X778" i="12"/>
  <c r="X777" i="12"/>
  <c r="X776" i="12"/>
  <c r="X775" i="12"/>
  <c r="X774" i="12"/>
  <c r="X773" i="12"/>
  <c r="X772" i="12"/>
  <c r="X771" i="12"/>
  <c r="X770" i="12"/>
  <c r="X769" i="12"/>
  <c r="X768" i="12"/>
  <c r="X767" i="12"/>
  <c r="X766" i="12"/>
  <c r="X765" i="12"/>
  <c r="X764" i="12"/>
  <c r="X763" i="12"/>
  <c r="X762" i="12"/>
  <c r="X761" i="12"/>
  <c r="X760" i="12"/>
  <c r="X759" i="12"/>
  <c r="X758" i="12"/>
  <c r="X757" i="12"/>
  <c r="X756" i="12"/>
  <c r="X755" i="12"/>
  <c r="X754" i="12"/>
  <c r="X753" i="12"/>
  <c r="X752" i="12"/>
  <c r="X751" i="12"/>
  <c r="X750" i="12"/>
  <c r="X749" i="12"/>
  <c r="X748" i="12"/>
  <c r="X747" i="12"/>
  <c r="X746" i="12"/>
  <c r="X745" i="12"/>
  <c r="X744" i="12"/>
  <c r="X743" i="12"/>
  <c r="X742" i="12"/>
  <c r="X741" i="12"/>
  <c r="X740" i="12"/>
  <c r="X739" i="12"/>
  <c r="X738" i="12"/>
  <c r="X737" i="12"/>
  <c r="X736" i="12"/>
  <c r="X735" i="12"/>
  <c r="X734" i="12"/>
  <c r="X733" i="12"/>
  <c r="X732" i="12"/>
  <c r="X731" i="12"/>
  <c r="X730" i="12"/>
  <c r="X729" i="12"/>
  <c r="X728" i="12"/>
  <c r="X727" i="12"/>
  <c r="X726" i="12"/>
  <c r="X725" i="12"/>
  <c r="X724" i="12"/>
  <c r="X723" i="12"/>
  <c r="X722" i="12"/>
  <c r="X721" i="12"/>
  <c r="X720" i="12"/>
  <c r="X719" i="12"/>
  <c r="X718" i="12"/>
  <c r="X717" i="12"/>
  <c r="X716" i="12"/>
  <c r="X715" i="12"/>
  <c r="X714" i="12"/>
  <c r="X713" i="12"/>
  <c r="X712" i="12"/>
  <c r="X711" i="12"/>
  <c r="X710" i="12"/>
  <c r="X709" i="12"/>
  <c r="X708" i="12"/>
  <c r="X707" i="12"/>
  <c r="X706" i="12"/>
  <c r="X705" i="12"/>
  <c r="X704" i="12"/>
  <c r="X703" i="12"/>
  <c r="X702" i="12"/>
  <c r="X701" i="12"/>
  <c r="X700" i="12"/>
  <c r="X699" i="12"/>
  <c r="X698" i="12"/>
  <c r="X697" i="12"/>
  <c r="X696" i="12"/>
  <c r="X695" i="12"/>
  <c r="X694" i="12"/>
  <c r="X693" i="12"/>
  <c r="X692" i="12"/>
  <c r="X691" i="12"/>
  <c r="X690" i="12"/>
  <c r="X689" i="12"/>
  <c r="X688" i="12"/>
  <c r="X687" i="12"/>
  <c r="X686" i="12"/>
  <c r="X685" i="12"/>
  <c r="X684" i="12"/>
  <c r="X683" i="12"/>
  <c r="X682" i="12"/>
  <c r="X681" i="12"/>
  <c r="X680" i="12"/>
  <c r="X679" i="12"/>
  <c r="X678" i="12"/>
  <c r="X677" i="12"/>
  <c r="X676" i="12"/>
  <c r="X675" i="12"/>
  <c r="X674" i="12"/>
  <c r="X673" i="12"/>
  <c r="X672" i="12"/>
  <c r="X671" i="12"/>
  <c r="X670" i="12"/>
  <c r="X669" i="12"/>
  <c r="X668" i="12"/>
  <c r="X667" i="12"/>
  <c r="X666" i="12"/>
  <c r="X665" i="12"/>
  <c r="X664" i="12"/>
  <c r="X663" i="12"/>
  <c r="X662" i="12"/>
  <c r="X661" i="12"/>
  <c r="X660" i="12"/>
  <c r="X659" i="12"/>
  <c r="X658" i="12"/>
  <c r="X657" i="12"/>
  <c r="X656" i="12"/>
  <c r="X655" i="12"/>
  <c r="X654" i="12"/>
  <c r="X653" i="12"/>
  <c r="X652" i="12"/>
  <c r="X651" i="12"/>
  <c r="X650" i="12"/>
  <c r="X649" i="12"/>
  <c r="X648" i="12"/>
  <c r="X647" i="12"/>
  <c r="X646" i="12"/>
  <c r="X645" i="12"/>
  <c r="X644" i="12"/>
  <c r="X643" i="12"/>
  <c r="X642" i="12"/>
  <c r="X641" i="12"/>
  <c r="X640" i="12"/>
  <c r="X639" i="12"/>
  <c r="X638" i="12"/>
  <c r="X637" i="12"/>
  <c r="X636" i="12"/>
  <c r="X635" i="12"/>
  <c r="X634" i="12"/>
  <c r="X633" i="12"/>
  <c r="X632" i="12"/>
  <c r="X631" i="12"/>
  <c r="X630" i="12"/>
  <c r="X629" i="12"/>
  <c r="X628" i="12"/>
  <c r="X627" i="12"/>
  <c r="X626" i="12"/>
  <c r="X625" i="12"/>
  <c r="X624" i="12"/>
  <c r="X623" i="12"/>
  <c r="X622" i="12"/>
  <c r="X621" i="12"/>
  <c r="X620" i="12"/>
  <c r="X619" i="12"/>
  <c r="X618" i="12"/>
  <c r="X617" i="12"/>
  <c r="X616" i="12"/>
  <c r="X615" i="12"/>
  <c r="X614" i="12"/>
  <c r="X613" i="12"/>
  <c r="X612" i="12"/>
  <c r="X609" i="12"/>
  <c r="X608" i="12"/>
  <c r="X607" i="12"/>
  <c r="X606" i="12"/>
  <c r="X605" i="12"/>
  <c r="X604" i="12"/>
  <c r="X603" i="12"/>
  <c r="X602" i="12"/>
  <c r="X601" i="12"/>
  <c r="X600" i="12"/>
  <c r="X599" i="12"/>
  <c r="X598" i="12"/>
  <c r="X596" i="12"/>
  <c r="X595" i="12"/>
  <c r="X594" i="12"/>
  <c r="X593" i="12"/>
  <c r="X592" i="12"/>
  <c r="X591" i="12"/>
  <c r="X590" i="12"/>
  <c r="X589" i="12"/>
  <c r="X588" i="12"/>
  <c r="X587" i="12"/>
  <c r="X586" i="12"/>
  <c r="X584" i="12"/>
  <c r="X583" i="12"/>
  <c r="X582" i="12"/>
  <c r="X581" i="12"/>
  <c r="X580" i="12"/>
  <c r="X579" i="12"/>
  <c r="X578" i="12"/>
  <c r="X577" i="12"/>
  <c r="X576" i="12"/>
  <c r="X575" i="12"/>
  <c r="X574" i="12"/>
  <c r="X572" i="12"/>
  <c r="X571" i="12"/>
  <c r="X570" i="12"/>
  <c r="X569" i="12"/>
  <c r="X568" i="12"/>
  <c r="X567" i="12"/>
  <c r="X566" i="12"/>
  <c r="X565" i="12"/>
  <c r="X564" i="12"/>
  <c r="X563" i="12"/>
  <c r="X562" i="12"/>
  <c r="X561" i="12"/>
  <c r="X560" i="12"/>
  <c r="X559" i="12"/>
  <c r="X558" i="12"/>
  <c r="X557" i="12"/>
  <c r="X556" i="12"/>
  <c r="X555" i="12"/>
  <c r="X554" i="12"/>
  <c r="X553" i="12"/>
  <c r="X552" i="12"/>
  <c r="X551" i="12"/>
  <c r="X550" i="12"/>
  <c r="X549" i="12"/>
  <c r="X548" i="12"/>
  <c r="X546" i="12"/>
  <c r="X545" i="12"/>
  <c r="X544" i="12"/>
  <c r="X543" i="12"/>
  <c r="X542" i="12"/>
  <c r="X541" i="12"/>
  <c r="X539" i="12"/>
  <c r="X538" i="12"/>
  <c r="X537" i="12"/>
  <c r="X536" i="12"/>
  <c r="X535" i="12"/>
  <c r="X534" i="12"/>
  <c r="X532" i="12"/>
  <c r="X531" i="12"/>
  <c r="X530" i="12"/>
  <c r="X529" i="12"/>
  <c r="X528" i="12"/>
  <c r="X527" i="12"/>
  <c r="X525" i="12"/>
  <c r="X524" i="12"/>
  <c r="X523" i="12"/>
  <c r="X522" i="12"/>
  <c r="X521" i="12"/>
  <c r="X520" i="12"/>
  <c r="X518" i="12"/>
  <c r="X517" i="12"/>
  <c r="X516" i="12"/>
  <c r="X515" i="12"/>
  <c r="X514" i="12"/>
  <c r="X513" i="12"/>
  <c r="X512" i="12"/>
  <c r="X511" i="12"/>
  <c r="X510" i="12"/>
  <c r="X509" i="12"/>
  <c r="X508" i="12"/>
  <c r="X507" i="12"/>
  <c r="X506" i="12"/>
  <c r="X505" i="12"/>
  <c r="X504" i="12"/>
  <c r="X503" i="12"/>
  <c r="X502" i="12"/>
  <c r="X501" i="12"/>
  <c r="X500" i="12"/>
  <c r="X499" i="12"/>
  <c r="X498" i="12"/>
  <c r="X497" i="12"/>
  <c r="X496" i="12"/>
  <c r="X495" i="12"/>
  <c r="X494" i="12"/>
  <c r="X493" i="12"/>
  <c r="X492" i="12"/>
  <c r="X491" i="12"/>
  <c r="X490" i="12"/>
  <c r="X489" i="12"/>
  <c r="X488" i="12"/>
  <c r="X487" i="12"/>
  <c r="X486" i="12"/>
  <c r="X485" i="12"/>
  <c r="X484" i="12"/>
  <c r="X483" i="12"/>
  <c r="X482" i="12"/>
  <c r="X481" i="12"/>
  <c r="X480" i="12"/>
  <c r="X479" i="12"/>
  <c r="X478" i="12"/>
  <c r="X477" i="12"/>
  <c r="X476" i="12"/>
  <c r="X475" i="12"/>
  <c r="X474" i="12"/>
  <c r="X473" i="12"/>
  <c r="X472" i="12"/>
  <c r="X471" i="12"/>
  <c r="X470" i="12"/>
  <c r="X469" i="12"/>
  <c r="X468" i="12"/>
  <c r="X467" i="12"/>
  <c r="X466" i="12"/>
  <c r="X465" i="12"/>
  <c r="X464" i="12"/>
  <c r="X463" i="12"/>
  <c r="X462" i="12"/>
  <c r="X461" i="12"/>
  <c r="X460" i="12"/>
  <c r="X459" i="12"/>
  <c r="X458" i="12"/>
  <c r="X457" i="12"/>
  <c r="X456" i="12"/>
  <c r="X455" i="12"/>
  <c r="X454" i="12"/>
  <c r="X453" i="12"/>
  <c r="X452" i="12"/>
  <c r="X451" i="12"/>
  <c r="X450" i="12"/>
  <c r="X449" i="12"/>
  <c r="X448" i="12"/>
  <c r="X447" i="12"/>
  <c r="X446" i="12"/>
  <c r="X445" i="12"/>
  <c r="X444" i="12"/>
  <c r="X443" i="12"/>
  <c r="X442" i="12"/>
  <c r="X441" i="12"/>
  <c r="X440" i="12"/>
  <c r="X439" i="12"/>
  <c r="X438" i="12"/>
  <c r="X437" i="12"/>
  <c r="X436" i="12"/>
  <c r="X435" i="12"/>
  <c r="X434" i="12"/>
  <c r="X433" i="12"/>
  <c r="X432" i="12"/>
  <c r="X431" i="12"/>
  <c r="X430" i="12"/>
  <c r="X429" i="12"/>
  <c r="X428" i="12"/>
  <c r="X427" i="12"/>
  <c r="X426" i="12"/>
  <c r="X425" i="12"/>
  <c r="X424" i="12"/>
  <c r="X423" i="12"/>
  <c r="X422" i="12"/>
  <c r="X421" i="12"/>
  <c r="X420" i="12"/>
  <c r="X419" i="12"/>
  <c r="X418" i="12"/>
  <c r="X417" i="12"/>
  <c r="X416" i="12"/>
  <c r="X415" i="12"/>
  <c r="X414" i="12"/>
  <c r="X413" i="12"/>
  <c r="X412" i="12"/>
  <c r="X411" i="12"/>
  <c r="X410" i="12"/>
  <c r="X409" i="12"/>
  <c r="X408" i="12"/>
  <c r="X407" i="12"/>
  <c r="X406" i="12"/>
  <c r="X405" i="12"/>
  <c r="X404" i="12"/>
  <c r="X403" i="12"/>
  <c r="X402" i="12"/>
  <c r="X401" i="12"/>
  <c r="X400" i="12"/>
  <c r="X399" i="12"/>
  <c r="X398" i="12"/>
  <c r="X397" i="12"/>
  <c r="X396" i="12"/>
  <c r="X395" i="12"/>
  <c r="X394" i="12"/>
  <c r="X393" i="12"/>
  <c r="X392" i="12"/>
  <c r="X391" i="12"/>
  <c r="X390" i="12"/>
  <c r="X389" i="12"/>
  <c r="X388" i="12"/>
  <c r="X387" i="12"/>
  <c r="X386" i="12"/>
  <c r="X385" i="12"/>
  <c r="X384" i="12"/>
  <c r="X383" i="12"/>
  <c r="X382" i="12"/>
  <c r="X381" i="12"/>
  <c r="X380" i="12"/>
  <c r="X379" i="12"/>
  <c r="X378" i="12"/>
  <c r="X377" i="12"/>
  <c r="X376" i="12"/>
  <c r="X375" i="12"/>
  <c r="X374" i="12"/>
  <c r="X373" i="12"/>
  <c r="X372" i="12"/>
  <c r="X371" i="12"/>
  <c r="X370" i="12"/>
  <c r="X369" i="12"/>
  <c r="X368" i="12"/>
  <c r="X367" i="12"/>
  <c r="X366" i="12"/>
  <c r="X365" i="12"/>
  <c r="X363" i="12"/>
  <c r="X362" i="12"/>
  <c r="X361" i="12"/>
  <c r="X360" i="12"/>
  <c r="X359" i="12"/>
  <c r="X358" i="12"/>
  <c r="X357" i="12"/>
  <c r="X356" i="12"/>
  <c r="X355" i="12"/>
  <c r="X354" i="12"/>
  <c r="X353" i="12"/>
  <c r="X352" i="12"/>
  <c r="X351" i="12"/>
  <c r="X350" i="12"/>
  <c r="X349" i="12"/>
  <c r="X348" i="12"/>
  <c r="X347" i="12"/>
  <c r="X346" i="12"/>
  <c r="X345" i="12"/>
  <c r="X344" i="12"/>
  <c r="X343" i="12"/>
  <c r="X342" i="12"/>
  <c r="X341" i="12"/>
  <c r="X340" i="12"/>
  <c r="X339" i="12"/>
  <c r="X338" i="12"/>
  <c r="X337" i="12"/>
  <c r="X336" i="12"/>
  <c r="X335" i="12"/>
  <c r="X334" i="12"/>
  <c r="X333" i="12"/>
  <c r="X332" i="12"/>
  <c r="X331" i="12"/>
  <c r="X330" i="12"/>
  <c r="X329" i="12"/>
  <c r="X328" i="12"/>
  <c r="X327" i="12"/>
  <c r="X326" i="12"/>
  <c r="X325" i="12"/>
  <c r="X324" i="12"/>
  <c r="X323" i="12"/>
  <c r="X322" i="12"/>
  <c r="X321" i="12"/>
  <c r="X320" i="12"/>
  <c r="X319" i="12"/>
  <c r="X318" i="12"/>
  <c r="X317" i="12"/>
  <c r="X316" i="12"/>
  <c r="X315" i="12"/>
  <c r="X314" i="12"/>
  <c r="X313" i="12"/>
  <c r="X312" i="12"/>
  <c r="X311" i="12"/>
  <c r="X310" i="12"/>
  <c r="X309" i="12"/>
  <c r="X308" i="12"/>
  <c r="X307" i="12"/>
  <c r="X306" i="12"/>
  <c r="X305" i="12"/>
  <c r="X304" i="12"/>
  <c r="X303" i="12"/>
  <c r="X302" i="12"/>
  <c r="X301" i="12"/>
  <c r="X300" i="12"/>
  <c r="X299" i="12"/>
  <c r="X298" i="12"/>
  <c r="X297" i="12"/>
  <c r="X296" i="12"/>
  <c r="X295" i="12"/>
  <c r="X294" i="12"/>
  <c r="X293" i="12"/>
  <c r="X292" i="12"/>
  <c r="X291" i="12"/>
  <c r="X290" i="12"/>
  <c r="X289" i="12"/>
  <c r="X288" i="12"/>
  <c r="X287" i="12"/>
  <c r="X286" i="12"/>
  <c r="X285" i="12"/>
  <c r="X284" i="12"/>
  <c r="X283" i="12"/>
  <c r="X282" i="12"/>
  <c r="X281" i="12"/>
  <c r="X280" i="12"/>
  <c r="X279" i="12"/>
  <c r="X278" i="12"/>
  <c r="X277" i="12"/>
  <c r="X276" i="12"/>
  <c r="X275" i="12"/>
  <c r="X274" i="12"/>
  <c r="X273" i="12"/>
  <c r="X272" i="12"/>
  <c r="X271" i="12"/>
  <c r="X270" i="12"/>
  <c r="X269" i="12"/>
  <c r="X268" i="12"/>
  <c r="X267" i="12"/>
  <c r="X266" i="12"/>
  <c r="X265" i="12"/>
  <c r="X264" i="12"/>
  <c r="X263" i="12"/>
  <c r="X262" i="12"/>
  <c r="X261" i="12"/>
  <c r="X260" i="12"/>
  <c r="X259" i="12"/>
  <c r="X258" i="12"/>
  <c r="X257" i="12"/>
  <c r="X256" i="12"/>
  <c r="X255" i="12"/>
  <c r="X254" i="12"/>
  <c r="X253" i="12"/>
  <c r="X252" i="12"/>
  <c r="X251" i="12"/>
  <c r="X250" i="12"/>
  <c r="X249" i="12"/>
  <c r="X248" i="12"/>
  <c r="X247" i="12"/>
  <c r="X246" i="12"/>
  <c r="X245" i="12"/>
  <c r="X244" i="12"/>
  <c r="X243" i="12"/>
  <c r="X242" i="12"/>
  <c r="X241" i="12"/>
  <c r="X240" i="12"/>
  <c r="X239" i="12"/>
  <c r="X238" i="12"/>
  <c r="X237" i="12"/>
  <c r="X236" i="12"/>
  <c r="X235" i="12"/>
  <c r="X234" i="12"/>
  <c r="X233" i="12"/>
  <c r="X232" i="12"/>
  <c r="X231" i="12"/>
  <c r="X230" i="12"/>
  <c r="X229" i="12"/>
  <c r="X228" i="12"/>
  <c r="X227" i="12"/>
  <c r="X226" i="12"/>
  <c r="X225" i="12"/>
  <c r="X224" i="12"/>
  <c r="X223" i="12"/>
  <c r="X222" i="12"/>
  <c r="X221" i="12"/>
  <c r="X220" i="12"/>
  <c r="X219" i="12"/>
  <c r="X218" i="12"/>
  <c r="X217" i="12"/>
  <c r="X216" i="12"/>
  <c r="X215" i="12"/>
  <c r="X214" i="12"/>
  <c r="X213" i="12"/>
  <c r="X212" i="12"/>
  <c r="X211" i="12"/>
  <c r="X210" i="12"/>
  <c r="X208" i="12"/>
  <c r="X207" i="12"/>
  <c r="X206" i="12"/>
  <c r="X205" i="12"/>
  <c r="X204" i="12"/>
  <c r="X203" i="12"/>
  <c r="X202" i="12"/>
  <c r="X201" i="12"/>
  <c r="X200" i="12"/>
  <c r="X199" i="12"/>
  <c r="X198" i="12"/>
  <c r="X197" i="12"/>
  <c r="X196" i="12"/>
  <c r="X195" i="12"/>
  <c r="X194" i="12"/>
  <c r="X193" i="12"/>
  <c r="X192" i="12"/>
  <c r="X191" i="12"/>
  <c r="X190" i="12"/>
  <c r="X189" i="12"/>
  <c r="X188" i="12"/>
  <c r="X187" i="12"/>
  <c r="X186" i="12"/>
  <c r="X185" i="12"/>
  <c r="X184" i="12"/>
  <c r="X183" i="12"/>
  <c r="X182" i="12"/>
  <c r="X181" i="12"/>
  <c r="X180" i="12"/>
  <c r="X179" i="12"/>
  <c r="X178" i="12"/>
  <c r="X177" i="12"/>
  <c r="X176" i="12"/>
  <c r="X175" i="12"/>
  <c r="X174" i="12"/>
  <c r="X173" i="12"/>
  <c r="X172" i="12"/>
  <c r="X171" i="12"/>
  <c r="X170" i="12"/>
  <c r="X169" i="12"/>
  <c r="X168" i="12"/>
  <c r="X167" i="12"/>
  <c r="X166" i="12"/>
  <c r="X165" i="12"/>
  <c r="X164" i="12"/>
  <c r="X163" i="12"/>
  <c r="X161" i="12"/>
  <c r="X160" i="12"/>
  <c r="X159" i="12"/>
  <c r="X158" i="12"/>
  <c r="X157" i="12"/>
  <c r="X156" i="12"/>
  <c r="X155" i="12"/>
  <c r="X154" i="12"/>
  <c r="X153" i="12"/>
  <c r="X152" i="12"/>
  <c r="X151" i="12"/>
  <c r="X150" i="12"/>
  <c r="X149" i="12"/>
  <c r="X148" i="12"/>
  <c r="X147" i="12"/>
  <c r="X146" i="12"/>
  <c r="X145" i="12"/>
  <c r="X144" i="12"/>
  <c r="X143" i="12"/>
  <c r="X142" i="12"/>
  <c r="X141" i="12"/>
  <c r="X140" i="12"/>
  <c r="X139" i="12"/>
  <c r="X138" i="12"/>
  <c r="X137" i="12"/>
  <c r="X136" i="12"/>
  <c r="X135" i="12"/>
  <c r="X134" i="12"/>
  <c r="X133" i="12"/>
  <c r="X132" i="12"/>
  <c r="X131" i="12"/>
  <c r="X130" i="12"/>
  <c r="X129" i="12"/>
  <c r="X128" i="12"/>
  <c r="X127" i="12"/>
  <c r="X126" i="12"/>
  <c r="X125" i="12"/>
  <c r="X124" i="12"/>
  <c r="X123" i="12"/>
  <c r="X122" i="12"/>
  <c r="X121" i="12"/>
  <c r="X120" i="12"/>
  <c r="X119" i="12"/>
  <c r="X118" i="12"/>
  <c r="X117" i="12"/>
  <c r="X116" i="12"/>
  <c r="X115" i="12"/>
  <c r="X114" i="12"/>
  <c r="X113" i="12"/>
  <c r="X112" i="12"/>
  <c r="X111" i="12"/>
  <c r="X110" i="12"/>
  <c r="X109" i="12"/>
  <c r="X108" i="12"/>
  <c r="X107" i="12"/>
  <c r="X106" i="12"/>
  <c r="X105" i="12"/>
  <c r="X104" i="12"/>
  <c r="X103" i="12"/>
  <c r="X102" i="12"/>
  <c r="X101" i="12"/>
  <c r="X100" i="12"/>
  <c r="X99" i="12"/>
  <c r="X98" i="12"/>
  <c r="X97" i="12"/>
  <c r="X96" i="12"/>
  <c r="X95" i="12"/>
  <c r="X94" i="12"/>
  <c r="X93" i="12"/>
  <c r="X92" i="12"/>
  <c r="X91" i="12"/>
  <c r="X90" i="12"/>
  <c r="X89" i="12"/>
  <c r="X88" i="12"/>
  <c r="X87" i="12"/>
  <c r="X86" i="12"/>
  <c r="X85" i="12"/>
  <c r="X84" i="12"/>
  <c r="X83" i="12"/>
  <c r="X82" i="12"/>
  <c r="X81" i="12"/>
  <c r="X80" i="12"/>
  <c r="X79" i="12"/>
  <c r="X78" i="12"/>
  <c r="X77" i="12"/>
  <c r="X76" i="12"/>
  <c r="X75" i="12"/>
  <c r="X74" i="12"/>
  <c r="X73" i="12"/>
  <c r="X72" i="12"/>
  <c r="X71" i="12"/>
  <c r="X70" i="12"/>
  <c r="X69" i="12"/>
  <c r="X68" i="12"/>
  <c r="X67" i="12"/>
  <c r="X66" i="12"/>
  <c r="X65" i="12"/>
  <c r="X64" i="12"/>
  <c r="X63" i="12"/>
  <c r="X62" i="12"/>
  <c r="X61" i="12"/>
  <c r="X60" i="12"/>
  <c r="X59" i="12"/>
  <c r="X58" i="12"/>
  <c r="X57" i="12"/>
  <c r="X56" i="12"/>
  <c r="X55" i="12"/>
  <c r="X54" i="12"/>
  <c r="X53" i="12"/>
  <c r="X52" i="12"/>
  <c r="X51" i="12"/>
  <c r="X50" i="12"/>
  <c r="X49" i="12"/>
  <c r="X48" i="12"/>
  <c r="X47" i="12"/>
  <c r="X46" i="12"/>
  <c r="X45" i="12"/>
  <c r="X44" i="12"/>
  <c r="X43" i="12"/>
  <c r="X42" i="12"/>
  <c r="X41" i="12"/>
  <c r="X40" i="12"/>
  <c r="X39" i="12"/>
  <c r="X38" i="12"/>
  <c r="X37" i="12"/>
  <c r="X36" i="12"/>
  <c r="X35" i="12"/>
  <c r="X34" i="12"/>
  <c r="X33" i="12"/>
  <c r="X32" i="12"/>
  <c r="X31" i="12"/>
  <c r="X30" i="12"/>
  <c r="X29" i="12"/>
  <c r="X28" i="12"/>
  <c r="X27" i="12"/>
  <c r="X26" i="12"/>
  <c r="X25" i="12"/>
  <c r="X24" i="12"/>
  <c r="X23" i="12"/>
  <c r="X22" i="12"/>
  <c r="X21" i="12"/>
  <c r="X20" i="12"/>
  <c r="X19" i="12"/>
  <c r="X18" i="12"/>
  <c r="X17" i="12"/>
  <c r="X16" i="12"/>
  <c r="X15" i="12"/>
  <c r="X14" i="12"/>
  <c r="X13" i="12"/>
  <c r="X12" i="12"/>
  <c r="X11" i="12"/>
  <c r="X10" i="12"/>
  <c r="X9" i="12"/>
  <c r="W6822" i="12" l="1"/>
  <c r="W7186" i="12"/>
  <c r="G572" i="12" l="1"/>
  <c r="G571" i="12"/>
  <c r="G570" i="12"/>
  <c r="G569" i="12"/>
  <c r="G568" i="12"/>
  <c r="G567" i="12"/>
  <c r="G566" i="12"/>
  <c r="G565" i="12"/>
  <c r="G564" i="12"/>
  <c r="G563" i="12"/>
  <c r="G562" i="12"/>
  <c r="G561" i="12"/>
  <c r="G560" i="12"/>
  <c r="G559" i="12"/>
  <c r="G558" i="12"/>
  <c r="G557" i="12"/>
  <c r="G556" i="12"/>
  <c r="G555" i="12"/>
  <c r="G554" i="12"/>
  <c r="G553" i="12"/>
  <c r="G552" i="12"/>
  <c r="G551" i="12"/>
  <c r="G550" i="12"/>
  <c r="G549" i="12"/>
  <c r="G518" i="12"/>
  <c r="G517" i="12"/>
  <c r="G516" i="12"/>
  <c r="G515" i="12"/>
  <c r="G514" i="12"/>
  <c r="G513" i="12"/>
  <c r="G512" i="12"/>
  <c r="G511" i="12"/>
  <c r="G510" i="12"/>
  <c r="G509" i="12"/>
  <c r="G508" i="12"/>
  <c r="G507" i="12"/>
  <c r="G506" i="12"/>
  <c r="G505" i="12"/>
  <c r="G504" i="12"/>
  <c r="G503" i="12"/>
  <c r="G502" i="12"/>
  <c r="G501" i="12"/>
  <c r="G500" i="12"/>
  <c r="G499" i="12"/>
  <c r="G498" i="12"/>
  <c r="G497" i="12"/>
  <c r="G496" i="12"/>
  <c r="G495" i="12"/>
  <c r="G494" i="12"/>
  <c r="G493" i="12"/>
  <c r="G492" i="12"/>
  <c r="G491" i="12"/>
  <c r="G490" i="12"/>
  <c r="G489" i="12"/>
  <c r="G488" i="12"/>
  <c r="G487" i="12"/>
  <c r="G486" i="12"/>
  <c r="G485" i="12"/>
  <c r="G484" i="12"/>
  <c r="G483" i="12"/>
  <c r="G482" i="12"/>
  <c r="G481" i="12"/>
  <c r="G480" i="12"/>
  <c r="G479" i="12"/>
  <c r="G478" i="12"/>
  <c r="G477" i="12"/>
  <c r="G476" i="12"/>
  <c r="G475" i="12"/>
  <c r="G474" i="12"/>
  <c r="G473" i="12"/>
  <c r="G472" i="12"/>
  <c r="G471" i="12"/>
  <c r="G470" i="12"/>
  <c r="G469" i="12"/>
  <c r="G468" i="12"/>
  <c r="G467" i="12"/>
  <c r="G466" i="12"/>
  <c r="G465" i="12"/>
  <c r="G464" i="12"/>
  <c r="G463" i="12"/>
  <c r="G462" i="12"/>
  <c r="G461" i="12"/>
  <c r="G460" i="12"/>
  <c r="G459" i="12"/>
  <c r="G458" i="12"/>
  <c r="G457" i="12"/>
  <c r="G456" i="12"/>
  <c r="G455" i="12"/>
  <c r="G454" i="12"/>
  <c r="G453" i="12"/>
  <c r="G452" i="12"/>
  <c r="G451" i="12"/>
  <c r="G450" i="12"/>
  <c r="G449" i="12"/>
  <c r="G448" i="12"/>
  <c r="G447" i="12"/>
  <c r="G446" i="12"/>
  <c r="G445" i="12"/>
  <c r="G444" i="12"/>
  <c r="G443" i="12"/>
  <c r="G442" i="12"/>
  <c r="G441" i="12"/>
  <c r="G440" i="12"/>
  <c r="G439" i="12"/>
  <c r="G438" i="12"/>
  <c r="G437" i="12"/>
  <c r="G436" i="12"/>
  <c r="G435" i="12"/>
  <c r="G434" i="12"/>
  <c r="G433" i="12"/>
  <c r="G432" i="12"/>
  <c r="G431" i="12"/>
  <c r="G430" i="12"/>
  <c r="G429" i="12"/>
  <c r="G428" i="12"/>
  <c r="G427" i="12"/>
  <c r="G426" i="12"/>
  <c r="G425" i="12"/>
  <c r="G424" i="12"/>
  <c r="G423" i="12"/>
  <c r="G422" i="12"/>
  <c r="G421" i="12"/>
  <c r="G420" i="12"/>
  <c r="G419" i="12"/>
  <c r="G418" i="12"/>
  <c r="G417" i="12"/>
  <c r="G416" i="12"/>
  <c r="G415" i="12"/>
  <c r="G414" i="12"/>
  <c r="G413" i="12"/>
  <c r="G412" i="12"/>
  <c r="G411" i="12"/>
  <c r="G410" i="12"/>
  <c r="G409" i="12"/>
  <c r="G408" i="12"/>
  <c r="G407" i="12"/>
  <c r="G406" i="12"/>
  <c r="G405" i="12"/>
  <c r="G404" i="12"/>
  <c r="G403" i="12"/>
  <c r="G402" i="12"/>
  <c r="G401" i="12"/>
  <c r="G400" i="12"/>
  <c r="G399" i="12"/>
  <c r="G398" i="12"/>
  <c r="G397" i="12"/>
  <c r="G396" i="12"/>
  <c r="G395" i="12"/>
  <c r="G394" i="12"/>
  <c r="G393" i="12"/>
  <c r="G392" i="12"/>
  <c r="G391" i="12"/>
  <c r="G390" i="12"/>
  <c r="G389" i="12"/>
  <c r="G388" i="12"/>
  <c r="G387" i="12"/>
  <c r="G386" i="12"/>
  <c r="G385" i="12"/>
  <c r="G384" i="12"/>
  <c r="G383" i="12"/>
  <c r="G382" i="12"/>
  <c r="G381" i="12"/>
  <c r="G380" i="12"/>
  <c r="G379" i="12"/>
  <c r="G378" i="12"/>
  <c r="G377" i="12"/>
  <c r="G376" i="12"/>
  <c r="G375" i="12"/>
  <c r="G374" i="12"/>
  <c r="G373" i="12"/>
  <c r="G372" i="12"/>
  <c r="G371" i="12"/>
  <c r="G370" i="12"/>
  <c r="G369" i="12"/>
  <c r="G368" i="12"/>
  <c r="G367" i="12"/>
  <c r="G366" i="12"/>
  <c r="G363" i="12"/>
  <c r="G362" i="12"/>
  <c r="G361" i="12"/>
  <c r="G360" i="12"/>
  <c r="G359" i="12"/>
  <c r="G358" i="12"/>
  <c r="G357" i="12"/>
  <c r="G356" i="12"/>
  <c r="G355" i="12"/>
  <c r="G354" i="12"/>
  <c r="G353" i="12"/>
  <c r="G352" i="12"/>
  <c r="G351" i="12"/>
  <c r="G350" i="12"/>
  <c r="G349" i="12"/>
  <c r="G348" i="12"/>
  <c r="G347" i="12"/>
  <c r="G346" i="12"/>
  <c r="G345" i="12"/>
  <c r="G344" i="12"/>
  <c r="G343" i="12"/>
  <c r="G342" i="12"/>
  <c r="G341" i="12"/>
  <c r="G340" i="12"/>
  <c r="G339" i="12"/>
  <c r="G338" i="12"/>
  <c r="G337" i="12"/>
  <c r="G336" i="12"/>
  <c r="G335" i="12"/>
  <c r="G334" i="12"/>
  <c r="G333" i="12"/>
  <c r="G332" i="12"/>
  <c r="G331" i="12"/>
  <c r="G330" i="12"/>
  <c r="G329" i="12"/>
  <c r="G328" i="12"/>
  <c r="G327" i="12"/>
  <c r="G326" i="12"/>
  <c r="G325" i="12"/>
  <c r="G324" i="12"/>
  <c r="G323" i="12"/>
  <c r="G322" i="12"/>
  <c r="G321" i="12"/>
  <c r="G320" i="12"/>
  <c r="G319" i="12"/>
  <c r="G318" i="12"/>
  <c r="G317" i="12"/>
  <c r="G316" i="12"/>
  <c r="G315" i="12"/>
  <c r="G314" i="12"/>
  <c r="G313" i="12"/>
  <c r="G312" i="12"/>
  <c r="G311" i="12"/>
  <c r="G310" i="12"/>
  <c r="G309" i="12"/>
  <c r="G308" i="12"/>
  <c r="G307" i="12"/>
  <c r="G306" i="12"/>
  <c r="G305" i="12"/>
  <c r="G304" i="12"/>
  <c r="G303" i="12"/>
  <c r="G302" i="12"/>
  <c r="G301" i="12"/>
  <c r="G300" i="12"/>
  <c r="G299" i="12"/>
  <c r="G298" i="12"/>
  <c r="G297" i="12"/>
  <c r="G296" i="12"/>
  <c r="G295" i="12"/>
  <c r="G294" i="12"/>
  <c r="G293" i="12"/>
  <c r="G292" i="12"/>
  <c r="G291" i="12"/>
  <c r="G290" i="12"/>
  <c r="G289" i="12"/>
  <c r="G288" i="12"/>
  <c r="G287" i="12"/>
  <c r="G286" i="12"/>
  <c r="G285" i="12"/>
  <c r="G284" i="12"/>
  <c r="G283" i="12"/>
  <c r="G282" i="12"/>
  <c r="G281" i="12"/>
  <c r="G280" i="12"/>
  <c r="G279" i="12"/>
  <c r="G278" i="12"/>
  <c r="G277" i="12"/>
  <c r="G276" i="12"/>
  <c r="G275" i="12"/>
  <c r="G274" i="12"/>
  <c r="G273" i="12"/>
  <c r="G272" i="12"/>
  <c r="G271" i="12"/>
  <c r="G270" i="12"/>
  <c r="G269" i="12"/>
  <c r="G268" i="12"/>
  <c r="G267" i="12"/>
  <c r="G266" i="12"/>
  <c r="G265" i="12"/>
  <c r="G264" i="12"/>
  <c r="G263" i="12"/>
  <c r="G262" i="12"/>
  <c r="G261" i="12"/>
  <c r="G260" i="12"/>
  <c r="G259" i="12"/>
  <c r="G258" i="12"/>
  <c r="G257" i="12"/>
  <c r="G256" i="12"/>
  <c r="G255" i="12"/>
  <c r="G254" i="12"/>
  <c r="G253" i="12"/>
  <c r="G252" i="12"/>
  <c r="G251" i="12"/>
  <c r="G250" i="12"/>
  <c r="G249" i="12"/>
  <c r="G248" i="12"/>
  <c r="G247" i="12"/>
  <c r="G246" i="12"/>
  <c r="G245" i="12"/>
  <c r="G244" i="12"/>
  <c r="G243" i="12"/>
  <c r="G242" i="12"/>
  <c r="G241" i="12"/>
  <c r="G240" i="12"/>
  <c r="G239" i="12"/>
  <c r="G238" i="12"/>
  <c r="G237" i="12"/>
  <c r="G236" i="12"/>
  <c r="G235" i="12"/>
  <c r="G234" i="12"/>
  <c r="G233" i="12"/>
  <c r="G232" i="12"/>
  <c r="G231" i="12"/>
  <c r="G230" i="12"/>
  <c r="G229" i="12"/>
  <c r="G228" i="12"/>
  <c r="G227" i="12"/>
  <c r="G226" i="12"/>
  <c r="G225" i="12"/>
  <c r="G224" i="12"/>
  <c r="G223" i="12"/>
  <c r="G222" i="12"/>
  <c r="G221" i="12"/>
  <c r="G220" i="12"/>
  <c r="G219" i="12"/>
  <c r="G218" i="12"/>
  <c r="G217" i="12"/>
  <c r="G216" i="12"/>
  <c r="G215" i="12"/>
  <c r="G214" i="12"/>
  <c r="G213" i="12"/>
  <c r="G212" i="12"/>
  <c r="G211" i="12"/>
  <c r="G599" i="12"/>
  <c r="G600" i="12"/>
  <c r="G601" i="12"/>
  <c r="G602" i="12"/>
  <c r="G603" i="12"/>
  <c r="G604" i="12"/>
  <c r="G605" i="12"/>
  <c r="G606" i="12"/>
  <c r="G607" i="12"/>
  <c r="G608" i="12"/>
  <c r="G609" i="12"/>
  <c r="G584" i="12"/>
  <c r="G583" i="12"/>
  <c r="G582" i="12"/>
  <c r="G581" i="12"/>
  <c r="G580" i="12"/>
  <c r="G579" i="12"/>
  <c r="G578" i="12"/>
  <c r="G577" i="12"/>
  <c r="G576" i="12"/>
  <c r="G575" i="12"/>
  <c r="G574" i="12"/>
  <c r="G10" i="12"/>
  <c r="G12" i="12"/>
  <c r="G13" i="12"/>
  <c r="G14" i="12"/>
  <c r="G17" i="12"/>
  <c r="G18" i="12"/>
  <c r="G20" i="12"/>
  <c r="G21" i="12"/>
  <c r="G22" i="12"/>
  <c r="G24" i="12"/>
  <c r="G25" i="12"/>
  <c r="G26" i="12"/>
  <c r="G29" i="12"/>
  <c r="G30" i="12"/>
  <c r="G31" i="12"/>
  <c r="G32" i="12"/>
  <c r="G33" i="12"/>
  <c r="G34" i="12"/>
  <c r="G37" i="12"/>
  <c r="G38" i="12"/>
  <c r="G39" i="12"/>
  <c r="G40" i="12"/>
  <c r="G41" i="12"/>
  <c r="G42" i="12"/>
  <c r="G45" i="12"/>
  <c r="G46" i="12"/>
  <c r="G47" i="12"/>
  <c r="G48" i="12"/>
  <c r="G49" i="12"/>
  <c r="G50" i="12"/>
  <c r="G53" i="12"/>
  <c r="G54" i="12"/>
  <c r="G56" i="12"/>
  <c r="G57" i="12"/>
  <c r="G58" i="12"/>
  <c r="G61" i="12"/>
  <c r="G62" i="12"/>
  <c r="G64" i="12"/>
  <c r="G65" i="12"/>
  <c r="G66" i="12"/>
  <c r="G69" i="12"/>
  <c r="G70" i="12"/>
  <c r="G72" i="12"/>
  <c r="G73" i="12"/>
  <c r="G74" i="12"/>
  <c r="G77" i="12"/>
  <c r="G78" i="12"/>
  <c r="G80" i="12"/>
  <c r="G81" i="12"/>
  <c r="G82" i="12"/>
  <c r="G85" i="12"/>
  <c r="G86" i="12"/>
  <c r="G88" i="12"/>
  <c r="G89" i="12"/>
  <c r="G90" i="12"/>
  <c r="G93" i="12"/>
  <c r="G94" i="12"/>
  <c r="G96" i="12"/>
  <c r="G97" i="12"/>
  <c r="G98" i="12"/>
  <c r="G101" i="12"/>
  <c r="G102" i="12"/>
  <c r="G104" i="12"/>
  <c r="G105" i="12"/>
  <c r="G106" i="12"/>
  <c r="G109" i="12"/>
  <c r="G110" i="12"/>
  <c r="G112" i="12"/>
  <c r="G113" i="12"/>
  <c r="G114" i="12"/>
  <c r="G117" i="12"/>
  <c r="G118" i="12"/>
  <c r="G120" i="12"/>
  <c r="G121" i="12"/>
  <c r="G122" i="12"/>
  <c r="G125" i="12"/>
  <c r="G126" i="12"/>
  <c r="G128" i="12"/>
  <c r="G129" i="12"/>
  <c r="G130" i="12"/>
  <c r="G133" i="12"/>
  <c r="G134" i="12"/>
  <c r="G136" i="12"/>
  <c r="G137" i="12"/>
  <c r="G138" i="12"/>
  <c r="G141" i="12"/>
  <c r="G142" i="12"/>
  <c r="G144" i="12"/>
  <c r="G145" i="12"/>
  <c r="G146" i="12"/>
  <c r="G149" i="12"/>
  <c r="G150" i="12"/>
  <c r="G152" i="12"/>
  <c r="G153" i="12"/>
  <c r="G154" i="12"/>
  <c r="G157" i="12"/>
  <c r="G158" i="12"/>
  <c r="G160" i="12"/>
  <c r="G161" i="12"/>
  <c r="G9" i="12"/>
  <c r="G35" i="12"/>
  <c r="G36" i="12"/>
  <c r="G43" i="12"/>
  <c r="G44" i="12"/>
  <c r="G51" i="12"/>
  <c r="G52" i="12"/>
  <c r="G16" i="12"/>
  <c r="G27" i="12"/>
  <c r="G28" i="12"/>
  <c r="G159" i="12"/>
  <c r="G156" i="12"/>
  <c r="G155" i="12"/>
  <c r="G151" i="12"/>
  <c r="G148" i="12"/>
  <c r="G147" i="12"/>
  <c r="G143" i="12"/>
  <c r="G140" i="12"/>
  <c r="G139" i="12"/>
  <c r="G135" i="12"/>
  <c r="G132" i="12"/>
  <c r="G131" i="12"/>
  <c r="G127" i="12"/>
  <c r="G124" i="12"/>
  <c r="G123" i="12"/>
  <c r="G119" i="12"/>
  <c r="G116" i="12"/>
  <c r="G115" i="12"/>
  <c r="G111" i="12"/>
  <c r="G108" i="12"/>
  <c r="G107" i="12"/>
  <c r="G103" i="12"/>
  <c r="G100" i="12"/>
  <c r="G99" i="12"/>
  <c r="G95" i="12"/>
  <c r="G92" i="12"/>
  <c r="G91" i="12"/>
  <c r="G87" i="12"/>
  <c r="G84" i="12"/>
  <c r="G83" i="12"/>
  <c r="G79" i="12"/>
  <c r="G76" i="12"/>
  <c r="G75" i="12"/>
  <c r="G71" i="12"/>
  <c r="G68" i="12"/>
  <c r="G67" i="12"/>
  <c r="G63" i="12"/>
  <c r="G60" i="12"/>
  <c r="G59" i="12"/>
  <c r="G55" i="12"/>
  <c r="G23" i="12"/>
  <c r="G19" i="12"/>
  <c r="G15" i="12"/>
  <c r="G11" i="12"/>
  <c r="G594" i="12"/>
  <c r="G593" i="12"/>
  <c r="G592" i="12"/>
  <c r="G591" i="12"/>
  <c r="G590" i="12"/>
  <c r="G589" i="12"/>
  <c r="G588" i="12"/>
  <c r="G3304" i="11" l="1"/>
  <c r="G3303" i="11"/>
  <c r="G3302" i="11"/>
  <c r="G22" i="17" l="1"/>
  <c r="G115" i="17"/>
  <c r="G114" i="17"/>
  <c r="G113" i="17"/>
  <c r="G112" i="17"/>
  <c r="G111" i="17"/>
  <c r="G110" i="17"/>
  <c r="G97" i="17"/>
  <c r="G98" i="17"/>
  <c r="G99" i="17"/>
  <c r="G100" i="17"/>
  <c r="G101" i="17"/>
  <c r="G102" i="17"/>
  <c r="G103" i="17"/>
  <c r="G104" i="17"/>
  <c r="G105" i="17"/>
  <c r="G106" i="17"/>
  <c r="G107" i="17"/>
  <c r="G108" i="17"/>
  <c r="G109" i="17"/>
  <c r="G1010" i="17"/>
  <c r="G1009" i="17"/>
  <c r="G1008" i="17"/>
  <c r="G997" i="17"/>
  <c r="G996" i="17"/>
  <c r="G995" i="17"/>
  <c r="G994" i="17"/>
  <c r="G993" i="17"/>
  <c r="G992" i="17"/>
  <c r="G991" i="17"/>
  <c r="G990" i="17"/>
  <c r="G989" i="17"/>
  <c r="G988" i="17"/>
  <c r="G987" i="17"/>
  <c r="G986" i="17"/>
  <c r="G985" i="17"/>
  <c r="G984" i="17"/>
  <c r="G983" i="17"/>
  <c r="G982" i="17"/>
  <c r="G981" i="17"/>
  <c r="G980" i="17"/>
  <c r="G979" i="17"/>
  <c r="G978" i="17"/>
  <c r="G977" i="17"/>
  <c r="G976" i="17"/>
  <c r="G975" i="17"/>
  <c r="G969" i="17"/>
  <c r="G968" i="17"/>
  <c r="G967" i="17"/>
  <c r="G966" i="17"/>
  <c r="G965" i="17"/>
  <c r="G964" i="17"/>
  <c r="G963" i="17"/>
  <c r="G962" i="17"/>
  <c r="G961" i="17"/>
  <c r="G960" i="17"/>
  <c r="G959" i="17"/>
  <c r="G958" i="17"/>
  <c r="G957" i="17"/>
  <c r="G956" i="17"/>
  <c r="G955" i="17"/>
  <c r="G954" i="17"/>
  <c r="G953" i="17"/>
  <c r="G952" i="17"/>
  <c r="G951" i="17"/>
  <c r="G950" i="17"/>
  <c r="G949" i="17"/>
  <c r="G948" i="17"/>
  <c r="G947" i="17"/>
  <c r="G946" i="17"/>
  <c r="G945" i="17"/>
  <c r="G944" i="17"/>
  <c r="G943" i="17"/>
  <c r="G942" i="17"/>
  <c r="G941" i="17"/>
  <c r="G940" i="17"/>
  <c r="G939" i="17"/>
  <c r="G938" i="17"/>
  <c r="G937" i="17"/>
  <c r="G936" i="17"/>
  <c r="G935" i="17"/>
  <c r="G934" i="17"/>
  <c r="G933" i="17"/>
  <c r="G23" i="17"/>
  <c r="G62" i="17" l="1"/>
  <c r="G21" i="17"/>
  <c r="G20" i="17"/>
  <c r="G19" i="17"/>
  <c r="G18" i="17"/>
  <c r="G1011" i="17"/>
  <c r="G1012" i="17"/>
  <c r="G970" i="17"/>
  <c r="G232" i="11"/>
  <c r="G233" i="11"/>
  <c r="G234" i="11"/>
  <c r="G235" i="11"/>
  <c r="G236" i="11"/>
  <c r="G732" i="17"/>
  <c r="G731" i="17"/>
  <c r="G730" i="17"/>
  <c r="G729" i="17"/>
  <c r="G728" i="17"/>
  <c r="G725" i="17"/>
  <c r="G724" i="17"/>
  <c r="G721" i="17"/>
  <c r="G720" i="17"/>
  <c r="G717" i="17"/>
  <c r="G716" i="17"/>
  <c r="G715" i="17"/>
  <c r="G714" i="17"/>
  <c r="G700" i="17"/>
  <c r="G569" i="11"/>
  <c r="G568" i="11"/>
  <c r="G567" i="11"/>
  <c r="G3048" i="11"/>
  <c r="AU238" i="25"/>
  <c r="AV238" i="25"/>
  <c r="AW238" i="25"/>
  <c r="G221" i="16"/>
  <c r="G222" i="16"/>
  <c r="G220" i="16"/>
  <c r="G219" i="16"/>
  <c r="G218" i="16"/>
  <c r="G217" i="16"/>
  <c r="G216" i="16"/>
  <c r="G215" i="16"/>
  <c r="G214" i="16"/>
  <c r="G213" i="16"/>
  <c r="G212" i="16"/>
  <c r="G211" i="16"/>
  <c r="G210" i="16"/>
  <c r="G209" i="16"/>
  <c r="G208" i="16"/>
  <c r="G207" i="16"/>
  <c r="G206" i="16"/>
  <c r="G186" i="16"/>
  <c r="G187" i="16"/>
  <c r="G79" i="11"/>
  <c r="G80" i="11"/>
  <c r="G81" i="11"/>
  <c r="G8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71" i="11"/>
  <c r="G72" i="11"/>
  <c r="G73" i="11"/>
  <c r="G74" i="11"/>
  <c r="G75" i="11"/>
  <c r="G76" i="11"/>
  <c r="G77" i="11"/>
  <c r="G78" i="11"/>
  <c r="G179" i="11"/>
  <c r="G180" i="11"/>
  <c r="G181" i="11"/>
  <c r="G182" i="11"/>
  <c r="G183" i="11"/>
  <c r="G184" i="11"/>
  <c r="G185" i="11"/>
  <c r="G186" i="11"/>
  <c r="G187" i="11"/>
  <c r="G188"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2" i="11"/>
  <c r="G133" i="11"/>
  <c r="G134" i="11"/>
  <c r="G135" i="11"/>
  <c r="G136" i="11"/>
  <c r="G137" i="11"/>
  <c r="G138" i="11"/>
  <c r="G139" i="11"/>
  <c r="G140" i="11"/>
  <c r="G141" i="11"/>
  <c r="G142" i="11"/>
  <c r="G143" i="11"/>
  <c r="G144" i="11"/>
  <c r="G145" i="11"/>
  <c r="G166" i="11"/>
  <c r="G167" i="11"/>
  <c r="G168" i="11"/>
  <c r="G169" i="11"/>
  <c r="G170" i="11"/>
  <c r="G171" i="11"/>
  <c r="G172" i="11"/>
  <c r="G173" i="11"/>
  <c r="G174" i="11"/>
  <c r="G175" i="11"/>
  <c r="G176" i="11"/>
  <c r="G177" i="11"/>
  <c r="G178" i="11"/>
  <c r="G1306" i="11"/>
  <c r="G1305" i="11"/>
  <c r="G1304" i="11"/>
  <c r="G276" i="11"/>
  <c r="G277" i="11"/>
  <c r="G280" i="11"/>
  <c r="G275" i="11"/>
  <c r="G228" i="11"/>
  <c r="G227" i="11"/>
  <c r="G285" i="11"/>
  <c r="G284" i="11"/>
  <c r="G283" i="11"/>
  <c r="G286" i="11"/>
  <c r="G287" i="11"/>
  <c r="G3273" i="11"/>
  <c r="G3272" i="11"/>
  <c r="G478" i="11"/>
  <c r="G477" i="11"/>
  <c r="G476" i="11"/>
  <c r="G485" i="11"/>
  <c r="G484" i="11"/>
  <c r="G487" i="11"/>
  <c r="G486" i="11"/>
  <c r="G483" i="11"/>
  <c r="G489" i="11"/>
  <c r="G457" i="11"/>
  <c r="G7369" i="12"/>
  <c r="G575" i="17"/>
  <c r="G3270" i="11"/>
  <c r="G3269" i="11"/>
  <c r="G3268" i="11"/>
  <c r="BK235" i="20"/>
  <c r="BK233" i="20" s="1"/>
  <c r="BM235" i="20"/>
  <c r="BM233" i="20" s="1"/>
  <c r="AA235" i="20"/>
  <c r="AA233" i="20" s="1"/>
  <c r="AC235" i="20"/>
  <c r="AD235" i="20"/>
  <c r="T233" i="25" s="1"/>
  <c r="V19" i="22"/>
  <c r="U19" i="22"/>
  <c r="T19" i="22"/>
  <c r="S19" i="22"/>
  <c r="V18" i="22"/>
  <c r="U18" i="22"/>
  <c r="T18" i="22"/>
  <c r="S18" i="22"/>
  <c r="V17" i="22"/>
  <c r="U17" i="22"/>
  <c r="T17" i="22"/>
  <c r="S17" i="22"/>
  <c r="V16" i="22"/>
  <c r="U16" i="22"/>
  <c r="T16" i="22"/>
  <c r="S16" i="22"/>
  <c r="V15" i="22"/>
  <c r="U15" i="22"/>
  <c r="T15" i="22"/>
  <c r="S15" i="22"/>
  <c r="V14" i="22"/>
  <c r="U14" i="22"/>
  <c r="T14" i="22"/>
  <c r="S14" i="22"/>
  <c r="V13" i="22"/>
  <c r="U13" i="22"/>
  <c r="T13" i="22"/>
  <c r="S13" i="22"/>
  <c r="V12" i="22"/>
  <c r="U12" i="22"/>
  <c r="T12" i="22"/>
  <c r="S12" i="22"/>
  <c r="V11" i="22"/>
  <c r="U11" i="22"/>
  <c r="T11" i="22"/>
  <c r="S11" i="22"/>
  <c r="V10" i="22"/>
  <c r="U10" i="22"/>
  <c r="T10" i="22"/>
  <c r="S10" i="22"/>
  <c r="V9" i="22"/>
  <c r="U9" i="22"/>
  <c r="T9" i="22"/>
  <c r="S9" i="22"/>
  <c r="Q9" i="22" s="1"/>
  <c r="V8" i="22"/>
  <c r="U8" i="22"/>
  <c r="T8" i="22"/>
  <c r="S8" i="22"/>
  <c r="Q8" i="22" s="1"/>
  <c r="V7" i="22"/>
  <c r="U7" i="22"/>
  <c r="T7" i="22"/>
  <c r="S7" i="22"/>
  <c r="Q7" i="22" s="1"/>
  <c r="V6" i="22"/>
  <c r="U6" i="22"/>
  <c r="U4" i="22" s="1"/>
  <c r="U23" i="22" s="1"/>
  <c r="U25" i="22" s="1"/>
  <c r="T6" i="22"/>
  <c r="S6" i="22"/>
  <c r="V4" i="22"/>
  <c r="T4" i="22"/>
  <c r="T23" i="22" s="1"/>
  <c r="T25" i="22" s="1"/>
  <c r="S4" i="22"/>
  <c r="Q11" i="22" s="1"/>
  <c r="Q17" i="22"/>
  <c r="Q14" i="22"/>
  <c r="Q12" i="22"/>
  <c r="Q6" i="22"/>
  <c r="Q19" i="22"/>
  <c r="Q15" i="22"/>
  <c r="Q18" i="22"/>
  <c r="Q13" i="22"/>
  <c r="Q16" i="22"/>
  <c r="V23" i="22"/>
  <c r="V25" i="22"/>
  <c r="S23" i="22"/>
  <c r="S25" i="22"/>
  <c r="Q10" i="22"/>
  <c r="BK233" i="25"/>
  <c r="BI233" i="25"/>
  <c r="BC233" i="25"/>
  <c r="AT233" i="25"/>
  <c r="AR233" i="25"/>
  <c r="AL233" i="25"/>
  <c r="BK224" i="25"/>
  <c r="BI224" i="25"/>
  <c r="BC224" i="25"/>
  <c r="AT224" i="25"/>
  <c r="AR224" i="25"/>
  <c r="AL224" i="25"/>
  <c r="AC224" i="25"/>
  <c r="AA224" i="25"/>
  <c r="U224" i="25"/>
  <c r="BK218" i="25"/>
  <c r="BI218" i="25"/>
  <c r="BC218" i="25"/>
  <c r="AT218" i="25"/>
  <c r="AR218" i="25"/>
  <c r="AL218" i="25"/>
  <c r="AC218" i="25"/>
  <c r="AA218" i="25"/>
  <c r="U218" i="25"/>
  <c r="BK206" i="25"/>
  <c r="BI206" i="25"/>
  <c r="BC206" i="25"/>
  <c r="AT206" i="25"/>
  <c r="AR206" i="25"/>
  <c r="AL206" i="25"/>
  <c r="AC206" i="25"/>
  <c r="AA206" i="25"/>
  <c r="U206" i="25"/>
  <c r="BK201" i="25"/>
  <c r="BI201" i="25"/>
  <c r="BC201" i="25"/>
  <c r="AT201" i="25"/>
  <c r="AR201" i="25"/>
  <c r="AL201" i="25"/>
  <c r="AC201" i="25"/>
  <c r="AA201" i="25"/>
  <c r="U201" i="25"/>
  <c r="BK196" i="25"/>
  <c r="BI196" i="25"/>
  <c r="BC196" i="25"/>
  <c r="AT196" i="25"/>
  <c r="AR196" i="25"/>
  <c r="AL196" i="25"/>
  <c r="AC196" i="25"/>
  <c r="AA196" i="25"/>
  <c r="U196" i="25"/>
  <c r="BK142" i="25"/>
  <c r="BI142" i="25"/>
  <c r="BC142" i="25"/>
  <c r="AT142" i="25"/>
  <c r="AR142" i="25"/>
  <c r="AL142" i="25"/>
  <c r="AC142" i="25"/>
  <c r="AA142" i="25"/>
  <c r="U142" i="25"/>
  <c r="BK130" i="25"/>
  <c r="BI130" i="25"/>
  <c r="BC130" i="25"/>
  <c r="AT130" i="25"/>
  <c r="AR130" i="25"/>
  <c r="AL130" i="25"/>
  <c r="AC130" i="25"/>
  <c r="AA130" i="25"/>
  <c r="U130" i="25"/>
  <c r="BK119" i="25"/>
  <c r="BI119" i="25"/>
  <c r="BC119" i="25"/>
  <c r="AT119" i="25"/>
  <c r="AR119" i="25"/>
  <c r="AL119" i="25"/>
  <c r="AC119" i="25"/>
  <c r="AA119" i="25"/>
  <c r="U119" i="25"/>
  <c r="BK107" i="25"/>
  <c r="BI107" i="25"/>
  <c r="BC107" i="25"/>
  <c r="AT107" i="25"/>
  <c r="AR107" i="25"/>
  <c r="AL107" i="25"/>
  <c r="AC107" i="25"/>
  <c r="AA107" i="25"/>
  <c r="U107" i="25"/>
  <c r="BK96" i="25"/>
  <c r="BI96" i="25"/>
  <c r="BC96" i="25"/>
  <c r="AT96" i="25"/>
  <c r="AR96" i="25"/>
  <c r="AL96" i="25"/>
  <c r="AC96" i="25"/>
  <c r="AA96" i="25"/>
  <c r="U96" i="25"/>
  <c r="BK84" i="25"/>
  <c r="BI84" i="25"/>
  <c r="BC84" i="25"/>
  <c r="AT84" i="25"/>
  <c r="AR84" i="25"/>
  <c r="AL84" i="25"/>
  <c r="AC84" i="25"/>
  <c r="AA84" i="25"/>
  <c r="U84" i="25"/>
  <c r="BK73" i="25"/>
  <c r="BI73" i="25"/>
  <c r="BC73" i="25"/>
  <c r="AT73" i="25"/>
  <c r="AR73" i="25"/>
  <c r="AL73" i="25"/>
  <c r="AC73" i="25"/>
  <c r="AA73" i="25"/>
  <c r="U73" i="25"/>
  <c r="BK61" i="25"/>
  <c r="BI61" i="25"/>
  <c r="BC61" i="25"/>
  <c r="AT61" i="25"/>
  <c r="AR61" i="25"/>
  <c r="AL61" i="25"/>
  <c r="AC61" i="25"/>
  <c r="AA61" i="25"/>
  <c r="U61" i="25"/>
  <c r="BK49" i="25"/>
  <c r="BI49" i="25"/>
  <c r="BC49" i="25"/>
  <c r="AT49" i="25"/>
  <c r="AR49" i="25"/>
  <c r="AL49" i="25"/>
  <c r="AC49" i="25"/>
  <c r="AA49" i="25"/>
  <c r="U49" i="25"/>
  <c r="J224" i="25"/>
  <c r="J218" i="25"/>
  <c r="J206" i="25"/>
  <c r="J201" i="25"/>
  <c r="J196" i="25"/>
  <c r="J142" i="25"/>
  <c r="J130" i="25"/>
  <c r="J119" i="25"/>
  <c r="J107" i="25"/>
  <c r="J96" i="25"/>
  <c r="J84" i="25"/>
  <c r="J73" i="25"/>
  <c r="J61" i="25"/>
  <c r="J49" i="25"/>
  <c r="X238" i="20"/>
  <c r="BH238" i="20"/>
  <c r="CR238" i="20"/>
  <c r="EB238" i="20"/>
  <c r="X239" i="20"/>
  <c r="BH239" i="20"/>
  <c r="CR239" i="20"/>
  <c r="EB239" i="20"/>
  <c r="C240" i="20"/>
  <c r="D240" i="20"/>
  <c r="E240" i="20"/>
  <c r="T240" i="20"/>
  <c r="V240" i="20"/>
  <c r="Y240" i="20"/>
  <c r="BI240" i="20"/>
  <c r="AF237" i="25" s="1"/>
  <c r="BV240" i="20"/>
  <c r="BW240" i="20"/>
  <c r="BX240" i="20"/>
  <c r="BY240" i="20"/>
  <c r="BZ240" i="20"/>
  <c r="CA240" i="20"/>
  <c r="CB240" i="20"/>
  <c r="CC240" i="20"/>
  <c r="CD240" i="20"/>
  <c r="CE240" i="20"/>
  <c r="CF240" i="20"/>
  <c r="CH240" i="20"/>
  <c r="CI240" i="20"/>
  <c r="CJ240" i="20"/>
  <c r="CK240" i="20"/>
  <c r="CL240" i="20"/>
  <c r="DI240" i="20"/>
  <c r="EA240" i="20"/>
  <c r="EA238" i="20" s="1"/>
  <c r="EJ240" i="20"/>
  <c r="BU237" i="25" s="1"/>
  <c r="ES240" i="20"/>
  <c r="C241" i="20"/>
  <c r="D241" i="20"/>
  <c r="E241" i="20"/>
  <c r="AO240" i="20"/>
  <c r="BC240" i="20"/>
  <c r="BE240" i="20"/>
  <c r="BF240" i="20"/>
  <c r="CM240" i="20"/>
  <c r="CO240" i="20"/>
  <c r="CP240" i="20"/>
  <c r="DW240" i="20"/>
  <c r="DY240" i="20"/>
  <c r="DZ240" i="20"/>
  <c r="EC240" i="20"/>
  <c r="EE240" i="20"/>
  <c r="EF240" i="20"/>
  <c r="BQ237" i="25" s="1"/>
  <c r="EG240" i="20"/>
  <c r="BR237" i="25" s="1"/>
  <c r="EH240" i="20"/>
  <c r="BS237" i="25" s="1"/>
  <c r="EK240" i="20"/>
  <c r="BV237" i="25" s="1"/>
  <c r="EL240" i="20"/>
  <c r="BW237" i="25" s="1"/>
  <c r="EN240" i="20"/>
  <c r="BY237" i="25" s="1"/>
  <c r="EP240" i="20"/>
  <c r="EQ240" i="20"/>
  <c r="ER240" i="20"/>
  <c r="FG241" i="20"/>
  <c r="C242" i="20"/>
  <c r="D242" i="20"/>
  <c r="E242" i="20"/>
  <c r="ED240" i="20"/>
  <c r="BO237" i="25" s="1"/>
  <c r="EM240" i="20"/>
  <c r="BX237" i="25" s="1"/>
  <c r="FG242" i="20"/>
  <c r="C243" i="20"/>
  <c r="D243" i="20"/>
  <c r="E243" i="20"/>
  <c r="FG243" i="20"/>
  <c r="C244" i="20"/>
  <c r="D244" i="20"/>
  <c r="E244" i="20"/>
  <c r="C245" i="20"/>
  <c r="D245" i="20"/>
  <c r="E245" i="20"/>
  <c r="C246" i="20"/>
  <c r="D246" i="20"/>
  <c r="E246" i="20"/>
  <c r="C247" i="20"/>
  <c r="D247" i="20"/>
  <c r="E247" i="20"/>
  <c r="C248" i="20"/>
  <c r="D248" i="20"/>
  <c r="E248" i="20"/>
  <c r="C249" i="20"/>
  <c r="D249" i="20"/>
  <c r="E249" i="20"/>
  <c r="C250" i="20"/>
  <c r="D250" i="20"/>
  <c r="E250" i="20"/>
  <c r="FG4" i="20"/>
  <c r="FA4" i="20"/>
  <c r="EO4" i="20"/>
  <c r="EI4" i="20"/>
  <c r="DW4" i="20"/>
  <c r="DQ4" i="20"/>
  <c r="DI4" i="20"/>
  <c r="DE4" i="20"/>
  <c r="CY4" i="20"/>
  <c r="CM4" i="20"/>
  <c r="BY4" i="20"/>
  <c r="BU4" i="20"/>
  <c r="BO4" i="20"/>
  <c r="BC4" i="20"/>
  <c r="AO4" i="20"/>
  <c r="AK4" i="20"/>
  <c r="AE4" i="20"/>
  <c r="N4" i="20"/>
  <c r="BY247" i="25"/>
  <c r="BX247" i="25"/>
  <c r="BW247" i="25"/>
  <c r="BV247" i="25"/>
  <c r="BU247" i="25"/>
  <c r="BS247" i="25"/>
  <c r="BR247" i="25"/>
  <c r="BQ247" i="25"/>
  <c r="BP247" i="25"/>
  <c r="BO247" i="25"/>
  <c r="BN247" i="25"/>
  <c r="BL247" i="25"/>
  <c r="BH247" i="25"/>
  <c r="BG247" i="25"/>
  <c r="BF247" i="25"/>
  <c r="BE247" i="25"/>
  <c r="BD247" i="25"/>
  <c r="BB247" i="25"/>
  <c r="BA247" i="25"/>
  <c r="AZ247" i="25"/>
  <c r="AY247" i="25"/>
  <c r="AX247" i="25"/>
  <c r="AW247" i="25"/>
  <c r="AU247" i="25"/>
  <c r="AQ247" i="25"/>
  <c r="AP247" i="25"/>
  <c r="AO247" i="25"/>
  <c r="AN247" i="25"/>
  <c r="AM247" i="25"/>
  <c r="AK247" i="25"/>
  <c r="AJ247" i="25"/>
  <c r="AI247" i="25"/>
  <c r="AH247" i="25"/>
  <c r="AG247" i="25"/>
  <c r="AF247" i="25"/>
  <c r="AD247" i="25"/>
  <c r="Z247" i="25"/>
  <c r="Y247" i="25"/>
  <c r="X247" i="25"/>
  <c r="W247" i="25"/>
  <c r="V247" i="25"/>
  <c r="T247" i="25"/>
  <c r="S247" i="25"/>
  <c r="R247" i="25"/>
  <c r="Q247" i="25"/>
  <c r="P247" i="25"/>
  <c r="O247" i="25"/>
  <c r="M247" i="25"/>
  <c r="BY246" i="25"/>
  <c r="BX246" i="25"/>
  <c r="BW246" i="25"/>
  <c r="BV246" i="25"/>
  <c r="BU246" i="25"/>
  <c r="BS246" i="25"/>
  <c r="BR246" i="25"/>
  <c r="BQ246" i="25"/>
  <c r="BP246" i="25"/>
  <c r="BO246" i="25"/>
  <c r="BN246" i="25"/>
  <c r="BL246" i="25"/>
  <c r="BH246" i="25"/>
  <c r="BG246" i="25"/>
  <c r="BF246" i="25"/>
  <c r="BE246" i="25"/>
  <c r="BD246" i="25"/>
  <c r="BB246" i="25"/>
  <c r="BA246" i="25"/>
  <c r="AZ246" i="25"/>
  <c r="AY246" i="25"/>
  <c r="AX246" i="25"/>
  <c r="AW246" i="25"/>
  <c r="AU246" i="25"/>
  <c r="AQ246" i="25"/>
  <c r="AP246" i="25"/>
  <c r="AO246" i="25"/>
  <c r="AN246" i="25"/>
  <c r="AM246" i="25"/>
  <c r="AK246" i="25"/>
  <c r="AJ246" i="25"/>
  <c r="AI246" i="25"/>
  <c r="AH246" i="25"/>
  <c r="AG246" i="25"/>
  <c r="AF246" i="25"/>
  <c r="AD246" i="25"/>
  <c r="Z246" i="25"/>
  <c r="Y246" i="25"/>
  <c r="X246" i="25"/>
  <c r="W246" i="25"/>
  <c r="V246" i="25"/>
  <c r="T246" i="25"/>
  <c r="S246" i="25"/>
  <c r="R246" i="25"/>
  <c r="Q246" i="25"/>
  <c r="P246" i="25"/>
  <c r="O246" i="25"/>
  <c r="M246" i="25"/>
  <c r="BY245" i="25"/>
  <c r="BX245" i="25"/>
  <c r="BW245" i="25"/>
  <c r="BV245" i="25"/>
  <c r="BU245" i="25"/>
  <c r="BS245" i="25"/>
  <c r="BR245" i="25"/>
  <c r="BQ245" i="25"/>
  <c r="BP245" i="25"/>
  <c r="BO245" i="25"/>
  <c r="BN245" i="25"/>
  <c r="BL245" i="25"/>
  <c r="BH245" i="25"/>
  <c r="BG245" i="25"/>
  <c r="BF245" i="25"/>
  <c r="BE245" i="25"/>
  <c r="BD245" i="25"/>
  <c r="BB245" i="25"/>
  <c r="BA245" i="25"/>
  <c r="AZ245" i="25"/>
  <c r="AY245" i="25"/>
  <c r="AX245" i="25"/>
  <c r="AW245" i="25"/>
  <c r="AU245" i="25"/>
  <c r="AQ245" i="25"/>
  <c r="AP245" i="25"/>
  <c r="AO245" i="25"/>
  <c r="AN245" i="25"/>
  <c r="AM245" i="25"/>
  <c r="AK245" i="25"/>
  <c r="AJ245" i="25"/>
  <c r="AI245" i="25"/>
  <c r="AH245" i="25"/>
  <c r="AG245" i="25"/>
  <c r="AF245" i="25"/>
  <c r="AD245" i="25"/>
  <c r="Z245" i="25"/>
  <c r="Y245" i="25"/>
  <c r="X245" i="25"/>
  <c r="W245" i="25"/>
  <c r="V245" i="25"/>
  <c r="T245" i="25"/>
  <c r="S245" i="25"/>
  <c r="R245" i="25"/>
  <c r="Q245" i="25"/>
  <c r="P245" i="25"/>
  <c r="O245" i="25"/>
  <c r="M245" i="25"/>
  <c r="BY244" i="25"/>
  <c r="BX244" i="25"/>
  <c r="BW244" i="25"/>
  <c r="BV244" i="25"/>
  <c r="BU244" i="25"/>
  <c r="BS244" i="25"/>
  <c r="BR244" i="25"/>
  <c r="BQ244" i="25"/>
  <c r="BP244" i="25"/>
  <c r="BO244" i="25"/>
  <c r="BN244" i="25"/>
  <c r="BL244" i="25"/>
  <c r="BH244" i="25"/>
  <c r="BG244" i="25"/>
  <c r="BF244" i="25"/>
  <c r="BE244" i="25"/>
  <c r="BD244" i="25"/>
  <c r="BB244" i="25"/>
  <c r="BA244" i="25"/>
  <c r="AZ244" i="25"/>
  <c r="AY244" i="25"/>
  <c r="AX244" i="25"/>
  <c r="AW244" i="25"/>
  <c r="AU244" i="25"/>
  <c r="AQ244" i="25"/>
  <c r="AP244" i="25"/>
  <c r="AO244" i="25"/>
  <c r="AN244" i="25"/>
  <c r="AM244" i="25"/>
  <c r="AK244" i="25"/>
  <c r="AJ244" i="25"/>
  <c r="AI244" i="25"/>
  <c r="AH244" i="25"/>
  <c r="AG244" i="25"/>
  <c r="AF244" i="25"/>
  <c r="AD244" i="25"/>
  <c r="Z244" i="25"/>
  <c r="Y244" i="25"/>
  <c r="X244" i="25"/>
  <c r="W244" i="25"/>
  <c r="V244" i="25"/>
  <c r="T244" i="25"/>
  <c r="S244" i="25"/>
  <c r="R244" i="25"/>
  <c r="Q244" i="25"/>
  <c r="P244" i="25"/>
  <c r="O244" i="25"/>
  <c r="M244" i="25"/>
  <c r="BY243" i="25"/>
  <c r="BX243" i="25"/>
  <c r="BW243" i="25"/>
  <c r="BV243" i="25"/>
  <c r="BU243" i="25"/>
  <c r="BS243" i="25"/>
  <c r="BR243" i="25"/>
  <c r="BQ243" i="25"/>
  <c r="BP243" i="25"/>
  <c r="BO243" i="25"/>
  <c r="BN243" i="25"/>
  <c r="BL243" i="25"/>
  <c r="BH243" i="25"/>
  <c r="BG243" i="25"/>
  <c r="BF243" i="25"/>
  <c r="BE243" i="25"/>
  <c r="BD243" i="25"/>
  <c r="BB243" i="25"/>
  <c r="BA243" i="25"/>
  <c r="AZ243" i="25"/>
  <c r="AY243" i="25"/>
  <c r="AX243" i="25"/>
  <c r="AW243" i="25"/>
  <c r="AU243" i="25"/>
  <c r="AQ243" i="25"/>
  <c r="AP243" i="25"/>
  <c r="AO243" i="25"/>
  <c r="AN243" i="25"/>
  <c r="AM243" i="25"/>
  <c r="AK243" i="25"/>
  <c r="AJ243" i="25"/>
  <c r="AI243" i="25"/>
  <c r="AH243" i="25"/>
  <c r="AG243" i="25"/>
  <c r="AF243" i="25"/>
  <c r="AD243" i="25"/>
  <c r="Z243" i="25"/>
  <c r="Y243" i="25"/>
  <c r="X243" i="25"/>
  <c r="W243" i="25"/>
  <c r="V243" i="25"/>
  <c r="T243" i="25"/>
  <c r="S243" i="25"/>
  <c r="R243" i="25"/>
  <c r="Q243" i="25"/>
  <c r="P243" i="25"/>
  <c r="O243" i="25"/>
  <c r="M243" i="25"/>
  <c r="BY242" i="25"/>
  <c r="BX242" i="25"/>
  <c r="BW242" i="25"/>
  <c r="BV242" i="25"/>
  <c r="BU242" i="25"/>
  <c r="BS242" i="25"/>
  <c r="BR242" i="25"/>
  <c r="BQ242" i="25"/>
  <c r="BP242" i="25"/>
  <c r="BO242" i="25"/>
  <c r="BN242" i="25"/>
  <c r="BL242" i="25"/>
  <c r="BH242" i="25"/>
  <c r="BG242" i="25"/>
  <c r="BF242" i="25"/>
  <c r="BE242" i="25"/>
  <c r="BD242" i="25"/>
  <c r="BB242" i="25"/>
  <c r="BA242" i="25"/>
  <c r="AZ242" i="25"/>
  <c r="AY242" i="25"/>
  <c r="AX242" i="25"/>
  <c r="AW242" i="25"/>
  <c r="AU242" i="25"/>
  <c r="AQ242" i="25"/>
  <c r="AP242" i="25"/>
  <c r="AO242" i="25"/>
  <c r="AN242" i="25"/>
  <c r="AM242" i="25"/>
  <c r="AK242" i="25"/>
  <c r="AJ242" i="25"/>
  <c r="AI242" i="25"/>
  <c r="AH242" i="25"/>
  <c r="AG242" i="25"/>
  <c r="AF242" i="25"/>
  <c r="AD242" i="25"/>
  <c r="Z242" i="25"/>
  <c r="Y242" i="25"/>
  <c r="X242" i="25"/>
  <c r="W242" i="25"/>
  <c r="V242" i="25"/>
  <c r="T242" i="25"/>
  <c r="S242" i="25"/>
  <c r="R242" i="25"/>
  <c r="Q242" i="25"/>
  <c r="P242" i="25"/>
  <c r="O242" i="25"/>
  <c r="M242" i="25"/>
  <c r="BY241" i="25"/>
  <c r="BX241" i="25"/>
  <c r="BW241" i="25"/>
  <c r="BV241" i="25"/>
  <c r="BU241" i="25"/>
  <c r="BS241" i="25"/>
  <c r="BR241" i="25"/>
  <c r="BQ241" i="25"/>
  <c r="BP241" i="25"/>
  <c r="BO241" i="25"/>
  <c r="BN241" i="25"/>
  <c r="BL241" i="25"/>
  <c r="BH241" i="25"/>
  <c r="BG241" i="25"/>
  <c r="BF241" i="25"/>
  <c r="BE241" i="25"/>
  <c r="BD241" i="25"/>
  <c r="BB241" i="25"/>
  <c r="BA241" i="25"/>
  <c r="AZ241" i="25"/>
  <c r="AY241" i="25"/>
  <c r="AX241" i="25"/>
  <c r="AW241" i="25"/>
  <c r="AU241" i="25"/>
  <c r="AQ241" i="25"/>
  <c r="AP241" i="25"/>
  <c r="AO241" i="25"/>
  <c r="AN241" i="25"/>
  <c r="AM241" i="25"/>
  <c r="AK241" i="25"/>
  <c r="AJ241" i="25"/>
  <c r="AI241" i="25"/>
  <c r="AH241" i="25"/>
  <c r="AG241" i="25"/>
  <c r="AF241" i="25"/>
  <c r="AD241" i="25"/>
  <c r="Z241" i="25"/>
  <c r="Y241" i="25"/>
  <c r="X241" i="25"/>
  <c r="W241" i="25"/>
  <c r="V241" i="25"/>
  <c r="T241" i="25"/>
  <c r="S241" i="25"/>
  <c r="R241" i="25"/>
  <c r="Q241" i="25"/>
  <c r="P241" i="25"/>
  <c r="O241" i="25"/>
  <c r="M241" i="25"/>
  <c r="AF240" i="25"/>
  <c r="Q240" i="25"/>
  <c r="O240" i="25"/>
  <c r="AH239" i="25"/>
  <c r="AF239" i="25"/>
  <c r="O239" i="25"/>
  <c r="AF238" i="25"/>
  <c r="O238" i="25"/>
  <c r="BY236" i="25"/>
  <c r="BX236" i="25"/>
  <c r="BW236" i="25"/>
  <c r="BV236" i="25"/>
  <c r="BU236" i="25"/>
  <c r="BS236" i="25"/>
  <c r="BR236" i="25"/>
  <c r="BQ236" i="25"/>
  <c r="BP236" i="25"/>
  <c r="BO236" i="25"/>
  <c r="BN236" i="25"/>
  <c r="BY234" i="25"/>
  <c r="BX234" i="25"/>
  <c r="BW234" i="25"/>
  <c r="BV234" i="25"/>
  <c r="BS234" i="25"/>
  <c r="BR234" i="25"/>
  <c r="BP234" i="25"/>
  <c r="BH234" i="25"/>
  <c r="BG234" i="25"/>
  <c r="BF234" i="25"/>
  <c r="BE234" i="25"/>
  <c r="BB234" i="25"/>
  <c r="BA234" i="25"/>
  <c r="AY234" i="25"/>
  <c r="AQ234" i="25"/>
  <c r="AP234" i="25"/>
  <c r="AO234" i="25"/>
  <c r="AM234" i="25"/>
  <c r="AK234" i="25"/>
  <c r="AJ234" i="25"/>
  <c r="AH234" i="25"/>
  <c r="Z234" i="25"/>
  <c r="Y234" i="25"/>
  <c r="X234" i="25"/>
  <c r="W234" i="25"/>
  <c r="T234" i="25"/>
  <c r="S234" i="25"/>
  <c r="S233" i="25" s="1"/>
  <c r="Q234" i="25"/>
  <c r="Z233" i="25"/>
  <c r="Y233" i="25"/>
  <c r="X233" i="25"/>
  <c r="W233" i="25"/>
  <c r="BY231" i="25"/>
  <c r="BX231" i="25"/>
  <c r="BW231" i="25"/>
  <c r="BV231" i="25"/>
  <c r="BU231" i="25"/>
  <c r="AG216" i="25"/>
  <c r="AF216" i="25"/>
  <c r="AD216" i="25"/>
  <c r="AG215" i="25"/>
  <c r="AF215" i="25"/>
  <c r="AD215" i="25"/>
  <c r="AG214" i="25"/>
  <c r="AF214" i="25"/>
  <c r="AD214" i="25"/>
  <c r="AG213" i="25"/>
  <c r="AF213" i="25"/>
  <c r="AD213" i="25"/>
  <c r="AG212" i="25"/>
  <c r="AF212" i="25"/>
  <c r="AD212" i="25"/>
  <c r="AG211" i="25"/>
  <c r="AF211" i="25"/>
  <c r="AD211" i="25"/>
  <c r="AG210" i="25"/>
  <c r="AF210" i="25"/>
  <c r="AD210" i="25"/>
  <c r="AG209" i="25"/>
  <c r="AF209" i="25"/>
  <c r="AD209" i="25"/>
  <c r="AG208" i="25"/>
  <c r="AF208" i="25"/>
  <c r="AD208" i="25"/>
  <c r="AG207" i="25"/>
  <c r="AF207" i="25"/>
  <c r="AD207" i="25"/>
  <c r="BL203" i="25"/>
  <c r="BL202" i="25"/>
  <c r="BL198" i="25"/>
  <c r="BL197" i="25"/>
  <c r="BY194" i="25"/>
  <c r="BX194" i="25"/>
  <c r="BW194" i="25"/>
  <c r="BV194" i="25"/>
  <c r="BU194" i="25"/>
  <c r="BS194" i="25"/>
  <c r="BR194" i="25"/>
  <c r="BQ194" i="25"/>
  <c r="BP194" i="25"/>
  <c r="BO194" i="25"/>
  <c r="BN194" i="25"/>
  <c r="BL194" i="25"/>
  <c r="BH194" i="25"/>
  <c r="BG194" i="25"/>
  <c r="BF194" i="25"/>
  <c r="BE194" i="25"/>
  <c r="BD194" i="25"/>
  <c r="BB194" i="25"/>
  <c r="BA194" i="25"/>
  <c r="AZ194" i="25"/>
  <c r="AY194" i="25"/>
  <c r="AX194" i="25"/>
  <c r="AW194" i="25"/>
  <c r="AU194" i="25"/>
  <c r="Z194" i="25"/>
  <c r="Y194" i="25"/>
  <c r="X194" i="25"/>
  <c r="W194" i="25"/>
  <c r="V194" i="25"/>
  <c r="P194" i="25"/>
  <c r="O194" i="25"/>
  <c r="M194" i="25"/>
  <c r="BY193" i="25"/>
  <c r="BX193" i="25"/>
  <c r="BW193" i="25"/>
  <c r="BV193" i="25"/>
  <c r="BU193" i="25"/>
  <c r="BS193" i="25"/>
  <c r="BR193" i="25"/>
  <c r="BQ193" i="25"/>
  <c r="BP193" i="25"/>
  <c r="BO193" i="25"/>
  <c r="BN193" i="25"/>
  <c r="BL193" i="25"/>
  <c r="BH193" i="25"/>
  <c r="BG193" i="25"/>
  <c r="BF193" i="25"/>
  <c r="BE193" i="25"/>
  <c r="BD193" i="25"/>
  <c r="BB193" i="25"/>
  <c r="BA193" i="25"/>
  <c r="AZ193" i="25"/>
  <c r="AY193" i="25"/>
  <c r="AX193" i="25"/>
  <c r="AW193" i="25"/>
  <c r="AU193" i="25"/>
  <c r="Z193" i="25"/>
  <c r="Y193" i="25"/>
  <c r="X193" i="25"/>
  <c r="W193" i="25"/>
  <c r="V193" i="25"/>
  <c r="P193" i="25"/>
  <c r="O193" i="25"/>
  <c r="M193" i="25"/>
  <c r="BY192" i="25"/>
  <c r="BX192" i="25"/>
  <c r="BW192" i="25"/>
  <c r="BV192" i="25"/>
  <c r="BU192" i="25"/>
  <c r="BS192" i="25"/>
  <c r="BR192" i="25"/>
  <c r="BQ192" i="25"/>
  <c r="BP192" i="25"/>
  <c r="BO192" i="25"/>
  <c r="BN192" i="25"/>
  <c r="BL192" i="25"/>
  <c r="BH192" i="25"/>
  <c r="BG192" i="25"/>
  <c r="BF192" i="25"/>
  <c r="BE192" i="25"/>
  <c r="BD192" i="25"/>
  <c r="BB192" i="25"/>
  <c r="BA192" i="25"/>
  <c r="AZ192" i="25"/>
  <c r="AY192" i="25"/>
  <c r="AX192" i="25"/>
  <c r="AW192" i="25"/>
  <c r="AU192" i="25"/>
  <c r="Z192" i="25"/>
  <c r="Y192" i="25"/>
  <c r="X192" i="25"/>
  <c r="W192" i="25"/>
  <c r="V192" i="25"/>
  <c r="P192" i="25"/>
  <c r="O192" i="25"/>
  <c r="M192" i="25"/>
  <c r="BY191" i="25"/>
  <c r="BX191" i="25"/>
  <c r="BW191" i="25"/>
  <c r="BV191" i="25"/>
  <c r="BU191" i="25"/>
  <c r="BS191" i="25"/>
  <c r="BR191" i="25"/>
  <c r="BQ191" i="25"/>
  <c r="BP191" i="25"/>
  <c r="BO191" i="25"/>
  <c r="BN191" i="25"/>
  <c r="BL191" i="25"/>
  <c r="BH191" i="25"/>
  <c r="BG191" i="25"/>
  <c r="BF191" i="25"/>
  <c r="BE191" i="25"/>
  <c r="BD191" i="25"/>
  <c r="BB191" i="25"/>
  <c r="BA191" i="25"/>
  <c r="AZ191" i="25"/>
  <c r="AY191" i="25"/>
  <c r="AX191" i="25"/>
  <c r="AW191" i="25"/>
  <c r="AU191" i="25"/>
  <c r="AQ191" i="25"/>
  <c r="AP191" i="25"/>
  <c r="AO191" i="25"/>
  <c r="AN191" i="25"/>
  <c r="AG191" i="25"/>
  <c r="AF191" i="25"/>
  <c r="AD191" i="25"/>
  <c r="Z191" i="25"/>
  <c r="Y191" i="25"/>
  <c r="X191" i="25"/>
  <c r="W191" i="25"/>
  <c r="V191" i="25"/>
  <c r="P191" i="25"/>
  <c r="O191" i="25"/>
  <c r="M191" i="25"/>
  <c r="BY190" i="25"/>
  <c r="BX190" i="25"/>
  <c r="BW190" i="25"/>
  <c r="BV190" i="25"/>
  <c r="BU190" i="25"/>
  <c r="BS190" i="25"/>
  <c r="BR190" i="25"/>
  <c r="BQ190" i="25"/>
  <c r="BP190" i="25"/>
  <c r="BO190" i="25"/>
  <c r="BN190" i="25"/>
  <c r="BL190" i="25"/>
  <c r="BH190" i="25"/>
  <c r="BG190" i="25"/>
  <c r="BF190" i="25"/>
  <c r="BE190" i="25"/>
  <c r="BD190" i="25"/>
  <c r="BB190" i="25"/>
  <c r="BA190" i="25"/>
  <c r="AZ190" i="25"/>
  <c r="AY190" i="25"/>
  <c r="AX190" i="25"/>
  <c r="AW190" i="25"/>
  <c r="AU190" i="25"/>
  <c r="Z190" i="25"/>
  <c r="Y190" i="25"/>
  <c r="X190" i="25"/>
  <c r="W190" i="25"/>
  <c r="V190" i="25"/>
  <c r="P190" i="25"/>
  <c r="O190" i="25"/>
  <c r="M190" i="25"/>
  <c r="BY189" i="25"/>
  <c r="BX189" i="25"/>
  <c r="BW189" i="25"/>
  <c r="BV189" i="25"/>
  <c r="BU189" i="25"/>
  <c r="BS189" i="25"/>
  <c r="BR189" i="25"/>
  <c r="BQ189" i="25"/>
  <c r="BP189" i="25"/>
  <c r="BO189" i="25"/>
  <c r="BN189" i="25"/>
  <c r="BL189" i="25"/>
  <c r="BH189" i="25"/>
  <c r="BG189" i="25"/>
  <c r="BF189" i="25"/>
  <c r="BE189" i="25"/>
  <c r="BD189" i="25"/>
  <c r="BB189" i="25"/>
  <c r="BA189" i="25"/>
  <c r="AZ189" i="25"/>
  <c r="AY189" i="25"/>
  <c r="AX189" i="25"/>
  <c r="AW189" i="25"/>
  <c r="AU189" i="25"/>
  <c r="Z189" i="25"/>
  <c r="Y189" i="25"/>
  <c r="X189" i="25"/>
  <c r="W189" i="25"/>
  <c r="V189" i="25"/>
  <c r="P189" i="25"/>
  <c r="O189" i="25"/>
  <c r="M189" i="25"/>
  <c r="BY188" i="25"/>
  <c r="BX188" i="25"/>
  <c r="BW188" i="25"/>
  <c r="BV188" i="25"/>
  <c r="BU188" i="25"/>
  <c r="BS188" i="25"/>
  <c r="BR188" i="25"/>
  <c r="BQ188" i="25"/>
  <c r="BP188" i="25"/>
  <c r="BO188" i="25"/>
  <c r="BN188" i="25"/>
  <c r="BL188" i="25"/>
  <c r="BH188" i="25"/>
  <c r="BG188" i="25"/>
  <c r="BF188" i="25"/>
  <c r="BE188" i="25"/>
  <c r="BD188" i="25"/>
  <c r="BB188" i="25"/>
  <c r="BA188" i="25"/>
  <c r="AZ188" i="25"/>
  <c r="AY188" i="25"/>
  <c r="AX188" i="25"/>
  <c r="AW188" i="25"/>
  <c r="AU188" i="25"/>
  <c r="Z188" i="25"/>
  <c r="Y188" i="25"/>
  <c r="X188" i="25"/>
  <c r="W188" i="25"/>
  <c r="V188" i="25"/>
  <c r="P188" i="25"/>
  <c r="O188" i="25"/>
  <c r="M188" i="25"/>
  <c r="BY187" i="25"/>
  <c r="BX187" i="25"/>
  <c r="BW187" i="25"/>
  <c r="BV187" i="25"/>
  <c r="BU187" i="25"/>
  <c r="BS187" i="25"/>
  <c r="BR187" i="25"/>
  <c r="BQ187" i="25"/>
  <c r="BP187" i="25"/>
  <c r="BO187" i="25"/>
  <c r="BN187" i="25"/>
  <c r="BL187" i="25"/>
  <c r="BH187" i="25"/>
  <c r="BG187" i="25"/>
  <c r="BF187" i="25"/>
  <c r="BE187" i="25"/>
  <c r="BD187" i="25"/>
  <c r="BB187" i="25"/>
  <c r="BA187" i="25"/>
  <c r="AZ187" i="25"/>
  <c r="AY187" i="25"/>
  <c r="AX187" i="25"/>
  <c r="AW187" i="25"/>
  <c r="AU187" i="25"/>
  <c r="AQ187" i="25"/>
  <c r="AP187" i="25"/>
  <c r="AO187" i="25"/>
  <c r="AN187" i="25"/>
  <c r="AG187" i="25"/>
  <c r="AF187" i="25"/>
  <c r="AD187" i="25"/>
  <c r="Z187" i="25"/>
  <c r="Y187" i="25"/>
  <c r="X187" i="25"/>
  <c r="W187" i="25"/>
  <c r="V187" i="25"/>
  <c r="P187" i="25"/>
  <c r="O187" i="25"/>
  <c r="M187" i="25"/>
  <c r="BY186" i="25"/>
  <c r="BX186" i="25"/>
  <c r="BW186" i="25"/>
  <c r="BV186" i="25"/>
  <c r="BU186" i="25"/>
  <c r="BS186" i="25"/>
  <c r="BR186" i="25"/>
  <c r="BQ186" i="25"/>
  <c r="BP186" i="25"/>
  <c r="BO186" i="25"/>
  <c r="BN186" i="25"/>
  <c r="BL186" i="25"/>
  <c r="BH186" i="25"/>
  <c r="BG186" i="25"/>
  <c r="BF186" i="25"/>
  <c r="BE186" i="25"/>
  <c r="BD186" i="25"/>
  <c r="BB186" i="25"/>
  <c r="BA186" i="25"/>
  <c r="AZ186" i="25"/>
  <c r="AY186" i="25"/>
  <c r="AX186" i="25"/>
  <c r="AW186" i="25"/>
  <c r="AU186" i="25"/>
  <c r="Z186" i="25"/>
  <c r="Y186" i="25"/>
  <c r="X186" i="25"/>
  <c r="W186" i="25"/>
  <c r="V186" i="25"/>
  <c r="P186" i="25"/>
  <c r="O186" i="25"/>
  <c r="M186" i="25"/>
  <c r="BY185" i="25"/>
  <c r="BX185" i="25"/>
  <c r="BW185" i="25"/>
  <c r="BV185" i="25"/>
  <c r="BU185" i="25"/>
  <c r="BS185" i="25"/>
  <c r="BR185" i="25"/>
  <c r="BQ185" i="25"/>
  <c r="BP185" i="25"/>
  <c r="BO185" i="25"/>
  <c r="BN185" i="25"/>
  <c r="BL185" i="25"/>
  <c r="BH185" i="25"/>
  <c r="BG185" i="25"/>
  <c r="BF185" i="25"/>
  <c r="BE185" i="25"/>
  <c r="BD185" i="25"/>
  <c r="BB185" i="25"/>
  <c r="BA185" i="25"/>
  <c r="AZ185" i="25"/>
  <c r="AY185" i="25"/>
  <c r="AX185" i="25"/>
  <c r="AW185" i="25"/>
  <c r="AU185" i="25"/>
  <c r="Z185" i="25"/>
  <c r="Y185" i="25"/>
  <c r="X185" i="25"/>
  <c r="W185" i="25"/>
  <c r="V185" i="25"/>
  <c r="P185" i="25"/>
  <c r="O185" i="25"/>
  <c r="M185" i="25"/>
  <c r="BY184" i="25"/>
  <c r="BX184" i="25"/>
  <c r="BW184" i="25"/>
  <c r="BV184" i="25"/>
  <c r="BU184" i="25"/>
  <c r="BS184" i="25"/>
  <c r="BR184" i="25"/>
  <c r="BQ184" i="25"/>
  <c r="BP184" i="25"/>
  <c r="BO184" i="25"/>
  <c r="BN184" i="25"/>
  <c r="BL184" i="25"/>
  <c r="BH184" i="25"/>
  <c r="BG184" i="25"/>
  <c r="BF184" i="25"/>
  <c r="BE184" i="25"/>
  <c r="BD184" i="25"/>
  <c r="BB184" i="25"/>
  <c r="BA184" i="25"/>
  <c r="AZ184" i="25"/>
  <c r="AY184" i="25"/>
  <c r="AX184" i="25"/>
  <c r="AW184" i="25"/>
  <c r="AU184" i="25"/>
  <c r="Z184" i="25"/>
  <c r="Y184" i="25"/>
  <c r="X184" i="25"/>
  <c r="W184" i="25"/>
  <c r="V184" i="25"/>
  <c r="P184" i="25"/>
  <c r="O184" i="25"/>
  <c r="M184" i="25"/>
  <c r="BY183" i="25"/>
  <c r="BX183" i="25"/>
  <c r="BW183" i="25"/>
  <c r="BV183" i="25"/>
  <c r="BU183" i="25"/>
  <c r="BS183" i="25"/>
  <c r="BR183" i="25"/>
  <c r="BQ183" i="25"/>
  <c r="BP183" i="25"/>
  <c r="BO183" i="25"/>
  <c r="BN183" i="25"/>
  <c r="BL183" i="25"/>
  <c r="BH183" i="25"/>
  <c r="BG183" i="25"/>
  <c r="BF183" i="25"/>
  <c r="BE183" i="25"/>
  <c r="BD183" i="25"/>
  <c r="BB183" i="25"/>
  <c r="BA183" i="25"/>
  <c r="AZ183" i="25"/>
  <c r="AY183" i="25"/>
  <c r="AX183" i="25"/>
  <c r="AW183" i="25"/>
  <c r="AU183" i="25"/>
  <c r="AQ183" i="25"/>
  <c r="AP183" i="25"/>
  <c r="AO183" i="25"/>
  <c r="AN183" i="25"/>
  <c r="AG183" i="25"/>
  <c r="AF183" i="25"/>
  <c r="AD183" i="25"/>
  <c r="Z183" i="25"/>
  <c r="Y183" i="25"/>
  <c r="X183" i="25"/>
  <c r="W183" i="25"/>
  <c r="V183" i="25"/>
  <c r="P183" i="25"/>
  <c r="O183" i="25"/>
  <c r="M183" i="25"/>
  <c r="BY182" i="25"/>
  <c r="BX182" i="25"/>
  <c r="BW182" i="25"/>
  <c r="BV182" i="25"/>
  <c r="BU182" i="25"/>
  <c r="BS182" i="25"/>
  <c r="BR182" i="25"/>
  <c r="BQ182" i="25"/>
  <c r="BP182" i="25"/>
  <c r="BO182" i="25"/>
  <c r="BN182" i="25"/>
  <c r="BL182" i="25"/>
  <c r="BH182" i="25"/>
  <c r="BG182" i="25"/>
  <c r="BF182" i="25"/>
  <c r="BE182" i="25"/>
  <c r="BD182" i="25"/>
  <c r="BB182" i="25"/>
  <c r="BA182" i="25"/>
  <c r="AZ182" i="25"/>
  <c r="AY182" i="25"/>
  <c r="AX182" i="25"/>
  <c r="AW182" i="25"/>
  <c r="AU182" i="25"/>
  <c r="Z182" i="25"/>
  <c r="Y182" i="25"/>
  <c r="X182" i="25"/>
  <c r="W182" i="25"/>
  <c r="V182" i="25"/>
  <c r="P182" i="25"/>
  <c r="O182" i="25"/>
  <c r="M182" i="25"/>
  <c r="BY181" i="25"/>
  <c r="BX181" i="25"/>
  <c r="BW181" i="25"/>
  <c r="BV181" i="25"/>
  <c r="BU181" i="25"/>
  <c r="BS181" i="25"/>
  <c r="BR181" i="25"/>
  <c r="BQ181" i="25"/>
  <c r="BP181" i="25"/>
  <c r="BO181" i="25"/>
  <c r="BN181" i="25"/>
  <c r="BL181" i="25"/>
  <c r="BH181" i="25"/>
  <c r="BG181" i="25"/>
  <c r="BF181" i="25"/>
  <c r="BE181" i="25"/>
  <c r="BD181" i="25"/>
  <c r="BB181" i="25"/>
  <c r="BA181" i="25"/>
  <c r="AZ181" i="25"/>
  <c r="AY181" i="25"/>
  <c r="AX181" i="25"/>
  <c r="AW181" i="25"/>
  <c r="AU181" i="25"/>
  <c r="Z181" i="25"/>
  <c r="Y181" i="25"/>
  <c r="X181" i="25"/>
  <c r="W181" i="25"/>
  <c r="V181" i="25"/>
  <c r="P181" i="25"/>
  <c r="O181" i="25"/>
  <c r="M181" i="25"/>
  <c r="BY180" i="25"/>
  <c r="BX180" i="25"/>
  <c r="BW180" i="25"/>
  <c r="BV180" i="25"/>
  <c r="BU180" i="25"/>
  <c r="BS180" i="25"/>
  <c r="BR180" i="25"/>
  <c r="BQ180" i="25"/>
  <c r="BP180" i="25"/>
  <c r="BO180" i="25"/>
  <c r="BN180" i="25"/>
  <c r="BL180" i="25"/>
  <c r="BH180" i="25"/>
  <c r="BG180" i="25"/>
  <c r="BF180" i="25"/>
  <c r="BE180" i="25"/>
  <c r="BD180" i="25"/>
  <c r="BB180" i="25"/>
  <c r="BA180" i="25"/>
  <c r="AZ180" i="25"/>
  <c r="AY180" i="25"/>
  <c r="AX180" i="25"/>
  <c r="AW180" i="25"/>
  <c r="AU180" i="25"/>
  <c r="Z180" i="25"/>
  <c r="Y180" i="25"/>
  <c r="X180" i="25"/>
  <c r="W180" i="25"/>
  <c r="V180" i="25"/>
  <c r="P180" i="25"/>
  <c r="O180" i="25"/>
  <c r="M180" i="25"/>
  <c r="BY179" i="25"/>
  <c r="BX179" i="25"/>
  <c r="BW179" i="25"/>
  <c r="BV179" i="25"/>
  <c r="BU179" i="25"/>
  <c r="BS179" i="25"/>
  <c r="BR179" i="25"/>
  <c r="BQ179" i="25"/>
  <c r="BP179" i="25"/>
  <c r="BO179" i="25"/>
  <c r="BN179" i="25"/>
  <c r="BL179" i="25"/>
  <c r="BH179" i="25"/>
  <c r="BG179" i="25"/>
  <c r="BF179" i="25"/>
  <c r="BE179" i="25"/>
  <c r="BD179" i="25"/>
  <c r="BB179" i="25"/>
  <c r="BA179" i="25"/>
  <c r="AZ179" i="25"/>
  <c r="AY179" i="25"/>
  <c r="AX179" i="25"/>
  <c r="AW179" i="25"/>
  <c r="AU179" i="25"/>
  <c r="AQ179" i="25"/>
  <c r="AP179" i="25"/>
  <c r="AO179" i="25"/>
  <c r="AN179" i="25"/>
  <c r="AG179" i="25"/>
  <c r="AF179" i="25"/>
  <c r="AD179" i="25"/>
  <c r="Z179" i="25"/>
  <c r="Y179" i="25"/>
  <c r="X179" i="25"/>
  <c r="W179" i="25"/>
  <c r="V179" i="25"/>
  <c r="P179" i="25"/>
  <c r="O179" i="25"/>
  <c r="M179" i="25"/>
  <c r="BY178" i="25"/>
  <c r="BX178" i="25"/>
  <c r="BW178" i="25"/>
  <c r="BV178" i="25"/>
  <c r="BU178" i="25"/>
  <c r="BS178" i="25"/>
  <c r="BR178" i="25"/>
  <c r="BQ178" i="25"/>
  <c r="BP178" i="25"/>
  <c r="BO178" i="25"/>
  <c r="BN178" i="25"/>
  <c r="BL178" i="25"/>
  <c r="BH178" i="25"/>
  <c r="BG178" i="25"/>
  <c r="BF178" i="25"/>
  <c r="BE178" i="25"/>
  <c r="BD178" i="25"/>
  <c r="BB178" i="25"/>
  <c r="BA178" i="25"/>
  <c r="AZ178" i="25"/>
  <c r="AY178" i="25"/>
  <c r="AX178" i="25"/>
  <c r="AW178" i="25"/>
  <c r="AU178" i="25"/>
  <c r="Z178" i="25"/>
  <c r="Y178" i="25"/>
  <c r="X178" i="25"/>
  <c r="W178" i="25"/>
  <c r="V178" i="25"/>
  <c r="P178" i="25"/>
  <c r="O178" i="25"/>
  <c r="M178" i="25"/>
  <c r="BY177" i="25"/>
  <c r="BX177" i="25"/>
  <c r="BW177" i="25"/>
  <c r="BV177" i="25"/>
  <c r="BU177" i="25"/>
  <c r="BS177" i="25"/>
  <c r="BR177" i="25"/>
  <c r="BQ177" i="25"/>
  <c r="BP177" i="25"/>
  <c r="BO177" i="25"/>
  <c r="BN177" i="25"/>
  <c r="BL177" i="25"/>
  <c r="BH177" i="25"/>
  <c r="BG177" i="25"/>
  <c r="BF177" i="25"/>
  <c r="BE177" i="25"/>
  <c r="BD177" i="25"/>
  <c r="BB177" i="25"/>
  <c r="BA177" i="25"/>
  <c r="AZ177" i="25"/>
  <c r="AY177" i="25"/>
  <c r="AX177" i="25"/>
  <c r="AW177" i="25"/>
  <c r="AU177" i="25"/>
  <c r="Z177" i="25"/>
  <c r="Y177" i="25"/>
  <c r="X177" i="25"/>
  <c r="W177" i="25"/>
  <c r="V177" i="25"/>
  <c r="P177" i="25"/>
  <c r="O177" i="25"/>
  <c r="M177" i="25"/>
  <c r="BY176" i="25"/>
  <c r="BX176" i="25"/>
  <c r="BW176" i="25"/>
  <c r="BV176" i="25"/>
  <c r="BU176" i="25"/>
  <c r="BS176" i="25"/>
  <c r="BR176" i="25"/>
  <c r="BQ176" i="25"/>
  <c r="BP176" i="25"/>
  <c r="BO176" i="25"/>
  <c r="BN176" i="25"/>
  <c r="BL176" i="25"/>
  <c r="BH176" i="25"/>
  <c r="BG176" i="25"/>
  <c r="BF176" i="25"/>
  <c r="BE176" i="25"/>
  <c r="BD176" i="25"/>
  <c r="BB176" i="25"/>
  <c r="BA176" i="25"/>
  <c r="AZ176" i="25"/>
  <c r="AY176" i="25"/>
  <c r="AX176" i="25"/>
  <c r="AW176" i="25"/>
  <c r="AU176" i="25"/>
  <c r="Z176" i="25"/>
  <c r="Y176" i="25"/>
  <c r="X176" i="25"/>
  <c r="W176" i="25"/>
  <c r="V176" i="25"/>
  <c r="P176" i="25"/>
  <c r="O176" i="25"/>
  <c r="M176" i="25"/>
  <c r="BY175" i="25"/>
  <c r="BX175" i="25"/>
  <c r="BW175" i="25"/>
  <c r="BV175" i="25"/>
  <c r="BU175" i="25"/>
  <c r="BS175" i="25"/>
  <c r="BR175" i="25"/>
  <c r="BQ175" i="25"/>
  <c r="BP175" i="25"/>
  <c r="BO175" i="25"/>
  <c r="BN175" i="25"/>
  <c r="BL175" i="25"/>
  <c r="BH175" i="25"/>
  <c r="BG175" i="25"/>
  <c r="BF175" i="25"/>
  <c r="BE175" i="25"/>
  <c r="BD175" i="25"/>
  <c r="BB175" i="25"/>
  <c r="BA175" i="25"/>
  <c r="AZ175" i="25"/>
  <c r="AY175" i="25"/>
  <c r="AX175" i="25"/>
  <c r="AW175" i="25"/>
  <c r="AU175" i="25"/>
  <c r="AQ175" i="25"/>
  <c r="AP175" i="25"/>
  <c r="AO175" i="25"/>
  <c r="AN175" i="25"/>
  <c r="AG175" i="25"/>
  <c r="AF175" i="25"/>
  <c r="AD175" i="25"/>
  <c r="Z175" i="25"/>
  <c r="Y175" i="25"/>
  <c r="X175" i="25"/>
  <c r="W175" i="25"/>
  <c r="V175" i="25"/>
  <c r="P175" i="25"/>
  <c r="O175" i="25"/>
  <c r="M175" i="25"/>
  <c r="BY174" i="25"/>
  <c r="BX174" i="25"/>
  <c r="BW174" i="25"/>
  <c r="BV174" i="25"/>
  <c r="BU174" i="25"/>
  <c r="BS174" i="25"/>
  <c r="BR174" i="25"/>
  <c r="BQ174" i="25"/>
  <c r="BP174" i="25"/>
  <c r="BO174" i="25"/>
  <c r="BN174" i="25"/>
  <c r="BL174" i="25"/>
  <c r="BH174" i="25"/>
  <c r="BG174" i="25"/>
  <c r="BF174" i="25"/>
  <c r="BE174" i="25"/>
  <c r="BD174" i="25"/>
  <c r="BB174" i="25"/>
  <c r="BA174" i="25"/>
  <c r="AZ174" i="25"/>
  <c r="AY174" i="25"/>
  <c r="AX174" i="25"/>
  <c r="AW174" i="25"/>
  <c r="AU174" i="25"/>
  <c r="Z174" i="25"/>
  <c r="Y174" i="25"/>
  <c r="X174" i="25"/>
  <c r="W174" i="25"/>
  <c r="V174" i="25"/>
  <c r="P174" i="25"/>
  <c r="O174" i="25"/>
  <c r="M174" i="25"/>
  <c r="BY173" i="25"/>
  <c r="BX173" i="25"/>
  <c r="BW173" i="25"/>
  <c r="BV173" i="25"/>
  <c r="BU173" i="25"/>
  <c r="BS173" i="25"/>
  <c r="BR173" i="25"/>
  <c r="BQ173" i="25"/>
  <c r="BP173" i="25"/>
  <c r="BO173" i="25"/>
  <c r="BN173" i="25"/>
  <c r="BL173" i="25"/>
  <c r="BH173" i="25"/>
  <c r="BG173" i="25"/>
  <c r="BF173" i="25"/>
  <c r="BE173" i="25"/>
  <c r="BD173" i="25"/>
  <c r="BB173" i="25"/>
  <c r="BA173" i="25"/>
  <c r="AZ173" i="25"/>
  <c r="AY173" i="25"/>
  <c r="AX173" i="25"/>
  <c r="AW173" i="25"/>
  <c r="AU173" i="25"/>
  <c r="Z173" i="25"/>
  <c r="Y173" i="25"/>
  <c r="X173" i="25"/>
  <c r="W173" i="25"/>
  <c r="V173" i="25"/>
  <c r="P173" i="25"/>
  <c r="O173" i="25"/>
  <c r="M173" i="25"/>
  <c r="BY172" i="25"/>
  <c r="BX172" i="25"/>
  <c r="BW172" i="25"/>
  <c r="BV172" i="25"/>
  <c r="BU172" i="25"/>
  <c r="BS172" i="25"/>
  <c r="BR172" i="25"/>
  <c r="BQ172" i="25"/>
  <c r="BP172" i="25"/>
  <c r="BO172" i="25"/>
  <c r="BN172" i="25"/>
  <c r="BL172" i="25"/>
  <c r="BH172" i="25"/>
  <c r="BG172" i="25"/>
  <c r="BF172" i="25"/>
  <c r="BE172" i="25"/>
  <c r="BD172" i="25"/>
  <c r="BB172" i="25"/>
  <c r="BA172" i="25"/>
  <c r="AZ172" i="25"/>
  <c r="AY172" i="25"/>
  <c r="AX172" i="25"/>
  <c r="AW172" i="25"/>
  <c r="AU172" i="25"/>
  <c r="Z172" i="25"/>
  <c r="Y172" i="25"/>
  <c r="X172" i="25"/>
  <c r="W172" i="25"/>
  <c r="V172" i="25"/>
  <c r="P172" i="25"/>
  <c r="O172" i="25"/>
  <c r="M172" i="25"/>
  <c r="BY171" i="25"/>
  <c r="BX171" i="25"/>
  <c r="BW171" i="25"/>
  <c r="BV171" i="25"/>
  <c r="BU171" i="25"/>
  <c r="BS171" i="25"/>
  <c r="BR171" i="25"/>
  <c r="BQ171" i="25"/>
  <c r="BP171" i="25"/>
  <c r="BO171" i="25"/>
  <c r="BN171" i="25"/>
  <c r="BL171" i="25"/>
  <c r="BH171" i="25"/>
  <c r="BG171" i="25"/>
  <c r="BF171" i="25"/>
  <c r="BE171" i="25"/>
  <c r="BD171" i="25"/>
  <c r="BB171" i="25"/>
  <c r="BA171" i="25"/>
  <c r="AZ171" i="25"/>
  <c r="AY171" i="25"/>
  <c r="AX171" i="25"/>
  <c r="AW171" i="25"/>
  <c r="AU171" i="25"/>
  <c r="AQ171" i="25"/>
  <c r="AP171" i="25"/>
  <c r="AO171" i="25"/>
  <c r="AN171" i="25"/>
  <c r="AG171" i="25"/>
  <c r="AF171" i="25"/>
  <c r="AD171" i="25"/>
  <c r="Z171" i="25"/>
  <c r="Y171" i="25"/>
  <c r="X171" i="25"/>
  <c r="W171" i="25"/>
  <c r="V171" i="25"/>
  <c r="P171" i="25"/>
  <c r="O171" i="25"/>
  <c r="M171" i="25"/>
  <c r="BY170" i="25"/>
  <c r="BX170" i="25"/>
  <c r="BW170" i="25"/>
  <c r="BV170" i="25"/>
  <c r="BU170" i="25"/>
  <c r="BS170" i="25"/>
  <c r="BR170" i="25"/>
  <c r="BQ170" i="25"/>
  <c r="BP170" i="25"/>
  <c r="BO170" i="25"/>
  <c r="BN170" i="25"/>
  <c r="BL170" i="25"/>
  <c r="BH170" i="25"/>
  <c r="BG170" i="25"/>
  <c r="BF170" i="25"/>
  <c r="BE170" i="25"/>
  <c r="BD170" i="25"/>
  <c r="BB170" i="25"/>
  <c r="BA170" i="25"/>
  <c r="AZ170" i="25"/>
  <c r="AY170" i="25"/>
  <c r="AX170" i="25"/>
  <c r="AW170" i="25"/>
  <c r="AU170" i="25"/>
  <c r="Z170" i="25"/>
  <c r="Y170" i="25"/>
  <c r="X170" i="25"/>
  <c r="W170" i="25"/>
  <c r="V170" i="25"/>
  <c r="P170" i="25"/>
  <c r="O170" i="25"/>
  <c r="M170" i="25"/>
  <c r="BY169" i="25"/>
  <c r="BX169" i="25"/>
  <c r="BW169" i="25"/>
  <c r="BV169" i="25"/>
  <c r="BU169" i="25"/>
  <c r="BS169" i="25"/>
  <c r="BR169" i="25"/>
  <c r="BQ169" i="25"/>
  <c r="BP169" i="25"/>
  <c r="BO169" i="25"/>
  <c r="BN169" i="25"/>
  <c r="BL169" i="25"/>
  <c r="BH169" i="25"/>
  <c r="BG169" i="25"/>
  <c r="BF169" i="25"/>
  <c r="BE169" i="25"/>
  <c r="BD169" i="25"/>
  <c r="BB169" i="25"/>
  <c r="BA169" i="25"/>
  <c r="AZ169" i="25"/>
  <c r="AY169" i="25"/>
  <c r="AX169" i="25"/>
  <c r="AW169" i="25"/>
  <c r="AU169" i="25"/>
  <c r="Z169" i="25"/>
  <c r="Y169" i="25"/>
  <c r="X169" i="25"/>
  <c r="W169" i="25"/>
  <c r="V169" i="25"/>
  <c r="P169" i="25"/>
  <c r="O169" i="25"/>
  <c r="M169" i="25"/>
  <c r="BY168" i="25"/>
  <c r="BX168" i="25"/>
  <c r="BW168" i="25"/>
  <c r="BV168" i="25"/>
  <c r="BU168" i="25"/>
  <c r="BS168" i="25"/>
  <c r="BR168" i="25"/>
  <c r="BQ168" i="25"/>
  <c r="BP168" i="25"/>
  <c r="BO168" i="25"/>
  <c r="BN168" i="25"/>
  <c r="BL168" i="25"/>
  <c r="BH168" i="25"/>
  <c r="BG168" i="25"/>
  <c r="BF168" i="25"/>
  <c r="BE168" i="25"/>
  <c r="BD168" i="25"/>
  <c r="BB168" i="25"/>
  <c r="BA168" i="25"/>
  <c r="AZ168" i="25"/>
  <c r="AY168" i="25"/>
  <c r="AX168" i="25"/>
  <c r="AW168" i="25"/>
  <c r="AU168" i="25"/>
  <c r="Z168" i="25"/>
  <c r="Y168" i="25"/>
  <c r="X168" i="25"/>
  <c r="W168" i="25"/>
  <c r="V168" i="25"/>
  <c r="P168" i="25"/>
  <c r="O168" i="25"/>
  <c r="M168" i="25"/>
  <c r="BY167" i="25"/>
  <c r="BX167" i="25"/>
  <c r="BW167" i="25"/>
  <c r="BV167" i="25"/>
  <c r="BU167" i="25"/>
  <c r="BS167" i="25"/>
  <c r="BR167" i="25"/>
  <c r="BQ167" i="25"/>
  <c r="BP167" i="25"/>
  <c r="BO167" i="25"/>
  <c r="BN167" i="25"/>
  <c r="BL167" i="25"/>
  <c r="BH167" i="25"/>
  <c r="BG167" i="25"/>
  <c r="BF167" i="25"/>
  <c r="BE167" i="25"/>
  <c r="BD167" i="25"/>
  <c r="BB167" i="25"/>
  <c r="BA167" i="25"/>
  <c r="AZ167" i="25"/>
  <c r="AY167" i="25"/>
  <c r="AX167" i="25"/>
  <c r="AW167" i="25"/>
  <c r="AU167" i="25"/>
  <c r="AQ167" i="25"/>
  <c r="AP167" i="25"/>
  <c r="AO167" i="25"/>
  <c r="AN167" i="25"/>
  <c r="AG167" i="25"/>
  <c r="AF167" i="25"/>
  <c r="AD167" i="25"/>
  <c r="Z167" i="25"/>
  <c r="Y167" i="25"/>
  <c r="X167" i="25"/>
  <c r="W167" i="25"/>
  <c r="V167" i="25"/>
  <c r="P167" i="25"/>
  <c r="O167" i="25"/>
  <c r="M167" i="25"/>
  <c r="BY166" i="25"/>
  <c r="BX166" i="25"/>
  <c r="BW166" i="25"/>
  <c r="BV166" i="25"/>
  <c r="BU166" i="25"/>
  <c r="BS166" i="25"/>
  <c r="BR166" i="25"/>
  <c r="BQ166" i="25"/>
  <c r="BP166" i="25"/>
  <c r="BO166" i="25"/>
  <c r="BN166" i="25"/>
  <c r="BL166" i="25"/>
  <c r="BH166" i="25"/>
  <c r="BG166" i="25"/>
  <c r="BF166" i="25"/>
  <c r="BE166" i="25"/>
  <c r="BD166" i="25"/>
  <c r="BB166" i="25"/>
  <c r="BA166" i="25"/>
  <c r="AZ166" i="25"/>
  <c r="AY166" i="25"/>
  <c r="AX166" i="25"/>
  <c r="AW166" i="25"/>
  <c r="AU166" i="25"/>
  <c r="Z166" i="25"/>
  <c r="Y166" i="25"/>
  <c r="X166" i="25"/>
  <c r="W166" i="25"/>
  <c r="V166" i="25"/>
  <c r="P166" i="25"/>
  <c r="O166" i="25"/>
  <c r="M166" i="25"/>
  <c r="BY165" i="25"/>
  <c r="BX165" i="25"/>
  <c r="BW165" i="25"/>
  <c r="BV165" i="25"/>
  <c r="BU165" i="25"/>
  <c r="BS165" i="25"/>
  <c r="BR165" i="25"/>
  <c r="BQ165" i="25"/>
  <c r="BP165" i="25"/>
  <c r="BO165" i="25"/>
  <c r="BN165" i="25"/>
  <c r="BL165" i="25"/>
  <c r="BH165" i="25"/>
  <c r="BG165" i="25"/>
  <c r="BF165" i="25"/>
  <c r="BE165" i="25"/>
  <c r="BD165" i="25"/>
  <c r="BB165" i="25"/>
  <c r="BA165" i="25"/>
  <c r="AZ165" i="25"/>
  <c r="AY165" i="25"/>
  <c r="AX165" i="25"/>
  <c r="AW165" i="25"/>
  <c r="AU165" i="25"/>
  <c r="Z165" i="25"/>
  <c r="Y165" i="25"/>
  <c r="X165" i="25"/>
  <c r="W165" i="25"/>
  <c r="V165" i="25"/>
  <c r="P165" i="25"/>
  <c r="O165" i="25"/>
  <c r="M165" i="25"/>
  <c r="BY164" i="25"/>
  <c r="BX164" i="25"/>
  <c r="BW164" i="25"/>
  <c r="BV164" i="25"/>
  <c r="BU164" i="25"/>
  <c r="BS164" i="25"/>
  <c r="BR164" i="25"/>
  <c r="BQ164" i="25"/>
  <c r="BP164" i="25"/>
  <c r="BO164" i="25"/>
  <c r="BN164" i="25"/>
  <c r="BL164" i="25"/>
  <c r="BH164" i="25"/>
  <c r="BG164" i="25"/>
  <c r="BF164" i="25"/>
  <c r="BE164" i="25"/>
  <c r="BD164" i="25"/>
  <c r="BB164" i="25"/>
  <c r="BA164" i="25"/>
  <c r="AZ164" i="25"/>
  <c r="AY164" i="25"/>
  <c r="AX164" i="25"/>
  <c r="AW164" i="25"/>
  <c r="AU164" i="25"/>
  <c r="Z164" i="25"/>
  <c r="Y164" i="25"/>
  <c r="X164" i="25"/>
  <c r="W164" i="25"/>
  <c r="V164" i="25"/>
  <c r="P164" i="25"/>
  <c r="O164" i="25"/>
  <c r="M164" i="25"/>
  <c r="BY163" i="25"/>
  <c r="BX163" i="25"/>
  <c r="BW163" i="25"/>
  <c r="BV163" i="25"/>
  <c r="BU163" i="25"/>
  <c r="BS163" i="25"/>
  <c r="BR163" i="25"/>
  <c r="BQ163" i="25"/>
  <c r="BP163" i="25"/>
  <c r="BO163" i="25"/>
  <c r="BN163" i="25"/>
  <c r="BL163" i="25"/>
  <c r="BH163" i="25"/>
  <c r="BG163" i="25"/>
  <c r="BF163" i="25"/>
  <c r="BE163" i="25"/>
  <c r="BD163" i="25"/>
  <c r="BB163" i="25"/>
  <c r="BA163" i="25"/>
  <c r="AZ163" i="25"/>
  <c r="AY163" i="25"/>
  <c r="AX163" i="25"/>
  <c r="AW163" i="25"/>
  <c r="AU163" i="25"/>
  <c r="AQ163" i="25"/>
  <c r="AP163" i="25"/>
  <c r="AO163" i="25"/>
  <c r="AN163" i="25"/>
  <c r="AG163" i="25"/>
  <c r="AF163" i="25"/>
  <c r="AD163" i="25"/>
  <c r="Z163" i="25"/>
  <c r="Y163" i="25"/>
  <c r="X163" i="25"/>
  <c r="W163" i="25"/>
  <c r="V163" i="25"/>
  <c r="P163" i="25"/>
  <c r="O163" i="25"/>
  <c r="M163" i="25"/>
  <c r="BY162" i="25"/>
  <c r="BX162" i="25"/>
  <c r="BW162" i="25"/>
  <c r="BV162" i="25"/>
  <c r="BU162" i="25"/>
  <c r="BS162" i="25"/>
  <c r="BR162" i="25"/>
  <c r="BQ162" i="25"/>
  <c r="BP162" i="25"/>
  <c r="BO162" i="25"/>
  <c r="BN162" i="25"/>
  <c r="BL162" i="25"/>
  <c r="BH162" i="25"/>
  <c r="BG162" i="25"/>
  <c r="BF162" i="25"/>
  <c r="BE162" i="25"/>
  <c r="BD162" i="25"/>
  <c r="BB162" i="25"/>
  <c r="BA162" i="25"/>
  <c r="AZ162" i="25"/>
  <c r="AY162" i="25"/>
  <c r="AX162" i="25"/>
  <c r="AW162" i="25"/>
  <c r="AU162" i="25"/>
  <c r="Z162" i="25"/>
  <c r="Y162" i="25"/>
  <c r="X162" i="25"/>
  <c r="W162" i="25"/>
  <c r="V162" i="25"/>
  <c r="P162" i="25"/>
  <c r="O162" i="25"/>
  <c r="M162" i="25"/>
  <c r="BY161" i="25"/>
  <c r="BX161" i="25"/>
  <c r="BW161" i="25"/>
  <c r="BV161" i="25"/>
  <c r="BU161" i="25"/>
  <c r="BS161" i="25"/>
  <c r="BR161" i="25"/>
  <c r="BQ161" i="25"/>
  <c r="BP161" i="25"/>
  <c r="BO161" i="25"/>
  <c r="BN161" i="25"/>
  <c r="BL161" i="25"/>
  <c r="BH161" i="25"/>
  <c r="BG161" i="25"/>
  <c r="BF161" i="25"/>
  <c r="BE161" i="25"/>
  <c r="BD161" i="25"/>
  <c r="BB161" i="25"/>
  <c r="BA161" i="25"/>
  <c r="AZ161" i="25"/>
  <c r="AY161" i="25"/>
  <c r="AX161" i="25"/>
  <c r="AW161" i="25"/>
  <c r="AU161" i="25"/>
  <c r="Z161" i="25"/>
  <c r="Y161" i="25"/>
  <c r="X161" i="25"/>
  <c r="W161" i="25"/>
  <c r="V161" i="25"/>
  <c r="P161" i="25"/>
  <c r="O161" i="25"/>
  <c r="M161" i="25"/>
  <c r="BY160" i="25"/>
  <c r="BX160" i="25"/>
  <c r="BW160" i="25"/>
  <c r="BV160" i="25"/>
  <c r="BU160" i="25"/>
  <c r="BS160" i="25"/>
  <c r="BR160" i="25"/>
  <c r="BQ160" i="25"/>
  <c r="BP160" i="25"/>
  <c r="BO160" i="25"/>
  <c r="BN160" i="25"/>
  <c r="BL160" i="25"/>
  <c r="BH160" i="25"/>
  <c r="BG160" i="25"/>
  <c r="BF160" i="25"/>
  <c r="BE160" i="25"/>
  <c r="BD160" i="25"/>
  <c r="BB160" i="25"/>
  <c r="BA160" i="25"/>
  <c r="AZ160" i="25"/>
  <c r="AY160" i="25"/>
  <c r="AX160" i="25"/>
  <c r="AW160" i="25"/>
  <c r="AU160" i="25"/>
  <c r="AQ160" i="25"/>
  <c r="AP160" i="25"/>
  <c r="AO160" i="25"/>
  <c r="AN160" i="25"/>
  <c r="Z160" i="25"/>
  <c r="Y160" i="25"/>
  <c r="X160" i="25"/>
  <c r="W160" i="25"/>
  <c r="V160" i="25"/>
  <c r="P160" i="25"/>
  <c r="O160" i="25"/>
  <c r="M160" i="25"/>
  <c r="BY159" i="25"/>
  <c r="BX159" i="25"/>
  <c r="BW159" i="25"/>
  <c r="BV159" i="25"/>
  <c r="BU159" i="25"/>
  <c r="BS159" i="25"/>
  <c r="BR159" i="25"/>
  <c r="BQ159" i="25"/>
  <c r="BP159" i="25"/>
  <c r="BO159" i="25"/>
  <c r="BN159" i="25"/>
  <c r="BL159" i="25"/>
  <c r="BH159" i="25"/>
  <c r="BG159" i="25"/>
  <c r="BF159" i="25"/>
  <c r="BE159" i="25"/>
  <c r="BD159" i="25"/>
  <c r="BB159" i="25"/>
  <c r="BA159" i="25"/>
  <c r="AZ159" i="25"/>
  <c r="AY159" i="25"/>
  <c r="AX159" i="25"/>
  <c r="AW159" i="25"/>
  <c r="AU159" i="25"/>
  <c r="AQ159" i="25"/>
  <c r="AP159" i="25"/>
  <c r="AO159" i="25"/>
  <c r="AN159" i="25"/>
  <c r="AG159" i="25"/>
  <c r="AF159" i="25"/>
  <c r="AD159" i="25"/>
  <c r="Z159" i="25"/>
  <c r="Y159" i="25"/>
  <c r="X159" i="25"/>
  <c r="W159" i="25"/>
  <c r="V159" i="25"/>
  <c r="P159" i="25"/>
  <c r="O159" i="25"/>
  <c r="M159" i="25"/>
  <c r="BY158" i="25"/>
  <c r="BX158" i="25"/>
  <c r="BW158" i="25"/>
  <c r="BV158" i="25"/>
  <c r="BU158" i="25"/>
  <c r="BS158" i="25"/>
  <c r="BR158" i="25"/>
  <c r="BQ158" i="25"/>
  <c r="BP158" i="25"/>
  <c r="BO158" i="25"/>
  <c r="BN158" i="25"/>
  <c r="BL158" i="25"/>
  <c r="BH158" i="25"/>
  <c r="BG158" i="25"/>
  <c r="BF158" i="25"/>
  <c r="BE158" i="25"/>
  <c r="BD158" i="25"/>
  <c r="BB158" i="25"/>
  <c r="BA158" i="25"/>
  <c r="AZ158" i="25"/>
  <c r="AY158" i="25"/>
  <c r="AX158" i="25"/>
  <c r="AW158" i="25"/>
  <c r="AU158" i="25"/>
  <c r="Z158" i="25"/>
  <c r="Y158" i="25"/>
  <c r="X158" i="25"/>
  <c r="W158" i="25"/>
  <c r="V158" i="25"/>
  <c r="P158" i="25"/>
  <c r="O158" i="25"/>
  <c r="M158" i="25"/>
  <c r="BY157" i="25"/>
  <c r="BX157" i="25"/>
  <c r="BW157" i="25"/>
  <c r="BV157" i="25"/>
  <c r="BU157" i="25"/>
  <c r="BS157" i="25"/>
  <c r="BR157" i="25"/>
  <c r="BQ157" i="25"/>
  <c r="BP157" i="25"/>
  <c r="BO157" i="25"/>
  <c r="BN157" i="25"/>
  <c r="BL157" i="25"/>
  <c r="BH157" i="25"/>
  <c r="BG157" i="25"/>
  <c r="BF157" i="25"/>
  <c r="BE157" i="25"/>
  <c r="BD157" i="25"/>
  <c r="BB157" i="25"/>
  <c r="BA157" i="25"/>
  <c r="AZ157" i="25"/>
  <c r="AY157" i="25"/>
  <c r="AX157" i="25"/>
  <c r="AW157" i="25"/>
  <c r="AU157" i="25"/>
  <c r="Z157" i="25"/>
  <c r="Y157" i="25"/>
  <c r="X157" i="25"/>
  <c r="W157" i="25"/>
  <c r="V157" i="25"/>
  <c r="P157" i="25"/>
  <c r="O157" i="25"/>
  <c r="M157" i="25"/>
  <c r="BY156" i="25"/>
  <c r="BX156" i="25"/>
  <c r="BW156" i="25"/>
  <c r="BV156" i="25"/>
  <c r="BU156" i="25"/>
  <c r="BS156" i="25"/>
  <c r="BR156" i="25"/>
  <c r="BQ156" i="25"/>
  <c r="BP156" i="25"/>
  <c r="BO156" i="25"/>
  <c r="BN156" i="25"/>
  <c r="BL156" i="25"/>
  <c r="BH156" i="25"/>
  <c r="BG156" i="25"/>
  <c r="BF156" i="25"/>
  <c r="BE156" i="25"/>
  <c r="BD156" i="25"/>
  <c r="BB156" i="25"/>
  <c r="BA156" i="25"/>
  <c r="AZ156" i="25"/>
  <c r="AY156" i="25"/>
  <c r="AX156" i="25"/>
  <c r="AW156" i="25"/>
  <c r="AU156" i="25"/>
  <c r="AQ156" i="25"/>
  <c r="AP156" i="25"/>
  <c r="AO156" i="25"/>
  <c r="AN156" i="25"/>
  <c r="Z156" i="25"/>
  <c r="Y156" i="25"/>
  <c r="X156" i="25"/>
  <c r="W156" i="25"/>
  <c r="V156" i="25"/>
  <c r="P156" i="25"/>
  <c r="O156" i="25"/>
  <c r="M156" i="25"/>
  <c r="BY155" i="25"/>
  <c r="BX155" i="25"/>
  <c r="BW155" i="25"/>
  <c r="BV155" i="25"/>
  <c r="BU155" i="25"/>
  <c r="BS155" i="25"/>
  <c r="BR155" i="25"/>
  <c r="BQ155" i="25"/>
  <c r="BP155" i="25"/>
  <c r="BO155" i="25"/>
  <c r="BN155" i="25"/>
  <c r="BL155" i="25"/>
  <c r="BH155" i="25"/>
  <c r="BG155" i="25"/>
  <c r="BF155" i="25"/>
  <c r="BE155" i="25"/>
  <c r="BD155" i="25"/>
  <c r="BB155" i="25"/>
  <c r="BA155" i="25"/>
  <c r="AZ155" i="25"/>
  <c r="AY155" i="25"/>
  <c r="AX155" i="25"/>
  <c r="AW155" i="25"/>
  <c r="AU155" i="25"/>
  <c r="AQ155" i="25"/>
  <c r="AP155" i="25"/>
  <c r="AO155" i="25"/>
  <c r="AN155" i="25"/>
  <c r="AG155" i="25"/>
  <c r="AF155" i="25"/>
  <c r="AD155" i="25"/>
  <c r="Z155" i="25"/>
  <c r="Y155" i="25"/>
  <c r="X155" i="25"/>
  <c r="W155" i="25"/>
  <c r="V155" i="25"/>
  <c r="P155" i="25"/>
  <c r="O155" i="25"/>
  <c r="M155" i="25"/>
  <c r="BY154" i="25"/>
  <c r="BX154" i="25"/>
  <c r="BW154" i="25"/>
  <c r="BV154" i="25"/>
  <c r="BU154" i="25"/>
  <c r="BS154" i="25"/>
  <c r="BR154" i="25"/>
  <c r="BQ154" i="25"/>
  <c r="BP154" i="25"/>
  <c r="BO154" i="25"/>
  <c r="BN154" i="25"/>
  <c r="BL154" i="25"/>
  <c r="BH154" i="25"/>
  <c r="BG154" i="25"/>
  <c r="BF154" i="25"/>
  <c r="BE154" i="25"/>
  <c r="BD154" i="25"/>
  <c r="BB154" i="25"/>
  <c r="BA154" i="25"/>
  <c r="AZ154" i="25"/>
  <c r="AY154" i="25"/>
  <c r="AX154" i="25"/>
  <c r="AW154" i="25"/>
  <c r="AU154" i="25"/>
  <c r="Z154" i="25"/>
  <c r="Y154" i="25"/>
  <c r="X154" i="25"/>
  <c r="W154" i="25"/>
  <c r="V154" i="25"/>
  <c r="P154" i="25"/>
  <c r="O154" i="25"/>
  <c r="M154" i="25"/>
  <c r="BY153" i="25"/>
  <c r="BX153" i="25"/>
  <c r="BW153" i="25"/>
  <c r="BV153" i="25"/>
  <c r="BU153" i="25"/>
  <c r="BS153" i="25"/>
  <c r="BR153" i="25"/>
  <c r="BQ153" i="25"/>
  <c r="BP153" i="25"/>
  <c r="BO153" i="25"/>
  <c r="BN153" i="25"/>
  <c r="BL153" i="25"/>
  <c r="BH153" i="25"/>
  <c r="BG153" i="25"/>
  <c r="BF153" i="25"/>
  <c r="BE153" i="25"/>
  <c r="BD153" i="25"/>
  <c r="BB153" i="25"/>
  <c r="BA153" i="25"/>
  <c r="AZ153" i="25"/>
  <c r="AY153" i="25"/>
  <c r="AX153" i="25"/>
  <c r="AW153" i="25"/>
  <c r="AU153" i="25"/>
  <c r="Z153" i="25"/>
  <c r="Y153" i="25"/>
  <c r="X153" i="25"/>
  <c r="W153" i="25"/>
  <c r="V153" i="25"/>
  <c r="P153" i="25"/>
  <c r="O153" i="25"/>
  <c r="M153" i="25"/>
  <c r="BY152" i="25"/>
  <c r="BX152" i="25"/>
  <c r="BW152" i="25"/>
  <c r="BV152" i="25"/>
  <c r="BU152" i="25"/>
  <c r="BS152" i="25"/>
  <c r="BR152" i="25"/>
  <c r="BQ152" i="25"/>
  <c r="BP152" i="25"/>
  <c r="BO152" i="25"/>
  <c r="BN152" i="25"/>
  <c r="BL152" i="25"/>
  <c r="BH152" i="25"/>
  <c r="BG152" i="25"/>
  <c r="BF152" i="25"/>
  <c r="BE152" i="25"/>
  <c r="BD152" i="25"/>
  <c r="BB152" i="25"/>
  <c r="BA152" i="25"/>
  <c r="AZ152" i="25"/>
  <c r="AY152" i="25"/>
  <c r="AX152" i="25"/>
  <c r="AW152" i="25"/>
  <c r="AU152" i="25"/>
  <c r="AQ152" i="25"/>
  <c r="AP152" i="25"/>
  <c r="AO152" i="25"/>
  <c r="AN152" i="25"/>
  <c r="Z152" i="25"/>
  <c r="Y152" i="25"/>
  <c r="X152" i="25"/>
  <c r="W152" i="25"/>
  <c r="V152" i="25"/>
  <c r="P152" i="25"/>
  <c r="O152" i="25"/>
  <c r="M152" i="25"/>
  <c r="BY151" i="25"/>
  <c r="BX151" i="25"/>
  <c r="BW151" i="25"/>
  <c r="BV151" i="25"/>
  <c r="BU151" i="25"/>
  <c r="BS151" i="25"/>
  <c r="BR151" i="25"/>
  <c r="BQ151" i="25"/>
  <c r="BP151" i="25"/>
  <c r="BO151" i="25"/>
  <c r="BN151" i="25"/>
  <c r="BL151" i="25"/>
  <c r="BH151" i="25"/>
  <c r="BG151" i="25"/>
  <c r="BF151" i="25"/>
  <c r="BE151" i="25"/>
  <c r="BD151" i="25"/>
  <c r="BB151" i="25"/>
  <c r="BA151" i="25"/>
  <c r="AZ151" i="25"/>
  <c r="AY151" i="25"/>
  <c r="AX151" i="25"/>
  <c r="AW151" i="25"/>
  <c r="AU151" i="25"/>
  <c r="AQ151" i="25"/>
  <c r="AP151" i="25"/>
  <c r="AO151" i="25"/>
  <c r="AN151" i="25"/>
  <c r="AG151" i="25"/>
  <c r="AF151" i="25"/>
  <c r="AD151" i="25"/>
  <c r="Z151" i="25"/>
  <c r="Y151" i="25"/>
  <c r="X151" i="25"/>
  <c r="W151" i="25"/>
  <c r="V151" i="25"/>
  <c r="P151" i="25"/>
  <c r="O151" i="25"/>
  <c r="M151" i="25"/>
  <c r="BY150" i="25"/>
  <c r="BX150" i="25"/>
  <c r="BW150" i="25"/>
  <c r="BV150" i="25"/>
  <c r="BU150" i="25"/>
  <c r="BS150" i="25"/>
  <c r="BR150" i="25"/>
  <c r="BQ150" i="25"/>
  <c r="BP150" i="25"/>
  <c r="BO150" i="25"/>
  <c r="BN150" i="25"/>
  <c r="BL150" i="25"/>
  <c r="BH150" i="25"/>
  <c r="BG150" i="25"/>
  <c r="BF150" i="25"/>
  <c r="BE150" i="25"/>
  <c r="BD150" i="25"/>
  <c r="BB150" i="25"/>
  <c r="BA150" i="25"/>
  <c r="AZ150" i="25"/>
  <c r="AY150" i="25"/>
  <c r="AX150" i="25"/>
  <c r="AW150" i="25"/>
  <c r="AU150" i="25"/>
  <c r="Z150" i="25"/>
  <c r="Y150" i="25"/>
  <c r="X150" i="25"/>
  <c r="W150" i="25"/>
  <c r="V150" i="25"/>
  <c r="P150" i="25"/>
  <c r="O150" i="25"/>
  <c r="M150" i="25"/>
  <c r="BY149" i="25"/>
  <c r="BX149" i="25"/>
  <c r="BW149" i="25"/>
  <c r="BV149" i="25"/>
  <c r="BU149" i="25"/>
  <c r="BS149" i="25"/>
  <c r="BR149" i="25"/>
  <c r="BQ149" i="25"/>
  <c r="BP149" i="25"/>
  <c r="BO149" i="25"/>
  <c r="BN149" i="25"/>
  <c r="BL149" i="25"/>
  <c r="BH149" i="25"/>
  <c r="BG149" i="25"/>
  <c r="BF149" i="25"/>
  <c r="BE149" i="25"/>
  <c r="BD149" i="25"/>
  <c r="BB149" i="25"/>
  <c r="BA149" i="25"/>
  <c r="AZ149" i="25"/>
  <c r="AY149" i="25"/>
  <c r="AX149" i="25"/>
  <c r="AW149" i="25"/>
  <c r="AU149" i="25"/>
  <c r="Z149" i="25"/>
  <c r="Y149" i="25"/>
  <c r="X149" i="25"/>
  <c r="W149" i="25"/>
  <c r="V149" i="25"/>
  <c r="P149" i="25"/>
  <c r="O149" i="25"/>
  <c r="M149" i="25"/>
  <c r="BY148" i="25"/>
  <c r="BX148" i="25"/>
  <c r="BW148" i="25"/>
  <c r="BV148" i="25"/>
  <c r="BU148" i="25"/>
  <c r="BS148" i="25"/>
  <c r="BR148" i="25"/>
  <c r="BQ148" i="25"/>
  <c r="BP148" i="25"/>
  <c r="BO148" i="25"/>
  <c r="BN148" i="25"/>
  <c r="BL148" i="25"/>
  <c r="BH148" i="25"/>
  <c r="BG148" i="25"/>
  <c r="BF148" i="25"/>
  <c r="BE148" i="25"/>
  <c r="BD148" i="25"/>
  <c r="BB148" i="25"/>
  <c r="BA148" i="25"/>
  <c r="AZ148" i="25"/>
  <c r="AY148" i="25"/>
  <c r="AX148" i="25"/>
  <c r="AW148" i="25"/>
  <c r="AU148" i="25"/>
  <c r="AQ148" i="25"/>
  <c r="AP148" i="25"/>
  <c r="AO148" i="25"/>
  <c r="AN148" i="25"/>
  <c r="Z148" i="25"/>
  <c r="Y148" i="25"/>
  <c r="X148" i="25"/>
  <c r="W148" i="25"/>
  <c r="V148" i="25"/>
  <c r="P148" i="25"/>
  <c r="O148" i="25"/>
  <c r="M148" i="25"/>
  <c r="BY147" i="25"/>
  <c r="BX147" i="25"/>
  <c r="BW147" i="25"/>
  <c r="BV147" i="25"/>
  <c r="BU147" i="25"/>
  <c r="BS147" i="25"/>
  <c r="BR147" i="25"/>
  <c r="BQ147" i="25"/>
  <c r="BP147" i="25"/>
  <c r="BO147" i="25"/>
  <c r="BN147" i="25"/>
  <c r="BL147" i="25"/>
  <c r="BH147" i="25"/>
  <c r="BG147" i="25"/>
  <c r="BF147" i="25"/>
  <c r="BE147" i="25"/>
  <c r="BD147" i="25"/>
  <c r="BB147" i="25"/>
  <c r="BA147" i="25"/>
  <c r="AZ147" i="25"/>
  <c r="AY147" i="25"/>
  <c r="AX147" i="25"/>
  <c r="AW147" i="25"/>
  <c r="AU147" i="25"/>
  <c r="AG147" i="25"/>
  <c r="AF147" i="25"/>
  <c r="AD147" i="25"/>
  <c r="Z147" i="25"/>
  <c r="Y147" i="25"/>
  <c r="X147" i="25"/>
  <c r="W147" i="25"/>
  <c r="V147" i="25"/>
  <c r="P147" i="25"/>
  <c r="O147" i="25"/>
  <c r="BL146" i="25"/>
  <c r="AG146" i="25"/>
  <c r="AF146" i="25"/>
  <c r="AD146" i="25"/>
  <c r="BL145" i="25"/>
  <c r="AG145" i="25"/>
  <c r="AF145" i="25"/>
  <c r="AD145" i="25"/>
  <c r="BL144" i="25"/>
  <c r="AG144" i="25"/>
  <c r="AF144" i="25"/>
  <c r="AD144" i="25"/>
  <c r="BL143" i="25"/>
  <c r="BY140" i="25"/>
  <c r="BX140" i="25"/>
  <c r="BW140" i="25"/>
  <c r="BV140" i="25"/>
  <c r="BU140" i="25"/>
  <c r="BS140" i="25"/>
  <c r="BR140" i="25"/>
  <c r="BQ140" i="25"/>
  <c r="BP140" i="25"/>
  <c r="BO140" i="25"/>
  <c r="BN140" i="25"/>
  <c r="BL140" i="25"/>
  <c r="BY139" i="25"/>
  <c r="BX139" i="25"/>
  <c r="BW139" i="25"/>
  <c r="BV139" i="25"/>
  <c r="BU139" i="25"/>
  <c r="BS139" i="25"/>
  <c r="BR139" i="25"/>
  <c r="BQ139" i="25"/>
  <c r="BP139" i="25"/>
  <c r="BO139" i="25"/>
  <c r="BN139" i="25"/>
  <c r="BL139" i="25"/>
  <c r="BY138" i="25"/>
  <c r="BX138" i="25"/>
  <c r="BW138" i="25"/>
  <c r="BV138" i="25"/>
  <c r="BU138" i="25"/>
  <c r="BS138" i="25"/>
  <c r="BR138" i="25"/>
  <c r="BQ138" i="25"/>
  <c r="BP138" i="25"/>
  <c r="BO138" i="25"/>
  <c r="BN138" i="25"/>
  <c r="BL138" i="25"/>
  <c r="BY137" i="25"/>
  <c r="BX137" i="25"/>
  <c r="BW137" i="25"/>
  <c r="BV137" i="25"/>
  <c r="BU137" i="25"/>
  <c r="BS137" i="25"/>
  <c r="BR137" i="25"/>
  <c r="BQ137" i="25"/>
  <c r="BP137" i="25"/>
  <c r="BO137" i="25"/>
  <c r="BN137" i="25"/>
  <c r="BL137" i="25"/>
  <c r="BY136" i="25"/>
  <c r="BX136" i="25"/>
  <c r="BW136" i="25"/>
  <c r="BV136" i="25"/>
  <c r="BU136" i="25"/>
  <c r="BS136" i="25"/>
  <c r="BR136" i="25"/>
  <c r="BQ136" i="25"/>
  <c r="BP136" i="25"/>
  <c r="BO136" i="25"/>
  <c r="BN136" i="25"/>
  <c r="BL136" i="25"/>
  <c r="BY135" i="25"/>
  <c r="BX135" i="25"/>
  <c r="BW135" i="25"/>
  <c r="BV135" i="25"/>
  <c r="BU135" i="25"/>
  <c r="BS135" i="25"/>
  <c r="BR135" i="25"/>
  <c r="BQ135" i="25"/>
  <c r="BP135" i="25"/>
  <c r="BO135" i="25"/>
  <c r="BN135" i="25"/>
  <c r="BL135" i="25"/>
  <c r="BY134" i="25"/>
  <c r="BX134" i="25"/>
  <c r="BW134" i="25"/>
  <c r="BV134" i="25"/>
  <c r="BU134" i="25"/>
  <c r="BS134" i="25"/>
  <c r="BR134" i="25"/>
  <c r="BQ134" i="25"/>
  <c r="BP134" i="25"/>
  <c r="BO134" i="25"/>
  <c r="BN134" i="25"/>
  <c r="BL134" i="25"/>
  <c r="BY133" i="25"/>
  <c r="BX133" i="25"/>
  <c r="BW133" i="25"/>
  <c r="BV133" i="25"/>
  <c r="BU133" i="25"/>
  <c r="BS133" i="25"/>
  <c r="BR133" i="25"/>
  <c r="BQ133" i="25"/>
  <c r="BP133" i="25"/>
  <c r="BO133" i="25"/>
  <c r="BN133" i="25"/>
  <c r="BL133" i="25"/>
  <c r="BY132" i="25"/>
  <c r="BX132" i="25"/>
  <c r="BW132" i="25"/>
  <c r="BV132" i="25"/>
  <c r="BU132" i="25"/>
  <c r="BS132" i="25"/>
  <c r="BR132" i="25"/>
  <c r="BQ132" i="25"/>
  <c r="BP132" i="25"/>
  <c r="BO132" i="25"/>
  <c r="BN132" i="25"/>
  <c r="BL132" i="25"/>
  <c r="BY131" i="25"/>
  <c r="BX131" i="25"/>
  <c r="BW131" i="25"/>
  <c r="BV131" i="25"/>
  <c r="BU131" i="25"/>
  <c r="BS131" i="25"/>
  <c r="BR131" i="25"/>
  <c r="BQ131" i="25"/>
  <c r="BP131" i="25"/>
  <c r="BO131" i="25"/>
  <c r="BN131" i="25"/>
  <c r="BL131" i="25"/>
  <c r="BY117" i="25"/>
  <c r="BX117" i="25"/>
  <c r="BW117" i="25"/>
  <c r="BV117" i="25"/>
  <c r="BU117" i="25"/>
  <c r="BS117" i="25"/>
  <c r="BR117" i="25"/>
  <c r="BQ117" i="25"/>
  <c r="BP117" i="25"/>
  <c r="BO117" i="25"/>
  <c r="BN117" i="25"/>
  <c r="BL117" i="25"/>
  <c r="BY116" i="25"/>
  <c r="BX116" i="25"/>
  <c r="BW116" i="25"/>
  <c r="BV116" i="25"/>
  <c r="BU116" i="25"/>
  <c r="BS116" i="25"/>
  <c r="BR116" i="25"/>
  <c r="BQ116" i="25"/>
  <c r="BP116" i="25"/>
  <c r="BO116" i="25"/>
  <c r="BN116" i="25"/>
  <c r="BL116" i="25"/>
  <c r="BY115" i="25"/>
  <c r="BX115" i="25"/>
  <c r="BW115" i="25"/>
  <c r="BV115" i="25"/>
  <c r="BU115" i="25"/>
  <c r="BS115" i="25"/>
  <c r="BR115" i="25"/>
  <c r="BQ115" i="25"/>
  <c r="BP115" i="25"/>
  <c r="BO115" i="25"/>
  <c r="BN115" i="25"/>
  <c r="BL115" i="25"/>
  <c r="BY114" i="25"/>
  <c r="BX114" i="25"/>
  <c r="BW114" i="25"/>
  <c r="BV114" i="25"/>
  <c r="BU114" i="25"/>
  <c r="BS114" i="25"/>
  <c r="BR114" i="25"/>
  <c r="BQ114" i="25"/>
  <c r="BP114" i="25"/>
  <c r="BO114" i="25"/>
  <c r="BN114" i="25"/>
  <c r="BL114" i="25"/>
  <c r="BY113" i="25"/>
  <c r="BX113" i="25"/>
  <c r="BW113" i="25"/>
  <c r="BV113" i="25"/>
  <c r="BU113" i="25"/>
  <c r="BS113" i="25"/>
  <c r="BR113" i="25"/>
  <c r="BQ113" i="25"/>
  <c r="BP113" i="25"/>
  <c r="BO113" i="25"/>
  <c r="BN113" i="25"/>
  <c r="BL113" i="25"/>
  <c r="BY112" i="25"/>
  <c r="BX112" i="25"/>
  <c r="BW112" i="25"/>
  <c r="BV112" i="25"/>
  <c r="BU112" i="25"/>
  <c r="BS112" i="25"/>
  <c r="BR112" i="25"/>
  <c r="BQ112" i="25"/>
  <c r="BP112" i="25"/>
  <c r="BO112" i="25"/>
  <c r="BN112" i="25"/>
  <c r="BL112" i="25"/>
  <c r="BY111" i="25"/>
  <c r="BX111" i="25"/>
  <c r="BW111" i="25"/>
  <c r="BV111" i="25"/>
  <c r="BU111" i="25"/>
  <c r="BS111" i="25"/>
  <c r="BR111" i="25"/>
  <c r="BQ111" i="25"/>
  <c r="BP111" i="25"/>
  <c r="BO111" i="25"/>
  <c r="BN111" i="25"/>
  <c r="BL111" i="25"/>
  <c r="BY110" i="25"/>
  <c r="BX110" i="25"/>
  <c r="BW110" i="25"/>
  <c r="BV110" i="25"/>
  <c r="BU110" i="25"/>
  <c r="BS110" i="25"/>
  <c r="BR110" i="25"/>
  <c r="BQ110" i="25"/>
  <c r="BP110" i="25"/>
  <c r="BO110" i="25"/>
  <c r="BN110" i="25"/>
  <c r="BL110" i="25"/>
  <c r="BY109" i="25"/>
  <c r="BX109" i="25"/>
  <c r="BW109" i="25"/>
  <c r="BV109" i="25"/>
  <c r="BU109" i="25"/>
  <c r="BS109" i="25"/>
  <c r="BR109" i="25"/>
  <c r="BQ109" i="25"/>
  <c r="BP109" i="25"/>
  <c r="BO109" i="25"/>
  <c r="BN109" i="25"/>
  <c r="BL109" i="25"/>
  <c r="BY108" i="25"/>
  <c r="BX108" i="25"/>
  <c r="BW108" i="25"/>
  <c r="BV108" i="25"/>
  <c r="BU108" i="25"/>
  <c r="BS108" i="25"/>
  <c r="BR108" i="25"/>
  <c r="BQ108" i="25"/>
  <c r="BP108" i="25"/>
  <c r="BO108" i="25"/>
  <c r="BN108" i="25"/>
  <c r="BL108" i="25"/>
  <c r="BY94" i="25"/>
  <c r="BX94" i="25"/>
  <c r="BW94" i="25"/>
  <c r="BV94" i="25"/>
  <c r="BU94" i="25"/>
  <c r="BS94" i="25"/>
  <c r="BR94" i="25"/>
  <c r="BQ94" i="25"/>
  <c r="BP94" i="25"/>
  <c r="BO94" i="25"/>
  <c r="BN94" i="25"/>
  <c r="BL94" i="25"/>
  <c r="BY93" i="25"/>
  <c r="BX93" i="25"/>
  <c r="BW93" i="25"/>
  <c r="BV93" i="25"/>
  <c r="BU93" i="25"/>
  <c r="BS93" i="25"/>
  <c r="BR93" i="25"/>
  <c r="BQ93" i="25"/>
  <c r="BP93" i="25"/>
  <c r="BO93" i="25"/>
  <c r="BN93" i="25"/>
  <c r="BL93" i="25"/>
  <c r="BY92" i="25"/>
  <c r="BX92" i="25"/>
  <c r="BW92" i="25"/>
  <c r="BV92" i="25"/>
  <c r="BU92" i="25"/>
  <c r="BS92" i="25"/>
  <c r="BR92" i="25"/>
  <c r="BQ92" i="25"/>
  <c r="BP92" i="25"/>
  <c r="BO92" i="25"/>
  <c r="BN92" i="25"/>
  <c r="BL92" i="25"/>
  <c r="BY91" i="25"/>
  <c r="BX91" i="25"/>
  <c r="BW91" i="25"/>
  <c r="BV91" i="25"/>
  <c r="BU91" i="25"/>
  <c r="BS91" i="25"/>
  <c r="BR91" i="25"/>
  <c r="BQ91" i="25"/>
  <c r="BP91" i="25"/>
  <c r="BO91" i="25"/>
  <c r="BN91" i="25"/>
  <c r="BL91" i="25"/>
  <c r="BY90" i="25"/>
  <c r="BX90" i="25"/>
  <c r="BW90" i="25"/>
  <c r="BV90" i="25"/>
  <c r="BU90" i="25"/>
  <c r="BS90" i="25"/>
  <c r="BR90" i="25"/>
  <c r="BQ90" i="25"/>
  <c r="BP90" i="25"/>
  <c r="BO90" i="25"/>
  <c r="BN90" i="25"/>
  <c r="BL90" i="25"/>
  <c r="BY89" i="25"/>
  <c r="BX89" i="25"/>
  <c r="BW89" i="25"/>
  <c r="BV89" i="25"/>
  <c r="BU89" i="25"/>
  <c r="BS89" i="25"/>
  <c r="BR89" i="25"/>
  <c r="BQ89" i="25"/>
  <c r="BP89" i="25"/>
  <c r="BO89" i="25"/>
  <c r="BN89" i="25"/>
  <c r="BL89" i="25"/>
  <c r="BY88" i="25"/>
  <c r="BX88" i="25"/>
  <c r="BW88" i="25"/>
  <c r="BV88" i="25"/>
  <c r="BU88" i="25"/>
  <c r="BS88" i="25"/>
  <c r="BR88" i="25"/>
  <c r="BQ88" i="25"/>
  <c r="BP88" i="25"/>
  <c r="BO88" i="25"/>
  <c r="BN88" i="25"/>
  <c r="BL88" i="25"/>
  <c r="BY87" i="25"/>
  <c r="BX87" i="25"/>
  <c r="BW87" i="25"/>
  <c r="BV87" i="25"/>
  <c r="BU87" i="25"/>
  <c r="BS87" i="25"/>
  <c r="BR87" i="25"/>
  <c r="BQ87" i="25"/>
  <c r="BP87" i="25"/>
  <c r="BO87" i="25"/>
  <c r="BN87" i="25"/>
  <c r="BL87" i="25"/>
  <c r="BY86" i="25"/>
  <c r="BX86" i="25"/>
  <c r="BW86" i="25"/>
  <c r="BV86" i="25"/>
  <c r="BU86" i="25"/>
  <c r="BS86" i="25"/>
  <c r="BR86" i="25"/>
  <c r="BQ86" i="25"/>
  <c r="BP86" i="25"/>
  <c r="BO86" i="25"/>
  <c r="BN86" i="25"/>
  <c r="BL86" i="25"/>
  <c r="BY85" i="25"/>
  <c r="BX85" i="25"/>
  <c r="BW85" i="25"/>
  <c r="BV85" i="25"/>
  <c r="BU85" i="25"/>
  <c r="BS85" i="25"/>
  <c r="BR85" i="25"/>
  <c r="BQ85" i="25"/>
  <c r="BP85" i="25"/>
  <c r="BO85" i="25"/>
  <c r="BN85" i="25"/>
  <c r="BL85" i="25"/>
  <c r="BY71" i="25"/>
  <c r="BX71" i="25"/>
  <c r="BW71" i="25"/>
  <c r="BV71" i="25"/>
  <c r="BU71" i="25"/>
  <c r="BS71" i="25"/>
  <c r="BR71" i="25"/>
  <c r="BQ71" i="25"/>
  <c r="BP71" i="25"/>
  <c r="BO71" i="25"/>
  <c r="BN71" i="25"/>
  <c r="BL71" i="25"/>
  <c r="BY70" i="25"/>
  <c r="BX70" i="25"/>
  <c r="BW70" i="25"/>
  <c r="BV70" i="25"/>
  <c r="BU70" i="25"/>
  <c r="BS70" i="25"/>
  <c r="BR70" i="25"/>
  <c r="BQ70" i="25"/>
  <c r="BP70" i="25"/>
  <c r="BO70" i="25"/>
  <c r="BN70" i="25"/>
  <c r="BL70" i="25"/>
  <c r="BY69" i="25"/>
  <c r="BX69" i="25"/>
  <c r="BW69" i="25"/>
  <c r="BV69" i="25"/>
  <c r="BU69" i="25"/>
  <c r="BS69" i="25"/>
  <c r="BR69" i="25"/>
  <c r="BQ69" i="25"/>
  <c r="BP69" i="25"/>
  <c r="BO69" i="25"/>
  <c r="BN69" i="25"/>
  <c r="BL69" i="25"/>
  <c r="BY68" i="25"/>
  <c r="BX68" i="25"/>
  <c r="BW68" i="25"/>
  <c r="BV68" i="25"/>
  <c r="BU68" i="25"/>
  <c r="BS68" i="25"/>
  <c r="BR68" i="25"/>
  <c r="BQ68" i="25"/>
  <c r="BP68" i="25"/>
  <c r="BO68" i="25"/>
  <c r="BN68" i="25"/>
  <c r="BL68" i="25"/>
  <c r="BY67" i="25"/>
  <c r="BX67" i="25"/>
  <c r="BW67" i="25"/>
  <c r="BV67" i="25"/>
  <c r="BU67" i="25"/>
  <c r="BS67" i="25"/>
  <c r="BR67" i="25"/>
  <c r="BQ67" i="25"/>
  <c r="BP67" i="25"/>
  <c r="BO67" i="25"/>
  <c r="BN67" i="25"/>
  <c r="BL67" i="25"/>
  <c r="BY66" i="25"/>
  <c r="BX66" i="25"/>
  <c r="BW66" i="25"/>
  <c r="BV66" i="25"/>
  <c r="BU66" i="25"/>
  <c r="BS66" i="25"/>
  <c r="BR66" i="25"/>
  <c r="BQ66" i="25"/>
  <c r="BP66" i="25"/>
  <c r="BO66" i="25"/>
  <c r="BN66" i="25"/>
  <c r="BL66" i="25"/>
  <c r="BY65" i="25"/>
  <c r="BX65" i="25"/>
  <c r="BW65" i="25"/>
  <c r="BV65" i="25"/>
  <c r="BU65" i="25"/>
  <c r="BS65" i="25"/>
  <c r="BR65" i="25"/>
  <c r="BQ65" i="25"/>
  <c r="BP65" i="25"/>
  <c r="BO65" i="25"/>
  <c r="BN65" i="25"/>
  <c r="BL65" i="25"/>
  <c r="BY64" i="25"/>
  <c r="BX64" i="25"/>
  <c r="BW64" i="25"/>
  <c r="BV64" i="25"/>
  <c r="BU64" i="25"/>
  <c r="BS64" i="25"/>
  <c r="BR64" i="25"/>
  <c r="BQ64" i="25"/>
  <c r="BP64" i="25"/>
  <c r="BO64" i="25"/>
  <c r="BN64" i="25"/>
  <c r="BL64" i="25"/>
  <c r="BY63" i="25"/>
  <c r="BX63" i="25"/>
  <c r="BW63" i="25"/>
  <c r="BW61" i="25" s="1"/>
  <c r="BV63" i="25"/>
  <c r="BU63" i="25"/>
  <c r="BS63" i="25"/>
  <c r="BR63" i="25"/>
  <c r="BQ63" i="25"/>
  <c r="BP63" i="25"/>
  <c r="BO63" i="25"/>
  <c r="BN63" i="25"/>
  <c r="BL63" i="25"/>
  <c r="BY62" i="25"/>
  <c r="BX62" i="25"/>
  <c r="BW62" i="25"/>
  <c r="BV62" i="25"/>
  <c r="BU62" i="25"/>
  <c r="BS62" i="25"/>
  <c r="BR62" i="25"/>
  <c r="BQ62" i="25"/>
  <c r="BP62" i="25"/>
  <c r="BO62" i="25"/>
  <c r="BN62" i="25"/>
  <c r="BL62" i="25"/>
  <c r="BY59" i="25"/>
  <c r="BX59" i="25"/>
  <c r="BW59" i="25"/>
  <c r="BV59" i="25"/>
  <c r="BU59" i="25"/>
  <c r="BS59" i="25"/>
  <c r="BR59" i="25"/>
  <c r="BQ59" i="25"/>
  <c r="BP59" i="25"/>
  <c r="BO59" i="25"/>
  <c r="BN59" i="25"/>
  <c r="BL59" i="25"/>
  <c r="BY58" i="25"/>
  <c r="BX58" i="25"/>
  <c r="BW58" i="25"/>
  <c r="BV58" i="25"/>
  <c r="BU58" i="25"/>
  <c r="BS58" i="25"/>
  <c r="BR58" i="25"/>
  <c r="BQ58" i="25"/>
  <c r="BP58" i="25"/>
  <c r="BO58" i="25"/>
  <c r="BN58" i="25"/>
  <c r="BL58" i="25"/>
  <c r="BY57" i="25"/>
  <c r="BX57" i="25"/>
  <c r="BW57" i="25"/>
  <c r="BV57" i="25"/>
  <c r="BU57" i="25"/>
  <c r="BS57" i="25"/>
  <c r="BR57" i="25"/>
  <c r="BQ57" i="25"/>
  <c r="BP57" i="25"/>
  <c r="BO57" i="25"/>
  <c r="BN57" i="25"/>
  <c r="BL57" i="25"/>
  <c r="BY56" i="25"/>
  <c r="BX56" i="25"/>
  <c r="BW56" i="25"/>
  <c r="BV56" i="25"/>
  <c r="BU56" i="25"/>
  <c r="BS56" i="25"/>
  <c r="BR56" i="25"/>
  <c r="BQ56" i="25"/>
  <c r="BP56" i="25"/>
  <c r="BO56" i="25"/>
  <c r="BN56" i="25"/>
  <c r="BL56" i="25"/>
  <c r="BY55" i="25"/>
  <c r="BX55" i="25"/>
  <c r="BW55" i="25"/>
  <c r="BV55" i="25"/>
  <c r="BU55" i="25"/>
  <c r="BS55" i="25"/>
  <c r="BR55" i="25"/>
  <c r="BQ55" i="25"/>
  <c r="BP55" i="25"/>
  <c r="BO55" i="25"/>
  <c r="BN55" i="25"/>
  <c r="BL55" i="25"/>
  <c r="BY54" i="25"/>
  <c r="BX54" i="25"/>
  <c r="BW54" i="25"/>
  <c r="BV54" i="25"/>
  <c r="BU54" i="25"/>
  <c r="BS54" i="25"/>
  <c r="BR54" i="25"/>
  <c r="BQ54" i="25"/>
  <c r="BP54" i="25"/>
  <c r="BO54" i="25"/>
  <c r="BN54" i="25"/>
  <c r="BL54" i="25"/>
  <c r="BY53" i="25"/>
  <c r="BX53" i="25"/>
  <c r="BW53" i="25"/>
  <c r="BV53" i="25"/>
  <c r="BU53" i="25"/>
  <c r="BS53" i="25"/>
  <c r="BR53" i="25"/>
  <c r="BQ53" i="25"/>
  <c r="BP53" i="25"/>
  <c r="BO53" i="25"/>
  <c r="BN53" i="25"/>
  <c r="BL53" i="25"/>
  <c r="BY52" i="25"/>
  <c r="BX52" i="25"/>
  <c r="BW52" i="25"/>
  <c r="BV52" i="25"/>
  <c r="BU52" i="25"/>
  <c r="BS52" i="25"/>
  <c r="BR52" i="25"/>
  <c r="BQ52" i="25"/>
  <c r="BP52" i="25"/>
  <c r="BO52" i="25"/>
  <c r="BN52" i="25"/>
  <c r="BL52" i="25"/>
  <c r="BY51" i="25"/>
  <c r="BX51" i="25"/>
  <c r="BW51" i="25"/>
  <c r="BV51" i="25"/>
  <c r="BU51" i="25"/>
  <c r="BS51" i="25"/>
  <c r="BR51" i="25"/>
  <c r="BQ51" i="25"/>
  <c r="BP51" i="25"/>
  <c r="BO51" i="25"/>
  <c r="BN51" i="25"/>
  <c r="BL51" i="25"/>
  <c r="BY50" i="25"/>
  <c r="BX50" i="25"/>
  <c r="BW50" i="25"/>
  <c r="BV50" i="25"/>
  <c r="BU50" i="25"/>
  <c r="BS50" i="25"/>
  <c r="BR50" i="25"/>
  <c r="BQ50" i="25"/>
  <c r="BP50" i="25"/>
  <c r="BO50" i="25"/>
  <c r="BN50" i="25"/>
  <c r="BL50" i="25"/>
  <c r="BY45" i="25"/>
  <c r="BX45" i="25"/>
  <c r="BW45" i="25"/>
  <c r="BV45" i="25"/>
  <c r="BU45" i="25"/>
  <c r="BS45" i="25"/>
  <c r="BR45" i="25"/>
  <c r="BQ45" i="25"/>
  <c r="BP45" i="25"/>
  <c r="BO45" i="25"/>
  <c r="BN45" i="25"/>
  <c r="BL45" i="25"/>
  <c r="BH45" i="25"/>
  <c r="BG45" i="25"/>
  <c r="BF45" i="25"/>
  <c r="BE45" i="25"/>
  <c r="BD45" i="25"/>
  <c r="BB45" i="25"/>
  <c r="BA45" i="25"/>
  <c r="AZ45" i="25"/>
  <c r="AY45" i="25"/>
  <c r="AX45" i="25"/>
  <c r="AW45" i="25"/>
  <c r="AU45" i="25"/>
  <c r="AQ45" i="25"/>
  <c r="AP45" i="25"/>
  <c r="AO45" i="25"/>
  <c r="AN45" i="25"/>
  <c r="AM45" i="25"/>
  <c r="AK45" i="25"/>
  <c r="AJ45" i="25"/>
  <c r="AI45" i="25"/>
  <c r="AH45" i="25"/>
  <c r="AG45" i="25"/>
  <c r="AF45" i="25"/>
  <c r="AD45" i="25"/>
  <c r="Z45" i="25"/>
  <c r="Y45" i="25"/>
  <c r="X45" i="25"/>
  <c r="W45" i="25"/>
  <c r="V45" i="25"/>
  <c r="T45" i="25"/>
  <c r="S45" i="25"/>
  <c r="R45" i="25"/>
  <c r="Q45" i="25"/>
  <c r="P45" i="25"/>
  <c r="O45" i="25"/>
  <c r="M45" i="25"/>
  <c r="BY44" i="25"/>
  <c r="BX44" i="25"/>
  <c r="BW44" i="25"/>
  <c r="BV44" i="25"/>
  <c r="BU44" i="25"/>
  <c r="BS44" i="25"/>
  <c r="BR44" i="25"/>
  <c r="BQ44" i="25"/>
  <c r="BP44" i="25"/>
  <c r="BO44" i="25"/>
  <c r="BN44" i="25"/>
  <c r="BL44" i="25"/>
  <c r="BH44" i="25"/>
  <c r="BG44" i="25"/>
  <c r="BF44" i="25"/>
  <c r="BE44" i="25"/>
  <c r="BD44" i="25"/>
  <c r="BB44" i="25"/>
  <c r="BA44" i="25"/>
  <c r="AZ44" i="25"/>
  <c r="AY44" i="25"/>
  <c r="AX44" i="25"/>
  <c r="AW44" i="25"/>
  <c r="AU44" i="25"/>
  <c r="AQ44" i="25"/>
  <c r="AP44" i="25"/>
  <c r="AO44" i="25"/>
  <c r="AN44" i="25"/>
  <c r="AM44" i="25"/>
  <c r="AK44" i="25"/>
  <c r="AJ44" i="25"/>
  <c r="AI44" i="25"/>
  <c r="AH44" i="25"/>
  <c r="AG44" i="25"/>
  <c r="AF44" i="25"/>
  <c r="AD44" i="25"/>
  <c r="Z44" i="25"/>
  <c r="Y44" i="25"/>
  <c r="X44" i="25"/>
  <c r="W44" i="25"/>
  <c r="V44" i="25"/>
  <c r="T44" i="25"/>
  <c r="S44" i="25"/>
  <c r="R44" i="25"/>
  <c r="Q44" i="25"/>
  <c r="P44" i="25"/>
  <c r="O44" i="25"/>
  <c r="M44" i="25"/>
  <c r="BY43" i="25"/>
  <c r="BX43" i="25"/>
  <c r="BW43" i="25"/>
  <c r="BV43" i="25"/>
  <c r="BS43" i="25"/>
  <c r="BR43" i="25"/>
  <c r="BQ43" i="25"/>
  <c r="BP43" i="25"/>
  <c r="BL43" i="25"/>
  <c r="BH43" i="25"/>
  <c r="BG43" i="25"/>
  <c r="BF43" i="25"/>
  <c r="BE43" i="25"/>
  <c r="BD43" i="25"/>
  <c r="BB43" i="25"/>
  <c r="BA43" i="25"/>
  <c r="AZ43" i="25"/>
  <c r="AY43" i="25"/>
  <c r="AX43" i="25"/>
  <c r="AW43" i="25"/>
  <c r="AU43" i="25"/>
  <c r="AQ43" i="25"/>
  <c r="AP43" i="25"/>
  <c r="AO43" i="25"/>
  <c r="AN43" i="25"/>
  <c r="AM43" i="25"/>
  <c r="AK43" i="25"/>
  <c r="AJ43" i="25"/>
  <c r="AI43" i="25"/>
  <c r="AH43" i="25"/>
  <c r="AG43" i="25"/>
  <c r="AF43" i="25"/>
  <c r="AD43" i="25"/>
  <c r="Z43" i="25"/>
  <c r="Y43" i="25"/>
  <c r="X43" i="25"/>
  <c r="W43" i="25"/>
  <c r="V43" i="25"/>
  <c r="T43" i="25"/>
  <c r="S43" i="25"/>
  <c r="R43" i="25"/>
  <c r="Q43" i="25"/>
  <c r="P43" i="25"/>
  <c r="O43" i="25"/>
  <c r="M43" i="25"/>
  <c r="BY42" i="25"/>
  <c r="BX42" i="25"/>
  <c r="BW42" i="25"/>
  <c r="BV42" i="25"/>
  <c r="BS42" i="25"/>
  <c r="BR42" i="25"/>
  <c r="BQ42" i="25"/>
  <c r="BP42" i="25"/>
  <c r="BL42" i="25"/>
  <c r="BH42" i="25"/>
  <c r="BG42" i="25"/>
  <c r="BF42" i="25"/>
  <c r="BE42" i="25"/>
  <c r="BD42" i="25"/>
  <c r="BB42" i="25"/>
  <c r="BA42" i="25"/>
  <c r="AZ42" i="25"/>
  <c r="AY42" i="25"/>
  <c r="AX42" i="25"/>
  <c r="AW42" i="25"/>
  <c r="AU42" i="25"/>
  <c r="AQ42" i="25"/>
  <c r="AP42" i="25"/>
  <c r="AO42" i="25"/>
  <c r="AN42" i="25"/>
  <c r="AM42" i="25"/>
  <c r="AK42" i="25"/>
  <c r="AJ42" i="25"/>
  <c r="AI42" i="25"/>
  <c r="AH42" i="25"/>
  <c r="AG42" i="25"/>
  <c r="AF42" i="25"/>
  <c r="AD42" i="25"/>
  <c r="Z42" i="25"/>
  <c r="Y42" i="25"/>
  <c r="X42" i="25"/>
  <c r="W42" i="25"/>
  <c r="V42" i="25"/>
  <c r="T42" i="25"/>
  <c r="S42" i="25"/>
  <c r="R42" i="25"/>
  <c r="Q42" i="25"/>
  <c r="P42" i="25"/>
  <c r="O42" i="25"/>
  <c r="M42" i="25"/>
  <c r="BY41" i="25"/>
  <c r="BX41" i="25"/>
  <c r="BW41" i="25"/>
  <c r="BV41" i="25"/>
  <c r="BS41" i="25"/>
  <c r="BR41" i="25"/>
  <c r="BQ41" i="25"/>
  <c r="BP41" i="25"/>
  <c r="BL41" i="25"/>
  <c r="BH41" i="25"/>
  <c r="BG41" i="25"/>
  <c r="BF41" i="25"/>
  <c r="BE41" i="25"/>
  <c r="BD41" i="25"/>
  <c r="BB41" i="25"/>
  <c r="BA41" i="25"/>
  <c r="AZ41" i="25"/>
  <c r="AY41" i="25"/>
  <c r="AX41" i="25"/>
  <c r="AW41" i="25"/>
  <c r="AU41" i="25"/>
  <c r="AQ41" i="25"/>
  <c r="AP41" i="25"/>
  <c r="AO41" i="25"/>
  <c r="AN41" i="25"/>
  <c r="AM41" i="25"/>
  <c r="AK41" i="25"/>
  <c r="AJ41" i="25"/>
  <c r="AI41" i="25"/>
  <c r="AH41" i="25"/>
  <c r="AG41" i="25"/>
  <c r="AF41" i="25"/>
  <c r="AD41" i="25"/>
  <c r="Z41" i="25"/>
  <c r="Y41" i="25"/>
  <c r="X41" i="25"/>
  <c r="W41" i="25"/>
  <c r="V41" i="25"/>
  <c r="T41" i="25"/>
  <c r="S41" i="25"/>
  <c r="R41" i="25"/>
  <c r="Q41" i="25"/>
  <c r="P41" i="25"/>
  <c r="O41" i="25"/>
  <c r="M41" i="25"/>
  <c r="BY40" i="25"/>
  <c r="BX40" i="25"/>
  <c r="BW40" i="25"/>
  <c r="BV40" i="25"/>
  <c r="BU40" i="25"/>
  <c r="BS40" i="25"/>
  <c r="BR40" i="25"/>
  <c r="BQ40" i="25"/>
  <c r="BP40" i="25"/>
  <c r="BO40" i="25"/>
  <c r="BN40" i="25"/>
  <c r="BL40" i="25"/>
  <c r="BH40" i="25"/>
  <c r="BG40" i="25"/>
  <c r="BF40" i="25"/>
  <c r="BE40" i="25"/>
  <c r="BD40" i="25"/>
  <c r="BB40" i="25"/>
  <c r="BA40" i="25"/>
  <c r="AZ40" i="25"/>
  <c r="AY40" i="25"/>
  <c r="AX40" i="25"/>
  <c r="AW40" i="25"/>
  <c r="AU40" i="25"/>
  <c r="AQ40" i="25"/>
  <c r="AP40" i="25"/>
  <c r="AO40" i="25"/>
  <c r="AN40" i="25"/>
  <c r="AM40" i="25"/>
  <c r="AK40" i="25"/>
  <c r="AJ40" i="25"/>
  <c r="AI40" i="25"/>
  <c r="AH40" i="25"/>
  <c r="AG40" i="25"/>
  <c r="AF40" i="25"/>
  <c r="AD40" i="25"/>
  <c r="Z40" i="25"/>
  <c r="Y40" i="25"/>
  <c r="X40" i="25"/>
  <c r="W40" i="25"/>
  <c r="V40" i="25"/>
  <c r="T40" i="25"/>
  <c r="S40" i="25"/>
  <c r="R40" i="25"/>
  <c r="Q40" i="25"/>
  <c r="P40" i="25"/>
  <c r="O40" i="25"/>
  <c r="M40" i="25"/>
  <c r="BY39" i="25"/>
  <c r="BX39" i="25"/>
  <c r="BW39" i="25"/>
  <c r="BV39" i="25"/>
  <c r="BU39" i="25"/>
  <c r="BS39" i="25"/>
  <c r="BR39" i="25"/>
  <c r="BQ39" i="25"/>
  <c r="BP39" i="25"/>
  <c r="BO39" i="25"/>
  <c r="BN39" i="25"/>
  <c r="BL39" i="25"/>
  <c r="BH39" i="25"/>
  <c r="BG39" i="25"/>
  <c r="BF39" i="25"/>
  <c r="BE39" i="25"/>
  <c r="BD39" i="25"/>
  <c r="BB39" i="25"/>
  <c r="BA39" i="25"/>
  <c r="AZ39" i="25"/>
  <c r="AY39" i="25"/>
  <c r="AX39" i="25"/>
  <c r="AW39" i="25"/>
  <c r="AU39" i="25"/>
  <c r="AQ39" i="25"/>
  <c r="AP39" i="25"/>
  <c r="AO39" i="25"/>
  <c r="AN39" i="25"/>
  <c r="AM39" i="25"/>
  <c r="AK39" i="25"/>
  <c r="AJ39" i="25"/>
  <c r="AI39" i="25"/>
  <c r="AH39" i="25"/>
  <c r="AG39" i="25"/>
  <c r="AF39" i="25"/>
  <c r="AD39" i="25"/>
  <c r="Z39" i="25"/>
  <c r="Y39" i="25"/>
  <c r="X39" i="25"/>
  <c r="W39" i="25"/>
  <c r="V39" i="25"/>
  <c r="T39" i="25"/>
  <c r="S39" i="25"/>
  <c r="R39" i="25"/>
  <c r="Q39" i="25"/>
  <c r="P39" i="25"/>
  <c r="O39" i="25"/>
  <c r="M39" i="25"/>
  <c r="BY38" i="25"/>
  <c r="BX38" i="25"/>
  <c r="BW38" i="25"/>
  <c r="BV38" i="25"/>
  <c r="BS38" i="25"/>
  <c r="BR38" i="25"/>
  <c r="BQ38" i="25"/>
  <c r="BP38" i="25"/>
  <c r="BL38" i="25"/>
  <c r="BH38" i="25"/>
  <c r="BG38" i="25"/>
  <c r="BF38" i="25"/>
  <c r="BE38" i="25"/>
  <c r="BD38" i="25"/>
  <c r="BB38" i="25"/>
  <c r="BA38" i="25"/>
  <c r="AZ38" i="25"/>
  <c r="AY38" i="25"/>
  <c r="AX38" i="25"/>
  <c r="AW38" i="25"/>
  <c r="AU38" i="25"/>
  <c r="AQ38" i="25"/>
  <c r="AP38" i="25"/>
  <c r="AO38" i="25"/>
  <c r="AN38" i="25"/>
  <c r="AM38" i="25"/>
  <c r="AK38" i="25"/>
  <c r="AJ38" i="25"/>
  <c r="AI38" i="25"/>
  <c r="AH38" i="25"/>
  <c r="AG38" i="25"/>
  <c r="AF38" i="25"/>
  <c r="AD38" i="25"/>
  <c r="Z38" i="25"/>
  <c r="Y38" i="25"/>
  <c r="X38" i="25"/>
  <c r="W38" i="25"/>
  <c r="V38" i="25"/>
  <c r="T38" i="25"/>
  <c r="S38" i="25"/>
  <c r="R38" i="25"/>
  <c r="Q38" i="25"/>
  <c r="P38" i="25"/>
  <c r="O38" i="25"/>
  <c r="M38" i="25"/>
  <c r="BY37" i="25"/>
  <c r="BX37" i="25"/>
  <c r="BW37" i="25"/>
  <c r="BV37" i="25"/>
  <c r="BS37" i="25"/>
  <c r="BR37" i="25"/>
  <c r="BQ37" i="25"/>
  <c r="BP37" i="25"/>
  <c r="BH37" i="25"/>
  <c r="BG37" i="25"/>
  <c r="BF37" i="25"/>
  <c r="BE37" i="25"/>
  <c r="BB37" i="25"/>
  <c r="BA37" i="25"/>
  <c r="AZ37" i="25"/>
  <c r="AY37" i="25"/>
  <c r="AU37" i="25"/>
  <c r="AS37" i="25" s="1"/>
  <c r="AQ37" i="25"/>
  <c r="AP37" i="25"/>
  <c r="AO37" i="25"/>
  <c r="AN37" i="25"/>
  <c r="AK37" i="25"/>
  <c r="AJ37" i="25"/>
  <c r="AI37" i="25"/>
  <c r="AH37" i="25"/>
  <c r="Z37" i="25"/>
  <c r="Y37" i="25"/>
  <c r="X37" i="25"/>
  <c r="W37" i="25"/>
  <c r="T37" i="25"/>
  <c r="S37" i="25"/>
  <c r="R37" i="25"/>
  <c r="Q37" i="25"/>
  <c r="BY35" i="25"/>
  <c r="BX35" i="25"/>
  <c r="BW35" i="25"/>
  <c r="BV35" i="25"/>
  <c r="BU35" i="25"/>
  <c r="BS35" i="25"/>
  <c r="BR35" i="25"/>
  <c r="BQ35" i="25"/>
  <c r="BP35" i="25"/>
  <c r="BO35" i="25"/>
  <c r="BN35" i="25"/>
  <c r="BL35" i="25"/>
  <c r="BH35" i="25"/>
  <c r="BG35" i="25"/>
  <c r="BF35" i="25"/>
  <c r="BE35" i="25"/>
  <c r="BD35" i="25"/>
  <c r="BB35" i="25"/>
  <c r="BA35" i="25"/>
  <c r="AZ35" i="25"/>
  <c r="AY35" i="25"/>
  <c r="AX35" i="25"/>
  <c r="AW35" i="25"/>
  <c r="AQ35" i="25"/>
  <c r="AP35" i="25"/>
  <c r="AO35" i="25"/>
  <c r="AN35" i="25"/>
  <c r="AM35" i="25"/>
  <c r="AK35" i="25"/>
  <c r="AJ35" i="25"/>
  <c r="AI35" i="25"/>
  <c r="AH35" i="25"/>
  <c r="AG35" i="25"/>
  <c r="AF35" i="25"/>
  <c r="AD35" i="25"/>
  <c r="Z35" i="25"/>
  <c r="Y35" i="25"/>
  <c r="X35" i="25"/>
  <c r="W35" i="25"/>
  <c r="V35" i="25"/>
  <c r="T35" i="25"/>
  <c r="S35" i="25"/>
  <c r="R35" i="25"/>
  <c r="Q35" i="25"/>
  <c r="P35" i="25"/>
  <c r="O35" i="25"/>
  <c r="BY34" i="25"/>
  <c r="BX34" i="25"/>
  <c r="BW34" i="25"/>
  <c r="BV34" i="25"/>
  <c r="BU34" i="25"/>
  <c r="BS34" i="25"/>
  <c r="BR34" i="25"/>
  <c r="BQ34" i="25"/>
  <c r="BP34" i="25"/>
  <c r="BO34" i="25"/>
  <c r="BN34" i="25"/>
  <c r="BL34" i="25"/>
  <c r="BH34" i="25"/>
  <c r="BG34" i="25"/>
  <c r="BF34" i="25"/>
  <c r="BE34" i="25"/>
  <c r="BD34" i="25"/>
  <c r="BB34" i="25"/>
  <c r="BA34" i="25"/>
  <c r="AZ34" i="25"/>
  <c r="AY34" i="25"/>
  <c r="AX34" i="25"/>
  <c r="AW34" i="25"/>
  <c r="AU34" i="25"/>
  <c r="AQ34" i="25"/>
  <c r="AP34" i="25"/>
  <c r="AO34" i="25"/>
  <c r="AN34" i="25"/>
  <c r="AM34" i="25"/>
  <c r="AK34" i="25"/>
  <c r="AJ34" i="25"/>
  <c r="AI34" i="25"/>
  <c r="AH34" i="25"/>
  <c r="AG34" i="25"/>
  <c r="AF34" i="25"/>
  <c r="AD34" i="25"/>
  <c r="Z34" i="25"/>
  <c r="Y34" i="25"/>
  <c r="X34" i="25"/>
  <c r="W34" i="25"/>
  <c r="V34" i="25"/>
  <c r="T34" i="25"/>
  <c r="S34" i="25"/>
  <c r="R34" i="25"/>
  <c r="Q34" i="25"/>
  <c r="P34" i="25"/>
  <c r="O34" i="25"/>
  <c r="M34" i="25"/>
  <c r="BY33" i="25"/>
  <c r="BX33" i="25"/>
  <c r="BW33" i="25"/>
  <c r="BV33" i="25"/>
  <c r="BU33" i="25"/>
  <c r="BS33" i="25"/>
  <c r="BR33" i="25"/>
  <c r="BQ33" i="25"/>
  <c r="BP33" i="25"/>
  <c r="BO33" i="25"/>
  <c r="BN33" i="25"/>
  <c r="BL33" i="25"/>
  <c r="BH33" i="25"/>
  <c r="BG33" i="25"/>
  <c r="BF33" i="25"/>
  <c r="BE33" i="25"/>
  <c r="BD33" i="25"/>
  <c r="BB33" i="25"/>
  <c r="BA33" i="25"/>
  <c r="AZ33" i="25"/>
  <c r="AY33" i="25"/>
  <c r="AX33" i="25"/>
  <c r="AW33" i="25"/>
  <c r="AU33" i="25"/>
  <c r="AQ33" i="25"/>
  <c r="AP33" i="25"/>
  <c r="AO33" i="25"/>
  <c r="AN33" i="25"/>
  <c r="AM33" i="25"/>
  <c r="AK33" i="25"/>
  <c r="AJ33" i="25"/>
  <c r="AI33" i="25"/>
  <c r="AH33" i="25"/>
  <c r="AG33" i="25"/>
  <c r="AF33" i="25"/>
  <c r="AD33" i="25"/>
  <c r="Z33" i="25"/>
  <c r="Y33" i="25"/>
  <c r="X33" i="25"/>
  <c r="W33" i="25"/>
  <c r="V33" i="25"/>
  <c r="T33" i="25"/>
  <c r="S33" i="25"/>
  <c r="R33" i="25"/>
  <c r="Q33" i="25"/>
  <c r="P33" i="25"/>
  <c r="O33" i="25"/>
  <c r="M33" i="25"/>
  <c r="BY32" i="25"/>
  <c r="BX32" i="25"/>
  <c r="BW32" i="25"/>
  <c r="BV32" i="25"/>
  <c r="BU32" i="25"/>
  <c r="BS32" i="25"/>
  <c r="BR32" i="25"/>
  <c r="BQ32" i="25"/>
  <c r="BP32" i="25"/>
  <c r="BO32" i="25"/>
  <c r="BN32" i="25"/>
  <c r="BL32" i="25"/>
  <c r="BH32" i="25"/>
  <c r="BG32" i="25"/>
  <c r="BF32" i="25"/>
  <c r="BE32" i="25"/>
  <c r="BD32" i="25"/>
  <c r="BB32" i="25"/>
  <c r="BA32" i="25"/>
  <c r="AZ32" i="25"/>
  <c r="AY32" i="25"/>
  <c r="AX32" i="25"/>
  <c r="AW32" i="25"/>
  <c r="AU32" i="25"/>
  <c r="AQ32" i="25"/>
  <c r="AP32" i="25"/>
  <c r="AO32" i="25"/>
  <c r="AN32" i="25"/>
  <c r="AM32" i="25"/>
  <c r="AK32" i="25"/>
  <c r="AJ32" i="25"/>
  <c r="AI32" i="25"/>
  <c r="AH32" i="25"/>
  <c r="AG32" i="25"/>
  <c r="AF32" i="25"/>
  <c r="AD32" i="25"/>
  <c r="Z32" i="25"/>
  <c r="Y32" i="25"/>
  <c r="X32" i="25"/>
  <c r="W32" i="25"/>
  <c r="V32" i="25"/>
  <c r="T32" i="25"/>
  <c r="S32" i="25"/>
  <c r="R32" i="25"/>
  <c r="Q32" i="25"/>
  <c r="P32" i="25"/>
  <c r="O32" i="25"/>
  <c r="M32" i="25"/>
  <c r="BY31" i="25"/>
  <c r="BX31" i="25"/>
  <c r="BW31" i="25"/>
  <c r="BV31" i="25"/>
  <c r="BU31" i="25"/>
  <c r="BS31" i="25"/>
  <c r="BR31" i="25"/>
  <c r="BQ31" i="25"/>
  <c r="BP31" i="25"/>
  <c r="BO31" i="25"/>
  <c r="BN31" i="25"/>
  <c r="BL31" i="25"/>
  <c r="BH31" i="25"/>
  <c r="BG31" i="25"/>
  <c r="BF31" i="25"/>
  <c r="BE31" i="25"/>
  <c r="BD31" i="25"/>
  <c r="BB31" i="25"/>
  <c r="BA31" i="25"/>
  <c r="AZ31" i="25"/>
  <c r="AY31" i="25"/>
  <c r="AX31" i="25"/>
  <c r="AW31" i="25"/>
  <c r="AU31" i="25"/>
  <c r="AQ31" i="25"/>
  <c r="AP31" i="25"/>
  <c r="AO31" i="25"/>
  <c r="AN31" i="25"/>
  <c r="AM31" i="25"/>
  <c r="AK31" i="25"/>
  <c r="AJ31" i="25"/>
  <c r="AI31" i="25"/>
  <c r="AH31" i="25"/>
  <c r="AG31" i="25"/>
  <c r="AF31" i="25"/>
  <c r="AD31" i="25"/>
  <c r="Z31" i="25"/>
  <c r="Y31" i="25"/>
  <c r="X31" i="25"/>
  <c r="W31" i="25"/>
  <c r="V31" i="25"/>
  <c r="T31" i="25"/>
  <c r="S31" i="25"/>
  <c r="R31" i="25"/>
  <c r="Q31" i="25"/>
  <c r="P31" i="25"/>
  <c r="O31" i="25"/>
  <c r="M31" i="25"/>
  <c r="BY30" i="25"/>
  <c r="BX30" i="25"/>
  <c r="BW30" i="25"/>
  <c r="BV30" i="25"/>
  <c r="BU30" i="25"/>
  <c r="BS30" i="25"/>
  <c r="BR30" i="25"/>
  <c r="BQ30" i="25"/>
  <c r="BP30" i="25"/>
  <c r="BO30" i="25"/>
  <c r="BN30" i="25"/>
  <c r="BL30" i="25"/>
  <c r="BH30" i="25"/>
  <c r="BG30" i="25"/>
  <c r="BF30" i="25"/>
  <c r="BE30" i="25"/>
  <c r="BD30" i="25"/>
  <c r="BB30" i="25"/>
  <c r="BA30" i="25"/>
  <c r="AZ30" i="25"/>
  <c r="AY30" i="25"/>
  <c r="AX30" i="25"/>
  <c r="AW30" i="25"/>
  <c r="AU30" i="25"/>
  <c r="AQ30" i="25"/>
  <c r="AP30" i="25"/>
  <c r="AO30" i="25"/>
  <c r="AN30" i="25"/>
  <c r="AM30" i="25"/>
  <c r="AK30" i="25"/>
  <c r="AJ30" i="25"/>
  <c r="AI30" i="25"/>
  <c r="AH30" i="25"/>
  <c r="AG30" i="25"/>
  <c r="AF30" i="25"/>
  <c r="AD30" i="25"/>
  <c r="Z30" i="25"/>
  <c r="Y30" i="25"/>
  <c r="X30" i="25"/>
  <c r="W30" i="25"/>
  <c r="V30" i="25"/>
  <c r="T30" i="25"/>
  <c r="S30" i="25"/>
  <c r="R30" i="25"/>
  <c r="Q30" i="25"/>
  <c r="P30" i="25"/>
  <c r="O30" i="25"/>
  <c r="M30" i="25"/>
  <c r="BY29" i="25"/>
  <c r="BX29" i="25"/>
  <c r="BW29" i="25"/>
  <c r="BV29" i="25"/>
  <c r="BU29" i="25"/>
  <c r="BS29" i="25"/>
  <c r="BR29" i="25"/>
  <c r="BQ29" i="25"/>
  <c r="BP29" i="25"/>
  <c r="BO29" i="25"/>
  <c r="BN29" i="25"/>
  <c r="BL29" i="25"/>
  <c r="BH29" i="25"/>
  <c r="BG29" i="25"/>
  <c r="BF29" i="25"/>
  <c r="BE29" i="25"/>
  <c r="BD29" i="25"/>
  <c r="BB29" i="25"/>
  <c r="BA29" i="25"/>
  <c r="AZ29" i="25"/>
  <c r="AY29" i="25"/>
  <c r="AX29" i="25"/>
  <c r="AW29" i="25"/>
  <c r="AU29" i="25"/>
  <c r="AQ29" i="25"/>
  <c r="AP29" i="25"/>
  <c r="AO29" i="25"/>
  <c r="AN29" i="25"/>
  <c r="AM29" i="25"/>
  <c r="AK29" i="25"/>
  <c r="AJ29" i="25"/>
  <c r="AI29" i="25"/>
  <c r="AH29" i="25"/>
  <c r="AG29" i="25"/>
  <c r="AF29" i="25"/>
  <c r="AD29" i="25"/>
  <c r="Z29" i="25"/>
  <c r="Y29" i="25"/>
  <c r="X29" i="25"/>
  <c r="W29" i="25"/>
  <c r="V29" i="25"/>
  <c r="T29" i="25"/>
  <c r="S29" i="25"/>
  <c r="R29" i="25"/>
  <c r="Q29" i="25"/>
  <c r="P29" i="25"/>
  <c r="O29" i="25"/>
  <c r="M29" i="25"/>
  <c r="BY28" i="25"/>
  <c r="BX28" i="25"/>
  <c r="BW28" i="25"/>
  <c r="BV28" i="25"/>
  <c r="BS28" i="25"/>
  <c r="BR28" i="25"/>
  <c r="BQ28" i="25"/>
  <c r="BP28" i="25"/>
  <c r="BH28" i="25"/>
  <c r="BG28" i="25"/>
  <c r="BF28" i="25"/>
  <c r="BE28" i="25"/>
  <c r="BB28" i="25"/>
  <c r="BA28" i="25"/>
  <c r="AZ28" i="25"/>
  <c r="AY28" i="25"/>
  <c r="AQ28" i="25"/>
  <c r="AP28" i="25"/>
  <c r="AO28" i="25"/>
  <c r="AN28" i="25"/>
  <c r="AK28" i="25"/>
  <c r="AJ28" i="25"/>
  <c r="AI28" i="25"/>
  <c r="AH28" i="25"/>
  <c r="Z28" i="25"/>
  <c r="Y28" i="25"/>
  <c r="X28" i="25"/>
  <c r="W28" i="25"/>
  <c r="T28" i="25"/>
  <c r="S28" i="25"/>
  <c r="R28" i="25"/>
  <c r="Q28" i="25"/>
  <c r="BY26" i="25"/>
  <c r="BX26" i="25"/>
  <c r="BW26" i="25"/>
  <c r="BV26" i="25"/>
  <c r="BS26" i="25"/>
  <c r="BR26" i="25"/>
  <c r="BQ26" i="25"/>
  <c r="BP26" i="25"/>
  <c r="BL26" i="25"/>
  <c r="BH26" i="25"/>
  <c r="BG26" i="25"/>
  <c r="BF26" i="25"/>
  <c r="BE26" i="25"/>
  <c r="BD26" i="25"/>
  <c r="BB26" i="25"/>
  <c r="BA26" i="25"/>
  <c r="AZ26" i="25"/>
  <c r="AY26" i="25"/>
  <c r="AX26" i="25"/>
  <c r="AW26" i="25"/>
  <c r="AU26" i="25"/>
  <c r="AQ26" i="25"/>
  <c r="AP26" i="25"/>
  <c r="AO26" i="25"/>
  <c r="AN26" i="25"/>
  <c r="AM26" i="25"/>
  <c r="AK26" i="25"/>
  <c r="AJ26" i="25"/>
  <c r="AI26" i="25"/>
  <c r="AH26" i="25"/>
  <c r="AG26" i="25"/>
  <c r="AF26" i="25"/>
  <c r="AD26" i="25"/>
  <c r="Z26" i="25"/>
  <c r="Y26" i="25"/>
  <c r="X26" i="25"/>
  <c r="W26" i="25"/>
  <c r="V26" i="25"/>
  <c r="T26" i="25"/>
  <c r="S26" i="25"/>
  <c r="R26" i="25"/>
  <c r="Q26" i="25"/>
  <c r="P26" i="25"/>
  <c r="O26" i="25"/>
  <c r="M26" i="25"/>
  <c r="BY25" i="25"/>
  <c r="BX25" i="25"/>
  <c r="BW25" i="25"/>
  <c r="BV25" i="25"/>
  <c r="BS25" i="25"/>
  <c r="BR25" i="25"/>
  <c r="BQ25" i="25"/>
  <c r="BP25" i="25"/>
  <c r="BL25" i="25"/>
  <c r="BH25" i="25"/>
  <c r="BG25" i="25"/>
  <c r="BF25" i="25"/>
  <c r="BE25" i="25"/>
  <c r="BD25" i="25"/>
  <c r="BB25" i="25"/>
  <c r="BA25" i="25"/>
  <c r="AZ25" i="25"/>
  <c r="AY25" i="25"/>
  <c r="AX25" i="25"/>
  <c r="AW25" i="25"/>
  <c r="AU25" i="25"/>
  <c r="AQ25" i="25"/>
  <c r="AP25" i="25"/>
  <c r="AO25" i="25"/>
  <c r="AN25" i="25"/>
  <c r="AM25" i="25"/>
  <c r="AK25" i="25"/>
  <c r="AJ25" i="25"/>
  <c r="AI25" i="25"/>
  <c r="AH25" i="25"/>
  <c r="AG25" i="25"/>
  <c r="AF25" i="25"/>
  <c r="AD25" i="25"/>
  <c r="Z25" i="25"/>
  <c r="Y25" i="25"/>
  <c r="X25" i="25"/>
  <c r="W25" i="25"/>
  <c r="V25" i="25"/>
  <c r="T25" i="25"/>
  <c r="S25" i="25"/>
  <c r="R25" i="25"/>
  <c r="Q25" i="25"/>
  <c r="P25" i="25"/>
  <c r="O25" i="25"/>
  <c r="M25" i="25"/>
  <c r="BY24" i="25"/>
  <c r="BX24" i="25"/>
  <c r="BW24" i="25"/>
  <c r="BV24" i="25"/>
  <c r="BS24" i="25"/>
  <c r="BR24" i="25"/>
  <c r="BQ24" i="25"/>
  <c r="BP24" i="25"/>
  <c r="BL24" i="25"/>
  <c r="BH24" i="25"/>
  <c r="BG24" i="25"/>
  <c r="BF24" i="25"/>
  <c r="BE24" i="25"/>
  <c r="BD24" i="25"/>
  <c r="BB24" i="25"/>
  <c r="BA24" i="25"/>
  <c r="AZ24" i="25"/>
  <c r="AY24" i="25"/>
  <c r="AX24" i="25"/>
  <c r="AW24" i="25"/>
  <c r="AU24" i="25"/>
  <c r="AQ24" i="25"/>
  <c r="AP24" i="25"/>
  <c r="AO24" i="25"/>
  <c r="AN24" i="25"/>
  <c r="AM24" i="25"/>
  <c r="AK24" i="25"/>
  <c r="AJ24" i="25"/>
  <c r="AI24" i="25"/>
  <c r="AH24" i="25"/>
  <c r="AG24" i="25"/>
  <c r="AF24" i="25"/>
  <c r="AD24" i="25"/>
  <c r="Z24" i="25"/>
  <c r="Y24" i="25"/>
  <c r="X24" i="25"/>
  <c r="W24" i="25"/>
  <c r="V24" i="25"/>
  <c r="T24" i="25"/>
  <c r="S24" i="25"/>
  <c r="R24" i="25"/>
  <c r="Q24" i="25"/>
  <c r="P24" i="25"/>
  <c r="O24" i="25"/>
  <c r="M24" i="25"/>
  <c r="BY23" i="25"/>
  <c r="BX23" i="25"/>
  <c r="BW23" i="25"/>
  <c r="BV23" i="25"/>
  <c r="BS23" i="25"/>
  <c r="BR23" i="25"/>
  <c r="BQ23" i="25"/>
  <c r="BP23" i="25"/>
  <c r="BL23" i="25"/>
  <c r="BH23" i="25"/>
  <c r="BG23" i="25"/>
  <c r="BF23" i="25"/>
  <c r="BE23" i="25"/>
  <c r="BD23" i="25"/>
  <c r="BB23" i="25"/>
  <c r="BA23" i="25"/>
  <c r="AZ23" i="25"/>
  <c r="AY23" i="25"/>
  <c r="AX23" i="25"/>
  <c r="AW23" i="25"/>
  <c r="AU23" i="25"/>
  <c r="AQ23" i="25"/>
  <c r="AP23" i="25"/>
  <c r="AO23" i="25"/>
  <c r="AN23" i="25"/>
  <c r="AM23" i="25"/>
  <c r="AK23" i="25"/>
  <c r="AJ23" i="25"/>
  <c r="AI23" i="25"/>
  <c r="AH23" i="25"/>
  <c r="AG23" i="25"/>
  <c r="AF23" i="25"/>
  <c r="AD23" i="25"/>
  <c r="Z23" i="25"/>
  <c r="Y23" i="25"/>
  <c r="X23" i="25"/>
  <c r="W23" i="25"/>
  <c r="V23" i="25"/>
  <c r="T23" i="25"/>
  <c r="S23" i="25"/>
  <c r="R23" i="25"/>
  <c r="Q23" i="25"/>
  <c r="P23" i="25"/>
  <c r="O23" i="25"/>
  <c r="M23" i="25"/>
  <c r="BY22" i="25"/>
  <c r="BX22" i="25"/>
  <c r="BW22" i="25"/>
  <c r="BV22" i="25"/>
  <c r="BS22" i="25"/>
  <c r="BR22" i="25"/>
  <c r="BQ22" i="25"/>
  <c r="BP22" i="25"/>
  <c r="BL22" i="25"/>
  <c r="BH22" i="25"/>
  <c r="BG22" i="25"/>
  <c r="BF22" i="25"/>
  <c r="BE22" i="25"/>
  <c r="BD22" i="25"/>
  <c r="BB22" i="25"/>
  <c r="BA22" i="25"/>
  <c r="AZ22" i="25"/>
  <c r="AY22" i="25"/>
  <c r="AX22" i="25"/>
  <c r="AW22" i="25"/>
  <c r="AU22" i="25"/>
  <c r="AQ22" i="25"/>
  <c r="AP22" i="25"/>
  <c r="AO22" i="25"/>
  <c r="AN22" i="25"/>
  <c r="AM22" i="25"/>
  <c r="AK22" i="25"/>
  <c r="AJ22" i="25"/>
  <c r="AI22" i="25"/>
  <c r="AH22" i="25"/>
  <c r="AG22" i="25"/>
  <c r="AF22" i="25"/>
  <c r="AD22" i="25"/>
  <c r="Z22" i="25"/>
  <c r="Y22" i="25"/>
  <c r="X22" i="25"/>
  <c r="W22" i="25"/>
  <c r="V22" i="25"/>
  <c r="T22" i="25"/>
  <c r="S22" i="25"/>
  <c r="R22" i="25"/>
  <c r="Q22" i="25"/>
  <c r="P22" i="25"/>
  <c r="O22" i="25"/>
  <c r="M22" i="25"/>
  <c r="BY21" i="25"/>
  <c r="BX21" i="25"/>
  <c r="BW21" i="25"/>
  <c r="BV21" i="25"/>
  <c r="BS21" i="25"/>
  <c r="BR21" i="25"/>
  <c r="BQ21" i="25"/>
  <c r="BP21" i="25"/>
  <c r="BH21" i="25"/>
  <c r="BG21" i="25"/>
  <c r="BF21" i="25"/>
  <c r="BE21" i="25"/>
  <c r="BB21" i="25"/>
  <c r="BA21" i="25"/>
  <c r="AZ21" i="25"/>
  <c r="AY21" i="25"/>
  <c r="AQ21" i="25"/>
  <c r="AP21" i="25"/>
  <c r="AO21" i="25"/>
  <c r="AN21" i="25"/>
  <c r="AK21" i="25"/>
  <c r="AJ21" i="25"/>
  <c r="AI21" i="25"/>
  <c r="AH21" i="25"/>
  <c r="Z21" i="25"/>
  <c r="Y21" i="25"/>
  <c r="X21" i="25"/>
  <c r="W21" i="25"/>
  <c r="T21" i="25"/>
  <c r="S21" i="25"/>
  <c r="R21" i="25"/>
  <c r="Q21" i="25"/>
  <c r="BY19" i="25"/>
  <c r="BX19" i="25"/>
  <c r="BW19" i="25"/>
  <c r="BV19" i="25"/>
  <c r="BS19" i="25"/>
  <c r="BR19" i="25"/>
  <c r="BQ19" i="25"/>
  <c r="BP19" i="25"/>
  <c r="BL19" i="25"/>
  <c r="BH19" i="25"/>
  <c r="BG19" i="25"/>
  <c r="BF19" i="25"/>
  <c r="BE19" i="25"/>
  <c r="BD19" i="25"/>
  <c r="BB19" i="25"/>
  <c r="BA19" i="25"/>
  <c r="AZ19" i="25"/>
  <c r="AY19" i="25"/>
  <c r="AX19" i="25"/>
  <c r="AW19" i="25"/>
  <c r="AU19" i="25"/>
  <c r="AQ19" i="25"/>
  <c r="AP19" i="25"/>
  <c r="AO19" i="25"/>
  <c r="AN19" i="25"/>
  <c r="AM19" i="25"/>
  <c r="AK19" i="25"/>
  <c r="AJ19" i="25"/>
  <c r="AI19" i="25"/>
  <c r="AH19" i="25"/>
  <c r="AG19" i="25"/>
  <c r="AF19" i="25"/>
  <c r="AD19" i="25"/>
  <c r="Z19" i="25"/>
  <c r="Y19" i="25"/>
  <c r="X19" i="25"/>
  <c r="W19" i="25"/>
  <c r="V19" i="25"/>
  <c r="T19" i="25"/>
  <c r="S19" i="25"/>
  <c r="R19" i="25"/>
  <c r="Q19" i="25"/>
  <c r="P19" i="25"/>
  <c r="O19" i="25"/>
  <c r="M19" i="25"/>
  <c r="BY18" i="25"/>
  <c r="BX18" i="25"/>
  <c r="BW18" i="25"/>
  <c r="BV18" i="25"/>
  <c r="BS18" i="25"/>
  <c r="BR18" i="25"/>
  <c r="BQ18" i="25"/>
  <c r="BP18" i="25"/>
  <c r="BL18" i="25"/>
  <c r="BH18" i="25"/>
  <c r="BG18" i="25"/>
  <c r="BF18" i="25"/>
  <c r="BE18" i="25"/>
  <c r="BD18" i="25"/>
  <c r="BB18" i="25"/>
  <c r="BA18" i="25"/>
  <c r="AZ18" i="25"/>
  <c r="AY18" i="25"/>
  <c r="AX18" i="25"/>
  <c r="AW18" i="25"/>
  <c r="AU18" i="25"/>
  <c r="AQ18" i="25"/>
  <c r="AP18" i="25"/>
  <c r="AO18" i="25"/>
  <c r="AN18" i="25"/>
  <c r="AM18" i="25"/>
  <c r="AK18" i="25"/>
  <c r="AJ18" i="25"/>
  <c r="AI18" i="25"/>
  <c r="AH18" i="25"/>
  <c r="AG18" i="25"/>
  <c r="AF18" i="25"/>
  <c r="AD18" i="25"/>
  <c r="Z18" i="25"/>
  <c r="Y18" i="25"/>
  <c r="X18" i="25"/>
  <c r="W18" i="25"/>
  <c r="V18" i="25"/>
  <c r="T18" i="25"/>
  <c r="S18" i="25"/>
  <c r="R18" i="25"/>
  <c r="Q18" i="25"/>
  <c r="P18" i="25"/>
  <c r="O18" i="25"/>
  <c r="M18" i="25"/>
  <c r="BY17" i="25"/>
  <c r="BX17" i="25"/>
  <c r="BW17" i="25"/>
  <c r="BV17" i="25"/>
  <c r="BS17" i="25"/>
  <c r="BR17" i="25"/>
  <c r="BQ17" i="25"/>
  <c r="BP17" i="25"/>
  <c r="BL17" i="25"/>
  <c r="BH17" i="25"/>
  <c r="BG17" i="25"/>
  <c r="BF17" i="25"/>
  <c r="BE17" i="25"/>
  <c r="BD17" i="25"/>
  <c r="BB17" i="25"/>
  <c r="BA17" i="25"/>
  <c r="AZ17" i="25"/>
  <c r="AY17" i="25"/>
  <c r="AX17" i="25"/>
  <c r="AW17" i="25"/>
  <c r="AU17" i="25"/>
  <c r="AQ17" i="25"/>
  <c r="AP17" i="25"/>
  <c r="AO17" i="25"/>
  <c r="AN17" i="25"/>
  <c r="AM17" i="25"/>
  <c r="AK17" i="25"/>
  <c r="AJ17" i="25"/>
  <c r="AI17" i="25"/>
  <c r="AH17" i="25"/>
  <c r="AG17" i="25"/>
  <c r="AF17" i="25"/>
  <c r="AD17" i="25"/>
  <c r="Z17" i="25"/>
  <c r="Y17" i="25"/>
  <c r="X17" i="25"/>
  <c r="W17" i="25"/>
  <c r="V17" i="25"/>
  <c r="T17" i="25"/>
  <c r="S17" i="25"/>
  <c r="R17" i="25"/>
  <c r="Q17" i="25"/>
  <c r="P17" i="25"/>
  <c r="O17" i="25"/>
  <c r="M17" i="25"/>
  <c r="BY16" i="25"/>
  <c r="BX16" i="25"/>
  <c r="BW16" i="25"/>
  <c r="BV16" i="25"/>
  <c r="BS16" i="25"/>
  <c r="BR16" i="25"/>
  <c r="BQ16" i="25"/>
  <c r="BP16" i="25"/>
  <c r="BL16" i="25"/>
  <c r="BH16" i="25"/>
  <c r="BG16" i="25"/>
  <c r="BF16" i="25"/>
  <c r="BE16" i="25"/>
  <c r="BD16" i="25"/>
  <c r="BB16" i="25"/>
  <c r="BA16" i="25"/>
  <c r="AZ16" i="25"/>
  <c r="AY16" i="25"/>
  <c r="AX16" i="25"/>
  <c r="AW16" i="25"/>
  <c r="AU16" i="25"/>
  <c r="AQ16" i="25"/>
  <c r="AP16" i="25"/>
  <c r="AO16" i="25"/>
  <c r="AN16" i="25"/>
  <c r="AM16" i="25"/>
  <c r="AK16" i="25"/>
  <c r="AJ16" i="25"/>
  <c r="AI16" i="25"/>
  <c r="AH16" i="25"/>
  <c r="AG16" i="25"/>
  <c r="AF16" i="25"/>
  <c r="AD16" i="25"/>
  <c r="Z16" i="25"/>
  <c r="Y16" i="25"/>
  <c r="X16" i="25"/>
  <c r="W16" i="25"/>
  <c r="V16" i="25"/>
  <c r="T16" i="25"/>
  <c r="S16" i="25"/>
  <c r="R16" i="25"/>
  <c r="Q16" i="25"/>
  <c r="P16" i="25"/>
  <c r="O16" i="25"/>
  <c r="M16" i="25"/>
  <c r="BY15" i="25"/>
  <c r="BX15" i="25"/>
  <c r="BW15" i="25"/>
  <c r="BV15" i="25"/>
  <c r="BS15" i="25"/>
  <c r="BR15" i="25"/>
  <c r="BQ15" i="25"/>
  <c r="BP15" i="25"/>
  <c r="BH15" i="25"/>
  <c r="BG15" i="25"/>
  <c r="BF15" i="25"/>
  <c r="BE15" i="25"/>
  <c r="BB15" i="25"/>
  <c r="BA15" i="25"/>
  <c r="AZ15" i="25"/>
  <c r="AY15" i="25"/>
  <c r="AQ15" i="25"/>
  <c r="AP15" i="25"/>
  <c r="AO15" i="25"/>
  <c r="AN15" i="25"/>
  <c r="AK15" i="25"/>
  <c r="AJ15" i="25"/>
  <c r="AI15" i="25"/>
  <c r="AH15" i="25"/>
  <c r="Z15" i="25"/>
  <c r="Y15" i="25"/>
  <c r="X15" i="25"/>
  <c r="W15" i="25"/>
  <c r="T15" i="25"/>
  <c r="S15" i="25"/>
  <c r="R15" i="25"/>
  <c r="Q15" i="25"/>
  <c r="BY13" i="25"/>
  <c r="BX13" i="25"/>
  <c r="BW13" i="25"/>
  <c r="BV13" i="25"/>
  <c r="BS13" i="25"/>
  <c r="BR13" i="25"/>
  <c r="BQ13" i="25"/>
  <c r="BP13" i="25"/>
  <c r="BL13" i="25"/>
  <c r="BH13" i="25"/>
  <c r="BG13" i="25"/>
  <c r="BF13" i="25"/>
  <c r="BE13" i="25"/>
  <c r="BD13" i="25"/>
  <c r="BB13" i="25"/>
  <c r="BA13" i="25"/>
  <c r="AZ13" i="25"/>
  <c r="AY13" i="25"/>
  <c r="AX13" i="25"/>
  <c r="AW13" i="25"/>
  <c r="AU13" i="25"/>
  <c r="AQ13" i="25"/>
  <c r="AP13" i="25"/>
  <c r="AO13" i="25"/>
  <c r="AN13" i="25"/>
  <c r="AM13" i="25"/>
  <c r="AK13" i="25"/>
  <c r="AJ13" i="25"/>
  <c r="AI13" i="25"/>
  <c r="AH13" i="25"/>
  <c r="AG13" i="25"/>
  <c r="AF13" i="25"/>
  <c r="AD13" i="25"/>
  <c r="Z13" i="25"/>
  <c r="Y13" i="25"/>
  <c r="X13" i="25"/>
  <c r="W13" i="25"/>
  <c r="V13" i="25"/>
  <c r="T13" i="25"/>
  <c r="S13" i="25"/>
  <c r="R13" i="25"/>
  <c r="Q13" i="25"/>
  <c r="P13" i="25"/>
  <c r="O13" i="25"/>
  <c r="M13" i="25"/>
  <c r="BY12" i="25"/>
  <c r="BX12" i="25"/>
  <c r="BW12" i="25"/>
  <c r="BV12" i="25"/>
  <c r="BS12" i="25"/>
  <c r="BR12" i="25"/>
  <c r="BQ12" i="25"/>
  <c r="BP12" i="25"/>
  <c r="BL12" i="25"/>
  <c r="BH12" i="25"/>
  <c r="BG12" i="25"/>
  <c r="BF12" i="25"/>
  <c r="BE12" i="25"/>
  <c r="BD12" i="25"/>
  <c r="BB12" i="25"/>
  <c r="BA12" i="25"/>
  <c r="AZ12" i="25"/>
  <c r="AY12" i="25"/>
  <c r="AX12" i="25"/>
  <c r="AW12" i="25"/>
  <c r="AU12" i="25"/>
  <c r="AQ12" i="25"/>
  <c r="AP12" i="25"/>
  <c r="AO12" i="25"/>
  <c r="AN12" i="25"/>
  <c r="AM12" i="25"/>
  <c r="AK12" i="25"/>
  <c r="AJ12" i="25"/>
  <c r="AI12" i="25"/>
  <c r="AH12" i="25"/>
  <c r="AG12" i="25"/>
  <c r="AF12" i="25"/>
  <c r="AD12" i="25"/>
  <c r="Z12" i="25"/>
  <c r="Y12" i="25"/>
  <c r="X12" i="25"/>
  <c r="W12" i="25"/>
  <c r="V12" i="25"/>
  <c r="T12" i="25"/>
  <c r="S12" i="25"/>
  <c r="R12" i="25"/>
  <c r="Q12" i="25"/>
  <c r="P12" i="25"/>
  <c r="O12" i="25"/>
  <c r="M12" i="25"/>
  <c r="BY11" i="25"/>
  <c r="BX11" i="25"/>
  <c r="BW11" i="25"/>
  <c r="BV11" i="25"/>
  <c r="BS11" i="25"/>
  <c r="BR11" i="25"/>
  <c r="BQ11" i="25"/>
  <c r="BP11" i="25"/>
  <c r="BL11" i="25"/>
  <c r="BH11" i="25"/>
  <c r="BG11" i="25"/>
  <c r="BF11" i="25"/>
  <c r="BE11" i="25"/>
  <c r="BD11" i="25"/>
  <c r="BB11" i="25"/>
  <c r="BA11" i="25"/>
  <c r="AZ11" i="25"/>
  <c r="AY11" i="25"/>
  <c r="AX11" i="25"/>
  <c r="AW11" i="25"/>
  <c r="AU11" i="25"/>
  <c r="AQ11" i="25"/>
  <c r="AP11" i="25"/>
  <c r="AO11" i="25"/>
  <c r="AN11" i="25"/>
  <c r="AM11" i="25"/>
  <c r="AK11" i="25"/>
  <c r="AJ11" i="25"/>
  <c r="AI11" i="25"/>
  <c r="AH11" i="25"/>
  <c r="AG11" i="25"/>
  <c r="AF11" i="25"/>
  <c r="AD11" i="25"/>
  <c r="Z11" i="25"/>
  <c r="Y11" i="25"/>
  <c r="X11" i="25"/>
  <c r="W11" i="25"/>
  <c r="V11" i="25"/>
  <c r="T11" i="25"/>
  <c r="S11" i="25"/>
  <c r="R11" i="25"/>
  <c r="Q11" i="25"/>
  <c r="P11" i="25"/>
  <c r="O11" i="25"/>
  <c r="M11" i="25"/>
  <c r="BY10" i="25"/>
  <c r="BX10" i="25"/>
  <c r="BW10" i="25"/>
  <c r="BV10" i="25"/>
  <c r="BS10" i="25"/>
  <c r="BR10" i="25"/>
  <c r="BQ10" i="25"/>
  <c r="BP10" i="25"/>
  <c r="BL10" i="25"/>
  <c r="BH10" i="25"/>
  <c r="BG10" i="25"/>
  <c r="BF10" i="25"/>
  <c r="BE10" i="25"/>
  <c r="BD10" i="25"/>
  <c r="BB10" i="25"/>
  <c r="BA10" i="25"/>
  <c r="AZ10" i="25"/>
  <c r="AY10" i="25"/>
  <c r="AX10" i="25"/>
  <c r="AW10" i="25"/>
  <c r="AU10" i="25"/>
  <c r="AQ10" i="25"/>
  <c r="AP10" i="25"/>
  <c r="AO10" i="25"/>
  <c r="AN10" i="25"/>
  <c r="AM10" i="25"/>
  <c r="AK10" i="25"/>
  <c r="AJ10" i="25"/>
  <c r="AI10" i="25"/>
  <c r="AH10" i="25"/>
  <c r="AG10" i="25"/>
  <c r="AF10" i="25"/>
  <c r="AD10" i="25"/>
  <c r="Z10" i="25"/>
  <c r="Y10" i="25"/>
  <c r="X10" i="25"/>
  <c r="W10" i="25"/>
  <c r="V10" i="25"/>
  <c r="T10" i="25"/>
  <c r="S10" i="25"/>
  <c r="R10" i="25"/>
  <c r="Q10" i="25"/>
  <c r="P10" i="25"/>
  <c r="O10" i="25"/>
  <c r="M10" i="25"/>
  <c r="BY9" i="25"/>
  <c r="BX9" i="25"/>
  <c r="BW9" i="25"/>
  <c r="BV9" i="25"/>
  <c r="BU9" i="25"/>
  <c r="BS9" i="25"/>
  <c r="BR9" i="25"/>
  <c r="BQ9" i="25"/>
  <c r="BP9" i="25"/>
  <c r="BO9" i="25"/>
  <c r="BN9" i="25"/>
  <c r="BL9" i="25"/>
  <c r="BJ9" i="25" s="1"/>
  <c r="BH9" i="25"/>
  <c r="BG9" i="25"/>
  <c r="BF9" i="25"/>
  <c r="BE9" i="25"/>
  <c r="BB9" i="25"/>
  <c r="BA9" i="25"/>
  <c r="AZ9" i="25"/>
  <c r="AY9" i="25"/>
  <c r="AU9" i="25"/>
  <c r="AS9" i="25" s="1"/>
  <c r="AQ9" i="25"/>
  <c r="AP9" i="25"/>
  <c r="AO9" i="25"/>
  <c r="AN9" i="25"/>
  <c r="AK9" i="25"/>
  <c r="AJ9" i="25"/>
  <c r="AI9" i="25"/>
  <c r="AH9" i="25"/>
  <c r="Z9" i="25"/>
  <c r="Y9" i="25"/>
  <c r="X9" i="25"/>
  <c r="W9" i="25"/>
  <c r="T9" i="25"/>
  <c r="S9" i="25"/>
  <c r="R9" i="25"/>
  <c r="Q9" i="25"/>
  <c r="EE235" i="20"/>
  <c r="EG235" i="20"/>
  <c r="EG233" i="20" s="1"/>
  <c r="BR231" i="25" s="1"/>
  <c r="EH235" i="20"/>
  <c r="EH233" i="20" s="1"/>
  <c r="BS231" i="25" s="1"/>
  <c r="CU235" i="20"/>
  <c r="CU233" i="20" s="1"/>
  <c r="CW235" i="20"/>
  <c r="CW233" i="20" s="1"/>
  <c r="CX235" i="20"/>
  <c r="CX233" i="20" s="1"/>
  <c r="EE233" i="20"/>
  <c r="BP231" i="25" s="1"/>
  <c r="S236" i="20"/>
  <c r="R236" i="20"/>
  <c r="Q236" i="20"/>
  <c r="P236" i="20"/>
  <c r="M236" i="20"/>
  <c r="L236" i="20"/>
  <c r="J236" i="20"/>
  <c r="S39" i="20"/>
  <c r="R39" i="20"/>
  <c r="Q39" i="20"/>
  <c r="P39" i="20"/>
  <c r="M39" i="20"/>
  <c r="L39" i="20"/>
  <c r="K39" i="20"/>
  <c r="J39" i="20"/>
  <c r="S30" i="20"/>
  <c r="R30" i="20"/>
  <c r="Q30" i="20"/>
  <c r="P30" i="20"/>
  <c r="M30" i="20"/>
  <c r="L30" i="20"/>
  <c r="K30" i="20"/>
  <c r="J30" i="20"/>
  <c r="S23" i="20"/>
  <c r="R23" i="20"/>
  <c r="Q23" i="20"/>
  <c r="P23" i="20"/>
  <c r="M23" i="20"/>
  <c r="L23" i="20"/>
  <c r="K23" i="20"/>
  <c r="J23" i="20"/>
  <c r="S17" i="20"/>
  <c r="R17" i="20"/>
  <c r="Q17" i="20"/>
  <c r="P17" i="20"/>
  <c r="M17" i="20"/>
  <c r="L17" i="20"/>
  <c r="K17" i="20"/>
  <c r="J17" i="20"/>
  <c r="S11" i="20"/>
  <c r="R11" i="20"/>
  <c r="Q11" i="20"/>
  <c r="P11" i="20"/>
  <c r="M11" i="20"/>
  <c r="L11" i="20"/>
  <c r="K11" i="20"/>
  <c r="J11" i="20"/>
  <c r="EJ236" i="20"/>
  <c r="BU234" i="25" s="1"/>
  <c r="CZ236" i="20"/>
  <c r="BD234" i="25" s="1"/>
  <c r="BP236" i="20"/>
  <c r="DY218" i="20"/>
  <c r="CO218" i="20"/>
  <c r="U218" i="20"/>
  <c r="DY217" i="20"/>
  <c r="CO217" i="20"/>
  <c r="U217" i="20"/>
  <c r="DY216" i="20"/>
  <c r="CO216" i="20"/>
  <c r="U216" i="20"/>
  <c r="DY215" i="20"/>
  <c r="CO215" i="20"/>
  <c r="U215" i="20"/>
  <c r="DY214" i="20"/>
  <c r="CO214" i="20"/>
  <c r="U214" i="20"/>
  <c r="DY213" i="20"/>
  <c r="CO213" i="20"/>
  <c r="U213" i="20"/>
  <c r="DY212" i="20"/>
  <c r="CO212" i="20"/>
  <c r="U212" i="20"/>
  <c r="DY211" i="20"/>
  <c r="CO211" i="20"/>
  <c r="U211" i="20"/>
  <c r="DY210" i="20"/>
  <c r="CO210" i="20"/>
  <c r="BX210" i="20"/>
  <c r="BW210" i="20"/>
  <c r="BV210" i="20"/>
  <c r="U210" i="20"/>
  <c r="DY209" i="20"/>
  <c r="CO209" i="20"/>
  <c r="U209" i="20"/>
  <c r="EB110" i="20"/>
  <c r="BM108" i="25" s="1"/>
  <c r="ES109" i="20"/>
  <c r="EN109" i="20"/>
  <c r="EM109" i="20"/>
  <c r="EL109" i="20"/>
  <c r="EK109" i="20"/>
  <c r="EJ109" i="20"/>
  <c r="EH109" i="20"/>
  <c r="EG109" i="20"/>
  <c r="EF109" i="20"/>
  <c r="EE109" i="20"/>
  <c r="ED109" i="20"/>
  <c r="EC109" i="20"/>
  <c r="DY109" i="20"/>
  <c r="EA109" i="20" s="1"/>
  <c r="DI109" i="20"/>
  <c r="CO109" i="20"/>
  <c r="CQ109" i="20" s="1"/>
  <c r="BY109" i="20"/>
  <c r="BE109" i="20"/>
  <c r="BG109" i="20" s="1"/>
  <c r="AO109" i="20"/>
  <c r="U109" i="20"/>
  <c r="W109" i="20" s="1"/>
  <c r="W118" i="20" s="1"/>
  <c r="M116" i="25" s="1"/>
  <c r="EB108" i="20"/>
  <c r="CR108" i="20"/>
  <c r="BH108" i="20"/>
  <c r="X108" i="20"/>
  <c r="ES98" i="20"/>
  <c r="DY98" i="20"/>
  <c r="EA98" i="20" s="1"/>
  <c r="EA99" i="20" s="1"/>
  <c r="BL97" i="25" s="1"/>
  <c r="DI98" i="20"/>
  <c r="CO98" i="20"/>
  <c r="CQ98" i="20" s="1"/>
  <c r="BY98" i="20"/>
  <c r="BE98" i="20"/>
  <c r="BG98" i="20" s="1"/>
  <c r="AO98" i="20"/>
  <c r="U98" i="20"/>
  <c r="W98" i="20" s="1"/>
  <c r="W102" i="20" s="1"/>
  <c r="EJ45" i="20"/>
  <c r="ED45" i="20"/>
  <c r="BO43" i="25" s="1"/>
  <c r="EC45" i="20"/>
  <c r="BN43" i="25" s="1"/>
  <c r="EJ44" i="20"/>
  <c r="BU42" i="25" s="1"/>
  <c r="ED44" i="20"/>
  <c r="BO42" i="25" s="1"/>
  <c r="EC44" i="20"/>
  <c r="EJ43" i="20"/>
  <c r="BU41" i="25" s="1"/>
  <c r="ED43" i="20"/>
  <c r="BO41" i="25" s="1"/>
  <c r="EC43" i="20"/>
  <c r="BN41" i="25" s="1"/>
  <c r="EJ40" i="20"/>
  <c r="BU38" i="25" s="1"/>
  <c r="ED40" i="20"/>
  <c r="EC40" i="20"/>
  <c r="BN38" i="25" s="1"/>
  <c r="EJ28" i="20"/>
  <c r="BU26" i="25" s="1"/>
  <c r="ED28" i="20"/>
  <c r="BO26" i="25" s="1"/>
  <c r="EC28" i="20"/>
  <c r="BN26" i="25" s="1"/>
  <c r="EJ27" i="20"/>
  <c r="BU25" i="25" s="1"/>
  <c r="ED27" i="20"/>
  <c r="BO25" i="25" s="1"/>
  <c r="EC27" i="20"/>
  <c r="BN25" i="25" s="1"/>
  <c r="EJ26" i="20"/>
  <c r="BU24" i="25" s="1"/>
  <c r="ED26" i="20"/>
  <c r="BO24" i="25" s="1"/>
  <c r="EC26" i="20"/>
  <c r="EJ25" i="20"/>
  <c r="BU23" i="25" s="1"/>
  <c r="ED25" i="20"/>
  <c r="BO23" i="25" s="1"/>
  <c r="EC25" i="20"/>
  <c r="BN23" i="25" s="1"/>
  <c r="EJ24" i="20"/>
  <c r="BU22" i="25" s="1"/>
  <c r="ED24" i="20"/>
  <c r="BO22" i="25" s="1"/>
  <c r="EC24" i="20"/>
  <c r="BN22" i="25" s="1"/>
  <c r="EJ21" i="20"/>
  <c r="BU19" i="25" s="1"/>
  <c r="ED21" i="20"/>
  <c r="BO19" i="25" s="1"/>
  <c r="EC21" i="20"/>
  <c r="BN19" i="25" s="1"/>
  <c r="EJ20" i="20"/>
  <c r="BU18" i="25" s="1"/>
  <c r="ED20" i="20"/>
  <c r="BO18" i="25" s="1"/>
  <c r="EC20" i="20"/>
  <c r="BN18" i="25" s="1"/>
  <c r="EJ19" i="20"/>
  <c r="BU17" i="25" s="1"/>
  <c r="ED19" i="20"/>
  <c r="BO17" i="25" s="1"/>
  <c r="EC19" i="20"/>
  <c r="BN17" i="25" s="1"/>
  <c r="EJ18" i="20"/>
  <c r="BU16" i="25" s="1"/>
  <c r="ED18" i="20"/>
  <c r="BO16" i="25" s="1"/>
  <c r="EC18" i="20"/>
  <c r="BN16" i="25" s="1"/>
  <c r="EJ15" i="20"/>
  <c r="BU13" i="25" s="1"/>
  <c r="ED15" i="20"/>
  <c r="BO13" i="25" s="1"/>
  <c r="EC15" i="20"/>
  <c r="EJ14" i="20"/>
  <c r="BU12" i="25" s="1"/>
  <c r="ED14" i="20"/>
  <c r="BO12" i="25" s="1"/>
  <c r="EC14" i="20"/>
  <c r="EJ13" i="20"/>
  <c r="ED13" i="20"/>
  <c r="BO11" i="25" s="1"/>
  <c r="EC13" i="20"/>
  <c r="BN11" i="25" s="1"/>
  <c r="EJ12" i="20"/>
  <c r="BU10" i="25" s="1"/>
  <c r="ED12" i="20"/>
  <c r="BO10" i="25" s="1"/>
  <c r="EC12" i="20"/>
  <c r="BN10" i="25" s="1"/>
  <c r="EB10" i="20"/>
  <c r="CR10" i="20"/>
  <c r="BH10" i="20"/>
  <c r="X10" i="20"/>
  <c r="G3288" i="11"/>
  <c r="G3253" i="11"/>
  <c r="G3254" i="11"/>
  <c r="G3255" i="11"/>
  <c r="G3256" i="11"/>
  <c r="A229" i="25"/>
  <c r="A228" i="25"/>
  <c r="A227" i="25"/>
  <c r="A226" i="25"/>
  <c r="A225" i="25"/>
  <c r="A121" i="25"/>
  <c r="A122" i="25"/>
  <c r="A123" i="25"/>
  <c r="A124" i="25"/>
  <c r="A125" i="25"/>
  <c r="A126" i="25"/>
  <c r="A127" i="25"/>
  <c r="A128" i="25"/>
  <c r="A120" i="25"/>
  <c r="ES208" i="20"/>
  <c r="DI208" i="20"/>
  <c r="CB208" i="20"/>
  <c r="CA208" i="20"/>
  <c r="BZ208" i="20"/>
  <c r="BY208" i="20"/>
  <c r="BJ208" i="20"/>
  <c r="BI208" i="20"/>
  <c r="AW208" i="20"/>
  <c r="CH208" i="20"/>
  <c r="DQ208" i="20"/>
  <c r="G205" i="16"/>
  <c r="G204" i="16"/>
  <c r="G203" i="16"/>
  <c r="G202" i="16"/>
  <c r="G201" i="16"/>
  <c r="G200" i="16"/>
  <c r="G199" i="16"/>
  <c r="G198" i="16"/>
  <c r="G195" i="16"/>
  <c r="G194" i="16"/>
  <c r="G193" i="16"/>
  <c r="G192" i="16"/>
  <c r="G191" i="16"/>
  <c r="G188" i="16"/>
  <c r="G185" i="16"/>
  <c r="G184" i="16"/>
  <c r="G183" i="16"/>
  <c r="G182" i="16"/>
  <c r="G181" i="16"/>
  <c r="G180" i="16"/>
  <c r="G179" i="16"/>
  <c r="G874" i="17"/>
  <c r="G873" i="17"/>
  <c r="G872" i="17"/>
  <c r="G871" i="17"/>
  <c r="G870" i="17"/>
  <c r="G869" i="17"/>
  <c r="G868" i="17"/>
  <c r="G867" i="17"/>
  <c r="G866" i="17"/>
  <c r="G865" i="17"/>
  <c r="G864" i="17"/>
  <c r="G863" i="17"/>
  <c r="G862" i="17"/>
  <c r="G861" i="17"/>
  <c r="G860" i="17"/>
  <c r="G859" i="17"/>
  <c r="G858" i="17"/>
  <c r="G857" i="17"/>
  <c r="G856" i="17"/>
  <c r="G855" i="17"/>
  <c r="G854" i="17"/>
  <c r="G853" i="17"/>
  <c r="G852" i="17"/>
  <c r="G851" i="17"/>
  <c r="G850" i="17"/>
  <c r="G849" i="17"/>
  <c r="G848" i="17"/>
  <c r="G847" i="17"/>
  <c r="G844" i="17"/>
  <c r="G843" i="17"/>
  <c r="G842" i="17"/>
  <c r="G841" i="17"/>
  <c r="G840" i="17"/>
  <c r="G839" i="17"/>
  <c r="G836" i="17"/>
  <c r="G835" i="17"/>
  <c r="G834" i="17"/>
  <c r="G833" i="17"/>
  <c r="G832" i="17"/>
  <c r="G829" i="17"/>
  <c r="G828" i="17"/>
  <c r="G827" i="17"/>
  <c r="G826" i="17"/>
  <c r="G825" i="17"/>
  <c r="G824" i="17"/>
  <c r="G823" i="17"/>
  <c r="G822" i="17"/>
  <c r="G821" i="17"/>
  <c r="G820" i="17"/>
  <c r="G814" i="17"/>
  <c r="G813" i="17"/>
  <c r="G812" i="17"/>
  <c r="G811" i="17"/>
  <c r="G810" i="17"/>
  <c r="G809" i="17"/>
  <c r="G808" i="17"/>
  <c r="G807" i="17"/>
  <c r="G806" i="17"/>
  <c r="G805" i="17"/>
  <c r="G804" i="17"/>
  <c r="G801" i="17"/>
  <c r="G800" i="17"/>
  <c r="G797" i="17"/>
  <c r="G794" i="17"/>
  <c r="G793" i="17"/>
  <c r="G792" i="17"/>
  <c r="G791" i="17"/>
  <c r="G790" i="17"/>
  <c r="G789" i="17"/>
  <c r="G788" i="17"/>
  <c r="G787" i="17"/>
  <c r="G786" i="17"/>
  <c r="G780" i="17"/>
  <c r="G779" i="17"/>
  <c r="G776" i="17"/>
  <c r="G775" i="17"/>
  <c r="G774" i="17"/>
  <c r="G773" i="17"/>
  <c r="G772" i="17"/>
  <c r="G771" i="17"/>
  <c r="G770" i="17"/>
  <c r="G769" i="17"/>
  <c r="G768" i="17"/>
  <c r="G765" i="17"/>
  <c r="G762" i="17"/>
  <c r="G761" i="17"/>
  <c r="G760" i="17"/>
  <c r="G757" i="17"/>
  <c r="G756" i="17"/>
  <c r="BX218" i="20"/>
  <c r="BW218" i="20"/>
  <c r="BV218" i="20"/>
  <c r="BX217" i="20"/>
  <c r="BW217" i="20"/>
  <c r="BV217" i="20"/>
  <c r="BX216" i="20"/>
  <c r="BW216" i="20"/>
  <c r="BV216" i="20"/>
  <c r="G2935" i="11"/>
  <c r="G2934" i="11"/>
  <c r="G2933" i="11"/>
  <c r="G2932" i="11"/>
  <c r="G2931" i="11"/>
  <c r="G2930" i="11"/>
  <c r="G2929" i="11"/>
  <c r="G2928" i="11"/>
  <c r="G2927" i="11"/>
  <c r="G2926" i="11"/>
  <c r="G2925" i="11"/>
  <c r="G2924" i="11"/>
  <c r="G2923" i="11"/>
  <c r="G2922" i="11"/>
  <c r="G3052" i="11"/>
  <c r="G3051" i="11"/>
  <c r="G3106" i="11"/>
  <c r="CO208" i="20"/>
  <c r="DY208" i="20"/>
  <c r="G488" i="11"/>
  <c r="G482" i="11"/>
  <c r="G481" i="11"/>
  <c r="G480" i="11"/>
  <c r="G479" i="11"/>
  <c r="G475" i="11"/>
  <c r="G474" i="11"/>
  <c r="G473" i="11"/>
  <c r="G472" i="11"/>
  <c r="G471" i="11"/>
  <c r="G470" i="11"/>
  <c r="G469" i="11"/>
  <c r="G468" i="11"/>
  <c r="G467" i="11"/>
  <c r="G466" i="11"/>
  <c r="G465" i="11"/>
  <c r="G464" i="11"/>
  <c r="G463" i="11"/>
  <c r="G462" i="11"/>
  <c r="G461" i="11"/>
  <c r="G460" i="11"/>
  <c r="G459" i="11"/>
  <c r="G458" i="11"/>
  <c r="G456" i="11"/>
  <c r="G455" i="11"/>
  <c r="G454" i="11"/>
  <c r="G453" i="11"/>
  <c r="G452" i="11"/>
  <c r="G451" i="11"/>
  <c r="G450" i="11"/>
  <c r="G449" i="11"/>
  <c r="G448" i="11"/>
  <c r="G447" i="11"/>
  <c r="G446" i="11"/>
  <c r="G3299" i="11"/>
  <c r="G3300" i="11"/>
  <c r="G3301" i="11"/>
  <c r="G3298" i="11"/>
  <c r="G3287" i="11"/>
  <c r="G3286" i="11"/>
  <c r="G3285" i="11"/>
  <c r="G3284" i="11"/>
  <c r="G3252" i="11"/>
  <c r="G292" i="11"/>
  <c r="G230" i="11"/>
  <c r="BI11" i="20"/>
  <c r="AF9" i="25" s="1"/>
  <c r="BJ11" i="20"/>
  <c r="BH12" i="20"/>
  <c r="AE10" i="25" s="1"/>
  <c r="BH13" i="20"/>
  <c r="AE11" i="25" s="1"/>
  <c r="BH14" i="20"/>
  <c r="AE12" i="25" s="1"/>
  <c r="BH15" i="20"/>
  <c r="AE13" i="25" s="1"/>
  <c r="BJ17" i="20"/>
  <c r="AG15" i="25" s="1"/>
  <c r="BH18" i="20"/>
  <c r="AE16" i="25" s="1"/>
  <c r="BH19" i="20"/>
  <c r="AE17" i="25" s="1"/>
  <c r="BH20" i="20"/>
  <c r="AE18" i="25" s="1"/>
  <c r="BH21" i="20"/>
  <c r="AE19" i="25" s="1"/>
  <c r="BH22" i="20"/>
  <c r="BH24" i="20"/>
  <c r="AE22" i="25" s="1"/>
  <c r="BH25" i="20"/>
  <c r="AE23" i="25" s="1"/>
  <c r="BH26" i="20"/>
  <c r="AE24" i="25" s="1"/>
  <c r="BH27" i="20"/>
  <c r="AE25" i="25" s="1"/>
  <c r="BH28" i="20"/>
  <c r="AE26" i="25" s="1"/>
  <c r="BH29" i="20"/>
  <c r="BJ30" i="20"/>
  <c r="BJ23" i="20" s="1"/>
  <c r="AG21" i="25" s="1"/>
  <c r="BH31" i="20"/>
  <c r="AE29" i="25" s="1"/>
  <c r="BH32" i="20"/>
  <c r="AE30" i="25" s="1"/>
  <c r="BH33" i="20"/>
  <c r="AE31" i="25" s="1"/>
  <c r="BH34" i="20"/>
  <c r="AE32" i="25" s="1"/>
  <c r="BH35" i="20"/>
  <c r="AE33" i="25" s="1"/>
  <c r="BH36" i="20"/>
  <c r="AE34" i="25" s="1"/>
  <c r="BH37" i="20"/>
  <c r="AE35" i="25" s="1"/>
  <c r="BH38" i="20"/>
  <c r="BI39" i="20"/>
  <c r="AF37" i="25" s="1"/>
  <c r="BJ39" i="20"/>
  <c r="AG37" i="25" s="1"/>
  <c r="BH40" i="20"/>
  <c r="AE38" i="25" s="1"/>
  <c r="BH41" i="20"/>
  <c r="AE39" i="25" s="1"/>
  <c r="BH42" i="20"/>
  <c r="AE40" i="25" s="1"/>
  <c r="BH43" i="20"/>
  <c r="AE41" i="25" s="1"/>
  <c r="BH44" i="20"/>
  <c r="AE42" i="25" s="1"/>
  <c r="BH45" i="20"/>
  <c r="AE43" i="25" s="1"/>
  <c r="BH46" i="20"/>
  <c r="AE44" i="25" s="1"/>
  <c r="BH47" i="20"/>
  <c r="AE45" i="25" s="1"/>
  <c r="BH48" i="20"/>
  <c r="BH50" i="20"/>
  <c r="BH74" i="20"/>
  <c r="BH85" i="20"/>
  <c r="BH97" i="20"/>
  <c r="BH120" i="20"/>
  <c r="BH131" i="20"/>
  <c r="BH143" i="20"/>
  <c r="BK146" i="20"/>
  <c r="BL146" i="20" s="1"/>
  <c r="BM146" i="20" s="1"/>
  <c r="AJ144" i="25" s="1"/>
  <c r="BK147" i="20"/>
  <c r="AH145" i="25" s="1"/>
  <c r="BK148" i="20"/>
  <c r="AH146" i="25" s="1"/>
  <c r="BK149" i="20"/>
  <c r="AH147" i="25" s="1"/>
  <c r="BK153" i="20"/>
  <c r="AH151" i="25" s="1"/>
  <c r="BK157" i="20"/>
  <c r="BK161" i="20"/>
  <c r="AH159" i="25" s="1"/>
  <c r="BK165" i="20"/>
  <c r="BK169" i="20"/>
  <c r="AH167" i="25" s="1"/>
  <c r="BK173" i="20"/>
  <c r="BK177" i="20"/>
  <c r="AH175" i="25" s="1"/>
  <c r="BK181" i="20"/>
  <c r="BK185" i="20"/>
  <c r="BL185" i="20" s="1"/>
  <c r="AI183" i="25" s="1"/>
  <c r="BK189" i="20"/>
  <c r="BK193" i="20"/>
  <c r="BL193" i="20" s="1"/>
  <c r="AI191" i="25" s="1"/>
  <c r="BH197" i="20"/>
  <c r="BH202" i="20"/>
  <c r="BH207" i="20"/>
  <c r="BH219" i="20"/>
  <c r="BH225" i="20"/>
  <c r="BH232" i="20"/>
  <c r="BH234" i="20"/>
  <c r="BH237" i="20"/>
  <c r="AE241" i="25"/>
  <c r="AE242" i="25"/>
  <c r="AE243" i="25"/>
  <c r="AE244" i="25"/>
  <c r="AE245" i="25"/>
  <c r="AE246" i="25"/>
  <c r="AE247" i="25"/>
  <c r="G237" i="11"/>
  <c r="G238" i="11"/>
  <c r="G268" i="11"/>
  <c r="G231" i="11"/>
  <c r="G7370" i="12"/>
  <c r="G1013" i="17"/>
  <c r="U226" i="20"/>
  <c r="W226" i="20" s="1"/>
  <c r="G414" i="11"/>
  <c r="G413" i="11"/>
  <c r="G412" i="11"/>
  <c r="EB11" i="20"/>
  <c r="BM9" i="25" s="1"/>
  <c r="EB16" i="20"/>
  <c r="EB22" i="20"/>
  <c r="EB29" i="20"/>
  <c r="EB31" i="20"/>
  <c r="BM29" i="25" s="1"/>
  <c r="EB32" i="20"/>
  <c r="BM30" i="25" s="1"/>
  <c r="EB33" i="20"/>
  <c r="BM31" i="25" s="1"/>
  <c r="EB34" i="20"/>
  <c r="BM32" i="25" s="1"/>
  <c r="EB35" i="20"/>
  <c r="BM33" i="25" s="1"/>
  <c r="EB36" i="20"/>
  <c r="BM34" i="25" s="1"/>
  <c r="EB37" i="20"/>
  <c r="BM35" i="25" s="1"/>
  <c r="EB38" i="20"/>
  <c r="EB41" i="20"/>
  <c r="BM39" i="25" s="1"/>
  <c r="EB42" i="20"/>
  <c r="BM40" i="25" s="1"/>
  <c r="EB46" i="20"/>
  <c r="BM44" i="25" s="1"/>
  <c r="EB47" i="20"/>
  <c r="BM45" i="25" s="1"/>
  <c r="EB48" i="20"/>
  <c r="EB50" i="20"/>
  <c r="EB52" i="20"/>
  <c r="BM50" i="25" s="1"/>
  <c r="EB53" i="20"/>
  <c r="BM51" i="25" s="1"/>
  <c r="EB54" i="20"/>
  <c r="BM52" i="25" s="1"/>
  <c r="EB55" i="20"/>
  <c r="BM53" i="25" s="1"/>
  <c r="EB56" i="20"/>
  <c r="BM54" i="25" s="1"/>
  <c r="EB57" i="20"/>
  <c r="BM55" i="25" s="1"/>
  <c r="EB58" i="20"/>
  <c r="BM56" i="25" s="1"/>
  <c r="EB59" i="20"/>
  <c r="BM57" i="25" s="1"/>
  <c r="EB60" i="20"/>
  <c r="BM58" i="25" s="1"/>
  <c r="EB61" i="20"/>
  <c r="BM59" i="25" s="1"/>
  <c r="EB64" i="20"/>
  <c r="BM62" i="25" s="1"/>
  <c r="EB65" i="20"/>
  <c r="BM63" i="25" s="1"/>
  <c r="EB66" i="20"/>
  <c r="BM64" i="25" s="1"/>
  <c r="EB67" i="20"/>
  <c r="BM65" i="25" s="1"/>
  <c r="EB68" i="20"/>
  <c r="BM66" i="25" s="1"/>
  <c r="EB69" i="20"/>
  <c r="BM67" i="25" s="1"/>
  <c r="EB70" i="20"/>
  <c r="BM68" i="25" s="1"/>
  <c r="EB71" i="20"/>
  <c r="BM69" i="25" s="1"/>
  <c r="EB72" i="20"/>
  <c r="BM70" i="25" s="1"/>
  <c r="EB73" i="20"/>
  <c r="BM71" i="25" s="1"/>
  <c r="EB74" i="20"/>
  <c r="EB85" i="20"/>
  <c r="EB87" i="20"/>
  <c r="BM85" i="25" s="1"/>
  <c r="EB88" i="20"/>
  <c r="BM86" i="25" s="1"/>
  <c r="EB89" i="20"/>
  <c r="BM87" i="25" s="1"/>
  <c r="EB90" i="20"/>
  <c r="BM88" i="25" s="1"/>
  <c r="EB91" i="20"/>
  <c r="BM89" i="25" s="1"/>
  <c r="EB92" i="20"/>
  <c r="BM90" i="25" s="1"/>
  <c r="EB93" i="20"/>
  <c r="BM91" i="25" s="1"/>
  <c r="EB94" i="20"/>
  <c r="BM92" i="25" s="1"/>
  <c r="EB95" i="20"/>
  <c r="BM93" i="25" s="1"/>
  <c r="EB96" i="20"/>
  <c r="BM94" i="25" s="1"/>
  <c r="EB97" i="20"/>
  <c r="EB111" i="20"/>
  <c r="BM109" i="25" s="1"/>
  <c r="EB112" i="20"/>
  <c r="BM110" i="25" s="1"/>
  <c r="EB113" i="20"/>
  <c r="BM111" i="25" s="1"/>
  <c r="EB114" i="20"/>
  <c r="BM112" i="25" s="1"/>
  <c r="EB115" i="20"/>
  <c r="BM113" i="25" s="1"/>
  <c r="EB116" i="20"/>
  <c r="BM114" i="25" s="1"/>
  <c r="EB117" i="20"/>
  <c r="BM115" i="25" s="1"/>
  <c r="EB118" i="20"/>
  <c r="BM116" i="25" s="1"/>
  <c r="EB119" i="20"/>
  <c r="BM117" i="25" s="1"/>
  <c r="EB120" i="20"/>
  <c r="EB131" i="20"/>
  <c r="EB133" i="20"/>
  <c r="BM131" i="25" s="1"/>
  <c r="EB134" i="20"/>
  <c r="BM132" i="25" s="1"/>
  <c r="EB135" i="20"/>
  <c r="BM133" i="25" s="1"/>
  <c r="EB136" i="20"/>
  <c r="BM134" i="25" s="1"/>
  <c r="EB137" i="20"/>
  <c r="BM135" i="25" s="1"/>
  <c r="EB138" i="20"/>
  <c r="BM136" i="25" s="1"/>
  <c r="EB139" i="20"/>
  <c r="BM137" i="25" s="1"/>
  <c r="EB140" i="20"/>
  <c r="BM138" i="25" s="1"/>
  <c r="EB141" i="20"/>
  <c r="BM139" i="25" s="1"/>
  <c r="EB142" i="20"/>
  <c r="BM140" i="25" s="1"/>
  <c r="EB143" i="20"/>
  <c r="EB149" i="20"/>
  <c r="BM147" i="25" s="1"/>
  <c r="EB150" i="20"/>
  <c r="BM148" i="25" s="1"/>
  <c r="EB151" i="20"/>
  <c r="BM149" i="25" s="1"/>
  <c r="EB152" i="20"/>
  <c r="BM150" i="25" s="1"/>
  <c r="EB153" i="20"/>
  <c r="BM151" i="25" s="1"/>
  <c r="EB154" i="20"/>
  <c r="BM152" i="25" s="1"/>
  <c r="EB155" i="20"/>
  <c r="BM153" i="25" s="1"/>
  <c r="EB156" i="20"/>
  <c r="BM154" i="25" s="1"/>
  <c r="EB157" i="20"/>
  <c r="BM155" i="25" s="1"/>
  <c r="EB158" i="20"/>
  <c r="BM156" i="25" s="1"/>
  <c r="EB159" i="20"/>
  <c r="BM157" i="25" s="1"/>
  <c r="EB160" i="20"/>
  <c r="BM158" i="25" s="1"/>
  <c r="EB161" i="20"/>
  <c r="BM159" i="25" s="1"/>
  <c r="EB162" i="20"/>
  <c r="BM160" i="25" s="1"/>
  <c r="EB163" i="20"/>
  <c r="BM161" i="25" s="1"/>
  <c r="EB164" i="20"/>
  <c r="BM162" i="25" s="1"/>
  <c r="EB165" i="20"/>
  <c r="BM163" i="25" s="1"/>
  <c r="EB166" i="20"/>
  <c r="BM164" i="25" s="1"/>
  <c r="EB167" i="20"/>
  <c r="BM165" i="25" s="1"/>
  <c r="EB168" i="20"/>
  <c r="BM166" i="25" s="1"/>
  <c r="EB169" i="20"/>
  <c r="BM167" i="25" s="1"/>
  <c r="EB170" i="20"/>
  <c r="BM168" i="25" s="1"/>
  <c r="EB171" i="20"/>
  <c r="BM169" i="25" s="1"/>
  <c r="EB172" i="20"/>
  <c r="BM170" i="25" s="1"/>
  <c r="EB173" i="20"/>
  <c r="BM171" i="25" s="1"/>
  <c r="EB174" i="20"/>
  <c r="BM172" i="25" s="1"/>
  <c r="EB175" i="20"/>
  <c r="BM173" i="25" s="1"/>
  <c r="EB176" i="20"/>
  <c r="BM174" i="25" s="1"/>
  <c r="EB177" i="20"/>
  <c r="BM175" i="25" s="1"/>
  <c r="EB178" i="20"/>
  <c r="BM176" i="25" s="1"/>
  <c r="EB179" i="20"/>
  <c r="BM177" i="25" s="1"/>
  <c r="EB180" i="20"/>
  <c r="BM178" i="25" s="1"/>
  <c r="EB181" i="20"/>
  <c r="BM179" i="25" s="1"/>
  <c r="EB182" i="20"/>
  <c r="BM180" i="25" s="1"/>
  <c r="EB183" i="20"/>
  <c r="BM181" i="25" s="1"/>
  <c r="EB184" i="20"/>
  <c r="BM182" i="25" s="1"/>
  <c r="EB185" i="20"/>
  <c r="BM183" i="25" s="1"/>
  <c r="EB186" i="20"/>
  <c r="BM184" i="25" s="1"/>
  <c r="EB187" i="20"/>
  <c r="BM185" i="25" s="1"/>
  <c r="EB188" i="20"/>
  <c r="BM186" i="25" s="1"/>
  <c r="EB189" i="20"/>
  <c r="BM187" i="25" s="1"/>
  <c r="EB190" i="20"/>
  <c r="BM188" i="25" s="1"/>
  <c r="EB191" i="20"/>
  <c r="BM189" i="25" s="1"/>
  <c r="EB192" i="20"/>
  <c r="BM190" i="25" s="1"/>
  <c r="EB193" i="20"/>
  <c r="BM191" i="25" s="1"/>
  <c r="EB194" i="20"/>
  <c r="BM192" i="25" s="1"/>
  <c r="EB195" i="20"/>
  <c r="BM193" i="25" s="1"/>
  <c r="EB196" i="20"/>
  <c r="BM194" i="25" s="1"/>
  <c r="EB197" i="20"/>
  <c r="EB202" i="20"/>
  <c r="EB207" i="20"/>
  <c r="EB219" i="20"/>
  <c r="EB225" i="20"/>
  <c r="EB232" i="20"/>
  <c r="EB234" i="20"/>
  <c r="EB237" i="20"/>
  <c r="BM241" i="25"/>
  <c r="BM242" i="25"/>
  <c r="BM243" i="25"/>
  <c r="BM244" i="25"/>
  <c r="BM245" i="25"/>
  <c r="BM246" i="25"/>
  <c r="BM247" i="25"/>
  <c r="CR12" i="20"/>
  <c r="AV10" i="25" s="1"/>
  <c r="CR13" i="20"/>
  <c r="AV11" i="25" s="1"/>
  <c r="CR14" i="20"/>
  <c r="AV12" i="25" s="1"/>
  <c r="CR15" i="20"/>
  <c r="AV13" i="25" s="1"/>
  <c r="CR16" i="20"/>
  <c r="CR18" i="20"/>
  <c r="AV16" i="25" s="1"/>
  <c r="CR19" i="20"/>
  <c r="AV17" i="25" s="1"/>
  <c r="CR20" i="20"/>
  <c r="AV18" i="25" s="1"/>
  <c r="CR21" i="20"/>
  <c r="AV19" i="25" s="1"/>
  <c r="CR22" i="20"/>
  <c r="CR24" i="20"/>
  <c r="AV22" i="25" s="1"/>
  <c r="CR25" i="20"/>
  <c r="AV23" i="25" s="1"/>
  <c r="CR26" i="20"/>
  <c r="AV24" i="25" s="1"/>
  <c r="CR27" i="20"/>
  <c r="AV25" i="25" s="1"/>
  <c r="CR28" i="20"/>
  <c r="AV26" i="25" s="1"/>
  <c r="CR29" i="20"/>
  <c r="CR31" i="20"/>
  <c r="AV29" i="25" s="1"/>
  <c r="CR32" i="20"/>
  <c r="AV30" i="25" s="1"/>
  <c r="CR33" i="20"/>
  <c r="AV31" i="25" s="1"/>
  <c r="CR34" i="20"/>
  <c r="AV32" i="25" s="1"/>
  <c r="CR35" i="20"/>
  <c r="AV33" i="25" s="1"/>
  <c r="CR36" i="20"/>
  <c r="AV34" i="25" s="1"/>
  <c r="CR37" i="20"/>
  <c r="AV35" i="25" s="1"/>
  <c r="CR38" i="20"/>
  <c r="CR40" i="20"/>
  <c r="AV38" i="25" s="1"/>
  <c r="CR41" i="20"/>
  <c r="AV39" i="25" s="1"/>
  <c r="CR42" i="20"/>
  <c r="AV40" i="25" s="1"/>
  <c r="CR43" i="20"/>
  <c r="AV41" i="25" s="1"/>
  <c r="CR44" i="20"/>
  <c r="AV42" i="25" s="1"/>
  <c r="CR45" i="20"/>
  <c r="AV43" i="25" s="1"/>
  <c r="CR46" i="20"/>
  <c r="AV44" i="25" s="1"/>
  <c r="CR47" i="20"/>
  <c r="AV45" i="25" s="1"/>
  <c r="CR48" i="20"/>
  <c r="CR50" i="20"/>
  <c r="CR74" i="20"/>
  <c r="CR85" i="20"/>
  <c r="CR97" i="20"/>
  <c r="CR120" i="20"/>
  <c r="CR131" i="20"/>
  <c r="CR143" i="20"/>
  <c r="CR149" i="20"/>
  <c r="AV147" i="25" s="1"/>
  <c r="CR150" i="20"/>
  <c r="AV148" i="25" s="1"/>
  <c r="CR151" i="20"/>
  <c r="AV149" i="25" s="1"/>
  <c r="CR152" i="20"/>
  <c r="AV150" i="25" s="1"/>
  <c r="CR153" i="20"/>
  <c r="AV151" i="25" s="1"/>
  <c r="CR154" i="20"/>
  <c r="AV152" i="25" s="1"/>
  <c r="CR155" i="20"/>
  <c r="AV153" i="25" s="1"/>
  <c r="CR156" i="20"/>
  <c r="AV154" i="25" s="1"/>
  <c r="CR157" i="20"/>
  <c r="AV155" i="25" s="1"/>
  <c r="CR158" i="20"/>
  <c r="AV156" i="25" s="1"/>
  <c r="CR159" i="20"/>
  <c r="AV157" i="25" s="1"/>
  <c r="CR160" i="20"/>
  <c r="AV158" i="25" s="1"/>
  <c r="CR161" i="20"/>
  <c r="AV159" i="25" s="1"/>
  <c r="CR162" i="20"/>
  <c r="AV160" i="25" s="1"/>
  <c r="CR163" i="20"/>
  <c r="AV161" i="25" s="1"/>
  <c r="CR164" i="20"/>
  <c r="AV162" i="25" s="1"/>
  <c r="CR165" i="20"/>
  <c r="AV163" i="25" s="1"/>
  <c r="CR166" i="20"/>
  <c r="AV164" i="25" s="1"/>
  <c r="CR167" i="20"/>
  <c r="AV165" i="25" s="1"/>
  <c r="CR168" i="20"/>
  <c r="AV166" i="25" s="1"/>
  <c r="CR169" i="20"/>
  <c r="AV167" i="25" s="1"/>
  <c r="CR170" i="20"/>
  <c r="AV168" i="25" s="1"/>
  <c r="CR171" i="20"/>
  <c r="AV169" i="25" s="1"/>
  <c r="CR172" i="20"/>
  <c r="AV170" i="25" s="1"/>
  <c r="CR173" i="20"/>
  <c r="AV171" i="25" s="1"/>
  <c r="CR174" i="20"/>
  <c r="AV172" i="25" s="1"/>
  <c r="CR175" i="20"/>
  <c r="AV173" i="25" s="1"/>
  <c r="CR176" i="20"/>
  <c r="AV174" i="25" s="1"/>
  <c r="CR177" i="20"/>
  <c r="AV175" i="25" s="1"/>
  <c r="CR178" i="20"/>
  <c r="AV176" i="25" s="1"/>
  <c r="CR179" i="20"/>
  <c r="AV177" i="25" s="1"/>
  <c r="CR180" i="20"/>
  <c r="AV178" i="25" s="1"/>
  <c r="CR181" i="20"/>
  <c r="AV179" i="25" s="1"/>
  <c r="CR182" i="20"/>
  <c r="AV180" i="25" s="1"/>
  <c r="CR183" i="20"/>
  <c r="AV181" i="25" s="1"/>
  <c r="CR184" i="20"/>
  <c r="AV182" i="25" s="1"/>
  <c r="CR185" i="20"/>
  <c r="AV183" i="25" s="1"/>
  <c r="CR186" i="20"/>
  <c r="AV184" i="25" s="1"/>
  <c r="CR187" i="20"/>
  <c r="AV185" i="25" s="1"/>
  <c r="CR188" i="20"/>
  <c r="AV186" i="25" s="1"/>
  <c r="CR189" i="20"/>
  <c r="AV187" i="25" s="1"/>
  <c r="CR190" i="20"/>
  <c r="AV188" i="25" s="1"/>
  <c r="CR191" i="20"/>
  <c r="AV189" i="25" s="1"/>
  <c r="CR192" i="20"/>
  <c r="AV190" i="25" s="1"/>
  <c r="CR193" i="20"/>
  <c r="AV191" i="25" s="1"/>
  <c r="CR194" i="20"/>
  <c r="AV192" i="25" s="1"/>
  <c r="CR195" i="20"/>
  <c r="AV193" i="25" s="1"/>
  <c r="CR196" i="20"/>
  <c r="AV194" i="25" s="1"/>
  <c r="CR197" i="20"/>
  <c r="CR202" i="20"/>
  <c r="CR207" i="20"/>
  <c r="CR219" i="20"/>
  <c r="CR225" i="20"/>
  <c r="CR232" i="20"/>
  <c r="CR234" i="20"/>
  <c r="CR237" i="20"/>
  <c r="AV241" i="25"/>
  <c r="AV242" i="25"/>
  <c r="AV243" i="25"/>
  <c r="AV244" i="25"/>
  <c r="AV245" i="25"/>
  <c r="AV246" i="25"/>
  <c r="AV247" i="25"/>
  <c r="X12" i="20"/>
  <c r="N10" i="25" s="1"/>
  <c r="X13" i="20"/>
  <c r="N11" i="25" s="1"/>
  <c r="X14" i="20"/>
  <c r="N12" i="25" s="1"/>
  <c r="X15" i="20"/>
  <c r="N13" i="25" s="1"/>
  <c r="X16" i="20"/>
  <c r="X18" i="20"/>
  <c r="N16" i="25" s="1"/>
  <c r="X19" i="20"/>
  <c r="N17" i="25" s="1"/>
  <c r="X20" i="20"/>
  <c r="N18" i="25" s="1"/>
  <c r="X21" i="20"/>
  <c r="N19" i="25" s="1"/>
  <c r="X22" i="20"/>
  <c r="X24" i="20"/>
  <c r="N22" i="25" s="1"/>
  <c r="X25" i="20"/>
  <c r="N23" i="25" s="1"/>
  <c r="X26" i="20"/>
  <c r="N24" i="25" s="1"/>
  <c r="X27" i="20"/>
  <c r="N25" i="25" s="1"/>
  <c r="X28" i="20"/>
  <c r="N26" i="25" s="1"/>
  <c r="X29" i="20"/>
  <c r="X31" i="20"/>
  <c r="N29" i="25" s="1"/>
  <c r="X32" i="20"/>
  <c r="N30" i="25" s="1"/>
  <c r="X33" i="20"/>
  <c r="N31" i="25" s="1"/>
  <c r="X34" i="20"/>
  <c r="N32" i="25" s="1"/>
  <c r="X35" i="20"/>
  <c r="N33" i="25" s="1"/>
  <c r="X36" i="20"/>
  <c r="N34" i="25" s="1"/>
  <c r="X37" i="20"/>
  <c r="N35" i="25" s="1"/>
  <c r="X38" i="20"/>
  <c r="X40" i="20"/>
  <c r="N38" i="25" s="1"/>
  <c r="X41" i="20"/>
  <c r="N39" i="25" s="1"/>
  <c r="X42" i="20"/>
  <c r="N40" i="25" s="1"/>
  <c r="X43" i="20"/>
  <c r="N41" i="25" s="1"/>
  <c r="X44" i="20"/>
  <c r="N42" i="25" s="1"/>
  <c r="X45" i="20"/>
  <c r="N43" i="25" s="1"/>
  <c r="X46" i="20"/>
  <c r="N44" i="25" s="1"/>
  <c r="X47" i="20"/>
  <c r="N45" i="25" s="1"/>
  <c r="X48" i="20"/>
  <c r="X50" i="20"/>
  <c r="X62" i="20"/>
  <c r="X74" i="20"/>
  <c r="X85" i="20"/>
  <c r="X97" i="20"/>
  <c r="X120" i="20"/>
  <c r="X131" i="20"/>
  <c r="X143" i="20"/>
  <c r="X149" i="20"/>
  <c r="X150" i="20"/>
  <c r="N148" i="25" s="1"/>
  <c r="X151" i="20"/>
  <c r="N149" i="25" s="1"/>
  <c r="X152" i="20"/>
  <c r="N150" i="25" s="1"/>
  <c r="X153" i="20"/>
  <c r="N151" i="25" s="1"/>
  <c r="X154" i="20"/>
  <c r="N152" i="25" s="1"/>
  <c r="X155" i="20"/>
  <c r="N153" i="25" s="1"/>
  <c r="X156" i="20"/>
  <c r="N154" i="25" s="1"/>
  <c r="X157" i="20"/>
  <c r="N155" i="25" s="1"/>
  <c r="X158" i="20"/>
  <c r="N156" i="25" s="1"/>
  <c r="X159" i="20"/>
  <c r="N157" i="25" s="1"/>
  <c r="X160" i="20"/>
  <c r="N158" i="25" s="1"/>
  <c r="X161" i="20"/>
  <c r="N159" i="25" s="1"/>
  <c r="X162" i="20"/>
  <c r="N160" i="25" s="1"/>
  <c r="X163" i="20"/>
  <c r="N161" i="25" s="1"/>
  <c r="X164" i="20"/>
  <c r="N162" i="25" s="1"/>
  <c r="X165" i="20"/>
  <c r="N163" i="25" s="1"/>
  <c r="X166" i="20"/>
  <c r="N164" i="25" s="1"/>
  <c r="X167" i="20"/>
  <c r="N165" i="25" s="1"/>
  <c r="X168" i="20"/>
  <c r="N166" i="25" s="1"/>
  <c r="X169" i="20"/>
  <c r="N167" i="25" s="1"/>
  <c r="X170" i="20"/>
  <c r="N168" i="25" s="1"/>
  <c r="X171" i="20"/>
  <c r="N169" i="25" s="1"/>
  <c r="X172" i="20"/>
  <c r="N170" i="25" s="1"/>
  <c r="X173" i="20"/>
  <c r="N171" i="25" s="1"/>
  <c r="X174" i="20"/>
  <c r="N172" i="25" s="1"/>
  <c r="X175" i="20"/>
  <c r="N173" i="25" s="1"/>
  <c r="X176" i="20"/>
  <c r="N174" i="25" s="1"/>
  <c r="X177" i="20"/>
  <c r="N175" i="25" s="1"/>
  <c r="X178" i="20"/>
  <c r="N176" i="25" s="1"/>
  <c r="X179" i="20"/>
  <c r="N177" i="25" s="1"/>
  <c r="X180" i="20"/>
  <c r="N178" i="25" s="1"/>
  <c r="X181" i="20"/>
  <c r="N179" i="25" s="1"/>
  <c r="X182" i="20"/>
  <c r="N180" i="25" s="1"/>
  <c r="X183" i="20"/>
  <c r="N181" i="25" s="1"/>
  <c r="X184" i="20"/>
  <c r="N182" i="25" s="1"/>
  <c r="X185" i="20"/>
  <c r="N183" i="25" s="1"/>
  <c r="X186" i="20"/>
  <c r="N184" i="25" s="1"/>
  <c r="X187" i="20"/>
  <c r="N185" i="25" s="1"/>
  <c r="X188" i="20"/>
  <c r="N186" i="25" s="1"/>
  <c r="X189" i="20"/>
  <c r="N187" i="25" s="1"/>
  <c r="X190" i="20"/>
  <c r="N188" i="25" s="1"/>
  <c r="X191" i="20"/>
  <c r="N189" i="25" s="1"/>
  <c r="X192" i="20"/>
  <c r="N190" i="25" s="1"/>
  <c r="X193" i="20"/>
  <c r="N191" i="25" s="1"/>
  <c r="X194" i="20"/>
  <c r="N192" i="25" s="1"/>
  <c r="X195" i="20"/>
  <c r="N193" i="25" s="1"/>
  <c r="X196" i="20"/>
  <c r="N194" i="25" s="1"/>
  <c r="X197" i="20"/>
  <c r="X202" i="20"/>
  <c r="X207" i="20"/>
  <c r="X219" i="20"/>
  <c r="X225" i="20"/>
  <c r="X232" i="20"/>
  <c r="X234" i="20"/>
  <c r="X237" i="20"/>
  <c r="N241" i="25"/>
  <c r="N242" i="25"/>
  <c r="N243" i="25"/>
  <c r="N244" i="25"/>
  <c r="N245" i="25"/>
  <c r="N246" i="25"/>
  <c r="N247" i="25"/>
  <c r="W208" i="20"/>
  <c r="W214" i="20" s="1"/>
  <c r="BG144" i="20"/>
  <c r="BG145" i="20" s="1"/>
  <c r="G176" i="16"/>
  <c r="G175" i="16"/>
  <c r="G174" i="16"/>
  <c r="G173" i="16"/>
  <c r="G172" i="16"/>
  <c r="G171" i="16"/>
  <c r="G170" i="16"/>
  <c r="G169" i="16"/>
  <c r="G168" i="16"/>
  <c r="G167" i="16"/>
  <c r="G164" i="16"/>
  <c r="G163" i="16"/>
  <c r="G162" i="16"/>
  <c r="G161" i="16"/>
  <c r="G160" i="16"/>
  <c r="G159" i="16"/>
  <c r="G158" i="16"/>
  <c r="G157" i="16"/>
  <c r="G156" i="16"/>
  <c r="G155" i="16"/>
  <c r="G708" i="17"/>
  <c r="G707" i="17"/>
  <c r="G706" i="17"/>
  <c r="G705" i="17"/>
  <c r="G704" i="17"/>
  <c r="G701" i="17"/>
  <c r="G697" i="17"/>
  <c r="G696" i="17"/>
  <c r="G693" i="17"/>
  <c r="G692" i="17"/>
  <c r="G691" i="17"/>
  <c r="G690" i="17"/>
  <c r="G2285" i="11"/>
  <c r="G2284" i="11"/>
  <c r="G2283" i="11"/>
  <c r="G2282" i="11"/>
  <c r="G2281" i="11"/>
  <c r="G2280" i="11"/>
  <c r="G2279" i="11"/>
  <c r="G2278" i="11"/>
  <c r="G2277" i="11"/>
  <c r="G2276" i="11"/>
  <c r="G2275" i="11"/>
  <c r="G2274" i="11"/>
  <c r="G2273" i="11"/>
  <c r="G2272" i="11"/>
  <c r="G2271" i="11"/>
  <c r="G2270" i="11"/>
  <c r="G2269" i="11"/>
  <c r="G2268" i="11"/>
  <c r="G2267" i="11"/>
  <c r="G2266" i="11"/>
  <c r="G2265" i="11"/>
  <c r="G2264" i="11"/>
  <c r="G2263" i="11"/>
  <c r="G2262" i="11"/>
  <c r="G2261" i="11"/>
  <c r="G2260" i="11"/>
  <c r="G2259" i="11"/>
  <c r="G2258" i="11"/>
  <c r="G2257" i="11"/>
  <c r="G2256" i="11"/>
  <c r="G2255" i="11"/>
  <c r="G2254" i="11"/>
  <c r="G2253" i="11"/>
  <c r="G2252" i="11"/>
  <c r="G2251" i="11"/>
  <c r="G2250" i="11"/>
  <c r="G2249" i="11"/>
  <c r="G2248" i="11"/>
  <c r="G2247" i="11"/>
  <c r="G2246" i="11"/>
  <c r="G2245" i="11"/>
  <c r="G2244" i="11"/>
  <c r="G2243" i="11"/>
  <c r="G2242" i="11"/>
  <c r="G2241" i="11"/>
  <c r="G2240" i="11"/>
  <c r="G2239" i="11"/>
  <c r="G2238" i="11"/>
  <c r="G2237" i="11"/>
  <c r="G2236" i="11"/>
  <c r="G2235" i="11"/>
  <c r="G2234" i="11"/>
  <c r="G2233" i="11"/>
  <c r="G2232" i="11"/>
  <c r="G2231" i="11"/>
  <c r="G2230" i="11"/>
  <c r="G2229" i="11"/>
  <c r="G2228" i="11"/>
  <c r="G2227" i="11"/>
  <c r="G2226" i="11"/>
  <c r="G2225" i="11"/>
  <c r="G2224" i="11"/>
  <c r="G2223" i="11"/>
  <c r="G1709" i="11"/>
  <c r="G1708" i="11"/>
  <c r="G1707" i="11"/>
  <c r="G1706" i="11"/>
  <c r="G1705" i="11"/>
  <c r="G1704" i="11"/>
  <c r="G1703" i="11"/>
  <c r="G1702" i="11"/>
  <c r="G1701" i="11"/>
  <c r="G1700" i="11"/>
  <c r="G1699" i="11"/>
  <c r="G1698" i="11"/>
  <c r="G1697" i="11"/>
  <c r="G1696" i="11"/>
  <c r="G1695" i="11"/>
  <c r="G1694" i="11"/>
  <c r="G1693" i="11"/>
  <c r="G1692" i="11"/>
  <c r="G1691" i="11"/>
  <c r="G1690" i="11"/>
  <c r="G1689" i="11"/>
  <c r="G1688" i="11"/>
  <c r="G1687" i="11"/>
  <c r="G1686" i="11"/>
  <c r="G1685" i="11"/>
  <c r="G1684" i="11"/>
  <c r="G1683" i="11"/>
  <c r="G1682" i="11"/>
  <c r="G1681" i="11"/>
  <c r="G1680" i="11"/>
  <c r="G1679" i="11"/>
  <c r="G1678" i="11"/>
  <c r="G1677" i="11"/>
  <c r="G1676" i="11"/>
  <c r="G1675" i="11"/>
  <c r="G1674" i="11"/>
  <c r="G1673" i="11"/>
  <c r="G1672" i="11"/>
  <c r="G1671" i="11"/>
  <c r="G1670" i="11"/>
  <c r="G1669" i="11"/>
  <c r="G1668" i="11"/>
  <c r="G1667" i="11"/>
  <c r="G1666" i="11"/>
  <c r="G1665" i="11"/>
  <c r="G1664" i="11"/>
  <c r="G1663" i="11"/>
  <c r="G1662" i="11"/>
  <c r="G1661" i="11"/>
  <c r="G1660" i="11"/>
  <c r="G1659" i="11"/>
  <c r="G1658" i="11"/>
  <c r="G1657" i="11"/>
  <c r="G1656" i="11"/>
  <c r="G1655" i="11"/>
  <c r="G1654" i="11"/>
  <c r="G1653" i="11"/>
  <c r="BX215" i="20"/>
  <c r="BW215" i="20"/>
  <c r="BV215" i="20"/>
  <c r="BX214" i="20"/>
  <c r="BW214" i="20"/>
  <c r="BV214" i="20"/>
  <c r="BY240" i="25"/>
  <c r="BX240" i="25"/>
  <c r="BW240" i="25"/>
  <c r="BV240" i="25"/>
  <c r="BU240" i="25"/>
  <c r="BS240" i="25"/>
  <c r="BR240" i="25"/>
  <c r="BQ240" i="25"/>
  <c r="BP240" i="25"/>
  <c r="BO240" i="25"/>
  <c r="BN240" i="25"/>
  <c r="BL240" i="25"/>
  <c r="BY239" i="25"/>
  <c r="BX239" i="25"/>
  <c r="BW239" i="25"/>
  <c r="BV239" i="25"/>
  <c r="BU239" i="25"/>
  <c r="BS239" i="25"/>
  <c r="BR239" i="25"/>
  <c r="BQ239" i="25"/>
  <c r="BP239" i="25"/>
  <c r="BO239" i="25"/>
  <c r="BN239" i="25"/>
  <c r="BL239" i="25"/>
  <c r="BY238" i="25"/>
  <c r="BX238" i="25"/>
  <c r="BW238" i="25"/>
  <c r="BV238" i="25"/>
  <c r="BU238" i="25"/>
  <c r="BS238" i="25"/>
  <c r="BR238" i="25"/>
  <c r="BQ238" i="25"/>
  <c r="BP238" i="25"/>
  <c r="BO238" i="25"/>
  <c r="BN238" i="25"/>
  <c r="BL238" i="25"/>
  <c r="BM240" i="25"/>
  <c r="BM238" i="25"/>
  <c r="BM239" i="25"/>
  <c r="BP237" i="25"/>
  <c r="BN237" i="25"/>
  <c r="CD270" i="20"/>
  <c r="CB270" i="20"/>
  <c r="CC270" i="20"/>
  <c r="AA196" i="20"/>
  <c r="AA195" i="20"/>
  <c r="BX194" i="20"/>
  <c r="BW194" i="20"/>
  <c r="BV194" i="20"/>
  <c r="BE194" i="20"/>
  <c r="AA194" i="20"/>
  <c r="AB194" i="20" s="1"/>
  <c r="R192" i="25" s="1"/>
  <c r="BX193" i="20"/>
  <c r="BW193" i="20"/>
  <c r="BV193" i="20"/>
  <c r="AA193" i="20"/>
  <c r="AB193" i="20" s="1"/>
  <c r="R191" i="25" s="1"/>
  <c r="G598" i="12"/>
  <c r="AA192" i="20"/>
  <c r="Q190" i="25" s="1"/>
  <c r="AA191" i="20"/>
  <c r="Q189" i="25" s="1"/>
  <c r="BX190" i="20"/>
  <c r="BW190" i="20"/>
  <c r="BV190" i="20"/>
  <c r="BE190" i="20"/>
  <c r="AA190" i="20"/>
  <c r="AB190" i="20" s="1"/>
  <c r="R188" i="25" s="1"/>
  <c r="BX189" i="20"/>
  <c r="BW189" i="20"/>
  <c r="BV189" i="20"/>
  <c r="AA189" i="20"/>
  <c r="AB189" i="20" s="1"/>
  <c r="N19" i="22"/>
  <c r="N14" i="22"/>
  <c r="M18" i="22"/>
  <c r="N18" i="22" s="1"/>
  <c r="M17" i="22"/>
  <c r="N17" i="22" s="1"/>
  <c r="N21" i="22" s="1"/>
  <c r="G17" i="22" s="1"/>
  <c r="G4" i="22" s="1"/>
  <c r="M16" i="22"/>
  <c r="N16" i="22"/>
  <c r="M15" i="22"/>
  <c r="N15" i="22"/>
  <c r="L20" i="22"/>
  <c r="N20" i="22"/>
  <c r="H17" i="22"/>
  <c r="AF11" i="20"/>
  <c r="AF17" i="20"/>
  <c r="V15" i="25" s="1"/>
  <c r="AF30" i="20"/>
  <c r="V28" i="25" s="1"/>
  <c r="AF39" i="20"/>
  <c r="V37" i="25" s="1"/>
  <c r="E4" i="22"/>
  <c r="E23" i="22" s="1"/>
  <c r="F4" i="22"/>
  <c r="F23" i="22" s="1"/>
  <c r="G3281" i="11"/>
  <c r="G17" i="17"/>
  <c r="G16" i="17"/>
  <c r="G15" i="17"/>
  <c r="G7368" i="12"/>
  <c r="G7367" i="12"/>
  <c r="G7366" i="12"/>
  <c r="G7365" i="12"/>
  <c r="G7364" i="12"/>
  <c r="G7363" i="12"/>
  <c r="G7362" i="12"/>
  <c r="EJ63" i="20"/>
  <c r="EJ51" i="20"/>
  <c r="EJ30" i="20"/>
  <c r="EJ23" i="20" s="1"/>
  <c r="BU21" i="25" s="1"/>
  <c r="CZ39" i="20"/>
  <c r="BD37" i="25" s="1"/>
  <c r="CZ30" i="20"/>
  <c r="CZ17" i="20"/>
  <c r="BD15" i="25" s="1"/>
  <c r="CZ11" i="20"/>
  <c r="BD9" i="25" s="1"/>
  <c r="BX213" i="20"/>
  <c r="BW213" i="20"/>
  <c r="BV213" i="20"/>
  <c r="BX212" i="20"/>
  <c r="BW212" i="20"/>
  <c r="BV212" i="20"/>
  <c r="BX211" i="20"/>
  <c r="BW211" i="20"/>
  <c r="BV211" i="20"/>
  <c r="BX209" i="20"/>
  <c r="BW209" i="20"/>
  <c r="BV209" i="20"/>
  <c r="BX186" i="20"/>
  <c r="BW186" i="20"/>
  <c r="BV186" i="20"/>
  <c r="BX185" i="20"/>
  <c r="BW185" i="20"/>
  <c r="BV185" i="20"/>
  <c r="BX182" i="20"/>
  <c r="BW182" i="20"/>
  <c r="BV182" i="20"/>
  <c r="BX181" i="20"/>
  <c r="BW181" i="20"/>
  <c r="BV181" i="20"/>
  <c r="BX178" i="20"/>
  <c r="BW178" i="20"/>
  <c r="BV178" i="20"/>
  <c r="BX177" i="20"/>
  <c r="BW177" i="20"/>
  <c r="BV177" i="20"/>
  <c r="BX174" i="20"/>
  <c r="BW174" i="20"/>
  <c r="BV174" i="20"/>
  <c r="BX173" i="20"/>
  <c r="BW173" i="20"/>
  <c r="BV173" i="20"/>
  <c r="BX170" i="20"/>
  <c r="BW170" i="20"/>
  <c r="BV170" i="20"/>
  <c r="BX169" i="20"/>
  <c r="BW169" i="20"/>
  <c r="BV169" i="20"/>
  <c r="BX166" i="20"/>
  <c r="BW166" i="20"/>
  <c r="BV166" i="20"/>
  <c r="BX165" i="20"/>
  <c r="BW165" i="20"/>
  <c r="BV165" i="20"/>
  <c r="BX162" i="20"/>
  <c r="BW162" i="20"/>
  <c r="BV162" i="20"/>
  <c r="BX161" i="20"/>
  <c r="BW161" i="20"/>
  <c r="BV161" i="20"/>
  <c r="BX158" i="20"/>
  <c r="BW158" i="20"/>
  <c r="BV158" i="20"/>
  <c r="BX157" i="20"/>
  <c r="BW157" i="20"/>
  <c r="BV157" i="20"/>
  <c r="BX154" i="20"/>
  <c r="BW154" i="20"/>
  <c r="BV154" i="20"/>
  <c r="BX153" i="20"/>
  <c r="BW153" i="20"/>
  <c r="BV153" i="20"/>
  <c r="BX150" i="20"/>
  <c r="BW150" i="20"/>
  <c r="BV150" i="20"/>
  <c r="BX149" i="20"/>
  <c r="BW149" i="20"/>
  <c r="BV149" i="20"/>
  <c r="BQ149" i="20"/>
  <c r="AN147" i="25" s="1"/>
  <c r="BX148" i="20"/>
  <c r="BW148" i="20"/>
  <c r="BV148" i="20"/>
  <c r="BQ148" i="20"/>
  <c r="AN146" i="25" s="1"/>
  <c r="BX147" i="20"/>
  <c r="BW147" i="20"/>
  <c r="BV147" i="20"/>
  <c r="BQ147" i="20"/>
  <c r="AN145" i="25" s="1"/>
  <c r="BX146" i="20"/>
  <c r="BW146" i="20"/>
  <c r="BV146" i="20"/>
  <c r="BQ146" i="20"/>
  <c r="BP39" i="20"/>
  <c r="AM37" i="25" s="1"/>
  <c r="BP30" i="20"/>
  <c r="AM28" i="25" s="1"/>
  <c r="BP17" i="20"/>
  <c r="AM15" i="25" s="1"/>
  <c r="BP11" i="20"/>
  <c r="AM9" i="25" s="1"/>
  <c r="AX236" i="20"/>
  <c r="AX235" i="20"/>
  <c r="AX143" i="20"/>
  <c r="AX47" i="20"/>
  <c r="AX46" i="20"/>
  <c r="AX45" i="20"/>
  <c r="AX44" i="20"/>
  <c r="AX43" i="20"/>
  <c r="AX42" i="20"/>
  <c r="AX41" i="20"/>
  <c r="AX40" i="20"/>
  <c r="AX39" i="20"/>
  <c r="AX38" i="20"/>
  <c r="AX37" i="20"/>
  <c r="AX36" i="20"/>
  <c r="AX35" i="20"/>
  <c r="AX34" i="20"/>
  <c r="AX33" i="20"/>
  <c r="AX32" i="20"/>
  <c r="AX31" i="20"/>
  <c r="AX30" i="20"/>
  <c r="AX29" i="20"/>
  <c r="AX28" i="20"/>
  <c r="AX27" i="20"/>
  <c r="AX26" i="20"/>
  <c r="AX25" i="20"/>
  <c r="AX24" i="20"/>
  <c r="AX23" i="20"/>
  <c r="AX22" i="20"/>
  <c r="AX21" i="20"/>
  <c r="AX20" i="20"/>
  <c r="AX19" i="20"/>
  <c r="AX18" i="20"/>
  <c r="AX17" i="20"/>
  <c r="AX15" i="20"/>
  <c r="AX14" i="20"/>
  <c r="AX13" i="20"/>
  <c r="AX12" i="20"/>
  <c r="AX11" i="20"/>
  <c r="G596" i="12"/>
  <c r="G595" i="12"/>
  <c r="G587" i="12"/>
  <c r="G586" i="12"/>
  <c r="BC51" i="20"/>
  <c r="DY121" i="20"/>
  <c r="ES123" i="20"/>
  <c r="ES124" i="20"/>
  <c r="ES125" i="20"/>
  <c r="ES126" i="20"/>
  <c r="ES127" i="20"/>
  <c r="ES128" i="20"/>
  <c r="ES129" i="20"/>
  <c r="ES130" i="20"/>
  <c r="ES122" i="20"/>
  <c r="EP121" i="20"/>
  <c r="EQ121" i="20"/>
  <c r="ER121" i="20"/>
  <c r="DY51" i="20"/>
  <c r="DY132" i="20"/>
  <c r="EA132" i="20" s="1"/>
  <c r="DY63" i="20"/>
  <c r="DY86" i="20"/>
  <c r="DZ121" i="20"/>
  <c r="EE97" i="20"/>
  <c r="EF97" i="20" s="1"/>
  <c r="AR11" i="20"/>
  <c r="AR12" i="20"/>
  <c r="AR13" i="20"/>
  <c r="AR14" i="20"/>
  <c r="AR15" i="20"/>
  <c r="AR16" i="20"/>
  <c r="AR17" i="20"/>
  <c r="AR18" i="20"/>
  <c r="AR19" i="20"/>
  <c r="AR20" i="20"/>
  <c r="AR21" i="20"/>
  <c r="AR22" i="20"/>
  <c r="AR23" i="20"/>
  <c r="AR24" i="20"/>
  <c r="AR25" i="20"/>
  <c r="AR26" i="20"/>
  <c r="AR27" i="20"/>
  <c r="AR28" i="20"/>
  <c r="AR29" i="20"/>
  <c r="AR30" i="20"/>
  <c r="AR31" i="20"/>
  <c r="AR32" i="20"/>
  <c r="AR33" i="20"/>
  <c r="AR34" i="20"/>
  <c r="AR35" i="20"/>
  <c r="AR36" i="20"/>
  <c r="AR37" i="20"/>
  <c r="AR38" i="20"/>
  <c r="AR39" i="20"/>
  <c r="AR40" i="20"/>
  <c r="AR41" i="20"/>
  <c r="AR42" i="20"/>
  <c r="AR43" i="20"/>
  <c r="AR44" i="20"/>
  <c r="AR45" i="20"/>
  <c r="AR46" i="20"/>
  <c r="AR47" i="20"/>
  <c r="AR120" i="20"/>
  <c r="AR235" i="20"/>
  <c r="AR236" i="20"/>
  <c r="ES226" i="20"/>
  <c r="ES220" i="20"/>
  <c r="ES203" i="20"/>
  <c r="ES198" i="20"/>
  <c r="ES144" i="20"/>
  <c r="ES132" i="20"/>
  <c r="ES86" i="20"/>
  <c r="ES75" i="20"/>
  <c r="ES121" i="20" s="1"/>
  <c r="ES63" i="20"/>
  <c r="ES51" i="20"/>
  <c r="DI226" i="20"/>
  <c r="DI220" i="20"/>
  <c r="DI203" i="20"/>
  <c r="DI198" i="20"/>
  <c r="DI144" i="20"/>
  <c r="DI132" i="20"/>
  <c r="DI121" i="20"/>
  <c r="DI86" i="20"/>
  <c r="DI75" i="20"/>
  <c r="DI63" i="20"/>
  <c r="DI51" i="20"/>
  <c r="BY226" i="20"/>
  <c r="BY220" i="20"/>
  <c r="BY203" i="20"/>
  <c r="BY198" i="20"/>
  <c r="BY144" i="20"/>
  <c r="BY132" i="20"/>
  <c r="BY121" i="20"/>
  <c r="BY86" i="20"/>
  <c r="BY75" i="20"/>
  <c r="AO226" i="20"/>
  <c r="AO220" i="20"/>
  <c r="AO208" i="20"/>
  <c r="AO203" i="20"/>
  <c r="AO198" i="20"/>
  <c r="AO144" i="20"/>
  <c r="AO132" i="20"/>
  <c r="AO121" i="20"/>
  <c r="AO86" i="20"/>
  <c r="AO75" i="20"/>
  <c r="AO63" i="20"/>
  <c r="AO51" i="20"/>
  <c r="BY63" i="20"/>
  <c r="BY51" i="20"/>
  <c r="AA232" i="20"/>
  <c r="AB232" i="20" s="1"/>
  <c r="AC232" i="20" s="1"/>
  <c r="AD232" i="20" s="1"/>
  <c r="G3095" i="11"/>
  <c r="G3094" i="11"/>
  <c r="G3093" i="11"/>
  <c r="G135" i="17"/>
  <c r="G126" i="17"/>
  <c r="G125" i="17"/>
  <c r="G124" i="17"/>
  <c r="G123" i="17"/>
  <c r="G122" i="17"/>
  <c r="G3267" i="11"/>
  <c r="G3266" i="11"/>
  <c r="G3265" i="11"/>
  <c r="G3264" i="11"/>
  <c r="G3263" i="11"/>
  <c r="G3262" i="11"/>
  <c r="G3261" i="11"/>
  <c r="G3250" i="11"/>
  <c r="G3245" i="11"/>
  <c r="G3244" i="11"/>
  <c r="G3213" i="11"/>
  <c r="G411" i="11"/>
  <c r="G410" i="11"/>
  <c r="G404" i="11"/>
  <c r="G403" i="11"/>
  <c r="G402" i="11"/>
  <c r="G400" i="11"/>
  <c r="G399" i="11"/>
  <c r="G398" i="11"/>
  <c r="G397" i="11"/>
  <c r="G396" i="11"/>
  <c r="G395" i="11"/>
  <c r="G394" i="11"/>
  <c r="G393" i="11"/>
  <c r="G392" i="11"/>
  <c r="G391" i="11"/>
  <c r="G390" i="11"/>
  <c r="G389" i="11"/>
  <c r="G388" i="11"/>
  <c r="G387" i="11"/>
  <c r="G386" i="11"/>
  <c r="G385" i="11"/>
  <c r="G384" i="11"/>
  <c r="G383" i="11"/>
  <c r="G382" i="11"/>
  <c r="G381" i="11"/>
  <c r="G380" i="11"/>
  <c r="G379" i="11"/>
  <c r="G378" i="11"/>
  <c r="G377" i="11"/>
  <c r="G294" i="11"/>
  <c r="G293" i="11"/>
  <c r="G53" i="17"/>
  <c r="G52" i="17"/>
  <c r="G51" i="17"/>
  <c r="G50" i="17"/>
  <c r="G49" i="17"/>
  <c r="G48" i="17"/>
  <c r="G47" i="17"/>
  <c r="G46" i="17"/>
  <c r="G29" i="17"/>
  <c r="G28" i="17"/>
  <c r="G27" i="17"/>
  <c r="G13" i="17"/>
  <c r="G12" i="17"/>
  <c r="G11" i="17"/>
  <c r="G10" i="17"/>
  <c r="G212" i="11"/>
  <c r="G61" i="17"/>
  <c r="G60" i="17"/>
  <c r="G57" i="17"/>
  <c r="G56" i="17"/>
  <c r="G45" i="17"/>
  <c r="G44" i="17"/>
  <c r="G3109" i="11"/>
  <c r="G3108" i="11"/>
  <c r="G3134" i="11"/>
  <c r="G3133" i="11"/>
  <c r="G3132" i="11"/>
  <c r="G152" i="16"/>
  <c r="G151" i="16"/>
  <c r="G150" i="16"/>
  <c r="G149" i="16"/>
  <c r="G148" i="16"/>
  <c r="G147" i="16"/>
  <c r="G146" i="16"/>
  <c r="G145" i="16"/>
  <c r="G144" i="16"/>
  <c r="G143" i="16"/>
  <c r="G140" i="16"/>
  <c r="G139" i="16"/>
  <c r="G138" i="16"/>
  <c r="G137" i="16"/>
  <c r="G136" i="16"/>
  <c r="G135" i="16"/>
  <c r="G134" i="16"/>
  <c r="G133" i="16"/>
  <c r="G130" i="16"/>
  <c r="G129" i="16"/>
  <c r="G128" i="16"/>
  <c r="G127" i="16"/>
  <c r="G126" i="16"/>
  <c r="G125" i="16"/>
  <c r="G124" i="16"/>
  <c r="G123" i="16"/>
  <c r="G120" i="16"/>
  <c r="G119" i="16"/>
  <c r="G118" i="16"/>
  <c r="G117" i="16"/>
  <c r="G116" i="16"/>
  <c r="G115" i="16"/>
  <c r="G114" i="16"/>
  <c r="G113" i="16"/>
  <c r="G110" i="16"/>
  <c r="G109" i="16"/>
  <c r="G108" i="16"/>
  <c r="G107" i="16"/>
  <c r="G106" i="16"/>
  <c r="G105" i="16"/>
  <c r="G104" i="16"/>
  <c r="G103" i="16"/>
  <c r="G102" i="16"/>
  <c r="G101" i="16"/>
  <c r="H160" i="23"/>
  <c r="H159" i="23"/>
  <c r="H158" i="23"/>
  <c r="H157" i="23"/>
  <c r="H156" i="23"/>
  <c r="H155" i="23"/>
  <c r="H154" i="23"/>
  <c r="H151" i="23"/>
  <c r="H150" i="23"/>
  <c r="H149" i="23"/>
  <c r="H148" i="23"/>
  <c r="H147" i="23"/>
  <c r="H146" i="23"/>
  <c r="H145" i="23"/>
  <c r="H144" i="23"/>
  <c r="H143" i="23"/>
  <c r="H142" i="23"/>
  <c r="H141" i="23"/>
  <c r="H140" i="23"/>
  <c r="H139" i="23"/>
  <c r="H136" i="23"/>
  <c r="H135" i="23"/>
  <c r="H134" i="23"/>
  <c r="H133" i="23"/>
  <c r="H132" i="23"/>
  <c r="H131" i="23"/>
  <c r="H130" i="23"/>
  <c r="H129" i="23"/>
  <c r="H126" i="23"/>
  <c r="H125" i="23"/>
  <c r="H124" i="23"/>
  <c r="H123" i="23"/>
  <c r="H122" i="23"/>
  <c r="H121" i="23"/>
  <c r="H120" i="23"/>
  <c r="H117" i="23"/>
  <c r="H116" i="23"/>
  <c r="H115" i="23"/>
  <c r="H114" i="23"/>
  <c r="H113" i="23"/>
  <c r="H112" i="23"/>
  <c r="H111" i="23"/>
  <c r="H110" i="23"/>
  <c r="H107" i="23"/>
  <c r="H106" i="23"/>
  <c r="H105" i="23"/>
  <c r="H104" i="23"/>
  <c r="H103" i="23"/>
  <c r="H102" i="23"/>
  <c r="H101" i="23"/>
  <c r="H100" i="23"/>
  <c r="H97" i="23"/>
  <c r="H96" i="23"/>
  <c r="H95" i="23"/>
  <c r="H94" i="23"/>
  <c r="H93" i="23"/>
  <c r="H92" i="23"/>
  <c r="H91" i="23"/>
  <c r="H90" i="23"/>
  <c r="H89" i="23"/>
  <c r="H88" i="23"/>
  <c r="H84" i="23"/>
  <c r="H83" i="23"/>
  <c r="H82" i="23"/>
  <c r="H81" i="23"/>
  <c r="H80" i="23"/>
  <c r="H79" i="23"/>
  <c r="H78" i="23"/>
  <c r="H77" i="23"/>
  <c r="H76" i="23"/>
  <c r="H74" i="23"/>
  <c r="H73" i="23"/>
  <c r="H72" i="23"/>
  <c r="H71" i="23"/>
  <c r="H70" i="23"/>
  <c r="H69" i="23"/>
  <c r="H68" i="23"/>
  <c r="H67" i="23"/>
  <c r="H66" i="23"/>
  <c r="H63" i="23"/>
  <c r="H61" i="23"/>
  <c r="H58" i="23"/>
  <c r="H55" i="23"/>
  <c r="H54" i="23"/>
  <c r="H53" i="23"/>
  <c r="H52" i="23"/>
  <c r="H51" i="23"/>
  <c r="H50" i="23"/>
  <c r="H49" i="23"/>
  <c r="H48" i="23"/>
  <c r="H47" i="23"/>
  <c r="H46" i="23"/>
  <c r="H45" i="23"/>
  <c r="H42" i="23"/>
  <c r="H39" i="23"/>
  <c r="H38" i="23"/>
  <c r="H37" i="23"/>
  <c r="H36" i="23"/>
  <c r="H35" i="23"/>
  <c r="H34" i="23"/>
  <c r="H33" i="23"/>
  <c r="H32" i="23"/>
  <c r="H31" i="23"/>
  <c r="H30" i="23"/>
  <c r="H29" i="23"/>
  <c r="H26" i="23"/>
  <c r="H23" i="23"/>
  <c r="H22" i="23"/>
  <c r="H21" i="23"/>
  <c r="H20" i="23"/>
  <c r="H19" i="23"/>
  <c r="H18" i="23"/>
  <c r="H17" i="23"/>
  <c r="H16" i="23"/>
  <c r="H15" i="23"/>
  <c r="H14" i="23"/>
  <c r="H13" i="23"/>
  <c r="H10" i="23"/>
  <c r="H7" i="23"/>
  <c r="G971" i="17"/>
  <c r="G684" i="17"/>
  <c r="G683" i="17"/>
  <c r="G682" i="17"/>
  <c r="G681" i="17"/>
  <c r="G680" i="17"/>
  <c r="G679" i="17"/>
  <c r="G678" i="17"/>
  <c r="G677" i="17"/>
  <c r="G676" i="17"/>
  <c r="G675" i="17"/>
  <c r="G674" i="17"/>
  <c r="G673" i="17"/>
  <c r="G672" i="17"/>
  <c r="G671" i="17"/>
  <c r="G670" i="17"/>
  <c r="G669" i="17"/>
  <c r="G668" i="17"/>
  <c r="G667" i="17"/>
  <c r="G666" i="17"/>
  <c r="G665" i="17"/>
  <c r="G664" i="17"/>
  <c r="G663" i="17"/>
  <c r="G662" i="17"/>
  <c r="G661" i="17"/>
  <c r="G660" i="17"/>
  <c r="G659" i="17"/>
  <c r="G658" i="17"/>
  <c r="G657" i="17"/>
  <c r="G654" i="17"/>
  <c r="G653" i="17"/>
  <c r="G652" i="17"/>
  <c r="G651" i="17"/>
  <c r="G650" i="17"/>
  <c r="G649" i="17"/>
  <c r="G646" i="17"/>
  <c r="G645" i="17"/>
  <c r="G644" i="17"/>
  <c r="G643" i="17"/>
  <c r="G642" i="17"/>
  <c r="G639" i="17"/>
  <c r="G638" i="17"/>
  <c r="G637" i="17"/>
  <c r="G636" i="17"/>
  <c r="G635" i="17"/>
  <c r="G634" i="17"/>
  <c r="G633" i="17"/>
  <c r="G632" i="17"/>
  <c r="G631" i="17"/>
  <c r="G630" i="17"/>
  <c r="G624" i="17"/>
  <c r="G623" i="17"/>
  <c r="G622" i="17"/>
  <c r="G621" i="17"/>
  <c r="G620" i="17"/>
  <c r="G619" i="17"/>
  <c r="G618" i="17"/>
  <c r="G617" i="17"/>
  <c r="G616" i="17"/>
  <c r="G615" i="17"/>
  <c r="G614" i="17"/>
  <c r="G611" i="17"/>
  <c r="G610" i="17"/>
  <c r="G607" i="17"/>
  <c r="G604" i="17"/>
  <c r="G603" i="17"/>
  <c r="G602" i="17"/>
  <c r="G601" i="17"/>
  <c r="G600" i="17"/>
  <c r="G599" i="17"/>
  <c r="G598" i="17"/>
  <c r="G597" i="17"/>
  <c r="G596" i="17"/>
  <c r="G590" i="17"/>
  <c r="G589" i="17"/>
  <c r="G586" i="17"/>
  <c r="G585" i="17"/>
  <c r="G584" i="17"/>
  <c r="G583" i="17"/>
  <c r="G582" i="17"/>
  <c r="G581" i="17"/>
  <c r="G580" i="17"/>
  <c r="G579" i="17"/>
  <c r="G578" i="17"/>
  <c r="G572" i="17"/>
  <c r="G571" i="17"/>
  <c r="G570" i="17"/>
  <c r="G567" i="17"/>
  <c r="G566" i="17"/>
  <c r="G565" i="17"/>
  <c r="G564" i="17"/>
  <c r="G563" i="17"/>
  <c r="G562" i="17"/>
  <c r="G561" i="17"/>
  <c r="G560" i="17"/>
  <c r="G559" i="17"/>
  <c r="G553" i="17"/>
  <c r="G552" i="17"/>
  <c r="G551" i="17"/>
  <c r="G550" i="17"/>
  <c r="G549" i="17"/>
  <c r="G548" i="17"/>
  <c r="G547" i="17"/>
  <c r="G546" i="17"/>
  <c r="G545" i="17"/>
  <c r="G544" i="17"/>
  <c r="G543" i="17"/>
  <c r="G542" i="17"/>
  <c r="G541" i="17"/>
  <c r="G540" i="17"/>
  <c r="G537" i="17"/>
  <c r="G536" i="17"/>
  <c r="G535" i="17"/>
  <c r="G534" i="17"/>
  <c r="G533" i="17"/>
  <c r="G530" i="17"/>
  <c r="G529" i="17"/>
  <c r="G528" i="17"/>
  <c r="G527" i="17"/>
  <c r="G526" i="17"/>
  <c r="G525" i="17"/>
  <c r="G524" i="17"/>
  <c r="G523" i="17"/>
  <c r="G522" i="17"/>
  <c r="G517" i="17"/>
  <c r="G516" i="17"/>
  <c r="G515" i="17"/>
  <c r="G512" i="17"/>
  <c r="G509" i="17"/>
  <c r="G508" i="17"/>
  <c r="G507" i="17"/>
  <c r="G506" i="17"/>
  <c r="G505" i="17"/>
  <c r="G504" i="17"/>
  <c r="G503" i="17"/>
  <c r="G502" i="17"/>
  <c r="G501" i="17"/>
  <c r="G500" i="17"/>
  <c r="G499" i="17"/>
  <c r="G498" i="17"/>
  <c r="G497" i="17"/>
  <c r="G496" i="17"/>
  <c r="G493" i="17"/>
  <c r="G492" i="17"/>
  <c r="G491" i="17"/>
  <c r="G490" i="17"/>
  <c r="G487" i="17"/>
  <c r="G486" i="17"/>
  <c r="G485" i="17"/>
  <c r="G484" i="17"/>
  <c r="G483" i="17"/>
  <c r="G482" i="17"/>
  <c r="G481" i="17"/>
  <c r="G480" i="17"/>
  <c r="G479" i="17"/>
  <c r="G472" i="17"/>
  <c r="G471" i="17"/>
  <c r="G470" i="17"/>
  <c r="G451" i="17"/>
  <c r="G450" i="17"/>
  <c r="G449" i="17"/>
  <c r="G448" i="17"/>
  <c r="G447" i="17"/>
  <c r="G446" i="17"/>
  <c r="G314" i="17"/>
  <c r="G138" i="17"/>
  <c r="G137" i="17"/>
  <c r="G136" i="17"/>
  <c r="G134" i="17"/>
  <c r="G133" i="17"/>
  <c r="G132" i="17"/>
  <c r="G131" i="17"/>
  <c r="G130" i="17"/>
  <c r="G129" i="17"/>
  <c r="G128" i="17"/>
  <c r="G127" i="17"/>
  <c r="G121" i="17"/>
  <c r="G120" i="17"/>
  <c r="G119" i="17"/>
  <c r="G118" i="17"/>
  <c r="G117" i="17"/>
  <c r="G116" i="17"/>
  <c r="G96" i="17"/>
  <c r="G95" i="17"/>
  <c r="G94" i="17"/>
  <c r="G93" i="17"/>
  <c r="G92" i="17"/>
  <c r="G91" i="17"/>
  <c r="G90" i="17"/>
  <c r="G89" i="17"/>
  <c r="G88" i="17"/>
  <c r="G87" i="17"/>
  <c r="G86" i="17"/>
  <c r="G85" i="17"/>
  <c r="G84" i="17"/>
  <c r="G83" i="17"/>
  <c r="G82" i="17"/>
  <c r="G81" i="17"/>
  <c r="G80" i="17"/>
  <c r="G79" i="17"/>
  <c r="G78" i="17"/>
  <c r="G77" i="17"/>
  <c r="G76" i="17"/>
  <c r="G75" i="17"/>
  <c r="G74" i="17"/>
  <c r="G73" i="17"/>
  <c r="G72" i="17"/>
  <c r="G71" i="17"/>
  <c r="G70" i="17"/>
  <c r="G69" i="17"/>
  <c r="G68" i="17"/>
  <c r="G67" i="17"/>
  <c r="G59" i="17"/>
  <c r="G58" i="17"/>
  <c r="G55" i="17"/>
  <c r="G54" i="17"/>
  <c r="G43" i="17"/>
  <c r="G42" i="17"/>
  <c r="G41" i="17"/>
  <c r="G40" i="17"/>
  <c r="G39" i="17"/>
  <c r="G38" i="17"/>
  <c r="G37" i="17"/>
  <c r="G36" i="17"/>
  <c r="G64" i="17"/>
  <c r="G35" i="17"/>
  <c r="G34" i="17"/>
  <c r="G33" i="17"/>
  <c r="G32" i="17"/>
  <c r="G31" i="17"/>
  <c r="G30" i="17"/>
  <c r="G26" i="17"/>
  <c r="G25" i="17"/>
  <c r="G24" i="17"/>
  <c r="G14" i="17"/>
  <c r="G9" i="17"/>
  <c r="G8" i="17"/>
  <c r="G548" i="12"/>
  <c r="G546" i="12"/>
  <c r="G545" i="12"/>
  <c r="G544" i="12"/>
  <c r="G543" i="12"/>
  <c r="G542" i="12"/>
  <c r="G541" i="12"/>
  <c r="G539" i="12"/>
  <c r="G538" i="12"/>
  <c r="G537" i="12"/>
  <c r="G536" i="12"/>
  <c r="G535" i="12"/>
  <c r="G534" i="12"/>
  <c r="G532" i="12"/>
  <c r="G531" i="12"/>
  <c r="G530" i="12"/>
  <c r="G529" i="12"/>
  <c r="G528" i="12"/>
  <c r="G527" i="12"/>
  <c r="G525" i="12"/>
  <c r="G524" i="12"/>
  <c r="G523" i="12"/>
  <c r="G522" i="12"/>
  <c r="G521" i="12"/>
  <c r="G520" i="12"/>
  <c r="G365" i="12"/>
  <c r="G210" i="12"/>
  <c r="G3379" i="11"/>
  <c r="G3378" i="11"/>
  <c r="G3375" i="11"/>
  <c r="G3374" i="11"/>
  <c r="G3371" i="11"/>
  <c r="G3370" i="11"/>
  <c r="G3367" i="11"/>
  <c r="G3366" i="11"/>
  <c r="G3365" i="11"/>
  <c r="G3362" i="11"/>
  <c r="G3361" i="11"/>
  <c r="G3360" i="11"/>
  <c r="G3359" i="11"/>
  <c r="G3356" i="11"/>
  <c r="G3353" i="11"/>
  <c r="G3352" i="11"/>
  <c r="G3349" i="11"/>
  <c r="G3348" i="11"/>
  <c r="G3347" i="11"/>
  <c r="G3346" i="11"/>
  <c r="G3343" i="11"/>
  <c r="G3342" i="11"/>
  <c r="G3339" i="11"/>
  <c r="G3336" i="11"/>
  <c r="G3335" i="11"/>
  <c r="G3332" i="11"/>
  <c r="G3331" i="11"/>
  <c r="G3330" i="11"/>
  <c r="G3329" i="11"/>
  <c r="G3326" i="11"/>
  <c r="G3325" i="11"/>
  <c r="G3322" i="11"/>
  <c r="G3321" i="11"/>
  <c r="G3318" i="11"/>
  <c r="G3317" i="11"/>
  <c r="G3314" i="11"/>
  <c r="G3311" i="11"/>
  <c r="G3283" i="11"/>
  <c r="G3282" i="11"/>
  <c r="G3280" i="11"/>
  <c r="G3279" i="11"/>
  <c r="G3278" i="11"/>
  <c r="G3277" i="11"/>
  <c r="G3276" i="11"/>
  <c r="G3275" i="11"/>
  <c r="G3274" i="11"/>
  <c r="G3271" i="11"/>
  <c r="G3260" i="11"/>
  <c r="G3259" i="11"/>
  <c r="G3258" i="11"/>
  <c r="G3257" i="11"/>
  <c r="G3251" i="11"/>
  <c r="G3249" i="11"/>
  <c r="G3248" i="11"/>
  <c r="G3247" i="11"/>
  <c r="G3246" i="11"/>
  <c r="G3243" i="11"/>
  <c r="G3242" i="11"/>
  <c r="G3241" i="11"/>
  <c r="G3240" i="11"/>
  <c r="G3239" i="11"/>
  <c r="G3238" i="11"/>
  <c r="G3237" i="11"/>
  <c r="G3236" i="11"/>
  <c r="G3235" i="11"/>
  <c r="G3234" i="11"/>
  <c r="G3233" i="11"/>
  <c r="G3232" i="11"/>
  <c r="G3231" i="11"/>
  <c r="G3230" i="11"/>
  <c r="G3229" i="11"/>
  <c r="G3228" i="11"/>
  <c r="G3227" i="11"/>
  <c r="G3226" i="11"/>
  <c r="G3225" i="11"/>
  <c r="G3224" i="11"/>
  <c r="G3223" i="11"/>
  <c r="G3222" i="11"/>
  <c r="G3221" i="11"/>
  <c r="G3220" i="11"/>
  <c r="G3219" i="11"/>
  <c r="G3218" i="11"/>
  <c r="G3217" i="11"/>
  <c r="G3216" i="11"/>
  <c r="G3215" i="11"/>
  <c r="G3214" i="11"/>
  <c r="G3212" i="11"/>
  <c r="G3211" i="11"/>
  <c r="G3210" i="11"/>
  <c r="G3209" i="11"/>
  <c r="G3208" i="11"/>
  <c r="G3207" i="11"/>
  <c r="G3206" i="11"/>
  <c r="G3205" i="11"/>
  <c r="G3204" i="11"/>
  <c r="G3203" i="11"/>
  <c r="G3202" i="11"/>
  <c r="G3201" i="11"/>
  <c r="G3200" i="11"/>
  <c r="G3199" i="11"/>
  <c r="G3198" i="11"/>
  <c r="G3192" i="11"/>
  <c r="G3191" i="11"/>
  <c r="G3190" i="11"/>
  <c r="G3189" i="11"/>
  <c r="G3188" i="11"/>
  <c r="G3187" i="11"/>
  <c r="G3186" i="11"/>
  <c r="G3185" i="11"/>
  <c r="G3184" i="11"/>
  <c r="G3183" i="11"/>
  <c r="G3182" i="11"/>
  <c r="G3181" i="11"/>
  <c r="G3180" i="11"/>
  <c r="G3179" i="11"/>
  <c r="G3178" i="11"/>
  <c r="G3177" i="11"/>
  <c r="G3176" i="11"/>
  <c r="G3175" i="11"/>
  <c r="G3174" i="11"/>
  <c r="G3173" i="11"/>
  <c r="G3172" i="11"/>
  <c r="G3171" i="11"/>
  <c r="G3170" i="11"/>
  <c r="G3169" i="11"/>
  <c r="G3168" i="11"/>
  <c r="G3167" i="11"/>
  <c r="G3166" i="11"/>
  <c r="G3165" i="11"/>
  <c r="G3164" i="11"/>
  <c r="G3163" i="11"/>
  <c r="G3162" i="11"/>
  <c r="G3161" i="11"/>
  <c r="G3125" i="11"/>
  <c r="G3123" i="11"/>
  <c r="G3149" i="11"/>
  <c r="G3148" i="11"/>
  <c r="G3147" i="11"/>
  <c r="G3146" i="11"/>
  <c r="G3145" i="11"/>
  <c r="G3144" i="11"/>
  <c r="G3143" i="11"/>
  <c r="G3142" i="11"/>
  <c r="G3141" i="11"/>
  <c r="G3140" i="11"/>
  <c r="G3139" i="11"/>
  <c r="G3138" i="11"/>
  <c r="G3137" i="11"/>
  <c r="G3136" i="11"/>
  <c r="G3135" i="11"/>
  <c r="G3131" i="11"/>
  <c r="G3130" i="11"/>
  <c r="G3129" i="11"/>
  <c r="G3128" i="11"/>
  <c r="G3127" i="11"/>
  <c r="G3126" i="11"/>
  <c r="G3118" i="11"/>
  <c r="G3117" i="11"/>
  <c r="G3116" i="11"/>
  <c r="G3115" i="11"/>
  <c r="G3050" i="11"/>
  <c r="G3114" i="11"/>
  <c r="G3049" i="11"/>
  <c r="G3113" i="11"/>
  <c r="G3112" i="11"/>
  <c r="G3111" i="11"/>
  <c r="G3110" i="11"/>
  <c r="G3107" i="11"/>
  <c r="G3105" i="11"/>
  <c r="G3104" i="11"/>
  <c r="G3103" i="11"/>
  <c r="G3102" i="11"/>
  <c r="G3101" i="11"/>
  <c r="G3100" i="11"/>
  <c r="G3099" i="11"/>
  <c r="G3098" i="11"/>
  <c r="G3097" i="11"/>
  <c r="G3096" i="11"/>
  <c r="G3092" i="11"/>
  <c r="G3091" i="11"/>
  <c r="G3090" i="11"/>
  <c r="G3089" i="11"/>
  <c r="G3088" i="11"/>
  <c r="G3087" i="11"/>
  <c r="G3086" i="11"/>
  <c r="G3305" i="11"/>
  <c r="G3085" i="11"/>
  <c r="G3084" i="11"/>
  <c r="G3083" i="11"/>
  <c r="G3082" i="11"/>
  <c r="G3081" i="11"/>
  <c r="G1476" i="11"/>
  <c r="G1475" i="11"/>
  <c r="G1474" i="11"/>
  <c r="G1473" i="11"/>
  <c r="G1472" i="11"/>
  <c r="G1471" i="11"/>
  <c r="G1470" i="11"/>
  <c r="G1469" i="11"/>
  <c r="G1468" i="11"/>
  <c r="G1467" i="11"/>
  <c r="G1466" i="11"/>
  <c r="G1465" i="11"/>
  <c r="G1464" i="11"/>
  <c r="G1463" i="11"/>
  <c r="G571" i="11"/>
  <c r="G570" i="11"/>
  <c r="G1460" i="11"/>
  <c r="G1459" i="11"/>
  <c r="G1458" i="11"/>
  <c r="G1457" i="11"/>
  <c r="G1456" i="11"/>
  <c r="G1455" i="11"/>
  <c r="G1452" i="11"/>
  <c r="G1451" i="11"/>
  <c r="G1448" i="11"/>
  <c r="G1447" i="11"/>
  <c r="G1446" i="11"/>
  <c r="G1443" i="11"/>
  <c r="G1442" i="11"/>
  <c r="G1440" i="11"/>
  <c r="G1439" i="11"/>
  <c r="G1436" i="11"/>
  <c r="G1435" i="11"/>
  <c r="G1434" i="11"/>
  <c r="G1433" i="11"/>
  <c r="G1430" i="11"/>
  <c r="G1429" i="11"/>
  <c r="G1426" i="11"/>
  <c r="G1425" i="11"/>
  <c r="G1424" i="11"/>
  <c r="G1423" i="11"/>
  <c r="G1422" i="11"/>
  <c r="G1419" i="11"/>
  <c r="G1418" i="11"/>
  <c r="G1417" i="11"/>
  <c r="G1416" i="11"/>
  <c r="G1413" i="11"/>
  <c r="G1412" i="11"/>
  <c r="G1411" i="11"/>
  <c r="G1408" i="11"/>
  <c r="G1407" i="11"/>
  <c r="G1406" i="11"/>
  <c r="G1403" i="11"/>
  <c r="G1402" i="11"/>
  <c r="G1399" i="11"/>
  <c r="G1398" i="11"/>
  <c r="G1397" i="11"/>
  <c r="G1396" i="11"/>
  <c r="G1393" i="11"/>
  <c r="G1392" i="11"/>
  <c r="G1389" i="11"/>
  <c r="G1388" i="11"/>
  <c r="G1387" i="11"/>
  <c r="G1384" i="11"/>
  <c r="G1383" i="11"/>
  <c r="G1382" i="11"/>
  <c r="G1381" i="11"/>
  <c r="G1380" i="11"/>
  <c r="G1379" i="11"/>
  <c r="G1374" i="11"/>
  <c r="G1373" i="11"/>
  <c r="G1372" i="11"/>
  <c r="G1371" i="11"/>
  <c r="G1370" i="11"/>
  <c r="G1369" i="11"/>
  <c r="G1368" i="11"/>
  <c r="G1367" i="11"/>
  <c r="G1366" i="11"/>
  <c r="G1365" i="11"/>
  <c r="G1364" i="11"/>
  <c r="G1363" i="11"/>
  <c r="G1362" i="11"/>
  <c r="G1361" i="11"/>
  <c r="G1358" i="11"/>
  <c r="G1357" i="11"/>
  <c r="G1356" i="11"/>
  <c r="G1353" i="11"/>
  <c r="G1352" i="11"/>
  <c r="G1351" i="11"/>
  <c r="G1350" i="11"/>
  <c r="G1349" i="11"/>
  <c r="G1348" i="11"/>
  <c r="G1345" i="11"/>
  <c r="G1344" i="11"/>
  <c r="G1341" i="11"/>
  <c r="G1340" i="11"/>
  <c r="G1339" i="11"/>
  <c r="G1336" i="11"/>
  <c r="G1335" i="11"/>
  <c r="G1333" i="11"/>
  <c r="G1332" i="11"/>
  <c r="G1329" i="11"/>
  <c r="G1328" i="11"/>
  <c r="G1327" i="11"/>
  <c r="G1326" i="11"/>
  <c r="G1323" i="11"/>
  <c r="G1322" i="11"/>
  <c r="G1319" i="11"/>
  <c r="G1318" i="11"/>
  <c r="G1317" i="11"/>
  <c r="G1316" i="11"/>
  <c r="G1315" i="11"/>
  <c r="G1312" i="11"/>
  <c r="G1311" i="11"/>
  <c r="G1310" i="11"/>
  <c r="G1309" i="11"/>
  <c r="G1303" i="11"/>
  <c r="G1302" i="11"/>
  <c r="G1301" i="11"/>
  <c r="G1298" i="11"/>
  <c r="G1297" i="11"/>
  <c r="G1296" i="11"/>
  <c r="G1293" i="11"/>
  <c r="G1292" i="11"/>
  <c r="G1289" i="11"/>
  <c r="G1288" i="11"/>
  <c r="G1287" i="11"/>
  <c r="G1286" i="11"/>
  <c r="G1283" i="11"/>
  <c r="G1282" i="11"/>
  <c r="G1279" i="11"/>
  <c r="G1278" i="11"/>
  <c r="G1277" i="11"/>
  <c r="G1274" i="11"/>
  <c r="G1273" i="11"/>
  <c r="G1272" i="11"/>
  <c r="G1271" i="11"/>
  <c r="G1270" i="11"/>
  <c r="G1269" i="11"/>
  <c r="G1264" i="11"/>
  <c r="G1263" i="11"/>
  <c r="G1262" i="11"/>
  <c r="G1261" i="11"/>
  <c r="G1260" i="11"/>
  <c r="G859" i="11"/>
  <c r="G858" i="11"/>
  <c r="G857" i="11"/>
  <c r="G856" i="11"/>
  <c r="G855" i="11"/>
  <c r="G854" i="11"/>
  <c r="G853" i="11"/>
  <c r="G852" i="11"/>
  <c r="G851" i="11"/>
  <c r="G850" i="11"/>
  <c r="G849" i="11"/>
  <c r="G848" i="11"/>
  <c r="G847" i="11"/>
  <c r="G846" i="11"/>
  <c r="G662" i="11"/>
  <c r="G661" i="11"/>
  <c r="G660" i="11"/>
  <c r="G659" i="11"/>
  <c r="G658" i="11"/>
  <c r="G657" i="11"/>
  <c r="G656" i="11"/>
  <c r="G655" i="11"/>
  <c r="G654" i="11"/>
  <c r="G653" i="11"/>
  <c r="G652" i="11"/>
  <c r="G651" i="11"/>
  <c r="G650" i="11"/>
  <c r="G649" i="11"/>
  <c r="G648" i="11"/>
  <c r="G647" i="11"/>
  <c r="G646" i="11"/>
  <c r="G645" i="11"/>
  <c r="G644" i="11"/>
  <c r="G643" i="11"/>
  <c r="G642" i="11"/>
  <c r="G641" i="11"/>
  <c r="G640" i="11"/>
  <c r="G639" i="11"/>
  <c r="G638" i="11"/>
  <c r="G637" i="11"/>
  <c r="G636" i="11"/>
  <c r="G635" i="11"/>
  <c r="G634" i="11"/>
  <c r="G633" i="11"/>
  <c r="G632" i="11"/>
  <c r="G631" i="11"/>
  <c r="G630" i="11"/>
  <c r="G629" i="11"/>
  <c r="G628" i="11"/>
  <c r="G627" i="11"/>
  <c r="G626" i="11"/>
  <c r="G625" i="11"/>
  <c r="G624" i="11"/>
  <c r="G623" i="11"/>
  <c r="G622" i="11"/>
  <c r="G621" i="11"/>
  <c r="G620" i="11"/>
  <c r="G619" i="11"/>
  <c r="G618" i="11"/>
  <c r="G617" i="11"/>
  <c r="G616" i="11"/>
  <c r="G563" i="11"/>
  <c r="G562" i="11"/>
  <c r="G561" i="11"/>
  <c r="G560" i="11"/>
  <c r="G559" i="11"/>
  <c r="G558" i="11"/>
  <c r="G557" i="11"/>
  <c r="G556" i="11"/>
  <c r="G555" i="11"/>
  <c r="G554" i="11"/>
  <c r="G553" i="11"/>
  <c r="G552" i="11"/>
  <c r="G551" i="11"/>
  <c r="G550" i="11"/>
  <c r="G549" i="11"/>
  <c r="G509" i="11"/>
  <c r="G502" i="11"/>
  <c r="G501" i="11"/>
  <c r="G500" i="11"/>
  <c r="G499" i="11"/>
  <c r="G498" i="11"/>
  <c r="G494" i="11"/>
  <c r="G493" i="11"/>
  <c r="G514" i="11"/>
  <c r="G513" i="11"/>
  <c r="G424" i="11"/>
  <c r="G425" i="11"/>
  <c r="G426" i="11"/>
  <c r="G423" i="11"/>
  <c r="G291" i="11"/>
  <c r="G290" i="11"/>
  <c r="G289" i="11"/>
  <c r="G288" i="11"/>
  <c r="G282" i="11"/>
  <c r="G281" i="11"/>
  <c r="G279" i="11"/>
  <c r="G271" i="11"/>
  <c r="G278" i="11"/>
  <c r="G274" i="11"/>
  <c r="G273" i="11"/>
  <c r="G272" i="11"/>
  <c r="G270" i="11"/>
  <c r="G269" i="11"/>
  <c r="G229" i="11"/>
  <c r="G226" i="11"/>
  <c r="G225" i="11"/>
  <c r="G224" i="11"/>
  <c r="G223" i="11"/>
  <c r="G222" i="11"/>
  <c r="G221" i="11"/>
  <c r="G220" i="11"/>
  <c r="G219" i="11"/>
  <c r="G218" i="11"/>
  <c r="G217" i="11"/>
  <c r="G216" i="11"/>
  <c r="G215" i="11"/>
  <c r="G214" i="11"/>
  <c r="G213" i="11"/>
  <c r="G211" i="11"/>
  <c r="G210" i="11"/>
  <c r="G209" i="11"/>
  <c r="G208" i="11"/>
  <c r="G207" i="11"/>
  <c r="G206" i="11"/>
  <c r="G205" i="11"/>
  <c r="G204" i="11"/>
  <c r="G203" i="11"/>
  <c r="G202" i="11"/>
  <c r="G201" i="11"/>
  <c r="G200" i="11"/>
  <c r="G199" i="11"/>
  <c r="G198" i="11"/>
  <c r="G197" i="11"/>
  <c r="G196" i="11"/>
  <c r="G195" i="11"/>
  <c r="G194" i="11"/>
  <c r="G193" i="11"/>
  <c r="G192" i="11"/>
  <c r="G13" i="11"/>
  <c r="G12" i="11"/>
  <c r="G11" i="11"/>
  <c r="G10" i="11"/>
  <c r="G9" i="11"/>
  <c r="G19" i="11"/>
  <c r="G18" i="11"/>
  <c r="G17" i="11"/>
  <c r="ER236" i="20"/>
  <c r="EQ236" i="20"/>
  <c r="EP236" i="20"/>
  <c r="EC236" i="20" s="1"/>
  <c r="BN234" i="25" s="1"/>
  <c r="DH236" i="20"/>
  <c r="DG236" i="20"/>
  <c r="DF236" i="20"/>
  <c r="CS236" i="20" s="1"/>
  <c r="BX236" i="20"/>
  <c r="BW236" i="20"/>
  <c r="BV236" i="20"/>
  <c r="BI236" i="20" s="1"/>
  <c r="AN236" i="20"/>
  <c r="AL236" i="20"/>
  <c r="Y236" i="20" s="1"/>
  <c r="DY226" i="20"/>
  <c r="EA226" i="20" s="1"/>
  <c r="EA230" i="20" s="1"/>
  <c r="BL228" i="25" s="1"/>
  <c r="CO226" i="20"/>
  <c r="CQ226" i="20" s="1"/>
  <c r="CQ229" i="20" s="1"/>
  <c r="AU227" i="25" s="1"/>
  <c r="BE226" i="20"/>
  <c r="BG226" i="20" s="1"/>
  <c r="DY220" i="20"/>
  <c r="EA220" i="20" s="1"/>
  <c r="EA221" i="20" s="1"/>
  <c r="CO220" i="20"/>
  <c r="CQ220" i="20" s="1"/>
  <c r="BE220" i="20"/>
  <c r="BG220" i="20" s="1"/>
  <c r="U220" i="20"/>
  <c r="W220" i="20" s="1"/>
  <c r="BE208" i="20"/>
  <c r="DY203" i="20"/>
  <c r="EA203" i="20" s="1"/>
  <c r="EA206" i="20" s="1"/>
  <c r="CO203" i="20"/>
  <c r="CQ203" i="20" s="1"/>
  <c r="CQ204" i="20" s="1"/>
  <c r="BE203" i="20"/>
  <c r="BG203" i="20" s="1"/>
  <c r="U203" i="20"/>
  <c r="W203" i="20" s="1"/>
  <c r="DY198" i="20"/>
  <c r="EA198" i="20" s="1"/>
  <c r="EA201" i="20" s="1"/>
  <c r="BL199" i="25" s="1"/>
  <c r="CO198" i="20"/>
  <c r="CQ198" i="20" s="1"/>
  <c r="CQ200" i="20" s="1"/>
  <c r="BE198" i="20"/>
  <c r="BG198" i="20" s="1"/>
  <c r="BG199" i="20" s="1"/>
  <c r="U198" i="20"/>
  <c r="W198" i="20" s="1"/>
  <c r="W199" i="20" s="1"/>
  <c r="M197" i="25" s="1"/>
  <c r="BE186" i="20"/>
  <c r="BE182" i="20"/>
  <c r="BE178" i="20"/>
  <c r="BE174" i="20"/>
  <c r="BE170" i="20"/>
  <c r="BE166" i="20"/>
  <c r="BE162" i="20"/>
  <c r="BE158" i="20"/>
  <c r="BE154" i="20"/>
  <c r="BE150" i="20"/>
  <c r="DY144" i="20"/>
  <c r="CO144" i="20"/>
  <c r="CQ144" i="20" s="1"/>
  <c r="CQ148" i="20" s="1"/>
  <c r="U144" i="20"/>
  <c r="W144" i="20" s="1"/>
  <c r="W145" i="20" s="1"/>
  <c r="M143" i="25" s="1"/>
  <c r="CO132" i="20"/>
  <c r="CQ132" i="20" s="1"/>
  <c r="CQ139" i="20" s="1"/>
  <c r="AU137" i="25" s="1"/>
  <c r="BE132" i="20"/>
  <c r="BG132" i="20" s="1"/>
  <c r="U132" i="20"/>
  <c r="W132" i="20" s="1"/>
  <c r="W142" i="20" s="1"/>
  <c r="M140" i="25" s="1"/>
  <c r="CO121" i="20"/>
  <c r="CQ121" i="20" s="1"/>
  <c r="CQ129" i="20" s="1"/>
  <c r="AU127" i="25" s="1"/>
  <c r="BE121" i="20"/>
  <c r="BG121" i="20" s="1"/>
  <c r="BG128" i="20" s="1"/>
  <c r="AD126" i="25" s="1"/>
  <c r="U121" i="20"/>
  <c r="W121" i="20" s="1"/>
  <c r="W128" i="20" s="1"/>
  <c r="CO86" i="20"/>
  <c r="CQ86" i="20" s="1"/>
  <c r="BE86" i="20"/>
  <c r="BG86" i="20" s="1"/>
  <c r="BG91" i="20" s="1"/>
  <c r="AD89" i="25" s="1"/>
  <c r="U86" i="20"/>
  <c r="W86" i="20" s="1"/>
  <c r="DY75" i="20"/>
  <c r="EA75" i="20" s="1"/>
  <c r="EA82" i="20" s="1"/>
  <c r="CO75" i="20"/>
  <c r="CQ75" i="20" s="1"/>
  <c r="BE75" i="20"/>
  <c r="BG75" i="20" s="1"/>
  <c r="BG82" i="20" s="1"/>
  <c r="AD80" i="25" s="1"/>
  <c r="U75" i="20"/>
  <c r="W75" i="20" s="1"/>
  <c r="W84" i="20" s="1"/>
  <c r="M82" i="25" s="1"/>
  <c r="ED63" i="20"/>
  <c r="CO63" i="20"/>
  <c r="CQ63" i="20" s="1"/>
  <c r="BE63" i="20"/>
  <c r="BG63" i="20" s="1"/>
  <c r="U63" i="20"/>
  <c r="W63" i="20" s="1"/>
  <c r="W71" i="20" s="1"/>
  <c r="M69" i="25" s="1"/>
  <c r="ED51" i="20"/>
  <c r="CO51" i="20"/>
  <c r="CQ51" i="20" s="1"/>
  <c r="CQ56" i="20" s="1"/>
  <c r="AU54" i="25" s="1"/>
  <c r="BE51" i="20"/>
  <c r="BG51" i="20" s="1"/>
  <c r="U51" i="20"/>
  <c r="W51" i="20" s="1"/>
  <c r="W57" i="20" s="1"/>
  <c r="M55" i="25" s="1"/>
  <c r="CT39" i="20"/>
  <c r="AX37" i="25" s="1"/>
  <c r="CS39" i="20"/>
  <c r="AW37" i="25" s="1"/>
  <c r="Z39" i="20"/>
  <c r="ED30" i="20"/>
  <c r="BO28" i="25" s="1"/>
  <c r="CT30" i="20"/>
  <c r="Z30" i="20"/>
  <c r="P28" i="25" s="1"/>
  <c r="CT17" i="20"/>
  <c r="AX15" i="25" s="1"/>
  <c r="Z17" i="20"/>
  <c r="P15" i="25" s="1"/>
  <c r="CT11" i="20"/>
  <c r="AX9" i="25" s="1"/>
  <c r="CS11" i="20"/>
  <c r="AW9" i="25" s="1"/>
  <c r="Z11" i="20"/>
  <c r="AA178" i="20"/>
  <c r="AA162" i="20"/>
  <c r="AA158" i="20"/>
  <c r="AA150" i="20"/>
  <c r="Q148" i="25" s="1"/>
  <c r="EJ132" i="20"/>
  <c r="EC63" i="20"/>
  <c r="AA179" i="20"/>
  <c r="AA152" i="20"/>
  <c r="AA168" i="20"/>
  <c r="Q166" i="25" s="1"/>
  <c r="AA167" i="20"/>
  <c r="AB167" i="20" s="1"/>
  <c r="R165" i="25" s="1"/>
  <c r="AA181" i="20"/>
  <c r="Q179" i="25" s="1"/>
  <c r="AA185" i="20"/>
  <c r="AA175" i="20"/>
  <c r="AA154" i="20"/>
  <c r="Q152" i="25" s="1"/>
  <c r="AA170" i="20"/>
  <c r="Q168" i="25" s="1"/>
  <c r="AA180" i="20"/>
  <c r="AA173" i="20"/>
  <c r="AA163" i="20"/>
  <c r="Q161" i="25" s="1"/>
  <c r="AA156" i="20"/>
  <c r="AB156" i="20" s="1"/>
  <c r="R154" i="25" s="1"/>
  <c r="AA182" i="20"/>
  <c r="AB182" i="20" s="1"/>
  <c r="R180" i="25" s="1"/>
  <c r="AA177" i="20"/>
  <c r="Q175" i="25" s="1"/>
  <c r="AA184" i="20"/>
  <c r="AA183" i="20"/>
  <c r="AA149" i="20"/>
  <c r="Q147" i="25" s="1"/>
  <c r="AA153" i="20"/>
  <c r="AA176" i="20"/>
  <c r="AA160" i="20"/>
  <c r="Q158" i="25" s="1"/>
  <c r="AA186" i="20"/>
  <c r="Q184" i="25" s="1"/>
  <c r="AA187" i="20"/>
  <c r="AB187" i="20" s="1"/>
  <c r="R185" i="25" s="1"/>
  <c r="AA155" i="20"/>
  <c r="AA159" i="20"/>
  <c r="AA166" i="20"/>
  <c r="Q164" i="25" s="1"/>
  <c r="AA172" i="20"/>
  <c r="AA188" i="20"/>
  <c r="AA151" i="20"/>
  <c r="Q149" i="25" s="1"/>
  <c r="AA161" i="20"/>
  <c r="Q159" i="25" s="1"/>
  <c r="AA165" i="20"/>
  <c r="Q163" i="25" s="1"/>
  <c r="AA164" i="20"/>
  <c r="AB164" i="20" s="1"/>
  <c r="AA174" i="20"/>
  <c r="Q172" i="25" s="1"/>
  <c r="AA157" i="20"/>
  <c r="Q155" i="25" s="1"/>
  <c r="AA169" i="20"/>
  <c r="AA171" i="20"/>
  <c r="EJ86" i="20"/>
  <c r="EC132" i="20"/>
  <c r="EC51" i="20"/>
  <c r="EC86" i="20"/>
  <c r="ED86" i="20"/>
  <c r="ED132" i="20"/>
  <c r="EE63" i="20"/>
  <c r="EF63" i="20"/>
  <c r="EF51" i="20"/>
  <c r="EE51" i="20"/>
  <c r="EE86" i="20"/>
  <c r="EF132" i="20"/>
  <c r="EE132" i="20"/>
  <c r="EG51" i="20"/>
  <c r="EH51" i="20"/>
  <c r="EH63" i="20"/>
  <c r="EG63" i="20"/>
  <c r="EG86" i="20"/>
  <c r="EF86" i="20"/>
  <c r="EH86" i="20"/>
  <c r="EH132" i="20"/>
  <c r="EK132" i="20"/>
  <c r="EK86" i="20"/>
  <c r="EK63" i="20"/>
  <c r="EK51" i="20"/>
  <c r="EM63" i="20"/>
  <c r="EG132" i="20"/>
  <c r="EL86" i="20"/>
  <c r="EL51" i="20"/>
  <c r="EN51" i="20"/>
  <c r="EM51" i="20"/>
  <c r="EL63" i="20"/>
  <c r="EM86" i="20"/>
  <c r="EN63" i="20"/>
  <c r="EL132" i="20"/>
  <c r="EM132" i="20"/>
  <c r="EN86" i="20"/>
  <c r="EN132" i="20"/>
  <c r="W235" i="20"/>
  <c r="W236" i="20" s="1"/>
  <c r="Z236" i="20" s="1"/>
  <c r="AB236" i="20" s="1"/>
  <c r="W17" i="20"/>
  <c r="W11" i="20"/>
  <c r="H4" i="22"/>
  <c r="EA17" i="20"/>
  <c r="EC17" i="20" s="1"/>
  <c r="EA235" i="20"/>
  <c r="EA236" i="20" s="1"/>
  <c r="ED236" i="20" s="1"/>
  <c r="EA30" i="20"/>
  <c r="BL28" i="25" s="1"/>
  <c r="BJ28" i="25" s="1"/>
  <c r="EA39" i="20"/>
  <c r="BL37" i="25" s="1"/>
  <c r="M21" i="22"/>
  <c r="BG235" i="20"/>
  <c r="BG236" i="20" s="1"/>
  <c r="BG30" i="20"/>
  <c r="AD28" i="25" s="1"/>
  <c r="AB28" i="25" s="1"/>
  <c r="BG11" i="20"/>
  <c r="AD9" i="25" s="1"/>
  <c r="AB9" i="25" s="1"/>
  <c r="BG39" i="20"/>
  <c r="AD37" i="25" s="1"/>
  <c r="AB37" i="25" s="1"/>
  <c r="BG23" i="20"/>
  <c r="AD21" i="25" s="1"/>
  <c r="AB21" i="25" s="1"/>
  <c r="BG17" i="20"/>
  <c r="W39" i="20"/>
  <c r="M37" i="25" s="1"/>
  <c r="W23" i="20"/>
  <c r="W30" i="20"/>
  <c r="W37" i="20" s="1"/>
  <c r="M35" i="25" s="1"/>
  <c r="C13" i="22"/>
  <c r="C11" i="22"/>
  <c r="C6" i="22"/>
  <c r="C14" i="22"/>
  <c r="C16" i="22"/>
  <c r="C12" i="22"/>
  <c r="C7" i="22"/>
  <c r="C15" i="22"/>
  <c r="C8" i="22"/>
  <c r="C19" i="22"/>
  <c r="C9" i="22"/>
  <c r="C17" i="22"/>
  <c r="C10" i="22"/>
  <c r="C18" i="22"/>
  <c r="FD240" i="20"/>
  <c r="FC240" i="20"/>
  <c r="EZ240" i="20"/>
  <c r="EW240" i="20"/>
  <c r="EU240" i="20"/>
  <c r="AS240" i="20"/>
  <c r="AT240" i="20"/>
  <c r="DU240" i="20"/>
  <c r="DM240" i="20"/>
  <c r="DJ240" i="20"/>
  <c r="DV240" i="20"/>
  <c r="DK240" i="20"/>
  <c r="H23" i="22"/>
  <c r="EA23" i="20"/>
  <c r="BL21" i="25" s="1"/>
  <c r="BJ21" i="25" s="1"/>
  <c r="FB240" i="20"/>
  <c r="AY240" i="20"/>
  <c r="EY240" i="20"/>
  <c r="EX240" i="20"/>
  <c r="FE240" i="20"/>
  <c r="FF240" i="20"/>
  <c r="DP240" i="20"/>
  <c r="AP240" i="20"/>
  <c r="AU240" i="20"/>
  <c r="DS240" i="20"/>
  <c r="EV240" i="20"/>
  <c r="DR240" i="20"/>
  <c r="DT240" i="20"/>
  <c r="AZ240" i="20"/>
  <c r="AV240" i="20"/>
  <c r="AQ240" i="20"/>
  <c r="DO240" i="20"/>
  <c r="DN240" i="20"/>
  <c r="DL240" i="20"/>
  <c r="BB240" i="20"/>
  <c r="BA240" i="20"/>
  <c r="ET240" i="20"/>
  <c r="AL240" i="20"/>
  <c r="DF240" i="20"/>
  <c r="AX240" i="20"/>
  <c r="AR240" i="20"/>
  <c r="DG240" i="20"/>
  <c r="DH240" i="20"/>
  <c r="M240" i="25"/>
  <c r="AD239" i="25"/>
  <c r="M239" i="25"/>
  <c r="M238" i="25"/>
  <c r="AD240" i="25"/>
  <c r="AU239" i="25"/>
  <c r="AU240" i="25"/>
  <c r="AM240" i="20"/>
  <c r="AD238" i="25"/>
  <c r="W240" i="20"/>
  <c r="W238" i="20" s="1"/>
  <c r="CQ240" i="20"/>
  <c r="CQ238" i="20" s="1"/>
  <c r="AN240" i="20"/>
  <c r="BG240" i="20"/>
  <c r="BG238" i="20" s="1"/>
  <c r="CT240" i="20"/>
  <c r="AX237" i="25" s="1"/>
  <c r="AG240" i="25"/>
  <c r="AG238" i="25"/>
  <c r="AG239" i="25"/>
  <c r="P238" i="25"/>
  <c r="BD240" i="25"/>
  <c r="AW240" i="25"/>
  <c r="AX239" i="25"/>
  <c r="AM240" i="25"/>
  <c r="P239" i="25"/>
  <c r="BD239" i="25"/>
  <c r="AX240" i="25"/>
  <c r="AW239" i="25"/>
  <c r="AX238" i="25"/>
  <c r="BD238" i="25"/>
  <c r="BJ240" i="20"/>
  <c r="AH238" i="25"/>
  <c r="AF240" i="20"/>
  <c r="Z240" i="20"/>
  <c r="CZ240" i="20"/>
  <c r="BD237" i="25" s="1"/>
  <c r="CS240" i="20"/>
  <c r="AW237" i="25" s="1"/>
  <c r="DA240" i="20"/>
  <c r="BE237" i="25" s="1"/>
  <c r="AM238" i="25"/>
  <c r="AH240" i="25"/>
  <c r="AE240" i="25"/>
  <c r="Q238" i="25"/>
  <c r="AV239" i="25"/>
  <c r="AV240" i="25"/>
  <c r="BE239" i="25"/>
  <c r="AY239" i="25"/>
  <c r="AI239" i="25"/>
  <c r="Q239" i="25"/>
  <c r="P240" i="25"/>
  <c r="V239" i="25"/>
  <c r="W239" i="25"/>
  <c r="W240" i="25"/>
  <c r="V240" i="25"/>
  <c r="AN240" i="25"/>
  <c r="AN238" i="25"/>
  <c r="BE240" i="25"/>
  <c r="AY240" i="25"/>
  <c r="AN239" i="25"/>
  <c r="BE238" i="25"/>
  <c r="AY238" i="25"/>
  <c r="W238" i="25"/>
  <c r="AA240" i="20"/>
  <c r="AG240" i="20"/>
  <c r="CU240" i="20"/>
  <c r="AY237" i="25" s="1"/>
  <c r="BL240" i="20"/>
  <c r="AI237" i="25" s="1"/>
  <c r="BQ240" i="20"/>
  <c r="AN237" i="25" s="1"/>
  <c r="AE238" i="25"/>
  <c r="BP240" i="20"/>
  <c r="AM237" i="25" s="1"/>
  <c r="AM233" i="25" s="1"/>
  <c r="BR240" i="20"/>
  <c r="AO237" i="25" s="1"/>
  <c r="AO233" i="25" s="1"/>
  <c r="BK240" i="20"/>
  <c r="AH237" i="25" s="1"/>
  <c r="V238" i="25"/>
  <c r="AM239" i="25"/>
  <c r="AO238" i="25"/>
  <c r="X239" i="25"/>
  <c r="N238" i="25"/>
  <c r="AE239" i="25"/>
  <c r="AO239" i="25"/>
  <c r="N240" i="25"/>
  <c r="AO240" i="25"/>
  <c r="AI238" i="25"/>
  <c r="N239" i="25"/>
  <c r="AZ240" i="25"/>
  <c r="AI240" i="25"/>
  <c r="R240" i="25"/>
  <c r="AZ239" i="25"/>
  <c r="BF240" i="25"/>
  <c r="BF239" i="25"/>
  <c r="R238" i="25"/>
  <c r="R239" i="25"/>
  <c r="X240" i="25"/>
  <c r="BF238" i="25"/>
  <c r="X238" i="25"/>
  <c r="AZ238" i="25"/>
  <c r="AB240" i="20"/>
  <c r="DB240" i="20"/>
  <c r="BF237" i="25" s="1"/>
  <c r="CV240" i="20"/>
  <c r="AZ237" i="25" s="1"/>
  <c r="AH240" i="20"/>
  <c r="AJ240" i="25"/>
  <c r="BG240" i="25"/>
  <c r="S239" i="25"/>
  <c r="AP239" i="25"/>
  <c r="BA238" i="25"/>
  <c r="AJ238" i="25"/>
  <c r="BA240" i="25"/>
  <c r="S238" i="25"/>
  <c r="AP238" i="25"/>
  <c r="AP240" i="25"/>
  <c r="BA239" i="25"/>
  <c r="AJ239" i="25"/>
  <c r="Y240" i="25"/>
  <c r="S240" i="25"/>
  <c r="Z239" i="25"/>
  <c r="BG239" i="25"/>
  <c r="Y238" i="25"/>
  <c r="BG238" i="25"/>
  <c r="DC240" i="20"/>
  <c r="BG237" i="25" s="1"/>
  <c r="BT240" i="20"/>
  <c r="Y239" i="25"/>
  <c r="BN240" i="20"/>
  <c r="BH240" i="25"/>
  <c r="DD240" i="20"/>
  <c r="BH237" i="25" s="1"/>
  <c r="AI240" i="20"/>
  <c r="AC240" i="20"/>
  <c r="BM240" i="20"/>
  <c r="AJ237" i="25" s="1"/>
  <c r="CW240" i="20"/>
  <c r="BA237" i="25" s="1"/>
  <c r="BS240" i="20"/>
  <c r="AP237" i="25" s="1"/>
  <c r="BB240" i="25"/>
  <c r="AQ239" i="25"/>
  <c r="AK238" i="25"/>
  <c r="T239" i="25"/>
  <c r="AQ238" i="25"/>
  <c r="AQ240" i="25"/>
  <c r="AK240" i="25"/>
  <c r="T238" i="25"/>
  <c r="BB238" i="25"/>
  <c r="BH239" i="25"/>
  <c r="AK239" i="25"/>
  <c r="BB239" i="25"/>
  <c r="T240" i="25"/>
  <c r="Z240" i="25"/>
  <c r="Z238" i="25"/>
  <c r="BH238" i="25"/>
  <c r="CX240" i="20"/>
  <c r="BB237" i="25" s="1"/>
  <c r="AD240" i="20"/>
  <c r="AJ240" i="20"/>
  <c r="CQ208" i="20" l="1"/>
  <c r="EA208" i="20"/>
  <c r="EA218" i="20" s="1"/>
  <c r="BL216" i="25" s="1"/>
  <c r="CQ23" i="20"/>
  <c r="CQ30" i="20"/>
  <c r="AU28" i="25" s="1"/>
  <c r="AS28" i="25" s="1"/>
  <c r="CQ17" i="20"/>
  <c r="AU15" i="25" s="1"/>
  <c r="AS15" i="25" s="1"/>
  <c r="G23" i="22"/>
  <c r="CQ235" i="20"/>
  <c r="CQ236" i="20" s="1"/>
  <c r="X240" i="20"/>
  <c r="Q162" i="25"/>
  <c r="BO61" i="25"/>
  <c r="BX61" i="25"/>
  <c r="BO107" i="25"/>
  <c r="BX107" i="25"/>
  <c r="BO130" i="25"/>
  <c r="BS130" i="25"/>
  <c r="BX49" i="25"/>
  <c r="BL107" i="25"/>
  <c r="AP233" i="25"/>
  <c r="W83" i="20"/>
  <c r="M81" i="25" s="1"/>
  <c r="BY130" i="25"/>
  <c r="BW49" i="25"/>
  <c r="BW84" i="25"/>
  <c r="BW107" i="25"/>
  <c r="BW130" i="25"/>
  <c r="M234" i="25"/>
  <c r="M233" i="25" s="1"/>
  <c r="BQ49" i="25"/>
  <c r="BQ61" i="25"/>
  <c r="BQ84" i="25"/>
  <c r="BQ107" i="25"/>
  <c r="BU49" i="25"/>
  <c r="BU61" i="25"/>
  <c r="BU107" i="25"/>
  <c r="BU130" i="25"/>
  <c r="BG76" i="20"/>
  <c r="AD74" i="25" s="1"/>
  <c r="BP161" i="20"/>
  <c r="BX84" i="25"/>
  <c r="BL84" i="25"/>
  <c r="BU84" i="25"/>
  <c r="BS49" i="25"/>
  <c r="BS61" i="25"/>
  <c r="BS84" i="25"/>
  <c r="BS107" i="25"/>
  <c r="BV233" i="25"/>
  <c r="W215" i="20"/>
  <c r="M213" i="25" s="1"/>
  <c r="BP185" i="20"/>
  <c r="AM183" i="25" s="1"/>
  <c r="W209" i="20"/>
  <c r="M207" i="25" s="1"/>
  <c r="W211" i="20"/>
  <c r="M209" i="25" s="1"/>
  <c r="BP49" i="25"/>
  <c r="CE59" i="20"/>
  <c r="CE139" i="20"/>
  <c r="CC179" i="20"/>
  <c r="CE137" i="20"/>
  <c r="CC183" i="20"/>
  <c r="CE152" i="20"/>
  <c r="CC231" i="20"/>
  <c r="CC115" i="20"/>
  <c r="CE113" i="20"/>
  <c r="CC172" i="20"/>
  <c r="CC64" i="20"/>
  <c r="CC101" i="20"/>
  <c r="CC134" i="20"/>
  <c r="CC135" i="20"/>
  <c r="CE124" i="20"/>
  <c r="CE68" i="20"/>
  <c r="CD176" i="20"/>
  <c r="CD221" i="20"/>
  <c r="CC92" i="20"/>
  <c r="CC56" i="20"/>
  <c r="CC227" i="20"/>
  <c r="CC91" i="20"/>
  <c r="CE138" i="20"/>
  <c r="CE53" i="20"/>
  <c r="CD168" i="20"/>
  <c r="CI57" i="20"/>
  <c r="CC117" i="20"/>
  <c r="CB100" i="20"/>
  <c r="CC114" i="20"/>
  <c r="CE103" i="20"/>
  <c r="CE70" i="20"/>
  <c r="CD116" i="20"/>
  <c r="CB116" i="20"/>
  <c r="CC94" i="20"/>
  <c r="CL68" i="20"/>
  <c r="CC136" i="20"/>
  <c r="CC60" i="20"/>
  <c r="CC221" i="20"/>
  <c r="CC222" i="20"/>
  <c r="CJ231" i="20"/>
  <c r="CE95" i="20"/>
  <c r="CC212" i="20"/>
  <c r="BK212" i="20" s="1"/>
  <c r="AH210" i="25" s="1"/>
  <c r="CJ107" i="20"/>
  <c r="CE163" i="20"/>
  <c r="CL58" i="20"/>
  <c r="CC100" i="20"/>
  <c r="CC230" i="20"/>
  <c r="CC87" i="20"/>
  <c r="CC118" i="20"/>
  <c r="CJ90" i="20"/>
  <c r="CJ124" i="20"/>
  <c r="CE57" i="20"/>
  <c r="CC79" i="20"/>
  <c r="CC52" i="20"/>
  <c r="CC65" i="20"/>
  <c r="CC133" i="20"/>
  <c r="CC171" i="20"/>
  <c r="CE89" i="20"/>
  <c r="CA138" i="20"/>
  <c r="CC128" i="20"/>
  <c r="CC58" i="20"/>
  <c r="CC125" i="20"/>
  <c r="CC180" i="20"/>
  <c r="CC211" i="20"/>
  <c r="BK211" i="20" s="1"/>
  <c r="AH209" i="25" s="1"/>
  <c r="CC229" i="20"/>
  <c r="CE78" i="20"/>
  <c r="CE133" i="20"/>
  <c r="CJ127" i="20"/>
  <c r="CE91" i="20"/>
  <c r="CE118" i="20"/>
  <c r="CJ70" i="20"/>
  <c r="CE67" i="20"/>
  <c r="CC83" i="20"/>
  <c r="CD171" i="20"/>
  <c r="CD83" i="20"/>
  <c r="CC55" i="20"/>
  <c r="CE101" i="20"/>
  <c r="CE179" i="20"/>
  <c r="CE66" i="20"/>
  <c r="CE141" i="20"/>
  <c r="CE88" i="20"/>
  <c r="CJ58" i="20"/>
  <c r="CE117" i="20"/>
  <c r="CJ77" i="20"/>
  <c r="CD206" i="20"/>
  <c r="CD222" i="20"/>
  <c r="CE65" i="20"/>
  <c r="CJ54" i="20"/>
  <c r="CE104" i="20"/>
  <c r="CJ115" i="20"/>
  <c r="CD192" i="20"/>
  <c r="CJ71" i="20"/>
  <c r="CD106" i="20"/>
  <c r="CD81" i="20"/>
  <c r="CD191" i="20"/>
  <c r="CC145" i="20"/>
  <c r="CC144" i="20" s="1"/>
  <c r="CC76" i="20"/>
  <c r="CJ80" i="20"/>
  <c r="CE64" i="20"/>
  <c r="CJ110" i="20"/>
  <c r="CE93" i="20"/>
  <c r="CE205" i="20"/>
  <c r="CJ91" i="20"/>
  <c r="CJ55" i="20"/>
  <c r="CJ99" i="20"/>
  <c r="CD163" i="20"/>
  <c r="CC90" i="20"/>
  <c r="CC111" i="20"/>
  <c r="CC138" i="20"/>
  <c r="CC77" i="20"/>
  <c r="CC89" i="20"/>
  <c r="CC53" i="20"/>
  <c r="CC99" i="20"/>
  <c r="CJ89" i="20"/>
  <c r="CE87" i="20"/>
  <c r="CJ152" i="20"/>
  <c r="CE116" i="20"/>
  <c r="CE204" i="20"/>
  <c r="CJ111" i="20"/>
  <c r="CJ93" i="20"/>
  <c r="CD105" i="20"/>
  <c r="CD102" i="20"/>
  <c r="CJ69" i="20"/>
  <c r="CC78" i="20"/>
  <c r="CC54" i="20"/>
  <c r="CC88" i="20"/>
  <c r="CC123" i="20"/>
  <c r="CC112" i="20"/>
  <c r="CC209" i="20"/>
  <c r="BK209" i="20" s="1"/>
  <c r="AH207" i="25" s="1"/>
  <c r="CC164" i="20"/>
  <c r="CE80" i="20"/>
  <c r="CE135" i="20"/>
  <c r="CJ212" i="20"/>
  <c r="CE60" i="20"/>
  <c r="CD104" i="20"/>
  <c r="CJ156" i="20"/>
  <c r="CJ113" i="20"/>
  <c r="CK168" i="20"/>
  <c r="CC205" i="20"/>
  <c r="CE110" i="20"/>
  <c r="CE112" i="20"/>
  <c r="CE114" i="20"/>
  <c r="CE230" i="20"/>
  <c r="CJ209" i="20"/>
  <c r="CE81" i="20"/>
  <c r="CJ118" i="20"/>
  <c r="CJ129" i="20"/>
  <c r="CE92" i="20"/>
  <c r="CJ134" i="20"/>
  <c r="CJ200" i="20"/>
  <c r="CE105" i="20"/>
  <c r="CJ204" i="20"/>
  <c r="CE82" i="20"/>
  <c r="CL53" i="20"/>
  <c r="CD130" i="20"/>
  <c r="CF77" i="20"/>
  <c r="CD200" i="20"/>
  <c r="CH65" i="20"/>
  <c r="CD180" i="20"/>
  <c r="CH137" i="20"/>
  <c r="CI99" i="20"/>
  <c r="CJ66" i="20"/>
  <c r="CL76" i="20"/>
  <c r="CF84" i="20"/>
  <c r="CE52" i="20"/>
  <c r="CC106" i="20"/>
  <c r="CE221" i="20"/>
  <c r="CD152" i="20"/>
  <c r="CD82" i="20"/>
  <c r="CD209" i="20"/>
  <c r="CD213" i="20"/>
  <c r="CD59" i="20"/>
  <c r="CA79" i="20"/>
  <c r="CL64" i="20"/>
  <c r="CA102" i="20"/>
  <c r="CC124" i="20"/>
  <c r="CB145" i="20"/>
  <c r="CB144" i="20" s="1"/>
  <c r="CB115" i="20"/>
  <c r="CC80" i="20"/>
  <c r="CB204" i="20"/>
  <c r="CC167" i="20"/>
  <c r="CC70" i="20"/>
  <c r="CC141" i="20"/>
  <c r="CC199" i="20"/>
  <c r="CE222" i="20"/>
  <c r="CE159" i="20"/>
  <c r="CJ114" i="20"/>
  <c r="CE212" i="20"/>
  <c r="CE90" i="20"/>
  <c r="CC130" i="20"/>
  <c r="CJ106" i="20"/>
  <c r="CJ221" i="20"/>
  <c r="CE180" i="20"/>
  <c r="CJ128" i="20"/>
  <c r="CI104" i="20"/>
  <c r="CJ64" i="20"/>
  <c r="CE71" i="20"/>
  <c r="CD127" i="20"/>
  <c r="CD128" i="20"/>
  <c r="CF231" i="20"/>
  <c r="CD201" i="20"/>
  <c r="CD134" i="20"/>
  <c r="CD230" i="20"/>
  <c r="CD71" i="20"/>
  <c r="CB152" i="20"/>
  <c r="CB183" i="20"/>
  <c r="CB133" i="20"/>
  <c r="CC71" i="20"/>
  <c r="CC103" i="20"/>
  <c r="CC151" i="20"/>
  <c r="CC156" i="20"/>
  <c r="CC93" i="20"/>
  <c r="CC175" i="20"/>
  <c r="CC84" i="20"/>
  <c r="CJ184" i="20"/>
  <c r="CE55" i="20"/>
  <c r="CE115" i="20"/>
  <c r="CC129" i="20"/>
  <c r="CJ213" i="20"/>
  <c r="CH139" i="20"/>
  <c r="CE155" i="20"/>
  <c r="CJ72" i="20"/>
  <c r="CL54" i="20"/>
  <c r="CJ159" i="20"/>
  <c r="CE229" i="20"/>
  <c r="CF156" i="20"/>
  <c r="CH101" i="20"/>
  <c r="CD89" i="20"/>
  <c r="CD112" i="20"/>
  <c r="CI107" i="20"/>
  <c r="CL55" i="20"/>
  <c r="CI88" i="20"/>
  <c r="CC184" i="20"/>
  <c r="CB68" i="20"/>
  <c r="CB88" i="20"/>
  <c r="CC69" i="20"/>
  <c r="CC126" i="20"/>
  <c r="CC210" i="20"/>
  <c r="BK210" i="20" s="1"/>
  <c r="AH208" i="25" s="1"/>
  <c r="CC68" i="20"/>
  <c r="CC139" i="20"/>
  <c r="CC159" i="20"/>
  <c r="CC140" i="20"/>
  <c r="CE72" i="20"/>
  <c r="CE140" i="20"/>
  <c r="CF130" i="20"/>
  <c r="CJ53" i="20"/>
  <c r="CI59" i="20"/>
  <c r="CE183" i="20"/>
  <c r="CJ116" i="20"/>
  <c r="CE69" i="20"/>
  <c r="CJ92" i="20"/>
  <c r="CD175" i="20"/>
  <c r="CF206" i="20"/>
  <c r="CD107" i="20"/>
  <c r="CD167" i="20"/>
  <c r="CH192" i="20"/>
  <c r="CD77" i="20"/>
  <c r="CD79" i="20"/>
  <c r="CH229" i="20"/>
  <c r="CA137" i="20"/>
  <c r="BZ94" i="20"/>
  <c r="CA94" i="20"/>
  <c r="CL78" i="20"/>
  <c r="CC81" i="20"/>
  <c r="CE94" i="20"/>
  <c r="CC155" i="20"/>
  <c r="CJ199" i="20"/>
  <c r="CD124" i="20"/>
  <c r="CD60" i="20"/>
  <c r="CH224" i="20"/>
  <c r="CB91" i="20"/>
  <c r="CL79" i="20"/>
  <c r="BZ64" i="20"/>
  <c r="CB95" i="20"/>
  <c r="BZ113" i="20"/>
  <c r="CA52" i="20"/>
  <c r="CJ95" i="20"/>
  <c r="CE184" i="20"/>
  <c r="CJ79" i="20"/>
  <c r="CD129" i="20"/>
  <c r="CD211" i="20"/>
  <c r="CD151" i="20"/>
  <c r="CD199" i="20"/>
  <c r="CD118" i="20"/>
  <c r="CB92" i="20"/>
  <c r="CB140" i="20"/>
  <c r="CB171" i="20"/>
  <c r="CA230" i="20"/>
  <c r="CA106" i="20"/>
  <c r="CA135" i="20"/>
  <c r="CA116" i="20"/>
  <c r="CA179" i="20"/>
  <c r="BZ159" i="20"/>
  <c r="CA88" i="20"/>
  <c r="CB90" i="20"/>
  <c r="CB164" i="20"/>
  <c r="CB163" i="20"/>
  <c r="BZ55" i="20"/>
  <c r="CD125" i="20"/>
  <c r="CK79" i="20"/>
  <c r="CD95" i="20"/>
  <c r="CD65" i="20"/>
  <c r="CI114" i="20"/>
  <c r="CD179" i="20"/>
  <c r="CD67" i="20"/>
  <c r="CD94" i="20"/>
  <c r="CD101" i="20"/>
  <c r="CD52" i="20"/>
  <c r="CD155" i="20"/>
  <c r="CI66" i="20"/>
  <c r="CL100" i="20"/>
  <c r="BZ200" i="20"/>
  <c r="CJ222" i="20"/>
  <c r="CA164" i="20"/>
  <c r="CJ151" i="20"/>
  <c r="BZ175" i="20"/>
  <c r="BZ84" i="20"/>
  <c r="CA205" i="20"/>
  <c r="BZ83" i="20"/>
  <c r="BZ168" i="20"/>
  <c r="CA90" i="20"/>
  <c r="CF142" i="20"/>
  <c r="CI227" i="20"/>
  <c r="CD78" i="20"/>
  <c r="CD111" i="20"/>
  <c r="CD99" i="20"/>
  <c r="CD80" i="20"/>
  <c r="CD84" i="20"/>
  <c r="CD92" i="20"/>
  <c r="CD227" i="20"/>
  <c r="CD141" i="20"/>
  <c r="CD160" i="20"/>
  <c r="CF65" i="20"/>
  <c r="BZ93" i="20"/>
  <c r="CA180" i="20"/>
  <c r="CF105" i="20"/>
  <c r="CE134" i="20"/>
  <c r="CJ167" i="20"/>
  <c r="CE211" i="20"/>
  <c r="CH91" i="20"/>
  <c r="CJ82" i="20"/>
  <c r="BZ106" i="20"/>
  <c r="BZ155" i="20"/>
  <c r="CJ164" i="20"/>
  <c r="CJ138" i="20"/>
  <c r="CA129" i="20"/>
  <c r="CE164" i="20"/>
  <c r="CA168" i="20"/>
  <c r="CB159" i="20"/>
  <c r="CK213" i="20"/>
  <c r="CA159" i="20"/>
  <c r="BZ123" i="20"/>
  <c r="BZ72" i="20"/>
  <c r="CA93" i="20"/>
  <c r="CA134" i="20"/>
  <c r="CA139" i="20"/>
  <c r="BZ102" i="20"/>
  <c r="CA66" i="20"/>
  <c r="CA113" i="20"/>
  <c r="CB96" i="20"/>
  <c r="CD196" i="20"/>
  <c r="CD138" i="20"/>
  <c r="CD135" i="20"/>
  <c r="CD66" i="20"/>
  <c r="CD114" i="20"/>
  <c r="CD228" i="20"/>
  <c r="CF124" i="20"/>
  <c r="CD117" i="20"/>
  <c r="CD164" i="20"/>
  <c r="CD122" i="20"/>
  <c r="CD172" i="20"/>
  <c r="CL200" i="20"/>
  <c r="BZ70" i="20"/>
  <c r="CE79" i="20"/>
  <c r="CE129" i="20"/>
  <c r="CE102" i="20"/>
  <c r="CJ130" i="20"/>
  <c r="CA167" i="20"/>
  <c r="CJ168" i="20"/>
  <c r="CF176" i="20"/>
  <c r="CA176" i="20"/>
  <c r="CJ135" i="20"/>
  <c r="CJ60" i="20"/>
  <c r="BZ127" i="20"/>
  <c r="CA184" i="20"/>
  <c r="CH156" i="20"/>
  <c r="CF179" i="20"/>
  <c r="BZ222" i="20"/>
  <c r="CK180" i="20"/>
  <c r="CF83" i="20"/>
  <c r="CB107" i="20"/>
  <c r="CA206" i="20"/>
  <c r="BZ91" i="20"/>
  <c r="BZ138" i="20"/>
  <c r="CA78" i="20"/>
  <c r="CA115" i="20"/>
  <c r="BZ88" i="20"/>
  <c r="BZ67" i="20"/>
  <c r="BZ53" i="20"/>
  <c r="CA92" i="20"/>
  <c r="BZ231" i="20"/>
  <c r="CA89" i="20"/>
  <c r="CA231" i="20"/>
  <c r="CA141" i="20"/>
  <c r="BZ65" i="20"/>
  <c r="CC168" i="20"/>
  <c r="CC228" i="20"/>
  <c r="CC160" i="20"/>
  <c r="CC95" i="20"/>
  <c r="CC201" i="20"/>
  <c r="CB151" i="20"/>
  <c r="CB57" i="20"/>
  <c r="CB117" i="20"/>
  <c r="CB138" i="20"/>
  <c r="CB76" i="20"/>
  <c r="CB227" i="20"/>
  <c r="CB112" i="20"/>
  <c r="CA99" i="20"/>
  <c r="BZ152" i="20"/>
  <c r="CA60" i="20"/>
  <c r="CB201" i="20"/>
  <c r="CB134" i="20"/>
  <c r="CB139" i="20"/>
  <c r="CB58" i="20"/>
  <c r="CB229" i="20"/>
  <c r="CB79" i="20"/>
  <c r="CJ218" i="20"/>
  <c r="CD88" i="20"/>
  <c r="CK228" i="20"/>
  <c r="CH205" i="20"/>
  <c r="CF229" i="20"/>
  <c r="CJ180" i="20"/>
  <c r="CL56" i="20"/>
  <c r="CI87" i="20"/>
  <c r="CF160" i="20"/>
  <c r="CA152" i="20"/>
  <c r="CJ117" i="20"/>
  <c r="CF168" i="20"/>
  <c r="BZ201" i="20"/>
  <c r="CH71" i="20"/>
  <c r="CF107" i="20"/>
  <c r="CC104" i="20"/>
  <c r="CB184" i="20"/>
  <c r="CI64" i="20"/>
  <c r="CB84" i="20"/>
  <c r="BW84" i="20" s="1"/>
  <c r="BZ164" i="20"/>
  <c r="BZ101" i="20"/>
  <c r="CA122" i="20"/>
  <c r="BZ124" i="20"/>
  <c r="CA136" i="20"/>
  <c r="CA227" i="20"/>
  <c r="BZ141" i="20"/>
  <c r="CA56" i="20"/>
  <c r="CA77" i="20"/>
  <c r="BZ140" i="20"/>
  <c r="BZ92" i="20"/>
  <c r="BZ230" i="20"/>
  <c r="BZ57" i="20"/>
  <c r="BZ78" i="20"/>
  <c r="CC163" i="20"/>
  <c r="CC122" i="20"/>
  <c r="CB200" i="20"/>
  <c r="CC72" i="20"/>
  <c r="CB175" i="20"/>
  <c r="CC200" i="20"/>
  <c r="CB222" i="20"/>
  <c r="CC66" i="20"/>
  <c r="CC110" i="20"/>
  <c r="CC206" i="20"/>
  <c r="CB127" i="20"/>
  <c r="CB103" i="20"/>
  <c r="CC113" i="20"/>
  <c r="CB135" i="20"/>
  <c r="CC67" i="20"/>
  <c r="CB80" i="20"/>
  <c r="CB55" i="20"/>
  <c r="CB102" i="20"/>
  <c r="BW102" i="20" s="1"/>
  <c r="CB110" i="20"/>
  <c r="CB129" i="20"/>
  <c r="CB126" i="20"/>
  <c r="BZ125" i="20"/>
  <c r="CB141" i="20"/>
  <c r="CI68" i="20"/>
  <c r="CA140" i="20"/>
  <c r="BZ87" i="20"/>
  <c r="BZ77" i="20"/>
  <c r="BZ136" i="20"/>
  <c r="CA125" i="20"/>
  <c r="BZ56" i="20"/>
  <c r="BZ227" i="20"/>
  <c r="CB101" i="20"/>
  <c r="CB179" i="20"/>
  <c r="CB87" i="20"/>
  <c r="CB122" i="20"/>
  <c r="CD223" i="20"/>
  <c r="CK67" i="20"/>
  <c r="CD90" i="20"/>
  <c r="CK140" i="20"/>
  <c r="CD93" i="20"/>
  <c r="CD115" i="20"/>
  <c r="CD139" i="20"/>
  <c r="CD64" i="20"/>
  <c r="CD156" i="20"/>
  <c r="CD229" i="20"/>
  <c r="CD56" i="20"/>
  <c r="CI117" i="20"/>
  <c r="CI191" i="20"/>
  <c r="CL65" i="20"/>
  <c r="CF222" i="20"/>
  <c r="CJ145" i="20"/>
  <c r="CJ144" i="20" s="1"/>
  <c r="CH227" i="20"/>
  <c r="CH222" i="20"/>
  <c r="CE128" i="20"/>
  <c r="CA175" i="20"/>
  <c r="CC105" i="20"/>
  <c r="CA183" i="20"/>
  <c r="CI77" i="20"/>
  <c r="CK184" i="20"/>
  <c r="CB128" i="20"/>
  <c r="CC82" i="20"/>
  <c r="BZ205" i="20"/>
  <c r="BZ151" i="20"/>
  <c r="CA55" i="20"/>
  <c r="BZ90" i="20"/>
  <c r="CA117" i="20"/>
  <c r="BZ135" i="20"/>
  <c r="BZ115" i="20"/>
  <c r="BZ229" i="20"/>
  <c r="CB118" i="20"/>
  <c r="CB81" i="20"/>
  <c r="CD70" i="20"/>
  <c r="CD210" i="20"/>
  <c r="CI200" i="20"/>
  <c r="CD113" i="20"/>
  <c r="CH105" i="20"/>
  <c r="CK139" i="20"/>
  <c r="CE106" i="20"/>
  <c r="CJ103" i="20"/>
  <c r="CE206" i="20"/>
  <c r="CJ101" i="20"/>
  <c r="CA107" i="20"/>
  <c r="CE54" i="20"/>
  <c r="CJ155" i="20"/>
  <c r="CA53" i="20"/>
  <c r="CJ122" i="20"/>
  <c r="CB82" i="20"/>
  <c r="CE213" i="20"/>
  <c r="BZ156" i="20"/>
  <c r="CI71" i="20"/>
  <c r="CJ160" i="20"/>
  <c r="CJ78" i="20"/>
  <c r="BZ82" i="20"/>
  <c r="CA171" i="20"/>
  <c r="CL77" i="20"/>
  <c r="CA127" i="20"/>
  <c r="CA67" i="20"/>
  <c r="BZ59" i="20"/>
  <c r="CA64" i="20"/>
  <c r="CA124" i="20"/>
  <c r="BZ76" i="20"/>
  <c r="CA111" i="20"/>
  <c r="BZ118" i="20"/>
  <c r="BZ122" i="20"/>
  <c r="CA228" i="20"/>
  <c r="BZ95" i="20"/>
  <c r="CA58" i="20"/>
  <c r="BZ114" i="20"/>
  <c r="BZ58" i="20"/>
  <c r="BZ126" i="20"/>
  <c r="CC176" i="20"/>
  <c r="CC57" i="20"/>
  <c r="CB168" i="20"/>
  <c r="CC204" i="20"/>
  <c r="CC116" i="20"/>
  <c r="CC137" i="20"/>
  <c r="CC213" i="20"/>
  <c r="BK213" i="20" s="1"/>
  <c r="AH211" i="25" s="1"/>
  <c r="CB206" i="20"/>
  <c r="CB59" i="20"/>
  <c r="CC152" i="20"/>
  <c r="CB71" i="20"/>
  <c r="CB167" i="20"/>
  <c r="CB124" i="20"/>
  <c r="CB60" i="20"/>
  <c r="CB72" i="20"/>
  <c r="CB69" i="20"/>
  <c r="CB66" i="20"/>
  <c r="CB111" i="20"/>
  <c r="BZ80" i="20"/>
  <c r="CA76" i="20"/>
  <c r="CI81" i="20"/>
  <c r="CI58" i="20"/>
  <c r="CB156" i="20"/>
  <c r="CB99" i="20"/>
  <c r="CB114" i="20"/>
  <c r="CB93" i="20"/>
  <c r="CB56" i="20"/>
  <c r="CB113" i="20"/>
  <c r="CB89" i="20"/>
  <c r="CB125" i="20"/>
  <c r="CA105" i="20"/>
  <c r="CA145" i="20"/>
  <c r="CA144" i="20" s="1"/>
  <c r="CA72" i="20"/>
  <c r="CA110" i="20"/>
  <c r="BZ137" i="20"/>
  <c r="CA103" i="20"/>
  <c r="CA123" i="20"/>
  <c r="CA229" i="20"/>
  <c r="BZ89" i="20"/>
  <c r="BZ68" i="20"/>
  <c r="BZ117" i="20"/>
  <c r="CD55" i="20"/>
  <c r="CK167" i="20"/>
  <c r="CH135" i="20"/>
  <c r="CD204" i="20"/>
  <c r="CH176" i="20"/>
  <c r="CD123" i="20"/>
  <c r="CF135" i="20"/>
  <c r="CD69" i="20"/>
  <c r="CH163" i="20"/>
  <c r="CL201" i="20"/>
  <c r="CL123" i="20"/>
  <c r="BZ107" i="20"/>
  <c r="CJ83" i="20"/>
  <c r="CE168" i="20"/>
  <c r="CJ68" i="20"/>
  <c r="CE171" i="20"/>
  <c r="CL72" i="20"/>
  <c r="CJ179" i="20"/>
  <c r="BZ128" i="20"/>
  <c r="CA200" i="20"/>
  <c r="CE228" i="20"/>
  <c r="CJ126" i="20"/>
  <c r="CA84" i="20"/>
  <c r="CE167" i="20"/>
  <c r="BZ179" i="20"/>
  <c r="CL81" i="20"/>
  <c r="CJ133" i="20"/>
  <c r="CJ140" i="20"/>
  <c r="CA128" i="20"/>
  <c r="CL95" i="20"/>
  <c r="BZ81" i="20"/>
  <c r="CA160" i="20"/>
  <c r="CA80" i="20"/>
  <c r="CA199" i="20"/>
  <c r="BZ111" i="20"/>
  <c r="CA91" i="20"/>
  <c r="BZ139" i="20"/>
  <c r="CA65" i="20"/>
  <c r="BZ100" i="20"/>
  <c r="BZ69" i="20"/>
  <c r="CA133" i="20"/>
  <c r="BZ103" i="20"/>
  <c r="BZ104" i="20"/>
  <c r="BZ228" i="20"/>
  <c r="CA69" i="20"/>
  <c r="CA95" i="20"/>
  <c r="CA68" i="20"/>
  <c r="BV68" i="20" s="1"/>
  <c r="CB205" i="20"/>
  <c r="CB53" i="20"/>
  <c r="CB172" i="20"/>
  <c r="CB180" i="20"/>
  <c r="CB123" i="20"/>
  <c r="CB65" i="20"/>
  <c r="CB67" i="20"/>
  <c r="CB78" i="20"/>
  <c r="CB70" i="20"/>
  <c r="CA126" i="20"/>
  <c r="CB54" i="20"/>
  <c r="CB137" i="20"/>
  <c r="CB230" i="20"/>
  <c r="CB221" i="20"/>
  <c r="CB155" i="20"/>
  <c r="BZ110" i="20"/>
  <c r="BZ79" i="20"/>
  <c r="BZ99" i="20"/>
  <c r="CA54" i="20"/>
  <c r="BZ71" i="20"/>
  <c r="BZ112" i="20"/>
  <c r="BZ176" i="20"/>
  <c r="CB64" i="20"/>
  <c r="CB199" i="20"/>
  <c r="CA101" i="20"/>
  <c r="CB52" i="20"/>
  <c r="CB176" i="20"/>
  <c r="CA114" i="20"/>
  <c r="CA112" i="20"/>
  <c r="BV112" i="20" s="1"/>
  <c r="BI112" i="20" s="1"/>
  <c r="AF110" i="25" s="1"/>
  <c r="CA82" i="20"/>
  <c r="CA70" i="20"/>
  <c r="CA87" i="20"/>
  <c r="BZ180" i="20"/>
  <c r="CE151" i="20"/>
  <c r="CB119" i="20"/>
  <c r="DS111" i="20"/>
  <c r="DT54" i="20"/>
  <c r="DU140" i="20"/>
  <c r="DT126" i="20"/>
  <c r="DV146" i="20"/>
  <c r="DV56" i="20"/>
  <c r="DV134" i="20"/>
  <c r="DR103" i="20"/>
  <c r="DP70" i="20"/>
  <c r="DR129" i="20"/>
  <c r="DR210" i="20"/>
  <c r="DS145" i="20"/>
  <c r="DV90" i="20"/>
  <c r="DS205" i="20"/>
  <c r="DR221" i="20"/>
  <c r="DP211" i="20"/>
  <c r="DU212" i="20"/>
  <c r="DP91" i="20"/>
  <c r="DV221" i="20"/>
  <c r="DS87" i="20"/>
  <c r="DR84" i="20"/>
  <c r="DP71" i="20"/>
  <c r="DT104" i="20"/>
  <c r="DT81" i="20"/>
  <c r="DR104" i="20"/>
  <c r="DS69" i="20"/>
  <c r="DV52" i="20"/>
  <c r="DV122" i="20"/>
  <c r="DP204" i="20"/>
  <c r="DP201" i="20"/>
  <c r="DN227" i="20"/>
  <c r="DV60" i="20"/>
  <c r="DV140" i="20"/>
  <c r="DS110" i="20"/>
  <c r="DU210" i="20"/>
  <c r="DP87" i="20"/>
  <c r="DN136" i="20"/>
  <c r="DN105" i="20"/>
  <c r="DV106" i="20"/>
  <c r="DS107" i="20"/>
  <c r="DS102" i="20"/>
  <c r="DU230" i="20"/>
  <c r="DU82" i="20"/>
  <c r="DP122" i="20"/>
  <c r="DV82" i="20"/>
  <c r="DS127" i="20"/>
  <c r="DS135" i="20"/>
  <c r="DN82" i="20"/>
  <c r="DU102" i="20"/>
  <c r="DU141" i="20"/>
  <c r="DV114" i="20"/>
  <c r="DS68" i="20"/>
  <c r="DR204" i="20"/>
  <c r="DN107" i="20"/>
  <c r="DU201" i="20"/>
  <c r="DT102" i="20"/>
  <c r="DT60" i="20"/>
  <c r="DR76" i="20"/>
  <c r="DP76" i="20"/>
  <c r="DT59" i="20"/>
  <c r="DV66" i="20"/>
  <c r="DS65" i="20"/>
  <c r="DS104" i="20"/>
  <c r="DR93" i="20"/>
  <c r="DP77" i="20"/>
  <c r="DR205" i="20"/>
  <c r="DR94" i="20"/>
  <c r="DS122" i="20"/>
  <c r="DV70" i="20"/>
  <c r="DS137" i="20"/>
  <c r="DS52" i="20"/>
  <c r="DV67" i="20"/>
  <c r="DP114" i="20"/>
  <c r="DU54" i="20"/>
  <c r="DT222" i="20"/>
  <c r="DR211" i="20"/>
  <c r="DT124" i="20"/>
  <c r="DU221" i="20"/>
  <c r="DU227" i="20"/>
  <c r="DP102" i="20"/>
  <c r="DU59" i="20"/>
  <c r="DN81" i="20"/>
  <c r="DT79" i="20"/>
  <c r="DR89" i="20"/>
  <c r="DN206" i="20"/>
  <c r="DU228" i="20"/>
  <c r="DR77" i="20"/>
  <c r="DR80" i="20"/>
  <c r="DN146" i="20"/>
  <c r="DV71" i="20"/>
  <c r="DR106" i="20"/>
  <c r="DT110" i="20"/>
  <c r="DN222" i="20"/>
  <c r="DV204" i="20"/>
  <c r="DU64" i="20"/>
  <c r="DR148" i="20"/>
  <c r="DT148" i="20"/>
  <c r="DN135" i="20"/>
  <c r="DT106" i="20"/>
  <c r="DR71" i="20"/>
  <c r="DN113" i="20"/>
  <c r="DR58" i="20"/>
  <c r="DR199" i="20"/>
  <c r="DN54" i="20"/>
  <c r="DS56" i="20"/>
  <c r="DU122" i="20"/>
  <c r="DT146" i="20"/>
  <c r="DT78" i="20"/>
  <c r="DN67" i="20"/>
  <c r="DR139" i="20"/>
  <c r="DV126" i="20"/>
  <c r="DV65" i="20"/>
  <c r="DV69" i="20"/>
  <c r="DS81" i="20"/>
  <c r="DV210" i="20"/>
  <c r="DP72" i="20"/>
  <c r="DP118" i="20"/>
  <c r="DP89" i="20"/>
  <c r="DP227" i="20"/>
  <c r="DT128" i="20"/>
  <c r="DT70" i="20"/>
  <c r="DN205" i="20"/>
  <c r="DU81" i="20"/>
  <c r="DR122" i="20"/>
  <c r="DV138" i="20"/>
  <c r="DV76" i="20"/>
  <c r="DR60" i="20"/>
  <c r="DV88" i="20"/>
  <c r="DV81" i="20"/>
  <c r="DP124" i="20"/>
  <c r="DP221" i="20"/>
  <c r="DN145" i="20"/>
  <c r="DU107" i="20"/>
  <c r="DT55" i="20"/>
  <c r="DV54" i="20"/>
  <c r="DN84" i="20"/>
  <c r="DT206" i="20"/>
  <c r="DN221" i="20"/>
  <c r="DU100" i="20"/>
  <c r="DV130" i="20"/>
  <c r="DU127" i="20"/>
  <c r="DT83" i="20"/>
  <c r="DN104" i="20"/>
  <c r="DN130" i="20"/>
  <c r="DR134" i="20"/>
  <c r="DN118" i="20"/>
  <c r="DP126" i="20"/>
  <c r="DP110" i="20"/>
  <c r="DP229" i="20"/>
  <c r="DR105" i="20"/>
  <c r="DT116" i="20"/>
  <c r="DS116" i="20"/>
  <c r="DN95" i="20"/>
  <c r="DV72" i="20"/>
  <c r="DV57" i="20"/>
  <c r="DV55" i="20"/>
  <c r="DS55" i="20"/>
  <c r="DP136" i="20"/>
  <c r="DU58" i="20"/>
  <c r="DR78" i="20"/>
  <c r="DT136" i="20"/>
  <c r="DT200" i="20"/>
  <c r="DS67" i="20"/>
  <c r="DN57" i="20"/>
  <c r="DS129" i="20"/>
  <c r="DS72" i="20"/>
  <c r="DV94" i="20"/>
  <c r="DS113" i="20"/>
  <c r="DP106" i="20"/>
  <c r="DR79" i="20"/>
  <c r="DR113" i="20"/>
  <c r="DN115" i="20"/>
  <c r="DN124" i="20"/>
  <c r="DU84" i="20"/>
  <c r="DR69" i="20"/>
  <c r="DR53" i="20"/>
  <c r="DT100" i="20"/>
  <c r="DO72" i="20"/>
  <c r="DN88" i="20"/>
  <c r="DV110" i="20"/>
  <c r="DS115" i="20"/>
  <c r="DS64" i="20"/>
  <c r="DP105" i="20"/>
  <c r="DR70" i="20"/>
  <c r="DR222" i="20"/>
  <c r="DP99" i="20"/>
  <c r="DN58" i="20"/>
  <c r="DN99" i="20"/>
  <c r="DU106" i="20"/>
  <c r="DT94" i="20"/>
  <c r="DT52" i="20"/>
  <c r="DU213" i="20"/>
  <c r="DS100" i="20"/>
  <c r="DV200" i="20"/>
  <c r="DP123" i="20"/>
  <c r="DP222" i="20"/>
  <c r="DR116" i="20"/>
  <c r="DP95" i="20"/>
  <c r="DN126" i="20"/>
  <c r="DN59" i="20"/>
  <c r="DU128" i="20"/>
  <c r="DT134" i="20"/>
  <c r="DT90" i="20"/>
  <c r="DV87" i="20"/>
  <c r="DR112" i="20"/>
  <c r="DT69" i="20"/>
  <c r="DV77" i="20"/>
  <c r="DV79" i="20"/>
  <c r="DS59" i="20"/>
  <c r="DV124" i="20"/>
  <c r="DS77" i="20"/>
  <c r="DP60" i="20"/>
  <c r="DP83" i="20"/>
  <c r="DM135" i="20"/>
  <c r="DP145" i="20"/>
  <c r="DN69" i="20"/>
  <c r="DN52" i="20"/>
  <c r="DU200" i="20"/>
  <c r="DT212" i="20"/>
  <c r="DS141" i="20"/>
  <c r="DV92" i="20"/>
  <c r="DR213" i="20"/>
  <c r="DV93" i="20"/>
  <c r="DV59" i="20"/>
  <c r="DS91" i="20"/>
  <c r="DP81" i="20"/>
  <c r="DM138" i="20"/>
  <c r="DR83" i="20"/>
  <c r="DS99" i="20"/>
  <c r="DU211" i="20"/>
  <c r="DT130" i="20"/>
  <c r="DU69" i="20"/>
  <c r="DV212" i="20"/>
  <c r="DV116" i="20"/>
  <c r="DV78" i="20"/>
  <c r="DS84" i="20"/>
  <c r="DP94" i="20"/>
  <c r="DP79" i="20"/>
  <c r="DN231" i="20"/>
  <c r="DU222" i="20"/>
  <c r="DS94" i="20"/>
  <c r="DS101" i="20"/>
  <c r="DU206" i="20"/>
  <c r="DP133" i="20"/>
  <c r="DM145" i="20"/>
  <c r="DP135" i="20"/>
  <c r="DP148" i="20"/>
  <c r="DP200" i="20"/>
  <c r="DL139" i="20"/>
  <c r="DR100" i="20"/>
  <c r="DN127" i="20"/>
  <c r="DS199" i="20"/>
  <c r="DR114" i="20"/>
  <c r="DR65" i="20"/>
  <c r="DO60" i="20"/>
  <c r="DT210" i="20"/>
  <c r="DN111" i="20"/>
  <c r="DN64" i="20"/>
  <c r="DU229" i="20"/>
  <c r="DN229" i="20"/>
  <c r="DV58" i="20"/>
  <c r="DS57" i="20"/>
  <c r="DL118" i="20"/>
  <c r="DL52" i="20"/>
  <c r="DP80" i="20"/>
  <c r="DS79" i="20"/>
  <c r="DS133" i="20"/>
  <c r="DV206" i="20"/>
  <c r="DS88" i="20"/>
  <c r="DV222" i="20"/>
  <c r="DT129" i="20"/>
  <c r="DP73" i="20"/>
  <c r="DK70" i="20"/>
  <c r="DM93" i="20"/>
  <c r="DM56" i="20"/>
  <c r="DR55" i="20"/>
  <c r="DT84" i="20"/>
  <c r="DV139" i="20"/>
  <c r="DU146" i="20"/>
  <c r="DL91" i="20"/>
  <c r="DM205" i="20"/>
  <c r="DM107" i="20"/>
  <c r="DO140" i="20"/>
  <c r="DP134" i="20"/>
  <c r="DP205" i="20"/>
  <c r="DO146" i="20"/>
  <c r="DS123" i="20"/>
  <c r="DS201" i="20"/>
  <c r="DT138" i="20"/>
  <c r="DT65" i="20"/>
  <c r="DV101" i="20"/>
  <c r="DT230" i="20"/>
  <c r="DP92" i="20"/>
  <c r="DP103" i="20"/>
  <c r="DP66" i="20"/>
  <c r="DM106" i="20"/>
  <c r="DS105" i="20"/>
  <c r="DT53" i="20"/>
  <c r="DS71" i="20"/>
  <c r="DN230" i="20"/>
  <c r="DR56" i="20"/>
  <c r="DT67" i="20"/>
  <c r="DU138" i="20"/>
  <c r="DU147" i="20"/>
  <c r="DV135" i="20"/>
  <c r="DP100" i="20"/>
  <c r="DL83" i="20"/>
  <c r="DP78" i="20"/>
  <c r="DP57" i="20"/>
  <c r="DS54" i="20"/>
  <c r="DR145" i="20"/>
  <c r="DP82" i="20"/>
  <c r="DS106" i="20"/>
  <c r="DT77" i="20"/>
  <c r="DS118" i="20"/>
  <c r="DN201" i="20"/>
  <c r="DT140" i="20"/>
  <c r="DU116" i="20"/>
  <c r="DU114" i="20"/>
  <c r="DU204" i="20"/>
  <c r="DU101" i="20"/>
  <c r="DL81" i="20"/>
  <c r="DL128" i="20"/>
  <c r="DP101" i="20"/>
  <c r="DR136" i="20"/>
  <c r="DS83" i="20"/>
  <c r="DR95" i="20"/>
  <c r="DS147" i="20"/>
  <c r="DN133" i="20"/>
  <c r="DT58" i="20"/>
  <c r="DU92" i="20"/>
  <c r="DV128" i="20"/>
  <c r="DU118" i="20"/>
  <c r="DR117" i="20"/>
  <c r="DL84" i="20"/>
  <c r="DP128" i="20"/>
  <c r="DP231" i="20"/>
  <c r="DP58" i="20"/>
  <c r="DS139" i="20"/>
  <c r="DS66" i="20"/>
  <c r="DR138" i="20"/>
  <c r="DV53" i="20"/>
  <c r="DR68" i="20"/>
  <c r="DS89" i="20"/>
  <c r="DN93" i="20"/>
  <c r="DR87" i="20"/>
  <c r="DU68" i="20"/>
  <c r="DT112" i="20"/>
  <c r="DU88" i="20"/>
  <c r="DU130" i="20"/>
  <c r="DV100" i="20"/>
  <c r="DR59" i="20"/>
  <c r="DV118" i="20"/>
  <c r="DN100" i="20"/>
  <c r="DU67" i="20"/>
  <c r="DT66" i="20"/>
  <c r="DT57" i="20"/>
  <c r="DS200" i="20"/>
  <c r="DP53" i="20"/>
  <c r="DO145" i="20"/>
  <c r="DV68" i="20"/>
  <c r="DR90" i="20"/>
  <c r="DV80" i="20"/>
  <c r="DN114" i="20"/>
  <c r="DT228" i="20"/>
  <c r="DU125" i="20"/>
  <c r="DT88" i="20"/>
  <c r="DU145" i="20"/>
  <c r="DT209" i="20"/>
  <c r="DM139" i="20"/>
  <c r="DM210" i="20"/>
  <c r="DS58" i="20"/>
  <c r="DR101" i="20"/>
  <c r="DT122" i="20"/>
  <c r="DN228" i="20"/>
  <c r="DT80" i="20"/>
  <c r="DN138" i="20"/>
  <c r="DV113" i="20"/>
  <c r="DU103" i="20"/>
  <c r="DU205" i="20"/>
  <c r="DO79" i="20"/>
  <c r="DO105" i="20"/>
  <c r="DO67" i="20"/>
  <c r="DO71" i="20"/>
  <c r="DO103" i="20"/>
  <c r="DO126" i="20"/>
  <c r="DN204" i="20"/>
  <c r="DL146" i="20"/>
  <c r="DN140" i="20"/>
  <c r="DN87" i="20"/>
  <c r="DV64" i="20"/>
  <c r="DR82" i="20"/>
  <c r="DV231" i="20"/>
  <c r="DV141" i="20"/>
  <c r="DT92" i="20"/>
  <c r="DR115" i="20"/>
  <c r="DS80" i="20"/>
  <c r="DU139" i="20"/>
  <c r="DO205" i="20"/>
  <c r="DO134" i="20"/>
  <c r="DO59" i="20"/>
  <c r="DP90" i="20"/>
  <c r="DO221" i="20"/>
  <c r="DO82" i="20"/>
  <c r="DP88" i="20"/>
  <c r="DP93" i="20"/>
  <c r="DP147" i="20"/>
  <c r="DP210" i="20"/>
  <c r="DO88" i="20"/>
  <c r="DO135" i="20"/>
  <c r="DL82" i="20"/>
  <c r="DO76" i="20"/>
  <c r="DM81" i="20"/>
  <c r="DO53" i="20"/>
  <c r="DN134" i="20"/>
  <c r="DN213" i="20"/>
  <c r="DN125" i="20"/>
  <c r="DN66" i="20"/>
  <c r="DR118" i="20"/>
  <c r="DS125" i="20"/>
  <c r="DV211" i="20"/>
  <c r="DV89" i="20"/>
  <c r="DV228" i="20"/>
  <c r="DT64" i="20"/>
  <c r="DT91" i="20"/>
  <c r="DS60" i="20"/>
  <c r="DS78" i="20"/>
  <c r="DN122" i="20"/>
  <c r="DN102" i="20"/>
  <c r="DN76" i="20"/>
  <c r="DL229" i="20"/>
  <c r="DV112" i="20"/>
  <c r="DV104" i="20"/>
  <c r="DS70" i="20"/>
  <c r="DU199" i="20"/>
  <c r="DU89" i="20"/>
  <c r="DU148" i="20"/>
  <c r="DU78" i="20"/>
  <c r="DU136" i="20"/>
  <c r="DU55" i="20"/>
  <c r="DT117" i="20"/>
  <c r="DO58" i="20"/>
  <c r="DO206" i="20"/>
  <c r="DO69" i="20"/>
  <c r="DO57" i="20"/>
  <c r="DO212" i="20"/>
  <c r="DP112" i="20"/>
  <c r="DO147" i="20"/>
  <c r="DO87" i="20"/>
  <c r="DO104" i="20"/>
  <c r="DN116" i="20"/>
  <c r="DN92" i="20"/>
  <c r="DN117" i="20"/>
  <c r="DR102" i="20"/>
  <c r="DR110" i="20"/>
  <c r="DS93" i="20"/>
  <c r="DT56" i="20"/>
  <c r="DS117" i="20"/>
  <c r="DU137" i="20"/>
  <c r="DU112" i="20"/>
  <c r="DU83" i="20"/>
  <c r="DU104" i="20"/>
  <c r="DU53" i="20"/>
  <c r="DU135" i="20"/>
  <c r="DP146" i="20"/>
  <c r="DO70" i="20"/>
  <c r="DO141" i="20"/>
  <c r="DO116" i="20"/>
  <c r="DO112" i="20"/>
  <c r="DM209" i="20"/>
  <c r="DM221" i="20"/>
  <c r="DR126" i="20"/>
  <c r="DS92" i="20"/>
  <c r="DR135" i="20"/>
  <c r="DT68" i="20"/>
  <c r="DU113" i="20"/>
  <c r="DU80" i="20"/>
  <c r="DU133" i="20"/>
  <c r="DU76" i="20"/>
  <c r="DV102" i="20"/>
  <c r="DT229" i="20"/>
  <c r="DO91" i="20"/>
  <c r="DO64" i="20"/>
  <c r="DO210" i="20"/>
  <c r="DP137" i="20"/>
  <c r="DP140" i="20"/>
  <c r="DP68" i="20"/>
  <c r="DL88" i="20"/>
  <c r="DO95" i="20"/>
  <c r="DO80" i="20"/>
  <c r="DO231" i="20"/>
  <c r="DO213" i="20"/>
  <c r="DN83" i="20"/>
  <c r="DM137" i="20"/>
  <c r="DN106" i="20"/>
  <c r="DN53" i="20"/>
  <c r="DN129" i="20"/>
  <c r="DN71" i="20"/>
  <c r="DV201" i="20"/>
  <c r="DT118" i="20"/>
  <c r="DS76" i="20"/>
  <c r="DT87" i="20"/>
  <c r="DT82" i="20"/>
  <c r="DU77" i="20"/>
  <c r="DU105" i="20"/>
  <c r="DU79" i="20"/>
  <c r="DS204" i="20"/>
  <c r="DV129" i="20"/>
  <c r="DO129" i="20"/>
  <c r="DO230" i="20"/>
  <c r="DO90" i="20"/>
  <c r="DO136" i="20"/>
  <c r="DO114" i="20"/>
  <c r="DO125" i="20"/>
  <c r="DO111" i="20"/>
  <c r="DM113" i="20"/>
  <c r="DO200" i="20"/>
  <c r="DO99" i="20"/>
  <c r="DO66" i="20"/>
  <c r="DV133" i="20"/>
  <c r="DR52" i="20"/>
  <c r="DR111" i="20"/>
  <c r="DT76" i="20"/>
  <c r="DT71" i="20"/>
  <c r="DS112" i="20"/>
  <c r="DU87" i="20"/>
  <c r="DU65" i="20"/>
  <c r="DU129" i="20"/>
  <c r="DS134" i="20"/>
  <c r="DT147" i="20"/>
  <c r="DO102" i="20"/>
  <c r="DO127" i="20"/>
  <c r="DO77" i="20"/>
  <c r="DL210" i="20"/>
  <c r="DO122" i="20"/>
  <c r="DO199" i="20"/>
  <c r="DO65" i="20"/>
  <c r="DO54" i="20"/>
  <c r="DL58" i="20"/>
  <c r="DM89" i="20"/>
  <c r="DM77" i="20"/>
  <c r="DL141" i="20"/>
  <c r="DR57" i="20"/>
  <c r="DR123" i="20"/>
  <c r="DV145" i="20"/>
  <c r="DR88" i="20"/>
  <c r="DS95" i="20"/>
  <c r="DS90" i="20"/>
  <c r="DU209" i="20"/>
  <c r="DU111" i="20"/>
  <c r="DO133" i="20"/>
  <c r="DO222" i="20"/>
  <c r="DL228" i="20"/>
  <c r="DO81" i="20"/>
  <c r="DO83" i="20"/>
  <c r="DO113" i="20"/>
  <c r="DO52" i="20"/>
  <c r="DL124" i="20"/>
  <c r="DL114" i="20"/>
  <c r="DM59" i="20"/>
  <c r="DL205" i="20"/>
  <c r="DR54" i="20"/>
  <c r="DV117" i="20"/>
  <c r="DS53" i="20"/>
  <c r="DR67" i="20"/>
  <c r="DT139" i="20"/>
  <c r="DP125" i="20"/>
  <c r="DM227" i="20"/>
  <c r="DO139" i="20"/>
  <c r="DP138" i="20"/>
  <c r="DP107" i="20"/>
  <c r="DP129" i="20"/>
  <c r="DP104" i="20"/>
  <c r="DM211" i="20"/>
  <c r="DO138" i="20"/>
  <c r="DM228" i="20"/>
  <c r="DO107" i="20"/>
  <c r="DL105" i="20"/>
  <c r="DO148" i="20"/>
  <c r="DO100" i="20"/>
  <c r="DN212" i="20"/>
  <c r="DN68" i="20"/>
  <c r="DR201" i="20"/>
  <c r="DT221" i="20"/>
  <c r="DV91" i="20"/>
  <c r="DV230" i="20"/>
  <c r="DT204" i="20"/>
  <c r="DT114" i="20"/>
  <c r="DS114" i="20"/>
  <c r="DP113" i="20"/>
  <c r="DL227" i="20"/>
  <c r="DO130" i="20"/>
  <c r="DO92" i="20"/>
  <c r="DL59" i="20"/>
  <c r="DN94" i="20"/>
  <c r="DN200" i="20"/>
  <c r="DL106" i="20"/>
  <c r="DN55" i="20"/>
  <c r="DN147" i="20"/>
  <c r="DR72" i="20"/>
  <c r="DR231" i="20"/>
  <c r="DV127" i="20"/>
  <c r="DV227" i="20"/>
  <c r="DS130" i="20"/>
  <c r="DS146" i="20"/>
  <c r="DU134" i="20"/>
  <c r="DT135" i="20"/>
  <c r="DT123" i="20"/>
  <c r="DN217" i="20"/>
  <c r="DP142" i="20"/>
  <c r="DP111" i="20"/>
  <c r="DO209" i="20"/>
  <c r="DO55" i="20"/>
  <c r="DL206" i="20"/>
  <c r="DO211" i="20"/>
  <c r="DO84" i="20"/>
  <c r="DN110" i="20"/>
  <c r="DN137" i="20"/>
  <c r="DR91" i="20"/>
  <c r="DR81" i="20"/>
  <c r="DR147" i="20"/>
  <c r="DV103" i="20"/>
  <c r="DV105" i="20"/>
  <c r="DV209" i="20"/>
  <c r="DS126" i="20"/>
  <c r="DU60" i="20"/>
  <c r="DT111" i="20"/>
  <c r="DU66" i="20"/>
  <c r="DP64" i="20"/>
  <c r="DO110" i="20"/>
  <c r="DM53" i="20"/>
  <c r="DL231" i="20"/>
  <c r="DR107" i="20"/>
  <c r="DV137" i="20"/>
  <c r="DS103" i="20"/>
  <c r="DU70" i="20"/>
  <c r="DT211" i="20"/>
  <c r="DT137" i="20"/>
  <c r="DT89" i="20"/>
  <c r="DT213" i="20"/>
  <c r="DT201" i="20"/>
  <c r="DP54" i="20"/>
  <c r="DP206" i="20"/>
  <c r="DO123" i="20"/>
  <c r="DL230" i="20"/>
  <c r="DJ81" i="20"/>
  <c r="DS229" i="20"/>
  <c r="DP213" i="20"/>
  <c r="DP84" i="20"/>
  <c r="DN141" i="20"/>
  <c r="DM134" i="20"/>
  <c r="DN91" i="20"/>
  <c r="DL213" i="20"/>
  <c r="DN128" i="20"/>
  <c r="DN103" i="20"/>
  <c r="DN89" i="20"/>
  <c r="DN209" i="20"/>
  <c r="DO101" i="20"/>
  <c r="DR64" i="20"/>
  <c r="DV83" i="20"/>
  <c r="DU110" i="20"/>
  <c r="DR137" i="20"/>
  <c r="DV148" i="20"/>
  <c r="DU95" i="20"/>
  <c r="DT101" i="20"/>
  <c r="DT99" i="20"/>
  <c r="DV84" i="20"/>
  <c r="DU72" i="20"/>
  <c r="DL137" i="20"/>
  <c r="DO68" i="20"/>
  <c r="DM111" i="20"/>
  <c r="DL201" i="20"/>
  <c r="DM84" i="20"/>
  <c r="DN79" i="20"/>
  <c r="DN70" i="20"/>
  <c r="DO128" i="20"/>
  <c r="DM124" i="20"/>
  <c r="DR209" i="20"/>
  <c r="DV213" i="20"/>
  <c r="DU94" i="20"/>
  <c r="DS213" i="20"/>
  <c r="DT141" i="20"/>
  <c r="DU93" i="20"/>
  <c r="DO93" i="20"/>
  <c r="DN72" i="20"/>
  <c r="DR230" i="20"/>
  <c r="DU126" i="20"/>
  <c r="DV136" i="20"/>
  <c r="DT224" i="20"/>
  <c r="DP141" i="20"/>
  <c r="DP55" i="20"/>
  <c r="DP209" i="20"/>
  <c r="DO78" i="20"/>
  <c r="DL70" i="20"/>
  <c r="DO117" i="20"/>
  <c r="DL78" i="20"/>
  <c r="DM112" i="20"/>
  <c r="DN80" i="20"/>
  <c r="DL57" i="20"/>
  <c r="DM140" i="20"/>
  <c r="DN210" i="20"/>
  <c r="DM69" i="20"/>
  <c r="DP115" i="20"/>
  <c r="DR200" i="20"/>
  <c r="DV115" i="20"/>
  <c r="DV107" i="20"/>
  <c r="DS227" i="20"/>
  <c r="DU91" i="20"/>
  <c r="DT72" i="20"/>
  <c r="DS212" i="20"/>
  <c r="DU117" i="20"/>
  <c r="DT93" i="20"/>
  <c r="DL224" i="20"/>
  <c r="DP130" i="20"/>
  <c r="DL222" i="20"/>
  <c r="DM201" i="20"/>
  <c r="DN148" i="20"/>
  <c r="DM52" i="20"/>
  <c r="DR125" i="20"/>
  <c r="DR140" i="20"/>
  <c r="DR141" i="20"/>
  <c r="DR130" i="20"/>
  <c r="DS140" i="20"/>
  <c r="DS222" i="20"/>
  <c r="DS136" i="20"/>
  <c r="DV223" i="20"/>
  <c r="DR66" i="20"/>
  <c r="DV199" i="20"/>
  <c r="DR229" i="20"/>
  <c r="DS206" i="20"/>
  <c r="DT133" i="20"/>
  <c r="DS215" i="20"/>
  <c r="DU218" i="20"/>
  <c r="DM142" i="20"/>
  <c r="DP139" i="20"/>
  <c r="DP212" i="20"/>
  <c r="DP59" i="20"/>
  <c r="DP199" i="20"/>
  <c r="DK80" i="20"/>
  <c r="DO106" i="20"/>
  <c r="DO124" i="20"/>
  <c r="DL87" i="20"/>
  <c r="DM57" i="20"/>
  <c r="DR133" i="20"/>
  <c r="DV205" i="20"/>
  <c r="DV95" i="20"/>
  <c r="DT227" i="20"/>
  <c r="DU231" i="20"/>
  <c r="DP214" i="20"/>
  <c r="DN216" i="20"/>
  <c r="DJ93" i="20"/>
  <c r="DK112" i="20"/>
  <c r="DJ205" i="20"/>
  <c r="DK84" i="20"/>
  <c r="DJ72" i="20"/>
  <c r="DM146" i="20"/>
  <c r="DL93" i="20"/>
  <c r="DM123" i="20"/>
  <c r="DM126" i="20"/>
  <c r="DM100" i="20"/>
  <c r="DL135" i="20"/>
  <c r="DL136" i="20"/>
  <c r="DM72" i="20"/>
  <c r="DL110" i="20"/>
  <c r="DM82" i="20"/>
  <c r="DL104" i="20"/>
  <c r="DL111" i="20"/>
  <c r="DL125" i="20"/>
  <c r="DM147" i="20"/>
  <c r="DM115" i="20"/>
  <c r="DM79" i="20"/>
  <c r="DM206" i="20"/>
  <c r="DL126" i="20"/>
  <c r="DM83" i="20"/>
  <c r="DM78" i="20"/>
  <c r="DL212" i="20"/>
  <c r="DM213" i="20"/>
  <c r="DM101" i="20"/>
  <c r="DM64" i="20"/>
  <c r="DL76" i="20"/>
  <c r="DL127" i="20"/>
  <c r="DM133" i="20"/>
  <c r="DL129" i="20"/>
  <c r="DL199" i="20"/>
  <c r="DM128" i="20"/>
  <c r="DL54" i="20"/>
  <c r="DM80" i="20"/>
  <c r="DM54" i="20"/>
  <c r="DL71" i="20"/>
  <c r="DL102" i="20"/>
  <c r="DM130" i="20"/>
  <c r="DM116" i="20"/>
  <c r="DL79" i="20"/>
  <c r="DL211" i="20"/>
  <c r="DM231" i="20"/>
  <c r="DL92" i="20"/>
  <c r="DL67" i="20"/>
  <c r="DM65" i="20"/>
  <c r="DM127" i="20"/>
  <c r="DL94" i="20"/>
  <c r="DL147" i="20"/>
  <c r="DM229" i="20"/>
  <c r="DM102" i="20"/>
  <c r="DL103" i="20"/>
  <c r="DM230" i="20"/>
  <c r="DL53" i="20"/>
  <c r="DM68" i="20"/>
  <c r="DL122" i="20"/>
  <c r="DL90" i="20"/>
  <c r="DM55" i="20"/>
  <c r="DM104" i="20"/>
  <c r="DL115" i="20"/>
  <c r="DM105" i="20"/>
  <c r="DL95" i="20"/>
  <c r="DL209" i="20"/>
  <c r="DM60" i="20"/>
  <c r="DM70" i="20"/>
  <c r="DM129" i="20"/>
  <c r="DM88" i="20"/>
  <c r="DL123" i="20"/>
  <c r="DM92" i="20"/>
  <c r="DL64" i="20"/>
  <c r="DM95" i="20"/>
  <c r="DL112" i="20"/>
  <c r="DM67" i="20"/>
  <c r="DL145" i="20"/>
  <c r="DM58" i="20"/>
  <c r="DL117" i="20"/>
  <c r="DL60" i="20"/>
  <c r="DM90" i="20"/>
  <c r="DM204" i="20"/>
  <c r="DL140" i="20"/>
  <c r="DM66" i="20"/>
  <c r="DL148" i="20"/>
  <c r="DM117" i="20"/>
  <c r="DL89" i="20"/>
  <c r="DM118" i="20"/>
  <c r="DM222" i="20"/>
  <c r="DM99" i="20"/>
  <c r="DL55" i="20"/>
  <c r="DM71" i="20"/>
  <c r="DM125" i="20"/>
  <c r="DL72" i="20"/>
  <c r="DM199" i="20"/>
  <c r="DL77" i="20"/>
  <c r="DM136" i="20"/>
  <c r="DL116" i="20"/>
  <c r="DL130" i="20"/>
  <c r="DM122" i="20"/>
  <c r="DL66" i="20"/>
  <c r="DM103" i="20"/>
  <c r="DM141" i="20"/>
  <c r="DM114" i="20"/>
  <c r="DL100" i="20"/>
  <c r="DM94" i="20"/>
  <c r="DL101" i="20"/>
  <c r="DM200" i="20"/>
  <c r="DL138" i="20"/>
  <c r="DL80" i="20"/>
  <c r="DK103" i="20"/>
  <c r="DK113" i="20"/>
  <c r="DK105" i="20"/>
  <c r="DJ118" i="20"/>
  <c r="DJ141" i="20"/>
  <c r="DK78" i="20"/>
  <c r="DR119" i="20"/>
  <c r="DM216" i="20"/>
  <c r="DS214" i="20"/>
  <c r="DU123" i="20"/>
  <c r="DU90" i="20"/>
  <c r="DT145" i="20"/>
  <c r="DM76" i="20"/>
  <c r="DJ124" i="20"/>
  <c r="DN139" i="20"/>
  <c r="DM91" i="20"/>
  <c r="DN56" i="20"/>
  <c r="DL65" i="20"/>
  <c r="DJ212" i="20"/>
  <c r="DP116" i="20"/>
  <c r="DJ213" i="20"/>
  <c r="DK93" i="20"/>
  <c r="DK94" i="20"/>
  <c r="DK58" i="20"/>
  <c r="DK136" i="20"/>
  <c r="DP52" i="20"/>
  <c r="DK141" i="20"/>
  <c r="DJ115" i="20"/>
  <c r="DJ129" i="20"/>
  <c r="DK221" i="20"/>
  <c r="DJ89" i="20"/>
  <c r="DK137" i="20"/>
  <c r="DJ90" i="20"/>
  <c r="DK138" i="20"/>
  <c r="DJ128" i="20"/>
  <c r="DJ142" i="20"/>
  <c r="DS217" i="20"/>
  <c r="DV214" i="20"/>
  <c r="DT103" i="20"/>
  <c r="DT125" i="20"/>
  <c r="DS221" i="20"/>
  <c r="DV111" i="20"/>
  <c r="DM110" i="20"/>
  <c r="DL204" i="20"/>
  <c r="DL107" i="20"/>
  <c r="DJ60" i="20"/>
  <c r="DL221" i="20"/>
  <c r="DN60" i="20"/>
  <c r="DK55" i="20"/>
  <c r="DK90" i="20"/>
  <c r="DM212" i="20"/>
  <c r="DJ229" i="20"/>
  <c r="DJ78" i="20"/>
  <c r="DH78" i="20" s="1"/>
  <c r="DK114" i="20"/>
  <c r="DO228" i="20"/>
  <c r="DJ80" i="20"/>
  <c r="DK115" i="20"/>
  <c r="DO118" i="20"/>
  <c r="DK77" i="20"/>
  <c r="DK148" i="20"/>
  <c r="DP127" i="20"/>
  <c r="DK133" i="20"/>
  <c r="DK59" i="20"/>
  <c r="DK104" i="20"/>
  <c r="DK204" i="20"/>
  <c r="DK64" i="20"/>
  <c r="DK199" i="20"/>
  <c r="DJ123" i="20"/>
  <c r="DK200" i="20"/>
  <c r="DJ107" i="20"/>
  <c r="DK82" i="20"/>
  <c r="DK119" i="20"/>
  <c r="DJ217" i="20"/>
  <c r="DM214" i="20"/>
  <c r="DU52" i="20"/>
  <c r="DR228" i="20"/>
  <c r="DS231" i="20"/>
  <c r="DS209" i="20"/>
  <c r="DR206" i="20"/>
  <c r="DV147" i="20"/>
  <c r="DL134" i="20"/>
  <c r="DN77" i="20"/>
  <c r="DK72" i="20"/>
  <c r="DJ221" i="20"/>
  <c r="DN112" i="20"/>
  <c r="DN78" i="20"/>
  <c r="DJ95" i="20"/>
  <c r="DK101" i="20"/>
  <c r="DJ58" i="20"/>
  <c r="DK91" i="20"/>
  <c r="DK54" i="20"/>
  <c r="DK126" i="20"/>
  <c r="DJ57" i="20"/>
  <c r="DK135" i="20"/>
  <c r="DJ117" i="20"/>
  <c r="DK212" i="20"/>
  <c r="DK117" i="20"/>
  <c r="DJ100" i="20"/>
  <c r="DP228" i="20"/>
  <c r="DK106" i="20"/>
  <c r="DP56" i="20"/>
  <c r="DK134" i="20"/>
  <c r="DJ52" i="20"/>
  <c r="DK222" i="20"/>
  <c r="DJ88" i="20"/>
  <c r="DK230" i="20"/>
  <c r="DJ82" i="20"/>
  <c r="DR96" i="20"/>
  <c r="DS216" i="20"/>
  <c r="DT107" i="20"/>
  <c r="DT115" i="20"/>
  <c r="DR146" i="20"/>
  <c r="DT113" i="20"/>
  <c r="DV125" i="20"/>
  <c r="DR124" i="20"/>
  <c r="DN123" i="20"/>
  <c r="DJ201" i="20"/>
  <c r="DL68" i="20"/>
  <c r="DK68" i="20"/>
  <c r="DK123" i="20"/>
  <c r="DO204" i="20"/>
  <c r="DJ99" i="20"/>
  <c r="DK102" i="20"/>
  <c r="DO137" i="20"/>
  <c r="DJ77" i="20"/>
  <c r="DK146" i="20"/>
  <c r="DK65" i="20"/>
  <c r="DK147" i="20"/>
  <c r="DJ70" i="20"/>
  <c r="DK228" i="20"/>
  <c r="DK99" i="20"/>
  <c r="DJ66" i="20"/>
  <c r="DK118" i="20"/>
  <c r="DJ79" i="20"/>
  <c r="DK229" i="20"/>
  <c r="DK66" i="20"/>
  <c r="DV61" i="20"/>
  <c r="DR223" i="20"/>
  <c r="DT205" i="20"/>
  <c r="DT127" i="20"/>
  <c r="DS128" i="20"/>
  <c r="DV123" i="20"/>
  <c r="DN65" i="20"/>
  <c r="DJ53" i="20"/>
  <c r="DN101" i="20"/>
  <c r="DK209" i="20"/>
  <c r="DN211" i="20"/>
  <c r="DL99" i="20"/>
  <c r="DJ56" i="20"/>
  <c r="DK139" i="20"/>
  <c r="DO227" i="20"/>
  <c r="DJ71" i="20"/>
  <c r="DK124" i="20"/>
  <c r="DO201" i="20"/>
  <c r="DJ102" i="20"/>
  <c r="DK210" i="20"/>
  <c r="DK71" i="20"/>
  <c r="DK211" i="20"/>
  <c r="DJ130" i="20"/>
  <c r="DK60" i="20"/>
  <c r="DK83" i="20"/>
  <c r="DK88" i="20"/>
  <c r="DK69" i="20"/>
  <c r="DJ76" i="20"/>
  <c r="DJ116" i="20"/>
  <c r="DU119" i="20"/>
  <c r="DM224" i="20"/>
  <c r="DU71" i="20"/>
  <c r="DS124" i="20"/>
  <c r="DS82" i="20"/>
  <c r="DS211" i="20"/>
  <c r="DR127" i="20"/>
  <c r="DR92" i="20"/>
  <c r="DR227" i="20"/>
  <c r="DK76" i="20"/>
  <c r="DR128" i="20"/>
  <c r="DO229" i="20"/>
  <c r="DJ140" i="20"/>
  <c r="DM87" i="20"/>
  <c r="DM148" i="20"/>
  <c r="DL69" i="20"/>
  <c r="DJ55" i="20"/>
  <c r="DJ92" i="20"/>
  <c r="DK205" i="20"/>
  <c r="DO115" i="20"/>
  <c r="DK57" i="20"/>
  <c r="DK140" i="20"/>
  <c r="DO56" i="20"/>
  <c r="DJ68" i="20"/>
  <c r="DK110" i="20"/>
  <c r="DJ111" i="20"/>
  <c r="DK227" i="20"/>
  <c r="DP67" i="20"/>
  <c r="DJ110" i="20"/>
  <c r="DJ91" i="20"/>
  <c r="DJ65" i="20"/>
  <c r="DJ137" i="20"/>
  <c r="DN61" i="20"/>
  <c r="DP224" i="20"/>
  <c r="DV215" i="20"/>
  <c r="DT231" i="20"/>
  <c r="DU57" i="20"/>
  <c r="DS228" i="20"/>
  <c r="DU124" i="20"/>
  <c r="DS210" i="20"/>
  <c r="DR99" i="20"/>
  <c r="DV99" i="20"/>
  <c r="DK145" i="20"/>
  <c r="DO89" i="20"/>
  <c r="DN199" i="20"/>
  <c r="DJ64" i="20"/>
  <c r="DK92" i="20"/>
  <c r="DJ125" i="20"/>
  <c r="DK231" i="20"/>
  <c r="DO94" i="20"/>
  <c r="DJ228" i="20"/>
  <c r="DJ94" i="20"/>
  <c r="DK206" i="20"/>
  <c r="DK56" i="20"/>
  <c r="DJ83" i="20"/>
  <c r="DK67" i="20"/>
  <c r="DK111" i="20"/>
  <c r="DJ134" i="20"/>
  <c r="DJ106" i="20"/>
  <c r="DJ222" i="20"/>
  <c r="DK81" i="20"/>
  <c r="DK128" i="20"/>
  <c r="DF128" i="20" s="1"/>
  <c r="DJ112" i="20"/>
  <c r="DJ148" i="20"/>
  <c r="DK129" i="20"/>
  <c r="DM217" i="20"/>
  <c r="DK224" i="20"/>
  <c r="DO214" i="20"/>
  <c r="DS138" i="20"/>
  <c r="DU115" i="20"/>
  <c r="DU99" i="20"/>
  <c r="DT105" i="20"/>
  <c r="DV229" i="20"/>
  <c r="DP117" i="20"/>
  <c r="DR212" i="20"/>
  <c r="DK125" i="20"/>
  <c r="DL56" i="20"/>
  <c r="DL133" i="20"/>
  <c r="DJ138" i="20"/>
  <c r="DJ139" i="20"/>
  <c r="DP69" i="20"/>
  <c r="DJ204" i="20"/>
  <c r="DJ206" i="20"/>
  <c r="DJ87" i="20"/>
  <c r="DK95" i="20"/>
  <c r="DK213" i="20"/>
  <c r="DJ114" i="20"/>
  <c r="DP230" i="20"/>
  <c r="DJ84" i="20"/>
  <c r="DK87" i="20"/>
  <c r="DJ227" i="20"/>
  <c r="DJ67" i="20"/>
  <c r="DK100" i="20"/>
  <c r="DU142" i="20"/>
  <c r="DV216" i="20"/>
  <c r="DT214" i="20"/>
  <c r="DS148" i="20"/>
  <c r="DT95" i="20"/>
  <c r="DL113" i="20"/>
  <c r="DN90" i="20"/>
  <c r="DK89" i="20"/>
  <c r="DL200" i="20"/>
  <c r="DJ199" i="20"/>
  <c r="DP65" i="20"/>
  <c r="DJ200" i="20"/>
  <c r="DJ230" i="20"/>
  <c r="DK116" i="20"/>
  <c r="DK201" i="20"/>
  <c r="DJ69" i="20"/>
  <c r="DK127" i="20"/>
  <c r="DK53" i="20"/>
  <c r="DK122" i="20"/>
  <c r="DK130" i="20"/>
  <c r="DJ105" i="20"/>
  <c r="DJ210" i="20"/>
  <c r="DJ133" i="20"/>
  <c r="DJ126" i="20"/>
  <c r="DJ122" i="20"/>
  <c r="DJ113" i="20"/>
  <c r="DJ127" i="20"/>
  <c r="DJ147" i="20"/>
  <c r="DJ103" i="20"/>
  <c r="DJ101" i="20"/>
  <c r="DK52" i="20"/>
  <c r="DK79" i="20"/>
  <c r="DJ136" i="20"/>
  <c r="DJ231" i="20"/>
  <c r="DJ59" i="20"/>
  <c r="DJ54" i="20"/>
  <c r="DJ135" i="20"/>
  <c r="DJ209" i="20"/>
  <c r="DJ211" i="20"/>
  <c r="DJ104" i="20"/>
  <c r="DJ145" i="20"/>
  <c r="DJ146" i="20"/>
  <c r="DK107" i="20"/>
  <c r="DJ214" i="20"/>
  <c r="DL142" i="20"/>
  <c r="DS142" i="20"/>
  <c r="DK142" i="20"/>
  <c r="DO73" i="20"/>
  <c r="DT142" i="20"/>
  <c r="DR224" i="20"/>
  <c r="DJ218" i="20"/>
  <c r="DV217" i="20"/>
  <c r="DN218" i="20"/>
  <c r="DJ96" i="20"/>
  <c r="DR73" i="20"/>
  <c r="DV142" i="20"/>
  <c r="DT119" i="20"/>
  <c r="DM61" i="20"/>
  <c r="DL214" i="20"/>
  <c r="DU214" i="20"/>
  <c r="DU224" i="20"/>
  <c r="DN223" i="20"/>
  <c r="DO216" i="20"/>
  <c r="DS218" i="20"/>
  <c r="DM218" i="20"/>
  <c r="DT96" i="20"/>
  <c r="DK96" i="20"/>
  <c r="DS96" i="20"/>
  <c r="DL119" i="20"/>
  <c r="DO61" i="20"/>
  <c r="DN214" i="20"/>
  <c r="DP215" i="20"/>
  <c r="DJ223" i="20"/>
  <c r="DN224" i="20"/>
  <c r="DP216" i="20"/>
  <c r="DL216" i="20"/>
  <c r="DV218" i="20"/>
  <c r="DV119" i="20"/>
  <c r="DR61" i="20"/>
  <c r="DO142" i="20"/>
  <c r="DN142" i="20"/>
  <c r="DL61" i="20"/>
  <c r="DT199" i="20"/>
  <c r="DU56" i="20"/>
  <c r="DS230" i="20"/>
  <c r="DR215" i="20"/>
  <c r="DK215" i="20"/>
  <c r="DS223" i="20"/>
  <c r="DM223" i="20"/>
  <c r="DP217" i="20"/>
  <c r="DO217" i="20"/>
  <c r="DO218" i="20"/>
  <c r="DP61" i="20"/>
  <c r="DK73" i="20"/>
  <c r="DJ61" i="20"/>
  <c r="DM119" i="20"/>
  <c r="DU61" i="20"/>
  <c r="DT215" i="20"/>
  <c r="DJ224" i="20"/>
  <c r="DO223" i="20"/>
  <c r="DP218" i="20"/>
  <c r="DT216" i="20"/>
  <c r="DK216" i="20"/>
  <c r="DJ73" i="20"/>
  <c r="DT73" i="20"/>
  <c r="DS61" i="20"/>
  <c r="DK61" i="20"/>
  <c r="DN73" i="20"/>
  <c r="DL215" i="20"/>
  <c r="DR214" i="20"/>
  <c r="DS224" i="20"/>
  <c r="DO224" i="20"/>
  <c r="DR216" i="20"/>
  <c r="DT217" i="20"/>
  <c r="DK217" i="20"/>
  <c r="DS73" i="20"/>
  <c r="DM96" i="20"/>
  <c r="DL73" i="20"/>
  <c r="DT61" i="20"/>
  <c r="DP96" i="20"/>
  <c r="DU215" i="20"/>
  <c r="DK214" i="20"/>
  <c r="DU223" i="20"/>
  <c r="DL223" i="20"/>
  <c r="DR217" i="20"/>
  <c r="DK218" i="20"/>
  <c r="DT218" i="20"/>
  <c r="DL96" i="20"/>
  <c r="DV96" i="20"/>
  <c r="DU73" i="20"/>
  <c r="DM73" i="20"/>
  <c r="DJ119" i="20"/>
  <c r="DM215" i="20"/>
  <c r="DO215" i="20"/>
  <c r="DK223" i="20"/>
  <c r="DV224" i="20"/>
  <c r="DR218" i="20"/>
  <c r="DU216" i="20"/>
  <c r="DL217" i="20"/>
  <c r="DU96" i="20"/>
  <c r="DO119" i="20"/>
  <c r="DN96" i="20"/>
  <c r="DV73" i="20"/>
  <c r="DS119" i="20"/>
  <c r="DN215" i="20"/>
  <c r="DJ215" i="20"/>
  <c r="DT223" i="20"/>
  <c r="DP223" i="20"/>
  <c r="DJ216" i="20"/>
  <c r="DL218" i="20"/>
  <c r="DU217" i="20"/>
  <c r="DN119" i="20"/>
  <c r="DR142" i="20"/>
  <c r="DP119" i="20"/>
  <c r="DO96" i="20"/>
  <c r="AH233" i="25"/>
  <c r="W112" i="20"/>
  <c r="M110" i="25" s="1"/>
  <c r="K240" i="20"/>
  <c r="W200" i="20"/>
  <c r="M198" i="25" s="1"/>
  <c r="CQ201" i="20"/>
  <c r="AU199" i="25" s="1"/>
  <c r="BL148" i="20"/>
  <c r="BM148" i="20" s="1"/>
  <c r="AJ146" i="25" s="1"/>
  <c r="EA227" i="20"/>
  <c r="BL225" i="25" s="1"/>
  <c r="BG90" i="20"/>
  <c r="AD88" i="25" s="1"/>
  <c r="BH240" i="20"/>
  <c r="AE237" i="25" s="1"/>
  <c r="EA84" i="20"/>
  <c r="BL82" i="25" s="1"/>
  <c r="BL149" i="20"/>
  <c r="AI147" i="25" s="1"/>
  <c r="BM193" i="20"/>
  <c r="AJ191" i="25" s="1"/>
  <c r="W213" i="20"/>
  <c r="M211" i="25" s="1"/>
  <c r="AB151" i="20"/>
  <c r="R149" i="25" s="1"/>
  <c r="Q187" i="25"/>
  <c r="BG96" i="20"/>
  <c r="AD94" i="25" s="1"/>
  <c r="BG88" i="20"/>
  <c r="AD86" i="25" s="1"/>
  <c r="BY84" i="25"/>
  <c r="U240" i="20"/>
  <c r="EB86" i="20"/>
  <c r="EA228" i="20"/>
  <c r="BL226" i="25" s="1"/>
  <c r="EA231" i="20"/>
  <c r="BL229" i="25" s="1"/>
  <c r="EA229" i="20"/>
  <c r="BL227" i="25" s="1"/>
  <c r="W91" i="20"/>
  <c r="M89" i="25" s="1"/>
  <c r="W89" i="20"/>
  <c r="M87" i="25" s="1"/>
  <c r="AU198" i="25"/>
  <c r="EA211" i="20"/>
  <c r="BL209" i="25" s="1"/>
  <c r="BX130" i="25"/>
  <c r="AB165" i="20"/>
  <c r="EA216" i="20"/>
  <c r="BL214" i="25" s="1"/>
  <c r="EB45" i="20"/>
  <c r="BM43" i="25" s="1"/>
  <c r="BP215" i="20"/>
  <c r="AM213" i="25" s="1"/>
  <c r="CQ199" i="20"/>
  <c r="AU197" i="25" s="1"/>
  <c r="AY233" i="25"/>
  <c r="AH183" i="25"/>
  <c r="EB12" i="20"/>
  <c r="BM10" i="25" s="1"/>
  <c r="EB43" i="20"/>
  <c r="BM41" i="25" s="1"/>
  <c r="AB166" i="20"/>
  <c r="AC166" i="20" s="1"/>
  <c r="S164" i="25" s="1"/>
  <c r="BH233" i="25"/>
  <c r="AB181" i="20"/>
  <c r="R179" i="25" s="1"/>
  <c r="W114" i="20"/>
  <c r="M112" i="25" s="1"/>
  <c r="CQ233" i="20"/>
  <c r="W60" i="20"/>
  <c r="M58" i="25" s="1"/>
  <c r="AB161" i="20"/>
  <c r="R159" i="25" s="1"/>
  <c r="BP107" i="25"/>
  <c r="X237" i="25"/>
  <c r="W90" i="20"/>
  <c r="M88" i="25" s="1"/>
  <c r="W148" i="20"/>
  <c r="F148" i="20" s="1"/>
  <c r="ED39" i="20"/>
  <c r="BO37" i="25" s="1"/>
  <c r="BQ130" i="25"/>
  <c r="EB24" i="20"/>
  <c r="BM22" i="25" s="1"/>
  <c r="W233" i="20"/>
  <c r="W212" i="20"/>
  <c r="M210" i="25" s="1"/>
  <c r="BA233" i="25"/>
  <c r="W96" i="20"/>
  <c r="M94" i="25" s="1"/>
  <c r="EA81" i="20"/>
  <c r="BL79" i="25" s="1"/>
  <c r="EB132" i="20"/>
  <c r="BP153" i="20"/>
  <c r="BP169" i="20"/>
  <c r="AM167" i="25" s="1"/>
  <c r="BP177" i="20"/>
  <c r="BH177" i="20" s="1"/>
  <c r="AE175" i="25" s="1"/>
  <c r="BP212" i="20"/>
  <c r="BH212" i="20" s="1"/>
  <c r="AE210" i="25" s="1"/>
  <c r="BL237" i="25"/>
  <c r="CR11" i="20"/>
  <c r="AV9" i="25" s="1"/>
  <c r="BP158" i="20"/>
  <c r="AM156" i="25" s="1"/>
  <c r="AB177" i="20"/>
  <c r="R175" i="25" s="1"/>
  <c r="N237" i="25"/>
  <c r="W92" i="20"/>
  <c r="M90" i="25" s="1"/>
  <c r="AJ233" i="25"/>
  <c r="EA78" i="20"/>
  <c r="EA124" i="20" s="1"/>
  <c r="BL122" i="25" s="1"/>
  <c r="BG194" i="20"/>
  <c r="BG195" i="20" s="1"/>
  <c r="F195" i="20" s="1"/>
  <c r="CQ55" i="20"/>
  <c r="AU53" i="25" s="1"/>
  <c r="CQ57" i="20"/>
  <c r="AU55" i="25" s="1"/>
  <c r="W73" i="20"/>
  <c r="M71" i="25" s="1"/>
  <c r="BG127" i="20"/>
  <c r="AD125" i="25" s="1"/>
  <c r="EF236" i="20"/>
  <c r="EF235" i="20" s="1"/>
  <c r="EF233" i="20" s="1"/>
  <c r="BQ231" i="25" s="1"/>
  <c r="ED235" i="20"/>
  <c r="ED233" i="20" s="1"/>
  <c r="BO231" i="25" s="1"/>
  <c r="BO234" i="25"/>
  <c r="BO233" i="25" s="1"/>
  <c r="CQ222" i="20"/>
  <c r="AU220" i="25" s="1"/>
  <c r="CQ224" i="20"/>
  <c r="AU222" i="25" s="1"/>
  <c r="CQ223" i="20"/>
  <c r="AU221" i="25" s="1"/>
  <c r="CQ221" i="20"/>
  <c r="AU219" i="25" s="1"/>
  <c r="CQ106" i="20"/>
  <c r="AU104" i="25" s="1"/>
  <c r="CQ100" i="20"/>
  <c r="AU98" i="25" s="1"/>
  <c r="CQ99" i="20"/>
  <c r="AU97" i="25" s="1"/>
  <c r="CQ107" i="20"/>
  <c r="AU105" i="25" s="1"/>
  <c r="CR240" i="20"/>
  <c r="AV237" i="25" s="1"/>
  <c r="BP23" i="20"/>
  <c r="AM21" i="25" s="1"/>
  <c r="V237" i="25"/>
  <c r="BG79" i="20"/>
  <c r="AD77" i="25" s="1"/>
  <c r="W76" i="20"/>
  <c r="M74" i="25" s="1"/>
  <c r="BG233" i="25"/>
  <c r="W146" i="20"/>
  <c r="M144" i="25" s="1"/>
  <c r="CQ230" i="20"/>
  <c r="AU228" i="25" s="1"/>
  <c r="AH144" i="25"/>
  <c r="BN84" i="25"/>
  <c r="BP216" i="20"/>
  <c r="AM214" i="25" s="1"/>
  <c r="BN107" i="25"/>
  <c r="BO49" i="25"/>
  <c r="CQ231" i="20"/>
  <c r="EC30" i="20"/>
  <c r="BN28" i="25" s="1"/>
  <c r="AB170" i="20"/>
  <c r="R168" i="25" s="1"/>
  <c r="ED23" i="20"/>
  <c r="BO21" i="25" s="1"/>
  <c r="BP154" i="20"/>
  <c r="AM152" i="25" s="1"/>
  <c r="W111" i="20"/>
  <c r="M109" i="25" s="1"/>
  <c r="EJ17" i="20"/>
  <c r="BU15" i="25" s="1"/>
  <c r="AF206" i="25"/>
  <c r="BN49" i="25"/>
  <c r="BN61" i="25"/>
  <c r="BN130" i="25"/>
  <c r="BM185" i="20"/>
  <c r="AB174" i="20"/>
  <c r="EB25" i="20"/>
  <c r="BM23" i="25" s="1"/>
  <c r="W119" i="20"/>
  <c r="M117" i="25" s="1"/>
  <c r="I240" i="20"/>
  <c r="Y39" i="20"/>
  <c r="O37" i="25" s="1"/>
  <c r="BL234" i="25"/>
  <c r="BR148" i="20"/>
  <c r="EB19" i="20"/>
  <c r="BM17" i="25" s="1"/>
  <c r="W110" i="20"/>
  <c r="M108" i="25" s="1"/>
  <c r="Z237" i="25"/>
  <c r="AU237" i="25"/>
  <c r="BI23" i="20"/>
  <c r="AF21" i="25" s="1"/>
  <c r="F236" i="20"/>
  <c r="EB51" i="20"/>
  <c r="BP181" i="20"/>
  <c r="BH181" i="20" s="1"/>
  <c r="AE179" i="25" s="1"/>
  <c r="AH191" i="25"/>
  <c r="BP218" i="20"/>
  <c r="BH218" i="20" s="1"/>
  <c r="AE216" i="25" s="1"/>
  <c r="P240" i="20"/>
  <c r="CQ227" i="20"/>
  <c r="AU225" i="25" s="1"/>
  <c r="EA233" i="20"/>
  <c r="BG178" i="20"/>
  <c r="BG180" i="20" s="1"/>
  <c r="AF23" i="20"/>
  <c r="V21" i="25" s="1"/>
  <c r="Y237" i="25"/>
  <c r="J240" i="20"/>
  <c r="CS30" i="20"/>
  <c r="AW28" i="25" s="1"/>
  <c r="CQ228" i="20"/>
  <c r="AU226" i="25" s="1"/>
  <c r="EC39" i="20"/>
  <c r="BN37" i="25" s="1"/>
  <c r="F39" i="20"/>
  <c r="EB240" i="20"/>
  <c r="BM237" i="25" s="1"/>
  <c r="AU146" i="25"/>
  <c r="CT236" i="20"/>
  <c r="AX234" i="25" s="1"/>
  <c r="AX233" i="25" s="1"/>
  <c r="AU234" i="25"/>
  <c r="BL80" i="25"/>
  <c r="EA128" i="20"/>
  <c r="BL126" i="25" s="1"/>
  <c r="BG53" i="20"/>
  <c r="AD51" i="25" s="1"/>
  <c r="BG57" i="20"/>
  <c r="BG60" i="20"/>
  <c r="AD58" i="25" s="1"/>
  <c r="BG54" i="20"/>
  <c r="AD52" i="25" s="1"/>
  <c r="BG56" i="20"/>
  <c r="AD54" i="25" s="1"/>
  <c r="BG59" i="20"/>
  <c r="AD57" i="25" s="1"/>
  <c r="BG55" i="20"/>
  <c r="AD53" i="25" s="1"/>
  <c r="BG52" i="20"/>
  <c r="AD50" i="25" s="1"/>
  <c r="BG58" i="20"/>
  <c r="AD56" i="25" s="1"/>
  <c r="BG61" i="20"/>
  <c r="AD59" i="25" s="1"/>
  <c r="W204" i="20"/>
  <c r="M202" i="25" s="1"/>
  <c r="W205" i="20"/>
  <c r="M203" i="25" s="1"/>
  <c r="BG204" i="20"/>
  <c r="AD202" i="25" s="1"/>
  <c r="BG206" i="20"/>
  <c r="AD204" i="25" s="1"/>
  <c r="BG205" i="20"/>
  <c r="AD203" i="25" s="1"/>
  <c r="W237" i="25"/>
  <c r="P237" i="25"/>
  <c r="W72" i="20"/>
  <c r="M70" i="25" s="1"/>
  <c r="BI30" i="20"/>
  <c r="AF28" i="25" s="1"/>
  <c r="EA209" i="20"/>
  <c r="BL207" i="25" s="1"/>
  <c r="EG97" i="20"/>
  <c r="EH97" i="20" s="1"/>
  <c r="EK97" i="20" s="1"/>
  <c r="EL97" i="20" s="1"/>
  <c r="BG150" i="20"/>
  <c r="AB168" i="20"/>
  <c r="BU28" i="25"/>
  <c r="S237" i="25"/>
  <c r="R237" i="25"/>
  <c r="CQ37" i="20"/>
  <c r="AU35" i="25" s="1"/>
  <c r="BG233" i="20"/>
  <c r="F11" i="20"/>
  <c r="EA212" i="20"/>
  <c r="BL210" i="25" s="1"/>
  <c r="BG124" i="20"/>
  <c r="AD122" i="25" s="1"/>
  <c r="BG182" i="20"/>
  <c r="AD206" i="25"/>
  <c r="BW233" i="25"/>
  <c r="AC187" i="20"/>
  <c r="S185" i="25" s="1"/>
  <c r="W69" i="20"/>
  <c r="M67" i="25" s="1"/>
  <c r="CQ60" i="20"/>
  <c r="AU58" i="25" s="1"/>
  <c r="CQ54" i="20"/>
  <c r="BG154" i="20"/>
  <c r="AB163" i="20"/>
  <c r="AC163" i="20" s="1"/>
  <c r="S161" i="25" s="1"/>
  <c r="EB21" i="20"/>
  <c r="BM19" i="25" s="1"/>
  <c r="BO84" i="25"/>
  <c r="BP233" i="25"/>
  <c r="CQ59" i="20"/>
  <c r="AU57" i="25" s="1"/>
  <c r="BG122" i="20"/>
  <c r="AD120" i="25" s="1"/>
  <c r="AB160" i="20"/>
  <c r="R158" i="25" s="1"/>
  <c r="BG186" i="20"/>
  <c r="EA214" i="20"/>
  <c r="BL212" i="25" s="1"/>
  <c r="AB150" i="20"/>
  <c r="EB63" i="20"/>
  <c r="Q188" i="25"/>
  <c r="W104" i="20"/>
  <c r="M102" i="25" s="1"/>
  <c r="BS233" i="25"/>
  <c r="BG200" i="20"/>
  <c r="BG123" i="20"/>
  <c r="AD121" i="25" s="1"/>
  <c r="BG166" i="20"/>
  <c r="BG168" i="20" s="1"/>
  <c r="W64" i="20"/>
  <c r="M62" i="25" s="1"/>
  <c r="W99" i="20"/>
  <c r="M97" i="25" s="1"/>
  <c r="BG126" i="20"/>
  <c r="AD124" i="25" s="1"/>
  <c r="AB186" i="20"/>
  <c r="BG170" i="20"/>
  <c r="BG171" i="20" s="1"/>
  <c r="EA215" i="20"/>
  <c r="BL213" i="25" s="1"/>
  <c r="EB18" i="20"/>
  <c r="BM16" i="25" s="1"/>
  <c r="BR49" i="25"/>
  <c r="BR61" i="25"/>
  <c r="BR84" i="25"/>
  <c r="BR107" i="25"/>
  <c r="BR130" i="25"/>
  <c r="EC23" i="20"/>
  <c r="W201" i="20"/>
  <c r="M199" i="25" s="1"/>
  <c r="BG162" i="20"/>
  <c r="BG163" i="20" s="1"/>
  <c r="AD161" i="25" s="1"/>
  <c r="F161" i="25" s="1"/>
  <c r="EA213" i="20"/>
  <c r="BL211" i="25" s="1"/>
  <c r="AB154" i="20"/>
  <c r="EA210" i="20"/>
  <c r="BL208" i="25" s="1"/>
  <c r="BG130" i="20"/>
  <c r="AD128" i="25" s="1"/>
  <c r="Z23" i="20"/>
  <c r="P21" i="25" s="1"/>
  <c r="BG129" i="20"/>
  <c r="AD127" i="25" s="1"/>
  <c r="CQ145" i="20"/>
  <c r="F145" i="20" s="1"/>
  <c r="BG174" i="20"/>
  <c r="EA217" i="20"/>
  <c r="BL215" i="25" s="1"/>
  <c r="AG28" i="25"/>
  <c r="W113" i="20"/>
  <c r="M111" i="25" s="1"/>
  <c r="AD237" i="25"/>
  <c r="Q240" i="20"/>
  <c r="BG125" i="20"/>
  <c r="AD123" i="25" s="1"/>
  <c r="CQ146" i="20"/>
  <c r="AU144" i="25" s="1"/>
  <c r="BG158" i="20"/>
  <c r="BG159" i="20" s="1"/>
  <c r="CQ147" i="20"/>
  <c r="BH11" i="20"/>
  <c r="AE9" i="25" s="1"/>
  <c r="BO38" i="25"/>
  <c r="AC181" i="20"/>
  <c r="S179" i="25" s="1"/>
  <c r="AB157" i="20"/>
  <c r="R155" i="25" s="1"/>
  <c r="BG190" i="20"/>
  <c r="BG191" i="20" s="1"/>
  <c r="BL177" i="20"/>
  <c r="AI175" i="25" s="1"/>
  <c r="F144" i="20"/>
  <c r="BP211" i="20"/>
  <c r="AM209" i="25" s="1"/>
  <c r="AB192" i="20"/>
  <c r="R190" i="25" s="1"/>
  <c r="BX233" i="25"/>
  <c r="AS199" i="20"/>
  <c r="S240" i="20"/>
  <c r="Q181" i="25"/>
  <c r="AB183" i="20"/>
  <c r="R181" i="25" s="1"/>
  <c r="P9" i="25"/>
  <c r="I11" i="20"/>
  <c r="Q182" i="25"/>
  <c r="AB184" i="20"/>
  <c r="R182" i="25" s="1"/>
  <c r="BB233" i="25"/>
  <c r="BG68" i="20"/>
  <c r="AD66" i="25" s="1"/>
  <c r="BG71" i="20"/>
  <c r="AD69" i="25" s="1"/>
  <c r="BG72" i="20"/>
  <c r="AD70" i="25" s="1"/>
  <c r="BG73" i="20"/>
  <c r="BG70" i="20"/>
  <c r="BG64" i="20"/>
  <c r="BG67" i="20"/>
  <c r="AD65" i="25" s="1"/>
  <c r="BG69" i="20"/>
  <c r="AD67" i="25" s="1"/>
  <c r="BG66" i="20"/>
  <c r="AD64" i="25" s="1"/>
  <c r="BG65" i="20"/>
  <c r="AD63" i="25" s="1"/>
  <c r="R162" i="25"/>
  <c r="AC164" i="20"/>
  <c r="CQ215" i="20"/>
  <c r="F208" i="20"/>
  <c r="CQ9" i="20"/>
  <c r="CS17" i="20"/>
  <c r="BU11" i="25"/>
  <c r="EB13" i="20"/>
  <c r="BM11" i="25" s="1"/>
  <c r="AK237" i="25"/>
  <c r="AK233" i="25" s="1"/>
  <c r="M240" i="20"/>
  <c r="T237" i="25"/>
  <c r="AD197" i="25"/>
  <c r="AH163" i="25"/>
  <c r="BL165" i="20"/>
  <c r="AI163" i="25" s="1"/>
  <c r="O240" i="20"/>
  <c r="BG201" i="20"/>
  <c r="AD199" i="25" s="1"/>
  <c r="F198" i="20"/>
  <c r="BM49" i="25"/>
  <c r="BE233" i="25"/>
  <c r="AG237" i="25"/>
  <c r="M237" i="25"/>
  <c r="EB40" i="20"/>
  <c r="BM38" i="25" s="1"/>
  <c r="AH155" i="25"/>
  <c r="BL157" i="20"/>
  <c r="AI155" i="25" s="1"/>
  <c r="BD28" i="25"/>
  <c r="O30" i="20"/>
  <c r="CZ23" i="20"/>
  <c r="BN15" i="25"/>
  <c r="Y23" i="20"/>
  <c r="F23" i="20"/>
  <c r="M21" i="25"/>
  <c r="BJ37" i="25"/>
  <c r="F37" i="25"/>
  <c r="CQ67" i="20"/>
  <c r="CQ66" i="20"/>
  <c r="CQ64" i="20"/>
  <c r="CQ73" i="20"/>
  <c r="CQ65" i="20"/>
  <c r="AU63" i="25" s="1"/>
  <c r="CQ70" i="20"/>
  <c r="AU68" i="25" s="1"/>
  <c r="F132" i="20"/>
  <c r="W135" i="20"/>
  <c r="W136" i="20"/>
  <c r="W141" i="20"/>
  <c r="M139" i="25" s="1"/>
  <c r="W134" i="20"/>
  <c r="W138" i="20"/>
  <c r="M136" i="25" s="1"/>
  <c r="W139" i="20"/>
  <c r="W137" i="20"/>
  <c r="M135" i="25" s="1"/>
  <c r="W133" i="20"/>
  <c r="M131" i="25" s="1"/>
  <c r="W140" i="20"/>
  <c r="M138" i="25" s="1"/>
  <c r="CQ115" i="20"/>
  <c r="AU113" i="25" s="1"/>
  <c r="CQ117" i="20"/>
  <c r="CQ113" i="20"/>
  <c r="AU111" i="25" s="1"/>
  <c r="CQ110" i="20"/>
  <c r="AU108" i="25" s="1"/>
  <c r="CQ112" i="20"/>
  <c r="CQ111" i="20"/>
  <c r="CQ114" i="20"/>
  <c r="AU112" i="25" s="1"/>
  <c r="CQ118" i="20"/>
  <c r="AU116" i="25" s="1"/>
  <c r="CQ119" i="20"/>
  <c r="AQ237" i="25"/>
  <c r="AQ233" i="25" s="1"/>
  <c r="W129" i="20"/>
  <c r="M127" i="25" s="1"/>
  <c r="W130" i="20"/>
  <c r="W126" i="20"/>
  <c r="M124" i="25" s="1"/>
  <c r="W127" i="20"/>
  <c r="M125" i="25" s="1"/>
  <c r="W125" i="20"/>
  <c r="M123" i="25" s="1"/>
  <c r="W123" i="20"/>
  <c r="M121" i="25" s="1"/>
  <c r="W124" i="20"/>
  <c r="W122" i="20"/>
  <c r="M120" i="25" s="1"/>
  <c r="BG135" i="20"/>
  <c r="AD133" i="25" s="1"/>
  <c r="BG136" i="20"/>
  <c r="AD134" i="25" s="1"/>
  <c r="BG139" i="20"/>
  <c r="AD137" i="25" s="1"/>
  <c r="BG134" i="20"/>
  <c r="AD132" i="25" s="1"/>
  <c r="AW234" i="25"/>
  <c r="AW233" i="25" s="1"/>
  <c r="CR236" i="20"/>
  <c r="AV234" i="25" s="1"/>
  <c r="CS235" i="20"/>
  <c r="L240" i="20"/>
  <c r="P37" i="25"/>
  <c r="W82" i="20"/>
  <c r="M80" i="25" s="1"/>
  <c r="W78" i="20"/>
  <c r="M76" i="25" s="1"/>
  <c r="F75" i="20"/>
  <c r="W77" i="20"/>
  <c r="M75" i="25" s="1"/>
  <c r="W79" i="20"/>
  <c r="M77" i="25" s="1"/>
  <c r="W81" i="20"/>
  <c r="M79" i="25" s="1"/>
  <c r="W80" i="20"/>
  <c r="M78" i="25" s="1"/>
  <c r="CQ127" i="20"/>
  <c r="CQ124" i="20"/>
  <c r="AU122" i="25" s="1"/>
  <c r="CQ122" i="20"/>
  <c r="CQ130" i="20"/>
  <c r="CQ128" i="20"/>
  <c r="CQ123" i="20"/>
  <c r="AU121" i="25" s="1"/>
  <c r="CQ125" i="20"/>
  <c r="CQ126" i="20"/>
  <c r="R240" i="20"/>
  <c r="Q237" i="25"/>
  <c r="M126" i="25"/>
  <c r="ED17" i="20"/>
  <c r="BG80" i="20"/>
  <c r="AD78" i="25" s="1"/>
  <c r="BG77" i="20"/>
  <c r="AD75" i="25" s="1"/>
  <c r="BG84" i="20"/>
  <c r="AD82" i="25" s="1"/>
  <c r="BG81" i="20"/>
  <c r="AD79" i="25" s="1"/>
  <c r="BG78" i="20"/>
  <c r="AD76" i="25" s="1"/>
  <c r="BG83" i="20"/>
  <c r="AD81" i="25" s="1"/>
  <c r="BP61" i="25"/>
  <c r="BP84" i="25"/>
  <c r="BP130" i="25"/>
  <c r="Q183" i="25"/>
  <c r="AB185" i="20"/>
  <c r="AC185" i="20" s="1"/>
  <c r="S183" i="25" s="1"/>
  <c r="AF236" i="20"/>
  <c r="X236" i="20" s="1"/>
  <c r="N234" i="25" s="1"/>
  <c r="N233" i="25" s="1"/>
  <c r="AM236" i="20"/>
  <c r="AU21" i="25"/>
  <c r="AS21" i="25" s="1"/>
  <c r="CS23" i="20"/>
  <c r="AI144" i="25"/>
  <c r="BN146" i="20"/>
  <c r="AK144" i="25" s="1"/>
  <c r="W54" i="20"/>
  <c r="W59" i="20"/>
  <c r="W52" i="20"/>
  <c r="W56" i="20"/>
  <c r="BN24" i="25"/>
  <c r="EB26" i="20"/>
  <c r="BM24" i="25" s="1"/>
  <c r="AN234" i="25"/>
  <c r="AN233" i="25" s="1"/>
  <c r="BP235" i="20"/>
  <c r="R163" i="25"/>
  <c r="BG224" i="20"/>
  <c r="AD222" i="25" s="1"/>
  <c r="BG223" i="20"/>
  <c r="AD221" i="25" s="1"/>
  <c r="BG222" i="20"/>
  <c r="AD220" i="25" s="1"/>
  <c r="BG221" i="20"/>
  <c r="AD219" i="25" s="1"/>
  <c r="AD234" i="25"/>
  <c r="BJ236" i="20"/>
  <c r="F240" i="20"/>
  <c r="BL76" i="25"/>
  <c r="M28" i="25"/>
  <c r="F28" i="25" s="1"/>
  <c r="Y30" i="20"/>
  <c r="W93" i="20"/>
  <c r="M91" i="25" s="1"/>
  <c r="W88" i="20"/>
  <c r="M86" i="25" s="1"/>
  <c r="W95" i="20"/>
  <c r="M93" i="25" s="1"/>
  <c r="Q170" i="25"/>
  <c r="AB172" i="20"/>
  <c r="R170" i="25" s="1"/>
  <c r="Q165" i="25"/>
  <c r="AC167" i="20"/>
  <c r="S165" i="25" s="1"/>
  <c r="CQ138" i="20"/>
  <c r="AU136" i="25" s="1"/>
  <c r="CQ140" i="20"/>
  <c r="CQ136" i="20"/>
  <c r="CQ142" i="20"/>
  <c r="AU140" i="25" s="1"/>
  <c r="CQ135" i="20"/>
  <c r="AU133" i="25" s="1"/>
  <c r="CQ141" i="20"/>
  <c r="BP189" i="20"/>
  <c r="AM187" i="25" s="1"/>
  <c r="BD233" i="25"/>
  <c r="BR233" i="25"/>
  <c r="F30" i="20"/>
  <c r="W94" i="20"/>
  <c r="M92" i="25" s="1"/>
  <c r="W147" i="20"/>
  <c r="M145" i="25" s="1"/>
  <c r="W206" i="20"/>
  <c r="M204" i="25" s="1"/>
  <c r="BG229" i="20"/>
  <c r="AD227" i="25" s="1"/>
  <c r="BG230" i="20"/>
  <c r="AD228" i="25" s="1"/>
  <c r="BL15" i="25"/>
  <c r="BJ15" i="25" s="1"/>
  <c r="EA9" i="20"/>
  <c r="AN144" i="25"/>
  <c r="BR146" i="20"/>
  <c r="BS146" i="20" s="1"/>
  <c r="AP144" i="25" s="1"/>
  <c r="BN12" i="25"/>
  <c r="EB14" i="20"/>
  <c r="BM12" i="25" s="1"/>
  <c r="BG94" i="20"/>
  <c r="AD92" i="25" s="1"/>
  <c r="BG92" i="20"/>
  <c r="AD90" i="25" s="1"/>
  <c r="BG89" i="20"/>
  <c r="AD87" i="25" s="1"/>
  <c r="BG95" i="20"/>
  <c r="AD93" i="25" s="1"/>
  <c r="BG93" i="20"/>
  <c r="AD91" i="25" s="1"/>
  <c r="BG87" i="20"/>
  <c r="AD85" i="25" s="1"/>
  <c r="BP146" i="20"/>
  <c r="BR149" i="20"/>
  <c r="BS149" i="20" s="1"/>
  <c r="AP147" i="25" s="1"/>
  <c r="CQ137" i="20"/>
  <c r="CZ235" i="20"/>
  <c r="CQ134" i="20"/>
  <c r="M9" i="25"/>
  <c r="F9" i="25" s="1"/>
  <c r="W9" i="20"/>
  <c r="Y11" i="20"/>
  <c r="CQ58" i="20"/>
  <c r="CQ53" i="20"/>
  <c r="CQ52" i="20"/>
  <c r="CQ61" i="20"/>
  <c r="BL196" i="25"/>
  <c r="M15" i="25"/>
  <c r="Y17" i="20"/>
  <c r="F17" i="20"/>
  <c r="AH171" i="25"/>
  <c r="BL173" i="20"/>
  <c r="AI171" i="25" s="1"/>
  <c r="BP210" i="20"/>
  <c r="BH210" i="20" s="1"/>
  <c r="AE208" i="25" s="1"/>
  <c r="W87" i="20"/>
  <c r="M85" i="25" s="1"/>
  <c r="CQ133" i="20"/>
  <c r="BL153" i="20"/>
  <c r="AX28" i="25"/>
  <c r="CT23" i="20"/>
  <c r="AX21" i="25" s="1"/>
  <c r="F63" i="20"/>
  <c r="W65" i="20"/>
  <c r="W70" i="20"/>
  <c r="M68" i="25" s="1"/>
  <c r="W67" i="20"/>
  <c r="W66" i="20"/>
  <c r="W68" i="20"/>
  <c r="M66" i="25" s="1"/>
  <c r="ES4" i="20"/>
  <c r="BU233" i="25"/>
  <c r="BL169" i="20"/>
  <c r="BM169" i="20" s="1"/>
  <c r="AJ167" i="25" s="1"/>
  <c r="I30" i="20"/>
  <c r="BM61" i="25"/>
  <c r="CQ102" i="20"/>
  <c r="BV107" i="25"/>
  <c r="EB28" i="20"/>
  <c r="BM26" i="25" s="1"/>
  <c r="BN233" i="25"/>
  <c r="BH39" i="20"/>
  <c r="AE37" i="25" s="1"/>
  <c r="BP162" i="20"/>
  <c r="AM160" i="25" s="1"/>
  <c r="BP213" i="20"/>
  <c r="CQ104" i="20"/>
  <c r="AG206" i="25"/>
  <c r="O237" i="25"/>
  <c r="FG240" i="20"/>
  <c r="BY49" i="25"/>
  <c r="BY61" i="25"/>
  <c r="BY107" i="25"/>
  <c r="BP149" i="20"/>
  <c r="BP157" i="20"/>
  <c r="AM155" i="25" s="1"/>
  <c r="BP165" i="20"/>
  <c r="BP173" i="20"/>
  <c r="BH173" i="20" s="1"/>
  <c r="AE171" i="25" s="1"/>
  <c r="BP209" i="20"/>
  <c r="BH209" i="20" s="1"/>
  <c r="AE207" i="25" s="1"/>
  <c r="AV122" i="20"/>
  <c r="AZ126" i="20"/>
  <c r="AT58" i="20"/>
  <c r="AU66" i="20"/>
  <c r="AS73" i="20"/>
  <c r="BA200" i="20"/>
  <c r="BB123" i="20"/>
  <c r="AY90" i="20"/>
  <c r="BA61" i="20"/>
  <c r="AQ73" i="20"/>
  <c r="AY61" i="20"/>
  <c r="AV96" i="20"/>
  <c r="AZ217" i="20"/>
  <c r="AV216" i="20"/>
  <c r="BB216" i="20"/>
  <c r="BA224" i="20"/>
  <c r="AQ224" i="20"/>
  <c r="AU215" i="20"/>
  <c r="AT201" i="20"/>
  <c r="AS65" i="20"/>
  <c r="AP95" i="20"/>
  <c r="AS55" i="20"/>
  <c r="AP69" i="20"/>
  <c r="AQ200" i="20"/>
  <c r="AQ100" i="20"/>
  <c r="AS91" i="20"/>
  <c r="AU205" i="20"/>
  <c r="AQ103" i="20"/>
  <c r="AP65" i="20"/>
  <c r="AQ229" i="20"/>
  <c r="AS93" i="20"/>
  <c r="AS209" i="20"/>
  <c r="AU123" i="20"/>
  <c r="AU141" i="20"/>
  <c r="AU87" i="20"/>
  <c r="AP60" i="20"/>
  <c r="AP138" i="20"/>
  <c r="AV137" i="20"/>
  <c r="AT67" i="20"/>
  <c r="AP58" i="20"/>
  <c r="AP125" i="20"/>
  <c r="AP93" i="20"/>
  <c r="AT105" i="20"/>
  <c r="AT111" i="20"/>
  <c r="AS117" i="20"/>
  <c r="AQ89" i="20"/>
  <c r="AQ92" i="20"/>
  <c r="AP76" i="20"/>
  <c r="AT68" i="20"/>
  <c r="AV67" i="20"/>
  <c r="AS88" i="20"/>
  <c r="AP139" i="20"/>
  <c r="AS112" i="20"/>
  <c r="AU136" i="20"/>
  <c r="AV59" i="20"/>
  <c r="AV78" i="20"/>
  <c r="AZ204" i="20"/>
  <c r="AZ122" i="20"/>
  <c r="AV111" i="20"/>
  <c r="BB229" i="20"/>
  <c r="BA70" i="20"/>
  <c r="AZ137" i="20"/>
  <c r="AZ95" i="20"/>
  <c r="AP61" i="20"/>
  <c r="AZ61" i="20"/>
  <c r="AT142" i="20"/>
  <c r="AU142" i="20"/>
  <c r="AY217" i="20"/>
  <c r="AU217" i="20"/>
  <c r="AP216" i="20"/>
  <c r="AQ216" i="20"/>
  <c r="AU224" i="20"/>
  <c r="AZ223" i="20"/>
  <c r="AP214" i="20"/>
  <c r="AT138" i="20"/>
  <c r="AS140" i="20"/>
  <c r="AP230" i="20"/>
  <c r="AS72" i="20"/>
  <c r="AP77" i="20"/>
  <c r="AP231" i="20"/>
  <c r="AQ133" i="20"/>
  <c r="AS60" i="20"/>
  <c r="AU53" i="20"/>
  <c r="AP80" i="20"/>
  <c r="AQ115" i="20"/>
  <c r="AP134" i="20"/>
  <c r="AS100" i="20"/>
  <c r="AU140" i="20"/>
  <c r="AV201" i="20"/>
  <c r="AU101" i="20"/>
  <c r="AU52" i="20"/>
  <c r="AQ126" i="20"/>
  <c r="AP99" i="20"/>
  <c r="AP127" i="20"/>
  <c r="AT123" i="20"/>
  <c r="AQ59" i="20"/>
  <c r="AQ125" i="20"/>
  <c r="AQ99" i="20"/>
  <c r="AU81" i="20"/>
  <c r="AT65" i="20"/>
  <c r="AS138" i="20"/>
  <c r="AQ141" i="20"/>
  <c r="AQ205" i="20"/>
  <c r="AP100" i="20"/>
  <c r="AT126" i="20"/>
  <c r="AU59" i="20"/>
  <c r="AT110" i="20"/>
  <c r="AQ71" i="20"/>
  <c r="AS110" i="20"/>
  <c r="AU54" i="20"/>
  <c r="AV118" i="20"/>
  <c r="AQ230" i="20"/>
  <c r="AZ81" i="20"/>
  <c r="AZ71" i="20"/>
  <c r="AV105" i="20"/>
  <c r="AY209" i="20"/>
  <c r="AZ58" i="20"/>
  <c r="AZ199" i="20"/>
  <c r="AQ106" i="20"/>
  <c r="AZ67" i="20"/>
  <c r="AV209" i="20"/>
  <c r="AY141" i="20"/>
  <c r="BB113" i="20"/>
  <c r="AY147" i="20"/>
  <c r="BA221" i="20"/>
  <c r="AZ116" i="20"/>
  <c r="AV133" i="20"/>
  <c r="BB103" i="20"/>
  <c r="BB69" i="20"/>
  <c r="AY124" i="20"/>
  <c r="BA60" i="20"/>
  <c r="AZ92" i="20"/>
  <c r="AV114" i="20"/>
  <c r="AS84" i="20"/>
  <c r="BB127" i="20"/>
  <c r="AY100" i="20"/>
  <c r="BA93" i="20"/>
  <c r="BB66" i="20"/>
  <c r="AY78" i="20"/>
  <c r="BA80" i="20"/>
  <c r="BA117" i="20"/>
  <c r="AV83" i="20"/>
  <c r="AU128" i="20"/>
  <c r="AU112" i="20"/>
  <c r="BB228" i="20"/>
  <c r="BA64" i="20"/>
  <c r="BB101" i="20"/>
  <c r="BB119" i="20"/>
  <c r="AQ119" i="20"/>
  <c r="AV73" i="20"/>
  <c r="AS119" i="20"/>
  <c r="AY210" i="20"/>
  <c r="AU210" i="20"/>
  <c r="BA218" i="20"/>
  <c r="AU218" i="20"/>
  <c r="AS223" i="20"/>
  <c r="AZ224" i="20"/>
  <c r="AY215" i="20"/>
  <c r="AT78" i="20"/>
  <c r="AS139" i="20"/>
  <c r="AP227" i="20"/>
  <c r="AS107" i="20"/>
  <c r="AP56" i="20"/>
  <c r="AQ118" i="20"/>
  <c r="AQ102" i="20"/>
  <c r="AS94" i="20"/>
  <c r="AU110" i="20"/>
  <c r="AQ213" i="20"/>
  <c r="AP112" i="20"/>
  <c r="AQ101" i="20"/>
  <c r="AS57" i="20"/>
  <c r="AU70" i="20"/>
  <c r="AQ80" i="20"/>
  <c r="AU84" i="20"/>
  <c r="AU103" i="20"/>
  <c r="AQ148" i="20"/>
  <c r="AP91" i="20"/>
  <c r="AS106" i="20"/>
  <c r="AT200" i="20"/>
  <c r="AQ210" i="20"/>
  <c r="AQ204" i="20"/>
  <c r="AV64" i="20"/>
  <c r="AU212" i="20"/>
  <c r="AS230" i="20"/>
  <c r="AS68" i="20"/>
  <c r="AQ87" i="20"/>
  <c r="AP57" i="20"/>
  <c r="AQ111" i="20"/>
  <c r="AT72" i="20"/>
  <c r="AQ104" i="20"/>
  <c r="AU133" i="20"/>
  <c r="AP114" i="20"/>
  <c r="AS134" i="20"/>
  <c r="AU116" i="20"/>
  <c r="AV206" i="20"/>
  <c r="AZ83" i="20"/>
  <c r="BA231" i="20"/>
  <c r="AZ113" i="20"/>
  <c r="AZ130" i="20"/>
  <c r="AY81" i="20"/>
  <c r="BA65" i="20"/>
  <c r="BA136" i="20"/>
  <c r="AU106" i="20"/>
  <c r="AZ105" i="20"/>
  <c r="AV79" i="20"/>
  <c r="AY114" i="20"/>
  <c r="BB130" i="20"/>
  <c r="AY222" i="20"/>
  <c r="BA199" i="20"/>
  <c r="AZ221" i="20"/>
  <c r="AS127" i="20"/>
  <c r="BB230" i="20"/>
  <c r="BB89" i="20"/>
  <c r="AY133" i="20"/>
  <c r="BA228" i="20"/>
  <c r="AZ133" i="20"/>
  <c r="AV123" i="20"/>
  <c r="AT61" i="20"/>
  <c r="AZ96" i="20"/>
  <c r="BA119" i="20"/>
  <c r="BA96" i="20"/>
  <c r="AT217" i="20"/>
  <c r="BB210" i="20"/>
  <c r="AP218" i="20"/>
  <c r="AT218" i="20"/>
  <c r="AP224" i="20"/>
  <c r="AV223" i="20"/>
  <c r="BB214" i="20"/>
  <c r="AQ214" i="20"/>
  <c r="AT71" i="20"/>
  <c r="AS231" i="20"/>
  <c r="AV200" i="20"/>
  <c r="AS211" i="20"/>
  <c r="AS115" i="20"/>
  <c r="AT148" i="20"/>
  <c r="AS56" i="20"/>
  <c r="AS89" i="20"/>
  <c r="AT82" i="20"/>
  <c r="AP136" i="20"/>
  <c r="AS78" i="20"/>
  <c r="AP116" i="20"/>
  <c r="AS148" i="20"/>
  <c r="AU57" i="20"/>
  <c r="AS123" i="20"/>
  <c r="AV110" i="20"/>
  <c r="AU102" i="20"/>
  <c r="AQ91" i="20"/>
  <c r="AP199" i="20"/>
  <c r="AT84" i="20"/>
  <c r="AT145" i="20"/>
  <c r="AP209" i="20"/>
  <c r="AP101" i="20"/>
  <c r="AQ129" i="20"/>
  <c r="AU68" i="20"/>
  <c r="AT141" i="20"/>
  <c r="AS118" i="20"/>
  <c r="AQ68" i="20"/>
  <c r="AP111" i="20"/>
  <c r="AP211" i="20"/>
  <c r="AT222" i="20"/>
  <c r="AP117" i="20"/>
  <c r="AP105" i="20"/>
  <c r="AP145" i="20"/>
  <c r="AS77" i="20"/>
  <c r="AU67" i="20"/>
  <c r="AV100" i="20"/>
  <c r="BA91" i="20"/>
  <c r="BA114" i="20"/>
  <c r="BA227" i="20"/>
  <c r="AZ117" i="20"/>
  <c r="BB140" i="20"/>
  <c r="BA102" i="20"/>
  <c r="BA84" i="20"/>
  <c r="AP128" i="20"/>
  <c r="BA209" i="20"/>
  <c r="AV101" i="20"/>
  <c r="BB129" i="20"/>
  <c r="AY58" i="20"/>
  <c r="BA87" i="20"/>
  <c r="AZ110" i="20"/>
  <c r="AV129" i="20"/>
  <c r="AQ128" i="20"/>
  <c r="AY64" i="20"/>
  <c r="BB53" i="20"/>
  <c r="AY115" i="20"/>
  <c r="BA145" i="20"/>
  <c r="AZ69" i="20"/>
  <c r="AV147" i="20"/>
  <c r="AU91" i="20"/>
  <c r="BB146" i="20"/>
  <c r="AY113" i="20"/>
  <c r="AS142" i="20"/>
  <c r="AP119" i="20"/>
  <c r="AU73" i="20"/>
  <c r="AP96" i="20"/>
  <c r="AS217" i="20"/>
  <c r="BA210" i="20"/>
  <c r="AU216" i="20"/>
  <c r="AZ216" i="20"/>
  <c r="AT224" i="20"/>
  <c r="AU223" i="20"/>
  <c r="AT214" i="20"/>
  <c r="AV215" i="20"/>
  <c r="AS116" i="20"/>
  <c r="AQ123" i="20"/>
  <c r="AS137" i="20"/>
  <c r="AS80" i="20"/>
  <c r="AS59" i="20"/>
  <c r="AS79" i="20"/>
  <c r="AS90" i="20"/>
  <c r="AZ119" i="20"/>
  <c r="AY96" i="20"/>
  <c r="AV142" i="20"/>
  <c r="AY73" i="20"/>
  <c r="AZ210" i="20"/>
  <c r="AQ217" i="20"/>
  <c r="AS218" i="20"/>
  <c r="BB223" i="20"/>
  <c r="AY224" i="20"/>
  <c r="BA214" i="20"/>
  <c r="AT215" i="20"/>
  <c r="AT228" i="20"/>
  <c r="AP72" i="20"/>
  <c r="AS70" i="20"/>
  <c r="AS126" i="20"/>
  <c r="AT205" i="20"/>
  <c r="AS71" i="20"/>
  <c r="AS136" i="20"/>
  <c r="AT118" i="20"/>
  <c r="AQ201" i="20"/>
  <c r="AP135" i="20"/>
  <c r="AT136" i="20"/>
  <c r="AP88" i="20"/>
  <c r="AT66" i="20"/>
  <c r="AU105" i="20"/>
  <c r="AU55" i="20"/>
  <c r="AZ205" i="20"/>
  <c r="AT115" i="20"/>
  <c r="AP124" i="20"/>
  <c r="AQ65" i="20"/>
  <c r="AU72" i="20"/>
  <c r="AT231" i="20"/>
  <c r="AQ136" i="20"/>
  <c r="AQ110" i="20"/>
  <c r="AU83" i="20"/>
  <c r="AU92" i="20"/>
  <c r="AT135" i="20"/>
  <c r="AQ57" i="20"/>
  <c r="AP221" i="20"/>
  <c r="AP146" i="20"/>
  <c r="AQ60" i="20"/>
  <c r="AT88" i="20"/>
  <c r="AT73" i="20"/>
  <c r="AT119" i="20"/>
  <c r="BB218" i="20"/>
  <c r="AV224" i="20"/>
  <c r="AZ215" i="20"/>
  <c r="AT102" i="20"/>
  <c r="AQ134" i="20"/>
  <c r="AP103" i="20"/>
  <c r="AT128" i="20"/>
  <c r="AT140" i="20"/>
  <c r="AS200" i="20"/>
  <c r="AP66" i="20"/>
  <c r="AT79" i="20"/>
  <c r="AQ56" i="20"/>
  <c r="AT69" i="20"/>
  <c r="AQ199" i="20"/>
  <c r="AU209" i="20"/>
  <c r="AP148" i="20"/>
  <c r="AP106" i="20"/>
  <c r="AU221" i="20"/>
  <c r="AP210" i="20"/>
  <c r="AP71" i="20"/>
  <c r="AS114" i="20"/>
  <c r="AT87" i="20"/>
  <c r="AQ88" i="20"/>
  <c r="AT76" i="20"/>
  <c r="AV58" i="20"/>
  <c r="AZ111" i="20"/>
  <c r="BA76" i="20"/>
  <c r="AV130" i="20"/>
  <c r="AZ104" i="20"/>
  <c r="AY130" i="20"/>
  <c r="AU77" i="20"/>
  <c r="AZ60" i="20"/>
  <c r="AZ222" i="20"/>
  <c r="BB80" i="20"/>
  <c r="AY125" i="20"/>
  <c r="AZ125" i="20"/>
  <c r="AV53" i="20"/>
  <c r="BB221" i="20"/>
  <c r="BB205" i="20"/>
  <c r="BA100" i="20"/>
  <c r="AZ88" i="20"/>
  <c r="AV60" i="20"/>
  <c r="AU76" i="20"/>
  <c r="AY56" i="20"/>
  <c r="AQ61" i="20"/>
  <c r="BB96" i="20"/>
  <c r="AV217" i="20"/>
  <c r="AQ218" i="20"/>
  <c r="AT223" i="20"/>
  <c r="AP129" i="20"/>
  <c r="AP64" i="20"/>
  <c r="AQ66" i="20"/>
  <c r="AP205" i="20"/>
  <c r="AS205" i="20"/>
  <c r="AT114" i="20"/>
  <c r="AP78" i="20"/>
  <c r="AT146" i="20"/>
  <c r="AS206" i="20"/>
  <c r="AT125" i="20"/>
  <c r="AP89" i="20"/>
  <c r="AS213" i="20"/>
  <c r="AQ146" i="20"/>
  <c r="AU138" i="20"/>
  <c r="AT211" i="20"/>
  <c r="AQ209" i="20"/>
  <c r="AQ206" i="20"/>
  <c r="AT221" i="20"/>
  <c r="AQ135" i="20"/>
  <c r="AT100" i="20"/>
  <c r="AZ140" i="20"/>
  <c r="BA211" i="20"/>
  <c r="BB139" i="20"/>
  <c r="AZ138" i="20"/>
  <c r="BA118" i="20"/>
  <c r="AY79" i="20"/>
  <c r="AU95" i="20"/>
  <c r="BA201" i="20"/>
  <c r="AZ100" i="20"/>
  <c r="BB147" i="20"/>
  <c r="BA101" i="20"/>
  <c r="AZ127" i="20"/>
  <c r="AV93" i="20"/>
  <c r="AY67" i="20"/>
  <c r="BB204" i="20"/>
  <c r="BA124" i="20"/>
  <c r="AZ231" i="20"/>
  <c r="AV103" i="20"/>
  <c r="AU229" i="20"/>
  <c r="AY57" i="20"/>
  <c r="BA53" i="20"/>
  <c r="BB111" i="20"/>
  <c r="AY89" i="20"/>
  <c r="BA90" i="20"/>
  <c r="AZ82" i="20"/>
  <c r="AV89" i="20"/>
  <c r="AU124" i="20"/>
  <c r="BB84" i="20"/>
  <c r="AZ101" i="20"/>
  <c r="BB116" i="20"/>
  <c r="AZ212" i="20"/>
  <c r="AY145" i="20"/>
  <c r="AZ103" i="20"/>
  <c r="AY102" i="20"/>
  <c r="AZ142" i="20"/>
  <c r="AQ96" i="20"/>
  <c r="AV210" i="20"/>
  <c r="AZ218" i="20"/>
  <c r="AQ223" i="20"/>
  <c r="AV214" i="20"/>
  <c r="AS92" i="20"/>
  <c r="AS221" i="20"/>
  <c r="AT99" i="20"/>
  <c r="AS147" i="20"/>
  <c r="AU204" i="20"/>
  <c r="AT134" i="20"/>
  <c r="AQ117" i="20"/>
  <c r="AU114" i="20"/>
  <c r="AT116" i="20"/>
  <c r="AT77" i="20"/>
  <c r="AQ93" i="20"/>
  <c r="AT113" i="20"/>
  <c r="AQ145" i="20"/>
  <c r="AU65" i="20"/>
  <c r="AT89" i="20"/>
  <c r="AP206" i="20"/>
  <c r="AQ67" i="20"/>
  <c r="AS227" i="20"/>
  <c r="AV119" i="20"/>
  <c r="AZ73" i="20"/>
  <c r="AT210" i="20"/>
  <c r="AT216" i="20"/>
  <c r="AS224" i="20"/>
  <c r="AZ214" i="20"/>
  <c r="AV66" i="20"/>
  <c r="AS111" i="20"/>
  <c r="AT230" i="20"/>
  <c r="AT112" i="20"/>
  <c r="AT127" i="20"/>
  <c r="AT81" i="20"/>
  <c r="AP228" i="20"/>
  <c r="AQ113" i="20"/>
  <c r="AT206" i="20"/>
  <c r="AT204" i="20"/>
  <c r="AP110" i="20"/>
  <c r="AT93" i="20"/>
  <c r="AQ147" i="20"/>
  <c r="AU147" i="20"/>
  <c r="AT91" i="20"/>
  <c r="AP222" i="20"/>
  <c r="AQ221" i="20"/>
  <c r="AU200" i="20"/>
  <c r="AQ228" i="20"/>
  <c r="AQ114" i="20"/>
  <c r="AS229" i="20"/>
  <c r="BA146" i="20"/>
  <c r="AY138" i="20"/>
  <c r="AP130" i="20"/>
  <c r="BA55" i="20"/>
  <c r="BB90" i="20"/>
  <c r="BB76" i="20"/>
  <c r="AU82" i="20"/>
  <c r="BA71" i="20"/>
  <c r="AZ65" i="20"/>
  <c r="BB201" i="20"/>
  <c r="BA79" i="20"/>
  <c r="AZ55" i="20"/>
  <c r="AV80" i="20"/>
  <c r="AY101" i="20"/>
  <c r="AY53" i="20"/>
  <c r="BA206" i="20"/>
  <c r="AZ128" i="20"/>
  <c r="AQ82" i="20"/>
  <c r="BB87" i="20"/>
  <c r="AY91" i="20"/>
  <c r="BA148" i="20"/>
  <c r="BB122" i="20"/>
  <c r="AY106" i="20"/>
  <c r="BA58" i="20"/>
  <c r="AZ90" i="20"/>
  <c r="AV146" i="20"/>
  <c r="AU90" i="20"/>
  <c r="BB91" i="20"/>
  <c r="BA205" i="20"/>
  <c r="AY227" i="20"/>
  <c r="AZ56" i="20"/>
  <c r="AY84" i="20"/>
  <c r="AZ200" i="20"/>
  <c r="BB141" i="20"/>
  <c r="AT96" i="20"/>
  <c r="AV61" i="20"/>
  <c r="AS210" i="20"/>
  <c r="AY218" i="20"/>
  <c r="BA223" i="20"/>
  <c r="AY214" i="20"/>
  <c r="AS53" i="20"/>
  <c r="AS125" i="20"/>
  <c r="AT213" i="20"/>
  <c r="AT57" i="20"/>
  <c r="AS124" i="20"/>
  <c r="AV52" i="20"/>
  <c r="AP53" i="20"/>
  <c r="AQ124" i="20"/>
  <c r="BA110" i="20"/>
  <c r="AQ58" i="20"/>
  <c r="AU64" i="20"/>
  <c r="AT137" i="20"/>
  <c r="AQ116" i="20"/>
  <c r="AU206" i="20"/>
  <c r="AS201" i="20"/>
  <c r="AQ76" i="20"/>
  <c r="AP212" i="20"/>
  <c r="AU80" i="20"/>
  <c r="AT147" i="20"/>
  <c r="AP113" i="20"/>
  <c r="AU139" i="20"/>
  <c r="AY201" i="20"/>
  <c r="AY95" i="20"/>
  <c r="AT130" i="20"/>
  <c r="AV95" i="20"/>
  <c r="AY80" i="20"/>
  <c r="AP83" i="20"/>
  <c r="AY129" i="20"/>
  <c r="BA229" i="20"/>
  <c r="AY71" i="20"/>
  <c r="BA54" i="20"/>
  <c r="AZ206" i="20"/>
  <c r="AP81" i="20"/>
  <c r="AY72" i="20"/>
  <c r="AY65" i="20"/>
  <c r="BA147" i="20"/>
  <c r="AZ112" i="20"/>
  <c r="AQ130" i="20"/>
  <c r="BB134" i="20"/>
  <c r="AY104" i="20"/>
  <c r="BA138" i="20"/>
  <c r="BB206" i="20"/>
  <c r="AY110" i="20"/>
  <c r="BA139" i="20"/>
  <c r="AZ94" i="20"/>
  <c r="AV54" i="20"/>
  <c r="AU100" i="20"/>
  <c r="BB73" i="20"/>
  <c r="AQ142" i="20"/>
  <c r="BB217" i="20"/>
  <c r="AP217" i="20"/>
  <c r="AP223" i="20"/>
  <c r="AU214" i="20"/>
  <c r="AT92" i="20"/>
  <c r="AS69" i="20"/>
  <c r="AU69" i="20"/>
  <c r="AU129" i="20"/>
  <c r="AS141" i="20"/>
  <c r="AS76" i="20"/>
  <c r="AQ53" i="20"/>
  <c r="AQ211" i="20"/>
  <c r="AV145" i="20"/>
  <c r="AQ55" i="20"/>
  <c r="AU117" i="20"/>
  <c r="AT101" i="20"/>
  <c r="AQ72" i="20"/>
  <c r="AV136" i="20"/>
  <c r="AS133" i="20"/>
  <c r="AQ122" i="20"/>
  <c r="AQ64" i="20"/>
  <c r="AU71" i="20"/>
  <c r="AT95" i="20"/>
  <c r="AP102" i="20"/>
  <c r="AT106" i="20"/>
  <c r="BB61" i="20"/>
  <c r="BB215" i="20"/>
  <c r="AT227" i="20"/>
  <c r="AP118" i="20"/>
  <c r="AT59" i="20"/>
  <c r="AQ52" i="20"/>
  <c r="AQ212" i="20"/>
  <c r="AP90" i="20"/>
  <c r="AQ112" i="20"/>
  <c r="AU201" i="20"/>
  <c r="AQ222" i="20"/>
  <c r="AS146" i="20"/>
  <c r="AS228" i="20"/>
  <c r="AV117" i="20"/>
  <c r="AV88" i="20"/>
  <c r="AV81" i="20"/>
  <c r="AT83" i="20"/>
  <c r="AV205" i="20"/>
  <c r="BB227" i="20"/>
  <c r="BA230" i="20"/>
  <c r="AV228" i="20"/>
  <c r="AY200" i="20"/>
  <c r="BA56" i="20"/>
  <c r="AV140" i="20"/>
  <c r="BB58" i="20"/>
  <c r="AY139" i="20"/>
  <c r="AZ228" i="20"/>
  <c r="AY204" i="20"/>
  <c r="BA130" i="20"/>
  <c r="AV213" i="20"/>
  <c r="AU222" i="20"/>
  <c r="AV106" i="20"/>
  <c r="AY128" i="20"/>
  <c r="BB104" i="20"/>
  <c r="AY126" i="20"/>
  <c r="BA122" i="20"/>
  <c r="BB105" i="20"/>
  <c r="AY142" i="20"/>
  <c r="BA217" i="20"/>
  <c r="AY223" i="20"/>
  <c r="AS215" i="20"/>
  <c r="AT117" i="20"/>
  <c r="AS105" i="20"/>
  <c r="AT229" i="20"/>
  <c r="AS95" i="20"/>
  <c r="AV141" i="20"/>
  <c r="AU89" i="20"/>
  <c r="AP229" i="20"/>
  <c r="AS54" i="20"/>
  <c r="AP126" i="20"/>
  <c r="AS122" i="20"/>
  <c r="AV135" i="20"/>
  <c r="AV199" i="20"/>
  <c r="AZ147" i="20"/>
  <c r="AV222" i="20"/>
  <c r="AV87" i="20"/>
  <c r="AY76" i="20"/>
  <c r="BA222" i="20"/>
  <c r="BB112" i="20"/>
  <c r="BB59" i="20"/>
  <c r="BA137" i="20"/>
  <c r="AV71" i="20"/>
  <c r="BB124" i="20"/>
  <c r="BA113" i="20"/>
  <c r="BB77" i="20"/>
  <c r="AY148" i="20"/>
  <c r="AZ53" i="20"/>
  <c r="AV90" i="20"/>
  <c r="AU60" i="20"/>
  <c r="AZ118" i="20"/>
  <c r="AY92" i="20"/>
  <c r="BB92" i="20"/>
  <c r="AY66" i="20"/>
  <c r="BA133" i="20"/>
  <c r="AS52" i="20"/>
  <c r="AU119" i="20"/>
  <c r="BB224" i="20"/>
  <c r="AQ137" i="20"/>
  <c r="AQ70" i="20"/>
  <c r="AT94" i="20"/>
  <c r="AS99" i="20"/>
  <c r="AQ127" i="20"/>
  <c r="AU231" i="20"/>
  <c r="AP200" i="20"/>
  <c r="AS204" i="20"/>
  <c r="AP59" i="20"/>
  <c r="AS83" i="20"/>
  <c r="AT70" i="20"/>
  <c r="AV148" i="20"/>
  <c r="AV104" i="20"/>
  <c r="AZ136" i="20"/>
  <c r="AV230" i="20"/>
  <c r="AV84" i="20"/>
  <c r="AS96" i="20"/>
  <c r="AQ79" i="20"/>
  <c r="AS145" i="20"/>
  <c r="BA73" i="20"/>
  <c r="AQ54" i="20"/>
  <c r="AT52" i="20"/>
  <c r="AP82" i="20"/>
  <c r="AT60" i="20"/>
  <c r="AS82" i="20"/>
  <c r="AU56" i="20"/>
  <c r="AP87" i="20"/>
  <c r="AS58" i="20"/>
  <c r="AS103" i="20"/>
  <c r="AT139" i="20"/>
  <c r="AT90" i="20"/>
  <c r="AV65" i="20"/>
  <c r="AV94" i="20"/>
  <c r="BB213" i="20"/>
  <c r="AV77" i="20"/>
  <c r="AZ89" i="20"/>
  <c r="AY103" i="20"/>
  <c r="AZ129" i="20"/>
  <c r="BB55" i="20"/>
  <c r="BB93" i="20"/>
  <c r="AZ93" i="20"/>
  <c r="AU130" i="20"/>
  <c r="BB145" i="20"/>
  <c r="BA78" i="20"/>
  <c r="BB110" i="20"/>
  <c r="AY228" i="20"/>
  <c r="AZ107" i="20"/>
  <c r="AV227" i="20"/>
  <c r="AU213" i="20"/>
  <c r="AZ66" i="20"/>
  <c r="AP73" i="20"/>
  <c r="AU146" i="20"/>
  <c r="AT55" i="20"/>
  <c r="AP204" i="20"/>
  <c r="AT133" i="20"/>
  <c r="AU125" i="20"/>
  <c r="AU99" i="20"/>
  <c r="AP115" i="20"/>
  <c r="AP55" i="20"/>
  <c r="AS113" i="20"/>
  <c r="AT103" i="20"/>
  <c r="AQ81" i="20"/>
  <c r="AV92" i="20"/>
  <c r="AV112" i="20"/>
  <c r="BB95" i="20"/>
  <c r="AV82" i="20"/>
  <c r="BA105" i="20"/>
  <c r="AY105" i="20"/>
  <c r="AZ148" i="20"/>
  <c r="BB70" i="20"/>
  <c r="AY94" i="20"/>
  <c r="AZ64" i="20"/>
  <c r="AU104" i="20"/>
  <c r="AU61" i="20"/>
  <c r="AS216" i="20"/>
  <c r="AU148" i="20"/>
  <c r="AP104" i="20"/>
  <c r="AS102" i="20"/>
  <c r="AP123" i="20"/>
  <c r="AT56" i="20"/>
  <c r="AT129" i="20"/>
  <c r="BA59" i="20"/>
  <c r="BA92" i="20"/>
  <c r="AZ230" i="20"/>
  <c r="BB71" i="20"/>
  <c r="AV221" i="20"/>
  <c r="AY127" i="20"/>
  <c r="AZ80" i="20"/>
  <c r="AU122" i="20"/>
  <c r="BA72" i="20"/>
  <c r="BB148" i="20"/>
  <c r="BA128" i="20"/>
  <c r="AS128" i="20"/>
  <c r="BB83" i="20"/>
  <c r="AY221" i="20"/>
  <c r="AZ52" i="20"/>
  <c r="AV76" i="20"/>
  <c r="AS61" i="20"/>
  <c r="AV218" i="20"/>
  <c r="AS66" i="20"/>
  <c r="BB142" i="20"/>
  <c r="AY216" i="20"/>
  <c r="AS222" i="20"/>
  <c r="AZ70" i="20"/>
  <c r="AP122" i="20"/>
  <c r="AP70" i="20"/>
  <c r="AP133" i="20"/>
  <c r="AT53" i="20"/>
  <c r="AY213" i="20"/>
  <c r="AV57" i="20"/>
  <c r="AV69" i="20"/>
  <c r="BA94" i="20"/>
  <c r="AY82" i="20"/>
  <c r="AV55" i="20"/>
  <c r="BB128" i="20"/>
  <c r="AZ145" i="20"/>
  <c r="BB118" i="20"/>
  <c r="BA127" i="20"/>
  <c r="AY55" i="20"/>
  <c r="AZ115" i="20"/>
  <c r="AQ84" i="20"/>
  <c r="BB67" i="20"/>
  <c r="BB211" i="20"/>
  <c r="BA112" i="20"/>
  <c r="AV212" i="20"/>
  <c r="BB100" i="20"/>
  <c r="BA216" i="20"/>
  <c r="AQ77" i="20"/>
  <c r="AQ69" i="20"/>
  <c r="AP92" i="20"/>
  <c r="AP94" i="20"/>
  <c r="AP147" i="20"/>
  <c r="AP67" i="20"/>
  <c r="AZ229" i="20"/>
  <c r="AZ79" i="20"/>
  <c r="AV102" i="20"/>
  <c r="AY117" i="20"/>
  <c r="AY123" i="20"/>
  <c r="AV91" i="20"/>
  <c r="AY93" i="20"/>
  <c r="AV229" i="20"/>
  <c r="BB135" i="20"/>
  <c r="AZ68" i="20"/>
  <c r="AY87" i="20"/>
  <c r="AZ84" i="20"/>
  <c r="AP107" i="20"/>
  <c r="AV126" i="20"/>
  <c r="BB81" i="20"/>
  <c r="BA123" i="20"/>
  <c r="AV127" i="20"/>
  <c r="BB94" i="20"/>
  <c r="AU227" i="20"/>
  <c r="AQ227" i="20"/>
  <c r="AP137" i="20"/>
  <c r="AU127" i="20"/>
  <c r="AS101" i="20"/>
  <c r="AQ78" i="20"/>
  <c r="BA82" i="20"/>
  <c r="AY229" i="20"/>
  <c r="AY77" i="20"/>
  <c r="AY107" i="20"/>
  <c r="AV138" i="20"/>
  <c r="AY137" i="20"/>
  <c r="AV128" i="20"/>
  <c r="BB212" i="20"/>
  <c r="AZ146" i="20"/>
  <c r="AY212" i="20"/>
  <c r="AZ91" i="20"/>
  <c r="AT107" i="20"/>
  <c r="AZ209" i="20"/>
  <c r="AY136" i="20"/>
  <c r="BA115" i="20"/>
  <c r="BA57" i="20"/>
  <c r="AP140" i="20"/>
  <c r="AT122" i="20"/>
  <c r="AQ140" i="20"/>
  <c r="AU199" i="20"/>
  <c r="AS67" i="20"/>
  <c r="AP79" i="20"/>
  <c r="AQ107" i="20"/>
  <c r="AZ106" i="20"/>
  <c r="BB106" i="20"/>
  <c r="BA89" i="20"/>
  <c r="BB117" i="20"/>
  <c r="AY205" i="20"/>
  <c r="AV72" i="20"/>
  <c r="BB231" i="20"/>
  <c r="AZ102" i="20"/>
  <c r="AY135" i="20"/>
  <c r="AZ124" i="20"/>
  <c r="AS81" i="20"/>
  <c r="AZ139" i="20"/>
  <c r="AS214" i="20"/>
  <c r="BA215" i="20"/>
  <c r="AT80" i="20"/>
  <c r="AU94" i="20"/>
  <c r="AP68" i="20"/>
  <c r="AP141" i="20"/>
  <c r="AV70" i="20"/>
  <c r="AZ54" i="20"/>
  <c r="BB72" i="20"/>
  <c r="BB138" i="20"/>
  <c r="AZ211" i="20"/>
  <c r="BA67" i="20"/>
  <c r="BA66" i="20"/>
  <c r="AU78" i="20"/>
  <c r="AY211" i="20"/>
  <c r="AY231" i="20"/>
  <c r="BA83" i="20"/>
  <c r="AQ215" i="20"/>
  <c r="AU126" i="20"/>
  <c r="AY88" i="20"/>
  <c r="AU93" i="20"/>
  <c r="AQ105" i="20"/>
  <c r="AV124" i="20"/>
  <c r="BB82" i="20"/>
  <c r="BB222" i="20"/>
  <c r="AV204" i="20"/>
  <c r="BA104" i="20"/>
  <c r="BA81" i="20"/>
  <c r="AP215" i="20"/>
  <c r="AS87" i="20"/>
  <c r="AQ95" i="20"/>
  <c r="AU79" i="20"/>
  <c r="AT64" i="20"/>
  <c r="AV56" i="20"/>
  <c r="AY230" i="20"/>
  <c r="BB65" i="20"/>
  <c r="AY69" i="20"/>
  <c r="AS104" i="20"/>
  <c r="BA140" i="20"/>
  <c r="BA213" i="20"/>
  <c r="AU211" i="20"/>
  <c r="AY199" i="20"/>
  <c r="BB133" i="20"/>
  <c r="AY118" i="20"/>
  <c r="AZ201" i="20"/>
  <c r="AT209" i="20"/>
  <c r="AU228" i="20"/>
  <c r="AQ231" i="20"/>
  <c r="BA126" i="20"/>
  <c r="AY134" i="20"/>
  <c r="AY68" i="20"/>
  <c r="AY99" i="20"/>
  <c r="AU145" i="20"/>
  <c r="AQ139" i="20"/>
  <c r="AZ141" i="20"/>
  <c r="AS212" i="20"/>
  <c r="AT199" i="20"/>
  <c r="BB199" i="20"/>
  <c r="AY70" i="20"/>
  <c r="BA68" i="20"/>
  <c r="AY116" i="20"/>
  <c r="AU113" i="20"/>
  <c r="BB107" i="20"/>
  <c r="AZ87" i="20"/>
  <c r="BB64" i="20"/>
  <c r="AY83" i="20"/>
  <c r="AV231" i="20"/>
  <c r="BB114" i="20"/>
  <c r="AT124" i="20"/>
  <c r="AP52" i="20"/>
  <c r="AZ227" i="20"/>
  <c r="AV99" i="20"/>
  <c r="BB60" i="20"/>
  <c r="AU58" i="20"/>
  <c r="AQ138" i="20"/>
  <c r="AP84" i="20"/>
  <c r="AZ213" i="20"/>
  <c r="BA129" i="20"/>
  <c r="AY111" i="20"/>
  <c r="AV211" i="20"/>
  <c r="BA99" i="20"/>
  <c r="AV115" i="20"/>
  <c r="AP54" i="20"/>
  <c r="AQ94" i="20"/>
  <c r="AS129" i="20"/>
  <c r="AU135" i="20"/>
  <c r="AU118" i="20"/>
  <c r="BA69" i="20"/>
  <c r="BA106" i="20"/>
  <c r="BB136" i="20"/>
  <c r="AV134" i="20"/>
  <c r="AY112" i="20"/>
  <c r="AT212" i="20"/>
  <c r="AU107" i="20"/>
  <c r="BB137" i="20"/>
  <c r="BA134" i="20"/>
  <c r="BB125" i="20"/>
  <c r="AS130" i="20"/>
  <c r="AY60" i="20"/>
  <c r="AZ59" i="20"/>
  <c r="AU115" i="20"/>
  <c r="AT104" i="20"/>
  <c r="BA212" i="20"/>
  <c r="BB52" i="20"/>
  <c r="AV139" i="20"/>
  <c r="BB126" i="20"/>
  <c r="AY206" i="20"/>
  <c r="AU134" i="20"/>
  <c r="AU111" i="20"/>
  <c r="AQ90" i="20"/>
  <c r="AQ83" i="20"/>
  <c r="BA52" i="20"/>
  <c r="AY59" i="20"/>
  <c r="AV113" i="20"/>
  <c r="AZ99" i="20"/>
  <c r="AY52" i="20"/>
  <c r="AZ76" i="20"/>
  <c r="AY122" i="20"/>
  <c r="AZ57" i="20"/>
  <c r="AU88" i="20"/>
  <c r="AZ123" i="20"/>
  <c r="AY146" i="20"/>
  <c r="AU230" i="20"/>
  <c r="BA88" i="20"/>
  <c r="BB78" i="20"/>
  <c r="BB88" i="20"/>
  <c r="AV68" i="20"/>
  <c r="AT54" i="20"/>
  <c r="AZ134" i="20"/>
  <c r="BB79" i="20"/>
  <c r="BB57" i="20"/>
  <c r="BA111" i="20"/>
  <c r="BB200" i="20"/>
  <c r="AS135" i="20"/>
  <c r="BB102" i="20"/>
  <c r="AY140" i="20"/>
  <c r="BB99" i="20"/>
  <c r="AS64" i="20"/>
  <c r="BA77" i="20"/>
  <c r="AZ78" i="20"/>
  <c r="AY54" i="20"/>
  <c r="AP213" i="20"/>
  <c r="BB115" i="20"/>
  <c r="BA141" i="20"/>
  <c r="BA116" i="20"/>
  <c r="AP201" i="20"/>
  <c r="BB56" i="20"/>
  <c r="BA125" i="20"/>
  <c r="AZ72" i="20"/>
  <c r="AV107" i="20"/>
  <c r="BA107" i="20"/>
  <c r="AZ114" i="20"/>
  <c r="AV116" i="20"/>
  <c r="BA95" i="20"/>
  <c r="AZ77" i="20"/>
  <c r="BA142" i="20"/>
  <c r="AP142" i="20"/>
  <c r="AV125" i="20"/>
  <c r="BB54" i="20"/>
  <c r="BB68" i="20"/>
  <c r="BA135" i="20"/>
  <c r="AU137" i="20"/>
  <c r="BB209" i="20"/>
  <c r="BA103" i="20"/>
  <c r="BA204" i="20"/>
  <c r="AZ135" i="20"/>
  <c r="AU96" i="20"/>
  <c r="AY119" i="20"/>
  <c r="BZ204" i="20"/>
  <c r="BZ163" i="20"/>
  <c r="CE127" i="20"/>
  <c r="CJ183" i="20"/>
  <c r="CJ59" i="20"/>
  <c r="CK200" i="20"/>
  <c r="CE231" i="20"/>
  <c r="CE156" i="20"/>
  <c r="CB83" i="20"/>
  <c r="CJ56" i="20"/>
  <c r="CK204" i="20"/>
  <c r="CE77" i="20"/>
  <c r="CE201" i="20"/>
  <c r="CJ65" i="20"/>
  <c r="CH111" i="20"/>
  <c r="CA155" i="20"/>
  <c r="CB105" i="20"/>
  <c r="CJ67" i="20"/>
  <c r="CC102" i="20"/>
  <c r="CI94" i="20"/>
  <c r="CF180" i="20"/>
  <c r="CF204" i="20"/>
  <c r="CF211" i="20"/>
  <c r="CF88" i="20"/>
  <c r="CL115" i="20"/>
  <c r="CJ191" i="20"/>
  <c r="CL130" i="20"/>
  <c r="CI65" i="20"/>
  <c r="CH64" i="20"/>
  <c r="CI127" i="20"/>
  <c r="CH58" i="20"/>
  <c r="CH117" i="20"/>
  <c r="CI100" i="20"/>
  <c r="CH138" i="20"/>
  <c r="CH199" i="20"/>
  <c r="CH168" i="20"/>
  <c r="CH142" i="20"/>
  <c r="CC188" i="20"/>
  <c r="CC73" i="20"/>
  <c r="CL216" i="20"/>
  <c r="BZ223" i="20"/>
  <c r="CI215" i="20"/>
  <c r="BQ215" i="20" s="1"/>
  <c r="AN213" i="25" s="1"/>
  <c r="CK151" i="20"/>
  <c r="CK196" i="20"/>
  <c r="CD58" i="20"/>
  <c r="CD133" i="20"/>
  <c r="CI204" i="20"/>
  <c r="CK93" i="20"/>
  <c r="CK221" i="20"/>
  <c r="CD53" i="20"/>
  <c r="CK104" i="20"/>
  <c r="CH55" i="20"/>
  <c r="CI159" i="20"/>
  <c r="CD140" i="20"/>
  <c r="CK113" i="20"/>
  <c r="CH116" i="20"/>
  <c r="CH159" i="20"/>
  <c r="CK118" i="20"/>
  <c r="CH151" i="20"/>
  <c r="CK134" i="20"/>
  <c r="CH54" i="20"/>
  <c r="CK137" i="20"/>
  <c r="CI205" i="20"/>
  <c r="CK136" i="20"/>
  <c r="CH107" i="20"/>
  <c r="CH228" i="20"/>
  <c r="CI209" i="20"/>
  <c r="CI55" i="20"/>
  <c r="CI184" i="20"/>
  <c r="CH127" i="20"/>
  <c r="CI76" i="20"/>
  <c r="CI228" i="20"/>
  <c r="CK78" i="20"/>
  <c r="CH141" i="20"/>
  <c r="CH125" i="20"/>
  <c r="CI156" i="20"/>
  <c r="CK103" i="20"/>
  <c r="CI231" i="20"/>
  <c r="CI221" i="20"/>
  <c r="CA71" i="20"/>
  <c r="CK227" i="20"/>
  <c r="CI60" i="20"/>
  <c r="CJ192" i="20"/>
  <c r="CC191" i="20"/>
  <c r="CF102" i="20"/>
  <c r="CF145" i="20"/>
  <c r="CF144" i="20" s="1"/>
  <c r="CL164" i="20"/>
  <c r="CF114" i="20"/>
  <c r="CL171" i="20"/>
  <c r="CL52" i="20"/>
  <c r="CF116" i="20"/>
  <c r="CK212" i="20"/>
  <c r="CH172" i="20"/>
  <c r="CL66" i="20"/>
  <c r="CF55" i="20"/>
  <c r="CL179" i="20"/>
  <c r="CL70" i="20"/>
  <c r="CF129" i="20"/>
  <c r="CL129" i="20"/>
  <c r="CA83" i="20"/>
  <c r="CL155" i="20"/>
  <c r="CL137" i="20"/>
  <c r="CB136" i="20"/>
  <c r="CB231" i="20"/>
  <c r="CL67" i="20"/>
  <c r="CJ125" i="20"/>
  <c r="CJ104" i="20"/>
  <c r="CE142" i="20"/>
  <c r="CA119" i="20"/>
  <c r="CH61" i="20"/>
  <c r="CD217" i="20"/>
  <c r="CF122" i="20"/>
  <c r="CD195" i="20"/>
  <c r="CD145" i="20"/>
  <c r="CD144" i="20" s="1"/>
  <c r="CK107" i="20"/>
  <c r="CD110" i="20"/>
  <c r="CI211" i="20"/>
  <c r="CD57" i="20"/>
  <c r="CD103" i="20"/>
  <c r="CK171" i="20"/>
  <c r="CI183" i="20"/>
  <c r="CD76" i="20"/>
  <c r="CD184" i="20"/>
  <c r="CK81" i="20"/>
  <c r="CI133" i="20"/>
  <c r="CD212" i="20"/>
  <c r="CK92" i="20"/>
  <c r="CH89" i="20"/>
  <c r="CK100" i="20"/>
  <c r="CH231" i="20"/>
  <c r="CF100" i="20"/>
  <c r="CK105" i="20"/>
  <c r="CI175" i="20"/>
  <c r="CK77" i="20"/>
  <c r="CH84" i="20"/>
  <c r="CI110" i="20"/>
  <c r="CH95" i="20"/>
  <c r="CI123" i="20"/>
  <c r="CA100" i="20"/>
  <c r="CI206" i="20"/>
  <c r="CH79" i="20"/>
  <c r="CF138" i="20"/>
  <c r="CH129" i="20"/>
  <c r="CK83" i="20"/>
  <c r="CH179" i="20"/>
  <c r="CH78" i="20"/>
  <c r="CI213" i="20"/>
  <c r="BQ213" i="20" s="1"/>
  <c r="CK141" i="20"/>
  <c r="CI180" i="20"/>
  <c r="CH100" i="20"/>
  <c r="CF67" i="20"/>
  <c r="CH90" i="20"/>
  <c r="CL101" i="20"/>
  <c r="CA192" i="20"/>
  <c r="CF192" i="20"/>
  <c r="CF52" i="20"/>
  <c r="CF212" i="20"/>
  <c r="CL113" i="20"/>
  <c r="CF115" i="20"/>
  <c r="CL210" i="20"/>
  <c r="CL71" i="20"/>
  <c r="CF139" i="20"/>
  <c r="CL122" i="20"/>
  <c r="CL222" i="20"/>
  <c r="CI67" i="20"/>
  <c r="CF69" i="20"/>
  <c r="CK222" i="20"/>
  <c r="CI78" i="20"/>
  <c r="CL106" i="20"/>
  <c r="CL94" i="20"/>
  <c r="CF159" i="20"/>
  <c r="CH184" i="20"/>
  <c r="CL83" i="20"/>
  <c r="BZ116" i="20"/>
  <c r="BZ133" i="20"/>
  <c r="CI102" i="20"/>
  <c r="CJ105" i="20"/>
  <c r="CE130" i="20"/>
  <c r="CE172" i="20"/>
  <c r="CA204" i="20"/>
  <c r="CL59" i="20"/>
  <c r="CH128" i="20"/>
  <c r="CJ88" i="20"/>
  <c r="CE210" i="20"/>
  <c r="CA172" i="20"/>
  <c r="CI54" i="20"/>
  <c r="CJ139" i="20"/>
  <c r="CJ205" i="20"/>
  <c r="BZ129" i="20"/>
  <c r="CE176" i="20"/>
  <c r="CA201" i="20"/>
  <c r="CL91" i="20"/>
  <c r="CJ96" i="20"/>
  <c r="CL61" i="20"/>
  <c r="CJ216" i="20"/>
  <c r="CJ224" i="20"/>
  <c r="CK214" i="20"/>
  <c r="CD231" i="20"/>
  <c r="CF196" i="20"/>
  <c r="CK69" i="20"/>
  <c r="CI168" i="20"/>
  <c r="CK163" i="20"/>
  <c r="CD126" i="20"/>
  <c r="CD54" i="20"/>
  <c r="CK130" i="20"/>
  <c r="CH130" i="20"/>
  <c r="CD87" i="20"/>
  <c r="CD159" i="20"/>
  <c r="CK106" i="20"/>
  <c r="CI137" i="20"/>
  <c r="CD205" i="20"/>
  <c r="CK116" i="20"/>
  <c r="CI163" i="20"/>
  <c r="CK199" i="20"/>
  <c r="CH183" i="20"/>
  <c r="CK82" i="20"/>
  <c r="CH72" i="20"/>
  <c r="CK84" i="20"/>
  <c r="CH66" i="20"/>
  <c r="CI152" i="20"/>
  <c r="CH204" i="20"/>
  <c r="CI129" i="20"/>
  <c r="CK230" i="20"/>
  <c r="CH81" i="20"/>
  <c r="CE76" i="20"/>
  <c r="CI141" i="20"/>
  <c r="CK57" i="20"/>
  <c r="CK133" i="20"/>
  <c r="CI222" i="20"/>
  <c r="CH167" i="20"/>
  <c r="CI145" i="20"/>
  <c r="CI144" i="20" s="1"/>
  <c r="CK95" i="20"/>
  <c r="CK102" i="20"/>
  <c r="CH82" i="20"/>
  <c r="CI138" i="20"/>
  <c r="CF90" i="20"/>
  <c r="CK176" i="20"/>
  <c r="CI95" i="20"/>
  <c r="CE191" i="20"/>
  <c r="CK191" i="20"/>
  <c r="CF87" i="20"/>
  <c r="CL204" i="20"/>
  <c r="CL213" i="20"/>
  <c r="CF140" i="20"/>
  <c r="CL212" i="20"/>
  <c r="CF91" i="20"/>
  <c r="CF117" i="20"/>
  <c r="CL140" i="20"/>
  <c r="CL168" i="20"/>
  <c r="CF60" i="20"/>
  <c r="CF95" i="20"/>
  <c r="CL229" i="20"/>
  <c r="CC59" i="20"/>
  <c r="CL126" i="20"/>
  <c r="CI52" i="20"/>
  <c r="CF205" i="20"/>
  <c r="CH59" i="20"/>
  <c r="CI56" i="20"/>
  <c r="CA118" i="20"/>
  <c r="BZ52" i="20"/>
  <c r="CL60" i="20"/>
  <c r="CJ87" i="20"/>
  <c r="CE175" i="20"/>
  <c r="BZ171" i="20"/>
  <c r="CI105" i="20"/>
  <c r="CJ176" i="20"/>
  <c r="CJ175" i="20"/>
  <c r="CB130" i="20"/>
  <c r="CE199" i="20"/>
  <c r="BZ61" i="20"/>
  <c r="CA61" i="20"/>
  <c r="CL217" i="20"/>
  <c r="BZ224" i="20"/>
  <c r="CJ214" i="20"/>
  <c r="CI82" i="20"/>
  <c r="CK195" i="20"/>
  <c r="CH124" i="20"/>
  <c r="CK58" i="20"/>
  <c r="CH115" i="20"/>
  <c r="CK52" i="20"/>
  <c r="CK160" i="20"/>
  <c r="CK90" i="20"/>
  <c r="CK68" i="20"/>
  <c r="CH114" i="20"/>
  <c r="CI139" i="20"/>
  <c r="CK71" i="20"/>
  <c r="CI212" i="20"/>
  <c r="BQ212" i="20" s="1"/>
  <c r="AN210" i="25" s="1"/>
  <c r="CK56" i="20"/>
  <c r="CH57" i="20"/>
  <c r="CK115" i="20"/>
  <c r="CI179" i="20"/>
  <c r="CI101" i="20"/>
  <c r="CK231" i="20"/>
  <c r="CI176" i="20"/>
  <c r="CK129" i="20"/>
  <c r="CH122" i="20"/>
  <c r="CI128" i="20"/>
  <c r="CI130" i="20"/>
  <c r="CK88" i="20"/>
  <c r="CK101" i="20"/>
  <c r="CI151" i="20"/>
  <c r="CH152" i="20"/>
  <c r="CI134" i="20"/>
  <c r="CK66" i="20"/>
  <c r="CK111" i="20"/>
  <c r="CH175" i="20"/>
  <c r="CI167" i="20"/>
  <c r="CE99" i="20"/>
  <c r="CF183" i="20"/>
  <c r="CL145" i="20"/>
  <c r="CL144" i="20" s="1"/>
  <c r="CC192" i="20"/>
  <c r="CI192" i="20"/>
  <c r="CB191" i="20"/>
  <c r="CF110" i="20"/>
  <c r="CL114" i="20"/>
  <c r="CL221" i="20"/>
  <c r="CF171" i="20"/>
  <c r="CL156" i="20"/>
  <c r="CF57" i="20"/>
  <c r="CL175" i="20"/>
  <c r="CL209" i="20"/>
  <c r="CF137" i="20"/>
  <c r="CD188" i="20"/>
  <c r="CC187" i="20"/>
  <c r="CE216" i="20"/>
  <c r="CK223" i="20"/>
  <c r="CI214" i="20"/>
  <c r="CI126" i="20"/>
  <c r="CE196" i="20"/>
  <c r="CD183" i="20"/>
  <c r="CK155" i="20"/>
  <c r="CH106" i="20"/>
  <c r="CK110" i="20"/>
  <c r="CK125" i="20"/>
  <c r="CD136" i="20"/>
  <c r="CK94" i="20"/>
  <c r="CH88" i="20"/>
  <c r="CD91" i="20"/>
  <c r="CK117" i="20"/>
  <c r="CH56" i="20"/>
  <c r="CK201" i="20"/>
  <c r="CK127" i="20"/>
  <c r="CH94" i="20"/>
  <c r="CI69" i="20"/>
  <c r="CK123" i="20"/>
  <c r="CI155" i="20"/>
  <c r="CK128" i="20"/>
  <c r="CI103" i="20"/>
  <c r="CF64" i="20"/>
  <c r="CK60" i="20"/>
  <c r="CI201" i="20"/>
  <c r="CI113" i="20"/>
  <c r="CH126" i="20"/>
  <c r="CI106" i="20"/>
  <c r="CH76" i="20"/>
  <c r="CH201" i="20"/>
  <c r="CI136" i="20"/>
  <c r="CI125" i="20"/>
  <c r="CK114" i="20"/>
  <c r="CK99" i="20"/>
  <c r="CK210" i="20"/>
  <c r="CI210" i="20"/>
  <c r="CI171" i="20"/>
  <c r="CK124" i="20"/>
  <c r="CK156" i="20"/>
  <c r="CH67" i="20"/>
  <c r="CI124" i="20"/>
  <c r="CF103" i="20"/>
  <c r="CF164" i="20"/>
  <c r="CL152" i="20"/>
  <c r="CH191" i="20"/>
  <c r="CE192" i="20"/>
  <c r="CF133" i="20"/>
  <c r="CL134" i="20"/>
  <c r="CL93" i="20"/>
  <c r="CF175" i="20"/>
  <c r="CL133" i="20"/>
  <c r="CF94" i="20"/>
  <c r="CK211" i="20"/>
  <c r="CL111" i="20"/>
  <c r="CF54" i="20"/>
  <c r="CF141" i="20"/>
  <c r="CF221" i="20"/>
  <c r="CL230" i="20"/>
  <c r="CF172" i="20"/>
  <c r="CL183" i="20"/>
  <c r="CL80" i="20"/>
  <c r="CF201" i="20"/>
  <c r="CH221" i="20"/>
  <c r="CL84" i="20"/>
  <c r="CE122" i="20"/>
  <c r="CB106" i="20"/>
  <c r="CJ210" i="20"/>
  <c r="CJ229" i="20"/>
  <c r="CA81" i="20"/>
  <c r="CB73" i="20"/>
  <c r="BZ142" i="20"/>
  <c r="CJ188" i="20"/>
  <c r="CE217" i="20"/>
  <c r="CA223" i="20"/>
  <c r="CD214" i="20"/>
  <c r="CK135" i="20"/>
  <c r="CF195" i="20"/>
  <c r="CD137" i="20"/>
  <c r="CK76" i="20"/>
  <c r="CK72" i="20"/>
  <c r="CD72" i="20"/>
  <c r="CK152" i="20"/>
  <c r="CD68" i="20"/>
  <c r="CK53" i="20"/>
  <c r="CK175" i="20"/>
  <c r="CI111" i="20"/>
  <c r="CD100" i="20"/>
  <c r="CK87" i="20"/>
  <c r="CH164" i="20"/>
  <c r="CI160" i="20"/>
  <c r="CK179" i="20"/>
  <c r="CH180" i="20"/>
  <c r="CK55" i="20"/>
  <c r="CI199" i="20"/>
  <c r="CH103" i="20"/>
  <c r="CK59" i="20"/>
  <c r="CK209" i="20"/>
  <c r="CH112" i="20"/>
  <c r="CH53" i="20"/>
  <c r="CI70" i="20"/>
  <c r="CH160" i="20"/>
  <c r="CH136" i="20"/>
  <c r="CI83" i="20"/>
  <c r="CI84" i="20"/>
  <c r="CK159" i="20"/>
  <c r="CH93" i="20"/>
  <c r="CH230" i="20"/>
  <c r="CI140" i="20"/>
  <c r="CK205" i="20"/>
  <c r="CI229" i="20"/>
  <c r="CH206" i="20"/>
  <c r="CI112" i="20"/>
  <c r="CL199" i="20"/>
  <c r="CL89" i="20"/>
  <c r="CF191" i="20"/>
  <c r="CL191" i="20"/>
  <c r="CF167" i="20"/>
  <c r="CK229" i="20"/>
  <c r="CF53" i="20"/>
  <c r="CL138" i="20"/>
  <c r="CL92" i="20"/>
  <c r="CF93" i="20"/>
  <c r="CF82" i="20"/>
  <c r="CH155" i="20"/>
  <c r="CI80" i="20"/>
  <c r="CF71" i="20"/>
  <c r="CL124" i="20"/>
  <c r="CL107" i="20"/>
  <c r="CF213" i="20"/>
  <c r="CL135" i="20"/>
  <c r="CL90" i="20"/>
  <c r="CA156" i="20"/>
  <c r="CE83" i="20"/>
  <c r="CJ84" i="20"/>
  <c r="CJ123" i="20"/>
  <c r="CI92" i="20"/>
  <c r="BZ199" i="20"/>
  <c r="CC127" i="20"/>
  <c r="CK172" i="20"/>
  <c r="CA59" i="20"/>
  <c r="CL139" i="20"/>
  <c r="CL82" i="20"/>
  <c r="CL117" i="20"/>
  <c r="CL99" i="20"/>
  <c r="CF58" i="20"/>
  <c r="CL163" i="20"/>
  <c r="CH145" i="20"/>
  <c r="CH144" i="20" s="1"/>
  <c r="CF80" i="20"/>
  <c r="CK112" i="20"/>
  <c r="CH200" i="20"/>
  <c r="CH77" i="20"/>
  <c r="CK126" i="20"/>
  <c r="CH99" i="20"/>
  <c r="CK80" i="20"/>
  <c r="CI217" i="20"/>
  <c r="BQ217" i="20" s="1"/>
  <c r="AN215" i="25" s="1"/>
  <c r="CE123" i="20"/>
  <c r="BZ183" i="20"/>
  <c r="CE145" i="20"/>
  <c r="CE144" i="20" s="1"/>
  <c r="BZ105" i="20"/>
  <c r="CF184" i="20"/>
  <c r="CJ100" i="20"/>
  <c r="CJ137" i="20"/>
  <c r="CA57" i="20"/>
  <c r="BZ172" i="20"/>
  <c r="CE84" i="20"/>
  <c r="CF128" i="20"/>
  <c r="CJ81" i="20"/>
  <c r="CL57" i="20"/>
  <c r="CA151" i="20"/>
  <c r="CB104" i="20"/>
  <c r="CJ171" i="20"/>
  <c r="CJ141" i="20"/>
  <c r="CE58" i="20"/>
  <c r="BZ184" i="20"/>
  <c r="CJ230" i="20"/>
  <c r="CB94" i="20"/>
  <c r="CH80" i="20"/>
  <c r="CI90" i="20"/>
  <c r="CL180" i="20"/>
  <c r="CH52" i="20"/>
  <c r="CL102" i="20"/>
  <c r="CF209" i="20"/>
  <c r="CB192" i="20"/>
  <c r="CH104" i="20"/>
  <c r="CI93" i="20"/>
  <c r="CK183" i="20"/>
  <c r="CH92" i="20"/>
  <c r="CF111" i="20"/>
  <c r="CK145" i="20"/>
  <c r="CK144" i="20" s="1"/>
  <c r="CK54" i="20"/>
  <c r="CH68" i="20"/>
  <c r="BZ145" i="20"/>
  <c r="CJ94" i="20"/>
  <c r="CI135" i="20"/>
  <c r="CB228" i="20"/>
  <c r="CL128" i="20"/>
  <c r="CH70" i="20"/>
  <c r="CH171" i="20"/>
  <c r="CL227" i="20"/>
  <c r="CL160" i="20"/>
  <c r="CF136" i="20"/>
  <c r="CK192" i="20"/>
  <c r="CH123" i="20"/>
  <c r="CI118" i="20"/>
  <c r="CI79" i="20"/>
  <c r="CK138" i="20"/>
  <c r="CI172" i="20"/>
  <c r="CK89" i="20"/>
  <c r="CE195" i="20"/>
  <c r="BZ119" i="20"/>
  <c r="CL87" i="20"/>
  <c r="BZ60" i="20"/>
  <c r="CA221" i="20"/>
  <c r="CA130" i="20"/>
  <c r="CF127" i="20"/>
  <c r="CJ136" i="20"/>
  <c r="CJ206" i="20"/>
  <c r="CE100" i="20"/>
  <c r="CA163" i="20"/>
  <c r="CC107" i="20"/>
  <c r="CJ102" i="20"/>
  <c r="CJ172" i="20"/>
  <c r="CE126" i="20"/>
  <c r="BZ160" i="20"/>
  <c r="CJ76" i="20"/>
  <c r="CK206" i="20"/>
  <c r="CE111" i="20"/>
  <c r="CE160" i="20"/>
  <c r="CJ201" i="20"/>
  <c r="CI72" i="20"/>
  <c r="CL110" i="20"/>
  <c r="CL231" i="20"/>
  <c r="CL104" i="20"/>
  <c r="CF227" i="20"/>
  <c r="CF155" i="20"/>
  <c r="CL118" i="20"/>
  <c r="CL105" i="20"/>
  <c r="CK122" i="20"/>
  <c r="CI230" i="20"/>
  <c r="CI115" i="20"/>
  <c r="CI164" i="20"/>
  <c r="CK65" i="20"/>
  <c r="CF123" i="20"/>
  <c r="CH134" i="20"/>
  <c r="CH113" i="20"/>
  <c r="CH87" i="20"/>
  <c r="CK91" i="20"/>
  <c r="CI195" i="20"/>
  <c r="CE214" i="20"/>
  <c r="CK142" i="20"/>
  <c r="CE227" i="20"/>
  <c r="CA222" i="20"/>
  <c r="CE107" i="20"/>
  <c r="CF152" i="20"/>
  <c r="CJ57" i="20"/>
  <c r="CI91" i="20"/>
  <c r="BZ167" i="20"/>
  <c r="BZ221" i="20"/>
  <c r="CE209" i="20"/>
  <c r="CJ112" i="20"/>
  <c r="CJ52" i="20"/>
  <c r="CH110" i="20"/>
  <c r="CE125" i="20"/>
  <c r="CB160" i="20"/>
  <c r="CA104" i="20"/>
  <c r="CJ211" i="20"/>
  <c r="CK164" i="20"/>
  <c r="CE56" i="20"/>
  <c r="BZ206" i="20"/>
  <c r="BZ130" i="20"/>
  <c r="CJ227" i="20"/>
  <c r="CJ228" i="20"/>
  <c r="CE136" i="20"/>
  <c r="CE200" i="20"/>
  <c r="CJ163" i="20"/>
  <c r="CI53" i="20"/>
  <c r="CF104" i="20"/>
  <c r="CL151" i="20"/>
  <c r="CF106" i="20"/>
  <c r="CF118" i="20"/>
  <c r="CF210" i="20"/>
  <c r="CF81" i="20"/>
  <c r="CA191" i="20"/>
  <c r="CL103" i="20"/>
  <c r="CF126" i="20"/>
  <c r="CK64" i="20"/>
  <c r="CH140" i="20"/>
  <c r="CI89" i="20"/>
  <c r="CI122" i="20"/>
  <c r="CH69" i="20"/>
  <c r="CH83" i="20"/>
  <c r="CH133" i="20"/>
  <c r="CH118" i="20"/>
  <c r="CK70" i="20"/>
  <c r="CI116" i="20"/>
  <c r="CC215" i="20"/>
  <c r="BK215" i="20" s="1"/>
  <c r="AH213" i="25" s="1"/>
  <c r="CF73" i="20"/>
  <c r="CI73" i="20"/>
  <c r="ET206" i="20"/>
  <c r="EX107" i="20"/>
  <c r="FF227" i="20"/>
  <c r="EX113" i="20"/>
  <c r="FC206" i="20"/>
  <c r="FC133" i="20"/>
  <c r="FB116" i="20"/>
  <c r="EU211" i="20"/>
  <c r="FD69" i="20"/>
  <c r="FC76" i="20"/>
  <c r="EY94" i="20"/>
  <c r="FF205" i="20"/>
  <c r="EU82" i="20"/>
  <c r="EU128" i="20" s="1"/>
  <c r="EV54" i="20"/>
  <c r="EW140" i="20"/>
  <c r="EY71" i="20"/>
  <c r="EZ96" i="20"/>
  <c r="FD119" i="20"/>
  <c r="EX73" i="20"/>
  <c r="EW96" i="20"/>
  <c r="EV96" i="20"/>
  <c r="FD142" i="20"/>
  <c r="ET142" i="20"/>
  <c r="ET73" i="20"/>
  <c r="ET218" i="20"/>
  <c r="EZ218" i="20"/>
  <c r="EX218" i="20"/>
  <c r="EW216" i="20"/>
  <c r="EY217" i="20"/>
  <c r="EW224" i="20"/>
  <c r="ET223" i="20"/>
  <c r="EY224" i="20"/>
  <c r="ET53" i="20"/>
  <c r="FF214" i="20"/>
  <c r="FD214" i="20"/>
  <c r="EZ214" i="20"/>
  <c r="ET77" i="20"/>
  <c r="ET123" i="20" s="1"/>
  <c r="FC210" i="20"/>
  <c r="ET89" i="20"/>
  <c r="EV70" i="20"/>
  <c r="EY92" i="20"/>
  <c r="ET78" i="20"/>
  <c r="ET124" i="20" s="1"/>
  <c r="EV140" i="20"/>
  <c r="FB77" i="20"/>
  <c r="FB94" i="20"/>
  <c r="FC145" i="20"/>
  <c r="FE200" i="20"/>
  <c r="FE54" i="20"/>
  <c r="FE206" i="20"/>
  <c r="EW84" i="20"/>
  <c r="EW130" i="20" s="1"/>
  <c r="EZ205" i="20"/>
  <c r="EY209" i="20"/>
  <c r="EW103" i="20"/>
  <c r="FF211" i="20"/>
  <c r="FB227" i="20"/>
  <c r="FB103" i="20"/>
  <c r="FC135" i="20"/>
  <c r="FC201" i="20"/>
  <c r="EY81" i="20"/>
  <c r="EY127" i="20" s="1"/>
  <c r="EX104" i="20"/>
  <c r="EY147" i="20"/>
  <c r="EW205" i="20"/>
  <c r="EY204" i="20"/>
  <c r="FF67" i="20"/>
  <c r="FE111" i="20"/>
  <c r="FD146" i="20"/>
  <c r="FB92" i="20"/>
  <c r="FE137" i="20"/>
  <c r="FF58" i="20"/>
  <c r="EV84" i="20"/>
  <c r="EY213" i="20"/>
  <c r="EY114" i="20"/>
  <c r="EW133" i="20"/>
  <c r="EY200" i="20"/>
  <c r="FE107" i="20"/>
  <c r="FE93" i="20"/>
  <c r="FC55" i="20"/>
  <c r="FE76" i="20"/>
  <c r="EZ81" i="20"/>
  <c r="EZ127" i="20" s="1"/>
  <c r="EV106" i="20"/>
  <c r="EZ70" i="20"/>
  <c r="EX68" i="20"/>
  <c r="EZ90" i="20"/>
  <c r="FD54" i="20"/>
  <c r="FE52" i="20"/>
  <c r="FB100" i="20"/>
  <c r="FD71" i="20"/>
  <c r="FD91" i="20"/>
  <c r="FC91" i="20"/>
  <c r="EX83" i="20"/>
  <c r="EX129" i="20" s="1"/>
  <c r="EZ211" i="20"/>
  <c r="EY139" i="20"/>
  <c r="EW116" i="20"/>
  <c r="FB146" i="20"/>
  <c r="FE141" i="20"/>
  <c r="FD138" i="20"/>
  <c r="FE73" i="20"/>
  <c r="EU119" i="20"/>
  <c r="EX142" i="20"/>
  <c r="FB73" i="20"/>
  <c r="EZ73" i="20"/>
  <c r="EU142" i="20"/>
  <c r="FB142" i="20"/>
  <c r="EX217" i="20"/>
  <c r="FE217" i="20"/>
  <c r="FC217" i="20"/>
  <c r="FE218" i="20"/>
  <c r="FD216" i="20"/>
  <c r="FD224" i="20"/>
  <c r="FB224" i="20"/>
  <c r="EX224" i="20"/>
  <c r="FB60" i="20"/>
  <c r="ET113" i="20"/>
  <c r="EW214" i="20"/>
  <c r="EU214" i="20"/>
  <c r="EX215" i="20"/>
  <c r="EV147" i="20"/>
  <c r="EU199" i="20"/>
  <c r="EU201" i="20"/>
  <c r="EW88" i="20"/>
  <c r="EU102" i="20"/>
  <c r="FF213" i="20"/>
  <c r="FE146" i="20"/>
  <c r="FB113" i="20"/>
  <c r="FB112" i="20"/>
  <c r="FD230" i="20"/>
  <c r="FC72" i="20"/>
  <c r="EZ135" i="20"/>
  <c r="EX201" i="20"/>
  <c r="EW80" i="20"/>
  <c r="EW126" i="20" s="1"/>
  <c r="FF138" i="20"/>
  <c r="FB84" i="20"/>
  <c r="FD148" i="20"/>
  <c r="FB102" i="20"/>
  <c r="FC212" i="20"/>
  <c r="FF60" i="20"/>
  <c r="EY212" i="20"/>
  <c r="EY116" i="20"/>
  <c r="EW135" i="20"/>
  <c r="FD66" i="20"/>
  <c r="FB90" i="20"/>
  <c r="FF91" i="20"/>
  <c r="FD115" i="20"/>
  <c r="FF221" i="20"/>
  <c r="FC137" i="20"/>
  <c r="FE133" i="20"/>
  <c r="EW82" i="20"/>
  <c r="EZ231" i="20"/>
  <c r="EX229" i="20"/>
  <c r="EW99" i="20"/>
  <c r="FD64" i="20"/>
  <c r="FF65" i="20"/>
  <c r="FF89" i="20"/>
  <c r="FD55" i="20"/>
  <c r="FE114" i="20"/>
  <c r="FF56" i="20"/>
  <c r="EV105" i="20"/>
  <c r="EX52" i="20"/>
  <c r="EW231" i="20"/>
  <c r="EZ65" i="20"/>
  <c r="FB228" i="20"/>
  <c r="FB145" i="20"/>
  <c r="FE81" i="20"/>
  <c r="FE127" i="20" s="1"/>
  <c r="FD53" i="20"/>
  <c r="FC71" i="20"/>
  <c r="FF72" i="20"/>
  <c r="EX213" i="20"/>
  <c r="EY229" i="20"/>
  <c r="EW93" i="20"/>
  <c r="FD227" i="20"/>
  <c r="FF222" i="20"/>
  <c r="FE65" i="20"/>
  <c r="FD107" i="20"/>
  <c r="EV73" i="20"/>
  <c r="EY96" i="20"/>
  <c r="FC119" i="20"/>
  <c r="EW61" i="20"/>
  <c r="FE61" i="20"/>
  <c r="EY119" i="20"/>
  <c r="FF119" i="20"/>
  <c r="FC216" i="20"/>
  <c r="EV217" i="20"/>
  <c r="ET217" i="20"/>
  <c r="EV218" i="20"/>
  <c r="EQ218" i="20" s="1"/>
  <c r="EU216" i="20"/>
  <c r="FF224" i="20"/>
  <c r="FC223" i="20"/>
  <c r="EZ224" i="20"/>
  <c r="EY214" i="20"/>
  <c r="FD215" i="20"/>
  <c r="FB215" i="20"/>
  <c r="EY201" i="20"/>
  <c r="EV115" i="20"/>
  <c r="EY110" i="20"/>
  <c r="EV58" i="20"/>
  <c r="EY138" i="20"/>
  <c r="EY76" i="20"/>
  <c r="EU90" i="20"/>
  <c r="FF140" i="20"/>
  <c r="FE115" i="20"/>
  <c r="FF228" i="20"/>
  <c r="FE228" i="20"/>
  <c r="FD201" i="20"/>
  <c r="FC79" i="20"/>
  <c r="FC125" i="20" s="1"/>
  <c r="EU81" i="20"/>
  <c r="EZ101" i="20"/>
  <c r="EX133" i="20"/>
  <c r="FF107" i="20"/>
  <c r="FD222" i="20"/>
  <c r="FD117" i="20"/>
  <c r="FC148" i="20"/>
  <c r="FB111" i="20"/>
  <c r="FE145" i="20"/>
  <c r="EW83" i="20"/>
  <c r="EW129" i="20" s="1"/>
  <c r="EX211" i="20"/>
  <c r="EX231" i="20"/>
  <c r="EW101" i="20"/>
  <c r="FC204" i="20"/>
  <c r="FD76" i="20"/>
  <c r="FE71" i="20"/>
  <c r="FE95" i="20"/>
  <c r="FC146" i="20"/>
  <c r="FB101" i="20"/>
  <c r="FC116" i="20"/>
  <c r="EZ199" i="20"/>
  <c r="EX147" i="20"/>
  <c r="EW76" i="20"/>
  <c r="FC147" i="20"/>
  <c r="FB52" i="20"/>
  <c r="FE69" i="20"/>
  <c r="FE112" i="20"/>
  <c r="FC112" i="20"/>
  <c r="FE110" i="20"/>
  <c r="EX84" i="20"/>
  <c r="EX130" i="20" s="1"/>
  <c r="EW210" i="20"/>
  <c r="EY141" i="20"/>
  <c r="EW199" i="20"/>
  <c r="EU53" i="20"/>
  <c r="FD229" i="20"/>
  <c r="FB56" i="20"/>
  <c r="FE100" i="20"/>
  <c r="FC53" i="20"/>
  <c r="FF54" i="20"/>
  <c r="ET83" i="20"/>
  <c r="ET129" i="20" s="1"/>
  <c r="EZ227" i="20"/>
  <c r="EX141" i="20"/>
  <c r="EZ228" i="20"/>
  <c r="FF148" i="20"/>
  <c r="FB135" i="20"/>
  <c r="FC230" i="20"/>
  <c r="FE89" i="20"/>
  <c r="FC107" i="20"/>
  <c r="FB71" i="20"/>
  <c r="EZ61" i="20"/>
  <c r="FD73" i="20"/>
  <c r="ET119" i="20"/>
  <c r="ET61" i="20"/>
  <c r="EV61" i="20"/>
  <c r="FD96" i="20"/>
  <c r="EW119" i="20"/>
  <c r="ET216" i="20"/>
  <c r="EZ216" i="20"/>
  <c r="EX216" i="20"/>
  <c r="EZ217" i="20"/>
  <c r="FE224" i="20"/>
  <c r="FC224" i="20"/>
  <c r="FE223" i="20"/>
  <c r="FF215" i="20"/>
  <c r="EU215" i="20"/>
  <c r="FC214" i="20"/>
  <c r="FC65" i="20"/>
  <c r="EV94" i="20"/>
  <c r="EY87" i="20"/>
  <c r="EW71" i="20"/>
  <c r="EV81" i="20"/>
  <c r="EW56" i="20"/>
  <c r="FF111" i="20"/>
  <c r="FF95" i="20"/>
  <c r="FF199" i="20"/>
  <c r="FE199" i="20"/>
  <c r="FF133" i="20"/>
  <c r="EZ105" i="20"/>
  <c r="EZ78" i="20"/>
  <c r="EZ124" i="20" s="1"/>
  <c r="EX99" i="20"/>
  <c r="EZ204" i="20"/>
  <c r="FC90" i="20"/>
  <c r="FE113" i="20"/>
  <c r="FD99" i="20"/>
  <c r="FC117" i="20"/>
  <c r="FD228" i="20"/>
  <c r="FC141" i="20"/>
  <c r="EZ201" i="20"/>
  <c r="EX199" i="20"/>
  <c r="EW78" i="20"/>
  <c r="EW124" i="20" s="1"/>
  <c r="FB57" i="20"/>
  <c r="FE53" i="20"/>
  <c r="EX96" i="20"/>
  <c r="EU73" i="20"/>
  <c r="FF142" i="20"/>
  <c r="FE142" i="20"/>
  <c r="EU96" i="20"/>
  <c r="EY73" i="20"/>
  <c r="FB96" i="20"/>
  <c r="FB218" i="20"/>
  <c r="ER218" i="20" s="1"/>
  <c r="EY218" i="20"/>
  <c r="FF218" i="20"/>
  <c r="FE216" i="20"/>
  <c r="EV224" i="20"/>
  <c r="ET224" i="20"/>
  <c r="EV223" i="20"/>
  <c r="EQ223" i="20" s="1"/>
  <c r="EW215" i="20"/>
  <c r="FE214" i="20"/>
  <c r="ET214" i="20"/>
  <c r="ET211" i="20"/>
  <c r="EP211" i="20" s="1"/>
  <c r="EY90" i="20"/>
  <c r="FE222" i="20"/>
  <c r="EX204" i="20"/>
  <c r="EW113" i="20"/>
  <c r="EW222" i="20"/>
  <c r="FC92" i="20"/>
  <c r="FC77" i="20"/>
  <c r="FC123" i="20" s="1"/>
  <c r="FD101" i="20"/>
  <c r="FC101" i="20"/>
  <c r="FF102" i="20"/>
  <c r="EZ84" i="20"/>
  <c r="EZ130" i="20" s="1"/>
  <c r="EY106" i="20"/>
  <c r="EX76" i="20"/>
  <c r="EZ134" i="20"/>
  <c r="FF69" i="20"/>
  <c r="FF93" i="20"/>
  <c r="FD80" i="20"/>
  <c r="FD126" i="20" s="1"/>
  <c r="FC99" i="20"/>
  <c r="FD199" i="20"/>
  <c r="FC54" i="20"/>
  <c r="ET84" i="20"/>
  <c r="ET130" i="20" s="1"/>
  <c r="EZ133" i="20"/>
  <c r="EX118" i="20"/>
  <c r="FF209" i="20"/>
  <c r="FB222" i="20"/>
  <c r="EZ142" i="20"/>
  <c r="EX61" i="20"/>
  <c r="EY61" i="20"/>
  <c r="EW142" i="20"/>
  <c r="EV142" i="20"/>
  <c r="FD61" i="20"/>
  <c r="EU61" i="20"/>
  <c r="FF73" i="20"/>
  <c r="FF217" i="20"/>
  <c r="FD217" i="20"/>
  <c r="EW218" i="20"/>
  <c r="EV216" i="20"/>
  <c r="EZ223" i="20"/>
  <c r="EX223" i="20"/>
  <c r="FD223" i="20"/>
  <c r="EX214" i="20"/>
  <c r="EV214" i="20"/>
  <c r="EZ215" i="20"/>
  <c r="EU88" i="20"/>
  <c r="EX92" i="20"/>
  <c r="EV227" i="20"/>
  <c r="EU67" i="20"/>
  <c r="EV112" i="20"/>
  <c r="EZ71" i="20"/>
  <c r="FE84" i="20"/>
  <c r="FE130" i="20" s="1"/>
  <c r="FF71" i="20"/>
  <c r="FC82" i="20"/>
  <c r="FC128" i="20" s="1"/>
  <c r="FC80" i="20"/>
  <c r="FC126" i="20" s="1"/>
  <c r="FF81" i="20"/>
  <c r="FF127" i="20" s="1"/>
  <c r="EX105" i="20"/>
  <c r="EZ58" i="20"/>
  <c r="EX56" i="20"/>
  <c r="FD72" i="20"/>
  <c r="FB118" i="20"/>
  <c r="FE55" i="20"/>
  <c r="FD78" i="20"/>
  <c r="FD124" i="20" s="1"/>
  <c r="FF118" i="20"/>
  <c r="FC60" i="20"/>
  <c r="EZ99" i="20"/>
  <c r="EX95" i="20"/>
  <c r="EZ200" i="20"/>
  <c r="FF136" i="20"/>
  <c r="FB76" i="20"/>
  <c r="FC104" i="20"/>
  <c r="FD57" i="20"/>
  <c r="FF76" i="20"/>
  <c r="FC95" i="20"/>
  <c r="EY104" i="20"/>
  <c r="EZ72" i="20"/>
  <c r="EX70" i="20"/>
  <c r="EZ92" i="20"/>
  <c r="FF134" i="20"/>
  <c r="FB66" i="20"/>
  <c r="FB83" i="20"/>
  <c r="FC213" i="20"/>
  <c r="FF145" i="20"/>
  <c r="EZ147" i="20"/>
  <c r="EX145" i="20"/>
  <c r="EZ230" i="20"/>
  <c r="EX146" i="20"/>
  <c r="FE82" i="20"/>
  <c r="FE128" i="20" s="1"/>
  <c r="FE105" i="20"/>
  <c r="FD140" i="20"/>
  <c r="FC211" i="20"/>
  <c r="FF212" i="20"/>
  <c r="FC66" i="20"/>
  <c r="EV104" i="20"/>
  <c r="EZ91" i="20"/>
  <c r="EX66" i="20"/>
  <c r="EY230" i="20"/>
  <c r="FF80" i="20"/>
  <c r="FF126" i="20" s="1"/>
  <c r="FE134" i="20"/>
  <c r="FF88" i="20"/>
  <c r="EV119" i="20"/>
  <c r="EY142" i="20"/>
  <c r="FF61" i="20"/>
  <c r="FF96" i="20"/>
  <c r="FE96" i="20"/>
  <c r="FC96" i="20"/>
  <c r="FC142" i="20"/>
  <c r="FB61" i="20"/>
  <c r="FC218" i="20"/>
  <c r="FB216" i="20"/>
  <c r="ER216" i="20" s="1"/>
  <c r="EY216" i="20"/>
  <c r="FF216" i="20"/>
  <c r="EU218" i="20"/>
  <c r="EP218" i="20" s="1"/>
  <c r="EC218" i="20" s="1"/>
  <c r="EY223" i="20"/>
  <c r="EW223" i="20"/>
  <c r="FB223" i="20"/>
  <c r="ER223" i="20" s="1"/>
  <c r="EV215" i="20"/>
  <c r="ET215" i="20"/>
  <c r="EY215" i="20"/>
  <c r="EW228" i="20"/>
  <c r="EX67" i="20"/>
  <c r="ET116" i="20"/>
  <c r="EV91" i="20"/>
  <c r="ET72" i="20"/>
  <c r="ET204" i="20"/>
  <c r="FB68" i="20"/>
  <c r="FC102" i="20"/>
  <c r="FE139" i="20"/>
  <c r="FE210" i="20"/>
  <c r="FD221" i="20"/>
  <c r="FD220" i="20" s="1"/>
  <c r="FF64" i="20"/>
  <c r="EZ213" i="20"/>
  <c r="EY118" i="20"/>
  <c r="EW137" i="20"/>
  <c r="FB67" i="20"/>
  <c r="FC118" i="20"/>
  <c r="FE147" i="20"/>
  <c r="FC59" i="20"/>
  <c r="FF79" i="20"/>
  <c r="FF125" i="20" s="1"/>
  <c r="EY105" i="20"/>
  <c r="EZ56" i="20"/>
  <c r="EX54" i="20"/>
  <c r="EZ69" i="20"/>
  <c r="FC88" i="20"/>
  <c r="FE140" i="20"/>
  <c r="FC222" i="20"/>
  <c r="FC110" i="20"/>
  <c r="FC57" i="20"/>
  <c r="EX212" i="20"/>
  <c r="EY145" i="20"/>
  <c r="EW201" i="20"/>
  <c r="EU57" i="20"/>
  <c r="FC84" i="20"/>
  <c r="FC130" i="20" s="1"/>
  <c r="FE138" i="20"/>
  <c r="FD113" i="20"/>
  <c r="FD93" i="20"/>
  <c r="FC93" i="20"/>
  <c r="EW104" i="20"/>
  <c r="EZ93" i="20"/>
  <c r="EX91" i="20"/>
  <c r="EZ115" i="20"/>
  <c r="FB231" i="20"/>
  <c r="FE204" i="20"/>
  <c r="FE67" i="20"/>
  <c r="FE91" i="20"/>
  <c r="FC111" i="20"/>
  <c r="FF112" i="20"/>
  <c r="EV83" i="20"/>
  <c r="EU106" i="20"/>
  <c r="EU59" i="20"/>
  <c r="EW147" i="20"/>
  <c r="FB209" i="20"/>
  <c r="FF59" i="20"/>
  <c r="FD82" i="20"/>
  <c r="FD128" i="20" s="1"/>
  <c r="FB119" i="20"/>
  <c r="EU223" i="20"/>
  <c r="EP223" i="20" s="1"/>
  <c r="EC223" i="20" s="1"/>
  <c r="FB214" i="20"/>
  <c r="ER214" i="20" s="1"/>
  <c r="ET212" i="20"/>
  <c r="FE116" i="20"/>
  <c r="EZ94" i="20"/>
  <c r="FC115" i="20"/>
  <c r="EZ82" i="20"/>
  <c r="EZ128" i="20" s="1"/>
  <c r="EX93" i="20"/>
  <c r="FE60" i="20"/>
  <c r="FC113" i="20"/>
  <c r="EW81" i="20"/>
  <c r="EW127" i="20" s="1"/>
  <c r="EW118" i="20"/>
  <c r="FB72" i="20"/>
  <c r="EW229" i="20"/>
  <c r="FE205" i="20"/>
  <c r="FB201" i="20"/>
  <c r="FF90" i="20"/>
  <c r="FF52" i="20"/>
  <c r="EX82" i="20"/>
  <c r="EX128" i="20" s="1"/>
  <c r="EZ141" i="20"/>
  <c r="EX139" i="20"/>
  <c r="EZ140" i="20"/>
  <c r="FB136" i="20"/>
  <c r="FB114" i="20"/>
  <c r="FB55" i="20"/>
  <c r="FB141" i="20"/>
  <c r="FB80" i="20"/>
  <c r="EZ212" i="20"/>
  <c r="EY135" i="20"/>
  <c r="EW112" i="20"/>
  <c r="EV230" i="20"/>
  <c r="EV221" i="20"/>
  <c r="ET209" i="20"/>
  <c r="EU222" i="20"/>
  <c r="EY102" i="20"/>
  <c r="EX206" i="20"/>
  <c r="ET103" i="20"/>
  <c r="ET227" i="20"/>
  <c r="EU64" i="20"/>
  <c r="ET60" i="20"/>
  <c r="EY88" i="20"/>
  <c r="EZ100" i="20"/>
  <c r="FF135" i="20"/>
  <c r="EV211" i="20"/>
  <c r="EQ211" i="20" s="1"/>
  <c r="ET69" i="20"/>
  <c r="EV88" i="20"/>
  <c r="ET59" i="20"/>
  <c r="EU52" i="20"/>
  <c r="EY146" i="20"/>
  <c r="FD103" i="20"/>
  <c r="EU138" i="20"/>
  <c r="ET147" i="20"/>
  <c r="ER147" i="20" s="1"/>
  <c r="ET76" i="20"/>
  <c r="EW58" i="20"/>
  <c r="EW53" i="20"/>
  <c r="EX140" i="20"/>
  <c r="FB53" i="20"/>
  <c r="EU116" i="20"/>
  <c r="EU89" i="20"/>
  <c r="EU146" i="20"/>
  <c r="EW64" i="20"/>
  <c r="EY65" i="20"/>
  <c r="FE64" i="20"/>
  <c r="ET94" i="20"/>
  <c r="EV95" i="20"/>
  <c r="EV92" i="20"/>
  <c r="ET111" i="20"/>
  <c r="EW69" i="20"/>
  <c r="EZ53" i="20"/>
  <c r="FE148" i="20"/>
  <c r="EV65" i="20"/>
  <c r="EU103" i="20"/>
  <c r="ET52" i="20"/>
  <c r="EW67" i="20"/>
  <c r="EZ119" i="20"/>
  <c r="EU92" i="20"/>
  <c r="FD59" i="20"/>
  <c r="FF105" i="20"/>
  <c r="FD95" i="20"/>
  <c r="EW107" i="20"/>
  <c r="EZ52" i="20"/>
  <c r="FB205" i="20"/>
  <c r="FB91" i="20"/>
  <c r="EV107" i="20"/>
  <c r="EW95" i="20"/>
  <c r="FE209" i="20"/>
  <c r="FC140" i="20"/>
  <c r="EU107" i="20"/>
  <c r="EZ113" i="20"/>
  <c r="FE103" i="20"/>
  <c r="FB64" i="20"/>
  <c r="FB212" i="20"/>
  <c r="ER212" i="20" s="1"/>
  <c r="FC83" i="20"/>
  <c r="FC129" i="20" s="1"/>
  <c r="EU84" i="20"/>
  <c r="EZ112" i="20"/>
  <c r="EX110" i="20"/>
  <c r="EZ111" i="20"/>
  <c r="FF146" i="20"/>
  <c r="FC229" i="20"/>
  <c r="FD205" i="20"/>
  <c r="FB54" i="20"/>
  <c r="FE79" i="20"/>
  <c r="FE125" i="20" s="1"/>
  <c r="FF68" i="20"/>
  <c r="EX81" i="20"/>
  <c r="EX127" i="20" s="1"/>
  <c r="EZ222" i="20"/>
  <c r="EX209" i="20"/>
  <c r="EW89" i="20"/>
  <c r="EV229" i="20"/>
  <c r="EV145" i="20"/>
  <c r="EV113" i="20"/>
  <c r="EU72" i="20"/>
  <c r="EY93" i="20"/>
  <c r="EW90" i="20"/>
  <c r="EY140" i="20"/>
  <c r="FD65" i="20"/>
  <c r="EU229" i="20"/>
  <c r="EU145" i="20"/>
  <c r="EV68" i="20"/>
  <c r="EY111" i="20"/>
  <c r="EW92" i="20"/>
  <c r="EX78" i="20"/>
  <c r="EX124" i="20" s="1"/>
  <c r="FC103" i="20"/>
  <c r="EV199" i="20"/>
  <c r="EU205" i="20"/>
  <c r="EU58" i="20"/>
  <c r="ET55" i="20"/>
  <c r="EZ136" i="20"/>
  <c r="FF78" i="20"/>
  <c r="FF124" i="20" s="1"/>
  <c r="ET229" i="20"/>
  <c r="EV102" i="20"/>
  <c r="EY58" i="20"/>
  <c r="EY117" i="20"/>
  <c r="EX228" i="20"/>
  <c r="FE201" i="20"/>
  <c r="EV69" i="20"/>
  <c r="ET65" i="20"/>
  <c r="ET68" i="20"/>
  <c r="EY68" i="20"/>
  <c r="EY60" i="20"/>
  <c r="EX111" i="20"/>
  <c r="FB140" i="20"/>
  <c r="EU200" i="20"/>
  <c r="EU71" i="20"/>
  <c r="EV210" i="20"/>
  <c r="EU115" i="20"/>
  <c r="EY59" i="20"/>
  <c r="EW102" i="20"/>
  <c r="EW110" i="20"/>
  <c r="FF113" i="20"/>
  <c r="ET200" i="20"/>
  <c r="ET213" i="20"/>
  <c r="ET137" i="20"/>
  <c r="EY69" i="20"/>
  <c r="EX119" i="20"/>
  <c r="ET90" i="20"/>
  <c r="EY82" i="20"/>
  <c r="EY128" i="20" s="1"/>
  <c r="FE213" i="20"/>
  <c r="EW106" i="20"/>
  <c r="EZ148" i="20"/>
  <c r="FE211" i="20"/>
  <c r="FE221" i="20"/>
  <c r="FE220" i="20" s="1"/>
  <c r="EW211" i="20"/>
  <c r="EZ146" i="20"/>
  <c r="FE136" i="20"/>
  <c r="FE102" i="20"/>
  <c r="EU105" i="20"/>
  <c r="EZ88" i="20"/>
  <c r="FE70" i="20"/>
  <c r="FC209" i="20"/>
  <c r="FC56" i="20"/>
  <c r="ET107" i="20"/>
  <c r="EZ89" i="20"/>
  <c r="EX87" i="20"/>
  <c r="EZ79" i="20"/>
  <c r="EZ125" i="20" s="1"/>
  <c r="FF115" i="20"/>
  <c r="FC200" i="20"/>
  <c r="FD136" i="20"/>
  <c r="FC205" i="20"/>
  <c r="FB70" i="20"/>
  <c r="EZ139" i="20"/>
  <c r="EX137" i="20"/>
  <c r="EZ221" i="20"/>
  <c r="ET210" i="20"/>
  <c r="ET114" i="20"/>
  <c r="ET87" i="20"/>
  <c r="EV205" i="20"/>
  <c r="EW66" i="20"/>
  <c r="EW115" i="20"/>
  <c r="EX58" i="20"/>
  <c r="FC199" i="20"/>
  <c r="EV136" i="20"/>
  <c r="EU95" i="20"/>
  <c r="EU210" i="20"/>
  <c r="EY103" i="20"/>
  <c r="EW117" i="20"/>
  <c r="FF83" i="20"/>
  <c r="FF129" i="20" s="1"/>
  <c r="EU140" i="20"/>
  <c r="ET102" i="20"/>
  <c r="EV222" i="20"/>
  <c r="EW55" i="20"/>
  <c r="ET56" i="20"/>
  <c r="EX101" i="20"/>
  <c r="ET146" i="20"/>
  <c r="ER146" i="20" s="1"/>
  <c r="EU77" i="20"/>
  <c r="ET100" i="20"/>
  <c r="ET135" i="20"/>
  <c r="EY54" i="20"/>
  <c r="EW134" i="20"/>
  <c r="EY206" i="20"/>
  <c r="FD134" i="20"/>
  <c r="EU206" i="20"/>
  <c r="ET145" i="20"/>
  <c r="EU68" i="20"/>
  <c r="EY64" i="20"/>
  <c r="EW57" i="20"/>
  <c r="EY221" i="20"/>
  <c r="FE230" i="20"/>
  <c r="EU209" i="20"/>
  <c r="EU117" i="20"/>
  <c r="EV52" i="20"/>
  <c r="EW138" i="20"/>
  <c r="EY222" i="20"/>
  <c r="ET118" i="20"/>
  <c r="EV117" i="20"/>
  <c r="EV99" i="20"/>
  <c r="EW52" i="20"/>
  <c r="EZ55" i="20"/>
  <c r="FB206" i="20"/>
  <c r="ER206" i="20" s="1"/>
  <c r="FD70" i="20"/>
  <c r="FB95" i="20"/>
  <c r="FD114" i="20"/>
  <c r="FD58" i="20"/>
  <c r="FE231" i="20"/>
  <c r="FC61" i="20"/>
  <c r="EW217" i="20"/>
  <c r="FD83" i="20"/>
  <c r="FD129" i="20" s="1"/>
  <c r="EX210" i="20"/>
  <c r="FF100" i="20"/>
  <c r="FE104" i="20"/>
  <c r="FF147" i="20"/>
  <c r="EW105" i="20"/>
  <c r="EZ117" i="20"/>
  <c r="FB199" i="20"/>
  <c r="FF114" i="20"/>
  <c r="EZ229" i="20"/>
  <c r="EY148" i="20"/>
  <c r="FF87" i="20"/>
  <c r="FB81" i="20"/>
  <c r="EZ145" i="20"/>
  <c r="FD145" i="20"/>
  <c r="FB204" i="20"/>
  <c r="FC138" i="20"/>
  <c r="FF210" i="20"/>
  <c r="FC81" i="20"/>
  <c r="FC127" i="20" s="1"/>
  <c r="EU104" i="20"/>
  <c r="EZ66" i="20"/>
  <c r="EX64" i="20"/>
  <c r="FD77" i="20"/>
  <c r="FD123" i="20" s="1"/>
  <c r="FE101" i="20"/>
  <c r="FD105" i="20"/>
  <c r="FC136" i="20"/>
  <c r="FB200" i="20"/>
  <c r="FE72" i="20"/>
  <c r="EU83" i="20"/>
  <c r="EZ110" i="20"/>
  <c r="EX103" i="20"/>
  <c r="EZ138" i="20"/>
  <c r="EV110" i="20"/>
  <c r="EV89" i="20"/>
  <c r="ET66" i="20"/>
  <c r="EV78" i="20"/>
  <c r="EY55" i="20"/>
  <c r="EW146" i="20"/>
  <c r="EZ60" i="20"/>
  <c r="FC114" i="20"/>
  <c r="EV77" i="20"/>
  <c r="ET71" i="20"/>
  <c r="EV66" i="20"/>
  <c r="EW70" i="20"/>
  <c r="EW148" i="20"/>
  <c r="EZ80" i="20"/>
  <c r="EZ126" i="20" s="1"/>
  <c r="ET110" i="20"/>
  <c r="ET141" i="20"/>
  <c r="EV141" i="20"/>
  <c r="EY53" i="20"/>
  <c r="EW94" i="20"/>
  <c r="EZ103" i="20"/>
  <c r="FF55" i="20"/>
  <c r="ET99" i="20"/>
  <c r="ET133" i="20"/>
  <c r="EV76" i="20"/>
  <c r="EW59" i="20"/>
  <c r="EW204" i="20"/>
  <c r="EZ206" i="20"/>
  <c r="FE99" i="20"/>
  <c r="EU136" i="20"/>
  <c r="EV80" i="20"/>
  <c r="EW65" i="20"/>
  <c r="EW100" i="20"/>
  <c r="EW87" i="20"/>
  <c r="FF201" i="20"/>
  <c r="EU114" i="20"/>
  <c r="ET136" i="20"/>
  <c r="EV103" i="20"/>
  <c r="EU141" i="20"/>
  <c r="EY67" i="20"/>
  <c r="EW221" i="20"/>
  <c r="EZ106" i="20"/>
  <c r="ET228" i="20"/>
  <c r="EW73" i="20"/>
  <c r="EU217" i="20"/>
  <c r="EY199" i="20"/>
  <c r="EY198" i="20" s="1"/>
  <c r="EZ83" i="20"/>
  <c r="EZ129" i="20" s="1"/>
  <c r="FB93" i="20"/>
  <c r="FF116" i="20"/>
  <c r="EZ118" i="20"/>
  <c r="EZ67" i="20"/>
  <c r="FF92" i="20"/>
  <c r="FC100" i="20"/>
  <c r="EZ116" i="20"/>
  <c r="EX230" i="20"/>
  <c r="FB221" i="20"/>
  <c r="FF141" i="20"/>
  <c r="EZ114" i="20"/>
  <c r="FF117" i="20"/>
  <c r="FB65" i="20"/>
  <c r="FD89" i="20"/>
  <c r="FF139" i="20"/>
  <c r="ET104" i="20"/>
  <c r="EU55" i="20"/>
  <c r="EW227" i="20"/>
  <c r="EZ59" i="20"/>
  <c r="FE80" i="20"/>
  <c r="FE126" i="20" s="1"/>
  <c r="FE87" i="20"/>
  <c r="FC105" i="20"/>
  <c r="FF206" i="20"/>
  <c r="FC52" i="20"/>
  <c r="EZ107" i="20"/>
  <c r="EZ87" i="20"/>
  <c r="EX80" i="20"/>
  <c r="EX126" i="20" s="1"/>
  <c r="EZ102" i="20"/>
  <c r="ET88" i="20"/>
  <c r="EU65" i="20"/>
  <c r="EU70" i="20"/>
  <c r="EU133" i="20"/>
  <c r="EY89" i="20"/>
  <c r="EW230" i="20"/>
  <c r="EY83" i="20"/>
  <c r="EY129" i="20" s="1"/>
  <c r="FB87" i="20"/>
  <c r="EV201" i="20"/>
  <c r="EU111" i="20"/>
  <c r="ET54" i="20"/>
  <c r="EX53" i="20"/>
  <c r="FE59" i="20"/>
  <c r="EU79" i="20"/>
  <c r="EU139" i="20"/>
  <c r="EV135" i="20"/>
  <c r="EY112" i="20"/>
  <c r="EW200" i="20"/>
  <c r="EY210" i="20"/>
  <c r="FE92" i="20"/>
  <c r="EV206" i="20"/>
  <c r="EQ206" i="20" s="1"/>
  <c r="EU213" i="20"/>
  <c r="EP213" i="20" s="1"/>
  <c r="EU78" i="20"/>
  <c r="EY99" i="20"/>
  <c r="EX57" i="20"/>
  <c r="EX135" i="20"/>
  <c r="EU228" i="20"/>
  <c r="EV100" i="20"/>
  <c r="ET95" i="20"/>
  <c r="EU60" i="20"/>
  <c r="EW136" i="20"/>
  <c r="FE117" i="20"/>
  <c r="EV67" i="20"/>
  <c r="EU87" i="20"/>
  <c r="EU137" i="20"/>
  <c r="EU101" i="20"/>
  <c r="EY115" i="20"/>
  <c r="EX88" i="20"/>
  <c r="FC228" i="20"/>
  <c r="ET222" i="20"/>
  <c r="EU69" i="20"/>
  <c r="FE119" i="20"/>
  <c r="FB217" i="20"/>
  <c r="ER217" i="20" s="1"/>
  <c r="EU110" i="20"/>
  <c r="FF53" i="20"/>
  <c r="EW209" i="20"/>
  <c r="EZ104" i="20"/>
  <c r="FE78" i="20"/>
  <c r="FE124" i="20" s="1"/>
  <c r="FC78" i="20"/>
  <c r="FC124" i="20" s="1"/>
  <c r="EZ95" i="20"/>
  <c r="FD231" i="20"/>
  <c r="FD213" i="20"/>
  <c r="FF82" i="20"/>
  <c r="FF128" i="20" s="1"/>
  <c r="EY231" i="20"/>
  <c r="EX115" i="20"/>
  <c r="FD211" i="20"/>
  <c r="FF94" i="20"/>
  <c r="EZ68" i="20"/>
  <c r="FF99" i="20"/>
  <c r="FD209" i="20"/>
  <c r="FC69" i="20"/>
  <c r="FF110" i="20"/>
  <c r="FD88" i="20"/>
  <c r="ET105" i="20"/>
  <c r="EY137" i="20"/>
  <c r="EW145" i="20"/>
  <c r="EY228" i="20"/>
  <c r="FF57" i="20"/>
  <c r="FD67" i="20"/>
  <c r="FD87" i="20"/>
  <c r="FF137" i="20"/>
  <c r="FC64" i="20"/>
  <c r="ET106" i="20"/>
  <c r="EZ77" i="20"/>
  <c r="EZ123" i="20" s="1"/>
  <c r="EV138" i="20"/>
  <c r="EU147" i="20"/>
  <c r="ET70" i="20"/>
  <c r="EY100" i="20"/>
  <c r="EW60" i="20"/>
  <c r="EX69" i="20"/>
  <c r="EU230" i="20"/>
  <c r="EV213" i="20"/>
  <c r="EV111" i="20"/>
  <c r="EU66" i="20"/>
  <c r="ET58" i="20"/>
  <c r="EX71" i="20"/>
  <c r="EY211" i="20"/>
  <c r="FE106" i="20"/>
  <c r="EV146" i="20"/>
  <c r="EU94" i="20"/>
  <c r="EY77" i="20"/>
  <c r="EY123" i="20" s="1"/>
  <c r="EX55" i="20"/>
  <c r="FC68" i="20"/>
  <c r="EU231" i="20"/>
  <c r="EU118" i="20"/>
  <c r="ET140" i="20"/>
  <c r="ET139" i="20"/>
  <c r="FC73" i="20"/>
  <c r="FF223" i="20"/>
  <c r="FC215" i="20"/>
  <c r="FB104" i="20"/>
  <c r="FF84" i="20"/>
  <c r="FF130" i="20" s="1"/>
  <c r="EX72" i="20"/>
  <c r="FE135" i="20"/>
  <c r="FD84" i="20"/>
  <c r="FD130" i="20" s="1"/>
  <c r="EX116" i="20"/>
  <c r="FF103" i="20"/>
  <c r="FB82" i="20"/>
  <c r="EX114" i="20"/>
  <c r="FF101" i="20"/>
  <c r="FB213" i="20"/>
  <c r="FC58" i="20"/>
  <c r="EX89" i="20"/>
  <c r="FC231" i="20"/>
  <c r="FB139" i="20"/>
  <c r="FF70" i="20"/>
  <c r="EZ210" i="20"/>
  <c r="EX222" i="20"/>
  <c r="EW91" i="20"/>
  <c r="FB147" i="20"/>
  <c r="FC139" i="20"/>
  <c r="FE58" i="20"/>
  <c r="FE68" i="20"/>
  <c r="FC67" i="20"/>
  <c r="FC87" i="20"/>
  <c r="EY84" i="20"/>
  <c r="EY130" i="20" s="1"/>
  <c r="EW213" i="20"/>
  <c r="EY205" i="20"/>
  <c r="EW141" i="20"/>
  <c r="EZ57" i="20"/>
  <c r="EU100" i="20"/>
  <c r="EV101" i="20"/>
  <c r="EV59" i="20"/>
  <c r="EY79" i="20"/>
  <c r="EY125" i="20" s="1"/>
  <c r="EX134" i="20"/>
  <c r="FE83" i="20"/>
  <c r="FE129" i="20" s="1"/>
  <c r="EV200" i="20"/>
  <c r="EQ200" i="20" s="1"/>
  <c r="EV87" i="20"/>
  <c r="EU148" i="20"/>
  <c r="EV57" i="20"/>
  <c r="EV55" i="20"/>
  <c r="EX221" i="20"/>
  <c r="EX220" i="20" s="1"/>
  <c r="EV134" i="20"/>
  <c r="EU93" i="20"/>
  <c r="ET64" i="20"/>
  <c r="EY56" i="20"/>
  <c r="EX138" i="20"/>
  <c r="FC134" i="20"/>
  <c r="ET231" i="20"/>
  <c r="EV209" i="20"/>
  <c r="ET67" i="20"/>
  <c r="EU135" i="20"/>
  <c r="EY52" i="20"/>
  <c r="EX102" i="20"/>
  <c r="FD90" i="20"/>
  <c r="EV204" i="20"/>
  <c r="ET138" i="20"/>
  <c r="ET115" i="20"/>
  <c r="ET205" i="20"/>
  <c r="EY95" i="20"/>
  <c r="EX79" i="20"/>
  <c r="EX125" i="20" s="1"/>
  <c r="EY107" i="20"/>
  <c r="EV116" i="20"/>
  <c r="EU134" i="20"/>
  <c r="ET93" i="20"/>
  <c r="ET230" i="20"/>
  <c r="EY72" i="20"/>
  <c r="EW77" i="20"/>
  <c r="EW123" i="20" s="1"/>
  <c r="EY134" i="20"/>
  <c r="FF230" i="20"/>
  <c r="EU112" i="20"/>
  <c r="ET79" i="20"/>
  <c r="ET125" i="20" s="1"/>
  <c r="EV90" i="20"/>
  <c r="EY101" i="20"/>
  <c r="FE57" i="20"/>
  <c r="FE77" i="20"/>
  <c r="FE123" i="20" s="1"/>
  <c r="FB211" i="20"/>
  <c r="ER211" i="20" s="1"/>
  <c r="FE212" i="20"/>
  <c r="EZ64" i="20"/>
  <c r="EX94" i="20"/>
  <c r="ET81" i="20"/>
  <c r="ET127" i="20" s="1"/>
  <c r="ET101" i="20"/>
  <c r="EX77" i="20"/>
  <c r="EX123" i="20" s="1"/>
  <c r="ET117" i="20"/>
  <c r="ET221" i="20"/>
  <c r="EX148" i="20"/>
  <c r="ET91" i="20"/>
  <c r="EV56" i="20"/>
  <c r="EX65" i="20"/>
  <c r="FF66" i="20"/>
  <c r="FE94" i="20"/>
  <c r="FF77" i="20"/>
  <c r="FF123" i="20" s="1"/>
  <c r="FD60" i="20"/>
  <c r="FD133" i="20"/>
  <c r="FB78" i="20"/>
  <c r="FB107" i="20"/>
  <c r="ER107" i="20" s="1"/>
  <c r="FB138" i="20"/>
  <c r="FB58" i="20"/>
  <c r="EX227" i="20"/>
  <c r="FC89" i="20"/>
  <c r="FB110" i="20"/>
  <c r="EX60" i="20"/>
  <c r="FF104" i="20"/>
  <c r="ET148" i="20"/>
  <c r="ER148" i="20" s="1"/>
  <c r="EV71" i="20"/>
  <c r="EV64" i="20"/>
  <c r="EX205" i="20"/>
  <c r="EU212" i="20"/>
  <c r="EP212" i="20" s="1"/>
  <c r="FE66" i="20"/>
  <c r="ET80" i="20"/>
  <c r="ET126" i="20" s="1"/>
  <c r="EU56" i="20"/>
  <c r="EX90" i="20"/>
  <c r="FE56" i="20"/>
  <c r="FB88" i="20"/>
  <c r="FD147" i="20"/>
  <c r="FD116" i="20"/>
  <c r="FD79" i="20"/>
  <c r="FD125" i="20" s="1"/>
  <c r="FD206" i="20"/>
  <c r="FB148" i="20"/>
  <c r="FE215" i="20"/>
  <c r="EZ76" i="20"/>
  <c r="FD200" i="20"/>
  <c r="ET82" i="20"/>
  <c r="ET128" i="20" s="1"/>
  <c r="EU227" i="20"/>
  <c r="EU221" i="20"/>
  <c r="EU91" i="20"/>
  <c r="EZ137" i="20"/>
  <c r="EU113" i="20"/>
  <c r="EZ209" i="20"/>
  <c r="FB133" i="20"/>
  <c r="ET199" i="20"/>
  <c r="EV60" i="20"/>
  <c r="EX117" i="20"/>
  <c r="FB134" i="20"/>
  <c r="FD52" i="20"/>
  <c r="FB229" i="20"/>
  <c r="ER229" i="20" s="1"/>
  <c r="FF200" i="20"/>
  <c r="FD100" i="20"/>
  <c r="FB79" i="20"/>
  <c r="FD68" i="20"/>
  <c r="FD137" i="20"/>
  <c r="FB210" i="20"/>
  <c r="ER210" i="20" s="1"/>
  <c r="FD111" i="20"/>
  <c r="EW212" i="20"/>
  <c r="FF106" i="20"/>
  <c r="EV79" i="20"/>
  <c r="ET112" i="20"/>
  <c r="EV72" i="20"/>
  <c r="EV212" i="20"/>
  <c r="EQ212" i="20" s="1"/>
  <c r="EX106" i="20"/>
  <c r="EU99" i="20"/>
  <c r="FC94" i="20"/>
  <c r="EW68" i="20"/>
  <c r="EV114" i="20"/>
  <c r="EY78" i="20"/>
  <c r="EY124" i="20" s="1"/>
  <c r="EX200" i="20"/>
  <c r="FC227" i="20"/>
  <c r="FE90" i="20"/>
  <c r="FE227" i="20"/>
  <c r="FB105" i="20"/>
  <c r="FD118" i="20"/>
  <c r="FD104" i="20"/>
  <c r="FE88" i="20"/>
  <c r="FD210" i="20"/>
  <c r="FD218" i="20"/>
  <c r="EU224" i="20"/>
  <c r="FC70" i="20"/>
  <c r="FD92" i="20"/>
  <c r="EY227" i="20"/>
  <c r="EV148" i="20"/>
  <c r="EY80" i="20"/>
  <c r="EY126" i="20" s="1"/>
  <c r="EV133" i="20"/>
  <c r="EV228" i="20"/>
  <c r="EW54" i="20"/>
  <c r="EV231" i="20"/>
  <c r="EQ231" i="20" s="1"/>
  <c r="EY91" i="20"/>
  <c r="ET92" i="20"/>
  <c r="EV137" i="20"/>
  <c r="EY136" i="20"/>
  <c r="FB99" i="20"/>
  <c r="FD110" i="20"/>
  <c r="FB106" i="20"/>
  <c r="ER106" i="20" s="1"/>
  <c r="FD204" i="20"/>
  <c r="FD135" i="20"/>
  <c r="FD106" i="20"/>
  <c r="FF229" i="20"/>
  <c r="ET96" i="20"/>
  <c r="EZ54" i="20"/>
  <c r="EX112" i="20"/>
  <c r="EW114" i="20"/>
  <c r="EV82" i="20"/>
  <c r="EU76" i="20"/>
  <c r="ET57" i="20"/>
  <c r="ET201" i="20"/>
  <c r="EV118" i="20"/>
  <c r="EY113" i="20"/>
  <c r="EU204" i="20"/>
  <c r="EV53" i="20"/>
  <c r="EV93" i="20"/>
  <c r="EV139" i="20"/>
  <c r="EW79" i="20"/>
  <c r="EW125" i="20" s="1"/>
  <c r="EW139" i="20"/>
  <c r="FB59" i="20"/>
  <c r="FD141" i="20"/>
  <c r="FC106" i="20"/>
  <c r="FB115" i="20"/>
  <c r="FD81" i="20"/>
  <c r="FD127" i="20" s="1"/>
  <c r="FD212" i="20"/>
  <c r="FD139" i="20"/>
  <c r="FB117" i="20"/>
  <c r="FC221" i="20"/>
  <c r="FE229" i="20"/>
  <c r="EY133" i="20"/>
  <c r="EY66" i="20"/>
  <c r="EY70" i="20"/>
  <c r="FD94" i="20"/>
  <c r="FB89" i="20"/>
  <c r="FD56" i="20"/>
  <c r="EW111" i="20"/>
  <c r="FF204" i="20"/>
  <c r="FF203" i="20" s="1"/>
  <c r="EY57" i="20"/>
  <c r="FD102" i="20"/>
  <c r="FB69" i="20"/>
  <c r="EW72" i="20"/>
  <c r="EX100" i="20"/>
  <c r="FB230" i="20"/>
  <c r="ER230" i="20" s="1"/>
  <c r="EU80" i="20"/>
  <c r="EX59" i="20"/>
  <c r="EX136" i="20"/>
  <c r="FE118" i="20"/>
  <c r="FC122" i="20"/>
  <c r="FF231" i="20"/>
  <c r="FB137" i="20"/>
  <c r="ET134" i="20"/>
  <c r="EW206" i="20"/>
  <c r="EU54" i="20"/>
  <c r="FD112" i="20"/>
  <c r="CL112" i="20"/>
  <c r="CF92" i="20"/>
  <c r="CL127" i="20"/>
  <c r="CL167" i="20"/>
  <c r="CL206" i="20"/>
  <c r="CF68" i="20"/>
  <c r="BZ66" i="20"/>
  <c r="CF89" i="20"/>
  <c r="CH60" i="20"/>
  <c r="CB195" i="20"/>
  <c r="BZ196" i="20"/>
  <c r="CB196" i="20"/>
  <c r="CE215" i="20"/>
  <c r="CI223" i="20"/>
  <c r="CB224" i="20"/>
  <c r="CE223" i="20"/>
  <c r="CF218" i="20"/>
  <c r="CK218" i="20"/>
  <c r="CD218" i="20"/>
  <c r="CA142" i="20"/>
  <c r="CI119" i="20"/>
  <c r="CD96" i="20"/>
  <c r="CE73" i="20"/>
  <c r="CL188" i="20"/>
  <c r="BZ96" i="20"/>
  <c r="CC96" i="20"/>
  <c r="CC119" i="20"/>
  <c r="CL187" i="20"/>
  <c r="CK96" i="20"/>
  <c r="CF134" i="20"/>
  <c r="CF76" i="20"/>
  <c r="CL184" i="20"/>
  <c r="BZ134" i="20"/>
  <c r="CB77" i="20"/>
  <c r="CL172" i="20"/>
  <c r="CF112" i="20"/>
  <c r="CF79" i="20"/>
  <c r="CI196" i="20"/>
  <c r="BZ195" i="20"/>
  <c r="CD215" i="20"/>
  <c r="CD224" i="20"/>
  <c r="CF224" i="20"/>
  <c r="CA224" i="20"/>
  <c r="CF216" i="20"/>
  <c r="CK217" i="20"/>
  <c r="CD216" i="20"/>
  <c r="CE187" i="20"/>
  <c r="CB142" i="20"/>
  <c r="CI188" i="20"/>
  <c r="CH96" i="20"/>
  <c r="CA73" i="20"/>
  <c r="CI96" i="20"/>
  <c r="CH188" i="20"/>
  <c r="CL119" i="20"/>
  <c r="CI61" i="20"/>
  <c r="CD119" i="20"/>
  <c r="CF125" i="20"/>
  <c r="CL125" i="20"/>
  <c r="CF72" i="20"/>
  <c r="CL176" i="20"/>
  <c r="CL205" i="20"/>
  <c r="CF66" i="20"/>
  <c r="CF151" i="20"/>
  <c r="CA196" i="20"/>
  <c r="CH195" i="20"/>
  <c r="CL214" i="20"/>
  <c r="CJ223" i="20"/>
  <c r="CI224" i="20"/>
  <c r="CH223" i="20"/>
  <c r="CC217" i="20"/>
  <c r="CJ73" i="20"/>
  <c r="CB61" i="20"/>
  <c r="CF187" i="20"/>
  <c r="CH119" i="20"/>
  <c r="CJ119" i="20"/>
  <c r="CD187" i="20"/>
  <c r="CK119" i="20"/>
  <c r="CK73" i="20"/>
  <c r="CA187" i="20"/>
  <c r="CE96" i="20"/>
  <c r="CB187" i="20"/>
  <c r="BZ192" i="20"/>
  <c r="CL228" i="20"/>
  <c r="CL88" i="20"/>
  <c r="CL116" i="20"/>
  <c r="CL141" i="20"/>
  <c r="CF78" i="20"/>
  <c r="CF200" i="20"/>
  <c r="CF56" i="20"/>
  <c r="CF99" i="20"/>
  <c r="CF70" i="20"/>
  <c r="CC195" i="20"/>
  <c r="CC196" i="20"/>
  <c r="CK215" i="20"/>
  <c r="CF215" i="20"/>
  <c r="CE224" i="20"/>
  <c r="CF223" i="20"/>
  <c r="CC224" i="20"/>
  <c r="CE218" i="20"/>
  <c r="CI218" i="20"/>
  <c r="BQ218" i="20" s="1"/>
  <c r="AN216" i="25" s="1"/>
  <c r="CJ217" i="20"/>
  <c r="CF119" i="20"/>
  <c r="CK61" i="20"/>
  <c r="CB188" i="20"/>
  <c r="CJ142" i="20"/>
  <c r="CC142" i="20"/>
  <c r="CJ61" i="20"/>
  <c r="CD142" i="20"/>
  <c r="CE61" i="20"/>
  <c r="CJ187" i="20"/>
  <c r="CF61" i="20"/>
  <c r="CK187" i="20"/>
  <c r="CF199" i="20"/>
  <c r="CF101" i="20"/>
  <c r="CL136" i="20"/>
  <c r="CF59" i="20"/>
  <c r="CF113" i="20"/>
  <c r="CA195" i="20"/>
  <c r="CL195" i="20"/>
  <c r="CL196" i="20"/>
  <c r="CC214" i="20"/>
  <c r="CL215" i="20"/>
  <c r="CB223" i="20"/>
  <c r="CL224" i="20"/>
  <c r="CI216" i="20"/>
  <c r="CC216" i="20"/>
  <c r="BK216" i="20" s="1"/>
  <c r="AH214" i="25" s="1"/>
  <c r="CL218" i="20"/>
  <c r="CI142" i="20"/>
  <c r="CD73" i="20"/>
  <c r="CK188" i="20"/>
  <c r="CA188" i="20"/>
  <c r="CL142" i="20"/>
  <c r="CL73" i="20"/>
  <c r="BZ187" i="20"/>
  <c r="CH73" i="20"/>
  <c r="CE188" i="20"/>
  <c r="BZ73" i="20"/>
  <c r="CF188" i="20"/>
  <c r="BZ191" i="20"/>
  <c r="CL192" i="20"/>
  <c r="CL211" i="20"/>
  <c r="CL159" i="20"/>
  <c r="BZ54" i="20"/>
  <c r="CL69" i="20"/>
  <c r="CF230" i="20"/>
  <c r="CF228" i="20"/>
  <c r="CF163" i="20"/>
  <c r="CH102" i="20"/>
  <c r="CJ195" i="20"/>
  <c r="CH196" i="20"/>
  <c r="CJ196" i="20"/>
  <c r="CJ215" i="20"/>
  <c r="CF214" i="20"/>
  <c r="CK224" i="20"/>
  <c r="CL223" i="20"/>
  <c r="CC223" i="20"/>
  <c r="CK216" i="20"/>
  <c r="CF217" i="20"/>
  <c r="CC218" i="20"/>
  <c r="BK218" i="20" s="1"/>
  <c r="AH216" i="25" s="1"/>
  <c r="BZ188" i="20"/>
  <c r="CF96" i="20"/>
  <c r="CE119" i="20"/>
  <c r="CC61" i="20"/>
  <c r="CH187" i="20"/>
  <c r="CD61" i="20"/>
  <c r="CI187" i="20"/>
  <c r="CA96" i="20"/>
  <c r="CL96" i="20"/>
  <c r="AM159" i="25"/>
  <c r="BH161" i="20"/>
  <c r="AE159" i="25" s="1"/>
  <c r="AB149" i="20"/>
  <c r="R147" i="25" s="1"/>
  <c r="Q153" i="25"/>
  <c r="AB155" i="20"/>
  <c r="AC155" i="20" s="1"/>
  <c r="Q169" i="25"/>
  <c r="AB171" i="20"/>
  <c r="AC171" i="20" s="1"/>
  <c r="R172" i="25"/>
  <c r="AC174" i="20"/>
  <c r="S172" i="25" s="1"/>
  <c r="Q167" i="25"/>
  <c r="AB169" i="20"/>
  <c r="R167" i="25" s="1"/>
  <c r="Q173" i="25"/>
  <c r="AB175" i="20"/>
  <c r="Q176" i="25"/>
  <c r="AB178" i="20"/>
  <c r="Q180" i="25"/>
  <c r="AC182" i="20"/>
  <c r="S180" i="25" s="1"/>
  <c r="Q177" i="25"/>
  <c r="AB179" i="20"/>
  <c r="R177" i="25" s="1"/>
  <c r="AB196" i="20"/>
  <c r="Q194" i="25"/>
  <c r="Q154" i="25"/>
  <c r="AC156" i="20"/>
  <c r="Q192" i="25"/>
  <c r="AD143" i="25"/>
  <c r="AH179" i="25"/>
  <c r="BL181" i="20"/>
  <c r="BM181" i="20" s="1"/>
  <c r="AJ179" i="25" s="1"/>
  <c r="BL161" i="20"/>
  <c r="AI159" i="25" s="1"/>
  <c r="BP147" i="20"/>
  <c r="AB191" i="20"/>
  <c r="AC191" i="20" s="1"/>
  <c r="BP193" i="20"/>
  <c r="Q185" i="25"/>
  <c r="BP148" i="20"/>
  <c r="BP150" i="20"/>
  <c r="R234" i="25"/>
  <c r="AB235" i="20"/>
  <c r="O234" i="25"/>
  <c r="Y235" i="20"/>
  <c r="EC235" i="20"/>
  <c r="EC233" i="20" s="1"/>
  <c r="BN231" i="25" s="1"/>
  <c r="Z235" i="20"/>
  <c r="Z233" i="20" s="1"/>
  <c r="P234" i="25"/>
  <c r="P233" i="25" s="1"/>
  <c r="EB236" i="20"/>
  <c r="BM234" i="25" s="1"/>
  <c r="BF233" i="25"/>
  <c r="BY233" i="25"/>
  <c r="BG227" i="20"/>
  <c r="BG228" i="20"/>
  <c r="BG231" i="20"/>
  <c r="ES49" i="20"/>
  <c r="BL219" i="25"/>
  <c r="W223" i="20"/>
  <c r="F220" i="20"/>
  <c r="W221" i="20"/>
  <c r="W224" i="20"/>
  <c r="W222" i="20"/>
  <c r="EA223" i="20"/>
  <c r="BL221" i="25" s="1"/>
  <c r="AO49" i="20"/>
  <c r="CQ213" i="20"/>
  <c r="CQ210" i="20"/>
  <c r="CQ217" i="20"/>
  <c r="CQ218" i="20"/>
  <c r="AU216" i="25" s="1"/>
  <c r="CQ216" i="20"/>
  <c r="CQ211" i="20"/>
  <c r="CQ212" i="20"/>
  <c r="CQ209" i="20"/>
  <c r="CQ214" i="20"/>
  <c r="BL204" i="25"/>
  <c r="BL201" i="25" s="1"/>
  <c r="AU202" i="25"/>
  <c r="BG49" i="20"/>
  <c r="BY49" i="20"/>
  <c r="F203" i="20"/>
  <c r="DI49" i="20"/>
  <c r="M212" i="25"/>
  <c r="BM173" i="20"/>
  <c r="W231" i="20"/>
  <c r="W49" i="20"/>
  <c r="F226" i="20"/>
  <c r="W228" i="20"/>
  <c r="W227" i="20"/>
  <c r="W229" i="20"/>
  <c r="W230" i="20"/>
  <c r="R187" i="25"/>
  <c r="AC189" i="20"/>
  <c r="S187" i="25" s="1"/>
  <c r="CQ90" i="20"/>
  <c r="CQ93" i="20"/>
  <c r="CQ88" i="20"/>
  <c r="CQ89" i="20"/>
  <c r="CQ87" i="20"/>
  <c r="CQ92" i="20"/>
  <c r="CQ94" i="20"/>
  <c r="CQ95" i="20"/>
  <c r="CQ91" i="20"/>
  <c r="CQ49" i="20"/>
  <c r="CQ96" i="20"/>
  <c r="AG232" i="20"/>
  <c r="AH232" i="20" s="1"/>
  <c r="AD15" i="25"/>
  <c r="BI17" i="20"/>
  <c r="BG9" i="20"/>
  <c r="Q157" i="25"/>
  <c r="AB159" i="20"/>
  <c r="Q150" i="25"/>
  <c r="AB152" i="20"/>
  <c r="V9" i="25"/>
  <c r="O11" i="20"/>
  <c r="F86" i="20"/>
  <c r="F51" i="20"/>
  <c r="W61" i="20"/>
  <c r="W53" i="20"/>
  <c r="W55" i="20"/>
  <c r="W58" i="20"/>
  <c r="CQ68" i="20"/>
  <c r="CQ72" i="20"/>
  <c r="CQ71" i="20"/>
  <c r="CQ69" i="20"/>
  <c r="BG102" i="20"/>
  <c r="BG101" i="20"/>
  <c r="BG103" i="20"/>
  <c r="BG106" i="20"/>
  <c r="BG105" i="20"/>
  <c r="BG100" i="20"/>
  <c r="BG104" i="20"/>
  <c r="BG99" i="20"/>
  <c r="BG107" i="20"/>
  <c r="F98" i="20"/>
  <c r="Q186" i="25"/>
  <c r="AB188" i="20"/>
  <c r="Q171" i="25"/>
  <c r="AB173" i="20"/>
  <c r="BN13" i="25"/>
  <c r="EB15" i="20"/>
  <c r="BM13" i="25" s="1"/>
  <c r="AB180" i="20"/>
  <c r="Q178" i="25"/>
  <c r="EA222" i="20"/>
  <c r="EA224" i="20"/>
  <c r="CQ83" i="20"/>
  <c r="CQ82" i="20"/>
  <c r="CQ77" i="20"/>
  <c r="CQ79" i="20"/>
  <c r="CQ78" i="20"/>
  <c r="CQ76" i="20"/>
  <c r="CQ84" i="20"/>
  <c r="CQ80" i="20"/>
  <c r="CQ81" i="20"/>
  <c r="CQ205" i="20"/>
  <c r="CQ206" i="20"/>
  <c r="BH236" i="20"/>
  <c r="BI235" i="20"/>
  <c r="AF234" i="25"/>
  <c r="Q193" i="25"/>
  <c r="AB195" i="20"/>
  <c r="AC195" i="20" s="1"/>
  <c r="BU43" i="25"/>
  <c r="EJ39" i="20"/>
  <c r="Q174" i="25"/>
  <c r="AB176" i="20"/>
  <c r="Q156" i="25"/>
  <c r="AB158" i="20"/>
  <c r="EA79" i="20"/>
  <c r="EA80" i="20"/>
  <c r="EA76" i="20"/>
  <c r="EA83" i="20"/>
  <c r="EA77" i="20"/>
  <c r="EA121" i="20"/>
  <c r="BN42" i="25"/>
  <c r="EB44" i="20"/>
  <c r="BM42" i="25" s="1"/>
  <c r="M100" i="25"/>
  <c r="EA105" i="20"/>
  <c r="EA104" i="20"/>
  <c r="EA103" i="20"/>
  <c r="EA102" i="20"/>
  <c r="EA106" i="20"/>
  <c r="EA100" i="20"/>
  <c r="EA107" i="20"/>
  <c r="EA101" i="20"/>
  <c r="BG112" i="20"/>
  <c r="BG110" i="20"/>
  <c r="BG111" i="20"/>
  <c r="BG118" i="20"/>
  <c r="BG117" i="20"/>
  <c r="BG116" i="20"/>
  <c r="BG119" i="20"/>
  <c r="BG115" i="20"/>
  <c r="BG113" i="20"/>
  <c r="BG114" i="20"/>
  <c r="AB153" i="20"/>
  <c r="Q151" i="25"/>
  <c r="Q160" i="25"/>
  <c r="AB162" i="20"/>
  <c r="BG138" i="20"/>
  <c r="BG140" i="20"/>
  <c r="BG142" i="20"/>
  <c r="BG133" i="20"/>
  <c r="BG137" i="20"/>
  <c r="BG141" i="20"/>
  <c r="BH189" i="20"/>
  <c r="AE187" i="25" s="1"/>
  <c r="W216" i="20"/>
  <c r="W217" i="20"/>
  <c r="AC193" i="20"/>
  <c r="S191" i="25" s="1"/>
  <c r="W218" i="20"/>
  <c r="BP217" i="20"/>
  <c r="CQ101" i="20"/>
  <c r="CQ105" i="20"/>
  <c r="CQ103" i="20"/>
  <c r="BR147" i="20"/>
  <c r="W210" i="20"/>
  <c r="BM130" i="25"/>
  <c r="W107" i="20"/>
  <c r="W106" i="20"/>
  <c r="W105" i="20"/>
  <c r="W103" i="20"/>
  <c r="W100" i="20"/>
  <c r="EB27" i="20"/>
  <c r="BM25" i="25" s="1"/>
  <c r="CR39" i="20"/>
  <c r="AC194" i="20"/>
  <c r="BM84" i="25"/>
  <c r="EJ235" i="20"/>
  <c r="BP214" i="20"/>
  <c r="BM107" i="25"/>
  <c r="EB109" i="20"/>
  <c r="BL147" i="20"/>
  <c r="AC190" i="20"/>
  <c r="AH187" i="25"/>
  <c r="BL189" i="20"/>
  <c r="W101" i="20"/>
  <c r="EB20" i="20"/>
  <c r="BM18" i="25" s="1"/>
  <c r="Q191" i="25"/>
  <c r="BJ9" i="20"/>
  <c r="AG9" i="25"/>
  <c r="BL49" i="25"/>
  <c r="BV49" i="25"/>
  <c r="BL61" i="25"/>
  <c r="BV61" i="25"/>
  <c r="BL130" i="25"/>
  <c r="BV130" i="25"/>
  <c r="BL142" i="25"/>
  <c r="CQ116" i="20"/>
  <c r="W117" i="20"/>
  <c r="F109" i="20"/>
  <c r="W115" i="20"/>
  <c r="W116" i="20"/>
  <c r="BV84" i="25"/>
  <c r="Q233" i="25"/>
  <c r="DH135" i="20" l="1"/>
  <c r="F118" i="20"/>
  <c r="EQ213" i="20"/>
  <c r="ED213" i="20" s="1"/>
  <c r="BO211" i="25" s="1"/>
  <c r="EQ146" i="20"/>
  <c r="ER213" i="20"/>
  <c r="EJ213" i="20" s="1"/>
  <c r="BU211" i="25" s="1"/>
  <c r="ER200" i="20"/>
  <c r="EW220" i="20"/>
  <c r="F200" i="20"/>
  <c r="AM175" i="25"/>
  <c r="ER104" i="20"/>
  <c r="BH30" i="20"/>
  <c r="AE28" i="25" s="1"/>
  <c r="EC213" i="20"/>
  <c r="EC211" i="20"/>
  <c r="F209" i="20"/>
  <c r="EC212" i="20"/>
  <c r="BN210" i="25" s="1"/>
  <c r="AM210" i="25"/>
  <c r="BM233" i="25"/>
  <c r="BG172" i="20"/>
  <c r="AD170" i="25" s="1"/>
  <c r="F170" i="25" s="1"/>
  <c r="CR30" i="20"/>
  <c r="AV28" i="25" s="1"/>
  <c r="BP9" i="20"/>
  <c r="BG196" i="20"/>
  <c r="AD194" i="25" s="1"/>
  <c r="F194" i="25" s="1"/>
  <c r="BL233" i="25"/>
  <c r="EX226" i="20"/>
  <c r="ER105" i="20"/>
  <c r="EQ100" i="20"/>
  <c r="EP100" i="20"/>
  <c r="EC100" i="20" s="1"/>
  <c r="EE100" i="20" s="1"/>
  <c r="EQ103" i="20"/>
  <c r="EQ228" i="20"/>
  <c r="ET220" i="20"/>
  <c r="EZ63" i="20"/>
  <c r="FF109" i="20"/>
  <c r="EP228" i="20"/>
  <c r="EC228" i="20" s="1"/>
  <c r="BN226" i="25" s="1"/>
  <c r="DH211" i="20"/>
  <c r="BW159" i="20"/>
  <c r="BV184" i="20"/>
  <c r="BX56" i="20"/>
  <c r="BX80" i="20"/>
  <c r="CL198" i="20"/>
  <c r="BX139" i="20"/>
  <c r="BV183" i="20"/>
  <c r="BW223" i="20"/>
  <c r="BV224" i="20"/>
  <c r="BI224" i="20" s="1"/>
  <c r="BK224" i="20" s="1"/>
  <c r="AH222" i="25" s="1"/>
  <c r="BW81" i="20"/>
  <c r="BX104" i="20"/>
  <c r="BV65" i="20"/>
  <c r="BI65" i="20" s="1"/>
  <c r="BK65" i="20" s="1"/>
  <c r="BL65" i="20" s="1"/>
  <c r="BX87" i="20"/>
  <c r="BV111" i="20"/>
  <c r="BI111" i="20" s="1"/>
  <c r="BX91" i="20"/>
  <c r="F111" i="20"/>
  <c r="I39" i="20"/>
  <c r="BH185" i="20"/>
  <c r="AE183" i="25" s="1"/>
  <c r="F144" i="25"/>
  <c r="AC151" i="20"/>
  <c r="AD151" i="20" s="1"/>
  <c r="T149" i="25" s="1"/>
  <c r="BX68" i="20"/>
  <c r="BP68" i="20" s="1"/>
  <c r="BX124" i="20"/>
  <c r="BX64" i="20"/>
  <c r="BV81" i="20"/>
  <c r="BI81" i="20" s="1"/>
  <c r="BK81" i="20" s="1"/>
  <c r="BL81" i="20" s="1"/>
  <c r="BM81" i="20" s="1"/>
  <c r="BX125" i="20"/>
  <c r="BW64" i="20"/>
  <c r="BW72" i="20"/>
  <c r="BX231" i="20"/>
  <c r="BW163" i="20"/>
  <c r="BW125" i="20"/>
  <c r="BV124" i="20"/>
  <c r="BI124" i="20" s="1"/>
  <c r="AF122" i="25" s="1"/>
  <c r="CC226" i="20"/>
  <c r="BX126" i="20"/>
  <c r="BX72" i="20"/>
  <c r="BX230" i="20"/>
  <c r="DH66" i="20"/>
  <c r="DG72" i="20"/>
  <c r="AI146" i="25"/>
  <c r="BH169" i="20"/>
  <c r="AE167" i="25" s="1"/>
  <c r="AC170" i="20"/>
  <c r="S168" i="25" s="1"/>
  <c r="BN193" i="20"/>
  <c r="AK191" i="25" s="1"/>
  <c r="BM177" i="20"/>
  <c r="AJ175" i="25" s="1"/>
  <c r="DH134" i="20"/>
  <c r="BL224" i="25"/>
  <c r="H37" i="25"/>
  <c r="AL211" i="20"/>
  <c r="Y211" i="20" s="1"/>
  <c r="AL61" i="20"/>
  <c r="Y61" i="20" s="1"/>
  <c r="AL58" i="20"/>
  <c r="Y58" i="20" s="1"/>
  <c r="AV203" i="20"/>
  <c r="AR61" i="20"/>
  <c r="AM61" i="20" s="1"/>
  <c r="BV163" i="20"/>
  <c r="BW224" i="20"/>
  <c r="BV100" i="20"/>
  <c r="BI100" i="20" s="1"/>
  <c r="BV90" i="20"/>
  <c r="BI90" i="20" s="1"/>
  <c r="BV137" i="20"/>
  <c r="BI137" i="20" s="1"/>
  <c r="BW100" i="20"/>
  <c r="BV52" i="20"/>
  <c r="BI52" i="20" s="1"/>
  <c r="BQ52" i="20" s="1"/>
  <c r="BV222" i="20"/>
  <c r="BI222" i="20" s="1"/>
  <c r="AF220" i="25" s="1"/>
  <c r="BV156" i="20"/>
  <c r="BX175" i="20"/>
  <c r="BX141" i="20"/>
  <c r="BX69" i="20"/>
  <c r="BX90" i="20"/>
  <c r="BW229" i="20"/>
  <c r="BX222" i="20"/>
  <c r="BW175" i="20"/>
  <c r="CA198" i="20"/>
  <c r="BW58" i="20"/>
  <c r="BV92" i="20"/>
  <c r="BI92" i="20" s="1"/>
  <c r="BV95" i="20"/>
  <c r="BI95" i="20" s="1"/>
  <c r="BX137" i="20"/>
  <c r="BV128" i="20"/>
  <c r="BI128" i="20" s="1"/>
  <c r="BX103" i="20"/>
  <c r="BW112" i="20"/>
  <c r="BJ112" i="20" s="1"/>
  <c r="AG110" i="25" s="1"/>
  <c r="BV91" i="20"/>
  <c r="BV64" i="20"/>
  <c r="BW172" i="20"/>
  <c r="BV175" i="20"/>
  <c r="BW168" i="20"/>
  <c r="BV141" i="20"/>
  <c r="BV60" i="20"/>
  <c r="BI60" i="20" s="1"/>
  <c r="AF58" i="25" s="1"/>
  <c r="BV179" i="20"/>
  <c r="BW103" i="20"/>
  <c r="BV101" i="20"/>
  <c r="BI101" i="20" s="1"/>
  <c r="BQ101" i="20" s="1"/>
  <c r="BV102" i="20"/>
  <c r="BI102" i="20" s="1"/>
  <c r="BV205" i="20"/>
  <c r="BI205" i="20" s="1"/>
  <c r="BQ205" i="20" s="1"/>
  <c r="AN203" i="25" s="1"/>
  <c r="BV103" i="20"/>
  <c r="BI103" i="20" s="1"/>
  <c r="BV229" i="20"/>
  <c r="BI229" i="20" s="1"/>
  <c r="AF227" i="25" s="1"/>
  <c r="BX114" i="20"/>
  <c r="BV200" i="20"/>
  <c r="BI200" i="20" s="1"/>
  <c r="AF198" i="25" s="1"/>
  <c r="BW87" i="20"/>
  <c r="BV53" i="20"/>
  <c r="BI53" i="20" s="1"/>
  <c r="BX200" i="20"/>
  <c r="BX201" i="20"/>
  <c r="BX168" i="20"/>
  <c r="BX88" i="20"/>
  <c r="BW152" i="20"/>
  <c r="CD198" i="20"/>
  <c r="BV83" i="20"/>
  <c r="BI83" i="20" s="1"/>
  <c r="AF81" i="25" s="1"/>
  <c r="BL211" i="20"/>
  <c r="BM211" i="20" s="1"/>
  <c r="BV168" i="20"/>
  <c r="BX66" i="20"/>
  <c r="BW104" i="20"/>
  <c r="BV79" i="20"/>
  <c r="BI79" i="20" s="1"/>
  <c r="BQ79" i="20" s="1"/>
  <c r="AN77" i="25" s="1"/>
  <c r="BX192" i="20"/>
  <c r="BX136" i="20"/>
  <c r="DH71" i="20"/>
  <c r="DG146" i="20"/>
  <c r="DN198" i="20"/>
  <c r="FC226" i="20"/>
  <c r="FC220" i="20"/>
  <c r="FC208" i="20"/>
  <c r="EJ223" i="20"/>
  <c r="BU221" i="25" s="1"/>
  <c r="EW144" i="20"/>
  <c r="EQ214" i="20"/>
  <c r="DH116" i="20"/>
  <c r="DH138" i="20"/>
  <c r="BW155" i="20"/>
  <c r="BW126" i="20"/>
  <c r="BV230" i="20"/>
  <c r="BW110" i="20"/>
  <c r="BX83" i="20"/>
  <c r="BW191" i="20"/>
  <c r="BW139" i="20"/>
  <c r="BX82" i="20"/>
  <c r="BV123" i="20"/>
  <c r="BW92" i="20"/>
  <c r="BV114" i="20"/>
  <c r="BI114" i="20" s="1"/>
  <c r="BV76" i="20"/>
  <c r="BI76" i="20" s="1"/>
  <c r="AF74" i="25" s="1"/>
  <c r="BV56" i="20"/>
  <c r="BI56" i="20" s="1"/>
  <c r="BW171" i="20"/>
  <c r="CF203" i="20"/>
  <c r="BX81" i="20"/>
  <c r="BX89" i="20"/>
  <c r="BW231" i="20"/>
  <c r="BW56" i="20"/>
  <c r="BX155" i="20"/>
  <c r="BW164" i="20"/>
  <c r="BX123" i="20"/>
  <c r="BX53" i="20"/>
  <c r="BX93" i="20"/>
  <c r="BX112" i="20"/>
  <c r="BP112" i="20" s="1"/>
  <c r="AM110" i="25" s="1"/>
  <c r="BW106" i="20"/>
  <c r="BV139" i="20"/>
  <c r="BX140" i="20"/>
  <c r="BZ198" i="20"/>
  <c r="BX115" i="20"/>
  <c r="BV201" i="20"/>
  <c r="BI201" i="20" s="1"/>
  <c r="BQ201" i="20" s="1"/>
  <c r="BR201" i="20" s="1"/>
  <c r="AO199" i="25" s="1"/>
  <c r="BW133" i="20"/>
  <c r="BW136" i="20"/>
  <c r="BW83" i="20"/>
  <c r="BV126" i="20"/>
  <c r="BW53" i="20"/>
  <c r="BV127" i="20"/>
  <c r="BI127" i="20" s="1"/>
  <c r="BV231" i="20"/>
  <c r="BI231" i="20" s="1"/>
  <c r="AF229" i="25" s="1"/>
  <c r="BV113" i="20"/>
  <c r="BW221" i="20"/>
  <c r="BW123" i="20"/>
  <c r="BW200" i="20"/>
  <c r="BX110" i="20"/>
  <c r="BV145" i="20"/>
  <c r="BI145" i="20" s="1"/>
  <c r="AF143" i="25" s="1"/>
  <c r="BX100" i="20"/>
  <c r="BX127" i="20"/>
  <c r="BV155" i="20"/>
  <c r="BV180" i="20"/>
  <c r="BI180" i="20" s="1"/>
  <c r="BW222" i="20"/>
  <c r="BW129" i="20"/>
  <c r="BW91" i="20"/>
  <c r="BW94" i="20"/>
  <c r="BL213" i="20"/>
  <c r="AI211" i="25" s="1"/>
  <c r="BW70" i="20"/>
  <c r="BV84" i="20"/>
  <c r="BX70" i="20"/>
  <c r="BV70" i="20"/>
  <c r="BV59" i="20"/>
  <c r="BI59" i="20" s="1"/>
  <c r="BX59" i="20"/>
  <c r="BX95" i="20"/>
  <c r="BX159" i="20"/>
  <c r="BX102" i="20"/>
  <c r="BX94" i="20"/>
  <c r="BX84" i="20"/>
  <c r="BX176" i="20"/>
  <c r="BV171" i="20"/>
  <c r="BI171" i="20" s="1"/>
  <c r="BW57" i="20"/>
  <c r="BV204" i="20"/>
  <c r="BI204" i="20" s="1"/>
  <c r="AF202" i="25" s="1"/>
  <c r="BW61" i="20"/>
  <c r="BW160" i="20"/>
  <c r="CE86" i="20"/>
  <c r="BW142" i="20"/>
  <c r="BV142" i="20"/>
  <c r="BX113" i="20"/>
  <c r="BW71" i="20"/>
  <c r="BW137" i="20"/>
  <c r="BW205" i="20"/>
  <c r="BW117" i="20"/>
  <c r="BW118" i="20"/>
  <c r="BW141" i="20"/>
  <c r="BW65" i="20"/>
  <c r="BW89" i="20"/>
  <c r="BW124" i="20"/>
  <c r="BV58" i="20"/>
  <c r="BI58" i="20" s="1"/>
  <c r="BK58" i="20" s="1"/>
  <c r="AH56" i="25" s="1"/>
  <c r="BW127" i="20"/>
  <c r="CD86" i="20"/>
  <c r="BV82" i="20"/>
  <c r="BI82" i="20" s="1"/>
  <c r="BQ82" i="20" s="1"/>
  <c r="AN80" i="25" s="1"/>
  <c r="CB226" i="20"/>
  <c r="BW228" i="20"/>
  <c r="CH203" i="20"/>
  <c r="BV67" i="20"/>
  <c r="BI67" i="20" s="1"/>
  <c r="BQ67" i="20" s="1"/>
  <c r="AN65" i="25" s="1"/>
  <c r="BW140" i="20"/>
  <c r="CE226" i="20"/>
  <c r="BW90" i="20"/>
  <c r="BX77" i="20"/>
  <c r="BW93" i="20"/>
  <c r="CE203" i="20"/>
  <c r="CA226" i="20"/>
  <c r="BX101" i="20"/>
  <c r="CC75" i="20"/>
  <c r="CC203" i="20"/>
  <c r="CC86" i="20"/>
  <c r="CB198" i="20"/>
  <c r="CL208" i="20"/>
  <c r="BX171" i="20"/>
  <c r="BX106" i="20"/>
  <c r="BW82" i="20"/>
  <c r="BV93" i="20"/>
  <c r="BV228" i="20"/>
  <c r="BI228" i="20" s="1"/>
  <c r="AF226" i="25" s="1"/>
  <c r="CE51" i="20"/>
  <c r="BL210" i="20"/>
  <c r="AI208" i="25" s="1"/>
  <c r="CD220" i="20"/>
  <c r="BX205" i="20"/>
  <c r="BX76" i="20"/>
  <c r="CD203" i="20"/>
  <c r="BW67" i="20"/>
  <c r="CL86" i="20"/>
  <c r="CH226" i="20"/>
  <c r="BX92" i="20"/>
  <c r="BX224" i="20"/>
  <c r="BX107" i="20"/>
  <c r="BV159" i="20"/>
  <c r="BI159" i="20" s="1"/>
  <c r="BX164" i="20"/>
  <c r="BX135" i="20"/>
  <c r="BX65" i="20"/>
  <c r="BV94" i="20"/>
  <c r="BI94" i="20" s="1"/>
  <c r="BK94" i="20" s="1"/>
  <c r="AH92" i="25" s="1"/>
  <c r="BZ86" i="20"/>
  <c r="BX67" i="20"/>
  <c r="BW114" i="20"/>
  <c r="BV138" i="20"/>
  <c r="BI138" i="20" s="1"/>
  <c r="BW113" i="20"/>
  <c r="BX228" i="20"/>
  <c r="CE109" i="20"/>
  <c r="CC109" i="20"/>
  <c r="BX99" i="20"/>
  <c r="BX229" i="20"/>
  <c r="BR213" i="20"/>
  <c r="AO211" i="25" s="1"/>
  <c r="CD226" i="20"/>
  <c r="BX128" i="20"/>
  <c r="BW88" i="20"/>
  <c r="CJ198" i="20"/>
  <c r="BV69" i="20"/>
  <c r="CA63" i="20"/>
  <c r="BW59" i="20"/>
  <c r="BZ226" i="20"/>
  <c r="BV89" i="20"/>
  <c r="CD121" i="20"/>
  <c r="BV129" i="20"/>
  <c r="BI129" i="20" s="1"/>
  <c r="BV164" i="20"/>
  <c r="BW55" i="20"/>
  <c r="BV135" i="20"/>
  <c r="BI135" i="20" s="1"/>
  <c r="BW95" i="20"/>
  <c r="CE63" i="20"/>
  <c r="BW68" i="20"/>
  <c r="BJ68" i="20" s="1"/>
  <c r="CB132" i="20"/>
  <c r="CK198" i="20"/>
  <c r="BX130" i="20"/>
  <c r="BX111" i="20"/>
  <c r="BV87" i="20"/>
  <c r="BV191" i="20"/>
  <c r="BI191" i="20" s="1"/>
  <c r="CE208" i="20"/>
  <c r="BV122" i="20"/>
  <c r="BI122" i="20" s="1"/>
  <c r="AF120" i="25" s="1"/>
  <c r="BV71" i="20"/>
  <c r="BI71" i="20" s="1"/>
  <c r="BQ71" i="20" s="1"/>
  <c r="BR71" i="20" s="1"/>
  <c r="AO69" i="25" s="1"/>
  <c r="BV80" i="20"/>
  <c r="BX179" i="20"/>
  <c r="BX163" i="20"/>
  <c r="BW80" i="20"/>
  <c r="BV72" i="20"/>
  <c r="CA98" i="20"/>
  <c r="BV167" i="20"/>
  <c r="CJ121" i="20"/>
  <c r="BX204" i="20"/>
  <c r="BX79" i="20"/>
  <c r="BX138" i="20"/>
  <c r="BV125" i="20"/>
  <c r="BI125" i="20" s="1"/>
  <c r="AF123" i="25" s="1"/>
  <c r="CC198" i="20"/>
  <c r="CL75" i="20"/>
  <c r="BX55" i="20"/>
  <c r="BZ75" i="20"/>
  <c r="CC132" i="20"/>
  <c r="BX151" i="20"/>
  <c r="BW69" i="20"/>
  <c r="BW115" i="20"/>
  <c r="BX227" i="20"/>
  <c r="BW79" i="20"/>
  <c r="CJ63" i="20"/>
  <c r="CL203" i="20"/>
  <c r="CB203" i="20"/>
  <c r="BX117" i="20"/>
  <c r="BX60" i="20"/>
  <c r="BV118" i="20"/>
  <c r="BI118" i="20" s="1"/>
  <c r="BV57" i="20"/>
  <c r="BX180" i="20"/>
  <c r="CD75" i="20"/>
  <c r="BX58" i="20"/>
  <c r="BW230" i="20"/>
  <c r="BW138" i="20"/>
  <c r="CL121" i="20"/>
  <c r="CA86" i="20"/>
  <c r="CK51" i="20"/>
  <c r="BX118" i="20"/>
  <c r="BX206" i="20"/>
  <c r="BZ109" i="20"/>
  <c r="BX57" i="20"/>
  <c r="BW196" i="20"/>
  <c r="CB63" i="20"/>
  <c r="BV117" i="20"/>
  <c r="BI117" i="20" s="1"/>
  <c r="CH63" i="20"/>
  <c r="BX134" i="20"/>
  <c r="BW66" i="20"/>
  <c r="CI109" i="20"/>
  <c r="BV160" i="20"/>
  <c r="CC121" i="20"/>
  <c r="BW176" i="20"/>
  <c r="CL51" i="20"/>
  <c r="BV61" i="20"/>
  <c r="BI61" i="20" s="1"/>
  <c r="AF59" i="25" s="1"/>
  <c r="CJ86" i="20"/>
  <c r="CI220" i="20"/>
  <c r="BZ98" i="20"/>
  <c r="CA132" i="20"/>
  <c r="CA109" i="20"/>
  <c r="CB109" i="20"/>
  <c r="BZ121" i="20"/>
  <c r="BV55" i="20"/>
  <c r="BI55" i="20" s="1"/>
  <c r="CC98" i="20"/>
  <c r="CC63" i="20"/>
  <c r="BW78" i="20"/>
  <c r="BV227" i="20"/>
  <c r="BI227" i="20" s="1"/>
  <c r="BW151" i="20"/>
  <c r="BV78" i="20"/>
  <c r="BI78" i="20" s="1"/>
  <c r="AF76" i="25" s="1"/>
  <c r="CD98" i="20"/>
  <c r="BX78" i="20"/>
  <c r="BZ144" i="20"/>
  <c r="BX122" i="20"/>
  <c r="BV110" i="20"/>
  <c r="CI121" i="20"/>
  <c r="CI63" i="20"/>
  <c r="BV130" i="20"/>
  <c r="BI130" i="20" s="1"/>
  <c r="BK130" i="20" s="1"/>
  <c r="BX152" i="20"/>
  <c r="BV116" i="20"/>
  <c r="BI116" i="20" s="1"/>
  <c r="AF114" i="25" s="1"/>
  <c r="BV136" i="20"/>
  <c r="BV99" i="20"/>
  <c r="BX156" i="20"/>
  <c r="BW111" i="20"/>
  <c r="BW145" i="20"/>
  <c r="CH86" i="20"/>
  <c r="BW99" i="20"/>
  <c r="BW135" i="20"/>
  <c r="BV106" i="20"/>
  <c r="CA51" i="20"/>
  <c r="BW96" i="20"/>
  <c r="BX145" i="20"/>
  <c r="CK226" i="20"/>
  <c r="CK98" i="20"/>
  <c r="BW156" i="20"/>
  <c r="BX71" i="20"/>
  <c r="BW227" i="20"/>
  <c r="BW122" i="20"/>
  <c r="BW179" i="20"/>
  <c r="BW128" i="20"/>
  <c r="BV140" i="20"/>
  <c r="BI140" i="20" s="1"/>
  <c r="BW101" i="20"/>
  <c r="BW76" i="20"/>
  <c r="BW107" i="20"/>
  <c r="CE121" i="20"/>
  <c r="BX221" i="20"/>
  <c r="BV221" i="20"/>
  <c r="BV77" i="20"/>
  <c r="BI77" i="20" s="1"/>
  <c r="BV88" i="20"/>
  <c r="BZ132" i="20"/>
  <c r="BV133" i="20"/>
  <c r="CK220" i="20"/>
  <c r="CA121" i="20"/>
  <c r="CD63" i="20"/>
  <c r="CC208" i="20"/>
  <c r="BW134" i="20"/>
  <c r="BZ220" i="20"/>
  <c r="BX133" i="20"/>
  <c r="BW180" i="20"/>
  <c r="BV107" i="20"/>
  <c r="BW201" i="20"/>
  <c r="BV176" i="20"/>
  <c r="BV199" i="20"/>
  <c r="BI199" i="20" s="1"/>
  <c r="BV152" i="20"/>
  <c r="BV115" i="20"/>
  <c r="BI115" i="20" s="1"/>
  <c r="CL98" i="20"/>
  <c r="BW167" i="20"/>
  <c r="CI198" i="20"/>
  <c r="CK121" i="20"/>
  <c r="CE98" i="20"/>
  <c r="CI98" i="20"/>
  <c r="BW130" i="20"/>
  <c r="CK132" i="20"/>
  <c r="CK109" i="20"/>
  <c r="CD51" i="20"/>
  <c r="CJ203" i="20"/>
  <c r="BX184" i="20"/>
  <c r="CK75" i="20"/>
  <c r="CE132" i="20"/>
  <c r="CK208" i="20"/>
  <c r="CF220" i="20"/>
  <c r="BW199" i="20"/>
  <c r="CK63" i="20"/>
  <c r="CF121" i="20"/>
  <c r="BW183" i="20"/>
  <c r="CE75" i="20"/>
  <c r="CB86" i="20"/>
  <c r="BV104" i="20"/>
  <c r="BI104" i="20" s="1"/>
  <c r="BQ104" i="20" s="1"/>
  <c r="CB51" i="20"/>
  <c r="CK86" i="20"/>
  <c r="AT203" i="20"/>
  <c r="FD203" i="20"/>
  <c r="EZ144" i="20"/>
  <c r="DH125" i="20"/>
  <c r="DP203" i="20"/>
  <c r="DN203" i="20"/>
  <c r="DH204" i="20"/>
  <c r="DR203" i="20"/>
  <c r="DH84" i="20"/>
  <c r="DH58" i="20"/>
  <c r="DG206" i="20"/>
  <c r="DF106" i="20"/>
  <c r="CS106" i="20" s="1"/>
  <c r="AW104" i="25" s="1"/>
  <c r="DH53" i="20"/>
  <c r="DV144" i="20"/>
  <c r="DH209" i="20"/>
  <c r="DH105" i="20"/>
  <c r="DP198" i="20"/>
  <c r="DH103" i="20"/>
  <c r="DF53" i="20"/>
  <c r="CS53" i="20" s="1"/>
  <c r="AW51" i="25" s="1"/>
  <c r="DL203" i="20"/>
  <c r="DH93" i="20"/>
  <c r="DF107" i="20"/>
  <c r="CS107" i="20" s="1"/>
  <c r="DA107" i="20" s="1"/>
  <c r="BE105" i="25" s="1"/>
  <c r="DT198" i="20"/>
  <c r="DH64" i="20"/>
  <c r="DH133" i="20"/>
  <c r="DF201" i="20"/>
  <c r="CS201" i="20" s="1"/>
  <c r="AW199" i="25" s="1"/>
  <c r="DH222" i="20"/>
  <c r="AR67" i="20"/>
  <c r="AM67" i="20" s="1"/>
  <c r="AL146" i="20"/>
  <c r="Y146" i="20" s="1"/>
  <c r="AA146" i="20" s="1"/>
  <c r="AR146" i="20"/>
  <c r="AM146" i="20" s="1"/>
  <c r="AL228" i="20"/>
  <c r="Y228" i="20" s="1"/>
  <c r="O226" i="25" s="1"/>
  <c r="AX80" i="20"/>
  <c r="AN80" i="20" s="1"/>
  <c r="AX123" i="20"/>
  <c r="AN123" i="20" s="1"/>
  <c r="AX140" i="20"/>
  <c r="AN140" i="20" s="1"/>
  <c r="AL55" i="20"/>
  <c r="Y55" i="20" s="1"/>
  <c r="AR222" i="20"/>
  <c r="AM222" i="20" s="1"/>
  <c r="AT144" i="20"/>
  <c r="DF67" i="20"/>
  <c r="CS67" i="20" s="1"/>
  <c r="DH129" i="20"/>
  <c r="DH148" i="20"/>
  <c r="DF72" i="20"/>
  <c r="CS72" i="20" s="1"/>
  <c r="DS144" i="20"/>
  <c r="DG87" i="20"/>
  <c r="DG70" i="20"/>
  <c r="DU203" i="20"/>
  <c r="DH89" i="20"/>
  <c r="DH104" i="20"/>
  <c r="DO198" i="20"/>
  <c r="DH67" i="20"/>
  <c r="DH56" i="20"/>
  <c r="DH101" i="20"/>
  <c r="DH114" i="20"/>
  <c r="DH112" i="20"/>
  <c r="DG228" i="20"/>
  <c r="DH69" i="20"/>
  <c r="DH60" i="20"/>
  <c r="DH68" i="20"/>
  <c r="DH201" i="20"/>
  <c r="DU198" i="20"/>
  <c r="DH65" i="20"/>
  <c r="DF111" i="20"/>
  <c r="CS111" i="20" s="1"/>
  <c r="DU98" i="20"/>
  <c r="DS86" i="20"/>
  <c r="DH91" i="20"/>
  <c r="DH81" i="20"/>
  <c r="DH94" i="20"/>
  <c r="DR198" i="20"/>
  <c r="DT226" i="20"/>
  <c r="DG57" i="20"/>
  <c r="DH90" i="20"/>
  <c r="DU226" i="20"/>
  <c r="DG60" i="20"/>
  <c r="DH77" i="20"/>
  <c r="DH130" i="20"/>
  <c r="DF229" i="20"/>
  <c r="CS229" i="20" s="1"/>
  <c r="AW227" i="25" s="1"/>
  <c r="DH79" i="20"/>
  <c r="DV198" i="20"/>
  <c r="DH221" i="20"/>
  <c r="DM203" i="20"/>
  <c r="DU144" i="20"/>
  <c r="DF116" i="20"/>
  <c r="CS116" i="20" s="1"/>
  <c r="AW114" i="25" s="1"/>
  <c r="DM220" i="20"/>
  <c r="DF88" i="20"/>
  <c r="CS88" i="20" s="1"/>
  <c r="DH57" i="20"/>
  <c r="DG201" i="20"/>
  <c r="DH106" i="20"/>
  <c r="DG210" i="20"/>
  <c r="DF60" i="20"/>
  <c r="CS60" i="20" s="1"/>
  <c r="CU60" i="20" s="1"/>
  <c r="DT220" i="20"/>
  <c r="DF222" i="20"/>
  <c r="CS222" i="20" s="1"/>
  <c r="AW220" i="25" s="1"/>
  <c r="DF87" i="20"/>
  <c r="DH95" i="20"/>
  <c r="DF129" i="20"/>
  <c r="CS129" i="20" s="1"/>
  <c r="DA129" i="20" s="1"/>
  <c r="BE127" i="25" s="1"/>
  <c r="DF90" i="20"/>
  <c r="CS90" i="20" s="1"/>
  <c r="DG124" i="20"/>
  <c r="DG112" i="20"/>
  <c r="DF112" i="20"/>
  <c r="CS112" i="20" s="1"/>
  <c r="AW110" i="25" s="1"/>
  <c r="DH54" i="20"/>
  <c r="DP75" i="20"/>
  <c r="DH70" i="20"/>
  <c r="DG106" i="20"/>
  <c r="DF57" i="20"/>
  <c r="CS57" i="20" s="1"/>
  <c r="AW55" i="25" s="1"/>
  <c r="DF213" i="20"/>
  <c r="CS213" i="20" s="1"/>
  <c r="AW211" i="25" s="1"/>
  <c r="DH111" i="20"/>
  <c r="DS75" i="20"/>
  <c r="DH100" i="20"/>
  <c r="DG205" i="20"/>
  <c r="DS98" i="20"/>
  <c r="DG58" i="20"/>
  <c r="DU75" i="20"/>
  <c r="DR144" i="20"/>
  <c r="DS121" i="20"/>
  <c r="DG118" i="20"/>
  <c r="DN121" i="20"/>
  <c r="DG218" i="20"/>
  <c r="DF218" i="20"/>
  <c r="CS218" i="20" s="1"/>
  <c r="AW216" i="25" s="1"/>
  <c r="DH147" i="20"/>
  <c r="DH140" i="20"/>
  <c r="DH218" i="20"/>
  <c r="DF70" i="20"/>
  <c r="CS70" i="20" s="1"/>
  <c r="CU70" i="20" s="1"/>
  <c r="CV70" i="20" s="1"/>
  <c r="DH76" i="20"/>
  <c r="DO132" i="20"/>
  <c r="DF205" i="20"/>
  <c r="CS205" i="20" s="1"/>
  <c r="CU205" i="20" s="1"/>
  <c r="DH229" i="20"/>
  <c r="DF217" i="20"/>
  <c r="CS217" i="20" s="1"/>
  <c r="AW215" i="25" s="1"/>
  <c r="DP98" i="20"/>
  <c r="DR75" i="20"/>
  <c r="DP144" i="20"/>
  <c r="DU121" i="20"/>
  <c r="DF227" i="20"/>
  <c r="CS227" i="20" s="1"/>
  <c r="DT144" i="20"/>
  <c r="DG222" i="20"/>
  <c r="DH117" i="20"/>
  <c r="DN98" i="20"/>
  <c r="DO203" i="20"/>
  <c r="DH205" i="20"/>
  <c r="DH87" i="20"/>
  <c r="DP86" i="20"/>
  <c r="DF113" i="20"/>
  <c r="DT132" i="20"/>
  <c r="DV203" i="20"/>
  <c r="DN226" i="20"/>
  <c r="DN109" i="20"/>
  <c r="DG142" i="20"/>
  <c r="DV98" i="20"/>
  <c r="DG217" i="20"/>
  <c r="DS63" i="20"/>
  <c r="DO63" i="20"/>
  <c r="DH110" i="20"/>
  <c r="DH55" i="20"/>
  <c r="DT109" i="20"/>
  <c r="DH102" i="20"/>
  <c r="DG128" i="20"/>
  <c r="CT128" i="20" s="1"/>
  <c r="AX126" i="25" s="1"/>
  <c r="DV75" i="20"/>
  <c r="DV132" i="20"/>
  <c r="DV226" i="20"/>
  <c r="DF93" i="20"/>
  <c r="CS93" i="20" s="1"/>
  <c r="AW91" i="25" s="1"/>
  <c r="DT86" i="20"/>
  <c r="DT121" i="20"/>
  <c r="DF80" i="20"/>
  <c r="CS80" i="20" s="1"/>
  <c r="DS109" i="20"/>
  <c r="DU132" i="20"/>
  <c r="DF140" i="20"/>
  <c r="DO226" i="20"/>
  <c r="DR109" i="20"/>
  <c r="DH200" i="20"/>
  <c r="DV121" i="20"/>
  <c r="DG93" i="20"/>
  <c r="DH217" i="20"/>
  <c r="DN86" i="20"/>
  <c r="DT51" i="20"/>
  <c r="DV51" i="20"/>
  <c r="DH142" i="20"/>
  <c r="DV86" i="20"/>
  <c r="DS51" i="20"/>
  <c r="DH115" i="20"/>
  <c r="DH118" i="20"/>
  <c r="DH72" i="20"/>
  <c r="DS198" i="20"/>
  <c r="DO86" i="20"/>
  <c r="DS226" i="20"/>
  <c r="DT75" i="20"/>
  <c r="DG127" i="20"/>
  <c r="DO121" i="20"/>
  <c r="DO144" i="20"/>
  <c r="DO75" i="20"/>
  <c r="DR86" i="20"/>
  <c r="DH123" i="20"/>
  <c r="DL121" i="20"/>
  <c r="DH230" i="20"/>
  <c r="DU109" i="20"/>
  <c r="DK75" i="20"/>
  <c r="DR121" i="20"/>
  <c r="DH141" i="20"/>
  <c r="DU63" i="20"/>
  <c r="DF66" i="20"/>
  <c r="DO109" i="20"/>
  <c r="DG133" i="20"/>
  <c r="DF56" i="20"/>
  <c r="DF102" i="20"/>
  <c r="CS102" i="20" s="1"/>
  <c r="CU102" i="20" s="1"/>
  <c r="DP226" i="20"/>
  <c r="DS203" i="20"/>
  <c r="DG56" i="20"/>
  <c r="DT63" i="20"/>
  <c r="DN144" i="20"/>
  <c r="DH126" i="20"/>
  <c r="DM144" i="20"/>
  <c r="DN51" i="20"/>
  <c r="DN132" i="20"/>
  <c r="DP121" i="20"/>
  <c r="DL226" i="20"/>
  <c r="DG101" i="20"/>
  <c r="DP132" i="20"/>
  <c r="DO51" i="20"/>
  <c r="DP109" i="20"/>
  <c r="DF52" i="20"/>
  <c r="CS52" i="20" s="1"/>
  <c r="DF115" i="20"/>
  <c r="DG107" i="20"/>
  <c r="DG81" i="20"/>
  <c r="DO98" i="20"/>
  <c r="DT203" i="20"/>
  <c r="DF92" i="20"/>
  <c r="CS92" i="20" s="1"/>
  <c r="AW90" i="25" s="1"/>
  <c r="DM109" i="20"/>
  <c r="DU86" i="20"/>
  <c r="DJ51" i="20"/>
  <c r="DH223" i="20"/>
  <c r="DP63" i="20"/>
  <c r="DK63" i="20"/>
  <c r="DS208" i="20"/>
  <c r="DF127" i="20"/>
  <c r="DG134" i="20"/>
  <c r="DM86" i="20"/>
  <c r="DG200" i="20"/>
  <c r="DM98" i="20"/>
  <c r="DJ121" i="20"/>
  <c r="DF130" i="20"/>
  <c r="CS130" i="20" s="1"/>
  <c r="AW128" i="25" s="1"/>
  <c r="DF89" i="20"/>
  <c r="CS89" i="20" s="1"/>
  <c r="DF206" i="20"/>
  <c r="CS206" i="20" s="1"/>
  <c r="AW204" i="25" s="1"/>
  <c r="DF211" i="20"/>
  <c r="CS211" i="20" s="1"/>
  <c r="DF209" i="20"/>
  <c r="DJ98" i="20"/>
  <c r="DN75" i="20"/>
  <c r="DF133" i="20"/>
  <c r="CS133" i="20" s="1"/>
  <c r="DV208" i="20"/>
  <c r="DM226" i="20"/>
  <c r="DH80" i="20"/>
  <c r="DP220" i="20"/>
  <c r="DG105" i="20"/>
  <c r="DV220" i="20"/>
  <c r="DF118" i="20"/>
  <c r="CS118" i="20" s="1"/>
  <c r="DA118" i="20" s="1"/>
  <c r="BE116" i="25" s="1"/>
  <c r="DF117" i="20"/>
  <c r="DM121" i="20"/>
  <c r="DU51" i="20"/>
  <c r="DK109" i="20"/>
  <c r="DJ144" i="20"/>
  <c r="DH212" i="20"/>
  <c r="DF212" i="20"/>
  <c r="CS212" i="20" s="1"/>
  <c r="DO208" i="20"/>
  <c r="DF105" i="20"/>
  <c r="DV109" i="20"/>
  <c r="DS132" i="20"/>
  <c r="DF95" i="20"/>
  <c r="DF81" i="20"/>
  <c r="CS81" i="20" s="1"/>
  <c r="DH107" i="20"/>
  <c r="DG138" i="20"/>
  <c r="DG148" i="20"/>
  <c r="DG64" i="20"/>
  <c r="DG54" i="20"/>
  <c r="DM75" i="20"/>
  <c r="DG136" i="20"/>
  <c r="DH59" i="20"/>
  <c r="DG59" i="20"/>
  <c r="DJ198" i="20"/>
  <c r="DH199" i="20"/>
  <c r="DJ226" i="20"/>
  <c r="DG227" i="20"/>
  <c r="DH83" i="20"/>
  <c r="DG83" i="20"/>
  <c r="DF145" i="20"/>
  <c r="DK144" i="20"/>
  <c r="DH127" i="20"/>
  <c r="DG99" i="20"/>
  <c r="DL98" i="20"/>
  <c r="DH146" i="20"/>
  <c r="DF101" i="20"/>
  <c r="DH228" i="20"/>
  <c r="DF104" i="20"/>
  <c r="CS104" i="20" s="1"/>
  <c r="DF103" i="20"/>
  <c r="CS103" i="20" s="1"/>
  <c r="DG130" i="20"/>
  <c r="DG89" i="20"/>
  <c r="DG115" i="20"/>
  <c r="DG94" i="20"/>
  <c r="DG212" i="20"/>
  <c r="DG110" i="20"/>
  <c r="DG231" i="20"/>
  <c r="DH231" i="20"/>
  <c r="DG113" i="20"/>
  <c r="DH113" i="20"/>
  <c r="DF59" i="20"/>
  <c r="DT98" i="20"/>
  <c r="DF141" i="20"/>
  <c r="CS141" i="20" s="1"/>
  <c r="DF78" i="20"/>
  <c r="DG80" i="20"/>
  <c r="DG116" i="20"/>
  <c r="DH210" i="20"/>
  <c r="DP208" i="20"/>
  <c r="DF136" i="20"/>
  <c r="CS136" i="20" s="1"/>
  <c r="DH136" i="20"/>
  <c r="DF122" i="20"/>
  <c r="CS122" i="20" s="1"/>
  <c r="DF125" i="20"/>
  <c r="CS125" i="20" s="1"/>
  <c r="CU125" i="20" s="1"/>
  <c r="DG69" i="20"/>
  <c r="DF71" i="20"/>
  <c r="DF55" i="20"/>
  <c r="DG77" i="20"/>
  <c r="DG90" i="20"/>
  <c r="DG67" i="20"/>
  <c r="DG126" i="20"/>
  <c r="DG135" i="20"/>
  <c r="DH99" i="20"/>
  <c r="DR98" i="20"/>
  <c r="DH145" i="20"/>
  <c r="DJ208" i="20"/>
  <c r="DP51" i="20"/>
  <c r="DF79" i="20"/>
  <c r="CS79" i="20" s="1"/>
  <c r="AW77" i="25" s="1"/>
  <c r="DK226" i="20"/>
  <c r="DF210" i="20"/>
  <c r="CS210" i="20" s="1"/>
  <c r="DF123" i="20"/>
  <c r="DF148" i="20"/>
  <c r="DF58" i="20"/>
  <c r="CS58" i="20" s="1"/>
  <c r="DM198" i="20"/>
  <c r="DG140" i="20"/>
  <c r="DG123" i="20"/>
  <c r="DG122" i="20"/>
  <c r="DG92" i="20"/>
  <c r="DG199" i="20"/>
  <c r="DL198" i="20"/>
  <c r="DF84" i="20"/>
  <c r="DH122" i="20"/>
  <c r="DK4" i="20"/>
  <c r="DU220" i="20"/>
  <c r="DJ63" i="20"/>
  <c r="DL51" i="20"/>
  <c r="DG84" i="20"/>
  <c r="DF99" i="20"/>
  <c r="DF68" i="20"/>
  <c r="DH82" i="20"/>
  <c r="DG82" i="20"/>
  <c r="DF82" i="20"/>
  <c r="CS82" i="20" s="1"/>
  <c r="DF77" i="20"/>
  <c r="DG221" i="20"/>
  <c r="DH128" i="20"/>
  <c r="CZ128" i="20" s="1"/>
  <c r="BD126" i="25" s="1"/>
  <c r="DF94" i="20"/>
  <c r="DG129" i="20"/>
  <c r="DN220" i="20"/>
  <c r="DF231" i="20"/>
  <c r="DF110" i="20"/>
  <c r="CS110" i="20" s="1"/>
  <c r="DF228" i="20"/>
  <c r="CS228" i="20" s="1"/>
  <c r="AW226" i="25" s="1"/>
  <c r="DG68" i="20"/>
  <c r="DF230" i="20"/>
  <c r="DF135" i="20"/>
  <c r="DF138" i="20"/>
  <c r="CS138" i="20" s="1"/>
  <c r="DG100" i="20"/>
  <c r="DG53" i="20"/>
  <c r="DG211" i="20"/>
  <c r="DM132" i="20"/>
  <c r="DG141" i="20"/>
  <c r="DG78" i="20"/>
  <c r="DM208" i="20"/>
  <c r="DF124" i="20"/>
  <c r="DH88" i="20"/>
  <c r="DG88" i="20"/>
  <c r="DF200" i="20"/>
  <c r="DH213" i="20"/>
  <c r="DG213" i="20"/>
  <c r="DG79" i="20"/>
  <c r="DK121" i="20"/>
  <c r="DU208" i="20"/>
  <c r="DJ75" i="20"/>
  <c r="DF147" i="20"/>
  <c r="DF126" i="20"/>
  <c r="CS126" i="20" s="1"/>
  <c r="DG204" i="20"/>
  <c r="DF137" i="20"/>
  <c r="DG230" i="20"/>
  <c r="DG55" i="20"/>
  <c r="DG117" i="20"/>
  <c r="DG103" i="20"/>
  <c r="DG76" i="20"/>
  <c r="DL75" i="20"/>
  <c r="DG125" i="20"/>
  <c r="DG114" i="20"/>
  <c r="DL132" i="20"/>
  <c r="DV4" i="20"/>
  <c r="DM63" i="20"/>
  <c r="DO220" i="20"/>
  <c r="DL144" i="20"/>
  <c r="DJ203" i="20"/>
  <c r="DF76" i="20"/>
  <c r="CS76" i="20" s="1"/>
  <c r="DF69" i="20"/>
  <c r="DF65" i="20"/>
  <c r="CS65" i="20" s="1"/>
  <c r="AW63" i="25" s="1"/>
  <c r="DH124" i="20"/>
  <c r="DG52" i="20"/>
  <c r="DH52" i="20"/>
  <c r="DF54" i="20"/>
  <c r="DH206" i="20"/>
  <c r="DF199" i="20"/>
  <c r="CS199" i="20" s="1"/>
  <c r="AW197" i="25" s="1"/>
  <c r="DK198" i="20"/>
  <c r="DG209" i="20"/>
  <c r="DG111" i="20"/>
  <c r="DJ220" i="20"/>
  <c r="DF100" i="20"/>
  <c r="DH227" i="20"/>
  <c r="DF139" i="20"/>
  <c r="DF146" i="20"/>
  <c r="CS146" i="20" s="1"/>
  <c r="AW144" i="25" s="1"/>
  <c r="DF134" i="20"/>
  <c r="DF91" i="20"/>
  <c r="DF64" i="20"/>
  <c r="CS64" i="20" s="1"/>
  <c r="DF114" i="20"/>
  <c r="DF221" i="20"/>
  <c r="DG65" i="20"/>
  <c r="DK98" i="20"/>
  <c r="DG66" i="20"/>
  <c r="DG145" i="20"/>
  <c r="DG95" i="20"/>
  <c r="DG102" i="20"/>
  <c r="DG104" i="20"/>
  <c r="DG229" i="20"/>
  <c r="DM51" i="20"/>
  <c r="DJ132" i="20"/>
  <c r="DH139" i="20"/>
  <c r="DG139" i="20"/>
  <c r="DH137" i="20"/>
  <c r="DG137" i="20"/>
  <c r="DH92" i="20"/>
  <c r="DF83" i="20"/>
  <c r="CS83" i="20" s="1"/>
  <c r="DK203" i="20"/>
  <c r="DF204" i="20"/>
  <c r="DR226" i="20"/>
  <c r="DG147" i="20"/>
  <c r="DG71" i="20"/>
  <c r="DG91" i="20"/>
  <c r="DS220" i="20"/>
  <c r="DG96" i="20"/>
  <c r="DL86" i="20"/>
  <c r="DR208" i="20"/>
  <c r="DH214" i="20"/>
  <c r="DG224" i="20"/>
  <c r="DF224" i="20"/>
  <c r="DF215" i="20"/>
  <c r="DH61" i="20"/>
  <c r="DH73" i="20"/>
  <c r="DM4" i="20"/>
  <c r="DR51" i="20"/>
  <c r="DG215" i="20"/>
  <c r="DT208" i="20"/>
  <c r="DH215" i="20"/>
  <c r="DH96" i="20"/>
  <c r="DJ86" i="20"/>
  <c r="DN63" i="20"/>
  <c r="DN4" i="20"/>
  <c r="DG216" i="20"/>
  <c r="DR4" i="20"/>
  <c r="DF142" i="20"/>
  <c r="DK132" i="20"/>
  <c r="DF223" i="20"/>
  <c r="DK220" i="20"/>
  <c r="DL220" i="20"/>
  <c r="DG223" i="20"/>
  <c r="DL63" i="20"/>
  <c r="DG73" i="20"/>
  <c r="DF61" i="20"/>
  <c r="DK51" i="20"/>
  <c r="DS4" i="20"/>
  <c r="DF73" i="20"/>
  <c r="DH224" i="20"/>
  <c r="DR132" i="20"/>
  <c r="DK208" i="20"/>
  <c r="DF214" i="20"/>
  <c r="DL208" i="20"/>
  <c r="DG214" i="20"/>
  <c r="DP4" i="20"/>
  <c r="DO4" i="20"/>
  <c r="DV63" i="20"/>
  <c r="DJ109" i="20"/>
  <c r="DF119" i="20"/>
  <c r="DH119" i="20"/>
  <c r="DL4" i="20"/>
  <c r="DF216" i="20"/>
  <c r="CS216" i="20" s="1"/>
  <c r="CU216" i="20" s="1"/>
  <c r="DN208" i="20"/>
  <c r="DG119" i="20"/>
  <c r="DL109" i="20"/>
  <c r="DR63" i="20"/>
  <c r="DH216" i="20"/>
  <c r="DG61" i="20"/>
  <c r="DT4" i="20"/>
  <c r="DJ4" i="20"/>
  <c r="DU4" i="20"/>
  <c r="DK86" i="20"/>
  <c r="DF96" i="20"/>
  <c r="DR220" i="20"/>
  <c r="F212" i="20"/>
  <c r="BH215" i="20"/>
  <c r="AE213" i="25" s="1"/>
  <c r="AC161" i="20"/>
  <c r="BG179" i="20"/>
  <c r="AD177" i="25" s="1"/>
  <c r="F177" i="25" s="1"/>
  <c r="F215" i="20"/>
  <c r="AU218" i="25"/>
  <c r="BH216" i="20"/>
  <c r="AE214" i="25" s="1"/>
  <c r="AC165" i="20"/>
  <c r="S163" i="25" s="1"/>
  <c r="AC192" i="20"/>
  <c r="AD192" i="20" s="1"/>
  <c r="T190" i="25" s="1"/>
  <c r="O23" i="20"/>
  <c r="AD163" i="20"/>
  <c r="T161" i="25" s="1"/>
  <c r="BM149" i="20"/>
  <c r="BN149" i="20" s="1"/>
  <c r="AK147" i="25" s="1"/>
  <c r="F211" i="20"/>
  <c r="ED218" i="20"/>
  <c r="BO216" i="25" s="1"/>
  <c r="AF9" i="20"/>
  <c r="R161" i="25"/>
  <c r="W5" i="20"/>
  <c r="E24" i="22" s="1"/>
  <c r="E25" i="22" s="1"/>
  <c r="BQ234" i="25"/>
  <c r="BQ233" i="25" s="1"/>
  <c r="BH157" i="20"/>
  <c r="AE155" i="25" s="1"/>
  <c r="EA130" i="20"/>
  <c r="BL128" i="25" s="1"/>
  <c r="EA127" i="20"/>
  <c r="BL125" i="25" s="1"/>
  <c r="AD193" i="25"/>
  <c r="F193" i="25" s="1"/>
  <c r="F204" i="20"/>
  <c r="AD198" i="25"/>
  <c r="F198" i="25" s="1"/>
  <c r="AU213" i="25"/>
  <c r="F213" i="25" s="1"/>
  <c r="AU196" i="25"/>
  <c r="CV236" i="20"/>
  <c r="F199" i="20"/>
  <c r="R164" i="25"/>
  <c r="BM157" i="20"/>
  <c r="AJ155" i="25" s="1"/>
  <c r="F147" i="20"/>
  <c r="AV233" i="25"/>
  <c r="AM207" i="25"/>
  <c r="AU229" i="25"/>
  <c r="AU224" i="25" s="1"/>
  <c r="AC177" i="20"/>
  <c r="S175" i="25" s="1"/>
  <c r="I236" i="20"/>
  <c r="CT235" i="20"/>
  <c r="CT233" i="20" s="1"/>
  <c r="AU145" i="25"/>
  <c r="F145" i="25" s="1"/>
  <c r="BG164" i="20"/>
  <c r="F164" i="20" s="1"/>
  <c r="M201" i="25"/>
  <c r="F60" i="20"/>
  <c r="Z9" i="20"/>
  <c r="M196" i="25"/>
  <c r="F58" i="25"/>
  <c r="BH211" i="20"/>
  <c r="AE209" i="25" s="1"/>
  <c r="EB17" i="20"/>
  <c r="BM15" i="25" s="1"/>
  <c r="AD193" i="20"/>
  <c r="T191" i="25" s="1"/>
  <c r="BL218" i="20"/>
  <c r="AI216" i="25" s="1"/>
  <c r="AU233" i="25"/>
  <c r="AM151" i="25"/>
  <c r="BH153" i="20"/>
  <c r="AE151" i="25" s="1"/>
  <c r="M146" i="25"/>
  <c r="F146" i="25" s="1"/>
  <c r="O17" i="20"/>
  <c r="M84" i="25"/>
  <c r="BG167" i="20"/>
  <c r="AD166" i="25"/>
  <c r="F166" i="25" s="1"/>
  <c r="F168" i="20"/>
  <c r="AU215" i="25"/>
  <c r="BR217" i="20"/>
  <c r="AO215" i="25" s="1"/>
  <c r="AD119" i="25"/>
  <c r="X39" i="20"/>
  <c r="N37" i="25" s="1"/>
  <c r="BL206" i="25"/>
  <c r="BG192" i="20"/>
  <c r="AD190" i="25" s="1"/>
  <c r="F190" i="25" s="1"/>
  <c r="AO146" i="25"/>
  <c r="BS148" i="20"/>
  <c r="AP146" i="25" s="1"/>
  <c r="BM165" i="20"/>
  <c r="AJ163" i="25" s="1"/>
  <c r="BG5" i="20"/>
  <c r="F24" i="22" s="1"/>
  <c r="F25" i="22" s="1"/>
  <c r="AD218" i="25"/>
  <c r="EB30" i="20"/>
  <c r="BM28" i="25" s="1"/>
  <c r="BN185" i="20"/>
  <c r="AK183" i="25" s="1"/>
  <c r="AJ183" i="25"/>
  <c r="F146" i="20"/>
  <c r="AM179" i="25"/>
  <c r="AM216" i="25"/>
  <c r="EM97" i="20"/>
  <c r="EN97" i="20" s="1"/>
  <c r="F201" i="20"/>
  <c r="EC9" i="20"/>
  <c r="BH23" i="20"/>
  <c r="AE21" i="25" s="1"/>
  <c r="G240" i="20"/>
  <c r="H240" i="20" s="1"/>
  <c r="CQ5" i="20"/>
  <c r="G24" i="22" s="1"/>
  <c r="G25" i="22" s="1"/>
  <c r="BL212" i="20"/>
  <c r="AI210" i="25" s="1"/>
  <c r="AD73" i="25"/>
  <c r="AD187" i="20"/>
  <c r="T185" i="25" s="1"/>
  <c r="AD166" i="20"/>
  <c r="T164" i="25" s="1"/>
  <c r="BG160" i="20"/>
  <c r="AD158" i="25" s="1"/>
  <c r="F158" i="25" s="1"/>
  <c r="F70" i="20"/>
  <c r="AC183" i="20"/>
  <c r="R148" i="25"/>
  <c r="AC150" i="20"/>
  <c r="AD181" i="20"/>
  <c r="T179" i="25" s="1"/>
  <c r="BG183" i="20"/>
  <c r="BG184" i="20"/>
  <c r="R166" i="25"/>
  <c r="AC168" i="20"/>
  <c r="BG151" i="20"/>
  <c r="BG152" i="20"/>
  <c r="F57" i="20"/>
  <c r="AD55" i="25"/>
  <c r="F55" i="25" s="1"/>
  <c r="M73" i="25"/>
  <c r="BG176" i="20"/>
  <c r="BG175" i="20"/>
  <c r="BG187" i="20"/>
  <c r="BG188" i="20"/>
  <c r="AC157" i="20"/>
  <c r="AD170" i="20"/>
  <c r="T168" i="25" s="1"/>
  <c r="AM208" i="25"/>
  <c r="AD174" i="20"/>
  <c r="T172" i="25" s="1"/>
  <c r="AU143" i="25"/>
  <c r="F143" i="25" s="1"/>
  <c r="AC160" i="20"/>
  <c r="AD160" i="20" s="1"/>
  <c r="BG155" i="20"/>
  <c r="BG156" i="20"/>
  <c r="F128" i="20"/>
  <c r="F21" i="25"/>
  <c r="AU52" i="25"/>
  <c r="F163" i="20"/>
  <c r="BN21" i="25"/>
  <c r="EB23" i="20"/>
  <c r="BM21" i="25" s="1"/>
  <c r="AD167" i="20"/>
  <c r="T165" i="25" s="1"/>
  <c r="AC172" i="20"/>
  <c r="S170" i="25" s="1"/>
  <c r="R152" i="25"/>
  <c r="AC154" i="20"/>
  <c r="R184" i="25"/>
  <c r="AC186" i="20"/>
  <c r="S184" i="25" s="1"/>
  <c r="EZ208" i="20"/>
  <c r="FC132" i="20"/>
  <c r="EY226" i="20"/>
  <c r="AX115" i="20"/>
  <c r="AN115" i="20" s="1"/>
  <c r="AX82" i="20"/>
  <c r="AN82" i="20" s="1"/>
  <c r="AL53" i="20"/>
  <c r="Y53" i="20" s="1"/>
  <c r="BB220" i="20"/>
  <c r="AX81" i="20"/>
  <c r="AN81" i="20" s="1"/>
  <c r="AX228" i="20"/>
  <c r="AN228" i="20" s="1"/>
  <c r="CR23" i="20"/>
  <c r="AV21" i="25" s="1"/>
  <c r="AW21" i="25"/>
  <c r="AM163" i="25"/>
  <c r="BH165" i="20"/>
  <c r="AE163" i="25" s="1"/>
  <c r="AU56" i="25"/>
  <c r="F136" i="20"/>
  <c r="M134" i="25"/>
  <c r="O9" i="25"/>
  <c r="H9" i="25" s="1"/>
  <c r="Y9" i="20"/>
  <c r="X11" i="20"/>
  <c r="AM144" i="25"/>
  <c r="BH146" i="20"/>
  <c r="AE144" i="25" s="1"/>
  <c r="AU138" i="25"/>
  <c r="F135" i="20"/>
  <c r="M133" i="25"/>
  <c r="F133" i="25" s="1"/>
  <c r="O21" i="25"/>
  <c r="X23" i="20"/>
  <c r="AM147" i="25"/>
  <c r="BH149" i="20"/>
  <c r="AE147" i="25" s="1"/>
  <c r="M65" i="25"/>
  <c r="F67" i="20"/>
  <c r="AD84" i="25"/>
  <c r="AU124" i="25"/>
  <c r="BD21" i="25"/>
  <c r="CZ9" i="20"/>
  <c r="S162" i="25"/>
  <c r="AD164" i="20"/>
  <c r="T162" i="25" s="1"/>
  <c r="BH213" i="20"/>
  <c r="AE211" i="25" s="1"/>
  <c r="AM211" i="25"/>
  <c r="AO147" i="25"/>
  <c r="BT149" i="20"/>
  <c r="AQ147" i="25" s="1"/>
  <c r="AU134" i="25"/>
  <c r="AD71" i="25"/>
  <c r="F73" i="20"/>
  <c r="F104" i="20"/>
  <c r="BR212" i="20"/>
  <c r="AO210" i="25" s="1"/>
  <c r="M64" i="25"/>
  <c r="F66" i="20"/>
  <c r="BN148" i="20"/>
  <c r="AK146" i="25" s="1"/>
  <c r="BL215" i="20"/>
  <c r="AI213" i="25" s="1"/>
  <c r="CT9" i="20"/>
  <c r="BO15" i="25"/>
  <c r="I17" i="20"/>
  <c r="ED9" i="20"/>
  <c r="AU123" i="25"/>
  <c r="AD169" i="25"/>
  <c r="F169" i="25" s="1"/>
  <c r="F171" i="20"/>
  <c r="EJ211" i="20"/>
  <c r="AU117" i="25"/>
  <c r="AU71" i="25"/>
  <c r="EB235" i="20"/>
  <c r="EB233" i="20" s="1"/>
  <c r="M50" i="25"/>
  <c r="F52" i="20"/>
  <c r="AU128" i="25"/>
  <c r="M122" i="25"/>
  <c r="F122" i="25" s="1"/>
  <c r="F124" i="20"/>
  <c r="AU62" i="25"/>
  <c r="F197" i="25"/>
  <c r="AD195" i="20"/>
  <c r="T193" i="25" s="1"/>
  <c r="AD68" i="25"/>
  <c r="F68" i="25" s="1"/>
  <c r="ED223" i="20"/>
  <c r="BO221" i="25" s="1"/>
  <c r="AI167" i="25"/>
  <c r="M57" i="25"/>
  <c r="F57" i="25" s="1"/>
  <c r="F59" i="20"/>
  <c r="O236" i="20"/>
  <c r="V234" i="25"/>
  <c r="AF235" i="20"/>
  <c r="V233" i="25" s="1"/>
  <c r="AU120" i="25"/>
  <c r="AU109" i="25"/>
  <c r="AU64" i="25"/>
  <c r="F199" i="25"/>
  <c r="AD157" i="25"/>
  <c r="F157" i="25" s="1"/>
  <c r="F159" i="20"/>
  <c r="AC184" i="20"/>
  <c r="AU51" i="25"/>
  <c r="M128" i="25"/>
  <c r="AU115" i="25"/>
  <c r="O15" i="25"/>
  <c r="X17" i="20"/>
  <c r="N15" i="25" s="1"/>
  <c r="F234" i="25"/>
  <c r="AD233" i="25"/>
  <c r="F141" i="20"/>
  <c r="AI151" i="25"/>
  <c r="BM153" i="20"/>
  <c r="M52" i="25"/>
  <c r="F54" i="20"/>
  <c r="AU110" i="25"/>
  <c r="M137" i="25"/>
  <c r="F137" i="25" s="1"/>
  <c r="F139" i="20"/>
  <c r="AU65" i="25"/>
  <c r="AU102" i="25"/>
  <c r="AU132" i="25"/>
  <c r="AG234" i="25"/>
  <c r="AG233" i="25" s="1"/>
  <c r="I233" i="25" s="1"/>
  <c r="BL236" i="20"/>
  <c r="K236" i="20" s="1"/>
  <c r="BJ235" i="20"/>
  <c r="BJ233" i="20" s="1"/>
  <c r="AO144" i="25"/>
  <c r="BT146" i="20"/>
  <c r="AQ144" i="25" s="1"/>
  <c r="M54" i="25"/>
  <c r="F54" i="25" s="1"/>
  <c r="F56" i="20"/>
  <c r="AD155" i="20"/>
  <c r="T153" i="25" s="1"/>
  <c r="EJ212" i="20"/>
  <c r="BU210" i="25" s="1"/>
  <c r="AU100" i="25"/>
  <c r="AU59" i="25"/>
  <c r="AU139" i="25"/>
  <c r="R183" i="25"/>
  <c r="AD185" i="20"/>
  <c r="T183" i="25" s="1"/>
  <c r="AU125" i="25"/>
  <c r="I23" i="20"/>
  <c r="AW15" i="25"/>
  <c r="CS9" i="20"/>
  <c r="CR17" i="20"/>
  <c r="AV15" i="25" s="1"/>
  <c r="M63" i="25"/>
  <c r="F65" i="20"/>
  <c r="ED211" i="20"/>
  <c r="BO209" i="25" s="1"/>
  <c r="AU126" i="25"/>
  <c r="F126" i="25" s="1"/>
  <c r="CS128" i="20"/>
  <c r="AU135" i="25"/>
  <c r="AM171" i="25"/>
  <c r="AU131" i="25"/>
  <c r="AU50" i="25"/>
  <c r="O28" i="25"/>
  <c r="H28" i="25" s="1"/>
  <c r="X30" i="20"/>
  <c r="CS233" i="20"/>
  <c r="CR235" i="20"/>
  <c r="CR233" i="20" s="1"/>
  <c r="F134" i="20"/>
  <c r="M132" i="25"/>
  <c r="AD62" i="25"/>
  <c r="F64" i="20"/>
  <c r="AL230" i="20"/>
  <c r="Y230" i="20" s="1"/>
  <c r="O228" i="25" s="1"/>
  <c r="AV198" i="20"/>
  <c r="BB198" i="20"/>
  <c r="AT51" i="20"/>
  <c r="AR83" i="20"/>
  <c r="AM83" i="20" s="1"/>
  <c r="AT226" i="20"/>
  <c r="AR124" i="20"/>
  <c r="AM124" i="20" s="1"/>
  <c r="AX102" i="20"/>
  <c r="AN102" i="20" s="1"/>
  <c r="AT220" i="20"/>
  <c r="AU75" i="20"/>
  <c r="AP220" i="20"/>
  <c r="AR126" i="20"/>
  <c r="AM126" i="20" s="1"/>
  <c r="AV121" i="20"/>
  <c r="AV208" i="20"/>
  <c r="AL100" i="20"/>
  <c r="Y100" i="20" s="1"/>
  <c r="AP51" i="20"/>
  <c r="AT208" i="20"/>
  <c r="AL105" i="20"/>
  <c r="Y105" i="20" s="1"/>
  <c r="BA203" i="20"/>
  <c r="AX54" i="20"/>
  <c r="AN54" i="20" s="1"/>
  <c r="AZ75" i="20"/>
  <c r="BA98" i="20"/>
  <c r="AT198" i="20"/>
  <c r="AP121" i="20"/>
  <c r="AX142" i="20"/>
  <c r="AN142" i="20" s="1"/>
  <c r="AX139" i="20"/>
  <c r="AN139" i="20" s="1"/>
  <c r="AX104" i="20"/>
  <c r="AN104" i="20" s="1"/>
  <c r="AX84" i="20"/>
  <c r="AN84" i="20" s="1"/>
  <c r="AX91" i="20"/>
  <c r="AN91" i="20" s="1"/>
  <c r="AU203" i="20"/>
  <c r="AR205" i="20"/>
  <c r="AM205" i="20" s="1"/>
  <c r="AX130" i="20"/>
  <c r="AN130" i="20" s="1"/>
  <c r="AR70" i="20"/>
  <c r="AM70" i="20" s="1"/>
  <c r="AX96" i="20"/>
  <c r="AN96" i="20" s="1"/>
  <c r="AR78" i="20"/>
  <c r="AM78" i="20" s="1"/>
  <c r="BB51" i="20"/>
  <c r="AX112" i="20"/>
  <c r="AN112" i="20" s="1"/>
  <c r="AX88" i="20"/>
  <c r="AN88" i="20" s="1"/>
  <c r="AU226" i="20"/>
  <c r="AX93" i="20"/>
  <c r="AN93" i="20" s="1"/>
  <c r="AX66" i="20"/>
  <c r="AN66" i="20" s="1"/>
  <c r="AR228" i="20"/>
  <c r="AM228" i="20" s="1"/>
  <c r="AR201" i="20"/>
  <c r="AM201" i="20" s="1"/>
  <c r="BB86" i="20"/>
  <c r="AX57" i="20"/>
  <c r="AN57" i="20" s="1"/>
  <c r="AP144" i="20"/>
  <c r="AU132" i="20"/>
  <c r="AL204" i="20"/>
  <c r="AQ203" i="20"/>
  <c r="AL227" i="20"/>
  <c r="Y227" i="20" s="1"/>
  <c r="AQ226" i="20"/>
  <c r="BA132" i="20"/>
  <c r="AU220" i="20"/>
  <c r="AL210" i="20"/>
  <c r="AX52" i="20"/>
  <c r="AY51" i="20"/>
  <c r="AR212" i="20"/>
  <c r="AM212" i="20" s="1"/>
  <c r="AL140" i="20"/>
  <c r="AX105" i="20"/>
  <c r="AN105" i="20" s="1"/>
  <c r="AR147" i="20"/>
  <c r="AM147" i="20" s="1"/>
  <c r="AL92" i="20"/>
  <c r="AX137" i="20"/>
  <c r="AN137" i="20" s="1"/>
  <c r="AL66" i="20"/>
  <c r="AL104" i="20"/>
  <c r="AL139" i="20"/>
  <c r="AL116" i="20"/>
  <c r="Y116" i="20" s="1"/>
  <c r="AR221" i="20"/>
  <c r="AM221" i="20" s="1"/>
  <c r="AS220" i="20"/>
  <c r="AU208" i="20"/>
  <c r="AR79" i="20"/>
  <c r="AM79" i="20" s="1"/>
  <c r="AR89" i="20"/>
  <c r="AM89" i="20" s="1"/>
  <c r="AX59" i="20"/>
  <c r="AN59" i="20" s="1"/>
  <c r="AU121" i="20"/>
  <c r="AR103" i="20"/>
  <c r="AM103" i="20" s="1"/>
  <c r="AL145" i="20"/>
  <c r="AQ144" i="20"/>
  <c r="AR59" i="20"/>
  <c r="AM59" i="20" s="1"/>
  <c r="AP198" i="20"/>
  <c r="AL148" i="20"/>
  <c r="AL126" i="20"/>
  <c r="AS208" i="20"/>
  <c r="AR209" i="20"/>
  <c r="AR65" i="20"/>
  <c r="AM65" i="20" s="1"/>
  <c r="BA51" i="20"/>
  <c r="AZ86" i="20"/>
  <c r="AY98" i="20"/>
  <c r="AX99" i="20"/>
  <c r="AX231" i="20"/>
  <c r="AN231" i="20" s="1"/>
  <c r="AX77" i="20"/>
  <c r="AN77" i="20" s="1"/>
  <c r="AR66" i="20"/>
  <c r="AM66" i="20" s="1"/>
  <c r="AR58" i="20"/>
  <c r="AM58" i="20" s="1"/>
  <c r="AS98" i="20"/>
  <c r="AR99" i="20"/>
  <c r="AM99" i="20" s="1"/>
  <c r="AY75" i="20"/>
  <c r="AX76" i="20"/>
  <c r="AR95" i="20"/>
  <c r="AM95" i="20" s="1"/>
  <c r="AX128" i="20"/>
  <c r="AN128" i="20" s="1"/>
  <c r="AL112" i="20"/>
  <c r="AR76" i="20"/>
  <c r="AM76" i="20" s="1"/>
  <c r="AS75" i="20"/>
  <c r="AX65" i="20"/>
  <c r="AN65" i="20" s="1"/>
  <c r="AX95" i="20"/>
  <c r="AN95" i="20" s="1"/>
  <c r="AU63" i="20"/>
  <c r="AX53" i="20"/>
  <c r="AN53" i="20" s="1"/>
  <c r="AR213" i="20"/>
  <c r="AM213" i="20" s="1"/>
  <c r="AL136" i="20"/>
  <c r="AX224" i="20"/>
  <c r="AN224" i="20" s="1"/>
  <c r="AR80" i="20"/>
  <c r="AM80" i="20" s="1"/>
  <c r="AY63" i="20"/>
  <c r="AX64" i="20"/>
  <c r="AL91" i="20"/>
  <c r="AR127" i="20"/>
  <c r="AM127" i="20" s="1"/>
  <c r="AR119" i="20"/>
  <c r="AM119" i="20" s="1"/>
  <c r="AX78" i="20"/>
  <c r="AN78" i="20" s="1"/>
  <c r="AV132" i="20"/>
  <c r="AL205" i="20"/>
  <c r="AU51" i="20"/>
  <c r="AR93" i="20"/>
  <c r="AM93" i="20" s="1"/>
  <c r="AS121" i="20"/>
  <c r="AR122" i="20"/>
  <c r="AM122" i="20" s="1"/>
  <c r="AX135" i="20"/>
  <c r="AN135" i="20" s="1"/>
  <c r="AQ75" i="20"/>
  <c r="AL76" i="20"/>
  <c r="AL67" i="20"/>
  <c r="AR77" i="20"/>
  <c r="AM77" i="20" s="1"/>
  <c r="AP75" i="20"/>
  <c r="AL77" i="20"/>
  <c r="AL216" i="20"/>
  <c r="Y216" i="20" s="1"/>
  <c r="O214" i="25" s="1"/>
  <c r="BB208" i="20"/>
  <c r="AL95" i="20"/>
  <c r="AT132" i="20"/>
  <c r="AL82" i="20"/>
  <c r="AX124" i="20"/>
  <c r="AN124" i="20" s="1"/>
  <c r="AL89" i="20"/>
  <c r="AS86" i="20"/>
  <c r="AR87" i="20"/>
  <c r="AM87" i="20" s="1"/>
  <c r="AX92" i="20"/>
  <c r="AN92" i="20" s="1"/>
  <c r="AR53" i="20"/>
  <c r="AM53" i="20" s="1"/>
  <c r="AR111" i="20"/>
  <c r="AM111" i="20" s="1"/>
  <c r="AX214" i="20"/>
  <c r="AN214" i="20" s="1"/>
  <c r="AR92" i="20"/>
  <c r="AM92" i="20" s="1"/>
  <c r="AX210" i="20"/>
  <c r="AN210" i="20" s="1"/>
  <c r="AX217" i="20"/>
  <c r="AN217" i="20" s="1"/>
  <c r="AX90" i="20"/>
  <c r="AN90" i="20" s="1"/>
  <c r="AR199" i="20"/>
  <c r="AM199" i="20" s="1"/>
  <c r="AL83" i="20"/>
  <c r="AX60" i="20"/>
  <c r="AN60" i="20" s="1"/>
  <c r="AL138" i="20"/>
  <c r="AX68" i="20"/>
  <c r="AN68" i="20" s="1"/>
  <c r="AX211" i="20"/>
  <c r="AN211" i="20" s="1"/>
  <c r="AX136" i="20"/>
  <c r="AN136" i="20" s="1"/>
  <c r="AX229" i="20"/>
  <c r="AN229" i="20" s="1"/>
  <c r="AX127" i="20"/>
  <c r="AN127" i="20" s="1"/>
  <c r="AR216" i="20"/>
  <c r="AM216" i="20" s="1"/>
  <c r="AP86" i="20"/>
  <c r="AV86" i="20"/>
  <c r="AQ63" i="20"/>
  <c r="AL64" i="20"/>
  <c r="AR141" i="20"/>
  <c r="AM141" i="20" s="1"/>
  <c r="AX72" i="20"/>
  <c r="AN72" i="20" s="1"/>
  <c r="AX201" i="20"/>
  <c r="AN201" i="20" s="1"/>
  <c r="AX218" i="20"/>
  <c r="AN218" i="20" s="1"/>
  <c r="AX101" i="20"/>
  <c r="AN101" i="20" s="1"/>
  <c r="AX138" i="20"/>
  <c r="AN138" i="20" s="1"/>
  <c r="AP109" i="20"/>
  <c r="AR224" i="20"/>
  <c r="AM224" i="20" s="1"/>
  <c r="AL93" i="20"/>
  <c r="AL223" i="20"/>
  <c r="BB203" i="20"/>
  <c r="AL218" i="20"/>
  <c r="Y218" i="20" s="1"/>
  <c r="O216" i="25" s="1"/>
  <c r="AT75" i="20"/>
  <c r="AL56" i="20"/>
  <c r="AL201" i="20"/>
  <c r="AR137" i="20"/>
  <c r="AM137" i="20" s="1"/>
  <c r="AL128" i="20"/>
  <c r="AR115" i="20"/>
  <c r="AM115" i="20" s="1"/>
  <c r="AZ220" i="20"/>
  <c r="AL87" i="20"/>
  <c r="AQ86" i="20"/>
  <c r="AR107" i="20"/>
  <c r="AM107" i="20" s="1"/>
  <c r="AL141" i="20"/>
  <c r="AR72" i="20"/>
  <c r="AM72" i="20" s="1"/>
  <c r="AL229" i="20"/>
  <c r="AS226" i="20"/>
  <c r="AR227" i="20"/>
  <c r="AM227" i="20" s="1"/>
  <c r="AL125" i="20"/>
  <c r="AL69" i="20"/>
  <c r="AL54" i="20"/>
  <c r="AL221" i="20"/>
  <c r="Y221" i="20" s="1"/>
  <c r="AG221" i="20" s="1"/>
  <c r="AQ220" i="20"/>
  <c r="AL213" i="20"/>
  <c r="AL71" i="20"/>
  <c r="AR54" i="20"/>
  <c r="AM54" i="20" s="1"/>
  <c r="BA208" i="20"/>
  <c r="AZ98" i="20"/>
  <c r="BB132" i="20"/>
  <c r="AT121" i="20"/>
  <c r="BB144" i="20"/>
  <c r="AV144" i="20"/>
  <c r="AY226" i="20"/>
  <c r="AX227" i="20"/>
  <c r="AT98" i="20"/>
  <c r="AL73" i="20"/>
  <c r="AR64" i="20"/>
  <c r="AM64" i="20" s="1"/>
  <c r="AS63" i="20"/>
  <c r="AX216" i="20"/>
  <c r="AN216" i="20" s="1"/>
  <c r="AX126" i="20"/>
  <c r="AN126" i="20" s="1"/>
  <c r="AL142" i="20"/>
  <c r="AZ203" i="20"/>
  <c r="AU144" i="20"/>
  <c r="AX205" i="20"/>
  <c r="AN205" i="20" s="1"/>
  <c r="AR96" i="20"/>
  <c r="AM96" i="20" s="1"/>
  <c r="AR217" i="20"/>
  <c r="AM217" i="20" s="1"/>
  <c r="AV220" i="20"/>
  <c r="AL81" i="20"/>
  <c r="AL70" i="20"/>
  <c r="AR105" i="20"/>
  <c r="AM105" i="20" s="1"/>
  <c r="BB226" i="20"/>
  <c r="AL212" i="20"/>
  <c r="AL122" i="20"/>
  <c r="AQ121" i="20"/>
  <c r="BA109" i="20"/>
  <c r="AR210" i="20"/>
  <c r="AM210" i="20" s="1"/>
  <c r="AX67" i="20"/>
  <c r="AN67" i="20" s="1"/>
  <c r="AX125" i="20"/>
  <c r="AN125" i="20" s="1"/>
  <c r="AL88" i="20"/>
  <c r="AR218" i="20"/>
  <c r="AM218" i="20" s="1"/>
  <c r="AL123" i="20"/>
  <c r="BA226" i="20"/>
  <c r="AL68" i="20"/>
  <c r="AV109" i="20"/>
  <c r="AR211" i="20"/>
  <c r="AM211" i="20" s="1"/>
  <c r="BA198" i="20"/>
  <c r="AR68" i="20"/>
  <c r="AM68" i="20" s="1"/>
  <c r="AL80" i="20"/>
  <c r="AP226" i="20"/>
  <c r="AL119" i="20"/>
  <c r="BA220" i="20"/>
  <c r="AR138" i="20"/>
  <c r="AM138" i="20" s="1"/>
  <c r="AR112" i="20"/>
  <c r="AM112" i="20" s="1"/>
  <c r="AL224" i="20"/>
  <c r="AL129" i="20"/>
  <c r="AR134" i="20"/>
  <c r="AM134" i="20" s="1"/>
  <c r="AX129" i="20"/>
  <c r="AN129" i="20" s="1"/>
  <c r="AR223" i="20"/>
  <c r="AM223" i="20" s="1"/>
  <c r="AL59" i="20"/>
  <c r="AX118" i="20"/>
  <c r="AN118" i="20" s="1"/>
  <c r="AZ144" i="20"/>
  <c r="AX145" i="20"/>
  <c r="AY144" i="20"/>
  <c r="AP208" i="20"/>
  <c r="AL106" i="20"/>
  <c r="AR125" i="20"/>
  <c r="AM125" i="20" s="1"/>
  <c r="AR90" i="20"/>
  <c r="AM90" i="20" s="1"/>
  <c r="AR106" i="20"/>
  <c r="AM106" i="20" s="1"/>
  <c r="AZ121" i="20"/>
  <c r="AX83" i="20"/>
  <c r="AN83" i="20" s="1"/>
  <c r="AP203" i="20"/>
  <c r="AP63" i="20"/>
  <c r="AX107" i="20"/>
  <c r="AN107" i="20" s="1"/>
  <c r="AL147" i="20"/>
  <c r="AX146" i="20"/>
  <c r="AN146" i="20" s="1"/>
  <c r="AR104" i="20"/>
  <c r="AM104" i="20" s="1"/>
  <c r="AZ208" i="20"/>
  <c r="AX119" i="20"/>
  <c r="AN119" i="20" s="1"/>
  <c r="AR129" i="20"/>
  <c r="AM129" i="20" s="1"/>
  <c r="AX116" i="20"/>
  <c r="AN116" i="20" s="1"/>
  <c r="AX69" i="20"/>
  <c r="AN69" i="20" s="1"/>
  <c r="AR214" i="20"/>
  <c r="AM214" i="20" s="1"/>
  <c r="AL78" i="20"/>
  <c r="AL84" i="20"/>
  <c r="AX213" i="20"/>
  <c r="AN213" i="20" s="1"/>
  <c r="AV75" i="20"/>
  <c r="AX103" i="20"/>
  <c r="AN103" i="20" s="1"/>
  <c r="AR82" i="20"/>
  <c r="AM82" i="20" s="1"/>
  <c r="AL137" i="20"/>
  <c r="AX148" i="20"/>
  <c r="AN148" i="20" s="1"/>
  <c r="AQ51" i="20"/>
  <c r="AL52" i="20"/>
  <c r="AS132" i="20"/>
  <c r="AR133" i="20"/>
  <c r="AM133" i="20" s="1"/>
  <c r="AL124" i="20"/>
  <c r="AR229" i="20"/>
  <c r="AM229" i="20" s="1"/>
  <c r="AR206" i="20"/>
  <c r="AM206" i="20" s="1"/>
  <c r="AT86" i="20"/>
  <c r="AL65" i="20"/>
  <c r="AR136" i="20"/>
  <c r="AM136" i="20" s="1"/>
  <c r="AL217" i="20"/>
  <c r="AR116" i="20"/>
  <c r="AM116" i="20" s="1"/>
  <c r="AR142" i="20"/>
  <c r="AM142" i="20" s="1"/>
  <c r="AZ109" i="20"/>
  <c r="AR118" i="20"/>
  <c r="AM118" i="20" s="1"/>
  <c r="AR123" i="20"/>
  <c r="AM123" i="20" s="1"/>
  <c r="AX222" i="20"/>
  <c r="AN222" i="20" s="1"/>
  <c r="AR230" i="20"/>
  <c r="AM230" i="20" s="1"/>
  <c r="AR139" i="20"/>
  <c r="AM139" i="20" s="1"/>
  <c r="AX100" i="20"/>
  <c r="AN100" i="20" s="1"/>
  <c r="AX147" i="20"/>
  <c r="AN147" i="20" s="1"/>
  <c r="AR140" i="20"/>
  <c r="AM140" i="20" s="1"/>
  <c r="AL103" i="20"/>
  <c r="Y103" i="20" s="1"/>
  <c r="AR73" i="20"/>
  <c r="AM73" i="20" s="1"/>
  <c r="AY121" i="20"/>
  <c r="AX122" i="20"/>
  <c r="AL214" i="20"/>
  <c r="AR110" i="20"/>
  <c r="AM110" i="20" s="1"/>
  <c r="AS109" i="20"/>
  <c r="AU198" i="20"/>
  <c r="AU98" i="20"/>
  <c r="AL206" i="20"/>
  <c r="AL57" i="20"/>
  <c r="AZ132" i="20"/>
  <c r="AL200" i="20"/>
  <c r="AL134" i="20"/>
  <c r="AX61" i="20"/>
  <c r="AN61" i="20" s="1"/>
  <c r="BA144" i="20"/>
  <c r="AX133" i="20"/>
  <c r="AY132" i="20"/>
  <c r="AR60" i="20"/>
  <c r="AM60" i="20" s="1"/>
  <c r="AL215" i="20"/>
  <c r="AR102" i="20"/>
  <c r="AM102" i="20" s="1"/>
  <c r="AL79" i="20"/>
  <c r="BA75" i="20"/>
  <c r="AP98" i="20"/>
  <c r="AR117" i="20"/>
  <c r="AM117" i="20" s="1"/>
  <c r="BB98" i="20"/>
  <c r="AX117" i="20"/>
  <c r="AN117" i="20" s="1"/>
  <c r="AL127" i="20"/>
  <c r="AX200" i="20"/>
  <c r="AN200" i="20" s="1"/>
  <c r="AQ198" i="20"/>
  <c r="AL199" i="20"/>
  <c r="AL118" i="20"/>
  <c r="AS198" i="20"/>
  <c r="AR135" i="20"/>
  <c r="AM135" i="20" s="1"/>
  <c r="AR130" i="20"/>
  <c r="AM130" i="20" s="1"/>
  <c r="AL94" i="20"/>
  <c r="Y94" i="20" s="1"/>
  <c r="AA94" i="20" s="1"/>
  <c r="AV98" i="20"/>
  <c r="AL231" i="20"/>
  <c r="Y231" i="20" s="1"/>
  <c r="AG231" i="20" s="1"/>
  <c r="W229" i="25" s="1"/>
  <c r="AL107" i="20"/>
  <c r="Y107" i="20" s="1"/>
  <c r="AR101" i="20"/>
  <c r="AM101" i="20" s="1"/>
  <c r="AY86" i="20"/>
  <c r="AX87" i="20"/>
  <c r="AZ51" i="20"/>
  <c r="AZ63" i="20"/>
  <c r="AR113" i="20"/>
  <c r="AM113" i="20" s="1"/>
  <c r="AV226" i="20"/>
  <c r="AR215" i="20"/>
  <c r="AM215" i="20" s="1"/>
  <c r="AR69" i="20"/>
  <c r="AM69" i="20" s="1"/>
  <c r="AX110" i="20"/>
  <c r="AY109" i="20"/>
  <c r="AX106" i="20"/>
  <c r="AN106" i="20" s="1"/>
  <c r="AL114" i="20"/>
  <c r="AL113" i="20"/>
  <c r="AL96" i="20"/>
  <c r="AR114" i="20"/>
  <c r="AM114" i="20" s="1"/>
  <c r="AR200" i="20"/>
  <c r="AM200" i="20" s="1"/>
  <c r="AL60" i="20"/>
  <c r="AR71" i="20"/>
  <c r="AM71" i="20" s="1"/>
  <c r="AX113" i="20"/>
  <c r="AN113" i="20" s="1"/>
  <c r="BA86" i="20"/>
  <c r="AR231" i="20"/>
  <c r="AM231" i="20" s="1"/>
  <c r="AR57" i="20"/>
  <c r="AM57" i="20" s="1"/>
  <c r="AR100" i="20"/>
  <c r="AM100" i="20" s="1"/>
  <c r="AR88" i="20"/>
  <c r="AM88" i="20" s="1"/>
  <c r="AS51" i="20"/>
  <c r="AR52" i="20"/>
  <c r="AM52" i="20" s="1"/>
  <c r="AL115" i="20"/>
  <c r="AT63" i="20"/>
  <c r="AR128" i="20"/>
  <c r="AM128" i="20" s="1"/>
  <c r="BB109" i="20"/>
  <c r="AR204" i="20"/>
  <c r="AM204" i="20" s="1"/>
  <c r="AS203" i="20"/>
  <c r="AQ208" i="20"/>
  <c r="AL209" i="20"/>
  <c r="AU109" i="20"/>
  <c r="AT109" i="20"/>
  <c r="AU86" i="20"/>
  <c r="AX111" i="20"/>
  <c r="AN111" i="20" s="1"/>
  <c r="AS144" i="20"/>
  <c r="AR145" i="20"/>
  <c r="AM145" i="20" s="1"/>
  <c r="BA121" i="20"/>
  <c r="AL130" i="20"/>
  <c r="BB75" i="20"/>
  <c r="AR94" i="20"/>
  <c r="AM94" i="20" s="1"/>
  <c r="AZ198" i="20"/>
  <c r="AR55" i="20"/>
  <c r="AM55" i="20" s="1"/>
  <c r="AY198" i="20"/>
  <c r="AX199" i="20"/>
  <c r="AL222" i="20"/>
  <c r="AX79" i="20"/>
  <c r="AN79" i="20" s="1"/>
  <c r="AL102" i="20"/>
  <c r="AQ132" i="20"/>
  <c r="AL133" i="20"/>
  <c r="BB63" i="20"/>
  <c r="AL110" i="20"/>
  <c r="AQ109" i="20"/>
  <c r="AR56" i="20"/>
  <c r="AM56" i="20" s="1"/>
  <c r="AL111" i="20"/>
  <c r="AX209" i="20"/>
  <c r="AY208" i="20"/>
  <c r="AL90" i="20"/>
  <c r="AX134" i="20"/>
  <c r="AN134" i="20" s="1"/>
  <c r="AX206" i="20"/>
  <c r="AN206" i="20" s="1"/>
  <c r="AZ226" i="20"/>
  <c r="AX70" i="20"/>
  <c r="AN70" i="20" s="1"/>
  <c r="AX230" i="20"/>
  <c r="AN230" i="20" s="1"/>
  <c r="AR81" i="20"/>
  <c r="AM81" i="20" s="1"/>
  <c r="AX212" i="20"/>
  <c r="AN212" i="20" s="1"/>
  <c r="AX55" i="20"/>
  <c r="AN55" i="20" s="1"/>
  <c r="AP132" i="20"/>
  <c r="AX221" i="20"/>
  <c r="AY220" i="20"/>
  <c r="AX94" i="20"/>
  <c r="AN94" i="20" s="1"/>
  <c r="AX223" i="20"/>
  <c r="AN223" i="20" s="1"/>
  <c r="AY203" i="20"/>
  <c r="AX204" i="20"/>
  <c r="AL72" i="20"/>
  <c r="AX71" i="20"/>
  <c r="AN71" i="20" s="1"/>
  <c r="AV51" i="20"/>
  <c r="BB121" i="20"/>
  <c r="AL117" i="20"/>
  <c r="Y117" i="20" s="1"/>
  <c r="AX89" i="20"/>
  <c r="AN89" i="20" s="1"/>
  <c r="AL135" i="20"/>
  <c r="AX56" i="20"/>
  <c r="AN56" i="20" s="1"/>
  <c r="AX73" i="20"/>
  <c r="AN73" i="20" s="1"/>
  <c r="AX58" i="20"/>
  <c r="AN58" i="20" s="1"/>
  <c r="AR148" i="20"/>
  <c r="AM148" i="20" s="1"/>
  <c r="AX114" i="20"/>
  <c r="AN114" i="20" s="1"/>
  <c r="AV63" i="20"/>
  <c r="AL101" i="20"/>
  <c r="AX215" i="20"/>
  <c r="AN215" i="20" s="1"/>
  <c r="BA63" i="20"/>
  <c r="AR84" i="20"/>
  <c r="AM84" i="20" s="1"/>
  <c r="AX141" i="20"/>
  <c r="AN141" i="20" s="1"/>
  <c r="AQ98" i="20"/>
  <c r="AL99" i="20"/>
  <c r="AR91" i="20"/>
  <c r="AM91" i="20" s="1"/>
  <c r="CJ109" i="20"/>
  <c r="CJ132" i="20"/>
  <c r="CJ226" i="20"/>
  <c r="CJ98" i="20"/>
  <c r="CH75" i="20"/>
  <c r="BX196" i="20"/>
  <c r="CJ75" i="20"/>
  <c r="CF132" i="20"/>
  <c r="CH132" i="20"/>
  <c r="CE198" i="20"/>
  <c r="BQ211" i="20"/>
  <c r="BR211" i="20" s="1"/>
  <c r="AO209" i="25" s="1"/>
  <c r="BX172" i="20"/>
  <c r="BX142" i="20"/>
  <c r="BW52" i="20"/>
  <c r="BW116" i="20"/>
  <c r="CB98" i="20"/>
  <c r="BX191" i="20"/>
  <c r="BV196" i="20"/>
  <c r="BX187" i="20"/>
  <c r="CD109" i="20"/>
  <c r="BW195" i="20"/>
  <c r="BW119" i="20"/>
  <c r="BV151" i="20"/>
  <c r="CI75" i="20"/>
  <c r="BX160" i="20"/>
  <c r="BQ209" i="20"/>
  <c r="CI208" i="20"/>
  <c r="BX199" i="20"/>
  <c r="CH198" i="20"/>
  <c r="CK203" i="20"/>
  <c r="CJ220" i="20"/>
  <c r="BV119" i="20"/>
  <c r="BI119" i="20" s="1"/>
  <c r="BQ210" i="20"/>
  <c r="BR210" i="20" s="1"/>
  <c r="AO208" i="25" s="1"/>
  <c r="CL132" i="20"/>
  <c r="CB220" i="20"/>
  <c r="CJ51" i="20"/>
  <c r="CL226" i="20"/>
  <c r="BX119" i="20"/>
  <c r="CL109" i="20"/>
  <c r="BL216" i="20"/>
  <c r="AI214" i="25" s="1"/>
  <c r="BW206" i="20"/>
  <c r="CF86" i="20"/>
  <c r="BX105" i="20"/>
  <c r="BV105" i="20"/>
  <c r="BI105" i="20" s="1"/>
  <c r="CJ208" i="20"/>
  <c r="BV172" i="20"/>
  <c r="BV223" i="20"/>
  <c r="BI223" i="20" s="1"/>
  <c r="BK223" i="20" s="1"/>
  <c r="BW105" i="20"/>
  <c r="BZ203" i="20"/>
  <c r="BW204" i="20"/>
  <c r="CB121" i="20"/>
  <c r="BL209" i="20"/>
  <c r="AI207" i="25" s="1"/>
  <c r="CF208" i="20"/>
  <c r="BW73" i="20"/>
  <c r="CF198" i="20"/>
  <c r="CF98" i="20"/>
  <c r="BW187" i="20"/>
  <c r="BX195" i="20"/>
  <c r="CF63" i="20"/>
  <c r="CH121" i="20"/>
  <c r="CI226" i="20"/>
  <c r="BX116" i="20"/>
  <c r="BW60" i="20"/>
  <c r="CD132" i="20"/>
  <c r="CL63" i="20"/>
  <c r="CI132" i="20"/>
  <c r="CF51" i="20"/>
  <c r="CI86" i="20"/>
  <c r="BQ214" i="20"/>
  <c r="BR214" i="20" s="1"/>
  <c r="AO212" i="25" s="1"/>
  <c r="BX183" i="20"/>
  <c r="BX129" i="20"/>
  <c r="CI203" i="20"/>
  <c r="BW184" i="20"/>
  <c r="CL220" i="20"/>
  <c r="BR218" i="20"/>
  <c r="AO216" i="25" s="1"/>
  <c r="CH51" i="20"/>
  <c r="CA203" i="20"/>
  <c r="CA75" i="20"/>
  <c r="BV206" i="20"/>
  <c r="BI206" i="20" s="1"/>
  <c r="BX52" i="20"/>
  <c r="BX167" i="20"/>
  <c r="BX61" i="20"/>
  <c r="EP82" i="20"/>
  <c r="EC82" i="20" s="1"/>
  <c r="EE82" i="20" s="1"/>
  <c r="EQ148" i="20"/>
  <c r="EJ218" i="20"/>
  <c r="BU216" i="25" s="1"/>
  <c r="FF226" i="20"/>
  <c r="EY132" i="20"/>
  <c r="FD109" i="20"/>
  <c r="ED212" i="20"/>
  <c r="BO210" i="25" s="1"/>
  <c r="FC198" i="20"/>
  <c r="EZ220" i="20"/>
  <c r="EQ215" i="20"/>
  <c r="ET198" i="20"/>
  <c r="EP229" i="20"/>
  <c r="EC229" i="20" s="1"/>
  <c r="EQ229" i="20"/>
  <c r="FE203" i="20"/>
  <c r="FC75" i="20"/>
  <c r="FC121" i="20" s="1"/>
  <c r="FD132" i="20"/>
  <c r="EV86" i="20"/>
  <c r="EU86" i="20"/>
  <c r="FE98" i="20"/>
  <c r="EP104" i="20"/>
  <c r="FF86" i="20"/>
  <c r="EQ222" i="20"/>
  <c r="EQ230" i="20"/>
  <c r="EY144" i="20"/>
  <c r="EQ104" i="20"/>
  <c r="EQ217" i="20"/>
  <c r="EX51" i="20"/>
  <c r="EW98" i="20"/>
  <c r="ER102" i="20"/>
  <c r="ER224" i="20"/>
  <c r="ER100" i="20"/>
  <c r="FC144" i="20"/>
  <c r="FB109" i="20"/>
  <c r="EY51" i="20"/>
  <c r="EQ201" i="20"/>
  <c r="FE86" i="20"/>
  <c r="EP105" i="20"/>
  <c r="FE208" i="20"/>
  <c r="ET226" i="20"/>
  <c r="ET203" i="20"/>
  <c r="EX144" i="20"/>
  <c r="FD198" i="20"/>
  <c r="EX203" i="20"/>
  <c r="EX198" i="20"/>
  <c r="EZ203" i="20"/>
  <c r="EZ226" i="20"/>
  <c r="EW198" i="20"/>
  <c r="FB51" i="20"/>
  <c r="FE144" i="20"/>
  <c r="EQ105" i="20"/>
  <c r="EQ147" i="20"/>
  <c r="FE51" i="20"/>
  <c r="EV132" i="20"/>
  <c r="FC63" i="20"/>
  <c r="EY98" i="20"/>
  <c r="FB86" i="20"/>
  <c r="EW203" i="20"/>
  <c r="EX86" i="20"/>
  <c r="FC98" i="20"/>
  <c r="EQ224" i="20"/>
  <c r="EX98" i="20"/>
  <c r="EY208" i="20"/>
  <c r="EW86" i="20"/>
  <c r="EV109" i="20"/>
  <c r="EV51" i="20"/>
  <c r="EW109" i="20"/>
  <c r="EP205" i="20"/>
  <c r="EC205" i="20" s="1"/>
  <c r="EE205" i="20" s="1"/>
  <c r="BP203" i="25" s="1"/>
  <c r="EQ107" i="20"/>
  <c r="FC109" i="20"/>
  <c r="FF144" i="20"/>
  <c r="ER222" i="20"/>
  <c r="FB132" i="20"/>
  <c r="FD86" i="20"/>
  <c r="EW208" i="20"/>
  <c r="EZ86" i="20"/>
  <c r="EW226" i="20"/>
  <c r="ER231" i="20"/>
  <c r="EZ98" i="20"/>
  <c r="FF208" i="20"/>
  <c r="FC203" i="20"/>
  <c r="EY109" i="20"/>
  <c r="FD226" i="20"/>
  <c r="FB144" i="20"/>
  <c r="FE132" i="20"/>
  <c r="FC4" i="20"/>
  <c r="FC86" i="20"/>
  <c r="ET132" i="20"/>
  <c r="ET109" i="20"/>
  <c r="FD144" i="20"/>
  <c r="EW51" i="20"/>
  <c r="EQ205" i="20"/>
  <c r="EQ102" i="20"/>
  <c r="EX208" i="20"/>
  <c r="ER205" i="20"/>
  <c r="EP222" i="20"/>
  <c r="FF51" i="20"/>
  <c r="EP106" i="20"/>
  <c r="EC106" i="20" s="1"/>
  <c r="EK106" i="20" s="1"/>
  <c r="FF132" i="20"/>
  <c r="EY86" i="20"/>
  <c r="FE109" i="20"/>
  <c r="EZ198" i="20"/>
  <c r="EP216" i="20"/>
  <c r="EC216" i="20" s="1"/>
  <c r="ER228" i="20"/>
  <c r="EP102" i="20"/>
  <c r="EC102" i="20" s="1"/>
  <c r="EK102" i="20" s="1"/>
  <c r="EW132" i="20"/>
  <c r="EQ101" i="20"/>
  <c r="FD208" i="20"/>
  <c r="EU109" i="20"/>
  <c r="EP101" i="20"/>
  <c r="EC101" i="20" s="1"/>
  <c r="EU132" i="20"/>
  <c r="FC51" i="20"/>
  <c r="ET98" i="20"/>
  <c r="EZ109" i="20"/>
  <c r="EX63" i="20"/>
  <c r="ET86" i="20"/>
  <c r="EZ51" i="20"/>
  <c r="ET51" i="20"/>
  <c r="ET208" i="20"/>
  <c r="EZ132" i="20"/>
  <c r="FD98" i="20"/>
  <c r="FE198" i="20"/>
  <c r="FF220" i="20"/>
  <c r="EQ106" i="20"/>
  <c r="ER103" i="20"/>
  <c r="FE226" i="20"/>
  <c r="FD51" i="20"/>
  <c r="FF98" i="20"/>
  <c r="EY220" i="20"/>
  <c r="EQ210" i="20"/>
  <c r="EX109" i="20"/>
  <c r="EP103" i="20"/>
  <c r="EU51" i="20"/>
  <c r="ER201" i="20"/>
  <c r="EQ216" i="20"/>
  <c r="FF198" i="20"/>
  <c r="ER101" i="20"/>
  <c r="EX132" i="20"/>
  <c r="ER215" i="20"/>
  <c r="EY203" i="20"/>
  <c r="EP80" i="20"/>
  <c r="EU126" i="20"/>
  <c r="EP126" i="20" s="1"/>
  <c r="EP128" i="20"/>
  <c r="EU203" i="20"/>
  <c r="EP204" i="20"/>
  <c r="EC204" i="20" s="1"/>
  <c r="EP76" i="20"/>
  <c r="EU75" i="20"/>
  <c r="EU121" i="20" s="1"/>
  <c r="EU122" i="20"/>
  <c r="EV128" i="20"/>
  <c r="EQ128" i="20" s="1"/>
  <c r="EQ82" i="20"/>
  <c r="ER99" i="20"/>
  <c r="FB98" i="20"/>
  <c r="EP224" i="20"/>
  <c r="EC224" i="20" s="1"/>
  <c r="BN222" i="25" s="1"/>
  <c r="EP99" i="20"/>
  <c r="EU98" i="20"/>
  <c r="EV125" i="20"/>
  <c r="EQ125" i="20" s="1"/>
  <c r="EQ79" i="20"/>
  <c r="ER79" i="20"/>
  <c r="FB125" i="20"/>
  <c r="ER125" i="20" s="1"/>
  <c r="EU220" i="20"/>
  <c r="EP221" i="20"/>
  <c r="EP227" i="20"/>
  <c r="EU226" i="20"/>
  <c r="EZ122" i="20"/>
  <c r="EZ4" i="20" s="1"/>
  <c r="EZ75" i="20"/>
  <c r="EZ121" i="20" s="1"/>
  <c r="EV63" i="20"/>
  <c r="FB124" i="20"/>
  <c r="ER124" i="20" s="1"/>
  <c r="ER78" i="20"/>
  <c r="EV203" i="20"/>
  <c r="EQ204" i="20"/>
  <c r="EQ209" i="20"/>
  <c r="EV208" i="20"/>
  <c r="ET63" i="20"/>
  <c r="EJ148" i="20"/>
  <c r="BU146" i="25" s="1"/>
  <c r="EP148" i="20"/>
  <c r="EC148" i="20" s="1"/>
  <c r="FB128" i="20"/>
  <c r="ER128" i="20" s="1"/>
  <c r="ER82" i="20"/>
  <c r="EP231" i="20"/>
  <c r="EP230" i="20"/>
  <c r="EJ147" i="20"/>
  <c r="BU145" i="25" s="1"/>
  <c r="EP147" i="20"/>
  <c r="EP78" i="20"/>
  <c r="EU124" i="20"/>
  <c r="EU125" i="20"/>
  <c r="EP125" i="20" s="1"/>
  <c r="EP79" i="20"/>
  <c r="EC79" i="20" s="1"/>
  <c r="FB220" i="20"/>
  <c r="ER221" i="20"/>
  <c r="EP217" i="20"/>
  <c r="EJ217" i="20" s="1"/>
  <c r="EV126" i="20"/>
  <c r="EQ126" i="20" s="1"/>
  <c r="EQ80" i="20"/>
  <c r="EV122" i="20"/>
  <c r="EV75" i="20"/>
  <c r="EV121" i="20" s="1"/>
  <c r="EQ76" i="20"/>
  <c r="EQ77" i="20"/>
  <c r="EV123" i="20"/>
  <c r="EQ123" i="20" s="1"/>
  <c r="EV124" i="20"/>
  <c r="EQ124" i="20" s="1"/>
  <c r="EQ78" i="20"/>
  <c r="EP83" i="20"/>
  <c r="EU129" i="20"/>
  <c r="EP129" i="20" s="1"/>
  <c r="ER204" i="20"/>
  <c r="FB203" i="20"/>
  <c r="FB127" i="20"/>
  <c r="ER127" i="20" s="1"/>
  <c r="ER81" i="20"/>
  <c r="ER199" i="20"/>
  <c r="FB198" i="20"/>
  <c r="EV98" i="20"/>
  <c r="EQ99" i="20"/>
  <c r="EU208" i="20"/>
  <c r="EP209" i="20"/>
  <c r="EC209" i="20" s="1"/>
  <c r="EK209" i="20" s="1"/>
  <c r="EL209" i="20" s="1"/>
  <c r="EY63" i="20"/>
  <c r="ER145" i="20"/>
  <c r="ET144" i="20"/>
  <c r="EP206" i="20"/>
  <c r="EP77" i="20"/>
  <c r="EU123" i="20"/>
  <c r="EP123" i="20" s="1"/>
  <c r="EP210" i="20"/>
  <c r="EP200" i="20"/>
  <c r="EV198" i="20"/>
  <c r="EQ199" i="20"/>
  <c r="EJ145" i="20"/>
  <c r="EU144" i="20"/>
  <c r="EP145" i="20"/>
  <c r="EC145" i="20" s="1"/>
  <c r="EV144" i="20"/>
  <c r="EQ145" i="20"/>
  <c r="EP84" i="20"/>
  <c r="EU130" i="20"/>
  <c r="FB63" i="20"/>
  <c r="EP107" i="20"/>
  <c r="EC107" i="20" s="1"/>
  <c r="BN105" i="25" s="1"/>
  <c r="FE63" i="20"/>
  <c r="EW63" i="20"/>
  <c r="EJ146" i="20"/>
  <c r="BU144" i="25" s="1"/>
  <c r="EP146" i="20"/>
  <c r="ET122" i="20"/>
  <c r="ET4" i="20" s="1"/>
  <c r="ET75" i="20"/>
  <c r="ET121" i="20" s="1"/>
  <c r="EU63" i="20"/>
  <c r="EQ221" i="20"/>
  <c r="EV220" i="20"/>
  <c r="ER80" i="20"/>
  <c r="FB126" i="20"/>
  <c r="ER126" i="20" s="1"/>
  <c r="FB208" i="20"/>
  <c r="ER209" i="20"/>
  <c r="EV129" i="20"/>
  <c r="EQ129" i="20" s="1"/>
  <c r="EQ83" i="20"/>
  <c r="FF63" i="20"/>
  <c r="FB129" i="20"/>
  <c r="ER129" i="20" s="1"/>
  <c r="ER83" i="20"/>
  <c r="FF122" i="20"/>
  <c r="FF4" i="20" s="1"/>
  <c r="FF75" i="20"/>
  <c r="FF121" i="20" s="1"/>
  <c r="FB75" i="20"/>
  <c r="FB121" i="20" s="1"/>
  <c r="FB122" i="20"/>
  <c r="ER76" i="20"/>
  <c r="EV226" i="20"/>
  <c r="EQ227" i="20"/>
  <c r="EX122" i="20"/>
  <c r="EX4" i="20" s="1"/>
  <c r="EX75" i="20"/>
  <c r="EV127" i="20"/>
  <c r="EQ127" i="20" s="1"/>
  <c r="EQ81" i="20"/>
  <c r="EP215" i="20"/>
  <c r="EW122" i="20"/>
  <c r="EW75" i="20"/>
  <c r="EW121" i="20" s="1"/>
  <c r="FD122" i="20"/>
  <c r="FD4" i="20" s="1"/>
  <c r="FD75" i="20"/>
  <c r="FD121" i="20" s="1"/>
  <c r="EP81" i="20"/>
  <c r="EU127" i="20"/>
  <c r="EY122" i="20"/>
  <c r="EY4" i="20" s="1"/>
  <c r="EY75" i="20"/>
  <c r="EY121" i="20" s="1"/>
  <c r="FD63" i="20"/>
  <c r="EW128" i="20"/>
  <c r="FB130" i="20"/>
  <c r="ER130" i="20" s="1"/>
  <c r="ER84" i="20"/>
  <c r="EP201" i="20"/>
  <c r="EU198" i="20"/>
  <c r="EP199" i="20"/>
  <c r="EP214" i="20"/>
  <c r="FE75" i="20"/>
  <c r="FE121" i="20" s="1"/>
  <c r="FE122" i="20"/>
  <c r="FE4" i="20" s="1"/>
  <c r="EV130" i="20"/>
  <c r="EQ130" i="20" s="1"/>
  <c r="EQ84" i="20"/>
  <c r="FB226" i="20"/>
  <c r="ER227" i="20"/>
  <c r="FB123" i="20"/>
  <c r="ER123" i="20" s="1"/>
  <c r="ER77" i="20"/>
  <c r="BK214" i="20"/>
  <c r="BL214" i="20" s="1"/>
  <c r="AI212" i="25" s="1"/>
  <c r="BX96" i="20"/>
  <c r="BZ63" i="20"/>
  <c r="CF226" i="20"/>
  <c r="CF109" i="20"/>
  <c r="BV192" i="20"/>
  <c r="BR215" i="20"/>
  <c r="BS215" i="20" s="1"/>
  <c r="AP213" i="25" s="1"/>
  <c r="BX188" i="20"/>
  <c r="BW77" i="20"/>
  <c r="CB75" i="20"/>
  <c r="CE220" i="20"/>
  <c r="CH98" i="20"/>
  <c r="BZ51" i="20"/>
  <c r="BV54" i="20"/>
  <c r="BX54" i="20"/>
  <c r="BX73" i="20"/>
  <c r="BW188" i="20"/>
  <c r="BV187" i="20"/>
  <c r="CF75" i="20"/>
  <c r="BW54" i="20"/>
  <c r="BV66" i="20"/>
  <c r="CA220" i="20"/>
  <c r="CD208" i="20"/>
  <c r="BV195" i="20"/>
  <c r="BK217" i="20"/>
  <c r="AH215" i="25" s="1"/>
  <c r="BV73" i="20"/>
  <c r="CI51" i="20"/>
  <c r="BV134" i="20"/>
  <c r="BQ216" i="20"/>
  <c r="AN214" i="25" s="1"/>
  <c r="BX223" i="20"/>
  <c r="CH220" i="20"/>
  <c r="CC220" i="20"/>
  <c r="BV96" i="20"/>
  <c r="CC51" i="20"/>
  <c r="BV188" i="20"/>
  <c r="BW192" i="20"/>
  <c r="CH109" i="20"/>
  <c r="BI68" i="20"/>
  <c r="AN211" i="25"/>
  <c r="AD189" i="20"/>
  <c r="T187" i="25" s="1"/>
  <c r="BM161" i="20"/>
  <c r="AJ159" i="25" s="1"/>
  <c r="S154" i="25"/>
  <c r="R169" i="25"/>
  <c r="AD171" i="20"/>
  <c r="S169" i="25"/>
  <c r="F191" i="20"/>
  <c r="AD189" i="25"/>
  <c r="F189" i="25" s="1"/>
  <c r="AD156" i="20"/>
  <c r="R176" i="25"/>
  <c r="AC178" i="20"/>
  <c r="AM145" i="25"/>
  <c r="BH147" i="20"/>
  <c r="AE145" i="25" s="1"/>
  <c r="AI179" i="25"/>
  <c r="BN181" i="20"/>
  <c r="AK179" i="25" s="1"/>
  <c r="AD182" i="20"/>
  <c r="T180" i="25" s="1"/>
  <c r="S153" i="25"/>
  <c r="R194" i="25"/>
  <c r="AC179" i="20"/>
  <c r="S177" i="25" s="1"/>
  <c r="AM191" i="25"/>
  <c r="BH193" i="20"/>
  <c r="AE191" i="25" s="1"/>
  <c r="BN169" i="20"/>
  <c r="AK167" i="25" s="1"/>
  <c r="R173" i="25"/>
  <c r="AC175" i="20"/>
  <c r="AD175" i="20" s="1"/>
  <c r="R153" i="25"/>
  <c r="AM146" i="25"/>
  <c r="BH148" i="20"/>
  <c r="AE146" i="25" s="1"/>
  <c r="R189" i="25"/>
  <c r="AC196" i="20"/>
  <c r="S194" i="25" s="1"/>
  <c r="AM148" i="25"/>
  <c r="AC169" i="20"/>
  <c r="S167" i="25" s="1"/>
  <c r="AC149" i="20"/>
  <c r="S147" i="25" s="1"/>
  <c r="O233" i="25"/>
  <c r="Y233" i="20"/>
  <c r="R233" i="25"/>
  <c r="AB233" i="20"/>
  <c r="AD229" i="25"/>
  <c r="AD226" i="25"/>
  <c r="AD225" i="25"/>
  <c r="M219" i="25"/>
  <c r="F221" i="20"/>
  <c r="M221" i="25"/>
  <c r="F221" i="25" s="1"/>
  <c r="F223" i="20"/>
  <c r="BN221" i="25"/>
  <c r="EK223" i="20"/>
  <c r="BV221" i="25" s="1"/>
  <c r="EE223" i="20"/>
  <c r="BP221" i="25" s="1"/>
  <c r="M220" i="25"/>
  <c r="M222" i="25"/>
  <c r="AU210" i="25"/>
  <c r="F210" i="25" s="1"/>
  <c r="BN216" i="25"/>
  <c r="EE218" i="20"/>
  <c r="BP216" i="25" s="1"/>
  <c r="EK218" i="20"/>
  <c r="AU214" i="25"/>
  <c r="AU209" i="25"/>
  <c r="F209" i="25" s="1"/>
  <c r="AU207" i="25"/>
  <c r="F207" i="25" s="1"/>
  <c r="AU208" i="25"/>
  <c r="AU212" i="25"/>
  <c r="F212" i="25" s="1"/>
  <c r="F214" i="20"/>
  <c r="AU211" i="25"/>
  <c r="F211" i="25" s="1"/>
  <c r="F213" i="20"/>
  <c r="F202" i="25"/>
  <c r="AD201" i="25"/>
  <c r="M216" i="25"/>
  <c r="F216" i="25" s="1"/>
  <c r="F218" i="20"/>
  <c r="M214" i="25"/>
  <c r="F216" i="20"/>
  <c r="AD136" i="25"/>
  <c r="F136" i="25" s="1"/>
  <c r="F138" i="20"/>
  <c r="BL105" i="25"/>
  <c r="AE234" i="25"/>
  <c r="G236" i="20"/>
  <c r="H236" i="20" s="1"/>
  <c r="AU88" i="25"/>
  <c r="F88" i="25" s="1"/>
  <c r="F90" i="20"/>
  <c r="AD114" i="25"/>
  <c r="S188" i="25"/>
  <c r="AD190" i="20"/>
  <c r="T188" i="25" s="1"/>
  <c r="M208" i="25"/>
  <c r="F210" i="20"/>
  <c r="AD115" i="25"/>
  <c r="BL104" i="25"/>
  <c r="BL77" i="25"/>
  <c r="EA125" i="20"/>
  <c r="R193" i="25"/>
  <c r="AU203" i="25"/>
  <c r="F205" i="20"/>
  <c r="AU80" i="25"/>
  <c r="F80" i="25" s="1"/>
  <c r="F82" i="20"/>
  <c r="R171" i="25"/>
  <c r="AC173" i="20"/>
  <c r="S171" i="25" s="1"/>
  <c r="AD98" i="25"/>
  <c r="AU70" i="25"/>
  <c r="F70" i="25" s="1"/>
  <c r="F72" i="20"/>
  <c r="AF15" i="25"/>
  <c r="BI9" i="20"/>
  <c r="BH17" i="20"/>
  <c r="AU92" i="25"/>
  <c r="F92" i="25" s="1"/>
  <c r="F94" i="20"/>
  <c r="AD117" i="25"/>
  <c r="AC162" i="20"/>
  <c r="S160" i="25" s="1"/>
  <c r="R160" i="25"/>
  <c r="BL78" i="25"/>
  <c r="EA126" i="20"/>
  <c r="AU204" i="25"/>
  <c r="F204" i="25" s="1"/>
  <c r="F206" i="20"/>
  <c r="F116" i="20"/>
  <c r="M114" i="25"/>
  <c r="AD116" i="25"/>
  <c r="F116" i="25" s="1"/>
  <c r="AU79" i="25"/>
  <c r="F79" i="25" s="1"/>
  <c r="F81" i="20"/>
  <c r="F15" i="25"/>
  <c r="AB15" i="25"/>
  <c r="BL74" i="25"/>
  <c r="EA122" i="20"/>
  <c r="AU77" i="25"/>
  <c r="F79" i="20"/>
  <c r="F99" i="20"/>
  <c r="AD97" i="25"/>
  <c r="AU67" i="25"/>
  <c r="F67" i="25" s="1"/>
  <c r="F69" i="20"/>
  <c r="M225" i="25"/>
  <c r="F227" i="20"/>
  <c r="AU75" i="25"/>
  <c r="F77" i="20"/>
  <c r="F228" i="20"/>
  <c r="M226" i="25"/>
  <c r="AU81" i="25"/>
  <c r="F83" i="20"/>
  <c r="AD103" i="25"/>
  <c r="AU90" i="25"/>
  <c r="F90" i="25" s="1"/>
  <c r="F92" i="20"/>
  <c r="M101" i="25"/>
  <c r="F103" i="20"/>
  <c r="AU89" i="25"/>
  <c r="F89" i="25" s="1"/>
  <c r="F91" i="20"/>
  <c r="BL98" i="25"/>
  <c r="AO145" i="25"/>
  <c r="BS147" i="20"/>
  <c r="BT147" i="20" s="1"/>
  <c r="AU66" i="25"/>
  <c r="F68" i="20"/>
  <c r="CQ4" i="20"/>
  <c r="AU78" i="25"/>
  <c r="F80" i="20"/>
  <c r="BL222" i="25"/>
  <c r="F224" i="20"/>
  <c r="AD104" i="25"/>
  <c r="F101" i="20"/>
  <c r="M99" i="25"/>
  <c r="M103" i="25"/>
  <c r="F105" i="20"/>
  <c r="AU103" i="25"/>
  <c r="AD131" i="25"/>
  <c r="F133" i="20"/>
  <c r="AD112" i="25"/>
  <c r="F112" i="25" s="1"/>
  <c r="AD108" i="25"/>
  <c r="F110" i="20"/>
  <c r="BL102" i="25"/>
  <c r="F121" i="20"/>
  <c r="EA49" i="20"/>
  <c r="EA5" i="20" s="1"/>
  <c r="H24" i="22" s="1"/>
  <c r="H25" i="22" s="1"/>
  <c r="R174" i="25"/>
  <c r="AC176" i="20"/>
  <c r="AD176" i="20" s="1"/>
  <c r="AU82" i="25"/>
  <c r="F82" i="25" s="1"/>
  <c r="F84" i="20"/>
  <c r="BL220" i="25"/>
  <c r="F222" i="20"/>
  <c r="AD101" i="25"/>
  <c r="M53" i="25"/>
  <c r="F53" i="25" s="1"/>
  <c r="F55" i="20"/>
  <c r="AI232" i="20"/>
  <c r="AJ232" i="20" s="1"/>
  <c r="F89" i="20"/>
  <c r="AU87" i="25"/>
  <c r="F87" i="25" s="1"/>
  <c r="AJ171" i="25"/>
  <c r="BN173" i="20"/>
  <c r="AK171" i="25" s="1"/>
  <c r="AU114" i="25"/>
  <c r="AI187" i="25"/>
  <c r="BM189" i="20"/>
  <c r="AJ187" i="25" s="1"/>
  <c r="AD102" i="25"/>
  <c r="AU69" i="25"/>
  <c r="F69" i="25" s="1"/>
  <c r="F71" i="20"/>
  <c r="AU93" i="25"/>
  <c r="F93" i="25" s="1"/>
  <c r="F95" i="20"/>
  <c r="S189" i="25"/>
  <c r="AC158" i="20"/>
  <c r="S156" i="25" s="1"/>
  <c r="R156" i="25"/>
  <c r="M113" i="25"/>
  <c r="F115" i="20"/>
  <c r="AD135" i="25"/>
  <c r="F137" i="20"/>
  <c r="M56" i="25"/>
  <c r="F58" i="20"/>
  <c r="S192" i="25"/>
  <c r="AD194" i="20"/>
  <c r="T192" i="25" s="1"/>
  <c r="M104" i="25"/>
  <c r="F106" i="20"/>
  <c r="AU99" i="25"/>
  <c r="BL103" i="25"/>
  <c r="BH214" i="20"/>
  <c r="AE212" i="25" s="1"/>
  <c r="AM212" i="25"/>
  <c r="BP208" i="20"/>
  <c r="BH208" i="20" s="1"/>
  <c r="AD191" i="20"/>
  <c r="M98" i="25"/>
  <c r="F100" i="20"/>
  <c r="AD139" i="25"/>
  <c r="BL100" i="25"/>
  <c r="AD178" i="25"/>
  <c r="F178" i="25" s="1"/>
  <c r="F180" i="20"/>
  <c r="AI145" i="25"/>
  <c r="BM147" i="20"/>
  <c r="BN147" i="20" s="1"/>
  <c r="AU101" i="25"/>
  <c r="AC153" i="20"/>
  <c r="S151" i="25" s="1"/>
  <c r="R151" i="25"/>
  <c r="AD109" i="25"/>
  <c r="F109" i="25" s="1"/>
  <c r="BL101" i="25"/>
  <c r="S193" i="25"/>
  <c r="AC188" i="20"/>
  <c r="AD188" i="20" s="1"/>
  <c r="R186" i="25"/>
  <c r="R150" i="25"/>
  <c r="AC152" i="20"/>
  <c r="AD152" i="20" s="1"/>
  <c r="F87" i="20"/>
  <c r="AU85" i="25"/>
  <c r="M229" i="25"/>
  <c r="F231" i="20"/>
  <c r="AD140" i="25"/>
  <c r="F140" i="25" s="1"/>
  <c r="F142" i="20"/>
  <c r="AD111" i="25"/>
  <c r="F111" i="25" s="1"/>
  <c r="F113" i="20"/>
  <c r="AD110" i="25"/>
  <c r="F112" i="20"/>
  <c r="BK112" i="20"/>
  <c r="BQ112" i="20"/>
  <c r="BL75" i="25"/>
  <c r="EA123" i="20"/>
  <c r="H234" i="25"/>
  <c r="AF233" i="25"/>
  <c r="AU74" i="25"/>
  <c r="F76" i="20"/>
  <c r="AD99" i="25"/>
  <c r="M51" i="25"/>
  <c r="F53" i="20"/>
  <c r="W4" i="20"/>
  <c r="R157" i="25"/>
  <c r="AC159" i="20"/>
  <c r="AD159" i="20" s="1"/>
  <c r="AU94" i="25"/>
  <c r="F94" i="25" s="1"/>
  <c r="F96" i="20"/>
  <c r="F88" i="20"/>
  <c r="AU86" i="25"/>
  <c r="F86" i="25" s="1"/>
  <c r="M228" i="25"/>
  <c r="F228" i="25" s="1"/>
  <c r="F230" i="20"/>
  <c r="F117" i="20"/>
  <c r="M115" i="25"/>
  <c r="F114" i="20"/>
  <c r="F119" i="20"/>
  <c r="AV37" i="25"/>
  <c r="F107" i="20"/>
  <c r="M105" i="25"/>
  <c r="BH217" i="20"/>
  <c r="AM215" i="25"/>
  <c r="M215" i="25"/>
  <c r="F215" i="25" s="1"/>
  <c r="F217" i="20"/>
  <c r="AD138" i="25"/>
  <c r="F140" i="20"/>
  <c r="AD113" i="25"/>
  <c r="BL99" i="25"/>
  <c r="F102" i="20"/>
  <c r="BL81" i="25"/>
  <c r="EA129" i="20"/>
  <c r="O39" i="20"/>
  <c r="BU37" i="25"/>
  <c r="EJ9" i="20"/>
  <c r="EB39" i="20"/>
  <c r="BM37" i="25" s="1"/>
  <c r="BI233" i="20"/>
  <c r="BH235" i="20"/>
  <c r="BH233" i="20" s="1"/>
  <c r="AU76" i="25"/>
  <c r="F76" i="25" s="1"/>
  <c r="F78" i="20"/>
  <c r="R178" i="25"/>
  <c r="AC180" i="20"/>
  <c r="AD180" i="20" s="1"/>
  <c r="AD105" i="25"/>
  <c r="AD100" i="25"/>
  <c r="M59" i="25"/>
  <c r="F61" i="20"/>
  <c r="AU91" i="25"/>
  <c r="F91" i="25" s="1"/>
  <c r="F93" i="20"/>
  <c r="M227" i="25"/>
  <c r="F227" i="25" s="1"/>
  <c r="F229" i="20"/>
  <c r="BI196" i="20" l="1"/>
  <c r="AZ234" i="25"/>
  <c r="AZ233" i="25" s="1"/>
  <c r="CV235" i="20"/>
  <c r="CV233" i="20" s="1"/>
  <c r="BP163" i="20"/>
  <c r="EJ104" i="20"/>
  <c r="BU102" i="25" s="1"/>
  <c r="BN211" i="25"/>
  <c r="EK213" i="20"/>
  <c r="EE213" i="20"/>
  <c r="EK211" i="20"/>
  <c r="BN209" i="25"/>
  <c r="S149" i="25"/>
  <c r="F196" i="20"/>
  <c r="EE211" i="20"/>
  <c r="BP209" i="25" s="1"/>
  <c r="EB211" i="20"/>
  <c r="BM209" i="25" s="1"/>
  <c r="EJ228" i="20"/>
  <c r="EE212" i="20"/>
  <c r="F172" i="20"/>
  <c r="EK212" i="20"/>
  <c r="BV210" i="25" s="1"/>
  <c r="S190" i="25"/>
  <c r="AF211" i="20"/>
  <c r="V209" i="25" s="1"/>
  <c r="BK196" i="20"/>
  <c r="F56" i="25"/>
  <c r="BN177" i="20"/>
  <c r="AK175" i="25" s="1"/>
  <c r="ED228" i="20"/>
  <c r="BO226" i="25" s="1"/>
  <c r="ED214" i="20"/>
  <c r="BO212" i="25" s="1"/>
  <c r="ED100" i="20"/>
  <c r="BO98" i="25" s="1"/>
  <c r="EJ100" i="20"/>
  <c r="BU98" i="25" s="1"/>
  <c r="BJ184" i="20"/>
  <c r="AG182" i="25" s="1"/>
  <c r="BP184" i="20"/>
  <c r="O184" i="20" s="1"/>
  <c r="BI184" i="20"/>
  <c r="BP183" i="20"/>
  <c r="O183" i="20" s="1"/>
  <c r="BQ81" i="20"/>
  <c r="BR81" i="20" s="1"/>
  <c r="AO79" i="25" s="1"/>
  <c r="BP80" i="20"/>
  <c r="AM78" i="25" s="1"/>
  <c r="AF79" i="25"/>
  <c r="BP139" i="20"/>
  <c r="AM137" i="25" s="1"/>
  <c r="BP224" i="20"/>
  <c r="AM222" i="25" s="1"/>
  <c r="BP111" i="20"/>
  <c r="BH111" i="20" s="1"/>
  <c r="BI183" i="20"/>
  <c r="BQ183" i="20" s="1"/>
  <c r="BR183" i="20" s="1"/>
  <c r="BS183" i="20" s="1"/>
  <c r="AP181" i="25" s="1"/>
  <c r="BJ183" i="20"/>
  <c r="AG181" i="25" s="1"/>
  <c r="BJ224" i="20"/>
  <c r="AG222" i="25" s="1"/>
  <c r="BP91" i="20"/>
  <c r="AM89" i="25" s="1"/>
  <c r="BP126" i="20"/>
  <c r="AM124" i="25" s="1"/>
  <c r="BJ81" i="20"/>
  <c r="AG79" i="25" s="1"/>
  <c r="BJ163" i="20"/>
  <c r="I163" i="20" s="1"/>
  <c r="BJ65" i="20"/>
  <c r="AG63" i="25" s="1"/>
  <c r="BP65" i="20"/>
  <c r="BH65" i="20" s="1"/>
  <c r="AE63" i="25" s="1"/>
  <c r="BJ111" i="20"/>
  <c r="AG109" i="25" s="1"/>
  <c r="BP90" i="20"/>
  <c r="AM88" i="25" s="1"/>
  <c r="BP81" i="20"/>
  <c r="AM79" i="25" s="1"/>
  <c r="BP137" i="20"/>
  <c r="BH137" i="20" s="1"/>
  <c r="H15" i="25"/>
  <c r="BP124" i="20"/>
  <c r="BH124" i="20" s="1"/>
  <c r="AE122" i="25" s="1"/>
  <c r="X9" i="20"/>
  <c r="BP64" i="20"/>
  <c r="AM62" i="25" s="1"/>
  <c r="BQ124" i="20"/>
  <c r="BR124" i="20" s="1"/>
  <c r="BS124" i="20" s="1"/>
  <c r="AP122" i="25" s="1"/>
  <c r="BK124" i="20"/>
  <c r="AH122" i="25" s="1"/>
  <c r="AD61" i="25"/>
  <c r="BJ124" i="20"/>
  <c r="AG122" i="25" s="1"/>
  <c r="BP230" i="20"/>
  <c r="AM228" i="25" s="1"/>
  <c r="BI64" i="20"/>
  <c r="BK64" i="20" s="1"/>
  <c r="BL64" i="20" s="1"/>
  <c r="BM64" i="20" s="1"/>
  <c r="AJ62" i="25" s="1"/>
  <c r="BJ72" i="20"/>
  <c r="AG70" i="25" s="1"/>
  <c r="Z211" i="20"/>
  <c r="P209" i="25" s="1"/>
  <c r="EB223" i="20"/>
  <c r="BM221" i="25" s="1"/>
  <c r="BI179" i="20"/>
  <c r="BQ179" i="20" s="1"/>
  <c r="AD177" i="20"/>
  <c r="T175" i="25" s="1"/>
  <c r="Z61" i="20"/>
  <c r="P59" i="25" s="1"/>
  <c r="AF53" i="20"/>
  <c r="V51" i="25" s="1"/>
  <c r="AF61" i="20"/>
  <c r="V59" i="25" s="1"/>
  <c r="F110" i="25"/>
  <c r="BI160" i="20"/>
  <c r="BK160" i="20" s="1"/>
  <c r="BL160" i="20" s="1"/>
  <c r="BN161" i="20"/>
  <c r="AK159" i="25" s="1"/>
  <c r="AJ147" i="25"/>
  <c r="AD165" i="20"/>
  <c r="T163" i="25" s="1"/>
  <c r="F117" i="25"/>
  <c r="BI192" i="20"/>
  <c r="BQ192" i="20" s="1"/>
  <c r="BR192" i="20" s="1"/>
  <c r="BI163" i="20"/>
  <c r="BH163" i="20" s="1"/>
  <c r="G163" i="20" s="1"/>
  <c r="H163" i="20" s="1"/>
  <c r="BJ100" i="20"/>
  <c r="AG98" i="25" s="1"/>
  <c r="BI91" i="20"/>
  <c r="BK91" i="20" s="1"/>
  <c r="AH89" i="25" s="1"/>
  <c r="AF58" i="20"/>
  <c r="V56" i="25" s="1"/>
  <c r="Z58" i="20"/>
  <c r="P56" i="25" s="1"/>
  <c r="Z146" i="20"/>
  <c r="P144" i="25" s="1"/>
  <c r="BP52" i="20"/>
  <c r="AM50" i="25" s="1"/>
  <c r="BP100" i="20"/>
  <c r="BH100" i="20" s="1"/>
  <c r="BJ52" i="20"/>
  <c r="AG50" i="25" s="1"/>
  <c r="BJ90" i="20"/>
  <c r="AG88" i="25" s="1"/>
  <c r="BP222" i="20"/>
  <c r="AM220" i="25" s="1"/>
  <c r="BJ222" i="20"/>
  <c r="AG220" i="25" s="1"/>
  <c r="BJ175" i="20"/>
  <c r="AG173" i="25" s="1"/>
  <c r="BJ156" i="20"/>
  <c r="I156" i="20" s="1"/>
  <c r="BP156" i="20"/>
  <c r="O156" i="20" s="1"/>
  <c r="BJ91" i="20"/>
  <c r="AG89" i="25" s="1"/>
  <c r="BJ137" i="20"/>
  <c r="AG135" i="25" s="1"/>
  <c r="BP141" i="20"/>
  <c r="AM139" i="25" s="1"/>
  <c r="BJ79" i="20"/>
  <c r="AG77" i="25" s="1"/>
  <c r="BJ64" i="20"/>
  <c r="AG62" i="25" s="1"/>
  <c r="BI139" i="20"/>
  <c r="AF137" i="25" s="1"/>
  <c r="BP92" i="20"/>
  <c r="AM90" i="25" s="1"/>
  <c r="BJ95" i="20"/>
  <c r="AG93" i="25" s="1"/>
  <c r="BJ102" i="20"/>
  <c r="AG100" i="25" s="1"/>
  <c r="BK205" i="20"/>
  <c r="AH203" i="25" s="1"/>
  <c r="BJ59" i="20"/>
  <c r="AG57" i="25" s="1"/>
  <c r="BP171" i="20"/>
  <c r="O171" i="20" s="1"/>
  <c r="BP175" i="20"/>
  <c r="O175" i="20" s="1"/>
  <c r="BP95" i="20"/>
  <c r="BH95" i="20" s="1"/>
  <c r="AE93" i="25" s="1"/>
  <c r="BP103" i="20"/>
  <c r="AM101" i="25" s="1"/>
  <c r="BP59" i="20"/>
  <c r="AM57" i="25" s="1"/>
  <c r="AI209" i="25"/>
  <c r="BP56" i="20"/>
  <c r="AM54" i="25" s="1"/>
  <c r="BJ127" i="20"/>
  <c r="AG125" i="25" s="1"/>
  <c r="BJ204" i="20"/>
  <c r="AG202" i="25" s="1"/>
  <c r="BI141" i="20"/>
  <c r="AF139" i="25" s="1"/>
  <c r="BJ56" i="20"/>
  <c r="AG54" i="25" s="1"/>
  <c r="BI80" i="20"/>
  <c r="AF78" i="25" s="1"/>
  <c r="BJ129" i="20"/>
  <c r="AG127" i="25" s="1"/>
  <c r="BP129" i="20"/>
  <c r="AM127" i="25" s="1"/>
  <c r="BI126" i="20"/>
  <c r="BK126" i="20" s="1"/>
  <c r="AH124" i="25" s="1"/>
  <c r="BJ179" i="20"/>
  <c r="AG177" i="25" s="1"/>
  <c r="BP179" i="20"/>
  <c r="AM177" i="25" s="1"/>
  <c r="BJ106" i="20"/>
  <c r="AG104" i="25" s="1"/>
  <c r="BJ168" i="20"/>
  <c r="I168" i="20" s="1"/>
  <c r="BQ60" i="20"/>
  <c r="BR60" i="20" s="1"/>
  <c r="AO58" i="25" s="1"/>
  <c r="BQ204" i="20"/>
  <c r="BR204" i="20" s="1"/>
  <c r="AO202" i="25" s="1"/>
  <c r="BP76" i="20"/>
  <c r="AM74" i="25" s="1"/>
  <c r="BK76" i="20"/>
  <c r="AH74" i="25" s="1"/>
  <c r="BQ145" i="20"/>
  <c r="AN143" i="25" s="1"/>
  <c r="BJ60" i="20"/>
  <c r="AG58" i="25" s="1"/>
  <c r="BK145" i="20"/>
  <c r="AH143" i="25" s="1"/>
  <c r="BK60" i="20"/>
  <c r="BL60" i="20" s="1"/>
  <c r="AI58" i="25" s="1"/>
  <c r="BJ103" i="20"/>
  <c r="AG101" i="25" s="1"/>
  <c r="BP110" i="20"/>
  <c r="AM108" i="25" s="1"/>
  <c r="BP204" i="20"/>
  <c r="BH204" i="20" s="1"/>
  <c r="AE202" i="25" s="1"/>
  <c r="BP128" i="20"/>
  <c r="AM126" i="25" s="1"/>
  <c r="BP114" i="20"/>
  <c r="AM112" i="25" s="1"/>
  <c r="BJ76" i="20"/>
  <c r="AG74" i="25" s="1"/>
  <c r="BJ92" i="20"/>
  <c r="AG90" i="25" s="1"/>
  <c r="BP229" i="20"/>
  <c r="AM227" i="25" s="1"/>
  <c r="BQ76" i="20"/>
  <c r="AN74" i="25" s="1"/>
  <c r="BJ145" i="20"/>
  <c r="AG143" i="25" s="1"/>
  <c r="BP60" i="20"/>
  <c r="AM58" i="25" s="1"/>
  <c r="BJ141" i="20"/>
  <c r="AG139" i="25" s="1"/>
  <c r="BI230" i="20"/>
  <c r="AF228" i="25" s="1"/>
  <c r="BK204" i="20"/>
  <c r="BL204" i="20" s="1"/>
  <c r="AI202" i="25" s="1"/>
  <c r="BJ128" i="20"/>
  <c r="AG126" i="25" s="1"/>
  <c r="BP145" i="20"/>
  <c r="BH145" i="20" s="1"/>
  <c r="AE143" i="25" s="1"/>
  <c r="BJ230" i="20"/>
  <c r="AG228" i="25" s="1"/>
  <c r="BJ229" i="20"/>
  <c r="AG227" i="25" s="1"/>
  <c r="BP67" i="20"/>
  <c r="AM65" i="25" s="1"/>
  <c r="BP79" i="20"/>
  <c r="AM77" i="25" s="1"/>
  <c r="BP155" i="20"/>
  <c r="AM153" i="25" s="1"/>
  <c r="BJ53" i="20"/>
  <c r="AG51" i="25" s="1"/>
  <c r="BP101" i="20"/>
  <c r="AM99" i="25" s="1"/>
  <c r="BI110" i="20"/>
  <c r="BK110" i="20" s="1"/>
  <c r="BL110" i="20" s="1"/>
  <c r="AF80" i="25"/>
  <c r="BJ101" i="20"/>
  <c r="AG99" i="25" s="1"/>
  <c r="BP53" i="20"/>
  <c r="BH53" i="20" s="1"/>
  <c r="AE51" i="25" s="1"/>
  <c r="BI155" i="20"/>
  <c r="BK155" i="20" s="1"/>
  <c r="BP70" i="20"/>
  <c r="AM68" i="25" s="1"/>
  <c r="BP123" i="20"/>
  <c r="AM121" i="25" s="1"/>
  <c r="BP102" i="20"/>
  <c r="BH102" i="20" s="1"/>
  <c r="BR205" i="20"/>
  <c r="AO203" i="25" s="1"/>
  <c r="BP83" i="20"/>
  <c r="AM81" i="25" s="1"/>
  <c r="AF203" i="25"/>
  <c r="BP160" i="20"/>
  <c r="BP205" i="20"/>
  <c r="BH205" i="20" s="1"/>
  <c r="AE203" i="25" s="1"/>
  <c r="BJ83" i="20"/>
  <c r="AG81" i="25" s="1"/>
  <c r="BJ126" i="20"/>
  <c r="AG124" i="25" s="1"/>
  <c r="BP168" i="20"/>
  <c r="AM166" i="25" s="1"/>
  <c r="BJ164" i="20"/>
  <c r="AG162" i="25" s="1"/>
  <c r="BP72" i="20"/>
  <c r="AM70" i="25" s="1"/>
  <c r="BJ114" i="20"/>
  <c r="AG112" i="25" s="1"/>
  <c r="BJ200" i="20"/>
  <c r="AG198" i="25" s="1"/>
  <c r="BJ155" i="20"/>
  <c r="BJ139" i="20"/>
  <c r="AG137" i="25" s="1"/>
  <c r="BP127" i="20"/>
  <c r="BH127" i="20" s="1"/>
  <c r="BJ171" i="20"/>
  <c r="I171" i="20" s="1"/>
  <c r="BP107" i="20"/>
  <c r="AM105" i="25" s="1"/>
  <c r="BJ113" i="20"/>
  <c r="AG111" i="25" s="1"/>
  <c r="BJ205" i="20"/>
  <c r="AG203" i="25" s="1"/>
  <c r="BJ89" i="20"/>
  <c r="AG87" i="25" s="1"/>
  <c r="BP200" i="20"/>
  <c r="AM198" i="25" s="1"/>
  <c r="BP113" i="20"/>
  <c r="AM111" i="25" s="1"/>
  <c r="BJ191" i="20"/>
  <c r="AG189" i="25" s="1"/>
  <c r="BJ136" i="20"/>
  <c r="AG134" i="25" s="1"/>
  <c r="BH112" i="20"/>
  <c r="AE110" i="25" s="1"/>
  <c r="BJ221" i="20"/>
  <c r="AG219" i="25" s="1"/>
  <c r="BJ87" i="20"/>
  <c r="AG85" i="25" s="1"/>
  <c r="BJ123" i="20"/>
  <c r="AG121" i="25" s="1"/>
  <c r="BI123" i="20"/>
  <c r="BQ123" i="20" s="1"/>
  <c r="BR123" i="20" s="1"/>
  <c r="BJ180" i="20"/>
  <c r="I180" i="20" s="1"/>
  <c r="BJ133" i="20"/>
  <c r="AG131" i="25" s="1"/>
  <c r="BP180" i="20"/>
  <c r="O180" i="20" s="1"/>
  <c r="BP93" i="20"/>
  <c r="AM91" i="25" s="1"/>
  <c r="BJ70" i="20"/>
  <c r="AG68" i="25" s="1"/>
  <c r="BI168" i="20"/>
  <c r="AF166" i="25" s="1"/>
  <c r="H166" i="25" s="1"/>
  <c r="BJ118" i="20"/>
  <c r="AG116" i="25" s="1"/>
  <c r="BI70" i="20"/>
  <c r="AF68" i="25" s="1"/>
  <c r="CU53" i="20"/>
  <c r="AY51" i="25" s="1"/>
  <c r="DA53" i="20"/>
  <c r="DB53" i="20" s="1"/>
  <c r="BF51" i="25" s="1"/>
  <c r="CZ53" i="20"/>
  <c r="BD51" i="25" s="1"/>
  <c r="CU107" i="20"/>
  <c r="AY105" i="25" s="1"/>
  <c r="AW105" i="25"/>
  <c r="CT67" i="20"/>
  <c r="AX65" i="25" s="1"/>
  <c r="BI89" i="20"/>
  <c r="BK89" i="20" s="1"/>
  <c r="BP89" i="20"/>
  <c r="AM87" i="25" s="1"/>
  <c r="BJ122" i="20"/>
  <c r="AG120" i="25" s="1"/>
  <c r="BJ138" i="20"/>
  <c r="AG136" i="25" s="1"/>
  <c r="BP231" i="20"/>
  <c r="AM229" i="25" s="1"/>
  <c r="BM213" i="20"/>
  <c r="AJ211" i="25" s="1"/>
  <c r="BQ130" i="20"/>
  <c r="AN128" i="25" s="1"/>
  <c r="BI167" i="20"/>
  <c r="AF128" i="25"/>
  <c r="BI72" i="20"/>
  <c r="AF70" i="25" s="1"/>
  <c r="BJ201" i="20"/>
  <c r="AG199" i="25" s="1"/>
  <c r="BK78" i="20"/>
  <c r="AH76" i="25" s="1"/>
  <c r="BP201" i="20"/>
  <c r="AM199" i="25" s="1"/>
  <c r="BJ231" i="20"/>
  <c r="AG229" i="25" s="1"/>
  <c r="BI113" i="20"/>
  <c r="BQ113" i="20" s="1"/>
  <c r="BK231" i="20"/>
  <c r="BL231" i="20" s="1"/>
  <c r="AI229" i="25" s="1"/>
  <c r="BP130" i="20"/>
  <c r="BH130" i="20" s="1"/>
  <c r="AE128" i="25" s="1"/>
  <c r="BP84" i="20"/>
  <c r="AM82" i="25" s="1"/>
  <c r="BJ77" i="20"/>
  <c r="AG75" i="25" s="1"/>
  <c r="BQ231" i="20"/>
  <c r="AN229" i="25" s="1"/>
  <c r="BJ84" i="20"/>
  <c r="AG82" i="25" s="1"/>
  <c r="BI84" i="20"/>
  <c r="BP191" i="20"/>
  <c r="AM189" i="25" s="1"/>
  <c r="BJ57" i="20"/>
  <c r="AG55" i="25" s="1"/>
  <c r="BJ67" i="20"/>
  <c r="AG65" i="25" s="1"/>
  <c r="BJ160" i="20"/>
  <c r="AG158" i="25" s="1"/>
  <c r="BS71" i="20"/>
  <c r="AP69" i="25" s="1"/>
  <c r="BQ94" i="20"/>
  <c r="AN92" i="25" s="1"/>
  <c r="BP199" i="20"/>
  <c r="AM197" i="25" s="1"/>
  <c r="BJ142" i="20"/>
  <c r="AG140" i="25" s="1"/>
  <c r="AN69" i="25"/>
  <c r="AF92" i="25"/>
  <c r="BK82" i="20"/>
  <c r="BL82" i="20" s="1"/>
  <c r="AI80" i="25" s="1"/>
  <c r="BP142" i="20"/>
  <c r="AM140" i="25" s="1"/>
  <c r="BI142" i="20"/>
  <c r="BK142" i="20" s="1"/>
  <c r="AH140" i="25" s="1"/>
  <c r="BK228" i="20"/>
  <c r="AH226" i="25" s="1"/>
  <c r="BR82" i="20"/>
  <c r="AO80" i="25" s="1"/>
  <c r="BI221" i="20"/>
  <c r="BI220" i="20" s="1"/>
  <c r="BP94" i="20"/>
  <c r="BH94" i="20" s="1"/>
  <c r="AE92" i="25" s="1"/>
  <c r="BP164" i="20"/>
  <c r="O164" i="20" s="1"/>
  <c r="BK122" i="20"/>
  <c r="AH120" i="25" s="1"/>
  <c r="BK71" i="20"/>
  <c r="AH69" i="25" s="1"/>
  <c r="BM210" i="20"/>
  <c r="BN210" i="20" s="1"/>
  <c r="AK208" i="25" s="1"/>
  <c r="BI57" i="20"/>
  <c r="BQ57" i="20" s="1"/>
  <c r="BJ228" i="20"/>
  <c r="AG226" i="25" s="1"/>
  <c r="BP71" i="20"/>
  <c r="BH71" i="20" s="1"/>
  <c r="AE69" i="25" s="1"/>
  <c r="BQ228" i="20"/>
  <c r="AN226" i="25" s="1"/>
  <c r="BP57" i="20"/>
  <c r="AM55" i="25" s="1"/>
  <c r="BJ71" i="20"/>
  <c r="AG69" i="25" s="1"/>
  <c r="AF69" i="25"/>
  <c r="BJ93" i="20"/>
  <c r="AG91" i="25" s="1"/>
  <c r="BI93" i="20"/>
  <c r="AF91" i="25" s="1"/>
  <c r="BQ78" i="20"/>
  <c r="AN76" i="25" s="1"/>
  <c r="BP122" i="20"/>
  <c r="AM120" i="25" s="1"/>
  <c r="BP138" i="20"/>
  <c r="AM136" i="25" s="1"/>
  <c r="BP118" i="20"/>
  <c r="AM116" i="25" s="1"/>
  <c r="BJ80" i="20"/>
  <c r="AG78" i="25" s="1"/>
  <c r="BJ94" i="20"/>
  <c r="AG92" i="25" s="1"/>
  <c r="BJ82" i="20"/>
  <c r="AG80" i="25" s="1"/>
  <c r="BJ110" i="20"/>
  <c r="AG108" i="25" s="1"/>
  <c r="BP82" i="20"/>
  <c r="BI106" i="20"/>
  <c r="BQ106" i="20" s="1"/>
  <c r="AN104" i="25" s="1"/>
  <c r="BS213" i="20"/>
  <c r="AP211" i="25" s="1"/>
  <c r="BJ140" i="20"/>
  <c r="AG138" i="25" s="1"/>
  <c r="BK201" i="20"/>
  <c r="BL201" i="20" s="1"/>
  <c r="AI199" i="25" s="1"/>
  <c r="BP58" i="20"/>
  <c r="AM56" i="25" s="1"/>
  <c r="BJ58" i="20"/>
  <c r="AG56" i="25" s="1"/>
  <c r="BP221" i="20"/>
  <c r="AM219" i="25" s="1"/>
  <c r="AF199" i="25"/>
  <c r="BJ55" i="20"/>
  <c r="AG53" i="25" s="1"/>
  <c r="BJ69" i="20"/>
  <c r="AG67" i="25" s="1"/>
  <c r="BP159" i="20"/>
  <c r="O159" i="20" s="1"/>
  <c r="BJ199" i="20"/>
  <c r="AG197" i="25" s="1"/>
  <c r="BQ61" i="20"/>
  <c r="AN59" i="25" s="1"/>
  <c r="BK61" i="20"/>
  <c r="BL61" i="20" s="1"/>
  <c r="AI59" i="25" s="1"/>
  <c r="BP55" i="20"/>
  <c r="AM53" i="25" s="1"/>
  <c r="BJ167" i="20"/>
  <c r="BP61" i="20"/>
  <c r="AM59" i="25" s="1"/>
  <c r="BP116" i="20"/>
  <c r="AM114" i="25" s="1"/>
  <c r="BJ135" i="20"/>
  <c r="AG133" i="25" s="1"/>
  <c r="BP99" i="20"/>
  <c r="AM97" i="25" s="1"/>
  <c r="BJ116" i="20"/>
  <c r="AG114" i="25" s="1"/>
  <c r="AF157" i="25"/>
  <c r="H157" i="25" s="1"/>
  <c r="BQ159" i="20"/>
  <c r="AN157" i="25" s="1"/>
  <c r="BK159" i="20"/>
  <c r="AH157" i="25" s="1"/>
  <c r="BI69" i="20"/>
  <c r="BK69" i="20" s="1"/>
  <c r="AH67" i="25" s="1"/>
  <c r="BJ96" i="20"/>
  <c r="AG94" i="25" s="1"/>
  <c r="BP69" i="20"/>
  <c r="BP228" i="20"/>
  <c r="BP167" i="20"/>
  <c r="BJ61" i="20"/>
  <c r="AG59" i="25" s="1"/>
  <c r="BP77" i="20"/>
  <c r="AM75" i="25" s="1"/>
  <c r="BJ159" i="20"/>
  <c r="AF133" i="25"/>
  <c r="BQ135" i="20"/>
  <c r="BR135" i="20" s="1"/>
  <c r="AO133" i="25" s="1"/>
  <c r="BK135" i="20"/>
  <c r="BL135" i="20" s="1"/>
  <c r="BM135" i="20" s="1"/>
  <c r="AJ133" i="25" s="1"/>
  <c r="BI87" i="20"/>
  <c r="BQ87" i="20" s="1"/>
  <c r="BI99" i="20"/>
  <c r="AF97" i="25" s="1"/>
  <c r="BP106" i="20"/>
  <c r="AM104" i="25" s="1"/>
  <c r="BK200" i="20"/>
  <c r="AH198" i="25" s="1"/>
  <c r="BJ115" i="20"/>
  <c r="AG113" i="25" s="1"/>
  <c r="BP227" i="20"/>
  <c r="AM225" i="25" s="1"/>
  <c r="BP87" i="20"/>
  <c r="AM85" i="25" s="1"/>
  <c r="BP135" i="20"/>
  <c r="AM133" i="25" s="1"/>
  <c r="BI136" i="20"/>
  <c r="BQ136" i="20" s="1"/>
  <c r="BR136" i="20" s="1"/>
  <c r="AO134" i="25" s="1"/>
  <c r="BJ227" i="20"/>
  <c r="AG225" i="25" s="1"/>
  <c r="BP115" i="20"/>
  <c r="AM113" i="25" s="1"/>
  <c r="AF53" i="25"/>
  <c r="BK55" i="20"/>
  <c r="AH53" i="25" s="1"/>
  <c r="BK125" i="20"/>
  <c r="AH123" i="25" s="1"/>
  <c r="BP117" i="20"/>
  <c r="BH117" i="20" s="1"/>
  <c r="AE115" i="25" s="1"/>
  <c r="BR67" i="20"/>
  <c r="AO65" i="25" s="1"/>
  <c r="BJ117" i="20"/>
  <c r="AG115" i="25" s="1"/>
  <c r="BP125" i="20"/>
  <c r="AM123" i="25" s="1"/>
  <c r="BQ125" i="20"/>
  <c r="AN123" i="25" s="1"/>
  <c r="BP78" i="20"/>
  <c r="BH78" i="20" s="1"/>
  <c r="AE76" i="25" s="1"/>
  <c r="BJ125" i="20"/>
  <c r="AG123" i="25" s="1"/>
  <c r="BJ78" i="20"/>
  <c r="AG76" i="25" s="1"/>
  <c r="BJ130" i="20"/>
  <c r="AG128" i="25" s="1"/>
  <c r="BK83" i="20"/>
  <c r="AH81" i="25" s="1"/>
  <c r="BJ104" i="20"/>
  <c r="AG102" i="25" s="1"/>
  <c r="BP136" i="20"/>
  <c r="AM134" i="25" s="1"/>
  <c r="BP104" i="20"/>
  <c r="BH104" i="20" s="1"/>
  <c r="AE102" i="25" s="1"/>
  <c r="BI88" i="20"/>
  <c r="BJ88" i="20"/>
  <c r="AG86" i="25" s="1"/>
  <c r="BP88" i="20"/>
  <c r="AM86" i="25" s="1"/>
  <c r="BJ99" i="20"/>
  <c r="AG97" i="25" s="1"/>
  <c r="BJ152" i="20"/>
  <c r="BP152" i="20"/>
  <c r="BI133" i="20"/>
  <c r="BP133" i="20"/>
  <c r="AM131" i="25" s="1"/>
  <c r="BJ176" i="20"/>
  <c r="BP176" i="20"/>
  <c r="BP140" i="20"/>
  <c r="AM138" i="25" s="1"/>
  <c r="CK49" i="20"/>
  <c r="CK5" i="20" s="1"/>
  <c r="BI107" i="20"/>
  <c r="BJ107" i="20"/>
  <c r="AG105" i="25" s="1"/>
  <c r="BK52" i="20"/>
  <c r="AH50" i="25" s="1"/>
  <c r="BQ55" i="20"/>
  <c r="AN53" i="25" s="1"/>
  <c r="AG146" i="20"/>
  <c r="W144" i="25" s="1"/>
  <c r="AF146" i="20"/>
  <c r="V144" i="25" s="1"/>
  <c r="AG230" i="20"/>
  <c r="W228" i="25" s="1"/>
  <c r="O144" i="25"/>
  <c r="Z228" i="20"/>
  <c r="P226" i="25" s="1"/>
  <c r="AF228" i="20"/>
  <c r="X228" i="20" s="1"/>
  <c r="AA228" i="20"/>
  <c r="Q226" i="25" s="1"/>
  <c r="AG228" i="20"/>
  <c r="W226" i="25" s="1"/>
  <c r="EE228" i="20"/>
  <c r="EF228" i="20" s="1"/>
  <c r="BQ226" i="25" s="1"/>
  <c r="EK228" i="20"/>
  <c r="BV226" i="25" s="1"/>
  <c r="CZ67" i="20"/>
  <c r="BD65" i="25" s="1"/>
  <c r="CZ213" i="20"/>
  <c r="BD211" i="25" s="1"/>
  <c r="CZ201" i="20"/>
  <c r="BD199" i="25" s="1"/>
  <c r="CU106" i="20"/>
  <c r="AY104" i="25" s="1"/>
  <c r="DA213" i="20"/>
  <c r="BE211" i="25" s="1"/>
  <c r="CZ205" i="20"/>
  <c r="BD203" i="25" s="1"/>
  <c r="DA106" i="20"/>
  <c r="BE104" i="25" s="1"/>
  <c r="DA201" i="20"/>
  <c r="BE199" i="25" s="1"/>
  <c r="CZ106" i="20"/>
  <c r="BD104" i="25" s="1"/>
  <c r="CT53" i="20"/>
  <c r="AX51" i="25" s="1"/>
  <c r="CT106" i="20"/>
  <c r="AX104" i="25" s="1"/>
  <c r="CT229" i="20"/>
  <c r="AX227" i="25" s="1"/>
  <c r="CT222" i="20"/>
  <c r="AX220" i="25" s="1"/>
  <c r="CT90" i="20"/>
  <c r="AX88" i="25" s="1"/>
  <c r="CZ140" i="20"/>
  <c r="BD138" i="25" s="1"/>
  <c r="CT201" i="20"/>
  <c r="AX199" i="25" s="1"/>
  <c r="DA57" i="20"/>
  <c r="BE55" i="25" s="1"/>
  <c r="CT107" i="20"/>
  <c r="AX105" i="25" s="1"/>
  <c r="CZ209" i="20"/>
  <c r="BD207" i="25" s="1"/>
  <c r="CU116" i="20"/>
  <c r="AY114" i="25" s="1"/>
  <c r="CZ133" i="20"/>
  <c r="BD131" i="25" s="1"/>
  <c r="CT72" i="20"/>
  <c r="AX70" i="25" s="1"/>
  <c r="CZ116" i="20"/>
  <c r="BD114" i="25" s="1"/>
  <c r="CZ107" i="20"/>
  <c r="BD105" i="25" s="1"/>
  <c r="CZ72" i="20"/>
  <c r="BD70" i="25" s="1"/>
  <c r="CU213" i="20"/>
  <c r="CV213" i="20" s="1"/>
  <c r="CT213" i="20"/>
  <c r="AX211" i="25" s="1"/>
  <c r="CZ95" i="20"/>
  <c r="BD93" i="25" s="1"/>
  <c r="Z55" i="20"/>
  <c r="P53" i="25" s="1"/>
  <c r="AF55" i="20"/>
  <c r="V53" i="25" s="1"/>
  <c r="Z212" i="20"/>
  <c r="P210" i="25" s="1"/>
  <c r="CZ129" i="20"/>
  <c r="BD127" i="25" s="1"/>
  <c r="CZ90" i="20"/>
  <c r="BD88" i="25" s="1"/>
  <c r="CT129" i="20"/>
  <c r="AX127" i="25" s="1"/>
  <c r="CT88" i="20"/>
  <c r="AX86" i="25" s="1"/>
  <c r="CZ88" i="20"/>
  <c r="BD86" i="25" s="1"/>
  <c r="CU201" i="20"/>
  <c r="CV201" i="20" s="1"/>
  <c r="CW201" i="20" s="1"/>
  <c r="BA199" i="25" s="1"/>
  <c r="CZ111" i="20"/>
  <c r="BD109" i="25" s="1"/>
  <c r="CT205" i="20"/>
  <c r="AX203" i="25" s="1"/>
  <c r="CT87" i="20"/>
  <c r="AX85" i="25" s="1"/>
  <c r="CT111" i="20"/>
  <c r="AX109" i="25" s="1"/>
  <c r="CZ70" i="20"/>
  <c r="BD68" i="25" s="1"/>
  <c r="CR201" i="20"/>
  <c r="AV199" i="25" s="1"/>
  <c r="CZ87" i="20"/>
  <c r="BD85" i="25" s="1"/>
  <c r="CZ125" i="20"/>
  <c r="CR125" i="20" s="1"/>
  <c r="AV123" i="25" s="1"/>
  <c r="DA116" i="20"/>
  <c r="BE114" i="25" s="1"/>
  <c r="CT93" i="20"/>
  <c r="AX91" i="25" s="1"/>
  <c r="CU93" i="20"/>
  <c r="AY91" i="25" s="1"/>
  <c r="CZ80" i="20"/>
  <c r="BD78" i="25" s="1"/>
  <c r="CZ93" i="20"/>
  <c r="BD91" i="25" s="1"/>
  <c r="CT116" i="20"/>
  <c r="AX114" i="25" s="1"/>
  <c r="CS87" i="20"/>
  <c r="CU87" i="20" s="1"/>
  <c r="CV87" i="20" s="1"/>
  <c r="CT80" i="20"/>
  <c r="AX78" i="25" s="1"/>
  <c r="CZ112" i="20"/>
  <c r="BD110" i="25" s="1"/>
  <c r="CZ60" i="20"/>
  <c r="BD58" i="25" s="1"/>
  <c r="DA70" i="20"/>
  <c r="DB70" i="20" s="1"/>
  <c r="BF68" i="25" s="1"/>
  <c r="CU229" i="20"/>
  <c r="AY227" i="25" s="1"/>
  <c r="AW68" i="25"/>
  <c r="DA229" i="20"/>
  <c r="BE227" i="25" s="1"/>
  <c r="CZ229" i="20"/>
  <c r="BD227" i="25" s="1"/>
  <c r="CS95" i="20"/>
  <c r="CU95" i="20" s="1"/>
  <c r="CV95" i="20" s="1"/>
  <c r="CU129" i="20"/>
  <c r="AY127" i="25" s="1"/>
  <c r="CT105" i="20"/>
  <c r="AX103" i="25" s="1"/>
  <c r="AW127" i="25"/>
  <c r="CT95" i="20"/>
  <c r="AX93" i="25" s="1"/>
  <c r="DA93" i="20"/>
  <c r="BE91" i="25" s="1"/>
  <c r="CT70" i="20"/>
  <c r="AX68" i="25" s="1"/>
  <c r="DA112" i="20"/>
  <c r="BE110" i="25" s="1"/>
  <c r="CZ54" i="20"/>
  <c r="BD52" i="25" s="1"/>
  <c r="DA92" i="20"/>
  <c r="BE90" i="25" s="1"/>
  <c r="CU92" i="20"/>
  <c r="CV92" i="20" s="1"/>
  <c r="CW92" i="20" s="1"/>
  <c r="CX92" i="20" s="1"/>
  <c r="CT57" i="20"/>
  <c r="AX55" i="25" s="1"/>
  <c r="CT113" i="20"/>
  <c r="AX111" i="25" s="1"/>
  <c r="DA222" i="20"/>
  <c r="DB222" i="20" s="1"/>
  <c r="BF220" i="25" s="1"/>
  <c r="CZ222" i="20"/>
  <c r="BD220" i="25" s="1"/>
  <c r="CU57" i="20"/>
  <c r="AY55" i="25" s="1"/>
  <c r="CU112" i="20"/>
  <c r="AY110" i="25" s="1"/>
  <c r="CU217" i="20"/>
  <c r="CV217" i="20" s="1"/>
  <c r="AZ215" i="25" s="1"/>
  <c r="CZ92" i="20"/>
  <c r="BD90" i="25" s="1"/>
  <c r="CZ57" i="20"/>
  <c r="BD55" i="25" s="1"/>
  <c r="CZ217" i="20"/>
  <c r="BD215" i="25" s="1"/>
  <c r="CU222" i="20"/>
  <c r="CV222" i="20" s="1"/>
  <c r="AZ220" i="25" s="1"/>
  <c r="CT60" i="20"/>
  <c r="AX58" i="25" s="1"/>
  <c r="CT217" i="20"/>
  <c r="AX215" i="25" s="1"/>
  <c r="CT112" i="20"/>
  <c r="AX110" i="25" s="1"/>
  <c r="CU218" i="20"/>
  <c r="CV218" i="20" s="1"/>
  <c r="AZ216" i="25" s="1"/>
  <c r="CT218" i="20"/>
  <c r="AX216" i="25" s="1"/>
  <c r="CZ218" i="20"/>
  <c r="BD216" i="25" s="1"/>
  <c r="CS113" i="20"/>
  <c r="CU113" i="20" s="1"/>
  <c r="AY111" i="25" s="1"/>
  <c r="CT56" i="20"/>
  <c r="AX54" i="25" s="1"/>
  <c r="DA218" i="20"/>
  <c r="CZ113" i="20"/>
  <c r="BD111" i="25" s="1"/>
  <c r="DA217" i="20"/>
  <c r="DB217" i="20" s="1"/>
  <c r="BF215" i="25" s="1"/>
  <c r="CZ102" i="20"/>
  <c r="BD100" i="25" s="1"/>
  <c r="AW87" i="25"/>
  <c r="DA89" i="20"/>
  <c r="DB89" i="20" s="1"/>
  <c r="DC89" i="20" s="1"/>
  <c r="CU89" i="20"/>
  <c r="AY87" i="25" s="1"/>
  <c r="CT127" i="20"/>
  <c r="AX125" i="25" s="1"/>
  <c r="CZ89" i="20"/>
  <c r="BD87" i="25" s="1"/>
  <c r="CS105" i="20"/>
  <c r="AW103" i="25" s="1"/>
  <c r="CU206" i="20"/>
  <c r="AY204" i="25" s="1"/>
  <c r="CZ206" i="20"/>
  <c r="BD204" i="25" s="1"/>
  <c r="CT206" i="20"/>
  <c r="AX204" i="25" s="1"/>
  <c r="CZ52" i="20"/>
  <c r="BD50" i="25" s="1"/>
  <c r="CT89" i="20"/>
  <c r="AX87" i="25" s="1"/>
  <c r="CT52" i="20"/>
  <c r="AX50" i="25" s="1"/>
  <c r="CT125" i="20"/>
  <c r="AX123" i="25" s="1"/>
  <c r="CT227" i="20"/>
  <c r="AX225" i="25" s="1"/>
  <c r="CZ227" i="20"/>
  <c r="BD225" i="25" s="1"/>
  <c r="DA205" i="20"/>
  <c r="AW203" i="25"/>
  <c r="CT216" i="20"/>
  <c r="AX214" i="25" s="1"/>
  <c r="DA130" i="20"/>
  <c r="BE128" i="25" s="1"/>
  <c r="CT140" i="20"/>
  <c r="AX138" i="25" s="1"/>
  <c r="CU130" i="20"/>
  <c r="AY128" i="25" s="1"/>
  <c r="CS140" i="20"/>
  <c r="DA140" i="20" s="1"/>
  <c r="BE138" i="25" s="1"/>
  <c r="CU79" i="20"/>
  <c r="AY77" i="25" s="1"/>
  <c r="CZ79" i="20"/>
  <c r="BD77" i="25" s="1"/>
  <c r="CT214" i="20"/>
  <c r="AX212" i="25" s="1"/>
  <c r="CT215" i="20"/>
  <c r="AX213" i="25" s="1"/>
  <c r="CT212" i="20"/>
  <c r="AX210" i="25" s="1"/>
  <c r="CZ127" i="20"/>
  <c r="BD125" i="25" s="1"/>
  <c r="DU49" i="20"/>
  <c r="DU5" i="20" s="1"/>
  <c r="CT231" i="20"/>
  <c r="AX229" i="25" s="1"/>
  <c r="DP49" i="20"/>
  <c r="DP5" i="20" s="1"/>
  <c r="CT115" i="20"/>
  <c r="AX113" i="25" s="1"/>
  <c r="CT133" i="20"/>
  <c r="AX131" i="25" s="1"/>
  <c r="CZ145" i="20"/>
  <c r="BD143" i="25" s="1"/>
  <c r="CT130" i="20"/>
  <c r="AX128" i="25" s="1"/>
  <c r="CZ130" i="20"/>
  <c r="CS209" i="20"/>
  <c r="CU209" i="20" s="1"/>
  <c r="DA206" i="20"/>
  <c r="DA65" i="20"/>
  <c r="BE63" i="25" s="1"/>
  <c r="CU65" i="20"/>
  <c r="AY63" i="25" s="1"/>
  <c r="CT102" i="20"/>
  <c r="AX100" i="25" s="1"/>
  <c r="DT49" i="20"/>
  <c r="DT5" i="20" s="1"/>
  <c r="DA79" i="20"/>
  <c r="CS66" i="20"/>
  <c r="CZ66" i="20"/>
  <c r="BD64" i="25" s="1"/>
  <c r="CT66" i="20"/>
  <c r="AX64" i="25" s="1"/>
  <c r="CZ105" i="20"/>
  <c r="BD103" i="25" s="1"/>
  <c r="CT209" i="20"/>
  <c r="AX207" i="25" s="1"/>
  <c r="DS49" i="20"/>
  <c r="DS5" i="20" s="1"/>
  <c r="DO49" i="20"/>
  <c r="DO5" i="20" s="1"/>
  <c r="DA102" i="20"/>
  <c r="AW100" i="25"/>
  <c r="CS56" i="20"/>
  <c r="CZ56" i="20"/>
  <c r="BD54" i="25" s="1"/>
  <c r="CZ211" i="20"/>
  <c r="BD209" i="25" s="1"/>
  <c r="CS117" i="20"/>
  <c r="CZ117" i="20"/>
  <c r="BD115" i="25" s="1"/>
  <c r="DV49" i="20"/>
  <c r="DV5" i="20" s="1"/>
  <c r="CT81" i="20"/>
  <c r="AX79" i="25" s="1"/>
  <c r="CZ81" i="20"/>
  <c r="BD79" i="25" s="1"/>
  <c r="CU199" i="20"/>
  <c r="AY197" i="25" s="1"/>
  <c r="CS127" i="20"/>
  <c r="AW125" i="25" s="1"/>
  <c r="CZ216" i="20"/>
  <c r="BD214" i="25" s="1"/>
  <c r="DF4" i="20"/>
  <c r="CT117" i="20"/>
  <c r="AX115" i="25" s="1"/>
  <c r="CT211" i="20"/>
  <c r="AX209" i="25" s="1"/>
  <c r="CT92" i="20"/>
  <c r="AX90" i="25" s="1"/>
  <c r="CZ118" i="20"/>
  <c r="CT118" i="20"/>
  <c r="AX116" i="25" s="1"/>
  <c r="CZ115" i="20"/>
  <c r="BD113" i="25" s="1"/>
  <c r="CS115" i="20"/>
  <c r="CT223" i="20"/>
  <c r="AX221" i="25" s="1"/>
  <c r="DM49" i="20"/>
  <c r="DM5" i="20" s="1"/>
  <c r="CT147" i="20"/>
  <c r="AX145" i="25" s="1"/>
  <c r="CT221" i="20"/>
  <c r="AX219" i="25" s="1"/>
  <c r="CZ122" i="20"/>
  <c r="BD120" i="25" s="1"/>
  <c r="CZ212" i="20"/>
  <c r="BD210" i="25" s="1"/>
  <c r="AY214" i="25"/>
  <c r="CV216" i="20"/>
  <c r="CW216" i="20" s="1"/>
  <c r="BA214" i="25" s="1"/>
  <c r="CZ114" i="20"/>
  <c r="BD112" i="25" s="1"/>
  <c r="CS114" i="20"/>
  <c r="CT114" i="20"/>
  <c r="AX112" i="25" s="1"/>
  <c r="CT84" i="20"/>
  <c r="AX82" i="25" s="1"/>
  <c r="CZ84" i="20"/>
  <c r="BD82" i="25" s="1"/>
  <c r="CS84" i="20"/>
  <c r="DG4" i="20"/>
  <c r="CZ64" i="20"/>
  <c r="BD62" i="25" s="1"/>
  <c r="CT64" i="20"/>
  <c r="AX62" i="25" s="1"/>
  <c r="CZ200" i="20"/>
  <c r="BD198" i="25" s="1"/>
  <c r="CS200" i="20"/>
  <c r="CS198" i="20" s="1"/>
  <c r="CT200" i="20"/>
  <c r="AX198" i="25" s="1"/>
  <c r="CS68" i="20"/>
  <c r="CT68" i="20"/>
  <c r="AX66" i="25" s="1"/>
  <c r="CZ68" i="20"/>
  <c r="CT101" i="20"/>
  <c r="AX99" i="25" s="1"/>
  <c r="CS101" i="20"/>
  <c r="CZ134" i="20"/>
  <c r="BD132" i="25" s="1"/>
  <c r="CT134" i="20"/>
  <c r="AX132" i="25" s="1"/>
  <c r="CS134" i="20"/>
  <c r="CZ199" i="20"/>
  <c r="CT199" i="20"/>
  <c r="CT137" i="20"/>
  <c r="AX135" i="25" s="1"/>
  <c r="CZ137" i="20"/>
  <c r="BD135" i="25" s="1"/>
  <c r="CS137" i="20"/>
  <c r="CS55" i="20"/>
  <c r="CZ55" i="20"/>
  <c r="BD53" i="25" s="1"/>
  <c r="CT55" i="20"/>
  <c r="AX53" i="25" s="1"/>
  <c r="CT99" i="20"/>
  <c r="AX97" i="25" s="1"/>
  <c r="CZ99" i="20"/>
  <c r="BD97" i="25" s="1"/>
  <c r="DL49" i="20"/>
  <c r="DL5" i="20" s="1"/>
  <c r="DJ49" i="20"/>
  <c r="CT204" i="20"/>
  <c r="AX202" i="25" s="1"/>
  <c r="CZ204" i="20"/>
  <c r="CS204" i="20"/>
  <c r="CZ146" i="20"/>
  <c r="CR146" i="20" s="1"/>
  <c r="AV144" i="25" s="1"/>
  <c r="CT146" i="20"/>
  <c r="AX144" i="25" s="1"/>
  <c r="CS124" i="20"/>
  <c r="CT124" i="20"/>
  <c r="AX122" i="25" s="1"/>
  <c r="CZ124" i="20"/>
  <c r="BD122" i="25" s="1"/>
  <c r="CZ71" i="20"/>
  <c r="BD69" i="25" s="1"/>
  <c r="CS71" i="20"/>
  <c r="CT71" i="20"/>
  <c r="AX69" i="25" s="1"/>
  <c r="CT139" i="20"/>
  <c r="AX137" i="25" s="1"/>
  <c r="CZ139" i="20"/>
  <c r="BD137" i="25" s="1"/>
  <c r="CS139" i="20"/>
  <c r="CS54" i="20"/>
  <c r="CT54" i="20"/>
  <c r="AX52" i="25" s="1"/>
  <c r="CZ126" i="20"/>
  <c r="BD124" i="25" s="1"/>
  <c r="CT126" i="20"/>
  <c r="AX124" i="25" s="1"/>
  <c r="CT138" i="20"/>
  <c r="AX136" i="25" s="1"/>
  <c r="CZ138" i="20"/>
  <c r="BD136" i="25" s="1"/>
  <c r="CS78" i="20"/>
  <c r="CT78" i="20"/>
  <c r="AX76" i="25" s="1"/>
  <c r="CZ78" i="20"/>
  <c r="BD76" i="25" s="1"/>
  <c r="CS91" i="20"/>
  <c r="CT91" i="20"/>
  <c r="AX89" i="25" s="1"/>
  <c r="CZ91" i="20"/>
  <c r="BD89" i="25" s="1"/>
  <c r="DH4" i="20"/>
  <c r="CT83" i="20"/>
  <c r="AX81" i="25" s="1"/>
  <c r="CZ83" i="20"/>
  <c r="BD81" i="25" s="1"/>
  <c r="CS147" i="20"/>
  <c r="CZ147" i="20"/>
  <c r="BD145" i="25" s="1"/>
  <c r="CT135" i="20"/>
  <c r="AX133" i="25" s="1"/>
  <c r="CS135" i="20"/>
  <c r="CZ135" i="20"/>
  <c r="BD133" i="25" s="1"/>
  <c r="CS94" i="20"/>
  <c r="CZ94" i="20"/>
  <c r="BD92" i="25" s="1"/>
  <c r="CT94" i="20"/>
  <c r="AX92" i="25" s="1"/>
  <c r="AW123" i="25"/>
  <c r="DA125" i="20"/>
  <c r="CT141" i="20"/>
  <c r="AX139" i="25" s="1"/>
  <c r="CZ141" i="20"/>
  <c r="BD139" i="25" s="1"/>
  <c r="CS100" i="20"/>
  <c r="CT100" i="20"/>
  <c r="AX98" i="25" s="1"/>
  <c r="CZ100" i="20"/>
  <c r="BD98" i="25" s="1"/>
  <c r="CZ230" i="20"/>
  <c r="BD228" i="25" s="1"/>
  <c r="CS230" i="20"/>
  <c r="CT230" i="20"/>
  <c r="AX228" i="25" s="1"/>
  <c r="CT122" i="20"/>
  <c r="AX120" i="25" s="1"/>
  <c r="CS145" i="20"/>
  <c r="CT145" i="20"/>
  <c r="AX143" i="25" s="1"/>
  <c r="CZ101" i="20"/>
  <c r="BD99" i="25" s="1"/>
  <c r="CS99" i="20"/>
  <c r="DA99" i="20" s="1"/>
  <c r="CZ58" i="20"/>
  <c r="BD56" i="25" s="1"/>
  <c r="CT58" i="20"/>
  <c r="AX56" i="25" s="1"/>
  <c r="CT59" i="20"/>
  <c r="AX57" i="25" s="1"/>
  <c r="CS59" i="20"/>
  <c r="CZ59" i="20"/>
  <c r="BD57" i="25" s="1"/>
  <c r="CZ65" i="20"/>
  <c r="CT65" i="20"/>
  <c r="AX63" i="25" s="1"/>
  <c r="CT228" i="20"/>
  <c r="CZ228" i="20"/>
  <c r="CS77" i="20"/>
  <c r="CT77" i="20"/>
  <c r="AX75" i="25" s="1"/>
  <c r="CZ77" i="20"/>
  <c r="BD75" i="25" s="1"/>
  <c r="CT148" i="20"/>
  <c r="AX146" i="25" s="1"/>
  <c r="CS148" i="20"/>
  <c r="CZ148" i="20"/>
  <c r="BD146" i="25" s="1"/>
  <c r="CT136" i="20"/>
  <c r="AX134" i="25" s="1"/>
  <c r="CZ136" i="20"/>
  <c r="BD134" i="25" s="1"/>
  <c r="CS69" i="20"/>
  <c r="CZ69" i="20"/>
  <c r="BD67" i="25" s="1"/>
  <c r="CT69" i="20"/>
  <c r="AX67" i="25" s="1"/>
  <c r="CZ110" i="20"/>
  <c r="BD108" i="25" s="1"/>
  <c r="CT110" i="20"/>
  <c r="AX108" i="25" s="1"/>
  <c r="CZ82" i="20"/>
  <c r="BD80" i="25" s="1"/>
  <c r="CT82" i="20"/>
  <c r="AX80" i="25" s="1"/>
  <c r="CT123" i="20"/>
  <c r="AX121" i="25" s="1"/>
  <c r="CS123" i="20"/>
  <c r="CZ123" i="20"/>
  <c r="BD121" i="25" s="1"/>
  <c r="CZ103" i="20"/>
  <c r="BD101" i="25" s="1"/>
  <c r="CT103" i="20"/>
  <c r="AX101" i="25" s="1"/>
  <c r="CS221" i="20"/>
  <c r="CZ221" i="20"/>
  <c r="BD219" i="25" s="1"/>
  <c r="CT79" i="20"/>
  <c r="AX77" i="25" s="1"/>
  <c r="CT76" i="20"/>
  <c r="CZ76" i="20"/>
  <c r="BD74" i="25" s="1"/>
  <c r="CZ231" i="20"/>
  <c r="BD229" i="25" s="1"/>
  <c r="CS231" i="20"/>
  <c r="CT210" i="20"/>
  <c r="AX208" i="25" s="1"/>
  <c r="CZ210" i="20"/>
  <c r="BD208" i="25" s="1"/>
  <c r="CT104" i="20"/>
  <c r="AX102" i="25" s="1"/>
  <c r="CZ104" i="20"/>
  <c r="BD102" i="25" s="1"/>
  <c r="CS223" i="20"/>
  <c r="CZ223" i="20"/>
  <c r="CS119" i="20"/>
  <c r="CZ119" i="20"/>
  <c r="BD117" i="25" s="1"/>
  <c r="CT119" i="20"/>
  <c r="AX117" i="25" s="1"/>
  <c r="CS142" i="20"/>
  <c r="CT142" i="20"/>
  <c r="CZ142" i="20"/>
  <c r="CS73" i="20"/>
  <c r="CZ73" i="20"/>
  <c r="BD71" i="25" s="1"/>
  <c r="CT73" i="20"/>
  <c r="AX71" i="25" s="1"/>
  <c r="DR49" i="20"/>
  <c r="DR5" i="20" s="1"/>
  <c r="DK49" i="20"/>
  <c r="CZ61" i="20"/>
  <c r="CS61" i="20"/>
  <c r="CT61" i="20"/>
  <c r="DN49" i="20"/>
  <c r="DN5" i="20" s="1"/>
  <c r="CZ215" i="20"/>
  <c r="BD213" i="25" s="1"/>
  <c r="CS215" i="20"/>
  <c r="CS224" i="20"/>
  <c r="CT224" i="20"/>
  <c r="AX222" i="25" s="1"/>
  <c r="CZ224" i="20"/>
  <c r="BD222" i="25" s="1"/>
  <c r="AW108" i="25"/>
  <c r="CS96" i="20"/>
  <c r="CZ96" i="20"/>
  <c r="BD94" i="25" s="1"/>
  <c r="CT96" i="20"/>
  <c r="AX94" i="25" s="1"/>
  <c r="AW214" i="25"/>
  <c r="DA216" i="20"/>
  <c r="CS214" i="20"/>
  <c r="CZ214" i="20"/>
  <c r="BD212" i="25" s="1"/>
  <c r="AW116" i="25"/>
  <c r="CU118" i="20"/>
  <c r="AY116" i="25" s="1"/>
  <c r="BI164" i="20"/>
  <c r="AF162" i="25" s="1"/>
  <c r="H162" i="25" s="1"/>
  <c r="BN157" i="20"/>
  <c r="AK155" i="25" s="1"/>
  <c r="AD162" i="25"/>
  <c r="F162" i="25" s="1"/>
  <c r="CU146" i="20"/>
  <c r="AY144" i="25" s="1"/>
  <c r="BS217" i="20"/>
  <c r="AP215" i="25" s="1"/>
  <c r="F127" i="20"/>
  <c r="F179" i="20"/>
  <c r="BQ122" i="20"/>
  <c r="AN120" i="25" s="1"/>
  <c r="AD161" i="20"/>
  <c r="T159" i="25" s="1"/>
  <c r="S159" i="25"/>
  <c r="M142" i="25"/>
  <c r="AD196" i="25"/>
  <c r="F196" i="25" s="1"/>
  <c r="DA146" i="20"/>
  <c r="BE144" i="25" s="1"/>
  <c r="BQ200" i="20"/>
  <c r="F130" i="20"/>
  <c r="F139" i="25"/>
  <c r="EB213" i="20"/>
  <c r="BM211" i="25" s="1"/>
  <c r="F192" i="20"/>
  <c r="BK67" i="20"/>
  <c r="BL67" i="20" s="1"/>
  <c r="AF65" i="25"/>
  <c r="CU110" i="20"/>
  <c r="AY108" i="25" s="1"/>
  <c r="AU142" i="25"/>
  <c r="CU228" i="20"/>
  <c r="H226" i="25"/>
  <c r="DA228" i="20"/>
  <c r="DB228" i="20" s="1"/>
  <c r="BF226" i="25" s="1"/>
  <c r="AW58" i="25"/>
  <c r="DA199" i="20"/>
  <c r="DB199" i="20" s="1"/>
  <c r="BF197" i="25" s="1"/>
  <c r="G39" i="20"/>
  <c r="H39" i="20" s="1"/>
  <c r="F125" i="25"/>
  <c r="DA227" i="20"/>
  <c r="BE225" i="25" s="1"/>
  <c r="BK116" i="20"/>
  <c r="AH114" i="25" s="1"/>
  <c r="AF63" i="25"/>
  <c r="CU227" i="20"/>
  <c r="CV227" i="20" s="1"/>
  <c r="AZ225" i="25" s="1"/>
  <c r="AW225" i="25"/>
  <c r="BQ222" i="20"/>
  <c r="AN220" i="25" s="1"/>
  <c r="BK222" i="20"/>
  <c r="AH220" i="25" s="1"/>
  <c r="F233" i="25"/>
  <c r="F62" i="25"/>
  <c r="BR52" i="20"/>
  <c r="BS52" i="20" s="1"/>
  <c r="BT52" i="20" s="1"/>
  <c r="AQ50" i="25" s="1"/>
  <c r="AN50" i="25"/>
  <c r="DA110" i="20"/>
  <c r="BE108" i="25" s="1"/>
  <c r="F64" i="25"/>
  <c r="DB107" i="20"/>
  <c r="BF105" i="25" s="1"/>
  <c r="Z53" i="20"/>
  <c r="P51" i="25" s="1"/>
  <c r="F75" i="25"/>
  <c r="AF230" i="20"/>
  <c r="X230" i="20" s="1"/>
  <c r="N228" i="25" s="1"/>
  <c r="Z201" i="20"/>
  <c r="P199" i="25" s="1"/>
  <c r="AF139" i="20"/>
  <c r="V137" i="25" s="1"/>
  <c r="BM218" i="20"/>
  <c r="AJ216" i="25" s="1"/>
  <c r="BK101" i="20"/>
  <c r="BL101" i="20" s="1"/>
  <c r="AI99" i="25" s="1"/>
  <c r="DB118" i="20"/>
  <c r="BF116" i="25" s="1"/>
  <c r="F167" i="20"/>
  <c r="AD165" i="25"/>
  <c r="F165" i="25" s="1"/>
  <c r="Z230" i="20"/>
  <c r="P228" i="25" s="1"/>
  <c r="CE49" i="20"/>
  <c r="CE5" i="20" s="1"/>
  <c r="DA60" i="20"/>
  <c r="BJ196" i="20"/>
  <c r="I196" i="20" s="1"/>
  <c r="F214" i="25"/>
  <c r="BN165" i="20"/>
  <c r="AK163" i="25" s="1"/>
  <c r="BS212" i="20"/>
  <c r="AP210" i="25" s="1"/>
  <c r="F115" i="25"/>
  <c r="AD172" i="20"/>
  <c r="T170" i="25" s="1"/>
  <c r="AD49" i="25"/>
  <c r="CA49" i="20"/>
  <c r="F132" i="25"/>
  <c r="BN203" i="25"/>
  <c r="BP119" i="20"/>
  <c r="BH119" i="20" s="1"/>
  <c r="M119" i="25"/>
  <c r="F52" i="25"/>
  <c r="BT148" i="20"/>
  <c r="AQ146" i="25" s="1"/>
  <c r="AD153" i="25"/>
  <c r="F153" i="25" s="1"/>
  <c r="F155" i="20"/>
  <c r="BK77" i="20"/>
  <c r="AH75" i="25" s="1"/>
  <c r="BQ77" i="20"/>
  <c r="AN75" i="25" s="1"/>
  <c r="AD150" i="20"/>
  <c r="T148" i="25" s="1"/>
  <c r="S148" i="25"/>
  <c r="CB49" i="20"/>
  <c r="CB5" i="20" s="1"/>
  <c r="AF75" i="25"/>
  <c r="AD150" i="25"/>
  <c r="F150" i="25" s="1"/>
  <c r="F152" i="20"/>
  <c r="BI152" i="20"/>
  <c r="EB212" i="20"/>
  <c r="BM210" i="25" s="1"/>
  <c r="S155" i="25"/>
  <c r="AD157" i="20"/>
  <c r="T155" i="25" s="1"/>
  <c r="AD149" i="25"/>
  <c r="F151" i="20"/>
  <c r="S181" i="25"/>
  <c r="AD183" i="20"/>
  <c r="T181" i="25" s="1"/>
  <c r="AD186" i="25"/>
  <c r="F186" i="25" s="1"/>
  <c r="F188" i="20"/>
  <c r="BG4" i="20"/>
  <c r="X235" i="20"/>
  <c r="X233" i="20" s="1"/>
  <c r="AF218" i="20"/>
  <c r="V216" i="25" s="1"/>
  <c r="F50" i="25"/>
  <c r="BI175" i="20"/>
  <c r="AD173" i="25"/>
  <c r="F173" i="25" s="1"/>
  <c r="F175" i="20"/>
  <c r="BQ83" i="20"/>
  <c r="AN81" i="25" s="1"/>
  <c r="AD185" i="25"/>
  <c r="F185" i="25" s="1"/>
  <c r="F187" i="20"/>
  <c r="S158" i="25"/>
  <c r="BQ65" i="20"/>
  <c r="BR65" i="20" s="1"/>
  <c r="BS65" i="20" s="1"/>
  <c r="BM212" i="20"/>
  <c r="AJ210" i="25" s="1"/>
  <c r="AD174" i="25"/>
  <c r="F174" i="25" s="1"/>
  <c r="F176" i="20"/>
  <c r="BI176" i="20"/>
  <c r="F100" i="25"/>
  <c r="BJ119" i="20"/>
  <c r="AG117" i="25" s="1"/>
  <c r="S166" i="25"/>
  <c r="AD168" i="20"/>
  <c r="T166" i="25" s="1"/>
  <c r="G37" i="25"/>
  <c r="I37" i="25" s="1"/>
  <c r="EC104" i="20"/>
  <c r="BN102" i="25" s="1"/>
  <c r="BZ49" i="20"/>
  <c r="Z105" i="20"/>
  <c r="P103" i="25" s="1"/>
  <c r="AG218" i="20"/>
  <c r="W216" i="25" s="1"/>
  <c r="DB129" i="20"/>
  <c r="BF127" i="25" s="1"/>
  <c r="F160" i="20"/>
  <c r="AD154" i="20"/>
  <c r="T152" i="25" s="1"/>
  <c r="S152" i="25"/>
  <c r="F65" i="25"/>
  <c r="F184" i="20"/>
  <c r="AD182" i="25"/>
  <c r="F182" i="25" s="1"/>
  <c r="BS201" i="20"/>
  <c r="AP199" i="25" s="1"/>
  <c r="Z222" i="20"/>
  <c r="P220" i="25" s="1"/>
  <c r="AD181" i="25"/>
  <c r="F181" i="25" s="1"/>
  <c r="F183" i="20"/>
  <c r="AD186" i="20"/>
  <c r="T184" i="25" s="1"/>
  <c r="F222" i="25"/>
  <c r="BU209" i="25"/>
  <c r="BP206" i="20"/>
  <c r="BH206" i="20" s="1"/>
  <c r="AE204" i="25" s="1"/>
  <c r="BQ208" i="20"/>
  <c r="AF82" i="20"/>
  <c r="V80" i="25" s="1"/>
  <c r="AD154" i="25"/>
  <c r="F154" i="25" s="1"/>
  <c r="BI156" i="20"/>
  <c r="F156" i="20"/>
  <c r="AY58" i="25"/>
  <c r="CV60" i="20"/>
  <c r="ED82" i="20"/>
  <c r="ED128" i="20" s="1"/>
  <c r="BO126" i="25" s="1"/>
  <c r="AG100" i="20"/>
  <c r="W98" i="25" s="1"/>
  <c r="AA100" i="20"/>
  <c r="AB100" i="20" s="1"/>
  <c r="AA216" i="20"/>
  <c r="Q214" i="25" s="1"/>
  <c r="Z52" i="20"/>
  <c r="P50" i="25" s="1"/>
  <c r="AF100" i="20"/>
  <c r="V98" i="25" s="1"/>
  <c r="Z218" i="20"/>
  <c r="P216" i="25" s="1"/>
  <c r="AA218" i="20"/>
  <c r="AB218" i="20" s="1"/>
  <c r="AC218" i="20" s="1"/>
  <c r="Z100" i="20"/>
  <c r="P98" i="25" s="1"/>
  <c r="H216" i="25"/>
  <c r="AF200" i="20"/>
  <c r="V198" i="25" s="1"/>
  <c r="AF105" i="20"/>
  <c r="V103" i="25" s="1"/>
  <c r="EE102" i="20"/>
  <c r="EF102" i="20" s="1"/>
  <c r="BQ100" i="25" s="1"/>
  <c r="CD49" i="20"/>
  <c r="CD5" i="20" s="1"/>
  <c r="N28" i="25"/>
  <c r="G28" i="25" s="1"/>
  <c r="I28" i="25" s="1"/>
  <c r="G30" i="20"/>
  <c r="H30" i="20" s="1"/>
  <c r="F63" i="25"/>
  <c r="M61" i="25"/>
  <c r="AW136" i="25"/>
  <c r="CU138" i="20"/>
  <c r="AY136" i="25" s="1"/>
  <c r="DA138" i="20"/>
  <c r="BE136" i="25" s="1"/>
  <c r="F71" i="25"/>
  <c r="F229" i="25"/>
  <c r="EE224" i="20"/>
  <c r="EF224" i="20" s="1"/>
  <c r="EG224" i="20" s="1"/>
  <c r="M130" i="25"/>
  <c r="EK205" i="20"/>
  <c r="BV203" i="25" s="1"/>
  <c r="AG94" i="20"/>
  <c r="W92" i="25" s="1"/>
  <c r="BM214" i="20"/>
  <c r="AJ212" i="25" s="1"/>
  <c r="BR209" i="20"/>
  <c r="CU52" i="20"/>
  <c r="DA52" i="20"/>
  <c r="AW50" i="25"/>
  <c r="CV125" i="20"/>
  <c r="AZ123" i="25" s="1"/>
  <c r="AY123" i="25"/>
  <c r="F135" i="25"/>
  <c r="ED224" i="20"/>
  <c r="BQ116" i="20"/>
  <c r="AN114" i="25" s="1"/>
  <c r="BP196" i="20"/>
  <c r="O196" i="20" s="1"/>
  <c r="CC49" i="20"/>
  <c r="CC5" i="20" s="1"/>
  <c r="AU49" i="25"/>
  <c r="N21" i="25"/>
  <c r="G21" i="25" s="1"/>
  <c r="I21" i="25" s="1"/>
  <c r="G23" i="20"/>
  <c r="H23" i="20" s="1"/>
  <c r="N9" i="25"/>
  <c r="G9" i="25" s="1"/>
  <c r="I9" i="25" s="1"/>
  <c r="G11" i="20"/>
  <c r="H11" i="20" s="1"/>
  <c r="F59" i="25"/>
  <c r="BK229" i="20"/>
  <c r="AH227" i="25" s="1"/>
  <c r="CF49" i="20"/>
  <c r="CF5" i="20" s="1"/>
  <c r="AU130" i="25"/>
  <c r="AW65" i="25"/>
  <c r="CU67" i="20"/>
  <c r="AY65" i="25" s="1"/>
  <c r="DA67" i="20"/>
  <c r="BE65" i="25" s="1"/>
  <c r="AW134" i="25"/>
  <c r="CU136" i="20"/>
  <c r="AY134" i="25" s="1"/>
  <c r="DA136" i="20"/>
  <c r="BE134" i="25" s="1"/>
  <c r="AD179" i="20"/>
  <c r="T177" i="25" s="1"/>
  <c r="F226" i="25"/>
  <c r="AW56" i="25"/>
  <c r="CU58" i="20"/>
  <c r="AY56" i="25" s="1"/>
  <c r="DA58" i="20"/>
  <c r="BE56" i="25" s="1"/>
  <c r="BQ58" i="20"/>
  <c r="AN56" i="25" s="1"/>
  <c r="CI49" i="20"/>
  <c r="CI5" i="20" s="1"/>
  <c r="EJ102" i="20"/>
  <c r="BU100" i="25" s="1"/>
  <c r="Z125" i="20"/>
  <c r="P123" i="25" s="1"/>
  <c r="Z224" i="20"/>
  <c r="P222" i="25" s="1"/>
  <c r="AF229" i="20"/>
  <c r="V227" i="25" s="1"/>
  <c r="AW126" i="25"/>
  <c r="CR128" i="20"/>
  <c r="AV126" i="25" s="1"/>
  <c r="DA128" i="20"/>
  <c r="BE126" i="25" s="1"/>
  <c r="CU128" i="20"/>
  <c r="AY126" i="25" s="1"/>
  <c r="CR9" i="20"/>
  <c r="DA141" i="20"/>
  <c r="BE139" i="25" s="1"/>
  <c r="AW139" i="25"/>
  <c r="CU141" i="20"/>
  <c r="AY139" i="25" s="1"/>
  <c r="AI234" i="25"/>
  <c r="AI233" i="25" s="1"/>
  <c r="BL235" i="20"/>
  <c r="BL233" i="20" s="1"/>
  <c r="DA126" i="20"/>
  <c r="BE124" i="25" s="1"/>
  <c r="CU126" i="20"/>
  <c r="AY124" i="25" s="1"/>
  <c r="AW124" i="25"/>
  <c r="AJ151" i="25"/>
  <c r="BN153" i="20"/>
  <c r="AK151" i="25" s="1"/>
  <c r="AW109" i="25"/>
  <c r="CU111" i="20"/>
  <c r="AY109" i="25" s="1"/>
  <c r="DA111" i="20"/>
  <c r="BE109" i="25" s="1"/>
  <c r="F128" i="25"/>
  <c r="AU73" i="25"/>
  <c r="F208" i="25"/>
  <c r="BS218" i="20"/>
  <c r="AP216" i="25" s="1"/>
  <c r="BQ229" i="20"/>
  <c r="AN227" i="25" s="1"/>
  <c r="BM216" i="20"/>
  <c r="AJ214" i="25" s="1"/>
  <c r="AF56" i="25"/>
  <c r="BR216" i="20"/>
  <c r="AO214" i="25" s="1"/>
  <c r="AW120" i="25"/>
  <c r="DA122" i="20"/>
  <c r="BE120" i="25" s="1"/>
  <c r="CU122" i="20"/>
  <c r="AY120" i="25" s="1"/>
  <c r="F134" i="25"/>
  <c r="ED104" i="20"/>
  <c r="BO102" i="25" s="1"/>
  <c r="CV102" i="20"/>
  <c r="AZ100" i="25" s="1"/>
  <c r="AY100" i="25"/>
  <c r="F81" i="25"/>
  <c r="BK104" i="20"/>
  <c r="BL104" i="20" s="1"/>
  <c r="BM104" i="20" s="1"/>
  <c r="AU107" i="25"/>
  <c r="AF90" i="25"/>
  <c r="BQ92" i="20"/>
  <c r="BK92" i="20"/>
  <c r="S182" i="25"/>
  <c r="AD184" i="20"/>
  <c r="T182" i="25" s="1"/>
  <c r="AU119" i="25"/>
  <c r="F138" i="25"/>
  <c r="AW131" i="25"/>
  <c r="DA133" i="20"/>
  <c r="DB133" i="20" s="1"/>
  <c r="CU133" i="20"/>
  <c r="CV133" i="20" s="1"/>
  <c r="CL49" i="20"/>
  <c r="CL5" i="20" s="1"/>
  <c r="CU64" i="20"/>
  <c r="AY62" i="25" s="1"/>
  <c r="DA64" i="20"/>
  <c r="BE62" i="25" s="1"/>
  <c r="AW62" i="25"/>
  <c r="AA230" i="20"/>
  <c r="AB230" i="20" s="1"/>
  <c r="F102" i="25"/>
  <c r="BV4" i="20"/>
  <c r="BP96" i="20"/>
  <c r="AM94" i="25" s="1"/>
  <c r="AR203" i="20"/>
  <c r="BM215" i="20"/>
  <c r="AJ213" i="25" s="1"/>
  <c r="AW102" i="25"/>
  <c r="CU104" i="20"/>
  <c r="AY102" i="25" s="1"/>
  <c r="DA104" i="20"/>
  <c r="BE102" i="25" s="1"/>
  <c r="H21" i="25"/>
  <c r="AR86" i="20"/>
  <c r="AF231" i="20"/>
  <c r="V229" i="25" s="1"/>
  <c r="AF215" i="20"/>
  <c r="V213" i="25" s="1"/>
  <c r="AR226" i="20"/>
  <c r="AA231" i="20"/>
  <c r="Q229" i="25" s="1"/>
  <c r="AR132" i="20"/>
  <c r="AR51" i="20"/>
  <c r="AF148" i="20"/>
  <c r="V146" i="25" s="1"/>
  <c r="AF119" i="20"/>
  <c r="V117" i="25" s="1"/>
  <c r="AR198" i="20"/>
  <c r="Z217" i="20"/>
  <c r="P215" i="25" s="1"/>
  <c r="AF128" i="20"/>
  <c r="V126" i="25" s="1"/>
  <c r="Z84" i="20"/>
  <c r="P82" i="25" s="1"/>
  <c r="AF123" i="20"/>
  <c r="V121" i="25" s="1"/>
  <c r="AF111" i="20"/>
  <c r="V109" i="25" s="1"/>
  <c r="Y111" i="20"/>
  <c r="Z130" i="20"/>
  <c r="P128" i="25" s="1"/>
  <c r="AF130" i="20"/>
  <c r="V128" i="25" s="1"/>
  <c r="Y130" i="20"/>
  <c r="Z76" i="20"/>
  <c r="Z90" i="20"/>
  <c r="P88" i="25" s="1"/>
  <c r="Y90" i="20"/>
  <c r="AF56" i="20"/>
  <c r="Z56" i="20"/>
  <c r="P54" i="25" s="1"/>
  <c r="Y56" i="20"/>
  <c r="Y147" i="20"/>
  <c r="AF147" i="20"/>
  <c r="Z147" i="20"/>
  <c r="P145" i="25" s="1"/>
  <c r="Y129" i="20"/>
  <c r="Z129" i="20"/>
  <c r="P127" i="25" s="1"/>
  <c r="AF129" i="20"/>
  <c r="V127" i="25" s="1"/>
  <c r="Z213" i="20"/>
  <c r="P211" i="25" s="1"/>
  <c r="Y213" i="20"/>
  <c r="AF213" i="20"/>
  <c r="AF65" i="20"/>
  <c r="V63" i="25" s="1"/>
  <c r="Z65" i="20"/>
  <c r="Y65" i="20"/>
  <c r="AV49" i="20"/>
  <c r="AV5" i="20" s="1"/>
  <c r="Q92" i="25"/>
  <c r="Y223" i="20"/>
  <c r="Z223" i="20"/>
  <c r="P221" i="25" s="1"/>
  <c r="AF101" i="20"/>
  <c r="V99" i="25" s="1"/>
  <c r="Z101" i="20"/>
  <c r="P99" i="25" s="1"/>
  <c r="Y101" i="20"/>
  <c r="Z106" i="20"/>
  <c r="P104" i="25" s="1"/>
  <c r="AF106" i="20"/>
  <c r="V104" i="25" s="1"/>
  <c r="Y106" i="20"/>
  <c r="O104" i="25" s="1"/>
  <c r="Y71" i="20"/>
  <c r="Z71" i="20"/>
  <c r="AF71" i="20"/>
  <c r="Y209" i="20"/>
  <c r="Z210" i="20"/>
  <c r="P208" i="25" s="1"/>
  <c r="AF210" i="20"/>
  <c r="V208" i="25" s="1"/>
  <c r="Y81" i="20"/>
  <c r="AF81" i="20"/>
  <c r="V79" i="25" s="1"/>
  <c r="Z81" i="20"/>
  <c r="P79" i="25" s="1"/>
  <c r="W219" i="25"/>
  <c r="AN221" i="20"/>
  <c r="AF221" i="20" s="1"/>
  <c r="V219" i="25" s="1"/>
  <c r="AX220" i="20"/>
  <c r="AN227" i="20"/>
  <c r="AF227" i="20" s="1"/>
  <c r="AX226" i="20"/>
  <c r="Z110" i="20"/>
  <c r="Y110" i="20"/>
  <c r="AF222" i="20"/>
  <c r="V220" i="25" s="1"/>
  <c r="Y222" i="20"/>
  <c r="AT49" i="20"/>
  <c r="AT5" i="20" s="1"/>
  <c r="O209" i="25"/>
  <c r="AA211" i="20"/>
  <c r="AB211" i="20" s="1"/>
  <c r="R209" i="25" s="1"/>
  <c r="AG211" i="20"/>
  <c r="Z124" i="20"/>
  <c r="P122" i="25" s="1"/>
  <c r="AF124" i="20"/>
  <c r="V122" i="25" s="1"/>
  <c r="Y124" i="20"/>
  <c r="Y229" i="20"/>
  <c r="Y226" i="20" s="1"/>
  <c r="Z229" i="20"/>
  <c r="P227" i="25" s="1"/>
  <c r="Y64" i="20"/>
  <c r="Z64" i="20"/>
  <c r="AL4" i="20"/>
  <c r="Y210" i="20"/>
  <c r="O208" i="25" s="1"/>
  <c r="Z115" i="20"/>
  <c r="Y115" i="20"/>
  <c r="O113" i="25" s="1"/>
  <c r="AX121" i="20"/>
  <c r="AN122" i="20"/>
  <c r="AF122" i="20" s="1"/>
  <c r="AF141" i="20"/>
  <c r="Z141" i="20"/>
  <c r="Y141" i="20"/>
  <c r="Y76" i="20"/>
  <c r="Y88" i="20"/>
  <c r="Z88" i="20"/>
  <c r="AF88" i="20"/>
  <c r="AF90" i="20"/>
  <c r="V88" i="25" s="1"/>
  <c r="Y134" i="20"/>
  <c r="Z134" i="20"/>
  <c r="P132" i="25" s="1"/>
  <c r="AF134" i="20"/>
  <c r="V132" i="25" s="1"/>
  <c r="AZ49" i="20"/>
  <c r="AZ5" i="20" s="1"/>
  <c r="Z70" i="20"/>
  <c r="Y70" i="20"/>
  <c r="Z216" i="20"/>
  <c r="P214" i="25" s="1"/>
  <c r="Y99" i="20"/>
  <c r="Z99" i="20"/>
  <c r="Z133" i="20"/>
  <c r="Y133" i="20"/>
  <c r="AX86" i="20"/>
  <c r="AN87" i="20"/>
  <c r="AF87" i="20" s="1"/>
  <c r="AR109" i="20"/>
  <c r="AF80" i="20"/>
  <c r="V78" i="25" s="1"/>
  <c r="Y80" i="20"/>
  <c r="Z80" i="20"/>
  <c r="P78" i="25" s="1"/>
  <c r="AF212" i="20"/>
  <c r="Y212" i="20"/>
  <c r="Y125" i="20"/>
  <c r="AF125" i="20"/>
  <c r="V123" i="25" s="1"/>
  <c r="AF138" i="20"/>
  <c r="Y138" i="20"/>
  <c r="Z138" i="20"/>
  <c r="Y95" i="20"/>
  <c r="AF95" i="20"/>
  <c r="V93" i="25" s="1"/>
  <c r="Z95" i="20"/>
  <c r="P93" i="25" s="1"/>
  <c r="AR220" i="20"/>
  <c r="AX98" i="20"/>
  <c r="AN99" i="20"/>
  <c r="AF99" i="20" s="1"/>
  <c r="Y123" i="20"/>
  <c r="Z123" i="20"/>
  <c r="P121" i="25" s="1"/>
  <c r="Z199" i="20"/>
  <c r="Y199" i="20"/>
  <c r="AP49" i="20"/>
  <c r="AF68" i="20"/>
  <c r="V66" i="25" s="1"/>
  <c r="Y68" i="20"/>
  <c r="Z68" i="20"/>
  <c r="P66" i="25" s="1"/>
  <c r="Z122" i="20"/>
  <c r="Y122" i="20"/>
  <c r="Y83" i="20"/>
  <c r="AF83" i="20"/>
  <c r="V81" i="25" s="1"/>
  <c r="Z83" i="20"/>
  <c r="P81" i="25" s="1"/>
  <c r="AF216" i="20"/>
  <c r="V214" i="25" s="1"/>
  <c r="AF117" i="20"/>
  <c r="V115" i="25" s="1"/>
  <c r="Z117" i="20"/>
  <c r="P115" i="25" s="1"/>
  <c r="Z72" i="20"/>
  <c r="Y72" i="20"/>
  <c r="AF72" i="20"/>
  <c r="AF70" i="20"/>
  <c r="Y60" i="20"/>
  <c r="AF60" i="20"/>
  <c r="Z60" i="20"/>
  <c r="P58" i="25" s="1"/>
  <c r="AF79" i="20"/>
  <c r="V77" i="25" s="1"/>
  <c r="Y79" i="20"/>
  <c r="Z79" i="20"/>
  <c r="P77" i="25" s="1"/>
  <c r="Y215" i="20"/>
  <c r="Z215" i="20"/>
  <c r="P213" i="25" s="1"/>
  <c r="Y200" i="20"/>
  <c r="Z200" i="20"/>
  <c r="P198" i="25" s="1"/>
  <c r="Z119" i="20"/>
  <c r="P117" i="25" s="1"/>
  <c r="Y119" i="20"/>
  <c r="Z227" i="20"/>
  <c r="P225" i="25" s="1"/>
  <c r="Z128" i="20"/>
  <c r="P126" i="25" s="1"/>
  <c r="Y128" i="20"/>
  <c r="AF77" i="20"/>
  <c r="V75" i="25" s="1"/>
  <c r="Y77" i="20"/>
  <c r="Z77" i="20"/>
  <c r="P75" i="25" s="1"/>
  <c r="Z67" i="20"/>
  <c r="P65" i="25" s="1"/>
  <c r="AF67" i="20"/>
  <c r="V65" i="25" s="1"/>
  <c r="Y67" i="20"/>
  <c r="AF135" i="20"/>
  <c r="AX75" i="20"/>
  <c r="AN76" i="20"/>
  <c r="AF76" i="20" s="1"/>
  <c r="Z136" i="20"/>
  <c r="Y136" i="20"/>
  <c r="AF136" i="20"/>
  <c r="Y113" i="20"/>
  <c r="AF113" i="20"/>
  <c r="Z113" i="20"/>
  <c r="AF103" i="20"/>
  <c r="V101" i="25" s="1"/>
  <c r="Z103" i="20"/>
  <c r="P101" i="25" s="1"/>
  <c r="Z59" i="20"/>
  <c r="P57" i="25" s="1"/>
  <c r="Y59" i="20"/>
  <c r="AF59" i="20"/>
  <c r="V57" i="25" s="1"/>
  <c r="O219" i="25"/>
  <c r="Y89" i="20"/>
  <c r="Z89" i="20"/>
  <c r="P87" i="25" s="1"/>
  <c r="AF89" i="20"/>
  <c r="V87" i="25" s="1"/>
  <c r="Y91" i="20"/>
  <c r="AF91" i="20"/>
  <c r="V89" i="25" s="1"/>
  <c r="Z91" i="20"/>
  <c r="P89" i="25" s="1"/>
  <c r="AN145" i="20"/>
  <c r="AF145" i="20" s="1"/>
  <c r="AX144" i="20"/>
  <c r="Z112" i="20"/>
  <c r="AF112" i="20"/>
  <c r="Y112" i="20"/>
  <c r="Z135" i="20"/>
  <c r="Y135" i="20"/>
  <c r="O92" i="25"/>
  <c r="AN64" i="20"/>
  <c r="AX63" i="20"/>
  <c r="Y126" i="20"/>
  <c r="Z126" i="20"/>
  <c r="P124" i="25" s="1"/>
  <c r="AF126" i="20"/>
  <c r="V124" i="25" s="1"/>
  <c r="Z221" i="20"/>
  <c r="AX203" i="20"/>
  <c r="AN204" i="20"/>
  <c r="AF204" i="20" s="1"/>
  <c r="Z94" i="20"/>
  <c r="AF96" i="20"/>
  <c r="V94" i="25" s="1"/>
  <c r="Z96" i="20"/>
  <c r="P94" i="25" s="1"/>
  <c r="Y96" i="20"/>
  <c r="Z114" i="20"/>
  <c r="Y114" i="20"/>
  <c r="AF114" i="20"/>
  <c r="V112" i="25" s="1"/>
  <c r="Y224" i="20"/>
  <c r="AF224" i="20"/>
  <c r="V222" i="25" s="1"/>
  <c r="AF142" i="20"/>
  <c r="Y142" i="20"/>
  <c r="Z142" i="20"/>
  <c r="AF54" i="20"/>
  <c r="V52" i="25" s="1"/>
  <c r="Z54" i="20"/>
  <c r="P52" i="25" s="1"/>
  <c r="Y54" i="20"/>
  <c r="Y82" i="20"/>
  <c r="Z82" i="20"/>
  <c r="P80" i="25" s="1"/>
  <c r="AG216" i="20"/>
  <c r="AF116" i="20"/>
  <c r="V114" i="25" s="1"/>
  <c r="Z116" i="20"/>
  <c r="P114" i="25" s="1"/>
  <c r="Z104" i="20"/>
  <c r="P102" i="25" s="1"/>
  <c r="Y104" i="20"/>
  <c r="AF104" i="20"/>
  <c r="V102" i="25" s="1"/>
  <c r="Y92" i="20"/>
  <c r="Z92" i="20"/>
  <c r="AF92" i="20"/>
  <c r="AF140" i="20"/>
  <c r="Z140" i="20"/>
  <c r="Y140" i="20"/>
  <c r="AF217" i="20"/>
  <c r="V215" i="25" s="1"/>
  <c r="Y217" i="20"/>
  <c r="AY49" i="20"/>
  <c r="BB49" i="20"/>
  <c r="BB5" i="20" s="1"/>
  <c r="Y205" i="20"/>
  <c r="AF205" i="20"/>
  <c r="V203" i="25" s="1"/>
  <c r="Z205" i="20"/>
  <c r="P203" i="25" s="1"/>
  <c r="AA221" i="20"/>
  <c r="AB221" i="20" s="1"/>
  <c r="AC221" i="20" s="1"/>
  <c r="AD221" i="20" s="1"/>
  <c r="Y102" i="20"/>
  <c r="Z102" i="20"/>
  <c r="P100" i="25" s="1"/>
  <c r="AF102" i="20"/>
  <c r="V100" i="25" s="1"/>
  <c r="AF107" i="20"/>
  <c r="V105" i="25" s="1"/>
  <c r="Z107" i="20"/>
  <c r="P105" i="25" s="1"/>
  <c r="AF127" i="20"/>
  <c r="V125" i="25" s="1"/>
  <c r="Y127" i="20"/>
  <c r="Z127" i="20"/>
  <c r="P125" i="25" s="1"/>
  <c r="Y57" i="20"/>
  <c r="AF57" i="20"/>
  <c r="V55" i="25" s="1"/>
  <c r="Z57" i="20"/>
  <c r="Y214" i="20"/>
  <c r="AF214" i="20"/>
  <c r="V212" i="25" s="1"/>
  <c r="AF78" i="20"/>
  <c r="V76" i="25" s="1"/>
  <c r="Z78" i="20"/>
  <c r="P76" i="25" s="1"/>
  <c r="Y78" i="20"/>
  <c r="AU49" i="20"/>
  <c r="AU5" i="20" s="1"/>
  <c r="Z73" i="20"/>
  <c r="P71" i="25" s="1"/>
  <c r="AF73" i="20"/>
  <c r="V71" i="25" s="1"/>
  <c r="Y73" i="20"/>
  <c r="Z69" i="20"/>
  <c r="P67" i="25" s="1"/>
  <c r="Y69" i="20"/>
  <c r="AF69" i="20"/>
  <c r="V67" i="25" s="1"/>
  <c r="AF93" i="20"/>
  <c r="V91" i="25" s="1"/>
  <c r="Z93" i="20"/>
  <c r="P91" i="25" s="1"/>
  <c r="Y93" i="20"/>
  <c r="Z111" i="20"/>
  <c r="P109" i="25" s="1"/>
  <c r="AR121" i="20"/>
  <c r="AF223" i="20"/>
  <c r="V221" i="25" s="1"/>
  <c r="O229" i="25"/>
  <c r="AB94" i="20"/>
  <c r="R92" i="25" s="1"/>
  <c r="Z118" i="20"/>
  <c r="AF118" i="20"/>
  <c r="V116" i="25" s="1"/>
  <c r="Y118" i="20"/>
  <c r="AN133" i="20"/>
  <c r="AF133" i="20" s="1"/>
  <c r="AX132" i="20"/>
  <c r="Z214" i="20"/>
  <c r="P212" i="25" s="1"/>
  <c r="Y201" i="20"/>
  <c r="AF201" i="20"/>
  <c r="V199" i="25" s="1"/>
  <c r="Z231" i="20"/>
  <c r="P229" i="25" s="1"/>
  <c r="AR98" i="20"/>
  <c r="AQ49" i="20"/>
  <c r="AF66" i="20"/>
  <c r="V64" i="25" s="1"/>
  <c r="Y66" i="20"/>
  <c r="Z66" i="20"/>
  <c r="P64" i="25" s="1"/>
  <c r="Y204" i="20"/>
  <c r="Z204" i="20"/>
  <c r="AN199" i="20"/>
  <c r="AF199" i="20" s="1"/>
  <c r="AX198" i="20"/>
  <c r="AR144" i="20"/>
  <c r="AS49" i="20"/>
  <c r="AH221" i="20"/>
  <c r="X219" i="25" s="1"/>
  <c r="AF94" i="20"/>
  <c r="AN209" i="20"/>
  <c r="AF209" i="20" s="1"/>
  <c r="AX208" i="20"/>
  <c r="O98" i="25"/>
  <c r="AN110" i="20"/>
  <c r="AF110" i="20" s="1"/>
  <c r="AX109" i="20"/>
  <c r="AH231" i="20"/>
  <c r="BA49" i="20"/>
  <c r="BA5" i="20" s="1"/>
  <c r="Y206" i="20"/>
  <c r="Z206" i="20"/>
  <c r="P204" i="25" s="1"/>
  <c r="AF206" i="20"/>
  <c r="V204" i="25" s="1"/>
  <c r="Y52" i="20"/>
  <c r="Z137" i="20"/>
  <c r="P135" i="25" s="1"/>
  <c r="Y137" i="20"/>
  <c r="AF137" i="20"/>
  <c r="V135" i="25" s="1"/>
  <c r="Y84" i="20"/>
  <c r="AF84" i="20"/>
  <c r="V82" i="25" s="1"/>
  <c r="AF115" i="20"/>
  <c r="AR63" i="20"/>
  <c r="Y87" i="20"/>
  <c r="Z87" i="20"/>
  <c r="AR75" i="20"/>
  <c r="AM209" i="20"/>
  <c r="Z209" i="20" s="1"/>
  <c r="P207" i="25" s="1"/>
  <c r="AR208" i="20"/>
  <c r="Y148" i="20"/>
  <c r="Z148" i="20"/>
  <c r="P146" i="25" s="1"/>
  <c r="Y145" i="20"/>
  <c r="Z145" i="20"/>
  <c r="Z139" i="20"/>
  <c r="P137" i="25" s="1"/>
  <c r="Y139" i="20"/>
  <c r="AN52" i="20"/>
  <c r="AF52" i="20" s="1"/>
  <c r="AX51" i="20"/>
  <c r="CJ49" i="20"/>
  <c r="CJ5" i="20" s="1"/>
  <c r="CH49" i="20"/>
  <c r="CH5" i="20" s="1"/>
  <c r="AF50" i="25"/>
  <c r="AN212" i="25"/>
  <c r="BS214" i="20"/>
  <c r="AP212" i="25" s="1"/>
  <c r="BQ223" i="20"/>
  <c r="AF221" i="25"/>
  <c r="BI151" i="20"/>
  <c r="BP151" i="20"/>
  <c r="BJ151" i="20"/>
  <c r="BJ223" i="20"/>
  <c r="BI172" i="20"/>
  <c r="BJ172" i="20"/>
  <c r="BP172" i="20"/>
  <c r="AN209" i="25"/>
  <c r="BS211" i="20"/>
  <c r="BW4" i="20"/>
  <c r="BX4" i="20"/>
  <c r="AF54" i="25"/>
  <c r="BK56" i="20"/>
  <c r="BL56" i="20" s="1"/>
  <c r="BQ56" i="20"/>
  <c r="AN207" i="25"/>
  <c r="BL94" i="20"/>
  <c r="AI92" i="25" s="1"/>
  <c r="BP223" i="20"/>
  <c r="BJ206" i="20"/>
  <c r="AG204" i="25" s="1"/>
  <c r="BJ105" i="20"/>
  <c r="AG103" i="25" s="1"/>
  <c r="BP105" i="20"/>
  <c r="AM103" i="25" s="1"/>
  <c r="AF77" i="25"/>
  <c r="BK79" i="20"/>
  <c r="AH77" i="25" s="1"/>
  <c r="BR79" i="20"/>
  <c r="BL223" i="20"/>
  <c r="AI221" i="25" s="1"/>
  <c r="BM209" i="20"/>
  <c r="AJ207" i="25" s="1"/>
  <c r="AN208" i="25"/>
  <c r="BS210" i="20"/>
  <c r="EJ103" i="20"/>
  <c r="BU101" i="25" s="1"/>
  <c r="ED229" i="20"/>
  <c r="BO227" i="25" s="1"/>
  <c r="EE209" i="20"/>
  <c r="EF209" i="20" s="1"/>
  <c r="BQ207" i="25" s="1"/>
  <c r="EC103" i="20"/>
  <c r="EE103" i="20" s="1"/>
  <c r="BP101" i="25" s="1"/>
  <c r="ED103" i="20"/>
  <c r="BO101" i="25" s="1"/>
  <c r="EJ229" i="20"/>
  <c r="BU227" i="25" s="1"/>
  <c r="EJ205" i="20"/>
  <c r="BU203" i="25" s="1"/>
  <c r="EJ82" i="20"/>
  <c r="EB82" i="20" s="1"/>
  <c r="BM80" i="25" s="1"/>
  <c r="ED205" i="20"/>
  <c r="BO203" i="25" s="1"/>
  <c r="ED102" i="20"/>
  <c r="BO100" i="25" s="1"/>
  <c r="ED106" i="20"/>
  <c r="BO104" i="25" s="1"/>
  <c r="EB218" i="20"/>
  <c r="BM216" i="25" s="1"/>
  <c r="ED204" i="20"/>
  <c r="BO202" i="25" s="1"/>
  <c r="ED222" i="20"/>
  <c r="BO220" i="25" s="1"/>
  <c r="BN207" i="25"/>
  <c r="EK100" i="20"/>
  <c r="EL100" i="20" s="1"/>
  <c r="EM100" i="20" s="1"/>
  <c r="EN100" i="20" s="1"/>
  <c r="ED107" i="20"/>
  <c r="BO105" i="25" s="1"/>
  <c r="EC222" i="20"/>
  <c r="EK222" i="20" s="1"/>
  <c r="BV220" i="25" s="1"/>
  <c r="EJ222" i="20"/>
  <c r="BU220" i="25" s="1"/>
  <c r="EE107" i="20"/>
  <c r="BP105" i="25" s="1"/>
  <c r="EJ107" i="20"/>
  <c r="EB107" i="20" s="1"/>
  <c r="BM105" i="25" s="1"/>
  <c r="EJ125" i="20"/>
  <c r="BU123" i="25" s="1"/>
  <c r="EJ224" i="20"/>
  <c r="BU222" i="25" s="1"/>
  <c r="ED215" i="20"/>
  <c r="EJ106" i="20"/>
  <c r="EB106" i="20" s="1"/>
  <c r="BM104" i="25" s="1"/>
  <c r="EW49" i="20"/>
  <c r="EW5" i="20" s="1"/>
  <c r="ED145" i="20"/>
  <c r="BO143" i="25" s="1"/>
  <c r="ED101" i="20"/>
  <c r="BO99" i="25" s="1"/>
  <c r="EK101" i="20"/>
  <c r="EL101" i="20" s="1"/>
  <c r="BW99" i="25" s="1"/>
  <c r="EE101" i="20"/>
  <c r="BP99" i="25" s="1"/>
  <c r="EE106" i="20"/>
  <c r="BP104" i="25" s="1"/>
  <c r="EJ216" i="20"/>
  <c r="BU214" i="25" s="1"/>
  <c r="EJ101" i="20"/>
  <c r="EB101" i="20" s="1"/>
  <c r="BM99" i="25" s="1"/>
  <c r="EC105" i="20"/>
  <c r="EJ105" i="20"/>
  <c r="ED105" i="20"/>
  <c r="ED216" i="20"/>
  <c r="BO214" i="25" s="1"/>
  <c r="EW4" i="20"/>
  <c r="FD49" i="20"/>
  <c r="FD5" i="20" s="1"/>
  <c r="FB4" i="20"/>
  <c r="FC49" i="20"/>
  <c r="FC5" i="20" s="1"/>
  <c r="BU215" i="25"/>
  <c r="EJ123" i="20"/>
  <c r="FF49" i="20"/>
  <c r="FF5" i="20" s="1"/>
  <c r="EY49" i="20"/>
  <c r="EY5" i="20" s="1"/>
  <c r="ED148" i="20"/>
  <c r="EF218" i="20"/>
  <c r="BQ216" i="25" s="1"/>
  <c r="EU4" i="20"/>
  <c r="FE49" i="20"/>
  <c r="FE5" i="20" s="1"/>
  <c r="EE145" i="20"/>
  <c r="EF145" i="20" s="1"/>
  <c r="EP122" i="20"/>
  <c r="EZ49" i="20"/>
  <c r="EZ5" i="20" s="1"/>
  <c r="EJ204" i="20"/>
  <c r="EB204" i="20" s="1"/>
  <c r="BN146" i="25"/>
  <c r="EE148" i="20"/>
  <c r="EB148" i="20"/>
  <c r="BM146" i="25" s="1"/>
  <c r="EJ128" i="20"/>
  <c r="BU126" i="25" s="1"/>
  <c r="EJ126" i="20"/>
  <c r="BU124" i="25" s="1"/>
  <c r="ER122" i="20"/>
  <c r="ER4" i="20" s="1"/>
  <c r="EC221" i="20"/>
  <c r="ED221" i="20"/>
  <c r="BO219" i="25" s="1"/>
  <c r="EJ221" i="20"/>
  <c r="BU219" i="25" s="1"/>
  <c r="EK224" i="20"/>
  <c r="EC206" i="20"/>
  <c r="EC203" i="20" s="1"/>
  <c r="EJ206" i="20"/>
  <c r="ED206" i="20"/>
  <c r="BO204" i="25" s="1"/>
  <c r="BN202" i="25"/>
  <c r="EK204" i="20"/>
  <c r="EE204" i="20"/>
  <c r="EV49" i="20"/>
  <c r="EV5" i="20" s="1"/>
  <c r="ET49" i="20"/>
  <c r="EJ129" i="20"/>
  <c r="EQ122" i="20"/>
  <c r="EQ4" i="20" s="1"/>
  <c r="EC147" i="20"/>
  <c r="ED147" i="20"/>
  <c r="EV4" i="20"/>
  <c r="EU49" i="20"/>
  <c r="EF82" i="20"/>
  <c r="EG82" i="20" s="1"/>
  <c r="EK82" i="20"/>
  <c r="BV80" i="25" s="1"/>
  <c r="EF223" i="20"/>
  <c r="BQ221" i="25" s="1"/>
  <c r="BN214" i="25"/>
  <c r="EK216" i="20"/>
  <c r="EE216" i="20"/>
  <c r="EX121" i="20"/>
  <c r="EX49" i="20" s="1"/>
  <c r="EX5" i="20" s="1"/>
  <c r="EK107" i="20"/>
  <c r="BV105" i="25" s="1"/>
  <c r="ED199" i="20"/>
  <c r="BO197" i="25" s="1"/>
  <c r="EK229" i="20"/>
  <c r="FB49" i="20"/>
  <c r="FB5" i="20" s="1"/>
  <c r="EC214" i="20"/>
  <c r="EJ214" i="20"/>
  <c r="EJ199" i="20"/>
  <c r="EC199" i="20"/>
  <c r="EC201" i="20"/>
  <c r="ED201" i="20"/>
  <c r="EJ201" i="20"/>
  <c r="BN100" i="25"/>
  <c r="BP80" i="25"/>
  <c r="EE128" i="20"/>
  <c r="BP126" i="25" s="1"/>
  <c r="EP127" i="20"/>
  <c r="EJ127" i="20" s="1"/>
  <c r="BU125" i="25" s="1"/>
  <c r="ED81" i="20"/>
  <c r="EJ81" i="20"/>
  <c r="EC81" i="20"/>
  <c r="EC215" i="20"/>
  <c r="EJ215" i="20"/>
  <c r="BN104" i="25"/>
  <c r="ED146" i="20"/>
  <c r="EC146" i="20"/>
  <c r="EP130" i="20"/>
  <c r="EJ130" i="20" s="1"/>
  <c r="ED84" i="20"/>
  <c r="EC84" i="20"/>
  <c r="EJ84" i="20"/>
  <c r="EE229" i="20"/>
  <c r="BP227" i="25" s="1"/>
  <c r="BN227" i="25"/>
  <c r="EB145" i="20"/>
  <c r="BM143" i="25" s="1"/>
  <c r="BN143" i="25"/>
  <c r="BU143" i="25"/>
  <c r="BU142" i="25" s="1"/>
  <c r="EJ144" i="20"/>
  <c r="EC200" i="20"/>
  <c r="ED200" i="20"/>
  <c r="EJ200" i="20"/>
  <c r="ED210" i="20"/>
  <c r="EJ210" i="20"/>
  <c r="EC210" i="20"/>
  <c r="EC77" i="20"/>
  <c r="ED77" i="20"/>
  <c r="EJ77" i="20"/>
  <c r="ED209" i="20"/>
  <c r="EJ209" i="20"/>
  <c r="EJ83" i="20"/>
  <c r="ED83" i="20"/>
  <c r="EC83" i="20"/>
  <c r="ED217" i="20"/>
  <c r="BO215" i="25" s="1"/>
  <c r="EC217" i="20"/>
  <c r="EJ79" i="20"/>
  <c r="BU77" i="25" s="1"/>
  <c r="ED79" i="20"/>
  <c r="EP124" i="20"/>
  <c r="EJ124" i="20" s="1"/>
  <c r="EJ78" i="20"/>
  <c r="ED78" i="20"/>
  <c r="EC78" i="20"/>
  <c r="BN99" i="25"/>
  <c r="EC230" i="20"/>
  <c r="EJ230" i="20"/>
  <c r="ED230" i="20"/>
  <c r="EC231" i="20"/>
  <c r="EJ231" i="20"/>
  <c r="ED231" i="20"/>
  <c r="BO229" i="25" s="1"/>
  <c r="BN98" i="25"/>
  <c r="EC227" i="20"/>
  <c r="EJ227" i="20"/>
  <c r="ED227" i="20"/>
  <c r="EJ99" i="20"/>
  <c r="EC99" i="20"/>
  <c r="ED99" i="20"/>
  <c r="EJ76" i="20"/>
  <c r="ED76" i="20"/>
  <c r="EC76" i="20"/>
  <c r="BN80" i="25"/>
  <c r="EC128" i="20"/>
  <c r="ED80" i="20"/>
  <c r="EJ80" i="20"/>
  <c r="BU78" i="25" s="1"/>
  <c r="EC80" i="20"/>
  <c r="AF117" i="25"/>
  <c r="BL58" i="20"/>
  <c r="AI56" i="25" s="1"/>
  <c r="BI96" i="20"/>
  <c r="BP66" i="20"/>
  <c r="BJ73" i="20"/>
  <c r="BI73" i="20"/>
  <c r="BP73" i="20"/>
  <c r="BJ192" i="20"/>
  <c r="BP192" i="20"/>
  <c r="BP54" i="20"/>
  <c r="BJ54" i="20"/>
  <c r="BI54" i="20"/>
  <c r="AH221" i="25"/>
  <c r="AH212" i="25"/>
  <c r="AH206" i="25" s="1"/>
  <c r="BK208" i="20"/>
  <c r="AF222" i="25"/>
  <c r="BQ224" i="20"/>
  <c r="BR224" i="20" s="1"/>
  <c r="AO222" i="25" s="1"/>
  <c r="AO213" i="25"/>
  <c r="BT215" i="20"/>
  <c r="BL217" i="20"/>
  <c r="BM217" i="20" s="1"/>
  <c r="AN199" i="25"/>
  <c r="AF169" i="25"/>
  <c r="H169" i="25" s="1"/>
  <c r="BK171" i="20"/>
  <c r="BL171" i="20" s="1"/>
  <c r="BQ171" i="20"/>
  <c r="BJ66" i="20"/>
  <c r="BI66" i="20"/>
  <c r="AF204" i="25"/>
  <c r="BQ206" i="20"/>
  <c r="BI203" i="20"/>
  <c r="BK206" i="20"/>
  <c r="BL206" i="20" s="1"/>
  <c r="BQ129" i="20"/>
  <c r="BR129" i="20" s="1"/>
  <c r="AO127" i="25" s="1"/>
  <c r="BK129" i="20"/>
  <c r="AH127" i="25" s="1"/>
  <c r="AF127" i="25"/>
  <c r="BP187" i="20"/>
  <c r="BJ187" i="20"/>
  <c r="BI187" i="20"/>
  <c r="BQ119" i="20"/>
  <c r="BR119" i="20" s="1"/>
  <c r="BK119" i="20"/>
  <c r="AH117" i="25" s="1"/>
  <c r="AF57" i="25"/>
  <c r="BQ59" i="20"/>
  <c r="BR59" i="20" s="1"/>
  <c r="BS59" i="20" s="1"/>
  <c r="BK59" i="20"/>
  <c r="BI195" i="20"/>
  <c r="BP195" i="20"/>
  <c r="BJ195" i="20"/>
  <c r="BP134" i="20"/>
  <c r="BI134" i="20"/>
  <c r="BJ134" i="20"/>
  <c r="BL224" i="20"/>
  <c r="AI222" i="25" s="1"/>
  <c r="BP188" i="20"/>
  <c r="BJ188" i="20"/>
  <c r="BI188" i="20"/>
  <c r="AI63" i="25"/>
  <c r="AF99" i="25"/>
  <c r="AH128" i="25"/>
  <c r="AF197" i="25"/>
  <c r="BI198" i="20"/>
  <c r="BQ199" i="20"/>
  <c r="BK199" i="20"/>
  <c r="AM66" i="25"/>
  <c r="BM65" i="20"/>
  <c r="BN65" i="20" s="1"/>
  <c r="AF66" i="25"/>
  <c r="BH68" i="20"/>
  <c r="BK68" i="20"/>
  <c r="AH66" i="25" s="1"/>
  <c r="BQ68" i="20"/>
  <c r="AN66" i="25" s="1"/>
  <c r="BL130" i="20"/>
  <c r="AF102" i="25"/>
  <c r="AF125" i="25"/>
  <c r="BQ127" i="20"/>
  <c r="BR127" i="20" s="1"/>
  <c r="BK127" i="20"/>
  <c r="BL127" i="20" s="1"/>
  <c r="AG66" i="25"/>
  <c r="AF88" i="25"/>
  <c r="BQ90" i="20"/>
  <c r="AN88" i="25" s="1"/>
  <c r="BK90" i="20"/>
  <c r="AH88" i="25" s="1"/>
  <c r="AF126" i="25"/>
  <c r="BK128" i="20"/>
  <c r="BQ128" i="20"/>
  <c r="BR128" i="20" s="1"/>
  <c r="AF51" i="25"/>
  <c r="BQ53" i="20"/>
  <c r="BR53" i="20" s="1"/>
  <c r="AO51" i="25" s="1"/>
  <c r="BK53" i="20"/>
  <c r="AF93" i="25"/>
  <c r="BQ95" i="20"/>
  <c r="AN93" i="25" s="1"/>
  <c r="BK95" i="20"/>
  <c r="AH93" i="25" s="1"/>
  <c r="AH63" i="25"/>
  <c r="S176" i="25"/>
  <c r="AD178" i="20"/>
  <c r="T176" i="25" s="1"/>
  <c r="T169" i="25"/>
  <c r="Q144" i="25"/>
  <c r="S173" i="25"/>
  <c r="AF189" i="25"/>
  <c r="H189" i="25" s="1"/>
  <c r="BQ191" i="20"/>
  <c r="BK191" i="20"/>
  <c r="BL191" i="20" s="1"/>
  <c r="T173" i="25"/>
  <c r="AD149" i="20"/>
  <c r="T147" i="25" s="1"/>
  <c r="T154" i="25"/>
  <c r="T158" i="25"/>
  <c r="AB146" i="20"/>
  <c r="AD196" i="20"/>
  <c r="T194" i="25" s="1"/>
  <c r="AD169" i="20"/>
  <c r="T167" i="25" s="1"/>
  <c r="AF225" i="25"/>
  <c r="BK227" i="20"/>
  <c r="BQ227" i="20"/>
  <c r="BR227" i="20" s="1"/>
  <c r="AD224" i="25"/>
  <c r="M218" i="25"/>
  <c r="F219" i="25"/>
  <c r="EL223" i="20"/>
  <c r="BW207" i="25"/>
  <c r="BV216" i="25"/>
  <c r="AJ209" i="25"/>
  <c r="BN211" i="20"/>
  <c r="EL218" i="20"/>
  <c r="BW216" i="25" s="1"/>
  <c r="DA212" i="20"/>
  <c r="DB212" i="20" s="1"/>
  <c r="BF210" i="25" s="1"/>
  <c r="CU212" i="20"/>
  <c r="CV212" i="20" s="1"/>
  <c r="AW210" i="25"/>
  <c r="AU206" i="25"/>
  <c r="EM209" i="20"/>
  <c r="BV207" i="25"/>
  <c r="AW208" i="25"/>
  <c r="CU210" i="20"/>
  <c r="AY208" i="25" s="1"/>
  <c r="DA210" i="20"/>
  <c r="BE208" i="25" s="1"/>
  <c r="F5" i="20"/>
  <c r="AW209" i="25"/>
  <c r="CU211" i="20"/>
  <c r="AY209" i="25" s="1"/>
  <c r="DA211" i="20"/>
  <c r="EF205" i="20"/>
  <c r="EG205" i="20" s="1"/>
  <c r="BR203" i="25" s="1"/>
  <c r="AQ145" i="25"/>
  <c r="T157" i="25"/>
  <c r="AZ68" i="25"/>
  <c r="AJ79" i="25"/>
  <c r="BN81" i="20"/>
  <c r="T178" i="25"/>
  <c r="AK145" i="25"/>
  <c r="T174" i="25"/>
  <c r="BL124" i="25"/>
  <c r="F124" i="25" s="1"/>
  <c r="F126" i="20"/>
  <c r="BH9" i="20"/>
  <c r="AF113" i="25"/>
  <c r="BQ115" i="20"/>
  <c r="AN113" i="25" s="1"/>
  <c r="BK115" i="20"/>
  <c r="AH113" i="25" s="1"/>
  <c r="AW86" i="25"/>
  <c r="DA88" i="20"/>
  <c r="CU88" i="20"/>
  <c r="S150" i="25"/>
  <c r="AW101" i="25"/>
  <c r="DA103" i="20"/>
  <c r="BE101" i="25" s="1"/>
  <c r="CU103" i="20"/>
  <c r="AY101" i="25" s="1"/>
  <c r="AM206" i="25"/>
  <c r="O56" i="25"/>
  <c r="AA58" i="20"/>
  <c r="AB58" i="20" s="1"/>
  <c r="AG58" i="20"/>
  <c r="AH58" i="20" s="1"/>
  <c r="AI58" i="20" s="1"/>
  <c r="AJ58" i="20" s="1"/>
  <c r="F113" i="25"/>
  <c r="M107" i="25"/>
  <c r="CW70" i="20"/>
  <c r="S174" i="25"/>
  <c r="F108" i="25"/>
  <c r="AD107" i="25"/>
  <c r="O103" i="25"/>
  <c r="AA105" i="20"/>
  <c r="AG105" i="20"/>
  <c r="AH105" i="20" s="1"/>
  <c r="AU61" i="25"/>
  <c r="AU3" i="25"/>
  <c r="F66" i="25"/>
  <c r="F114" i="25"/>
  <c r="F78" i="25"/>
  <c r="M206" i="25"/>
  <c r="AF115" i="25"/>
  <c r="BQ117" i="20"/>
  <c r="AN115" i="25" s="1"/>
  <c r="BK117" i="20"/>
  <c r="AH115" i="25" s="1"/>
  <c r="AW88" i="25"/>
  <c r="DA90" i="20"/>
  <c r="DB90" i="20" s="1"/>
  <c r="CU90" i="20"/>
  <c r="T150" i="25"/>
  <c r="O114" i="25"/>
  <c r="H114" i="25" s="1"/>
  <c r="AA116" i="20"/>
  <c r="AG116" i="20"/>
  <c r="AH116" i="20" s="1"/>
  <c r="AU201" i="25"/>
  <c r="F201" i="25" s="1"/>
  <c r="F203" i="25"/>
  <c r="S157" i="25"/>
  <c r="BL121" i="25"/>
  <c r="F121" i="25" s="1"/>
  <c r="F123" i="20"/>
  <c r="BV100" i="25"/>
  <c r="EL102" i="20"/>
  <c r="BW100" i="25" s="1"/>
  <c r="F98" i="25"/>
  <c r="M96" i="25"/>
  <c r="AU96" i="25"/>
  <c r="AD158" i="20"/>
  <c r="T156" i="25" s="1"/>
  <c r="AN102" i="25"/>
  <c r="BR104" i="20"/>
  <c r="BS104" i="20" s="1"/>
  <c r="BN189" i="20"/>
  <c r="AK187" i="25" s="1"/>
  <c r="O53" i="25"/>
  <c r="AG55" i="20"/>
  <c r="AH55" i="20" s="1"/>
  <c r="AA55" i="20"/>
  <c r="BL218" i="25"/>
  <c r="F220" i="25"/>
  <c r="AF112" i="25"/>
  <c r="BK114" i="20"/>
  <c r="BQ114" i="20"/>
  <c r="BR114" i="20" s="1"/>
  <c r="AW78" i="25"/>
  <c r="CU80" i="20"/>
  <c r="CV80" i="20" s="1"/>
  <c r="DA80" i="20"/>
  <c r="DB80" i="20" s="1"/>
  <c r="DC80" i="20" s="1"/>
  <c r="F101" i="25"/>
  <c r="AW81" i="25"/>
  <c r="DA83" i="20"/>
  <c r="DB83" i="20" s="1"/>
  <c r="CU83" i="20"/>
  <c r="CV83" i="20" s="1"/>
  <c r="AD162" i="20"/>
  <c r="T160" i="25" s="1"/>
  <c r="AW70" i="25"/>
  <c r="DA72" i="20"/>
  <c r="DB72" i="20" s="1"/>
  <c r="DC72" i="20" s="1"/>
  <c r="CU72" i="20"/>
  <c r="AN99" i="25"/>
  <c r="BR101" i="20"/>
  <c r="AO99" i="25" s="1"/>
  <c r="BL96" i="25"/>
  <c r="O101" i="25"/>
  <c r="AA103" i="20"/>
  <c r="AG103" i="20"/>
  <c r="AH103" i="20" s="1"/>
  <c r="AI103" i="20" s="1"/>
  <c r="O59" i="25"/>
  <c r="AA61" i="20"/>
  <c r="AG61" i="20"/>
  <c r="AH61" i="20" s="1"/>
  <c r="AI61" i="20" s="1"/>
  <c r="BL127" i="25"/>
  <c r="F127" i="25" s="1"/>
  <c r="F129" i="20"/>
  <c r="AF138" i="25"/>
  <c r="BK140" i="20"/>
  <c r="BL140" i="20" s="1"/>
  <c r="BQ140" i="20"/>
  <c r="BR140" i="20" s="1"/>
  <c r="AW74" i="25"/>
  <c r="DA76" i="20"/>
  <c r="CU76" i="20"/>
  <c r="T189" i="25"/>
  <c r="F103" i="25"/>
  <c r="AW80" i="25"/>
  <c r="CU82" i="20"/>
  <c r="CV82" i="20" s="1"/>
  <c r="DA82" i="20"/>
  <c r="DB82" i="20" s="1"/>
  <c r="BN77" i="25"/>
  <c r="EC125" i="20"/>
  <c r="EK79" i="20"/>
  <c r="EL79" i="20" s="1"/>
  <c r="EE79" i="20"/>
  <c r="AI79" i="25"/>
  <c r="AE215" i="25"/>
  <c r="O115" i="25"/>
  <c r="AA117" i="20"/>
  <c r="AB117" i="20" s="1"/>
  <c r="AG117" i="20"/>
  <c r="AH117" i="20" s="1"/>
  <c r="BR112" i="20"/>
  <c r="AN110" i="25"/>
  <c r="AU84" i="25"/>
  <c r="F84" i="25" s="1"/>
  <c r="F85" i="25"/>
  <c r="T186" i="25"/>
  <c r="AF109" i="25"/>
  <c r="BQ111" i="20"/>
  <c r="BR111" i="20" s="1"/>
  <c r="BK111" i="20"/>
  <c r="AF135" i="25"/>
  <c r="BQ137" i="20"/>
  <c r="BK137" i="20"/>
  <c r="BL137" i="20" s="1"/>
  <c r="BM137" i="20" s="1"/>
  <c r="AP145" i="25"/>
  <c r="AD96" i="25"/>
  <c r="F97" i="25"/>
  <c r="AW79" i="25"/>
  <c r="CU81" i="20"/>
  <c r="AY79" i="25" s="1"/>
  <c r="DA81" i="20"/>
  <c r="BE79" i="25" s="1"/>
  <c r="BL123" i="25"/>
  <c r="F123" i="25" s="1"/>
  <c r="F125" i="20"/>
  <c r="AF136" i="25"/>
  <c r="BK138" i="20"/>
  <c r="BL138" i="20" s="1"/>
  <c r="BM138" i="20" s="1"/>
  <c r="BQ138" i="20"/>
  <c r="BR138" i="20" s="1"/>
  <c r="F99" i="25"/>
  <c r="O105" i="25"/>
  <c r="AG107" i="20"/>
  <c r="AA107" i="20"/>
  <c r="AB107" i="20" s="1"/>
  <c r="AC107" i="20" s="1"/>
  <c r="BL112" i="20"/>
  <c r="AH110" i="25"/>
  <c r="AJ145" i="25"/>
  <c r="F104" i="25"/>
  <c r="AY68" i="25"/>
  <c r="AF101" i="25"/>
  <c r="BK103" i="20"/>
  <c r="AH101" i="25" s="1"/>
  <c r="BQ103" i="20"/>
  <c r="AN101" i="25" s="1"/>
  <c r="F225" i="25"/>
  <c r="M224" i="25"/>
  <c r="EA4" i="20"/>
  <c r="AF116" i="25"/>
  <c r="BQ118" i="20"/>
  <c r="BK118" i="20"/>
  <c r="AF98" i="25"/>
  <c r="BQ100" i="20"/>
  <c r="AN98" i="25" s="1"/>
  <c r="BK100" i="20"/>
  <c r="AH98" i="25" s="1"/>
  <c r="AY203" i="25"/>
  <c r="CV205" i="20"/>
  <c r="F77" i="25"/>
  <c r="AF100" i="25"/>
  <c r="BK102" i="20"/>
  <c r="BL102" i="20" s="1"/>
  <c r="BQ102" i="20"/>
  <c r="BR102" i="20" s="1"/>
  <c r="EB9" i="20"/>
  <c r="S186" i="25"/>
  <c r="AD153" i="20"/>
  <c r="T151" i="25" s="1"/>
  <c r="AD130" i="25"/>
  <c r="F131" i="25"/>
  <c r="O225" i="25"/>
  <c r="AG227" i="20"/>
  <c r="AH227" i="20" s="1"/>
  <c r="AA227" i="20"/>
  <c r="BL120" i="25"/>
  <c r="F122" i="20"/>
  <c r="AH79" i="25"/>
  <c r="G234" i="25"/>
  <c r="I234" i="25" s="1"/>
  <c r="AE233" i="25"/>
  <c r="S178" i="25"/>
  <c r="O51" i="25"/>
  <c r="AG53" i="20"/>
  <c r="AA53" i="20"/>
  <c r="AB53" i="20" s="1"/>
  <c r="AC53" i="20" s="1"/>
  <c r="F105" i="25"/>
  <c r="F51" i="25"/>
  <c r="M3" i="25"/>
  <c r="M49" i="25"/>
  <c r="AF178" i="25"/>
  <c r="H178" i="25" s="1"/>
  <c r="BK180" i="20"/>
  <c r="BL180" i="20" s="1"/>
  <c r="BM180" i="20" s="1"/>
  <c r="BQ180" i="20"/>
  <c r="BR180" i="20" s="1"/>
  <c r="BP98" i="25"/>
  <c r="EF100" i="20"/>
  <c r="EG100" i="20" s="1"/>
  <c r="AF103" i="25"/>
  <c r="BQ105" i="20"/>
  <c r="AN103" i="25" s="1"/>
  <c r="BK105" i="20"/>
  <c r="AH103" i="25" s="1"/>
  <c r="BL73" i="25"/>
  <c r="F74" i="25"/>
  <c r="AE15" i="25"/>
  <c r="G15" i="25" s="1"/>
  <c r="I15" i="25" s="1"/>
  <c r="G17" i="20"/>
  <c r="H17" i="20" s="1"/>
  <c r="AD173" i="20"/>
  <c r="T171" i="25" s="1"/>
  <c r="EL106" i="20"/>
  <c r="BW104" i="25" s="1"/>
  <c r="BV104" i="25"/>
  <c r="BQ196" i="20" l="1"/>
  <c r="AN194" i="25" s="1"/>
  <c r="AF194" i="25"/>
  <c r="H194" i="25" s="1"/>
  <c r="O163" i="20"/>
  <c r="AM161" i="25"/>
  <c r="BP211" i="25"/>
  <c r="EF213" i="20"/>
  <c r="BP210" i="25"/>
  <c r="EF212" i="20"/>
  <c r="BV211" i="25"/>
  <c r="EL213" i="20"/>
  <c r="BW211" i="25" s="1"/>
  <c r="BV209" i="25"/>
  <c r="EL211" i="20"/>
  <c r="BU226" i="25"/>
  <c r="EB228" i="20"/>
  <c r="BM226" i="25" s="1"/>
  <c r="BL196" i="20"/>
  <c r="BM196" i="20" s="1"/>
  <c r="J196" i="20"/>
  <c r="AH194" i="25"/>
  <c r="BQ184" i="20"/>
  <c r="AF182" i="25"/>
  <c r="H182" i="25" s="1"/>
  <c r="BE216" i="25"/>
  <c r="DB218" i="20"/>
  <c r="BF216" i="25" s="1"/>
  <c r="EL212" i="20"/>
  <c r="X211" i="20"/>
  <c r="N209" i="25" s="1"/>
  <c r="AM182" i="25"/>
  <c r="EF211" i="20"/>
  <c r="BQ209" i="25" s="1"/>
  <c r="EL228" i="20"/>
  <c r="I184" i="20"/>
  <c r="BH224" i="20"/>
  <c r="AE222" i="25" s="1"/>
  <c r="EB100" i="20"/>
  <c r="BM98" i="25" s="1"/>
  <c r="BJ182" i="20"/>
  <c r="AG180" i="25" s="1"/>
  <c r="BH184" i="20"/>
  <c r="AE182" i="25" s="1"/>
  <c r="G182" i="25" s="1"/>
  <c r="I182" i="25" s="1"/>
  <c r="BK184" i="20"/>
  <c r="J184" i="20" s="1"/>
  <c r="EB104" i="20"/>
  <c r="BM102" i="25" s="1"/>
  <c r="X53" i="20"/>
  <c r="N51" i="25" s="1"/>
  <c r="AM181" i="25"/>
  <c r="AN122" i="25"/>
  <c r="BP182" i="20"/>
  <c r="AM180" i="25" s="1"/>
  <c r="AN79" i="25"/>
  <c r="BS81" i="20"/>
  <c r="BT81" i="20" s="1"/>
  <c r="AQ79" i="25" s="1"/>
  <c r="BK192" i="20"/>
  <c r="BL192" i="20" s="1"/>
  <c r="BM192" i="20" s="1"/>
  <c r="AF190" i="25"/>
  <c r="H190" i="25" s="1"/>
  <c r="BI190" i="20"/>
  <c r="BK190" i="20" s="1"/>
  <c r="AH188" i="25" s="1"/>
  <c r="AF89" i="25"/>
  <c r="R183" i="20"/>
  <c r="BH183" i="20"/>
  <c r="G183" i="20" s="1"/>
  <c r="H183" i="20" s="1"/>
  <c r="AM63" i="25"/>
  <c r="AM109" i="25"/>
  <c r="AO122" i="25"/>
  <c r="BI178" i="20"/>
  <c r="AF176" i="25" s="1"/>
  <c r="I183" i="20"/>
  <c r="BH90" i="20"/>
  <c r="AE88" i="25" s="1"/>
  <c r="BL124" i="20"/>
  <c r="AI122" i="25" s="1"/>
  <c r="AF177" i="25"/>
  <c r="H177" i="25" s="1"/>
  <c r="BH91" i="20"/>
  <c r="AE89" i="25" s="1"/>
  <c r="BQ139" i="20"/>
  <c r="BR139" i="20" s="1"/>
  <c r="BS139" i="20" s="1"/>
  <c r="AP137" i="25" s="1"/>
  <c r="P183" i="20"/>
  <c r="AN181" i="25"/>
  <c r="AF158" i="25"/>
  <c r="H158" i="25" s="1"/>
  <c r="BK183" i="20"/>
  <c r="BL183" i="20" s="1"/>
  <c r="BM183" i="20" s="1"/>
  <c r="AJ181" i="25" s="1"/>
  <c r="BH222" i="20"/>
  <c r="AE220" i="25" s="1"/>
  <c r="BK179" i="20"/>
  <c r="BL179" i="20" s="1"/>
  <c r="BM179" i="20" s="1"/>
  <c r="AJ177" i="25" s="1"/>
  <c r="BQ91" i="20"/>
  <c r="AN89" i="25" s="1"/>
  <c r="BQ160" i="20"/>
  <c r="BR160" i="20" s="1"/>
  <c r="AO158" i="25" s="1"/>
  <c r="BI182" i="20"/>
  <c r="BK182" i="20" s="1"/>
  <c r="AH180" i="25" s="1"/>
  <c r="AF181" i="25"/>
  <c r="H181" i="25" s="1"/>
  <c r="Q183" i="20"/>
  <c r="AO181" i="25"/>
  <c r="BT183" i="20"/>
  <c r="S183" i="20" s="1"/>
  <c r="AM135" i="25"/>
  <c r="BN64" i="20"/>
  <c r="AK62" i="25" s="1"/>
  <c r="AI62" i="25"/>
  <c r="BQ64" i="20"/>
  <c r="BR64" i="20" s="1"/>
  <c r="BS64" i="20" s="1"/>
  <c r="AP62" i="25" s="1"/>
  <c r="AH62" i="25"/>
  <c r="AF161" i="25"/>
  <c r="H161" i="25" s="1"/>
  <c r="AG161" i="25"/>
  <c r="AF62" i="25"/>
  <c r="BQ163" i="20"/>
  <c r="P163" i="20" s="1"/>
  <c r="BH64" i="20"/>
  <c r="AE62" i="25" s="1"/>
  <c r="BT124" i="20"/>
  <c r="AQ122" i="25" s="1"/>
  <c r="BH81" i="20"/>
  <c r="AE79" i="25" s="1"/>
  <c r="AM122" i="25"/>
  <c r="AN202" i="25"/>
  <c r="EG211" i="20"/>
  <c r="BR209" i="25" s="1"/>
  <c r="EM213" i="20"/>
  <c r="BX211" i="25" s="1"/>
  <c r="X61" i="20"/>
  <c r="N59" i="25" s="1"/>
  <c r="BI158" i="20"/>
  <c r="BK158" i="20" s="1"/>
  <c r="AH156" i="25" s="1"/>
  <c r="BH160" i="20"/>
  <c r="AE158" i="25" s="1"/>
  <c r="G158" i="25" s="1"/>
  <c r="I158" i="25" s="1"/>
  <c r="BR145" i="20"/>
  <c r="BS145" i="20" s="1"/>
  <c r="AP143" i="25" s="1"/>
  <c r="BK163" i="20"/>
  <c r="AH161" i="25" s="1"/>
  <c r="X58" i="20"/>
  <c r="N56" i="25" s="1"/>
  <c r="CV112" i="20"/>
  <c r="CW112" i="20" s="1"/>
  <c r="BA110" i="25" s="1"/>
  <c r="CR112" i="20"/>
  <c r="AV110" i="25" s="1"/>
  <c r="AM173" i="25"/>
  <c r="AM98" i="25"/>
  <c r="BH59" i="20"/>
  <c r="AE57" i="25" s="1"/>
  <c r="BS204" i="20"/>
  <c r="BT204" i="20" s="1"/>
  <c r="AQ202" i="25" s="1"/>
  <c r="AM154" i="25"/>
  <c r="BH52" i="20"/>
  <c r="AE50" i="25" s="1"/>
  <c r="V226" i="25"/>
  <c r="X216" i="20"/>
  <c r="N214" i="25" s="1"/>
  <c r="CV129" i="20"/>
  <c r="AZ127" i="25" s="1"/>
  <c r="DB92" i="20"/>
  <c r="DC92" i="20" s="1"/>
  <c r="BG90" i="25" s="1"/>
  <c r="CR111" i="20"/>
  <c r="AV109" i="25" s="1"/>
  <c r="CV53" i="20"/>
  <c r="AZ51" i="25" s="1"/>
  <c r="F218" i="25"/>
  <c r="F61" i="25"/>
  <c r="BE51" i="25"/>
  <c r="CV57" i="20"/>
  <c r="AZ55" i="25" s="1"/>
  <c r="CR116" i="20"/>
  <c r="AV114" i="25" s="1"/>
  <c r="DB106" i="20"/>
  <c r="DC106" i="20" s="1"/>
  <c r="CR53" i="20"/>
  <c r="AV51" i="25" s="1"/>
  <c r="AH146" i="20"/>
  <c r="X144" i="25" s="1"/>
  <c r="X55" i="20"/>
  <c r="N53" i="25" s="1"/>
  <c r="X146" i="20"/>
  <c r="N144" i="25" s="1"/>
  <c r="X231" i="20"/>
  <c r="N229" i="25" s="1"/>
  <c r="AH230" i="20"/>
  <c r="AI230" i="20" s="1"/>
  <c r="Y228" i="25" s="1"/>
  <c r="BH139" i="20"/>
  <c r="AE137" i="25" s="1"/>
  <c r="AG154" i="25"/>
  <c r="BJ154" i="20"/>
  <c r="AG152" i="25" s="1"/>
  <c r="I175" i="20"/>
  <c r="BL205" i="20"/>
  <c r="AI203" i="25" s="1"/>
  <c r="BL142" i="20"/>
  <c r="BM142" i="20" s="1"/>
  <c r="AJ140" i="25" s="1"/>
  <c r="BK139" i="20"/>
  <c r="BL139" i="20" s="1"/>
  <c r="BR231" i="20"/>
  <c r="BS231" i="20" s="1"/>
  <c r="AP229" i="25" s="1"/>
  <c r="AF201" i="25"/>
  <c r="AM93" i="25"/>
  <c r="BH114" i="20"/>
  <c r="AE112" i="25" s="1"/>
  <c r="AF224" i="25"/>
  <c r="BH230" i="20"/>
  <c r="AE228" i="25" s="1"/>
  <c r="I179" i="20"/>
  <c r="BK230" i="20"/>
  <c r="AH228" i="25" s="1"/>
  <c r="BS60" i="20"/>
  <c r="BT60" i="20" s="1"/>
  <c r="AQ58" i="25" s="1"/>
  <c r="BQ126" i="20"/>
  <c r="AN124" i="25" s="1"/>
  <c r="O155" i="20"/>
  <c r="BQ230" i="20"/>
  <c r="AN228" i="25" s="1"/>
  <c r="BK221" i="20"/>
  <c r="BK220" i="20" s="1"/>
  <c r="BH103" i="20"/>
  <c r="AE101" i="25" s="1"/>
  <c r="BI226" i="20"/>
  <c r="AM128" i="25"/>
  <c r="BH92" i="20"/>
  <c r="AE90" i="25" s="1"/>
  <c r="BH141" i="20"/>
  <c r="AE139" i="25" s="1"/>
  <c r="AF108" i="25"/>
  <c r="BL78" i="20"/>
  <c r="AI76" i="25" s="1"/>
  <c r="AM143" i="25"/>
  <c r="I164" i="20"/>
  <c r="BM60" i="20"/>
  <c r="BN60" i="20" s="1"/>
  <c r="AK58" i="25" s="1"/>
  <c r="BH229" i="20"/>
  <c r="AE227" i="25" s="1"/>
  <c r="AG166" i="25"/>
  <c r="BJ166" i="20"/>
  <c r="AG164" i="25" s="1"/>
  <c r="BQ110" i="20"/>
  <c r="BR110" i="20" s="1"/>
  <c r="BS110" i="20" s="1"/>
  <c r="AP108" i="25" s="1"/>
  <c r="BH110" i="20"/>
  <c r="AE108" i="25" s="1"/>
  <c r="AH58" i="25"/>
  <c r="BS205" i="20"/>
  <c r="AP203" i="25" s="1"/>
  <c r="BQ141" i="20"/>
  <c r="AN139" i="25" s="1"/>
  <c r="BK141" i="20"/>
  <c r="AH139" i="25" s="1"/>
  <c r="AF104" i="25"/>
  <c r="H104" i="25" s="1"/>
  <c r="BH171" i="20"/>
  <c r="G171" i="20" s="1"/>
  <c r="H171" i="20" s="1"/>
  <c r="AM169" i="25"/>
  <c r="BL145" i="20"/>
  <c r="AI143" i="25" s="1"/>
  <c r="BP170" i="20"/>
  <c r="BH56" i="20"/>
  <c r="AE54" i="25" s="1"/>
  <c r="BH83" i="20"/>
  <c r="AE81" i="25" s="1"/>
  <c r="BI75" i="20"/>
  <c r="AN58" i="25"/>
  <c r="BQ80" i="20"/>
  <c r="AN78" i="25" s="1"/>
  <c r="BK80" i="20"/>
  <c r="AH78" i="25" s="1"/>
  <c r="BH80" i="20"/>
  <c r="AE78" i="25" s="1"/>
  <c r="BR76" i="20"/>
  <c r="AO74" i="25" s="1"/>
  <c r="BH60" i="20"/>
  <c r="AE58" i="25" s="1"/>
  <c r="BH67" i="20"/>
  <c r="AE65" i="25" s="1"/>
  <c r="AF124" i="25"/>
  <c r="O53" i="20"/>
  <c r="BH126" i="20"/>
  <c r="AE124" i="25" s="1"/>
  <c r="BQ168" i="20"/>
  <c r="BR168" i="20" s="1"/>
  <c r="AO166" i="25" s="1"/>
  <c r="BK168" i="20"/>
  <c r="J168" i="20" s="1"/>
  <c r="BH76" i="20"/>
  <c r="AE74" i="25" s="1"/>
  <c r="BR130" i="20"/>
  <c r="BS130" i="20" s="1"/>
  <c r="BT130" i="20" s="1"/>
  <c r="AF153" i="25"/>
  <c r="H153" i="25" s="1"/>
  <c r="AM202" i="25"/>
  <c r="BH129" i="20"/>
  <c r="AE127" i="25" s="1"/>
  <c r="O179" i="20"/>
  <c r="AH202" i="25"/>
  <c r="I160" i="20"/>
  <c r="BH179" i="20"/>
  <c r="AE177" i="25" s="1"/>
  <c r="G177" i="25" s="1"/>
  <c r="I177" i="25" s="1"/>
  <c r="AM125" i="25"/>
  <c r="BQ221" i="20"/>
  <c r="BR221" i="20" s="1"/>
  <c r="AO219" i="25" s="1"/>
  <c r="BQ93" i="20"/>
  <c r="BR93" i="20" s="1"/>
  <c r="AO91" i="25" s="1"/>
  <c r="BI154" i="20"/>
  <c r="BH154" i="20" s="1"/>
  <c r="AF219" i="25"/>
  <c r="AF218" i="25" s="1"/>
  <c r="BH155" i="20"/>
  <c r="AE153" i="25" s="1"/>
  <c r="G153" i="25" s="1"/>
  <c r="I153" i="25" s="1"/>
  <c r="I191" i="20"/>
  <c r="BQ155" i="20"/>
  <c r="BR155" i="20" s="1"/>
  <c r="BK72" i="20"/>
  <c r="AH70" i="25" s="1"/>
  <c r="BM204" i="20"/>
  <c r="AJ202" i="25" s="1"/>
  <c r="BH168" i="20"/>
  <c r="AE166" i="25" s="1"/>
  <c r="G166" i="25" s="1"/>
  <c r="I166" i="25" s="1"/>
  <c r="BQ72" i="20"/>
  <c r="BR72" i="20" s="1"/>
  <c r="AO70" i="25" s="1"/>
  <c r="BK93" i="20"/>
  <c r="BL93" i="20" s="1"/>
  <c r="AI91" i="25" s="1"/>
  <c r="BL76" i="20"/>
  <c r="AI74" i="25" s="1"/>
  <c r="BT71" i="20"/>
  <c r="AQ69" i="25" s="1"/>
  <c r="BH79" i="20"/>
  <c r="AE77" i="25" s="1"/>
  <c r="BH128" i="20"/>
  <c r="AE126" i="25" s="1"/>
  <c r="AM100" i="25"/>
  <c r="AH65" i="25"/>
  <c r="O168" i="20"/>
  <c r="BH101" i="20"/>
  <c r="AE99" i="25" s="1"/>
  <c r="AG169" i="25"/>
  <c r="BH180" i="20"/>
  <c r="AE178" i="25" s="1"/>
  <c r="G178" i="25" s="1"/>
  <c r="I178" i="25" s="1"/>
  <c r="BP178" i="20"/>
  <c r="AM51" i="25"/>
  <c r="AM203" i="25"/>
  <c r="O160" i="20"/>
  <c r="AM158" i="25"/>
  <c r="BH72" i="20"/>
  <c r="AE70" i="25" s="1"/>
  <c r="BJ162" i="20"/>
  <c r="AG160" i="25" s="1"/>
  <c r="BL222" i="20"/>
  <c r="BM222" i="20" s="1"/>
  <c r="BN222" i="20" s="1"/>
  <c r="AE201" i="25"/>
  <c r="BH123" i="20"/>
  <c r="AE121" i="25" s="1"/>
  <c r="BI109" i="20"/>
  <c r="AF121" i="25"/>
  <c r="AH199" i="25"/>
  <c r="I155" i="20"/>
  <c r="BQ89" i="20"/>
  <c r="BR89" i="20" s="1"/>
  <c r="AO87" i="25" s="1"/>
  <c r="BH191" i="20"/>
  <c r="AE189" i="25" s="1"/>
  <c r="G189" i="25" s="1"/>
  <c r="I189" i="25" s="1"/>
  <c r="AG153" i="25"/>
  <c r="BH167" i="20"/>
  <c r="AE165" i="25" s="1"/>
  <c r="G165" i="25" s="1"/>
  <c r="I165" i="25" s="1"/>
  <c r="BI51" i="20"/>
  <c r="BH200" i="20"/>
  <c r="AE198" i="25" s="1"/>
  <c r="AM178" i="25"/>
  <c r="BJ198" i="20"/>
  <c r="BJ158" i="20"/>
  <c r="AG156" i="25" s="1"/>
  <c r="AG196" i="25"/>
  <c r="BH93" i="20"/>
  <c r="AE91" i="25" s="1"/>
  <c r="AH80" i="25"/>
  <c r="BI166" i="20"/>
  <c r="BK166" i="20" s="1"/>
  <c r="AH164" i="25" s="1"/>
  <c r="AG201" i="25"/>
  <c r="BH201" i="20"/>
  <c r="AE199" i="25" s="1"/>
  <c r="BH89" i="20"/>
  <c r="AE87" i="25" s="1"/>
  <c r="BK57" i="20"/>
  <c r="BL57" i="20" s="1"/>
  <c r="AI55" i="25" s="1"/>
  <c r="AF55" i="25"/>
  <c r="BK113" i="20"/>
  <c r="BL113" i="20" s="1"/>
  <c r="AI111" i="25" s="1"/>
  <c r="AH229" i="25"/>
  <c r="BQ167" i="20"/>
  <c r="AN165" i="25" s="1"/>
  <c r="BP190" i="20"/>
  <c r="BJ178" i="20"/>
  <c r="BL159" i="20"/>
  <c r="BM159" i="20" s="1"/>
  <c r="AJ157" i="25" s="1"/>
  <c r="AG178" i="25"/>
  <c r="AM196" i="25"/>
  <c r="BH113" i="20"/>
  <c r="AE111" i="25" s="1"/>
  <c r="O191" i="20"/>
  <c r="I93" i="20"/>
  <c r="AF111" i="25"/>
  <c r="BI121" i="20"/>
  <c r="BH116" i="20"/>
  <c r="AE114" i="25" s="1"/>
  <c r="BK70" i="20"/>
  <c r="BQ70" i="20"/>
  <c r="AF87" i="25"/>
  <c r="BK167" i="20"/>
  <c r="BL167" i="20" s="1"/>
  <c r="BM167" i="20" s="1"/>
  <c r="BK123" i="20"/>
  <c r="BL123" i="20" s="1"/>
  <c r="AI121" i="25" s="1"/>
  <c r="AF165" i="25"/>
  <c r="H165" i="25" s="1"/>
  <c r="I61" i="20"/>
  <c r="BH231" i="20"/>
  <c r="AE229" i="25" s="1"/>
  <c r="BH70" i="20"/>
  <c r="AE68" i="25" s="1"/>
  <c r="AM92" i="25"/>
  <c r="CR106" i="20"/>
  <c r="AV104" i="25" s="1"/>
  <c r="CR205" i="20"/>
  <c r="AV203" i="25" s="1"/>
  <c r="CV107" i="20"/>
  <c r="AZ105" i="25" s="1"/>
  <c r="CR67" i="20"/>
  <c r="AV65" i="25" s="1"/>
  <c r="CR213" i="20"/>
  <c r="AV211" i="25" s="1"/>
  <c r="EK104" i="20"/>
  <c r="BV102" i="25" s="1"/>
  <c r="EG228" i="20"/>
  <c r="EH228" i="20" s="1"/>
  <c r="BS226" i="25" s="1"/>
  <c r="BP226" i="25"/>
  <c r="DB213" i="20"/>
  <c r="BF211" i="25" s="1"/>
  <c r="CV106" i="20"/>
  <c r="AZ104" i="25" s="1"/>
  <c r="BH199" i="20"/>
  <c r="AE197" i="25" s="1"/>
  <c r="BH221" i="20"/>
  <c r="AE219" i="25" s="1"/>
  <c r="BN213" i="20"/>
  <c r="AK211" i="25" s="1"/>
  <c r="BK106" i="20"/>
  <c r="AH104" i="25" s="1"/>
  <c r="BR228" i="20"/>
  <c r="AO226" i="25" s="1"/>
  <c r="AE161" i="25"/>
  <c r="G161" i="25" s="1"/>
  <c r="I161" i="25" s="1"/>
  <c r="BS136" i="20"/>
  <c r="BT136" i="20" s="1"/>
  <c r="AQ134" i="25" s="1"/>
  <c r="BH55" i="20"/>
  <c r="AE53" i="25" s="1"/>
  <c r="BH138" i="20"/>
  <c r="AE136" i="25" s="1"/>
  <c r="AN134" i="25"/>
  <c r="BP198" i="20"/>
  <c r="BH198" i="20" s="1"/>
  <c r="BJ226" i="20"/>
  <c r="BL122" i="20"/>
  <c r="BM122" i="20" s="1"/>
  <c r="BH142" i="20"/>
  <c r="AE140" i="25" s="1"/>
  <c r="AN133" i="25"/>
  <c r="I167" i="20"/>
  <c r="BH99" i="20"/>
  <c r="AE97" i="25" s="1"/>
  <c r="AF140" i="25"/>
  <c r="AG165" i="25"/>
  <c r="BQ142" i="20"/>
  <c r="AN140" i="25" s="1"/>
  <c r="BR94" i="20"/>
  <c r="AO92" i="25" s="1"/>
  <c r="BH58" i="20"/>
  <c r="AE56" i="25" s="1"/>
  <c r="BJ75" i="20"/>
  <c r="BQ99" i="20"/>
  <c r="BR99" i="20" s="1"/>
  <c r="AO97" i="25" s="1"/>
  <c r="BR222" i="20"/>
  <c r="AO220" i="25" s="1"/>
  <c r="BK99" i="20"/>
  <c r="BL99" i="20" s="1"/>
  <c r="AI97" i="25" s="1"/>
  <c r="AG224" i="25"/>
  <c r="AF82" i="25"/>
  <c r="AF73" i="25" s="1"/>
  <c r="BK84" i="20"/>
  <c r="BH84" i="20"/>
  <c r="AE82" i="25" s="1"/>
  <c r="BQ84" i="20"/>
  <c r="BL125" i="20"/>
  <c r="AI123" i="25" s="1"/>
  <c r="BM82" i="20"/>
  <c r="AJ80" i="25" s="1"/>
  <c r="AF85" i="25"/>
  <c r="BP166" i="20"/>
  <c r="AM164" i="25" s="1"/>
  <c r="AF67" i="25"/>
  <c r="BL83" i="20"/>
  <c r="AI81" i="25" s="1"/>
  <c r="AH133" i="25"/>
  <c r="AI133" i="25"/>
  <c r="BL228" i="20"/>
  <c r="AI226" i="25" s="1"/>
  <c r="AM165" i="25"/>
  <c r="BH61" i="20"/>
  <c r="AE59" i="25" s="1"/>
  <c r="BH115" i="20"/>
  <c r="AE113" i="25" s="1"/>
  <c r="O167" i="20"/>
  <c r="BQ69" i="20"/>
  <c r="AN67" i="25" s="1"/>
  <c r="BH69" i="20"/>
  <c r="AE67" i="25" s="1"/>
  <c r="BH106" i="20"/>
  <c r="AE104" i="25" s="1"/>
  <c r="AM115" i="25"/>
  <c r="AM157" i="25"/>
  <c r="BP51" i="20"/>
  <c r="BH57" i="20"/>
  <c r="AE55" i="25" s="1"/>
  <c r="BH118" i="20"/>
  <c r="AE116" i="25" s="1"/>
  <c r="BH122" i="20"/>
  <c r="AE120" i="25" s="1"/>
  <c r="AJ208" i="25"/>
  <c r="BH133" i="20"/>
  <c r="AE131" i="25" s="1"/>
  <c r="AM102" i="25"/>
  <c r="BS82" i="20"/>
  <c r="AP80" i="25" s="1"/>
  <c r="J159" i="20"/>
  <c r="BM201" i="20"/>
  <c r="AJ199" i="25" s="1"/>
  <c r="BL200" i="20"/>
  <c r="AI198" i="25" s="1"/>
  <c r="BR78" i="20"/>
  <c r="BS78" i="20" s="1"/>
  <c r="AP76" i="25" s="1"/>
  <c r="AG194" i="25"/>
  <c r="BR61" i="20"/>
  <c r="AO59" i="25" s="1"/>
  <c r="BL52" i="20"/>
  <c r="BM52" i="20" s="1"/>
  <c r="AJ50" i="25" s="1"/>
  <c r="O61" i="20"/>
  <c r="AH99" i="25"/>
  <c r="BP220" i="20"/>
  <c r="BH220" i="20" s="1"/>
  <c r="BK87" i="20"/>
  <c r="BL87" i="20" s="1"/>
  <c r="BS135" i="20"/>
  <c r="BL71" i="20"/>
  <c r="AM162" i="25"/>
  <c r="AM69" i="25"/>
  <c r="BJ51" i="20"/>
  <c r="BT213" i="20"/>
  <c r="AQ211" i="25" s="1"/>
  <c r="BJ132" i="20"/>
  <c r="AM80" i="25"/>
  <c r="BH82" i="20"/>
  <c r="AE80" i="25" s="1"/>
  <c r="BI98" i="20"/>
  <c r="BH159" i="20"/>
  <c r="P159" i="20"/>
  <c r="BQ133" i="20"/>
  <c r="BR133" i="20" s="1"/>
  <c r="BK133" i="20"/>
  <c r="AH131" i="25" s="1"/>
  <c r="BJ109" i="20"/>
  <c r="AF131" i="25"/>
  <c r="BL116" i="20"/>
  <c r="AI114" i="25" s="1"/>
  <c r="AH59" i="25"/>
  <c r="BI132" i="20"/>
  <c r="BR159" i="20"/>
  <c r="BS159" i="20" s="1"/>
  <c r="BK164" i="20"/>
  <c r="BL164" i="20" s="1"/>
  <c r="K164" i="20" s="1"/>
  <c r="BH164" i="20"/>
  <c r="AE162" i="25" s="1"/>
  <c r="G162" i="25" s="1"/>
  <c r="I162" i="25" s="1"/>
  <c r="BP75" i="20"/>
  <c r="BI162" i="20"/>
  <c r="BH162" i="20" s="1"/>
  <c r="AM76" i="25"/>
  <c r="BH227" i="20"/>
  <c r="AE225" i="25" s="1"/>
  <c r="BQ164" i="20"/>
  <c r="BR164" i="20" s="1"/>
  <c r="AO162" i="25" s="1"/>
  <c r="BH77" i="20"/>
  <c r="AE75" i="25" s="1"/>
  <c r="AM67" i="25"/>
  <c r="BR125" i="20"/>
  <c r="BS125" i="20" s="1"/>
  <c r="AP123" i="25" s="1"/>
  <c r="I159" i="20"/>
  <c r="AG157" i="25"/>
  <c r="AM226" i="25"/>
  <c r="AM224" i="25" s="1"/>
  <c r="BH228" i="20"/>
  <c r="AE226" i="25" s="1"/>
  <c r="BP121" i="20"/>
  <c r="BH125" i="20"/>
  <c r="AE123" i="25" s="1"/>
  <c r="BL55" i="20"/>
  <c r="AI53" i="25" s="1"/>
  <c r="BH135" i="20"/>
  <c r="AE133" i="25" s="1"/>
  <c r="BJ194" i="20"/>
  <c r="BN135" i="20"/>
  <c r="AK133" i="25" s="1"/>
  <c r="BP226" i="20"/>
  <c r="BH87" i="20"/>
  <c r="AE85" i="25" s="1"/>
  <c r="BR77" i="20"/>
  <c r="AO75" i="25" s="1"/>
  <c r="BM224" i="20"/>
  <c r="AJ222" i="25" s="1"/>
  <c r="BH136" i="20"/>
  <c r="AE134" i="25" s="1"/>
  <c r="AF134" i="25"/>
  <c r="BK136" i="20"/>
  <c r="AH134" i="25" s="1"/>
  <c r="BT212" i="20"/>
  <c r="AQ210" i="25" s="1"/>
  <c r="BS67" i="20"/>
  <c r="BT67" i="20" s="1"/>
  <c r="AQ65" i="25" s="1"/>
  <c r="BP132" i="20"/>
  <c r="BJ121" i="20"/>
  <c r="BR122" i="20"/>
  <c r="AO120" i="25" s="1"/>
  <c r="BR55" i="20"/>
  <c r="AO53" i="25" s="1"/>
  <c r="BJ86" i="20"/>
  <c r="BH140" i="20"/>
  <c r="AE138" i="25" s="1"/>
  <c r="I152" i="20"/>
  <c r="AG150" i="25"/>
  <c r="AN63" i="25"/>
  <c r="BN218" i="20"/>
  <c r="AK216" i="25" s="1"/>
  <c r="O176" i="20"/>
  <c r="AM174" i="25"/>
  <c r="BP174" i="20"/>
  <c r="AG174" i="25"/>
  <c r="I176" i="20"/>
  <c r="BJ174" i="20"/>
  <c r="BK88" i="20"/>
  <c r="BL88" i="20" s="1"/>
  <c r="AI86" i="25" s="1"/>
  <c r="BQ88" i="20"/>
  <c r="AF86" i="25"/>
  <c r="BH88" i="20"/>
  <c r="AE86" i="25" s="1"/>
  <c r="AF105" i="25"/>
  <c r="H105" i="25" s="1"/>
  <c r="BH107" i="20"/>
  <c r="AE105" i="25" s="1"/>
  <c r="BK107" i="20"/>
  <c r="J107" i="20" s="1"/>
  <c r="BQ107" i="20"/>
  <c r="P107" i="20" s="1"/>
  <c r="O152" i="20"/>
  <c r="AM150" i="25"/>
  <c r="AB228" i="20"/>
  <c r="AC228" i="20" s="1"/>
  <c r="S226" i="25" s="1"/>
  <c r="AH228" i="20"/>
  <c r="AI228" i="20" s="1"/>
  <c r="AJ228" i="20" s="1"/>
  <c r="Z226" i="25" s="1"/>
  <c r="V228" i="25"/>
  <c r="X100" i="20"/>
  <c r="N98" i="25" s="1"/>
  <c r="O228" i="20"/>
  <c r="I228" i="20"/>
  <c r="I53" i="20"/>
  <c r="AB216" i="20"/>
  <c r="AC216" i="20" s="1"/>
  <c r="AD216" i="20" s="1"/>
  <c r="T214" i="25" s="1"/>
  <c r="EE104" i="20"/>
  <c r="BP102" i="25" s="1"/>
  <c r="CV93" i="20"/>
  <c r="AZ91" i="25" s="1"/>
  <c r="BE68" i="25"/>
  <c r="CR129" i="20"/>
  <c r="AV127" i="25" s="1"/>
  <c r="DB116" i="20"/>
  <c r="DB201" i="20"/>
  <c r="DC201" i="20" s="1"/>
  <c r="BG199" i="25" s="1"/>
  <c r="DA105" i="20"/>
  <c r="BE103" i="25" s="1"/>
  <c r="CU105" i="20"/>
  <c r="AY103" i="25" s="1"/>
  <c r="CR107" i="20"/>
  <c r="AV105" i="25" s="1"/>
  <c r="DC70" i="20"/>
  <c r="DD70" i="20" s="1"/>
  <c r="BH68" i="25" s="1"/>
  <c r="J218" i="20"/>
  <c r="DB57" i="20"/>
  <c r="BF55" i="25" s="1"/>
  <c r="AY220" i="25"/>
  <c r="CR90" i="20"/>
  <c r="AV88" i="25" s="1"/>
  <c r="CV116" i="20"/>
  <c r="AZ114" i="25" s="1"/>
  <c r="DA87" i="20"/>
  <c r="DB87" i="20" s="1"/>
  <c r="DC87" i="20" s="1"/>
  <c r="BG85" i="25" s="1"/>
  <c r="I211" i="20"/>
  <c r="CR87" i="20"/>
  <c r="AV85" i="25" s="1"/>
  <c r="DA95" i="20"/>
  <c r="DB95" i="20" s="1"/>
  <c r="BF93" i="25" s="1"/>
  <c r="BD123" i="25"/>
  <c r="CR72" i="20"/>
  <c r="AV70" i="25" s="1"/>
  <c r="AY199" i="25"/>
  <c r="DB112" i="20"/>
  <c r="BF110" i="25" s="1"/>
  <c r="CR105" i="20"/>
  <c r="AV103" i="25" s="1"/>
  <c r="CR133" i="20"/>
  <c r="AV131" i="25" s="1"/>
  <c r="CR88" i="20"/>
  <c r="AV86" i="25" s="1"/>
  <c r="DB65" i="20"/>
  <c r="BF63" i="25" s="1"/>
  <c r="AW85" i="25"/>
  <c r="CR70" i="20"/>
  <c r="AV68" i="25" s="1"/>
  <c r="CR64" i="20"/>
  <c r="AV62" i="25" s="1"/>
  <c r="AY211" i="25"/>
  <c r="CV206" i="20"/>
  <c r="CW206" i="20" s="1"/>
  <c r="CV229" i="20"/>
  <c r="CW229" i="20" s="1"/>
  <c r="BA227" i="25" s="1"/>
  <c r="DB229" i="20"/>
  <c r="BF227" i="25" s="1"/>
  <c r="CR93" i="20"/>
  <c r="AV91" i="25" s="1"/>
  <c r="X218" i="20"/>
  <c r="N216" i="25" s="1"/>
  <c r="P218" i="20"/>
  <c r="CV89" i="20"/>
  <c r="CW89" i="20" s="1"/>
  <c r="BA87" i="25" s="1"/>
  <c r="CR60" i="20"/>
  <c r="AV58" i="25" s="1"/>
  <c r="AY90" i="25"/>
  <c r="CR104" i="20"/>
  <c r="AV102" i="25" s="1"/>
  <c r="O52" i="20"/>
  <c r="CR95" i="20"/>
  <c r="AV93" i="25" s="1"/>
  <c r="AW93" i="25"/>
  <c r="CR80" i="20"/>
  <c r="AV78" i="25" s="1"/>
  <c r="CW222" i="20"/>
  <c r="CX222" i="20" s="1"/>
  <c r="BB220" i="25" s="1"/>
  <c r="DC222" i="20"/>
  <c r="DD222" i="20" s="1"/>
  <c r="BH220" i="25" s="1"/>
  <c r="BE220" i="25"/>
  <c r="CR217" i="20"/>
  <c r="AV215" i="25" s="1"/>
  <c r="BE215" i="25"/>
  <c r="CR102" i="20"/>
  <c r="AV100" i="25" s="1"/>
  <c r="CR229" i="20"/>
  <c r="AV227" i="25" s="1"/>
  <c r="DA113" i="20"/>
  <c r="CR79" i="20"/>
  <c r="AV77" i="25" s="1"/>
  <c r="CV113" i="20"/>
  <c r="CW113" i="20" s="1"/>
  <c r="BA111" i="25" s="1"/>
  <c r="CV146" i="20"/>
  <c r="AZ144" i="25" s="1"/>
  <c r="AW138" i="25"/>
  <c r="CR227" i="20"/>
  <c r="AV225" i="25" s="1"/>
  <c r="O218" i="20"/>
  <c r="CR218" i="20"/>
  <c r="AV216" i="25" s="1"/>
  <c r="CR89" i="20"/>
  <c r="AV87" i="25" s="1"/>
  <c r="AY215" i="25"/>
  <c r="CR76" i="20"/>
  <c r="AV74" i="25" s="1"/>
  <c r="CR92" i="20"/>
  <c r="AV90" i="25" s="1"/>
  <c r="I133" i="20"/>
  <c r="CU140" i="20"/>
  <c r="AY138" i="25" s="1"/>
  <c r="AW111" i="25"/>
  <c r="CV79" i="20"/>
  <c r="CW79" i="20" s="1"/>
  <c r="BA77" i="25" s="1"/>
  <c r="CW217" i="20"/>
  <c r="BA215" i="25" s="1"/>
  <c r="CR140" i="20"/>
  <c r="AV138" i="25" s="1"/>
  <c r="CR113" i="20"/>
  <c r="AV111" i="25" s="1"/>
  <c r="DB93" i="20"/>
  <c r="BF91" i="25" s="1"/>
  <c r="CW218" i="20"/>
  <c r="BA216" i="25" s="1"/>
  <c r="AY216" i="25"/>
  <c r="CR57" i="20"/>
  <c r="AV55" i="25" s="1"/>
  <c r="DB130" i="20"/>
  <c r="BF128" i="25" s="1"/>
  <c r="CR228" i="20"/>
  <c r="AV226" i="25" s="1"/>
  <c r="BE87" i="25"/>
  <c r="I91" i="20"/>
  <c r="CR222" i="20"/>
  <c r="AV220" i="25" s="1"/>
  <c r="I52" i="20"/>
  <c r="O139" i="20"/>
  <c r="I212" i="20"/>
  <c r="CR216" i="20"/>
  <c r="AV214" i="25" s="1"/>
  <c r="CR206" i="20"/>
  <c r="AV204" i="25" s="1"/>
  <c r="CR52" i="20"/>
  <c r="AV50" i="25" s="1"/>
  <c r="CR212" i="20"/>
  <c r="AV210" i="25" s="1"/>
  <c r="CV65" i="20"/>
  <c r="AZ63" i="25" s="1"/>
  <c r="CV130" i="20"/>
  <c r="AZ128" i="25" s="1"/>
  <c r="BE203" i="25"/>
  <c r="DB205" i="20"/>
  <c r="DC217" i="20"/>
  <c r="CR103" i="20"/>
  <c r="AV101" i="25" s="1"/>
  <c r="CR136" i="20"/>
  <c r="AV134" i="25" s="1"/>
  <c r="O146" i="20"/>
  <c r="AW207" i="25"/>
  <c r="CT208" i="20"/>
  <c r="DA209" i="20"/>
  <c r="DB209" i="20" s="1"/>
  <c r="BF207" i="25" s="1"/>
  <c r="CR209" i="20"/>
  <c r="AV207" i="25" s="1"/>
  <c r="CS75" i="20"/>
  <c r="BD128" i="25"/>
  <c r="CR130" i="20"/>
  <c r="AV128" i="25" s="1"/>
  <c r="CR122" i="20"/>
  <c r="AV120" i="25" s="1"/>
  <c r="CR138" i="20"/>
  <c r="AV136" i="25" s="1"/>
  <c r="CS86" i="20"/>
  <c r="CR210" i="20"/>
  <c r="AV208" i="25" s="1"/>
  <c r="BE204" i="25"/>
  <c r="DB206" i="20"/>
  <c r="CZ4" i="20"/>
  <c r="AZ214" i="25"/>
  <c r="CT203" i="20"/>
  <c r="O211" i="20"/>
  <c r="BE100" i="25"/>
  <c r="DB102" i="20"/>
  <c r="CS132" i="20"/>
  <c r="CZ86" i="20"/>
  <c r="CR211" i="20"/>
  <c r="AV209" i="25" s="1"/>
  <c r="H214" i="25"/>
  <c r="AW54" i="25"/>
  <c r="CU56" i="20"/>
  <c r="DA56" i="20"/>
  <c r="DB56" i="20" s="1"/>
  <c r="CR56" i="20"/>
  <c r="AV54" i="25" s="1"/>
  <c r="BD206" i="25"/>
  <c r="CS226" i="20"/>
  <c r="AX119" i="25"/>
  <c r="CS144" i="20"/>
  <c r="AX96" i="25"/>
  <c r="CS208" i="20"/>
  <c r="AW64" i="25"/>
  <c r="CU66" i="20"/>
  <c r="CR66" i="20"/>
  <c r="AV64" i="25" s="1"/>
  <c r="DA66" i="20"/>
  <c r="CR99" i="20"/>
  <c r="AV97" i="25" s="1"/>
  <c r="AX61" i="25"/>
  <c r="BE77" i="25"/>
  <c r="DB79" i="20"/>
  <c r="CR83" i="20"/>
  <c r="AV81" i="25" s="1"/>
  <c r="CT144" i="20"/>
  <c r="AX218" i="25"/>
  <c r="CU99" i="20"/>
  <c r="AY97" i="25" s="1"/>
  <c r="CZ75" i="20"/>
  <c r="CZ208" i="20"/>
  <c r="I58" i="20"/>
  <c r="CU127" i="20"/>
  <c r="AY125" i="25" s="1"/>
  <c r="O58" i="20"/>
  <c r="AW97" i="25"/>
  <c r="AW113" i="25"/>
  <c r="H113" i="25" s="1"/>
  <c r="CR115" i="20"/>
  <c r="AV113" i="25" s="1"/>
  <c r="DA115" i="20"/>
  <c r="CU115" i="20"/>
  <c r="I55" i="20"/>
  <c r="CV199" i="20"/>
  <c r="CW199" i="20" s="1"/>
  <c r="CX199" i="20" s="1"/>
  <c r="CR58" i="20"/>
  <c r="AV56" i="25" s="1"/>
  <c r="CR127" i="20"/>
  <c r="AV125" i="25" s="1"/>
  <c r="CS109" i="20"/>
  <c r="BD84" i="25"/>
  <c r="CS98" i="20"/>
  <c r="BD116" i="25"/>
  <c r="BD107" i="25" s="1"/>
  <c r="CR118" i="20"/>
  <c r="AV116" i="25" s="1"/>
  <c r="AW115" i="25"/>
  <c r="H115" i="25" s="1"/>
  <c r="DA117" i="20"/>
  <c r="P117" i="20" s="1"/>
  <c r="CR117" i="20"/>
  <c r="AV115" i="25" s="1"/>
  <c r="CU117" i="20"/>
  <c r="J117" i="20" s="1"/>
  <c r="CR82" i="20"/>
  <c r="AV80" i="25" s="1"/>
  <c r="DA127" i="20"/>
  <c r="BE125" i="25" s="1"/>
  <c r="CR81" i="20"/>
  <c r="AV79" i="25" s="1"/>
  <c r="CT121" i="20"/>
  <c r="CV118" i="20"/>
  <c r="AZ116" i="25" s="1"/>
  <c r="CR141" i="20"/>
  <c r="AV139" i="25" s="1"/>
  <c r="AX142" i="25"/>
  <c r="AX107" i="25"/>
  <c r="CS4" i="20"/>
  <c r="DA147" i="20"/>
  <c r="AW145" i="25"/>
  <c r="CU147" i="20"/>
  <c r="CV147" i="20" s="1"/>
  <c r="CR147" i="20"/>
  <c r="AV145" i="25" s="1"/>
  <c r="CZ121" i="20"/>
  <c r="CU84" i="20"/>
  <c r="DA84" i="20"/>
  <c r="AW82" i="25"/>
  <c r="CR84" i="20"/>
  <c r="AV82" i="25" s="1"/>
  <c r="CZ109" i="20"/>
  <c r="AW99" i="25"/>
  <c r="DA101" i="20"/>
  <c r="CR101" i="20"/>
  <c r="AV99" i="25" s="1"/>
  <c r="CU101" i="20"/>
  <c r="AW75" i="25"/>
  <c r="DA77" i="20"/>
  <c r="BE75" i="25" s="1"/>
  <c r="CU77" i="20"/>
  <c r="AY75" i="25" s="1"/>
  <c r="CR77" i="20"/>
  <c r="AV75" i="25" s="1"/>
  <c r="BE123" i="25"/>
  <c r="DB125" i="20"/>
  <c r="BF123" i="25" s="1"/>
  <c r="CZ226" i="20"/>
  <c r="BD226" i="25"/>
  <c r="BD224" i="25" s="1"/>
  <c r="CU145" i="20"/>
  <c r="AW143" i="25"/>
  <c r="CR145" i="20"/>
  <c r="AV143" i="25" s="1"/>
  <c r="DA145" i="20"/>
  <c r="CR110" i="20"/>
  <c r="AV108" i="25" s="1"/>
  <c r="AW52" i="25"/>
  <c r="DA54" i="20"/>
  <c r="CR54" i="20"/>
  <c r="AV52" i="25" s="1"/>
  <c r="CU54" i="20"/>
  <c r="AY52" i="25" s="1"/>
  <c r="BD144" i="25"/>
  <c r="BD142" i="25" s="1"/>
  <c r="CZ144" i="20"/>
  <c r="CR137" i="20"/>
  <c r="AV135" i="25" s="1"/>
  <c r="AW135" i="25"/>
  <c r="CU137" i="20"/>
  <c r="DA137" i="20"/>
  <c r="AW122" i="25"/>
  <c r="CU124" i="20"/>
  <c r="DA124" i="20"/>
  <c r="BE122" i="25" s="1"/>
  <c r="CR124" i="20"/>
  <c r="AV122" i="25" s="1"/>
  <c r="DA55" i="20"/>
  <c r="BE53" i="25" s="1"/>
  <c r="AW53" i="25"/>
  <c r="H53" i="25" s="1"/>
  <c r="CU55" i="20"/>
  <c r="AY53" i="25" s="1"/>
  <c r="CR55" i="20"/>
  <c r="AV53" i="25" s="1"/>
  <c r="DC129" i="20"/>
  <c r="BG127" i="25" s="1"/>
  <c r="CU221" i="20"/>
  <c r="CV221" i="20" s="1"/>
  <c r="AZ219" i="25" s="1"/>
  <c r="DA221" i="20"/>
  <c r="AW219" i="25"/>
  <c r="CR221" i="20"/>
  <c r="AV219" i="25" s="1"/>
  <c r="CT226" i="20"/>
  <c r="AX226" i="25"/>
  <c r="AX224" i="25" s="1"/>
  <c r="CR139" i="20"/>
  <c r="AV137" i="25" s="1"/>
  <c r="DA139" i="20"/>
  <c r="DB139" i="20" s="1"/>
  <c r="BF137" i="25" s="1"/>
  <c r="CU139" i="20"/>
  <c r="CV139" i="20" s="1"/>
  <c r="AZ137" i="25" s="1"/>
  <c r="AW137" i="25"/>
  <c r="CS203" i="20"/>
  <c r="AW202" i="25"/>
  <c r="AW201" i="25" s="1"/>
  <c r="DA204" i="20"/>
  <c r="CR204" i="20"/>
  <c r="AV202" i="25" s="1"/>
  <c r="CU204" i="20"/>
  <c r="AW66" i="25"/>
  <c r="DA68" i="20"/>
  <c r="CU68" i="20"/>
  <c r="BD96" i="25"/>
  <c r="AX74" i="25"/>
  <c r="AX73" i="25" s="1"/>
  <c r="CT75" i="20"/>
  <c r="CT98" i="20"/>
  <c r="AW67" i="25"/>
  <c r="CU69" i="20"/>
  <c r="DA69" i="20"/>
  <c r="CR69" i="20"/>
  <c r="AV67" i="25" s="1"/>
  <c r="CZ203" i="20"/>
  <c r="BD202" i="25"/>
  <c r="BD201" i="25" s="1"/>
  <c r="CU114" i="20"/>
  <c r="DA114" i="20"/>
  <c r="AW112" i="25"/>
  <c r="CR114" i="20"/>
  <c r="AV112" i="25" s="1"/>
  <c r="CS121" i="20"/>
  <c r="CT86" i="20"/>
  <c r="DC218" i="20"/>
  <c r="BD63" i="25"/>
  <c r="CR65" i="20"/>
  <c r="AV63" i="25" s="1"/>
  <c r="AW228" i="25"/>
  <c r="CU230" i="20"/>
  <c r="CV230" i="20" s="1"/>
  <c r="AZ228" i="25" s="1"/>
  <c r="DA230" i="20"/>
  <c r="CR230" i="20"/>
  <c r="AV228" i="25" s="1"/>
  <c r="AW92" i="25"/>
  <c r="H92" i="25" s="1"/>
  <c r="CR94" i="20"/>
  <c r="AV92" i="25" s="1"/>
  <c r="CU94" i="20"/>
  <c r="DA94" i="20"/>
  <c r="P94" i="20" s="1"/>
  <c r="AW89" i="25"/>
  <c r="DA91" i="20"/>
  <c r="CR91" i="20"/>
  <c r="AV89" i="25" s="1"/>
  <c r="CU91" i="20"/>
  <c r="AX197" i="25"/>
  <c r="AX196" i="25" s="1"/>
  <c r="CT198" i="20"/>
  <c r="DA200" i="20"/>
  <c r="DB200" i="20" s="1"/>
  <c r="BF198" i="25" s="1"/>
  <c r="CU200" i="20"/>
  <c r="CR200" i="20"/>
  <c r="AV198" i="25" s="1"/>
  <c r="AW198" i="25"/>
  <c r="AW196" i="25" s="1"/>
  <c r="CR68" i="20"/>
  <c r="AV66" i="25" s="1"/>
  <c r="BD66" i="25"/>
  <c r="AX84" i="25"/>
  <c r="CT4" i="20"/>
  <c r="BD197" i="25"/>
  <c r="BD196" i="25" s="1"/>
  <c r="CZ198" i="20"/>
  <c r="CR198" i="20" s="1"/>
  <c r="CR199" i="20"/>
  <c r="AV197" i="25" s="1"/>
  <c r="CZ98" i="20"/>
  <c r="CR126" i="20"/>
  <c r="AV124" i="25" s="1"/>
  <c r="CZ63" i="20"/>
  <c r="CR59" i="20"/>
  <c r="AV57" i="25" s="1"/>
  <c r="DA59" i="20"/>
  <c r="BE57" i="25" s="1"/>
  <c r="AW57" i="25"/>
  <c r="CU59" i="20"/>
  <c r="AW133" i="25"/>
  <c r="CR135" i="20"/>
  <c r="AV133" i="25" s="1"/>
  <c r="DA135" i="20"/>
  <c r="CU135" i="20"/>
  <c r="AW132" i="25"/>
  <c r="CU134" i="20"/>
  <c r="DA134" i="20"/>
  <c r="CR134" i="20"/>
  <c r="AV132" i="25" s="1"/>
  <c r="CR123" i="20"/>
  <c r="AV121" i="25" s="1"/>
  <c r="CU123" i="20"/>
  <c r="DA123" i="20"/>
  <c r="AW121" i="25"/>
  <c r="AW76" i="25"/>
  <c r="CR78" i="20"/>
  <c r="AV76" i="25" s="1"/>
  <c r="DA78" i="20"/>
  <c r="CU78" i="20"/>
  <c r="CU71" i="20"/>
  <c r="AW69" i="25"/>
  <c r="DA71" i="20"/>
  <c r="CR71" i="20"/>
  <c r="AV69" i="25" s="1"/>
  <c r="O55" i="20"/>
  <c r="CU231" i="20"/>
  <c r="AW229" i="25"/>
  <c r="CR231" i="20"/>
  <c r="AV229" i="25" s="1"/>
  <c r="DA231" i="20"/>
  <c r="CU148" i="20"/>
  <c r="CR148" i="20"/>
  <c r="AV146" i="25" s="1"/>
  <c r="AW146" i="25"/>
  <c r="DA148" i="20"/>
  <c r="AW98" i="25"/>
  <c r="CU100" i="20"/>
  <c r="CV100" i="20" s="1"/>
  <c r="CR100" i="20"/>
  <c r="AV98" i="25" s="1"/>
  <c r="DA100" i="20"/>
  <c r="DB100" i="20" s="1"/>
  <c r="AW222" i="25"/>
  <c r="CU224" i="20"/>
  <c r="CV224" i="20" s="1"/>
  <c r="AZ222" i="25" s="1"/>
  <c r="DA224" i="20"/>
  <c r="CR224" i="20"/>
  <c r="AV222" i="25" s="1"/>
  <c r="CR73" i="20"/>
  <c r="AV71" i="25" s="1"/>
  <c r="AW71" i="25"/>
  <c r="DA73" i="20"/>
  <c r="BE71" i="25" s="1"/>
  <c r="CU73" i="20"/>
  <c r="AY71" i="25" s="1"/>
  <c r="BE214" i="25"/>
  <c r="DB216" i="20"/>
  <c r="AW212" i="25"/>
  <c r="DA214" i="20"/>
  <c r="DB214" i="20" s="1"/>
  <c r="CU214" i="20"/>
  <c r="AY212" i="25" s="1"/>
  <c r="CR214" i="20"/>
  <c r="AV212" i="25" s="1"/>
  <c r="AW213" i="25"/>
  <c r="DA215" i="20"/>
  <c r="CU215" i="20"/>
  <c r="AY213" i="25" s="1"/>
  <c r="CR215" i="20"/>
  <c r="AV213" i="25" s="1"/>
  <c r="CT63" i="20"/>
  <c r="BD140" i="25"/>
  <c r="BD130" i="25" s="1"/>
  <c r="CZ132" i="20"/>
  <c r="AX140" i="25"/>
  <c r="AX130" i="25" s="1"/>
  <c r="CT132" i="20"/>
  <c r="DB110" i="20"/>
  <c r="DC110" i="20" s="1"/>
  <c r="BG108" i="25" s="1"/>
  <c r="AW140" i="25"/>
  <c r="CR142" i="20"/>
  <c r="AV140" i="25" s="1"/>
  <c r="CU142" i="20"/>
  <c r="DA142" i="20"/>
  <c r="AW94" i="25"/>
  <c r="CU96" i="20"/>
  <c r="DA96" i="20"/>
  <c r="CR96" i="20"/>
  <c r="AV94" i="25" s="1"/>
  <c r="AX59" i="25"/>
  <c r="AX49" i="25" s="1"/>
  <c r="CT51" i="20"/>
  <c r="CS63" i="20"/>
  <c r="CR61" i="20"/>
  <c r="AV59" i="25" s="1"/>
  <c r="AW59" i="25"/>
  <c r="H59" i="25" s="1"/>
  <c r="DA61" i="20"/>
  <c r="P61" i="20" s="1"/>
  <c r="CU61" i="20"/>
  <c r="J61" i="20" s="1"/>
  <c r="BD59" i="25"/>
  <c r="BD49" i="25" s="1"/>
  <c r="CZ51" i="20"/>
  <c r="AW117" i="25"/>
  <c r="CR119" i="20"/>
  <c r="AV117" i="25" s="1"/>
  <c r="CU119" i="20"/>
  <c r="DA119" i="20"/>
  <c r="DB146" i="20"/>
  <c r="DC146" i="20" s="1"/>
  <c r="CS51" i="20"/>
  <c r="CT109" i="20"/>
  <c r="BD221" i="25"/>
  <c r="BD218" i="25" s="1"/>
  <c r="CZ220" i="20"/>
  <c r="CT220" i="20"/>
  <c r="AW221" i="25"/>
  <c r="CU223" i="20"/>
  <c r="CR223" i="20"/>
  <c r="AV221" i="25" s="1"/>
  <c r="DA223" i="20"/>
  <c r="CS220" i="20"/>
  <c r="DB227" i="20"/>
  <c r="BF225" i="25" s="1"/>
  <c r="CV211" i="20"/>
  <c r="AZ209" i="25" s="1"/>
  <c r="Q98" i="25"/>
  <c r="BT201" i="20"/>
  <c r="AQ199" i="25" s="1"/>
  <c r="I111" i="20"/>
  <c r="BO80" i="25"/>
  <c r="CV110" i="20"/>
  <c r="AZ108" i="25" s="1"/>
  <c r="CV228" i="20"/>
  <c r="AZ226" i="25" s="1"/>
  <c r="AY226" i="25"/>
  <c r="AH100" i="20"/>
  <c r="X98" i="25" s="1"/>
  <c r="J228" i="20"/>
  <c r="X105" i="20"/>
  <c r="N103" i="25" s="1"/>
  <c r="F4" i="20"/>
  <c r="BR200" i="20"/>
  <c r="AO198" i="25" s="1"/>
  <c r="AN198" i="25"/>
  <c r="AN117" i="25"/>
  <c r="I214" i="20"/>
  <c r="BR58" i="20"/>
  <c r="AO56" i="25" s="1"/>
  <c r="BS216" i="20"/>
  <c r="AP214" i="25" s="1"/>
  <c r="BT217" i="20"/>
  <c r="AQ215" i="25" s="1"/>
  <c r="J216" i="20"/>
  <c r="DC199" i="20"/>
  <c r="DD199" i="20" s="1"/>
  <c r="BE197" i="25"/>
  <c r="BP86" i="20"/>
  <c r="BL229" i="20"/>
  <c r="AI227" i="25" s="1"/>
  <c r="P228" i="20"/>
  <c r="BE226" i="25"/>
  <c r="DC228" i="20"/>
  <c r="BG226" i="25" s="1"/>
  <c r="CW83" i="20"/>
  <c r="CX83" i="20" s="1"/>
  <c r="CV138" i="20"/>
  <c r="AZ136" i="25" s="1"/>
  <c r="DC107" i="20"/>
  <c r="BG105" i="25" s="1"/>
  <c r="AY225" i="25"/>
  <c r="F73" i="25"/>
  <c r="F130" i="25"/>
  <c r="O216" i="20"/>
  <c r="AO50" i="25"/>
  <c r="DC118" i="20"/>
  <c r="DD118" i="20" s="1"/>
  <c r="BH116" i="25" s="1"/>
  <c r="BP63" i="20"/>
  <c r="DB99" i="20"/>
  <c r="BE97" i="25"/>
  <c r="AH218" i="20"/>
  <c r="F224" i="25"/>
  <c r="I100" i="20"/>
  <c r="AP50" i="25"/>
  <c r="BR116" i="20"/>
  <c r="AO114" i="25" s="1"/>
  <c r="I81" i="20"/>
  <c r="BJ203" i="20"/>
  <c r="AX201" i="25"/>
  <c r="DC53" i="20"/>
  <c r="BG51" i="25" s="1"/>
  <c r="AB231" i="20"/>
  <c r="AC231" i="20" s="1"/>
  <c r="S229" i="25" s="1"/>
  <c r="BP109" i="20"/>
  <c r="BR87" i="20"/>
  <c r="AN85" i="25"/>
  <c r="Q216" i="25"/>
  <c r="CV122" i="20"/>
  <c r="AZ120" i="25" s="1"/>
  <c r="CW125" i="20"/>
  <c r="BA123" i="25" s="1"/>
  <c r="BR208" i="20"/>
  <c r="CW227" i="20"/>
  <c r="BA225" i="25" s="1"/>
  <c r="BR83" i="20"/>
  <c r="AO81" i="25" s="1"/>
  <c r="AD3" i="25"/>
  <c r="BE58" i="25"/>
  <c r="DB60" i="20"/>
  <c r="BH105" i="20"/>
  <c r="AE103" i="25" s="1"/>
  <c r="AH102" i="25"/>
  <c r="BR196" i="20"/>
  <c r="Q196" i="20" s="1"/>
  <c r="BI63" i="20"/>
  <c r="CV52" i="20"/>
  <c r="CW52" i="20" s="1"/>
  <c r="CX52" i="20" s="1"/>
  <c r="BB50" i="25" s="1"/>
  <c r="AM117" i="25"/>
  <c r="CV81" i="20"/>
  <c r="AZ79" i="25" s="1"/>
  <c r="DB81" i="20"/>
  <c r="BF79" i="25" s="1"/>
  <c r="DB76" i="20"/>
  <c r="DC76" i="20" s="1"/>
  <c r="BH192" i="20"/>
  <c r="AE190" i="25" s="1"/>
  <c r="G190" i="25" s="1"/>
  <c r="I190" i="25" s="1"/>
  <c r="BL208" i="20"/>
  <c r="BP98" i="20"/>
  <c r="CV126" i="20"/>
  <c r="DB136" i="20"/>
  <c r="BF134" i="25" s="1"/>
  <c r="DB52" i="20"/>
  <c r="DC52" i="20" s="1"/>
  <c r="AZ58" i="25"/>
  <c r="CW60" i="20"/>
  <c r="AM204" i="25"/>
  <c r="BP203" i="20"/>
  <c r="BH203" i="20" s="1"/>
  <c r="AF150" i="25"/>
  <c r="H150" i="25" s="1"/>
  <c r="BK152" i="20"/>
  <c r="BQ152" i="20"/>
  <c r="BR152" i="20" s="1"/>
  <c r="BH152" i="20"/>
  <c r="BL3" i="25"/>
  <c r="CW133" i="20"/>
  <c r="BA131" i="25" s="1"/>
  <c r="BH196" i="20"/>
  <c r="CV128" i="20"/>
  <c r="AZ126" i="25" s="1"/>
  <c r="AM194" i="25"/>
  <c r="EE222" i="20"/>
  <c r="BP220" i="25" s="1"/>
  <c r="BP207" i="25"/>
  <c r="AX206" i="25"/>
  <c r="CW102" i="20"/>
  <c r="BA100" i="25" s="1"/>
  <c r="CV136" i="20"/>
  <c r="AZ134" i="25" s="1"/>
  <c r="BQ156" i="20"/>
  <c r="AF154" i="25"/>
  <c r="H154" i="25" s="1"/>
  <c r="BH156" i="20"/>
  <c r="BK156" i="20"/>
  <c r="BN212" i="20"/>
  <c r="AK210" i="25" s="1"/>
  <c r="AF173" i="25"/>
  <c r="H173" i="25" s="1"/>
  <c r="BK175" i="20"/>
  <c r="BL175" i="20" s="1"/>
  <c r="BQ175" i="20"/>
  <c r="BR175" i="20" s="1"/>
  <c r="BH175" i="20"/>
  <c r="EB205" i="20"/>
  <c r="BM203" i="25" s="1"/>
  <c r="I222" i="20"/>
  <c r="EL205" i="20"/>
  <c r="EM205" i="20" s="1"/>
  <c r="BI174" i="20"/>
  <c r="AF174" i="25"/>
  <c r="H174" i="25" s="1"/>
  <c r="BH176" i="20"/>
  <c r="BK176" i="20"/>
  <c r="BQ176" i="20"/>
  <c r="BL77" i="20"/>
  <c r="O89" i="20"/>
  <c r="BS119" i="20"/>
  <c r="BT119" i="20" s="1"/>
  <c r="AQ117" i="25" s="1"/>
  <c r="P196" i="20"/>
  <c r="BM58" i="20"/>
  <c r="AJ56" i="25" s="1"/>
  <c r="BN216" i="20"/>
  <c r="AK214" i="25" s="1"/>
  <c r="BJ98" i="20"/>
  <c r="I60" i="20"/>
  <c r="DB122" i="20"/>
  <c r="BF120" i="25" s="1"/>
  <c r="DB58" i="20"/>
  <c r="BF56" i="25" s="1"/>
  <c r="CV67" i="20"/>
  <c r="AZ65" i="25" s="1"/>
  <c r="F149" i="25"/>
  <c r="AD142" i="25"/>
  <c r="F142" i="25" s="1"/>
  <c r="EM218" i="20"/>
  <c r="BX216" i="25" s="1"/>
  <c r="I229" i="20"/>
  <c r="O229" i="20"/>
  <c r="I145" i="20"/>
  <c r="I221" i="20"/>
  <c r="O79" i="20"/>
  <c r="BP100" i="25"/>
  <c r="O96" i="20"/>
  <c r="Q219" i="25"/>
  <c r="O69" i="20"/>
  <c r="O100" i="20"/>
  <c r="I139" i="20"/>
  <c r="I218" i="20"/>
  <c r="I89" i="20"/>
  <c r="I224" i="20"/>
  <c r="Y98" i="20"/>
  <c r="AC58" i="20"/>
  <c r="S56" i="25" s="1"/>
  <c r="X101" i="20"/>
  <c r="N99" i="25" s="1"/>
  <c r="BF131" i="25"/>
  <c r="AG107" i="25"/>
  <c r="DB104" i="20"/>
  <c r="BF102" i="25" s="1"/>
  <c r="BO222" i="25"/>
  <c r="BO218" i="25" s="1"/>
  <c r="BL119" i="20"/>
  <c r="BM119" i="20" s="1"/>
  <c r="BP222" i="25"/>
  <c r="EF107" i="20"/>
  <c r="BQ105" i="25" s="1"/>
  <c r="CX216" i="20"/>
  <c r="BB214" i="25" s="1"/>
  <c r="AG96" i="25"/>
  <c r="I84" i="20"/>
  <c r="O111" i="20"/>
  <c r="AO207" i="25"/>
  <c r="AO206" i="25" s="1"/>
  <c r="DB111" i="20"/>
  <c r="CV58" i="20"/>
  <c r="V218" i="25"/>
  <c r="BM61" i="20"/>
  <c r="AJ59" i="25" s="1"/>
  <c r="BL79" i="20"/>
  <c r="AI77" i="25" s="1"/>
  <c r="Q228" i="25"/>
  <c r="BR229" i="20"/>
  <c r="DB138" i="20"/>
  <c r="BF136" i="25" s="1"/>
  <c r="DB64" i="20"/>
  <c r="H56" i="25"/>
  <c r="EB79" i="20"/>
  <c r="BM77" i="25" s="1"/>
  <c r="X106" i="20"/>
  <c r="N104" i="25" s="1"/>
  <c r="BU105" i="25"/>
  <c r="BT218" i="20"/>
  <c r="AQ216" i="25" s="1"/>
  <c r="BN214" i="20"/>
  <c r="AK212" i="25" s="1"/>
  <c r="EB103" i="20"/>
  <c r="BM101" i="25" s="1"/>
  <c r="EB229" i="20"/>
  <c r="BM227" i="25" s="1"/>
  <c r="BS209" i="20"/>
  <c r="AP207" i="25" s="1"/>
  <c r="X229" i="20"/>
  <c r="N227" i="25" s="1"/>
  <c r="CV104" i="20"/>
  <c r="AZ102" i="25" s="1"/>
  <c r="CV64" i="20"/>
  <c r="DC133" i="20"/>
  <c r="DD133" i="20" s="1"/>
  <c r="AH90" i="25"/>
  <c r="BL92" i="20"/>
  <c r="DB141" i="20"/>
  <c r="BF139" i="25" s="1"/>
  <c r="ED220" i="20"/>
  <c r="CV210" i="20"/>
  <c r="AZ208" i="25" s="1"/>
  <c r="I116" i="20"/>
  <c r="BL117" i="20"/>
  <c r="AI115" i="25" s="1"/>
  <c r="DB210" i="20"/>
  <c r="BF208" i="25" s="1"/>
  <c r="O114" i="20"/>
  <c r="I67" i="20"/>
  <c r="BU80" i="25"/>
  <c r="AA106" i="20"/>
  <c r="AB106" i="20" s="1"/>
  <c r="R104" i="25" s="1"/>
  <c r="AG106" i="20"/>
  <c r="AH106" i="20" s="1"/>
  <c r="O107" i="20"/>
  <c r="F206" i="25"/>
  <c r="O102" i="20"/>
  <c r="EC98" i="20"/>
  <c r="I83" i="20"/>
  <c r="BN101" i="25"/>
  <c r="H101" i="25" s="1"/>
  <c r="EB102" i="20"/>
  <c r="BM100" i="25" s="1"/>
  <c r="AN90" i="25"/>
  <c r="BR92" i="20"/>
  <c r="DB128" i="20"/>
  <c r="DB140" i="20"/>
  <c r="AY131" i="25"/>
  <c r="O117" i="20"/>
  <c r="BN215" i="20"/>
  <c r="AK213" i="25" s="1"/>
  <c r="EF103" i="20"/>
  <c r="BQ101" i="25" s="1"/>
  <c r="EK103" i="20"/>
  <c r="P103" i="20" s="1"/>
  <c r="AZ199" i="25"/>
  <c r="CX201" i="20"/>
  <c r="BB199" i="25" s="1"/>
  <c r="CV111" i="20"/>
  <c r="DB126" i="20"/>
  <c r="DB67" i="20"/>
  <c r="BF65" i="25" s="1"/>
  <c r="AY50" i="25"/>
  <c r="AG73" i="25"/>
  <c r="AZ131" i="25"/>
  <c r="F49" i="25"/>
  <c r="AH94" i="20"/>
  <c r="X92" i="25" s="1"/>
  <c r="AC211" i="20"/>
  <c r="AD211" i="20" s="1"/>
  <c r="BM231" i="20"/>
  <c r="AJ229" i="25" s="1"/>
  <c r="AN206" i="25"/>
  <c r="BE131" i="25"/>
  <c r="BE50" i="25"/>
  <c r="EL222" i="20"/>
  <c r="EM222" i="20" s="1"/>
  <c r="BX220" i="25" s="1"/>
  <c r="O93" i="20"/>
  <c r="I205" i="20"/>
  <c r="EG209" i="20"/>
  <c r="BR207" i="25" s="1"/>
  <c r="Y4" i="20"/>
  <c r="Y208" i="20"/>
  <c r="CV141" i="20"/>
  <c r="I96" i="20"/>
  <c r="I215" i="20"/>
  <c r="Z220" i="20"/>
  <c r="I69" i="20"/>
  <c r="AA101" i="20"/>
  <c r="AB101" i="20" s="1"/>
  <c r="R99" i="25" s="1"/>
  <c r="X117" i="20"/>
  <c r="N115" i="25" s="1"/>
  <c r="I103" i="20"/>
  <c r="O91" i="20"/>
  <c r="O119" i="20"/>
  <c r="O224" i="20"/>
  <c r="Z4" i="20"/>
  <c r="O104" i="20"/>
  <c r="O148" i="20"/>
  <c r="I137" i="20"/>
  <c r="I104" i="20"/>
  <c r="I90" i="20"/>
  <c r="I59" i="20"/>
  <c r="O57" i="20"/>
  <c r="I119" i="20"/>
  <c r="Y109" i="20"/>
  <c r="AI221" i="20"/>
  <c r="AJ221" i="20" s="1"/>
  <c r="Z219" i="25" s="1"/>
  <c r="O205" i="20"/>
  <c r="O116" i="20"/>
  <c r="I77" i="20"/>
  <c r="O68" i="20"/>
  <c r="I79" i="20"/>
  <c r="V197" i="25"/>
  <c r="V196" i="25" s="1"/>
  <c r="AF198" i="20"/>
  <c r="V225" i="25"/>
  <c r="AF226" i="20"/>
  <c r="X226" i="20" s="1"/>
  <c r="X227" i="20"/>
  <c r="N225" i="25" s="1"/>
  <c r="V207" i="25"/>
  <c r="AF208" i="20"/>
  <c r="V108" i="25"/>
  <c r="AF109" i="20"/>
  <c r="O110" i="20"/>
  <c r="V74" i="25"/>
  <c r="V73" i="25" s="1"/>
  <c r="AF75" i="20"/>
  <c r="X145" i="20"/>
  <c r="N143" i="25" s="1"/>
  <c r="V143" i="25"/>
  <c r="AF144" i="20"/>
  <c r="O145" i="20"/>
  <c r="V97" i="25"/>
  <c r="V96" i="25" s="1"/>
  <c r="AF98" i="20"/>
  <c r="V131" i="25"/>
  <c r="AF132" i="20"/>
  <c r="O133" i="20"/>
  <c r="O50" i="25"/>
  <c r="H50" i="25" s="1"/>
  <c r="X52" i="20"/>
  <c r="N50" i="25" s="1"/>
  <c r="AG52" i="20"/>
  <c r="AA52" i="20"/>
  <c r="O91" i="25"/>
  <c r="H91" i="25" s="1"/>
  <c r="X93" i="20"/>
  <c r="N91" i="25" s="1"/>
  <c r="AA93" i="20"/>
  <c r="AG93" i="20"/>
  <c r="AH93" i="20" s="1"/>
  <c r="X91" i="25" s="1"/>
  <c r="O100" i="25"/>
  <c r="X102" i="20"/>
  <c r="N100" i="25" s="1"/>
  <c r="AA102" i="20"/>
  <c r="J102" i="20" s="1"/>
  <c r="AG102" i="20"/>
  <c r="W100" i="25" s="1"/>
  <c r="V138" i="25"/>
  <c r="O140" i="20"/>
  <c r="O52" i="25"/>
  <c r="X54" i="20"/>
  <c r="N52" i="25" s="1"/>
  <c r="AG54" i="20"/>
  <c r="W52" i="25" s="1"/>
  <c r="AA54" i="20"/>
  <c r="Q52" i="25" s="1"/>
  <c r="O94" i="25"/>
  <c r="X96" i="20"/>
  <c r="N94" i="25" s="1"/>
  <c r="AG96" i="20"/>
  <c r="W94" i="25" s="1"/>
  <c r="AA96" i="20"/>
  <c r="Q94" i="25" s="1"/>
  <c r="Z51" i="20"/>
  <c r="P211" i="20"/>
  <c r="P85" i="25"/>
  <c r="Z86" i="20"/>
  <c r="I87" i="20"/>
  <c r="O212" i="25"/>
  <c r="AG214" i="20"/>
  <c r="W212" i="25" s="1"/>
  <c r="X214" i="20"/>
  <c r="N212" i="25" s="1"/>
  <c r="AA214" i="20"/>
  <c r="I82" i="20"/>
  <c r="O124" i="25"/>
  <c r="X126" i="20"/>
  <c r="N124" i="25" s="1"/>
  <c r="AA126" i="20"/>
  <c r="Q124" i="25" s="1"/>
  <c r="AG126" i="20"/>
  <c r="W124" i="25" s="1"/>
  <c r="I213" i="20"/>
  <c r="X221" i="20"/>
  <c r="N219" i="25" s="1"/>
  <c r="O67" i="20"/>
  <c r="V85" i="25"/>
  <c r="AF86" i="20"/>
  <c r="O87" i="20"/>
  <c r="P55" i="25"/>
  <c r="P49" i="25" s="1"/>
  <c r="I57" i="20"/>
  <c r="P90" i="25"/>
  <c r="I92" i="20"/>
  <c r="P111" i="25"/>
  <c r="I113" i="20"/>
  <c r="P136" i="25"/>
  <c r="I138" i="20"/>
  <c r="Y75" i="20"/>
  <c r="O74" i="25"/>
  <c r="X76" i="20"/>
  <c r="N74" i="25" s="1"/>
  <c r="AG76" i="20"/>
  <c r="AH76" i="20" s="1"/>
  <c r="AA76" i="20"/>
  <c r="AB76" i="20" s="1"/>
  <c r="AC76" i="20" s="1"/>
  <c r="Z63" i="20"/>
  <c r="P62" i="25"/>
  <c r="I64" i="20"/>
  <c r="Z75" i="20"/>
  <c r="P74" i="25"/>
  <c r="P73" i="25" s="1"/>
  <c r="V68" i="25"/>
  <c r="O70" i="20"/>
  <c r="V210" i="25"/>
  <c r="O212" i="20"/>
  <c r="O199" i="20"/>
  <c r="O146" i="25"/>
  <c r="X148" i="20"/>
  <c r="N146" i="25" s="1"/>
  <c r="AG148" i="20"/>
  <c r="W146" i="25" s="1"/>
  <c r="AA148" i="20"/>
  <c r="Q146" i="25" s="1"/>
  <c r="X118" i="20"/>
  <c r="N116" i="25" s="1"/>
  <c r="O116" i="25"/>
  <c r="H116" i="25" s="1"/>
  <c r="AA118" i="20"/>
  <c r="Q116" i="25" s="1"/>
  <c r="AG118" i="20"/>
  <c r="W116" i="25" s="1"/>
  <c r="O57" i="25"/>
  <c r="X59" i="20"/>
  <c r="N57" i="25" s="1"/>
  <c r="AG59" i="20"/>
  <c r="W57" i="25" s="1"/>
  <c r="AA59" i="20"/>
  <c r="Q57" i="25" s="1"/>
  <c r="V133" i="25"/>
  <c r="O135" i="20"/>
  <c r="O70" i="25"/>
  <c r="H70" i="25" s="1"/>
  <c r="X72" i="20"/>
  <c r="N70" i="25" s="1"/>
  <c r="AG72" i="20"/>
  <c r="W70" i="25" s="1"/>
  <c r="AA72" i="20"/>
  <c r="Q70" i="25" s="1"/>
  <c r="V86" i="25"/>
  <c r="O88" i="20"/>
  <c r="O99" i="25"/>
  <c r="AA115" i="20"/>
  <c r="O137" i="20"/>
  <c r="V54" i="25"/>
  <c r="O56" i="20"/>
  <c r="P219" i="25"/>
  <c r="P218" i="25" s="1"/>
  <c r="P116" i="25"/>
  <c r="I118" i="20"/>
  <c r="I68" i="20"/>
  <c r="V92" i="25"/>
  <c r="O94" i="20"/>
  <c r="V90" i="25"/>
  <c r="O92" i="20"/>
  <c r="O213" i="25"/>
  <c r="X215" i="20"/>
  <c r="N213" i="25" s="1"/>
  <c r="AG215" i="20"/>
  <c r="W213" i="25" s="1"/>
  <c r="AA215" i="20"/>
  <c r="Q213" i="25" s="1"/>
  <c r="O93" i="25"/>
  <c r="X95" i="20"/>
  <c r="N93" i="25" s="1"/>
  <c r="AA95" i="20"/>
  <c r="Q93" i="25" s="1"/>
  <c r="AG95" i="20"/>
  <c r="W93" i="25" s="1"/>
  <c r="X115" i="20"/>
  <c r="N113" i="25" s="1"/>
  <c r="Q209" i="25"/>
  <c r="Z208" i="20"/>
  <c r="AI105" i="20"/>
  <c r="Y103" i="25" s="1"/>
  <c r="Z226" i="20"/>
  <c r="AF220" i="20"/>
  <c r="I117" i="20"/>
  <c r="O137" i="25"/>
  <c r="X139" i="20"/>
  <c r="N137" i="25" s="1"/>
  <c r="AA139" i="20"/>
  <c r="Q137" i="25" s="1"/>
  <c r="AG139" i="20"/>
  <c r="W137" i="25" s="1"/>
  <c r="O85" i="25"/>
  <c r="Y86" i="20"/>
  <c r="X87" i="20"/>
  <c r="N85" i="25" s="1"/>
  <c r="AG87" i="20"/>
  <c r="AA87" i="20"/>
  <c r="AB87" i="20" s="1"/>
  <c r="O204" i="25"/>
  <c r="AA206" i="20"/>
  <c r="Q204" i="25" s="1"/>
  <c r="AG206" i="20"/>
  <c r="W204" i="25" s="1"/>
  <c r="X206" i="20"/>
  <c r="N204" i="25" s="1"/>
  <c r="O67" i="25"/>
  <c r="X69" i="20"/>
  <c r="N67" i="25" s="1"/>
  <c r="AG69" i="20"/>
  <c r="AA69" i="20"/>
  <c r="AB69" i="20" s="1"/>
  <c r="R67" i="25" s="1"/>
  <c r="O90" i="25"/>
  <c r="H90" i="25" s="1"/>
  <c r="X92" i="20"/>
  <c r="AA92" i="20"/>
  <c r="AB92" i="20" s="1"/>
  <c r="R90" i="25" s="1"/>
  <c r="AG92" i="20"/>
  <c r="P140" i="25"/>
  <c r="I142" i="20"/>
  <c r="P92" i="25"/>
  <c r="I94" i="20"/>
  <c r="AF64" i="20"/>
  <c r="X64" i="20" s="1"/>
  <c r="AN4" i="20"/>
  <c r="O89" i="25"/>
  <c r="X91" i="20"/>
  <c r="N89" i="25" s="1"/>
  <c r="AG91" i="20"/>
  <c r="AH91" i="20" s="1"/>
  <c r="AA91" i="20"/>
  <c r="V111" i="25"/>
  <c r="O113" i="20"/>
  <c r="O75" i="25"/>
  <c r="X77" i="20"/>
  <c r="N75" i="25" s="1"/>
  <c r="AA77" i="20"/>
  <c r="Q75" i="25" s="1"/>
  <c r="AG77" i="20"/>
  <c r="W75" i="25" s="1"/>
  <c r="O77" i="25"/>
  <c r="H77" i="25" s="1"/>
  <c r="X79" i="20"/>
  <c r="N77" i="25" s="1"/>
  <c r="AG79" i="20"/>
  <c r="W77" i="25" s="1"/>
  <c r="AA79" i="20"/>
  <c r="Q77" i="25" s="1"/>
  <c r="O197" i="25"/>
  <c r="X199" i="20"/>
  <c r="N197" i="25" s="1"/>
  <c r="Y198" i="20"/>
  <c r="AA199" i="20"/>
  <c r="AB199" i="20" s="1"/>
  <c r="AG199" i="20"/>
  <c r="AH199" i="20" s="1"/>
  <c r="O136" i="25"/>
  <c r="H136" i="25" s="1"/>
  <c r="X138" i="20"/>
  <c r="N136" i="25" s="1"/>
  <c r="AA138" i="20"/>
  <c r="Q136" i="25" s="1"/>
  <c r="AG138" i="20"/>
  <c r="W136" i="25" s="1"/>
  <c r="O68" i="25"/>
  <c r="H68" i="25" s="1"/>
  <c r="X70" i="20"/>
  <c r="AG70" i="20"/>
  <c r="AA70" i="20"/>
  <c r="X141" i="20"/>
  <c r="N139" i="25" s="1"/>
  <c r="O139" i="25"/>
  <c r="H139" i="25" s="1"/>
  <c r="AG141" i="20"/>
  <c r="AA141" i="20"/>
  <c r="AB141" i="20" s="1"/>
  <c r="R139" i="25" s="1"/>
  <c r="O62" i="25"/>
  <c r="Y63" i="20"/>
  <c r="AG64" i="20"/>
  <c r="AA64" i="20"/>
  <c r="O220" i="25"/>
  <c r="X222" i="20"/>
  <c r="N220" i="25" s="1"/>
  <c r="AA222" i="20"/>
  <c r="AG222" i="20"/>
  <c r="P222" i="20" s="1"/>
  <c r="V69" i="25"/>
  <c r="O71" i="20"/>
  <c r="O221" i="25"/>
  <c r="X223" i="20"/>
  <c r="N221" i="25" s="1"/>
  <c r="AG223" i="20"/>
  <c r="AA223" i="20"/>
  <c r="X129" i="20"/>
  <c r="N127" i="25" s="1"/>
  <c r="O127" i="25"/>
  <c r="AG129" i="20"/>
  <c r="W127" i="25" s="1"/>
  <c r="AA129" i="20"/>
  <c r="Q127" i="25" s="1"/>
  <c r="O128" i="25"/>
  <c r="X130" i="20"/>
  <c r="N128" i="25" s="1"/>
  <c r="AA130" i="20"/>
  <c r="Q128" i="25" s="1"/>
  <c r="AG130" i="20"/>
  <c r="W128" i="25" s="1"/>
  <c r="O110" i="25"/>
  <c r="H110" i="25" s="1"/>
  <c r="X112" i="20"/>
  <c r="AG112" i="20"/>
  <c r="AH112" i="20" s="1"/>
  <c r="X110" i="25" s="1"/>
  <c r="AA112" i="20"/>
  <c r="O117" i="25"/>
  <c r="X119" i="20"/>
  <c r="N117" i="25" s="1"/>
  <c r="AG119" i="20"/>
  <c r="AH119" i="20" s="1"/>
  <c r="X117" i="25" s="1"/>
  <c r="AA119" i="20"/>
  <c r="X147" i="20"/>
  <c r="N145" i="25" s="1"/>
  <c r="AG147" i="20"/>
  <c r="W145" i="25" s="1"/>
  <c r="O145" i="25"/>
  <c r="AA147" i="20"/>
  <c r="Q145" i="25" s="1"/>
  <c r="P202" i="25"/>
  <c r="P201" i="25" s="1"/>
  <c r="Z203" i="20"/>
  <c r="V70" i="25"/>
  <c r="O72" i="20"/>
  <c r="O54" i="25"/>
  <c r="X56" i="20"/>
  <c r="AA56" i="20"/>
  <c r="Q54" i="25" s="1"/>
  <c r="AG56" i="20"/>
  <c r="W54" i="25" s="1"/>
  <c r="O112" i="25"/>
  <c r="X114" i="20"/>
  <c r="N112" i="25" s="1"/>
  <c r="AA114" i="20"/>
  <c r="Q112" i="25" s="1"/>
  <c r="AG114" i="20"/>
  <c r="W112" i="25" s="1"/>
  <c r="O78" i="25"/>
  <c r="X80" i="20"/>
  <c r="N78" i="25" s="1"/>
  <c r="AG80" i="20"/>
  <c r="W78" i="25" s="1"/>
  <c r="AA80" i="20"/>
  <c r="Q78" i="25" s="1"/>
  <c r="I204" i="20"/>
  <c r="P138" i="25"/>
  <c r="I140" i="20"/>
  <c r="P112" i="25"/>
  <c r="I114" i="20"/>
  <c r="O65" i="25"/>
  <c r="H65" i="25" s="1"/>
  <c r="X67" i="20"/>
  <c r="N65" i="25" s="1"/>
  <c r="AA67" i="20"/>
  <c r="AB67" i="20" s="1"/>
  <c r="AG67" i="20"/>
  <c r="AH67" i="20" s="1"/>
  <c r="P86" i="25"/>
  <c r="I88" i="20"/>
  <c r="O211" i="25"/>
  <c r="H211" i="25" s="1"/>
  <c r="X213" i="20"/>
  <c r="AG213" i="20"/>
  <c r="AH213" i="20" s="1"/>
  <c r="AA213" i="20"/>
  <c r="AB213" i="20" s="1"/>
  <c r="O86" i="25"/>
  <c r="X88" i="20"/>
  <c r="N86" i="25" s="1"/>
  <c r="AA88" i="20"/>
  <c r="Q86" i="25" s="1"/>
  <c r="AG88" i="20"/>
  <c r="W86" i="25" s="1"/>
  <c r="O88" i="25"/>
  <c r="H88" i="25" s="1"/>
  <c r="X90" i="20"/>
  <c r="N88" i="25" s="1"/>
  <c r="AG90" i="20"/>
  <c r="W88" i="25" s="1"/>
  <c r="AA90" i="20"/>
  <c r="Q88" i="25" s="1"/>
  <c r="H209" i="25"/>
  <c r="O90" i="20"/>
  <c r="O59" i="20"/>
  <c r="O76" i="20"/>
  <c r="O207" i="25"/>
  <c r="X209" i="20"/>
  <c r="N207" i="25" s="1"/>
  <c r="AA209" i="20"/>
  <c r="J209" i="20" s="1"/>
  <c r="AG209" i="20"/>
  <c r="J211" i="20"/>
  <c r="W209" i="25"/>
  <c r="AH107" i="20"/>
  <c r="AI107" i="20" s="1"/>
  <c r="AA210" i="20"/>
  <c r="Q208" i="25" s="1"/>
  <c r="X103" i="20"/>
  <c r="N101" i="25" s="1"/>
  <c r="AS5" i="20"/>
  <c r="AR49" i="20"/>
  <c r="AR5" i="20" s="1"/>
  <c r="O55" i="25"/>
  <c r="X57" i="20"/>
  <c r="N55" i="25" s="1"/>
  <c r="AA57" i="20"/>
  <c r="Q55" i="25" s="1"/>
  <c r="AG57" i="20"/>
  <c r="W55" i="25" s="1"/>
  <c r="O140" i="25"/>
  <c r="X142" i="20"/>
  <c r="AG142" i="20"/>
  <c r="AH142" i="20" s="1"/>
  <c r="AA142" i="20"/>
  <c r="AB142" i="20" s="1"/>
  <c r="R140" i="25" s="1"/>
  <c r="X94" i="20"/>
  <c r="X113" i="20"/>
  <c r="N111" i="25" s="1"/>
  <c r="O111" i="25"/>
  <c r="AA113" i="20"/>
  <c r="Q111" i="25" s="1"/>
  <c r="AG113" i="20"/>
  <c r="W111" i="25" s="1"/>
  <c r="P197" i="25"/>
  <c r="P196" i="25" s="1"/>
  <c r="Z198" i="20"/>
  <c r="V136" i="25"/>
  <c r="O138" i="20"/>
  <c r="O131" i="25"/>
  <c r="X133" i="20"/>
  <c r="N131" i="25" s="1"/>
  <c r="AA133" i="20"/>
  <c r="AB133" i="20" s="1"/>
  <c r="AG133" i="20"/>
  <c r="Y132" i="20"/>
  <c r="P68" i="25"/>
  <c r="I70" i="20"/>
  <c r="P139" i="25"/>
  <c r="I141" i="20"/>
  <c r="P69" i="25"/>
  <c r="I71" i="20"/>
  <c r="V120" i="25"/>
  <c r="V119" i="25" s="1"/>
  <c r="AF121" i="20"/>
  <c r="O132" i="25"/>
  <c r="X134" i="20"/>
  <c r="N132" i="25" s="1"/>
  <c r="AG134" i="20"/>
  <c r="W132" i="25" s="1"/>
  <c r="AA134" i="20"/>
  <c r="Q132" i="25" s="1"/>
  <c r="P63" i="25"/>
  <c r="I65" i="20"/>
  <c r="V202" i="25"/>
  <c r="V201" i="25" s="1"/>
  <c r="AF203" i="20"/>
  <c r="O135" i="25"/>
  <c r="X137" i="20"/>
  <c r="N135" i="25" s="1"/>
  <c r="AG137" i="20"/>
  <c r="W135" i="25" s="1"/>
  <c r="AA137" i="20"/>
  <c r="Q135" i="25" s="1"/>
  <c r="W214" i="25"/>
  <c r="AH216" i="20"/>
  <c r="X214" i="25" s="1"/>
  <c r="V110" i="25"/>
  <c r="O112" i="20"/>
  <c r="P120" i="25"/>
  <c r="P119" i="25" s="1"/>
  <c r="Z121" i="20"/>
  <c r="AG101" i="20"/>
  <c r="AH101" i="20" s="1"/>
  <c r="O217" i="20"/>
  <c r="O202" i="25"/>
  <c r="X204" i="20"/>
  <c r="N202" i="25" s="1"/>
  <c r="AA204" i="20"/>
  <c r="AG204" i="20"/>
  <c r="O138" i="25"/>
  <c r="X140" i="20"/>
  <c r="N138" i="25" s="1"/>
  <c r="AA140" i="20"/>
  <c r="Q138" i="25" s="1"/>
  <c r="AG140" i="20"/>
  <c r="W138" i="25" s="1"/>
  <c r="P110" i="25"/>
  <c r="I112" i="20"/>
  <c r="P97" i="25"/>
  <c r="P96" i="25" s="1"/>
  <c r="Z98" i="20"/>
  <c r="P113" i="25"/>
  <c r="I115" i="20"/>
  <c r="AH211" i="20"/>
  <c r="X209" i="25" s="1"/>
  <c r="V211" i="25"/>
  <c r="O213" i="20"/>
  <c r="X116" i="20"/>
  <c r="N114" i="25" s="1"/>
  <c r="I106" i="20"/>
  <c r="O80" i="25"/>
  <c r="H80" i="25" s="1"/>
  <c r="X82" i="20"/>
  <c r="N80" i="25" s="1"/>
  <c r="AA82" i="20"/>
  <c r="Q80" i="25" s="1"/>
  <c r="AG82" i="20"/>
  <c r="W80" i="25" s="1"/>
  <c r="O198" i="25"/>
  <c r="X200" i="20"/>
  <c r="N198" i="25" s="1"/>
  <c r="AG200" i="20"/>
  <c r="W198" i="25" s="1"/>
  <c r="AA200" i="20"/>
  <c r="Q198" i="25" s="1"/>
  <c r="P70" i="25"/>
  <c r="I72" i="20"/>
  <c r="O66" i="25"/>
  <c r="X68" i="20"/>
  <c r="N66" i="25" s="1"/>
  <c r="AA68" i="20"/>
  <c r="AB68" i="20" s="1"/>
  <c r="AG68" i="20"/>
  <c r="AH68" i="20" s="1"/>
  <c r="X66" i="25" s="1"/>
  <c r="AA99" i="20"/>
  <c r="Q97" i="25" s="1"/>
  <c r="O97" i="25"/>
  <c r="X99" i="20"/>
  <c r="N97" i="25" s="1"/>
  <c r="AG99" i="20"/>
  <c r="W97" i="25" s="1"/>
  <c r="V50" i="25"/>
  <c r="AF51" i="20"/>
  <c r="AM4" i="20"/>
  <c r="AG115" i="20"/>
  <c r="X210" i="20"/>
  <c r="N208" i="25" s="1"/>
  <c r="I56" i="20"/>
  <c r="V113" i="25"/>
  <c r="O115" i="20"/>
  <c r="AC94" i="20"/>
  <c r="S92" i="25" s="1"/>
  <c r="O71" i="25"/>
  <c r="X73" i="20"/>
  <c r="N71" i="25" s="1"/>
  <c r="AG73" i="20"/>
  <c r="W71" i="25" s="1"/>
  <c r="AA73" i="20"/>
  <c r="Q71" i="25" s="1"/>
  <c r="Y203" i="20"/>
  <c r="O203" i="25"/>
  <c r="H203" i="25" s="1"/>
  <c r="X205" i="20"/>
  <c r="AG205" i="20"/>
  <c r="AH205" i="20" s="1"/>
  <c r="AA205" i="20"/>
  <c r="AB205" i="20" s="1"/>
  <c r="O102" i="25"/>
  <c r="H102" i="25" s="1"/>
  <c r="X104" i="20"/>
  <c r="N102" i="25" s="1"/>
  <c r="AG104" i="20"/>
  <c r="W102" i="25" s="1"/>
  <c r="AA104" i="20"/>
  <c r="Q102" i="25" s="1"/>
  <c r="V140" i="25"/>
  <c r="O142" i="20"/>
  <c r="V134" i="25"/>
  <c r="O136" i="20"/>
  <c r="O126" i="25"/>
  <c r="X128" i="20"/>
  <c r="N126" i="25" s="1"/>
  <c r="AG128" i="20"/>
  <c r="W126" i="25" s="1"/>
  <c r="AA128" i="20"/>
  <c r="Q126" i="25" s="1"/>
  <c r="P131" i="25"/>
  <c r="Z132" i="20"/>
  <c r="V139" i="25"/>
  <c r="O141" i="20"/>
  <c r="O227" i="25"/>
  <c r="H227" i="25" s="1"/>
  <c r="AG229" i="20"/>
  <c r="AH229" i="20" s="1"/>
  <c r="AI229" i="20" s="1"/>
  <c r="Y227" i="25" s="1"/>
  <c r="AA229" i="20"/>
  <c r="Q227" i="25" s="1"/>
  <c r="X110" i="20"/>
  <c r="N108" i="25" s="1"/>
  <c r="O108" i="25"/>
  <c r="AA110" i="20"/>
  <c r="J110" i="20" s="1"/>
  <c r="AG110" i="20"/>
  <c r="W108" i="25" s="1"/>
  <c r="O69" i="25"/>
  <c r="X71" i="20"/>
  <c r="AA71" i="20"/>
  <c r="AG71" i="20"/>
  <c r="AH71" i="20" s="1"/>
  <c r="X69" i="25" s="1"/>
  <c r="AG210" i="20"/>
  <c r="W208" i="25" s="1"/>
  <c r="I107" i="20"/>
  <c r="I80" i="20"/>
  <c r="P143" i="25"/>
  <c r="P142" i="25" s="1"/>
  <c r="Z144" i="20"/>
  <c r="X229" i="25"/>
  <c r="AI231" i="20"/>
  <c r="O199" i="25"/>
  <c r="X201" i="20"/>
  <c r="N199" i="25" s="1"/>
  <c r="AG201" i="20"/>
  <c r="W199" i="25" s="1"/>
  <c r="AA201" i="20"/>
  <c r="Q199" i="25" s="1"/>
  <c r="X127" i="20"/>
  <c r="N125" i="25" s="1"/>
  <c r="O125" i="25"/>
  <c r="AG127" i="20"/>
  <c r="W125" i="25" s="1"/>
  <c r="AA127" i="20"/>
  <c r="Q125" i="25" s="1"/>
  <c r="X135" i="20"/>
  <c r="O133" i="25"/>
  <c r="AG135" i="20"/>
  <c r="AA135" i="20"/>
  <c r="X89" i="20"/>
  <c r="N87" i="25" s="1"/>
  <c r="O87" i="25"/>
  <c r="AA89" i="20"/>
  <c r="AB89" i="20" s="1"/>
  <c r="R87" i="25" s="1"/>
  <c r="AG89" i="20"/>
  <c r="AH89" i="20" s="1"/>
  <c r="O134" i="25"/>
  <c r="X136" i="20"/>
  <c r="AA136" i="20"/>
  <c r="AG136" i="20"/>
  <c r="AH136" i="20" s="1"/>
  <c r="V58" i="25"/>
  <c r="O60" i="20"/>
  <c r="O81" i="25"/>
  <c r="X83" i="20"/>
  <c r="N81" i="25" s="1"/>
  <c r="AA83" i="20"/>
  <c r="Q81" i="25" s="1"/>
  <c r="AG83" i="20"/>
  <c r="W81" i="25" s="1"/>
  <c r="O123" i="25"/>
  <c r="X125" i="20"/>
  <c r="N123" i="25" s="1"/>
  <c r="AA125" i="20"/>
  <c r="Q123" i="25" s="1"/>
  <c r="AG125" i="20"/>
  <c r="W123" i="25" s="1"/>
  <c r="O122" i="25"/>
  <c r="X124" i="20"/>
  <c r="N122" i="25" s="1"/>
  <c r="AA124" i="20"/>
  <c r="Q122" i="25" s="1"/>
  <c r="AG124" i="20"/>
  <c r="W122" i="25" s="1"/>
  <c r="O109" i="25"/>
  <c r="H109" i="25" s="1"/>
  <c r="X111" i="20"/>
  <c r="N109" i="25" s="1"/>
  <c r="AA111" i="20"/>
  <c r="Q109" i="25" s="1"/>
  <c r="AG111" i="20"/>
  <c r="W109" i="25" s="1"/>
  <c r="X217" i="20"/>
  <c r="N215" i="25" s="1"/>
  <c r="O215" i="25"/>
  <c r="AG217" i="20"/>
  <c r="W215" i="25" s="1"/>
  <c r="AA217" i="20"/>
  <c r="Q215" i="25" s="1"/>
  <c r="X81" i="20"/>
  <c r="N79" i="25" s="1"/>
  <c r="O79" i="25"/>
  <c r="AG81" i="20"/>
  <c r="W79" i="25" s="1"/>
  <c r="AA81" i="20"/>
  <c r="Q79" i="25" s="1"/>
  <c r="O76" i="25"/>
  <c r="X78" i="20"/>
  <c r="N76" i="25" s="1"/>
  <c r="AG78" i="20"/>
  <c r="W76" i="25" s="1"/>
  <c r="AA78" i="20"/>
  <c r="Q76" i="25" s="1"/>
  <c r="O64" i="25"/>
  <c r="X66" i="20"/>
  <c r="N64" i="25" s="1"/>
  <c r="AG66" i="20"/>
  <c r="W64" i="25" s="1"/>
  <c r="AA66" i="20"/>
  <c r="Q64" i="25" s="1"/>
  <c r="Y51" i="20"/>
  <c r="X107" i="20"/>
  <c r="N105" i="25" s="1"/>
  <c r="I95" i="20"/>
  <c r="O103" i="20"/>
  <c r="O95" i="20"/>
  <c r="O118" i="20"/>
  <c r="O65" i="20"/>
  <c r="I78" i="20"/>
  <c r="O143" i="25"/>
  <c r="AA145" i="20"/>
  <c r="AG145" i="20"/>
  <c r="AH145" i="20" s="1"/>
  <c r="X143" i="25" s="1"/>
  <c r="Y144" i="20"/>
  <c r="O82" i="25"/>
  <c r="X84" i="20"/>
  <c r="N82" i="25" s="1"/>
  <c r="AG84" i="20"/>
  <c r="W82" i="25" s="1"/>
  <c r="AA84" i="20"/>
  <c r="Q82" i="25" s="1"/>
  <c r="AY5" i="20"/>
  <c r="AX49" i="20"/>
  <c r="AX5" i="20" s="1"/>
  <c r="O222" i="25"/>
  <c r="X224" i="20"/>
  <c r="N222" i="25" s="1"/>
  <c r="AA224" i="20"/>
  <c r="AG224" i="20"/>
  <c r="W222" i="25" s="1"/>
  <c r="P133" i="25"/>
  <c r="I135" i="20"/>
  <c r="Y220" i="20"/>
  <c r="P134" i="25"/>
  <c r="I136" i="20"/>
  <c r="O58" i="25"/>
  <c r="H58" i="25" s="1"/>
  <c r="X60" i="20"/>
  <c r="AG60" i="20"/>
  <c r="AH60" i="20" s="1"/>
  <c r="AI60" i="20" s="1"/>
  <c r="AA60" i="20"/>
  <c r="AB60" i="20" s="1"/>
  <c r="AC60" i="20" s="1"/>
  <c r="X122" i="20"/>
  <c r="N120" i="25" s="1"/>
  <c r="O120" i="25"/>
  <c r="Y121" i="20"/>
  <c r="AA122" i="20"/>
  <c r="AG122" i="20"/>
  <c r="O121" i="25"/>
  <c r="X123" i="20"/>
  <c r="N121" i="25" s="1"/>
  <c r="AG123" i="20"/>
  <c r="W121" i="25" s="1"/>
  <c r="AA123" i="20"/>
  <c r="Q121" i="25" s="1"/>
  <c r="X212" i="20"/>
  <c r="N210" i="25" s="1"/>
  <c r="AA212" i="20"/>
  <c r="Q210" i="25" s="1"/>
  <c r="O210" i="25"/>
  <c r="AG212" i="20"/>
  <c r="Z109" i="20"/>
  <c r="P108" i="25"/>
  <c r="I110" i="20"/>
  <c r="O63" i="25"/>
  <c r="H63" i="25" s="1"/>
  <c r="X65" i="20"/>
  <c r="AG65" i="20"/>
  <c r="AH65" i="20" s="1"/>
  <c r="X63" i="25" s="1"/>
  <c r="AA65" i="20"/>
  <c r="O147" i="20"/>
  <c r="V145" i="25"/>
  <c r="BR171" i="20"/>
  <c r="BS171" i="20" s="1"/>
  <c r="AO77" i="25"/>
  <c r="BQ172" i="20"/>
  <c r="AF170" i="25"/>
  <c r="H170" i="25" s="1"/>
  <c r="BK172" i="20"/>
  <c r="BH172" i="20"/>
  <c r="AG170" i="25"/>
  <c r="I172" i="20"/>
  <c r="BI170" i="20"/>
  <c r="AH54" i="25"/>
  <c r="AG221" i="25"/>
  <c r="AG218" i="25" s="1"/>
  <c r="BJ220" i="20"/>
  <c r="I223" i="20"/>
  <c r="I151" i="20"/>
  <c r="BJ150" i="20"/>
  <c r="AG148" i="25" s="1"/>
  <c r="AG149" i="25"/>
  <c r="BR223" i="20"/>
  <c r="BS223" i="20" s="1"/>
  <c r="AP221" i="25" s="1"/>
  <c r="AN221" i="25"/>
  <c r="BP4" i="20"/>
  <c r="O223" i="20"/>
  <c r="AN55" i="25"/>
  <c r="BR57" i="20"/>
  <c r="BS57" i="20" s="1"/>
  <c r="BS79" i="20"/>
  <c r="AP77" i="25" s="1"/>
  <c r="BT211" i="20"/>
  <c r="AQ209" i="25" s="1"/>
  <c r="AP209" i="25"/>
  <c r="AM149" i="25"/>
  <c r="O151" i="20"/>
  <c r="BT214" i="20"/>
  <c r="AQ212" i="25" s="1"/>
  <c r="BM223" i="20"/>
  <c r="BM56" i="20"/>
  <c r="BN56" i="20" s="1"/>
  <c r="AI54" i="25"/>
  <c r="BN209" i="20"/>
  <c r="AK207" i="25" s="1"/>
  <c r="BH223" i="20"/>
  <c r="AE221" i="25" s="1"/>
  <c r="BI150" i="20"/>
  <c r="AF149" i="25"/>
  <c r="BH151" i="20"/>
  <c r="BQ151" i="20"/>
  <c r="BK151" i="20"/>
  <c r="BL151" i="20" s="1"/>
  <c r="BL103" i="20"/>
  <c r="AI101" i="25" s="1"/>
  <c r="BM94" i="20"/>
  <c r="AJ92" i="25" s="1"/>
  <c r="BL91" i="20"/>
  <c r="AI89" i="25" s="1"/>
  <c r="BJ4" i="20"/>
  <c r="AM221" i="25"/>
  <c r="AM218" i="25" s="1"/>
  <c r="BM67" i="20"/>
  <c r="BN67" i="20" s="1"/>
  <c r="AK65" i="25" s="1"/>
  <c r="AP208" i="25"/>
  <c r="BT210" i="20"/>
  <c r="AQ208" i="25" s="1"/>
  <c r="AN54" i="25"/>
  <c r="BR56" i="20"/>
  <c r="BM171" i="20"/>
  <c r="BN171" i="20" s="1"/>
  <c r="BJ170" i="20"/>
  <c r="O172" i="20"/>
  <c r="AM170" i="25"/>
  <c r="I206" i="20"/>
  <c r="O82" i="20"/>
  <c r="EB224" i="20"/>
  <c r="BM222" i="25" s="1"/>
  <c r="I199" i="20"/>
  <c r="EF101" i="20"/>
  <c r="BQ99" i="25" s="1"/>
  <c r="I216" i="20"/>
  <c r="EG223" i="20"/>
  <c r="BR221" i="25" s="1"/>
  <c r="EB216" i="20"/>
  <c r="BM214" i="25" s="1"/>
  <c r="O127" i="20"/>
  <c r="I102" i="20"/>
  <c r="ED203" i="20"/>
  <c r="EH82" i="20"/>
  <c r="EH128" i="20" s="1"/>
  <c r="BS126" i="25" s="1"/>
  <c r="BV99" i="25"/>
  <c r="I101" i="20"/>
  <c r="O125" i="20"/>
  <c r="O128" i="20"/>
  <c r="I217" i="20"/>
  <c r="BV98" i="25"/>
  <c r="BO213" i="25"/>
  <c r="EG102" i="20"/>
  <c r="BR100" i="25" s="1"/>
  <c r="I128" i="20"/>
  <c r="EB222" i="20"/>
  <c r="BM220" i="25" s="1"/>
  <c r="EJ220" i="20"/>
  <c r="O222" i="20"/>
  <c r="BN220" i="25"/>
  <c r="EC144" i="20"/>
  <c r="EB144" i="20" s="1"/>
  <c r="BO201" i="25"/>
  <c r="BU104" i="25"/>
  <c r="O106" i="20"/>
  <c r="EM106" i="20"/>
  <c r="BX104" i="25" s="1"/>
  <c r="EF106" i="20"/>
  <c r="BQ104" i="25" s="1"/>
  <c r="O221" i="20"/>
  <c r="BU218" i="25"/>
  <c r="BU99" i="25"/>
  <c r="O101" i="20"/>
  <c r="EC75" i="20"/>
  <c r="EC121" i="20" s="1"/>
  <c r="ED144" i="20"/>
  <c r="BO103" i="25"/>
  <c r="I105" i="20"/>
  <c r="O126" i="20"/>
  <c r="BU103" i="25"/>
  <c r="O105" i="20"/>
  <c r="BN103" i="25"/>
  <c r="EE105" i="20"/>
  <c r="EB105" i="20"/>
  <c r="BM103" i="25" s="1"/>
  <c r="EK105" i="20"/>
  <c r="EG218" i="20"/>
  <c r="EF79" i="20"/>
  <c r="EG79" i="20" s="1"/>
  <c r="I231" i="20"/>
  <c r="BU121" i="25"/>
  <c r="O123" i="20"/>
  <c r="EL107" i="20"/>
  <c r="EJ122" i="20"/>
  <c r="O122" i="20" s="1"/>
  <c r="BO146" i="25"/>
  <c r="I148" i="20"/>
  <c r="BQ143" i="25"/>
  <c r="EG145" i="20"/>
  <c r="BR143" i="25" s="1"/>
  <c r="BW77" i="25"/>
  <c r="BO97" i="25"/>
  <c r="I99" i="20"/>
  <c r="ED98" i="20"/>
  <c r="EK78" i="20"/>
  <c r="EE78" i="20"/>
  <c r="EF78" i="20" s="1"/>
  <c r="BU81" i="25"/>
  <c r="O83" i="20"/>
  <c r="BO208" i="25"/>
  <c r="I210" i="20"/>
  <c r="EK214" i="20"/>
  <c r="EL214" i="20" s="1"/>
  <c r="EE214" i="20"/>
  <c r="EF214" i="20" s="1"/>
  <c r="EF229" i="20"/>
  <c r="BQ227" i="25" s="1"/>
  <c r="EF216" i="20"/>
  <c r="BP214" i="25"/>
  <c r="EL82" i="20"/>
  <c r="BW80" i="25" s="1"/>
  <c r="BU127" i="25"/>
  <c r="O129" i="20"/>
  <c r="EE99" i="20"/>
  <c r="EF99" i="20" s="1"/>
  <c r="EK99" i="20"/>
  <c r="BV97" i="25" s="1"/>
  <c r="BU229" i="25"/>
  <c r="O231" i="20"/>
  <c r="BU207" i="25"/>
  <c r="O209" i="20"/>
  <c r="EJ208" i="20"/>
  <c r="EB209" i="20"/>
  <c r="BM207" i="25" s="1"/>
  <c r="BU198" i="25"/>
  <c r="O200" i="20"/>
  <c r="EL229" i="20"/>
  <c r="BV227" i="25"/>
  <c r="BV214" i="25"/>
  <c r="P216" i="20"/>
  <c r="EL216" i="20"/>
  <c r="EM216" i="20" s="1"/>
  <c r="BQ80" i="25"/>
  <c r="EF128" i="20"/>
  <c r="BQ126" i="25" s="1"/>
  <c r="EF204" i="20"/>
  <c r="EG204" i="20" s="1"/>
  <c r="BP202" i="25"/>
  <c r="BN219" i="25"/>
  <c r="EC220" i="20"/>
  <c r="EE221" i="20"/>
  <c r="EF221" i="20" s="1"/>
  <c r="EK221" i="20"/>
  <c r="EL221" i="20" s="1"/>
  <c r="EB221" i="20"/>
  <c r="BM219" i="25" s="1"/>
  <c r="BU97" i="25"/>
  <c r="O99" i="20"/>
  <c r="EJ98" i="20"/>
  <c r="BN229" i="25"/>
  <c r="EB231" i="20"/>
  <c r="EE231" i="20"/>
  <c r="EF231" i="20" s="1"/>
  <c r="EK231" i="20"/>
  <c r="BU76" i="25"/>
  <c r="O78" i="20"/>
  <c r="BO207" i="25"/>
  <c r="I209" i="20"/>
  <c r="ED208" i="20"/>
  <c r="BO198" i="25"/>
  <c r="I200" i="20"/>
  <c r="BU199" i="25"/>
  <c r="O201" i="20"/>
  <c r="EL204" i="20"/>
  <c r="BV202" i="25"/>
  <c r="EK128" i="20"/>
  <c r="BV126" i="25" s="1"/>
  <c r="BO225" i="25"/>
  <c r="I227" i="20"/>
  <c r="ED226" i="20"/>
  <c r="BO228" i="25"/>
  <c r="I230" i="20"/>
  <c r="BU75" i="25"/>
  <c r="O77" i="20"/>
  <c r="EK200" i="20"/>
  <c r="EL200" i="20" s="1"/>
  <c r="EE200" i="20"/>
  <c r="BU128" i="25"/>
  <c r="O130" i="20"/>
  <c r="BO199" i="25"/>
  <c r="I201" i="20"/>
  <c r="BM202" i="25"/>
  <c r="BP146" i="25"/>
  <c r="EF148" i="20"/>
  <c r="BU225" i="25"/>
  <c r="EJ226" i="20"/>
  <c r="O227" i="20"/>
  <c r="BU228" i="25"/>
  <c r="O230" i="20"/>
  <c r="BN215" i="25"/>
  <c r="EK217" i="20"/>
  <c r="EL217" i="20" s="1"/>
  <c r="EM217" i="20" s="1"/>
  <c r="EB217" i="20"/>
  <c r="EE217" i="20"/>
  <c r="ED198" i="20"/>
  <c r="BU82" i="25"/>
  <c r="O84" i="20"/>
  <c r="BU213" i="25"/>
  <c r="O215" i="20"/>
  <c r="EE201" i="20"/>
  <c r="EF201" i="20" s="1"/>
  <c r="EK201" i="20"/>
  <c r="EL201" i="20" s="1"/>
  <c r="EG128" i="20"/>
  <c r="BR126" i="25" s="1"/>
  <c r="BR80" i="25"/>
  <c r="EK80" i="20"/>
  <c r="EE80" i="20"/>
  <c r="EE76" i="20"/>
  <c r="EK76" i="20"/>
  <c r="BN225" i="25"/>
  <c r="H225" i="25" s="1"/>
  <c r="EK227" i="20"/>
  <c r="EL227" i="20" s="1"/>
  <c r="EB227" i="20"/>
  <c r="BM225" i="25" s="1"/>
  <c r="EE227" i="20"/>
  <c r="J227" i="20" s="1"/>
  <c r="EC226" i="20"/>
  <c r="EK230" i="20"/>
  <c r="EL230" i="20" s="1"/>
  <c r="EE230" i="20"/>
  <c r="EF230" i="20" s="1"/>
  <c r="EK77" i="20"/>
  <c r="EE77" i="20"/>
  <c r="EE84" i="20"/>
  <c r="EF84" i="20" s="1"/>
  <c r="EK84" i="20"/>
  <c r="EK215" i="20"/>
  <c r="EL215" i="20" s="1"/>
  <c r="EE215" i="20"/>
  <c r="EF215" i="20" s="1"/>
  <c r="EE199" i="20"/>
  <c r="EK199" i="20"/>
  <c r="EL199" i="20" s="1"/>
  <c r="BO145" i="25"/>
  <c r="I147" i="20"/>
  <c r="EP4" i="20"/>
  <c r="BU202" i="25"/>
  <c r="O204" i="20"/>
  <c r="EJ203" i="20"/>
  <c r="I76" i="20"/>
  <c r="EK83" i="20"/>
  <c r="EE83" i="20"/>
  <c r="EC208" i="20"/>
  <c r="EK210" i="20"/>
  <c r="EE210" i="20"/>
  <c r="EF210" i="20" s="1"/>
  <c r="BN144" i="25"/>
  <c r="EB146" i="20"/>
  <c r="EE146" i="20"/>
  <c r="EF146" i="20" s="1"/>
  <c r="EE81" i="20"/>
  <c r="EF81" i="20" s="1"/>
  <c r="EK81" i="20"/>
  <c r="EL81" i="20" s="1"/>
  <c r="BN145" i="25"/>
  <c r="EE147" i="20"/>
  <c r="EB147" i="20"/>
  <c r="BU204" i="25"/>
  <c r="O206" i="20"/>
  <c r="BV222" i="25"/>
  <c r="EL224" i="20"/>
  <c r="O80" i="20"/>
  <c r="BU122" i="25"/>
  <c r="O124" i="20"/>
  <c r="BU208" i="25"/>
  <c r="O210" i="20"/>
  <c r="BO144" i="25"/>
  <c r="I146" i="20"/>
  <c r="BU79" i="25"/>
  <c r="O81" i="20"/>
  <c r="BU212" i="25"/>
  <c r="O214" i="20"/>
  <c r="BN204" i="25"/>
  <c r="BN201" i="25" s="1"/>
  <c r="EE206" i="20"/>
  <c r="EF206" i="20" s="1"/>
  <c r="EB206" i="20"/>
  <c r="EK206" i="20"/>
  <c r="BV204" i="25" s="1"/>
  <c r="BP143" i="25"/>
  <c r="BN78" i="25"/>
  <c r="EB80" i="20"/>
  <c r="BM78" i="25" s="1"/>
  <c r="EC126" i="20"/>
  <c r="EK126" i="20" s="1"/>
  <c r="BV124" i="25" s="1"/>
  <c r="ED126" i="20"/>
  <c r="BO78" i="25"/>
  <c r="BN126" i="25"/>
  <c r="EB128" i="20"/>
  <c r="BM126" i="25" s="1"/>
  <c r="EC122" i="20"/>
  <c r="EK122" i="20" s="1"/>
  <c r="BV120" i="25" s="1"/>
  <c r="EB76" i="20"/>
  <c r="BM74" i="25" s="1"/>
  <c r="BN74" i="25"/>
  <c r="BO74" i="25"/>
  <c r="ED75" i="20"/>
  <c r="ED122" i="20"/>
  <c r="BU74" i="25"/>
  <c r="EJ75" i="20"/>
  <c r="BN97" i="25"/>
  <c r="EB99" i="20"/>
  <c r="BM97" i="25" s="1"/>
  <c r="BN228" i="25"/>
  <c r="EB230" i="20"/>
  <c r="BN76" i="25"/>
  <c r="EB78" i="20"/>
  <c r="EC124" i="20"/>
  <c r="BO76" i="25"/>
  <c r="ED124" i="20"/>
  <c r="BO77" i="25"/>
  <c r="ED125" i="20"/>
  <c r="BN81" i="25"/>
  <c r="EB83" i="20"/>
  <c r="BM81" i="25" s="1"/>
  <c r="EC129" i="20"/>
  <c r="EK129" i="20" s="1"/>
  <c r="BV127" i="25" s="1"/>
  <c r="BO81" i="25"/>
  <c r="ED129" i="20"/>
  <c r="BO75" i="25"/>
  <c r="ED123" i="20"/>
  <c r="BN75" i="25"/>
  <c r="EC123" i="20"/>
  <c r="EK123" i="20" s="1"/>
  <c r="BV121" i="25" s="1"/>
  <c r="EB77" i="20"/>
  <c r="BN208" i="25"/>
  <c r="H208" i="25" s="1"/>
  <c r="EB210" i="20"/>
  <c r="BM208" i="25" s="1"/>
  <c r="BN198" i="25"/>
  <c r="EB200" i="20"/>
  <c r="BN82" i="25"/>
  <c r="EC130" i="20"/>
  <c r="EB84" i="20"/>
  <c r="ED130" i="20"/>
  <c r="BO82" i="25"/>
  <c r="BN213" i="25"/>
  <c r="EB215" i="20"/>
  <c r="BN79" i="25"/>
  <c r="EB81" i="20"/>
  <c r="EC127" i="20"/>
  <c r="BO79" i="25"/>
  <c r="ED127" i="20"/>
  <c r="BN199" i="25"/>
  <c r="EB201" i="20"/>
  <c r="BN197" i="25"/>
  <c r="EB199" i="20"/>
  <c r="BM197" i="25" s="1"/>
  <c r="EC198" i="20"/>
  <c r="BU197" i="25"/>
  <c r="EJ198" i="20"/>
  <c r="BN212" i="25"/>
  <c r="EB214" i="20"/>
  <c r="AJ215" i="25"/>
  <c r="BM208" i="20"/>
  <c r="AI204" i="25"/>
  <c r="BI86" i="20"/>
  <c r="AG132" i="25"/>
  <c r="AG130" i="25" s="1"/>
  <c r="I134" i="20"/>
  <c r="AO57" i="25"/>
  <c r="BI186" i="20"/>
  <c r="AF185" i="25"/>
  <c r="H185" i="25" s="1"/>
  <c r="BQ187" i="20"/>
  <c r="BH187" i="20"/>
  <c r="BK187" i="20"/>
  <c r="BL187" i="20" s="1"/>
  <c r="AG71" i="25"/>
  <c r="I73" i="20"/>
  <c r="AH57" i="25"/>
  <c r="BQ96" i="20"/>
  <c r="BR96" i="20" s="1"/>
  <c r="AO94" i="25" s="1"/>
  <c r="AI65" i="25"/>
  <c r="AM132" i="25"/>
  <c r="O134" i="20"/>
  <c r="AN57" i="25"/>
  <c r="O187" i="20"/>
  <c r="AM185" i="25"/>
  <c r="BP186" i="20"/>
  <c r="AM184" i="25" s="1"/>
  <c r="AN169" i="25"/>
  <c r="P171" i="20"/>
  <c r="AQ213" i="25"/>
  <c r="BQ54" i="20"/>
  <c r="BQ51" i="20" s="1"/>
  <c r="AF52" i="25"/>
  <c r="BK54" i="20"/>
  <c r="BL54" i="20" s="1"/>
  <c r="BH54" i="20"/>
  <c r="AG185" i="25"/>
  <c r="BJ186" i="20"/>
  <c r="AG184" i="25" s="1"/>
  <c r="I187" i="20"/>
  <c r="AN204" i="25"/>
  <c r="BR206" i="20"/>
  <c r="BQ203" i="20"/>
  <c r="BL128" i="20"/>
  <c r="BM128" i="20" s="1"/>
  <c r="BL90" i="20"/>
  <c r="AI88" i="25" s="1"/>
  <c r="BH96" i="20"/>
  <c r="AE94" i="25" s="1"/>
  <c r="AG193" i="25"/>
  <c r="I195" i="20"/>
  <c r="AI169" i="25"/>
  <c r="K171" i="20"/>
  <c r="I54" i="20"/>
  <c r="AG52" i="25"/>
  <c r="AG49" i="25" s="1"/>
  <c r="BQ134" i="20"/>
  <c r="BR134" i="20" s="1"/>
  <c r="BS134" i="20" s="1"/>
  <c r="BK134" i="20"/>
  <c r="AF132" i="25"/>
  <c r="BH134" i="20"/>
  <c r="BL89" i="20"/>
  <c r="AI87" i="25" s="1"/>
  <c r="BR90" i="20"/>
  <c r="AO88" i="25" s="1"/>
  <c r="AF94" i="25"/>
  <c r="BP194" i="20"/>
  <c r="O195" i="20"/>
  <c r="AM193" i="25"/>
  <c r="AH153" i="25"/>
  <c r="J155" i="20"/>
  <c r="BL129" i="20"/>
  <c r="BL155" i="20"/>
  <c r="BM155" i="20" s="1"/>
  <c r="AH169" i="25"/>
  <c r="J171" i="20"/>
  <c r="BL126" i="20"/>
  <c r="AM52" i="25"/>
  <c r="O54" i="20"/>
  <c r="BL68" i="20"/>
  <c r="AI66" i="25" s="1"/>
  <c r="BS123" i="20"/>
  <c r="AP121" i="25" s="1"/>
  <c r="BH188" i="20"/>
  <c r="AF186" i="25"/>
  <c r="H186" i="25" s="1"/>
  <c r="BQ188" i="20"/>
  <c r="BR188" i="20" s="1"/>
  <c r="BK188" i="20"/>
  <c r="BK195" i="20"/>
  <c r="BL195" i="20" s="1"/>
  <c r="AF193" i="25"/>
  <c r="H193" i="25" s="1"/>
  <c r="BQ195" i="20"/>
  <c r="BI194" i="20"/>
  <c r="BH195" i="20"/>
  <c r="AP57" i="25"/>
  <c r="BQ66" i="20"/>
  <c r="BK66" i="20"/>
  <c r="BL66" i="20" s="1"/>
  <c r="AF64" i="25"/>
  <c r="BH66" i="20"/>
  <c r="AM64" i="25"/>
  <c r="O66" i="20"/>
  <c r="BL115" i="20"/>
  <c r="AI113" i="25" s="1"/>
  <c r="AG119" i="25"/>
  <c r="BM127" i="20"/>
  <c r="BN127" i="20" s="1"/>
  <c r="BK96" i="20"/>
  <c r="I188" i="20"/>
  <c r="AG186" i="25"/>
  <c r="BT59" i="20"/>
  <c r="AG64" i="25"/>
  <c r="I66" i="20"/>
  <c r="BJ63" i="20"/>
  <c r="AI215" i="25"/>
  <c r="AI206" i="25" s="1"/>
  <c r="BN217" i="20"/>
  <c r="AK215" i="25" s="1"/>
  <c r="BS224" i="20"/>
  <c r="AN222" i="25"/>
  <c r="O192" i="20"/>
  <c r="AM190" i="25"/>
  <c r="AM71" i="25"/>
  <c r="O73" i="20"/>
  <c r="BR95" i="20"/>
  <c r="BI4" i="20"/>
  <c r="AM186" i="25"/>
  <c r="O188" i="20"/>
  <c r="BL59" i="20"/>
  <c r="AN127" i="25"/>
  <c r="BS129" i="20"/>
  <c r="AP127" i="25" s="1"/>
  <c r="AH204" i="25"/>
  <c r="BK203" i="20"/>
  <c r="BM206" i="20"/>
  <c r="AJ204" i="25" s="1"/>
  <c r="BJ190" i="20"/>
  <c r="I192" i="20"/>
  <c r="AG190" i="25"/>
  <c r="AF71" i="25"/>
  <c r="BH73" i="20"/>
  <c r="BQ73" i="20"/>
  <c r="BR73" i="20" s="1"/>
  <c r="BS73" i="20" s="1"/>
  <c r="BK73" i="20"/>
  <c r="AE117" i="25"/>
  <c r="AO126" i="25"/>
  <c r="BS128" i="20"/>
  <c r="BT128" i="20" s="1"/>
  <c r="AK63" i="25"/>
  <c r="AI158" i="25"/>
  <c r="K160" i="20"/>
  <c r="AP63" i="25"/>
  <c r="AO125" i="25"/>
  <c r="BS192" i="20"/>
  <c r="AP190" i="25" s="1"/>
  <c r="BL95" i="20"/>
  <c r="AH51" i="25"/>
  <c r="AN51" i="25"/>
  <c r="AH126" i="25"/>
  <c r="BS127" i="20"/>
  <c r="BT127" i="20" s="1"/>
  <c r="BL199" i="20"/>
  <c r="BM199" i="20" s="1"/>
  <c r="J160" i="20"/>
  <c r="AH158" i="25"/>
  <c r="BT104" i="20"/>
  <c r="AQ102" i="25" s="1"/>
  <c r="BR117" i="20"/>
  <c r="AO115" i="25" s="1"/>
  <c r="BS53" i="20"/>
  <c r="AE66" i="25"/>
  <c r="AN197" i="25"/>
  <c r="BQ198" i="20"/>
  <c r="AI125" i="25"/>
  <c r="AO121" i="25"/>
  <c r="BR199" i="20"/>
  <c r="BS199" i="20" s="1"/>
  <c r="BT199" i="20" s="1"/>
  <c r="AG84" i="25"/>
  <c r="AH125" i="25"/>
  <c r="AE125" i="25"/>
  <c r="BL100" i="20"/>
  <c r="AI98" i="25" s="1"/>
  <c r="BR103" i="20"/>
  <c r="BM191" i="20"/>
  <c r="BN191" i="20" s="1"/>
  <c r="BS102" i="20"/>
  <c r="AP100" i="25" s="1"/>
  <c r="AH87" i="25"/>
  <c r="AO63" i="25"/>
  <c r="BL53" i="20"/>
  <c r="BR68" i="20"/>
  <c r="AN121" i="25"/>
  <c r="AF196" i="25"/>
  <c r="AN125" i="25"/>
  <c r="AJ63" i="25"/>
  <c r="BR105" i="20"/>
  <c r="AO103" i="25" s="1"/>
  <c r="BL227" i="20"/>
  <c r="BM227" i="20" s="1"/>
  <c r="AJ225" i="25" s="1"/>
  <c r="AN126" i="25"/>
  <c r="AI128" i="25"/>
  <c r="BM130" i="20"/>
  <c r="BN130" i="20" s="1"/>
  <c r="BT65" i="20"/>
  <c r="BM160" i="20"/>
  <c r="BN160" i="20" s="1"/>
  <c r="AH197" i="25"/>
  <c r="BK198" i="20"/>
  <c r="BL69" i="20"/>
  <c r="AI67" i="25" s="1"/>
  <c r="BR179" i="20"/>
  <c r="BS179" i="20" s="1"/>
  <c r="AP177" i="25" s="1"/>
  <c r="AH189" i="25"/>
  <c r="J191" i="20"/>
  <c r="AN189" i="25"/>
  <c r="BQ190" i="20"/>
  <c r="P191" i="20"/>
  <c r="AO190" i="25"/>
  <c r="Q192" i="20"/>
  <c r="BS180" i="20"/>
  <c r="R180" i="20" s="1"/>
  <c r="R144" i="25"/>
  <c r="AC146" i="20"/>
  <c r="AN190" i="25"/>
  <c r="P192" i="20"/>
  <c r="AI189" i="25"/>
  <c r="K191" i="20"/>
  <c r="BR191" i="20"/>
  <c r="AO225" i="25"/>
  <c r="BS227" i="20"/>
  <c r="BT227" i="20" s="1"/>
  <c r="AN225" i="25"/>
  <c r="AH225" i="25"/>
  <c r="BW221" i="25"/>
  <c r="EM223" i="20"/>
  <c r="EN223" i="20" s="1"/>
  <c r="R219" i="25"/>
  <c r="T219" i="25"/>
  <c r="S219" i="25"/>
  <c r="EH224" i="20"/>
  <c r="AZ210" i="25"/>
  <c r="DB211" i="20"/>
  <c r="DC211" i="20" s="1"/>
  <c r="BG209" i="25" s="1"/>
  <c r="BE209" i="25"/>
  <c r="AY207" i="25"/>
  <c r="DC212" i="20"/>
  <c r="BG210" i="25" s="1"/>
  <c r="BE210" i="25"/>
  <c r="AE206" i="25"/>
  <c r="CV209" i="20"/>
  <c r="BX207" i="25"/>
  <c r="AK209" i="25"/>
  <c r="EN209" i="20"/>
  <c r="CW213" i="20"/>
  <c r="CX213" i="20" s="1"/>
  <c r="AZ211" i="25"/>
  <c r="AY210" i="25"/>
  <c r="CW212" i="20"/>
  <c r="BQ203" i="25"/>
  <c r="EH205" i="20"/>
  <c r="BS203" i="25" s="1"/>
  <c r="CW205" i="20"/>
  <c r="CX205" i="20" s="1"/>
  <c r="AO136" i="25"/>
  <c r="Y59" i="25"/>
  <c r="AJ103" i="20"/>
  <c r="AZ85" i="25"/>
  <c r="BG70" i="25"/>
  <c r="DD72" i="20"/>
  <c r="BB90" i="25"/>
  <c r="AJ135" i="25"/>
  <c r="BN137" i="20"/>
  <c r="S105" i="25"/>
  <c r="AD107" i="20"/>
  <c r="BF88" i="25"/>
  <c r="DC90" i="20"/>
  <c r="DD90" i="20" s="1"/>
  <c r="AJ178" i="25"/>
  <c r="BN180" i="20"/>
  <c r="L180" i="20"/>
  <c r="BG87" i="25"/>
  <c r="AZ78" i="25"/>
  <c r="CW80" i="20"/>
  <c r="CX80" i="20" s="1"/>
  <c r="AO109" i="25"/>
  <c r="Y101" i="25"/>
  <c r="AI108" i="25"/>
  <c r="BF81" i="25"/>
  <c r="DC83" i="20"/>
  <c r="S216" i="25"/>
  <c r="AZ93" i="25"/>
  <c r="BF80" i="25"/>
  <c r="S51" i="25"/>
  <c r="AI138" i="25"/>
  <c r="BM140" i="20"/>
  <c r="BN140" i="20" s="1"/>
  <c r="BG78" i="25"/>
  <c r="AJ136" i="25"/>
  <c r="AZ80" i="25"/>
  <c r="CW82" i="20"/>
  <c r="AJ102" i="25"/>
  <c r="BQ98" i="25"/>
  <c r="AD218" i="20"/>
  <c r="AN178" i="25"/>
  <c r="P180" i="20"/>
  <c r="AH53" i="20"/>
  <c r="AI53" i="20" s="1"/>
  <c r="EM101" i="20"/>
  <c r="BX99" i="25" s="1"/>
  <c r="AI100" i="25"/>
  <c r="AH116" i="25"/>
  <c r="DD89" i="20"/>
  <c r="BM112" i="20"/>
  <c r="AH135" i="25"/>
  <c r="BS111" i="20"/>
  <c r="BT111" i="20" s="1"/>
  <c r="R115" i="25"/>
  <c r="AY74" i="25"/>
  <c r="AB61" i="20"/>
  <c r="J103" i="20"/>
  <c r="Q101" i="25"/>
  <c r="P206" i="25"/>
  <c r="AY70" i="25"/>
  <c r="X53" i="25"/>
  <c r="J116" i="20"/>
  <c r="Q114" i="25"/>
  <c r="Q103" i="25"/>
  <c r="Z56" i="25"/>
  <c r="AY86" i="25"/>
  <c r="BD73" i="25"/>
  <c r="AH108" i="25"/>
  <c r="X115" i="25"/>
  <c r="AO178" i="25"/>
  <c r="Q180" i="20"/>
  <c r="H51" i="25"/>
  <c r="BL105" i="20"/>
  <c r="AI103" i="25" s="1"/>
  <c r="EH100" i="20"/>
  <c r="AN177" i="25"/>
  <c r="BQ178" i="20"/>
  <c r="P179" i="20"/>
  <c r="AH178" i="25"/>
  <c r="J180" i="20"/>
  <c r="AN111" i="25"/>
  <c r="AZ90" i="25"/>
  <c r="CW95" i="20"/>
  <c r="AN135" i="25"/>
  <c r="AE109" i="25"/>
  <c r="W115" i="25"/>
  <c r="AC100" i="20"/>
  <c r="AD100" i="20" s="1"/>
  <c r="BE74" i="25"/>
  <c r="W59" i="25"/>
  <c r="BE70" i="25"/>
  <c r="AZ81" i="25"/>
  <c r="Q53" i="25"/>
  <c r="X114" i="25"/>
  <c r="BN104" i="20"/>
  <c r="AK79" i="25"/>
  <c r="AY88" i="25"/>
  <c r="R51" i="25"/>
  <c r="Q225" i="25"/>
  <c r="BX98" i="25"/>
  <c r="AN100" i="25"/>
  <c r="BF87" i="25"/>
  <c r="AY85" i="25"/>
  <c r="AI110" i="25"/>
  <c r="R105" i="25"/>
  <c r="AN136" i="25"/>
  <c r="BA90" i="25"/>
  <c r="AN109" i="25"/>
  <c r="DC82" i="20"/>
  <c r="AN138" i="25"/>
  <c r="AJ61" i="20"/>
  <c r="AN112" i="25"/>
  <c r="W53" i="25"/>
  <c r="F96" i="25"/>
  <c r="BE88" i="25"/>
  <c r="BA68" i="25"/>
  <c r="R56" i="25"/>
  <c r="X225" i="25"/>
  <c r="AN116" i="25"/>
  <c r="BE86" i="25"/>
  <c r="Q51" i="25"/>
  <c r="J53" i="20"/>
  <c r="AC230" i="20"/>
  <c r="BR113" i="20"/>
  <c r="AE100" i="25"/>
  <c r="AZ203" i="25"/>
  <c r="BR100" i="20"/>
  <c r="BL118" i="20"/>
  <c r="BQ222" i="25"/>
  <c r="Q105" i="25"/>
  <c r="AO117" i="25"/>
  <c r="BP77" i="25"/>
  <c r="EE125" i="20"/>
  <c r="AY81" i="25"/>
  <c r="BE78" i="25"/>
  <c r="AH112" i="25"/>
  <c r="AI116" i="20"/>
  <c r="AI102" i="25"/>
  <c r="X56" i="25"/>
  <c r="BR98" i="25"/>
  <c r="N226" i="25"/>
  <c r="AI136" i="25"/>
  <c r="AH109" i="25"/>
  <c r="AD53" i="20"/>
  <c r="W51" i="25"/>
  <c r="P53" i="20"/>
  <c r="BW98" i="25"/>
  <c r="BM102" i="20"/>
  <c r="AH100" i="25"/>
  <c r="BN138" i="20"/>
  <c r="AH136" i="25"/>
  <c r="BR137" i="20"/>
  <c r="Q115" i="25"/>
  <c r="EM79" i="20"/>
  <c r="BV77" i="25"/>
  <c r="AH138" i="25"/>
  <c r="X59" i="25"/>
  <c r="CV72" i="20"/>
  <c r="BE81" i="25"/>
  <c r="AY78" i="25"/>
  <c r="AO102" i="25"/>
  <c r="AB116" i="20"/>
  <c r="X103" i="25"/>
  <c r="F107" i="25"/>
  <c r="R216" i="25"/>
  <c r="K218" i="20"/>
  <c r="AO100" i="25"/>
  <c r="BR118" i="20"/>
  <c r="W105" i="25"/>
  <c r="AI135" i="25"/>
  <c r="BL111" i="20"/>
  <c r="BM111" i="20" s="1"/>
  <c r="AO110" i="25"/>
  <c r="AI117" i="20"/>
  <c r="R98" i="25"/>
  <c r="BN123" i="25"/>
  <c r="EB125" i="20"/>
  <c r="EK125" i="20"/>
  <c r="BE80" i="25"/>
  <c r="AB103" i="20"/>
  <c r="DD80" i="20"/>
  <c r="BR106" i="20"/>
  <c r="BL114" i="20"/>
  <c r="AI55" i="20"/>
  <c r="AJ55" i="20" s="1"/>
  <c r="EM102" i="20"/>
  <c r="P116" i="20"/>
  <c r="W114" i="25"/>
  <c r="AB105" i="20"/>
  <c r="W56" i="25"/>
  <c r="P58" i="20"/>
  <c r="CV103" i="20"/>
  <c r="DB88" i="20"/>
  <c r="BR115" i="20"/>
  <c r="AO113" i="25" s="1"/>
  <c r="CX70" i="20"/>
  <c r="BY98" i="25"/>
  <c r="BR222" i="25"/>
  <c r="AO138" i="25"/>
  <c r="Q59" i="25"/>
  <c r="X101" i="25"/>
  <c r="BF78" i="25"/>
  <c r="AO112" i="25"/>
  <c r="AP102" i="25"/>
  <c r="BM110" i="20"/>
  <c r="R228" i="25"/>
  <c r="AI227" i="20"/>
  <c r="AJ227" i="20" s="1"/>
  <c r="W225" i="25"/>
  <c r="AI178" i="25"/>
  <c r="K180" i="20"/>
  <c r="BL119" i="25"/>
  <c r="F119" i="25" s="1"/>
  <c r="F120" i="25"/>
  <c r="AB227" i="20"/>
  <c r="AE98" i="25"/>
  <c r="CW87" i="20"/>
  <c r="BS138" i="20"/>
  <c r="BT138" i="20" s="1"/>
  <c r="AY93" i="25"/>
  <c r="AE135" i="25"/>
  <c r="BS112" i="20"/>
  <c r="BT112" i="20" s="1"/>
  <c r="AC117" i="20"/>
  <c r="AY80" i="25"/>
  <c r="CV76" i="20"/>
  <c r="BS140" i="20"/>
  <c r="BT140" i="20" s="1"/>
  <c r="W101" i="25"/>
  <c r="BS101" i="20"/>
  <c r="AP99" i="25" s="1"/>
  <c r="BF70" i="25"/>
  <c r="BS114" i="20"/>
  <c r="AB55" i="20"/>
  <c r="CV90" i="20"/>
  <c r="W103" i="25"/>
  <c r="Y56" i="25"/>
  <c r="Q56" i="25"/>
  <c r="J58" i="20"/>
  <c r="DB103" i="20"/>
  <c r="BF101" i="25" s="1"/>
  <c r="BM101" i="20"/>
  <c r="AJ99" i="25" s="1"/>
  <c r="CV88" i="20"/>
  <c r="P224" i="25"/>
  <c r="AH182" i="25" l="1"/>
  <c r="Q218" i="20"/>
  <c r="BN196" i="20"/>
  <c r="AJ194" i="25"/>
  <c r="L196" i="20"/>
  <c r="BR184" i="20"/>
  <c r="AN182" i="25"/>
  <c r="BQ182" i="20"/>
  <c r="AN180" i="25" s="1"/>
  <c r="P184" i="20"/>
  <c r="EG213" i="20"/>
  <c r="BR211" i="25" s="1"/>
  <c r="EH213" i="20"/>
  <c r="BS211" i="25" s="1"/>
  <c r="BQ211" i="25"/>
  <c r="BQ210" i="25"/>
  <c r="EG212" i="20"/>
  <c r="G209" i="25"/>
  <c r="I209" i="25" s="1"/>
  <c r="AF119" i="25"/>
  <c r="BW209" i="25"/>
  <c r="EM211" i="20"/>
  <c r="BW210" i="25"/>
  <c r="EM212" i="20"/>
  <c r="BW226" i="25"/>
  <c r="EM228" i="20"/>
  <c r="K196" i="20"/>
  <c r="AI194" i="25"/>
  <c r="AA4" i="20"/>
  <c r="G184" i="20"/>
  <c r="H184" i="20" s="1"/>
  <c r="BL184" i="20"/>
  <c r="R226" i="25"/>
  <c r="EN213" i="20"/>
  <c r="BY211" i="25" s="1"/>
  <c r="EH211" i="20"/>
  <c r="BS209" i="25" s="1"/>
  <c r="EL104" i="20"/>
  <c r="BW102" i="25" s="1"/>
  <c r="J192" i="20"/>
  <c r="AH190" i="25"/>
  <c r="BT64" i="20"/>
  <c r="AQ62" i="25" s="1"/>
  <c r="AP79" i="25"/>
  <c r="BH190" i="20"/>
  <c r="AE181" i="25"/>
  <c r="G181" i="25" s="1"/>
  <c r="I181" i="25" s="1"/>
  <c r="AO143" i="25"/>
  <c r="AN62" i="25"/>
  <c r="BL182" i="20"/>
  <c r="AI180" i="25" s="1"/>
  <c r="BH182" i="20"/>
  <c r="BK178" i="20"/>
  <c r="BL178" i="20" s="1"/>
  <c r="BM178" i="20" s="1"/>
  <c r="AP202" i="25"/>
  <c r="BT145" i="20"/>
  <c r="AQ143" i="25" s="1"/>
  <c r="AO62" i="25"/>
  <c r="BH178" i="20"/>
  <c r="BR163" i="20"/>
  <c r="Q163" i="20" s="1"/>
  <c r="AQ181" i="25"/>
  <c r="BM124" i="20"/>
  <c r="BN124" i="20" s="1"/>
  <c r="AK122" i="25" s="1"/>
  <c r="G160" i="20"/>
  <c r="H160" i="20" s="1"/>
  <c r="P160" i="20"/>
  <c r="Q160" i="20"/>
  <c r="AN158" i="25"/>
  <c r="AN161" i="25"/>
  <c r="L179" i="20"/>
  <c r="BS160" i="20"/>
  <c r="R160" i="20" s="1"/>
  <c r="AN137" i="25"/>
  <c r="BT139" i="20"/>
  <c r="AQ137" i="25" s="1"/>
  <c r="AO137" i="25"/>
  <c r="J183" i="20"/>
  <c r="AH181" i="25"/>
  <c r="BN183" i="20"/>
  <c r="M183" i="20" s="1"/>
  <c r="K183" i="20"/>
  <c r="J179" i="20"/>
  <c r="L183" i="20"/>
  <c r="AI181" i="25"/>
  <c r="BN179" i="20"/>
  <c r="M179" i="20" s="1"/>
  <c r="AH177" i="25"/>
  <c r="AI177" i="25"/>
  <c r="K179" i="20"/>
  <c r="BR91" i="20"/>
  <c r="BS91" i="20" s="1"/>
  <c r="AP89" i="25" s="1"/>
  <c r="AM130" i="25"/>
  <c r="AI140" i="25"/>
  <c r="BN142" i="20"/>
  <c r="AK140" i="25" s="1"/>
  <c r="AN201" i="25"/>
  <c r="BH158" i="20"/>
  <c r="BL72" i="20"/>
  <c r="AI70" i="25" s="1"/>
  <c r="J163" i="20"/>
  <c r="AO128" i="25"/>
  <c r="BL203" i="20"/>
  <c r="BL163" i="20"/>
  <c r="BM163" i="20" s="1"/>
  <c r="L163" i="20" s="1"/>
  <c r="AI201" i="25"/>
  <c r="AH137" i="25"/>
  <c r="BK226" i="20"/>
  <c r="G53" i="20"/>
  <c r="H53" i="20" s="1"/>
  <c r="CW53" i="20"/>
  <c r="BA51" i="25" s="1"/>
  <c r="BF90" i="25"/>
  <c r="K53" i="20"/>
  <c r="CX112" i="20"/>
  <c r="BB110" i="25" s="1"/>
  <c r="AZ110" i="25"/>
  <c r="BR226" i="25"/>
  <c r="BH226" i="20"/>
  <c r="DD92" i="20"/>
  <c r="BH90" i="25" s="1"/>
  <c r="BF104" i="25"/>
  <c r="CW129" i="20"/>
  <c r="BA127" i="25" s="1"/>
  <c r="AI146" i="20"/>
  <c r="Y144" i="25" s="1"/>
  <c r="X226" i="25"/>
  <c r="X228" i="25"/>
  <c r="AJ230" i="20"/>
  <c r="Z228" i="25" s="1"/>
  <c r="CW57" i="20"/>
  <c r="BA55" i="25" s="1"/>
  <c r="V224" i="25"/>
  <c r="CW107" i="20"/>
  <c r="BA105" i="25" s="1"/>
  <c r="CX79" i="20"/>
  <c r="BB77" i="25" s="1"/>
  <c r="BA220" i="25"/>
  <c r="AD228" i="20"/>
  <c r="T226" i="25" s="1"/>
  <c r="AC101" i="20"/>
  <c r="S99" i="25" s="1"/>
  <c r="Y226" i="25"/>
  <c r="BL230" i="20"/>
  <c r="AI228" i="25" s="1"/>
  <c r="AO229" i="25"/>
  <c r="BL141" i="20"/>
  <c r="AI139" i="25" s="1"/>
  <c r="BH109" i="20"/>
  <c r="BT205" i="20"/>
  <c r="AQ203" i="25" s="1"/>
  <c r="BM205" i="20"/>
  <c r="AJ203" i="25" s="1"/>
  <c r="AJ201" i="25" s="1"/>
  <c r="BT110" i="20"/>
  <c r="AQ108" i="25" s="1"/>
  <c r="AO108" i="25"/>
  <c r="BQ226" i="20"/>
  <c r="BQ109" i="20"/>
  <c r="AN108" i="25"/>
  <c r="AN107" i="25" s="1"/>
  <c r="AM84" i="25"/>
  <c r="BL80" i="20"/>
  <c r="BM80" i="20" s="1"/>
  <c r="AJ78" i="25" s="1"/>
  <c r="BK154" i="20"/>
  <c r="AH152" i="25" s="1"/>
  <c r="AN224" i="25"/>
  <c r="H108" i="25"/>
  <c r="AH219" i="25"/>
  <c r="AH218" i="25" s="1"/>
  <c r="BM145" i="20"/>
  <c r="BN145" i="20" s="1"/>
  <c r="AK143" i="25" s="1"/>
  <c r="BM78" i="20"/>
  <c r="AJ76" i="25" s="1"/>
  <c r="BT231" i="20"/>
  <c r="AQ229" i="25" s="1"/>
  <c r="BL221" i="20"/>
  <c r="BL220" i="20" s="1"/>
  <c r="AF107" i="25"/>
  <c r="BR230" i="20"/>
  <c r="AO228" i="25" s="1"/>
  <c r="BR126" i="20"/>
  <c r="BR121" i="20" s="1"/>
  <c r="BK75" i="20"/>
  <c r="AM119" i="25"/>
  <c r="AP58" i="25"/>
  <c r="BH75" i="20"/>
  <c r="BQ121" i="20"/>
  <c r="AN70" i="25"/>
  <c r="BS72" i="20"/>
  <c r="AP70" i="25" s="1"/>
  <c r="AM49" i="25"/>
  <c r="BR141" i="20"/>
  <c r="BS141" i="20" s="1"/>
  <c r="AP139" i="25" s="1"/>
  <c r="G167" i="20"/>
  <c r="H167" i="20" s="1"/>
  <c r="AJ58" i="25"/>
  <c r="AE169" i="25"/>
  <c r="G169" i="25" s="1"/>
  <c r="I169" i="25" s="1"/>
  <c r="BQ75" i="20"/>
  <c r="BR80" i="20"/>
  <c r="BS80" i="20" s="1"/>
  <c r="AP78" i="25" s="1"/>
  <c r="BS76" i="20"/>
  <c r="AP74" i="25" s="1"/>
  <c r="AH166" i="25"/>
  <c r="P155" i="20"/>
  <c r="G179" i="20"/>
  <c r="H179" i="20" s="1"/>
  <c r="AN166" i="25"/>
  <c r="BL168" i="20"/>
  <c r="K168" i="20" s="1"/>
  <c r="AH201" i="25"/>
  <c r="Q168" i="20"/>
  <c r="G155" i="20"/>
  <c r="H155" i="20" s="1"/>
  <c r="BS168" i="20"/>
  <c r="BT168" i="20" s="1"/>
  <c r="AQ166" i="25" s="1"/>
  <c r="BM76" i="20"/>
  <c r="BN76" i="20" s="1"/>
  <c r="AK74" i="25" s="1"/>
  <c r="P168" i="20"/>
  <c r="BQ220" i="20"/>
  <c r="AM201" i="25"/>
  <c r="BH51" i="20"/>
  <c r="AN219" i="25"/>
  <c r="AN218" i="25" s="1"/>
  <c r="AM96" i="25"/>
  <c r="BR69" i="20"/>
  <c r="AO67" i="25" s="1"/>
  <c r="BS221" i="20"/>
  <c r="AP219" i="25" s="1"/>
  <c r="BQ166" i="20"/>
  <c r="AN164" i="25" s="1"/>
  <c r="BK121" i="20"/>
  <c r="BM123" i="20"/>
  <c r="AJ121" i="25" s="1"/>
  <c r="G168" i="20"/>
  <c r="H168" i="20" s="1"/>
  <c r="AH121" i="25"/>
  <c r="AH119" i="25" s="1"/>
  <c r="BS93" i="20"/>
  <c r="AP91" i="25" s="1"/>
  <c r="AN91" i="25"/>
  <c r="AO123" i="25"/>
  <c r="AN153" i="25"/>
  <c r="AH91" i="25"/>
  <c r="BM93" i="20"/>
  <c r="AJ91" i="25" s="1"/>
  <c r="G191" i="20"/>
  <c r="H191" i="20" s="1"/>
  <c r="AH111" i="25"/>
  <c r="AH107" i="25" s="1"/>
  <c r="BN204" i="20"/>
  <c r="AK202" i="25" s="1"/>
  <c r="AI220" i="25"/>
  <c r="BK109" i="20"/>
  <c r="BS228" i="20"/>
  <c r="AP226" i="25" s="1"/>
  <c r="H55" i="25"/>
  <c r="Q228" i="20"/>
  <c r="G180" i="20"/>
  <c r="H180" i="20" s="1"/>
  <c r="BM113" i="20"/>
  <c r="BN113" i="20" s="1"/>
  <c r="BH166" i="20"/>
  <c r="AH55" i="25"/>
  <c r="AN131" i="25"/>
  <c r="BS89" i="20"/>
  <c r="AP87" i="25" s="1"/>
  <c r="K159" i="20"/>
  <c r="BL106" i="20"/>
  <c r="K106" i="20" s="1"/>
  <c r="G114" i="25"/>
  <c r="I114" i="25" s="1"/>
  <c r="BM57" i="20"/>
  <c r="BN57" i="20" s="1"/>
  <c r="AH97" i="25"/>
  <c r="AN87" i="25"/>
  <c r="BS222" i="20"/>
  <c r="AP220" i="25" s="1"/>
  <c r="BH121" i="20"/>
  <c r="BN82" i="20"/>
  <c r="AK80" i="25" s="1"/>
  <c r="AH196" i="25"/>
  <c r="H87" i="25"/>
  <c r="AF96" i="25"/>
  <c r="BS61" i="20"/>
  <c r="AP59" i="25" s="1"/>
  <c r="BM200" i="20"/>
  <c r="AJ198" i="25" s="1"/>
  <c r="G164" i="20"/>
  <c r="H164" i="20" s="1"/>
  <c r="BK132" i="20"/>
  <c r="AH85" i="25"/>
  <c r="BL136" i="20"/>
  <c r="BM136" i="20" s="1"/>
  <c r="AI120" i="25"/>
  <c r="P133" i="20"/>
  <c r="AM107" i="25"/>
  <c r="BR142" i="20"/>
  <c r="J167" i="20"/>
  <c r="AH165" i="25"/>
  <c r="BM55" i="20"/>
  <c r="AJ53" i="25" s="1"/>
  <c r="AN68" i="25"/>
  <c r="BR70" i="20"/>
  <c r="BL70" i="20"/>
  <c r="BM70" i="20" s="1"/>
  <c r="AJ68" i="25" s="1"/>
  <c r="AH68" i="25"/>
  <c r="BL133" i="20"/>
  <c r="AI131" i="25" s="1"/>
  <c r="BN224" i="20"/>
  <c r="AK222" i="25" s="1"/>
  <c r="P167" i="20"/>
  <c r="BR167" i="20"/>
  <c r="BR166" i="20" s="1"/>
  <c r="AO164" i="25" s="1"/>
  <c r="L159" i="20"/>
  <c r="BN159" i="20"/>
  <c r="AK157" i="25" s="1"/>
  <c r="BL166" i="20"/>
  <c r="AH224" i="25"/>
  <c r="BS94" i="20"/>
  <c r="AP92" i="25" s="1"/>
  <c r="AI162" i="25"/>
  <c r="AP65" i="25"/>
  <c r="AI157" i="25"/>
  <c r="AZ87" i="25"/>
  <c r="DC130" i="20"/>
  <c r="DD130" i="20" s="1"/>
  <c r="BH128" i="25" s="1"/>
  <c r="BF199" i="25"/>
  <c r="BF196" i="25" s="1"/>
  <c r="CW106" i="20"/>
  <c r="BA104" i="25" s="1"/>
  <c r="CW116" i="20"/>
  <c r="BA114" i="25" s="1"/>
  <c r="J105" i="20"/>
  <c r="P105" i="20"/>
  <c r="CX89" i="20"/>
  <c r="BB87" i="25" s="1"/>
  <c r="DC57" i="20"/>
  <c r="BG55" i="25" s="1"/>
  <c r="G146" i="25"/>
  <c r="I146" i="25" s="1"/>
  <c r="CW93" i="20"/>
  <c r="CX93" i="20" s="1"/>
  <c r="DC213" i="20"/>
  <c r="BG211" i="25" s="1"/>
  <c r="DB105" i="20"/>
  <c r="BF103" i="25" s="1"/>
  <c r="EF104" i="20"/>
  <c r="BQ102" i="25" s="1"/>
  <c r="AZ77" i="25"/>
  <c r="J145" i="20"/>
  <c r="BM83" i="20"/>
  <c r="AJ81" i="25" s="1"/>
  <c r="AP134" i="25"/>
  <c r="BN201" i="20"/>
  <c r="AK199" i="25" s="1"/>
  <c r="AN97" i="25"/>
  <c r="BM125" i="20"/>
  <c r="AJ123" i="25" s="1"/>
  <c r="BQ98" i="20"/>
  <c r="BM99" i="20"/>
  <c r="BN99" i="20" s="1"/>
  <c r="AK97" i="25" s="1"/>
  <c r="BT82" i="20"/>
  <c r="AQ80" i="25" s="1"/>
  <c r="BS99" i="20"/>
  <c r="BT99" i="20" s="1"/>
  <c r="AQ97" i="25" s="1"/>
  <c r="AN82" i="25"/>
  <c r="AN73" i="25" s="1"/>
  <c r="BR84" i="20"/>
  <c r="BT78" i="20"/>
  <c r="AQ76" i="25" s="1"/>
  <c r="AI50" i="25"/>
  <c r="BH132" i="20"/>
  <c r="AH82" i="25"/>
  <c r="AH73" i="25" s="1"/>
  <c r="BL84" i="20"/>
  <c r="AJ206" i="25"/>
  <c r="BN52" i="20"/>
  <c r="AK50" i="25" s="1"/>
  <c r="G226" i="25"/>
  <c r="I226" i="25" s="1"/>
  <c r="BS55" i="20"/>
  <c r="AP53" i="25" s="1"/>
  <c r="BM228" i="20"/>
  <c r="BN228" i="20" s="1"/>
  <c r="G104" i="25"/>
  <c r="I104" i="25" s="1"/>
  <c r="AM73" i="25"/>
  <c r="BH98" i="20"/>
  <c r="AE73" i="25"/>
  <c r="AO76" i="25"/>
  <c r="BM71" i="20"/>
  <c r="AI69" i="25"/>
  <c r="BT135" i="20"/>
  <c r="AQ133" i="25" s="1"/>
  <c r="AP133" i="25"/>
  <c r="BT159" i="20"/>
  <c r="AQ157" i="25" s="1"/>
  <c r="R159" i="20"/>
  <c r="BS164" i="20"/>
  <c r="BT164" i="20" s="1"/>
  <c r="AQ162" i="25" s="1"/>
  <c r="P164" i="20"/>
  <c r="AN162" i="25"/>
  <c r="AF84" i="25"/>
  <c r="Q164" i="20"/>
  <c r="AM142" i="25"/>
  <c r="H86" i="25"/>
  <c r="Q116" i="20"/>
  <c r="H134" i="25"/>
  <c r="BS116" i="20"/>
  <c r="BT116" i="20" s="1"/>
  <c r="AQ114" i="25" s="1"/>
  <c r="BS196" i="20"/>
  <c r="R196" i="20" s="1"/>
  <c r="BM116" i="20"/>
  <c r="AJ114" i="25" s="1"/>
  <c r="AO194" i="25"/>
  <c r="AF130" i="25"/>
  <c r="BH63" i="20"/>
  <c r="BK162" i="20"/>
  <c r="AH160" i="25" s="1"/>
  <c r="AE157" i="25"/>
  <c r="G157" i="25" s="1"/>
  <c r="I157" i="25" s="1"/>
  <c r="G159" i="20"/>
  <c r="H159" i="20" s="1"/>
  <c r="BK98" i="20"/>
  <c r="AP157" i="25"/>
  <c r="BS77" i="20"/>
  <c r="AP75" i="25" s="1"/>
  <c r="AE224" i="25"/>
  <c r="BM164" i="20"/>
  <c r="L164" i="20" s="1"/>
  <c r="J164" i="20"/>
  <c r="AH162" i="25"/>
  <c r="G228" i="20"/>
  <c r="H228" i="20" s="1"/>
  <c r="AO157" i="25"/>
  <c r="Q159" i="20"/>
  <c r="BS122" i="20"/>
  <c r="AP120" i="25" s="1"/>
  <c r="AN196" i="25"/>
  <c r="BM117" i="20"/>
  <c r="AJ115" i="25" s="1"/>
  <c r="BH86" i="20"/>
  <c r="BK86" i="20"/>
  <c r="BR107" i="20"/>
  <c r="Q107" i="20" s="1"/>
  <c r="AN105" i="25"/>
  <c r="AN86" i="25"/>
  <c r="BR88" i="20"/>
  <c r="BL107" i="20"/>
  <c r="K107" i="20" s="1"/>
  <c r="AH105" i="25"/>
  <c r="AH86" i="25"/>
  <c r="BM88" i="20"/>
  <c r="AJ86" i="25" s="1"/>
  <c r="R214" i="25"/>
  <c r="S214" i="25"/>
  <c r="K216" i="20"/>
  <c r="DD87" i="20"/>
  <c r="BH85" i="25" s="1"/>
  <c r="CV105" i="20"/>
  <c r="AZ103" i="25" s="1"/>
  <c r="P87" i="20"/>
  <c r="BF85" i="25"/>
  <c r="BE85" i="25"/>
  <c r="AZ204" i="25"/>
  <c r="BF114" i="25"/>
  <c r="DC116" i="20"/>
  <c r="BG68" i="25"/>
  <c r="G105" i="25"/>
  <c r="I105" i="25" s="1"/>
  <c r="CV140" i="20"/>
  <c r="AZ138" i="25" s="1"/>
  <c r="G139" i="25"/>
  <c r="I139" i="25" s="1"/>
  <c r="H67" i="25"/>
  <c r="G55" i="20"/>
  <c r="H55" i="20" s="1"/>
  <c r="G53" i="25"/>
  <c r="I53" i="25" s="1"/>
  <c r="BE93" i="25"/>
  <c r="DC65" i="20"/>
  <c r="BG63" i="25" s="1"/>
  <c r="BE207" i="25"/>
  <c r="DC95" i="20"/>
  <c r="BG93" i="25" s="1"/>
  <c r="H93" i="25"/>
  <c r="H111" i="25"/>
  <c r="H85" i="25"/>
  <c r="DC209" i="20"/>
  <c r="BG207" i="25" s="1"/>
  <c r="DC112" i="20"/>
  <c r="P209" i="20"/>
  <c r="BD119" i="25"/>
  <c r="AW119" i="25"/>
  <c r="L218" i="20"/>
  <c r="CX113" i="20"/>
  <c r="BB111" i="25" s="1"/>
  <c r="H138" i="25"/>
  <c r="H207" i="25"/>
  <c r="CX218" i="20"/>
  <c r="BB216" i="25" s="1"/>
  <c r="CW65" i="20"/>
  <c r="CX65" i="20" s="1"/>
  <c r="BB63" i="25" s="1"/>
  <c r="H135" i="25"/>
  <c r="AZ111" i="25"/>
  <c r="CX229" i="20"/>
  <c r="BB227" i="25" s="1"/>
  <c r="AZ227" i="25"/>
  <c r="J55" i="20"/>
  <c r="DC229" i="20"/>
  <c r="AI100" i="20"/>
  <c r="Y98" i="25" s="1"/>
  <c r="J141" i="20"/>
  <c r="J101" i="20"/>
  <c r="BG220" i="25"/>
  <c r="DC93" i="20"/>
  <c r="DD93" i="20" s="1"/>
  <c r="BH91" i="25" s="1"/>
  <c r="H146" i="25"/>
  <c r="CW130" i="20"/>
  <c r="BA128" i="25" s="1"/>
  <c r="CW146" i="20"/>
  <c r="BA144" i="25" s="1"/>
  <c r="G216" i="25"/>
  <c r="I216" i="25" s="1"/>
  <c r="G218" i="20"/>
  <c r="H218" i="20" s="1"/>
  <c r="CX217" i="20"/>
  <c r="BB215" i="25" s="1"/>
  <c r="H137" i="25"/>
  <c r="AV96" i="25"/>
  <c r="I86" i="20"/>
  <c r="AV201" i="25"/>
  <c r="CU51" i="20"/>
  <c r="G59" i="25"/>
  <c r="I59" i="25" s="1"/>
  <c r="DB113" i="20"/>
  <c r="BE111" i="25"/>
  <c r="AW73" i="25"/>
  <c r="DA198" i="20"/>
  <c r="G211" i="20"/>
  <c r="H211" i="20" s="1"/>
  <c r="H54" i="25"/>
  <c r="CR75" i="20"/>
  <c r="CR208" i="20"/>
  <c r="DD217" i="20"/>
  <c r="BH215" i="25" s="1"/>
  <c r="BG215" i="25"/>
  <c r="BF203" i="25"/>
  <c r="DC205" i="20"/>
  <c r="BG203" i="25" s="1"/>
  <c r="CU208" i="20"/>
  <c r="Q227" i="20"/>
  <c r="I51" i="20"/>
  <c r="H112" i="25"/>
  <c r="CR86" i="20"/>
  <c r="AV196" i="25"/>
  <c r="CT49" i="20"/>
  <c r="CT5" i="20" s="1"/>
  <c r="DA132" i="20"/>
  <c r="CR144" i="20"/>
  <c r="CR226" i="20"/>
  <c r="CV77" i="20"/>
  <c r="CW77" i="20" s="1"/>
  <c r="BA75" i="25" s="1"/>
  <c r="G58" i="20"/>
  <c r="H58" i="20" s="1"/>
  <c r="CV55" i="20"/>
  <c r="AZ53" i="25" s="1"/>
  <c r="CU121" i="20"/>
  <c r="G56" i="25"/>
  <c r="I56" i="25" s="1"/>
  <c r="DA121" i="20"/>
  <c r="O132" i="20"/>
  <c r="DD129" i="20"/>
  <c r="BH127" i="25" s="1"/>
  <c r="G117" i="20"/>
  <c r="H117" i="20" s="1"/>
  <c r="G61" i="20"/>
  <c r="H61" i="20" s="1"/>
  <c r="G115" i="25"/>
  <c r="I115" i="25" s="1"/>
  <c r="AW224" i="25"/>
  <c r="DA98" i="20"/>
  <c r="I132" i="20"/>
  <c r="P100" i="20"/>
  <c r="CR132" i="20"/>
  <c r="CU109" i="20"/>
  <c r="DC125" i="20"/>
  <c r="BG123" i="25" s="1"/>
  <c r="CV54" i="20"/>
  <c r="H143" i="25"/>
  <c r="AW96" i="25"/>
  <c r="G98" i="25"/>
  <c r="I98" i="25" s="1"/>
  <c r="H229" i="25"/>
  <c r="H222" i="25"/>
  <c r="J115" i="20"/>
  <c r="DB127" i="20"/>
  <c r="BF125" i="25" s="1"/>
  <c r="AV107" i="25"/>
  <c r="G100" i="20"/>
  <c r="H100" i="20" s="1"/>
  <c r="DA208" i="20"/>
  <c r="H99" i="25"/>
  <c r="H57" i="25"/>
  <c r="AW107" i="25"/>
  <c r="CU63" i="20"/>
  <c r="AW130" i="25"/>
  <c r="CU144" i="20"/>
  <c r="I109" i="20"/>
  <c r="O86" i="20"/>
  <c r="H133" i="25"/>
  <c r="H140" i="25"/>
  <c r="BF204" i="25"/>
  <c r="DC206" i="20"/>
  <c r="BF54" i="25"/>
  <c r="AW206" i="25"/>
  <c r="AY64" i="25"/>
  <c r="CV66" i="20"/>
  <c r="AY54" i="25"/>
  <c r="DA86" i="20"/>
  <c r="BD3" i="25"/>
  <c r="BF77" i="25"/>
  <c r="DC79" i="20"/>
  <c r="BF100" i="25"/>
  <c r="DC102" i="20"/>
  <c r="CV215" i="20"/>
  <c r="AZ213" i="25" s="1"/>
  <c r="G143" i="25"/>
  <c r="I143" i="25" s="1"/>
  <c r="CR98" i="20"/>
  <c r="CV56" i="20"/>
  <c r="AV49" i="25"/>
  <c r="DA75" i="20"/>
  <c r="CU75" i="20"/>
  <c r="BE64" i="25"/>
  <c r="DB66" i="20"/>
  <c r="P204" i="20"/>
  <c r="CU86" i="20"/>
  <c r="AW49" i="25"/>
  <c r="BE54" i="25"/>
  <c r="DC56" i="20"/>
  <c r="BG54" i="25" s="1"/>
  <c r="H228" i="25"/>
  <c r="AZ197" i="25"/>
  <c r="J100" i="20"/>
  <c r="H98" i="25"/>
  <c r="H202" i="25"/>
  <c r="H117" i="25"/>
  <c r="AW218" i="25"/>
  <c r="CV73" i="20"/>
  <c r="AZ71" i="25" s="1"/>
  <c r="AW84" i="25"/>
  <c r="G80" i="25"/>
  <c r="I80" i="25" s="1"/>
  <c r="CW118" i="20"/>
  <c r="BA116" i="25" s="1"/>
  <c r="AV142" i="25"/>
  <c r="AW3" i="25"/>
  <c r="H66" i="25"/>
  <c r="CX133" i="20"/>
  <c r="BB131" i="25" s="1"/>
  <c r="BG197" i="25"/>
  <c r="CV117" i="20"/>
  <c r="AY115" i="25"/>
  <c r="CU98" i="20"/>
  <c r="AV224" i="25"/>
  <c r="CR121" i="20"/>
  <c r="DB124" i="20"/>
  <c r="BF122" i="25" s="1"/>
  <c r="DB77" i="20"/>
  <c r="CV115" i="20"/>
  <c r="CW115" i="20" s="1"/>
  <c r="BA113" i="25" s="1"/>
  <c r="AY113" i="25"/>
  <c r="AV119" i="25"/>
  <c r="CV127" i="20"/>
  <c r="CW127" i="20" s="1"/>
  <c r="CV99" i="20"/>
  <c r="CW99" i="20" s="1"/>
  <c r="BA97" i="25" s="1"/>
  <c r="DB117" i="20"/>
  <c r="Q117" i="20" s="1"/>
  <c r="BE115" i="25"/>
  <c r="DB115" i="20"/>
  <c r="BE113" i="25"/>
  <c r="DA51" i="20"/>
  <c r="P55" i="20"/>
  <c r="O51" i="20"/>
  <c r="CZ49" i="20"/>
  <c r="CZ5" i="20" s="1"/>
  <c r="AZ98" i="25"/>
  <c r="AZ145" i="25"/>
  <c r="BG216" i="25"/>
  <c r="DD218" i="20"/>
  <c r="BH216" i="25" s="1"/>
  <c r="G94" i="25"/>
  <c r="I94" i="25" s="1"/>
  <c r="BE66" i="25"/>
  <c r="DB68" i="20"/>
  <c r="Q68" i="20" s="1"/>
  <c r="BE99" i="25"/>
  <c r="DB101" i="20"/>
  <c r="CR4" i="20"/>
  <c r="H69" i="25"/>
  <c r="AY146" i="25"/>
  <c r="DB71" i="20"/>
  <c r="Q71" i="20" s="1"/>
  <c r="BE69" i="25"/>
  <c r="DB134" i="20"/>
  <c r="BE132" i="25"/>
  <c r="BE89" i="25"/>
  <c r="DB91" i="20"/>
  <c r="BD61" i="25"/>
  <c r="CR109" i="20"/>
  <c r="BE145" i="25"/>
  <c r="DC100" i="20"/>
  <c r="BG98" i="25" s="1"/>
  <c r="BF98" i="25"/>
  <c r="BE229" i="25"/>
  <c r="DB231" i="20"/>
  <c r="BF229" i="25" s="1"/>
  <c r="AY132" i="25"/>
  <c r="CV134" i="20"/>
  <c r="AZ132" i="25" s="1"/>
  <c r="CV71" i="20"/>
  <c r="AY69" i="25"/>
  <c r="BE92" i="25"/>
  <c r="DB94" i="20"/>
  <c r="BE67" i="25"/>
  <c r="DB69" i="20"/>
  <c r="BE52" i="25"/>
  <c r="BE98" i="25"/>
  <c r="CV78" i="20"/>
  <c r="AY76" i="25"/>
  <c r="AY133" i="25"/>
  <c r="CV135" i="20"/>
  <c r="AY92" i="25"/>
  <c r="J94" i="20"/>
  <c r="CV94" i="20"/>
  <c r="AY67" i="25"/>
  <c r="CV69" i="20"/>
  <c r="K69" i="20" s="1"/>
  <c r="BE202" i="25"/>
  <c r="BE201" i="25" s="1"/>
  <c r="DB204" i="20"/>
  <c r="DA203" i="20"/>
  <c r="CV124" i="20"/>
  <c r="AY122" i="25"/>
  <c r="DB54" i="20"/>
  <c r="DC54" i="20" s="1"/>
  <c r="BG52" i="25" s="1"/>
  <c r="AW61" i="25"/>
  <c r="CW81" i="20"/>
  <c r="CX81" i="20" s="1"/>
  <c r="BB79" i="25" s="1"/>
  <c r="J204" i="20"/>
  <c r="AY229" i="25"/>
  <c r="CV231" i="20"/>
  <c r="CW231" i="20" s="1"/>
  <c r="BA229" i="25" s="1"/>
  <c r="DB78" i="20"/>
  <c r="BE76" i="25"/>
  <c r="BE133" i="25"/>
  <c r="DB135" i="20"/>
  <c r="BE82" i="25"/>
  <c r="DB84" i="20"/>
  <c r="AY202" i="25"/>
  <c r="AY201" i="25" s="1"/>
  <c r="CU203" i="20"/>
  <c r="CV204" i="20"/>
  <c r="CW204" i="20" s="1"/>
  <c r="BA202" i="25" s="1"/>
  <c r="CU4" i="20"/>
  <c r="AY98" i="25"/>
  <c r="CW100" i="20"/>
  <c r="BA98" i="25" s="1"/>
  <c r="CR203" i="20"/>
  <c r="DB221" i="20"/>
  <c r="Q221" i="20" s="1"/>
  <c r="BE219" i="25"/>
  <c r="AY82" i="25"/>
  <c r="CV84" i="20"/>
  <c r="CU132" i="20"/>
  <c r="DA226" i="20"/>
  <c r="CV200" i="20"/>
  <c r="AY198" i="25"/>
  <c r="AY196" i="25" s="1"/>
  <c r="CU198" i="20"/>
  <c r="AY219" i="25"/>
  <c r="CW221" i="20"/>
  <c r="BE135" i="25"/>
  <c r="DB137" i="20"/>
  <c r="DB145" i="20"/>
  <c r="DC145" i="20" s="1"/>
  <c r="BE143" i="25"/>
  <c r="DA144" i="20"/>
  <c r="DB198" i="20"/>
  <c r="H89" i="25"/>
  <c r="CW110" i="20"/>
  <c r="BA108" i="25" s="1"/>
  <c r="CU226" i="20"/>
  <c r="DC227" i="20"/>
  <c r="BG225" i="25" s="1"/>
  <c r="BE146" i="25"/>
  <c r="DB148" i="20"/>
  <c r="DC148" i="20" s="1"/>
  <c r="BG146" i="25" s="1"/>
  <c r="AY57" i="25"/>
  <c r="CV59" i="20"/>
  <c r="BE198" i="25"/>
  <c r="BE196" i="25" s="1"/>
  <c r="DC200" i="20"/>
  <c r="BG198" i="25" s="1"/>
  <c r="BE228" i="25"/>
  <c r="DB230" i="20"/>
  <c r="AY137" i="25"/>
  <c r="CW139" i="20"/>
  <c r="DB59" i="20"/>
  <c r="CV137" i="20"/>
  <c r="AY135" i="25"/>
  <c r="DB123" i="20"/>
  <c r="BF121" i="25" s="1"/>
  <c r="BE121" i="25"/>
  <c r="BE119" i="25" s="1"/>
  <c r="AW142" i="25"/>
  <c r="DB147" i="20"/>
  <c r="DA4" i="20"/>
  <c r="AV130" i="25"/>
  <c r="CV148" i="20"/>
  <c r="CV123" i="20"/>
  <c r="CW123" i="20" s="1"/>
  <c r="BA121" i="25" s="1"/>
  <c r="AY121" i="25"/>
  <c r="AY228" i="25"/>
  <c r="CW230" i="20"/>
  <c r="BE112" i="25"/>
  <c r="DB114" i="20"/>
  <c r="BE137" i="25"/>
  <c r="DC139" i="20"/>
  <c r="CV145" i="20"/>
  <c r="CW145" i="20" s="1"/>
  <c r="AY143" i="25"/>
  <c r="CV101" i="20"/>
  <c r="AY99" i="25"/>
  <c r="DB55" i="20"/>
  <c r="CS49" i="20"/>
  <c r="CS5" i="20" s="1"/>
  <c r="AY89" i="25"/>
  <c r="CV91" i="20"/>
  <c r="AY112" i="25"/>
  <c r="CV114" i="20"/>
  <c r="AY66" i="25"/>
  <c r="CV68" i="20"/>
  <c r="AY145" i="25"/>
  <c r="CW147" i="20"/>
  <c r="BA145" i="25" s="1"/>
  <c r="BF212" i="25"/>
  <c r="DC214" i="20"/>
  <c r="BG212" i="25" s="1"/>
  <c r="AY221" i="25"/>
  <c r="CU220" i="20"/>
  <c r="CV223" i="20"/>
  <c r="CW223" i="20" s="1"/>
  <c r="CX223" i="20" s="1"/>
  <c r="DB119" i="20"/>
  <c r="DA109" i="20"/>
  <c r="BE117" i="25"/>
  <c r="DB73" i="20"/>
  <c r="BF71" i="25" s="1"/>
  <c r="CV119" i="20"/>
  <c r="AZ117" i="25" s="1"/>
  <c r="AY117" i="25"/>
  <c r="CR63" i="20"/>
  <c r="H221" i="25"/>
  <c r="BE94" i="25"/>
  <c r="DB96" i="20"/>
  <c r="AV218" i="25"/>
  <c r="AY94" i="25"/>
  <c r="CV96" i="20"/>
  <c r="DA63" i="20"/>
  <c r="BE212" i="25"/>
  <c r="BE222" i="25"/>
  <c r="DB224" i="20"/>
  <c r="BF222" i="25" s="1"/>
  <c r="AX3" i="25"/>
  <c r="BF144" i="25"/>
  <c r="CV61" i="20"/>
  <c r="K61" i="20" s="1"/>
  <c r="AY59" i="25"/>
  <c r="DC216" i="20"/>
  <c r="BF214" i="25"/>
  <c r="AY222" i="25"/>
  <c r="CW224" i="20"/>
  <c r="K211" i="20"/>
  <c r="DD110" i="20"/>
  <c r="BH108" i="25" s="1"/>
  <c r="DB61" i="20"/>
  <c r="BE59" i="25"/>
  <c r="BF108" i="25"/>
  <c r="DD107" i="20"/>
  <c r="BH105" i="25" s="1"/>
  <c r="CR220" i="20"/>
  <c r="BE140" i="25"/>
  <c r="DB142" i="20"/>
  <c r="CV214" i="20"/>
  <c r="CW211" i="20"/>
  <c r="BA209" i="25" s="1"/>
  <c r="DB223" i="20"/>
  <c r="DC223" i="20" s="1"/>
  <c r="BE221" i="25"/>
  <c r="DA220" i="20"/>
  <c r="CR51" i="20"/>
  <c r="AY140" i="25"/>
  <c r="CV142" i="20"/>
  <c r="DB215" i="20"/>
  <c r="DB208" i="20" s="1"/>
  <c r="BE213" i="25"/>
  <c r="AZ50" i="25"/>
  <c r="R229" i="25"/>
  <c r="BA81" i="25"/>
  <c r="J148" i="20"/>
  <c r="BS58" i="20"/>
  <c r="AP56" i="25" s="1"/>
  <c r="BG116" i="25"/>
  <c r="P56" i="20"/>
  <c r="G101" i="25"/>
  <c r="I101" i="25" s="1"/>
  <c r="CW228" i="20"/>
  <c r="BS200" i="20"/>
  <c r="AD231" i="20"/>
  <c r="T229" i="25" s="1"/>
  <c r="K228" i="20"/>
  <c r="O109" i="20"/>
  <c r="AI211" i="20"/>
  <c r="AJ211" i="20" s="1"/>
  <c r="Z209" i="25" s="1"/>
  <c r="H197" i="25"/>
  <c r="X121" i="20"/>
  <c r="AP117" i="25"/>
  <c r="BW203" i="25"/>
  <c r="Q205" i="20"/>
  <c r="BT216" i="20"/>
  <c r="AQ214" i="25" s="1"/>
  <c r="DC81" i="20"/>
  <c r="BG79" i="25" s="1"/>
  <c r="EN222" i="20"/>
  <c r="BY220" i="25" s="1"/>
  <c r="O220" i="20"/>
  <c r="P95" i="20"/>
  <c r="G91" i="25"/>
  <c r="I91" i="25" s="1"/>
  <c r="J95" i="20"/>
  <c r="AH87" i="20"/>
  <c r="AI87" i="20" s="1"/>
  <c r="DD228" i="20"/>
  <c r="BH226" i="25" s="1"/>
  <c r="BM229" i="20"/>
  <c r="AJ227" i="25" s="1"/>
  <c r="BN231" i="20"/>
  <c r="AK229" i="25" s="1"/>
  <c r="G229" i="20"/>
  <c r="H229" i="20" s="1"/>
  <c r="CX125" i="20"/>
  <c r="BB123" i="25" s="1"/>
  <c r="J106" i="20"/>
  <c r="AI126" i="25"/>
  <c r="CW138" i="20"/>
  <c r="BA136" i="25" s="1"/>
  <c r="L171" i="20"/>
  <c r="CX227" i="20"/>
  <c r="BB225" i="25" s="1"/>
  <c r="S209" i="25"/>
  <c r="F3" i="25"/>
  <c r="EN218" i="20"/>
  <c r="BY216" i="25" s="1"/>
  <c r="G227" i="25"/>
  <c r="I227" i="25" s="1"/>
  <c r="DC136" i="20"/>
  <c r="BG134" i="25" s="1"/>
  <c r="BF50" i="25"/>
  <c r="DD53" i="20"/>
  <c r="BH51" i="25" s="1"/>
  <c r="I98" i="20"/>
  <c r="Q104" i="25"/>
  <c r="J80" i="20"/>
  <c r="EF222" i="20"/>
  <c r="EG222" i="20" s="1"/>
  <c r="EH222" i="20" s="1"/>
  <c r="BS220" i="25" s="1"/>
  <c r="J222" i="20"/>
  <c r="AC106" i="20"/>
  <c r="AD106" i="20" s="1"/>
  <c r="T104" i="25" s="1"/>
  <c r="BA50" i="25"/>
  <c r="X216" i="25"/>
  <c r="AI218" i="20"/>
  <c r="G79" i="20"/>
  <c r="H79" i="20" s="1"/>
  <c r="AH79" i="20"/>
  <c r="X77" i="25" s="1"/>
  <c r="G101" i="20"/>
  <c r="H101" i="20" s="1"/>
  <c r="BF97" i="25"/>
  <c r="DC99" i="20"/>
  <c r="BG97" i="25" s="1"/>
  <c r="G88" i="20"/>
  <c r="H88" i="20" s="1"/>
  <c r="BN94" i="20"/>
  <c r="AK92" i="25" s="1"/>
  <c r="G86" i="25"/>
  <c r="I86" i="25" s="1"/>
  <c r="AJ169" i="25"/>
  <c r="BK63" i="20"/>
  <c r="CW67" i="20"/>
  <c r="CX67" i="20" s="1"/>
  <c r="BB65" i="25" s="1"/>
  <c r="CW122" i="20"/>
  <c r="BM91" i="20"/>
  <c r="AJ89" i="25" s="1"/>
  <c r="BF74" i="25"/>
  <c r="AB145" i="20"/>
  <c r="R143" i="25" s="1"/>
  <c r="CX102" i="20"/>
  <c r="BB100" i="25" s="1"/>
  <c r="DD76" i="20"/>
  <c r="BH74" i="25" s="1"/>
  <c r="BG74" i="25"/>
  <c r="BM87" i="20"/>
  <c r="AJ85" i="25" s="1"/>
  <c r="AI85" i="25"/>
  <c r="DC67" i="20"/>
  <c r="BG65" i="25" s="1"/>
  <c r="G96" i="20"/>
  <c r="H96" i="20" s="1"/>
  <c r="AB201" i="20"/>
  <c r="R199" i="25" s="1"/>
  <c r="AC199" i="20"/>
  <c r="AD199" i="20" s="1"/>
  <c r="T197" i="25" s="1"/>
  <c r="AH54" i="20"/>
  <c r="X52" i="25" s="1"/>
  <c r="K87" i="20"/>
  <c r="AH140" i="20"/>
  <c r="X138" i="25" s="1"/>
  <c r="CW104" i="20"/>
  <c r="BA102" i="25" s="1"/>
  <c r="BS90" i="20"/>
  <c r="AP88" i="25" s="1"/>
  <c r="BM103" i="20"/>
  <c r="AJ101" i="25" s="1"/>
  <c r="Q58" i="20"/>
  <c r="G104" i="20"/>
  <c r="H104" i="20" s="1"/>
  <c r="DD212" i="20"/>
  <c r="BH210" i="25" s="1"/>
  <c r="BM115" i="20"/>
  <c r="AJ113" i="25" s="1"/>
  <c r="G204" i="20"/>
  <c r="H204" i="20" s="1"/>
  <c r="DC58" i="20"/>
  <c r="BG56" i="25" s="1"/>
  <c r="BF58" i="25"/>
  <c r="DC60" i="20"/>
  <c r="R60" i="20" s="1"/>
  <c r="H145" i="25"/>
  <c r="X51" i="20"/>
  <c r="AH96" i="20"/>
  <c r="X94" i="25" s="1"/>
  <c r="DC138" i="20"/>
  <c r="BG136" i="25" s="1"/>
  <c r="BS87" i="20"/>
  <c r="AO85" i="25"/>
  <c r="EH209" i="20"/>
  <c r="BS207" i="25" s="1"/>
  <c r="AB125" i="20"/>
  <c r="R123" i="25" s="1"/>
  <c r="BN58" i="20"/>
  <c r="AK56" i="25" s="1"/>
  <c r="BS83" i="20"/>
  <c r="BS175" i="20"/>
  <c r="BT175" i="20" s="1"/>
  <c r="Q175" i="20"/>
  <c r="AO173" i="25"/>
  <c r="DD52" i="20"/>
  <c r="BH50" i="25" s="1"/>
  <c r="BG50" i="25"/>
  <c r="BW220" i="25"/>
  <c r="AI117" i="25"/>
  <c r="P140" i="20"/>
  <c r="AP206" i="25"/>
  <c r="G221" i="25"/>
  <c r="I221" i="25" s="1"/>
  <c r="BR176" i="20"/>
  <c r="BR174" i="20" s="1"/>
  <c r="AO172" i="25" s="1"/>
  <c r="AN174" i="25"/>
  <c r="P176" i="20"/>
  <c r="J175" i="20"/>
  <c r="AH173" i="25"/>
  <c r="BM175" i="20"/>
  <c r="AE194" i="25"/>
  <c r="G194" i="25" s="1"/>
  <c r="I194" i="25" s="1"/>
  <c r="G196" i="20"/>
  <c r="H196" i="20" s="1"/>
  <c r="BG104" i="25"/>
  <c r="DD106" i="20"/>
  <c r="BH104" i="25" s="1"/>
  <c r="AE174" i="25"/>
  <c r="G174" i="25" s="1"/>
  <c r="I174" i="25" s="1"/>
  <c r="G176" i="20"/>
  <c r="H176" i="20" s="1"/>
  <c r="AH217" i="20"/>
  <c r="X215" i="25" s="1"/>
  <c r="AB56" i="20"/>
  <c r="R54" i="25" s="1"/>
  <c r="AB130" i="20"/>
  <c r="R128" i="25" s="1"/>
  <c r="AB77" i="20"/>
  <c r="R75" i="25" s="1"/>
  <c r="BL176" i="20"/>
  <c r="BM176" i="20" s="1"/>
  <c r="AH174" i="25"/>
  <c r="J176" i="20"/>
  <c r="BA58" i="25"/>
  <c r="CX60" i="20"/>
  <c r="BB58" i="25" s="1"/>
  <c r="P106" i="20"/>
  <c r="G192" i="20"/>
  <c r="H192" i="20" s="1"/>
  <c r="BN206" i="20"/>
  <c r="AK204" i="25" s="1"/>
  <c r="Q171" i="20"/>
  <c r="H74" i="25"/>
  <c r="X198" i="20"/>
  <c r="AB206" i="20"/>
  <c r="R204" i="25" s="1"/>
  <c r="AD58" i="20"/>
  <c r="T56" i="25" s="1"/>
  <c r="BK174" i="20"/>
  <c r="AF172" i="25"/>
  <c r="BH174" i="20"/>
  <c r="AE154" i="25"/>
  <c r="G154" i="25" s="1"/>
  <c r="I154" i="25" s="1"/>
  <c r="G156" i="20"/>
  <c r="H156" i="20" s="1"/>
  <c r="BS152" i="20"/>
  <c r="BT152" i="20" s="1"/>
  <c r="AO150" i="25"/>
  <c r="Q152" i="20"/>
  <c r="BL156" i="20"/>
  <c r="AH154" i="25"/>
  <c r="J156" i="20"/>
  <c r="BA203" i="25"/>
  <c r="AJ65" i="25"/>
  <c r="AO169" i="25"/>
  <c r="BS208" i="20"/>
  <c r="AB115" i="20"/>
  <c r="AC115" i="20" s="1"/>
  <c r="S113" i="25" s="1"/>
  <c r="X98" i="20"/>
  <c r="V206" i="25"/>
  <c r="AE150" i="25"/>
  <c r="G150" i="25" s="1"/>
  <c r="I150" i="25" s="1"/>
  <c r="G152" i="20"/>
  <c r="H152" i="20" s="1"/>
  <c r="P224" i="20"/>
  <c r="BR156" i="20"/>
  <c r="AN154" i="25"/>
  <c r="P156" i="20"/>
  <c r="CW136" i="20"/>
  <c r="BM90" i="20"/>
  <c r="AJ88" i="25" s="1"/>
  <c r="BS80" i="25"/>
  <c r="BU120" i="25"/>
  <c r="BU119" i="25" s="1"/>
  <c r="DC141" i="20"/>
  <c r="BG139" i="25" s="1"/>
  <c r="P152" i="20"/>
  <c r="AN150" i="25"/>
  <c r="AZ124" i="25"/>
  <c r="CW126" i="20"/>
  <c r="BI144" i="20"/>
  <c r="BI49" i="20" s="1"/>
  <c r="AE173" i="25"/>
  <c r="G173" i="25" s="1"/>
  <c r="I173" i="25" s="1"/>
  <c r="G175" i="20"/>
  <c r="H175" i="20" s="1"/>
  <c r="BQ63" i="20"/>
  <c r="P221" i="20"/>
  <c r="BT209" i="20"/>
  <c r="AQ207" i="25" s="1"/>
  <c r="AB147" i="20"/>
  <c r="R145" i="25" s="1"/>
  <c r="I220" i="20"/>
  <c r="BL152" i="20"/>
  <c r="J152" i="20"/>
  <c r="AH150" i="25"/>
  <c r="CW128" i="20"/>
  <c r="BA126" i="25" s="1"/>
  <c r="DC122" i="20"/>
  <c r="BG120" i="25" s="1"/>
  <c r="AI173" i="25"/>
  <c r="K175" i="20"/>
  <c r="K192" i="20"/>
  <c r="AI75" i="25"/>
  <c r="BM77" i="20"/>
  <c r="P175" i="20"/>
  <c r="AN173" i="25"/>
  <c r="BQ174" i="20"/>
  <c r="EJ4" i="20"/>
  <c r="EG101" i="20"/>
  <c r="BR99" i="25" s="1"/>
  <c r="I208" i="20"/>
  <c r="G102" i="20"/>
  <c r="H102" i="20" s="1"/>
  <c r="G100" i="25"/>
  <c r="I100" i="25" s="1"/>
  <c r="I218" i="25"/>
  <c r="G103" i="20"/>
  <c r="H103" i="20" s="1"/>
  <c r="P113" i="20"/>
  <c r="X105" i="25"/>
  <c r="P79" i="20"/>
  <c r="G69" i="20"/>
  <c r="H69" i="20" s="1"/>
  <c r="AH78" i="20"/>
  <c r="X76" i="25" s="1"/>
  <c r="AB148" i="20"/>
  <c r="R146" i="25" s="1"/>
  <c r="J138" i="20"/>
  <c r="G67" i="25"/>
  <c r="I67" i="25" s="1"/>
  <c r="P59" i="20"/>
  <c r="X132" i="20"/>
  <c r="AH59" i="20"/>
  <c r="AI59" i="20" s="1"/>
  <c r="O96" i="25"/>
  <c r="X208" i="20"/>
  <c r="J56" i="20"/>
  <c r="V142" i="25"/>
  <c r="Q113" i="25"/>
  <c r="G140" i="20"/>
  <c r="H140" i="20" s="1"/>
  <c r="G138" i="20"/>
  <c r="H138" i="20" s="1"/>
  <c r="H126" i="25"/>
  <c r="H215" i="25"/>
  <c r="AB212" i="20"/>
  <c r="AC212" i="20" s="1"/>
  <c r="AI67" i="20"/>
  <c r="Y65" i="25" s="1"/>
  <c r="AH72" i="20"/>
  <c r="X70" i="25" s="1"/>
  <c r="AA51" i="20"/>
  <c r="I226" i="20"/>
  <c r="J90" i="20"/>
  <c r="G136" i="25"/>
  <c r="I136" i="25" s="1"/>
  <c r="AH88" i="20"/>
  <c r="X86" i="25" s="1"/>
  <c r="J133" i="20"/>
  <c r="AB210" i="20"/>
  <c r="AC210" i="20" s="1"/>
  <c r="S208" i="25" s="1"/>
  <c r="AH215" i="20"/>
  <c r="X213" i="25" s="1"/>
  <c r="X89" i="25"/>
  <c r="BH131" i="25"/>
  <c r="R66" i="25"/>
  <c r="AC68" i="20"/>
  <c r="S66" i="25" s="1"/>
  <c r="EL103" i="20"/>
  <c r="BW101" i="25" s="1"/>
  <c r="BV101" i="25"/>
  <c r="CW58" i="20"/>
  <c r="CX58" i="20" s="1"/>
  <c r="G138" i="25"/>
  <c r="I138" i="25" s="1"/>
  <c r="G209" i="20"/>
  <c r="H209" i="20" s="1"/>
  <c r="AI225" i="25"/>
  <c r="AJ125" i="25"/>
  <c r="H81" i="25"/>
  <c r="AI71" i="20"/>
  <c r="Y69" i="25" s="1"/>
  <c r="AB104" i="20"/>
  <c r="R102" i="25" s="1"/>
  <c r="AH114" i="20"/>
  <c r="X112" i="25" s="1"/>
  <c r="I203" i="20"/>
  <c r="AH126" i="20"/>
  <c r="X124" i="25" s="1"/>
  <c r="X109" i="20"/>
  <c r="CW210" i="20"/>
  <c r="J57" i="20"/>
  <c r="AZ109" i="25"/>
  <c r="BJ144" i="20"/>
  <c r="I144" i="20" s="1"/>
  <c r="AB134" i="20"/>
  <c r="R132" i="25" s="1"/>
  <c r="BF126" i="25"/>
  <c r="DC128" i="20"/>
  <c r="BG126" i="25" s="1"/>
  <c r="CW111" i="20"/>
  <c r="BA109" i="25" s="1"/>
  <c r="BB197" i="25"/>
  <c r="AH80" i="20"/>
  <c r="X78" i="25" s="1"/>
  <c r="CW64" i="20"/>
  <c r="BA62" i="25" s="1"/>
  <c r="AZ62" i="25"/>
  <c r="G118" i="20"/>
  <c r="H118" i="20" s="1"/>
  <c r="AI94" i="20"/>
  <c r="BG144" i="25"/>
  <c r="DC210" i="20"/>
  <c r="BG208" i="25" s="1"/>
  <c r="G89" i="25"/>
  <c r="I89" i="25" s="1"/>
  <c r="H212" i="25"/>
  <c r="O98" i="20"/>
  <c r="G55" i="25"/>
  <c r="I55" i="25" s="1"/>
  <c r="G106" i="20"/>
  <c r="H106" i="20" s="1"/>
  <c r="K100" i="20"/>
  <c r="Q179" i="20"/>
  <c r="BQ132" i="20"/>
  <c r="O198" i="20"/>
  <c r="EH102" i="20"/>
  <c r="BS100" i="25" s="1"/>
  <c r="BM79" i="20"/>
  <c r="AJ77" i="25" s="1"/>
  <c r="AH125" i="20"/>
  <c r="X123" i="25" s="1"/>
  <c r="AH110" i="20"/>
  <c r="X108" i="25" s="1"/>
  <c r="AB90" i="20"/>
  <c r="R88" i="25" s="1"/>
  <c r="AI91" i="20"/>
  <c r="Y89" i="25" s="1"/>
  <c r="AB95" i="20"/>
  <c r="R93" i="25" s="1"/>
  <c r="AH102" i="20"/>
  <c r="X100" i="25" s="1"/>
  <c r="BF62" i="25"/>
  <c r="DC64" i="20"/>
  <c r="DC104" i="20"/>
  <c r="DD146" i="20"/>
  <c r="BF124" i="25"/>
  <c r="DD211" i="20"/>
  <c r="BH209" i="25" s="1"/>
  <c r="P101" i="20"/>
  <c r="G212" i="20"/>
  <c r="H212" i="20" s="1"/>
  <c r="BH197" i="25"/>
  <c r="K58" i="20"/>
  <c r="W99" i="25"/>
  <c r="H213" i="25"/>
  <c r="H75" i="25"/>
  <c r="EG103" i="20"/>
  <c r="BR101" i="25" s="1"/>
  <c r="O206" i="25"/>
  <c r="AZ139" i="25"/>
  <c r="AJ105" i="20"/>
  <c r="Z103" i="25" s="1"/>
  <c r="H94" i="25"/>
  <c r="DD201" i="20"/>
  <c r="BH199" i="25" s="1"/>
  <c r="W104" i="25"/>
  <c r="G57" i="20"/>
  <c r="H57" i="20" s="1"/>
  <c r="Q99" i="25"/>
  <c r="BN61" i="20"/>
  <c r="AK59" i="25" s="1"/>
  <c r="P80" i="20"/>
  <c r="I198" i="20"/>
  <c r="G220" i="25"/>
  <c r="I220" i="25" s="1"/>
  <c r="BF138" i="25"/>
  <c r="DC140" i="20"/>
  <c r="BG138" i="25" s="1"/>
  <c r="AO90" i="25"/>
  <c r="BS92" i="20"/>
  <c r="AP90" i="25" s="1"/>
  <c r="BM92" i="20"/>
  <c r="AJ90" i="25" s="1"/>
  <c r="AI90" i="25"/>
  <c r="DC126" i="20"/>
  <c r="H100" i="25"/>
  <c r="AI93" i="20"/>
  <c r="Y91" i="25" s="1"/>
  <c r="BG131" i="25"/>
  <c r="AH66" i="20"/>
  <c r="X64" i="25" s="1"/>
  <c r="J87" i="20"/>
  <c r="AZ56" i="25"/>
  <c r="BK51" i="20"/>
  <c r="J82" i="20"/>
  <c r="AY206" i="25"/>
  <c r="P122" i="20"/>
  <c r="EG107" i="20"/>
  <c r="BR105" i="25" s="1"/>
  <c r="AB91" i="20"/>
  <c r="R89" i="25" s="1"/>
  <c r="CW141" i="20"/>
  <c r="BA139" i="25" s="1"/>
  <c r="BA197" i="25"/>
  <c r="AO227" i="25"/>
  <c r="BS229" i="20"/>
  <c r="AP227" i="25" s="1"/>
  <c r="BF109" i="25"/>
  <c r="DC111" i="20"/>
  <c r="DD111" i="20" s="1"/>
  <c r="BH109" i="25" s="1"/>
  <c r="R211" i="25"/>
  <c r="K213" i="20"/>
  <c r="Y58" i="25"/>
  <c r="R65" i="25"/>
  <c r="AC67" i="20"/>
  <c r="S65" i="25" s="1"/>
  <c r="K67" i="20"/>
  <c r="X140" i="25"/>
  <c r="AI199" i="20"/>
  <c r="Y197" i="25" s="1"/>
  <c r="H210" i="25"/>
  <c r="O226" i="20"/>
  <c r="G82" i="20"/>
  <c r="H82" i="20" s="1"/>
  <c r="AI145" i="20"/>
  <c r="Y143" i="25" s="1"/>
  <c r="X75" i="20"/>
  <c r="H71" i="25"/>
  <c r="AB124" i="20"/>
  <c r="R122" i="25" s="1"/>
  <c r="J137" i="20"/>
  <c r="H79" i="25"/>
  <c r="J83" i="20"/>
  <c r="P76" i="20"/>
  <c r="AI205" i="20"/>
  <c r="Y203" i="25" s="1"/>
  <c r="AG4" i="20"/>
  <c r="Z49" i="20"/>
  <c r="Z5" i="20" s="1"/>
  <c r="P110" i="20"/>
  <c r="J72" i="20"/>
  <c r="AA98" i="20"/>
  <c r="O3" i="25"/>
  <c r="AB128" i="20"/>
  <c r="R126" i="25" s="1"/>
  <c r="I63" i="20"/>
  <c r="G112" i="25"/>
  <c r="I112" i="25" s="1"/>
  <c r="P137" i="20"/>
  <c r="AG98" i="20"/>
  <c r="H52" i="25"/>
  <c r="J199" i="20"/>
  <c r="I201" i="25"/>
  <c r="G116" i="25"/>
  <c r="I116" i="25" s="1"/>
  <c r="P82" i="20"/>
  <c r="P104" i="20"/>
  <c r="P102" i="20"/>
  <c r="G89" i="20"/>
  <c r="H89" i="20" s="1"/>
  <c r="J114" i="20"/>
  <c r="J140" i="20"/>
  <c r="P88" i="20"/>
  <c r="J139" i="20"/>
  <c r="P83" i="20"/>
  <c r="J76" i="20"/>
  <c r="H220" i="25"/>
  <c r="AH123" i="20"/>
  <c r="X121" i="25" s="1"/>
  <c r="AB78" i="20"/>
  <c r="R76" i="25" s="1"/>
  <c r="AI136" i="20"/>
  <c r="Y134" i="25" s="1"/>
  <c r="AG109" i="20"/>
  <c r="AH82" i="20"/>
  <c r="AI82" i="20" s="1"/>
  <c r="Y80" i="25" s="1"/>
  <c r="AB140" i="20"/>
  <c r="AB57" i="20"/>
  <c r="AC87" i="20"/>
  <c r="AD87" i="20" s="1"/>
  <c r="AH148" i="20"/>
  <c r="X146" i="25" s="1"/>
  <c r="P90" i="20"/>
  <c r="G72" i="20"/>
  <c r="H72" i="20" s="1"/>
  <c r="P114" i="20"/>
  <c r="K92" i="20"/>
  <c r="G67" i="20"/>
  <c r="H67" i="20" s="1"/>
  <c r="G59" i="20"/>
  <c r="H59" i="20" s="1"/>
  <c r="AC213" i="20"/>
  <c r="S211" i="25" s="1"/>
  <c r="N142" i="25"/>
  <c r="V107" i="25"/>
  <c r="J88" i="20"/>
  <c r="J212" i="20"/>
  <c r="Y219" i="25"/>
  <c r="G119" i="20"/>
  <c r="H119" i="20" s="1"/>
  <c r="G65" i="25"/>
  <c r="I65" i="25" s="1"/>
  <c r="G57" i="25"/>
  <c r="I57" i="25" s="1"/>
  <c r="AB127" i="20"/>
  <c r="R125" i="25" s="1"/>
  <c r="AH104" i="20"/>
  <c r="X102" i="25" s="1"/>
  <c r="AB82" i="20"/>
  <c r="P3" i="25"/>
  <c r="X144" i="20"/>
  <c r="AH137" i="20"/>
  <c r="X135" i="25" s="1"/>
  <c r="G114" i="20"/>
  <c r="H114" i="20" s="1"/>
  <c r="O130" i="25"/>
  <c r="AH77" i="20"/>
  <c r="X75" i="25" s="1"/>
  <c r="J128" i="20"/>
  <c r="G70" i="25"/>
  <c r="I70" i="25" s="1"/>
  <c r="P111" i="20"/>
  <c r="P72" i="20"/>
  <c r="G91" i="20"/>
  <c r="H91" i="20" s="1"/>
  <c r="G117" i="25"/>
  <c r="I117" i="25" s="1"/>
  <c r="P57" i="20"/>
  <c r="P107" i="25"/>
  <c r="I107" i="25" s="1"/>
  <c r="AH133" i="20"/>
  <c r="X131" i="25" s="1"/>
  <c r="AB119" i="20"/>
  <c r="AC119" i="20" s="1"/>
  <c r="S117" i="25" s="1"/>
  <c r="X87" i="25"/>
  <c r="Q89" i="20"/>
  <c r="AI89" i="20"/>
  <c r="Y87" i="25" s="1"/>
  <c r="S74" i="25"/>
  <c r="AD76" i="20"/>
  <c r="S58" i="25"/>
  <c r="L60" i="20"/>
  <c r="R203" i="25"/>
  <c r="K205" i="20"/>
  <c r="AC205" i="20"/>
  <c r="AD205" i="20" s="1"/>
  <c r="T203" i="25" s="1"/>
  <c r="Y105" i="25"/>
  <c r="AJ107" i="20"/>
  <c r="Z105" i="25" s="1"/>
  <c r="R131" i="25"/>
  <c r="AC133" i="20"/>
  <c r="AD133" i="20" s="1"/>
  <c r="X74" i="25"/>
  <c r="Q62" i="25"/>
  <c r="AA63" i="20"/>
  <c r="J64" i="20"/>
  <c r="Q69" i="25"/>
  <c r="J71" i="20"/>
  <c r="Q91" i="25"/>
  <c r="J93" i="20"/>
  <c r="X134" i="25"/>
  <c r="Q136" i="20"/>
  <c r="H76" i="25"/>
  <c r="Y229" i="25"/>
  <c r="AJ231" i="20"/>
  <c r="Z229" i="25" s="1"/>
  <c r="W65" i="25"/>
  <c r="P67" i="20"/>
  <c r="AB102" i="20"/>
  <c r="Q100" i="25"/>
  <c r="R197" i="25"/>
  <c r="AH69" i="20"/>
  <c r="AI69" i="20" s="1"/>
  <c r="Y67" i="25" s="1"/>
  <c r="X86" i="20"/>
  <c r="AG51" i="20"/>
  <c r="P118" i="20"/>
  <c r="AA226" i="20"/>
  <c r="G111" i="20"/>
  <c r="H111" i="20" s="1"/>
  <c r="G139" i="20"/>
  <c r="H139" i="20" s="1"/>
  <c r="H199" i="25"/>
  <c r="H82" i="25"/>
  <c r="G50" i="25"/>
  <c r="I50" i="25" s="1"/>
  <c r="W63" i="25"/>
  <c r="P65" i="20"/>
  <c r="AB81" i="20"/>
  <c r="R79" i="25" s="1"/>
  <c r="AH83" i="20"/>
  <c r="AI83" i="20" s="1"/>
  <c r="Y81" i="25" s="1"/>
  <c r="Q134" i="25"/>
  <c r="J136" i="20"/>
  <c r="AH201" i="20"/>
  <c r="AI201" i="20" s="1"/>
  <c r="Y199" i="25" s="1"/>
  <c r="AB204" i="20"/>
  <c r="Q140" i="25"/>
  <c r="J142" i="20"/>
  <c r="AH209" i="20"/>
  <c r="W207" i="25"/>
  <c r="AI213" i="20"/>
  <c r="AJ213" i="20" s="1"/>
  <c r="AI119" i="20"/>
  <c r="AJ119" i="20" s="1"/>
  <c r="AB112" i="20"/>
  <c r="AC112" i="20" s="1"/>
  <c r="S110" i="25" s="1"/>
  <c r="W220" i="25"/>
  <c r="AG220" i="20"/>
  <c r="AB70" i="20"/>
  <c r="AC70" i="20" s="1"/>
  <c r="AH138" i="20"/>
  <c r="AI138" i="20" s="1"/>
  <c r="W90" i="25"/>
  <c r="P92" i="20"/>
  <c r="AH206" i="20"/>
  <c r="X204" i="25" s="1"/>
  <c r="O84" i="25"/>
  <c r="AB72" i="20"/>
  <c r="AB59" i="20"/>
  <c r="AC59" i="20" s="1"/>
  <c r="S57" i="25" s="1"/>
  <c r="AB96" i="20"/>
  <c r="AI216" i="20"/>
  <c r="J111" i="20"/>
  <c r="N140" i="25"/>
  <c r="G140" i="25" s="1"/>
  <c r="I140" i="25" s="1"/>
  <c r="G142" i="20"/>
  <c r="H142" i="20" s="1"/>
  <c r="AI65" i="20"/>
  <c r="AJ65" i="20" s="1"/>
  <c r="Z63" i="25" s="1"/>
  <c r="AH212" i="20"/>
  <c r="AI212" i="20" s="1"/>
  <c r="Y210" i="25" s="1"/>
  <c r="W210" i="25"/>
  <c r="AB229" i="20"/>
  <c r="K229" i="20" s="1"/>
  <c r="AH204" i="20"/>
  <c r="W133" i="25"/>
  <c r="P135" i="20"/>
  <c r="AB93" i="20"/>
  <c r="AC93" i="20" s="1"/>
  <c r="J99" i="20"/>
  <c r="G137" i="25"/>
  <c r="I137" i="25" s="1"/>
  <c r="H97" i="25"/>
  <c r="Q120" i="25"/>
  <c r="Q119" i="25" s="1"/>
  <c r="AA121" i="20"/>
  <c r="Q58" i="25"/>
  <c r="J60" i="20"/>
  <c r="AH124" i="20"/>
  <c r="Q87" i="25"/>
  <c r="J89" i="20"/>
  <c r="N133" i="25"/>
  <c r="G133" i="25" s="1"/>
  <c r="I133" i="25" s="1"/>
  <c r="G135" i="20"/>
  <c r="H135" i="20" s="1"/>
  <c r="AB71" i="20"/>
  <c r="AC71" i="20" s="1"/>
  <c r="P130" i="25"/>
  <c r="I130" i="25" s="1"/>
  <c r="AH73" i="20"/>
  <c r="X71" i="25" s="1"/>
  <c r="AB99" i="20"/>
  <c r="AC99" i="20" s="1"/>
  <c r="AI68" i="20"/>
  <c r="Y66" i="25" s="1"/>
  <c r="AH200" i="20"/>
  <c r="X198" i="25" s="1"/>
  <c r="AB137" i="20"/>
  <c r="AC137" i="20" s="1"/>
  <c r="AC142" i="20"/>
  <c r="AD142" i="20" s="1"/>
  <c r="T140" i="25" s="1"/>
  <c r="AH57" i="20"/>
  <c r="Q57" i="20" s="1"/>
  <c r="N110" i="25"/>
  <c r="G110" i="25" s="1"/>
  <c r="I110" i="25" s="1"/>
  <c r="G112" i="20"/>
  <c r="H112" i="20" s="1"/>
  <c r="Q220" i="25"/>
  <c r="AB222" i="20"/>
  <c r="AA220" i="20"/>
  <c r="AH64" i="20"/>
  <c r="AI64" i="20" s="1"/>
  <c r="Q197" i="25"/>
  <c r="Q196" i="25" s="1"/>
  <c r="AA198" i="20"/>
  <c r="AH92" i="20"/>
  <c r="AH95" i="20"/>
  <c r="AA75" i="20"/>
  <c r="Q74" i="25"/>
  <c r="Q73" i="25" s="1"/>
  <c r="Q50" i="25"/>
  <c r="J52" i="20"/>
  <c r="Q133" i="25"/>
  <c r="J135" i="20"/>
  <c r="AH141" i="20"/>
  <c r="X139" i="25" s="1"/>
  <c r="W139" i="25"/>
  <c r="J113" i="20"/>
  <c r="AB111" i="20"/>
  <c r="R109" i="25" s="1"/>
  <c r="AJ229" i="20"/>
  <c r="Z227" i="25" s="1"/>
  <c r="W227" i="25"/>
  <c r="W224" i="25" s="1"/>
  <c r="P229" i="20"/>
  <c r="G88" i="25"/>
  <c r="I88" i="25" s="1"/>
  <c r="V49" i="25"/>
  <c r="AH134" i="20"/>
  <c r="X132" i="25" s="1"/>
  <c r="X65" i="25"/>
  <c r="Q67" i="20"/>
  <c r="AH118" i="20"/>
  <c r="H131" i="25"/>
  <c r="W67" i="25"/>
  <c r="P69" i="20"/>
  <c r="O73" i="25"/>
  <c r="X203" i="20"/>
  <c r="X211" i="25"/>
  <c r="Q213" i="20"/>
  <c r="W110" i="25"/>
  <c r="P112" i="20"/>
  <c r="AH129" i="20"/>
  <c r="AB64" i="20"/>
  <c r="AC64" i="20" s="1"/>
  <c r="W68" i="25"/>
  <c r="P70" i="20"/>
  <c r="P61" i="25"/>
  <c r="AB217" i="20"/>
  <c r="R215" i="25" s="1"/>
  <c r="G137" i="20"/>
  <c r="H137" i="20" s="1"/>
  <c r="G135" i="25"/>
  <c r="I135" i="25" s="1"/>
  <c r="AG226" i="20"/>
  <c r="G87" i="20"/>
  <c r="H87" i="20" s="1"/>
  <c r="G95" i="20"/>
  <c r="H95" i="20" s="1"/>
  <c r="Q224" i="25"/>
  <c r="G109" i="25"/>
  <c r="I109" i="25" s="1"/>
  <c r="O107" i="25"/>
  <c r="AH210" i="20"/>
  <c r="X208" i="25" s="1"/>
  <c r="G107" i="20"/>
  <c r="H107" i="20" s="1"/>
  <c r="G93" i="25"/>
  <c r="I93" i="25" s="1"/>
  <c r="AG208" i="20"/>
  <c r="G115" i="20"/>
  <c r="H115" i="20" s="1"/>
  <c r="AJ53" i="20"/>
  <c r="Z51" i="25" s="1"/>
  <c r="G210" i="25"/>
  <c r="I210" i="25" s="1"/>
  <c r="P212" i="20"/>
  <c r="P139" i="20"/>
  <c r="AB123" i="20"/>
  <c r="AB122" i="20"/>
  <c r="W58" i="25"/>
  <c r="P60" i="20"/>
  <c r="AH224" i="20"/>
  <c r="AI224" i="20" s="1"/>
  <c r="Y222" i="25" s="1"/>
  <c r="AH84" i="20"/>
  <c r="AH81" i="20"/>
  <c r="Q81" i="20" s="1"/>
  <c r="AH111" i="20"/>
  <c r="AB110" i="20"/>
  <c r="Q108" i="25"/>
  <c r="AB73" i="20"/>
  <c r="AB200" i="20"/>
  <c r="O201" i="25"/>
  <c r="H201" i="25" s="1"/>
  <c r="AD94" i="20"/>
  <c r="AB113" i="20"/>
  <c r="W140" i="25"/>
  <c r="P142" i="20"/>
  <c r="AB209" i="20"/>
  <c r="K209" i="20" s="1"/>
  <c r="Q207" i="25"/>
  <c r="AH90" i="20"/>
  <c r="AI90" i="20" s="1"/>
  <c r="Y88" i="25" s="1"/>
  <c r="Q211" i="25"/>
  <c r="J213" i="20"/>
  <c r="AB114" i="20"/>
  <c r="AH147" i="20"/>
  <c r="X145" i="25" s="1"/>
  <c r="W117" i="25"/>
  <c r="P119" i="20"/>
  <c r="J223" i="20"/>
  <c r="AB223" i="20"/>
  <c r="Q221" i="25"/>
  <c r="AH222" i="20"/>
  <c r="AH70" i="20"/>
  <c r="AI70" i="20" s="1"/>
  <c r="AB138" i="20"/>
  <c r="V62" i="25"/>
  <c r="AF63" i="20"/>
  <c r="X63" i="20" s="1"/>
  <c r="O64" i="20"/>
  <c r="AF4" i="20"/>
  <c r="Q90" i="25"/>
  <c r="J92" i="20"/>
  <c r="AA86" i="20"/>
  <c r="Q85" i="25"/>
  <c r="X220" i="20"/>
  <c r="N68" i="25"/>
  <c r="G68" i="25" s="1"/>
  <c r="I68" i="25" s="1"/>
  <c r="G70" i="20"/>
  <c r="H70" i="20" s="1"/>
  <c r="G90" i="20"/>
  <c r="H90" i="20" s="1"/>
  <c r="AH52" i="20"/>
  <c r="AI52" i="20" s="1"/>
  <c r="AJ52" i="20" s="1"/>
  <c r="P115" i="20"/>
  <c r="P141" i="20"/>
  <c r="N119" i="25"/>
  <c r="W134" i="25"/>
  <c r="P136" i="20"/>
  <c r="Q67" i="25"/>
  <c r="J69" i="20"/>
  <c r="AH115" i="20"/>
  <c r="W113" i="25"/>
  <c r="J229" i="20"/>
  <c r="Q229" i="20"/>
  <c r="W120" i="25"/>
  <c r="W119" i="25" s="1"/>
  <c r="AG121" i="20"/>
  <c r="W131" i="25"/>
  <c r="AG132" i="20"/>
  <c r="G133" i="20"/>
  <c r="H133" i="20" s="1"/>
  <c r="O224" i="25"/>
  <c r="G110" i="20"/>
  <c r="H110" i="20" s="1"/>
  <c r="G68" i="20"/>
  <c r="H68" i="20" s="1"/>
  <c r="P210" i="20"/>
  <c r="O208" i="20"/>
  <c r="N63" i="25"/>
  <c r="G63" i="25" s="1"/>
  <c r="I63" i="25" s="1"/>
  <c r="G65" i="20"/>
  <c r="H65" i="20" s="1"/>
  <c r="AD60" i="20"/>
  <c r="W143" i="25"/>
  <c r="W142" i="25" s="1"/>
  <c r="AG144" i="20"/>
  <c r="AB83" i="20"/>
  <c r="AB136" i="20"/>
  <c r="W66" i="25"/>
  <c r="P68" i="20"/>
  <c r="AH113" i="20"/>
  <c r="AB88" i="20"/>
  <c r="R86" i="25" s="1"/>
  <c r="W211" i="25"/>
  <c r="P213" i="20"/>
  <c r="Q65" i="25"/>
  <c r="J67" i="20"/>
  <c r="N62" i="25"/>
  <c r="G64" i="20"/>
  <c r="H64" i="20" s="1"/>
  <c r="N196" i="25"/>
  <c r="N90" i="25"/>
  <c r="G90" i="25" s="1"/>
  <c r="I90" i="25" s="1"/>
  <c r="G92" i="20"/>
  <c r="H92" i="20" s="1"/>
  <c r="AH139" i="20"/>
  <c r="AI139" i="20" s="1"/>
  <c r="AB215" i="20"/>
  <c r="W74" i="25"/>
  <c r="W73" i="25" s="1"/>
  <c r="AG75" i="20"/>
  <c r="P84" i="25"/>
  <c r="I84" i="25" s="1"/>
  <c r="R74" i="25"/>
  <c r="AB214" i="20"/>
  <c r="R212" i="25" s="1"/>
  <c r="Q212" i="25"/>
  <c r="W50" i="25"/>
  <c r="P52" i="20"/>
  <c r="H64" i="25"/>
  <c r="N69" i="25"/>
  <c r="G69" i="25" s="1"/>
  <c r="I69" i="25" s="1"/>
  <c r="G71" i="20"/>
  <c r="H71" i="20" s="1"/>
  <c r="AH130" i="20"/>
  <c r="X128" i="25" s="1"/>
  <c r="W62" i="25"/>
  <c r="AG63" i="20"/>
  <c r="P64" i="20"/>
  <c r="Q63" i="25"/>
  <c r="J65" i="20"/>
  <c r="N203" i="25"/>
  <c r="G205" i="20"/>
  <c r="H205" i="20" s="1"/>
  <c r="R85" i="25"/>
  <c r="N92" i="25"/>
  <c r="G92" i="25" s="1"/>
  <c r="I92" i="25" s="1"/>
  <c r="G94" i="20"/>
  <c r="H94" i="20" s="1"/>
  <c r="AC92" i="20"/>
  <c r="AD92" i="20" s="1"/>
  <c r="J79" i="20"/>
  <c r="AA109" i="20"/>
  <c r="G52" i="20"/>
  <c r="H52" i="20" s="1"/>
  <c r="AH226" i="20"/>
  <c r="P138" i="20"/>
  <c r="T209" i="25"/>
  <c r="J118" i="20"/>
  <c r="G113" i="20"/>
  <c r="H113" i="20" s="1"/>
  <c r="G66" i="25"/>
  <c r="I66" i="25" s="1"/>
  <c r="H132" i="25"/>
  <c r="J59" i="20"/>
  <c r="H78" i="25"/>
  <c r="G145" i="20"/>
  <c r="H145" i="20" s="1"/>
  <c r="G148" i="20"/>
  <c r="H148" i="20" s="1"/>
  <c r="Q93" i="20"/>
  <c r="AJ60" i="20"/>
  <c r="AB84" i="20"/>
  <c r="R82" i="25" s="1"/>
  <c r="Q143" i="25"/>
  <c r="Q142" i="25" s="1"/>
  <c r="AA144" i="20"/>
  <c r="AB66" i="20"/>
  <c r="N134" i="25"/>
  <c r="G134" i="25" s="1"/>
  <c r="I134" i="25" s="1"/>
  <c r="G136" i="20"/>
  <c r="H136" i="20" s="1"/>
  <c r="AH127" i="20"/>
  <c r="AH128" i="20"/>
  <c r="Q203" i="25"/>
  <c r="J205" i="20"/>
  <c r="AH99" i="20"/>
  <c r="Q131" i="25"/>
  <c r="AA132" i="20"/>
  <c r="N211" i="25"/>
  <c r="G211" i="25" s="1"/>
  <c r="I211" i="25" s="1"/>
  <c r="G213" i="20"/>
  <c r="H213" i="20" s="1"/>
  <c r="AH56" i="20"/>
  <c r="X54" i="25" s="1"/>
  <c r="AB129" i="20"/>
  <c r="R127" i="25" s="1"/>
  <c r="W221" i="25"/>
  <c r="P223" i="20"/>
  <c r="O61" i="25"/>
  <c r="H62" i="25"/>
  <c r="O196" i="25"/>
  <c r="Q89" i="25"/>
  <c r="J91" i="20"/>
  <c r="AB139" i="20"/>
  <c r="R137" i="25" s="1"/>
  <c r="AB118" i="20"/>
  <c r="R116" i="25" s="1"/>
  <c r="O218" i="25"/>
  <c r="V130" i="25"/>
  <c r="N58" i="25"/>
  <c r="G58" i="25" s="1"/>
  <c r="I58" i="25" s="1"/>
  <c r="G60" i="20"/>
  <c r="H60" i="20" s="1"/>
  <c r="X203" i="25"/>
  <c r="Q110" i="25"/>
  <c r="J112" i="20"/>
  <c r="X197" i="25"/>
  <c r="AC89" i="20"/>
  <c r="S87" i="25" s="1"/>
  <c r="O49" i="25"/>
  <c r="I49" i="25"/>
  <c r="O119" i="25"/>
  <c r="W203" i="25"/>
  <c r="P205" i="20"/>
  <c r="W202" i="25"/>
  <c r="AG203" i="20"/>
  <c r="AG198" i="20"/>
  <c r="W197" i="25"/>
  <c r="W196" i="25" s="1"/>
  <c r="AC69" i="20"/>
  <c r="S67" i="25" s="1"/>
  <c r="N73" i="25"/>
  <c r="AA208" i="20"/>
  <c r="G224" i="20"/>
  <c r="H224" i="20" s="1"/>
  <c r="R58" i="25"/>
  <c r="K60" i="20"/>
  <c r="Q202" i="25"/>
  <c r="AA203" i="20"/>
  <c r="Q117" i="25"/>
  <c r="J119" i="20"/>
  <c r="AI112" i="20"/>
  <c r="Q68" i="25"/>
  <c r="J70" i="20"/>
  <c r="AB79" i="20"/>
  <c r="R77" i="25" s="1"/>
  <c r="V84" i="25"/>
  <c r="X4" i="20"/>
  <c r="AB65" i="20"/>
  <c r="W87" i="25"/>
  <c r="P89" i="20"/>
  <c r="AH135" i="20"/>
  <c r="G116" i="20"/>
  <c r="H116" i="20" s="1"/>
  <c r="Q112" i="20"/>
  <c r="G93" i="20"/>
  <c r="H93" i="20" s="1"/>
  <c r="G141" i="20"/>
  <c r="H141" i="20" s="1"/>
  <c r="X227" i="25"/>
  <c r="Y49" i="20"/>
  <c r="Y5" i="20" s="1"/>
  <c r="J104" i="20"/>
  <c r="G111" i="25"/>
  <c r="I111" i="25" s="1"/>
  <c r="Q65" i="20"/>
  <c r="AH122" i="20"/>
  <c r="AI122" i="20" s="1"/>
  <c r="X58" i="25"/>
  <c r="Q60" i="20"/>
  <c r="J224" i="20"/>
  <c r="AB224" i="20"/>
  <c r="AC224" i="20" s="1"/>
  <c r="Q222" i="25"/>
  <c r="O142" i="25"/>
  <c r="AB135" i="20"/>
  <c r="AC135" i="20" s="1"/>
  <c r="W69" i="25"/>
  <c r="P71" i="20"/>
  <c r="Q66" i="25"/>
  <c r="J68" i="20"/>
  <c r="AI142" i="20"/>
  <c r="AJ142" i="20" s="1"/>
  <c r="AB80" i="20"/>
  <c r="N54" i="25"/>
  <c r="G54" i="25" s="1"/>
  <c r="I54" i="25" s="1"/>
  <c r="G56" i="20"/>
  <c r="H56" i="20" s="1"/>
  <c r="AH223" i="20"/>
  <c r="AC141" i="20"/>
  <c r="S139" i="25" s="1"/>
  <c r="Q139" i="25"/>
  <c r="W89" i="25"/>
  <c r="P91" i="20"/>
  <c r="W85" i="25"/>
  <c r="AG86" i="20"/>
  <c r="AI76" i="20"/>
  <c r="AB126" i="20"/>
  <c r="AH214" i="20"/>
  <c r="AI214" i="20" s="1"/>
  <c r="Y212" i="25" s="1"/>
  <c r="AB54" i="20"/>
  <c r="R52" i="25" s="1"/>
  <c r="W91" i="25"/>
  <c r="P93" i="20"/>
  <c r="AB52" i="20"/>
  <c r="R171" i="20"/>
  <c r="AP169" i="25"/>
  <c r="R192" i="20"/>
  <c r="BT192" i="20"/>
  <c r="AQ190" i="25" s="1"/>
  <c r="G223" i="20"/>
  <c r="H223" i="20" s="1"/>
  <c r="AK54" i="25"/>
  <c r="AJ126" i="25"/>
  <c r="BN128" i="20"/>
  <c r="AK126" i="25" s="1"/>
  <c r="BN167" i="20"/>
  <c r="L167" i="20"/>
  <c r="AJ165" i="25"/>
  <c r="AI149" i="25"/>
  <c r="K151" i="20"/>
  <c r="AK169" i="25"/>
  <c r="M171" i="20"/>
  <c r="BR220" i="20"/>
  <c r="AM3" i="25"/>
  <c r="AO54" i="25"/>
  <c r="BS56" i="20"/>
  <c r="BT56" i="20" s="1"/>
  <c r="AE149" i="25"/>
  <c r="G151" i="20"/>
  <c r="H151" i="20" s="1"/>
  <c r="AH170" i="25"/>
  <c r="J172" i="20"/>
  <c r="BL172" i="20"/>
  <c r="AO221" i="25"/>
  <c r="AO218" i="25" s="1"/>
  <c r="BT223" i="20"/>
  <c r="AQ221" i="25" s="1"/>
  <c r="BS206" i="20"/>
  <c r="AP204" i="25" s="1"/>
  <c r="BR151" i="20"/>
  <c r="AN149" i="25"/>
  <c r="P151" i="20"/>
  <c r="BK150" i="20"/>
  <c r="AH148" i="25" s="1"/>
  <c r="BH150" i="20"/>
  <c r="BR172" i="20"/>
  <c r="BS172" i="20" s="1"/>
  <c r="AN170" i="25"/>
  <c r="P172" i="20"/>
  <c r="BQ170" i="20"/>
  <c r="BN101" i="20"/>
  <c r="AK99" i="25" s="1"/>
  <c r="BQ86" i="20"/>
  <c r="AJ54" i="25"/>
  <c r="AG142" i="25"/>
  <c r="BK170" i="20"/>
  <c r="BL170" i="20" s="1"/>
  <c r="BH170" i="20"/>
  <c r="BQ4" i="20"/>
  <c r="BM151" i="20"/>
  <c r="BN151" i="20" s="1"/>
  <c r="AJ221" i="25"/>
  <c r="BN223" i="20"/>
  <c r="AK221" i="25" s="1"/>
  <c r="BT57" i="20"/>
  <c r="AP55" i="25"/>
  <c r="BL73" i="20"/>
  <c r="BM73" i="20" s="1"/>
  <c r="AJ71" i="25" s="1"/>
  <c r="BT129" i="20"/>
  <c r="AQ127" i="25" s="1"/>
  <c r="BR195" i="20"/>
  <c r="Q195" i="20" s="1"/>
  <c r="AO55" i="25"/>
  <c r="BT79" i="20"/>
  <c r="AQ77" i="25" s="1"/>
  <c r="J151" i="20"/>
  <c r="AH149" i="25"/>
  <c r="BL158" i="20"/>
  <c r="AI156" i="25" s="1"/>
  <c r="BM187" i="20"/>
  <c r="BN187" i="20" s="1"/>
  <c r="H149" i="25"/>
  <c r="AF142" i="25"/>
  <c r="AE218" i="25"/>
  <c r="L191" i="20"/>
  <c r="BS117" i="20"/>
  <c r="AF49" i="25"/>
  <c r="BN122" i="20"/>
  <c r="AK120" i="25" s="1"/>
  <c r="AJ120" i="25"/>
  <c r="G172" i="20"/>
  <c r="H172" i="20" s="1"/>
  <c r="AE170" i="25"/>
  <c r="G170" i="25" s="1"/>
  <c r="I170" i="25" s="1"/>
  <c r="BT171" i="20"/>
  <c r="BN218" i="25"/>
  <c r="G210" i="20"/>
  <c r="H210" i="20" s="1"/>
  <c r="EM82" i="20"/>
  <c r="BX80" i="25" s="1"/>
  <c r="G216" i="20"/>
  <c r="H216" i="20" s="1"/>
  <c r="P99" i="20"/>
  <c r="P126" i="20"/>
  <c r="G214" i="25"/>
  <c r="I214" i="25" s="1"/>
  <c r="EG229" i="20"/>
  <c r="BR227" i="25" s="1"/>
  <c r="BO96" i="25"/>
  <c r="I96" i="25" s="1"/>
  <c r="G221" i="20"/>
  <c r="H221" i="20" s="1"/>
  <c r="EH223" i="20"/>
  <c r="BS221" i="25" s="1"/>
  <c r="EL122" i="20"/>
  <c r="BW120" i="25" s="1"/>
  <c r="EL126" i="20"/>
  <c r="EM126" i="20" s="1"/>
  <c r="BX124" i="25" s="1"/>
  <c r="EB220" i="20"/>
  <c r="G105" i="20"/>
  <c r="H105" i="20" s="1"/>
  <c r="BU96" i="25"/>
  <c r="G103" i="25"/>
  <c r="I103" i="25" s="1"/>
  <c r="G222" i="20"/>
  <c r="H222" i="20" s="1"/>
  <c r="P123" i="20"/>
  <c r="EH145" i="20"/>
  <c r="BS143" i="25" s="1"/>
  <c r="EC49" i="20"/>
  <c r="EC5" i="20" s="1"/>
  <c r="EL123" i="20"/>
  <c r="EM123" i="20" s="1"/>
  <c r="BX121" i="25" s="1"/>
  <c r="BQ97" i="25"/>
  <c r="P227" i="20"/>
  <c r="EG106" i="20"/>
  <c r="BR104" i="25" s="1"/>
  <c r="EN106" i="20"/>
  <c r="BY104" i="25" s="1"/>
  <c r="EB75" i="20"/>
  <c r="P128" i="20"/>
  <c r="BU224" i="25"/>
  <c r="EK98" i="20"/>
  <c r="EL129" i="20"/>
  <c r="EM129" i="20" s="1"/>
  <c r="BX127" i="25" s="1"/>
  <c r="BN96" i="25"/>
  <c r="P129" i="20"/>
  <c r="BQ219" i="25"/>
  <c r="BW79" i="25"/>
  <c r="EG78" i="20"/>
  <c r="EG124" i="20" s="1"/>
  <c r="BR122" i="25" s="1"/>
  <c r="EF199" i="20"/>
  <c r="EG199" i="20" s="1"/>
  <c r="BP103" i="25"/>
  <c r="EF105" i="20"/>
  <c r="H103" i="25"/>
  <c r="BO142" i="25"/>
  <c r="EB208" i="20"/>
  <c r="EM200" i="20"/>
  <c r="BX198" i="25" s="1"/>
  <c r="EG221" i="20"/>
  <c r="EE144" i="20"/>
  <c r="G80" i="20"/>
  <c r="H80" i="20" s="1"/>
  <c r="EN101" i="20"/>
  <c r="BY99" i="25" s="1"/>
  <c r="G78" i="25"/>
  <c r="I78" i="25" s="1"/>
  <c r="J210" i="20"/>
  <c r="G83" i="20"/>
  <c r="H83" i="20" s="1"/>
  <c r="P199" i="20"/>
  <c r="EF125" i="20"/>
  <c r="BQ123" i="25" s="1"/>
  <c r="G81" i="25"/>
  <c r="I81" i="25" s="1"/>
  <c r="G199" i="20"/>
  <c r="H199" i="20" s="1"/>
  <c r="H219" i="25"/>
  <c r="BV103" i="25"/>
  <c r="EL105" i="20"/>
  <c r="BQ77" i="25"/>
  <c r="EG201" i="20"/>
  <c r="EH201" i="20" s="1"/>
  <c r="BS199" i="25" s="1"/>
  <c r="BQ212" i="25"/>
  <c r="EH79" i="20"/>
  <c r="BR77" i="25"/>
  <c r="EG125" i="20"/>
  <c r="BR123" i="25" s="1"/>
  <c r="BW228" i="25"/>
  <c r="BQ229" i="25"/>
  <c r="EG231" i="20"/>
  <c r="EH231" i="20" s="1"/>
  <c r="BU201" i="25"/>
  <c r="EL128" i="20"/>
  <c r="EM128" i="20" s="1"/>
  <c r="BX126" i="25" s="1"/>
  <c r="G227" i="20"/>
  <c r="H227" i="20" s="1"/>
  <c r="BO196" i="25"/>
  <c r="I196" i="25" s="1"/>
  <c r="P206" i="20"/>
  <c r="G76" i="20"/>
  <c r="H76" i="20" s="1"/>
  <c r="BR216" i="25"/>
  <c r="EH218" i="20"/>
  <c r="BS216" i="25" s="1"/>
  <c r="H204" i="25"/>
  <c r="EM107" i="20"/>
  <c r="BW105" i="25"/>
  <c r="BN73" i="25"/>
  <c r="EE75" i="20"/>
  <c r="EE121" i="20" s="1"/>
  <c r="EG214" i="20"/>
  <c r="BR212" i="25" s="1"/>
  <c r="G99" i="20"/>
  <c r="H99" i="20" s="1"/>
  <c r="BU196" i="25"/>
  <c r="BQ208" i="25"/>
  <c r="BX215" i="25"/>
  <c r="BR202" i="25"/>
  <c r="BQ228" i="25"/>
  <c r="EF127" i="20"/>
  <c r="BQ79" i="25"/>
  <c r="BW219" i="25"/>
  <c r="EL220" i="20"/>
  <c r="BQ144" i="25"/>
  <c r="K146" i="20"/>
  <c r="BX214" i="25"/>
  <c r="BQ204" i="25"/>
  <c r="EF203" i="20"/>
  <c r="BW199" i="25"/>
  <c r="EM201" i="20"/>
  <c r="EN201" i="20" s="1"/>
  <c r="BM212" i="25"/>
  <c r="G212" i="25" s="1"/>
  <c r="I212" i="25" s="1"/>
  <c r="G214" i="20"/>
  <c r="H214" i="20" s="1"/>
  <c r="BN206" i="25"/>
  <c r="BM76" i="25"/>
  <c r="G76" i="25" s="1"/>
  <c r="I76" i="25" s="1"/>
  <c r="G78" i="20"/>
  <c r="H78" i="20" s="1"/>
  <c r="BO120" i="25"/>
  <c r="I122" i="20"/>
  <c r="BV79" i="25"/>
  <c r="P81" i="20"/>
  <c r="EG146" i="20"/>
  <c r="BR144" i="25" s="1"/>
  <c r="EM215" i="20"/>
  <c r="EN215" i="20" s="1"/>
  <c r="J84" i="20"/>
  <c r="BP82" i="25"/>
  <c r="EE130" i="20"/>
  <c r="BV228" i="25"/>
  <c r="P230" i="20"/>
  <c r="BV225" i="25"/>
  <c r="EK226" i="20"/>
  <c r="EE126" i="20"/>
  <c r="EF80" i="20"/>
  <c r="EG80" i="20" s="1"/>
  <c r="BP78" i="25"/>
  <c r="EC4" i="20"/>
  <c r="H4" i="20" s="1"/>
  <c r="BV198" i="25"/>
  <c r="P200" i="20"/>
  <c r="BO224" i="25"/>
  <c r="I224" i="25" s="1"/>
  <c r="BP229" i="25"/>
  <c r="J231" i="20"/>
  <c r="BV212" i="25"/>
  <c r="P214" i="20"/>
  <c r="G128" i="20"/>
  <c r="H128" i="20" s="1"/>
  <c r="BO125" i="25"/>
  <c r="I127" i="20"/>
  <c r="BO128" i="25"/>
  <c r="I130" i="20"/>
  <c r="BM75" i="25"/>
  <c r="G75" i="25" s="1"/>
  <c r="I75" i="25" s="1"/>
  <c r="G77" i="20"/>
  <c r="H77" i="20" s="1"/>
  <c r="ED121" i="20"/>
  <c r="I121" i="20" s="1"/>
  <c r="I75" i="20"/>
  <c r="BO124" i="25"/>
  <c r="I126" i="20"/>
  <c r="ED4" i="20"/>
  <c r="I4" i="20" s="1"/>
  <c r="EE198" i="20"/>
  <c r="BP197" i="25"/>
  <c r="EG230" i="20"/>
  <c r="BR228" i="25" s="1"/>
  <c r="BV78" i="25"/>
  <c r="EL80" i="20"/>
  <c r="EM80" i="20" s="1"/>
  <c r="BV199" i="25"/>
  <c r="P201" i="20"/>
  <c r="BW215" i="25"/>
  <c r="BQ146" i="25"/>
  <c r="EG148" i="20"/>
  <c r="EF200" i="20"/>
  <c r="BP97" i="25"/>
  <c r="EE98" i="20"/>
  <c r="BW212" i="25"/>
  <c r="EE124" i="20"/>
  <c r="BP76" i="25"/>
  <c r="J78" i="20"/>
  <c r="G126" i="25"/>
  <c r="I126" i="25" s="1"/>
  <c r="BM82" i="25"/>
  <c r="G82" i="25" s="1"/>
  <c r="I82" i="25" s="1"/>
  <c r="G84" i="20"/>
  <c r="H84" i="20" s="1"/>
  <c r="BM228" i="25"/>
  <c r="G228" i="25" s="1"/>
  <c r="I228" i="25" s="1"/>
  <c r="G230" i="20"/>
  <c r="H230" i="20" s="1"/>
  <c r="BO73" i="25"/>
  <c r="I73" i="25" s="1"/>
  <c r="BM204" i="25"/>
  <c r="G204" i="25" s="1"/>
  <c r="I204" i="25" s="1"/>
  <c r="G206" i="20"/>
  <c r="H206" i="20" s="1"/>
  <c r="BM145" i="25"/>
  <c r="G147" i="20"/>
  <c r="H147" i="20" s="1"/>
  <c r="EE127" i="20"/>
  <c r="BP79" i="25"/>
  <c r="J81" i="20"/>
  <c r="BP144" i="25"/>
  <c r="J146" i="20"/>
  <c r="EG210" i="20"/>
  <c r="BW197" i="25"/>
  <c r="EL198" i="20"/>
  <c r="BQ213" i="25"/>
  <c r="BQ82" i="25"/>
  <c r="EF130" i="20"/>
  <c r="J77" i="20"/>
  <c r="BP75" i="25"/>
  <c r="EE123" i="20"/>
  <c r="EF77" i="20"/>
  <c r="EG77" i="20" s="1"/>
  <c r="BW225" i="25"/>
  <c r="EF217" i="20"/>
  <c r="BV201" i="25"/>
  <c r="EL231" i="20"/>
  <c r="EM231" i="20" s="1"/>
  <c r="BU206" i="25"/>
  <c r="EL78" i="20"/>
  <c r="EM78" i="20" s="1"/>
  <c r="EK127" i="20"/>
  <c r="EL127" i="20" s="1"/>
  <c r="EM127" i="20" s="1"/>
  <c r="EK130" i="20"/>
  <c r="EL130" i="20" s="1"/>
  <c r="EM130" i="20" s="1"/>
  <c r="BO123" i="25"/>
  <c r="I125" i="20"/>
  <c r="BP145" i="25"/>
  <c r="J147" i="20"/>
  <c r="EF147" i="20"/>
  <c r="BM144" i="25"/>
  <c r="G144" i="25" s="1"/>
  <c r="I144" i="25" s="1"/>
  <c r="G146" i="20"/>
  <c r="H146" i="20" s="1"/>
  <c r="EB203" i="20"/>
  <c r="O203" i="20"/>
  <c r="BP213" i="25"/>
  <c r="J215" i="20"/>
  <c r="EL77" i="20"/>
  <c r="BV75" i="25"/>
  <c r="P77" i="20"/>
  <c r="EF227" i="20"/>
  <c r="EG227" i="20" s="1"/>
  <c r="BM215" i="25"/>
  <c r="G215" i="25" s="1"/>
  <c r="I215" i="25" s="1"/>
  <c r="G217" i="20"/>
  <c r="H217" i="20" s="1"/>
  <c r="EK203" i="20"/>
  <c r="BV219" i="25"/>
  <c r="BV218" i="25" s="1"/>
  <c r="EM221" i="20"/>
  <c r="EN221" i="20" s="1"/>
  <c r="EK220" i="20"/>
  <c r="EE203" i="20"/>
  <c r="EG216" i="20"/>
  <c r="EH216" i="20" s="1"/>
  <c r="BQ214" i="25"/>
  <c r="EB198" i="20"/>
  <c r="BM79" i="25"/>
  <c r="G79" i="25" s="1"/>
  <c r="I79" i="25" s="1"/>
  <c r="G81" i="20"/>
  <c r="H81" i="20" s="1"/>
  <c r="BO121" i="25"/>
  <c r="I123" i="20"/>
  <c r="H144" i="25"/>
  <c r="BN142" i="25"/>
  <c r="EL210" i="20"/>
  <c r="EG215" i="20"/>
  <c r="EG84" i="20"/>
  <c r="EM227" i="20"/>
  <c r="EN227" i="20" s="1"/>
  <c r="BP199" i="25"/>
  <c r="J201" i="20"/>
  <c r="BV215" i="25"/>
  <c r="P217" i="20"/>
  <c r="EN217" i="20"/>
  <c r="EM204" i="20"/>
  <c r="EN204" i="20" s="1"/>
  <c r="BW202" i="25"/>
  <c r="BO206" i="25"/>
  <c r="I206" i="25" s="1"/>
  <c r="BP219" i="25"/>
  <c r="BP218" i="25" s="1"/>
  <c r="EE220" i="20"/>
  <c r="J221" i="20"/>
  <c r="BQ202" i="25"/>
  <c r="EH204" i="20"/>
  <c r="BW227" i="25"/>
  <c r="EM229" i="20"/>
  <c r="EL99" i="20"/>
  <c r="EM214" i="20"/>
  <c r="BM198" i="25"/>
  <c r="G198" i="25" s="1"/>
  <c r="I198" i="25" s="1"/>
  <c r="G200" i="20"/>
  <c r="H200" i="20" s="1"/>
  <c r="BO122" i="25"/>
  <c r="I124" i="20"/>
  <c r="EL206" i="20"/>
  <c r="EL203" i="20" s="1"/>
  <c r="BX203" i="25"/>
  <c r="EN205" i="20"/>
  <c r="BY203" i="25" s="1"/>
  <c r="EG81" i="20"/>
  <c r="BV197" i="25"/>
  <c r="EK198" i="20"/>
  <c r="BV213" i="25"/>
  <c r="P215" i="20"/>
  <c r="EM230" i="20"/>
  <c r="BX228" i="25" s="1"/>
  <c r="EB226" i="20"/>
  <c r="BN224" i="25"/>
  <c r="BQ199" i="25"/>
  <c r="G202" i="25"/>
  <c r="I202" i="25" s="1"/>
  <c r="BW198" i="25"/>
  <c r="EG99" i="20"/>
  <c r="EB98" i="20"/>
  <c r="BM213" i="25"/>
  <c r="G213" i="25" s="1"/>
  <c r="I213" i="25" s="1"/>
  <c r="G215" i="20"/>
  <c r="H215" i="20" s="1"/>
  <c r="BN196" i="25"/>
  <c r="H198" i="25"/>
  <c r="BO127" i="25"/>
  <c r="I129" i="20"/>
  <c r="EJ121" i="20"/>
  <c r="EB121" i="20" s="1"/>
  <c r="O75" i="20"/>
  <c r="BP204" i="25"/>
  <c r="BP201" i="25" s="1"/>
  <c r="EG206" i="20"/>
  <c r="BR204" i="25" s="1"/>
  <c r="J206" i="20"/>
  <c r="BW222" i="25"/>
  <c r="EM224" i="20"/>
  <c r="BP208" i="25"/>
  <c r="EE208" i="20"/>
  <c r="EF83" i="20"/>
  <c r="EG83" i="20" s="1"/>
  <c r="BP81" i="25"/>
  <c r="EE129" i="20"/>
  <c r="BV82" i="25"/>
  <c r="P84" i="20"/>
  <c r="BP225" i="25"/>
  <c r="EE226" i="20"/>
  <c r="BV74" i="25"/>
  <c r="EL76" i="20"/>
  <c r="EK75" i="20"/>
  <c r="BQ76" i="25"/>
  <c r="EF124" i="20"/>
  <c r="BM199" i="25"/>
  <c r="G199" i="25" s="1"/>
  <c r="I199" i="25" s="1"/>
  <c r="G201" i="20"/>
  <c r="H201" i="20" s="1"/>
  <c r="EK124" i="20"/>
  <c r="EL124" i="20" s="1"/>
  <c r="BU73" i="25"/>
  <c r="EM81" i="20"/>
  <c r="BV208" i="25"/>
  <c r="EK208" i="20"/>
  <c r="EL83" i="20"/>
  <c r="EM83" i="20" s="1"/>
  <c r="BV81" i="25"/>
  <c r="EM199" i="20"/>
  <c r="EN199" i="20" s="1"/>
  <c r="BW213" i="25"/>
  <c r="EL84" i="20"/>
  <c r="BP228" i="25"/>
  <c r="J230" i="20"/>
  <c r="BP74" i="25"/>
  <c r="EF76" i="20"/>
  <c r="K76" i="20" s="1"/>
  <c r="EE122" i="20"/>
  <c r="BP215" i="25"/>
  <c r="J217" i="20"/>
  <c r="BP198" i="25"/>
  <c r="J200" i="20"/>
  <c r="BV229" i="25"/>
  <c r="P231" i="20"/>
  <c r="BM229" i="25"/>
  <c r="G229" i="25" s="1"/>
  <c r="I229" i="25" s="1"/>
  <c r="G231" i="20"/>
  <c r="H231" i="20" s="1"/>
  <c r="Q216" i="20"/>
  <c r="BW214" i="25"/>
  <c r="EN216" i="20"/>
  <c r="BP212" i="25"/>
  <c r="J214" i="20"/>
  <c r="BV76" i="25"/>
  <c r="P78" i="20"/>
  <c r="BN125" i="25"/>
  <c r="H125" i="25" s="1"/>
  <c r="EB127" i="20"/>
  <c r="BN128" i="25"/>
  <c r="H128" i="25" s="1"/>
  <c r="EB130" i="20"/>
  <c r="BN121" i="25"/>
  <c r="H121" i="25" s="1"/>
  <c r="EB123" i="20"/>
  <c r="BN127" i="25"/>
  <c r="H127" i="25" s="1"/>
  <c r="EB129" i="20"/>
  <c r="BN122" i="25"/>
  <c r="H122" i="25" s="1"/>
  <c r="EB124" i="20"/>
  <c r="EB122" i="20"/>
  <c r="BN120" i="25"/>
  <c r="H120" i="25" s="1"/>
  <c r="BN124" i="25"/>
  <c r="H124" i="25" s="1"/>
  <c r="EB126" i="20"/>
  <c r="AP132" i="25"/>
  <c r="AJ153" i="25"/>
  <c r="L155" i="20"/>
  <c r="L192" i="20"/>
  <c r="AJ190" i="25"/>
  <c r="AK194" i="25"/>
  <c r="M196" i="20"/>
  <c r="AI64" i="25"/>
  <c r="AO186" i="25"/>
  <c r="Q188" i="20"/>
  <c r="AI127" i="25"/>
  <c r="BM129" i="20"/>
  <c r="AJ127" i="25" s="1"/>
  <c r="BK4" i="20"/>
  <c r="AI190" i="25"/>
  <c r="P73" i="20"/>
  <c r="AN71" i="25"/>
  <c r="AO93" i="25"/>
  <c r="BS95" i="20"/>
  <c r="AH64" i="25"/>
  <c r="J66" i="20"/>
  <c r="BL188" i="20"/>
  <c r="AO204" i="25"/>
  <c r="AO201" i="25" s="1"/>
  <c r="BR203" i="20"/>
  <c r="BM54" i="20"/>
  <c r="BN54" i="20" s="1"/>
  <c r="AK52" i="25" s="1"/>
  <c r="AH52" i="25"/>
  <c r="J54" i="20"/>
  <c r="AI193" i="25"/>
  <c r="K195" i="20"/>
  <c r="AI52" i="25"/>
  <c r="AF61" i="25"/>
  <c r="BS96" i="20"/>
  <c r="BT96" i="20" s="1"/>
  <c r="AO71" i="25"/>
  <c r="BR66" i="20"/>
  <c r="AN64" i="25"/>
  <c r="P66" i="20"/>
  <c r="AN193" i="25"/>
  <c r="P195" i="20"/>
  <c r="BQ194" i="20"/>
  <c r="AN186" i="25"/>
  <c r="P188" i="20"/>
  <c r="BS188" i="20"/>
  <c r="BT123" i="20"/>
  <c r="AQ121" i="25" s="1"/>
  <c r="AE185" i="25"/>
  <c r="G185" i="25" s="1"/>
  <c r="I185" i="25" s="1"/>
  <c r="G187" i="20"/>
  <c r="H187" i="20" s="1"/>
  <c r="J187" i="20"/>
  <c r="AH185" i="25"/>
  <c r="AP71" i="25"/>
  <c r="AE71" i="25"/>
  <c r="G71" i="25" s="1"/>
  <c r="I71" i="25" s="1"/>
  <c r="G73" i="20"/>
  <c r="H73" i="20" s="1"/>
  <c r="AI57" i="25"/>
  <c r="AG61" i="25"/>
  <c r="AG3" i="25"/>
  <c r="AH94" i="25"/>
  <c r="J96" i="20"/>
  <c r="AI124" i="25"/>
  <c r="BM126" i="20"/>
  <c r="AE132" i="25"/>
  <c r="G132" i="25" s="1"/>
  <c r="I132" i="25" s="1"/>
  <c r="G134" i="20"/>
  <c r="H134" i="20" s="1"/>
  <c r="AO153" i="25"/>
  <c r="Q155" i="20"/>
  <c r="BS155" i="20"/>
  <c r="BR54" i="20"/>
  <c r="P54" i="20"/>
  <c r="AN52" i="25"/>
  <c r="AN49" i="25" s="1"/>
  <c r="P187" i="20"/>
  <c r="AN185" i="25"/>
  <c r="BQ186" i="20"/>
  <c r="AN184" i="25" s="1"/>
  <c r="AO132" i="25"/>
  <c r="BH194" i="20"/>
  <c r="AF3" i="25"/>
  <c r="BN208" i="20"/>
  <c r="BT73" i="20"/>
  <c r="AM61" i="25"/>
  <c r="AN94" i="25"/>
  <c r="P96" i="20"/>
  <c r="BK194" i="20"/>
  <c r="BL194" i="20" s="1"/>
  <c r="BM194" i="20" s="1"/>
  <c r="AE52" i="25"/>
  <c r="G54" i="20"/>
  <c r="H54" i="20" s="1"/>
  <c r="AI185" i="25"/>
  <c r="K187" i="20"/>
  <c r="BS105" i="20"/>
  <c r="AP103" i="25" s="1"/>
  <c r="K89" i="20"/>
  <c r="BH4" i="20"/>
  <c r="AK206" i="25"/>
  <c r="BL121" i="20"/>
  <c r="AI165" i="25"/>
  <c r="K167" i="20"/>
  <c r="AP222" i="25"/>
  <c r="BT224" i="20"/>
  <c r="AE64" i="25"/>
  <c r="G66" i="20"/>
  <c r="H66" i="20" s="1"/>
  <c r="BM66" i="20"/>
  <c r="BN66" i="20" s="1"/>
  <c r="AE193" i="25"/>
  <c r="G193" i="25" s="1"/>
  <c r="I193" i="25" s="1"/>
  <c r="G195" i="20"/>
  <c r="H195" i="20" s="1"/>
  <c r="J195" i="20"/>
  <c r="AH193" i="25"/>
  <c r="BM195" i="20"/>
  <c r="AE186" i="25"/>
  <c r="G186" i="25" s="1"/>
  <c r="I186" i="25" s="1"/>
  <c r="G188" i="20"/>
  <c r="H188" i="20" s="1"/>
  <c r="AH132" i="25"/>
  <c r="J134" i="20"/>
  <c r="BL134" i="20"/>
  <c r="BM134" i="20" s="1"/>
  <c r="BK186" i="20"/>
  <c r="BL186" i="20" s="1"/>
  <c r="AI184" i="25" s="1"/>
  <c r="BH186" i="20"/>
  <c r="BP144" i="20"/>
  <c r="AI153" i="25"/>
  <c r="BN155" i="20"/>
  <c r="K155" i="20"/>
  <c r="J73" i="20"/>
  <c r="AH71" i="25"/>
  <c r="BM68" i="20"/>
  <c r="AQ57" i="25"/>
  <c r="AH186" i="25"/>
  <c r="J188" i="20"/>
  <c r="AN132" i="25"/>
  <c r="P134" i="20"/>
  <c r="BT134" i="20"/>
  <c r="BM59" i="20"/>
  <c r="BN59" i="20" s="1"/>
  <c r="BR187" i="20"/>
  <c r="BL96" i="20"/>
  <c r="BM96" i="20" s="1"/>
  <c r="BM89" i="20"/>
  <c r="BN89" i="20" s="1"/>
  <c r="AK87" i="25" s="1"/>
  <c r="AK189" i="25"/>
  <c r="M191" i="20"/>
  <c r="AK158" i="25"/>
  <c r="M160" i="20"/>
  <c r="AQ126" i="25"/>
  <c r="AP51" i="25"/>
  <c r="AJ197" i="25"/>
  <c r="BT180" i="20"/>
  <c r="AQ178" i="25" s="1"/>
  <c r="AJ189" i="25"/>
  <c r="BN192" i="20"/>
  <c r="M192" i="20" s="1"/>
  <c r="AQ63" i="25"/>
  <c r="G87" i="25"/>
  <c r="I87" i="25" s="1"/>
  <c r="AE84" i="25"/>
  <c r="BN227" i="20"/>
  <c r="AK225" i="25" s="1"/>
  <c r="AO197" i="25"/>
  <c r="AO196" i="25" s="1"/>
  <c r="BR198" i="20"/>
  <c r="Q199" i="20"/>
  <c r="AE119" i="25"/>
  <c r="AK125" i="25"/>
  <c r="BM105" i="20"/>
  <c r="AJ103" i="25" s="1"/>
  <c r="AJ128" i="25"/>
  <c r="AQ197" i="25"/>
  <c r="AQ125" i="25"/>
  <c r="AO101" i="25"/>
  <c r="BS103" i="20"/>
  <c r="BT125" i="20"/>
  <c r="AK128" i="25"/>
  <c r="AI137" i="25"/>
  <c r="BM69" i="20"/>
  <c r="BN69" i="20" s="1"/>
  <c r="AK67" i="25" s="1"/>
  <c r="AP126" i="25"/>
  <c r="AP178" i="25"/>
  <c r="BT53" i="20"/>
  <c r="AI51" i="25"/>
  <c r="BM53" i="20"/>
  <c r="BN53" i="20" s="1"/>
  <c r="BL51" i="20"/>
  <c r="AP197" i="25"/>
  <c r="AJ158" i="25"/>
  <c r="L160" i="20"/>
  <c r="AN119" i="25"/>
  <c r="AE196" i="25"/>
  <c r="G197" i="25"/>
  <c r="I197" i="25" s="1"/>
  <c r="AQ128" i="25"/>
  <c r="AP128" i="25"/>
  <c r="BT102" i="20"/>
  <c r="AQ100" i="25" s="1"/>
  <c r="AO66" i="25"/>
  <c r="BS68" i="20"/>
  <c r="BT68" i="20" s="1"/>
  <c r="BN199" i="20"/>
  <c r="AI197" i="25"/>
  <c r="AI196" i="25" s="1"/>
  <c r="BL198" i="20"/>
  <c r="AP125" i="25"/>
  <c r="AI93" i="25"/>
  <c r="BM95" i="20"/>
  <c r="AJ93" i="25" s="1"/>
  <c r="BM100" i="20"/>
  <c r="BM139" i="20"/>
  <c r="AO177" i="25"/>
  <c r="BS178" i="20"/>
  <c r="AP176" i="25" s="1"/>
  <c r="S144" i="25"/>
  <c r="R179" i="20"/>
  <c r="BL190" i="20"/>
  <c r="BM190" i="20" s="1"/>
  <c r="AJ188" i="25" s="1"/>
  <c r="AD146" i="20"/>
  <c r="Q191" i="20"/>
  <c r="AO189" i="25"/>
  <c r="BR190" i="20"/>
  <c r="AO188" i="25" s="1"/>
  <c r="BR178" i="20"/>
  <c r="AO176" i="25" s="1"/>
  <c r="BS191" i="20"/>
  <c r="BT179" i="20"/>
  <c r="AP225" i="25"/>
  <c r="AQ225" i="25"/>
  <c r="BS222" i="25"/>
  <c r="G219" i="25"/>
  <c r="I219" i="25" s="1"/>
  <c r="N218" i="25"/>
  <c r="BY221" i="25"/>
  <c r="BX221" i="25"/>
  <c r="BB211" i="25"/>
  <c r="BA210" i="25"/>
  <c r="CW209" i="20"/>
  <c r="CX209" i="20" s="1"/>
  <c r="AZ207" i="25"/>
  <c r="CX212" i="20"/>
  <c r="BA211" i="25"/>
  <c r="AV206" i="25"/>
  <c r="G207" i="25"/>
  <c r="I207" i="25" s="1"/>
  <c r="BY207" i="25"/>
  <c r="BF209" i="25"/>
  <c r="Q211" i="20"/>
  <c r="BB203" i="25"/>
  <c r="AQ136" i="25"/>
  <c r="Z225" i="25"/>
  <c r="T98" i="25"/>
  <c r="AQ110" i="25"/>
  <c r="BH88" i="25"/>
  <c r="BA80" i="25"/>
  <c r="BG81" i="25"/>
  <c r="T105" i="25"/>
  <c r="AQ138" i="25"/>
  <c r="AQ109" i="25"/>
  <c r="AO104" i="25"/>
  <c r="BS106" i="20"/>
  <c r="AP104" i="25" s="1"/>
  <c r="T216" i="25"/>
  <c r="BF86" i="25"/>
  <c r="H123" i="25"/>
  <c r="AO116" i="25"/>
  <c r="AV73" i="25"/>
  <c r="G74" i="25"/>
  <c r="I74" i="25" s="1"/>
  <c r="AJ109" i="25"/>
  <c r="AJ100" i="25"/>
  <c r="BN102" i="20"/>
  <c r="G51" i="25"/>
  <c r="I51" i="25" s="1"/>
  <c r="BG80" i="25"/>
  <c r="BA93" i="25"/>
  <c r="AJ110" i="25"/>
  <c r="X99" i="25"/>
  <c r="AI101" i="20"/>
  <c r="BA78" i="25"/>
  <c r="AK135" i="25"/>
  <c r="AZ88" i="25"/>
  <c r="BM123" i="25"/>
  <c r="G125" i="20"/>
  <c r="H125" i="20" s="1"/>
  <c r="AZ70" i="25"/>
  <c r="AO135" i="25"/>
  <c r="BS137" i="20"/>
  <c r="BT137" i="20" s="1"/>
  <c r="BS115" i="20"/>
  <c r="AP113" i="25" s="1"/>
  <c r="Y114" i="25"/>
  <c r="AJ116" i="20"/>
  <c r="AO131" i="25"/>
  <c r="BS133" i="20"/>
  <c r="BT133" i="20" s="1"/>
  <c r="AO111" i="25"/>
  <c r="BS113" i="20"/>
  <c r="BT113" i="20" s="1"/>
  <c r="AK220" i="25"/>
  <c r="G102" i="25"/>
  <c r="I102" i="25" s="1"/>
  <c r="BM96" i="25"/>
  <c r="G113" i="25"/>
  <c r="I113" i="25" s="1"/>
  <c r="AE96" i="25"/>
  <c r="G97" i="25"/>
  <c r="I97" i="25" s="1"/>
  <c r="Z101" i="25"/>
  <c r="AO98" i="25"/>
  <c r="BS100" i="20"/>
  <c r="AP112" i="25"/>
  <c r="G208" i="25"/>
  <c r="I208" i="25" s="1"/>
  <c r="G108" i="25"/>
  <c r="I108" i="25" s="1"/>
  <c r="AE107" i="25"/>
  <c r="AK136" i="25"/>
  <c r="N224" i="25"/>
  <c r="G225" i="25"/>
  <c r="I225" i="25" s="1"/>
  <c r="DC88" i="20"/>
  <c r="BP123" i="25"/>
  <c r="J125" i="20"/>
  <c r="AJ220" i="25"/>
  <c r="Z59" i="25"/>
  <c r="BS98" i="25"/>
  <c r="BR109" i="20"/>
  <c r="G77" i="25"/>
  <c r="I77" i="25" s="1"/>
  <c r="BM218" i="25"/>
  <c r="G222" i="25"/>
  <c r="I222" i="25" s="1"/>
  <c r="BH87" i="25"/>
  <c r="AJ138" i="25"/>
  <c r="CX95" i="20"/>
  <c r="BA85" i="25"/>
  <c r="Y51" i="25"/>
  <c r="R53" i="20"/>
  <c r="AJ108" i="25"/>
  <c r="BB68" i="25"/>
  <c r="BT101" i="20"/>
  <c r="AQ99" i="25" s="1"/>
  <c r="Y115" i="25"/>
  <c r="AZ74" i="25"/>
  <c r="AP136" i="25"/>
  <c r="BX100" i="25"/>
  <c r="EN102" i="20"/>
  <c r="BY100" i="25" s="1"/>
  <c r="BB81" i="25"/>
  <c r="R101" i="25"/>
  <c r="K103" i="20"/>
  <c r="AV3" i="25"/>
  <c r="AK102" i="25"/>
  <c r="AP109" i="25"/>
  <c r="Z53" i="25"/>
  <c r="BB78" i="25"/>
  <c r="G131" i="25"/>
  <c r="I131" i="25" s="1"/>
  <c r="AK138" i="25"/>
  <c r="EL125" i="20"/>
  <c r="AV84" i="25"/>
  <c r="G85" i="25"/>
  <c r="I85" i="25" s="1"/>
  <c r="AV61" i="25"/>
  <c r="N96" i="25"/>
  <c r="G99" i="25"/>
  <c r="I99" i="25" s="1"/>
  <c r="DC103" i="20"/>
  <c r="DD103" i="20" s="1"/>
  <c r="CW72" i="20"/>
  <c r="CX72" i="20" s="1"/>
  <c r="AI116" i="25"/>
  <c r="X104" i="25"/>
  <c r="Q106" i="20"/>
  <c r="AI106" i="20"/>
  <c r="AJ106" i="20" s="1"/>
  <c r="CX82" i="20"/>
  <c r="BS118" i="20"/>
  <c r="AP138" i="25"/>
  <c r="BH78" i="25"/>
  <c r="AZ86" i="25"/>
  <c r="CW88" i="20"/>
  <c r="S115" i="25"/>
  <c r="R53" i="25"/>
  <c r="AC55" i="20"/>
  <c r="AP110" i="25"/>
  <c r="R225" i="25"/>
  <c r="Q100" i="20"/>
  <c r="AZ101" i="25"/>
  <c r="CW103" i="20"/>
  <c r="Y53" i="25"/>
  <c r="AI109" i="25"/>
  <c r="R114" i="25"/>
  <c r="K116" i="20"/>
  <c r="AC116" i="20"/>
  <c r="AJ117" i="25"/>
  <c r="BN119" i="20"/>
  <c r="AC103" i="20"/>
  <c r="S228" i="25"/>
  <c r="CW76" i="20"/>
  <c r="CX76" i="20" s="1"/>
  <c r="S98" i="25"/>
  <c r="BM118" i="20"/>
  <c r="BN110" i="20"/>
  <c r="R59" i="25"/>
  <c r="BN112" i="20"/>
  <c r="BT114" i="20"/>
  <c r="AC61" i="20"/>
  <c r="AK178" i="25"/>
  <c r="M180" i="20"/>
  <c r="BH70" i="25"/>
  <c r="Y225" i="25"/>
  <c r="AI226" i="20"/>
  <c r="R103" i="25"/>
  <c r="AC105" i="20"/>
  <c r="CW90" i="20"/>
  <c r="CX90" i="20" s="1"/>
  <c r="AI112" i="25"/>
  <c r="BM114" i="20"/>
  <c r="BA204" i="25"/>
  <c r="BV123" i="25"/>
  <c r="P125" i="20"/>
  <c r="CX206" i="20"/>
  <c r="BX77" i="25"/>
  <c r="EN79" i="20"/>
  <c r="T51" i="25"/>
  <c r="AD117" i="20"/>
  <c r="AJ117" i="20"/>
  <c r="DD82" i="20"/>
  <c r="X51" i="25"/>
  <c r="Q53" i="20"/>
  <c r="DD83" i="20"/>
  <c r="BL109" i="20"/>
  <c r="AC227" i="20"/>
  <c r="BG88" i="25"/>
  <c r="BN111" i="20"/>
  <c r="AD230" i="20"/>
  <c r="CX87" i="20"/>
  <c r="BR182" i="20" l="1"/>
  <c r="AO180" i="25" s="1"/>
  <c r="Q184" i="20"/>
  <c r="AO182" i="25"/>
  <c r="BS184" i="20"/>
  <c r="BT184" i="20" s="1"/>
  <c r="L212" i="20"/>
  <c r="BR210" i="25"/>
  <c r="EH212" i="20"/>
  <c r="BS210" i="25" s="1"/>
  <c r="BX210" i="25"/>
  <c r="EN212" i="20"/>
  <c r="BY210" i="25" s="1"/>
  <c r="BX226" i="25"/>
  <c r="EN228" i="20"/>
  <c r="BY226" i="25" s="1"/>
  <c r="BX209" i="25"/>
  <c r="EN211" i="20"/>
  <c r="BY209" i="25" s="1"/>
  <c r="AI182" i="25"/>
  <c r="K184" i="20"/>
  <c r="EM104" i="20"/>
  <c r="BX102" i="25" s="1"/>
  <c r="AP158" i="25"/>
  <c r="BM184" i="20"/>
  <c r="BN184" i="20" s="1"/>
  <c r="M184" i="20" s="1"/>
  <c r="BT160" i="20"/>
  <c r="AJ122" i="25"/>
  <c r="BM182" i="20"/>
  <c r="AJ180" i="25" s="1"/>
  <c r="AP201" i="25"/>
  <c r="AJ143" i="25"/>
  <c r="BS163" i="20"/>
  <c r="BT163" i="20" s="1"/>
  <c r="AQ161" i="25" s="1"/>
  <c r="AO161" i="25"/>
  <c r="K72" i="20"/>
  <c r="AK181" i="25"/>
  <c r="BT76" i="20"/>
  <c r="AQ74" i="25" s="1"/>
  <c r="AK177" i="25"/>
  <c r="Q91" i="20"/>
  <c r="BM72" i="20"/>
  <c r="AJ70" i="25" s="1"/>
  <c r="BT91" i="20"/>
  <c r="AQ89" i="25" s="1"/>
  <c r="BR86" i="20"/>
  <c r="AO89" i="25"/>
  <c r="BN163" i="20"/>
  <c r="AK161" i="25" s="1"/>
  <c r="AJ161" i="25"/>
  <c r="AI161" i="25"/>
  <c r="K163" i="20"/>
  <c r="AH130" i="25"/>
  <c r="BT141" i="20"/>
  <c r="AQ139" i="25" s="1"/>
  <c r="AO139" i="25"/>
  <c r="BM203" i="20"/>
  <c r="EG104" i="20"/>
  <c r="BG128" i="25"/>
  <c r="CX53" i="20"/>
  <c r="BB51" i="25" s="1"/>
  <c r="AJ146" i="20"/>
  <c r="Z144" i="25" s="1"/>
  <c r="AD101" i="20"/>
  <c r="T99" i="25" s="1"/>
  <c r="X224" i="25"/>
  <c r="CX129" i="20"/>
  <c r="BB127" i="25" s="1"/>
  <c r="CX106" i="20"/>
  <c r="BB104" i="25" s="1"/>
  <c r="K141" i="20"/>
  <c r="BL226" i="20"/>
  <c r="AJ74" i="25"/>
  <c r="K230" i="20"/>
  <c r="AI224" i="25"/>
  <c r="BM141" i="20"/>
  <c r="AJ139" i="25" s="1"/>
  <c r="BN78" i="20"/>
  <c r="AK76" i="25" s="1"/>
  <c r="BM230" i="20"/>
  <c r="AJ228" i="25" s="1"/>
  <c r="CX107" i="20"/>
  <c r="BB105" i="25" s="1"/>
  <c r="CX57" i="20"/>
  <c r="BB55" i="25" s="1"/>
  <c r="AO224" i="25"/>
  <c r="Q105" i="20"/>
  <c r="CW140" i="20"/>
  <c r="BA138" i="25" s="1"/>
  <c r="BA91" i="25"/>
  <c r="K215" i="20"/>
  <c r="AD210" i="20"/>
  <c r="T208" i="25" s="1"/>
  <c r="R208" i="25"/>
  <c r="K210" i="20"/>
  <c r="Q79" i="20"/>
  <c r="AJ100" i="20"/>
  <c r="Z98" i="25" s="1"/>
  <c r="S197" i="25"/>
  <c r="AC77" i="20"/>
  <c r="S75" i="25" s="1"/>
  <c r="AJ67" i="20"/>
  <c r="Z65" i="25" s="1"/>
  <c r="R211" i="20"/>
  <c r="K221" i="20"/>
  <c r="Q230" i="20"/>
  <c r="BL154" i="20"/>
  <c r="AI152" i="25" s="1"/>
  <c r="BN205" i="20"/>
  <c r="AK203" i="25" s="1"/>
  <c r="AK201" i="25" s="1"/>
  <c r="BT72" i="20"/>
  <c r="AQ70" i="25" s="1"/>
  <c r="BN55" i="20"/>
  <c r="AK53" i="25" s="1"/>
  <c r="BT93" i="20"/>
  <c r="AQ91" i="25" s="1"/>
  <c r="BL75" i="20"/>
  <c r="BS126" i="20"/>
  <c r="AP124" i="25" s="1"/>
  <c r="AP119" i="25" s="1"/>
  <c r="AO124" i="25"/>
  <c r="AO119" i="25" s="1"/>
  <c r="AI78" i="25"/>
  <c r="BS230" i="20"/>
  <c r="AP228" i="25" s="1"/>
  <c r="AP224" i="25" s="1"/>
  <c r="BM168" i="20"/>
  <c r="L168" i="20" s="1"/>
  <c r="BN93" i="20"/>
  <c r="AK91" i="25" s="1"/>
  <c r="BM221" i="20"/>
  <c r="BM220" i="20" s="1"/>
  <c r="AI219" i="25"/>
  <c r="AI218" i="25" s="1"/>
  <c r="BR226" i="20"/>
  <c r="AO78" i="25"/>
  <c r="BT80" i="20"/>
  <c r="AQ78" i="25" s="1"/>
  <c r="BR75" i="20"/>
  <c r="AJ111" i="25"/>
  <c r="R228" i="20"/>
  <c r="AJ196" i="25"/>
  <c r="BM133" i="20"/>
  <c r="BN133" i="20" s="1"/>
  <c r="M133" i="20" s="1"/>
  <c r="AJ97" i="25"/>
  <c r="AI166" i="25"/>
  <c r="BT89" i="20"/>
  <c r="AQ87" i="25" s="1"/>
  <c r="AJ226" i="25"/>
  <c r="BN123" i="20"/>
  <c r="AK121" i="25" s="1"/>
  <c r="R168" i="20"/>
  <c r="S168" i="20"/>
  <c r="AP166" i="25"/>
  <c r="BS69" i="20"/>
  <c r="AP67" i="25" s="1"/>
  <c r="BM198" i="20"/>
  <c r="AN130" i="25"/>
  <c r="BN125" i="20"/>
  <c r="AK123" i="25" s="1"/>
  <c r="BT94" i="20"/>
  <c r="AQ92" i="25" s="1"/>
  <c r="BN200" i="20"/>
  <c r="AK198" i="25" s="1"/>
  <c r="AH49" i="25"/>
  <c r="BS220" i="20"/>
  <c r="BT228" i="20"/>
  <c r="AQ226" i="25" s="1"/>
  <c r="BN116" i="20"/>
  <c r="AK114" i="25" s="1"/>
  <c r="BT221" i="20"/>
  <c r="AQ219" i="25" s="1"/>
  <c r="AP114" i="25"/>
  <c r="BT55" i="20"/>
  <c r="AQ53" i="25" s="1"/>
  <c r="BT222" i="20"/>
  <c r="AQ220" i="25" s="1"/>
  <c r="BR63" i="20"/>
  <c r="AI104" i="25"/>
  <c r="BM106" i="20"/>
  <c r="BN106" i="20" s="1"/>
  <c r="AK104" i="25" s="1"/>
  <c r="BL98" i="20"/>
  <c r="BJ49" i="20"/>
  <c r="BJ5" i="20" s="1"/>
  <c r="AN96" i="25"/>
  <c r="R164" i="20"/>
  <c r="AJ55" i="25"/>
  <c r="AP162" i="25"/>
  <c r="S164" i="20"/>
  <c r="AH96" i="25"/>
  <c r="BT61" i="20"/>
  <c r="AQ59" i="25" s="1"/>
  <c r="AI134" i="25"/>
  <c r="L228" i="20"/>
  <c r="Q167" i="20"/>
  <c r="M159" i="20"/>
  <c r="BN83" i="20"/>
  <c r="AK81" i="25" s="1"/>
  <c r="R116" i="20"/>
  <c r="BS142" i="20"/>
  <c r="AP140" i="25" s="1"/>
  <c r="AO140" i="25"/>
  <c r="K133" i="20"/>
  <c r="AI164" i="25"/>
  <c r="BM166" i="20"/>
  <c r="AJ164" i="25" s="1"/>
  <c r="AI68" i="25"/>
  <c r="BN70" i="20"/>
  <c r="AK68" i="25" s="1"/>
  <c r="AP97" i="25"/>
  <c r="BS70" i="20"/>
  <c r="R70" i="20" s="1"/>
  <c r="AO68" i="25"/>
  <c r="BS167" i="20"/>
  <c r="R167" i="20" s="1"/>
  <c r="AO165" i="25"/>
  <c r="BR132" i="20"/>
  <c r="AP194" i="25"/>
  <c r="DD95" i="20"/>
  <c r="BH93" i="25" s="1"/>
  <c r="DC105" i="20"/>
  <c r="BG103" i="25" s="1"/>
  <c r="DB98" i="20"/>
  <c r="CX116" i="20"/>
  <c r="BB114" i="25" s="1"/>
  <c r="DD213" i="20"/>
  <c r="BH211" i="25" s="1"/>
  <c r="CV208" i="20"/>
  <c r="CX118" i="20"/>
  <c r="BB116" i="25" s="1"/>
  <c r="CW215" i="20"/>
  <c r="BA213" i="25" s="1"/>
  <c r="DD57" i="20"/>
  <c r="BH55" i="25" s="1"/>
  <c r="CX130" i="20"/>
  <c r="BB128" i="25" s="1"/>
  <c r="DD65" i="20"/>
  <c r="BH63" i="25" s="1"/>
  <c r="CW105" i="20"/>
  <c r="BA103" i="25" s="1"/>
  <c r="BA63" i="25"/>
  <c r="K105" i="20"/>
  <c r="BT196" i="20"/>
  <c r="AQ194" i="25" s="1"/>
  <c r="S159" i="20"/>
  <c r="AO82" i="25"/>
  <c r="BS84" i="20"/>
  <c r="BS75" i="20" s="1"/>
  <c r="BM84" i="20"/>
  <c r="BM75" i="20" s="1"/>
  <c r="AI82" i="25"/>
  <c r="BN79" i="20"/>
  <c r="AK77" i="25" s="1"/>
  <c r="BL162" i="20"/>
  <c r="AI160" i="25" s="1"/>
  <c r="BT77" i="20"/>
  <c r="AQ75" i="25" s="1"/>
  <c r="BR98" i="20"/>
  <c r="AJ69" i="25"/>
  <c r="BN71" i="20"/>
  <c r="AK69" i="25" s="1"/>
  <c r="AH84" i="25"/>
  <c r="BT122" i="20"/>
  <c r="AQ120" i="25" s="1"/>
  <c r="BN164" i="20"/>
  <c r="M164" i="20" s="1"/>
  <c r="AJ162" i="25"/>
  <c r="BT58" i="20"/>
  <c r="AQ56" i="25" s="1"/>
  <c r="AN142" i="25"/>
  <c r="BL132" i="20"/>
  <c r="BN117" i="20"/>
  <c r="AK115" i="25" s="1"/>
  <c r="BN90" i="20"/>
  <c r="AK88" i="25" s="1"/>
  <c r="AN84" i="25"/>
  <c r="AI105" i="25"/>
  <c r="BM107" i="20"/>
  <c r="L107" i="20" s="1"/>
  <c r="AO86" i="25"/>
  <c r="BS88" i="20"/>
  <c r="BS86" i="20" s="1"/>
  <c r="AO105" i="25"/>
  <c r="AO96" i="25" s="1"/>
  <c r="BS107" i="20"/>
  <c r="R107" i="20" s="1"/>
  <c r="BN88" i="20"/>
  <c r="AK86" i="25" s="1"/>
  <c r="AQ206" i="25"/>
  <c r="Q72" i="20"/>
  <c r="AC125" i="20"/>
  <c r="L125" i="20" s="1"/>
  <c r="G198" i="20"/>
  <c r="H198" i="20" s="1"/>
  <c r="S104" i="25"/>
  <c r="Q214" i="20"/>
  <c r="AC90" i="20"/>
  <c r="S88" i="25" s="1"/>
  <c r="Q133" i="20"/>
  <c r="K206" i="20"/>
  <c r="AI104" i="20"/>
  <c r="Y102" i="25" s="1"/>
  <c r="X85" i="25"/>
  <c r="EF220" i="20"/>
  <c r="BQ220" i="25"/>
  <c r="BQ218" i="25" s="1"/>
  <c r="BR220" i="25"/>
  <c r="BW124" i="25"/>
  <c r="EH101" i="20"/>
  <c r="BS99" i="25" s="1"/>
  <c r="J198" i="20"/>
  <c r="CX146" i="20"/>
  <c r="BB144" i="25" s="1"/>
  <c r="P51" i="20"/>
  <c r="BG114" i="25"/>
  <c r="DD116" i="20"/>
  <c r="BH114" i="25" s="1"/>
  <c r="R112" i="20"/>
  <c r="DD209" i="20"/>
  <c r="BH207" i="25" s="1"/>
  <c r="BG110" i="25"/>
  <c r="DD112" i="20"/>
  <c r="BH110" i="25" s="1"/>
  <c r="J109" i="20"/>
  <c r="Q101" i="20"/>
  <c r="J98" i="20"/>
  <c r="Q115" i="20"/>
  <c r="BE96" i="25"/>
  <c r="G109" i="20"/>
  <c r="H109" i="20" s="1"/>
  <c r="DD229" i="20"/>
  <c r="BH227" i="25" s="1"/>
  <c r="BG227" i="25"/>
  <c r="L100" i="20"/>
  <c r="G132" i="20"/>
  <c r="H132" i="20" s="1"/>
  <c r="Q210" i="20"/>
  <c r="AC130" i="20"/>
  <c r="S128" i="25" s="1"/>
  <c r="Q217" i="20"/>
  <c r="Q140" i="20"/>
  <c r="AI125" i="20"/>
  <c r="Y123" i="25" s="1"/>
  <c r="R216" i="20"/>
  <c r="AI217" i="20"/>
  <c r="Y215" i="25" s="1"/>
  <c r="AJ205" i="20"/>
  <c r="Z203" i="25" s="1"/>
  <c r="K118" i="20"/>
  <c r="K114" i="20"/>
  <c r="BG91" i="25"/>
  <c r="L211" i="20"/>
  <c r="K66" i="20"/>
  <c r="J63" i="20"/>
  <c r="G208" i="20"/>
  <c r="H208" i="20" s="1"/>
  <c r="DB75" i="20"/>
  <c r="G98" i="20"/>
  <c r="H98" i="20" s="1"/>
  <c r="H107" i="25"/>
  <c r="G86" i="20"/>
  <c r="H86" i="20" s="1"/>
  <c r="BF111" i="25"/>
  <c r="DC113" i="20"/>
  <c r="BA79" i="25"/>
  <c r="K204" i="20"/>
  <c r="G226" i="20"/>
  <c r="H226" i="20" s="1"/>
  <c r="H130" i="25"/>
  <c r="DD125" i="20"/>
  <c r="BH123" i="25" s="1"/>
  <c r="DD205" i="20"/>
  <c r="BH203" i="25" s="1"/>
  <c r="DD81" i="20"/>
  <c r="BH79" i="25" s="1"/>
  <c r="AY49" i="25"/>
  <c r="AZ75" i="25"/>
  <c r="CX110" i="20"/>
  <c r="BB108" i="25" s="1"/>
  <c r="CX77" i="20"/>
  <c r="BB75" i="25" s="1"/>
  <c r="BG196" i="25"/>
  <c r="CW55" i="20"/>
  <c r="BA53" i="25" s="1"/>
  <c r="K55" i="20"/>
  <c r="J132" i="20"/>
  <c r="DC127" i="20"/>
  <c r="BG125" i="25" s="1"/>
  <c r="CV132" i="20"/>
  <c r="AY73" i="25"/>
  <c r="BE73" i="25"/>
  <c r="DB86" i="20"/>
  <c r="BE84" i="25"/>
  <c r="DD206" i="20"/>
  <c r="BH204" i="25" s="1"/>
  <c r="BG204" i="25"/>
  <c r="AZ52" i="25"/>
  <c r="CW54" i="20"/>
  <c r="BE130" i="25"/>
  <c r="DB4" i="20"/>
  <c r="DD79" i="20"/>
  <c r="BH77" i="25" s="1"/>
  <c r="BG77" i="25"/>
  <c r="CV75" i="20"/>
  <c r="J86" i="20"/>
  <c r="AY84" i="25"/>
  <c r="AY224" i="25"/>
  <c r="CU49" i="20"/>
  <c r="CU5" i="20" s="1"/>
  <c r="AY96" i="25"/>
  <c r="BF64" i="25"/>
  <c r="DC66" i="20"/>
  <c r="BG64" i="25" s="1"/>
  <c r="BE206" i="25"/>
  <c r="DB132" i="20"/>
  <c r="CR5" i="20"/>
  <c r="CW56" i="20"/>
  <c r="AZ54" i="25"/>
  <c r="AZ64" i="25"/>
  <c r="CW66" i="20"/>
  <c r="G51" i="20"/>
  <c r="H51" i="20" s="1"/>
  <c r="CV121" i="20"/>
  <c r="DC198" i="20"/>
  <c r="DD56" i="20"/>
  <c r="BH54" i="25" s="1"/>
  <c r="DD200" i="20"/>
  <c r="BH198" i="25" s="1"/>
  <c r="BH196" i="25" s="1"/>
  <c r="DC124" i="20"/>
  <c r="BG122" i="25" s="1"/>
  <c r="BG100" i="25"/>
  <c r="DD102" i="20"/>
  <c r="BH100" i="25" s="1"/>
  <c r="Q204" i="20"/>
  <c r="H84" i="25"/>
  <c r="DD227" i="20"/>
  <c r="BH225" i="25" s="1"/>
  <c r="BE107" i="25"/>
  <c r="AY3" i="25"/>
  <c r="DC123" i="20"/>
  <c r="DD123" i="20" s="1"/>
  <c r="BH121" i="25" s="1"/>
  <c r="AZ115" i="25"/>
  <c r="K117" i="20"/>
  <c r="CW117" i="20"/>
  <c r="CV86" i="20"/>
  <c r="BE142" i="25"/>
  <c r="AY130" i="25"/>
  <c r="DC117" i="20"/>
  <c r="BG115" i="25" s="1"/>
  <c r="BF115" i="25"/>
  <c r="CW73" i="20"/>
  <c r="BA71" i="25" s="1"/>
  <c r="DC231" i="20"/>
  <c r="BG229" i="25" s="1"/>
  <c r="AY119" i="25"/>
  <c r="BE3" i="25"/>
  <c r="CR49" i="20"/>
  <c r="K142" i="20"/>
  <c r="AZ125" i="25"/>
  <c r="CW119" i="20"/>
  <c r="L119" i="20" s="1"/>
  <c r="AZ113" i="25"/>
  <c r="CX115" i="20"/>
  <c r="BB113" i="25" s="1"/>
  <c r="CX99" i="20"/>
  <c r="BB97" i="25" s="1"/>
  <c r="Q223" i="20"/>
  <c r="DC77" i="20"/>
  <c r="BG75" i="25" s="1"/>
  <c r="BF75" i="25"/>
  <c r="AZ97" i="25"/>
  <c r="G63" i="20"/>
  <c r="H63" i="20" s="1"/>
  <c r="BE61" i="25"/>
  <c r="CV51" i="20"/>
  <c r="CV98" i="20"/>
  <c r="CV63" i="20"/>
  <c r="BE224" i="25"/>
  <c r="DC115" i="20"/>
  <c r="BG113" i="25" s="1"/>
  <c r="BF113" i="25"/>
  <c r="CX145" i="20"/>
  <c r="BB143" i="25" s="1"/>
  <c r="BA143" i="25"/>
  <c r="BG143" i="25"/>
  <c r="CW101" i="20"/>
  <c r="CX101" i="20" s="1"/>
  <c r="K101" i="20"/>
  <c r="AZ99" i="25"/>
  <c r="DD100" i="20"/>
  <c r="BH98" i="25" s="1"/>
  <c r="CX204" i="20"/>
  <c r="BB202" i="25" s="1"/>
  <c r="DC215" i="20"/>
  <c r="BG213" i="25" s="1"/>
  <c r="DA49" i="20"/>
  <c r="DA5" i="20" s="1"/>
  <c r="AY142" i="25"/>
  <c r="DC230" i="20"/>
  <c r="DD230" i="20" s="1"/>
  <c r="BF228" i="25"/>
  <c r="BF224" i="25" s="1"/>
  <c r="DB226" i="20"/>
  <c r="DC78" i="20"/>
  <c r="BG76" i="25" s="1"/>
  <c r="BF76" i="25"/>
  <c r="BF202" i="25"/>
  <c r="BF201" i="25" s="1"/>
  <c r="DB203" i="20"/>
  <c r="DC204" i="20"/>
  <c r="DC71" i="20"/>
  <c r="BG69" i="25" s="1"/>
  <c r="BF69" i="25"/>
  <c r="DB144" i="20"/>
  <c r="CW68" i="20"/>
  <c r="BA66" i="25" s="1"/>
  <c r="AZ66" i="25"/>
  <c r="AZ112" i="25"/>
  <c r="CW114" i="20"/>
  <c r="DC147" i="20"/>
  <c r="BG145" i="25" s="1"/>
  <c r="BF145" i="25"/>
  <c r="DC69" i="20"/>
  <c r="BG67" i="25" s="1"/>
  <c r="BF67" i="25"/>
  <c r="AZ229" i="25"/>
  <c r="AZ224" i="25" s="1"/>
  <c r="CV226" i="20"/>
  <c r="CX231" i="20"/>
  <c r="BB229" i="25" s="1"/>
  <c r="BF112" i="25"/>
  <c r="DC114" i="20"/>
  <c r="CV203" i="20"/>
  <c r="AZ202" i="25"/>
  <c r="AZ201" i="25" s="1"/>
  <c r="CW94" i="20"/>
  <c r="CX94" i="20" s="1"/>
  <c r="K94" i="20"/>
  <c r="AZ92" i="25"/>
  <c r="Q119" i="20"/>
  <c r="CW226" i="20"/>
  <c r="CW91" i="20"/>
  <c r="AZ89" i="25"/>
  <c r="AZ57" i="25"/>
  <c r="DC94" i="20"/>
  <c r="BG92" i="25" s="1"/>
  <c r="BF92" i="25"/>
  <c r="Q94" i="20"/>
  <c r="CX147" i="20"/>
  <c r="BB145" i="25" s="1"/>
  <c r="Q142" i="20"/>
  <c r="BA228" i="25"/>
  <c r="CX230" i="20"/>
  <c r="BB228" i="25" s="1"/>
  <c r="BF143" i="25"/>
  <c r="DD145" i="20"/>
  <c r="BH143" i="25" s="1"/>
  <c r="CW84" i="20"/>
  <c r="BA82" i="25" s="1"/>
  <c r="AZ82" i="25"/>
  <c r="BG137" i="25"/>
  <c r="DD139" i="20"/>
  <c r="BH137" i="25" s="1"/>
  <c r="K231" i="20"/>
  <c r="CW203" i="20"/>
  <c r="BE49" i="25"/>
  <c r="BF135" i="25"/>
  <c r="DC137" i="20"/>
  <c r="DC84" i="20"/>
  <c r="BG82" i="25" s="1"/>
  <c r="BF82" i="25"/>
  <c r="AZ133" i="25"/>
  <c r="CW135" i="20"/>
  <c r="L135" i="20" s="1"/>
  <c r="DC91" i="20"/>
  <c r="BG89" i="25" s="1"/>
  <c r="BF89" i="25"/>
  <c r="AY61" i="25"/>
  <c r="CW134" i="20"/>
  <c r="CW69" i="20"/>
  <c r="BA67" i="25" s="1"/>
  <c r="AZ67" i="25"/>
  <c r="P109" i="20"/>
  <c r="AZ135" i="25"/>
  <c r="CW137" i="20"/>
  <c r="L137" i="20" s="1"/>
  <c r="BF146" i="25"/>
  <c r="DD148" i="20"/>
  <c r="BH146" i="25" s="1"/>
  <c r="BF52" i="25"/>
  <c r="DD54" i="20"/>
  <c r="BH52" i="25" s="1"/>
  <c r="CW71" i="20"/>
  <c r="L71" i="20" s="1"/>
  <c r="AZ69" i="25"/>
  <c r="DC101" i="20"/>
  <c r="BG99" i="25" s="1"/>
  <c r="BF99" i="25"/>
  <c r="BF96" i="25" s="1"/>
  <c r="K68" i="20"/>
  <c r="DB121" i="20"/>
  <c r="AY107" i="25"/>
  <c r="BF53" i="25"/>
  <c r="Q55" i="20"/>
  <c r="DC55" i="20"/>
  <c r="AZ121" i="25"/>
  <c r="CX123" i="20"/>
  <c r="BB121" i="25" s="1"/>
  <c r="BF57" i="25"/>
  <c r="DC59" i="20"/>
  <c r="BG57" i="25" s="1"/>
  <c r="BA219" i="25"/>
  <c r="CX221" i="20"/>
  <c r="BB219" i="25" s="1"/>
  <c r="BF219" i="25"/>
  <c r="DC221" i="20"/>
  <c r="R221" i="20" s="1"/>
  <c r="BF133" i="25"/>
  <c r="DC135" i="20"/>
  <c r="CX100" i="20"/>
  <c r="BB98" i="25" s="1"/>
  <c r="AZ143" i="25"/>
  <c r="CV144" i="20"/>
  <c r="AZ198" i="25"/>
  <c r="AZ196" i="25" s="1"/>
  <c r="CV198" i="20"/>
  <c r="CW200" i="20"/>
  <c r="CV4" i="20"/>
  <c r="R67" i="20"/>
  <c r="CV109" i="20"/>
  <c r="DB63" i="20"/>
  <c r="DD214" i="20"/>
  <c r="BH212" i="25" s="1"/>
  <c r="CW59" i="20"/>
  <c r="BA57" i="25" s="1"/>
  <c r="AZ146" i="25"/>
  <c r="CW148" i="20"/>
  <c r="CW144" i="20" s="1"/>
  <c r="BA137" i="25"/>
  <c r="CX139" i="20"/>
  <c r="BB137" i="25" s="1"/>
  <c r="AZ122" i="25"/>
  <c r="CW124" i="20"/>
  <c r="BA122" i="25" s="1"/>
  <c r="CW78" i="20"/>
  <c r="AZ76" i="25"/>
  <c r="BF132" i="25"/>
  <c r="DC134" i="20"/>
  <c r="DC68" i="20"/>
  <c r="BG66" i="25" s="1"/>
  <c r="BF66" i="25"/>
  <c r="BB221" i="25"/>
  <c r="BF59" i="25"/>
  <c r="DC61" i="20"/>
  <c r="Q61" i="20"/>
  <c r="CW214" i="20"/>
  <c r="AZ212" i="25"/>
  <c r="AZ206" i="25" s="1"/>
  <c r="DC96" i="20"/>
  <c r="BG94" i="25" s="1"/>
  <c r="BF94" i="25"/>
  <c r="BF117" i="25"/>
  <c r="DB109" i="20"/>
  <c r="BF213" i="25"/>
  <c r="BF206" i="25" s="1"/>
  <c r="BA221" i="25"/>
  <c r="CW220" i="20"/>
  <c r="AZ140" i="25"/>
  <c r="CW142" i="20"/>
  <c r="BA140" i="25" s="1"/>
  <c r="BF140" i="25"/>
  <c r="DC142" i="20"/>
  <c r="DC224" i="20"/>
  <c r="DD224" i="20" s="1"/>
  <c r="BH222" i="25" s="1"/>
  <c r="DC73" i="20"/>
  <c r="AZ221" i="25"/>
  <c r="AZ218" i="25" s="1"/>
  <c r="CV220" i="20"/>
  <c r="BA222" i="25"/>
  <c r="CX224" i="20"/>
  <c r="BB222" i="25" s="1"/>
  <c r="AY218" i="25"/>
  <c r="DD223" i="20"/>
  <c r="BH221" i="25" s="1"/>
  <c r="BG221" i="25"/>
  <c r="BG214" i="25"/>
  <c r="DD216" i="20"/>
  <c r="BH214" i="25" s="1"/>
  <c r="DB51" i="20"/>
  <c r="CX211" i="20"/>
  <c r="BB209" i="25" s="1"/>
  <c r="BE218" i="25"/>
  <c r="DC119" i="20"/>
  <c r="R119" i="20" s="1"/>
  <c r="CW96" i="20"/>
  <c r="BA94" i="25" s="1"/>
  <c r="AZ94" i="25"/>
  <c r="BF221" i="25"/>
  <c r="DB220" i="20"/>
  <c r="AZ59" i="25"/>
  <c r="CW61" i="20"/>
  <c r="L61" i="20" s="1"/>
  <c r="BF119" i="25"/>
  <c r="DD136" i="20"/>
  <c r="BH134" i="25" s="1"/>
  <c r="G121" i="20"/>
  <c r="H121" i="20" s="1"/>
  <c r="J121" i="20"/>
  <c r="AJ91" i="20"/>
  <c r="Z89" i="25" s="1"/>
  <c r="Q215" i="20"/>
  <c r="AI88" i="20"/>
  <c r="Y86" i="25" s="1"/>
  <c r="Y209" i="25"/>
  <c r="BN229" i="20"/>
  <c r="AK227" i="25" s="1"/>
  <c r="Q103" i="20"/>
  <c r="K222" i="20"/>
  <c r="AC147" i="20"/>
  <c r="S145" i="25" s="1"/>
  <c r="BA65" i="25"/>
  <c r="K104" i="20"/>
  <c r="R113" i="25"/>
  <c r="AI79" i="20"/>
  <c r="Y77" i="25" s="1"/>
  <c r="Q126" i="20"/>
  <c r="BN103" i="20"/>
  <c r="AK101" i="25" s="1"/>
  <c r="H96" i="25"/>
  <c r="AC104" i="20"/>
  <c r="S102" i="25" s="1"/>
  <c r="DD138" i="20"/>
  <c r="BH136" i="25" s="1"/>
  <c r="AP198" i="25"/>
  <c r="AP196" i="25" s="1"/>
  <c r="BT200" i="20"/>
  <c r="BT208" i="20"/>
  <c r="P63" i="20"/>
  <c r="Q87" i="20"/>
  <c r="DD58" i="20"/>
  <c r="BH56" i="25" s="1"/>
  <c r="BA226" i="25"/>
  <c r="CX228" i="20"/>
  <c r="BB226" i="25" s="1"/>
  <c r="BS198" i="20"/>
  <c r="AC56" i="20"/>
  <c r="R87" i="20"/>
  <c r="Y85" i="25"/>
  <c r="S85" i="25"/>
  <c r="L87" i="20"/>
  <c r="P86" i="20"/>
  <c r="O4" i="20"/>
  <c r="Y224" i="25"/>
  <c r="AD213" i="20"/>
  <c r="T211" i="25" s="1"/>
  <c r="CX138" i="20"/>
  <c r="BB136" i="25" s="1"/>
  <c r="EK145" i="20"/>
  <c r="P145" i="20" s="1"/>
  <c r="AI54" i="20"/>
  <c r="Y52" i="25" s="1"/>
  <c r="AE130" i="25"/>
  <c r="BV96" i="25"/>
  <c r="BS203" i="20"/>
  <c r="K145" i="20"/>
  <c r="AC127" i="20"/>
  <c r="S125" i="25" s="1"/>
  <c r="AI96" i="20"/>
  <c r="Y94" i="25" s="1"/>
  <c r="BT105" i="20"/>
  <c r="AQ103" i="25" s="1"/>
  <c r="K139" i="20"/>
  <c r="L187" i="20"/>
  <c r="EH229" i="20"/>
  <c r="BS227" i="25" s="1"/>
  <c r="Q49" i="25"/>
  <c r="BT90" i="20"/>
  <c r="AQ88" i="25" s="1"/>
  <c r="AJ185" i="25"/>
  <c r="R142" i="25"/>
  <c r="AC145" i="20"/>
  <c r="AI140" i="20"/>
  <c r="R140" i="20" s="1"/>
  <c r="K201" i="20"/>
  <c r="AB198" i="20"/>
  <c r="K56" i="20"/>
  <c r="R58" i="20"/>
  <c r="BH144" i="20"/>
  <c r="G144" i="20" s="1"/>
  <c r="H144" i="20" s="1"/>
  <c r="DD67" i="20"/>
  <c r="BH65" i="25" s="1"/>
  <c r="CX104" i="20"/>
  <c r="BB102" i="25" s="1"/>
  <c r="BA120" i="25"/>
  <c r="CX122" i="20"/>
  <c r="BB120" i="25" s="1"/>
  <c r="BN91" i="20"/>
  <c r="AK89" i="25" s="1"/>
  <c r="AI66" i="20"/>
  <c r="Y64" i="25" s="1"/>
  <c r="CX128" i="20"/>
  <c r="BB126" i="25" s="1"/>
  <c r="AC201" i="20"/>
  <c r="S199" i="25" s="1"/>
  <c r="Q96" i="20"/>
  <c r="AC206" i="20"/>
  <c r="S204" i="25" s="1"/>
  <c r="AI215" i="20"/>
  <c r="Y213" i="25" s="1"/>
  <c r="Y216" i="25"/>
  <c r="R218" i="20"/>
  <c r="AJ218" i="20"/>
  <c r="DD99" i="20"/>
  <c r="BH97" i="25" s="1"/>
  <c r="Y57" i="25"/>
  <c r="AD141" i="20"/>
  <c r="T139" i="25" s="1"/>
  <c r="AP81" i="25"/>
  <c r="BT83" i="20"/>
  <c r="AQ81" i="25" s="1"/>
  <c r="BU3" i="25"/>
  <c r="BT87" i="20"/>
  <c r="AQ85" i="25" s="1"/>
  <c r="AP85" i="25"/>
  <c r="BA201" i="25"/>
  <c r="L115" i="20"/>
  <c r="BQ144" i="20"/>
  <c r="BQ49" i="20" s="1"/>
  <c r="BQ5" i="20" s="1"/>
  <c r="BG58" i="25"/>
  <c r="DD60" i="20"/>
  <c r="BH58" i="25" s="1"/>
  <c r="BN87" i="20"/>
  <c r="AK85" i="25" s="1"/>
  <c r="I142" i="25"/>
  <c r="BN136" i="20"/>
  <c r="AK134" i="25" s="1"/>
  <c r="AJ134" i="25"/>
  <c r="BN115" i="20"/>
  <c r="AK113" i="25" s="1"/>
  <c r="G203" i="20"/>
  <c r="H203" i="20" s="1"/>
  <c r="J51" i="20"/>
  <c r="L210" i="20"/>
  <c r="AQ150" i="25"/>
  <c r="S152" i="20"/>
  <c r="K59" i="20"/>
  <c r="K115" i="20"/>
  <c r="J220" i="20"/>
  <c r="AJ75" i="25"/>
  <c r="BN77" i="20"/>
  <c r="AK75" i="25" s="1"/>
  <c r="AJ173" i="25"/>
  <c r="L175" i="20"/>
  <c r="BN175" i="20"/>
  <c r="K73" i="20"/>
  <c r="BN92" i="20"/>
  <c r="AK90" i="25" s="1"/>
  <c r="AI133" i="20"/>
  <c r="AJ133" i="20" s="1"/>
  <c r="S133" i="20" s="1"/>
  <c r="AI150" i="25"/>
  <c r="K152" i="20"/>
  <c r="AJ199" i="20"/>
  <c r="Z197" i="25" s="1"/>
  <c r="DD141" i="20"/>
  <c r="BH139" i="25" s="1"/>
  <c r="BA124" i="25"/>
  <c r="CX126" i="20"/>
  <c r="BB124" i="25" s="1"/>
  <c r="BA134" i="25"/>
  <c r="CX136" i="20"/>
  <c r="BB134" i="25" s="1"/>
  <c r="DD122" i="20"/>
  <c r="BH120" i="25" s="1"/>
  <c r="BL174" i="20"/>
  <c r="BS176" i="20"/>
  <c r="BT176" i="20" s="1"/>
  <c r="BT115" i="20"/>
  <c r="AQ113" i="25" s="1"/>
  <c r="S192" i="20"/>
  <c r="AD115" i="20"/>
  <c r="T113" i="25" s="1"/>
  <c r="DD140" i="20"/>
  <c r="BH138" i="25" s="1"/>
  <c r="BM156" i="20"/>
  <c r="AI154" i="25"/>
  <c r="K156" i="20"/>
  <c r="AO174" i="25"/>
  <c r="Q176" i="20"/>
  <c r="BM121" i="20"/>
  <c r="AO193" i="25"/>
  <c r="AI72" i="20"/>
  <c r="AJ72" i="20" s="1"/>
  <c r="Z70" i="25" s="1"/>
  <c r="R175" i="20"/>
  <c r="AP173" i="25"/>
  <c r="EM122" i="20"/>
  <c r="BX120" i="25" s="1"/>
  <c r="AQ173" i="25"/>
  <c r="S175" i="20"/>
  <c r="AO154" i="25"/>
  <c r="Q156" i="20"/>
  <c r="BS156" i="20"/>
  <c r="AJ174" i="25"/>
  <c r="L176" i="20"/>
  <c r="DD128" i="20"/>
  <c r="BH126" i="25" s="1"/>
  <c r="AP150" i="25"/>
  <c r="R152" i="20"/>
  <c r="AI174" i="25"/>
  <c r="K176" i="20"/>
  <c r="BN176" i="20"/>
  <c r="BM152" i="20"/>
  <c r="M218" i="20"/>
  <c r="BW121" i="25"/>
  <c r="EM103" i="20"/>
  <c r="R103" i="20" s="1"/>
  <c r="P98" i="20"/>
  <c r="AI110" i="20"/>
  <c r="Y108" i="25" s="1"/>
  <c r="Q110" i="20"/>
  <c r="AB144" i="20"/>
  <c r="AI78" i="20"/>
  <c r="Q134" i="20"/>
  <c r="K148" i="20"/>
  <c r="AC78" i="20"/>
  <c r="S76" i="25" s="1"/>
  <c r="AC148" i="20"/>
  <c r="AD148" i="20" s="1"/>
  <c r="T146" i="25" s="1"/>
  <c r="AD89" i="20"/>
  <c r="T87" i="25" s="1"/>
  <c r="S211" i="20"/>
  <c r="Q224" i="20"/>
  <c r="Q114" i="20"/>
  <c r="K99" i="20"/>
  <c r="S210" i="25"/>
  <c r="AI114" i="20"/>
  <c r="Y112" i="25" s="1"/>
  <c r="P226" i="20"/>
  <c r="Q88" i="20"/>
  <c r="AB226" i="20"/>
  <c r="K214" i="20"/>
  <c r="Q107" i="25"/>
  <c r="AB109" i="20"/>
  <c r="Q104" i="20"/>
  <c r="AD212" i="20"/>
  <c r="T210" i="25" s="1"/>
  <c r="AD119" i="20"/>
  <c r="T117" i="25" s="1"/>
  <c r="W96" i="25"/>
  <c r="X57" i="25"/>
  <c r="Q59" i="20"/>
  <c r="AC139" i="20"/>
  <c r="S137" i="25" s="1"/>
  <c r="AJ71" i="20"/>
  <c r="Z69" i="25" s="1"/>
  <c r="AD68" i="20"/>
  <c r="T66" i="25" s="1"/>
  <c r="R210" i="25"/>
  <c r="K212" i="20"/>
  <c r="BB56" i="25"/>
  <c r="M58" i="20"/>
  <c r="BS229" i="25"/>
  <c r="S91" i="25"/>
  <c r="L93" i="20"/>
  <c r="I61" i="25"/>
  <c r="H49" i="25"/>
  <c r="AI148" i="20"/>
  <c r="Y146" i="25" s="1"/>
  <c r="AC124" i="20"/>
  <c r="S122" i="25" s="1"/>
  <c r="Q96" i="25"/>
  <c r="BG102" i="25"/>
  <c r="DD104" i="20"/>
  <c r="BH102" i="25" s="1"/>
  <c r="CX64" i="20"/>
  <c r="BB62" i="25" s="1"/>
  <c r="L213" i="20"/>
  <c r="AI71" i="25"/>
  <c r="R93" i="20"/>
  <c r="AI130" i="20"/>
  <c r="Y128" i="25" s="1"/>
  <c r="K91" i="20"/>
  <c r="AC95" i="20"/>
  <c r="L95" i="20" s="1"/>
  <c r="CX111" i="20"/>
  <c r="K90" i="20"/>
  <c r="AJ93" i="20"/>
  <c r="Z91" i="25" s="1"/>
  <c r="AJ145" i="20"/>
  <c r="Z143" i="25" s="1"/>
  <c r="K128" i="20"/>
  <c r="P132" i="20"/>
  <c r="AC128" i="20"/>
  <c r="S126" i="25" s="1"/>
  <c r="AI126" i="20"/>
  <c r="H73" i="25"/>
  <c r="AH51" i="20"/>
  <c r="BG124" i="25"/>
  <c r="DD210" i="20"/>
  <c r="BH208" i="25" s="1"/>
  <c r="H61" i="25"/>
  <c r="P198" i="20"/>
  <c r="EH107" i="20"/>
  <c r="BS105" i="25" s="1"/>
  <c r="AI134" i="20"/>
  <c r="AJ134" i="20" s="1"/>
  <c r="AI80" i="20"/>
  <c r="Y78" i="25" s="1"/>
  <c r="Y92" i="25"/>
  <c r="AI102" i="20"/>
  <c r="Y100" i="25" s="1"/>
  <c r="BA125" i="25"/>
  <c r="CX127" i="20"/>
  <c r="AC91" i="20"/>
  <c r="AD91" i="20" s="1"/>
  <c r="T89" i="25" s="1"/>
  <c r="BA56" i="25"/>
  <c r="L58" i="20"/>
  <c r="EL98" i="20"/>
  <c r="N49" i="25"/>
  <c r="J226" i="20"/>
  <c r="H206" i="25"/>
  <c r="AC134" i="20"/>
  <c r="S132" i="25" s="1"/>
  <c r="AJ68" i="20"/>
  <c r="Z66" i="25" s="1"/>
  <c r="AJ59" i="20"/>
  <c r="Z57" i="25" s="1"/>
  <c r="BG109" i="25"/>
  <c r="BA208" i="25"/>
  <c r="CX210" i="20"/>
  <c r="BB208" i="25" s="1"/>
  <c r="AA49" i="20"/>
  <c r="AA5" i="20" s="1"/>
  <c r="BH144" i="25"/>
  <c r="Q102" i="20"/>
  <c r="BL63" i="20"/>
  <c r="BG62" i="25"/>
  <c r="DD64" i="20"/>
  <c r="EH106" i="20"/>
  <c r="BS104" i="25" s="1"/>
  <c r="S53" i="20"/>
  <c r="EH103" i="20"/>
  <c r="BS101" i="25" s="1"/>
  <c r="AH142" i="25"/>
  <c r="AC204" i="20"/>
  <c r="L204" i="20" s="1"/>
  <c r="X142" i="25"/>
  <c r="BT92" i="20"/>
  <c r="AQ90" i="25" s="1"/>
  <c r="AJ94" i="20"/>
  <c r="AB208" i="20"/>
  <c r="BW127" i="25"/>
  <c r="AO107" i="25"/>
  <c r="EN126" i="20"/>
  <c r="BY124" i="25" s="1"/>
  <c r="AI57" i="20"/>
  <c r="AJ57" i="20" s="1"/>
  <c r="Z55" i="25" s="1"/>
  <c r="AJ212" i="20"/>
  <c r="BT229" i="20"/>
  <c r="AQ227" i="25" s="1"/>
  <c r="CX141" i="20"/>
  <c r="BB139" i="25" s="1"/>
  <c r="K95" i="20"/>
  <c r="DD126" i="20"/>
  <c r="P208" i="20"/>
  <c r="G75" i="20"/>
  <c r="H75" i="20" s="1"/>
  <c r="AC118" i="20"/>
  <c r="S116" i="25" s="1"/>
  <c r="AJ136" i="20"/>
  <c r="AG49" i="20"/>
  <c r="AG5" i="20" s="1"/>
  <c r="W107" i="25"/>
  <c r="R136" i="20"/>
  <c r="AJ87" i="20"/>
  <c r="Q218" i="25"/>
  <c r="J75" i="20"/>
  <c r="K78" i="20"/>
  <c r="Q3" i="25"/>
  <c r="K111" i="20"/>
  <c r="H218" i="25"/>
  <c r="AI137" i="20"/>
  <c r="Y135" i="25" s="1"/>
  <c r="W3" i="25"/>
  <c r="Q201" i="20"/>
  <c r="AJ226" i="20"/>
  <c r="AI123" i="20"/>
  <c r="AI200" i="20"/>
  <c r="AJ200" i="20" s="1"/>
  <c r="Z198" i="25" s="1"/>
  <c r="AC111" i="20"/>
  <c r="L111" i="20" s="1"/>
  <c r="W49" i="25"/>
  <c r="AI206" i="20"/>
  <c r="Y204" i="25" s="1"/>
  <c r="Q206" i="25"/>
  <c r="AH75" i="20"/>
  <c r="R117" i="25"/>
  <c r="K119" i="20"/>
  <c r="R80" i="25"/>
  <c r="K82" i="20"/>
  <c r="AC82" i="20"/>
  <c r="AI73" i="20"/>
  <c r="Y71" i="25" s="1"/>
  <c r="AI77" i="20"/>
  <c r="Y75" i="25" s="1"/>
  <c r="W206" i="25"/>
  <c r="Q137" i="20"/>
  <c r="AD67" i="20"/>
  <c r="T65" i="25" s="1"/>
  <c r="K54" i="20"/>
  <c r="Q200" i="20"/>
  <c r="W218" i="25"/>
  <c r="L67" i="20"/>
  <c r="R55" i="25"/>
  <c r="K57" i="20"/>
  <c r="N107" i="25"/>
  <c r="G107" i="25" s="1"/>
  <c r="AD69" i="20"/>
  <c r="T67" i="25" s="1"/>
  <c r="AC113" i="20"/>
  <c r="AC129" i="20"/>
  <c r="S127" i="25" s="1"/>
  <c r="AC54" i="20"/>
  <c r="S52" i="25" s="1"/>
  <c r="R138" i="25"/>
  <c r="K140" i="20"/>
  <c r="AC140" i="20"/>
  <c r="R205" i="20"/>
  <c r="AC84" i="20"/>
  <c r="S82" i="25" s="1"/>
  <c r="AH198" i="20"/>
  <c r="Q198" i="20" s="1"/>
  <c r="AC57" i="20"/>
  <c r="R89" i="20"/>
  <c r="X80" i="25"/>
  <c r="Q82" i="20"/>
  <c r="T90" i="25"/>
  <c r="S97" i="25"/>
  <c r="T131" i="25"/>
  <c r="Y68" i="25"/>
  <c r="S133" i="25"/>
  <c r="Z140" i="25"/>
  <c r="Z50" i="25"/>
  <c r="S52" i="20"/>
  <c r="S62" i="25"/>
  <c r="L64" i="20"/>
  <c r="Y137" i="25"/>
  <c r="R139" i="20"/>
  <c r="Y136" i="25"/>
  <c r="R138" i="20"/>
  <c r="Y120" i="25"/>
  <c r="L99" i="20"/>
  <c r="R81" i="25"/>
  <c r="AC83" i="20"/>
  <c r="S81" i="25" s="1"/>
  <c r="AD135" i="20"/>
  <c r="X90" i="25"/>
  <c r="Q92" i="20"/>
  <c r="AI92" i="20"/>
  <c r="AJ92" i="20" s="1"/>
  <c r="R78" i="25"/>
  <c r="AC80" i="20"/>
  <c r="S78" i="25" s="1"/>
  <c r="R222" i="25"/>
  <c r="K224" i="20"/>
  <c r="X133" i="25"/>
  <c r="Q135" i="20"/>
  <c r="AI135" i="20"/>
  <c r="X126" i="25"/>
  <c r="Y62" i="25"/>
  <c r="R64" i="20"/>
  <c r="Q84" i="25"/>
  <c r="X88" i="25"/>
  <c r="Q90" i="20"/>
  <c r="R198" i="25"/>
  <c r="R196" i="25" s="1"/>
  <c r="AC200" i="20"/>
  <c r="X79" i="25"/>
  <c r="AI81" i="20"/>
  <c r="Y79" i="25" s="1"/>
  <c r="AJ90" i="20"/>
  <c r="Z88" i="25" s="1"/>
  <c r="S140" i="25"/>
  <c r="AC229" i="20"/>
  <c r="L229" i="20" s="1"/>
  <c r="R227" i="25"/>
  <c r="R224" i="25" s="1"/>
  <c r="R57" i="25"/>
  <c r="AD59" i="20"/>
  <c r="T57" i="25" s="1"/>
  <c r="R110" i="25"/>
  <c r="K112" i="20"/>
  <c r="X199" i="25"/>
  <c r="X196" i="25" s="1"/>
  <c r="AJ201" i="20"/>
  <c r="Z199" i="25" s="1"/>
  <c r="Q61" i="25"/>
  <c r="S203" i="25"/>
  <c r="L205" i="20"/>
  <c r="T74" i="25"/>
  <c r="W84" i="25"/>
  <c r="AB75" i="20"/>
  <c r="AH132" i="20"/>
  <c r="S222" i="25"/>
  <c r="L224" i="20"/>
  <c r="X109" i="25"/>
  <c r="Q111" i="20"/>
  <c r="AI111" i="20"/>
  <c r="AJ111" i="20" s="1"/>
  <c r="L112" i="20"/>
  <c r="AI115" i="20"/>
  <c r="AJ115" i="20" s="1"/>
  <c r="Q73" i="20"/>
  <c r="AC217" i="20"/>
  <c r="S215" i="25" s="1"/>
  <c r="AJ112" i="20"/>
  <c r="Y110" i="25"/>
  <c r="AC223" i="20"/>
  <c r="R221" i="25"/>
  <c r="K223" i="20"/>
  <c r="AD99" i="20"/>
  <c r="T97" i="25" s="1"/>
  <c r="X82" i="25"/>
  <c r="AI84" i="20"/>
  <c r="X122" i="25"/>
  <c r="AI124" i="20"/>
  <c r="R70" i="25"/>
  <c r="AC72" i="20"/>
  <c r="S70" i="25" s="1"/>
  <c r="Y117" i="25"/>
  <c r="S131" i="25"/>
  <c r="AI141" i="20"/>
  <c r="AJ141" i="20" s="1"/>
  <c r="AI118" i="20"/>
  <c r="Y116" i="25" s="1"/>
  <c r="X116" i="25"/>
  <c r="AJ139" i="20"/>
  <c r="R94" i="25"/>
  <c r="AC96" i="20"/>
  <c r="S94" i="25" s="1"/>
  <c r="AI210" i="20"/>
  <c r="AJ210" i="20" s="1"/>
  <c r="Z208" i="25" s="1"/>
  <c r="K79" i="20"/>
  <c r="X212" i="25"/>
  <c r="AJ214" i="20"/>
  <c r="Z212" i="25" s="1"/>
  <c r="Y140" i="25"/>
  <c r="AD224" i="20"/>
  <c r="W201" i="25"/>
  <c r="X125" i="25"/>
  <c r="G203" i="25"/>
  <c r="I203" i="25" s="1"/>
  <c r="N201" i="25"/>
  <c r="N61" i="25"/>
  <c r="G62" i="25"/>
  <c r="I62" i="25" s="1"/>
  <c r="R71" i="25"/>
  <c r="AC73" i="20"/>
  <c r="X222" i="25"/>
  <c r="AJ224" i="20"/>
  <c r="Z222" i="25" s="1"/>
  <c r="X62" i="25"/>
  <c r="AH63" i="20"/>
  <c r="Q64" i="20"/>
  <c r="AJ64" i="20"/>
  <c r="R135" i="25"/>
  <c r="K137" i="20"/>
  <c r="AD137" i="20"/>
  <c r="X210" i="25"/>
  <c r="Q212" i="20"/>
  <c r="AB132" i="20"/>
  <c r="R134" i="25"/>
  <c r="K136" i="20"/>
  <c r="AC136" i="20"/>
  <c r="AD136" i="20" s="1"/>
  <c r="R136" i="25"/>
  <c r="K138" i="20"/>
  <c r="AC138" i="20"/>
  <c r="AD138" i="20" s="1"/>
  <c r="X93" i="25"/>
  <c r="AI95" i="20"/>
  <c r="Y93" i="25" s="1"/>
  <c r="Q95" i="20"/>
  <c r="R69" i="25"/>
  <c r="K71" i="20"/>
  <c r="X67" i="25"/>
  <c r="AJ69" i="20"/>
  <c r="Z67" i="25" s="1"/>
  <c r="Q69" i="20"/>
  <c r="Q56" i="20"/>
  <c r="AC81" i="20"/>
  <c r="S79" i="25" s="1"/>
  <c r="Z211" i="25"/>
  <c r="AH144" i="20"/>
  <c r="R202" i="25"/>
  <c r="R201" i="25" s="1"/>
  <c r="AB203" i="20"/>
  <c r="R64" i="25"/>
  <c r="AC66" i="20"/>
  <c r="S64" i="25" s="1"/>
  <c r="R90" i="20"/>
  <c r="Q122" i="20"/>
  <c r="AH109" i="20"/>
  <c r="X113" i="25"/>
  <c r="R212" i="20"/>
  <c r="J208" i="20"/>
  <c r="H224" i="25"/>
  <c r="J203" i="20"/>
  <c r="G220" i="20"/>
  <c r="H220" i="20" s="1"/>
  <c r="R124" i="25"/>
  <c r="AC126" i="20"/>
  <c r="S124" i="25" s="1"/>
  <c r="AC79" i="20"/>
  <c r="Z58" i="25"/>
  <c r="T58" i="25"/>
  <c r="M60" i="20"/>
  <c r="X50" i="25"/>
  <c r="Q52" i="20"/>
  <c r="R207" i="25"/>
  <c r="AC209" i="20"/>
  <c r="AD209" i="20" s="1"/>
  <c r="K84" i="20"/>
  <c r="R91" i="25"/>
  <c r="K93" i="20"/>
  <c r="AD93" i="20"/>
  <c r="T91" i="25" s="1"/>
  <c r="Y63" i="25"/>
  <c r="R65" i="20"/>
  <c r="X81" i="25"/>
  <c r="AJ83" i="20"/>
  <c r="Z81" i="25" s="1"/>
  <c r="N130" i="25"/>
  <c r="X221" i="25"/>
  <c r="AI223" i="20"/>
  <c r="AJ223" i="20" s="1"/>
  <c r="T92" i="25"/>
  <c r="R50" i="25"/>
  <c r="K52" i="20"/>
  <c r="AC52" i="20"/>
  <c r="AD52" i="20" s="1"/>
  <c r="X68" i="25"/>
  <c r="Q70" i="20"/>
  <c r="AJ216" i="20"/>
  <c r="Z214" i="25" s="1"/>
  <c r="Y214" i="25"/>
  <c r="S68" i="25"/>
  <c r="L70" i="20"/>
  <c r="AC88" i="20"/>
  <c r="AD88" i="20" s="1"/>
  <c r="AB86" i="20"/>
  <c r="X111" i="25"/>
  <c r="AI113" i="20"/>
  <c r="Y111" i="25" s="1"/>
  <c r="AI147" i="20"/>
  <c r="AJ147" i="20" s="1"/>
  <c r="Z145" i="25" s="1"/>
  <c r="G218" i="25"/>
  <c r="AJ70" i="20"/>
  <c r="Z68" i="25" s="1"/>
  <c r="W61" i="25"/>
  <c r="S135" i="25"/>
  <c r="X220" i="25"/>
  <c r="AH220" i="20"/>
  <c r="Q222" i="20"/>
  <c r="AI222" i="20"/>
  <c r="AJ222" i="20" s="1"/>
  <c r="X55" i="25"/>
  <c r="X202" i="25"/>
  <c r="X201" i="25" s="1"/>
  <c r="AH203" i="20"/>
  <c r="AI204" i="20"/>
  <c r="AD71" i="20"/>
  <c r="N206" i="25"/>
  <c r="Q113" i="20"/>
  <c r="H196" i="25"/>
  <c r="P220" i="20"/>
  <c r="K81" i="20"/>
  <c r="Y74" i="25"/>
  <c r="AD70" i="20"/>
  <c r="AJ122" i="20"/>
  <c r="AB51" i="20"/>
  <c r="AC215" i="20"/>
  <c r="R213" i="25"/>
  <c r="Z117" i="25"/>
  <c r="AI128" i="20"/>
  <c r="Y126" i="25" s="1"/>
  <c r="R108" i="25"/>
  <c r="K110" i="20"/>
  <c r="AC110" i="20"/>
  <c r="AD110" i="20" s="1"/>
  <c r="R220" i="25"/>
  <c r="AB220" i="20"/>
  <c r="AC222" i="20"/>
  <c r="AD112" i="20"/>
  <c r="T110" i="25" s="1"/>
  <c r="Y211" i="25"/>
  <c r="R213" i="20"/>
  <c r="R100" i="25"/>
  <c r="AC102" i="20"/>
  <c r="AD102" i="20" s="1"/>
  <c r="T100" i="25" s="1"/>
  <c r="K102" i="20"/>
  <c r="AJ76" i="20"/>
  <c r="AJ89" i="20"/>
  <c r="Z87" i="25" s="1"/>
  <c r="R133" i="25"/>
  <c r="K135" i="20"/>
  <c r="X120" i="25"/>
  <c r="AH121" i="20"/>
  <c r="R63" i="25"/>
  <c r="K65" i="20"/>
  <c r="S90" i="25"/>
  <c r="L92" i="20"/>
  <c r="X137" i="25"/>
  <c r="Q139" i="20"/>
  <c r="S69" i="25"/>
  <c r="AB121" i="20"/>
  <c r="R120" i="25"/>
  <c r="AC122" i="20"/>
  <c r="AD122" i="20" s="1"/>
  <c r="R62" i="25"/>
  <c r="AB63" i="20"/>
  <c r="K64" i="20"/>
  <c r="AB4" i="20"/>
  <c r="R97" i="25"/>
  <c r="AB98" i="20"/>
  <c r="Y50" i="25"/>
  <c r="R52" i="20"/>
  <c r="AH4" i="20"/>
  <c r="AH208" i="20"/>
  <c r="H142" i="25"/>
  <c r="Q130" i="25"/>
  <c r="Q201" i="25"/>
  <c r="O63" i="20"/>
  <c r="AF49" i="20"/>
  <c r="AI56" i="20"/>
  <c r="Y54" i="25" s="1"/>
  <c r="R121" i="25"/>
  <c r="AC123" i="20"/>
  <c r="S121" i="25" s="1"/>
  <c r="X127" i="25"/>
  <c r="AI129" i="20"/>
  <c r="AJ129" i="20" s="1"/>
  <c r="Z127" i="25" s="1"/>
  <c r="AD64" i="20"/>
  <c r="N84" i="25"/>
  <c r="G84" i="25" s="1"/>
  <c r="X136" i="25"/>
  <c r="Q138" i="20"/>
  <c r="AJ138" i="20"/>
  <c r="X207" i="25"/>
  <c r="Q209" i="20"/>
  <c r="AI209" i="20"/>
  <c r="AC214" i="20"/>
  <c r="K88" i="20"/>
  <c r="Q141" i="20"/>
  <c r="N3" i="25"/>
  <c r="Q118" i="20"/>
  <c r="P203" i="20"/>
  <c r="AJ82" i="20"/>
  <c r="Z80" i="25" s="1"/>
  <c r="T85" i="25"/>
  <c r="X97" i="25"/>
  <c r="X96" i="25" s="1"/>
  <c r="AH98" i="20"/>
  <c r="AI99" i="20"/>
  <c r="AH86" i="20"/>
  <c r="V61" i="25"/>
  <c r="V3" i="25"/>
  <c r="AC114" i="20"/>
  <c r="S112" i="25" s="1"/>
  <c r="R112" i="25"/>
  <c r="R111" i="25"/>
  <c r="K113" i="20"/>
  <c r="AI127" i="20"/>
  <c r="Y125" i="25" s="1"/>
  <c r="W130" i="25"/>
  <c r="R68" i="25"/>
  <c r="K70" i="20"/>
  <c r="AC65" i="20"/>
  <c r="BR170" i="20"/>
  <c r="AQ66" i="25"/>
  <c r="AE3" i="25"/>
  <c r="BN95" i="20"/>
  <c r="AK93" i="25" s="1"/>
  <c r="AH3" i="25"/>
  <c r="BT95" i="20"/>
  <c r="AQ93" i="25" s="1"/>
  <c r="AN61" i="25"/>
  <c r="BM172" i="20"/>
  <c r="BN172" i="20" s="1"/>
  <c r="AI170" i="25"/>
  <c r="K172" i="20"/>
  <c r="BT206" i="20"/>
  <c r="S171" i="20"/>
  <c r="AQ169" i="25"/>
  <c r="AP115" i="25"/>
  <c r="BT117" i="20"/>
  <c r="AQ115" i="25" s="1"/>
  <c r="AK55" i="25"/>
  <c r="AO170" i="25"/>
  <c r="Q172" i="20"/>
  <c r="AO149" i="25"/>
  <c r="AO142" i="25" s="1"/>
  <c r="Q151" i="20"/>
  <c r="AK190" i="25"/>
  <c r="M167" i="20"/>
  <c r="AK165" i="25"/>
  <c r="BR4" i="20"/>
  <c r="BS109" i="20"/>
  <c r="AI119" i="25"/>
  <c r="BN73" i="20"/>
  <c r="G149" i="25"/>
  <c r="I149" i="25" s="1"/>
  <c r="AE142" i="25"/>
  <c r="BM158" i="20"/>
  <c r="AJ156" i="25" s="1"/>
  <c r="AI49" i="25"/>
  <c r="BK144" i="20"/>
  <c r="BK49" i="20" s="1"/>
  <c r="BK5" i="20" s="1"/>
  <c r="BS151" i="20"/>
  <c r="BT151" i="20" s="1"/>
  <c r="AJ149" i="25"/>
  <c r="L151" i="20"/>
  <c r="AQ54" i="25"/>
  <c r="AQ55" i="25"/>
  <c r="BT172" i="20"/>
  <c r="BT170" i="20" s="1"/>
  <c r="R172" i="20"/>
  <c r="BS170" i="20"/>
  <c r="AP170" i="25"/>
  <c r="BL4" i="20"/>
  <c r="S180" i="20"/>
  <c r="BN194" i="20"/>
  <c r="BS195" i="20"/>
  <c r="BR194" i="20"/>
  <c r="AO192" i="25" s="1"/>
  <c r="BL150" i="20"/>
  <c r="AI148" i="25" s="1"/>
  <c r="AP54" i="25"/>
  <c r="AK149" i="25"/>
  <c r="M151" i="20"/>
  <c r="AH168" i="25"/>
  <c r="BM170" i="20"/>
  <c r="BN170" i="20" s="1"/>
  <c r="R82" i="20"/>
  <c r="EN82" i="20"/>
  <c r="BY80" i="25" s="1"/>
  <c r="Q123" i="20"/>
  <c r="K125" i="20"/>
  <c r="K227" i="20"/>
  <c r="EN123" i="20"/>
  <c r="BY121" i="25" s="1"/>
  <c r="EN129" i="20"/>
  <c r="BY127" i="25" s="1"/>
  <c r="BM73" i="25"/>
  <c r="G73" i="25" s="1"/>
  <c r="R199" i="20"/>
  <c r="BQ201" i="25"/>
  <c r="BR76" i="25"/>
  <c r="EH78" i="20"/>
  <c r="EH124" i="20" s="1"/>
  <c r="EN200" i="20"/>
  <c r="EN198" i="20" s="1"/>
  <c r="Q129" i="20"/>
  <c r="EE4" i="20"/>
  <c r="J4" i="20" s="1"/>
  <c r="EM99" i="20"/>
  <c r="BX97" i="25" s="1"/>
  <c r="BW218" i="25"/>
  <c r="BR199" i="25"/>
  <c r="BP96" i="25"/>
  <c r="BX78" i="25"/>
  <c r="EF198" i="20"/>
  <c r="BQ197" i="25"/>
  <c r="BW103" i="25"/>
  <c r="EM105" i="20"/>
  <c r="BR219" i="25"/>
  <c r="EG220" i="20"/>
  <c r="BP196" i="25"/>
  <c r="EH146" i="20"/>
  <c r="BS144" i="25" s="1"/>
  <c r="EH221" i="20"/>
  <c r="BS219" i="25" s="1"/>
  <c r="BS218" i="25" s="1"/>
  <c r="K199" i="20"/>
  <c r="BN119" i="25"/>
  <c r="H119" i="25" s="1"/>
  <c r="EH214" i="20"/>
  <c r="BS212" i="25" s="1"/>
  <c r="BM206" i="25"/>
  <c r="EG200" i="20"/>
  <c r="EG198" i="20" s="1"/>
  <c r="BQ103" i="25"/>
  <c r="BQ96" i="25" s="1"/>
  <c r="EG105" i="20"/>
  <c r="EF98" i="20"/>
  <c r="BX125" i="25"/>
  <c r="L146" i="20"/>
  <c r="Q206" i="20"/>
  <c r="BP142" i="25"/>
  <c r="BV224" i="25"/>
  <c r="ED49" i="20"/>
  <c r="ED5" i="20" s="1"/>
  <c r="EH230" i="20"/>
  <c r="BS228" i="25" s="1"/>
  <c r="BX105" i="25"/>
  <c r="EN107" i="20"/>
  <c r="BY105" i="25" s="1"/>
  <c r="BW126" i="25"/>
  <c r="Q128" i="20"/>
  <c r="BP224" i="25"/>
  <c r="EE49" i="20"/>
  <c r="EE5" i="20" s="1"/>
  <c r="EG76" i="20"/>
  <c r="BR74" i="25" s="1"/>
  <c r="EN230" i="20"/>
  <c r="BY228" i="25" s="1"/>
  <c r="EH80" i="20"/>
  <c r="BS78" i="25" s="1"/>
  <c r="BR229" i="25"/>
  <c r="L231" i="20"/>
  <c r="EH125" i="20"/>
  <c r="BS77" i="25"/>
  <c r="R227" i="20"/>
  <c r="BS214" i="25"/>
  <c r="M216" i="20"/>
  <c r="BX76" i="25"/>
  <c r="EH83" i="20"/>
  <c r="BR81" i="25"/>
  <c r="EG129" i="20"/>
  <c r="BY225" i="25"/>
  <c r="BR225" i="25"/>
  <c r="EG226" i="20"/>
  <c r="EH227" i="20"/>
  <c r="BY199" i="25"/>
  <c r="BX128" i="25"/>
  <c r="BX81" i="25"/>
  <c r="R83" i="20"/>
  <c r="BY213" i="25"/>
  <c r="BY219" i="25"/>
  <c r="EN130" i="20"/>
  <c r="BM120" i="25"/>
  <c r="G122" i="20"/>
  <c r="H122" i="20" s="1"/>
  <c r="BW122" i="25"/>
  <c r="Q124" i="20"/>
  <c r="BM122" i="25"/>
  <c r="G122" i="25" s="1"/>
  <c r="I122" i="25" s="1"/>
  <c r="G124" i="20"/>
  <c r="H124" i="20" s="1"/>
  <c r="BM125" i="25"/>
  <c r="G125" i="25" s="1"/>
  <c r="I125" i="25" s="1"/>
  <c r="G127" i="20"/>
  <c r="H127" i="20" s="1"/>
  <c r="BV122" i="25"/>
  <c r="P124" i="20"/>
  <c r="BV73" i="25"/>
  <c r="BM201" i="25"/>
  <c r="BX212" i="25"/>
  <c r="R214" i="20"/>
  <c r="EN214" i="20"/>
  <c r="BX202" i="25"/>
  <c r="EG130" i="20"/>
  <c r="BR82" i="25"/>
  <c r="BW125" i="25"/>
  <c r="Q127" i="20"/>
  <c r="BW229" i="25"/>
  <c r="BW224" i="25" s="1"/>
  <c r="Q231" i="20"/>
  <c r="EH77" i="20"/>
  <c r="K77" i="20"/>
  <c r="BQ75" i="25"/>
  <c r="EF123" i="20"/>
  <c r="BQ125" i="25"/>
  <c r="K127" i="20"/>
  <c r="BN3" i="25"/>
  <c r="H3" i="25" s="1"/>
  <c r="BW82" i="25"/>
  <c r="Q84" i="20"/>
  <c r="BV206" i="25"/>
  <c r="BP206" i="25"/>
  <c r="BW97" i="25"/>
  <c r="Q99" i="20"/>
  <c r="EN128" i="20"/>
  <c r="BR213" i="25"/>
  <c r="EH215" i="20"/>
  <c r="BX229" i="25"/>
  <c r="BP121" i="25"/>
  <c r="J123" i="20"/>
  <c r="BW196" i="25"/>
  <c r="BM142" i="25"/>
  <c r="G145" i="25"/>
  <c r="I145" i="25" s="1"/>
  <c r="EH84" i="20"/>
  <c r="BM127" i="25"/>
  <c r="G127" i="25" s="1"/>
  <c r="I127" i="25" s="1"/>
  <c r="G129" i="20"/>
  <c r="H129" i="20" s="1"/>
  <c r="BP120" i="25"/>
  <c r="J122" i="20"/>
  <c r="EM124" i="20"/>
  <c r="EN124" i="20" s="1"/>
  <c r="BQ122" i="25"/>
  <c r="K124" i="20"/>
  <c r="O121" i="20"/>
  <c r="EJ49" i="20"/>
  <c r="BX227" i="25"/>
  <c r="EN229" i="20"/>
  <c r="R229" i="20"/>
  <c r="BY215" i="25"/>
  <c r="BR197" i="25"/>
  <c r="EH199" i="20"/>
  <c r="M199" i="20" s="1"/>
  <c r="BW75" i="25"/>
  <c r="Q77" i="20"/>
  <c r="EM77" i="20"/>
  <c r="BR208" i="25"/>
  <c r="K80" i="20"/>
  <c r="BQ78" i="25"/>
  <c r="EF126" i="20"/>
  <c r="BP128" i="25"/>
  <c r="J130" i="20"/>
  <c r="BX79" i="25"/>
  <c r="EN224" i="20"/>
  <c r="BY222" i="25" s="1"/>
  <c r="BX222" i="25"/>
  <c r="BR79" i="25"/>
  <c r="EG127" i="20"/>
  <c r="BW208" i="25"/>
  <c r="BW206" i="25" s="1"/>
  <c r="EL208" i="20"/>
  <c r="BR214" i="25"/>
  <c r="L216" i="20"/>
  <c r="EH81" i="20"/>
  <c r="BW128" i="25"/>
  <c r="Q130" i="20"/>
  <c r="BR78" i="25"/>
  <c r="EG126" i="20"/>
  <c r="EM84" i="20"/>
  <c r="EM210" i="20"/>
  <c r="EN210" i="20" s="1"/>
  <c r="EB4" i="20"/>
  <c r="G4" i="20" s="1"/>
  <c r="L199" i="20"/>
  <c r="BM124" i="25"/>
  <c r="G124" i="25" s="1"/>
  <c r="I124" i="25" s="1"/>
  <c r="G126" i="20"/>
  <c r="H126" i="20" s="1"/>
  <c r="BM121" i="25"/>
  <c r="G121" i="25" s="1"/>
  <c r="I121" i="25" s="1"/>
  <c r="G123" i="20"/>
  <c r="H123" i="20" s="1"/>
  <c r="EF122" i="20"/>
  <c r="BQ74" i="25"/>
  <c r="EF75" i="20"/>
  <c r="EF121" i="20" s="1"/>
  <c r="BX197" i="25"/>
  <c r="EM198" i="20"/>
  <c r="BR97" i="25"/>
  <c r="EH99" i="20"/>
  <c r="BM196" i="25"/>
  <c r="G196" i="25" s="1"/>
  <c r="BS202" i="25"/>
  <c r="BQ145" i="25"/>
  <c r="BQ142" i="25" s="1"/>
  <c r="EG147" i="20"/>
  <c r="K147" i="20"/>
  <c r="BV128" i="25"/>
  <c r="P130" i="20"/>
  <c r="BQ215" i="25"/>
  <c r="BQ206" i="25" s="1"/>
  <c r="EG217" i="20"/>
  <c r="K217" i="20"/>
  <c r="BQ128" i="25"/>
  <c r="K130" i="20"/>
  <c r="BP122" i="25"/>
  <c r="J124" i="20"/>
  <c r="BQ198" i="25"/>
  <c r="K200" i="20"/>
  <c r="BP124" i="25"/>
  <c r="J126" i="20"/>
  <c r="EN231" i="20"/>
  <c r="EG203" i="20"/>
  <c r="BP73" i="25"/>
  <c r="J129" i="20"/>
  <c r="BP127" i="25"/>
  <c r="BV125" i="25"/>
  <c r="P127" i="20"/>
  <c r="BW76" i="25"/>
  <c r="Q78" i="20"/>
  <c r="EL226" i="20"/>
  <c r="BR146" i="25"/>
  <c r="EH148" i="20"/>
  <c r="BW78" i="25"/>
  <c r="EN80" i="20"/>
  <c r="BY78" i="25" s="1"/>
  <c r="Q80" i="20"/>
  <c r="EH210" i="20"/>
  <c r="EN78" i="20"/>
  <c r="BV196" i="25"/>
  <c r="BX213" i="25"/>
  <c r="EF144" i="20"/>
  <c r="BR201" i="25"/>
  <c r="EF208" i="20"/>
  <c r="BM128" i="25"/>
  <c r="G128" i="25" s="1"/>
  <c r="I128" i="25" s="1"/>
  <c r="G130" i="20"/>
  <c r="H130" i="20" s="1"/>
  <c r="BM224" i="25"/>
  <c r="G224" i="25" s="1"/>
  <c r="P75" i="20"/>
  <c r="EK121" i="20"/>
  <c r="P121" i="20" s="1"/>
  <c r="EH206" i="20"/>
  <c r="BS204" i="25" s="1"/>
  <c r="EN81" i="20"/>
  <c r="BY79" i="25" s="1"/>
  <c r="EF226" i="20"/>
  <c r="BQ225" i="25"/>
  <c r="BQ224" i="25" s="1"/>
  <c r="BY197" i="25"/>
  <c r="EN127" i="20"/>
  <c r="BR102" i="25"/>
  <c r="EH104" i="20"/>
  <c r="BO119" i="25"/>
  <c r="I119" i="25" s="1"/>
  <c r="BO3" i="25"/>
  <c r="I3" i="25" s="1"/>
  <c r="BX199" i="25"/>
  <c r="R201" i="20"/>
  <c r="BY214" i="25"/>
  <c r="BW81" i="25"/>
  <c r="Q83" i="20"/>
  <c r="EN83" i="20"/>
  <c r="BY81" i="25" s="1"/>
  <c r="EM76" i="20"/>
  <c r="EN76" i="20" s="1"/>
  <c r="BY74" i="25" s="1"/>
  <c r="BW74" i="25"/>
  <c r="EL75" i="20"/>
  <c r="EL121" i="20" s="1"/>
  <c r="Q76" i="20"/>
  <c r="BQ81" i="25"/>
  <c r="K83" i="20"/>
  <c r="EF129" i="20"/>
  <c r="BW204" i="25"/>
  <c r="BW201" i="25" s="1"/>
  <c r="EM206" i="20"/>
  <c r="EN206" i="20" s="1"/>
  <c r="BY202" i="25"/>
  <c r="BX225" i="25"/>
  <c r="EM226" i="20"/>
  <c r="BX219" i="25"/>
  <c r="EM220" i="20"/>
  <c r="BR75" i="25"/>
  <c r="EG123" i="20"/>
  <c r="BP125" i="25"/>
  <c r="J127" i="20"/>
  <c r="AJ132" i="25"/>
  <c r="AK64" i="25"/>
  <c r="AQ94" i="25"/>
  <c r="AI176" i="25"/>
  <c r="AJ87" i="25"/>
  <c r="L89" i="20"/>
  <c r="AJ66" i="25"/>
  <c r="BN68" i="20"/>
  <c r="AK153" i="25"/>
  <c r="M155" i="20"/>
  <c r="AH184" i="25"/>
  <c r="G64" i="25"/>
  <c r="I64" i="25" s="1"/>
  <c r="AE61" i="25"/>
  <c r="BT155" i="20"/>
  <c r="AP153" i="25"/>
  <c r="R155" i="20"/>
  <c r="AH61" i="25"/>
  <c r="Q54" i="20"/>
  <c r="AO52" i="25"/>
  <c r="AO49" i="25" s="1"/>
  <c r="BR51" i="20"/>
  <c r="AJ94" i="25"/>
  <c r="AP218" i="25"/>
  <c r="AI94" i="25"/>
  <c r="AI84" i="25" s="1"/>
  <c r="K96" i="20"/>
  <c r="BN195" i="20"/>
  <c r="L195" i="20"/>
  <c r="AJ193" i="25"/>
  <c r="AQ222" i="25"/>
  <c r="BN129" i="20"/>
  <c r="Q187" i="20"/>
  <c r="AO185" i="25"/>
  <c r="BR186" i="20"/>
  <c r="AQ71" i="25"/>
  <c r="AJ52" i="25"/>
  <c r="AK57" i="25"/>
  <c r="BS54" i="20"/>
  <c r="BT188" i="20"/>
  <c r="AP186" i="25"/>
  <c r="R188" i="20"/>
  <c r="AO64" i="25"/>
  <c r="Q66" i="20"/>
  <c r="BS66" i="20"/>
  <c r="AN3" i="25"/>
  <c r="O144" i="20"/>
  <c r="BP49" i="20"/>
  <c r="BP5" i="20" s="1"/>
  <c r="AI132" i="25"/>
  <c r="K134" i="20"/>
  <c r="BN134" i="20"/>
  <c r="BN96" i="20"/>
  <c r="AP93" i="25"/>
  <c r="BN105" i="20"/>
  <c r="AK103" i="25" s="1"/>
  <c r="BN80" i="20"/>
  <c r="AK78" i="25" s="1"/>
  <c r="AJ57" i="25"/>
  <c r="BM186" i="20"/>
  <c r="AJ184" i="25" s="1"/>
  <c r="G52" i="25"/>
  <c r="I52" i="25" s="1"/>
  <c r="AE49" i="25"/>
  <c r="BS187" i="20"/>
  <c r="AJ124" i="25"/>
  <c r="BN126" i="20"/>
  <c r="BL86" i="20"/>
  <c r="AK185" i="25"/>
  <c r="M187" i="20"/>
  <c r="AQ132" i="25"/>
  <c r="AJ64" i="25"/>
  <c r="AP94" i="25"/>
  <c r="AI186" i="25"/>
  <c r="K188" i="20"/>
  <c r="BM188" i="20"/>
  <c r="BM86" i="20"/>
  <c r="AP101" i="25"/>
  <c r="BT103" i="20"/>
  <c r="AQ101" i="25" s="1"/>
  <c r="AP66" i="25"/>
  <c r="G96" i="25"/>
  <c r="AK197" i="25"/>
  <c r="AK51" i="25"/>
  <c r="BM109" i="20"/>
  <c r="AJ137" i="25"/>
  <c r="AJ51" i="25"/>
  <c r="BM51" i="20"/>
  <c r="L53" i="20"/>
  <c r="BN139" i="20"/>
  <c r="AI107" i="25"/>
  <c r="AJ98" i="25"/>
  <c r="BN100" i="20"/>
  <c r="AQ123" i="25"/>
  <c r="AQ51" i="25"/>
  <c r="AJ67" i="25"/>
  <c r="AJ176" i="25"/>
  <c r="BN178" i="20"/>
  <c r="AK176" i="25" s="1"/>
  <c r="BS190" i="20"/>
  <c r="AP188" i="25" s="1"/>
  <c r="AP189" i="25"/>
  <c r="R191" i="20"/>
  <c r="T144" i="25"/>
  <c r="AI188" i="25"/>
  <c r="BN190" i="20"/>
  <c r="AK188" i="25" s="1"/>
  <c r="BT191" i="20"/>
  <c r="BT178" i="20"/>
  <c r="AQ177" i="25"/>
  <c r="S179" i="20"/>
  <c r="AK226" i="25"/>
  <c r="BB210" i="25"/>
  <c r="BB207" i="25"/>
  <c r="BA207" i="25"/>
  <c r="BH101" i="25"/>
  <c r="BB74" i="25"/>
  <c r="S103" i="25"/>
  <c r="AK110" i="25"/>
  <c r="AK117" i="25"/>
  <c r="BB85" i="25"/>
  <c r="T115" i="25"/>
  <c r="S101" i="25"/>
  <c r="L103" i="20"/>
  <c r="BA101" i="25"/>
  <c r="CX103" i="20"/>
  <c r="S53" i="25"/>
  <c r="BA86" i="25"/>
  <c r="BW123" i="25"/>
  <c r="Q125" i="20"/>
  <c r="AD103" i="20"/>
  <c r="BB93" i="25"/>
  <c r="AP98" i="25"/>
  <c r="G123" i="25"/>
  <c r="I123" i="25" s="1"/>
  <c r="R100" i="20"/>
  <c r="BT106" i="20"/>
  <c r="AQ104" i="25" s="1"/>
  <c r="BT100" i="20"/>
  <c r="AK100" i="25"/>
  <c r="S114" i="25"/>
  <c r="L116" i="20"/>
  <c r="AD116" i="20"/>
  <c r="AQ131" i="25"/>
  <c r="Y99" i="25"/>
  <c r="Z224" i="25"/>
  <c r="BB204" i="25"/>
  <c r="AK108" i="25"/>
  <c r="BH81" i="25"/>
  <c r="S59" i="25"/>
  <c r="BA74" i="25"/>
  <c r="AP116" i="25"/>
  <c r="BB80" i="25"/>
  <c r="AP131" i="25"/>
  <c r="AJ101" i="20"/>
  <c r="BB70" i="25"/>
  <c r="BA70" i="25"/>
  <c r="BT118" i="20"/>
  <c r="BG86" i="25"/>
  <c r="BI5" i="20"/>
  <c r="AQ135" i="25"/>
  <c r="AQ112" i="25"/>
  <c r="BG101" i="25"/>
  <c r="AP135" i="25"/>
  <c r="EM125" i="20"/>
  <c r="EN125" i="20" s="1"/>
  <c r="Z115" i="25"/>
  <c r="AK109" i="25"/>
  <c r="AJ112" i="25"/>
  <c r="BB88" i="25"/>
  <c r="BN114" i="20"/>
  <c r="BH80" i="25"/>
  <c r="AK111" i="25"/>
  <c r="BA88" i="25"/>
  <c r="AD61" i="20"/>
  <c r="Y104" i="25"/>
  <c r="R106" i="20"/>
  <c r="AP111" i="25"/>
  <c r="AD105" i="20"/>
  <c r="T228" i="25"/>
  <c r="BB91" i="25"/>
  <c r="AJ116" i="25"/>
  <c r="BN118" i="20"/>
  <c r="L227" i="20"/>
  <c r="S225" i="25"/>
  <c r="AD227" i="20"/>
  <c r="BY77" i="25"/>
  <c r="AD55" i="20"/>
  <c r="CX88" i="20"/>
  <c r="Z104" i="25"/>
  <c r="DD88" i="20"/>
  <c r="AQ111" i="25"/>
  <c r="Z114" i="25"/>
  <c r="EN104" i="20" l="1"/>
  <c r="S212" i="20"/>
  <c r="BR218" i="25"/>
  <c r="BT182" i="20"/>
  <c r="AQ180" i="25" s="1"/>
  <c r="S184" i="20"/>
  <c r="AQ182" i="25"/>
  <c r="R184" i="20"/>
  <c r="BS182" i="20"/>
  <c r="AP180" i="25" s="1"/>
  <c r="AP182" i="25"/>
  <c r="AQ158" i="25"/>
  <c r="S160" i="20"/>
  <c r="AJ182" i="25"/>
  <c r="AK182" i="25"/>
  <c r="L184" i="20"/>
  <c r="AJ119" i="25"/>
  <c r="BN182" i="20"/>
  <c r="AK180" i="25" s="1"/>
  <c r="S163" i="20"/>
  <c r="AP161" i="25"/>
  <c r="R163" i="20"/>
  <c r="BM63" i="20"/>
  <c r="M205" i="20"/>
  <c r="BN72" i="20"/>
  <c r="AK70" i="25" s="1"/>
  <c r="AO84" i="25"/>
  <c r="M163" i="20"/>
  <c r="AO130" i="25"/>
  <c r="AI73" i="25"/>
  <c r="BS226" i="20"/>
  <c r="BN203" i="20"/>
  <c r="M53" i="20"/>
  <c r="BM226" i="20"/>
  <c r="BN230" i="20"/>
  <c r="AK228" i="25" s="1"/>
  <c r="AK224" i="25" s="1"/>
  <c r="CX140" i="20"/>
  <c r="BB138" i="25" s="1"/>
  <c r="L230" i="20"/>
  <c r="AJ224" i="25"/>
  <c r="BN51" i="20"/>
  <c r="L141" i="20"/>
  <c r="BN141" i="20"/>
  <c r="AK139" i="25" s="1"/>
  <c r="BT230" i="20"/>
  <c r="AQ228" i="25" s="1"/>
  <c r="AQ224" i="25" s="1"/>
  <c r="BM154" i="20"/>
  <c r="AJ152" i="25" s="1"/>
  <c r="BS121" i="20"/>
  <c r="BT126" i="20"/>
  <c r="AQ124" i="25" s="1"/>
  <c r="AQ119" i="25" s="1"/>
  <c r="DD105" i="20"/>
  <c r="BH103" i="25" s="1"/>
  <c r="L77" i="20"/>
  <c r="AD77" i="20"/>
  <c r="T75" i="25" s="1"/>
  <c r="R104" i="20"/>
  <c r="M212" i="20"/>
  <c r="L104" i="20"/>
  <c r="AJ104" i="20"/>
  <c r="Z102" i="25" s="1"/>
  <c r="AD125" i="20"/>
  <c r="T123" i="25" s="1"/>
  <c r="S123" i="25"/>
  <c r="L90" i="20"/>
  <c r="L201" i="20"/>
  <c r="AD130" i="20"/>
  <c r="T128" i="25" s="1"/>
  <c r="BN221" i="20"/>
  <c r="M221" i="20" s="1"/>
  <c r="L221" i="20"/>
  <c r="AJ219" i="25"/>
  <c r="AJ218" i="25" s="1"/>
  <c r="BN168" i="20"/>
  <c r="AK166" i="25" s="1"/>
  <c r="AJ166" i="25"/>
  <c r="AK131" i="25"/>
  <c r="BM132" i="20"/>
  <c r="AJ131" i="25"/>
  <c r="AJ130" i="25" s="1"/>
  <c r="BT220" i="20"/>
  <c r="L133" i="20"/>
  <c r="AO73" i="25"/>
  <c r="S222" i="20"/>
  <c r="BT69" i="20"/>
  <c r="AQ67" i="25" s="1"/>
  <c r="AI96" i="25"/>
  <c r="BN198" i="20"/>
  <c r="AK196" i="25"/>
  <c r="S228" i="20"/>
  <c r="S196" i="20"/>
  <c r="BS132" i="20"/>
  <c r="BM98" i="20"/>
  <c r="L106" i="20"/>
  <c r="AJ104" i="25"/>
  <c r="BM162" i="20"/>
  <c r="AJ160" i="25" s="1"/>
  <c r="I5" i="20"/>
  <c r="AO61" i="25"/>
  <c r="BT167" i="20"/>
  <c r="S167" i="20" s="1"/>
  <c r="AP165" i="25"/>
  <c r="BS166" i="20"/>
  <c r="AP164" i="25" s="1"/>
  <c r="AI130" i="25"/>
  <c r="AI61" i="25"/>
  <c r="AI142" i="25"/>
  <c r="BS98" i="20"/>
  <c r="BS63" i="20"/>
  <c r="M87" i="20"/>
  <c r="R142" i="20"/>
  <c r="BT142" i="20"/>
  <c r="BN166" i="20"/>
  <c r="AK164" i="25" s="1"/>
  <c r="AK162" i="25"/>
  <c r="AP68" i="25"/>
  <c r="BT70" i="20"/>
  <c r="AQ68" i="25" s="1"/>
  <c r="S213" i="20"/>
  <c r="S65" i="20"/>
  <c r="CX215" i="20"/>
  <c r="BB213" i="25" s="1"/>
  <c r="CW208" i="20"/>
  <c r="L105" i="20"/>
  <c r="CX105" i="20"/>
  <c r="BB103" i="25" s="1"/>
  <c r="S116" i="20"/>
  <c r="DD127" i="20"/>
  <c r="BH125" i="25" s="1"/>
  <c r="EL145" i="20"/>
  <c r="BW143" i="25" s="1"/>
  <c r="AJ82" i="25"/>
  <c r="AJ73" i="25" s="1"/>
  <c r="BN84" i="20"/>
  <c r="AK82" i="25" s="1"/>
  <c r="AK73" i="25" s="1"/>
  <c r="AP82" i="25"/>
  <c r="AP73" i="25" s="1"/>
  <c r="BT84" i="20"/>
  <c r="AQ82" i="25" s="1"/>
  <c r="AQ73" i="25" s="1"/>
  <c r="G130" i="25"/>
  <c r="AP105" i="25"/>
  <c r="AP96" i="25" s="1"/>
  <c r="BT107" i="20"/>
  <c r="AQ105" i="25" s="1"/>
  <c r="AP86" i="25"/>
  <c r="AP84" i="25" s="1"/>
  <c r="BT88" i="20"/>
  <c r="AQ86" i="25" s="1"/>
  <c r="AQ84" i="25" s="1"/>
  <c r="M92" i="20"/>
  <c r="AJ105" i="25"/>
  <c r="BN107" i="20"/>
  <c r="AK105" i="25" s="1"/>
  <c r="AJ125" i="20"/>
  <c r="Z123" i="25" s="1"/>
  <c r="AJ79" i="20"/>
  <c r="Z77" i="25" s="1"/>
  <c r="R79" i="20"/>
  <c r="AD90" i="20"/>
  <c r="T88" i="25" s="1"/>
  <c r="R80" i="20"/>
  <c r="R122" i="20"/>
  <c r="EN122" i="20"/>
  <c r="BY120" i="25" s="1"/>
  <c r="L68" i="20"/>
  <c r="Q132" i="20"/>
  <c r="DC98" i="20"/>
  <c r="R230" i="20"/>
  <c r="R101" i="20"/>
  <c r="K132" i="20"/>
  <c r="BG206" i="25"/>
  <c r="L56" i="20"/>
  <c r="CX203" i="20"/>
  <c r="M231" i="20"/>
  <c r="BB201" i="25"/>
  <c r="L69" i="20"/>
  <c r="S205" i="20"/>
  <c r="R96" i="20"/>
  <c r="AJ217" i="20"/>
  <c r="Z215" i="25" s="1"/>
  <c r="R217" i="20"/>
  <c r="Y131" i="25"/>
  <c r="R215" i="20"/>
  <c r="L206" i="20"/>
  <c r="Q86" i="20"/>
  <c r="S227" i="20"/>
  <c r="DD77" i="20"/>
  <c r="BH75" i="25" s="1"/>
  <c r="L55" i="20"/>
  <c r="K51" i="20"/>
  <c r="AZ96" i="25"/>
  <c r="DD113" i="20"/>
  <c r="BH111" i="25" s="1"/>
  <c r="BG111" i="25"/>
  <c r="S100" i="20"/>
  <c r="DD124" i="20"/>
  <c r="BH122" i="25" s="1"/>
  <c r="CW98" i="20"/>
  <c r="Q220" i="20"/>
  <c r="R69" i="20"/>
  <c r="CX55" i="20"/>
  <c r="BB53" i="25" s="1"/>
  <c r="L59" i="20"/>
  <c r="DD115" i="20"/>
  <c r="BH113" i="25" s="1"/>
  <c r="R224" i="20"/>
  <c r="R68" i="20"/>
  <c r="BB224" i="25"/>
  <c r="BA52" i="25"/>
  <c r="CX54" i="20"/>
  <c r="BB52" i="25" s="1"/>
  <c r="BG142" i="25"/>
  <c r="BG73" i="25"/>
  <c r="K220" i="20"/>
  <c r="Q121" i="20"/>
  <c r="AZ119" i="25"/>
  <c r="Q63" i="20"/>
  <c r="DD198" i="20"/>
  <c r="DC121" i="20"/>
  <c r="AZ49" i="25"/>
  <c r="AZ130" i="25"/>
  <c r="BB92" i="25"/>
  <c r="M94" i="20"/>
  <c r="DD117" i="20"/>
  <c r="BH115" i="25" s="1"/>
  <c r="DD66" i="20"/>
  <c r="BH64" i="25" s="1"/>
  <c r="K203" i="20"/>
  <c r="BF142" i="25"/>
  <c r="DB49" i="20"/>
  <c r="DB5" i="20" s="1"/>
  <c r="BA64" i="25"/>
  <c r="CX66" i="20"/>
  <c r="BB64" i="25" s="1"/>
  <c r="CW63" i="20"/>
  <c r="DC75" i="20"/>
  <c r="BF3" i="25"/>
  <c r="Q226" i="20"/>
  <c r="R91" i="20"/>
  <c r="DD147" i="20"/>
  <c r="BA54" i="25"/>
  <c r="CX56" i="20"/>
  <c r="BB54" i="25" s="1"/>
  <c r="CV49" i="20"/>
  <c r="CV5" i="20" s="1"/>
  <c r="AZ61" i="25"/>
  <c r="BG121" i="25"/>
  <c r="BG119" i="25" s="1"/>
  <c r="AZ73" i="25"/>
  <c r="S136" i="20"/>
  <c r="R78" i="20"/>
  <c r="K198" i="20"/>
  <c r="CW75" i="20"/>
  <c r="CW121" i="20"/>
  <c r="DC132" i="20"/>
  <c r="BF107" i="25"/>
  <c r="R71" i="20"/>
  <c r="BF130" i="25"/>
  <c r="DD231" i="20"/>
  <c r="BH229" i="25" s="1"/>
  <c r="R117" i="20"/>
  <c r="BA115" i="25"/>
  <c r="L117" i="20"/>
  <c r="M228" i="20"/>
  <c r="R231" i="20"/>
  <c r="DD69" i="20"/>
  <c r="BH67" i="25" s="1"/>
  <c r="DC63" i="20"/>
  <c r="BF73" i="25"/>
  <c r="Q203" i="20"/>
  <c r="DC109" i="20"/>
  <c r="AZ142" i="25"/>
  <c r="BF49" i="25"/>
  <c r="DD78" i="20"/>
  <c r="BH76" i="25" s="1"/>
  <c r="CX73" i="20"/>
  <c r="BB71" i="25" s="1"/>
  <c r="CW51" i="20"/>
  <c r="DD215" i="20"/>
  <c r="BH213" i="25" s="1"/>
  <c r="BH206" i="25" s="1"/>
  <c r="BF61" i="25"/>
  <c r="CW109" i="20"/>
  <c r="BA117" i="25"/>
  <c r="CX119" i="20"/>
  <c r="BB117" i="25" s="1"/>
  <c r="K109" i="20"/>
  <c r="DC208" i="20"/>
  <c r="DD84" i="20"/>
  <c r="BH82" i="25" s="1"/>
  <c r="AZ107" i="25"/>
  <c r="CX117" i="20"/>
  <c r="BB99" i="25"/>
  <c r="M101" i="20"/>
  <c r="BH228" i="25"/>
  <c r="BG219" i="25"/>
  <c r="DD221" i="20"/>
  <c r="DD91" i="20"/>
  <c r="R94" i="20"/>
  <c r="CX124" i="20"/>
  <c r="BB122" i="25" s="1"/>
  <c r="BA135" i="25"/>
  <c r="CX137" i="20"/>
  <c r="BB135" i="25" s="1"/>
  <c r="BA99" i="25"/>
  <c r="BA96" i="25" s="1"/>
  <c r="L101" i="20"/>
  <c r="BA224" i="25"/>
  <c r="BF84" i="25"/>
  <c r="BA133" i="25"/>
  <c r="CX135" i="20"/>
  <c r="BB133" i="25" s="1"/>
  <c r="CX84" i="20"/>
  <c r="BB82" i="25" s="1"/>
  <c r="DD94" i="20"/>
  <c r="BH92" i="25" s="1"/>
  <c r="DD71" i="20"/>
  <c r="BH69" i="25" s="1"/>
  <c r="BG228" i="25"/>
  <c r="BG224" i="25" s="1"/>
  <c r="DC226" i="20"/>
  <c r="DD96" i="20"/>
  <c r="BH94" i="25" s="1"/>
  <c r="BG84" i="25"/>
  <c r="CW86" i="20"/>
  <c r="M211" i="20"/>
  <c r="BA146" i="25"/>
  <c r="BA142" i="25" s="1"/>
  <c r="CX148" i="20"/>
  <c r="M148" i="20" s="1"/>
  <c r="DD101" i="20"/>
  <c r="BH99" i="25" s="1"/>
  <c r="CX59" i="20"/>
  <c r="BB57" i="25" s="1"/>
  <c r="BG202" i="25"/>
  <c r="BG201" i="25" s="1"/>
  <c r="DC203" i="20"/>
  <c r="DD204" i="20"/>
  <c r="DC144" i="20"/>
  <c r="DC86" i="20"/>
  <c r="BA198" i="25"/>
  <c r="BA196" i="25" s="1"/>
  <c r="CW198" i="20"/>
  <c r="BF218" i="25"/>
  <c r="DD68" i="20"/>
  <c r="BH66" i="25" s="1"/>
  <c r="BA92" i="25"/>
  <c r="L94" i="20"/>
  <c r="R59" i="20"/>
  <c r="AZ84" i="25"/>
  <c r="CX69" i="20"/>
  <c r="BB67" i="25" s="1"/>
  <c r="BG135" i="25"/>
  <c r="DD137" i="20"/>
  <c r="BH135" i="25" s="1"/>
  <c r="BG132" i="25"/>
  <c r="DD134" i="20"/>
  <c r="BH132" i="25" s="1"/>
  <c r="R55" i="20"/>
  <c r="DD55" i="20"/>
  <c r="BG53" i="25"/>
  <c r="CX71" i="20"/>
  <c r="BB69" i="25" s="1"/>
  <c r="BA69" i="25"/>
  <c r="CX91" i="20"/>
  <c r="BB89" i="25" s="1"/>
  <c r="BA89" i="25"/>
  <c r="BA112" i="25"/>
  <c r="CX114" i="20"/>
  <c r="BB112" i="25" s="1"/>
  <c r="BA132" i="25"/>
  <c r="CX134" i="20"/>
  <c r="BB132" i="25" s="1"/>
  <c r="BG112" i="25"/>
  <c r="DD114" i="20"/>
  <c r="BH112" i="25" s="1"/>
  <c r="DD59" i="20"/>
  <c r="BH57" i="25" s="1"/>
  <c r="BG133" i="25"/>
  <c r="DD135" i="20"/>
  <c r="BH133" i="25" s="1"/>
  <c r="CX68" i="20"/>
  <c r="M68" i="20" s="1"/>
  <c r="CX78" i="20"/>
  <c r="BA76" i="25"/>
  <c r="BA73" i="25" s="1"/>
  <c r="CX200" i="20"/>
  <c r="L142" i="20"/>
  <c r="S58" i="20"/>
  <c r="BA212" i="25"/>
  <c r="BA206" i="25" s="1"/>
  <c r="CX214" i="20"/>
  <c r="BA218" i="25"/>
  <c r="BG117" i="25"/>
  <c r="DD119" i="20"/>
  <c r="BG59" i="25"/>
  <c r="DD61" i="20"/>
  <c r="R61" i="20"/>
  <c r="CW132" i="20"/>
  <c r="DC51" i="20"/>
  <c r="DC4" i="20"/>
  <c r="BG71" i="25"/>
  <c r="BG61" i="25" s="1"/>
  <c r="DD73" i="20"/>
  <c r="BH71" i="25" s="1"/>
  <c r="CW4" i="20"/>
  <c r="Q109" i="20"/>
  <c r="BA59" i="25"/>
  <c r="CX61" i="20"/>
  <c r="M61" i="20" s="1"/>
  <c r="BG222" i="25"/>
  <c r="DC220" i="20"/>
  <c r="BG140" i="25"/>
  <c r="DD142" i="20"/>
  <c r="BG96" i="25"/>
  <c r="CX142" i="20"/>
  <c r="CX220" i="20"/>
  <c r="AZ3" i="25"/>
  <c r="CX96" i="20"/>
  <c r="BB94" i="25" s="1"/>
  <c r="BB218" i="25"/>
  <c r="CX226" i="20"/>
  <c r="S67" i="20"/>
  <c r="AD147" i="20"/>
  <c r="T145" i="25" s="1"/>
  <c r="AJ88" i="20"/>
  <c r="R114" i="20"/>
  <c r="AD56" i="20"/>
  <c r="T54" i="25" s="1"/>
  <c r="R88" i="20"/>
  <c r="L139" i="20"/>
  <c r="Q51" i="20"/>
  <c r="M210" i="20"/>
  <c r="BV143" i="25"/>
  <c r="S54" i="25"/>
  <c r="AQ198" i="25"/>
  <c r="AQ196" i="25" s="1"/>
  <c r="BT198" i="20"/>
  <c r="R115" i="20"/>
  <c r="AD104" i="20"/>
  <c r="T102" i="25" s="1"/>
  <c r="M89" i="20"/>
  <c r="AD206" i="20"/>
  <c r="T204" i="25" s="1"/>
  <c r="BA119" i="25"/>
  <c r="M213" i="20"/>
  <c r="AD201" i="20"/>
  <c r="T199" i="25" s="1"/>
  <c r="J144" i="20"/>
  <c r="AD127" i="20"/>
  <c r="T125" i="25" s="1"/>
  <c r="EG75" i="20"/>
  <c r="EG121" i="20" s="1"/>
  <c r="K226" i="20"/>
  <c r="AJ114" i="20"/>
  <c r="Z112" i="25" s="1"/>
  <c r="AJ66" i="20"/>
  <c r="Z64" i="25" s="1"/>
  <c r="AJ54" i="20"/>
  <c r="Z52" i="25" s="1"/>
  <c r="AJ96" i="20"/>
  <c r="Y138" i="25"/>
  <c r="AJ140" i="20"/>
  <c r="S143" i="25"/>
  <c r="L145" i="20"/>
  <c r="AD145" i="20"/>
  <c r="S216" i="20"/>
  <c r="EG122" i="20"/>
  <c r="L122" i="20" s="1"/>
  <c r="S218" i="20"/>
  <c r="Z216" i="25"/>
  <c r="L78" i="20"/>
  <c r="AD78" i="20"/>
  <c r="T76" i="25" s="1"/>
  <c r="BM4" i="20"/>
  <c r="G142" i="25"/>
  <c r="AJ215" i="20"/>
  <c r="Z213" i="25" s="1"/>
  <c r="S199" i="20"/>
  <c r="S60" i="20"/>
  <c r="R200" i="20"/>
  <c r="M106" i="20"/>
  <c r="R84" i="25"/>
  <c r="AI63" i="20"/>
  <c r="L128" i="20"/>
  <c r="S72" i="20"/>
  <c r="R133" i="20"/>
  <c r="L84" i="20"/>
  <c r="AD128" i="20"/>
  <c r="M128" i="20" s="1"/>
  <c r="R72" i="20"/>
  <c r="M115" i="20"/>
  <c r="K63" i="20"/>
  <c r="Y70" i="25"/>
  <c r="Y61" i="25" s="1"/>
  <c r="AJ102" i="20"/>
  <c r="Z100" i="25" s="1"/>
  <c r="BS174" i="20"/>
  <c r="AP172" i="25" s="1"/>
  <c r="AP174" i="25"/>
  <c r="R176" i="20"/>
  <c r="AC203" i="20"/>
  <c r="L203" i="20" s="1"/>
  <c r="BT156" i="20"/>
  <c r="R156" i="20"/>
  <c r="AP154" i="25"/>
  <c r="AQ174" i="25"/>
  <c r="BT174" i="20"/>
  <c r="AQ172" i="25" s="1"/>
  <c r="S176" i="20"/>
  <c r="AI172" i="25"/>
  <c r="BM174" i="20"/>
  <c r="AJ148" i="20"/>
  <c r="Z146" i="25" s="1"/>
  <c r="Z142" i="25" s="1"/>
  <c r="AJ150" i="25"/>
  <c r="L152" i="20"/>
  <c r="AK174" i="25"/>
  <c r="M176" i="20"/>
  <c r="BN152" i="20"/>
  <c r="L156" i="20"/>
  <c r="AJ154" i="25"/>
  <c r="BN156" i="20"/>
  <c r="AI98" i="20"/>
  <c r="AK173" i="25"/>
  <c r="M175" i="20"/>
  <c r="Q98" i="20"/>
  <c r="EN103" i="20"/>
  <c r="BX101" i="25"/>
  <c r="AJ77" i="20"/>
  <c r="Z75" i="25" s="1"/>
  <c r="R73" i="20"/>
  <c r="S146" i="25"/>
  <c r="AC144" i="20"/>
  <c r="K86" i="20"/>
  <c r="L124" i="20"/>
  <c r="Z134" i="25"/>
  <c r="Y76" i="25"/>
  <c r="AJ78" i="20"/>
  <c r="Z76" i="25" s="1"/>
  <c r="Z210" i="25"/>
  <c r="AJ130" i="20"/>
  <c r="Z128" i="25" s="1"/>
  <c r="L88" i="20"/>
  <c r="AD118" i="20"/>
  <c r="T116" i="25" s="1"/>
  <c r="L118" i="20"/>
  <c r="AC51" i="20"/>
  <c r="L54" i="20"/>
  <c r="L148" i="20"/>
  <c r="AD124" i="20"/>
  <c r="T122" i="25" s="1"/>
  <c r="R102" i="20"/>
  <c r="AD54" i="20"/>
  <c r="T52" i="25" s="1"/>
  <c r="AJ73" i="20"/>
  <c r="Z71" i="25" s="1"/>
  <c r="AD139" i="20"/>
  <c r="T137" i="25" s="1"/>
  <c r="R110" i="20"/>
  <c r="AJ110" i="20"/>
  <c r="R56" i="20"/>
  <c r="S109" i="25"/>
  <c r="J5" i="20"/>
  <c r="S201" i="20"/>
  <c r="Z132" i="25"/>
  <c r="BH124" i="25"/>
  <c r="BT109" i="20"/>
  <c r="AI3" i="25"/>
  <c r="EN99" i="20"/>
  <c r="BY97" i="25" s="1"/>
  <c r="S202" i="25"/>
  <c r="S201" i="25" s="1"/>
  <c r="S89" i="25"/>
  <c r="L91" i="20"/>
  <c r="M146" i="20"/>
  <c r="G49" i="25"/>
  <c r="R130" i="20"/>
  <c r="AJ80" i="20"/>
  <c r="Z78" i="25" s="1"/>
  <c r="AD81" i="20"/>
  <c r="T79" i="25" s="1"/>
  <c r="BH5" i="20"/>
  <c r="Y124" i="25"/>
  <c r="R126" i="20"/>
  <c r="BH49" i="20"/>
  <c r="EH220" i="20"/>
  <c r="AD114" i="20"/>
  <c r="T112" i="25" s="1"/>
  <c r="AJ206" i="20"/>
  <c r="Z204" i="25" s="1"/>
  <c r="Y132" i="25"/>
  <c r="R134" i="20"/>
  <c r="L76" i="20"/>
  <c r="EH76" i="20"/>
  <c r="M76" i="20" s="1"/>
  <c r="Q208" i="20"/>
  <c r="AQ218" i="25"/>
  <c r="M112" i="20"/>
  <c r="BN86" i="20"/>
  <c r="K208" i="20"/>
  <c r="BW96" i="25"/>
  <c r="AI86" i="20"/>
  <c r="R96" i="25"/>
  <c r="AI75" i="20"/>
  <c r="X73" i="25"/>
  <c r="AD204" i="20"/>
  <c r="M204" i="20" s="1"/>
  <c r="S93" i="20"/>
  <c r="BB109" i="25"/>
  <c r="X206" i="25"/>
  <c r="BB125" i="25"/>
  <c r="AD134" i="20"/>
  <c r="T132" i="25" s="1"/>
  <c r="EM98" i="20"/>
  <c r="S93" i="25"/>
  <c r="AD95" i="20"/>
  <c r="T93" i="25" s="1"/>
  <c r="AJ126" i="20"/>
  <c r="BY198" i="25"/>
  <c r="BY196" i="25" s="1"/>
  <c r="L209" i="20"/>
  <c r="R105" i="20"/>
  <c r="AJ84" i="25"/>
  <c r="L134" i="20"/>
  <c r="Y55" i="25"/>
  <c r="Y49" i="25" s="1"/>
  <c r="R57" i="20"/>
  <c r="Z92" i="25"/>
  <c r="BH62" i="25"/>
  <c r="S90" i="20"/>
  <c r="L81" i="20"/>
  <c r="R49" i="25"/>
  <c r="AD111" i="20"/>
  <c r="X130" i="25"/>
  <c r="Y198" i="25"/>
  <c r="Y196" i="25" s="1"/>
  <c r="AI198" i="20"/>
  <c r="R198" i="20" s="1"/>
  <c r="AC75" i="20"/>
  <c r="S138" i="25"/>
  <c r="L140" i="20"/>
  <c r="R137" i="20"/>
  <c r="R95" i="20"/>
  <c r="R128" i="20"/>
  <c r="K121" i="20"/>
  <c r="R99" i="20"/>
  <c r="AI208" i="20"/>
  <c r="R206" i="25"/>
  <c r="X218" i="25"/>
  <c r="AI121" i="20"/>
  <c r="S55" i="25"/>
  <c r="L57" i="20"/>
  <c r="Y121" i="25"/>
  <c r="R123" i="20"/>
  <c r="Z85" i="25"/>
  <c r="S87" i="20"/>
  <c r="AC109" i="20"/>
  <c r="X49" i="25"/>
  <c r="R3" i="25"/>
  <c r="R73" i="25"/>
  <c r="R113" i="20"/>
  <c r="L114" i="20"/>
  <c r="M102" i="20"/>
  <c r="Y113" i="25"/>
  <c r="AD96" i="20"/>
  <c r="T94" i="25" s="1"/>
  <c r="X3" i="25"/>
  <c r="X84" i="25"/>
  <c r="AD57" i="20"/>
  <c r="S80" i="25"/>
  <c r="L82" i="20"/>
  <c r="AD82" i="20"/>
  <c r="AJ123" i="20"/>
  <c r="Z121" i="25" s="1"/>
  <c r="AD129" i="20"/>
  <c r="T127" i="25" s="1"/>
  <c r="AD140" i="20"/>
  <c r="R81" i="20"/>
  <c r="R130" i="25"/>
  <c r="AB49" i="20"/>
  <c r="AB5" i="20" s="1"/>
  <c r="AJ137" i="20"/>
  <c r="S111" i="25"/>
  <c r="L113" i="20"/>
  <c r="X107" i="25"/>
  <c r="M67" i="20"/>
  <c r="S57" i="20"/>
  <c r="AD84" i="20"/>
  <c r="T82" i="25" s="1"/>
  <c r="AJ95" i="20"/>
  <c r="Z93" i="25" s="1"/>
  <c r="AJ113" i="20"/>
  <c r="Z111" i="25" s="1"/>
  <c r="AD113" i="20"/>
  <c r="T86" i="25"/>
  <c r="Z90" i="25"/>
  <c r="S92" i="20"/>
  <c r="T207" i="25"/>
  <c r="M209" i="20"/>
  <c r="Z139" i="25"/>
  <c r="S141" i="20"/>
  <c r="T134" i="25"/>
  <c r="M136" i="20"/>
  <c r="T108" i="25"/>
  <c r="M110" i="20"/>
  <c r="T136" i="25"/>
  <c r="M138" i="20"/>
  <c r="Z109" i="25"/>
  <c r="S111" i="20"/>
  <c r="S221" i="25"/>
  <c r="L223" i="20"/>
  <c r="AD223" i="20"/>
  <c r="T133" i="25"/>
  <c r="Z221" i="25"/>
  <c r="S223" i="20"/>
  <c r="X61" i="25"/>
  <c r="AD83" i="20"/>
  <c r="T81" i="25" s="1"/>
  <c r="G201" i="25"/>
  <c r="Z74" i="25"/>
  <c r="Z131" i="25"/>
  <c r="AD66" i="20"/>
  <c r="AJ118" i="20"/>
  <c r="Z116" i="25" s="1"/>
  <c r="T222" i="25"/>
  <c r="M224" i="20"/>
  <c r="AD80" i="20"/>
  <c r="T78" i="25" s="1"/>
  <c r="S212" i="25"/>
  <c r="L214" i="20"/>
  <c r="AI4" i="20"/>
  <c r="Y127" i="25"/>
  <c r="R129" i="20"/>
  <c r="AC4" i="20"/>
  <c r="T69" i="25"/>
  <c r="AC132" i="20"/>
  <c r="AC63" i="20"/>
  <c r="K98" i="20"/>
  <c r="S63" i="25"/>
  <c r="L65" i="20"/>
  <c r="AH49" i="20"/>
  <c r="AH5" i="20" s="1"/>
  <c r="Y208" i="25"/>
  <c r="S200" i="20"/>
  <c r="Z136" i="25"/>
  <c r="S138" i="20"/>
  <c r="R61" i="25"/>
  <c r="S100" i="25"/>
  <c r="S96" i="25" s="1"/>
  <c r="L102" i="20"/>
  <c r="T68" i="25"/>
  <c r="M70" i="20"/>
  <c r="Y145" i="25"/>
  <c r="Y142" i="25" s="1"/>
  <c r="AI144" i="20"/>
  <c r="Y221" i="25"/>
  <c r="R223" i="20"/>
  <c r="AJ198" i="20"/>
  <c r="S71" i="25"/>
  <c r="AD73" i="20"/>
  <c r="T71" i="25" s="1"/>
  <c r="L73" i="20"/>
  <c r="Z137" i="25"/>
  <c r="S139" i="20"/>
  <c r="AJ81" i="20"/>
  <c r="Z79" i="25" s="1"/>
  <c r="AJ128" i="20"/>
  <c r="Z126" i="25" s="1"/>
  <c r="Y133" i="25"/>
  <c r="R135" i="20"/>
  <c r="S220" i="25"/>
  <c r="AD222" i="20"/>
  <c r="AC220" i="20"/>
  <c r="L220" i="20" s="1"/>
  <c r="L222" i="20"/>
  <c r="S227" i="25"/>
  <c r="S224" i="25" s="1"/>
  <c r="AD229" i="20"/>
  <c r="AD226" i="20" s="1"/>
  <c r="AD123" i="20"/>
  <c r="T121" i="25" s="1"/>
  <c r="Y139" i="25"/>
  <c r="R141" i="20"/>
  <c r="L83" i="20"/>
  <c r="L80" i="20"/>
  <c r="AF5" i="20"/>
  <c r="X5" i="20" s="1"/>
  <c r="X49" i="20"/>
  <c r="T120" i="25"/>
  <c r="R107" i="25"/>
  <c r="Y82" i="25"/>
  <c r="AJ84" i="20"/>
  <c r="Z82" i="25" s="1"/>
  <c r="Z196" i="25"/>
  <c r="AC98" i="20"/>
  <c r="T62" i="25"/>
  <c r="M64" i="20"/>
  <c r="S134" i="25"/>
  <c r="L136" i="20"/>
  <c r="Z62" i="25"/>
  <c r="S64" i="20"/>
  <c r="Z220" i="25"/>
  <c r="AJ220" i="20"/>
  <c r="S213" i="25"/>
  <c r="AD215" i="20"/>
  <c r="T213" i="25" s="1"/>
  <c r="S77" i="25"/>
  <c r="L79" i="20"/>
  <c r="L72" i="20"/>
  <c r="AD214" i="20"/>
  <c r="R218" i="25"/>
  <c r="AD126" i="20"/>
  <c r="T124" i="25" s="1"/>
  <c r="AJ127" i="20"/>
  <c r="Z125" i="25" s="1"/>
  <c r="Y109" i="25"/>
  <c r="R111" i="20"/>
  <c r="R127" i="20"/>
  <c r="Z110" i="25"/>
  <c r="S112" i="20"/>
  <c r="M93" i="20"/>
  <c r="S108" i="25"/>
  <c r="L110" i="20"/>
  <c r="Y202" i="25"/>
  <c r="Y201" i="25" s="1"/>
  <c r="AI203" i="20"/>
  <c r="AJ204" i="20"/>
  <c r="Y97" i="25"/>
  <c r="Y96" i="25" s="1"/>
  <c r="AJ99" i="20"/>
  <c r="Z97" i="25" s="1"/>
  <c r="AI51" i="20"/>
  <c r="S120" i="25"/>
  <c r="AC121" i="20"/>
  <c r="S207" i="25"/>
  <c r="AC208" i="20"/>
  <c r="AJ135" i="20"/>
  <c r="S136" i="25"/>
  <c r="L138" i="20"/>
  <c r="T135" i="25"/>
  <c r="Y90" i="25"/>
  <c r="Y84" i="25" s="1"/>
  <c r="R92" i="20"/>
  <c r="AJ209" i="20"/>
  <c r="Y207" i="25"/>
  <c r="R209" i="20"/>
  <c r="R119" i="25"/>
  <c r="X119" i="25"/>
  <c r="Y220" i="25"/>
  <c r="AI220" i="20"/>
  <c r="R222" i="20"/>
  <c r="T50" i="25"/>
  <c r="M52" i="20"/>
  <c r="AD217" i="20"/>
  <c r="T215" i="25" s="1"/>
  <c r="S89" i="20"/>
  <c r="AJ56" i="20"/>
  <c r="S198" i="25"/>
  <c r="S196" i="25" s="1"/>
  <c r="AC198" i="20"/>
  <c r="AD72" i="20"/>
  <c r="Z120" i="25"/>
  <c r="AI132" i="20"/>
  <c r="AD79" i="20"/>
  <c r="Y122" i="25"/>
  <c r="AJ124" i="20"/>
  <c r="Z122" i="25" s="1"/>
  <c r="AC226" i="20"/>
  <c r="S82" i="20"/>
  <c r="R118" i="20"/>
  <c r="AI109" i="20"/>
  <c r="L66" i="20"/>
  <c r="G61" i="25"/>
  <c r="G206" i="25"/>
  <c r="L96" i="20"/>
  <c r="L215" i="20"/>
  <c r="R204" i="20"/>
  <c r="AD65" i="20"/>
  <c r="S86" i="25"/>
  <c r="AC86" i="20"/>
  <c r="S50" i="25"/>
  <c r="L52" i="20"/>
  <c r="AD200" i="20"/>
  <c r="AP107" i="25"/>
  <c r="S106" i="20"/>
  <c r="BS4" i="20"/>
  <c r="AQ149" i="25"/>
  <c r="AQ142" i="25" s="1"/>
  <c r="S151" i="20"/>
  <c r="AJ61" i="25"/>
  <c r="BN188" i="20"/>
  <c r="AK186" i="25" s="1"/>
  <c r="BN158" i="20"/>
  <c r="AK156" i="25" s="1"/>
  <c r="AQ204" i="25"/>
  <c r="AQ201" i="25" s="1"/>
  <c r="BT203" i="20"/>
  <c r="AJ49" i="25"/>
  <c r="BT54" i="20"/>
  <c r="BT51" i="20" s="1"/>
  <c r="AK170" i="25"/>
  <c r="M172" i="20"/>
  <c r="AP149" i="25"/>
  <c r="AP142" i="25" s="1"/>
  <c r="R151" i="20"/>
  <c r="BM150" i="20"/>
  <c r="AJ170" i="25"/>
  <c r="L172" i="20"/>
  <c r="AK49" i="25"/>
  <c r="BL144" i="20"/>
  <c r="BL49" i="20" s="1"/>
  <c r="BL5" i="20" s="1"/>
  <c r="AO3" i="25"/>
  <c r="AP193" i="25"/>
  <c r="BT195" i="20"/>
  <c r="R195" i="20"/>
  <c r="BS194" i="20"/>
  <c r="AP192" i="25" s="1"/>
  <c r="AQ170" i="25"/>
  <c r="S172" i="20"/>
  <c r="AK71" i="25"/>
  <c r="BS76" i="25"/>
  <c r="EK146" i="20"/>
  <c r="EL146" i="20" s="1"/>
  <c r="Q146" i="20" s="1"/>
  <c r="S129" i="20"/>
  <c r="EH200" i="20"/>
  <c r="EH198" i="20" s="1"/>
  <c r="L200" i="20"/>
  <c r="BR198" i="25"/>
  <c r="BR196" i="25" s="1"/>
  <c r="BQ196" i="25"/>
  <c r="R210" i="20"/>
  <c r="BX218" i="25"/>
  <c r="BW119" i="25"/>
  <c r="EG98" i="20"/>
  <c r="BX224" i="25"/>
  <c r="BX196" i="25"/>
  <c r="BP3" i="25"/>
  <c r="K75" i="20"/>
  <c r="BX103" i="25"/>
  <c r="EN105" i="20"/>
  <c r="BR103" i="25"/>
  <c r="BR96" i="25" s="1"/>
  <c r="EH105" i="20"/>
  <c r="BS103" i="25" s="1"/>
  <c r="EH126" i="20"/>
  <c r="BS124" i="25" s="1"/>
  <c r="BV119" i="25"/>
  <c r="S83" i="20"/>
  <c r="BR224" i="25"/>
  <c r="BW73" i="25"/>
  <c r="S224" i="20"/>
  <c r="EF4" i="20"/>
  <c r="K4" i="20" s="1"/>
  <c r="EN220" i="20"/>
  <c r="BM119" i="25"/>
  <c r="G119" i="25" s="1"/>
  <c r="BS123" i="25"/>
  <c r="BY208" i="25"/>
  <c r="EN208" i="20"/>
  <c r="S210" i="20"/>
  <c r="BY204" i="25"/>
  <c r="BY201" i="25" s="1"/>
  <c r="EN203" i="20"/>
  <c r="BQ73" i="25"/>
  <c r="BS122" i="25"/>
  <c r="EG144" i="20"/>
  <c r="EH147" i="20"/>
  <c r="BR145" i="25"/>
  <c r="BR142" i="25" s="1"/>
  <c r="L147" i="20"/>
  <c r="BQ120" i="25"/>
  <c r="K122" i="20"/>
  <c r="L126" i="20"/>
  <c r="BR124" i="25"/>
  <c r="BY227" i="25"/>
  <c r="S229" i="20"/>
  <c r="BY218" i="25"/>
  <c r="S76" i="20"/>
  <c r="BS102" i="25"/>
  <c r="Q75" i="20"/>
  <c r="BY76" i="25"/>
  <c r="BQ124" i="25"/>
  <c r="K126" i="20"/>
  <c r="BR128" i="25"/>
  <c r="L130" i="20"/>
  <c r="BY128" i="25"/>
  <c r="BS225" i="25"/>
  <c r="BS224" i="25" s="1"/>
  <c r="EH226" i="20"/>
  <c r="BR127" i="25"/>
  <c r="L129" i="20"/>
  <c r="BS208" i="25"/>
  <c r="BR215" i="25"/>
  <c r="BR206" i="25" s="1"/>
  <c r="L217" i="20"/>
  <c r="EH203" i="20"/>
  <c r="BS197" i="25"/>
  <c r="EJ5" i="20"/>
  <c r="EB5" i="20" s="1"/>
  <c r="EB49" i="20"/>
  <c r="EH123" i="20"/>
  <c r="BS75" i="25"/>
  <c r="EM203" i="20"/>
  <c r="BS81" i="25"/>
  <c r="EH129" i="20"/>
  <c r="BS127" i="25" s="1"/>
  <c r="BS201" i="25"/>
  <c r="BY122" i="25"/>
  <c r="BX74" i="25"/>
  <c r="R76" i="20"/>
  <c r="EM75" i="20"/>
  <c r="BY125" i="25"/>
  <c r="BR125" i="25"/>
  <c r="L127" i="20"/>
  <c r="EG208" i="20"/>
  <c r="BS82" i="25"/>
  <c r="EH130" i="20"/>
  <c r="BS213" i="25"/>
  <c r="BX204" i="25"/>
  <c r="BX201" i="25" s="1"/>
  <c r="R206" i="20"/>
  <c r="BR121" i="25"/>
  <c r="L123" i="20"/>
  <c r="BQ127" i="25"/>
  <c r="K129" i="20"/>
  <c r="EF49" i="20"/>
  <c r="EF5" i="20" s="1"/>
  <c r="EH217" i="20"/>
  <c r="EH208" i="20" s="1"/>
  <c r="EH127" i="20"/>
  <c r="BS79" i="25"/>
  <c r="BR73" i="25"/>
  <c r="BP119" i="25"/>
  <c r="BY212" i="25"/>
  <c r="S214" i="20"/>
  <c r="EN226" i="20"/>
  <c r="EK148" i="20"/>
  <c r="EL148" i="20" s="1"/>
  <c r="BS146" i="25"/>
  <c r="BS97" i="25"/>
  <c r="M99" i="20"/>
  <c r="BX208" i="25"/>
  <c r="BX206" i="25" s="1"/>
  <c r="EM208" i="20"/>
  <c r="BX75" i="25"/>
  <c r="R77" i="20"/>
  <c r="BX122" i="25"/>
  <c r="R124" i="20"/>
  <c r="G120" i="25"/>
  <c r="I120" i="25" s="1"/>
  <c r="BM3" i="25"/>
  <c r="G3" i="25" s="1"/>
  <c r="BY229" i="25"/>
  <c r="BX82" i="25"/>
  <c r="R84" i="20"/>
  <c r="EN84" i="20"/>
  <c r="EN77" i="20"/>
  <c r="BY126" i="25"/>
  <c r="K123" i="20"/>
  <c r="BQ121" i="25"/>
  <c r="AK124" i="25"/>
  <c r="BN121" i="20"/>
  <c r="AK66" i="25"/>
  <c r="AJ107" i="25"/>
  <c r="M195" i="20"/>
  <c r="AK193" i="25"/>
  <c r="AQ153" i="25"/>
  <c r="S155" i="20"/>
  <c r="AQ186" i="25"/>
  <c r="S188" i="20"/>
  <c r="AK127" i="25"/>
  <c r="BT187" i="20"/>
  <c r="AP185" i="25"/>
  <c r="R187" i="20"/>
  <c r="BS186" i="20"/>
  <c r="AK132" i="25"/>
  <c r="R54" i="20"/>
  <c r="AP52" i="25"/>
  <c r="AP49" i="25" s="1"/>
  <c r="BS51" i="20"/>
  <c r="AO184" i="25"/>
  <c r="BR144" i="20"/>
  <c r="BR49" i="20" s="1"/>
  <c r="BR5" i="20" s="1"/>
  <c r="AK94" i="25"/>
  <c r="AK84" i="25" s="1"/>
  <c r="BN186" i="20"/>
  <c r="AK184" i="25" s="1"/>
  <c r="AJ186" i="25"/>
  <c r="L188" i="20"/>
  <c r="BT66" i="20"/>
  <c r="AP64" i="25"/>
  <c r="R66" i="20"/>
  <c r="AK137" i="25"/>
  <c r="AK98" i="25"/>
  <c r="M100" i="20"/>
  <c r="AQ176" i="25"/>
  <c r="AQ189" i="25"/>
  <c r="S191" i="20"/>
  <c r="BT190" i="20"/>
  <c r="AQ188" i="25" s="1"/>
  <c r="H5" i="20"/>
  <c r="BB101" i="25"/>
  <c r="M227" i="20"/>
  <c r="T225" i="25"/>
  <c r="BH86" i="25"/>
  <c r="AQ98" i="25"/>
  <c r="T103" i="25"/>
  <c r="Z99" i="25"/>
  <c r="AK116" i="25"/>
  <c r="BB86" i="25"/>
  <c r="M88" i="20"/>
  <c r="BY123" i="25"/>
  <c r="T53" i="25"/>
  <c r="BY102" i="25"/>
  <c r="BX123" i="25"/>
  <c r="R125" i="20"/>
  <c r="AQ116" i="25"/>
  <c r="AQ107" i="25" s="1"/>
  <c r="AP130" i="25"/>
  <c r="T101" i="25"/>
  <c r="M103" i="20"/>
  <c r="AK112" i="25"/>
  <c r="T59" i="25"/>
  <c r="T114" i="25"/>
  <c r="M116" i="20"/>
  <c r="BN109" i="20"/>
  <c r="Z113" i="25"/>
  <c r="EM145" i="20" l="1"/>
  <c r="EN145" i="20" s="1"/>
  <c r="BY143" i="25" s="1"/>
  <c r="Q145" i="20"/>
  <c r="BN63" i="20"/>
  <c r="BN226" i="20"/>
  <c r="M226" i="20" s="1"/>
  <c r="M141" i="20"/>
  <c r="L226" i="20"/>
  <c r="AK219" i="25"/>
  <c r="AK218" i="25" s="1"/>
  <c r="M168" i="20"/>
  <c r="BT121" i="20"/>
  <c r="R226" i="20"/>
  <c r="BN132" i="20"/>
  <c r="M230" i="20"/>
  <c r="BH96" i="25"/>
  <c r="M77" i="20"/>
  <c r="S230" i="20"/>
  <c r="BN220" i="20"/>
  <c r="BT226" i="20"/>
  <c r="CX98" i="20"/>
  <c r="BN154" i="20"/>
  <c r="AK152" i="25" s="1"/>
  <c r="S125" i="20"/>
  <c r="M125" i="20"/>
  <c r="S104" i="20"/>
  <c r="S119" i="25"/>
  <c r="S130" i="20"/>
  <c r="S79" i="20"/>
  <c r="M139" i="20"/>
  <c r="M90" i="20"/>
  <c r="BN162" i="20"/>
  <c r="AK160" i="25" s="1"/>
  <c r="AJ96" i="25"/>
  <c r="S70" i="20"/>
  <c r="BT166" i="20"/>
  <c r="AQ164" i="25" s="1"/>
  <c r="AQ165" i="25"/>
  <c r="AP61" i="25"/>
  <c r="BT86" i="20"/>
  <c r="S88" i="20"/>
  <c r="AQ140" i="25"/>
  <c r="AQ130" i="25" s="1"/>
  <c r="BT132" i="20"/>
  <c r="BN75" i="20"/>
  <c r="BN98" i="20"/>
  <c r="S122" i="20"/>
  <c r="BX96" i="25"/>
  <c r="BT75" i="20"/>
  <c r="M107" i="20"/>
  <c r="S107" i="20"/>
  <c r="BT98" i="20"/>
  <c r="AK96" i="25"/>
  <c r="BM144" i="20"/>
  <c r="L144" i="20" s="1"/>
  <c r="S217" i="20"/>
  <c r="S142" i="25"/>
  <c r="P146" i="20"/>
  <c r="M59" i="20"/>
  <c r="S69" i="20"/>
  <c r="S115" i="20"/>
  <c r="M104" i="20"/>
  <c r="M118" i="20"/>
  <c r="Z86" i="25"/>
  <c r="R63" i="20"/>
  <c r="AJ144" i="20"/>
  <c r="S113" i="20"/>
  <c r="AD144" i="20"/>
  <c r="R86" i="20"/>
  <c r="L63" i="20"/>
  <c r="T126" i="25"/>
  <c r="T119" i="25" s="1"/>
  <c r="M201" i="20"/>
  <c r="M83" i="20"/>
  <c r="DD121" i="20"/>
  <c r="S117" i="20"/>
  <c r="BH119" i="25"/>
  <c r="M119" i="20"/>
  <c r="M55" i="20"/>
  <c r="BH73" i="25"/>
  <c r="M135" i="20"/>
  <c r="BA61" i="25"/>
  <c r="R220" i="20"/>
  <c r="S101" i="20"/>
  <c r="R132" i="20"/>
  <c r="BA84" i="25"/>
  <c r="L121" i="20"/>
  <c r="M69" i="20"/>
  <c r="M137" i="20"/>
  <c r="S231" i="20"/>
  <c r="R109" i="20"/>
  <c r="BA49" i="25"/>
  <c r="L132" i="20"/>
  <c r="BH224" i="25"/>
  <c r="S68" i="20"/>
  <c r="DD98" i="20"/>
  <c r="BA130" i="25"/>
  <c r="M71" i="20"/>
  <c r="L109" i="20"/>
  <c r="M56" i="20"/>
  <c r="S198" i="20"/>
  <c r="BH145" i="25"/>
  <c r="BH142" i="25" s="1"/>
  <c r="DD144" i="20"/>
  <c r="CW49" i="20"/>
  <c r="CW5" i="20" s="1"/>
  <c r="BG107" i="25"/>
  <c r="S59" i="20"/>
  <c r="DD226" i="20"/>
  <c r="DD208" i="20"/>
  <c r="L51" i="20"/>
  <c r="BB96" i="25"/>
  <c r="DD75" i="20"/>
  <c r="L198" i="20"/>
  <c r="CX109" i="20"/>
  <c r="S134" i="20"/>
  <c r="BA107" i="25"/>
  <c r="BG218" i="25"/>
  <c r="DD51" i="20"/>
  <c r="DC49" i="20"/>
  <c r="DC5" i="20" s="1"/>
  <c r="DD132" i="20"/>
  <c r="BG3" i="25"/>
  <c r="CX4" i="20"/>
  <c r="BB115" i="25"/>
  <c r="BB107" i="25" s="1"/>
  <c r="M117" i="20"/>
  <c r="L86" i="20"/>
  <c r="BB76" i="25"/>
  <c r="BB73" i="25" s="1"/>
  <c r="CX75" i="20"/>
  <c r="BB198" i="25"/>
  <c r="BB196" i="25" s="1"/>
  <c r="CX198" i="20"/>
  <c r="BH202" i="25"/>
  <c r="BH201" i="25" s="1"/>
  <c r="DD203" i="20"/>
  <c r="BH89" i="25"/>
  <c r="BH84" i="25" s="1"/>
  <c r="S91" i="20"/>
  <c r="DD86" i="20"/>
  <c r="CX121" i="20"/>
  <c r="BB119" i="25"/>
  <c r="BH219" i="25"/>
  <c r="BH218" i="25" s="1"/>
  <c r="DD220" i="20"/>
  <c r="S220" i="20" s="1"/>
  <c r="S221" i="20"/>
  <c r="BH53" i="25"/>
  <c r="S55" i="20"/>
  <c r="BB146" i="25"/>
  <c r="BB142" i="25" s="1"/>
  <c r="CX144" i="20"/>
  <c r="BB66" i="25"/>
  <c r="BB61" i="25" s="1"/>
  <c r="CX63" i="20"/>
  <c r="CX86" i="20"/>
  <c r="M91" i="20"/>
  <c r="BH61" i="25"/>
  <c r="S71" i="20"/>
  <c r="BG130" i="25"/>
  <c r="S94" i="20"/>
  <c r="BB59" i="25"/>
  <c r="BB49" i="25" s="1"/>
  <c r="CX51" i="20"/>
  <c r="BH59" i="25"/>
  <c r="S61" i="20"/>
  <c r="BH117" i="25"/>
  <c r="BH107" i="25" s="1"/>
  <c r="DD109" i="20"/>
  <c r="S119" i="20"/>
  <c r="BH140" i="25"/>
  <c r="BH130" i="25" s="1"/>
  <c r="S142" i="20"/>
  <c r="BA3" i="25"/>
  <c r="CX208" i="20"/>
  <c r="BB212" i="25"/>
  <c r="BB206" i="25" s="1"/>
  <c r="DD4" i="20"/>
  <c r="BG49" i="25"/>
  <c r="BB140" i="25"/>
  <c r="BB130" i="25" s="1"/>
  <c r="M142" i="20"/>
  <c r="CX132" i="20"/>
  <c r="DD63" i="20"/>
  <c r="S114" i="20"/>
  <c r="M78" i="20"/>
  <c r="AQ52" i="25"/>
  <c r="AQ49" i="25" s="1"/>
  <c r="AD98" i="20"/>
  <c r="AK130" i="25"/>
  <c r="M206" i="20"/>
  <c r="M81" i="20"/>
  <c r="Y107" i="25"/>
  <c r="S54" i="20"/>
  <c r="EG4" i="20"/>
  <c r="L4" i="20" s="1"/>
  <c r="S102" i="20"/>
  <c r="L75" i="20"/>
  <c r="R98" i="20"/>
  <c r="BR120" i="25"/>
  <c r="BR3" i="25" s="1"/>
  <c r="BW144" i="25"/>
  <c r="Z94" i="25"/>
  <c r="S96" i="20"/>
  <c r="T202" i="25"/>
  <c r="T201" i="25" s="1"/>
  <c r="T143" i="25"/>
  <c r="T142" i="25" s="1"/>
  <c r="M145" i="20"/>
  <c r="S215" i="20"/>
  <c r="S128" i="20"/>
  <c r="Z138" i="25"/>
  <c r="S140" i="20"/>
  <c r="Z218" i="25"/>
  <c r="AD132" i="20"/>
  <c r="AJ132" i="20"/>
  <c r="S206" i="20"/>
  <c r="G5" i="20"/>
  <c r="AJ3" i="25"/>
  <c r="S156" i="20"/>
  <c r="AQ154" i="25"/>
  <c r="S95" i="20"/>
  <c r="AK154" i="25"/>
  <c r="M156" i="20"/>
  <c r="M124" i="20"/>
  <c r="BN4" i="20"/>
  <c r="BV144" i="25"/>
  <c r="AJ172" i="25"/>
  <c r="BN174" i="20"/>
  <c r="AK172" i="25" s="1"/>
  <c r="AK150" i="25"/>
  <c r="M152" i="20"/>
  <c r="BS198" i="25"/>
  <c r="BS196" i="25" s="1"/>
  <c r="EH122" i="20"/>
  <c r="BS120" i="25" s="1"/>
  <c r="EH75" i="20"/>
  <c r="EH121" i="20" s="1"/>
  <c r="L98" i="20"/>
  <c r="BY101" i="25"/>
  <c r="S103" i="20"/>
  <c r="BS74" i="25"/>
  <c r="BS73" i="25" s="1"/>
  <c r="Z61" i="25"/>
  <c r="AJ63" i="20"/>
  <c r="Z73" i="25"/>
  <c r="S73" i="20"/>
  <c r="S107" i="25"/>
  <c r="T84" i="25"/>
  <c r="M54" i="20"/>
  <c r="Z108" i="25"/>
  <c r="Z107" i="25" s="1"/>
  <c r="S110" i="20"/>
  <c r="Y73" i="25"/>
  <c r="AD86" i="20"/>
  <c r="S78" i="20"/>
  <c r="S84" i="25"/>
  <c r="AD203" i="20"/>
  <c r="M203" i="20" s="1"/>
  <c r="M134" i="20"/>
  <c r="BT4" i="20"/>
  <c r="M96" i="20"/>
  <c r="S127" i="20"/>
  <c r="S80" i="20"/>
  <c r="M84" i="20"/>
  <c r="M188" i="20"/>
  <c r="S123" i="20"/>
  <c r="Z124" i="25"/>
  <c r="Z119" i="25" s="1"/>
  <c r="S126" i="20"/>
  <c r="M95" i="20"/>
  <c r="AD208" i="20"/>
  <c r="S130" i="25"/>
  <c r="EN98" i="20"/>
  <c r="M114" i="20"/>
  <c r="S206" i="25"/>
  <c r="S49" i="25"/>
  <c r="S73" i="25"/>
  <c r="Y119" i="25"/>
  <c r="T111" i="25"/>
  <c r="M113" i="20"/>
  <c r="AI49" i="20"/>
  <c r="AI5" i="20" s="1"/>
  <c r="R208" i="20"/>
  <c r="T109" i="25"/>
  <c r="M111" i="20"/>
  <c r="T55" i="25"/>
  <c r="T49" i="25" s="1"/>
  <c r="M57" i="20"/>
  <c r="Z135" i="25"/>
  <c r="S137" i="20"/>
  <c r="T138" i="25"/>
  <c r="T130" i="25" s="1"/>
  <c r="M140" i="20"/>
  <c r="T80" i="25"/>
  <c r="M82" i="20"/>
  <c r="M73" i="20"/>
  <c r="AD51" i="20"/>
  <c r="AD63" i="20"/>
  <c r="S61" i="25"/>
  <c r="K5" i="20"/>
  <c r="Y218" i="25"/>
  <c r="AD121" i="20"/>
  <c r="M215" i="20"/>
  <c r="AD109" i="20"/>
  <c r="AJ86" i="20"/>
  <c r="S81" i="20"/>
  <c r="S99" i="20"/>
  <c r="AJ75" i="20"/>
  <c r="Z54" i="25"/>
  <c r="Z49" i="25" s="1"/>
  <c r="S56" i="20"/>
  <c r="AJ51" i="20"/>
  <c r="T96" i="25"/>
  <c r="AJ121" i="20"/>
  <c r="Z207" i="25"/>
  <c r="Z206" i="25" s="1"/>
  <c r="S209" i="20"/>
  <c r="AJ208" i="20"/>
  <c r="T64" i="25"/>
  <c r="M66" i="20"/>
  <c r="T221" i="25"/>
  <c r="M223" i="20"/>
  <c r="AC49" i="20"/>
  <c r="AC5" i="20" s="1"/>
  <c r="M80" i="20"/>
  <c r="Y3" i="25"/>
  <c r="S118" i="20"/>
  <c r="T198" i="25"/>
  <c r="T196" i="25" s="1"/>
  <c r="AD198" i="20"/>
  <c r="T63" i="25"/>
  <c r="M65" i="20"/>
  <c r="AD4" i="20"/>
  <c r="T212" i="25"/>
  <c r="T206" i="25" s="1"/>
  <c r="M214" i="20"/>
  <c r="S3" i="25"/>
  <c r="T77" i="25"/>
  <c r="M79" i="20"/>
  <c r="AD75" i="20"/>
  <c r="AJ4" i="20"/>
  <c r="AJ109" i="20"/>
  <c r="Z96" i="25"/>
  <c r="R203" i="20"/>
  <c r="T70" i="25"/>
  <c r="M72" i="20"/>
  <c r="Z133" i="25"/>
  <c r="S135" i="20"/>
  <c r="Y130" i="25"/>
  <c r="S218" i="25"/>
  <c r="T227" i="25"/>
  <c r="T224" i="25" s="1"/>
  <c r="M229" i="20"/>
  <c r="R51" i="20"/>
  <c r="M222" i="20"/>
  <c r="T220" i="25"/>
  <c r="AD220" i="20"/>
  <c r="AJ98" i="20"/>
  <c r="S124" i="20"/>
  <c r="Z202" i="25"/>
  <c r="Z201" i="25" s="1"/>
  <c r="AJ203" i="20"/>
  <c r="S204" i="20"/>
  <c r="Y206" i="25"/>
  <c r="K144" i="20"/>
  <c r="AP3" i="25"/>
  <c r="AK61" i="25"/>
  <c r="S195" i="20"/>
  <c r="AQ193" i="25"/>
  <c r="BT194" i="20"/>
  <c r="AQ192" i="25" s="1"/>
  <c r="AJ148" i="25"/>
  <c r="AJ142" i="25" s="1"/>
  <c r="BN150" i="20"/>
  <c r="AK148" i="25" s="1"/>
  <c r="M105" i="20"/>
  <c r="BY224" i="25"/>
  <c r="M200" i="20"/>
  <c r="EM146" i="20"/>
  <c r="BX144" i="25" s="1"/>
  <c r="BS96" i="25"/>
  <c r="BQ3" i="25"/>
  <c r="M126" i="20"/>
  <c r="EH98" i="20"/>
  <c r="O5" i="20"/>
  <c r="BY103" i="25"/>
  <c r="S105" i="20"/>
  <c r="EG49" i="20"/>
  <c r="EG5" i="20" s="1"/>
  <c r="L208" i="20"/>
  <c r="BV146" i="25"/>
  <c r="P148" i="20"/>
  <c r="BY119" i="25"/>
  <c r="BY75" i="25"/>
  <c r="S77" i="20"/>
  <c r="M129" i="20"/>
  <c r="BY82" i="25"/>
  <c r="S84" i="20"/>
  <c r="BX73" i="25"/>
  <c r="EM148" i="20"/>
  <c r="EN148" i="20" s="1"/>
  <c r="Q148" i="20"/>
  <c r="BW146" i="25"/>
  <c r="BY206" i="25"/>
  <c r="BS215" i="25"/>
  <c r="BS206" i="25" s="1"/>
  <c r="M217" i="20"/>
  <c r="BS121" i="25"/>
  <c r="M123" i="20"/>
  <c r="BS125" i="25"/>
  <c r="M127" i="20"/>
  <c r="BQ119" i="25"/>
  <c r="EN75" i="20"/>
  <c r="BS128" i="25"/>
  <c r="M130" i="20"/>
  <c r="M147" i="20"/>
  <c r="BS145" i="25"/>
  <c r="BS142" i="25" s="1"/>
  <c r="EK147" i="20"/>
  <c r="EL147" i="20" s="1"/>
  <c r="EH144" i="20"/>
  <c r="R75" i="20"/>
  <c r="EM121" i="20"/>
  <c r="R121" i="20" s="1"/>
  <c r="AQ185" i="25"/>
  <c r="BT186" i="20"/>
  <c r="S187" i="20"/>
  <c r="AK119" i="25"/>
  <c r="AQ64" i="25"/>
  <c r="AQ61" i="25" s="1"/>
  <c r="S66" i="20"/>
  <c r="BT63" i="20"/>
  <c r="AP184" i="25"/>
  <c r="BS144" i="20"/>
  <c r="BS49" i="20" s="1"/>
  <c r="BS5" i="20" s="1"/>
  <c r="AK107" i="25"/>
  <c r="BB84" i="25"/>
  <c r="BX119" i="25"/>
  <c r="AQ96" i="25"/>
  <c r="S145" i="20" l="1"/>
  <c r="R145" i="20"/>
  <c r="BX143" i="25"/>
  <c r="M220" i="20"/>
  <c r="S226" i="20"/>
  <c r="BR119" i="25"/>
  <c r="BM49" i="20"/>
  <c r="BM5" i="20" s="1"/>
  <c r="L5" i="20" s="1"/>
  <c r="Z84" i="25"/>
  <c r="M98" i="20"/>
  <c r="S208" i="20"/>
  <c r="M109" i="20"/>
  <c r="BH3" i="25"/>
  <c r="S132" i="20"/>
  <c r="S203" i="20"/>
  <c r="M51" i="20"/>
  <c r="S63" i="20"/>
  <c r="M86" i="20"/>
  <c r="BB3" i="25"/>
  <c r="BH49" i="25"/>
  <c r="S51" i="20"/>
  <c r="CX49" i="20"/>
  <c r="CX5" i="20" s="1"/>
  <c r="M132" i="20"/>
  <c r="S86" i="20"/>
  <c r="DD49" i="20"/>
  <c r="DD5" i="20" s="1"/>
  <c r="M198" i="20"/>
  <c r="S109" i="20"/>
  <c r="M63" i="20"/>
  <c r="M208" i="20"/>
  <c r="AK3" i="25"/>
  <c r="M75" i="20"/>
  <c r="EH4" i="20"/>
  <c r="M4" i="20" s="1"/>
  <c r="M121" i="20"/>
  <c r="AK142" i="25"/>
  <c r="M122" i="20"/>
  <c r="T218" i="25"/>
  <c r="BN144" i="20"/>
  <c r="BN49" i="20" s="1"/>
  <c r="BN5" i="20" s="1"/>
  <c r="BS3" i="25"/>
  <c r="BY96" i="25"/>
  <c r="Z3" i="25"/>
  <c r="T107" i="25"/>
  <c r="AJ49" i="20"/>
  <c r="AJ5" i="20" s="1"/>
  <c r="EN146" i="20"/>
  <c r="BY144" i="25" s="1"/>
  <c r="R146" i="20"/>
  <c r="T73" i="25"/>
  <c r="Z130" i="25"/>
  <c r="T61" i="25"/>
  <c r="S98" i="20"/>
  <c r="AD49" i="20"/>
  <c r="AD5" i="20" s="1"/>
  <c r="T3" i="25"/>
  <c r="AQ3" i="25"/>
  <c r="EH49" i="20"/>
  <c r="EH5" i="20" s="1"/>
  <c r="BY73" i="25"/>
  <c r="BS119" i="25"/>
  <c r="Q147" i="20"/>
  <c r="EL144" i="20"/>
  <c r="EL49" i="20" s="1"/>
  <c r="EL5" i="20" s="1"/>
  <c r="Q5" i="20" s="1"/>
  <c r="EL4" i="20"/>
  <c r="Q4" i="20" s="1"/>
  <c r="BW145" i="25"/>
  <c r="BW142" i="25" s="1"/>
  <c r="R148" i="20"/>
  <c r="BX146" i="25"/>
  <c r="BY146" i="25"/>
  <c r="S148" i="20"/>
  <c r="P147" i="20"/>
  <c r="EM147" i="20"/>
  <c r="EN147" i="20" s="1"/>
  <c r="EK4" i="20"/>
  <c r="P4" i="20" s="1"/>
  <c r="EK144" i="20"/>
  <c r="BV145" i="25"/>
  <c r="EN121" i="20"/>
  <c r="S121" i="20" s="1"/>
  <c r="S75" i="20"/>
  <c r="AQ184" i="25"/>
  <c r="BT144" i="20"/>
  <c r="BT49" i="20" s="1"/>
  <c r="BT5" i="20" s="1"/>
  <c r="M144" i="20" l="1"/>
  <c r="S146" i="20"/>
  <c r="M5" i="20"/>
  <c r="Q144" i="20"/>
  <c r="EN4" i="20"/>
  <c r="S4" i="20" s="1"/>
  <c r="S147" i="20"/>
  <c r="BY145" i="25"/>
  <c r="BY142" i="25" s="1"/>
  <c r="EN144" i="20"/>
  <c r="BW3" i="25"/>
  <c r="BV3" i="25"/>
  <c r="BV142" i="25"/>
  <c r="EK49" i="20"/>
  <c r="EK5" i="20" s="1"/>
  <c r="P5" i="20" s="1"/>
  <c r="P144" i="20"/>
  <c r="EM4" i="20"/>
  <c r="R4" i="20" s="1"/>
  <c r="BX145" i="25"/>
  <c r="EM144" i="20"/>
  <c r="R147" i="20"/>
  <c r="BY3" i="25" l="1"/>
  <c r="R144" i="20"/>
  <c r="EM49" i="20"/>
  <c r="EM5" i="20" s="1"/>
  <c r="R5" i="20" s="1"/>
  <c r="BX142" i="25"/>
  <c r="BX3" i="25"/>
  <c r="EN49" i="20"/>
  <c r="EN5" i="20" s="1"/>
  <c r="S5" i="20" s="1"/>
  <c r="S14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tc={19BB1253-43DB-4296-A183-397F4B153831}</author>
    <author>tc={FE7003D4-0922-4D54-BF98-907E4E4C9DDD}</author>
    <author>tc={DCD7DA0E-0BB3-4768-9640-0395EEAAA930}</author>
    <author>tc={003155F1-8E7C-4757-863F-A70E6D2B638A}</author>
    <author>tc={5776E866-BA41-44B4-876F-8CB4620EB153}</author>
    <author>tc={A99B1133-7F04-4F38-800C-67F2EDE242B0}</author>
  </authors>
  <commentList>
    <comment ref="K128" authorId="0" shapeId="0" xr:uid="{19BB1253-43DB-4296-A183-397F4B153831}">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AB128" authorId="1" shapeId="0" xr:uid="{FE7003D4-0922-4D54-BF98-907E4E4C9DDD}">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AS128" authorId="2" shapeId="0" xr:uid="{DCD7DA0E-0BB3-4768-9640-0395EEAAA930}">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BJ128" authorId="3" shapeId="0" xr:uid="{003155F1-8E7C-4757-863F-A70E6D2B638A}">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D207" authorId="4" shapeId="0" xr:uid="{5776E866-BA41-44B4-876F-8CB4620EB153}">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This has been issued, Check and confirm</t>
      </text>
    </comment>
    <comment ref="O219" authorId="5" shapeId="0" xr:uid="{A99B1133-7F04-4F38-800C-67F2EDE242B0}">
      <text>
        <t>[Threaded comment]
Your version of Excel allows you to read this threaded comment; however, any edits to it will get removed if the file is opened in a newer version of Excel. Learn more: https://go.microsoft.com/fwlink/?linkid=870924
Comment:
    @Vinod Soudi Data is wrong 
Reply:
    @Suchita Sharma The column issued till dec'22 had got deleted. Hence the values were not appearing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tc={3FC84205-7DE1-4005-952E-8DA3BE8A6848}</author>
  </authors>
  <commentList>
    <comment ref="Y221" authorId="0" shapeId="0" xr:uid="{3FC84205-7DE1-4005-952E-8DA3BE8A6848}">
      <text>
        <t>[Threaded comment]
Your version of Excel allows you to read this threaded comment; however, any edits to it will get removed if the file is opened in a newer version of Excel. Learn more: https://go.microsoft.com/fwlink/?linkid=870924
Comment:
    @Vinod Soudi Data is wrong 
Reply:
    @Suchita Sharma The column issued till dec'22 had got deleted. Hence the values were not appearing</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tc={538C18C4-9F7C-47A1-9EAB-6C9C8D38F7B4}</author>
  </authors>
  <commentList>
    <comment ref="R156" authorId="0" shapeId="0" xr:uid="{538C18C4-9F7C-47A1-9EAB-6C9C8D38F7B4}">
      <text>
        <t>[Threaded comment]
Your version of Excel allows you to read this threaded comment; however, any edits to it will get removed if the file is opened in a newer version of Excel. Learn more: https://go.microsoft.com/fwlink/?linkid=870924
Comment:
    T301</t>
      </text>
    </comment>
  </commentList>
</comments>
</file>

<file path=xl/sharedStrings.xml><?xml version="1.0" encoding="utf-8"?>
<sst xmlns="http://schemas.openxmlformats.org/spreadsheetml/2006/main" count="107965" uniqueCount="18925">
  <si>
    <r>
      <rPr>
        <sz val="14"/>
        <color theme="0"/>
        <rFont val="Meta-Normal"/>
        <family val="3"/>
      </rPr>
      <t>0059</t>
    </r>
    <r>
      <rPr>
        <sz val="14"/>
        <color theme="0"/>
        <rFont val="Impact"/>
        <family val="2"/>
      </rPr>
      <t xml:space="preserve"> | Pursuit of a Radical Rhapsody | Residential</t>
    </r>
  </si>
  <si>
    <t>Total Packages</t>
  </si>
  <si>
    <t>Packages Till Date</t>
  </si>
  <si>
    <t>Packages Till Dec 24</t>
  </si>
  <si>
    <t>Balance</t>
  </si>
  <si>
    <t>AR</t>
  </si>
  <si>
    <t>Planned Packages CY 25</t>
  </si>
  <si>
    <t>Q1</t>
  </si>
  <si>
    <t>Q2</t>
  </si>
  <si>
    <t>Q3</t>
  </si>
  <si>
    <t>Q4</t>
  </si>
  <si>
    <t>Actual Packages CY 25</t>
  </si>
  <si>
    <t>ST</t>
  </si>
  <si>
    <t>Released Till date</t>
  </si>
  <si>
    <t>Packages till Dec'24</t>
  </si>
  <si>
    <t>Planned Packages in CY 25</t>
  </si>
  <si>
    <t>Actual Packages in CY 25</t>
  </si>
  <si>
    <t>MEP</t>
  </si>
  <si>
    <t>Released Till Date</t>
  </si>
  <si>
    <t>LS</t>
  </si>
  <si>
    <t>DESIGN CONCEPTS</t>
  </si>
  <si>
    <t>Contract + Design Brief</t>
  </si>
  <si>
    <t>Vision Statement</t>
  </si>
  <si>
    <t xml:space="preserve">Land - Topographical Survey with information as per defined standard, </t>
  </si>
  <si>
    <t>Zoning &amp; Development Regulations</t>
  </si>
  <si>
    <t>Design Brief</t>
  </si>
  <si>
    <t>Schematic Concept</t>
  </si>
  <si>
    <t>Master Plan</t>
  </si>
  <si>
    <t>Blocks and Products</t>
  </si>
  <si>
    <t>Amenities &amp; Facilities</t>
  </si>
  <si>
    <t>Design Basis</t>
  </si>
  <si>
    <t>Pre Construction Set</t>
  </si>
  <si>
    <t>Blocks</t>
  </si>
  <si>
    <t>Products</t>
  </si>
  <si>
    <t>Approvals</t>
  </si>
  <si>
    <t>Development Plan</t>
  </si>
  <si>
    <t>Building Plan</t>
  </si>
  <si>
    <t>Fire Safety</t>
  </si>
  <si>
    <t>Environment</t>
  </si>
  <si>
    <t>Water Supply and Sewerage</t>
  </si>
  <si>
    <t>Power Supply</t>
  </si>
  <si>
    <t>Airport Authority</t>
  </si>
  <si>
    <t>Marketing and Sales</t>
  </si>
  <si>
    <t>Masterplan</t>
  </si>
  <si>
    <t>Specifications</t>
  </si>
  <si>
    <t>Clubhouse Design with list of Amenities</t>
  </si>
  <si>
    <t>Renders, Walk-through and Scaled model</t>
  </si>
  <si>
    <t>Project Entrance and Boundary wall</t>
  </si>
  <si>
    <t>Sales Centre and Experience Homes [Construction Docs]</t>
  </si>
  <si>
    <t>CONSTRUCTION DOCUMENTS</t>
  </si>
  <si>
    <r>
      <t>GFC | Tower—</t>
    </r>
    <r>
      <rPr>
        <b/>
        <sz val="10"/>
        <color theme="1"/>
        <rFont val="Helvetica"/>
        <family val="2"/>
      </rPr>
      <t>01</t>
    </r>
  </si>
  <si>
    <t>T01-01</t>
  </si>
  <si>
    <t>Foundation and Grade Slab</t>
  </si>
  <si>
    <t>T01-02</t>
  </si>
  <si>
    <t>Parking Level-Sub grade</t>
  </si>
  <si>
    <t>T01-03</t>
  </si>
  <si>
    <t>Building Envelope and Common Areas [Basement]</t>
  </si>
  <si>
    <t>T01-04</t>
  </si>
  <si>
    <t>Habitable Level 01</t>
  </si>
  <si>
    <t>T01-05</t>
  </si>
  <si>
    <t>Habitable Level - Even</t>
  </si>
  <si>
    <t>T01-06</t>
  </si>
  <si>
    <t>Habitable Level - Odd</t>
  </si>
  <si>
    <t>T01-07</t>
  </si>
  <si>
    <t>Building Envelope and Common Areas [Typical Tower Levels]</t>
  </si>
  <si>
    <t>`</t>
  </si>
  <si>
    <t>T01-08</t>
  </si>
  <si>
    <t>Penthouse Levels</t>
  </si>
  <si>
    <t>T01-09</t>
  </si>
  <si>
    <t>Terrace Level</t>
  </si>
  <si>
    <t>T01-10</t>
  </si>
  <si>
    <t>Building Envelope and Common Areas [Penthouse Levels And Terrace Level]</t>
  </si>
  <si>
    <r>
      <t>GFC | Tower—</t>
    </r>
    <r>
      <rPr>
        <b/>
        <sz val="10"/>
        <color theme="1"/>
        <rFont val="Helvetica"/>
        <family val="2"/>
      </rPr>
      <t>2V</t>
    </r>
  </si>
  <si>
    <t>T2V-01</t>
  </si>
  <si>
    <t>T2V-02</t>
  </si>
  <si>
    <t>T2V-03</t>
  </si>
  <si>
    <t>T2V-04</t>
  </si>
  <si>
    <t>T2V-05</t>
  </si>
  <si>
    <t>T2V-06</t>
  </si>
  <si>
    <t>T2V-07</t>
  </si>
  <si>
    <t>T2V-08</t>
  </si>
  <si>
    <t>T2V-09</t>
  </si>
  <si>
    <t>T2V-10</t>
  </si>
  <si>
    <r>
      <t>GFC | Tower—</t>
    </r>
    <r>
      <rPr>
        <b/>
        <sz val="10"/>
        <color theme="1"/>
        <rFont val="Helvetica"/>
        <family val="2"/>
      </rPr>
      <t>2S</t>
    </r>
  </si>
  <si>
    <t>T2S-01</t>
  </si>
  <si>
    <t>T2S-02</t>
  </si>
  <si>
    <t>T2S-03</t>
  </si>
  <si>
    <t>T2S-04</t>
  </si>
  <si>
    <t>Habitable Level 01 - 02</t>
  </si>
  <si>
    <t>T2S-05</t>
  </si>
  <si>
    <t>Habitable Level - 03 - 06</t>
  </si>
  <si>
    <t>T2S-06</t>
  </si>
  <si>
    <t>T2S-07</t>
  </si>
  <si>
    <t>T2S-08</t>
  </si>
  <si>
    <t>T2S-09</t>
  </si>
  <si>
    <r>
      <t>GFC | Tower—</t>
    </r>
    <r>
      <rPr>
        <b/>
        <sz val="10"/>
        <color theme="1"/>
        <rFont val="Helvetica"/>
        <family val="2"/>
      </rPr>
      <t>3V-5V</t>
    </r>
  </si>
  <si>
    <t>TXV-01</t>
  </si>
  <si>
    <t>TXV-02</t>
  </si>
  <si>
    <t>TXV-03</t>
  </si>
  <si>
    <t>TXV-04</t>
  </si>
  <si>
    <t>TXV-05</t>
  </si>
  <si>
    <t>TXV-06</t>
  </si>
  <si>
    <t>TXV-07</t>
  </si>
  <si>
    <t>TXV-08</t>
  </si>
  <si>
    <t>TXV-09</t>
  </si>
  <si>
    <t>TXV-10</t>
  </si>
  <si>
    <r>
      <t>GFC | Tower—</t>
    </r>
    <r>
      <rPr>
        <b/>
        <sz val="10"/>
        <color theme="1"/>
        <rFont val="Helvetica"/>
        <family val="2"/>
      </rPr>
      <t>3S</t>
    </r>
    <r>
      <rPr>
        <sz val="10"/>
        <color theme="1"/>
        <rFont val="Helvetica"/>
        <family val="2"/>
      </rPr>
      <t>-</t>
    </r>
    <r>
      <rPr>
        <b/>
        <sz val="10"/>
        <color theme="1"/>
        <rFont val="Helvetica"/>
        <family val="2"/>
      </rPr>
      <t>5S</t>
    </r>
  </si>
  <si>
    <t>TXS-01</t>
  </si>
  <si>
    <t>TXS-02</t>
  </si>
  <si>
    <t>TXS-03</t>
  </si>
  <si>
    <t>TXS-04</t>
  </si>
  <si>
    <t>TXS-05</t>
  </si>
  <si>
    <t>TXS-06</t>
  </si>
  <si>
    <t>TXS-07</t>
  </si>
  <si>
    <t>TXS-08</t>
  </si>
  <si>
    <t>TXS-09</t>
  </si>
  <si>
    <r>
      <t>GFC | Tower—</t>
    </r>
    <r>
      <rPr>
        <b/>
        <sz val="10"/>
        <color theme="1"/>
        <rFont val="Helvetica"/>
        <family val="2"/>
      </rPr>
      <t>6V</t>
    </r>
  </si>
  <si>
    <t>T6V-01</t>
  </si>
  <si>
    <t>T6V-02</t>
  </si>
  <si>
    <t>T6V-03</t>
  </si>
  <si>
    <t>T6V-04</t>
  </si>
  <si>
    <t>T6V-05</t>
  </si>
  <si>
    <t>T6V-06</t>
  </si>
  <si>
    <t>T6V-07</t>
  </si>
  <si>
    <t>T6V-08</t>
  </si>
  <si>
    <t>T6V-09</t>
  </si>
  <si>
    <t>T6V-10</t>
  </si>
  <si>
    <r>
      <t>GFC | Tower—</t>
    </r>
    <r>
      <rPr>
        <b/>
        <sz val="10"/>
        <color theme="1"/>
        <rFont val="Helvetica"/>
        <family val="2"/>
      </rPr>
      <t>6S</t>
    </r>
  </si>
  <si>
    <t>T6S-01</t>
  </si>
  <si>
    <t>T6S-02</t>
  </si>
  <si>
    <t>T6S-03</t>
  </si>
  <si>
    <t>T6S-04</t>
  </si>
  <si>
    <t>T6S-05</t>
  </si>
  <si>
    <t>T6S-06</t>
  </si>
  <si>
    <t>T6S-07</t>
  </si>
  <si>
    <t>T6S-08</t>
  </si>
  <si>
    <t>T6S-09</t>
  </si>
  <si>
    <r>
      <t>GFC | Tower—</t>
    </r>
    <r>
      <rPr>
        <b/>
        <sz val="10"/>
        <color theme="1"/>
        <rFont val="Helvetica"/>
        <family val="2"/>
      </rPr>
      <t>07</t>
    </r>
  </si>
  <si>
    <t>T07-01</t>
  </si>
  <si>
    <t>T07-02</t>
  </si>
  <si>
    <t>T07-03</t>
  </si>
  <si>
    <t>T07-04</t>
  </si>
  <si>
    <t>T07-05</t>
  </si>
  <si>
    <t>T07-06</t>
  </si>
  <si>
    <t>T07-07</t>
  </si>
  <si>
    <t>T07-08</t>
  </si>
  <si>
    <t>T07-09</t>
  </si>
  <si>
    <t>T07-10</t>
  </si>
  <si>
    <r>
      <t xml:space="preserve">GFC | Independent Subgrade Structure [Tower </t>
    </r>
    <r>
      <rPr>
        <b/>
        <sz val="10"/>
        <color theme="1"/>
        <rFont val="Helvetica"/>
        <family val="2"/>
      </rPr>
      <t>1-7</t>
    </r>
    <r>
      <rPr>
        <sz val="10"/>
        <color theme="1"/>
        <rFont val="Helvetica"/>
        <family val="2"/>
      </rPr>
      <t>]</t>
    </r>
  </si>
  <si>
    <t>SS0-01</t>
  </si>
  <si>
    <t>Earthwork</t>
  </si>
  <si>
    <t>SS0-02</t>
  </si>
  <si>
    <t>Foundations &amp; Grade Slab</t>
  </si>
  <si>
    <t>SS0-03</t>
  </si>
  <si>
    <t>Podium Slab</t>
  </si>
  <si>
    <t>SS0-04</t>
  </si>
  <si>
    <t>Building Envelope and Common Areas</t>
  </si>
  <si>
    <r>
      <t xml:space="preserve">GFC | Independent Subgrade Structure—Block </t>
    </r>
    <r>
      <rPr>
        <b/>
        <sz val="10"/>
        <color theme="1"/>
        <rFont val="Helvetica"/>
        <family val="2"/>
      </rPr>
      <t>01</t>
    </r>
  </si>
  <si>
    <t>SS1-01</t>
  </si>
  <si>
    <t>SS1-02</t>
  </si>
  <si>
    <r>
      <t xml:space="preserve">GFC | Independent Subgrade Structure—Block </t>
    </r>
    <r>
      <rPr>
        <b/>
        <sz val="10"/>
        <color theme="1"/>
        <rFont val="Helvetica"/>
        <family val="2"/>
      </rPr>
      <t>02</t>
    </r>
  </si>
  <si>
    <r>
      <t xml:space="preserve">GFC | Independent Subgrade Structure—Block </t>
    </r>
    <r>
      <rPr>
        <b/>
        <sz val="10"/>
        <color theme="1"/>
        <rFont val="Helvetica"/>
        <family val="2"/>
      </rPr>
      <t>03</t>
    </r>
  </si>
  <si>
    <r>
      <t xml:space="preserve">GFC | Independent Subgrade Structure—Block </t>
    </r>
    <r>
      <rPr>
        <b/>
        <sz val="10"/>
        <color theme="1"/>
        <rFont val="Helvetica"/>
        <family val="2"/>
      </rPr>
      <t>04</t>
    </r>
  </si>
  <si>
    <t>SS4-02</t>
  </si>
  <si>
    <t>SS4-04</t>
  </si>
  <si>
    <r>
      <t xml:space="preserve">GFC | Independent Subgrade Structure—Block </t>
    </r>
    <r>
      <rPr>
        <b/>
        <sz val="10"/>
        <color theme="1"/>
        <rFont val="Helvetica"/>
        <family val="2"/>
      </rPr>
      <t>05</t>
    </r>
  </si>
  <si>
    <r>
      <t xml:space="preserve">GFC | Independent Subgrade Structure—Block </t>
    </r>
    <r>
      <rPr>
        <b/>
        <sz val="10"/>
        <color theme="1"/>
        <rFont val="Helvetica"/>
        <family val="2"/>
      </rPr>
      <t>06</t>
    </r>
  </si>
  <si>
    <r>
      <t xml:space="preserve">GFC | Independent Subgrade Structure—Block </t>
    </r>
    <r>
      <rPr>
        <b/>
        <sz val="10"/>
        <color theme="1"/>
        <rFont val="Helvetica"/>
        <family val="2"/>
      </rPr>
      <t>07</t>
    </r>
  </si>
  <si>
    <r>
      <t xml:space="preserve">GFC | Independent Subgrade Structure—Block </t>
    </r>
    <r>
      <rPr>
        <b/>
        <sz val="10"/>
        <color theme="1"/>
        <rFont val="Helvetica"/>
        <family val="2"/>
      </rPr>
      <t>08</t>
    </r>
  </si>
  <si>
    <r>
      <t xml:space="preserve">GFC | Independent Subgrade Structure—Block </t>
    </r>
    <r>
      <rPr>
        <b/>
        <sz val="10"/>
        <color theme="1"/>
        <rFont val="Helvetica"/>
        <family val="2"/>
      </rPr>
      <t>09</t>
    </r>
  </si>
  <si>
    <t>SS9-02</t>
  </si>
  <si>
    <t>SS9-04</t>
  </si>
  <si>
    <r>
      <t xml:space="preserve">GFC | Independent Subgrade Structure—Block </t>
    </r>
    <r>
      <rPr>
        <b/>
        <sz val="10"/>
        <color theme="1"/>
        <rFont val="Helvetica"/>
        <family val="2"/>
      </rPr>
      <t>10</t>
    </r>
  </si>
  <si>
    <r>
      <t xml:space="preserve">GFC | Independent Subgrade Structure—Block </t>
    </r>
    <r>
      <rPr>
        <b/>
        <sz val="10"/>
        <color theme="1"/>
        <rFont val="Helvetica"/>
        <family val="2"/>
      </rPr>
      <t>11</t>
    </r>
  </si>
  <si>
    <r>
      <t xml:space="preserve">GFC | Independent Subgrade Structure—Block </t>
    </r>
    <r>
      <rPr>
        <b/>
        <sz val="10"/>
        <color theme="1"/>
        <rFont val="Helvetica"/>
        <family val="2"/>
      </rPr>
      <t>12</t>
    </r>
    <r>
      <rPr>
        <sz val="10"/>
        <color theme="1"/>
        <rFont val="Helvetica"/>
        <family val="2"/>
      </rPr>
      <t xml:space="preserve"> [6V EXT BSMNT]</t>
    </r>
  </si>
  <si>
    <r>
      <t xml:space="preserve">GFC | Villas—Cluster </t>
    </r>
    <r>
      <rPr>
        <b/>
        <sz val="10"/>
        <color theme="1"/>
        <rFont val="Helvetica"/>
        <family val="2"/>
      </rPr>
      <t>1 &amp; 2</t>
    </r>
  </si>
  <si>
    <t>VC1-01</t>
  </si>
  <si>
    <t>Foundations and Sub-Grade</t>
  </si>
  <si>
    <t>VC1-02</t>
  </si>
  <si>
    <t>All Levels</t>
  </si>
  <si>
    <t>VC1-03</t>
  </si>
  <si>
    <r>
      <t xml:space="preserve">GFC | Villas—Cluster </t>
    </r>
    <r>
      <rPr>
        <b/>
        <sz val="10"/>
        <color theme="1"/>
        <rFont val="Helvetica"/>
        <family val="2"/>
      </rPr>
      <t>3</t>
    </r>
  </si>
  <si>
    <t>VC3-01</t>
  </si>
  <si>
    <t>VC3-02</t>
  </si>
  <si>
    <t>VC3-03</t>
  </si>
  <si>
    <t>GFC | Individual Homes</t>
  </si>
  <si>
    <t>C20-01</t>
  </si>
  <si>
    <t>C20 Default and it's variants</t>
  </si>
  <si>
    <t>L30-01</t>
  </si>
  <si>
    <t>L30 Default and it's variants</t>
  </si>
  <si>
    <t>L45-01</t>
  </si>
  <si>
    <t>L45 Default and it's variants</t>
  </si>
  <si>
    <t>V50-01</t>
  </si>
  <si>
    <t>V50 Default and it's variants</t>
  </si>
  <si>
    <t>V40-01</t>
  </si>
  <si>
    <t>V40 Default and it's variants</t>
  </si>
  <si>
    <t>R11 Default and it's variants</t>
  </si>
  <si>
    <t>R22 Default and it's variants</t>
  </si>
  <si>
    <t>C20P Default and it's variants</t>
  </si>
  <si>
    <t>L30P Default and it's variants</t>
  </si>
  <si>
    <t>L45P Default and it's variants</t>
  </si>
  <si>
    <t>GFC | Master Plan</t>
  </si>
  <si>
    <t>SDV-01</t>
  </si>
  <si>
    <t>SDV-02</t>
  </si>
  <si>
    <t>Site Development</t>
  </si>
  <si>
    <t>SDV-03</t>
  </si>
  <si>
    <t>Site MEP</t>
  </si>
  <si>
    <t>SDV-04</t>
  </si>
  <si>
    <t>Landscaping</t>
  </si>
  <si>
    <t>GFC | Amenities &amp; Facilities</t>
  </si>
  <si>
    <t>AMN-01</t>
  </si>
  <si>
    <t>Clubhouse—Structure and Envelope</t>
  </si>
  <si>
    <t>AMN-02</t>
  </si>
  <si>
    <t>Clubhouse—Interiors and Facilities</t>
  </si>
  <si>
    <t>AMN-03</t>
  </si>
  <si>
    <t>Clubhouse—Outdoor Spaces and Pool</t>
  </si>
  <si>
    <t>AMN-04</t>
  </si>
  <si>
    <t>Community spaces [Board Walk, Children play area]</t>
  </si>
  <si>
    <t>AMN-05</t>
  </si>
  <si>
    <t>Sporting Facilities</t>
  </si>
  <si>
    <t>POST-CONSTRUCTION</t>
  </si>
  <si>
    <t>Archives</t>
  </si>
  <si>
    <t xml:space="preserve">Complete set of "As-Built" drawings, final BoQ and project costs, </t>
  </si>
  <si>
    <t>MAJOR REWORKS</t>
  </si>
  <si>
    <t>GFC | Tower—3V-5V</t>
  </si>
  <si>
    <r>
      <rPr>
        <sz val="18"/>
        <color theme="0"/>
        <rFont val="Meta-Normal"/>
        <family val="3"/>
      </rPr>
      <t>0059</t>
    </r>
    <r>
      <rPr>
        <sz val="18"/>
        <color theme="0"/>
        <rFont val="Impact"/>
        <family val="2"/>
      </rPr>
      <t xml:space="preserve"> | Pursuit of a Radical Rhapsody</t>
    </r>
  </si>
  <si>
    <t>Total</t>
  </si>
  <si>
    <t>Billed Till Date</t>
  </si>
  <si>
    <t>Planned Billing CY 25</t>
  </si>
  <si>
    <t>Actual Billing CY 25</t>
  </si>
  <si>
    <t>Fee</t>
  </si>
  <si>
    <t>Billing YTD</t>
  </si>
  <si>
    <t>Billing till Dec'24</t>
  </si>
  <si>
    <t>Completed till Dec'24</t>
  </si>
  <si>
    <t>Plan in 
CY : 25</t>
  </si>
  <si>
    <t>Actual in CY : 25</t>
  </si>
  <si>
    <t>Issued till Dec'24</t>
  </si>
  <si>
    <t>Plan in CY - 24</t>
  </si>
  <si>
    <t>Actual in CY - 24</t>
  </si>
  <si>
    <t>Planned Billing in CY 25</t>
  </si>
  <si>
    <t>Actual Billing in CY 25</t>
  </si>
  <si>
    <t>Actual in 
CY : 25</t>
  </si>
  <si>
    <t>Plan in CY 25</t>
  </si>
  <si>
    <t>Actual in CY 25</t>
  </si>
  <si>
    <t>Planned Billing</t>
  </si>
  <si>
    <t>Actual Billing</t>
  </si>
  <si>
    <t>YTD</t>
  </si>
  <si>
    <t>Issued till Mar'24</t>
  </si>
  <si>
    <t>Design Packages</t>
  </si>
  <si>
    <t>Design Fees</t>
  </si>
  <si>
    <t>Habitable Level - 03 - 05</t>
  </si>
  <si>
    <t>SS2-01</t>
  </si>
  <si>
    <t>SS2-02</t>
  </si>
  <si>
    <t>SS3-01</t>
  </si>
  <si>
    <t>SS3-02</t>
  </si>
  <si>
    <t>R11-01</t>
  </si>
  <si>
    <t>R22-01</t>
  </si>
  <si>
    <t>C20P-01</t>
  </si>
  <si>
    <t>L30P-01</t>
  </si>
  <si>
    <t>L45P-01</t>
  </si>
  <si>
    <t>0059 | Pursuit of a Radical Rhapsody</t>
  </si>
  <si>
    <t>Location</t>
  </si>
  <si>
    <t>Batch Code</t>
  </si>
  <si>
    <t>Batch</t>
  </si>
  <si>
    <t>Issue Status</t>
  </si>
  <si>
    <t>Plan in 
Y 25</t>
  </si>
  <si>
    <t>Issued in 
Y:25</t>
  </si>
  <si>
    <t>AR | DRAWING LIST</t>
  </si>
  <si>
    <t>Till Dec'24</t>
  </si>
  <si>
    <t>Latest Revision</t>
  </si>
  <si>
    <t>Date</t>
  </si>
  <si>
    <t>Independent Subgrade Structure [Tower 1-7]</t>
  </si>
  <si>
    <t>A</t>
  </si>
  <si>
    <t>4101</t>
  </si>
  <si>
    <t>Drivers &amp; Maids Lounge</t>
  </si>
  <si>
    <t>SS0</t>
  </si>
  <si>
    <t>4104</t>
  </si>
  <si>
    <t>IBMS Room</t>
  </si>
  <si>
    <t>4301</t>
  </si>
  <si>
    <t>Part Section 1</t>
  </si>
  <si>
    <t>4302</t>
  </si>
  <si>
    <t>Part Section 2</t>
  </si>
  <si>
    <t>4303</t>
  </si>
  <si>
    <t>Part Section 3</t>
  </si>
  <si>
    <t>A-BA1-1001</t>
  </si>
  <si>
    <t>OVERALL BASEMENT GA PLAN &amp; SECTIONS</t>
  </si>
  <si>
    <t>R0</t>
  </si>
  <si>
    <t>A-BA1-1401</t>
  </si>
  <si>
    <t>T1 - T2 BASEMENT ELECTRICAL LAYOUT</t>
  </si>
  <si>
    <t>2</t>
  </si>
  <si>
    <t>A-BA1-4111</t>
  </si>
  <si>
    <t>IRONING ROOM - PLAN, ELEVATION, SECTION</t>
  </si>
  <si>
    <t>4</t>
  </si>
  <si>
    <t>A-BA1-4112</t>
  </si>
  <si>
    <t>IRONING ROOM - STONE LEDGE FIXING DETAILS</t>
  </si>
  <si>
    <t>A-BA1-4706</t>
  </si>
  <si>
    <t>IRONING ROOM - DOOR DETAIL - D07a</t>
  </si>
  <si>
    <t>A-BA1-4707</t>
  </si>
  <si>
    <t>IRONING ROOM - WINDOW DETAIL - W1</t>
  </si>
  <si>
    <t/>
  </si>
  <si>
    <t>Tower—01</t>
  </si>
  <si>
    <t>A-T1-0103</t>
  </si>
  <si>
    <t>LEVEL 1 SETTING OUT PLAN</t>
  </si>
  <si>
    <t>T01</t>
  </si>
  <si>
    <t>1</t>
  </si>
  <si>
    <t>A-T1-1001</t>
  </si>
  <si>
    <t>SSL 01-LEVEL 1 PLAN</t>
  </si>
  <si>
    <t>R2</t>
  </si>
  <si>
    <t>A-T1-1002</t>
  </si>
  <si>
    <t>SSL 02-TYPICAL EVEN LEVEL PLAN</t>
  </si>
  <si>
    <t>R1</t>
  </si>
  <si>
    <t>A-T1-1003</t>
  </si>
  <si>
    <t>SSL 03-LEVEL 3 PLAN</t>
  </si>
  <si>
    <t>A-T1-1004</t>
  </si>
  <si>
    <t>SSL04 - LEVEL 4 PLAN</t>
  </si>
  <si>
    <t>A-T1-1005</t>
  </si>
  <si>
    <t>TYPICAL ODD LEVEL PLAN</t>
  </si>
  <si>
    <t>A-T1-1028</t>
  </si>
  <si>
    <t>SSL 28 - LEVEL 28 PLAN - PENTHOUSE LOWER LEVEL</t>
  </si>
  <si>
    <t>A-T1-1029</t>
  </si>
  <si>
    <t>SSL 29 - LEVEL 29 PLAN - TERRACE LEVEL</t>
  </si>
  <si>
    <t>A-T1-1030</t>
  </si>
  <si>
    <t>SSL 30 - TERRACE LEVEL PLAN</t>
  </si>
  <si>
    <t>A-T1-2001</t>
  </si>
  <si>
    <t>TOWER ELEVATIONS 1</t>
  </si>
  <si>
    <t>R3</t>
  </si>
  <si>
    <t>A-T1-2002</t>
  </si>
  <si>
    <t>TOWER ELEVATIONS 2</t>
  </si>
  <si>
    <t>A-T1-3001</t>
  </si>
  <si>
    <t>TOWER SECTIONS 1</t>
  </si>
  <si>
    <t>A-T1-3002</t>
  </si>
  <si>
    <t>TOWER SECTIONS 2</t>
  </si>
  <si>
    <t>A-T1-4601</t>
  </si>
  <si>
    <t>STAIRCASE DETAILS - TYPE A,B,C,D &amp; E(TYPICAL) - 1/3</t>
  </si>
  <si>
    <t>A-T1-4602</t>
  </si>
  <si>
    <t>STAIRCASE DETAILS - TYPE A,B,C,D &amp; E(TYPICAL) - 2/3</t>
  </si>
  <si>
    <t>A-T1-4603</t>
  </si>
  <si>
    <t>STAIRCASE DETAILS - TYPE A,B,C,D &amp; E(TYPICAL) - 3/3</t>
  </si>
  <si>
    <t>A-T1B-0101</t>
  </si>
  <si>
    <t>SETOUT PLAN - RAFT</t>
  </si>
  <si>
    <t>A-T1B-0102</t>
  </si>
  <si>
    <t>BASEMENT SETTING OUT PLAN</t>
  </si>
  <si>
    <t>A-T1B-1031</t>
  </si>
  <si>
    <t>BASEMENT PLAN</t>
  </si>
  <si>
    <t>A-T1-1100</t>
  </si>
  <si>
    <t>MASONRY WALL LEGEND</t>
  </si>
  <si>
    <t>3</t>
  </si>
  <si>
    <t>A-T1-4721</t>
  </si>
  <si>
    <t>DOOR DETAIL - D11 (GARBAGE ROOM)</t>
  </si>
  <si>
    <t>A-T1B-1101</t>
  </si>
  <si>
    <t>MASONRY SETOUT PLAN – GRADE SLAB – BASEMENT</t>
  </si>
  <si>
    <t>A-T1-1400</t>
  </si>
  <si>
    <t>TOWER 1 ELECTRICAL SCHEDULE</t>
  </si>
  <si>
    <t>A-T1-4111</t>
  </si>
  <si>
    <t>COURTYARD SERVICE PLATFORM DETAILS</t>
  </si>
  <si>
    <t>A-T1-4116</t>
  </si>
  <si>
    <t>TOWER 1 NORTH ENTRY PLAN</t>
  </si>
  <si>
    <t>A-T1-4117</t>
  </si>
  <si>
    <t>SOUTH &amp; T7 NORTH ENTRY DETAILS</t>
  </si>
  <si>
    <t>A-T1-4118</t>
  </si>
  <si>
    <t>T1 SOUTH &amp; T7 NORTH ENTRY - DETAILED SECTIONS</t>
  </si>
  <si>
    <t>A-T1-1402</t>
  </si>
  <si>
    <t>ELECTRICAL LAYOUT - TYP. EVEN LEVEL RCP</t>
  </si>
  <si>
    <t>5</t>
  </si>
  <si>
    <t>A-T1-1501</t>
  </si>
  <si>
    <t>TYP. LEVEL RCP - SLEEVES LOCATIONS</t>
  </si>
  <si>
    <t>A-T1-1403</t>
  </si>
  <si>
    <t>ELECTRICAL LAYOUT - TYP. ODD LEVEL RCP</t>
  </si>
  <si>
    <t>6</t>
  </si>
  <si>
    <t>A-T1-1404</t>
  </si>
  <si>
    <t>ELECTRICAL LAYOUT - 1031 &amp; 1041 RCP</t>
  </si>
  <si>
    <t>A-T1-1101</t>
  </si>
  <si>
    <t>MASONRY SETOUT PLAN – SSL 1 – LEVEL 1</t>
  </si>
  <si>
    <t>7</t>
  </si>
  <si>
    <t>A-T1-1102</t>
  </si>
  <si>
    <t>MASONRY SETOUT PLAN - TYPICAL LEVEL</t>
  </si>
  <si>
    <t>A-T1-4101</t>
  </si>
  <si>
    <t>LIFT LOBBY DETAILS - TYPICAL LEVEL</t>
  </si>
  <si>
    <t>A-T1-4103</t>
  </si>
  <si>
    <t>LIFT LOBBY DETAILS - BASEMENT LEVEL</t>
  </si>
  <si>
    <t>A-T1-4400</t>
  </si>
  <si>
    <t>KEY PLAN - WALL SECTIONS (EXTERNAL)</t>
  </si>
  <si>
    <t>A-T1-4401</t>
  </si>
  <si>
    <t>WALL SECTION-A SHEAR WALL &amp; WIRE-CUT BRICK DETAILS (1/3)</t>
  </si>
  <si>
    <t>A-T1-4402</t>
  </si>
  <si>
    <t>WALL SECTION-A SHEAR WALL &amp; WIRE-CUT BRICK DETAILS (2/3)</t>
  </si>
  <si>
    <t>A-T1-4403</t>
  </si>
  <si>
    <t>WALL SECTION-A SHEAR WALL &amp; WIRE-CUT BRICK DETAILS (3/3)</t>
  </si>
  <si>
    <t>A-T1-4720</t>
  </si>
  <si>
    <t>C20 UNITS - WINDOW DETAILS - W04</t>
  </si>
  <si>
    <t>C20 UNITS - WINDOW DETAILS - W04a</t>
  </si>
  <si>
    <t>A-T1-5518</t>
  </si>
  <si>
    <t>C20 - CLOSED UTILITY DETAIL</t>
  </si>
  <si>
    <t>A-T1-6201</t>
  </si>
  <si>
    <t>TERRACE GARDEN - DETAILS - 1 OF 3</t>
  </si>
  <si>
    <t>A-T1-6202</t>
  </si>
  <si>
    <t>TERRACE GARDEN - DETAILS - 2 OF 3</t>
  </si>
  <si>
    <t>A-T1-6203</t>
  </si>
  <si>
    <t>TERRACE GARDEN - DETAILS - 3 OF 3</t>
  </si>
  <si>
    <t>A-T1-6205</t>
  </si>
  <si>
    <t>GUEST BEDROOM BALCONY DETAILS</t>
  </si>
  <si>
    <t>A-T1-6206</t>
  </si>
  <si>
    <t>SERVICE PLATFORM DETAILS</t>
  </si>
  <si>
    <t>A-T1-6207</t>
  </si>
  <si>
    <t>TERRACE GARDEN SHAFT RAILINGS</t>
  </si>
  <si>
    <t>A-T01-7522</t>
  </si>
  <si>
    <t>PMD - LOOSE FURNITURE</t>
  </si>
  <si>
    <t>A-T01-7523</t>
  </si>
  <si>
    <t>A-T1-1128</t>
  </si>
  <si>
    <t>MASONRY PLAN - LEVEL 28</t>
  </si>
  <si>
    <t>8</t>
  </si>
  <si>
    <t>A-T1-1129</t>
  </si>
  <si>
    <t>MASONRY PLAN - LEVEL 29</t>
  </si>
  <si>
    <t>A-T1-1405</t>
  </si>
  <si>
    <t>ELECTRICAL LAYOUT - PENTHOUSE LOWER LEVEL</t>
  </si>
  <si>
    <t>A-T1-1406</t>
  </si>
  <si>
    <t>ELECTRICAL LAYOUT - PENTHOUSE UPPER LEVEL</t>
  </si>
  <si>
    <t>A-T1-4102</t>
  </si>
  <si>
    <t>TERRACE LEVEL LOBBY DETAILS - SSL 29</t>
  </si>
  <si>
    <t>A-T1-1130</t>
  </si>
  <si>
    <t>MASONRY PLAN - LEVEL 30</t>
  </si>
  <si>
    <t>9</t>
  </si>
  <si>
    <t>LIFT LOBBY DETAILS - TERRACE LEVEL</t>
  </si>
  <si>
    <t>10</t>
  </si>
  <si>
    <t>A-T1-6304</t>
  </si>
  <si>
    <t>T01 -AVIATION LIGHT FIXING DETAILS</t>
  </si>
  <si>
    <t>A-T1-6502</t>
  </si>
  <si>
    <t>CONNECTING BRIDGE STAIRCASE DETAILS 01</t>
  </si>
  <si>
    <t>A-T1-6503</t>
  </si>
  <si>
    <t>CONNECTING BRIDGE STAIRCASE DETAILS 02</t>
  </si>
  <si>
    <t>Tower—2V</t>
  </si>
  <si>
    <t>A-T2V-1001</t>
  </si>
  <si>
    <t>GA PLAN -SSL 01 = LEVEL 01</t>
  </si>
  <si>
    <t>T2V</t>
  </si>
  <si>
    <t>A-T2V-1002</t>
  </si>
  <si>
    <t>GA PLAN - SSL 02 - LEVEL 02</t>
  </si>
  <si>
    <t>A-T2V-1003</t>
  </si>
  <si>
    <t>GA PLAN - SSL 03, 05 - LEVEL 03,05</t>
  </si>
  <si>
    <t>A-T2V-1004</t>
  </si>
  <si>
    <t>GA PLAN - SSL 04 - LEVEL 04</t>
  </si>
  <si>
    <t>A-T2V-1005</t>
  </si>
  <si>
    <t>GA PLAN - SSL 06, 08 - LEVEL 06, 08</t>
  </si>
  <si>
    <t>A-T2V-1006</t>
  </si>
  <si>
    <t>GA PLAN - SSL 06 - LEVEL 06</t>
  </si>
  <si>
    <t>A-T2V-1007</t>
  </si>
  <si>
    <t>GA PLAN -SSL 07 - LEVEL 07</t>
  </si>
  <si>
    <t>A-T2V-1008</t>
  </si>
  <si>
    <t>GA PLAN -SSL 08 - LEVEL 08</t>
  </si>
  <si>
    <t>A-T2v-1009</t>
  </si>
  <si>
    <t>GA PLAN - SSL 00 - BASEMENT</t>
  </si>
  <si>
    <t>A-T2V-1009</t>
  </si>
  <si>
    <t>GA PLAN -SSL 09 - LEVEL 09 TYPICAL L30g</t>
  </si>
  <si>
    <t>A-T2V-1010</t>
  </si>
  <si>
    <t>GA PLAN - TYPICAL EVEN LEVELS-L30a</t>
  </si>
  <si>
    <t>A-T2V-1011</t>
  </si>
  <si>
    <t>GA PLAN - TYPICAL ODD -LEVELS - L30b</t>
  </si>
  <si>
    <t>A-T2V-1030</t>
  </si>
  <si>
    <t>GA PLAN - SSL 30- LOWER PENTHOUSE LEVEL</t>
  </si>
  <si>
    <t>A-T2V-1031</t>
  </si>
  <si>
    <t>GA PLAN - SSL 31 - UPPER PENTHOUSE LEVEL</t>
  </si>
  <si>
    <t>A-T2V-1032</t>
  </si>
  <si>
    <t>GA PLAN - SSL 32 - TERRACE LEVEL</t>
  </si>
  <si>
    <t>A-T2V-2001</t>
  </si>
  <si>
    <t>GA ELEVATIONS - WEST &amp; SOUTH</t>
  </si>
  <si>
    <t>A-T2V-2002</t>
  </si>
  <si>
    <t>GA ELEVATIONS - EAST</t>
  </si>
  <si>
    <t>A-T2V-3001</t>
  </si>
  <si>
    <t>GA SECTION CC</t>
  </si>
  <si>
    <t>A-T2V-3002</t>
  </si>
  <si>
    <t>GA SECTION AA &amp; BB</t>
  </si>
  <si>
    <t>A-T2V-4110</t>
  </si>
  <si>
    <t>EXPANSION JOINT DETAILS</t>
  </si>
  <si>
    <t>A-T02V-4601</t>
  </si>
  <si>
    <t>STAIRCASE DETAILS - TYPE A, B, C, D &amp; E</t>
  </si>
  <si>
    <t>A-T02V-4602</t>
  </si>
  <si>
    <t>A-T02V-4603</t>
  </si>
  <si>
    <t>STAIRCASE DETAILS - SECTIONS</t>
  </si>
  <si>
    <t>A-T2VB-0101</t>
  </si>
  <si>
    <t>SET-OUT PLAN - RAFT 1/2</t>
  </si>
  <si>
    <t>A-T2VB-0102</t>
  </si>
  <si>
    <t>SETOUT PLAN - COLUMNS</t>
  </si>
  <si>
    <t>A-T2VB-1001</t>
  </si>
  <si>
    <t>A-T2V-4101</t>
  </si>
  <si>
    <t>LIFT LOBBY DETAILS-BASEMENT LEVEL</t>
  </si>
  <si>
    <t>A-T2VB-1101</t>
  </si>
  <si>
    <t>MASONRY SETOUT PLAN - SSL 00 - GRADE SLAB</t>
  </si>
  <si>
    <t>A-T2VB-1102</t>
  </si>
  <si>
    <t>MASONARY SETOUT SECTIONS - SSL 00 - GRADE SLAB</t>
  </si>
  <si>
    <t>A-T02-1401</t>
  </si>
  <si>
    <t>L30 - ELECTRICAL LAYOUT - SSL 01</t>
  </si>
  <si>
    <t>A-T02-1402</t>
  </si>
  <si>
    <t>L30 - ELECTRICAL SCHEDULE - SSL 01-26</t>
  </si>
  <si>
    <t>A-T02-1403</t>
  </si>
  <si>
    <t>L30 - ELECTRICAL LAYOUT - SSL 01-06</t>
  </si>
  <si>
    <t>A-T2V-1404</t>
  </si>
  <si>
    <t>L2BHK&amp;L3BHK-TYPICAL UNIT ELECTRICAL LAYOUTS</t>
  </si>
  <si>
    <t>A-T2V-1405</t>
  </si>
  <si>
    <t>L2BHK&amp;L3BHK-TERRACE GARDEN ELECTRICAL LAYOUTS</t>
  </si>
  <si>
    <t>A-T2V-1406</t>
  </si>
  <si>
    <t>L2BHK&amp;L3BHK-ELECTRICAL SCHEDULES</t>
  </si>
  <si>
    <t>A-T2V-1407</t>
  </si>
  <si>
    <t>TYPICAL LEVEL ELECTRICAL RCP</t>
  </si>
  <si>
    <t>A-T2V-1408</t>
  </si>
  <si>
    <t>L30 TYPICAL TERRACE GARDEN</t>
  </si>
  <si>
    <t>A-T2V-1409</t>
  </si>
  <si>
    <t>TYPICAL LEVEL ELECTRICAL</t>
  </si>
  <si>
    <t>A-T2V-1411</t>
  </si>
  <si>
    <t>LEVEL 4 - SSL 5 ELECTRICAL LAYOUT</t>
  </si>
  <si>
    <t>A-T2V-3101</t>
  </si>
  <si>
    <t>FRAMING ELEVATION</t>
  </si>
  <si>
    <t>A-T2V-3102</t>
  </si>
  <si>
    <t>A-T2V-3103</t>
  </si>
  <si>
    <t>A-T2V-1410</t>
  </si>
  <si>
    <t>LEVEL 3 - SSL 4 ELECTRICAL LAYOUT</t>
  </si>
  <si>
    <t>A-T2V-1412</t>
  </si>
  <si>
    <t>LEVEL 5 - SSL 6 ELECTRICAL LAYOUT</t>
  </si>
  <si>
    <t>A-T02-6201</t>
  </si>
  <si>
    <t>TERRACE GARDEN DETAILS</t>
  </si>
  <si>
    <t>AR-T2V-7</t>
  </si>
  <si>
    <t>A-T02-6202</t>
  </si>
  <si>
    <t>A-T02-6203</t>
  </si>
  <si>
    <t>A-T02-6205</t>
  </si>
  <si>
    <t>TERRACE GARDEN STANDARD DETAILS</t>
  </si>
  <si>
    <t>A-T02-6207</t>
  </si>
  <si>
    <t>A-T2V-1102</t>
  </si>
  <si>
    <t>MASONRY SETOUT PLAN - SSL 02 - LEVEL 02</t>
  </si>
  <si>
    <t>A-T2V-1103</t>
  </si>
  <si>
    <t>MASONRY SETOUT PLAN - SSL 03 AND SSL 04 - LEVELS 03 AND 04</t>
  </si>
  <si>
    <t>A-T2V-1104</t>
  </si>
  <si>
    <t>MASONRY SETOUT PLAN - SSL 05 - LEVEL 05</t>
  </si>
  <si>
    <t>A-T2V-1105</t>
  </si>
  <si>
    <t>MASONRY &amp; FLOORING PLAN - SSL 05 - LEVEL 05</t>
  </si>
  <si>
    <t>A-T2V-1106</t>
  </si>
  <si>
    <t>MASONRY SETOUT PLAN - SSL 06 - LEVEL 06</t>
  </si>
  <si>
    <t>A-T2V-1107</t>
  </si>
  <si>
    <t>MASONRY SETOUT PLAN - SSL 07 - LEVEL 07</t>
  </si>
  <si>
    <t>A-T2V-1108</t>
  </si>
  <si>
    <t>MASONRY SETOUT PLAN - SSL 08 - LEVEL 08</t>
  </si>
  <si>
    <t>A-T2V-1110</t>
  </si>
  <si>
    <t>MASONRY SETOUT PLAN - TYPICAL ODD LEVEL</t>
  </si>
  <si>
    <t>A-T2V-1111</t>
  </si>
  <si>
    <t>MASONRY SETOUT PLAN - TYPICAL EVEN LEVEL</t>
  </si>
  <si>
    <t>A-T2V-4103</t>
  </si>
  <si>
    <t>LIFT LOBBY DETAILS- TYPICAL LEVELS</t>
  </si>
  <si>
    <t>A-T2V-4104</t>
  </si>
  <si>
    <t>LIFT LOBBY SIGNAGE - CUSTOMISED</t>
  </si>
  <si>
    <t>A-T2V-4105</t>
  </si>
  <si>
    <t>RECEPTION LOBBY DETAILS 1</t>
  </si>
  <si>
    <t>A-T2V-4106</t>
  </si>
  <si>
    <t>RECEPTION LOBBY DETAILS - 2</t>
  </si>
  <si>
    <t>A-T2V-4107</t>
  </si>
  <si>
    <t>RECEPTION LOBBY DETAILS - 3</t>
  </si>
  <si>
    <t>A-T2V-4108</t>
  </si>
  <si>
    <t>RECEPTION LOBBY - DOOR WINDOWS</t>
  </si>
  <si>
    <t>A-T2V-4109</t>
  </si>
  <si>
    <t>RECEPTION LOBBY - RCP DETAILS</t>
  </si>
  <si>
    <t>A-T2V-4111</t>
  </si>
  <si>
    <t>RECEPTION LOBBY - VISITORS TOILET DETAILS</t>
  </si>
  <si>
    <t>A-T2V-4112</t>
  </si>
  <si>
    <t>RECEPTION LOBBY - STAFF TOILET DETAILS</t>
  </si>
  <si>
    <t>A-T2V-4114</t>
  </si>
  <si>
    <t>UNIT NUMBER SIGNAGE - 1 OF 2</t>
  </si>
  <si>
    <t>A-T2V-4115</t>
  </si>
  <si>
    <t>UNIT NUMBER SIGNAGE - 2 OF 2</t>
  </si>
  <si>
    <t>A-T2V-4231</t>
  </si>
  <si>
    <t>TYPICAL VERTICAL EXPANSION JOINT TYPE 1 DETAIILS</t>
  </si>
  <si>
    <t>A-T2V-4232</t>
  </si>
  <si>
    <t>TYPICAL VERTICAL EXPANSION JOINT TYPE 2 DETAIILS</t>
  </si>
  <si>
    <t>A-T2V-4233</t>
  </si>
  <si>
    <t>TYPICAL HORIZONTAL EXPANSION JOINT TYPE 1 DETAIILS</t>
  </si>
  <si>
    <t>A-T2V-4234</t>
  </si>
  <si>
    <t>TYPICAL HORIZONTAL EXPANSION JOINT TYPE 2 DETAIILS</t>
  </si>
  <si>
    <t>A-T2V-4401</t>
  </si>
  <si>
    <t>EXTERNAL WALL DETAILS - 1 OF 2</t>
  </si>
  <si>
    <t>A-T2V-4402</t>
  </si>
  <si>
    <t>EXTERNAL WALL DETAILS - 2 OF 2</t>
  </si>
  <si>
    <t>A-T2V-4403</t>
  </si>
  <si>
    <t>EXTERNAL WALL DETAILS - 3 OF 3</t>
  </si>
  <si>
    <t>A-T2V-4712</t>
  </si>
  <si>
    <t>RECEPTION LOBBY - D9</t>
  </si>
  <si>
    <t>A-T2V-4716</t>
  </si>
  <si>
    <t>RECEPTION LOBBY - D4</t>
  </si>
  <si>
    <t>A-T2V-4717</t>
  </si>
  <si>
    <t>RECEPTION LOBBY - D2</t>
  </si>
  <si>
    <t>A-T2V-4718</t>
  </si>
  <si>
    <t>RECEPTION LOBBY - D3</t>
  </si>
  <si>
    <t>A-T2V-4719</t>
  </si>
  <si>
    <t>RECEPTION LOBBY - D4-3.3</t>
  </si>
  <si>
    <t>A-T2V-4721</t>
  </si>
  <si>
    <t>C20 UNITS - WINDOW DETAILS - W04 b</t>
  </si>
  <si>
    <t>A-T2V-6201</t>
  </si>
  <si>
    <t>A-T2V-6202</t>
  </si>
  <si>
    <t>A-T2V-6208</t>
  </si>
  <si>
    <t>TERRACE GARDEN DETAILS - SSL 06 TO 09</t>
  </si>
  <si>
    <t>A-T2V-6209</t>
  </si>
  <si>
    <t>A-T2V-6210</t>
  </si>
  <si>
    <t>A-T2V-1430</t>
  </si>
  <si>
    <t>ELECTRICAL LAYOUT - SSL 30 - L30P LOWER LEVEL</t>
  </si>
  <si>
    <t>A-T2V-1431</t>
  </si>
  <si>
    <t>ELECTRICAL LAYOUT - SSL 31 - L30P UPPER LEVEL</t>
  </si>
  <si>
    <t>A-T2V-1132</t>
  </si>
  <si>
    <t>MASONRY &amp; FLOORING PLAN - SSL 32</t>
  </si>
  <si>
    <t>A-T2V-6502</t>
  </si>
  <si>
    <t>A-T2V-6503</t>
  </si>
  <si>
    <t>A-T2V-1130</t>
  </si>
  <si>
    <t>MASONRY SETOUT PLAN - SSL 30</t>
  </si>
  <si>
    <t>A-T2V-1131</t>
  </si>
  <si>
    <t>MASONRY SETOUT PLAN - SSL 31</t>
  </si>
  <si>
    <t>A-T2V-4102</t>
  </si>
  <si>
    <t>A-T2V-4121</t>
  </si>
  <si>
    <t>LEVEL 30 SERVICE PLATFORM ROOF DETAILS</t>
  </si>
  <si>
    <t>A-T2V-6212</t>
  </si>
  <si>
    <t>TERRACE GARDEN DETAILS @ SSL 31 - SHEET 01 OF 02</t>
  </si>
  <si>
    <t>A-T2V-6213</t>
  </si>
  <si>
    <t>TERRACE GARDEN DETAILS @ SSL 31 - SHEET 02 OF 02</t>
  </si>
  <si>
    <t>A-T2V-7470</t>
  </si>
  <si>
    <t>ELECTRICAL SCHEDULE - SSL 30 - L30P LOWER LEVEL</t>
  </si>
  <si>
    <t>A-T2V-7471</t>
  </si>
  <si>
    <t>ELECTRICAL SCHEDULE - SSL 31 - L30P UPPER LEVEL</t>
  </si>
  <si>
    <t>Tower—2S</t>
  </si>
  <si>
    <t>A-T2S-0001</t>
  </si>
  <si>
    <t>Cover Sheet</t>
  </si>
  <si>
    <t>T2S</t>
  </si>
  <si>
    <t>A-T2S-0002</t>
  </si>
  <si>
    <t>ABBREVIATIONS &amp; SYMBOLS</t>
  </si>
  <si>
    <t>A-T2S-1001</t>
  </si>
  <si>
    <t>G.A. PLAN - BASEMENT LEVEL</t>
  </si>
  <si>
    <t>A-T2S-1002</t>
  </si>
  <si>
    <t>G.A. PLAN - SSL 01 STILT LEVEL</t>
  </si>
  <si>
    <t>A-T2S-1003</t>
  </si>
  <si>
    <t>GA PLAN - SSL 02 - LEVEL 01</t>
  </si>
  <si>
    <t>A-T2S-1004</t>
  </si>
  <si>
    <t>G.A. PLAN - SSL 03 LEVEL 2</t>
  </si>
  <si>
    <t>A-T2S-1005</t>
  </si>
  <si>
    <t>G.A. PLAN - SSL 04 LEVEL 3</t>
  </si>
  <si>
    <t>A-T2S-1006</t>
  </si>
  <si>
    <t>G.A. PLAN - SSL 05 LEVEL 4</t>
  </si>
  <si>
    <t>A-T2S-1007</t>
  </si>
  <si>
    <t>G.A. PLAN - SSL 06 LEVEL 5</t>
  </si>
  <si>
    <t>A-T2S-1008</t>
  </si>
  <si>
    <t>G.A. PLAN - SSL 07 LEVEL 6</t>
  </si>
  <si>
    <t>A-T2S-1009</t>
  </si>
  <si>
    <t>G.A. PLAN - SSL 08 LEVEL 7</t>
  </si>
  <si>
    <t>A-T2S-1010</t>
  </si>
  <si>
    <t>G.A. 3D VIEWS</t>
  </si>
  <si>
    <t>A-T2S-2001</t>
  </si>
  <si>
    <t>G.A. EAST ELEVATION</t>
  </si>
  <si>
    <t>A-T2S-2002</t>
  </si>
  <si>
    <t>G.A. SOUTH ELEVATION</t>
  </si>
  <si>
    <t>A-T2S-2003</t>
  </si>
  <si>
    <t>G.A. WEST ELEVATION</t>
  </si>
  <si>
    <t>A-T2S-3001</t>
  </si>
  <si>
    <t>G.A. SECTION AA</t>
  </si>
  <si>
    <t>A-T2S-3002</t>
  </si>
  <si>
    <t>G.A. SECTION BB</t>
  </si>
  <si>
    <t>A-T2S-4401</t>
  </si>
  <si>
    <t>RETAINING WALL</t>
  </si>
  <si>
    <t>A-T2S-4410</t>
  </si>
  <si>
    <t>SOUTH SIDE-EXTERNAL WALL KEY PLAN</t>
  </si>
  <si>
    <t>A-T2S-4413</t>
  </si>
  <si>
    <t>SOUTH SIDE-EXTERNAL WALL DETAILS - 01</t>
  </si>
  <si>
    <t>A-T2S-4414</t>
  </si>
  <si>
    <t>SOUTH SIDE-EXTERNAL WALL DETAILS - 02</t>
  </si>
  <si>
    <t>A-T2S-4601</t>
  </si>
  <si>
    <t>Staircase Details- STRC 2</t>
  </si>
  <si>
    <t>A-T2S-4602</t>
  </si>
  <si>
    <t>Staircase Details- STRC 1,3,4</t>
  </si>
  <si>
    <t>A-T2S-5101</t>
  </si>
  <si>
    <t>RAMP DETAILS</t>
  </si>
  <si>
    <t>A-T2S-5103</t>
  </si>
  <si>
    <t>RAMP DEATILS FOR VDF FLOORING</t>
  </si>
  <si>
    <t>A-T2S-5104</t>
  </si>
  <si>
    <t>RAMP OUTER WALL HEIGHT</t>
  </si>
  <si>
    <t>A-T2S-5105</t>
  </si>
  <si>
    <t>RAMP DRAINAGE DOWNTAKE PIPE</t>
  </si>
  <si>
    <t>A-T2S-5106</t>
  </si>
  <si>
    <t>RAMP WIRECUT JALLI DETAIL</t>
  </si>
  <si>
    <t>A-T2S-5107</t>
  </si>
  <si>
    <t>RAMP BOLLARD LOCATION AND DRAIN DETAIL</t>
  </si>
  <si>
    <t>A-T2S-1401</t>
  </si>
  <si>
    <t>ELECTRICAL LAYOUT - STILT LEVEL</t>
  </si>
  <si>
    <t>A-T2S-1101</t>
  </si>
  <si>
    <t>MASONRY &amp; FLOORING PLAN - SSL 00 - LEVEL -1</t>
  </si>
  <si>
    <t>A-T2S-1102</t>
  </si>
  <si>
    <t>MASONRY SETOUT PLAN - SSL 01 - STILT LEVEL</t>
  </si>
  <si>
    <t>A-T2S-4101</t>
  </si>
  <si>
    <t>LIFT LOBBY DETAILS - 01</t>
  </si>
  <si>
    <t>A-T2S-4105</t>
  </si>
  <si>
    <t>LOBBY ACCESS RAMP DETAIL- BASEMENT &amp; STILT</t>
  </si>
  <si>
    <t>A-T2S-4112</t>
  </si>
  <si>
    <t>SIGNAGE-BASEMENT</t>
  </si>
  <si>
    <t>A-T2S-4113</t>
  </si>
  <si>
    <t>SIGNAGE-STILT LEVEL</t>
  </si>
  <si>
    <t>A-T2S-4422</t>
  </si>
  <si>
    <t>EXPANSION JOINT DETAIL-PLAN</t>
  </si>
  <si>
    <t>A-T2S-4423</t>
  </si>
  <si>
    <t>EXPANSION JOINT DETAIL -SECTION</t>
  </si>
  <si>
    <t>A-T2S-4424</t>
  </si>
  <si>
    <t>EXPANSION JOINT DETAIL- DETAILED PLAN</t>
  </si>
  <si>
    <t>A-T2S-4425</t>
  </si>
  <si>
    <t>EXPANSION JOINT DETAIL-DETAILED SECTION</t>
  </si>
  <si>
    <t>A-T2S-4426</t>
  </si>
  <si>
    <t>EXPANSION JOINT DETAIL - CENTRAL STREET DRIVEWAY</t>
  </si>
  <si>
    <t>A-T2S-4701</t>
  </si>
  <si>
    <t>UG 1 - FHC</t>
  </si>
  <si>
    <t>A-T2S-4702</t>
  </si>
  <si>
    <t>UG 2 - ELEC &amp; COMM</t>
  </si>
  <si>
    <t>A-T2S-4704</t>
  </si>
  <si>
    <t>UG 7, D9 - PHE</t>
  </si>
  <si>
    <t>A-T2S-4706</t>
  </si>
  <si>
    <t>D7 - SERVICE ROOM DOOR</t>
  </si>
  <si>
    <t>Will be a part of Level1 drawing</t>
  </si>
  <si>
    <t>A-T2S-4707</t>
  </si>
  <si>
    <t>GARBAGE ROOM DOOR -BASEMENT- D12</t>
  </si>
  <si>
    <t>A-T2S-4711</t>
  </si>
  <si>
    <t>Electrical Shaft Door - D8</t>
  </si>
  <si>
    <t>A-T2S-4717</t>
  </si>
  <si>
    <t>FIRE DOOR-D14</t>
  </si>
  <si>
    <t>Will be a part of Level4 drawing</t>
  </si>
  <si>
    <t>A-T2S-6401</t>
  </si>
  <si>
    <t>MECHANICAL SHAFT DETAILS</t>
  </si>
  <si>
    <t>A-T2S-4405</t>
  </si>
  <si>
    <t>LEVEL 01 EAST ELEVATION ENVELOPE DETAILS</t>
  </si>
  <si>
    <t>A-T2S-1402</t>
  </si>
  <si>
    <t>ELECTRICAL LAYOUT - LEVEL 01</t>
  </si>
  <si>
    <t>A-T2S-1403</t>
  </si>
  <si>
    <t>ELECTRICAL LAYOUT - LEVEL 02</t>
  </si>
  <si>
    <t>A-T2S-7470</t>
  </si>
  <si>
    <t>SWITCHBOARD SCHEDULE - LEVEL 01</t>
  </si>
  <si>
    <t>A-T2S-1404</t>
  </si>
  <si>
    <t>ELECTRICAL LAYOUT - LEVEL 03</t>
  </si>
  <si>
    <t>A-T2S-1405</t>
  </si>
  <si>
    <t>ELECTRICAL LAYOUT - LEVEL 04</t>
  </si>
  <si>
    <t>A-T2S-1406</t>
  </si>
  <si>
    <t>ELECTRICAL LAYOUT - LEVEL 05</t>
  </si>
  <si>
    <t>A-T2S-7471</t>
  </si>
  <si>
    <t>SWITCHBOARD SCHEDULE - LEVEL 02, 03, 04 &amp; 05</t>
  </si>
  <si>
    <t>A-T2S-1103</t>
  </si>
  <si>
    <t>MASONRY &amp; FLOORING PLAN - SSL 02 - LEVEL 1</t>
  </si>
  <si>
    <t>A-T2S-1104</t>
  </si>
  <si>
    <t>MASONRY &amp; FLOORING PLAN - SSL 03 - LEVEL 2</t>
  </si>
  <si>
    <t>A-T2S-1105</t>
  </si>
  <si>
    <t>MASONRY &amp; FLOORING PLAN - SSL 04 - LEVEL 3</t>
  </si>
  <si>
    <t>R4</t>
  </si>
  <si>
    <t>A-T2S-1106</t>
  </si>
  <si>
    <t>MASONRY &amp; FLOORING PLAN - SSL 05 - LEVEL 4</t>
  </si>
  <si>
    <t>A-T2S-1107</t>
  </si>
  <si>
    <t>MASONRY &amp; FLOORING PLAN - SSL 06 - LEVEL 5</t>
  </si>
  <si>
    <t>A-T2S-1110</t>
  </si>
  <si>
    <t>ELECTRICAL PANEL ROOM - MASONRY AND FLOORING PLAN</t>
  </si>
  <si>
    <t>A-T2S-4102</t>
  </si>
  <si>
    <t>LIFT LOBBY DETAILS - TYPICAL</t>
  </si>
  <si>
    <t>A-T2S-4103</t>
  </si>
  <si>
    <t>LIFT LOBBY DETAILS -LEVEL 04</t>
  </si>
  <si>
    <t>A-T2S-4104</t>
  </si>
  <si>
    <t>LIFT LOBBY DETAILS-LEVEL 05&amp;06</t>
  </si>
  <si>
    <t>A-T2S-4106</t>
  </si>
  <si>
    <t>LEVEL 04 UNIT LOBBY DETAIL</t>
  </si>
  <si>
    <t>A-T2S-4110</t>
  </si>
  <si>
    <t>CONNECTING BRIDGE - SHEET 01 OF 02</t>
  </si>
  <si>
    <t>A-T2S-4111</t>
  </si>
  <si>
    <t>CONNECTING BRIDGES - SHEET - 02 OF 02</t>
  </si>
  <si>
    <t>A-T2S-4114</t>
  </si>
  <si>
    <t>SIGNAGE-LEVEL 01</t>
  </si>
  <si>
    <t>A-T2S-4115</t>
  </si>
  <si>
    <t>SIGNAGE-TYPICAL LEVEL</t>
  </si>
  <si>
    <t>A-T2S-4116</t>
  </si>
  <si>
    <t>SIGNAGE-LEVEL 04</t>
  </si>
  <si>
    <t>A-T2S-4117</t>
  </si>
  <si>
    <t>SIGNAGE-LEVEL 05 &amp; 06</t>
  </si>
  <si>
    <t>A-T2S-4119</t>
  </si>
  <si>
    <t>SIGNAGE-CUSTOMISED</t>
  </si>
  <si>
    <t>TYPICAL MS RAILING DETAIL</t>
  </si>
  <si>
    <t>A-T2S-4415</t>
  </si>
  <si>
    <t>MS RAILING DETAIL - SIDE MOUNTED</t>
  </si>
  <si>
    <t>A-T2S-4420</t>
  </si>
  <si>
    <t>WEST SIDE ELEVATION DETAILS</t>
  </si>
  <si>
    <t>A-T2S-4421</t>
  </si>
  <si>
    <t>UPSTAND AND HANDRAIL HEIGHT</t>
  </si>
  <si>
    <t>A-T2S-4435</t>
  </si>
  <si>
    <t>T2S &amp; T6S - JAALI WALL DETAILS</t>
  </si>
  <si>
    <t>A-T2S-4605</t>
  </si>
  <si>
    <t>STRC 2 -LEVEL 4 LOBBY LANDING FINISH AND LEVEL 5 RAILING TERMINATION</t>
  </si>
  <si>
    <t>A-T2S-4703</t>
  </si>
  <si>
    <t>UG 3 - PHE</t>
  </si>
  <si>
    <t>A-T2S-4712</t>
  </si>
  <si>
    <t>Electrical Shaft Door - UG 06</t>
  </si>
  <si>
    <t>A-T2S-6201</t>
  </si>
  <si>
    <t>L45g - TERRACE GARDEN 1 - LEVEL 1</t>
  </si>
  <si>
    <t>A-T2S-6208</t>
  </si>
  <si>
    <t>L45 GUEST BEDROOM TERRACE GARDEN DETAIL</t>
  </si>
  <si>
    <t>A-TXS-4431</t>
  </si>
  <si>
    <t>L45 TERRACE GARDEN 05 PARTITION-PLAN &amp; SECTION</t>
  </si>
  <si>
    <t>A-TXS-4432</t>
  </si>
  <si>
    <t>L45 TERRACE GARDEN 05 PARTITION - DETAIL</t>
  </si>
  <si>
    <t>A-TXS-4436</t>
  </si>
  <si>
    <t>L45 TERRACE GARDEN 05 PARTITION AT LEVEL 01-PLAN &amp; SECTION</t>
  </si>
  <si>
    <t>A-TXS-6203</t>
  </si>
  <si>
    <t>L45a &amp; L45b - TYPICAL TERRACE GARDEN 3 - LEVEL 2</t>
  </si>
  <si>
    <t>A-TXS-6204</t>
  </si>
  <si>
    <t>L45a &amp; L45b - TYPICAL TERRACE GARDEN 4 - LEVEL 2</t>
  </si>
  <si>
    <t>A-TXS-6205</t>
  </si>
  <si>
    <t>A-TXS-6206</t>
  </si>
  <si>
    <t>TERRACE GARDEN - TYPICAL DETAILS</t>
  </si>
  <si>
    <t>A-TXS-6207</t>
  </si>
  <si>
    <t>L45a &amp; L45b - COMMON TERRACE GARDEN 5</t>
  </si>
  <si>
    <t>A-T2S-1407</t>
  </si>
  <si>
    <t>ELECTRICAL LAYOUT - LEVEL 06</t>
  </si>
  <si>
    <t>A-T2S-7472</t>
  </si>
  <si>
    <t>SWITCHBOARD SCHEDULE - LEVEL 06</t>
  </si>
  <si>
    <t>A-T2S-1408</t>
  </si>
  <si>
    <t>ELECTRICAL LAYOUT-LEVEL 07</t>
  </si>
  <si>
    <t>A-T2S-1108</t>
  </si>
  <si>
    <t>MASONRY &amp; FLOORING PLAN -SSL 07 - LEVEL 6</t>
  </si>
  <si>
    <t>A-T2S-4433</t>
  </si>
  <si>
    <t>T2S PENTHOUSE PERGOLA-PLAN &amp; SECTION</t>
  </si>
  <si>
    <t>A-T2S-4434</t>
  </si>
  <si>
    <t>T2S PENTHOUSE PERGOLA -TYPICAL DETAILS</t>
  </si>
  <si>
    <t>A-T2S-4705</t>
  </si>
  <si>
    <t>UG 4 - PHE</t>
  </si>
  <si>
    <t>A-T2S-6202</t>
  </si>
  <si>
    <t>L45p - TERRACE GARDEN 6 - LEVEL 6</t>
  </si>
  <si>
    <t>A-TXS-4435</t>
  </si>
  <si>
    <t>L45 TERRACE GARDEN 05 PARTITION AT LEVEL 06-PLAN &amp; SECTION</t>
  </si>
  <si>
    <t>A-TXS-4437</t>
  </si>
  <si>
    <t>T2S TO T6S SSL 08 GRATING DETAIL</t>
  </si>
  <si>
    <t>Tower—3V-5V</t>
  </si>
  <si>
    <t>A-T0XV-4601</t>
  </si>
  <si>
    <t>TXV</t>
  </si>
  <si>
    <t>A-T0XV-4602</t>
  </si>
  <si>
    <t>SHLLborel. STAIRCASE DETAILS - TYPE A, B, C,D &amp; E</t>
  </si>
  <si>
    <t>A-T0XV-4603</t>
  </si>
  <si>
    <t>A-T3V-1001</t>
  </si>
  <si>
    <t>GA PLAN - SSL 01 - LEVEL 01</t>
  </si>
  <si>
    <t>A-T3V-1002</t>
  </si>
  <si>
    <t>A-T3V-1003</t>
  </si>
  <si>
    <t>GA PLAN - SSL 03 - LEVEL 03</t>
  </si>
  <si>
    <t>A-T3V-1004</t>
  </si>
  <si>
    <t>A-T3V-1005</t>
  </si>
  <si>
    <t>GA PLAN - SSL 05 - LEVEL 05</t>
  </si>
  <si>
    <t>A-T3V-1006</t>
  </si>
  <si>
    <t>A-T3V-1007</t>
  </si>
  <si>
    <t>GA PLAN - SSL 07 - LEVEL 07</t>
  </si>
  <si>
    <t>A-T3V-1008</t>
  </si>
  <si>
    <t>GA PLAN - SSL 08 - LEVEL 08</t>
  </si>
  <si>
    <t>A-T3V-1009</t>
  </si>
  <si>
    <t>GA PLAN-SSL 09-LEVEL 09 - L30g</t>
  </si>
  <si>
    <t>A-T3V-1010</t>
  </si>
  <si>
    <t>GA PLAN TYPICAL EVEN LEVELS - L30a</t>
  </si>
  <si>
    <t>A-T3V-1011</t>
  </si>
  <si>
    <t>GA PLAN TYPICAL ODD LEVELS - L30b</t>
  </si>
  <si>
    <t>A-T3V-2001</t>
  </si>
  <si>
    <t>TYPICAL ELEVATIONS (TOWER 3 &amp; 5 VERTICAL) - WEST &amp; SOUTH</t>
  </si>
  <si>
    <t>A-T3V-2002</t>
  </si>
  <si>
    <t>TYPICAL ELEVATIONS (TOWER 3 &amp; 5 VERTICAL) - EAST</t>
  </si>
  <si>
    <t>A-T3V-3001</t>
  </si>
  <si>
    <t>GENERAL SECTION 1 - TOWER 3 &amp; 5 VERTICAL</t>
  </si>
  <si>
    <t>A-T3V-3002</t>
  </si>
  <si>
    <t>GENERAL SECTION 2 - TOWER 3 &amp; 5 VERTICAL</t>
  </si>
  <si>
    <t>A-T5V-1001</t>
  </si>
  <si>
    <t>G.A PLAN - LEVEL 1 - GROUND FLOOR</t>
  </si>
  <si>
    <t>A-T5V-1002</t>
  </si>
  <si>
    <t>G.A PLAN - LEVEL 2 - FIRST FLOOR</t>
  </si>
  <si>
    <t>A-T5V-4601</t>
  </si>
  <si>
    <t>STAIRCASE 3 DETAILS</t>
  </si>
  <si>
    <t>A-T5V-6401</t>
  </si>
  <si>
    <t>LIFT - SECTIONAL DETAILS</t>
  </si>
  <si>
    <t>A-TXV-2001</t>
  </si>
  <si>
    <t>GA ELEVATIONS - WEST</t>
  </si>
  <si>
    <t>A-TXV-2002</t>
  </si>
  <si>
    <t>A-TXV-2003</t>
  </si>
  <si>
    <t>ELEVATIONS - SOUTH AND</t>
  </si>
  <si>
    <t>A-TXV-3001</t>
  </si>
  <si>
    <t>A-TXV-3002</t>
  </si>
  <si>
    <t>A-T5V-1401</t>
  </si>
  <si>
    <t>ELECTRICAL PLAN - LEVEL 1 - GROUND 1 AA</t>
  </si>
  <si>
    <t>A-T5V-1403</t>
  </si>
  <si>
    <t>ELELCTRICAL SCHEDULE - LEVEL 01 &amp; 02</t>
  </si>
  <si>
    <t>DOOR DETAIL - D15 (GARBAGE ROOM)</t>
  </si>
  <si>
    <t>A-T3V-1101</t>
  </si>
  <si>
    <t>WOMEN'S STAFF LOUNGE - PLANS</t>
  </si>
  <si>
    <t>A-T3V-1401</t>
  </si>
  <si>
    <t>WOMEN'S STFF LOUNGE - ELECTRICAL LAYOUT</t>
  </si>
  <si>
    <t>A-T3V-4701</t>
  </si>
  <si>
    <t>DOOR DETAILS - D 1</t>
  </si>
  <si>
    <t>A-T3V-4702</t>
  </si>
  <si>
    <t>DOOR DETAILS - D 2.1</t>
  </si>
  <si>
    <t>A-T3V-4703</t>
  </si>
  <si>
    <t>DOOR DETAILS - D 2.2</t>
  </si>
  <si>
    <t>A-T3V-5501</t>
  </si>
  <si>
    <t>WOMEN'S STAFF LOUNGE - TOILET DETAILS</t>
  </si>
  <si>
    <t>A-T3V-7001</t>
  </si>
  <si>
    <t>WOMEN STAFF LOUNGE - SPECIFICATION</t>
  </si>
  <si>
    <t>A-TXV-6204</t>
  </si>
  <si>
    <t>SKYLIGHT DETAIL</t>
  </si>
  <si>
    <t>A-T5V-1404</t>
  </si>
  <si>
    <t>ELECTRICAL PLAN - LEVEL 3 - SSL 04</t>
  </si>
  <si>
    <t>A-T5V-1406</t>
  </si>
  <si>
    <t>ELECTRICAL PLAN - LEVEL 5- SSL 06</t>
  </si>
  <si>
    <t>A-TXV-4101</t>
  </si>
  <si>
    <t>RECEPTION LOBBY - MASONRY AND FLOORING DETAILS 01</t>
  </si>
  <si>
    <t>A-TXV-4102</t>
  </si>
  <si>
    <t>RECEPTION LOBBY - MASONRY AND FLOORING DETAILS 02</t>
  </si>
  <si>
    <t>A-TXV-4103</t>
  </si>
  <si>
    <t>RECEPTION LOBBY - MASONRY AND FLOORING DETAILS 03</t>
  </si>
  <si>
    <t>A-TXV-4104</t>
  </si>
  <si>
    <t>RECEPTION LOBBY - ELECTRICAL LAYOUT AND RCP</t>
  </si>
  <si>
    <t>A-TXV-4701</t>
  </si>
  <si>
    <t>RECEPTION LOBBY - RD1</t>
  </si>
  <si>
    <t>A-TXV-4702</t>
  </si>
  <si>
    <t>RECEPTION LOBBY - RD2</t>
  </si>
  <si>
    <t>A-TXV-4703</t>
  </si>
  <si>
    <t>RECEPTION LOBBY - RW1</t>
  </si>
  <si>
    <t>A-TXV-4705</t>
  </si>
  <si>
    <t>A-TXV-4706</t>
  </si>
  <si>
    <t>RECEPTION LOBBY D4 - 3.3</t>
  </si>
  <si>
    <t>A-TXV-4707</t>
  </si>
  <si>
    <t>RECEPTION LOBBY - FIRE DOOR - D9</t>
  </si>
  <si>
    <t>A-TXV-4708</t>
  </si>
  <si>
    <t>RECEPTION LOBBY - D14</t>
  </si>
  <si>
    <t>A-TXV-4709</t>
  </si>
  <si>
    <t>RECEPTION LOBBY - W2</t>
  </si>
  <si>
    <t>A-TXV-5501</t>
  </si>
  <si>
    <t>RECEPTION LOBBY - VISITOR TOILET DETAILS</t>
  </si>
  <si>
    <t>A-TXV-5502</t>
  </si>
  <si>
    <t>A-TXV-5503</t>
  </si>
  <si>
    <t>RECEPTION LOBBY - STAFF TOILET 1 DETAILS</t>
  </si>
  <si>
    <t>A-TXV-5504</t>
  </si>
  <si>
    <t>RECEPTION LOBBY - STAFF TOILET 2 DETAILS</t>
  </si>
  <si>
    <t>A-TXV-7001</t>
  </si>
  <si>
    <t>RECEPTION LOBBY - SPECIFICATIONS</t>
  </si>
  <si>
    <t>A-T5V-1402</t>
  </si>
  <si>
    <t>ELECTRICAL PLAN - LEVEL 2 - FIRST FLOOR</t>
  </si>
  <si>
    <t>A-TXV-4401</t>
  </si>
  <si>
    <t>A-TXV-4402</t>
  </si>
  <si>
    <t>A-T2V-4709</t>
  </si>
  <si>
    <t>D1 - TOWER ENTRY</t>
  </si>
  <si>
    <t>A-TXV-3101</t>
  </si>
  <si>
    <t>A-TXV-3102</t>
  </si>
  <si>
    <t>A-TXV-3103</t>
  </si>
  <si>
    <t>A-TXV-3104</t>
  </si>
  <si>
    <t>A-TXV-3105</t>
  </si>
  <si>
    <t>A-TXV-4116</t>
  </si>
  <si>
    <t>RECEPTION LOBBY - RECEPTION TABLE</t>
  </si>
  <si>
    <t>A-TXV-4117</t>
  </si>
  <si>
    <t>RECEPTION LOBBY - NOTICE BOARD</t>
  </si>
  <si>
    <t>A-TXV-7520</t>
  </si>
  <si>
    <t>RECEPTION LOBBY - LOOSE FURNITURE SCHEDULE</t>
  </si>
  <si>
    <t>A-TXV-6303</t>
  </si>
  <si>
    <t>T2V-T7V AVIATION LIGHT FIXING DETAILS</t>
  </si>
  <si>
    <t>Tower—3S-5S</t>
  </si>
  <si>
    <t>A-TXS-0001</t>
  </si>
  <si>
    <t>COVER SHEET</t>
  </si>
  <si>
    <t>TXS</t>
  </si>
  <si>
    <t>A-TXS-0002</t>
  </si>
  <si>
    <t>ABBREVIATIONS &amp; SYSMBOLS</t>
  </si>
  <si>
    <t>A-TXS-1001</t>
  </si>
  <si>
    <t>A-TXS-1002</t>
  </si>
  <si>
    <t>A-TXS-1003</t>
  </si>
  <si>
    <t>A-TXS-1004</t>
  </si>
  <si>
    <t>G.A. PLAN - SSL 03 LEVEL 02</t>
  </si>
  <si>
    <t>A-TXS-1005</t>
  </si>
  <si>
    <t>G.A. PLAN - SSL 04 LEVEL 03</t>
  </si>
  <si>
    <t>A-TXS-1006</t>
  </si>
  <si>
    <t>G.A. PLAN - SSL 05 LEVEL 04</t>
  </si>
  <si>
    <t>A-TXS-1007</t>
  </si>
  <si>
    <t>G.A. PLAN - SSL 06 LEVEL 05</t>
  </si>
  <si>
    <t>A-TXS-1008</t>
  </si>
  <si>
    <t>G.A. PLAN - SSL 07 LEVEL 06</t>
  </si>
  <si>
    <t>A-TXS-1009</t>
  </si>
  <si>
    <t>G.A. PLAN - SSL 08 LEVEL 07</t>
  </si>
  <si>
    <t>A-TXS-1010</t>
  </si>
  <si>
    <t>A-TXS-1100</t>
  </si>
  <si>
    <t>MASONRY &amp; FLOORING PLAN - SSL 00 - BASEMENT LEVEL</t>
  </si>
  <si>
    <t>A-TXS-2001</t>
  </si>
  <si>
    <t>A-TXS-2002</t>
  </si>
  <si>
    <t>A-TXS-3001</t>
  </si>
  <si>
    <t>A-TXS-3002</t>
  </si>
  <si>
    <t>A-TXS-3003</t>
  </si>
  <si>
    <t>G.A. SECTION CC</t>
  </si>
  <si>
    <t>A-TXS-3004</t>
  </si>
  <si>
    <t>G.A. SECTION DD</t>
  </si>
  <si>
    <t>A-TXS-3005</t>
  </si>
  <si>
    <t>G.A. SECTION EE</t>
  </si>
  <si>
    <t>A-TXS-3006</t>
  </si>
  <si>
    <t>G.A. SECTION FF</t>
  </si>
  <si>
    <t>A-TXS-3007</t>
  </si>
  <si>
    <t>G.A. SECTION GG</t>
  </si>
  <si>
    <t>A-TXS-4106</t>
  </si>
  <si>
    <t>SSL02 - STILT LEVEL - EV CAR CHARGING LOCATION</t>
  </si>
  <si>
    <t>A-TXSB-1401</t>
  </si>
  <si>
    <t>ELECTRICAL LAYOUT - BASEMENT</t>
  </si>
  <si>
    <t>A-TXS-4105</t>
  </si>
  <si>
    <t>MECHANICAL EXHAUST DETAILS 2</t>
  </si>
  <si>
    <t>A-TXS-1102</t>
  </si>
  <si>
    <t>A-TXS-1110</t>
  </si>
  <si>
    <t>ELECTRICAL PANEL - MASONRY &amp; FLOORING PLAN</t>
  </si>
  <si>
    <t>A-TXS-1111</t>
  </si>
  <si>
    <t>A-TXS-1402</t>
  </si>
  <si>
    <t>A-TXS-1401</t>
  </si>
  <si>
    <t>A-TXS-1404</t>
  </si>
  <si>
    <t>A-TXS-1403</t>
  </si>
  <si>
    <t>A-TXS-1101</t>
  </si>
  <si>
    <t>MASONRY &amp; FLOORING PLAN - SSL01 - STILT LEVEL</t>
  </si>
  <si>
    <t>A-TXS-1103</t>
  </si>
  <si>
    <t>MASONRY &amp; FLOORING PLAN - SSL 03 - LEVEL 02</t>
  </si>
  <si>
    <t>A-TXS-1104</t>
  </si>
  <si>
    <t>MASONRY &amp; FLOORING PLAN - SSL 04 - LEVEL 03</t>
  </si>
  <si>
    <t>A-TXS-1105</t>
  </si>
  <si>
    <t>MASONRY &amp; FLOORING PLAN - SSL 05 - LEVEL 04</t>
  </si>
  <si>
    <t>A-TXS-4103</t>
  </si>
  <si>
    <t>JAALI WALL DETAILS</t>
  </si>
  <si>
    <t>A-TXS-4701</t>
  </si>
  <si>
    <t>D16 - WELD MESH PANEL DETAIL</t>
  </si>
  <si>
    <t>A-TXS-1405</t>
  </si>
  <si>
    <t>Tower—6V</t>
  </si>
  <si>
    <t>A-T6VB--7001</t>
  </si>
  <si>
    <t>MEN STAFF LOUGNE - SPECIFICATION</t>
  </si>
  <si>
    <t>T6V</t>
  </si>
  <si>
    <t>A-T6VB-5501</t>
  </si>
  <si>
    <t>TOILET AND PANTRY DETAILS - MEN'S STAFF</t>
  </si>
  <si>
    <t>A-T6VB-1401</t>
  </si>
  <si>
    <t>ELECTRICAL LAYOUT - MEN'S STAFF</t>
  </si>
  <si>
    <t>A-T6VB-1101</t>
  </si>
  <si>
    <t>MEN'S STAFF LOUNGE - PLANS</t>
  </si>
  <si>
    <t>A-T6V-6502</t>
  </si>
  <si>
    <t>CONNECTING BRIDGE DETAILS TERRACE LEVEL</t>
  </si>
  <si>
    <t>A-T6V-6503</t>
  </si>
  <si>
    <t>Tower—6S</t>
  </si>
  <si>
    <t>A-T6S-1001</t>
  </si>
  <si>
    <t>T6S</t>
  </si>
  <si>
    <t>A-T6S-1002</t>
  </si>
  <si>
    <t>A-T6S-1003</t>
  </si>
  <si>
    <t>GA PLAN - SSL 02 - LEVEL 1</t>
  </si>
  <si>
    <t>A-T6S-1004</t>
  </si>
  <si>
    <t>A-T6S-1005</t>
  </si>
  <si>
    <t>A-T6S-1006</t>
  </si>
  <si>
    <t>A-T6S-1007</t>
  </si>
  <si>
    <t>A-T6S-1008</t>
  </si>
  <si>
    <t>A-T6S-1009</t>
  </si>
  <si>
    <t>A-T6S-1010</t>
  </si>
  <si>
    <t>A-T6S-2001</t>
  </si>
  <si>
    <t>A-T6S-2002</t>
  </si>
  <si>
    <t>G.A. NORTH ELEVATION</t>
  </si>
  <si>
    <t>A-T6S-2003</t>
  </si>
  <si>
    <t>A-T6S-3001</t>
  </si>
  <si>
    <t>A-T6S-3002</t>
  </si>
  <si>
    <t>A-T6S-3003</t>
  </si>
  <si>
    <t>A-T6S-3004</t>
  </si>
  <si>
    <t>A-T6S-3005</t>
  </si>
  <si>
    <t>A-T6S-3006</t>
  </si>
  <si>
    <t>A-T6S-3007</t>
  </si>
  <si>
    <t>A-T6S-3008</t>
  </si>
  <si>
    <t>G.A. SECTION HH</t>
  </si>
  <si>
    <t>A-T6S-1400</t>
  </si>
  <si>
    <t>ELECTRICAL LAYOUT- BASEMENT</t>
  </si>
  <si>
    <t>A-T6S-1401</t>
  </si>
  <si>
    <t>A-T6S-1101</t>
  </si>
  <si>
    <t>A-T6S-1102</t>
  </si>
  <si>
    <t>A-T6S-1402</t>
  </si>
  <si>
    <t>A-T6S-1403</t>
  </si>
  <si>
    <t>A-T6S-7470</t>
  </si>
  <si>
    <t>A-T6S-1404</t>
  </si>
  <si>
    <t>A-T6S-1405</t>
  </si>
  <si>
    <t>A-T6S-1406</t>
  </si>
  <si>
    <t>A-T6S-7471</t>
  </si>
  <si>
    <t>SWITCHBOARD SCHEDULE-LEVEL 02,03,04&amp;05</t>
  </si>
  <si>
    <t>A-T6S-1103</t>
  </si>
  <si>
    <t>A-T6S-1104</t>
  </si>
  <si>
    <t>A-T6S-1105</t>
  </si>
  <si>
    <t>A-T6S-1106</t>
  </si>
  <si>
    <t>A-T6S-1107</t>
  </si>
  <si>
    <t>A-T6S-4416</t>
  </si>
  <si>
    <t>NORTH SIDE-EXTERNAL WALL DETAILS</t>
  </si>
  <si>
    <t>A-T6S-1407</t>
  </si>
  <si>
    <t>A-T6S-7472</t>
  </si>
  <si>
    <t>A-T6S-1408</t>
  </si>
  <si>
    <t>ELECTRICAL LAYOUT - LEVEL 07</t>
  </si>
  <si>
    <t>A-T6S-1108</t>
  </si>
  <si>
    <t>A-T6S-4417</t>
  </si>
  <si>
    <t>T3S TO T6S PENTHOUSE PERGOLA - PLAN, SECTION &amp; VIEWS</t>
  </si>
  <si>
    <t>A-T6S-4418</t>
  </si>
  <si>
    <t>T3S TO T6S PENTHOUSE PERGOLA- TYPICAL DETAILS</t>
  </si>
  <si>
    <t>Tower—07</t>
  </si>
  <si>
    <t>A-T7-1030</t>
  </si>
  <si>
    <t>G.A PLAN - SSL 30 - TERRACE LEVEL</t>
  </si>
  <si>
    <t>T07</t>
  </si>
  <si>
    <t>A-T7-4605</t>
  </si>
  <si>
    <t>STAIRCASE DETAILS - BASEMENT LEVEL</t>
  </si>
  <si>
    <t>A-T7B-1101</t>
  </si>
  <si>
    <t>MASONRY &amp; FLOORING PLAN - GRADE SLAB - BASEMENT LEVEL</t>
  </si>
  <si>
    <t>A-T7-1400</t>
  </si>
  <si>
    <t>ELECTRICAL SCHEDULE</t>
  </si>
  <si>
    <t>A-T7-1401</t>
  </si>
  <si>
    <t>ELECTRICAL LAYOUT</t>
  </si>
  <si>
    <t>A-T7-1402</t>
  </si>
  <si>
    <t>LIFT LOBBY RCP</t>
  </si>
  <si>
    <t>A-T7-6501</t>
  </si>
  <si>
    <t>CONNECTING PERGOLAS BETWEEN TOWER 6 &amp; 7</t>
  </si>
  <si>
    <t>A-T7-6502</t>
  </si>
  <si>
    <t>CONNECTING BRIDGE DETAILS-TERRACE LEVEL</t>
  </si>
  <si>
    <t>Villas Cluster 1 &amp; 2</t>
  </si>
  <si>
    <t>A-00-5801</t>
  </si>
  <si>
    <t>CHAMBER SETTING OUT - TYPICAL BLOCK PLAN</t>
  </si>
  <si>
    <t>VC1</t>
  </si>
  <si>
    <t>A-00-5803</t>
  </si>
  <si>
    <t>CHAMBER SETTING OUT - 2-NS - VILLA PARKING</t>
  </si>
  <si>
    <t>A-00-5804</t>
  </si>
  <si>
    <t>CHAMBER SETTING OUT - MAID'S ENTRY AND GARDEN</t>
  </si>
  <si>
    <t>A-00-5805</t>
  </si>
  <si>
    <t>1-NS TYPICAL SECTION THROUGH TREE TUB</t>
  </si>
  <si>
    <t>A-00-5807</t>
  </si>
  <si>
    <t>1-NS TYPICAL SECTION THROUGH GUEST PARKING</t>
  </si>
  <si>
    <t>A-00-5808</t>
  </si>
  <si>
    <t>2-NS TYICAL SECTION THROUGH TREE TUB</t>
  </si>
  <si>
    <t>A-00-5809</t>
  </si>
  <si>
    <t>2-NS TYPICAL SECTION THROUGH PARKING</t>
  </si>
  <si>
    <t>A-V0-0000</t>
  </si>
  <si>
    <t>COVER SHEET AND SHEET LIST</t>
  </si>
  <si>
    <t>A-V0-0002</t>
  </si>
  <si>
    <t>SYMBOLS AND ABBREVIATIONS</t>
  </si>
  <si>
    <t>A-V0-0101</t>
  </si>
  <si>
    <t>VILLA CLUSTER 1 &amp; 2 PLOT SETTING OUT</t>
  </si>
  <si>
    <t>A-V0-1202</t>
  </si>
  <si>
    <t>SUB PROJECT: VILLA BLOCK 02 SHEET TITLE: EDGE OF SLAB - TYPICAL - UPPER LEVEL - SSL 2 AND SSL 3</t>
  </si>
  <si>
    <t>A-V0-1205</t>
  </si>
  <si>
    <t>TYPICAL SSL 3 BATHTUB AREA - EDGE OF SLAB</t>
  </si>
  <si>
    <t>A-V0-4901</t>
  </si>
  <si>
    <t>VILLA STREET DETAIL 1</t>
  </si>
  <si>
    <t>A-VB00-1203</t>
  </si>
  <si>
    <t>EDGE OF SLAB - TYPICAL - ROOF - SSL 4 AND SSL 5</t>
  </si>
  <si>
    <t>A-VB01-1001</t>
  </si>
  <si>
    <t>VILLA BLOCK 01- LOWER LEVEL PLAN - SSL 0 AND SSL 1</t>
  </si>
  <si>
    <t>A-VB01-1002</t>
  </si>
  <si>
    <t>VILLA BLOCK 01 - UPPER LEVEL PLAN SSL 2 AND SSL 3</t>
  </si>
  <si>
    <t>A-VB02-1201</t>
  </si>
  <si>
    <t>EDGE OF SLAB - BLOCK 02 - LOWER LVL - SSL 0 AND SSL 1</t>
  </si>
  <si>
    <t>A-VB02-2001</t>
  </si>
  <si>
    <t>TYPICAL V50c - FRONT ELEVATION</t>
  </si>
  <si>
    <t>A-VB03-0111</t>
  </si>
  <si>
    <t>FOOTING SETTING OUT - BLOCKS (3,4,5,8,9,10,11)</t>
  </si>
  <si>
    <t>A-VC2-0111</t>
  </si>
  <si>
    <t>FOOTING SETTING OUT - BLOCK 2</t>
  </si>
  <si>
    <t>A-VC2-0112</t>
  </si>
  <si>
    <t>COLUMN SETTING OUT - BLOCK 2</t>
  </si>
  <si>
    <t>A-V50-2005</t>
  </si>
  <si>
    <t>MAID'S ENTRY SIDE END VILLA WIRECUT KEY PLAN, KEY ELEVATION AND SECTIONS (VILLA 1,12,14,25,26,37,38 AND 49)</t>
  </si>
  <si>
    <t>A-V50-2006</t>
  </si>
  <si>
    <t>MAID'S ENTRY SIDE END VILLA WIRECUT ELEVATION A (VILLA 1,12,14,25,26,37,38 AND 49)</t>
  </si>
  <si>
    <t>A-V50-2007</t>
  </si>
  <si>
    <t>MAID'S ENTRY SIDE END VILLA WIRECUT ELEVATION B (VILLA 1,12,14,25,26,37.38 AND 49)</t>
  </si>
  <si>
    <t>A-V50-2008</t>
  </si>
  <si>
    <t>MAID'S ENTRY SIDE END VILLA WIRECUT ELEVATION C (VILLA 1,12,14,25,26,37,38 AND 49)</t>
  </si>
  <si>
    <t>A-V50-2009</t>
  </si>
  <si>
    <t>MAID'S ENTRY SIDE END VILLA WIRECUT MARKING OF BACKING WALL, ROOF PLAN DETAILS(VILLA 1,12,14,25,26,37,38 AND 49)</t>
  </si>
  <si>
    <t>A-V50-2010</t>
  </si>
  <si>
    <t>MAID'S ENTRY SIDE END VILLA WIRECUT INTERNAL ELEVATION (VILLA 1,12,14,25,26,37,38 AND 49)</t>
  </si>
  <si>
    <t>A-V50-4301</t>
  </si>
  <si>
    <t>FAMILY RAILING PLAN</t>
  </si>
  <si>
    <t>A-V50-4302</t>
  </si>
  <si>
    <t>FAMILY RAILING DETAIL SECTION</t>
  </si>
  <si>
    <t>A-V50-5001</t>
  </si>
  <si>
    <t>WIRECUT PARTITION DRAWING</t>
  </si>
  <si>
    <t>A-V50-5002</t>
  </si>
  <si>
    <t>A-V50-6201</t>
  </si>
  <si>
    <t>V50 TERRACE GARDEN RAILING- COMBINED PLAN</t>
  </si>
  <si>
    <t>A-V50-6202</t>
  </si>
  <si>
    <t>V50 TERRACE GARDEN RAILING-PART PLAN AND DETAIL</t>
  </si>
  <si>
    <t>A-V50-6203</t>
  </si>
  <si>
    <t>V50 TERRACE GARDEN RAILING-ELEVATIONS-A, B &amp; C</t>
  </si>
  <si>
    <t>A-V50-6501</t>
  </si>
  <si>
    <t>PARKING CANOPY WITH POLYCARBONATE SHEET</t>
  </si>
  <si>
    <t>A-V50-6502</t>
  </si>
  <si>
    <t>A-V50-6503</t>
  </si>
  <si>
    <t>A-V50-6504</t>
  </si>
  <si>
    <t>A-V50-6505</t>
  </si>
  <si>
    <t>A-V50a-6202</t>
  </si>
  <si>
    <t>V50 TERRACE GARDEN PART PLAN AND SECTION</t>
  </si>
  <si>
    <t>A-V50a-6203</t>
  </si>
  <si>
    <t>V50 TERRACE GARDEN ELEVATION AND DETAIL</t>
  </si>
  <si>
    <t>A-VB02-4801</t>
  </si>
  <si>
    <t>Sky Light Details - 01</t>
  </si>
  <si>
    <t>A-VB02-4802</t>
  </si>
  <si>
    <t>Sky Light Details - 02</t>
  </si>
  <si>
    <t>A-VC2-2011</t>
  </si>
  <si>
    <t>WALL ELEVATION - WIRECUT DECK WALL</t>
  </si>
  <si>
    <t>A-VC2-2012</t>
  </si>
  <si>
    <t>WALL SECTIONS - WIRECUT DECK WALL</t>
  </si>
  <si>
    <t>Villas Cluster 3</t>
  </si>
  <si>
    <t xml:space="preserve"> </t>
  </si>
  <si>
    <t>CHAMBER SETTING OUT  – VILLA CLUSTER 03</t>
  </si>
  <si>
    <t>A2</t>
  </si>
  <si>
    <t>VC3</t>
  </si>
  <si>
    <t>GAS PIPELINE ROUTING</t>
  </si>
  <si>
    <t>END VILLA WIRECUT ELEVATION</t>
  </si>
  <si>
    <t>Garden Landscape Detail</t>
  </si>
  <si>
    <t>Wooden Deck Detail</t>
  </si>
  <si>
    <t>A-VC3-0001</t>
  </si>
  <si>
    <t>SITE PLAN - VILLA CLUSTER 03</t>
  </si>
  <si>
    <t>A1</t>
  </si>
  <si>
    <t>A-VC3-0101</t>
  </si>
  <si>
    <t>V40 PLOT SET OUT</t>
  </si>
  <si>
    <t>A-VC3-0201</t>
  </si>
  <si>
    <t>TYPICAL SITE SECTION - V40 TO WEST BOUNDARY WALL</t>
  </si>
  <si>
    <t>A-V40-7401</t>
  </si>
  <si>
    <t>SWITCHBOARD SCHEDULE - 1</t>
  </si>
  <si>
    <t>A-V40-7402</t>
  </si>
  <si>
    <t>SWITCHBOARD SCHEDULE - 2</t>
  </si>
  <si>
    <t>A-VC3-1001</t>
  </si>
  <si>
    <t>V40 CLUSTER PLAN - UPPER LEVEL</t>
  </si>
  <si>
    <t>A-VC3-1002</t>
  </si>
  <si>
    <t>V40 CLUSTER PLAN - LOWER LEVEL</t>
  </si>
  <si>
    <t>A-VC3-1101</t>
  </si>
  <si>
    <t>SHELL - MASONRY &amp; FLOORING LAYOUT - UPPER LEVEL</t>
  </si>
  <si>
    <t>A-VC3-1102</t>
  </si>
  <si>
    <t>SHELL - MASONRY &amp; FLOORING LAYOUT - LOWER LEVEL</t>
  </si>
  <si>
    <t>A-VC3-1201</t>
  </si>
  <si>
    <t>EDGE OF SLAB - LOWER LEVEL PLAN</t>
  </si>
  <si>
    <t>A-VC3-1202</t>
  </si>
  <si>
    <t>EDGE OF SLAB - UPPER LEVEL PLAN</t>
  </si>
  <si>
    <t>A-VC3-1203</t>
  </si>
  <si>
    <t>EDGE OF SLAB - ROOF PLAN</t>
  </si>
  <si>
    <t>A-VC3-1204</t>
  </si>
  <si>
    <t>EDGE OF SLAB - ROOF LEVEL ISO</t>
  </si>
  <si>
    <t>A-VC3-1211</t>
  </si>
  <si>
    <t>SETTING OUT - TREE TUB</t>
  </si>
  <si>
    <t>A-VC3-1212</t>
  </si>
  <si>
    <t>SETTING OUT - PERGOLA SSL03</t>
  </si>
  <si>
    <t>A-VC3-1213</t>
  </si>
  <si>
    <t>SETTING OUT - CAR PARK CANOPY DETAILS</t>
  </si>
  <si>
    <t>A-VC3-1401</t>
  </si>
  <si>
    <t>ELECTRICAL LAYOUT - LEVEL 1 &amp; 2</t>
  </si>
  <si>
    <t>A-VC3-1402</t>
  </si>
  <si>
    <t>ELECTRICAL LAYOUT - LEVEL 3 &amp; 4</t>
  </si>
  <si>
    <t>A-VC3-1403</t>
  </si>
  <si>
    <t>ELECTRICAL LAYOUT - ROOF LEVEL + SERVICE PLATFORM</t>
  </si>
  <si>
    <t>A-VC3-4601</t>
  </si>
  <si>
    <t>STAIRCASE DETAILS 1</t>
  </si>
  <si>
    <t>A-VC3-4602</t>
  </si>
  <si>
    <t>STAIRCASE DETAILS 2</t>
  </si>
  <si>
    <t>A-VC3-4603</t>
  </si>
  <si>
    <t>STAIRCASE DETAILS 3</t>
  </si>
  <si>
    <t>A-VC3-2001</t>
  </si>
  <si>
    <t>CLUSTER ELEVATION FRONT</t>
  </si>
  <si>
    <t>A-VC3-2002</t>
  </si>
  <si>
    <t>CLUSTER ELEVATION REAR</t>
  </si>
  <si>
    <t>A-VC3-4101</t>
  </si>
  <si>
    <t>JULIETTE BALCONY DETAILS</t>
  </si>
  <si>
    <t>A-VC3-4102</t>
  </si>
  <si>
    <t>A-VC3-4103</t>
  </si>
  <si>
    <t>FAMILY RAILING</t>
  </si>
  <si>
    <t>A-VC3-4111</t>
  </si>
  <si>
    <t>A-VC3-4321</t>
  </si>
  <si>
    <t>FAMILY RAILINGDETAILS 1</t>
  </si>
  <si>
    <t>A-VC3-4322</t>
  </si>
  <si>
    <t>FAMILY RAILINGDETAILS 2</t>
  </si>
  <si>
    <t>A-VC3-4411</t>
  </si>
  <si>
    <t>WATERPROOFING AND ANTITERMITE DETAILS - LEVEL 1 FLOOR PLAN</t>
  </si>
  <si>
    <t>A-VC3-4412</t>
  </si>
  <si>
    <t>WATERPROOFING AND ANTITERMITE DETAILS - LEVEL 2 FLOOR PLAN</t>
  </si>
  <si>
    <t>A-VC3-4413</t>
  </si>
  <si>
    <t>WATERPROOFING AND ANTITERMITE DETAILS - LEVEL 3 FLOOR PLAN</t>
  </si>
  <si>
    <t>A-VC3-4414</t>
  </si>
  <si>
    <t>WATERPROOFING AND ANTITERMITE DETAILS - LEVEL 4 FLOOR PLAN</t>
  </si>
  <si>
    <t>A-VC3-4415</t>
  </si>
  <si>
    <t>WATERPROOFING AND ANTITERMITE DETAILS - ROOF LEVEL FLOOR PLAN</t>
  </si>
  <si>
    <t>A-VC3-4416</t>
  </si>
  <si>
    <t>WATERPROOFING AND ANTITERMITE DETAILS - SECTIONS</t>
  </si>
  <si>
    <t>A-VC3-4417</t>
  </si>
  <si>
    <t>A-VC3-4418</t>
  </si>
  <si>
    <t>A-VC3-4419</t>
  </si>
  <si>
    <t>Individual Homes</t>
  </si>
  <si>
    <t>DEFAULT UNIT SET - C20</t>
  </si>
  <si>
    <t>1001</t>
  </si>
  <si>
    <t>Interior Plan</t>
  </si>
  <si>
    <t>C20</t>
  </si>
  <si>
    <t>1101</t>
  </si>
  <si>
    <t>Masonry Set- Out Plan</t>
  </si>
  <si>
    <t>1301</t>
  </si>
  <si>
    <t>Flooring Plans</t>
  </si>
  <si>
    <t>1401</t>
  </si>
  <si>
    <t>Electrical Plans - 3.6M Height (C25G As Well)</t>
  </si>
  <si>
    <t>1405</t>
  </si>
  <si>
    <t>Electrical Plans - 3.0M Height</t>
  </si>
  <si>
    <t>1501</t>
  </si>
  <si>
    <t>Reflected Celing Plans- 3.6M Height</t>
  </si>
  <si>
    <t>1502</t>
  </si>
  <si>
    <t>Reflected Celing Plans - 3.0M Height</t>
  </si>
  <si>
    <t>1601</t>
  </si>
  <si>
    <t>Vacuum Layout Plans</t>
  </si>
  <si>
    <t>4330</t>
  </si>
  <si>
    <t>Unit Sections C25A (Odd Level)</t>
  </si>
  <si>
    <t>4331</t>
  </si>
  <si>
    <t>4701</t>
  </si>
  <si>
    <t>Door and Window Details – 1</t>
  </si>
  <si>
    <t>4702</t>
  </si>
  <si>
    <t>Door and Window Details – 2</t>
  </si>
  <si>
    <t>4703</t>
  </si>
  <si>
    <t>Door and Window Details – 3</t>
  </si>
  <si>
    <t>4704</t>
  </si>
  <si>
    <t>Door and Window Details – 4</t>
  </si>
  <si>
    <t>4705</t>
  </si>
  <si>
    <t>Door and Window Details – 5</t>
  </si>
  <si>
    <t>4706</t>
  </si>
  <si>
    <t>Door and Window Details – 6</t>
  </si>
  <si>
    <t>4707</t>
  </si>
  <si>
    <t>Door and Window Details – 7</t>
  </si>
  <si>
    <t>4708</t>
  </si>
  <si>
    <t>Door and Window Details – 8</t>
  </si>
  <si>
    <t>4709</t>
  </si>
  <si>
    <t>Door and Window Details – 9</t>
  </si>
  <si>
    <t>4710</t>
  </si>
  <si>
    <t>Door and Window Details – 10</t>
  </si>
  <si>
    <t>4711</t>
  </si>
  <si>
    <t>Door and Window Details – 11</t>
  </si>
  <si>
    <t>4712</t>
  </si>
  <si>
    <t>Door and Window Details – 12</t>
  </si>
  <si>
    <t>4713</t>
  </si>
  <si>
    <t>Door and Window Details – 13</t>
  </si>
  <si>
    <t>5401</t>
  </si>
  <si>
    <t>Main Kitchen Electrical and Plumbing Details - Plan</t>
  </si>
  <si>
    <t>5402</t>
  </si>
  <si>
    <t>Main Kitchen Electrical and Plumbing Details – Elevation Sheet 1</t>
  </si>
  <si>
    <t>5403</t>
  </si>
  <si>
    <t>Main Kitchen Electrical and Plumbing Details – Elevation Sheet 2</t>
  </si>
  <si>
    <t>5404</t>
  </si>
  <si>
    <t>Main Kitchen Electrical and Plumbing Details – Elevation Sheet 3</t>
  </si>
  <si>
    <t>5501</t>
  </si>
  <si>
    <t>Details - Typ. Master Bathroom - 3.6M Height</t>
  </si>
  <si>
    <t>5502</t>
  </si>
  <si>
    <t>Details - Typ. Master Bathroom - 3.0M Height</t>
  </si>
  <si>
    <t>5503</t>
  </si>
  <si>
    <t>Details - Typ. Children'S Bathroom - 3.6M Height</t>
  </si>
  <si>
    <t>5504</t>
  </si>
  <si>
    <t>Details - Typ. Children'S Bathroom - 3.0M Height</t>
  </si>
  <si>
    <t>5505</t>
  </si>
  <si>
    <t>Details - Typ. Guest Bathroom - 3.6M Height</t>
  </si>
  <si>
    <t>5506</t>
  </si>
  <si>
    <t>Details - Typ. Guest Bathroom - 3.0M Height</t>
  </si>
  <si>
    <t>Client Exceptions</t>
  </si>
  <si>
    <t>Doors and Windows Schedule</t>
  </si>
  <si>
    <t>Finishes Schedule</t>
  </si>
  <si>
    <t>Plumbing and Sanitary Schedule</t>
  </si>
  <si>
    <t>Cabinetry Schedule</t>
  </si>
  <si>
    <t>Kitchen Specification</t>
  </si>
  <si>
    <t>Pantry Specification</t>
  </si>
  <si>
    <t>Bar Unit Specification</t>
  </si>
  <si>
    <t>Switchboard Schedule</t>
  </si>
  <si>
    <t>Services Summary</t>
  </si>
  <si>
    <t>Services Details : Home Automation</t>
  </si>
  <si>
    <t>Luminaire Schedule</t>
  </si>
  <si>
    <t>General Selections</t>
  </si>
  <si>
    <t>7520</t>
  </si>
  <si>
    <t>Furniture, Fixtures and Equipments Schedule</t>
  </si>
  <si>
    <t>DEFAULT UNIT SET - L30</t>
  </si>
  <si>
    <t>A-L30-4714</t>
  </si>
  <si>
    <t>WINDOW 3</t>
  </si>
  <si>
    <t>L30</t>
  </si>
  <si>
    <t>A-L30-4715</t>
  </si>
  <si>
    <t>WINDOW 9</t>
  </si>
  <si>
    <t>A-L30-4720</t>
  </si>
  <si>
    <t>WINDOW 13</t>
  </si>
  <si>
    <t>I-L30-4701</t>
  </si>
  <si>
    <t>D1-1.1</t>
  </si>
  <si>
    <t>I-L30-4702</t>
  </si>
  <si>
    <t>D2-1.1</t>
  </si>
  <si>
    <t>I-L30-4703</t>
  </si>
  <si>
    <t>D2-2.1</t>
  </si>
  <si>
    <t>I-L30-4704</t>
  </si>
  <si>
    <t>D3*-1.1</t>
  </si>
  <si>
    <t>I-L30-4705</t>
  </si>
  <si>
    <t>D3-2.3</t>
  </si>
  <si>
    <t>I-L30-4706</t>
  </si>
  <si>
    <t>D3*-3.1</t>
  </si>
  <si>
    <t>I-L30-4707</t>
  </si>
  <si>
    <t>D4 - 3.3</t>
  </si>
  <si>
    <t>I-L30-4708</t>
  </si>
  <si>
    <t>D7</t>
  </si>
  <si>
    <t>I-L30-4709</t>
  </si>
  <si>
    <t>DOOR WINDOW 1</t>
  </si>
  <si>
    <t>I-L30-4710</t>
  </si>
  <si>
    <t>FRENCH WINDOW 1</t>
  </si>
  <si>
    <t>I-L30-4711</t>
  </si>
  <si>
    <t>FRENCH WINDOW 2</t>
  </si>
  <si>
    <t>I-L30-4712</t>
  </si>
  <si>
    <t>FRENCH WINDOW 3a &amp; 3b</t>
  </si>
  <si>
    <t>I-L30-4713</t>
  </si>
  <si>
    <t>I-L30-4714</t>
  </si>
  <si>
    <t>I-L30-4715</t>
  </si>
  <si>
    <t>I-L30-4716</t>
  </si>
  <si>
    <t>WINDOW 10a</t>
  </si>
  <si>
    <t>I-L30-4717</t>
  </si>
  <si>
    <t>WINDOW 10b</t>
  </si>
  <si>
    <t>I-L30-4718</t>
  </si>
  <si>
    <t>WINDOW 11</t>
  </si>
  <si>
    <t>I-L30-4719</t>
  </si>
  <si>
    <t>WINDOW 12</t>
  </si>
  <si>
    <t>I-L30-4720</t>
  </si>
  <si>
    <t>I-L30-4721</t>
  </si>
  <si>
    <t>WINDOW 14</t>
  </si>
  <si>
    <t>I-L30-4722</t>
  </si>
  <si>
    <t>WINDOW 18</t>
  </si>
  <si>
    <t>I-L30-4723</t>
  </si>
  <si>
    <t>UG21</t>
  </si>
  <si>
    <t>I-L30-4724</t>
  </si>
  <si>
    <t>UG 22A</t>
  </si>
  <si>
    <t>I-L30-4725</t>
  </si>
  <si>
    <t>UG22</t>
  </si>
  <si>
    <t>I-L30-7410</t>
  </si>
  <si>
    <t>DEFAULT SPECIFICATIONS</t>
  </si>
  <si>
    <t>I-L30-7420</t>
  </si>
  <si>
    <t>DOOR WINDOW SPECIFICATIONS</t>
  </si>
  <si>
    <t>I-L30-7430</t>
  </si>
  <si>
    <t>FLOORING DADO &amp; CLADDING</t>
  </si>
  <si>
    <t>I-L30-7440a</t>
  </si>
  <si>
    <t>PLUMBING &amp; SANITARY SPECIFICATIONS</t>
  </si>
  <si>
    <t>I-L30-7440b</t>
  </si>
  <si>
    <t>I-L30-7440c</t>
  </si>
  <si>
    <t>I-L30-7440d</t>
  </si>
  <si>
    <t>I-L30-7440e</t>
  </si>
  <si>
    <t>I-L30-7440f</t>
  </si>
  <si>
    <t>I-L30-7450a</t>
  </si>
  <si>
    <t>CABINETRY SPECIFICATION</t>
  </si>
  <si>
    <t>I-L30-7450b</t>
  </si>
  <si>
    <t>I-L30-7461a</t>
  </si>
  <si>
    <t>KITCHEN SPECIFICATIONS</t>
  </si>
  <si>
    <t>I-L30-7461b</t>
  </si>
  <si>
    <t>I-L30-7461c</t>
  </si>
  <si>
    <t>I-L30-7490a</t>
  </si>
  <si>
    <t>SERVICES : HOME AUTOMATION</t>
  </si>
  <si>
    <t>I-L30-7490b</t>
  </si>
  <si>
    <t>I-L30-7510</t>
  </si>
  <si>
    <t>GENERAL SPECIFICATIONS</t>
  </si>
  <si>
    <t>I-L30-BLUE-0000</t>
  </si>
  <si>
    <t>DRAWING LIST</t>
  </si>
  <si>
    <t>I-L30-BLUE-1101</t>
  </si>
  <si>
    <t>MASONRY AND FLOORING</t>
  </si>
  <si>
    <t>I-L30-BLUE-1201</t>
  </si>
  <si>
    <t>FURNITURE LAYOUT</t>
  </si>
  <si>
    <t>I-L30-BLUE-1301</t>
  </si>
  <si>
    <t>I-L30-BLUE-1401</t>
  </si>
  <si>
    <t>REFLECTED CEILING PLAN</t>
  </si>
  <si>
    <t>I-L30-BLUE-1501</t>
  </si>
  <si>
    <t>VRV LAYOUT</t>
  </si>
  <si>
    <t>I-L30-BLUE-5401</t>
  </si>
  <si>
    <t>KITCHEN PLAN</t>
  </si>
  <si>
    <t>I-L30-BLUE-5402</t>
  </si>
  <si>
    <t>KITCHEN ELEVATIONS - EXTERNAL</t>
  </si>
  <si>
    <t>I-L30-BLUE-5403</t>
  </si>
  <si>
    <t>KITCHEN ELEVATIONS - INTERNAL</t>
  </si>
  <si>
    <t>I-L30-BLUE-5404</t>
  </si>
  <si>
    <t>I-L30-BLUE-5405</t>
  </si>
  <si>
    <t>I-L30-BLUE-5406</t>
  </si>
  <si>
    <t>I-L30-BLUE-5407</t>
  </si>
  <si>
    <t>I-L30-BLUE-5408</t>
  </si>
  <si>
    <t>I-L30-BLUE-5409</t>
  </si>
  <si>
    <t>I-L30-BLUE-5419</t>
  </si>
  <si>
    <t>SERVING COUNTER DETAILS</t>
  </si>
  <si>
    <t>I-L30-BLUE-5431</t>
  </si>
  <si>
    <t>UTILITY PLAN</t>
  </si>
  <si>
    <t>I-L30-BLUE-5434</t>
  </si>
  <si>
    <t>UTILITY ELEVATIONS</t>
  </si>
  <si>
    <t>I-L30-BLUE-5435</t>
  </si>
  <si>
    <t>I-L30-BLUE-5501</t>
  </si>
  <si>
    <t>BATHROOM 1 PLAN</t>
  </si>
  <si>
    <t>I-L30-BLUE-5502</t>
  </si>
  <si>
    <t>BATHROOM 1 ELEVATION A</t>
  </si>
  <si>
    <t>I-L30-BLUE-5503</t>
  </si>
  <si>
    <t>BATHROOM 1 ELEVATION B</t>
  </si>
  <si>
    <t>I-L30-BLUE-5504</t>
  </si>
  <si>
    <t>: BATHROOM 1 ELEVATION C</t>
  </si>
  <si>
    <t>I-L30-BLUE-5505</t>
  </si>
  <si>
    <t>BATHROOM 1 ELEVATION D</t>
  </si>
  <si>
    <t>I-L30-BLUE-5506</t>
  </si>
  <si>
    <t>BATHROOM 1 ELEVATIONS E &amp; F</t>
  </si>
  <si>
    <t>I-L30-BLUE-5511</t>
  </si>
  <si>
    <t>BATHROOM 2 PLAN</t>
  </si>
  <si>
    <t>I-L30-BLUE-5512</t>
  </si>
  <si>
    <t>BATHROOM 2 ELEVATION A</t>
  </si>
  <si>
    <t>I-L30-BLUE-5513</t>
  </si>
  <si>
    <t>BATHROOM 2 ELEVATIONS B</t>
  </si>
  <si>
    <t>I-L30-BLUE-5514</t>
  </si>
  <si>
    <t>BATHROOM 2 ELEVATIONS C</t>
  </si>
  <si>
    <t>I-L30-BLUE-5515</t>
  </si>
  <si>
    <t>BATHROOM 2 ELEVATIONS D</t>
  </si>
  <si>
    <t>I-L30-BLUE-5521</t>
  </si>
  <si>
    <t>BATHROOM 3 PLAN</t>
  </si>
  <si>
    <t>I-L30-BLUE-5522</t>
  </si>
  <si>
    <t>BATHROOM 3 ELEVATION A</t>
  </si>
  <si>
    <t>I-L30-BLUE-5523</t>
  </si>
  <si>
    <t>BATHROOM 3 ELEVATION B</t>
  </si>
  <si>
    <t>I-L30-BLUE-5524</t>
  </si>
  <si>
    <t>BATHROOM 3 ELEVATION C</t>
  </si>
  <si>
    <t>I-L30-BLUE-5525</t>
  </si>
  <si>
    <t>BATHROOM 3 ELEVATION D</t>
  </si>
  <si>
    <t>I-L30-BLUE-5531</t>
  </si>
  <si>
    <t>BATHROOM 4 PLAN AND ELEVATIONS</t>
  </si>
  <si>
    <t>I-L30-BLUE-5532</t>
  </si>
  <si>
    <t>BATHROOM 4 ELEVATIONS</t>
  </si>
  <si>
    <t>I-L30-BLUE-5540</t>
  </si>
  <si>
    <t>DETAIL 3 - D7 THRESHOLD DETAIL</t>
  </si>
  <si>
    <t>I-L30-BLUE-7400</t>
  </si>
  <si>
    <t>DOOR WINDOW SCHEDULE</t>
  </si>
  <si>
    <t>I-L30-BLUE-7401</t>
  </si>
  <si>
    <t>I-L30-BLUE-7402</t>
  </si>
  <si>
    <t>I-L30-BLUE-7403</t>
  </si>
  <si>
    <t>I-L30-BLUE-7404</t>
  </si>
  <si>
    <t>I-L30-BLUE-7405</t>
  </si>
  <si>
    <t>I-L30-BLUE-7406</t>
  </si>
  <si>
    <t>I-L30-BLUE-7408</t>
  </si>
  <si>
    <t>I-L30-BLUE-7411</t>
  </si>
  <si>
    <t>I-L30-BLUE-7413</t>
  </si>
  <si>
    <t>I-L30-BLUE-7414</t>
  </si>
  <si>
    <t>I-L30-BLUE-7601</t>
  </si>
  <si>
    <t>SWITCHBOARD HEIGHT SCHEDULE</t>
  </si>
  <si>
    <t>I-L30-BLUE-7701</t>
  </si>
  <si>
    <t>I-L30-GREEN-0000</t>
  </si>
  <si>
    <t>I-L30-GREEN-1101</t>
  </si>
  <si>
    <t>I-L30-GREEN-1201</t>
  </si>
  <si>
    <t>I-L30-GREEN-1301</t>
  </si>
  <si>
    <t>I-L30-GREEN-1401</t>
  </si>
  <si>
    <t>I-L30-GREEN-5401</t>
  </si>
  <si>
    <t>I-L30-GREEN-5402</t>
  </si>
  <si>
    <t>I-L30-GREEN-5404</t>
  </si>
  <si>
    <t>I-L30-GREEN-5406</t>
  </si>
  <si>
    <t>I-L30-GREEN-5408</t>
  </si>
  <si>
    <t>I-L30-GREEN-5419</t>
  </si>
  <si>
    <t>I-L30-GREEN-5431</t>
  </si>
  <si>
    <t>I-L30-GREEN-5434</t>
  </si>
  <si>
    <t>I-L30-GREEN-5435</t>
  </si>
  <si>
    <t>I-L30-GREEN-5501</t>
  </si>
  <si>
    <t>I-L30-GREEN-5502</t>
  </si>
  <si>
    <t>I-L30-GREEN-5503</t>
  </si>
  <si>
    <t>I-L30-GREEN-5504</t>
  </si>
  <si>
    <t>BATHROOM 1 ELEVATION C</t>
  </si>
  <si>
    <t>I-L30-GREEN-5505</t>
  </si>
  <si>
    <t>I-L30-GREEN-5506</t>
  </si>
  <si>
    <t>I-L30-GREEN-5511</t>
  </si>
  <si>
    <t>I-L30-GREEN-5512</t>
  </si>
  <si>
    <t>I-L30-GREEN-5513</t>
  </si>
  <si>
    <t>BATHROOM 2 ELEVATION B</t>
  </si>
  <si>
    <t>I-L30-GREEN-5514</t>
  </si>
  <si>
    <t>BATHROOM 2 ELEVATION C</t>
  </si>
  <si>
    <t>I-L30-GREEN-5515</t>
  </si>
  <si>
    <t>BATHROOM 2 ELEVATION D</t>
  </si>
  <si>
    <t>I-L30-GREEN-5521</t>
  </si>
  <si>
    <t>I-L30-GREEN-5522</t>
  </si>
  <si>
    <t>I-L30-GREEN-5523</t>
  </si>
  <si>
    <t>I-L30-GREEN-5524</t>
  </si>
  <si>
    <t>BATHROOM 3 ELEVATION c</t>
  </si>
  <si>
    <t>I-L30-GREEN-5525</t>
  </si>
  <si>
    <t>I-L30-GREEN-5531</t>
  </si>
  <si>
    <t>I-L30-GREEN-5532</t>
  </si>
  <si>
    <t>I-L30-GREEN-5540</t>
  </si>
  <si>
    <t>DETAIL 03 - BTR 1-D7-TRANSITION DETAILS</t>
  </si>
  <si>
    <t>I-L30-GREEN-7401</t>
  </si>
  <si>
    <t>I-L30-GREEN-7402</t>
  </si>
  <si>
    <t>I-L30-GREEN-7403</t>
  </si>
  <si>
    <t>I-L30-GREEN-7404</t>
  </si>
  <si>
    <t>I-L30-GREEN-7405</t>
  </si>
  <si>
    <t>I-L30-GREEN-7406</t>
  </si>
  <si>
    <t>I-L30-GREEN-7408</t>
  </si>
  <si>
    <t>I-L30-GREEN-7411</t>
  </si>
  <si>
    <t>I-L30-GREEN-7413</t>
  </si>
  <si>
    <t>I-L30-GREEN-7414</t>
  </si>
  <si>
    <t>I-L30-GREEN-7702</t>
  </si>
  <si>
    <t>I-L30-PURPLE-0000</t>
  </si>
  <si>
    <t>I-L30-PURPLE-1101</t>
  </si>
  <si>
    <t>I-L30-PURPLE-1201</t>
  </si>
  <si>
    <t>I-L30-PURPLE-1301</t>
  </si>
  <si>
    <t>I-L30-PURPLE-1401</t>
  </si>
  <si>
    <t>I-L30-PURPLE-1501</t>
  </si>
  <si>
    <t>I-L30-PURPLE-1601</t>
  </si>
  <si>
    <t>CENTRAL VACUUM LAYOUT</t>
  </si>
  <si>
    <t>I-L30-PURPLE-5401</t>
  </si>
  <si>
    <t>I-L30-PURPLE-5402</t>
  </si>
  <si>
    <t>' %($ $ $&amp; ) $* $</t>
  </si>
  <si>
    <t>I-L30-PURPLE-5403</t>
  </si>
  <si>
    <t>I-L30-PURPLE-5404</t>
  </si>
  <si>
    <t>I-L30-PURPLE-5405</t>
  </si>
  <si>
    <t>I-L30-PURPLE-5406</t>
  </si>
  <si>
    <t>I-L30-PURPLE-5407</t>
  </si>
  <si>
    <t>I-L30-PURPLE-5408</t>
  </si>
  <si>
    <t>I-L30-PURPLE-5409</t>
  </si>
  <si>
    <t>I-L30-PURPLE-5419</t>
  </si>
  <si>
    <t>I-L30-PURPLE-5431</t>
  </si>
  <si>
    <t>I-L30-PURPLE-5434</t>
  </si>
  <si>
    <t>I-L30-PURPLE-5435</t>
  </si>
  <si>
    <t>I-L30-PURPLE-5501</t>
  </si>
  <si>
    <t>I-L30-PURPLE-5502</t>
  </si>
  <si>
    <t>I-L30-PURPLE-5503</t>
  </si>
  <si>
    <t>I-L30-PURPLE-5504</t>
  </si>
  <si>
    <t>I-L30-PURPLE-5505</t>
  </si>
  <si>
    <t>I-L30-PURPLE-5506</t>
  </si>
  <si>
    <t>BATHROOM 1 ELEVATION E &amp; F</t>
  </si>
  <si>
    <t>I-L30-PURPLE-5511</t>
  </si>
  <si>
    <t>I-L30-PURPLE-5512</t>
  </si>
  <si>
    <t>I-L30-PURPLE-5513</t>
  </si>
  <si>
    <t>I-L30-PURPLE-5514</t>
  </si>
  <si>
    <t>I-L30-PURPLE-5515</t>
  </si>
  <si>
    <t>I-L30-PURPLE-5521</t>
  </si>
  <si>
    <t>I-L30-PURPLE-5522</t>
  </si>
  <si>
    <t>I-L30-PURPLE-5523</t>
  </si>
  <si>
    <t>I-L30-PURPLE-5524</t>
  </si>
  <si>
    <t>I-L30-PURPLE-5525</t>
  </si>
  <si>
    <t>I-L30-PURPLE-5531</t>
  </si>
  <si>
    <t>I-L30-PURPLE-5532</t>
  </si>
  <si>
    <t>I-L30-PURPLE-5540</t>
  </si>
  <si>
    <t>DETAIL 03-BTR 1-D7-TRANSITION DETAILS</t>
  </si>
  <si>
    <t>I-L30-PURPLE-5541</t>
  </si>
  <si>
    <t>DETAIL 10 - SHOWER THRESHOLD DETAIL</t>
  </si>
  <si>
    <t>I-L30-PURPLE-7400</t>
  </si>
  <si>
    <t>I-L30-PURPLE-7401</t>
  </si>
  <si>
    <t>I-L30-PURPLE-7402</t>
  </si>
  <si>
    <t>I-L30-PURPLE-7403</t>
  </si>
  <si>
    <t>I-L30-PURPLE-7404</t>
  </si>
  <si>
    <t>I-L30-PURPLE-7405</t>
  </si>
  <si>
    <t>I-L30-PURPLE-7406</t>
  </si>
  <si>
    <t>I-L30-PURPLE-7408</t>
  </si>
  <si>
    <t>I-L30-PURPLE-7411</t>
  </si>
  <si>
    <t>I-L30-PURPLE-7413</t>
  </si>
  <si>
    <t>I-L30-PURPLE-7414</t>
  </si>
  <si>
    <t>I-L30-PURPLE-7601</t>
  </si>
  <si>
    <t>I-L30-PURPLE-7701</t>
  </si>
  <si>
    <t>I-L30-PURPLE-7702</t>
  </si>
  <si>
    <t>DEFAULT UNIT SET - L45</t>
  </si>
  <si>
    <t>A-L45-4720</t>
  </si>
  <si>
    <t>FRENCH WINDOW 3</t>
  </si>
  <si>
    <t>L45</t>
  </si>
  <si>
    <t>CO-T02S-1001</t>
  </si>
  <si>
    <t>CO-ORDINATED CEILING LAYOUT</t>
  </si>
  <si>
    <t>CO-T02S-4121</t>
  </si>
  <si>
    <t>CO-ORDINATED BATHROOM-1 SERVICES LAYOUT</t>
  </si>
  <si>
    <t>CO-T02S-4122</t>
  </si>
  <si>
    <t>CO-ORDINATED BATHROOM-1 ELEVATION A</t>
  </si>
  <si>
    <t>CO-T02S-4123</t>
  </si>
  <si>
    <t>CO-ORDINATED BATHROOM-1 ELEVATION B &amp; C</t>
  </si>
  <si>
    <t>CO-T02S-4131</t>
  </si>
  <si>
    <t>CO-ORDINATED BATHROOM-2/3 SERVICES LAYOUT</t>
  </si>
  <si>
    <t>CO-T02S-4132</t>
  </si>
  <si>
    <t>CO-ORDINATED BATHROOM-2/3 ELEVATION-A</t>
  </si>
  <si>
    <t>CO-T02S-4133</t>
  </si>
  <si>
    <t>CO-ORDINATED BATHROOM-2/3 ELEVATION-B &amp; C</t>
  </si>
  <si>
    <t>CO-T02S-4134</t>
  </si>
  <si>
    <t>CO-ORDINATED BATHROOM-2/3 ELEVATION-D</t>
  </si>
  <si>
    <t>CO-T02S-4141</t>
  </si>
  <si>
    <t>CO-ORDINATED BATHROOM-4 SERVICES LAYOUT</t>
  </si>
  <si>
    <t>CO-T02S-4142</t>
  </si>
  <si>
    <t>CO-ORDINATED BATHROOM-4 ELEVATION-A</t>
  </si>
  <si>
    <t>CO-T02S-4143</t>
  </si>
  <si>
    <t>CO-ORDINATED BATHROOM-4 ELEVATION-B &amp; C</t>
  </si>
  <si>
    <t>CO-T02S-4151</t>
  </si>
  <si>
    <t>CO-ORDINATED MBR/KITCHEN DRAINAGE LAYOUT</t>
  </si>
  <si>
    <t>CO-T02S-4152</t>
  </si>
  <si>
    <t>CO-ORDINATED MBR/KITCHEN WATER SUPPLY LAYOUT</t>
  </si>
  <si>
    <t>CO-T02S-4153</t>
  </si>
  <si>
    <t>CO-ORDINATED MAID'S TOILET ELEVATION</t>
  </si>
  <si>
    <t>CO-T02S-4154</t>
  </si>
  <si>
    <t>CO-ORDINATED KITCHEN ELEVATION</t>
  </si>
  <si>
    <t>CO-T02S-4161</t>
  </si>
  <si>
    <t>CO-ORDINATED SERVICE PLATFORM PLAN &amp; ELEVATION</t>
  </si>
  <si>
    <t>ELE-L45-1074</t>
  </si>
  <si>
    <t>BOLLARD LIGHT FIXTURE LAYOUT</t>
  </si>
  <si>
    <t>ELE-L45-1075</t>
  </si>
  <si>
    <t>TREE UP LIGHT / FOCUS LIGHT/ SHRUB UP LIGHT FIXTURE LAYOUT</t>
  </si>
  <si>
    <t>ELE-T03S-1071</t>
  </si>
  <si>
    <t>SSL 8 ( LEVEL-6 )-PENT HOUSE ELECTRICAL LAYOUT (TOWER 3,4 &amp; 5 STEPPED)</t>
  </si>
  <si>
    <t>ELE-T03S-1072</t>
  </si>
  <si>
    <t>SSL 8 ( LEVEL-6 )-PENT HOUSE DB SCHEMATIC {TOWER 3, 4 &amp; 5 STEPPED)</t>
  </si>
  <si>
    <t>ELE-T03S-1073</t>
  </si>
  <si>
    <t>SSL 8 ( LEVEL-6 )-PENT HOUSE TV/TELEPHONE LAYOUT (TOWER 3,4 &amp; 5 STEPPED)</t>
  </si>
  <si>
    <t>HA-L45-1001</t>
  </si>
  <si>
    <t>L45 HOME AUTOMATION LAYOUT (DEFAULT)</t>
  </si>
  <si>
    <t>HA-L45-1002</t>
  </si>
  <si>
    <t>L45 HOME AUTOMATION LAYOUT WITH GENERAL NOTES(DEFAULT)</t>
  </si>
  <si>
    <t>HVAC-L45-1001</t>
  </si>
  <si>
    <t>TYPICAL HVAC LAYOUT L45 TYPE A</t>
  </si>
  <si>
    <t>HVAC-L45-1002</t>
  </si>
  <si>
    <t>TYPICAL HVAC LAYOUT L45 TYPE B</t>
  </si>
  <si>
    <t>I-L45-4701</t>
  </si>
  <si>
    <t>I-L45-4702</t>
  </si>
  <si>
    <t>I-L45-4703</t>
  </si>
  <si>
    <t>I-L45-4704</t>
  </si>
  <si>
    <t>D3-1.2</t>
  </si>
  <si>
    <t>I-L45-4705</t>
  </si>
  <si>
    <t>I-L45-4706</t>
  </si>
  <si>
    <t>D3-1.1</t>
  </si>
  <si>
    <t>I-L45-4707</t>
  </si>
  <si>
    <t>D4 -3.3</t>
  </si>
  <si>
    <t>I-L45-4708</t>
  </si>
  <si>
    <t>I-L45-4709</t>
  </si>
  <si>
    <t>I-L45-4710</t>
  </si>
  <si>
    <t>WINDOW 1</t>
  </si>
  <si>
    <t>I-L45-4711</t>
  </si>
  <si>
    <t>DOOR-WINDOW 1</t>
  </si>
  <si>
    <t>I-L45-4712</t>
  </si>
  <si>
    <t>I-L45-4713</t>
  </si>
  <si>
    <t>WINDOW 4</t>
  </si>
  <si>
    <t>I-L45-4714</t>
  </si>
  <si>
    <t>WINDOW 7</t>
  </si>
  <si>
    <t>I-L45-4716</t>
  </si>
  <si>
    <t>I-L45-4717</t>
  </si>
  <si>
    <t>WINDOW 10</t>
  </si>
  <si>
    <t>I-L45-4718</t>
  </si>
  <si>
    <t>I-L45-4719</t>
  </si>
  <si>
    <t>D2-3.1</t>
  </si>
  <si>
    <t>I-L45a-7100</t>
  </si>
  <si>
    <t>I-L45a-7101</t>
  </si>
  <si>
    <t>DOOR &amp; WINDOW SPECIFICATIONS</t>
  </si>
  <si>
    <t>I-L45a-7102</t>
  </si>
  <si>
    <t>FLOORING, DADO &amp; CLADDING</t>
  </si>
  <si>
    <t>I-L45a-7103a</t>
  </si>
  <si>
    <t>PLUMBING AND SANITATION</t>
  </si>
  <si>
    <t>I-L45a-7103b</t>
  </si>
  <si>
    <t>I-L45a-7103c</t>
  </si>
  <si>
    <t>I-L45a-7104</t>
  </si>
  <si>
    <t>GENERAL SPECIFICATION</t>
  </si>
  <si>
    <t>I-L45a-7105a</t>
  </si>
  <si>
    <t>KITCHEN SPECIFICATION</t>
  </si>
  <si>
    <t>I-L45a-7105b</t>
  </si>
  <si>
    <t>I-L45a-7105c</t>
  </si>
  <si>
    <t>I-L45a-7106</t>
  </si>
  <si>
    <t>CABINETRY</t>
  </si>
  <si>
    <t>I-L45a-BLUE-0001</t>
  </si>
  <si>
    <t>I-L45a-BLUE-1101</t>
  </si>
  <si>
    <t>I-L45a-BLUE-1201</t>
  </si>
  <si>
    <t>I-L45a-BLUE-1301</t>
  </si>
  <si>
    <t>I-L45a-BLUE-1401</t>
  </si>
  <si>
    <t>I-L45a-BLUE-1501</t>
  </si>
  <si>
    <t>I-L45a-BLUE-1701</t>
  </si>
  <si>
    <t>TG1- PLANTING AND MATERIAL PLAN</t>
  </si>
  <si>
    <t>I-L45a-BLUE-1702</t>
  </si>
  <si>
    <t>TG1- LIGHTING PLAN</t>
  </si>
  <si>
    <t>I-L45a-BLUE-1703</t>
  </si>
  <si>
    <t>TG2- PLANTING, MATERIAL AND LIGHTING PLAN</t>
  </si>
  <si>
    <t>I-L45a-BLUE-5400</t>
  </si>
  <si>
    <t>KITCHEN PLAN-CHIMNEY ROUTING</t>
  </si>
  <si>
    <t>I-L45a-BLUE-5401</t>
  </si>
  <si>
    <t>I-L45a-BLUE-5402</t>
  </si>
  <si>
    <t>KITCHEN ELEVATION - EXTERNAL</t>
  </si>
  <si>
    <t>I-L45a-BLUE-5403</t>
  </si>
  <si>
    <t>KITCHEN ELEVATION - INTERNAL</t>
  </si>
  <si>
    <t>I-L45a-BLUE-5404</t>
  </si>
  <si>
    <t>I-L45a-BLUE-5405</t>
  </si>
  <si>
    <t>I-L45a-BLUE-5406</t>
  </si>
  <si>
    <t>I-L45a-BLUE-5407</t>
  </si>
  <si>
    <t>I-L45a-BLUE-5408</t>
  </si>
  <si>
    <t>KITCHEN ELEVATION - EXTEFRNAL</t>
  </si>
  <si>
    <t>I-L45a-BLUE-5409</t>
  </si>
  <si>
    <t>I-L45a-BLUE-5431</t>
  </si>
  <si>
    <t>UTILITY PLAN &amp; ELEVATIONS</t>
  </si>
  <si>
    <t>I-L45a-BLUE-5432</t>
  </si>
  <si>
    <t>I-L45a-BLUE-5501</t>
  </si>
  <si>
    <t>BATHROOM 01 PLAN</t>
  </si>
  <si>
    <t>I-L45a-BLUE-5502</t>
  </si>
  <si>
    <t>BATHROOM 01 - ELEVATION 12a</t>
  </si>
  <si>
    <t>I-L45a-BLUE-5503</t>
  </si>
  <si>
    <t>BATHROOM 01 - ELEVATION 12b</t>
  </si>
  <si>
    <t>I-L45a-BLUE-5504</t>
  </si>
  <si>
    <t>BATHROOM 01 - ELEVATION 12c</t>
  </si>
  <si>
    <t>I-L45a-BLUE-5505</t>
  </si>
  <si>
    <t>BATHROOM 01 - ELEVATION 12d</t>
  </si>
  <si>
    <t>I-L45a-BLUE-5511</t>
  </si>
  <si>
    <t>BATHROOM 02 PLAN</t>
  </si>
  <si>
    <t>I-L45a-BLUE-5512</t>
  </si>
  <si>
    <t>BATHROOM 02 - ELEVATION 14a</t>
  </si>
  <si>
    <t>I-L45a-BLUE-5513</t>
  </si>
  <si>
    <t>BATHROOM 02 - ELEVATION 14b</t>
  </si>
  <si>
    <t>I-L45a-BLUE-5514</t>
  </si>
  <si>
    <t>BATHROOM 02 - ELEVATION 14c</t>
  </si>
  <si>
    <t>I-L45a-BLUE-5515</t>
  </si>
  <si>
    <t>BATHROOM 02 - ELEVATION 14d</t>
  </si>
  <si>
    <t>I-L45a-BLUE-5521</t>
  </si>
  <si>
    <t>BATHROOM 03 PLAN</t>
  </si>
  <si>
    <t>I-L45a-BLUE-5522</t>
  </si>
  <si>
    <t>BATHROOM 03 - ELEVATION 15a</t>
  </si>
  <si>
    <t>I-L45a-BLUE-5523</t>
  </si>
  <si>
    <t>BATHROOM 03 - ELEVATION 15b</t>
  </si>
  <si>
    <t>I-L45a-BLUE-5524</t>
  </si>
  <si>
    <t>BATHROOM 03 - ELEVATION 15c</t>
  </si>
  <si>
    <t>I-L45a-BLUE-5525</t>
  </si>
  <si>
    <t>BATHROOM 03 - ELEVATION 15d</t>
  </si>
  <si>
    <t>I-L45a-BLUE-5531</t>
  </si>
  <si>
    <t>BATHROOM 04 PLAN</t>
  </si>
  <si>
    <t>I-L45a-BLUE-5532</t>
  </si>
  <si>
    <t>BATHROOM 04 - ELEVATION 16a</t>
  </si>
  <si>
    <t>I-L45a-BLUE-5533</t>
  </si>
  <si>
    <t>BATHROOM 04 - ELEVATION 16b</t>
  </si>
  <si>
    <t>I-L45a-BLUE-5534</t>
  </si>
  <si>
    <t>BATHROOM 04 - ELEVATION 16c</t>
  </si>
  <si>
    <t>I-L45a-BLUE-5535</t>
  </si>
  <si>
    <t>BATHROOM 04 - ELEVATION 16d</t>
  </si>
  <si>
    <t>I-L45a-BLUE-5541</t>
  </si>
  <si>
    <t>BATHROOM 05 PLAN &amp; ELEVATIONS</t>
  </si>
  <si>
    <t>I-L45a-BLUE-5542</t>
  </si>
  <si>
    <t>BATHROOM 06 - ELEVATIONS</t>
  </si>
  <si>
    <t>I-L45a-BLUE-7400</t>
  </si>
  <si>
    <t>I-L45a-BLUE-7401</t>
  </si>
  <si>
    <t>I-L45a-BLUE-7402</t>
  </si>
  <si>
    <t>I-L45a-BLUE-7403</t>
  </si>
  <si>
    <t>I-L45a-BLUE-7404</t>
  </si>
  <si>
    <t>I-L45a-BLUE-7405</t>
  </si>
  <si>
    <t>I-L45a-BLUE-7406</t>
  </si>
  <si>
    <t>I-L45a-BLUE-7407</t>
  </si>
  <si>
    <t>I-L45a-BLUE-7408</t>
  </si>
  <si>
    <t>I-L45a-BLUE-7409</t>
  </si>
  <si>
    <t>I-L45a-BLUE-7410</t>
  </si>
  <si>
    <t>I-L45a-BLUE-7411</t>
  </si>
  <si>
    <t>I-L45a-BLUE-7702</t>
  </si>
  <si>
    <t>I-L45a-GREEN-0001</t>
  </si>
  <si>
    <t>I-L45a-GREEN-1101</t>
  </si>
  <si>
    <t>I-L45a-GREEN-1201</t>
  </si>
  <si>
    <t>I-L45a-GREEN-1301</t>
  </si>
  <si>
    <t>I-L45a-GREEN-1401</t>
  </si>
  <si>
    <t>I-L45a-GREEN-1701</t>
  </si>
  <si>
    <t>G1- PLANTING AND MATERIAL PLAN</t>
  </si>
  <si>
    <t>I-L45a-GREEN-1702</t>
  </si>
  <si>
    <t>I-L45a-GREEN-1703</t>
  </si>
  <si>
    <t>I-L45a-GREEN-5401</t>
  </si>
  <si>
    <t>I-L45a-GREEN-5402</t>
  </si>
  <si>
    <t>I-L45a-GREEN-5404</t>
  </si>
  <si>
    <t>I-L45a-GREEN-5406</t>
  </si>
  <si>
    <t>KITCHEN ELEVATION</t>
  </si>
  <si>
    <t>I-L45a-GREEN-5408</t>
  </si>
  <si>
    <t>I-L45a-GREEN-5431</t>
  </si>
  <si>
    <t>I-L45a-GREEN-5432</t>
  </si>
  <si>
    <t>I-L45a-GREEN-5501</t>
  </si>
  <si>
    <t>I-L45a-GREEN-5502</t>
  </si>
  <si>
    <t>I-L45a-GREEN-5503</t>
  </si>
  <si>
    <t>I-L45a-GREEN-5504</t>
  </si>
  <si>
    <t>I-L45a-GREEN-5505</t>
  </si>
  <si>
    <t>I-L45a-GREEN-5511</t>
  </si>
  <si>
    <t>I-L45a-GREEN-5512</t>
  </si>
  <si>
    <t>I-L45a-GREEN-5513</t>
  </si>
  <si>
    <t>I-L45a-GREEN-5514</t>
  </si>
  <si>
    <t>I-L45a-GREEN-5515</t>
  </si>
  <si>
    <t>I-L45a-GREEN-5521</t>
  </si>
  <si>
    <t>I-L45a-GREEN-5522</t>
  </si>
  <si>
    <t>I-L45a-GREEN-5523</t>
  </si>
  <si>
    <t>I-L45a-GREEN-5524</t>
  </si>
  <si>
    <t>I-L45a-GREEN-5525</t>
  </si>
  <si>
    <t>I-L45a-GREEN-5531</t>
  </si>
  <si>
    <t>I-L45a-GREEN-5532</t>
  </si>
  <si>
    <t>I-L45a-GREEN-5533</t>
  </si>
  <si>
    <t>I-L45a-GREEN-5534</t>
  </si>
  <si>
    <t>I-L45a-GREEN-5535</t>
  </si>
  <si>
    <t>I-L45a-GREEN-5541</t>
  </si>
  <si>
    <t>I-L45a-GREEN-5542</t>
  </si>
  <si>
    <t>BATHROOM 05 - ELEVATIONS</t>
  </si>
  <si>
    <t>I-L45a-GREEN-7400</t>
  </si>
  <si>
    <t>I-L45a-GREEN-7401</t>
  </si>
  <si>
    <t>I-L45a-GREEN-7402</t>
  </si>
  <si>
    <t>I-L45a-GREEN-7403</t>
  </si>
  <si>
    <t>I-L45a-GREEN-7404</t>
  </si>
  <si>
    <t>I-L45a-GREEN-7405</t>
  </si>
  <si>
    <t>I-L45a-GREEN-7406</t>
  </si>
  <si>
    <t>I-L45a-GREEN-7407</t>
  </si>
  <si>
    <t>I-L45a-GREEN-7408</t>
  </si>
  <si>
    <t>I-L45a-GREEN-7409</t>
  </si>
  <si>
    <t>ELECTRICAL SCHEOULE</t>
  </si>
  <si>
    <t>I-L45a-GREEN-7410</t>
  </si>
  <si>
    <t>I-L45a-GREEN-7411</t>
  </si>
  <si>
    <t>I-L45a-GREEN-7702</t>
  </si>
  <si>
    <t>I-L45a-PURPLE-0001</t>
  </si>
  <si>
    <t>I-L45a-PURPLE-1101</t>
  </si>
  <si>
    <t>I-L45a-PURPLE-1201</t>
  </si>
  <si>
    <t>I-L45a-PURPLE-1301</t>
  </si>
  <si>
    <t>I-L45a-PURPLE-1401</t>
  </si>
  <si>
    <t>I-L45a-PURPLE-1501</t>
  </si>
  <si>
    <t>I-L45a-PURPLE-1601</t>
  </si>
  <si>
    <t>I-L45a-PURPLE-1701</t>
  </si>
  <si>
    <t>I-L45a-PURPLE-1702</t>
  </si>
  <si>
    <t>I-L45a-PURPLE-1703</t>
  </si>
  <si>
    <t>I-L45a-PURPLE-5400</t>
  </si>
  <si>
    <t>I-L45a-PURPLE-5401</t>
  </si>
  <si>
    <t>I-L45a-PURPLE-5402</t>
  </si>
  <si>
    <t>I-L45a-PURPLE-5403</t>
  </si>
  <si>
    <t>I-L45a-PURPLE-5404</t>
  </si>
  <si>
    <t>I-L45a-PURPLE-5405</t>
  </si>
  <si>
    <t>I-L45a-PURPLE-5406</t>
  </si>
  <si>
    <t>I-L45a-PURPLE-5407</t>
  </si>
  <si>
    <t>I-L45a-PURPLE-5408</t>
  </si>
  <si>
    <t>I-L45a-PURPLE-5409</t>
  </si>
  <si>
    <t>I-L45a-PURPLE-5431</t>
  </si>
  <si>
    <t>I-L45a-PURPLE-5432</t>
  </si>
  <si>
    <t>I-L45a-PURPLE-5433</t>
  </si>
  <si>
    <t>UTILITY RCP - GAS METRE ROUTING</t>
  </si>
  <si>
    <t>I-L45a-PURPLE-5434</t>
  </si>
  <si>
    <t>UTILITY RCP - GAS METRE ROUTING - SECTION</t>
  </si>
  <si>
    <t>I-L45a-PURPLE-5501</t>
  </si>
  <si>
    <t>I-L45a-PURPLE-5502</t>
  </si>
  <si>
    <t>I-L45a-PURPLE-5503</t>
  </si>
  <si>
    <t>I-L45a-PURPLE-5504</t>
  </si>
  <si>
    <t>BATHROOM 01 - ELEVATION 12¢</t>
  </si>
  <si>
    <t>I-L45a-PURPLE-5505</t>
  </si>
  <si>
    <t>I-L45a-PURPLE-5511</t>
  </si>
  <si>
    <t>I-L45a-PURPLE-5512</t>
  </si>
  <si>
    <t>I-L45a-PURPLE-5513</t>
  </si>
  <si>
    <t>I-L45a-PURPLE-5514</t>
  </si>
  <si>
    <t>I-L45a-PURPLE-5515</t>
  </si>
  <si>
    <t>I-L45a-PURPLE-5521</t>
  </si>
  <si>
    <t>I-L45a-PURPLE-5522</t>
  </si>
  <si>
    <t>I-L45a-PURPLE-5523</t>
  </si>
  <si>
    <t>I-L45a-PURPLE-5524</t>
  </si>
  <si>
    <t>I-L45a-PURPLE-5525</t>
  </si>
  <si>
    <t>I-L45a-PURPLE-5531</t>
  </si>
  <si>
    <t>I-L45a-PURPLE-5532</t>
  </si>
  <si>
    <t>I-L45a-PURPLE-5533</t>
  </si>
  <si>
    <t>I-L45a-PURPLE-5534</t>
  </si>
  <si>
    <t>I-L45a-PURPLE-5535</t>
  </si>
  <si>
    <t>I-L45a-PURPLE-5541</t>
  </si>
  <si>
    <t>I-L45a-PURPLE-5542</t>
  </si>
  <si>
    <t>I-L45a-PURPLE-7400</t>
  </si>
  <si>
    <t>I-L45a-PURPLE-7401</t>
  </si>
  <si>
    <t>I-L45a-PURPLE-7402</t>
  </si>
  <si>
    <t>I-L45a-PURPLE-7403</t>
  </si>
  <si>
    <t>I-L45a-PURPLE-7404</t>
  </si>
  <si>
    <t>I-L45a-PURPLE-7405</t>
  </si>
  <si>
    <t>I-L45a-PURPLE-7406</t>
  </si>
  <si>
    <t>I-L45a-PURPLE-7407</t>
  </si>
  <si>
    <t>I-L45a-PURPLE-7408</t>
  </si>
  <si>
    <t>I-L45a-PURPLE-7409</t>
  </si>
  <si>
    <t>I-L45a-PURPLE-7410</t>
  </si>
  <si>
    <t>I-L45a-PURPLE-7411</t>
  </si>
  <si>
    <t>I-L45a-PURPLE-7702</t>
  </si>
  <si>
    <t>I-L45B-BLUE-0001</t>
  </si>
  <si>
    <t>I-L45B-BLUE-1101</t>
  </si>
  <si>
    <t>I-L45B-BLUE-1201</t>
  </si>
  <si>
    <t>I-L45B-BLUE-1301</t>
  </si>
  <si>
    <t>I-L45B-BLUE-1401</t>
  </si>
  <si>
    <t>I-L45B-BLUE-1501</t>
  </si>
  <si>
    <t>I-L45B-BLUE-1701</t>
  </si>
  <si>
    <t>I-L45B-BLUE-1702</t>
  </si>
  <si>
    <t>I-L45B-BLUE-1703</t>
  </si>
  <si>
    <t>I-L45B-BLUE-5400</t>
  </si>
  <si>
    <t>I-L45B-BLUE-5401</t>
  </si>
  <si>
    <t>I-L45B-BLUE-5402</t>
  </si>
  <si>
    <t>I-L45B-BLUE-5403</t>
  </si>
  <si>
    <t>I-L45B-BLUE-5404</t>
  </si>
  <si>
    <t>I-L45B-BLUE-5405</t>
  </si>
  <si>
    <t>I-L45B-BLUE-5406</t>
  </si>
  <si>
    <t>I-L45B-BLUE-5407</t>
  </si>
  <si>
    <t>I-L45B-BLUE-5408</t>
  </si>
  <si>
    <t>I-L45B-BLUE-5409</t>
  </si>
  <si>
    <t>I-L45B-BLUE-5431</t>
  </si>
  <si>
    <t>I-L45B-BLUE-5432</t>
  </si>
  <si>
    <t>I-L45B-BLUE-5433</t>
  </si>
  <si>
    <t>I-L45B-BLUE-5501</t>
  </si>
  <si>
    <t>I-L45B-BLUE-5502</t>
  </si>
  <si>
    <t>I-L45B-BLUE-5503</t>
  </si>
  <si>
    <t>I-L45B-BLUE-5504</t>
  </si>
  <si>
    <t>I-L45B-BLUE-5505</t>
  </si>
  <si>
    <t>I-L45B-BLUE-5511</t>
  </si>
  <si>
    <t>I-L45B-BLUE-5512</t>
  </si>
  <si>
    <t>I-L45B-BLUE-5513</t>
  </si>
  <si>
    <t>I-L45B-BLUE-5514</t>
  </si>
  <si>
    <t>I-L45B-BLUE-5515</t>
  </si>
  <si>
    <t>I-L45B-BLUE-5521</t>
  </si>
  <si>
    <t>I-L45B-BLUE-5522</t>
  </si>
  <si>
    <t>I-L45B-BLUE-5523</t>
  </si>
  <si>
    <t>I-L45B-BLUE-5524</t>
  </si>
  <si>
    <t>I-L45B-BLUE-5525</t>
  </si>
  <si>
    <t>I-L45B-BLUE-5531</t>
  </si>
  <si>
    <t>I-L45B-BLUE-5532</t>
  </si>
  <si>
    <t>I-L45B-BLUE-5533</t>
  </si>
  <si>
    <t>I-L45B-BLUE-5534</t>
  </si>
  <si>
    <t>I-L45B-BLUE-5535</t>
  </si>
  <si>
    <t>I-L45B-BLUE-5541</t>
  </si>
  <si>
    <t>I-L45B-BLUE-5542</t>
  </si>
  <si>
    <t>I-L45B-BLUE-7400</t>
  </si>
  <si>
    <t>I-L45B-BLUE-7401</t>
  </si>
  <si>
    <t>I-L45B-BLUE-7402</t>
  </si>
  <si>
    <t>I-L45B-BLUE-7403</t>
  </si>
  <si>
    <t>I-L45B-BLUE-7404</t>
  </si>
  <si>
    <t>I-L45B-BLUE-7405</t>
  </si>
  <si>
    <t>I-L45B-BLUE-7406</t>
  </si>
  <si>
    <t>I-L45B-BLUE-7407</t>
  </si>
  <si>
    <t>I-L45B-BLUE-7408</t>
  </si>
  <si>
    <t>I-L45B-BLUE-7409</t>
  </si>
  <si>
    <t>I-L45B-BLUE-7410</t>
  </si>
  <si>
    <t>I-L45B-BLUE-7411</t>
  </si>
  <si>
    <t>I-L45B-BLUE-7702</t>
  </si>
  <si>
    <t>I-L45b-GREEN-0001</t>
  </si>
  <si>
    <t>I-L45b-GREEN-1101</t>
  </si>
  <si>
    <t>I-L45b-GREEN-1201</t>
  </si>
  <si>
    <t>I-L45b-GREEN-1301</t>
  </si>
  <si>
    <t>I-L45b-GREEN-1401</t>
  </si>
  <si>
    <t>REFLECTED CEILING PLAN BN</t>
  </si>
  <si>
    <t>I-L45b-GREEN-1701</t>
  </si>
  <si>
    <t>I-L45b-GREEN-1702</t>
  </si>
  <si>
    <t>I-L45b-GREEN-1703</t>
  </si>
  <si>
    <t>I-L45b-GREEN-5401</t>
  </si>
  <si>
    <t>I-L45b-GREEN-5402</t>
  </si>
  <si>
    <t>I-L45b-GREEN-5404</t>
  </si>
  <si>
    <t>I-L45b-GREEN-5406</t>
  </si>
  <si>
    <t>I-L45b-GREEN-5408</t>
  </si>
  <si>
    <t>I-L45b-GREEN-5431</t>
  </si>
  <si>
    <t>I-L45b-GREEN-5432</t>
  </si>
  <si>
    <t>I-L45b-GREEN-5433</t>
  </si>
  <si>
    <t>I-L45b-GREEN-5501</t>
  </si>
  <si>
    <t>I-L45b-GREEN-5502</t>
  </si>
  <si>
    <t>I-L45b-GREEN-5503</t>
  </si>
  <si>
    <t>I-L45b-GREEN-5504</t>
  </si>
  <si>
    <t>I-L45b-GREEN-5505</t>
  </si>
  <si>
    <t>I-L45b-GREEN-5511</t>
  </si>
  <si>
    <t>I-L45b-GREEN-5512</t>
  </si>
  <si>
    <t>I-L45b-GREEN-5513</t>
  </si>
  <si>
    <t>I-L45b-GREEN-5514</t>
  </si>
  <si>
    <t>I-L45b-GREEN-5515</t>
  </si>
  <si>
    <t>I-L45b-GREEN-5521</t>
  </si>
  <si>
    <t>I-L45b-GREEN-5522</t>
  </si>
  <si>
    <t>I-L45b-GREEN-5523</t>
  </si>
  <si>
    <t>BATHROOM 02 - ELEVATION 15b</t>
  </si>
  <si>
    <t>I-L45b-GREEN-5524</t>
  </si>
  <si>
    <t>I-L45b-GREEN-5525</t>
  </si>
  <si>
    <t>I-L45b-GREEN-5531</t>
  </si>
  <si>
    <t>I-L45b-GREEN-5532</t>
  </si>
  <si>
    <t>I-L45b-GREEN-5533</t>
  </si>
  <si>
    <t>I-L45b-GREEN-5534</t>
  </si>
  <si>
    <t>BATHROOM 04 - ELEVATION 16C</t>
  </si>
  <si>
    <t>I-L45b-GREEN-5535</t>
  </si>
  <si>
    <t>I-L45b-GREEN-5541</t>
  </si>
  <si>
    <t>I-L45b-GREEN-5542</t>
  </si>
  <si>
    <t>BATHROOM 05 ELEVATIONS</t>
  </si>
  <si>
    <t>I-L45b-GREEN-7400</t>
  </si>
  <si>
    <t>I-L45b-GREEN-7401</t>
  </si>
  <si>
    <t>I-L45b-GREEN-7402</t>
  </si>
  <si>
    <t>I-L45b-GREEN-7403</t>
  </si>
  <si>
    <t>I-L45b-GREEN-7404</t>
  </si>
  <si>
    <t>I-L45b-GREEN-7405</t>
  </si>
  <si>
    <t>I-L45b-GREEN-7406</t>
  </si>
  <si>
    <t>I-L45b-GREEN-7407</t>
  </si>
  <si>
    <t>I-L45b-GREEN-7408</t>
  </si>
  <si>
    <t>I-L45b-GREEN-7409</t>
  </si>
  <si>
    <t>I-L45b-GREEN-7410</t>
  </si>
  <si>
    <t>I-L45b-GREEN-7411</t>
  </si>
  <si>
    <t>I-L45b-GREEN-7702</t>
  </si>
  <si>
    <t>I-L45B-PURPLE-0001</t>
  </si>
  <si>
    <t>I-L45B-PURPLE-1101</t>
  </si>
  <si>
    <t>I-L45B-PURPLE-1201</t>
  </si>
  <si>
    <t>I-L45B-PURPLE-1301</t>
  </si>
  <si>
    <t>I-L45B-PURPLE-1401</t>
  </si>
  <si>
    <t>I-L45B-PURPLE-1501</t>
  </si>
  <si>
    <t>I-L45B-PURPLE-1601</t>
  </si>
  <si>
    <t>I-L45B-PURPLE-1701</t>
  </si>
  <si>
    <t>I-L45B-PURPLE-1702</t>
  </si>
  <si>
    <t>I-L45B-PURPLE-1703</t>
  </si>
  <si>
    <t>I-L45B-PURPLE-5400</t>
  </si>
  <si>
    <t>I-L45B-PURPLE-5401</t>
  </si>
  <si>
    <t>I-L45B-PURPLE-5402</t>
  </si>
  <si>
    <t>I-L45B-PURPLE-5403</t>
  </si>
  <si>
    <t>I-L45B-PURPLE-5404</t>
  </si>
  <si>
    <t>I-L45B-PURPLE-5405</t>
  </si>
  <si>
    <t>I-L45B-PURPLE-5406</t>
  </si>
  <si>
    <t>I-L45B-PURPLE-5407</t>
  </si>
  <si>
    <t>I-L45B-PURPLE-5408</t>
  </si>
  <si>
    <t>I-L45B-PURPLE-5409</t>
  </si>
  <si>
    <t>I-L45B-PURPLE-5431</t>
  </si>
  <si>
    <t>I-L45B-PURPLE-5432</t>
  </si>
  <si>
    <t>I-L45B-PURPLE-5433</t>
  </si>
  <si>
    <t>I-L45B-PURPLE-5501</t>
  </si>
  <si>
    <t>I-L45B-PURPLE-5502</t>
  </si>
  <si>
    <t>I-L45B-PURPLE-5503</t>
  </si>
  <si>
    <t>I-L45B-PURPLE-5504</t>
  </si>
  <si>
    <t>I-L45B-PURPLE-5505</t>
  </si>
  <si>
    <t>I-L45B-PURPLE-5511</t>
  </si>
  <si>
    <t>I-L45B-PURPLE-5512</t>
  </si>
  <si>
    <t>I-L45B-PURPLE-5513</t>
  </si>
  <si>
    <t>I-L45B-PURPLE-5514</t>
  </si>
  <si>
    <t>I-L45B-PURPLE-5515</t>
  </si>
  <si>
    <t>I-L45B-PURPLE-5521</t>
  </si>
  <si>
    <t>I-L45B-PURPLE-5522</t>
  </si>
  <si>
    <t>I-L45B-PURPLE-5523</t>
  </si>
  <si>
    <t>I-L45B-PURPLE-5524</t>
  </si>
  <si>
    <t>Fe BATHROOM 03 - ELEVATION 15c</t>
  </si>
  <si>
    <t>I-L45B-PURPLE-5525</t>
  </si>
  <si>
    <t>I-L45B-PURPLE-5531</t>
  </si>
  <si>
    <t>I-L45B-PURPLE-5532</t>
  </si>
  <si>
    <t>I-L45B-PURPLE-5533</t>
  </si>
  <si>
    <t>I-L45B-PURPLE-5534</t>
  </si>
  <si>
    <t>I-L45B-PURPLE-5535</t>
  </si>
  <si>
    <t>I-L45B-PURPLE-5541</t>
  </si>
  <si>
    <t>I-L45B-PURPLE-5542</t>
  </si>
  <si>
    <t>I-L45B-PURPLE-7400</t>
  </si>
  <si>
    <t>I-L45B-PURPLE-7401</t>
  </si>
  <si>
    <t>I-L45B-PURPLE-7402</t>
  </si>
  <si>
    <t>I-L45B-PURPLE-7403</t>
  </si>
  <si>
    <t>I-L45B-PURPLE-7404</t>
  </si>
  <si>
    <t>I-L45B-PURPLE-7405</t>
  </si>
  <si>
    <t>I-L45B-PURPLE-7406</t>
  </si>
  <si>
    <t>I-L45B-PURPLE-7407</t>
  </si>
  <si>
    <t>I-L45B-PURPLE-7408</t>
  </si>
  <si>
    <t>I-L45B-PURPLE-7409</t>
  </si>
  <si>
    <t>I-L45B-PURPLE-7410</t>
  </si>
  <si>
    <t>I-L45B-PURPLE-7411</t>
  </si>
  <si>
    <t>I-L45B-PURPLE-7702</t>
  </si>
  <si>
    <t>PHE-T02S-1001</t>
  </si>
  <si>
    <t>PHE- WATER SUPPLY LAYOUT</t>
  </si>
  <si>
    <t>PHE-T02S-1002</t>
  </si>
  <si>
    <t>PHE- DRAINAGE LAYOUT</t>
  </si>
  <si>
    <t>PHE-T02S-4121</t>
  </si>
  <si>
    <t>BATHROOM-1 PHE LAYOUT</t>
  </si>
  <si>
    <t>PHE-T02S-4122</t>
  </si>
  <si>
    <t>BATHROOM-1 ELEVATION A</t>
  </si>
  <si>
    <t>PHE-T02S-4123</t>
  </si>
  <si>
    <t>BATHROOM-1 ELEVATION B &amp; C</t>
  </si>
  <si>
    <t>PHE-T02S-4131</t>
  </si>
  <si>
    <t>BATHROOM-2/3 PHE LAYOUT</t>
  </si>
  <si>
    <t>PHE-T02S-4132</t>
  </si>
  <si>
    <t>BATHROOM-2/3 ELEVATION-A</t>
  </si>
  <si>
    <t>PHE-T02S-4133</t>
  </si>
  <si>
    <t>BATHROOM-2/3 ELEVATION-B &amp; C</t>
  </si>
  <si>
    <t>PHE-T02S-4134</t>
  </si>
  <si>
    <t>BATHROOM-2/3 ELEVATION-D</t>
  </si>
  <si>
    <t>PHE-T02S-4141</t>
  </si>
  <si>
    <t>BATHROOM-4 PHE LAYOUT</t>
  </si>
  <si>
    <t>PHE-T02S-4142</t>
  </si>
  <si>
    <t>BATHROOM-4 ELEVATION-A</t>
  </si>
  <si>
    <t>PHE-T02S-4143</t>
  </si>
  <si>
    <t>BATHROOM-4 ELEVATION-B &amp; C</t>
  </si>
  <si>
    <t>PHE-T02S-4151</t>
  </si>
  <si>
    <t>MBR/KITCHEN DRAINAGE LAYOUT</t>
  </si>
  <si>
    <t>PHE-T02S-4152</t>
  </si>
  <si>
    <t>MBR/KITCHEN WATER SUPPLY LAYOUT</t>
  </si>
  <si>
    <t>PHE-T02S-4153</t>
  </si>
  <si>
    <t>MAID'S TOILET ELEVATION</t>
  </si>
  <si>
    <t>PHE-T02S-4154</t>
  </si>
  <si>
    <t>PHE-T02S-4161</t>
  </si>
  <si>
    <t>SERVICE PLATFORM PLAN &amp; ELEVATION</t>
  </si>
  <si>
    <t>DEFAULT UNIT - V50</t>
  </si>
  <si>
    <t>UNIT PLANS</t>
  </si>
  <si>
    <t>1011</t>
  </si>
  <si>
    <t>Lower Level Floor Plan - SSL 0 and SSL 1</t>
  </si>
  <si>
    <t>V50</t>
  </si>
  <si>
    <t>1012</t>
  </si>
  <si>
    <t>Upper Level Floor Plan - SSL 2 and SSL 3</t>
  </si>
  <si>
    <t>1013</t>
  </si>
  <si>
    <t>Villa Roof Plan - SSL 4</t>
  </si>
  <si>
    <t>1021</t>
  </si>
  <si>
    <t>Walling Layout – Combined</t>
  </si>
  <si>
    <t>1022</t>
  </si>
  <si>
    <t>Walling Layout – Design Options</t>
  </si>
  <si>
    <t>1023</t>
  </si>
  <si>
    <t>Walling Layout – Lift Option</t>
  </si>
  <si>
    <t>MASONRY PLANS</t>
  </si>
  <si>
    <t>1100</t>
  </si>
  <si>
    <t>Masonry Wall Legend</t>
  </si>
  <si>
    <t>Masonry Layout - Lower Level - SSL 0 and SSL 1</t>
  </si>
  <si>
    <t>1102</t>
  </si>
  <si>
    <t>Masonry Layout - Upper Level - SSL 2 and SSL 3</t>
  </si>
  <si>
    <t>FLOORING DRAWINGS</t>
  </si>
  <si>
    <t>Flooring Drawing: Lower Level - SSL 0 and SSL 1</t>
  </si>
  <si>
    <t>1302</t>
  </si>
  <si>
    <t>Flooring Drawing: Upper Level - SSL 2 and SSL 3</t>
  </si>
  <si>
    <t xml:space="preserve">Electrical Layout: Lower Level  -  SSL 2 and SSL 3 </t>
  </si>
  <si>
    <t>1402</t>
  </si>
  <si>
    <t>Electrical Layout: Upper Level - SSL 0 and SSL 1</t>
  </si>
  <si>
    <t>1403</t>
  </si>
  <si>
    <t>Electrical Layout: Roof Level - SSL 4 and SSL 5</t>
  </si>
  <si>
    <t>1421</t>
  </si>
  <si>
    <t>Electrical Layout: SSL 3</t>
  </si>
  <si>
    <t>Reflected Ceiling Plan: Lower Level - SSL 0 and SSL 1</t>
  </si>
  <si>
    <t>Reflected Ceiling Plan: Upper Level - SSL 2 and SSL 3</t>
  </si>
  <si>
    <t>UNIT SECTIONS</t>
  </si>
  <si>
    <t>3101</t>
  </si>
  <si>
    <t>Sections - 1</t>
  </si>
  <si>
    <t>3102</t>
  </si>
  <si>
    <t>Sections - 2</t>
  </si>
  <si>
    <t>3103</t>
  </si>
  <si>
    <t>Sections - 3</t>
  </si>
  <si>
    <t>DETAILED PLANS</t>
  </si>
  <si>
    <t>4110</t>
  </si>
  <si>
    <t>Terracotta Deck - Flooring and Railing Details</t>
  </si>
  <si>
    <t>4111</t>
  </si>
  <si>
    <t>Terracotta Deck - Sections and Details</t>
  </si>
  <si>
    <t>4112</t>
  </si>
  <si>
    <t>Terracotta Deck- Steps To Landscape Level</t>
  </si>
  <si>
    <t>Grey Tandoor deck Detail</t>
  </si>
  <si>
    <t>Grey Tandoor Deck - Sections and Details</t>
  </si>
  <si>
    <t>Grey Tandoor Deck- Steps To Landscape</t>
  </si>
  <si>
    <t>DETAILED SECTIONS</t>
  </si>
  <si>
    <t>4300</t>
  </si>
  <si>
    <t>Wall Section</t>
  </si>
  <si>
    <t>Family Railing Detail</t>
  </si>
  <si>
    <t>4320</t>
  </si>
  <si>
    <t>Utility Detail</t>
  </si>
  <si>
    <t>4321</t>
  </si>
  <si>
    <t>Db Elevation</t>
  </si>
  <si>
    <t>WALL SECTIONS</t>
  </si>
  <si>
    <t>4401</t>
  </si>
  <si>
    <t>Typical Wall Section - 1</t>
  </si>
  <si>
    <t>4402</t>
  </si>
  <si>
    <t>Typical Wall Section - 2</t>
  </si>
  <si>
    <t>4460</t>
  </si>
  <si>
    <t>Glass Canopy - Plan</t>
  </si>
  <si>
    <t>4461</t>
  </si>
  <si>
    <t>Glass Canopy - Sections</t>
  </si>
  <si>
    <t>4462</t>
  </si>
  <si>
    <t>Glasss Canopy - Details</t>
  </si>
  <si>
    <t>STAIRCASE DETAILS</t>
  </si>
  <si>
    <t>4601</t>
  </si>
  <si>
    <t>Internal Staircase Detail</t>
  </si>
  <si>
    <t>4610</t>
  </si>
  <si>
    <t>Staircase: Deck To Courtyard</t>
  </si>
  <si>
    <t>DOOR WINDOW DRAWINGS</t>
  </si>
  <si>
    <t>GLAZING DETAILS</t>
  </si>
  <si>
    <t>4801</t>
  </si>
  <si>
    <t>Skylight Detail</t>
  </si>
  <si>
    <t>4802</t>
  </si>
  <si>
    <t>ENCLOSURE AND FENCING</t>
  </si>
  <si>
    <t>5000</t>
  </si>
  <si>
    <t>Partition Between Villas - Pool Deck and Terrace Gardens</t>
  </si>
  <si>
    <t>5001</t>
  </si>
  <si>
    <t>Partition Between Villas - Pool Deck and Terrace Gardens - Sections</t>
  </si>
  <si>
    <t>POOL DETAILS</t>
  </si>
  <si>
    <t>5201</t>
  </si>
  <si>
    <t>Swimming Pool Detail</t>
  </si>
  <si>
    <t>5210</t>
  </si>
  <si>
    <t>Pool Wooden Deck Detail</t>
  </si>
  <si>
    <t>5220</t>
  </si>
  <si>
    <t>Filtration Equipment Details</t>
  </si>
  <si>
    <t>KITCHEN DETAILS</t>
  </si>
  <si>
    <t>Kitchen Details</t>
  </si>
  <si>
    <t>BATHROOM DETAILS</t>
  </si>
  <si>
    <t>Bathroom 1 – Details</t>
  </si>
  <si>
    <t>Bathroom 2 – Details</t>
  </si>
  <si>
    <t>Bathroom 3 – Details</t>
  </si>
  <si>
    <t>Bathroom 4 – Details</t>
  </si>
  <si>
    <t>Powder Room – Details</t>
  </si>
  <si>
    <t>Maid'S Toilet – Details</t>
  </si>
  <si>
    <t>6201</t>
  </si>
  <si>
    <t>Terrace Garden Railing</t>
  </si>
  <si>
    <t>6210</t>
  </si>
  <si>
    <t>4123</t>
  </si>
  <si>
    <t>SPECIFICATION AND SCHEDULES</t>
  </si>
  <si>
    <t>DEFAULT UNIT - V40</t>
  </si>
  <si>
    <t>V40</t>
  </si>
  <si>
    <t>DEFAULT UNIT - R11</t>
  </si>
  <si>
    <t>A-R11-0001 (TYPE 1)</t>
  </si>
  <si>
    <t>R11</t>
  </si>
  <si>
    <t>A-R11-0001 (TYPE 2)</t>
  </si>
  <si>
    <t>A-R11-0002 (TYPE 1-GREEN)</t>
  </si>
  <si>
    <t>DRAWING LIST- GREEN</t>
  </si>
  <si>
    <t>A-R11-0002 (TYPE 2-GREEN)</t>
  </si>
  <si>
    <t>A-R11-0003 (TYPE 1-BLUE)</t>
  </si>
  <si>
    <t>DRAWING LIST- BLUE</t>
  </si>
  <si>
    <t>A-R11-0003 (TYPE 2-BLUE)</t>
  </si>
  <si>
    <t>A-R11-0004 (TYPE 1-PURPLE)</t>
  </si>
  <si>
    <t>DRAWING LIST- PURPLE</t>
  </si>
  <si>
    <t>A-R11-0004 (TYPE 2-PURPLE)</t>
  </si>
  <si>
    <t>A-R11-1101 (TYPE 1-GREEN)</t>
  </si>
  <si>
    <t>MASONRY AND FLOORING- GREEN</t>
  </si>
  <si>
    <t>A-R11-1101 (TYPE 2-GREEN)</t>
  </si>
  <si>
    <t>A-R11-1102 (TYPE 1-BLUE)</t>
  </si>
  <si>
    <t>MASONRY AND FLOORING- BLUE</t>
  </si>
  <si>
    <t>A-R11-1102 (TYPE 2-BLUE)</t>
  </si>
  <si>
    <t>A-R11-1103 (TYPE 1-PURPLE)</t>
  </si>
  <si>
    <t>MASONRY AND FLOORING- PURPLE</t>
  </si>
  <si>
    <t>A-R11-1103 (TYPE 2-PURPLE)</t>
  </si>
  <si>
    <t>A-R11-1201 (TYPE 1-GREEN)</t>
  </si>
  <si>
    <t>FURNITURE LAYOUT- GREEN</t>
  </si>
  <si>
    <t>A-R11-1201 (TYPE 2-GREEN)</t>
  </si>
  <si>
    <t>A-R11-1202 (TYPE 1-BLUE)</t>
  </si>
  <si>
    <t>FURNITURE LAYOUT- BLUE</t>
  </si>
  <si>
    <t>A-R11-1202 (TYPE 2-BLUE)</t>
  </si>
  <si>
    <t>A-R11-1203 (TYPE 1-PURPLE)</t>
  </si>
  <si>
    <t>FURNITURE LAYOUT- PURPLE</t>
  </si>
  <si>
    <t>A-R11-1203 (TYPE 2-PURPLE)</t>
  </si>
  <si>
    <t>A-R11-1301 (TYPE 1-GREEN)</t>
  </si>
  <si>
    <t>ELECTRICAL LAYOUT - GREEN</t>
  </si>
  <si>
    <t>A-R11-1301 (TYPE 2-GREEN)</t>
  </si>
  <si>
    <t>A-R11-1302 (TYPE 1-BLUE)</t>
  </si>
  <si>
    <t>ELECTRICAL LAYOUT- BLUE</t>
  </si>
  <si>
    <t>A-R11-1302 (TYPE 2-BLUE)</t>
  </si>
  <si>
    <t>A-R11-1303 (TYPE 1-PURPLE)</t>
  </si>
  <si>
    <t>ELECTRICAL LAYOUT- PURPLE</t>
  </si>
  <si>
    <t>A-R11-1303 (TYPE 2-PURPLE)</t>
  </si>
  <si>
    <t>A-R11-1401 (TYPE 1-GREEN)</t>
  </si>
  <si>
    <t>REFLECTED CEILING PLAN- GREEN</t>
  </si>
  <si>
    <t>A-R11-1401 (TYPE 2-GREEN)</t>
  </si>
  <si>
    <t>A-R11-1402 (TYPE 1-BLUE,PURPLE)</t>
  </si>
  <si>
    <t>REFLECTED CEILING PLAN- BLUE, PURPLE</t>
  </si>
  <si>
    <t>A-R11-1402 (TYPE 2-BLUE, PURPLE)</t>
  </si>
  <si>
    <t>A-R11-1403 (TYPE 1-BLUE,PURPLE)</t>
  </si>
  <si>
    <t>A-R11-1403 (TYPE 2-BLUE, PURPLE)</t>
  </si>
  <si>
    <t>A-R11-1404 (TYPE 1-PURPLE)</t>
  </si>
  <si>
    <t>HOME AUTOMATION- PURPLE</t>
  </si>
  <si>
    <t>A-R11-1404 (TYPE 2-PURPLE)</t>
  </si>
  <si>
    <t>A-R11-4700</t>
  </si>
  <si>
    <t>R11 TYPE 1 - DOOR WINDOW SPECIFICATIONS</t>
  </si>
  <si>
    <t>A-R11-4701</t>
  </si>
  <si>
    <t>DOOR DETAIL - D1 - 1.1</t>
  </si>
  <si>
    <t>A-R11-4702</t>
  </si>
  <si>
    <t>DOOR DETAIL - D2-1.1</t>
  </si>
  <si>
    <t>A-R11-4703</t>
  </si>
  <si>
    <t>DOOR DETAIL - D3-2.3</t>
  </si>
  <si>
    <t>A-R11-4704</t>
  </si>
  <si>
    <t>DOOR WINDOW DETAIL - DW1</t>
  </si>
  <si>
    <t>A-R11-4705</t>
  </si>
  <si>
    <t>FRENCH DOOR - FD01</t>
  </si>
  <si>
    <t>A-R11-4706</t>
  </si>
  <si>
    <t>WINDOW DETAIL - W01</t>
  </si>
  <si>
    <t>A-R11-4707</t>
  </si>
  <si>
    <t>WINDOW DETAIL - W12</t>
  </si>
  <si>
    <t>A-R11-4708</t>
  </si>
  <si>
    <t>WINDOW DETAIL - W13</t>
  </si>
  <si>
    <t>A-R11-5400 (TYPE 1)</t>
  </si>
  <si>
    <t>KITCHEN GAS AND CHIMNEY ROUTING</t>
  </si>
  <si>
    <t>A-R11-5400 (TYPE 2 )</t>
  </si>
  <si>
    <t>A-R11-5401 (TYPE 1-GREEN)</t>
  </si>
  <si>
    <t>KITCHEN PLAN- GREEN</t>
  </si>
  <si>
    <t>A-R11-5401 (TYPE 2-GREEN)</t>
  </si>
  <si>
    <t>A-R11-5402 (TYPE 1-GREEN)</t>
  </si>
  <si>
    <t>KITCHEN ELEVATIONA- GREEN</t>
  </si>
  <si>
    <t>A-R11-5402 (TYPE 2-GREEN)</t>
  </si>
  <si>
    <t>A-R11-5403 (TYPE 1-GREEN)</t>
  </si>
  <si>
    <t>KITCHEN ELEVATION B- GREEN</t>
  </si>
  <si>
    <t>A-R11-5403 (TYPE 2-GREEN)</t>
  </si>
  <si>
    <t>A-R11-5404 (TYPE 1-GREEN)</t>
  </si>
  <si>
    <t>KITCHEN ELEVATION C- GREEN</t>
  </si>
  <si>
    <t>A-R11-5404 (TYPE 2-GREEN)</t>
  </si>
  <si>
    <t>A-R11-5405 (TYPE 1-GREEN)</t>
  </si>
  <si>
    <t>KITCHEN PLAN- BLUE</t>
  </si>
  <si>
    <t>A-R11-5405 (TYPE 2-BLUE)</t>
  </si>
  <si>
    <t>A-R11-5406 (TYPE 1-BLUE)</t>
  </si>
  <si>
    <t>KITCHEN ELEVATIONA- BLUE</t>
  </si>
  <si>
    <t>A-R11-5406 (TYPE 2-BLUE)</t>
  </si>
  <si>
    <t>A-R11-5407 (TYPE 1-BLUE)</t>
  </si>
  <si>
    <t>KITCHEN ELEVATIONSB- BLUE</t>
  </si>
  <si>
    <t>A-R11-5407 (TYPE 2-BLUE)</t>
  </si>
  <si>
    <t>A-R11-5408 (TYPE 1-BLUE)</t>
  </si>
  <si>
    <t>KITCHEN ELEVATION EXTERNAL C- BLUE</t>
  </si>
  <si>
    <t>A-R11-5408 (TYPE 2-BLUE)</t>
  </si>
  <si>
    <t>A-R11-5409 (TYPE 1-BLUE)</t>
  </si>
  <si>
    <t>KITCHEN ELEVATION INTERNAL C- BLUE</t>
  </si>
  <si>
    <t>A-R11-5409 (TYPE 2-BLUE)</t>
  </si>
  <si>
    <t>A-R11-5410 (TYPE 1-PURPLE)</t>
  </si>
  <si>
    <t>KITCHEN PLAN- PURPLE</t>
  </si>
  <si>
    <t>A-R11-5410 (TYPE 2-PURPLE)</t>
  </si>
  <si>
    <t>A-R11-5411 (TYPE 1-PURPLE)</t>
  </si>
  <si>
    <t>KITCHEN ELEVATIONA - PURPLE</t>
  </si>
  <si>
    <t>A-R11-5411 (TYPE 2-PURPLE)</t>
  </si>
  <si>
    <t>A-R11-5412 (TYPE 1-PURPLE)</t>
  </si>
  <si>
    <t>KITCHEN ELEVATIONB - PURPLE</t>
  </si>
  <si>
    <t>A-R11-5412 (TYPE 2-PURPLE)</t>
  </si>
  <si>
    <t>KITCHEN ELEVATIONS B- PURPLE</t>
  </si>
  <si>
    <t>A-R11-5413 (TYPE 1-PURPLE)</t>
  </si>
  <si>
    <t>KITCHEN ELEVATION EXTERNAL C - PURPLE</t>
  </si>
  <si>
    <t>A-R11-5413 (TYPE 2-PURPLE)</t>
  </si>
  <si>
    <t>A-R11-5414 (TYPE 1-PURPLE)</t>
  </si>
  <si>
    <t>KITCHEN ELEVATION INTERNAL C- PURPLE</t>
  </si>
  <si>
    <t>A-R11-5414 (TYPE 2-PURPLE)</t>
  </si>
  <si>
    <t>A-R11-5415 (TYPE 1)</t>
  </si>
  <si>
    <t>UTILITY PLAN &amp; ELEVATION</t>
  </si>
  <si>
    <t>A-R11-5415 (TYPE 2)</t>
  </si>
  <si>
    <t>UTILITY PLAN&amp; ELEVATION</t>
  </si>
  <si>
    <t>A-R11-5501</t>
  </si>
  <si>
    <t>BATHROOM1 PLAN- (GREEN)</t>
  </si>
  <si>
    <t>A-R11-5501 (TYPE 1-GREEN)</t>
  </si>
  <si>
    <t>A-R11-5502 (TYPE 1-GREEN)</t>
  </si>
  <si>
    <t>BATHROOM1 ELEVATION A,B- (GREEN)</t>
  </si>
  <si>
    <t>A-R11-5502 (TYPE 2-GREEN)</t>
  </si>
  <si>
    <t>A-R11-5503 (TYPE 1-GREEN)</t>
  </si>
  <si>
    <t>BATHROOM1 ELEVATION C,D (GREEN)</t>
  </si>
  <si>
    <t>A-R11-5503 (TYPE 2-GREEN)</t>
  </si>
  <si>
    <t>A-R11-5504 (TYPE 1-GREEN)</t>
  </si>
  <si>
    <t>BATHROOM2 PLAN (GREEN)</t>
  </si>
  <si>
    <t>A-R11-5504 (TYPE 2-GREEN)</t>
  </si>
  <si>
    <t>A-R11-5505 (TYPE 1-GREEN)</t>
  </si>
  <si>
    <t>BATHROOM 2 ELEVATION A,B (GREEN)</t>
  </si>
  <si>
    <t>A-R11-5505 (TYPE 2-GREEN)</t>
  </si>
  <si>
    <t>A-R11-5506 (TYPE 1-GREEN)</t>
  </si>
  <si>
    <t>BATHROOM2 ELEVATION C,D (GREEN)</t>
  </si>
  <si>
    <t>A-R11-5506 (TYPE 2-GREEN)</t>
  </si>
  <si>
    <t>A-R11-5507 (TYPE 1-BLUE)</t>
  </si>
  <si>
    <t>BATHROOM1 PLAN (BLUE)</t>
  </si>
  <si>
    <t>A-R11-5507 (TYPE 2-BLUE)</t>
  </si>
  <si>
    <t>A-R11-5508 (TYPE 1-BLUE)</t>
  </si>
  <si>
    <t>BATHROOM1 ELEVATION A,B (BLUE)</t>
  </si>
  <si>
    <t>A-R11-5508 (TYPE 2-BLUE)</t>
  </si>
  <si>
    <t>A-R11-5509 (TYPE 1-BLUE)</t>
  </si>
  <si>
    <t>BATHROOM1 ELEVATION C,D (BLUE)</t>
  </si>
  <si>
    <t>A-R11-5509 (TYPE 2-BLUE)</t>
  </si>
  <si>
    <t>A-R11-5510 (TYPE 1-BLUE)</t>
  </si>
  <si>
    <t>BATHROOM2 PLAN (BLUE)</t>
  </si>
  <si>
    <t>A-R11-5510 (TYPE 2-BLUE)</t>
  </si>
  <si>
    <t>A-R11-5511 (TYPE 1-BLUE)</t>
  </si>
  <si>
    <t>BATHROOM2 ELEVATION A,B (BLUE)</t>
  </si>
  <si>
    <t>A-R11-5511 (TYPE 2-BLUE)</t>
  </si>
  <si>
    <t>A-R11-5512 (TYPE 1-BLUE)</t>
  </si>
  <si>
    <t>BATHROOM2 ELEVATION C,D (BLUE)</t>
  </si>
  <si>
    <t>A-R11-5512 (TYPE 2-BLUE)</t>
  </si>
  <si>
    <t>A-R11-5513 (TYPE 1-PURPLE)</t>
  </si>
  <si>
    <t>BATHROOM1 PLAN (PURPLE)</t>
  </si>
  <si>
    <t>A-R11-5513 (TYPE 2-PURPLE)</t>
  </si>
  <si>
    <t>A-R11-5514 (TYPE 1-PURPLE)</t>
  </si>
  <si>
    <t>BATHROOM1 ELEVATION A,B (PURPLE)</t>
  </si>
  <si>
    <t>A-R11-5514 (TYPE 2-PURPLE)</t>
  </si>
  <si>
    <t>A-R11-5515 (TYPE 1-PURPLE)</t>
  </si>
  <si>
    <t>BATHROOM1 ELEVATION C,D (PURPLE)</t>
  </si>
  <si>
    <t>A-R11-5515 (TYPE 2-PURPLE)</t>
  </si>
  <si>
    <t>A-R11-5516 (TYPE 1-PURPLE)</t>
  </si>
  <si>
    <t>BATHROOM2 PLAN (PURPLE)</t>
  </si>
  <si>
    <t>A-R11-5516 (TYPE 2-PURPLE)</t>
  </si>
  <si>
    <t>A-R11-5517 (TYPE 1-PURPLE)</t>
  </si>
  <si>
    <t>BATHROOM2 ELEVATION A,B (PURPLE)</t>
  </si>
  <si>
    <t>A-R11-5517 (TYPE 2-PURPLE)</t>
  </si>
  <si>
    <t>A-R11-5518 (TYPE 1-PURPLE)</t>
  </si>
  <si>
    <t>BATHROOM2 ELEVATION C,D (PURPLE)</t>
  </si>
  <si>
    <t>A-R11-5518 (TYPE 2-PURPLE)</t>
  </si>
  <si>
    <t>A-R11-7401 (TYPE 1-GREEN)</t>
  </si>
  <si>
    <t>ELECTRICAL SCHEDULE- 01 (GREEN)</t>
  </si>
  <si>
    <t>A-R11-7401 (TYPE 2-GREEN)</t>
  </si>
  <si>
    <t>A-R11-7402</t>
  </si>
  <si>
    <t>ELECTRICAL SCHEDULE- 02 (GREEN)</t>
  </si>
  <si>
    <t>A-R11-7402 (TYPE 1-GREEN)</t>
  </si>
  <si>
    <t>A-R11-7403 (TYPE 1-BLUE)</t>
  </si>
  <si>
    <t>ELECTRICAL SCHEDULE- 01 (BLUE)</t>
  </si>
  <si>
    <t>A-R11-7403 (TYPE 2-BLUE)</t>
  </si>
  <si>
    <t>A-R11-7404 (TYPE 1-BLUE)</t>
  </si>
  <si>
    <t>ELECTRICAL SCHEDULE- 02 (BLUE)</t>
  </si>
  <si>
    <t>A-R11-7404 (TYPE 2-BLUE)</t>
  </si>
  <si>
    <t>A-R11-7405 (TYPE 1-PURPLE)</t>
  </si>
  <si>
    <t>ELECTRICAL SCHEDULE- 01 (PURPLE)</t>
  </si>
  <si>
    <t>A-R11-7405 (TYPE 2-PURPLE)</t>
  </si>
  <si>
    <t>A-R11-7406 (TYPE 1-PURPLE)</t>
  </si>
  <si>
    <t>ELECTRICAL SCHEDULE- 02 (PURPLE)</t>
  </si>
  <si>
    <t>A-R11-7406 (TYPE 2-PURPLE)</t>
  </si>
  <si>
    <t>A-R11-7421</t>
  </si>
  <si>
    <t>DW SPECIFICATIONS</t>
  </si>
  <si>
    <t>A-R11-7421 (TYPE 1)</t>
  </si>
  <si>
    <t>A-R11-7421 (TYPE 2)</t>
  </si>
  <si>
    <t>A-R11-7432</t>
  </si>
  <si>
    <t>FINISHES SCHEDULE</t>
  </si>
  <si>
    <t>A-R11-7441-A (TYPE 1-GREEN)</t>
  </si>
  <si>
    <t>PLUMBING AND SANITARY SCHEDULE- 01 (GREEN)</t>
  </si>
  <si>
    <t>A-R11-7441-A (TYPE 2-GREEN)</t>
  </si>
  <si>
    <t>A-R11-7441-B (TYPE 1-GREEN)</t>
  </si>
  <si>
    <t>PLUMBING AND SANITARY SCHEDULE- 02 (GREEN)</t>
  </si>
  <si>
    <t>A-R11-7441-B (TYPE 2-GREEN)</t>
  </si>
  <si>
    <t>A-R11-7441-C (TYPE 1-GREEN)</t>
  </si>
  <si>
    <t>PLUMBING AND SANITARY SCHEDULE- 03 GREEN)</t>
  </si>
  <si>
    <t>A-R11-7441-C (TYPE 2-GREEN)</t>
  </si>
  <si>
    <t>PLUMBING AND SANITARY SCHEDULE- 03 (GREEN)</t>
  </si>
  <si>
    <t>A-R11-7442-A (TYPE 1-BLUE)</t>
  </si>
  <si>
    <t>PLUMBING AND SANITARY SCHEDULE- 01 (BLUE)</t>
  </si>
  <si>
    <t>A-R11-7442-A (TYPE 2-BLUE)</t>
  </si>
  <si>
    <t>A-R11-7442-B (TYPE 1-BLUE)</t>
  </si>
  <si>
    <t>PLUMBING AND SANITARY SCHEDULE- 02 (BLUE)</t>
  </si>
  <si>
    <t>A-R11-7442-B (TYPE 2-BLUE)</t>
  </si>
  <si>
    <t>A-R11-7442-C (TYPE 1-BLUE)</t>
  </si>
  <si>
    <t>PLUMBING AND SANITARY SCHEDULE- 03 (BLUE)</t>
  </si>
  <si>
    <t>A-R11-7442-C (TYPE 2-BLUE)</t>
  </si>
  <si>
    <t>A-R11-7442-D (TYPE 1-BLUE)</t>
  </si>
  <si>
    <t>PLUMBING AND SANITARY SCHEDULE- 04 (BLUE)</t>
  </si>
  <si>
    <t>A-R11-7442-D (TYPE 2-BLUE)</t>
  </si>
  <si>
    <t>A-R11-7443-A (TYPE 1-PURPLE)</t>
  </si>
  <si>
    <t>PLUMBING AND SANITARY SCHEDULE- 01 (PURPLE)</t>
  </si>
  <si>
    <t>A-R11-7443-A (TYPE 2-PURPLE)</t>
  </si>
  <si>
    <t>A-R11-7443-B (TYPE 1-PURPLE)</t>
  </si>
  <si>
    <t>PLUMBING AND SANITARY SCHEDULE- 02 (PURPLE)</t>
  </si>
  <si>
    <t>A-R11-7443-B (TYPE 2-PURPLE)</t>
  </si>
  <si>
    <t>A-R11-7443-C (TYPE 1-PURPLE)</t>
  </si>
  <si>
    <t>PLUMBING AND SANITARY SCHEDULE- 03 (PURPLE)</t>
  </si>
  <si>
    <t>A-R11-7443-C (TYPE 2-PURPLE)</t>
  </si>
  <si>
    <t>A-R11-7443-D (TYPE 1-PURPLE)</t>
  </si>
  <si>
    <t>PLUMBING AND SANITARY SCHEDULE- 04 (PURPLE)</t>
  </si>
  <si>
    <t>A-R11-7443-D (TYPE 2-PURPLE)</t>
  </si>
  <si>
    <t>A-R11-7444 (TYPE 1)</t>
  </si>
  <si>
    <t>PLUMBING AND SANITARY SCHEDULE- KITD, UTIL</t>
  </si>
  <si>
    <t>A-R11-7444 (TYPE 2)</t>
  </si>
  <si>
    <t>A-R11-7451 (TYPE 1-BLUE)</t>
  </si>
  <si>
    <t>CABINETRY SCHEDULE- 01 (BLUE)</t>
  </si>
  <si>
    <t>A-R11-7451 (TYPE 2-BLUE)</t>
  </si>
  <si>
    <t>A-R11-7452 (TYPE 1-BLUE)</t>
  </si>
  <si>
    <t>CABINETRY SCHEDULE- 02 (BLUE)</t>
  </si>
  <si>
    <t>A-R11-7452 (TYPE 2-BLUE)</t>
  </si>
  <si>
    <t>A-R11-7453 (TYPE 1-BLUE)</t>
  </si>
  <si>
    <t>FURNITURE SCHEDULE- 01 (BLUE)</t>
  </si>
  <si>
    <t>A-R11-7453 (TYPE 2-BLUE)</t>
  </si>
  <si>
    <t>A-R11-7454 (TYPE 1-PURPLE)</t>
  </si>
  <si>
    <t>CABINETRY SCHEDULE- 01 (PURPLE)</t>
  </si>
  <si>
    <t>A-R11-7454 (TYPE 2-PURPLE)</t>
  </si>
  <si>
    <t>A-R11-7455 (TYPE 1-PURPLE)</t>
  </si>
  <si>
    <t>CABINETRY SCHEDULE- 02 (PURPLE)</t>
  </si>
  <si>
    <t>A-R11-7455 (TYPE 2-PURPLE)</t>
  </si>
  <si>
    <t>A-R11-7456 (TYPE 1-PURPLE)</t>
  </si>
  <si>
    <t>FURNITURE SCHEDULE- 01 (PURPLE)</t>
  </si>
  <si>
    <t>A-R11-7456 (TYPE 2-PURPLE)</t>
  </si>
  <si>
    <t>A-R11-7457 (TYPE 1-PURPLE)</t>
  </si>
  <si>
    <t>FURNITURE SCHEDULE- 02 (PURPLE)</t>
  </si>
  <si>
    <t>A-R11-7457 (TYPE 2-PURPLE)</t>
  </si>
  <si>
    <t>A-R11-7461 (TYPE 1-BLUE)</t>
  </si>
  <si>
    <t>KITCHEN CABINETRY SCHEDULE- 01 (BLUE)</t>
  </si>
  <si>
    <t>A-R11-7461 (TYPE 2-BLUE)</t>
  </si>
  <si>
    <t>A-R11-7462 (TYPE 1-BLUE)</t>
  </si>
  <si>
    <t>KITCHEN CABINETRY SCHEDULE- 02 (BLUE)</t>
  </si>
  <si>
    <t>A-R11-7462 (TYPE 2-BLUE)</t>
  </si>
  <si>
    <t>A-R11-7463 (TYPE 1-BLUE)</t>
  </si>
  <si>
    <t>KITCHEN EQUIPMENT SCHEDULE (BLUE)</t>
  </si>
  <si>
    <t>A-R11-7463 (TYPE 2-BLUE)</t>
  </si>
  <si>
    <t>A-R11-7464 (TYPE 1-PURPLE)</t>
  </si>
  <si>
    <t>KITCHEN CABINETRY SCHEDULE- 01 (PURPLE)</t>
  </si>
  <si>
    <t>A-R11-7464 (TYPE 2-PURPLE)</t>
  </si>
  <si>
    <t>A-R11-7465 (TYPE 1-PURPLE)</t>
  </si>
  <si>
    <t>KITCHEN CABINETRY SCHEDULE- 02 (PURPLE)</t>
  </si>
  <si>
    <t>A-R11-7465 (TYPE 2-PURPLE)</t>
  </si>
  <si>
    <t>A-R11-7466 (TYPE 1-PURPLE)</t>
  </si>
  <si>
    <t>KITCHEN EQUIPMENT SCHEDULE- (PURPLE)</t>
  </si>
  <si>
    <t>A-R11-7466 (TYPE 2-PURPLE)</t>
  </si>
  <si>
    <t>A-R11-7512 (TYPE 1)</t>
  </si>
  <si>
    <t>GENERAL SELECTIONS</t>
  </si>
  <si>
    <t>A-R11-7512 (TYPE 2 )</t>
  </si>
  <si>
    <t>A-R11-9001 (TYPE 1)</t>
  </si>
  <si>
    <t>A-R11-9001 (TYPE 2 )</t>
  </si>
  <si>
    <t>CO-T02V-4191</t>
  </si>
  <si>
    <t>R11-LVL-06_ BATH ROOM-01 COORDINATED LAYOUT</t>
  </si>
  <si>
    <t>CO-T02V-4192</t>
  </si>
  <si>
    <t>R11-LVL-06_ BATH ROOM-01 COORDINATED ELEVATIONS</t>
  </si>
  <si>
    <t>CO-T02V-4193</t>
  </si>
  <si>
    <t>R 1 1 _ B A T H ROOM-01 COORDINATED WALL ELEVATIONS</t>
  </si>
  <si>
    <t>CO-T02V-4201</t>
  </si>
  <si>
    <t>R11-LVL-06_ BATH ROOM-02 COORDINATED LAYOUT</t>
  </si>
  <si>
    <t>CO-T02V-4202</t>
  </si>
  <si>
    <t>R11_ LVL-06_ BATH ROOM-02 COORDINATED WALL ELEVATIONS</t>
  </si>
  <si>
    <t>CO-T02V-4203</t>
  </si>
  <si>
    <t>R 1 1 _ B A T H ROOM-02 COORDINATED WALL ELEVATIONS</t>
  </si>
  <si>
    <t>CO-T02V-4311</t>
  </si>
  <si>
    <t>R11-T02 Lvl. 06 - CEILING LEVEL COORDINATED LAYOUT</t>
  </si>
  <si>
    <t>FPS-T02V-1063</t>
  </si>
  <si>
    <t>R11- LEVEL 06 FIRE FIGHTING LAYOUT</t>
  </si>
  <si>
    <t>HA-R11-1001</t>
  </si>
  <si>
    <t>Home Automation Layout</t>
  </si>
  <si>
    <t>HA-R11-1002</t>
  </si>
  <si>
    <t>Mood Lighting Layout</t>
  </si>
  <si>
    <t>HVAC-T05V-1012</t>
  </si>
  <si>
    <t>T05-L06-R11-HVAC VRV LAYOUT</t>
  </si>
  <si>
    <t>LS-0059-R1Q-TG-B-WD-IR.SEC-01</t>
  </si>
  <si>
    <t>TERRACE GARDEN IRRIGATION PLAN &amp; SECTION</t>
  </si>
  <si>
    <t>LS-0059-R11-T2V-TG-B-DR-01</t>
  </si>
  <si>
    <t>TERRACE GARDEN SUB-SURFACE AND SURFACE DRAINAGE PLAN</t>
  </si>
  <si>
    <t>LS-0059-R11-T2V-TG-B-IR&amp;SEC-01</t>
  </si>
  <si>
    <t>LS-0059-R11-T2V-TG-B-PL.LP.MP-01</t>
  </si>
  <si>
    <t>TERRACE GARDEN PLANTING AND MATERIAL LIGHTING ,MARKING PLAN</t>
  </si>
  <si>
    <t>LS-0059-R11-T2V-TG-G-DR-01</t>
  </si>
  <si>
    <t>LS-0059-R11-T2V-TG-G-IR&amp;SEC-01</t>
  </si>
  <si>
    <t>LS-0059-R11-T2V-TG-G-PL.LP.MR-01</t>
  </si>
  <si>
    <t>LS-0059-R11-T2V-TG-P-DR-01</t>
  </si>
  <si>
    <t>LS-0059-R11-T2V-TG-P-IR&amp;SEC-01</t>
  </si>
  <si>
    <t>LS-0059-R11-T2V-TG-P-PL.LP.MP-01</t>
  </si>
  <si>
    <t>LS-0059-R11-TG-B-WD-DR-01</t>
  </si>
  <si>
    <t>LS-0059-R11-TG-B-WD-PL.LP.MR-01</t>
  </si>
  <si>
    <t>PLANTING AND MATERIAL LIGHTING,MARKING PLAN</t>
  </si>
  <si>
    <t>LS-0059-R11-TG-G-WD-DR-01</t>
  </si>
  <si>
    <t>LS-0059-R11-TG-G-WD-IR.SEC-01</t>
  </si>
  <si>
    <t>LS-0059-R11-TG-G-WD-PL.LP.MR-01</t>
  </si>
  <si>
    <t>LS-0059-R11-TG-P-WD-DR-01</t>
  </si>
  <si>
    <t>LS-0059-R11-TG-P-WD-IR.SEC-01</t>
  </si>
  <si>
    <t>LS-0059-R11-TG-P-WD-PL.LP.MR-01</t>
  </si>
  <si>
    <t>LS-0059-R11-TXV-TG-B-DR-01</t>
  </si>
  <si>
    <t>LS-0059-R11-TXV-TG-B-IR&amp;SEC-01</t>
  </si>
  <si>
    <t>LS-0059-R11-TXV-TG-B-PL.LP.MR-01</t>
  </si>
  <si>
    <t>TERRACE GARDEN PLANTING AND MATERIAL LIGHTING,MARKING PLAN</t>
  </si>
  <si>
    <t>LS-0059-R11-TXV-TG-G-DR-01</t>
  </si>
  <si>
    <t>LS-0059-R11-TXV-TG-G-IR&amp;SEC-01</t>
  </si>
  <si>
    <t>LS-0059-R11-TXV-TG-G-PL.LP.MR-01</t>
  </si>
  <si>
    <t>LS-0059-R11-TXV-TG-P-DR-01</t>
  </si>
  <si>
    <t>LS-0059-R11-TXV-TG-P-IR&amp;SEC-01</t>
  </si>
  <si>
    <t>LS-0059-R11-TXV-TG-P-PL.LP.MR-01</t>
  </si>
  <si>
    <t>PHE-T02V-4191R</t>
  </si>
  <si>
    <t>R11-T02 Lvl-06 ENLARGED TOILET DETAIL BATHROOM -01 PLAN</t>
  </si>
  <si>
    <t>PHE-T02V-4192R</t>
  </si>
  <si>
    <t>R11-T02 Lvl-06 ENLARGED TOILET DETAIL BATHROOM -01 WALL ELEVATIONS</t>
  </si>
  <si>
    <t>PHE-T02V-4193R</t>
  </si>
  <si>
    <t>PHE-T02V-4201R</t>
  </si>
  <si>
    <t>R11-T02 Lvl-06 ENLARGED TOILET DETAIL BATHROOM -02 PLAN</t>
  </si>
  <si>
    <t>PHE-T02V-4202R</t>
  </si>
  <si>
    <t>R11-T02 Lvl-06 ENLARGED TOILET DETAIL BATHROOM -02 WALL ELEVATIONS</t>
  </si>
  <si>
    <t>PHE-T02V-4203R</t>
  </si>
  <si>
    <t>PHE-T02V-4211R</t>
  </si>
  <si>
    <t>R11-T02 Lvl. 06 - ENLARGED KITCHEN PLUMBING DETAIL - PLAN</t>
  </si>
  <si>
    <t>PHE-T02V-4212R</t>
  </si>
  <si>
    <t>R11-T02 Lvl. 06 - ENLARGED KITCHEN PLUMBING DETAIL - WALL ELEVATIONS</t>
  </si>
  <si>
    <t>PHE-T02V-4231R</t>
  </si>
  <si>
    <t>R11-T02 Lvl. 06 - ENLARGED UTILITY PLUMBING DETAIL - PLAN</t>
  </si>
  <si>
    <t>PHE-T02V-4232R</t>
  </si>
  <si>
    <t>R11-T02 Lvl. 06 - ENLARGED UTILITY PLUMBING DETAIL - WALL ELEVATIONS</t>
  </si>
  <si>
    <t>PHE-T02V-4371</t>
  </si>
  <si>
    <t>LEVEL 06 FFL R11-DRAINAGE LAYOUT</t>
  </si>
  <si>
    <t>PHE-T02V-4372</t>
  </si>
  <si>
    <t>LEVEL-06 R-11 CEILING LEVEL WATER SUPPLY LAYOUT</t>
  </si>
  <si>
    <t>DEFAULT UNIT - R22</t>
  </si>
  <si>
    <t>A-R22-0001 (T2V-TYPE1-BLUE)</t>
  </si>
  <si>
    <t>R22</t>
  </si>
  <si>
    <t>A-R22-0001 (T2V-TYPE1-GREEN)</t>
  </si>
  <si>
    <t>A-R22-0001 (T2V-TYPE1-PURPLE)</t>
  </si>
  <si>
    <t>A-R22-0001 (T2V-TYPE2-BLUE)</t>
  </si>
  <si>
    <t>A-R22-0001 (T2V-TYPE2-GREEN)</t>
  </si>
  <si>
    <t>A-R22-0001 (T2V-TYPE2-PURPLE)</t>
  </si>
  <si>
    <t>A-R22-0001 (TXV-TYPE1-BLUE)</t>
  </si>
  <si>
    <t>A-R22-0001 (TXV-TYPE1-GREEN)</t>
  </si>
  <si>
    <t>A-R22-0001 (TXV-TYPE1-PURPLE)</t>
  </si>
  <si>
    <t>A-R22-0001 (TXV-TYPE2-BLUE)</t>
  </si>
  <si>
    <t>A-R22-0001 (TXV-TYPE2-GREEN)</t>
  </si>
  <si>
    <t>A-R22-0001 (TXV-TYPE2-PURPLE)</t>
  </si>
  <si>
    <t>A-R22-0002 (T2V-TYPE1-GREEN)</t>
  </si>
  <si>
    <t>DRAWING LIST- GREEN- T2V</t>
  </si>
  <si>
    <t>A-R22-0002 (T2V-TYPE2-GREEN)</t>
  </si>
  <si>
    <t>A-R22-0003 (T2V-TYPE1-BLUE)</t>
  </si>
  <si>
    <t>DRAWING LIST- BLUE- T2V</t>
  </si>
  <si>
    <t>A-R22-0003 (T2V-TYPE2-BLUE)</t>
  </si>
  <si>
    <t>A-R22-0004 (T2V-TYPE1-PURPLE)</t>
  </si>
  <si>
    <t>DRAWING LIST- PURPLE- T2V</t>
  </si>
  <si>
    <t>A-R22-0004 (T2V-TYPE2-PURPLE)</t>
  </si>
  <si>
    <t>A-R22-0005 (TXV-TYPE1-GREEN)</t>
  </si>
  <si>
    <t>DRAWING LIST- GREEN- TXV</t>
  </si>
  <si>
    <t>A-R22-0005 (TXV-TYPE2-GREEN)</t>
  </si>
  <si>
    <t>A-R22-0006 (TXV-TYPE1-BLUE)</t>
  </si>
  <si>
    <t>DRAWING LIST- BLUE- TXV</t>
  </si>
  <si>
    <t>A-R22-0006 (TXV-TYPE2-BLUE)</t>
  </si>
  <si>
    <t>A-R22-0007 (TXV-TYPE1-PURPLE)</t>
  </si>
  <si>
    <t>DRAWING LIST- PURPLE- TXV</t>
  </si>
  <si>
    <t>A-R22-0007 (TXV-TYPE2-PURPLE)</t>
  </si>
  <si>
    <t>A-R22-1101 (T2V-TYPE1-GREEN)</t>
  </si>
  <si>
    <t>MASONRY AND FLOORING- GREEN- T2V</t>
  </si>
  <si>
    <t>A-R22-1101 (T2V-TYPE2-GREEN)</t>
  </si>
  <si>
    <t>A-R22-1102 (T2V-TYPE1-BLUE)</t>
  </si>
  <si>
    <t>MASONRY AND FLOORING- BLUE- T2V</t>
  </si>
  <si>
    <t>A-R22-1102 (T2V-TYPE2-BLUE)</t>
  </si>
  <si>
    <t>A-R22-1103 (T2V-TYPE1-PURPLE)</t>
  </si>
  <si>
    <t>MASONRY AND FLOORING- PURPLE -T2V</t>
  </si>
  <si>
    <t>A-R22-1103 (T2V-TYPE2-PURPLE)</t>
  </si>
  <si>
    <t>A-R22-1104 (TXV-TYPE1-GREEN)</t>
  </si>
  <si>
    <t>MASONRY AND FLOORING- GREEN- TXV</t>
  </si>
  <si>
    <t>A-R22-1104 (TXV-TYPE2-GREEN)</t>
  </si>
  <si>
    <t>A-R22-1105 (TXV-TYPE1-BLUE)</t>
  </si>
  <si>
    <t>MASONRY AND FLOORING- BLUE- TXV</t>
  </si>
  <si>
    <t>A-R22-1105 (TXV-TYPE2-BLUE)</t>
  </si>
  <si>
    <t>A-R22-1106 (TXV-TYPE1-PURPLE)</t>
  </si>
  <si>
    <t>MASONRY AND FLOORING- PURPLE- TXV</t>
  </si>
  <si>
    <t>A-R22-1106 (TXV-TYPE2-PURPLE)</t>
  </si>
  <si>
    <t>A-R22-1107 (T2V-TYPE1-PURPLE)</t>
  </si>
  <si>
    <t>FEATURE WALL - PURPLE</t>
  </si>
  <si>
    <t>A-R22-1107 (T2V-TYPE2-PURPLE)</t>
  </si>
  <si>
    <t>A-R22-1107 (TXV-TYPE1-PURPLE)</t>
  </si>
  <si>
    <t>A-R22-1107 (TXV-TYPE2-PURPLE)</t>
  </si>
  <si>
    <t>A-R22-1108 (T2V-TYPE1-PURPLE)</t>
  </si>
  <si>
    <t>FEATURE WALL- DETAILS</t>
  </si>
  <si>
    <t>A-R22-1108 (T2V-TYPE2-PURPLE)</t>
  </si>
  <si>
    <t>A-R22-1108 (TXV-TYPE1-PURPLE)</t>
  </si>
  <si>
    <t>A-R22-1108 (TXV-TYPE2-PURPLE)</t>
  </si>
  <si>
    <t>A-R22-1201 (T2V-TYPE1-GREEN)</t>
  </si>
  <si>
    <t>FURNITURE LAYOUT- GREEN- T2V</t>
  </si>
  <si>
    <t>A-R22-1201 (T2V-TYPE2-GREEN)</t>
  </si>
  <si>
    <t>A-R22-1202 (T2V-TYPE1-BLUE)</t>
  </si>
  <si>
    <t>FURNITURE LAYOUT- BLUE- T2V</t>
  </si>
  <si>
    <t>A-R22-1202 (T2V-TYPE2-BLUE)</t>
  </si>
  <si>
    <t>A-R22-1203 (T2V-TYPE1-PURPLE)</t>
  </si>
  <si>
    <t>FURNITURE LAYOUT- PURPLE- T2V</t>
  </si>
  <si>
    <t>A-R22-1203 (T2V-TYPE2-PURPLE)</t>
  </si>
  <si>
    <t>A-R22-1204 (TXV-TYPE1-GREEN)</t>
  </si>
  <si>
    <t>FURNITURE LAYOUT - GREEN- TXV</t>
  </si>
  <si>
    <t>A-R22-1204 (TXV-TYPE2-GREEN)</t>
  </si>
  <si>
    <t>A-R22-1205 (TXV-TYPE1-BLUE)</t>
  </si>
  <si>
    <t>FURNITURE LAYOUT- BLUE- TXV</t>
  </si>
  <si>
    <t>A-R22-1205 (TXV-TYPE2-BLUE)</t>
  </si>
  <si>
    <t>A-R22-1206 (TXV-TYPE1-PURPLE)</t>
  </si>
  <si>
    <t>FURNITURE LAYOUT- PURPLE- TXV</t>
  </si>
  <si>
    <t>A-R22-1206 (TXV-TYPE2-PURPLE)</t>
  </si>
  <si>
    <t>A-R22-1301 (T2V-TYPE1-GREEN)</t>
  </si>
  <si>
    <t>ELECTRICAL LAYOUT- GREEN- T2V</t>
  </si>
  <si>
    <t>A-R22-1301 (T2V-TYPE2-GREEN)</t>
  </si>
  <si>
    <t>A-R22-1302 (T2V-TYPE1-BLUE)</t>
  </si>
  <si>
    <t>ELECTRICAL LAYOUT- BLUE- T2V</t>
  </si>
  <si>
    <t>A-R22-1302 (T2V-TYPE2-BLUE)</t>
  </si>
  <si>
    <t>A-R22-1303 (T2V-TYPE1-PURPLE)</t>
  </si>
  <si>
    <t>ELECTRICAL LAYOUT- PURPLE- T2V</t>
  </si>
  <si>
    <t>A-R22-1303 (T2V-TYPE2-PURPLE)</t>
  </si>
  <si>
    <t>A-R22-1304 (TXV-TYPE1-GREEN)</t>
  </si>
  <si>
    <t>ELECTRICAL LAYOUT- GREEN- TXV</t>
  </si>
  <si>
    <t>A-R22-1304 (TXV-TYPE2-GREEN)</t>
  </si>
  <si>
    <t>A-R22-1305 (TXV-TYPE1-BLUE)</t>
  </si>
  <si>
    <t>ELECTRICAL LAYOUT- BLUE- TXV</t>
  </si>
  <si>
    <t>A-R22-1305 (TXV-TYPE2-BLUE)</t>
  </si>
  <si>
    <t>A-R22-1306 (TXV-TYPE1-PURPLE)</t>
  </si>
  <si>
    <t>ELECTRICAL LAYOUT - PURPLE- TXV</t>
  </si>
  <si>
    <t>A-R22-1306 (TXV-TYPE2-PURPLE)</t>
  </si>
  <si>
    <t>A-R22-1401 (T2V-TYPE1-GREEN)</t>
  </si>
  <si>
    <t>REFLECTED CEILING PLAN- GREEN- T2V</t>
  </si>
  <si>
    <t>A-R22-1401 (T2V-TYPE2-GREEN)</t>
  </si>
  <si>
    <t>A-R22-1402 (T2V-TYPE1-BLUE)</t>
  </si>
  <si>
    <t>REFLECTED CEILING PLAN - BLUE- T2V</t>
  </si>
  <si>
    <t>A-R22-1402 (T2V-TYPE2-BLUE)</t>
  </si>
  <si>
    <t>A-R22-1403 (T2V-TYPE1-PURPLE)</t>
  </si>
  <si>
    <t>REFLECTED CEILING PLAN - PURPLE- T2V</t>
  </si>
  <si>
    <t>A-R22-1403 (T2V-TYPE2-PURPLE)</t>
  </si>
  <si>
    <t>A-R22-1404 (T2V-TYPE1-BLUE)</t>
  </si>
  <si>
    <t>VRV LAYOUT- BLUE, PURPLE- T2V</t>
  </si>
  <si>
    <t>A-R22-1404 (T2V-TYPE1-PURPLE)</t>
  </si>
  <si>
    <t>A-R22-1404 (T2V-TYPE2-BLUE)</t>
  </si>
  <si>
    <t>A-R22-1404 (T2V-TYPE2-PURPLE)</t>
  </si>
  <si>
    <t>A-R22-1405 (TXV-TYPE1-GREEN)</t>
  </si>
  <si>
    <t>REFLECTED CEILING PLAN- GREEN- TXV</t>
  </si>
  <si>
    <t>A-R22-1405 (TXV-TYPE2-GREEN)</t>
  </si>
  <si>
    <t>A-R22-1406 (TXV-TYPE1-BLUE)</t>
  </si>
  <si>
    <t>REFLECTED CEILING PLAN- BLUE- TXV</t>
  </si>
  <si>
    <t>A-R22-1406 (TXV-TYPE2-BLUE)</t>
  </si>
  <si>
    <t>A-R22-1407 (TXV-TYPE1-PURPLE)</t>
  </si>
  <si>
    <t>REFLECTED CEILING PLAN - PURPLE - TXV</t>
  </si>
  <si>
    <t>A-R22-1407 (TXV-TYPE2-PURPLE)</t>
  </si>
  <si>
    <t>A-R22-1408 (TXV-TYPE1-BLUE)</t>
  </si>
  <si>
    <t>VRV LAYOUT - BLUE, PURPLE- TXV</t>
  </si>
  <si>
    <t>A-R22-1408 (TXV-TYPE1-PURPLE)</t>
  </si>
  <si>
    <t>A-R22-1408 (TXV-TYPE2-BLUE)</t>
  </si>
  <si>
    <t>A-R22-1408 (TXV-TYPE2-PURPLE)</t>
  </si>
  <si>
    <t>A-R22-1409 (T2V-TYPE1-PURPLE)</t>
  </si>
  <si>
    <t>A-R22-1409 (T2V-TYPE2-PURPLE)</t>
  </si>
  <si>
    <t>HOME AUTOMATION - PURPLE</t>
  </si>
  <si>
    <t>A-R22-1409 (TXV-TYPE1-PURPLE)</t>
  </si>
  <si>
    <t>A-R22-1409 (TXV-TYPE2-PURPLE)</t>
  </si>
  <si>
    <t>A-R22-4700</t>
  </si>
  <si>
    <t>DOOR WINDOWS - KEY PLAN</t>
  </si>
  <si>
    <t>A-R22-4701</t>
  </si>
  <si>
    <t>R22 - FENESTRATION SPECIFICATIONS</t>
  </si>
  <si>
    <t>A-R22-4702</t>
  </si>
  <si>
    <t>DOOR DETAIL - D1*-1.1</t>
  </si>
  <si>
    <t>A-R22-4703</t>
  </si>
  <si>
    <t>A-R22-4704</t>
  </si>
  <si>
    <t>DOOR DETAIL - D2*-1.1</t>
  </si>
  <si>
    <t>A-R22-4705</t>
  </si>
  <si>
    <t>DOOR DETAIL - D2-2.1</t>
  </si>
  <si>
    <t>A-R22-4706</t>
  </si>
  <si>
    <t>DOOR DETAIL - D2*-3.1</t>
  </si>
  <si>
    <t>A-R22-4707</t>
  </si>
  <si>
    <t>A-R22-4708</t>
  </si>
  <si>
    <t>DOOR DETAIL - D3*-2.3</t>
  </si>
  <si>
    <t>A-R22-4709</t>
  </si>
  <si>
    <t>DOOR DETAILS - D7*</t>
  </si>
  <si>
    <t>A-R22-4710</t>
  </si>
  <si>
    <t>A-R22-4711</t>
  </si>
  <si>
    <t>FRENCH DOOR - FD02</t>
  </si>
  <si>
    <t>A-R22-4712</t>
  </si>
  <si>
    <t>WINDOW DETAIL - W31</t>
  </si>
  <si>
    <t>A-R22-4713</t>
  </si>
  <si>
    <t>WINDOW DETAIL - W5</t>
  </si>
  <si>
    <t>A-R22-4714</t>
  </si>
  <si>
    <t>WINDOW DETAIL - W14</t>
  </si>
  <si>
    <t>A-R22-4715</t>
  </si>
  <si>
    <t>WINDOW DETAIL - W9</t>
  </si>
  <si>
    <t>A-R22-4716</t>
  </si>
  <si>
    <t>A-R22-4717</t>
  </si>
  <si>
    <t>WINDOW DETAIL - W10b</t>
  </si>
  <si>
    <t>A-R22-4718</t>
  </si>
  <si>
    <t>SHAFT OPENING DETAILS - BTR 1 - UG21</t>
  </si>
  <si>
    <t>A-R22-4719</t>
  </si>
  <si>
    <t>SHAFT OPENING DETAILS - BTR 2 - UG21</t>
  </si>
  <si>
    <t>A-R22-4720</t>
  </si>
  <si>
    <t>SHAFT OPENING DETAILS - UG22</t>
  </si>
  <si>
    <t>A-R22-5401 (T2V-TYPE1-BLUE)</t>
  </si>
  <si>
    <t>A-R22-5401 (T2V-TYPE1-GREEN)</t>
  </si>
  <si>
    <t>A-R22-5401 (T2V-TYPE1-PURPLE)</t>
  </si>
  <si>
    <t>A-R22-5401 (T2V-TYPE2-BLUE)</t>
  </si>
  <si>
    <t>A-R22-5401 (T2V-TYPE2-GREEN)</t>
  </si>
  <si>
    <t>A-R22-5401 (T2V-TYPE2-PURPLE)</t>
  </si>
  <si>
    <t>A-R22-5401 (TXV-TYPE1-BLUE)</t>
  </si>
  <si>
    <t>A-R22-5401 (TXV-TYPE1-GREEN)</t>
  </si>
  <si>
    <t>A-R22-5401 (TXV-TYPE1-PURPLE)</t>
  </si>
  <si>
    <t>A-R22-5401 (TXV-TYPE2-BLUE)</t>
  </si>
  <si>
    <t>A-R22-5401 (TXV-TYPE2-GREEN)</t>
  </si>
  <si>
    <t>A-R22-5401 (TXV-TYPE2-PURPLE)</t>
  </si>
  <si>
    <t>A-R22-5402 (T2V-TYPE1-GREEN)</t>
  </si>
  <si>
    <t>KITCHEN PLAN- GREEN- T2V</t>
  </si>
  <si>
    <t>A-R22-5402 (T2V-TYPE2-GREEN)</t>
  </si>
  <si>
    <t>A-R22-5403 (T2V-TYPE1-GREEN)</t>
  </si>
  <si>
    <t>KITCHEN ELEVATIONA- GREEN- T2V</t>
  </si>
  <si>
    <t>A-R22-5403 (T2V-TYPE2-GREEN)</t>
  </si>
  <si>
    <t>A-R22-5404 (T2V-TYPE1-GREEN)</t>
  </si>
  <si>
    <t>KITCHEN ELEVATIONB- GREEN- T2V</t>
  </si>
  <si>
    <t>A-R22-5404 (T2V-TYPE2-GREEN)</t>
  </si>
  <si>
    <t>A-R22-5405 (T2V-TYPE1-BLUE)</t>
  </si>
  <si>
    <t>KITCHEN PLAN- BLUE- T2V</t>
  </si>
  <si>
    <t>A-R22-5405 (T2V-TYPE2-BLUE)</t>
  </si>
  <si>
    <t>A-R22-5406 (T2V-TYPE1-BLUE)</t>
  </si>
  <si>
    <t>KITCHEN EXTERNAL ELEVATIONA- BLUE - T2V</t>
  </si>
  <si>
    <t>A-R22-5406 (T2V-TYPE2-BLUE)</t>
  </si>
  <si>
    <t>A-R22-5407 (T2V-TYPE1-BLUE)</t>
  </si>
  <si>
    <t>KITCHEN INTERNAL ELEVATIONA- BLUE- T2V</t>
  </si>
  <si>
    <t>A-R22-5407 (T2V-TYPE2-BLUE)</t>
  </si>
  <si>
    <t>A-R22-5408 (T2V-TYPE1-BLUE)</t>
  </si>
  <si>
    <t>KITCHEN ELEVATIONB- BLUE- T2V</t>
  </si>
  <si>
    <t>A-R22-5408 (T2V-TYPE2-BLUE)</t>
  </si>
  <si>
    <t>A-R22-5409 (T2V-TYPE1-BLUE)</t>
  </si>
  <si>
    <t>KITCHEN EXTERNAL ELEVATIONC- BLUE- T2V</t>
  </si>
  <si>
    <t>A-R22-5409 (T2V-TYPE2-BLUE)</t>
  </si>
  <si>
    <t>A-R22-5410 (T2V-TYPE1-BLUE)</t>
  </si>
  <si>
    <t>KITCHEN INTERNAL ELEVATIONC- BLUE- T2V</t>
  </si>
  <si>
    <t>A-R22-5410 (T2V-TYPE2-BLUE)</t>
  </si>
  <si>
    <t>A-R22-5411 (T2V-TYPE1-PURPLE)</t>
  </si>
  <si>
    <t>KITCHEN PLAN- PURPLE- T2V</t>
  </si>
  <si>
    <t>A-R22-5411 (T2V-TYPE2-PURPLE)</t>
  </si>
  <si>
    <t>A-R22-5412 (T2V-TYPE1-PURPLE)</t>
  </si>
  <si>
    <t>KITCHEN EXTERNAL ELEVATIONA- PURPLE - T2V</t>
  </si>
  <si>
    <t>A-R22-5412 (T2V-TYPE2-PURPLE)</t>
  </si>
  <si>
    <t>A-R22-5413 (T2V-TYPE1-PURPLE)</t>
  </si>
  <si>
    <t>KITCHEN INTERNAL ELEVATION A- PURPLE- T2V</t>
  </si>
  <si>
    <t>A-R22-5413 (T2V-TYPE2-PURPLE)</t>
  </si>
  <si>
    <t>A-R22-5414 (T2V-TYPE1-PURPLE)</t>
  </si>
  <si>
    <t>KITCHEN ELEVATION B- PURPLE- T2V</t>
  </si>
  <si>
    <t>A-R22-5414 (T2V-TYPE2-PURPLE)</t>
  </si>
  <si>
    <t>A-R22-5415 (T2V-TYPE1-PURPLE)</t>
  </si>
  <si>
    <t>KITCHEN EXTERNAL ELEVATIONC- PURPLE - T2V</t>
  </si>
  <si>
    <t>A-R22-5415 (T2V-TYPE2-PURPLE)</t>
  </si>
  <si>
    <t>A-R22-5416 (T2V-TYPE1-PURPLE)</t>
  </si>
  <si>
    <t>KITCHEN INTERNAL ELEVATION C- PURPLE- T2V</t>
  </si>
  <si>
    <t>A-R22-5416 (T2V-TYPE2-PURPLE)</t>
  </si>
  <si>
    <t>A-R22-5419 (TXV-TYPE1-GREEN)</t>
  </si>
  <si>
    <t>A-R22-5419 (TXV-TYPE2-GREEN)</t>
  </si>
  <si>
    <t>A-R22-5420 (TXV-TYPE1-GREEN)</t>
  </si>
  <si>
    <t>A-R22-5420 (TXV-TYPE2-GREEN)</t>
  </si>
  <si>
    <t>A-R22-5421 (TXV-TYPE1-GREEN)</t>
  </si>
  <si>
    <t>KITCHEN ELEVATIONB- GREEN</t>
  </si>
  <si>
    <t>A-R22-5421 (TXV-TYPE2-GREEN)</t>
  </si>
  <si>
    <t>A-R22-5422 (TXV-TYPE1-BLUE)</t>
  </si>
  <si>
    <t>A-R22-5422 (TXV-TYPE2-BLUE)</t>
  </si>
  <si>
    <t>A-R22-5423 (TXV-TYPE1-BLUE)</t>
  </si>
  <si>
    <t>KITCHEN EXTERNAL ELEVATION A- BLUE</t>
  </si>
  <si>
    <t>A-R22-5423 (TXV-TYPE2-BLUE)</t>
  </si>
  <si>
    <t>A-R22-5424 (TXV-TYPE1-BLUE)</t>
  </si>
  <si>
    <t>KITCHEN INTERNAL ELEVATIONA- BLUE</t>
  </si>
  <si>
    <t>A-R22-5424 (TXV-TYPE2-BLUE)</t>
  </si>
  <si>
    <t>A-R22-5425 (TXV-TYPE1-BLUE)</t>
  </si>
  <si>
    <t>KITCHEN ELEVATIONB- BLUE</t>
  </si>
  <si>
    <t>A-R22-5425 (TXV-TYPE2-BLUE)</t>
  </si>
  <si>
    <t>A-R22-5426 (TXV-TYPE1-BLUE)</t>
  </si>
  <si>
    <t>KITCHEN EXTERNAL ELEVATION C- BLUE</t>
  </si>
  <si>
    <t>A-R22-5426 (TXV-TYPE2-BLUE)</t>
  </si>
  <si>
    <t>A-R22-5427 (TXV-TYPE1-BLUE)</t>
  </si>
  <si>
    <t>KITCHEN INTERNAL ELEVATIONC- BLUE</t>
  </si>
  <si>
    <t>A-R22-5427 (TXV-TYPE2-BLUE)</t>
  </si>
  <si>
    <t>A-R22-5428 (TXV-TYPE1-PURPLE)</t>
  </si>
  <si>
    <t>A-R22-5428 (TXV-TYPE2-PURPLE)</t>
  </si>
  <si>
    <t>A-R22-5429 (TXV-TYPE1-PURPLE)</t>
  </si>
  <si>
    <t>KITCHEN EXTERNAL ELEVATIONA - PURPLE</t>
  </si>
  <si>
    <t>A-R22-5429 (TXV-TYPE2-PURPLE)</t>
  </si>
  <si>
    <t>A-R22-5430 (TXV-TYPE1-PURPLE)</t>
  </si>
  <si>
    <t>KITCHEN INTERNAL ELEVATION A- PURPLE</t>
  </si>
  <si>
    <t>A-R22-5430 (TXV-TYPE2-PURPLE)</t>
  </si>
  <si>
    <t>A-R22-5431 (TXV-TYPE1-PURPLE)</t>
  </si>
  <si>
    <t>A-R22-5431 (TXV-TYPE2-PURPLE)</t>
  </si>
  <si>
    <t>A-R22-5432 (TXV-TYPE1-PURPLE)</t>
  </si>
  <si>
    <t>KITCHEN EXTERNAL ELEVATIONC - PURPLE</t>
  </si>
  <si>
    <t>A-R22-5432 (TXV-TYPE2-PURPLE)</t>
  </si>
  <si>
    <t>A-R22-5433 (TXV-TYPE1-PURPLE)</t>
  </si>
  <si>
    <t>KITCHEN INTERNAL ELEVATION C- PURPLE</t>
  </si>
  <si>
    <t>A-R22-5433 (TXV-TYPE2-PURPLE)</t>
  </si>
  <si>
    <t>A-R22-5434 (T2V-TYPE1-BLUE)</t>
  </si>
  <si>
    <t>A-R22-5434 (T2V-TYPE1-GREEN)</t>
  </si>
  <si>
    <t>A-R22-5434 (T2V-TYPE1-PURPLE)</t>
  </si>
  <si>
    <t>A-R22-5434 (T2V-TYPE2-BLUE)</t>
  </si>
  <si>
    <t>A-R22-5434 (T2V-TYPE2-GREEN)</t>
  </si>
  <si>
    <t>A-R22-5434 (T2V-TYPE2-PURPLE)</t>
  </si>
  <si>
    <t>A-R22-5434 (TXV-TYPE1-BLUE)</t>
  </si>
  <si>
    <t>A-R22-5434 (TXV-TYPE1-GREEN)</t>
  </si>
  <si>
    <t>A-R22-5434 (TXV-TYPE1-PURPLE)</t>
  </si>
  <si>
    <t>A-R22-5434 (TXV-TYPE2-BLUE)</t>
  </si>
  <si>
    <t>A-R22-5434 (TXV-TYPE2-GREEN)</t>
  </si>
  <si>
    <t>A-R22-5434 (TXV-TYPE2-PURPLE)</t>
  </si>
  <si>
    <t>A-R22-5501 (T2V-TYPE1-GREEN)</t>
  </si>
  <si>
    <t>BATHROOM1 PLAN- GREEN- T2V</t>
  </si>
  <si>
    <t>A-R22-5501 (T2V-TYPE2-GREEN)</t>
  </si>
  <si>
    <t>A-R22-5502 (T2V-TYPE1-GREEN)</t>
  </si>
  <si>
    <t>BATHROOM1 ELEVATIONS A,B- GREEN- T2V</t>
  </si>
  <si>
    <t>A-R22-5502 (T2V-TYPE2-GREEN)</t>
  </si>
  <si>
    <t>A-R22-5503 (T2V-TYPE1-GREEN)</t>
  </si>
  <si>
    <t>BATHROOM1 ELEVATIONS C,D- GREEN- T2V</t>
  </si>
  <si>
    <t>A-R22-5503 (T2V-TYPE2-GREEN)</t>
  </si>
  <si>
    <t>A-R22-5504</t>
  </si>
  <si>
    <t>BATHROOM2 PLAN- GREEN- T2V</t>
  </si>
  <si>
    <t>A-R22-5504 (T2V-TYPE2-GREEN)</t>
  </si>
  <si>
    <t>A-R22-5505 (T2V-TYPE1-GREEN)</t>
  </si>
  <si>
    <t>BATHROOM2 ELEVATIONS A,B- GREEN- T2V</t>
  </si>
  <si>
    <t>A-R22-5505 (T2V-TYPE2-GREEN)</t>
  </si>
  <si>
    <t>A-R22-5506 (T2V-TYPE1-GREEN)</t>
  </si>
  <si>
    <t>BATHROOM2 ELEVATIONS C,D- GREEN- T2V</t>
  </si>
  <si>
    <t>A-R22-5506 (T2V-TYPE2-GREEN)</t>
  </si>
  <si>
    <t>A-R22-5507 (T2V-TYPE1-GREEN)</t>
  </si>
  <si>
    <t>BATHROOM 3 PLAN - GREEN - T2V</t>
  </si>
  <si>
    <t>A-R22-5507 (T2V-TYPE2-GREEN)</t>
  </si>
  <si>
    <t>BATHROOM3 PLAN- GREEN- T2V</t>
  </si>
  <si>
    <t>A-R22-5508 (T2V-TYPE1-GREEN)</t>
  </si>
  <si>
    <t>BATHROOM3 ELEVATIONS A,B- GREEN- T2V</t>
  </si>
  <si>
    <t>A-R22-5508 (T2V-TYPE2-GREEN)</t>
  </si>
  <si>
    <t>A-R22-5509 (T2V-TYPE1-GREEN)</t>
  </si>
  <si>
    <t>BATHROOM3 ELEVATIONS C,D- GREEN- T2V</t>
  </si>
  <si>
    <t>A-R22-5509 (T2V-TYPE2-GREEN)</t>
  </si>
  <si>
    <t>A-R22-5510 (T2V-TYPE1-BLUE)</t>
  </si>
  <si>
    <t>BATHROOM1 PLAN- BLUE- T2V</t>
  </si>
  <si>
    <t>A-R22-5510 (T2V-TYPE2-BLUE)</t>
  </si>
  <si>
    <t>A-R22-5511 (T2V-TYPE1-BLUE)</t>
  </si>
  <si>
    <t>BATHROOM1 ELEVATIONS A,B- BLUE- T2V</t>
  </si>
  <si>
    <t>A-R22-5511 (T2V-TYPE2-BLUE)</t>
  </si>
  <si>
    <t>A-R22-5512 (T2V-TYPE1-BLUE)</t>
  </si>
  <si>
    <t>BATHROOM1 ELEVATIONS C,D- BLUE- T2V</t>
  </si>
  <si>
    <t>A-R22-5512 (T2V-TYPE2-BLUE)</t>
  </si>
  <si>
    <t>A-R22-5513 (T2V-TYPE1-BLUE)</t>
  </si>
  <si>
    <t>BATHROOM2 PLAN- BLUE- T2V</t>
  </si>
  <si>
    <t>A-R22-5513 (T2V-TYPE2-BLUE)</t>
  </si>
  <si>
    <t>A-R22-5514 (T2V-TYPE1-BLUE)</t>
  </si>
  <si>
    <t>BATHROOM2 ELEVATIONS A,B- BLUE- T2V</t>
  </si>
  <si>
    <t>A-R22-5514 (T2V-TYPE2-BLUE)</t>
  </si>
  <si>
    <t>A-R22-5515 (T2V-TYPE1-BLUE)</t>
  </si>
  <si>
    <t>BATHROOM2 ELEVATIONS C,D- BLUE- T2V</t>
  </si>
  <si>
    <t>A-R22-5515 (T2V-TYPE2-BLUE)</t>
  </si>
  <si>
    <t>A-R22-5516 (T2V-TYPE1-BLUE)</t>
  </si>
  <si>
    <t>BATHROOM3 PLAN- BLUE- T2V</t>
  </si>
  <si>
    <t>A-R22-5516 (T2V-TYPE2-BLUE)</t>
  </si>
  <si>
    <t>A-R22-5517 (T2V-TYPE1-BLUE)</t>
  </si>
  <si>
    <t>BATHROOM3 ELEVATIONS A,B- BLUE- T2V</t>
  </si>
  <si>
    <t>A-R22-5517 (T2V-TYPE2-BLUE)</t>
  </si>
  <si>
    <t>A-R22-5518 (T2V-TYPE1-BLUE)</t>
  </si>
  <si>
    <t>BATHROOM3 ELEVATIONS C,D- BLUE- T2V</t>
  </si>
  <si>
    <t>A-R22-5518 (T2V-TYPE2-BLUE)</t>
  </si>
  <si>
    <t>A-R22-5519 (T2V-TYPE1-PURPLE)</t>
  </si>
  <si>
    <t>BATHROOM1 PLAN- PURPLE- T2V</t>
  </si>
  <si>
    <t>A-R22-5519 (T2V-TYPE2-PURPLE)</t>
  </si>
  <si>
    <t>A-R22-5520 (T2V-TYPE1-PURPLE)</t>
  </si>
  <si>
    <t>BATHROOM 1 ELEVATIONS A,B- PURPLE- T2V</t>
  </si>
  <si>
    <t>A-R22-5520 (T2V-TYPE2-PURPLE)</t>
  </si>
  <si>
    <t>A-R22-5521 (T2V-TYPE1-PURPLE)</t>
  </si>
  <si>
    <t>BATHROOM1 ELEVATIONS C,D- PURPLE- T2V</t>
  </si>
  <si>
    <t>A-R22-5521 (T2V-TYPE2-PURPLE)</t>
  </si>
  <si>
    <t>A-R22-5522 (T2V-TYPE1-PURPLE)</t>
  </si>
  <si>
    <t>BATHROOM2 PLAN- PURPLE- T2V</t>
  </si>
  <si>
    <t>A-R22-5522 (T2V-TYPE2-PURPLE)</t>
  </si>
  <si>
    <t>A-R22-5523 (T2V-TYPE1-PURPLE)</t>
  </si>
  <si>
    <t>BATHROOM 2 ELEVATIONS A,B- PURPLE -T2V</t>
  </si>
  <si>
    <t>A-R22-5523 (T2V-TYPE2-PURPLE)</t>
  </si>
  <si>
    <t>A-R22-5524 (T2V-TYPE1-PURPLE)</t>
  </si>
  <si>
    <t>BATHROOM2 ELEVATIONS C,D- PURPLE- T2V</t>
  </si>
  <si>
    <t>A-R22-5524 (T2V-TYPE2-PURPLE)</t>
  </si>
  <si>
    <t>A-R22-5525 (T2V-TYPE1-PURPLE)</t>
  </si>
  <si>
    <t>BATHROOM3 PLAN- PURPLE- T2V</t>
  </si>
  <si>
    <t>A-R22-5525 (T2V-TYPE2-PURPLE)</t>
  </si>
  <si>
    <t>A-R22-5526 (T2V-TYPE1-PURPLE)</t>
  </si>
  <si>
    <t>BATHROOM 3 ELEVATIONS A,B- PURPLE- T2V</t>
  </si>
  <si>
    <t>A-R22-5526 (T2V-TYPE2-PURPLE)</t>
  </si>
  <si>
    <t>A-R22-5527 (T2V-TYPE1-PURPLE)</t>
  </si>
  <si>
    <t>BATHROOM3 ELEVATIONS C,D- PURPLE- T2V</t>
  </si>
  <si>
    <t>A-R22-5527 (T2V-TYPE2-PURPLE)</t>
  </si>
  <si>
    <t>A-R22-5528 (TXV-TYPE1-GREEN)</t>
  </si>
  <si>
    <t>BATHROOM1 PLAN- GREEN</t>
  </si>
  <si>
    <t>A-R22-5528 (TXV-TYPE2-GREEN)</t>
  </si>
  <si>
    <t>A-R22-5529 (TXV-TYPE1-GREEN)</t>
  </si>
  <si>
    <t>BATHROOM1 ELEVATIONS A,B- GREEN</t>
  </si>
  <si>
    <t>A-R22-5529 (TXV-TYPE2-GREEN)</t>
  </si>
  <si>
    <t>A-R22-5530 (TXV-TYPE1-GREEN)</t>
  </si>
  <si>
    <t>BATHROOM 1 ELEVATIONS C,D- GREEN</t>
  </si>
  <si>
    <t>A-R22-5530 (TXV-TYPE2-GREEN)</t>
  </si>
  <si>
    <t>A-R22-5531 (TXV-TYPE1-GREEN)</t>
  </si>
  <si>
    <t>BATHROOM2 PLAN- GREEN</t>
  </si>
  <si>
    <t>A-R22-5531 (TXV-TYPE2-GREEN)</t>
  </si>
  <si>
    <t>A-R22-5532 (TXV-TYPE1-GREEN)</t>
  </si>
  <si>
    <t>BATHROOM2 ELEVATIONS A,B- GREEN</t>
  </si>
  <si>
    <t>A-R22-5532 (TXV-TYPE2-GREEN)</t>
  </si>
  <si>
    <t>A-R22-5533 (TXV-TYPE1-GREEN)</t>
  </si>
  <si>
    <t>BATHROOM 2 ELEVATIONS C,D- GREEN</t>
  </si>
  <si>
    <t>A-R22-5533 (TXV-TYPE2-GREEN)</t>
  </si>
  <si>
    <t>A-R22-5534 (TXV-TYPE1-GREEN)</t>
  </si>
  <si>
    <t>BATHROOM3 PLAN- GREEN</t>
  </si>
  <si>
    <t>A-R22-5534 (TXV-TYPE2-GREEN)</t>
  </si>
  <si>
    <t>A-R22-5535 (TXV-TYPE1-GREEN)</t>
  </si>
  <si>
    <t>BATHROOM3 ELEVATIONS A,B- GREEN</t>
  </si>
  <si>
    <t>A-R22-5535 (TXV-TYPE2-GREEN)</t>
  </si>
  <si>
    <t>A-R22-5536 (TXV-TYPE1-GREEN)</t>
  </si>
  <si>
    <t>BATHROOM 3 ELEVATIONS C,D- GREEN</t>
  </si>
  <si>
    <t>A-R22-5536 (TXV-TYPE2-GREEN)</t>
  </si>
  <si>
    <t>A-R22-5537 (TXV-TYPE1-BLUE)</t>
  </si>
  <si>
    <t>BATHROOM1 PLAN- BLUE</t>
  </si>
  <si>
    <t>A-R22-5537 (TXV-TYPE2-BLUE)</t>
  </si>
  <si>
    <t>A-R22-5538 (TXV-TYPE1-BLUE)</t>
  </si>
  <si>
    <t>BATHROOM1 ELEVATIONS A,B- BLUE</t>
  </si>
  <si>
    <t>A-R22-5538 (TXV-TYPE2-BLUE)</t>
  </si>
  <si>
    <t>A-R22-5539 (TXV-TYPE1-BLUE)</t>
  </si>
  <si>
    <t>BATHROOM1 ELEVATIONS C,D- BLUE</t>
  </si>
  <si>
    <t>A-R22-5539 (TXV-TYPE2-BLUE)</t>
  </si>
  <si>
    <t>A-R22-5540 (TXV-TYPE1-BLUE)</t>
  </si>
  <si>
    <t>BATHROOM2 PLAN- BLUE</t>
  </si>
  <si>
    <t>A-R22-5540 (TXV-TYPE2-BLUE)</t>
  </si>
  <si>
    <t>A-R22-5541 (TXV-TYPE1-BLUE)</t>
  </si>
  <si>
    <t>BATHROOM2 ELEVATIONS A,B- BLUE</t>
  </si>
  <si>
    <t>A-R22-5541 (TXV-TYPE2-BLUE)</t>
  </si>
  <si>
    <t>A-R22-5542 (TXV-TYPE1-BLUE)</t>
  </si>
  <si>
    <t>BATHROOM2 ELEVATIONS C,D- BLUE</t>
  </si>
  <si>
    <t>A-R22-5542 (TXV-TYPE2-BLUE)</t>
  </si>
  <si>
    <t>A-R22-5543 (TXV-TYPE1-BLUE)</t>
  </si>
  <si>
    <t>BATHROOM3 PLAN- BLUE</t>
  </si>
  <si>
    <t>A-R22-5543 (TXV-TYPE2-BLUE)</t>
  </si>
  <si>
    <t>A-R22-5544 (TXV-TYPE1-BLUE)</t>
  </si>
  <si>
    <t>BATHROOM3 ELEVATIONS A,B- BLUE</t>
  </si>
  <si>
    <t>A-R22-5544 (TXV-TYPE2-BLUE)</t>
  </si>
  <si>
    <t>A-R22-5545 (TXV-TYPE1-BLUE)</t>
  </si>
  <si>
    <t>BATHROOM3 ELEVATIONS C,D- BLUE</t>
  </si>
  <si>
    <t>A-R22-5545 (TXV-TYPE2-BLUE)</t>
  </si>
  <si>
    <t>A-R22-5546 (TXV-TYPE1-PURPLE)</t>
  </si>
  <si>
    <t>BATHROOM1 PLAN- PURPLE</t>
  </si>
  <si>
    <t>A-R22-5546 (TXV-TYPE2-PURPLE)</t>
  </si>
  <si>
    <t>A-R22-5547 (TXV-TYPE1-PURPLE)</t>
  </si>
  <si>
    <t>BATHROOM1 ELEVATIONS A,B- PURPLE</t>
  </si>
  <si>
    <t>A-R22-5547 (TXV-TYPE2-PURPLE)</t>
  </si>
  <si>
    <t>A-R22-5548 (TXV-TYPE1-PURPLE)</t>
  </si>
  <si>
    <t>BATHROOM1 ELEVATIONS C,D- PURPLE</t>
  </si>
  <si>
    <t>A-R22-5548 (TXV-TYPE2-PURPLE)</t>
  </si>
  <si>
    <t>A-R22-5549 (TXV-TYPE1-PURPLE)</t>
  </si>
  <si>
    <t>BATHROOM2 PLAN- PURPLE</t>
  </si>
  <si>
    <t>A-R22-5549 (TXV-TYPE2-PURPLE)</t>
  </si>
  <si>
    <t>A-R22-5550 (TXV-TYPE1-PURPLE)</t>
  </si>
  <si>
    <t>BATHROOM2 ELEVATIONS A,B- PURPLE</t>
  </si>
  <si>
    <t>A-R22-5550 (TXV-TYPE2-PURPLE)</t>
  </si>
  <si>
    <t>A-R22-5551 (TXV-TYPE1-PURPLE)</t>
  </si>
  <si>
    <t>BATHROOM2 ELEVATIONS C,D- PURPLE</t>
  </si>
  <si>
    <t>A-R22-5551 (TXV-TYPE2-PURPLE)</t>
  </si>
  <si>
    <t>A-R22-5552 (TXV-TYPE1-PURPLE)</t>
  </si>
  <si>
    <t>BATHROOM3 PLAN- PURPLE</t>
  </si>
  <si>
    <t>A-R22-5552 (TXV-TYPE2-PURPLE)</t>
  </si>
  <si>
    <t>A-R22-5553 (TXV-TYPE1-PURPLE)</t>
  </si>
  <si>
    <t>BATHROOM3 ELEVATIONS A,B- PURPLE</t>
  </si>
  <si>
    <t>A-R22-5553 (TXV-TYPE2-PURPLE)</t>
  </si>
  <si>
    <t>A-R22-5554 (TXV-TYPE1-PURPLE)</t>
  </si>
  <si>
    <t>BATHROOM3 ELEVATIONS C,D- PURPLE</t>
  </si>
  <si>
    <t>A-R22-5554 (TXV-TYPE2-PURPLE)</t>
  </si>
  <si>
    <t>A-R22-7421 (T2V-TYPE1-BLUE)</t>
  </si>
  <si>
    <t>DW SCHEDULE</t>
  </si>
  <si>
    <t>A-R22-7421 (T2V-TYPE1-GREEN)</t>
  </si>
  <si>
    <t>A-R22-7421 (T2V-TYPE1-PURPLE)</t>
  </si>
  <si>
    <t>A-R22-7421 (T2V-TYPE2-BLUE)</t>
  </si>
  <si>
    <t>A-R22-7421 (T2V-TYPE2-GREEN)</t>
  </si>
  <si>
    <t>A-R22-7421 (T2V-TYPE2-PURPLE)</t>
  </si>
  <si>
    <t>A-R22-7421 (TXV-TYPE1-BLUE)</t>
  </si>
  <si>
    <t>A-R22-7421 (TXV-TYPE1-GREEN)</t>
  </si>
  <si>
    <t>A-R22-7421 (TXV-TYPE1-PURPLE)</t>
  </si>
  <si>
    <t>A-R22-7421 (TXV-TYPE2-BLUE)</t>
  </si>
  <si>
    <t>A-R22-7421 (TXV-TYPE2-GREEN)</t>
  </si>
  <si>
    <t>A-R22-7421 (TXV-TYPE2-PURPLE)</t>
  </si>
  <si>
    <t>A-R22-7431 (T2V-TYPE1-GREEN)</t>
  </si>
  <si>
    <t>FINISHES SCHEDULE- GREEN</t>
  </si>
  <si>
    <t>A-R22-7431 (T2V-TYPE2-GREEN)</t>
  </si>
  <si>
    <t>A-R22-7431 (TXV-TYPE1-GREEN)</t>
  </si>
  <si>
    <t>A-R22-7431 (TXV-TYPE2-GREEN)</t>
  </si>
  <si>
    <t>A-R22-7432 (T2V-TYPE1-BLUE)</t>
  </si>
  <si>
    <t>FINISHES SCHEDULE- BLUE</t>
  </si>
  <si>
    <t>A-R22-7432 (T2V-TYPE2-BLUE)</t>
  </si>
  <si>
    <t>A-R22-7432 (TXV-TYPE1-BLUE)</t>
  </si>
  <si>
    <t>A-R22-7432 (TXV-TYPE2-BLUE)</t>
  </si>
  <si>
    <t>A-R22-7433 (T2V-TYPE1-PURPLE)</t>
  </si>
  <si>
    <t>FINISHES SCHEDULE- PURPLE</t>
  </si>
  <si>
    <t>A-R22-7433 (T2V-TYPE2-PURPLE)</t>
  </si>
  <si>
    <t>A-R22-7433 (TXV-TYPE1-PURPLE)</t>
  </si>
  <si>
    <t>A-R22-7433 (TXV-TYPE2-PURPLE)</t>
  </si>
  <si>
    <t>A-R22-7451 (T2V-TYPE1-BLUE)</t>
  </si>
  <si>
    <t>CABINETRY SCHEDULE 01 - BLUE</t>
  </si>
  <si>
    <t>A-R22-7451 (T2V-TYPE2-BLUE)</t>
  </si>
  <si>
    <t>A-R22-7451 (TXV-TYPE1-BLUE)</t>
  </si>
  <si>
    <t>A-R22-7451 (TXV-TYPE2-BLUE)</t>
  </si>
  <si>
    <t>A-R22-7452 (T2V-TYPE1-BLUE)</t>
  </si>
  <si>
    <t>CABINETRY SCHEDULE 02 - BLUE</t>
  </si>
  <si>
    <t>A-R22-7452 (T2V-TYPE2-BLUE)</t>
  </si>
  <si>
    <t>A-R22-7452 (TXV-TYPE1-BLUE)</t>
  </si>
  <si>
    <t>A-R22-7452 (TXV-TYPE2-BLUE)</t>
  </si>
  <si>
    <t>A-R22-7453 (T2V-TYPE1-BLUE)</t>
  </si>
  <si>
    <t>CABINETRY SCHEDULE 03 - BLUE</t>
  </si>
  <si>
    <t>A-R22-7453 (T2V-TYPE2-BLUE)</t>
  </si>
  <si>
    <t>A-R22-7453 (TXV-TYPE1-BLUE)</t>
  </si>
  <si>
    <t>A-R22-7453 (TXV-TYPE2-BLUE)</t>
  </si>
  <si>
    <t>A-R22-7454 (T2V-TYPE1-BLUE)</t>
  </si>
  <si>
    <t>FURNITURE SCHEDULE 01 - BLUE</t>
  </si>
  <si>
    <t>A-R22-7454 (T2V-TYPE2-BLUE)</t>
  </si>
  <si>
    <t>A-R22-7454 (TXV-TYPE1-BLUE)</t>
  </si>
  <si>
    <t>A-R22-7454 (TXV-TYPE2-BLUE)</t>
  </si>
  <si>
    <t>A-R22-7455 (T2V-TYPE1-PURPLE)</t>
  </si>
  <si>
    <t>CABINETRY SCHEDULE 01 - PURPLE</t>
  </si>
  <si>
    <t>A-R22-7455 (T2V-TYPE2-PURPLE)</t>
  </si>
  <si>
    <t>A-R22-7455 (TXV-TYPE1-PURPLE)</t>
  </si>
  <si>
    <t>A-R22-7455 (TXV-TYPE2-PURPLE)</t>
  </si>
  <si>
    <t>A-R22-7456 (T2V-TYPE1-PURPLE)</t>
  </si>
  <si>
    <t>CABINETRY SCHEDULE 02 - PURPLE</t>
  </si>
  <si>
    <t>A-R22-7456 (T2V-TYPE2-PURPLE)</t>
  </si>
  <si>
    <t>A-R22-7456 (TXV-TYPE1-PURPLE)</t>
  </si>
  <si>
    <t>A-R22-7456 (TXV-TYPE2-PURPLE)</t>
  </si>
  <si>
    <t>A-R22-7457 (T2V-TYPE1-PURPLE)</t>
  </si>
  <si>
    <t>CABINETRY SCHEDULE 03 - PURPLE</t>
  </si>
  <si>
    <t>A-R22-7457 (T2V-TYPE2-PURPLE)</t>
  </si>
  <si>
    <t>A-R22-7457 (TXV-TYPE1-PURPLE)</t>
  </si>
  <si>
    <t>A-R22-7457 (TXV-TYPE2-PURPLE)</t>
  </si>
  <si>
    <t>A-R22-7458 (T2V-TYPE1-PURPLE)</t>
  </si>
  <si>
    <t>FURNITURE SCHEDULE 01 - PURPLE</t>
  </si>
  <si>
    <t>A-R22-7458 (T2V-TYPE2-PURPLE)</t>
  </si>
  <si>
    <t>A-R22-7458 (TXV-TYPE1-PURPLE)</t>
  </si>
  <si>
    <t>A-R22-7458 (TXV-TYPE2-PURPLE)</t>
  </si>
  <si>
    <t>A-R22-7459 (T2V-TYPE1-PURPLE)</t>
  </si>
  <si>
    <t>FURNITURE SCHEDULE 02 - PURPLE</t>
  </si>
  <si>
    <t>A-R22-7459 (T2V-TYPE2-PURPLE)</t>
  </si>
  <si>
    <t>A-R22-7459 (TXV-TYPE1-PURPLE)</t>
  </si>
  <si>
    <t>A-R22-7459 (TXV-TYPE2-PURPLE)</t>
  </si>
  <si>
    <t>A-R22-7460 (T2V-TYPE1-PURPLE)</t>
  </si>
  <si>
    <t>FURNITURE SCHEDULE 03 - PURPLE</t>
  </si>
  <si>
    <t>A-R22-7460 (T2V-TYPE2-PURPLE)</t>
  </si>
  <si>
    <t>A-R22-7460 (TXV-TYPE1-PURPLE)</t>
  </si>
  <si>
    <t>A-R22-7460 (TXV-TYPE2-PURPLE)</t>
  </si>
  <si>
    <t>A-R22-7461</t>
  </si>
  <si>
    <t>KITCHEN CABINETRY SCHEDULE 01 - BLUE</t>
  </si>
  <si>
    <t>A-R22-7461 (T2V-TYPE2-BLUE)</t>
  </si>
  <si>
    <t>A-R22-7461 (TXV-TYPE1-BLUE)</t>
  </si>
  <si>
    <t>A-R22-7461 (TXV-TYPE2-BLUE)</t>
  </si>
  <si>
    <t>A-R22-7462 (T2V-TYPE1-BLUE)</t>
  </si>
  <si>
    <t>KITCHEN CABINETRY SCHEDULE 02 - BLUE</t>
  </si>
  <si>
    <t>A-R22-7462 (T2V-TYPE2-BLUE)</t>
  </si>
  <si>
    <t>A-R22-7462 (TXV-TYPE1-BLUE)</t>
  </si>
  <si>
    <t>A-R22-7462 (TXV-TYPE2-BLUE)</t>
  </si>
  <si>
    <t>A-R22-7463 (T2V-TYPE1-BLUE)</t>
  </si>
  <si>
    <t>KITCHEN EQUIPMENT SCHEDULE- BLUE</t>
  </si>
  <si>
    <t>A-R22-7463 (T2V-TYPE2-BLUE)</t>
  </si>
  <si>
    <t>A-R22-7463 (TXV-TYPE1-BLUE)</t>
  </si>
  <si>
    <t>A-R22-7463 (TXV-TYPE2-BLUE)</t>
  </si>
  <si>
    <t>A-R22-7464 (T2V-TYPE1-PURPLE)</t>
  </si>
  <si>
    <t>KITCHEN CABINETRY SCHEDULE 01 - PURPLE</t>
  </si>
  <si>
    <t>A-R22-7464 (T2V-TYPE2-PURPLE)</t>
  </si>
  <si>
    <t>A-R22-7464 (TXV-TYPE1-PURPLE)</t>
  </si>
  <si>
    <t>A-R22-7464 (TXV-TYPE2-PURPLE)</t>
  </si>
  <si>
    <t>A-R22-7465 (T2V-TYPE1-PURPLE)</t>
  </si>
  <si>
    <t>KITCHEN CABINETRY SCHEDULE 02 - PURPLE</t>
  </si>
  <si>
    <t>A-R22-7465 (T2V-TYPE2-PURPLE)</t>
  </si>
  <si>
    <t>A-R22-7465 (TXV-TYPE1-PURPLE)</t>
  </si>
  <si>
    <t>A-R22-7465 (TXV-TYPE2-PURPLE)</t>
  </si>
  <si>
    <t>A-R22-7466 (T2V-TYPE1-PURPLE)</t>
  </si>
  <si>
    <t>KITCHEN EQUIPMENT SCHEDULE - PURPLE</t>
  </si>
  <si>
    <t>A-R22-7466 (T2V-TYPE2-PURPLE)</t>
  </si>
  <si>
    <t>A-R22-7466 (TXV-TYPE1-PURPLE)</t>
  </si>
  <si>
    <t>A-R22-7466 (TXV-TYPE2-PURPLE)</t>
  </si>
  <si>
    <t>A-R22-7471 (T2V-TYPE1-GREEN)</t>
  </si>
  <si>
    <t>ELECTRICAL SCHEDULE 01- GREEN</t>
  </si>
  <si>
    <t>A-R22-7471 (T2V-TYPE2-GREEN)</t>
  </si>
  <si>
    <t>A-R22-7471 (TXV-TYPE1-GREEN)</t>
  </si>
  <si>
    <t>A-R22-7471 (TXV-TYPE2-GREEN)</t>
  </si>
  <si>
    <t>A-R22-7472-A (TXV-TYPE1-GREEN)</t>
  </si>
  <si>
    <t>ELECTRICAL SCHEDULE 02- GREEN- TXV</t>
  </si>
  <si>
    <t>A-R22-7472-A (TXV-TYPE2-GREEN)</t>
  </si>
  <si>
    <t>A-R22-7472-B (T2V-TYPE1-GREEN)</t>
  </si>
  <si>
    <t>ELECTRICAL SCHEDULE 02- GREEN- T2V</t>
  </si>
  <si>
    <t>A-R22-7472-B (T2V-TYPE2-GREEN)</t>
  </si>
  <si>
    <t>A-R22-7473 (T2V-TYPE1-GREEN)</t>
  </si>
  <si>
    <t>ELECTRICAL SCHEDULE 03- GREEN</t>
  </si>
  <si>
    <t>A-R22-7473 (T2V-TYPE2-GREEN)</t>
  </si>
  <si>
    <t>A-R22-7473 (TXV-TYPE1-GREEN)</t>
  </si>
  <si>
    <t>A-R22-7473 (TXV-TYPE2-GREEN)</t>
  </si>
  <si>
    <t>A-R22-7474 (T2V-TYPE1-BLUE)</t>
  </si>
  <si>
    <t>ELECTRICAL SCHEDULE 01- BLUE</t>
  </si>
  <si>
    <t>A-R22-7474 (T2V-TYPE2-BLUE)</t>
  </si>
  <si>
    <t>A-R22-7474 (TXV-TYPE1-BLUE)</t>
  </si>
  <si>
    <t>A-R22-7474 (TXV-TYPE2-BLUE)</t>
  </si>
  <si>
    <t>A-R22-7475-A (TXV-TYPE1-BLUE)</t>
  </si>
  <si>
    <t>ELECTRICAL SCHEDULE 02- BLUE- TXV</t>
  </si>
  <si>
    <t>A-R22-7475-A (TXV-TYPE2-BLUE)</t>
  </si>
  <si>
    <t>A-R22-7475-B (T2V-TYPE1-BLUE)</t>
  </si>
  <si>
    <t>ELECTRICAL SCHEDULE 02- BLUE- T2V</t>
  </si>
  <si>
    <t>A-R22-7475-B (T2V-TYPE2-BLUE)</t>
  </si>
  <si>
    <t>A-R22-7476 (T2V-TYPE1-BLUE)</t>
  </si>
  <si>
    <t>ELECTRICAL SCHEDULE 03- BLUE</t>
  </si>
  <si>
    <t>A-R22-7476 (T2V-TYPE2-BLUE)</t>
  </si>
  <si>
    <t>A-R22-7476 (TXV-TYPE1-BLUE)</t>
  </si>
  <si>
    <t>A-R22-7476 (TXV-TYPE2-BLUE)</t>
  </si>
  <si>
    <t>A-R22-7477 (T2V-TYPE1-PURPLE)</t>
  </si>
  <si>
    <t>ELECTRICAL SCHEDULE 01- PURPLE</t>
  </si>
  <si>
    <t>A-R22-7477 (T2V-TYPE2-PURPLE)</t>
  </si>
  <si>
    <t>A-R22-7477 (TXV-TYPE1-PURPLE)</t>
  </si>
  <si>
    <t>A-R22-7477 (TXV-TYPE2-PURPLE)</t>
  </si>
  <si>
    <t>A-R22-7478-A (TXV-TYPE1-PURPLE)</t>
  </si>
  <si>
    <t>ELECTRICAL SCHEDULE 02- PURPLE- TXV</t>
  </si>
  <si>
    <t>A-R22-7478-A (TXV-TYPE2-PURPLE)</t>
  </si>
  <si>
    <t>A-R22-7478-B (T2V-TYPE1-PURPLE)</t>
  </si>
  <si>
    <t>ELECTRICAL SCHEDULE 02- PURPLE- T2V</t>
  </si>
  <si>
    <t>A-R22-7478-B (T2V-TYPE2-PURPLE)</t>
  </si>
  <si>
    <t>ELECTRICAL SCHEDULE 02- PURPLE</t>
  </si>
  <si>
    <t>A-R22-7479 (T2V-TYPE1-PURPLE)</t>
  </si>
  <si>
    <t>ELECTRICAL SCHEDULE 03- PURPLE</t>
  </si>
  <si>
    <t>A-R22-7479 (T2V-TYPE2-PURPLE)</t>
  </si>
  <si>
    <t>A-R22-7479 (TXV-TYPE1-PURPLE)</t>
  </si>
  <si>
    <t>A-R22-7479 (TXV-TYPE2-PURPLE)</t>
  </si>
  <si>
    <t>A-R22-7480 (T2V-TYPE1-PURPLE)</t>
  </si>
  <si>
    <t>ELECTRICAL SCHEDULE 04- PURPLE</t>
  </si>
  <si>
    <t>A-R22-7480 (T2V-TYPE2-PURPLE)</t>
  </si>
  <si>
    <t>ELECTRICAL SCHEDULE 04-
PURPLE</t>
  </si>
  <si>
    <t>A-R22-7480 (TXV-TYPE1-PURPLE)</t>
  </si>
  <si>
    <t>A-R22-7480 (TXV-TYPE2-PURPLE)</t>
  </si>
  <si>
    <t>A-R22-7481 (T2V-TYPE1-GREEN)</t>
  </si>
  <si>
    <t>PLUMBING AND SANITARY SCHEDULE 01 - GREEN</t>
  </si>
  <si>
    <t>A-R22-7481 (T2V-TYPE2-GREEN)</t>
  </si>
  <si>
    <t>A-R22-7481 (TXV-TYPE1-GREEN)</t>
  </si>
  <si>
    <t>A-R22-7481 (TXV-TYPE2-GREEN)</t>
  </si>
  <si>
    <t>A-R22-7482-A (TXV-TYPE1-GREEN)</t>
  </si>
  <si>
    <t>PLUMBING AND SANITARY SCHEDULE 02 - GREEN- TXV</t>
  </si>
  <si>
    <t>A-R22-7482-A (TXV-TYPE2-GREEN)</t>
  </si>
  <si>
    <t>A-R22-7482-B (T2V-TYPE1-GREEN)</t>
  </si>
  <si>
    <t>PLUMBING AND SANITARY SCHEDULE 02 - GREEN- T2V</t>
  </si>
  <si>
    <t>A-R22-7482-B (T2V-TYPE2-GREEN)</t>
  </si>
  <si>
    <t>A-R22-7483-A (TXV-TYPE1-GREEN)</t>
  </si>
  <si>
    <t>PLUMBING AND SANITARY SCHEDULE 03 - GREEN- TXV</t>
  </si>
  <si>
    <t>A-R22-7483-A (TXV-TYPE2-GREEN)</t>
  </si>
  <si>
    <t>A-R22-7483-B (T2V-TYPE1-GREEN)</t>
  </si>
  <si>
    <t>PLUMBING AND SANITARY SCHEDULE 03 - GREEN- T2V</t>
  </si>
  <si>
    <t>A-R22-7483-B (T2V-TYPE2-GREEN)</t>
  </si>
  <si>
    <t>A-R22-7484 (T2V-TYPE1-GREEN)</t>
  </si>
  <si>
    <t>PLUMBING AND SANITARY SCHEDULE 04 - GREEN</t>
  </si>
  <si>
    <t>A-R22-7484 (T2V-TYPE2-GREEN)</t>
  </si>
  <si>
    <t>A-R22-7484 (TXV-TYPE1-GREEN)</t>
  </si>
  <si>
    <t>A-R22-7484 (TXV-TYPE2-GREEN)</t>
  </si>
  <si>
    <t>A-R22-7485 (T2V-TYPE1-BLUE)</t>
  </si>
  <si>
    <t>PLUMBING AND SANITARY SCHEDULE 01 - BLUE</t>
  </si>
  <si>
    <t>A-R22-7485 (T2V-TYPE2-BLUE)</t>
  </si>
  <si>
    <t>A-R22-7485 (TXV-TYPE1-BLUE)</t>
  </si>
  <si>
    <t>A-R22-7485 (TXV-TYPE2-BLUE)</t>
  </si>
  <si>
    <t>A-R22-7486 (T2V-TYPE1-BLUE)</t>
  </si>
  <si>
    <t>PLUMBING AND SANITARY SCHEDULE 02 - BLUE</t>
  </si>
  <si>
    <t>A-R22-7486 (T2V-TYPE2-BLUE)</t>
  </si>
  <si>
    <t>A-R22-7486 (TXV-TYPE1-BLUE)</t>
  </si>
  <si>
    <t>A-R22-7486 (TXV-TYPE2-BLUE)</t>
  </si>
  <si>
    <t>A-R22-7487-A (TXV-TYPE1-BLUE)</t>
  </si>
  <si>
    <t>PLUMBING AND SANITARY SCHEDULE 03 - BLUE- TXV</t>
  </si>
  <si>
    <t>A-R22-7487-A (TXV-TYPE2-BLUE)</t>
  </si>
  <si>
    <t>A-R22-7487-B (T2V-TYPE1-BLUE)</t>
  </si>
  <si>
    <t>PLUMBING AND SANITARY SCHEDULE 03 - BLUE- T2V</t>
  </si>
  <si>
    <t>A-R22-7487-B (T2V-TYPE2-BLUE)</t>
  </si>
  <si>
    <t>A-R22-7488 (T2V-TYPE1-BLUE)</t>
  </si>
  <si>
    <t>PLUMBING AND SANITARY SCHEDULE 04 - BLUE</t>
  </si>
  <si>
    <t>A-R22-7488 (T2V-TYPE2-BLUE)</t>
  </si>
  <si>
    <t>A-R22-7488 (TXV-TYPE1-BLUE)</t>
  </si>
  <si>
    <t>A-R22-7488 (TXV-TYPE2-BLUE)</t>
  </si>
  <si>
    <t>A-R22-7489-A (TXV-TYPE1-BLUE)</t>
  </si>
  <si>
    <t>PLUMBING AND SANITARY SCHEDULE 05 - BLUE- TXV</t>
  </si>
  <si>
    <t>A-R22-7489-A (TXV-TYPE2-BLUE)</t>
  </si>
  <si>
    <t>A-R22-7489-B (T2V-TYPE1-BLUE)</t>
  </si>
  <si>
    <t>PLUMBING AND SANITARY SCHEDULE 05 - BLUE- T2V</t>
  </si>
  <si>
    <t>A-R22-7489-B (T2V-TYPE2-BLUE)</t>
  </si>
  <si>
    <t>A-R22-7490 (T2V-TYPE1-BLUE)</t>
  </si>
  <si>
    <t>PLUMBING AND SANITARY SCHEDULE 06 - BLUE</t>
  </si>
  <si>
    <t>A-R22-7490 (T2V-TYPE2-BLUE)</t>
  </si>
  <si>
    <t>A-R22-7490 (TXV-TYPE1-BLUE)</t>
  </si>
  <si>
    <t>A-R22-7490 (TXV-TYPE2-BLUE)</t>
  </si>
  <si>
    <t>A-R22-7491 (T2V-TYPE1-PURPLE)</t>
  </si>
  <si>
    <t>PLUMBING AND SANITARY SCHEDULE 01 - PURPLE</t>
  </si>
  <si>
    <t>A-R22-7491 (T2V-TYPE2-PURPLE)</t>
  </si>
  <si>
    <t>A-R22-7491 (TXV-TYPE1-PURPLE)</t>
  </si>
  <si>
    <t>A-R22-7491 (TXV-TYPE2-PURPLE)</t>
  </si>
  <si>
    <t>A-R22-7492 (T2V-TYPE1-PURPLE)</t>
  </si>
  <si>
    <t>PLUMBING AND SANITARY SCHEDULE 02 - PURPLE</t>
  </si>
  <si>
    <t>A-R22-7492 (T2V-TYPE2-PURPLE)</t>
  </si>
  <si>
    <t>A-R22-7492 (TXV-TYPE1-PURPLE)</t>
  </si>
  <si>
    <t>A-R22-7492 (TXV-TYPE2-PURPLE)</t>
  </si>
  <si>
    <t>A-R22-7493-A (TXV-TYPE1-PURPLE)</t>
  </si>
  <si>
    <t>PLUMBING AND SANITARY SCHEDULE 03 - PURPLE- TXV</t>
  </si>
  <si>
    <t>A-R22-7493-A (TXV-TYPE2-PURPLE)</t>
  </si>
  <si>
    <t>A-R22-7493-B (T2V-TYPE1-PURPLE)</t>
  </si>
  <si>
    <t>PLUMBING AND SANITARY SCHEDULE 03 - PURPLE- T2V</t>
  </si>
  <si>
    <t>A-R22-7493-B (T2V-TYPE2-PURPLE)</t>
  </si>
  <si>
    <t>A-R22-7494 (T2V-TYPE1-PURPLE)</t>
  </si>
  <si>
    <t>PLUMBING AND SANITARY SCHEDULE 04 - PURPLE</t>
  </si>
  <si>
    <t>A-R22-7494 (T2V-TYPE2-PURPLE)</t>
  </si>
  <si>
    <t>A-R22-7494 (TXV-TYPE1-PURPLE)</t>
  </si>
  <si>
    <t>A-R22-7494 (TXV-TYPE2-PURPLE)</t>
  </si>
  <si>
    <t>A-R22-7495-A (TXV-TYPE1-PURPLE)</t>
  </si>
  <si>
    <t>PLUMBING AND SANITARY SCHEDULE 05 - PURPLE- TXV</t>
  </si>
  <si>
    <t>A-R22-7495-A (TXV-TYPE2-PURPLE)</t>
  </si>
  <si>
    <t>A-R22-7495-B (T2V-TYPE1-PURPLE)</t>
  </si>
  <si>
    <t>PLUMBING AND SANITARY SCHEDULE 05 - PURPLE- T2V</t>
  </si>
  <si>
    <t>A-R22-7495-B (T2V-TYPE2-PURPLE)</t>
  </si>
  <si>
    <t>A-R22-7496 (T2V-TYPE1-PURPLE)</t>
  </si>
  <si>
    <t>PLUMBING AND SANITARY SCHEDULE 06 - PURPLE</t>
  </si>
  <si>
    <t>A-R22-7496 (T2V-TYPE2-PURPLE)</t>
  </si>
  <si>
    <t>A-R22-7496 (TXV-TYPE1-PURPLE)</t>
  </si>
  <si>
    <t>A-R22-7496 (TXV-TYPE2-PURPLE)</t>
  </si>
  <si>
    <t>A-R22-7497 (T2V-TYPE1-BLUE)</t>
  </si>
  <si>
    <t>PLUMBING AND SANITARY SCHEDULE -KITD, UTIL</t>
  </si>
  <si>
    <t>A-R22-7497 (T2V-TYPE1-GREEN)</t>
  </si>
  <si>
    <t>A-R22-7497 (T2V-TYPE1-PURPLE)</t>
  </si>
  <si>
    <t>A-R22-7497 (T2V-TYPE2-BLUE)</t>
  </si>
  <si>
    <t>A-R22-7497 (T2V-TYPE2-GREEN)</t>
  </si>
  <si>
    <t>A-R22-7497 (T2V-TYPE2-PURPLE)</t>
  </si>
  <si>
    <t>A-R22-7497 (TXV-TYPE1-BLUE)</t>
  </si>
  <si>
    <t>A-R22-7497 (TXV-TYPE1-GREEN)</t>
  </si>
  <si>
    <t>A-R22-7497 (TXV-TYPE1-PURPLE)</t>
  </si>
  <si>
    <t>A-R22-7497 (TXV-TYPE2-BLUE)</t>
  </si>
  <si>
    <t>A-R22-7497 (TXV-TYPE2-GREEN)</t>
  </si>
  <si>
    <t>A-R22-7497 (TXV-TYPE2-PURPLE)</t>
  </si>
  <si>
    <t>A-R22-7511 (T2V-TYPE1-GREEN)</t>
  </si>
  <si>
    <t>GENERAL SELECTIONS- GREEN</t>
  </si>
  <si>
    <t>A-R22-7511 (T2V-TYPE2-GREEN)</t>
  </si>
  <si>
    <t>A-R22-7511 (TXV-TYPE1-GREEN)</t>
  </si>
  <si>
    <t>A-R22-7511 (TXV-TYPE2-GREEN)</t>
  </si>
  <si>
    <t>A-R22-7512</t>
  </si>
  <si>
    <t>GENERAL SELECTIONS- BLUE</t>
  </si>
  <si>
    <t>A-R22-7512 (T2V-TYPE2-BLUE)</t>
  </si>
  <si>
    <t>A-R22-7512 (TXV-TYPE1-BLUE)</t>
  </si>
  <si>
    <t>A-R22-7512 (TXV-TYPE2-BLUE)</t>
  </si>
  <si>
    <t>A-R22-7513 (T2V-TYPE1-PURPLE)</t>
  </si>
  <si>
    <t>GENERAL SELECTIONS- PURPLE</t>
  </si>
  <si>
    <t>A-R22-7513 (T2V-TYPE2-PURPLE)</t>
  </si>
  <si>
    <t>A-R22-7513 (TXV-TYPE1-PURPLE)</t>
  </si>
  <si>
    <t>A-R22-7513 (TXV-TYPE2-PURPLE)</t>
  </si>
  <si>
    <t>A-R22-9001</t>
  </si>
  <si>
    <t>SYMBOLS AND ABBREVATIONS</t>
  </si>
  <si>
    <t>A-R22-9001 (T2V-TYPE2-BLUE)</t>
  </si>
  <si>
    <t>A-R22-9001 (T2V-TYPE2-GREEN)</t>
  </si>
  <si>
    <t>A-R22-9001 (T2V-TYPE2-PURPLE)</t>
  </si>
  <si>
    <t>A-R22-9001 (TXV-TYPE1-BLUE)</t>
  </si>
  <si>
    <t>A-R22-9001 (TXV-TYPE1-GREEN)</t>
  </si>
  <si>
    <t>A-R22-9001 (TXV-TYPE1-PURPLE)</t>
  </si>
  <si>
    <t>A-R22-9001 (TXV-TYPE2-BLUE)</t>
  </si>
  <si>
    <t>A-R22-9001 (TXV-TYPE2-GREEN)</t>
  </si>
  <si>
    <t>A-R22-9001 (TXV-TYPE2-PURPLE)</t>
  </si>
  <si>
    <t>CO-T02V-4411</t>
  </si>
  <si>
    <t>R22-T02 Lvl. 06 - CEILING LEVEL COORDINATED LAYOUT</t>
  </si>
  <si>
    <t>CO-TXV-1001</t>
  </si>
  <si>
    <t>CO ORDINATED CIELING LAYOUT</t>
  </si>
  <si>
    <t>CO-TXV-1002</t>
  </si>
  <si>
    <t>ENLARGED SHAFT DETAILS</t>
  </si>
  <si>
    <t>CO-TXV-4101</t>
  </si>
  <si>
    <t>BTR-03 CO ORDINATED ENLARGED TOILET DETAILS</t>
  </si>
  <si>
    <t>CO-TXV-4102</t>
  </si>
  <si>
    <t>BTER-03 COORDINATED ENLARGED TOILET DETAILS WALL ELEVATIONS</t>
  </si>
  <si>
    <t>FPS-T02V-4361</t>
  </si>
  <si>
    <t>R22-FIRE FIGHTING LAYOUT</t>
  </si>
  <si>
    <t>HA-R22-1001</t>
  </si>
  <si>
    <t>HA-R22-1002</t>
  </si>
  <si>
    <t>HVAC-T02V-1014</t>
  </si>
  <si>
    <t>T02-SSL 6-R22-HVAC VRV LAYOUT</t>
  </si>
  <si>
    <t>PHE-T02V-4301</t>
  </si>
  <si>
    <t>R22-T02 Lvl. 06 - ENLARGED TOILET DETAIL MASTER BATHROOM DRAINAGE LAYOUT</t>
  </si>
  <si>
    <t>PHE-T02V-4302</t>
  </si>
  <si>
    <t>R22-T02 Lvl. 06 - ENLARGED TOILET MASTER BATHROOM WATER SUPPLY LAYOUT</t>
  </si>
  <si>
    <t>PHE-T02V-4303</t>
  </si>
  <si>
    <t>R22-T02 Lvl. 06 - ENLARGED TOILET DETAIL MASTER BATHROOM WALL ELEVATION</t>
  </si>
  <si>
    <t>PHE-T02V-4304</t>
  </si>
  <si>
    <t>PHE-T02V-4311</t>
  </si>
  <si>
    <t>R22-T02 Lvl. 06 - ENLARGED CHILDREN BATHROOM PLUMBING DETAILS</t>
  </si>
  <si>
    <t>PHE-T02V-4312</t>
  </si>
  <si>
    <t>R22-T02 Lvl. 06 - ENLARGED TOILET DETAIL WALL ELEVATION CHILDREN BATHROOM</t>
  </si>
  <si>
    <t>PHE-T02V-4313</t>
  </si>
  <si>
    <t>PHE-T02V-4321</t>
  </si>
  <si>
    <t>R22-T02 Lvl. 06 - ENLARGED TOILET DETAILS GUEST BATHROOM</t>
  </si>
  <si>
    <t>PHE-T02V-4322</t>
  </si>
  <si>
    <t>R22-T02 Lvl. 06 - ENLARGED TOILET DETAILS WALL ELEVATIONS GUEST BATHROOM</t>
  </si>
  <si>
    <t>PHE-T02V-4323</t>
  </si>
  <si>
    <t>R22-T02 Lvl. 06 - ENLARGED TOILET DETAIL GUEST BATHROOM WALL ELEVATION</t>
  </si>
  <si>
    <t>PHE-T02V-4324</t>
  </si>
  <si>
    <t>PHE-T02V-4331</t>
  </si>
  <si>
    <t>R22-T02 Lvl. 06 - ENLARGED KITCHEN PLUMBING LAYOUT</t>
  </si>
  <si>
    <t>PHE-T02V-4332</t>
  </si>
  <si>
    <t>R22-T02 Lvl. 06 - ENLARGED KITCHEN DETAIL WALL ELEVATION</t>
  </si>
  <si>
    <t>PHE-T02V-4333</t>
  </si>
  <si>
    <t>PHE-T02V-4341</t>
  </si>
  <si>
    <t>R22-T02 Lvl. 06 - ENLARGED UTILITY PLUMBING DETAIL</t>
  </si>
  <si>
    <t>PHE-T02V-4342</t>
  </si>
  <si>
    <t>R22-T02 Lvl. 06 - ENLARGED UTILITY PLUMBING DETAIL WALL ELEVATION</t>
  </si>
  <si>
    <t>PHE-T02V-4361</t>
  </si>
  <si>
    <t>LEVEL-06 R22 - DRAINAGE LAYOUT</t>
  </si>
  <si>
    <t>PHE-T02V-4362</t>
  </si>
  <si>
    <t>LEVEL-06 R22 - CEILING LEVEL WATER SUPPLY LAYOUT</t>
  </si>
  <si>
    <t>PHE-TXV-1001</t>
  </si>
  <si>
    <t>PLUMBING LAYOUT</t>
  </si>
  <si>
    <t>PHE-TXV-1002</t>
  </si>
  <si>
    <t>DRAINAGE LAYOUT</t>
  </si>
  <si>
    <t>PHE-TXV-1003</t>
  </si>
  <si>
    <t>WATER SUPPLY LAYOUT</t>
  </si>
  <si>
    <t>PHE-TXV-1004</t>
  </si>
  <si>
    <t>HOT WATER SUPPLY LOOP LAYOUT</t>
  </si>
  <si>
    <t>PHE-TXV-4101</t>
  </si>
  <si>
    <t>BTR-01 ENLARGED TOILET DETAILS</t>
  </si>
  <si>
    <t>PHE-TXV-4102</t>
  </si>
  <si>
    <t>ENLARGED TOILET DETAILS WALL ELEVATION</t>
  </si>
  <si>
    <t>PHE-TXV-4111</t>
  </si>
  <si>
    <t>BTR-02 ENLARGED TOILET DETAILS</t>
  </si>
  <si>
    <t>PHE-TXV-4112</t>
  </si>
  <si>
    <t>BTR-02 ENLARGED TOILET DETAILS WALL ELEVATION</t>
  </si>
  <si>
    <t>PHE-TXV-4121</t>
  </si>
  <si>
    <t>BTR-03 ENLARGED TOILET DETAILS</t>
  </si>
  <si>
    <t>PHE-TXV-4122</t>
  </si>
  <si>
    <t>BTR-03 ENLARGED TOILET DETAILS WALL ELEVATION</t>
  </si>
  <si>
    <t>PHE-TXV-4131</t>
  </si>
  <si>
    <t>UTILITY ENLARGED TOILET DETAILS</t>
  </si>
  <si>
    <t>PHE-TXV-4133</t>
  </si>
  <si>
    <t>UTILITY ENLARGED TOILET DETAIL WALL ELEVATION</t>
  </si>
  <si>
    <t>PHE-TXV-4141</t>
  </si>
  <si>
    <t>KITCHEN ENLARGED TOILET DETIALS</t>
  </si>
  <si>
    <t>PHE-TXV-4142</t>
  </si>
  <si>
    <t>KITCHEN ENLERGED TOILET DETAIL WALL ELEVATION</t>
  </si>
  <si>
    <t>PHE-TXV-4151</t>
  </si>
  <si>
    <t>SERVICE PLATFORM ENLARGED TOIELT DETAILS</t>
  </si>
  <si>
    <t>PHE-TXV-4152</t>
  </si>
  <si>
    <t>SERVICE PLATFORM ENLARGED TOILET DETAILS WALL ELEVATION</t>
  </si>
  <si>
    <t>LS-0059-R22-TXV-A-G-LS-CD-DP-01</t>
  </si>
  <si>
    <t>R22-TXV-A-GREEN SPEC LEVELS AND DRAINAGE PLAN</t>
  </si>
  <si>
    <t>LS-0059-R22-TXV-A-G-LS-CD-MP-IR-01</t>
  </si>
  <si>
    <t>R22-TXV-A-GREEN SPEC MARKING AND IRRIGATION PLAN</t>
  </si>
  <si>
    <t>LS-0059-R22-TXV-A-G-LS-CD-PL-LP-01</t>
  </si>
  <si>
    <t>R22-TXV-A-GREEN SPEC PLANTING, LIGHTING &amp; MARKING PLAN</t>
  </si>
  <si>
    <t>LS-0059-R22-TXV-A-G-LS-CD-SEC-01</t>
  </si>
  <si>
    <t>R22-TXV-A-GREEN SPEC SECTIONAL DETAILS</t>
  </si>
  <si>
    <t>LS-0059-R22-TXV-A-P-LS-CD-DR-01</t>
  </si>
  <si>
    <t>R22-TXV-A-PURPLE SPEC SUB-SURFACE DRAINAGE PLAN AND DECK SUB-SURFACE DRAINAGE</t>
  </si>
  <si>
    <t>LS-0059-R22-TXV-A-P-LS-CD-MR-IR-01</t>
  </si>
  <si>
    <t>R22-TXV-A-PURPLE SPEC LIGHTING, DECK MARKING AND IRRIGATION PLAN</t>
  </si>
  <si>
    <t>LS-0059-R22-TXV-A-P-LS-CD-PL-LP-01</t>
  </si>
  <si>
    <t>R22-TXV-A-PURPLE SPEC PLANTING, MATERIAL and LIGHTING PLAN</t>
  </si>
  <si>
    <t>LS-0059-R22-TXV-A-P-LS-CD-SEC-01</t>
  </si>
  <si>
    <t>R22-TXV-A-PURPLE OFCL SECTIONAL DETAILS</t>
  </si>
  <si>
    <t>LS-0059-R22-TXV-B-B-LS-CD-DP-01</t>
  </si>
  <si>
    <t>R22-TXV-B-BLUE SPEC LEVELS AND DRAINAGE PLAN</t>
  </si>
  <si>
    <t>LS-0059-R22-TXV-B-B-LS-CD-MP-01</t>
  </si>
  <si>
    <t>R22-TXV-B-BLUE SPEC PLANTING, LIGHTING &amp; MARKING PLAN|</t>
  </si>
  <si>
    <t>LS-0059-R22-TXV-B-B-LS-CD-MP-IR-01</t>
  </si>
  <si>
    <t>R22-TXV-B-BLUE SPEC MARKING AND IRRIAGATION PLAN</t>
  </si>
  <si>
    <t>LS-0059-R22-TXV-B-B-LS-CD-SEC-01</t>
  </si>
  <si>
    <t>R22-TXV-B-BLUE SPEC SECTIONAL DETAILS</t>
  </si>
  <si>
    <t>LS-0059-R22-TXV-B-G-LS-CD-DP-01</t>
  </si>
  <si>
    <t>R22-TXV-B-GREEN SPEC LEVELS AND DRAINAGE PLAN</t>
  </si>
  <si>
    <t>LS-0059-R22-TXV-B-G-LS-CD-MP-IR-01</t>
  </si>
  <si>
    <t>R22-TXV-B-GREEN SPEC MARKING AND IRRIGATION PLAN</t>
  </si>
  <si>
    <t>LS-0059-R22-TXV-B-G-LS-CD-PL-LP-01</t>
  </si>
  <si>
    <t>R22-TXV-B-GREEN SPEC PLANTING, LIGHTING &amp; MARKING PLAN</t>
  </si>
  <si>
    <t>LS-0059-R22-TXV-B-G-LS-CD-SEC-01</t>
  </si>
  <si>
    <t>R22-TXV-B-GREEN SPEC SECTIONAL DETAILS</t>
  </si>
  <si>
    <t>LS-0059-R22-TXV-B-P-LS-CD-DR-01</t>
  </si>
  <si>
    <t>R22-TXV-B-PURPLE SPEC SUB-SURFACE DRAINAGE PLAN AND DECK SUB-SURFACE DRAINAGE</t>
  </si>
  <si>
    <t>LS-0059-R22-TXV-B-P-LS-CD-MR-IR-01</t>
  </si>
  <si>
    <t>R22-TXV-B-PURPLE SPEC LIGHTING, DECK MARKING AND IRRIGATION PLAN</t>
  </si>
  <si>
    <t>LS-0059-R22-TXV-B-P-LS-CD-PL-LP-01</t>
  </si>
  <si>
    <t>R22-TXV-B-PURPLE SPEC PLANTING, MATERIAL and LIGHTING PLAN</t>
  </si>
  <si>
    <t>LS-0059-R22-TXV-B-P-LS-CD-SEC-01</t>
  </si>
  <si>
    <t>R22-TXV-B-PURPLE SPEC SECTIONAL DETAILS</t>
  </si>
  <si>
    <t>DEFAULT UNIT - C20 P</t>
  </si>
  <si>
    <t>ELE-C20P-1271</t>
  </si>
  <si>
    <t>LOWER LEVEL PENTHOUSE ELECTRICAL LAYOUT</t>
  </si>
  <si>
    <t>C20P</t>
  </si>
  <si>
    <t>ELE-C20P-1272</t>
  </si>
  <si>
    <t>LOWER LEVEL DB SCHEMATIC DETAILS</t>
  </si>
  <si>
    <t>ELE-C20P-1273</t>
  </si>
  <si>
    <t>LOWER &amp; UPPER LEVEL TV-TEL LAYOUT WITH SCHEME</t>
  </si>
  <si>
    <t>ELE-C20P-1281</t>
  </si>
  <si>
    <t>UPPER LEVEL PENTHOUSE ELECTRICAL LAYOUT</t>
  </si>
  <si>
    <t>HA-C20p-1001</t>
  </si>
  <si>
    <t>Home Automation Lower Layout</t>
  </si>
  <si>
    <t>HA-C20p-1002</t>
  </si>
  <si>
    <t>Home Automation Upper Layout</t>
  </si>
  <si>
    <t>HA-C20p-1003</t>
  </si>
  <si>
    <t>Mood Lighting Lower Layout</t>
  </si>
  <si>
    <t>HA-C20p-1004</t>
  </si>
  <si>
    <t>Mood Lighting Upper Layout</t>
  </si>
  <si>
    <t>HVAC-C20P-1271</t>
  </si>
  <si>
    <t>C20 PENT HOUSE UPPER LEVEL HVAC LAYOUT</t>
  </si>
  <si>
    <t>HVAC-C20P-1272</t>
  </si>
  <si>
    <t>C20 PENT HOUSE LOWER LEVEL HVAC LAYOUT</t>
  </si>
  <si>
    <t>I-C20P-AR020104</t>
  </si>
  <si>
    <t>RCC WAIST SLAB TYPE 1</t>
  </si>
  <si>
    <t>I-C20P-AR021002</t>
  </si>
  <si>
    <t>RCC FOLDED SLAB TYPE -1</t>
  </si>
  <si>
    <t>I-C20P-AR021005</t>
  </si>
  <si>
    <t>I-C20P-AR110300</t>
  </si>
  <si>
    <t>SKIRTING &amp; DADO DETAILS</t>
  </si>
  <si>
    <t>I-C20P-AR110303</t>
  </si>
  <si>
    <t>I-C20P-AR110306</t>
  </si>
  <si>
    <t>I-C20P-AR110308</t>
  </si>
  <si>
    <t>I-C20P-AR110320</t>
  </si>
  <si>
    <t>I-C20P-AR110328</t>
  </si>
  <si>
    <t>I-C20P-AR110331</t>
  </si>
  <si>
    <t>I-C20P-AR170205</t>
  </si>
  <si>
    <t>FALSE CEILING / DRY WALL PARTITIONS</t>
  </si>
  <si>
    <t>I-C20P-AR170207</t>
  </si>
  <si>
    <t>I-C20P-AR170300</t>
  </si>
  <si>
    <t>I-C20P-AR170313</t>
  </si>
  <si>
    <t>I-C20P-AR170402</t>
  </si>
  <si>
    <t>I-C20P-AR170403</t>
  </si>
  <si>
    <t>I-C20P-AR170500</t>
  </si>
  <si>
    <t>FALSE CEILING l DRY WALL PARTITIONS</t>
  </si>
  <si>
    <t>I-C20P-AR170501</t>
  </si>
  <si>
    <t>I-C20P-AR170502</t>
  </si>
  <si>
    <t>I-C20P-AR170503</t>
  </si>
  <si>
    <t>I-C20P-AR170504</t>
  </si>
  <si>
    <t>I-C20P-AR171219</t>
  </si>
  <si>
    <t>I-C20P-BLUE-0001</t>
  </si>
  <si>
    <t>I-C20P-BLUE-1101</t>
  </si>
  <si>
    <t>LOWER LEVEL MASONRY AND FLOORING</t>
  </si>
  <si>
    <t>I-C20P-BLUE-1102</t>
  </si>
  <si>
    <t>UPPER LEVEL MASONRY AND FLOORING</t>
  </si>
  <si>
    <t>I-C20P-BLUE-1201</t>
  </si>
  <si>
    <t>LOWER LEVEL FURNITURE LAYOUT</t>
  </si>
  <si>
    <t>I-C20P-BLUE-1202</t>
  </si>
  <si>
    <t>UPPER LEVEL FURNITURE LAYOUT</t>
  </si>
  <si>
    <t>I-C20P-BLUE-1301</t>
  </si>
  <si>
    <t>LOWER LEVEL ELECTRICAL LAYOUT</t>
  </si>
  <si>
    <t>I-C20P-BLUE-1302</t>
  </si>
  <si>
    <t>UPPER LEVEL ELECTRICAL LAYOUT</t>
  </si>
  <si>
    <t>I-C20P-BLUE-1401</t>
  </si>
  <si>
    <t>LOWER LEVEL REFLECTED CEILING PLAN</t>
  </si>
  <si>
    <t>I-C20P-BLUE-1402</t>
  </si>
  <si>
    <t>UPPER LEVEL REFLECTED CEILING PLAN</t>
  </si>
  <si>
    <t>I-C20P-BLUE-1501</t>
  </si>
  <si>
    <t>LOWER LEVEL VRV LAYOUT</t>
  </si>
  <si>
    <t>I-C20P-BLUE-1502</t>
  </si>
  <si>
    <t>UPPER LEVEL VRV LAYOUT</t>
  </si>
  <si>
    <t>I-C20P-BLUE-1711</t>
  </si>
  <si>
    <t>BALCONY DETAILS</t>
  </si>
  <si>
    <t>I-C20P-BLUE-1712</t>
  </si>
  <si>
    <t>I-C20P-BLUE-1713</t>
  </si>
  <si>
    <t>I-C20P-BLUE-4601</t>
  </si>
  <si>
    <t>STAIRCASE DETAIL</t>
  </si>
  <si>
    <t>I-C20P-BLUE-4602</t>
  </si>
  <si>
    <t>I-C20P-BLUE-4603</t>
  </si>
  <si>
    <t>I-C20P-BLUE-4604</t>
  </si>
  <si>
    <t>I-C20P-BLUE-4701</t>
  </si>
  <si>
    <t>DOOR DETAILS - D1-1.1</t>
  </si>
  <si>
    <t>I-C20P-BLUE-4702</t>
  </si>
  <si>
    <t>DOOR DETAILS - D2-1.1</t>
  </si>
  <si>
    <t>I-C20P-BLUE-4703</t>
  </si>
  <si>
    <t>DOOR DETAILS - D2-3.1</t>
  </si>
  <si>
    <t>I-C20P-BLUE-4704</t>
  </si>
  <si>
    <t>DOOR DETAILS - D3-1.1</t>
  </si>
  <si>
    <t>I-C20P-BLUE-4705</t>
  </si>
  <si>
    <t>DOOR DETAILS - D3-2.3</t>
  </si>
  <si>
    <t>I-C20P-BLUE-4706</t>
  </si>
  <si>
    <t>DOOR DETAILS - D4-3.3</t>
  </si>
  <si>
    <t>I-C20P-BLUE-4711</t>
  </si>
  <si>
    <t>DOOR WINDOW DETAIL - DW2</t>
  </si>
  <si>
    <t>I-C20P-BLUE-4712</t>
  </si>
  <si>
    <t>DOOR WINDOW DETAIL - DW3</t>
  </si>
  <si>
    <t>I-C20P-BLUE-4713</t>
  </si>
  <si>
    <t>DOOR WINDOW DETAIL - DW4</t>
  </si>
  <si>
    <t>I-C20P-BLUE-4721</t>
  </si>
  <si>
    <t>WINDOW DETAILS - W2-6E</t>
  </si>
  <si>
    <t>I-C20P-BLUE-4722</t>
  </si>
  <si>
    <t>WINDOW DETAILS - W2-6N</t>
  </si>
  <si>
    <t>I-C20P-BLUE-4723</t>
  </si>
  <si>
    <t>WINDOW DETAIL - W8</t>
  </si>
  <si>
    <t>I-C20P-BLUE-4724</t>
  </si>
  <si>
    <t>WINDOW DETAIL - W10</t>
  </si>
  <si>
    <t>I-C20P-BLUE-4725</t>
  </si>
  <si>
    <t>WINDOW DETAIL - W11</t>
  </si>
  <si>
    <t>I-C20P-BLUE-4731</t>
  </si>
  <si>
    <t>FRENCH WINDOW - FW1</t>
  </si>
  <si>
    <t>I-C20P-BLUE-4732</t>
  </si>
  <si>
    <t>FRENCH WINDOW - FW2</t>
  </si>
  <si>
    <t>I-C20P-BLUE-4733</t>
  </si>
  <si>
    <t>FRENCH WINDOW - FW3 (1/2)</t>
  </si>
  <si>
    <t>I-C20P-BLUE-4734</t>
  </si>
  <si>
    <t>FRENCH WINDOW - FW3 (2/2)</t>
  </si>
  <si>
    <t>I-C20P-BLUE-5401</t>
  </si>
  <si>
    <t>I-C20P-BLUE-5402</t>
  </si>
  <si>
    <t>KITCHEN CEILING PLAN - CHIMNEY ROUTING</t>
  </si>
  <si>
    <t>I-C20P-BLUE-5403</t>
  </si>
  <si>
    <t>KITCHEN ELEVATION 1 - EXTERNAL</t>
  </si>
  <si>
    <t>I-C20P-BLUE-5404</t>
  </si>
  <si>
    <t>KITCHEN ELEVATION 1 - INTERNAL</t>
  </si>
  <si>
    <t>I-C20P-BLUE-5405</t>
  </si>
  <si>
    <t>KITCHEN ELEVATION 2 - EXTERNAL</t>
  </si>
  <si>
    <t>I-C20P-BLUE-5406</t>
  </si>
  <si>
    <t>KITCHEN ELEVATION 2 - INTERNAL</t>
  </si>
  <si>
    <t>I-C20P-BLUE-5407</t>
  </si>
  <si>
    <t>KITCHEN ELEVATION 3 - EXTERNAL</t>
  </si>
  <si>
    <t>I-C20P-BLUE-5408</t>
  </si>
  <si>
    <t>KITCHEN ELEVATION 3 - INTERNAL</t>
  </si>
  <si>
    <t>I-C20P-BLUE-5409</t>
  </si>
  <si>
    <t>KITCHEN ELEVATION 4 - EXTERNAL</t>
  </si>
  <si>
    <t>I-C20P-BLUE-5410</t>
  </si>
  <si>
    <t>KITCHEN ELEVATION 4 - INTERNAL</t>
  </si>
  <si>
    <t>I-C20P-BLUE-5431</t>
  </si>
  <si>
    <t>I-C20P-BLUE-5432</t>
  </si>
  <si>
    <t>UTILITY RCP - GAS METER ROUTING</t>
  </si>
  <si>
    <t>I-C20P-BLUE-5433</t>
  </si>
  <si>
    <t>I-C20P-BLUE-5434</t>
  </si>
  <si>
    <t>I-C20P-BLUE-5435</t>
  </si>
  <si>
    <t>LAUNDRY PLAN</t>
  </si>
  <si>
    <t>I-C20P-BLUE-5436</t>
  </si>
  <si>
    <t>LAUNDRY ELEVATION</t>
  </si>
  <si>
    <t>I-C20P-BLUE-5437</t>
  </si>
  <si>
    <t>I-C20P-BLUE-5438</t>
  </si>
  <si>
    <t>I-C20P-BLUE-5501</t>
  </si>
  <si>
    <t>I-C20P-BLUE-5502</t>
  </si>
  <si>
    <t>BATHROOM 01 RCP</t>
  </si>
  <si>
    <t>I-C20P-BLUE-5503</t>
  </si>
  <si>
    <t>BATHROOM 01 - ELEVATION a</t>
  </si>
  <si>
    <t>I-C20P-BLUE-5504</t>
  </si>
  <si>
    <t>BATHROOM 01 - ELEVATION b</t>
  </si>
  <si>
    <t>I-C20P-BLUE-5505</t>
  </si>
  <si>
    <t>BATHROOM 01 - ELEVATION c</t>
  </si>
  <si>
    <t>I-C20P-BLUE-5506</t>
  </si>
  <si>
    <t>BATHROOM 01 - ELEVATION d</t>
  </si>
  <si>
    <t>I-C20P-BLUE-5511</t>
  </si>
  <si>
    <t>I-C20P-BLUE-5512</t>
  </si>
  <si>
    <t>BATHROOM 02 RCP</t>
  </si>
  <si>
    <t>I-C20P-BLUE-5513</t>
  </si>
  <si>
    <t>BATHROOM 02 - ELEVATION a</t>
  </si>
  <si>
    <t>I-C20P-BLUE-5514</t>
  </si>
  <si>
    <t>BATHROOM 02 - ELEVATION b</t>
  </si>
  <si>
    <t>I-C20P-BLUE-5515</t>
  </si>
  <si>
    <t>BATHROOM 02 - ELEVATION c</t>
  </si>
  <si>
    <t>I-C20P-BLUE-5516</t>
  </si>
  <si>
    <t>BATHROOM 02 - ELEVATION d</t>
  </si>
  <si>
    <t>I-C20P-BLUE-5521</t>
  </si>
  <si>
    <t>I-C20P-BLUE-5522</t>
  </si>
  <si>
    <t>BATHROOM 03 RCP</t>
  </si>
  <si>
    <t>I-C20P-BLUE-5523</t>
  </si>
  <si>
    <t>BATHROOM 03 - ELEVATION a</t>
  </si>
  <si>
    <t>I-C20P-BLUE-5524</t>
  </si>
  <si>
    <t>BATHROOM 03 - ELEVATION b</t>
  </si>
  <si>
    <t>I-C20P-BLUE-5525</t>
  </si>
  <si>
    <t>BATHROOM 03 - ELEVATION c</t>
  </si>
  <si>
    <t>I-C20P-BLUE-5526</t>
  </si>
  <si>
    <t>BATHROOM 03 - ELEVATION d</t>
  </si>
  <si>
    <t>I-C20P-BLUE-5531</t>
  </si>
  <si>
    <t>I-C20P-BLUE-5532</t>
  </si>
  <si>
    <t>BATHROOM 04 RCP</t>
  </si>
  <si>
    <t>I-C20P-BLUE-5533</t>
  </si>
  <si>
    <t>BATHROOM 04 - ELEVATION a</t>
  </si>
  <si>
    <t>I-C20P-BLUE-5534</t>
  </si>
  <si>
    <t>BATHROOM 04 - ELEVATION b</t>
  </si>
  <si>
    <t>I-C20P-BLUE-5535</t>
  </si>
  <si>
    <t>BATHROOM 04 - ELEVATION c</t>
  </si>
  <si>
    <t>I-C20P-BLUE-5536</t>
  </si>
  <si>
    <t>BATHROOM 04 - ELEVATION d</t>
  </si>
  <si>
    <t>I-C20P-BLUE-5541</t>
  </si>
  <si>
    <t>BATHROOM 05 PLAN</t>
  </si>
  <si>
    <t>I-C20P-BLUE-5542</t>
  </si>
  <si>
    <t>BATHROOM 05 RCP</t>
  </si>
  <si>
    <t>I-C20P-BLUE-5543</t>
  </si>
  <si>
    <t>BATHROOM 05 - ELEVATION a</t>
  </si>
  <si>
    <t>I-C20P-BLUE-5544</t>
  </si>
  <si>
    <t>BATHROOM 05 - ELEVATION b</t>
  </si>
  <si>
    <t>I-C20P-BLUE-5545</t>
  </si>
  <si>
    <t>BATHROOM 05 - ELEVATION c</t>
  </si>
  <si>
    <t>I-C20P-BLUE-5546</t>
  </si>
  <si>
    <t>BATHROOM 05 - ELEVATION d</t>
  </si>
  <si>
    <t>I-C20P-BLUE-5551</t>
  </si>
  <si>
    <t>BATHROOM 06 PLAN</t>
  </si>
  <si>
    <t>I-C20P-BLUE-5552</t>
  </si>
  <si>
    <t>BATHROOM 06 RCP</t>
  </si>
  <si>
    <t>I-C20P-BLUE-5553</t>
  </si>
  <si>
    <t>BATHROOM 06 - ELEVATION a</t>
  </si>
  <si>
    <t>I-C20P-BLUE-5554</t>
  </si>
  <si>
    <t>BATHROOM 06 - ELEVATION b</t>
  </si>
  <si>
    <t>I-C20P-BLUE-5555</t>
  </si>
  <si>
    <t>BATHROOM 06 - ELEVATION c</t>
  </si>
  <si>
    <t>I-C20P-BLUE-5556</t>
  </si>
  <si>
    <t>BATHROOM 06 - ELEVATION d</t>
  </si>
  <si>
    <t>I-C20P-BLUE-7421</t>
  </si>
  <si>
    <t>I-C20P-BLUE-7471</t>
  </si>
  <si>
    <t>I-C20P-BLUE-7472</t>
  </si>
  <si>
    <t>I-C20P-BLUE-7473</t>
  </si>
  <si>
    <t>I-C20P-BLUE-7474</t>
  </si>
  <si>
    <t>I-C20P-BLUE-7601</t>
  </si>
  <si>
    <t>I-C20P-BLUE-7602</t>
  </si>
  <si>
    <t>PLUMBING &amp; SANITARY FIXTURE SPECIFICATIONS</t>
  </si>
  <si>
    <t>I-C20P-BLUE-7603</t>
  </si>
  <si>
    <t>I-C20P-BLUE-7604</t>
  </si>
  <si>
    <t>I-C20P-BLUE-7605</t>
  </si>
  <si>
    <t>I-C20P-BLUE-7606</t>
  </si>
  <si>
    <t>I-C20P-BLUE-7607</t>
  </si>
  <si>
    <t>I-C20P-BLUE-7608</t>
  </si>
  <si>
    <t>I-C20P-BLUE-7609</t>
  </si>
  <si>
    <t>I-C20P-BLUE-7610</t>
  </si>
  <si>
    <t>I-C20P-BLUE-7611</t>
  </si>
  <si>
    <t>I-C20P-BLUE-7615</t>
  </si>
  <si>
    <t>MACHINE CRAFT KITCHEN SPECIFICATIONS</t>
  </si>
  <si>
    <t>I-C20P-BLUE-7616</t>
  </si>
  <si>
    <t>I-C20P-BLUE-7617</t>
  </si>
  <si>
    <t>I-C20P-BLUE-7620</t>
  </si>
  <si>
    <t>CABINETRY SPECIFICATIONS</t>
  </si>
  <si>
    <t>I-C20P-BLUE-7621</t>
  </si>
  <si>
    <t>I-C20P-BLUE-7622</t>
  </si>
  <si>
    <t>I-C20P-BLUE-7623</t>
  </si>
  <si>
    <t>I-C20P-BLUE-7624</t>
  </si>
  <si>
    <t>I-C20P-BLUE-7631</t>
  </si>
  <si>
    <t>FLOORING, DADO &amp; COUNTER SPECIFICATIONS</t>
  </si>
  <si>
    <t>I-C20P-BLUE-7632</t>
  </si>
  <si>
    <t>I-C20P-BLUE-7701</t>
  </si>
  <si>
    <t>I-C20P-BLUE-9001</t>
  </si>
  <si>
    <t>STANDARD DETAILS</t>
  </si>
  <si>
    <t>I-C20P-BLUE-9002</t>
  </si>
  <si>
    <t>I-C20P-GREEN-0001</t>
  </si>
  <si>
    <t>I-C20P-GREEN-1101</t>
  </si>
  <si>
    <t>I-C20P-GREEN-1102</t>
  </si>
  <si>
    <t>I-C20P-GREEN-1201</t>
  </si>
  <si>
    <t>I-C20P-GREEN-1202</t>
  </si>
  <si>
    <t>I-C20P-GREEN-1301</t>
  </si>
  <si>
    <t>I-C20P-GREEN-1302</t>
  </si>
  <si>
    <t>I-C20P-GREEN-1401</t>
  </si>
  <si>
    <t>I-C20P-GREEN-1402</t>
  </si>
  <si>
    <t>I-C20P-GREEN-1711</t>
  </si>
  <si>
    <t>I-C20P-GREEN-1712</t>
  </si>
  <si>
    <t>I-C20P-GREEN-1713</t>
  </si>
  <si>
    <t>I-C20P-GREEN-4601</t>
  </si>
  <si>
    <t>I-C20P-GREEN-4602</t>
  </si>
  <si>
    <t>I-C20P-GREEN-4603</t>
  </si>
  <si>
    <t>I-C20P-GREEN-4604</t>
  </si>
  <si>
    <t>I-C20P-GREEN-4701</t>
  </si>
  <si>
    <t>I-C20P-GREEN-4702</t>
  </si>
  <si>
    <t>I-C20P-GREEN-4703</t>
  </si>
  <si>
    <t>I-C20P-GREEN-4704</t>
  </si>
  <si>
    <t>I-C20P-GREEN-4705</t>
  </si>
  <si>
    <t>I-C20P-GREEN-4706</t>
  </si>
  <si>
    <t>I-C20P-GREEN-4711</t>
  </si>
  <si>
    <t>I-C20P-GREEN-4712</t>
  </si>
  <si>
    <t>I-C20P-GREEN-4713</t>
  </si>
  <si>
    <t>I-C20P-GREEN-4721</t>
  </si>
  <si>
    <t>I-C20P-GREEN-4722</t>
  </si>
  <si>
    <t>I-C20P-GREEN-4723</t>
  </si>
  <si>
    <t>I-C20P-GREEN-4724</t>
  </si>
  <si>
    <t>I-C20P-GREEN-4725</t>
  </si>
  <si>
    <t>I-C20P-GREEN-4731</t>
  </si>
  <si>
    <t>I-C20P-GREEN-4732</t>
  </si>
  <si>
    <t>I-C20P-GREEN-4733</t>
  </si>
  <si>
    <t>I-C20P-GREEN-4734</t>
  </si>
  <si>
    <t>I-C20P-GREEN-5401</t>
  </si>
  <si>
    <t>I-C20P-GREEN-5402</t>
  </si>
  <si>
    <t>I-C20P-GREEN-5403</t>
  </si>
  <si>
    <t>I-C20P-GREEN-5404</t>
  </si>
  <si>
    <t>I-C20P-GREEN-5405</t>
  </si>
  <si>
    <t>I-C20P-GREEN-5406</t>
  </si>
  <si>
    <t>I-C20P-GREEN-5407</t>
  </si>
  <si>
    <t>I-C20P-GREEN-5408</t>
  </si>
  <si>
    <t>I-C20P-GREEN-5409</t>
  </si>
  <si>
    <t>I-C20P-GREEN-5410</t>
  </si>
  <si>
    <t>I-C20P-GREEN-5431</t>
  </si>
  <si>
    <t>I-C20P-GREEN-5432</t>
  </si>
  <si>
    <t>I-C20P-GREEN-5433</t>
  </si>
  <si>
    <t>I-C20P-GREEN-5434</t>
  </si>
  <si>
    <t>I-C20P-GREEN-5435</t>
  </si>
  <si>
    <t>I-C20P-GREEN-5436</t>
  </si>
  <si>
    <t>I-C20P-GREEN-5437</t>
  </si>
  <si>
    <t>I-C20P-GREEN-5438</t>
  </si>
  <si>
    <t>I-C20P-GREEN-5501</t>
  </si>
  <si>
    <t>I-C20P-GREEN-5502</t>
  </si>
  <si>
    <t>I-C20P-GREEN-5503</t>
  </si>
  <si>
    <t>I-C20P-GREEN-5504</t>
  </si>
  <si>
    <t>I-C20P-GREEN-5505</t>
  </si>
  <si>
    <t>I-C20P-GREEN-5506</t>
  </si>
  <si>
    <t>I-C20P-GREEN-5511</t>
  </si>
  <si>
    <t>I-C20P-GREEN-5512</t>
  </si>
  <si>
    <t>I-C20P-GREEN-5513</t>
  </si>
  <si>
    <t>I-C20P-GREEN-5514</t>
  </si>
  <si>
    <t>I-C20P-GREEN-5515</t>
  </si>
  <si>
    <t>I-C20P-GREEN-5516</t>
  </si>
  <si>
    <t>I-C20P-GREEN-5521</t>
  </si>
  <si>
    <t>I-C20P-GREEN-5522</t>
  </si>
  <si>
    <t>I-C20P-GREEN-5523</t>
  </si>
  <si>
    <t>I-C20P-GREEN-5524</t>
  </si>
  <si>
    <t>I-C20P-GREEN-5525</t>
  </si>
  <si>
    <t>I-C20P-GREEN-5526</t>
  </si>
  <si>
    <t>I-C20P-GREEN-5531</t>
  </si>
  <si>
    <t>I-C20P-GREEN-5532</t>
  </si>
  <si>
    <t>I-C20P-GREEN-5533</t>
  </si>
  <si>
    <t>I-C20P-GREEN-5534</t>
  </si>
  <si>
    <t>I-C20P-GREEN-5535</t>
  </si>
  <si>
    <t>I-C20P-GREEN-5536</t>
  </si>
  <si>
    <t>I-C20P-GREEN-5541</t>
  </si>
  <si>
    <t>I-C20P-GREEN-5542</t>
  </si>
  <si>
    <t>I-C20P-GREEN-5543</t>
  </si>
  <si>
    <t>I-C20P-GREEN-5544</t>
  </si>
  <si>
    <t>I-C20P-GREEN-5545</t>
  </si>
  <si>
    <t>I-C20P-GREEN-5546</t>
  </si>
  <si>
    <t>I-C20P-GREEN-5551</t>
  </si>
  <si>
    <t>I-C20P-GREEN-5552</t>
  </si>
  <si>
    <t>I-C20P-GREEN-5553</t>
  </si>
  <si>
    <t>I-C20P-GREEN-5554</t>
  </si>
  <si>
    <t>I-C20P-GREEN-5555</t>
  </si>
  <si>
    <t>I-C20P-GREEN-5556</t>
  </si>
  <si>
    <t>I-C20P-GREEN-7421</t>
  </si>
  <si>
    <t>I-C20P-GREEN-7471</t>
  </si>
  <si>
    <t>I-C20P-GREEN-7472</t>
  </si>
  <si>
    <t>I-C20P-GREEN-7473</t>
  </si>
  <si>
    <t>I-C20P-GREEN-7474</t>
  </si>
  <si>
    <t>I-C20P-GREEN-7601</t>
  </si>
  <si>
    <t>I-C20P-GREEN-7602</t>
  </si>
  <si>
    <t>I-C20P-GREEN-7603</t>
  </si>
  <si>
    <t>I-C20P-GREEN-7604</t>
  </si>
  <si>
    <t>PLUMBING &amp; SANITAR FIXTURE SPECIFICATIONS</t>
  </si>
  <si>
    <t>I-C20P-GREEN-7605</t>
  </si>
  <si>
    <t>I-C20P-GREEN-7606</t>
  </si>
  <si>
    <t>I-C20P-GREEN-7607</t>
  </si>
  <si>
    <t>I-C20P-GREEN-7608</t>
  </si>
  <si>
    <t>I-C20P-GREEN-7631</t>
  </si>
  <si>
    <t>I-C20P-GREEN-7632</t>
  </si>
  <si>
    <t>I-C20P-GREEN-7701</t>
  </si>
  <si>
    <t>I-C20P-GREEN-9001</t>
  </si>
  <si>
    <t>I-C20P-GREEN-9002</t>
  </si>
  <si>
    <t>I-C20P-PURPLE-0001</t>
  </si>
  <si>
    <t>I-C20P-PURPLE-1101</t>
  </si>
  <si>
    <t>I-C20P-PURPLE-1102</t>
  </si>
  <si>
    <t>I-C20P-PURPLE-1201</t>
  </si>
  <si>
    <t>I-C20P-PURPLE-1202</t>
  </si>
  <si>
    <t>I-C20P-PURPLE-1301</t>
  </si>
  <si>
    <t>I-C20P-PURPLE-1302</t>
  </si>
  <si>
    <t>I-C20P-PURPLE-1401</t>
  </si>
  <si>
    <t>I-C20P-PURPLE-1402</t>
  </si>
  <si>
    <t>I-C20P-PURPLE-1501</t>
  </si>
  <si>
    <t>I-C20P-PURPLE-1502</t>
  </si>
  <si>
    <t>I-C20P-PURPLE-1711</t>
  </si>
  <si>
    <t>I-C20P-PURPLE-1712</t>
  </si>
  <si>
    <t>I-C20P-PURPLE-1713</t>
  </si>
  <si>
    <t>I-C20P-PURPLE-4601</t>
  </si>
  <si>
    <t>I-C20P-PURPLE-4602</t>
  </si>
  <si>
    <t>I-C20P-PURPLE-4603</t>
  </si>
  <si>
    <t>I-C20P-PURPLE-4604</t>
  </si>
  <si>
    <t>I-C20P-PURPLE-4701</t>
  </si>
  <si>
    <t>I-C20P-PURPLE-4702</t>
  </si>
  <si>
    <t>I-C20P-PURPLE-4703</t>
  </si>
  <si>
    <t>I-C20P-PURPLE-4704</t>
  </si>
  <si>
    <t>I-C20P-PURPLE-4705</t>
  </si>
  <si>
    <t>I-C20P-PURPLE-4706</t>
  </si>
  <si>
    <t>I-C20P-PURPLE-4711</t>
  </si>
  <si>
    <t>I-C20P-PURPLE-4712</t>
  </si>
  <si>
    <t>I-C20P-PURPLE-4713</t>
  </si>
  <si>
    <t>I-C20P-PURPLE-4721</t>
  </si>
  <si>
    <t>I-C20P-PURPLE-4722</t>
  </si>
  <si>
    <t>I-C20P-PURPLE-4723</t>
  </si>
  <si>
    <t>I-C20P-PURPLE-4724</t>
  </si>
  <si>
    <t>I-C20P-PURPLE-4725</t>
  </si>
  <si>
    <t>I-C20P-PURPLE-4731</t>
  </si>
  <si>
    <t>I-C20P-PURPLE-4732</t>
  </si>
  <si>
    <t>I-C20P-PURPLE-4733</t>
  </si>
  <si>
    <t>I-C20P-PURPLE-4734</t>
  </si>
  <si>
    <t>I-C20P-PURPLE-5401</t>
  </si>
  <si>
    <t>I-C20P-PURPLE-5402</t>
  </si>
  <si>
    <t>I-C20P-PURPLE-5403</t>
  </si>
  <si>
    <t>I-C20P-PURPLE-5404</t>
  </si>
  <si>
    <t>I-C20P-PURPLE-5405</t>
  </si>
  <si>
    <t>I-C20P-PURPLE-5406</t>
  </si>
  <si>
    <t>I-C20P-PURPLE-5407</t>
  </si>
  <si>
    <t>I-C20P-PURPLE-5408</t>
  </si>
  <si>
    <t>I-C20P-PURPLE-5409</t>
  </si>
  <si>
    <t>I-C20P-PURPLE-5410</t>
  </si>
  <si>
    <t>I-C20P-PURPLE-5431</t>
  </si>
  <si>
    <t>I-C20P-PURPLE-5432</t>
  </si>
  <si>
    <t>I-C20P-PURPLE-5433</t>
  </si>
  <si>
    <t>I-C20P-PURPLE-5434</t>
  </si>
  <si>
    <t>I-C20P-PURPLE-5435</t>
  </si>
  <si>
    <t>I-C20P-PURPLE-5436</t>
  </si>
  <si>
    <t>I-C20P-PURPLE-5437</t>
  </si>
  <si>
    <t>I-C20P-PURPLE-5438</t>
  </si>
  <si>
    <t>I-C20P-PURPLE-5501</t>
  </si>
  <si>
    <t>I-C20P-PURPLE-5502</t>
  </si>
  <si>
    <t>I-C20P-PURPLE-5503</t>
  </si>
  <si>
    <t>I-C20P-PURPLE-5504</t>
  </si>
  <si>
    <t>I-C20P-PURPLE-5505</t>
  </si>
  <si>
    <t>I-C20P-PURPLE-5506</t>
  </si>
  <si>
    <t>I-C20P-PURPLE-5511</t>
  </si>
  <si>
    <t>I-C20P-PURPLE-5512</t>
  </si>
  <si>
    <t>I-C20P-PURPLE-5513</t>
  </si>
  <si>
    <t>I-C20P-PURPLE-5514</t>
  </si>
  <si>
    <t>I-C20P-PURPLE-5515</t>
  </si>
  <si>
    <t>I-C20P-PURPLE-5516</t>
  </si>
  <si>
    <t>I-C20P-PURPLE-5521</t>
  </si>
  <si>
    <t>I-C20P-PURPLE-5522</t>
  </si>
  <si>
    <t>I-C20P-PURPLE-5523</t>
  </si>
  <si>
    <t>I-C20P-PURPLE-5524</t>
  </si>
  <si>
    <t>I-C20P-PURPLE-5525</t>
  </si>
  <si>
    <t>I-C20P-PURPLE-5526</t>
  </si>
  <si>
    <t>I-C20P-PURPLE-5531</t>
  </si>
  <si>
    <t>I-C20P-PURPLE-5532</t>
  </si>
  <si>
    <t>I-C20P-PURPLE-5533</t>
  </si>
  <si>
    <t>I-C20P-PURPLE-5534</t>
  </si>
  <si>
    <t>I-C20P-PURPLE-5535</t>
  </si>
  <si>
    <t>I-C20P-PURPLE-5536</t>
  </si>
  <si>
    <t>I-C20P-PURPLE-5541</t>
  </si>
  <si>
    <t>I-C20P-PURPLE-5542</t>
  </si>
  <si>
    <t>I-C20P-PURPLE-5543</t>
  </si>
  <si>
    <t>I-C20P-PURPLE-5544</t>
  </si>
  <si>
    <t>I-C20P-PURPLE-5545</t>
  </si>
  <si>
    <t>I-C20P-PURPLE-5546</t>
  </si>
  <si>
    <t>I-C20P-PURPLE-5551</t>
  </si>
  <si>
    <t>I-C20P-PURPLE-5552</t>
  </si>
  <si>
    <t>I-C20P-PURPLE-5553</t>
  </si>
  <si>
    <t>I-C20P-PURPLE-5554</t>
  </si>
  <si>
    <t>I-C20P-PURPLE-5555</t>
  </si>
  <si>
    <t>I-C20P-PURPLE-5556</t>
  </si>
  <si>
    <t>I-C20P-PURPLE-6501</t>
  </si>
  <si>
    <t>UNDER-STAIRCASE CABINETRY DETAILS</t>
  </si>
  <si>
    <t>I-C20P-PURPLE-6502</t>
  </si>
  <si>
    <t>I-C20P-PURPLE-7421</t>
  </si>
  <si>
    <t>I-C20P-PURPLE-7471</t>
  </si>
  <si>
    <t>I-C20P-PURPLE-7472</t>
  </si>
  <si>
    <t>I-C20P-PURPLE-7473</t>
  </si>
  <si>
    <t>I-C20P-PURPLE-7474</t>
  </si>
  <si>
    <t>I-C20P-PURPLE-7601</t>
  </si>
  <si>
    <t>I-C20P-PURPLE-7602</t>
  </si>
  <si>
    <t>I-C20P-PURPLE-7603</t>
  </si>
  <si>
    <t>I-C20P-PURPLE-7604</t>
  </si>
  <si>
    <t>I-C20P-PURPLE-7605</t>
  </si>
  <si>
    <t>I-C20P-PURPLE-7606</t>
  </si>
  <si>
    <t>I-C20P-PURPLE-7607</t>
  </si>
  <si>
    <t>I-C20P-PURPLE-7608</t>
  </si>
  <si>
    <t>I-C20P-PURPLE-7609</t>
  </si>
  <si>
    <t>"PLUMBING &amp; SANITARY FIXTURE SPECIFICATIONS</t>
  </si>
  <si>
    <t>I-C20P-PURPLE-7610</t>
  </si>
  <si>
    <t>I-C20P-PURPLE-7611</t>
  </si>
  <si>
    <t>‘PLUMBING &amp; SANITARY FIXTURE SPECIFICATIONS</t>
  </si>
  <si>
    <t>I-C20P-PURPLE-7612</t>
  </si>
  <si>
    <t>I-C20P-PURPLE-7615</t>
  </si>
  <si>
    <t>I-C20P-PURPLE-7616</t>
  </si>
  <si>
    <t>I-C20P-PURPLE-7617</t>
  </si>
  <si>
    <t>I-C20P-PURPLE-7618</t>
  </si>
  <si>
    <t>I-C20P-PURPLE-7620</t>
  </si>
  <si>
    <t>I-C20P-PURPLE-7621</t>
  </si>
  <si>
    <t>I-C20P-PURPLE-7622</t>
  </si>
  <si>
    <t>I-C20P-PURPLE-7623</t>
  </si>
  <si>
    <t>~ CABINETRY SPECIFICATIONS</t>
  </si>
  <si>
    <t>I-C20P-PURPLE-7624</t>
  </si>
  <si>
    <t>I-C20P-PURPLE-7625</t>
  </si>
  <si>
    <t>I-C20P-PURPLE-7626</t>
  </si>
  <si>
    <t>'- CABINETRY SPECIFICATIONS</t>
  </si>
  <si>
    <t>I-C20P-PURPLE-7627</t>
  </si>
  <si>
    <t>I-C20P-PURPLE-7631</t>
  </si>
  <si>
    <t>I-C20P-PURPLE-7632</t>
  </si>
  <si>
    <t>I-C20P-PURPLE-7633</t>
  </si>
  <si>
    <t>I-C20P-PURPLE-7701</t>
  </si>
  <si>
    <t>I-C20P-PURPLE-9001</t>
  </si>
  <si>
    <t>I-C20P-PURPLE-9002</t>
  </si>
  <si>
    <t>LS-00S9-01-C20P-TG-TYP-01 G</t>
  </si>
  <si>
    <t>TYPICAL ANDHRA CHOCOLATE DECK MARKING PLAN AND SECTIONAL DETAILS</t>
  </si>
  <si>
    <t>LS-0059-C20P-TG-DR-01 B</t>
  </si>
  <si>
    <t>LEVELS, SURFACE AND SUB-SURFACE DRAINAGE PLAN</t>
  </si>
  <si>
    <t>LS-0059-C20P-TG-DR-01 G</t>
  </si>
  <si>
    <t>LS-0059-C20P-TG-DR-01 P</t>
  </si>
  <si>
    <t>LEVELS, SURFACE SLOPE &amp; DRAINAGE PLAN</t>
  </si>
  <si>
    <t>LS-0059-C20P-TG-IR-01 B</t>
  </si>
  <si>
    <t>IRRIGATION PLAN</t>
  </si>
  <si>
    <t>LS-0059-C20P-TG-IR-01 G</t>
  </si>
  <si>
    <t>LS-0059-C20P-TG-IR-01 P</t>
  </si>
  <si>
    <t>LS-0059-C20P-TG-MR-01 P</t>
  </si>
  <si>
    <t>TYPICAL WOODEN DECK MARKING PLAN AND SECTION DETAILS</t>
  </si>
  <si>
    <t>Ls-0059-C20P-TG-MR-02 P</t>
  </si>
  <si>
    <t>TYPICAL WOODEN DECK MARKING PLAN AND SECTIONAL DETAILS</t>
  </si>
  <si>
    <t>LS-0059-C20P-TG-PL-LP-01 B</t>
  </si>
  <si>
    <t>MATERIAL, PLANTING &amp; LIGHTING PLAN</t>
  </si>
  <si>
    <t>LS-0059-C20P-TG-PL-LP-01 G</t>
  </si>
  <si>
    <t>LS-0059-C20P-TG-PL-LP-01 P</t>
  </si>
  <si>
    <t>LS-0059-C20P-TG-SEC-01 B</t>
  </si>
  <si>
    <t>SECTIONAL DETAIL -1</t>
  </si>
  <si>
    <t>LS-0059-C20P-TG-SEC-01 G</t>
  </si>
  <si>
    <t>LS-0059-C20P-TG-SEC-01 P</t>
  </si>
  <si>
    <t>LS0059-01-C20P-TG-TYP-01 B</t>
  </si>
  <si>
    <t>PHE-C20P-002</t>
  </si>
  <si>
    <t>LOWER LEVEL DRAINAGE LAYOUT</t>
  </si>
  <si>
    <t>PHE-C20P-007</t>
  </si>
  <si>
    <t>UPPER LEVEL DRAINAGE PLAN</t>
  </si>
  <si>
    <t>DEFAULT UNIT - L30 P</t>
  </si>
  <si>
    <t>HA-L30P-1001</t>
  </si>
  <si>
    <t>Home Automation Layout Lower Level</t>
  </si>
  <si>
    <t>L30P</t>
  </si>
  <si>
    <t>HA-L30P-1002</t>
  </si>
  <si>
    <t>Home Automation Layout Upper Level</t>
  </si>
  <si>
    <t>HA-L30P-1003</t>
  </si>
  <si>
    <t>Mood Lighting Layout Lower Level</t>
  </si>
  <si>
    <t>HA-L30P-1004</t>
  </si>
  <si>
    <t>Mood Lighting Layout Upper Level</t>
  </si>
  <si>
    <t>I-L30P-BLUE-0001</t>
  </si>
  <si>
    <t>I-L30P-BLUE-1101</t>
  </si>
  <si>
    <t>MASONRY AND FLOORING - LOWER LEVEL</t>
  </si>
  <si>
    <t>I-L30P-BLUE-1102</t>
  </si>
  <si>
    <t>MASONRY AND FLOORING - UPPER LEVEL</t>
  </si>
  <si>
    <t>I-L30P-BLUE-1201</t>
  </si>
  <si>
    <t>FURNITURE LAYOUT - LOWER LEVEL</t>
  </si>
  <si>
    <t>I-L30P-BLUE-1202</t>
  </si>
  <si>
    <t>FURNITURE LAYOUT - UPPER LEVEL</t>
  </si>
  <si>
    <t>I-L30P-BLUE-1301</t>
  </si>
  <si>
    <t>ELECTRICAL LAYOUT - LOWE LEVEL</t>
  </si>
  <si>
    <t>I-L30P-BLUE-1302</t>
  </si>
  <si>
    <t>ELECTRICAL LAYOUT - UPPER LEVEL</t>
  </si>
  <si>
    <t>I-L30P-BLUE-1401</t>
  </si>
  <si>
    <t>REFLECTED CEILING PLAN - LOWER LEVEL</t>
  </si>
  <si>
    <t>I-L30P-BLUE-1402</t>
  </si>
  <si>
    <t>REFLECTED CEILING PLAN - UPPER LEVEL</t>
  </si>
  <si>
    <t>I-L30P-BLUE-1501</t>
  </si>
  <si>
    <t>VRV LAYOUT - LOWER FLOOR</t>
  </si>
  <si>
    <t>I-L30P-BLUE-1502</t>
  </si>
  <si>
    <t>VRV LAYOUT - UPPER FLOOR</t>
  </si>
  <si>
    <t>I-L30P-BLUE-1710</t>
  </si>
  <si>
    <t>SERVICE PLATFORM 03 - PLAN</t>
  </si>
  <si>
    <t>I-L30P-BLUE-1711</t>
  </si>
  <si>
    <t>SERVICE PLATFORM 01 - PLAN AND ELEVATION</t>
  </si>
  <si>
    <t>I-L30P-BLUE-1712</t>
  </si>
  <si>
    <t>SERVICE PLATFORM 01 - ELEVATION</t>
  </si>
  <si>
    <t>I-L30P-BLUE-1713</t>
  </si>
  <si>
    <t>SERVICE PLATFORM 02 - PLAN</t>
  </si>
  <si>
    <t>I-L30P-BLUE-1714</t>
  </si>
  <si>
    <t>SERVICE PLATFORM 02 - ELEVATION</t>
  </si>
  <si>
    <t>I-L30P-BLUE-1715</t>
  </si>
  <si>
    <t>I-L30P-BLUE-1717</t>
  </si>
  <si>
    <t>SERVICE PLATFORM 03 - ELEVATION</t>
  </si>
  <si>
    <t>I-L30P-BLUE-1718</t>
  </si>
  <si>
    <t>I-L30P-BLUE-4001</t>
  </si>
  <si>
    <t>I-L30P-BLUE-4002</t>
  </si>
  <si>
    <t>I-L30P-BLUE-4003</t>
  </si>
  <si>
    <t>I-L30P-BLUE-4004</t>
  </si>
  <si>
    <t>I-L30P-BLUE-5400</t>
  </si>
  <si>
    <t>KITCHEN PLAN - CHIMNEY ROUTING</t>
  </si>
  <si>
    <t>I-L30P-BLUE-5401</t>
  </si>
  <si>
    <t>DRY KITCHEN PLAN</t>
  </si>
  <si>
    <t>I-L30P-BLUE-5402</t>
  </si>
  <si>
    <t>DRY KITCHEN ELEVATION - EXTERNAL</t>
  </si>
  <si>
    <t>I-L30P-BLUE-5403</t>
  </si>
  <si>
    <t>DRY KITCHEN ELEVATION - INTERNAL</t>
  </si>
  <si>
    <t>I-L30P-BLUE-5404</t>
  </si>
  <si>
    <t>DRY KITCHEN ELEVATION - EXTERNAL &amp; INTERNAL</t>
  </si>
  <si>
    <t>I-L30P-BLUE-5405</t>
  </si>
  <si>
    <t>I-L30P-BLUE-5406</t>
  </si>
  <si>
    <t>I-L30P-BLUE-5407</t>
  </si>
  <si>
    <t>I-L30P-BLUE-5408</t>
  </si>
  <si>
    <t>WET KITCHEN AND UTILITY PLAN</t>
  </si>
  <si>
    <t>I-L30P-BLUE-5409</t>
  </si>
  <si>
    <t>WET KITCHEN AND UTILITY RCP</t>
  </si>
  <si>
    <t>I-L30P-BLUE-5410</t>
  </si>
  <si>
    <t>WET KITCHEN ELEVATION - EXTERNAL</t>
  </si>
  <si>
    <t>I-L30P-BLUE-5411</t>
  </si>
  <si>
    <t>I-L30P-BLUE-5412</t>
  </si>
  <si>
    <t>UTILITY ELEVATION - EXTERNAL</t>
  </si>
  <si>
    <t>I-L30P-BLUE-5413</t>
  </si>
  <si>
    <t>I-L30P-BLUE-5414</t>
  </si>
  <si>
    <t>LAUNDRY - PLAN</t>
  </si>
  <si>
    <t>I-L30P-BLUE-5415</t>
  </si>
  <si>
    <t>LAUNDRY - ELEVATION</t>
  </si>
  <si>
    <t>I-L30P-BLUE-5501</t>
  </si>
  <si>
    <t>BATHROOM 01- PLAN</t>
  </si>
  <si>
    <t>I-L30P-BLUE-5502</t>
  </si>
  <si>
    <t>BATHROOM 01 - FLOORING PLAN</t>
  </si>
  <si>
    <t>I-L30P-BLUE-5503</t>
  </si>
  <si>
    <t>BATHROOM 01 - RCP</t>
  </si>
  <si>
    <t>I-L30P-BLUE-5504</t>
  </si>
  <si>
    <t>BATHROOM 01 - ELEVATION</t>
  </si>
  <si>
    <t>I-L30P-BLUE-5505</t>
  </si>
  <si>
    <t>I-L30P-BLUE-5506</t>
  </si>
  <si>
    <t>I-L30P-BLUE-5507</t>
  </si>
  <si>
    <t>BATHROOM 02- PLAN</t>
  </si>
  <si>
    <t>I-L30P-BLUE-5508</t>
  </si>
  <si>
    <t>BATHROOM 02 - ELEVATION</t>
  </si>
  <si>
    <t>I-L30P-BLUE-5509</t>
  </si>
  <si>
    <t>I-L30P-BLUE-5510</t>
  </si>
  <si>
    <t>BATHROOM 03 - PLAN</t>
  </si>
  <si>
    <t>I-L30P-BLUE-5511</t>
  </si>
  <si>
    <t>BATHROOM 03 - FLOORING PLAN</t>
  </si>
  <si>
    <t>I-L30P-BLUE-5512</t>
  </si>
  <si>
    <t>BATHROOM 03 - RCP</t>
  </si>
  <si>
    <t>I-L30P-BLUE-5513</t>
  </si>
  <si>
    <t>BATHROOM 03 - ELEVATION</t>
  </si>
  <si>
    <t>I-L30P-BLUE-5514</t>
  </si>
  <si>
    <t>I-L30P-BLUE-5515</t>
  </si>
  <si>
    <t>I-L30P-BLUE-5516</t>
  </si>
  <si>
    <t>BATHROOM 04 - PLAN</t>
  </si>
  <si>
    <t>I-L30P-BLUE-5517</t>
  </si>
  <si>
    <t>BATHROOM 04 - ELEVATION</t>
  </si>
  <si>
    <t>I-L30P-BLUE-5518</t>
  </si>
  <si>
    <t>I-L30P-BLUE-5519</t>
  </si>
  <si>
    <t>BATHROOM 05 - PLAN</t>
  </si>
  <si>
    <t>I-L30P-BLUE-5520</t>
  </si>
  <si>
    <t>BATHROOM 05 - ELEVATION</t>
  </si>
  <si>
    <t>I-L30P-BLUE-5521</t>
  </si>
  <si>
    <t>I-L30P-BLUE-5522</t>
  </si>
  <si>
    <t>POWDER ROOM 01 - PLAN</t>
  </si>
  <si>
    <t>I-L30P-BLUE-5523</t>
  </si>
  <si>
    <t>POWDER ROOM 01 - ELEVATION</t>
  </si>
  <si>
    <t>I-L30P-BLUE-5524</t>
  </si>
  <si>
    <t>I-L30P-BLUE-5528</t>
  </si>
  <si>
    <t>MAID'S BATHROOM - PLAN</t>
  </si>
  <si>
    <t>I-L30P-BLUE-5529</t>
  </si>
  <si>
    <t>MAID'S BATHROOM - ELEVATION</t>
  </si>
  <si>
    <t>I-L30P-BLUE-5530</t>
  </si>
  <si>
    <t>I-L30P-BLUE-7401</t>
  </si>
  <si>
    <t>ELECTRICAL SCHEDULE- LOWER LEVEL</t>
  </si>
  <si>
    <t>I-L30P-BLUE-7402</t>
  </si>
  <si>
    <t>I-L30P-BLUE-7403</t>
  </si>
  <si>
    <t>ELECTRICAL SCHEDULE - UPPER LEVEL</t>
  </si>
  <si>
    <t>I-L30P-BLUE-7404</t>
  </si>
  <si>
    <t>I-L30P-BLUE-7701</t>
  </si>
  <si>
    <t>ABBREVIATIONS</t>
  </si>
  <si>
    <t>I-L30P-GREEN-0001</t>
  </si>
  <si>
    <t>I-L30P-GREEN-1101</t>
  </si>
  <si>
    <t>I-L30P-GREEN-1102</t>
  </si>
  <si>
    <t>I-L30P-GREEN-1201</t>
  </si>
  <si>
    <t>I-L30P-GREEN-1202</t>
  </si>
  <si>
    <t>I-L30P-GREEN-1301</t>
  </si>
  <si>
    <t>ELECTRICAL LAYOUT - LOWER LEVEL</t>
  </si>
  <si>
    <t>I-L30P-GREEN-1302</t>
  </si>
  <si>
    <t>I-L30P-GREEN-1401</t>
  </si>
  <si>
    <t>I-L30P-GREEN-1402</t>
  </si>
  <si>
    <t>I-L30P-GREEN-4001</t>
  </si>
  <si>
    <t>I-L30P-GREEN-4002</t>
  </si>
  <si>
    <t>I-L30P-GREEN-4003</t>
  </si>
  <si>
    <t>I-L30P-GREEN-4004</t>
  </si>
  <si>
    <t>I-L30P-GREEN-5401</t>
  </si>
  <si>
    <t>I-L30P-GREEN-5402</t>
  </si>
  <si>
    <t>I-L30P-GREEN-5403</t>
  </si>
  <si>
    <t>I-L30P-GREEN-5404</t>
  </si>
  <si>
    <t>I-L30P-GREEN-5405</t>
  </si>
  <si>
    <t>WET KITCHEN AND UTILITY - PLAN</t>
  </si>
  <si>
    <t>I-L30P-GREEN-5406</t>
  </si>
  <si>
    <t>I-L30P-GREEN-5407</t>
  </si>
  <si>
    <t>I-L30P-GREEN-5408</t>
  </si>
  <si>
    <t>I-L30P-GREEN-5409</t>
  </si>
  <si>
    <t>I-L30P-GREEN-5501</t>
  </si>
  <si>
    <t>I-L30P-GREEN-5502</t>
  </si>
  <si>
    <t>I-L30P-GREEN-5503</t>
  </si>
  <si>
    <t>I-L30P-GREEN-5504</t>
  </si>
  <si>
    <t>I-L30P-GREEN-5505</t>
  </si>
  <si>
    <t>I-L30P-GREEN-5506</t>
  </si>
  <si>
    <t>I-L30P-GREEN-5507</t>
  </si>
  <si>
    <t>BATHROOM 02 - PLAN</t>
  </si>
  <si>
    <t>I-L30P-GREEN-5508</t>
  </si>
  <si>
    <t>I-L30P-GREEN-5509</t>
  </si>
  <si>
    <t>I-L30P-GREEN-5510</t>
  </si>
  <si>
    <t>I-L30P-GREEN-5511</t>
  </si>
  <si>
    <t>I-L30P-GREEN-5512</t>
  </si>
  <si>
    <t>I-L30P-GREEN-5513</t>
  </si>
  <si>
    <t>I-L30P-GREEN-5514</t>
  </si>
  <si>
    <t>I-L30P-GREEN-5515</t>
  </si>
  <si>
    <t>I-L30P-GREEN-5516</t>
  </si>
  <si>
    <t>I-L30P-GREEN-5517</t>
  </si>
  <si>
    <t>I-L30P-GREEN-5518</t>
  </si>
  <si>
    <t>I-L30P-GREEN-5519</t>
  </si>
  <si>
    <t>I-L30P-GREEN-5520</t>
  </si>
  <si>
    <t>I-L30P-GREEN-5521</t>
  </si>
  <si>
    <t>I-L30P-GREEN-5522</t>
  </si>
  <si>
    <t>POWDER ROOM - PLAN</t>
  </si>
  <si>
    <t>I-L30P-GREEN-5523</t>
  </si>
  <si>
    <t>POWDER ROOM - ELEVATION</t>
  </si>
  <si>
    <t>I-L30P-GREEN-5524</t>
  </si>
  <si>
    <t>I-L30P-GREEN-5525</t>
  </si>
  <si>
    <t>MAIDS BATHROOM - PLAN</t>
  </si>
  <si>
    <t>I-L30P-GREEN-5526</t>
  </si>
  <si>
    <t>MAIDS BATHROOM - ELEVATION</t>
  </si>
  <si>
    <t>I-L30P-GREEN-5527</t>
  </si>
  <si>
    <t>I-L30P-GREEN-7401</t>
  </si>
  <si>
    <t>ELECTRICAL SCHEDULE - LOWER LEVEL</t>
  </si>
  <si>
    <t>I-L30P-GREEN-7402</t>
  </si>
  <si>
    <t>I-L30P-GREEN-7403</t>
  </si>
  <si>
    <t>I-L30P-GREEN-7404</t>
  </si>
  <si>
    <t>I-L30P-GREEN-7701</t>
  </si>
  <si>
    <t>I-L30P-PURPLE-0001</t>
  </si>
  <si>
    <t>I-L30P-PURPLE-1101</t>
  </si>
  <si>
    <t>I-L30P-PURPLE-1102</t>
  </si>
  <si>
    <t>I-L30P-PURPLE-1201</t>
  </si>
  <si>
    <t>I-L30P-PURPLE-1202</t>
  </si>
  <si>
    <t>I-L30P-PURPLE-1301</t>
  </si>
  <si>
    <t>I-L30P-PURPLE-1302</t>
  </si>
  <si>
    <t>I-L30P-PURPLE-1401</t>
  </si>
  <si>
    <t>I-L30P-PURPLE-1402</t>
  </si>
  <si>
    <t>I-L30P-PURPLE-1501</t>
  </si>
  <si>
    <t>I-L30P-PURPLE-1502</t>
  </si>
  <si>
    <t>I-L30P-PURPLE-1711</t>
  </si>
  <si>
    <t>I-L30P-PURPLE-1712</t>
  </si>
  <si>
    <t>I-L30P-PURPLE-1713</t>
  </si>
  <si>
    <t>I-L30P-PURPLE-1714</t>
  </si>
  <si>
    <t>I-L30P-PURPLE-1715</t>
  </si>
  <si>
    <t>I-L30P-PURPLE-1716</t>
  </si>
  <si>
    <t>I-L30P-PURPLE-1717</t>
  </si>
  <si>
    <t>I-L30P-PURPLE-1718</t>
  </si>
  <si>
    <t>I-L30P-PURPLE-4001</t>
  </si>
  <si>
    <t>I-L30P-PURPLE-4002</t>
  </si>
  <si>
    <t>I-L30P-PURPLE-4003</t>
  </si>
  <si>
    <t>I-L30P-PURPLE-4004</t>
  </si>
  <si>
    <t>I-L30P-PURPLE-4700</t>
  </si>
  <si>
    <t>DOOR DETAIL - D7</t>
  </si>
  <si>
    <t>I-L30P-PURPLE-4701</t>
  </si>
  <si>
    <t>DOOR DETAIL - D1-1.1</t>
  </si>
  <si>
    <t>I-L30P-PURPLE-4702</t>
  </si>
  <si>
    <t>I-L30P-PURPLE-4703</t>
  </si>
  <si>
    <t>I-L30P-PURPLE-4704</t>
  </si>
  <si>
    <t>I-L30P-PURPLE-4705</t>
  </si>
  <si>
    <t>DOOR DETAIL - D3-1.1</t>
  </si>
  <si>
    <t>I-L30P-PURPLE-4707</t>
  </si>
  <si>
    <t>WINDOW DETAIL - UG21</t>
  </si>
  <si>
    <t>I-L30P-PURPLE-4708</t>
  </si>
  <si>
    <t>WINDOW DETAIL - UG22</t>
  </si>
  <si>
    <t>I-L30P-PURPLE-4709</t>
  </si>
  <si>
    <t>WINDOW DETAIL - W03</t>
  </si>
  <si>
    <t>I-L30P-PURPLE-4710</t>
  </si>
  <si>
    <t>WINDOW DETAIL - W09</t>
  </si>
  <si>
    <t>I-L30P-PURPLE-4711</t>
  </si>
  <si>
    <t>WINDOW DETAIL - W10a</t>
  </si>
  <si>
    <t>I-L30P-PURPLE-4712</t>
  </si>
  <si>
    <t>I-L30P-PURPLE-4713</t>
  </si>
  <si>
    <t>I-L30P-PURPLE-4714</t>
  </si>
  <si>
    <t>I-L30P-PURPLE-4715</t>
  </si>
  <si>
    <t>I-L30P-PURPLE-4716</t>
  </si>
  <si>
    <t>I-L30P-PURPLE-4717</t>
  </si>
  <si>
    <t>WINDOW DETAIL - W15</t>
  </si>
  <si>
    <t>I-L30P-PURPLE-4718</t>
  </si>
  <si>
    <t>WINDOW DETAIL - W18</t>
  </si>
  <si>
    <t>I-L30P-PURPLE-4719</t>
  </si>
  <si>
    <t>WINDOW DETAIL - W38</t>
  </si>
  <si>
    <t>I-L30P-PURPLE-4720</t>
  </si>
  <si>
    <t>FRENCH WINDOW DETAIL - FW1</t>
  </si>
  <si>
    <t>I-L30P-PURPLE-4721</t>
  </si>
  <si>
    <t>FRENCH WINDOW DETAIL - FW2</t>
  </si>
  <si>
    <t>I-L30P-PURPLE-4722</t>
  </si>
  <si>
    <t>FRENCH WINDOW DETAIL - FW 3a&amp;3b</t>
  </si>
  <si>
    <t>I-L30P-PURPLE-4723</t>
  </si>
  <si>
    <t>I-L30P-PURPLE-5400</t>
  </si>
  <si>
    <t>I-L30P-PURPLE-5401</t>
  </si>
  <si>
    <t>I-L30P-PURPLE-5402</t>
  </si>
  <si>
    <t>I-L30P-PURPLE-5403</t>
  </si>
  <si>
    <t>I-L30P-PURPLE-5404</t>
  </si>
  <si>
    <t>I-L30P-PURPLE-5405</t>
  </si>
  <si>
    <t>I-L30P-PURPLE-5406</t>
  </si>
  <si>
    <t>I-L30P-PURPLE-5407</t>
  </si>
  <si>
    <t>I-L30P-PURPLE-5408</t>
  </si>
  <si>
    <t>I-L30P-PURPLE-5409</t>
  </si>
  <si>
    <t>I-L30P-PURPLE-5410</t>
  </si>
  <si>
    <t>I-L30P-PURPLE-5411</t>
  </si>
  <si>
    <t>I-L30P-PURPLE-5412</t>
  </si>
  <si>
    <t>I-L30P-PURPLE-5413</t>
  </si>
  <si>
    <t>I-L30P-PURPLE-5414</t>
  </si>
  <si>
    <t>I-L30P-PURPLE-5415</t>
  </si>
  <si>
    <t>LAUNDRY PLAN AND ELEVATION</t>
  </si>
  <si>
    <t>I-L30P-PURPLE-5416</t>
  </si>
  <si>
    <t>I-L30P-PURPLE-5501</t>
  </si>
  <si>
    <t>I-L30P-PURPLE-5502</t>
  </si>
  <si>
    <t>I-L30P-PURPLE-5503</t>
  </si>
  <si>
    <t>I-L30P-PURPLE-5504</t>
  </si>
  <si>
    <t>I-L30P-PURPLE-5505</t>
  </si>
  <si>
    <t>I-L30P-PURPLE-5506</t>
  </si>
  <si>
    <t>I-L30P-PURPLE-5507</t>
  </si>
  <si>
    <t>I-L30P-PURPLE-5508</t>
  </si>
  <si>
    <t>I-L30P-PURPLE-5509</t>
  </si>
  <si>
    <t>I-L30P-PURPLE-5510</t>
  </si>
  <si>
    <t>I-L30P-PURPLE-5511</t>
  </si>
  <si>
    <t>I-L30P-PURPLE-5512</t>
  </si>
  <si>
    <t>I-L30P-PURPLE-5513</t>
  </si>
  <si>
    <t>I-L30P-PURPLE-5514</t>
  </si>
  <si>
    <t>I-L30P-PURPLE-5515</t>
  </si>
  <si>
    <t>I-L30P-PURPLE-5516</t>
  </si>
  <si>
    <t>I-L30P-PURPLE-5517</t>
  </si>
  <si>
    <t>I-L30P-PURPLE-5518</t>
  </si>
  <si>
    <t>I-L30P-PURPLE-5519</t>
  </si>
  <si>
    <t>I-L30P-PURPLE-5520</t>
  </si>
  <si>
    <t>I-L30P-PURPLE-5521</t>
  </si>
  <si>
    <t>I-L30P-PURPLE-5522</t>
  </si>
  <si>
    <t>I-L30P-PURPLE-5523</t>
  </si>
  <si>
    <t>I-L30P-PURPLE-5524</t>
  </si>
  <si>
    <t>I-L30P-PURPLE-5525</t>
  </si>
  <si>
    <t>I-L30P-PURPLE-5526</t>
  </si>
  <si>
    <t>I-L30P-PURPLE-5527</t>
  </si>
  <si>
    <t>I-L30P-PURPLE-7401</t>
  </si>
  <si>
    <t>I-L30P-PURPLE-7402</t>
  </si>
  <si>
    <t>I-L30P-PURPLE-7403</t>
  </si>
  <si>
    <t>I-L30P-PURPLE-7404</t>
  </si>
  <si>
    <t>I-L30P-PURPLE-7701</t>
  </si>
  <si>
    <t>DEFAULT UNIT - L45 P</t>
  </si>
  <si>
    <t>HA-L45p-1001</t>
  </si>
  <si>
    <t>L45P</t>
  </si>
  <si>
    <t>HA-L45p-1002</t>
  </si>
  <si>
    <t>HVAC-T02S-1081</t>
  </si>
  <si>
    <t>PENTHOUSE L45 HVAC LAYOUT</t>
  </si>
  <si>
    <t>I-L45P-BLUE-1100</t>
  </si>
  <si>
    <t>I-L45P-BLUE-1101</t>
  </si>
  <si>
    <t>I-L45P-BLUE-1201</t>
  </si>
  <si>
    <t>I-L45P-BLUE-1301</t>
  </si>
  <si>
    <t>I-L45P-BLUE-1401</t>
  </si>
  <si>
    <t>I-L45P-BLUE-1501</t>
  </si>
  <si>
    <t>I-L45P-BLUE-5401</t>
  </si>
  <si>
    <t>I-L45P-BLUE-5402</t>
  </si>
  <si>
    <t>KITCHEN ELEVATION 1A-EXTERNAL</t>
  </si>
  <si>
    <t>I-L45P-BLUE-5403</t>
  </si>
  <si>
    <t>KITCHEN ELEVATION 1A-INTERNAL</t>
  </si>
  <si>
    <t>I-L45P-BLUE-5404</t>
  </si>
  <si>
    <t>KITCHEN ELEVATION 1B-EXTERNAL</t>
  </si>
  <si>
    <t>I-L45P-BLUE-5405</t>
  </si>
  <si>
    <t>KITCHEN ELEVATION 1B-INTERNAL</t>
  </si>
  <si>
    <t>I-L45P-BLUE-5406</t>
  </si>
  <si>
    <t>KITCHEN ELEVATION 1C-EXTERNAL</t>
  </si>
  <si>
    <t>I-L45P-BLUE-5407</t>
  </si>
  <si>
    <t>KITCHEN ELEVATION 1C-INTERNAL</t>
  </si>
  <si>
    <t>I-L45P-BLUE-5408</t>
  </si>
  <si>
    <t>KITCHEN ELEVATION 1D-EXTERNAL</t>
  </si>
  <si>
    <t>I-L45P-BLUE-5409</t>
  </si>
  <si>
    <t>UTILITY PLAN AND ELEVATION</t>
  </si>
  <si>
    <t>I-L45P-BLUE-5410</t>
  </si>
  <si>
    <t>I-L45P-BLUE-5411</t>
  </si>
  <si>
    <t>CHIMNEY AND GAS METER ROUTING</t>
  </si>
  <si>
    <t>I-L45P-BLUE-5501</t>
  </si>
  <si>
    <t>I-L45P-BLUE-5502</t>
  </si>
  <si>
    <t>I-L45P-BLUE-5503</t>
  </si>
  <si>
    <t>BATHROOM 01 - ELEVATION b &amp; d</t>
  </si>
  <si>
    <t>I-L45P-BLUE-5504</t>
  </si>
  <si>
    <t>I-L45P-BLUE-5511</t>
  </si>
  <si>
    <t>I-L45P-BLUE-5512</t>
  </si>
  <si>
    <t>BATHROOM 02 - ELEVATION b &amp; d</t>
  </si>
  <si>
    <t>I-L45P-BLUE-5513</t>
  </si>
  <si>
    <t>BATHROOM 02 - ELEVATION C</t>
  </si>
  <si>
    <t>I-L45P-BLUE-5521</t>
  </si>
  <si>
    <t>I-L45P-BLUE-5522</t>
  </si>
  <si>
    <t>I-L45P-BLUE-5523</t>
  </si>
  <si>
    <t>BATHROOM 03 - ELEVATION c &amp; d</t>
  </si>
  <si>
    <t>I-L45P-BLUE-5531</t>
  </si>
  <si>
    <t>I-L45P-BLUE-5532</t>
  </si>
  <si>
    <t>I-L45P-BLUE-5533</t>
  </si>
  <si>
    <t>I-L45P-BLUE-5541</t>
  </si>
  <si>
    <t>I-L45P-BLUE-5542</t>
  </si>
  <si>
    <t>I-L45P-BLUE-5543</t>
  </si>
  <si>
    <t>I-L45P-BLUE-5551</t>
  </si>
  <si>
    <t>POWDER ROOM PLAN</t>
  </si>
  <si>
    <t>I-L45P-BLUE-5552</t>
  </si>
  <si>
    <t>POWDER ROOM - ELEVATION a</t>
  </si>
  <si>
    <t>I-L45P-BLUE-5553</t>
  </si>
  <si>
    <t>POWDER ROOM - ELEVATION c</t>
  </si>
  <si>
    <t>I-L45P-GREEN-1100</t>
  </si>
  <si>
    <t>I-L45P-GREEN-1101</t>
  </si>
  <si>
    <t>I-L45P-GREEN-1201</t>
  </si>
  <si>
    <t>I-L45P-GREEN-1301</t>
  </si>
  <si>
    <t>I-L45P-GREEN-1401</t>
  </si>
  <si>
    <t>I-L45P-GREEN-5401</t>
  </si>
  <si>
    <t>I-L45P-GREEN-5402</t>
  </si>
  <si>
    <t>KITCHEN ELEVATION 1A - EXTERNAL</t>
  </si>
  <si>
    <t>I-L45P-GREEN-5404</t>
  </si>
  <si>
    <t>KITCHEN ELEVATION 1B - EXTERNAL</t>
  </si>
  <si>
    <t>I-L45P-GREEN-5406</t>
  </si>
  <si>
    <t>KITCHEN ELEVATION 1C - EXTERNAL</t>
  </si>
  <si>
    <t>I-L45P-GREEN-5408</t>
  </si>
  <si>
    <t>KITCHEN ELEVATION 1D - EXTERNAL</t>
  </si>
  <si>
    <t>I-L45P-GREEN-5409</t>
  </si>
  <si>
    <t>I-L45P-GREEN-5410</t>
  </si>
  <si>
    <t>I-L45P-GREEN-5411</t>
  </si>
  <si>
    <t>I-L45P-GREEN-5501</t>
  </si>
  <si>
    <t>I-L45P-GREEN-5502</t>
  </si>
  <si>
    <t>I-L45P-GREEN-5503</t>
  </si>
  <si>
    <t>I-L45P-GREEN-5504</t>
  </si>
  <si>
    <t>I-L45P-GREEN-5511</t>
  </si>
  <si>
    <t>I-L45P-GREEN-5512</t>
  </si>
  <si>
    <t>I-L45P-GREEN-5513</t>
  </si>
  <si>
    <t>I-L45P-GREEN-5521</t>
  </si>
  <si>
    <t>I-L45P-GREEN-5522</t>
  </si>
  <si>
    <t>I-L45P-GREEN-5523</t>
  </si>
  <si>
    <t>I-L45P-GREEN-5531</t>
  </si>
  <si>
    <t>I-L45P-GREEN-5532</t>
  </si>
  <si>
    <t>I-L45P-GREEN-5533</t>
  </si>
  <si>
    <t>I-L45P-GREEN-5541</t>
  </si>
  <si>
    <t>I-L45P-GREEN-5542</t>
  </si>
  <si>
    <t>BATHROOM 05 PLAN - ELEVATION c</t>
  </si>
  <si>
    <t>I-L45P-GREEN-5543</t>
  </si>
  <si>
    <t>BATHROOM 05 PLAN - ELEVATION a</t>
  </si>
  <si>
    <t>I-L45P-GREEN-5551</t>
  </si>
  <si>
    <t>I-L45P-GREEN-5552</t>
  </si>
  <si>
    <t>I-L45P-GREEN-5553</t>
  </si>
  <si>
    <t>I-L45P-PURPLE-1100</t>
  </si>
  <si>
    <t>I-L45P-PURPLE-1101</t>
  </si>
  <si>
    <t>I-L45P-PURPLE-1201</t>
  </si>
  <si>
    <t>I-L45P-PURPLE-1301</t>
  </si>
  <si>
    <t>I-L45P-PURPLE-1401</t>
  </si>
  <si>
    <t>I-L45P-PURPLE-1501</t>
  </si>
  <si>
    <t>I-L45P-PURPLE-5401</t>
  </si>
  <si>
    <t>I-L45P-PURPLE-5402</t>
  </si>
  <si>
    <t>I-L45P-PURPLE-5403</t>
  </si>
  <si>
    <t>I-L45P-PURPLE-5404</t>
  </si>
  <si>
    <t>I-L45P-PURPLE-5405</t>
  </si>
  <si>
    <t>I-L45P-PURPLE-5406</t>
  </si>
  <si>
    <t>I-L45P-PURPLE-5407</t>
  </si>
  <si>
    <t>I-L45P-PURPLE-5408</t>
  </si>
  <si>
    <t>I-L45P-PURPLE-5409</t>
  </si>
  <si>
    <t>I-L45P-PURPLE-5410</t>
  </si>
  <si>
    <t>I-L45P-PURPLE-5411</t>
  </si>
  <si>
    <t>I-L45P-PURPLE-5501</t>
  </si>
  <si>
    <t>I-L45P-PURPLE-5502</t>
  </si>
  <si>
    <t>BATHROOM 01 -ELEVATION a</t>
  </si>
  <si>
    <t>I-L45P-PURPLE-5503</t>
  </si>
  <si>
    <t>BATHROOM 01 -ELEVATION b &amp; d</t>
  </si>
  <si>
    <t>I-L45P-PURPLE-5504</t>
  </si>
  <si>
    <t>BATHROOM 01 -ELEVATION c</t>
  </si>
  <si>
    <t>I-L45P-PURPLE-5511</t>
  </si>
  <si>
    <t>I-L45P-PURPLE-5512</t>
  </si>
  <si>
    <t>I-L45P-PURPLE-5513</t>
  </si>
  <si>
    <t>BATHROOM 02 -ELEVATION c</t>
  </si>
  <si>
    <t>I-L45P-PURPLE-5521</t>
  </si>
  <si>
    <t>I-L45P-PURPLE-5522</t>
  </si>
  <si>
    <t>BATHROOM 03 -ELEVATION b</t>
  </si>
  <si>
    <t>I-L45P-PURPLE-5523</t>
  </si>
  <si>
    <t>I-L45P-PURPLE-5531</t>
  </si>
  <si>
    <t>I-L45P-PURPLE-5532</t>
  </si>
  <si>
    <t>BATHROOM 04 -ELEVATION b</t>
  </si>
  <si>
    <t>I-L45P-PURPLE-5533</t>
  </si>
  <si>
    <t>BATHROOM 04 -ELEVATION c</t>
  </si>
  <si>
    <t>I-L45P-PURPLE-5541</t>
  </si>
  <si>
    <t>I-L45P-PURPLE-5542</t>
  </si>
  <si>
    <t>BATHROOM 05 -ELEVATION c</t>
  </si>
  <si>
    <t>I-L45P-PURPLE-5543</t>
  </si>
  <si>
    <t>BATHROOM 05 -ELEVATION a</t>
  </si>
  <si>
    <t>I-L45P-PURPLE-5551</t>
  </si>
  <si>
    <t>I-L45P-PURPLE-5552</t>
  </si>
  <si>
    <t>I-L45P-PURPLE-5553</t>
  </si>
  <si>
    <t>5002</t>
  </si>
  <si>
    <t>West Boundary Wall Detail - 03</t>
  </si>
  <si>
    <t>SDV</t>
  </si>
  <si>
    <t>5103</t>
  </si>
  <si>
    <t>Ramp Details - 3 - Ramp Adjacent To Stepped Tower 6</t>
  </si>
  <si>
    <t>5301</t>
  </si>
  <si>
    <t>Outdoor Structures -Property Management Staff and Store Rooms</t>
  </si>
  <si>
    <t>8001</t>
  </si>
  <si>
    <t>Phase 2 Signage Plan</t>
  </si>
  <si>
    <t>8002</t>
  </si>
  <si>
    <t>Phase 2 Signage Details</t>
  </si>
  <si>
    <t>A-00-0013</t>
  </si>
  <si>
    <t>SITE PLAN-LIGHTING LAYOUT</t>
  </si>
  <si>
    <t>A-00-0021</t>
  </si>
  <si>
    <t>VILLA SITE PLAN</t>
  </si>
  <si>
    <t>A-00-0031</t>
  </si>
  <si>
    <t>VILLA CLUSTER 1 PLAN- LEVEL 1</t>
  </si>
  <si>
    <t>A-00-00121</t>
  </si>
  <si>
    <t>SITE PLAN - LEVEL 1</t>
  </si>
  <si>
    <t>A-00-1402</t>
  </si>
  <si>
    <t>VILLA STREET LIGHTING LAYOUT</t>
  </si>
  <si>
    <t>A-00-1411</t>
  </si>
  <si>
    <t>TREE TUB STREET LIGHT PLAN, SECTION &amp; DETAILS</t>
  </si>
  <si>
    <t>A-00-3001</t>
  </si>
  <si>
    <t>SITE SECTION - THROUGH BLOCK 2 &amp; 4</t>
  </si>
  <si>
    <t>A-00-3002</t>
  </si>
  <si>
    <t>SITE SECTION - THROUGH CENTRAL GREEN</t>
  </si>
  <si>
    <t>A-00-4111</t>
  </si>
  <si>
    <t>PART PLAN - SOUTH WEST ENTRANCE</t>
  </si>
  <si>
    <t>A-00-4113</t>
  </si>
  <si>
    <t>T08 CONNECTING BRIDGE</t>
  </si>
  <si>
    <t>A-00-4114</t>
  </si>
  <si>
    <t>CENTRAL GREEN PAVEMENT DETAIL - 1</t>
  </si>
  <si>
    <t>A-00-4115</t>
  </si>
  <si>
    <t>RAMP 5 DETAILS</t>
  </si>
  <si>
    <t>A-00-4401</t>
  </si>
  <si>
    <t>TYPICAL RAILING DETAIL - CENTRAL GREEN WALL</t>
  </si>
  <si>
    <t>A-00-4402</t>
  </si>
  <si>
    <t>RAILING PLAN - CENTRAL GREEN</t>
  </si>
  <si>
    <t>A-00-5001</t>
  </si>
  <si>
    <t>WEST BOUNDARY WALL DETAIL-1</t>
  </si>
  <si>
    <t>A-00-5002</t>
  </si>
  <si>
    <t>WEST BOUNDARY WALL DETAIL-2</t>
  </si>
  <si>
    <t>A-00-5007</t>
  </si>
  <si>
    <t>WEST BOUNDARY WALL - PART A &amp; B</t>
  </si>
  <si>
    <t>A-00-5008</t>
  </si>
  <si>
    <t>WEST BOUNDARY WALL PART C, D, E &amp; F</t>
  </si>
  <si>
    <t>A-00-5009</t>
  </si>
  <si>
    <t>EAST BOUNDARY WALL PART A &amp; B</t>
  </si>
  <si>
    <t>A-00-5011</t>
  </si>
  <si>
    <t>T6S - BOUNDARY WALL</t>
  </si>
  <si>
    <t>A-00-5802</t>
  </si>
  <si>
    <t>CHAMBER SETTING OUT - 1-NS - VILLA PARKING</t>
  </si>
  <si>
    <t>A-00-5806</t>
  </si>
  <si>
    <t>1-NS TYPICAL SECTION THROUGH PARKING</t>
  </si>
  <si>
    <t>2-NS TYPICAL SECTION THROUGH TREE TUB</t>
  </si>
  <si>
    <t>A-00-8004</t>
  </si>
  <si>
    <t>SITE SIGNAGES - PHASE 1</t>
  </si>
  <si>
    <t>A-00-8005</t>
  </si>
  <si>
    <t>SITE SIGNAGES - TOWER 9</t>
  </si>
  <si>
    <t>A-00-8006</t>
  </si>
  <si>
    <t>TYPICAL VILLA SIGNAGE - DETAILS</t>
  </si>
  <si>
    <t>A-RSC-1001</t>
  </si>
  <si>
    <t>GA PLANS</t>
  </si>
  <si>
    <t>A-RSC-1101</t>
  </si>
  <si>
    <t>MASONRY &amp; FLOORING</t>
  </si>
  <si>
    <t>A-RSC-1401</t>
  </si>
  <si>
    <t>ELECTRICAL AND REFLECTED CEILING PLAN</t>
  </si>
  <si>
    <t>A-RSC-2001</t>
  </si>
  <si>
    <t>GA ELEVATIONS</t>
  </si>
  <si>
    <t>A-RSC-2002</t>
  </si>
  <si>
    <t>A-RSC-3001</t>
  </si>
  <si>
    <t>GA SECTIONS</t>
  </si>
  <si>
    <t>A-RSC-4101</t>
  </si>
  <si>
    <t>GATE DETAILS</t>
  </si>
  <si>
    <t>A-RSC-4111</t>
  </si>
  <si>
    <t>CABINETRY DETAILS</t>
  </si>
  <si>
    <t>A-RSC-4131</t>
  </si>
  <si>
    <t>SIGNAGE DETAILS</t>
  </si>
  <si>
    <t>A-RSC-4301</t>
  </si>
  <si>
    <t>DETAIL WALL SECTIONS</t>
  </si>
  <si>
    <t>A-RSC-4701</t>
  </si>
  <si>
    <t>DOOR DETAILS - D01</t>
  </si>
  <si>
    <t>A-RSC-4702</t>
  </si>
  <si>
    <t>DOOR DETAILS - D02</t>
  </si>
  <si>
    <t>A-RSC-4703</t>
  </si>
  <si>
    <t>SHAFT DOOR DETAILS - SD01</t>
  </si>
  <si>
    <t>A-RSC-4704</t>
  </si>
  <si>
    <t>WINDOW DETAILS - W01</t>
  </si>
  <si>
    <t>A-RSC-5501</t>
  </si>
  <si>
    <t>TOILET DETAILS</t>
  </si>
  <si>
    <t>A-RSC-7401</t>
  </si>
  <si>
    <t>LIGHTING SPECIFICATION</t>
  </si>
  <si>
    <t>A-SC-0001</t>
  </si>
  <si>
    <t>SECURITY CABIN - SITE DETAILS</t>
  </si>
  <si>
    <t>A-SC-1001</t>
  </si>
  <si>
    <t>SECURITY CABIN - PLANS , ELEVATIONS AND SECTIONS</t>
  </si>
  <si>
    <t>A-SC-1002</t>
  </si>
  <si>
    <t>SECTIONAL ELEVATION - DB LOCATION</t>
  </si>
  <si>
    <t>A-SC-1401</t>
  </si>
  <si>
    <t>ELECTRICAL DETAILS</t>
  </si>
  <si>
    <t>A-SC-4451</t>
  </si>
  <si>
    <t>WIRE - CUT DETAILS SECURITY CABIN</t>
  </si>
  <si>
    <t>A-SC-4701</t>
  </si>
  <si>
    <t>SECURITY CABIN - WINDOW DRAWINGS</t>
  </si>
  <si>
    <t>A-SC-4702</t>
  </si>
  <si>
    <t>DOOR 01</t>
  </si>
  <si>
    <t>A-SC-4703</t>
  </si>
  <si>
    <t>DOOR 02</t>
  </si>
  <si>
    <t>A-SC-4704</t>
  </si>
  <si>
    <t>VENTILATOR - V1</t>
  </si>
  <si>
    <t>A-SC-4705</t>
  </si>
  <si>
    <t>WINDOW W1</t>
  </si>
  <si>
    <t>A-SC-5501</t>
  </si>
  <si>
    <t>SECURITY CABIN - TOILET LAYOUT</t>
  </si>
  <si>
    <t>A-SC-5502</t>
  </si>
  <si>
    <t>SECURITY CABIN - PANTRY</t>
  </si>
  <si>
    <t>A-SC-6601</t>
  </si>
  <si>
    <t>CORTEN STEEL PANEL &amp; SIGNAGE DETAILS</t>
  </si>
  <si>
    <t>A-SC-7520</t>
  </si>
  <si>
    <t>LIGHT FIXTURES</t>
  </si>
  <si>
    <t>PMD - LOOSE FURNITURE SHEET - 1 OF 2</t>
  </si>
  <si>
    <t>A-T1-7522</t>
  </si>
  <si>
    <t>PMD LOOSE FURNITURE (1 of 2)</t>
  </si>
  <si>
    <t>PMD - LOOSE FURNITURE SHEET - 2 OF 2</t>
  </si>
  <si>
    <t>A-CGP-0010</t>
  </si>
  <si>
    <t>SITE PLAN</t>
  </si>
  <si>
    <t>A-CGP-0011</t>
  </si>
  <si>
    <t>SITE PLAN - POOL</t>
  </si>
  <si>
    <t>A-CGP-0012</t>
  </si>
  <si>
    <t>SITE SECTIONS</t>
  </si>
  <si>
    <t>A-CGP-1001</t>
  </si>
  <si>
    <t>LEVEL 1 AND LEVEL -1 PLANS</t>
  </si>
  <si>
    <t>A-CGP-1002</t>
  </si>
  <si>
    <t>ROOF PLAN</t>
  </si>
  <si>
    <t>A-CGP-2001</t>
  </si>
  <si>
    <t>GA ELEVATION</t>
  </si>
  <si>
    <t>A-CGP-3001</t>
  </si>
  <si>
    <t>A-BA1-4701</t>
  </si>
  <si>
    <t>FIRE DOOR - D01</t>
  </si>
  <si>
    <t>A-DG1-1001</t>
  </si>
  <si>
    <t>G.A PLAN - LEVEL 01</t>
  </si>
  <si>
    <t>A-DG1-1002</t>
  </si>
  <si>
    <t>G.A PLAN - BASEMENT</t>
  </si>
  <si>
    <t>A-DG1-1003</t>
  </si>
  <si>
    <t>G.A PLAN - ROOF PLAN</t>
  </si>
  <si>
    <t>A-DG1-1101</t>
  </si>
  <si>
    <t>MASONRY PLAN</t>
  </si>
  <si>
    <t>A-DG1-1401</t>
  </si>
  <si>
    <t>ELECTRICAL PLAN</t>
  </si>
  <si>
    <t>A-DG1-2001</t>
  </si>
  <si>
    <t>G.A ELEVATIONS</t>
  </si>
  <si>
    <t>A-DG1-3001</t>
  </si>
  <si>
    <t>A-DG1-4401</t>
  </si>
  <si>
    <t>WIRECUT BRICK DETAILS</t>
  </si>
  <si>
    <t>A-DG1-4701</t>
  </si>
  <si>
    <t>FIRE DOOR - D 01</t>
  </si>
  <si>
    <t>A-DG1-4702</t>
  </si>
  <si>
    <t>FIRE DOOR - D 02</t>
  </si>
  <si>
    <t>A-DG1-4703</t>
  </si>
  <si>
    <t>LOUVER - W 01</t>
  </si>
  <si>
    <t>A-DG1-7101</t>
  </si>
  <si>
    <t>DOOR AND LOUVER SPECIFICATION / FINISHES</t>
  </si>
  <si>
    <t>A-DG3-1001</t>
  </si>
  <si>
    <t>MASONRY AND FLOORING PLAN - LEVEL 01</t>
  </si>
  <si>
    <t>A-DG3-1002</t>
  </si>
  <si>
    <t>G.A PLAN - ROOF LEVEL</t>
  </si>
  <si>
    <t>A-DG3-1401</t>
  </si>
  <si>
    <t>A-DG3-2001</t>
  </si>
  <si>
    <t>A-DG3-3001</t>
  </si>
  <si>
    <t>A-DG3-4401</t>
  </si>
  <si>
    <t>WIRECUT DETAIL</t>
  </si>
  <si>
    <t>A-DG3-4701</t>
  </si>
  <si>
    <t>A-DG3-4702</t>
  </si>
  <si>
    <t>LOUVERED WINDOW DETAILS</t>
  </si>
  <si>
    <t>A-DG3-7101</t>
  </si>
  <si>
    <t>SPECIFICATION AND FINISHES</t>
  </si>
  <si>
    <t>A-STP1-1101</t>
  </si>
  <si>
    <t>MASONRY PLAN - STP 01</t>
  </si>
  <si>
    <t>A-STP1-4101</t>
  </si>
  <si>
    <t>DETAIL PLAN - RAILING</t>
  </si>
  <si>
    <t>A-STP1-4102</t>
  </si>
  <si>
    <t>RAILING DETAILS</t>
  </si>
  <si>
    <t>A-STP2-1001</t>
  </si>
  <si>
    <t>STP 02 FLOOR PLANS</t>
  </si>
  <si>
    <t>A-STP2-1002</t>
  </si>
  <si>
    <t>STP 02 SECTIONS</t>
  </si>
  <si>
    <t>A-STP2-1403</t>
  </si>
  <si>
    <t>A-TR1-1001</t>
  </si>
  <si>
    <t>TRANSFORMER YARD PLANS,ELEVATIONS AND SECTIONS</t>
  </si>
  <si>
    <t>A-UGT1-1101</t>
  </si>
  <si>
    <t>MASONRY PLAN - UGT 01</t>
  </si>
  <si>
    <t>A-UGT2&amp;3-1001</t>
  </si>
  <si>
    <t>GA PLAN</t>
  </si>
  <si>
    <t>A-UGT2&amp;3-1101</t>
  </si>
  <si>
    <t>MASONRY PLAN - UGT 02 &amp; 03</t>
  </si>
  <si>
    <t>A-UGT2&amp;3-1405</t>
  </si>
  <si>
    <t>ORGANIC WASTE CONVERTER</t>
  </si>
  <si>
    <t>0000</t>
  </si>
  <si>
    <t>Abbreviations, Symbols and Annotations</t>
  </si>
  <si>
    <t>0011</t>
  </si>
  <si>
    <t>Setout Plan - Columns</t>
  </si>
  <si>
    <t>G.A. Plan – SSL 1 - Level 1</t>
  </si>
  <si>
    <t>1002</t>
  </si>
  <si>
    <t>G.A. Plan – SSL 2 - Level 2</t>
  </si>
  <si>
    <t xml:space="preserve">G.A. Plan – Roof Level </t>
  </si>
  <si>
    <t>Masonry Setout Plan – SSL 1 - Level 1</t>
  </si>
  <si>
    <t>Masonry Setout Plan – SSL 1 - Level 2</t>
  </si>
  <si>
    <t>Flooring Plan – SSL 1 - Level 2</t>
  </si>
  <si>
    <t>Flooring Plan – SSL 1 - Level 1</t>
  </si>
  <si>
    <t>1303</t>
  </si>
  <si>
    <t>Flooring Plan – Roof</t>
  </si>
  <si>
    <t>Electrical - Level -1</t>
  </si>
  <si>
    <t>Electrical - Level -2</t>
  </si>
  <si>
    <t>Electrical - Roof</t>
  </si>
  <si>
    <t>Switch Schedule</t>
  </si>
  <si>
    <t>Lighting Fixture  Schedule</t>
  </si>
  <si>
    <t>2001</t>
  </si>
  <si>
    <t>GA - Elevations</t>
  </si>
  <si>
    <t>3001</t>
  </si>
  <si>
    <t>GA -Sections</t>
  </si>
  <si>
    <t>3002</t>
  </si>
  <si>
    <t>Wall Section - 1</t>
  </si>
  <si>
    <t>Wall Section - 2</t>
  </si>
  <si>
    <t>Roof Section</t>
  </si>
  <si>
    <t>Staircase 1 - Detail</t>
  </si>
  <si>
    <t>Area Plan - Level 1</t>
  </si>
  <si>
    <t>Area Plan - Level 2</t>
  </si>
  <si>
    <t>Level 1 Signage</t>
  </si>
  <si>
    <t>Level 2 Signage</t>
  </si>
  <si>
    <t>External Views</t>
  </si>
  <si>
    <t>CLUBHOUSE</t>
  </si>
  <si>
    <t>A-CH-0011</t>
  </si>
  <si>
    <t>COLUMN SETTING OUT</t>
  </si>
  <si>
    <t>AMN</t>
  </si>
  <si>
    <t>A-CH-1001</t>
  </si>
  <si>
    <t>FLOOR PLAN - SSL1 - LEVEL 1</t>
  </si>
  <si>
    <t>A-CH-1002</t>
  </si>
  <si>
    <t>FLOOR PLAN - SSL 2 - LEVEL 2</t>
  </si>
  <si>
    <t>A-CH-1003</t>
  </si>
  <si>
    <t>A-CH-1100</t>
  </si>
  <si>
    <t>A-CH-1101</t>
  </si>
  <si>
    <t>MASONRY SET OUT PLAN - SSL1 - LEVEL 1</t>
  </si>
  <si>
    <t>A-CH-1102</t>
  </si>
  <si>
    <t>MASONRY SET OUT PLAN - SSL 1 - LEVEL 1 - PART PLAN A</t>
  </si>
  <si>
    <t>A-CH-1103</t>
  </si>
  <si>
    <t>MASONRY SET OUT PLAN - SSL 1 - LEVEL 1 - PART PLAN - B</t>
  </si>
  <si>
    <t>A-CH-1104</t>
  </si>
  <si>
    <t>MASONRY SET OUT PLAN - SSL 2 - LEVEL 2</t>
  </si>
  <si>
    <t>A-CH-1105</t>
  </si>
  <si>
    <t>MASONRY SET OUT PLAN - SSL 2 - LEVEL 2 - PART PLAN - A</t>
  </si>
  <si>
    <t>A-CH-1106</t>
  </si>
  <si>
    <t>MASONRY SET OUT PLAN - SSL 2 - LEVEL 2 - PART PLAN - B</t>
  </si>
  <si>
    <t>A-CH-1304</t>
  </si>
  <si>
    <t>KITCHEN, HANDWASH AREA &amp; FILTRATION ROOM-GRADE SLAB DETAILS</t>
  </si>
  <si>
    <t>A-CH-1305</t>
  </si>
  <si>
    <t>KITCHEN, HANDWASH AREA &amp; FILTRATION ROOM- GRADE SLAB VIEWS</t>
  </si>
  <si>
    <t>A-CH-2001</t>
  </si>
  <si>
    <t>GA - ELEVATIONS</t>
  </si>
  <si>
    <t>A-CH-3001</t>
  </si>
  <si>
    <t>GA - SECTIONS</t>
  </si>
  <si>
    <t>A-CH-3002</t>
  </si>
  <si>
    <t>A-CH-3003</t>
  </si>
  <si>
    <t>A-CH-3004</t>
  </si>
  <si>
    <t>A-CH-4319</t>
  </si>
  <si>
    <t>CLUB HOUSE EXTERIOR ENVELOPE DETAILS</t>
  </si>
  <si>
    <t>A-CH-4320</t>
  </si>
  <si>
    <t>A-CH-4321</t>
  </si>
  <si>
    <t>CLUB HOUSE - MAIN ENTRANCE DETAIL</t>
  </si>
  <si>
    <t>A-CH-4601</t>
  </si>
  <si>
    <t>CLUBHOUSE STAIRCASE - DETAILS</t>
  </si>
  <si>
    <t>A-CH-4602</t>
  </si>
  <si>
    <t>STAIRCASE 2 - DETAILS</t>
  </si>
  <si>
    <t>A-CH-1401</t>
  </si>
  <si>
    <t>ELECTRICAL LAYOUT - LEVEL 1</t>
  </si>
  <si>
    <t>A-CH-1401a</t>
  </si>
  <si>
    <t>ELECTRICAL LAYOUT - PART PLANS - LEVEL 1</t>
  </si>
  <si>
    <t>A-CH-1402</t>
  </si>
  <si>
    <t>ELECTRICAL LAYOUT - LEVEL 2</t>
  </si>
  <si>
    <t>A-CH-1402a</t>
  </si>
  <si>
    <t>ELECTRICAL LAYOUT - PART A - LEVEL 2</t>
  </si>
  <si>
    <t>A-CH-1402b</t>
  </si>
  <si>
    <t>ELECTRICAL LAYOUT - PART B - LEVEL 2</t>
  </si>
  <si>
    <t>A-CH-1403</t>
  </si>
  <si>
    <t>ELECTRICAL LAYOUT - EXTERIOR LIGHTING</t>
  </si>
  <si>
    <t>A-CH-1403a</t>
  </si>
  <si>
    <t>ELECTRICAL LAYOUT - PART PLAN - BLOCK A</t>
  </si>
  <si>
    <t>A-CH-1403b</t>
  </si>
  <si>
    <t>ELECTRICAL - PART PLAN - BLOCK B</t>
  </si>
  <si>
    <t>A-CH-1404</t>
  </si>
  <si>
    <t>LIGHTING AND SWITCHBOARD SCHEDULE- LVL 02</t>
  </si>
  <si>
    <t>A-CH-1405</t>
  </si>
  <si>
    <t>LIGHTING AND SWITCHBOARD SCHEDULE- LVL 01</t>
  </si>
  <si>
    <t>A-CH-1501</t>
  </si>
  <si>
    <t>REFLECTED CEILING PLAN - GRADE SLAB - LEVEL 1</t>
  </si>
  <si>
    <t>A-CH-1502</t>
  </si>
  <si>
    <t>REFLECTED CEILING PLAN - GRADE SLAB - LEVEL 1 - PART PLANS</t>
  </si>
  <si>
    <t>A-CH-1503</t>
  </si>
  <si>
    <t>REFLECTED CEILING PLAN - SSL 1 - LEVEL 2</t>
  </si>
  <si>
    <t>A-CH-1504</t>
  </si>
  <si>
    <t>REFLECTED CEILING PLAN - SSL 1 - LEVEL 2 - PART PLAN - A</t>
  </si>
  <si>
    <t>A-CH-1505</t>
  </si>
  <si>
    <t>REFLECTED CEILING PLAN - SSL 1 - LEVEL 2 - PART PLAN - B</t>
  </si>
  <si>
    <t>A-CH-4003</t>
  </si>
  <si>
    <t>SQUASH COURT 1 - LEVEL 1 - PLAN AND ELEVATIONS</t>
  </si>
  <si>
    <t>A-CH-4004</t>
  </si>
  <si>
    <t>SQUASH COURT 2 - LEVEL 1 - PLAN AND ELEVATIONS</t>
  </si>
  <si>
    <t>A-CH-4005</t>
  </si>
  <si>
    <t>THEATRE AND AV ROOM - LEVEL 1- PLAN AND SECTIONS</t>
  </si>
  <si>
    <t>A-CH-4006</t>
  </si>
  <si>
    <t>MULTIPURPOSE HALL - LEVEL 1 - PLAN AND ELEVATIONS</t>
  </si>
  <si>
    <t>A-CH-4007</t>
  </si>
  <si>
    <t>A-CH-4008</t>
  </si>
  <si>
    <t>MULTIPURPOSE HALL - LEVEL 1 - ELEVATIONS</t>
  </si>
  <si>
    <t>A-CH-4009</t>
  </si>
  <si>
    <t>YOGA/DANCE STUDIO - LEVEL 1 - PLAN AND ELEVATIONS</t>
  </si>
  <si>
    <t>A-CH-4010</t>
  </si>
  <si>
    <t>GYM - LEVEL 2 - PLAN AND ELEVATIONS</t>
  </si>
  <si>
    <t>A-CH-4011</t>
  </si>
  <si>
    <t>GYM - LEVEL 2 - ELEVATIONS</t>
  </si>
  <si>
    <t>A-CH-4012</t>
  </si>
  <si>
    <t>SUITE - LEVEL 2 - PLAN AND ELEVATIONS</t>
  </si>
  <si>
    <t>A-CH-4013</t>
  </si>
  <si>
    <t>A-CH-4014</t>
  </si>
  <si>
    <t>SUITE BATHROOM - LEVEL 2 - PLAN AND ELEVATIONS</t>
  </si>
  <si>
    <t>A-CH-4015</t>
  </si>
  <si>
    <t>INDOOR GAMES - LEVEL 1 - PLAN</t>
  </si>
  <si>
    <t>A-CH-4016</t>
  </si>
  <si>
    <t>INDOOR GAMES - ELEVATIONS</t>
  </si>
  <si>
    <t>A-CH-4020</t>
  </si>
  <si>
    <t>HANDWASH AREA - DETAILS</t>
  </si>
  <si>
    <t>A-CH-4021</t>
  </si>
  <si>
    <t>STEAM ROOM - DETAILS</t>
  </si>
  <si>
    <t>A-CH-4022</t>
  </si>
  <si>
    <t>LIFT LOBBY DETAILS - LEVEL 1 &amp; LEVEL 2</t>
  </si>
  <si>
    <t>A-CH-4032</t>
  </si>
  <si>
    <t>GYMNASIUM - LEVEL 2 - SIGNAGE</t>
  </si>
  <si>
    <t>A-CH-4033</t>
  </si>
  <si>
    <t>SIGNAGE DETAIL-LEVEL 01</t>
  </si>
  <si>
    <t>A-CH-4034</t>
  </si>
  <si>
    <t>SIGNAGE DETAIL-LEVEL 02</t>
  </si>
  <si>
    <t>A-CH-4035</t>
  </si>
  <si>
    <t>SIGNAGE DETAIL-CUSTOMIZED</t>
  </si>
  <si>
    <t>A-CH-4037</t>
  </si>
  <si>
    <t>CAFETERIA DETAIL</t>
  </si>
  <si>
    <t>A-CH-4040</t>
  </si>
  <si>
    <t>FLOOR TRANSITION DETAIL-STONE TO BRICK</t>
  </si>
  <si>
    <t>A-CH-4041</t>
  </si>
  <si>
    <t>CAFETERIA-WIRECUT &amp; COUNTER DETAIL</t>
  </si>
  <si>
    <t>A-CH-4043</t>
  </si>
  <si>
    <t>GOLF SIMULATOR - PLAN &amp; ELEVATION DETAILS</t>
  </si>
  <si>
    <t>A-CH-4044</t>
  </si>
  <si>
    <t>SQUASH COURT 1&amp; 2 - STANDARD DETAILS</t>
  </si>
  <si>
    <t>A-CH-4045</t>
  </si>
  <si>
    <t>CARROM &amp; CHESS BOARD - TABLE DESIGN INTENT</t>
  </si>
  <si>
    <t>A-CH-4046</t>
  </si>
  <si>
    <t>GOLF SIMULATOR - TYPICAL DETAILS</t>
  </si>
  <si>
    <t>A-CH-4047</t>
  </si>
  <si>
    <t>GOLF SIMULATOR - PC TABLE DETAILS</t>
  </si>
  <si>
    <t>A-CH-4701</t>
  </si>
  <si>
    <t>A-CH-4702</t>
  </si>
  <si>
    <t>DOOR D3 &amp; W2</t>
  </si>
  <si>
    <t>A-CH-4704</t>
  </si>
  <si>
    <t>WINDOW W4</t>
  </si>
  <si>
    <t>A-CH-4705</t>
  </si>
  <si>
    <t>DOOR D12 &amp; W5</t>
  </si>
  <si>
    <t>A-CH-4706</t>
  </si>
  <si>
    <t>WINDOW W6</t>
  </si>
  <si>
    <t>A-CH-4707</t>
  </si>
  <si>
    <t>DOOR D8 &amp; W7</t>
  </si>
  <si>
    <t>A-CH-4708</t>
  </si>
  <si>
    <t>WINDOW W8</t>
  </si>
  <si>
    <t>A-CH-4709</t>
  </si>
  <si>
    <t>WINDOW W9</t>
  </si>
  <si>
    <t>A-CH-4710</t>
  </si>
  <si>
    <t>DOOR D8 &amp; W10</t>
  </si>
  <si>
    <t>A-CH-4711</t>
  </si>
  <si>
    <t>WINDOW W11</t>
  </si>
  <si>
    <t>A-CH-4712</t>
  </si>
  <si>
    <t>WINDOW W12</t>
  </si>
  <si>
    <t>A-CH-4725</t>
  </si>
  <si>
    <t>WINDOW 6b</t>
  </si>
  <si>
    <t>A-CH-4726</t>
  </si>
  <si>
    <t>WINDOW W14 a</t>
  </si>
  <si>
    <t>A-CH-4728</t>
  </si>
  <si>
    <t>WINDOW W8 b</t>
  </si>
  <si>
    <t>A-CH-4729</t>
  </si>
  <si>
    <t>WINDOW W14 b</t>
  </si>
  <si>
    <t>A-CH-4732</t>
  </si>
  <si>
    <t>DOOR D19</t>
  </si>
  <si>
    <t>A-CH-5401</t>
  </si>
  <si>
    <t>KITCHEN &amp; FILTRATION ROOM LEVEL 1 - PLAN &amp; SECTION</t>
  </si>
  <si>
    <t>A-CH-5402</t>
  </si>
  <si>
    <t>KITCHEN &amp; FILTRATION ROOM - LEVEL 1 - SECTIONS</t>
  </si>
  <si>
    <t>A-CH-5403</t>
  </si>
  <si>
    <t>SERVICE YARD - LEVEL 2 - PLAN, SECTION &amp; VIEWS</t>
  </si>
  <si>
    <t>A-CH-5405</t>
  </si>
  <si>
    <t>SERVICE YARD - DETAILS</t>
  </si>
  <si>
    <t>A-CH-5506</t>
  </si>
  <si>
    <t>MEN'S TOILET - LEVEL 2 - PLAN AND SECTIONS</t>
  </si>
  <si>
    <t>A-CH-5507</t>
  </si>
  <si>
    <t>MEN'S TOILET - LEVEL 2 - SECTIONS</t>
  </si>
  <si>
    <t>A-CH-5508</t>
  </si>
  <si>
    <t>WOMEN'S TOILET - LEVEL 2 - PLAN AND SECTIONS</t>
  </si>
  <si>
    <t>A-CH-5509</t>
  </si>
  <si>
    <t>WOMEN'S TOILET - LEVEL 2 - SECTIONS</t>
  </si>
  <si>
    <t>A-CH-5510</t>
  </si>
  <si>
    <t>A-CH-5511</t>
  </si>
  <si>
    <t>A-CH-5512</t>
  </si>
  <si>
    <t>MEN'S TOILET - LEVEL 2 - CEILING PLAN</t>
  </si>
  <si>
    <t>A-CH-5513</t>
  </si>
  <si>
    <t>WOMEN'S TOILET - LEVEL 2 - CEILING PLAN</t>
  </si>
  <si>
    <t>A-CH-5514</t>
  </si>
  <si>
    <t>ACCESSIBLE TOILET - PLAN &amp; SECTION'S</t>
  </si>
  <si>
    <t>A-CH-1303</t>
  </si>
  <si>
    <t>SURFACE DRAINAGE PLAN - POOL DECK</t>
  </si>
  <si>
    <t>A-CH-1410</t>
  </si>
  <si>
    <t>EXTERNAL POOL LIGHTING</t>
  </si>
  <si>
    <t>A-CH-4023</t>
  </si>
  <si>
    <t>HEATED POOL PLAN - FOOTING LAYOUT</t>
  </si>
  <si>
    <t>A-CH-4024</t>
  </si>
  <si>
    <t>HEATED POOL PLAN- DECK LEVEL</t>
  </si>
  <si>
    <t>A-CH-4025</t>
  </si>
  <si>
    <t>HEATED POOL PLAN- ROOF LEVEL</t>
  </si>
  <si>
    <t>A-CH-4026</t>
  </si>
  <si>
    <t>HEATED POOL - SECTIONS</t>
  </si>
  <si>
    <t>A-CH-4027</t>
  </si>
  <si>
    <t>HEATED POOL - SECTIONS &amp; VIEWS</t>
  </si>
  <si>
    <t>A-CH-4028</t>
  </si>
  <si>
    <t>HEATED POOL DETAILS-02</t>
  </si>
  <si>
    <t>A-CH-4029</t>
  </si>
  <si>
    <t>HEATED POOL - SKYLIGHT</t>
  </si>
  <si>
    <t>A-CH-4030</t>
  </si>
  <si>
    <t>HEATED POOL - SKYLIGHT DETAILS</t>
  </si>
  <si>
    <t>A-CH-4036</t>
  </si>
  <si>
    <t>POOL BOLLARD DETAILS</t>
  </si>
  <si>
    <t>A-BW-0011</t>
  </si>
  <si>
    <t>BOARD WALK - SETTING OUT AND TYPICAL SECTION</t>
  </si>
  <si>
    <t>Sporting Complex</t>
  </si>
  <si>
    <t>GENERAL 0000</t>
  </si>
  <si>
    <t>SETTING OUT PLANS 00XX</t>
  </si>
  <si>
    <t>GENERAL ARRANGEMENT - PLANS - 10XX</t>
  </si>
  <si>
    <t>G.A. Plan – SSL 2 - Level 2 Roof</t>
  </si>
  <si>
    <t>MASONARY  PLANS 11XX</t>
  </si>
  <si>
    <t>Masonry Setout Plan – Level 1</t>
  </si>
  <si>
    <t>Masonry Setout Plan  - Level 2</t>
  </si>
  <si>
    <t>FLOORING PLANS 13XX</t>
  </si>
  <si>
    <t>Flooring Plan – Level 1</t>
  </si>
  <si>
    <t>Flooring Plan – Level 2 Roof</t>
  </si>
  <si>
    <t>ELECTRICAL (co-orinated) - 14XX</t>
  </si>
  <si>
    <t>Electrical - Level -2 Roof</t>
  </si>
  <si>
    <t xml:space="preserve">REFLECTED CEILING PLANS WITH SLEEVE INFORMATION  (co-orinated) - 15XX </t>
  </si>
  <si>
    <t>Reflected Ceiling Plan – SSL 1 - Level 1</t>
  </si>
  <si>
    <t>Reflected Ceiling Plan – SSL 1 - Level 2 - Roof</t>
  </si>
  <si>
    <t>GENERAL ARRANGEMENT - ELEVATIONS - 20XX</t>
  </si>
  <si>
    <t>GENERAL ARRANGEMENT - SECTIONS - 30XX</t>
  </si>
  <si>
    <t>DETAILED PLANS ( with false ceiling) -  40XX</t>
  </si>
  <si>
    <t>Badminton Court Details 1</t>
  </si>
  <si>
    <t>Badminton Court Details 2</t>
  </si>
  <si>
    <t>Tennis Court Details 1</t>
  </si>
  <si>
    <t>Tennis Court Details 2</t>
  </si>
  <si>
    <t>BUILDING ENVOLOPE DETAILS -  44XX</t>
  </si>
  <si>
    <t>STAIRCASE DETAILS - 46XX</t>
  </si>
  <si>
    <t>DOOR WINDOW-  47XX</t>
  </si>
  <si>
    <t>TOILET DETAILS - 55XX</t>
  </si>
  <si>
    <t>Toilet 1 &amp; 2 - Level 1 - Plan</t>
  </si>
  <si>
    <t>Toilet 1 - Level 1 - Elevations</t>
  </si>
  <si>
    <t>Toilet 2 - Level 1 - Elevations</t>
  </si>
  <si>
    <t>AREA PLANS - 66XX</t>
  </si>
  <si>
    <t>SIGNAGE &amp; BRANDING - 80XX</t>
  </si>
  <si>
    <t>RENDERS &amp; VIEWS - 81XX</t>
  </si>
  <si>
    <t>External Views (A)</t>
  </si>
  <si>
    <t>External Views (B)</t>
  </si>
  <si>
    <t>@</t>
  </si>
  <si>
    <t>Plan in FY 25</t>
  </si>
  <si>
    <t>Issued in FY 25</t>
  </si>
  <si>
    <t>ST | DRAWING LIST</t>
  </si>
  <si>
    <t>Revision</t>
  </si>
  <si>
    <t>Mar-22</t>
  </si>
  <si>
    <t>In ACC?</t>
  </si>
  <si>
    <t>S-E01-FD0001</t>
  </si>
  <si>
    <t>Extended Basement - Block 1 - Foundation Layout</t>
  </si>
  <si>
    <t>NF</t>
  </si>
  <si>
    <t>S-E01-FD0002</t>
  </si>
  <si>
    <t>Extended Basement - Block 1 - Isolated Footings - Sheet 1</t>
  </si>
  <si>
    <t>SS1</t>
  </si>
  <si>
    <t>S-E01-FD0003</t>
  </si>
  <si>
    <t>Extended Basement - Block 1 - Isolated Footings - Sheet 2</t>
  </si>
  <si>
    <t>S-E01-FD0004</t>
  </si>
  <si>
    <t>Extended Basement - Block 1 - Combined Footings - Sheet 1</t>
  </si>
  <si>
    <t>S-E01-FD0005</t>
  </si>
  <si>
    <t>Extended Basement - Block 1 - Combined Footings - Sheet 2</t>
  </si>
  <si>
    <t>S-E01-FD0006</t>
  </si>
  <si>
    <t>Extended Basement - Block 1 - Details of Grade Slab</t>
  </si>
  <si>
    <t>S-E01-FD0007</t>
  </si>
  <si>
    <t>Extended Basement - Block 1 - Details of Drains</t>
  </si>
  <si>
    <t>S-E01-FD0008</t>
  </si>
  <si>
    <t>Extended Basement - Block 1 - Details of Sumps</t>
  </si>
  <si>
    <t>S-E01-FP0101</t>
  </si>
  <si>
    <t>Extended Basement - Block 1 - Framing Plan at SSL 1</t>
  </si>
  <si>
    <t>S-E01-FP0201</t>
  </si>
  <si>
    <t>Extended Basement - Block 1 - Framing Plan at SSL 2</t>
  </si>
  <si>
    <t>S-E01-CL0001</t>
  </si>
  <si>
    <t>General Column Details</t>
  </si>
  <si>
    <t>S-E01-CL0002</t>
  </si>
  <si>
    <t>Column E1C1,E1C9,E1C16,E1C19,E1C24,E1C27,E1C32 DETAILS</t>
  </si>
  <si>
    <t>S-E01-CL0003</t>
  </si>
  <si>
    <t>Column E1C6,E1C12 DETAILS</t>
  </si>
  <si>
    <t>S-E01-CL0004</t>
  </si>
  <si>
    <t>Extended Basement - Block 1 - Column Drawings - Sheet 4</t>
  </si>
  <si>
    <t>S-E01-CL0005</t>
  </si>
  <si>
    <t>Extended Basement - Block 1 - Column Drawings - Sheet 5</t>
  </si>
  <si>
    <t>S-E01-CL0006</t>
  </si>
  <si>
    <t>Extended Basement - Block 1 - Column Drawings - Sheet 6</t>
  </si>
  <si>
    <t>S-E01-CL0007</t>
  </si>
  <si>
    <t>Extended Basement - Block 1 - Column Drawings - Sheet 7</t>
  </si>
  <si>
    <t>S-E01-CL0008</t>
  </si>
  <si>
    <t>Extended Basement - Block 1 - Column Drawings - Sheet 8</t>
  </si>
  <si>
    <t>S-E01-CL0009</t>
  </si>
  <si>
    <t>Extended Basement - Block 1 - Column Drawings - Sheet 9</t>
  </si>
  <si>
    <t>S-E01-CL0010</t>
  </si>
  <si>
    <t>Extended Basement - Block 1 - Column Drawings - Sheet 10</t>
  </si>
  <si>
    <t>S-E01-CL0011</t>
  </si>
  <si>
    <t>Extended Basement - Block 1 - Column Drawings - Sheet 11</t>
  </si>
  <si>
    <t>S-E01-CL0012</t>
  </si>
  <si>
    <t>Extended Basement - Block 1 - Column Drawings - Sheet 12</t>
  </si>
  <si>
    <t>S-E01-CL0013</t>
  </si>
  <si>
    <t>Extended Basement - Block 1 - Column Drawings - Sheet 13</t>
  </si>
  <si>
    <t>S-E01-CL0014</t>
  </si>
  <si>
    <t>Extended Basement - Block 1 - Column Drawings - Sheet 14</t>
  </si>
  <si>
    <t>S-E01-CL0015</t>
  </si>
  <si>
    <t>Extended Basement - Block 1 - Column Drawings - Sheet 15</t>
  </si>
  <si>
    <t>S-E01-CL0016</t>
  </si>
  <si>
    <t>Extended Basement - Block 1 - Column Drawings - Sheet 16</t>
  </si>
  <si>
    <t>S-E01-CL0017</t>
  </si>
  <si>
    <t>Extended Basement - Block 1 - Column Drawings - Sheet 17</t>
  </si>
  <si>
    <t>S-E01-CL0018</t>
  </si>
  <si>
    <t>Extended Basement - Block 1 - Column Drawings - Sheet 18</t>
  </si>
  <si>
    <t>S-E01-CL0019</t>
  </si>
  <si>
    <t>Extended Basement - Block 1 - Column Drawings - Sheet 19</t>
  </si>
  <si>
    <t>S-E01-CL0020</t>
  </si>
  <si>
    <t>Extended Basement - Block 1 - Column Drawings - Sheet 20</t>
  </si>
  <si>
    <t>S-E01-RW0001</t>
  </si>
  <si>
    <t>Extended Basement - Block 1 - Retaining Wall Drawings - Sheet 1</t>
  </si>
  <si>
    <t>S-E01-RW0002</t>
  </si>
  <si>
    <t>Extended Basement - Block 1 - Retaining Wall Drawings - Sheet 2</t>
  </si>
  <si>
    <t>S-E01-RW0003</t>
  </si>
  <si>
    <t>Extended Basement - Block 1 - Retaining Wall Drawings - Sheet 3</t>
  </si>
  <si>
    <t>S-E01-RW0004</t>
  </si>
  <si>
    <t>Extended Basement - Block 1 - Retaining Wall Drawings - Sheet 4</t>
  </si>
  <si>
    <t>S-E01-RW0005</t>
  </si>
  <si>
    <t>Extended Basement - Block 1 - Retaining Wall Drawings - Sheet 5</t>
  </si>
  <si>
    <t>S-E01-BM0101</t>
  </si>
  <si>
    <t>Extended Basement - Block 1 - Beam Details - SSL 01 - Sheet 1</t>
  </si>
  <si>
    <t>S-E01-BM0102</t>
  </si>
  <si>
    <t>Extended Basement - Block 1 - Beam Details - SSL 01 - Sheet 2</t>
  </si>
  <si>
    <t>S-E01-BM0103</t>
  </si>
  <si>
    <t>Extended Basement - Block 1 - Beam Details - SSL 01 - Sheet 3</t>
  </si>
  <si>
    <t>S-E01-BM0104</t>
  </si>
  <si>
    <t>Extended Basement - Block 1 - Beam Details - SSL 01 - Sheet 4</t>
  </si>
  <si>
    <t>S-E01-BM0105</t>
  </si>
  <si>
    <t>Extended Basement - Block 1 - Beam Details - SSL 01 - Sheet 5</t>
  </si>
  <si>
    <t>S-E01-BM0106</t>
  </si>
  <si>
    <t>Extended Basement - Block 1 - Beam Details - SSL 01 - Sheet 6</t>
  </si>
  <si>
    <t>S-E01-BM0107</t>
  </si>
  <si>
    <t>Extended Basement - Block 1 - Beam Details - SSL 01 - Sheet 7</t>
  </si>
  <si>
    <t>S-E01-BM0108</t>
  </si>
  <si>
    <t>Extended Basement - Block 1 - Beam Details - SSL 01 - Sheet 8</t>
  </si>
  <si>
    <t>S-E01-BM0109</t>
  </si>
  <si>
    <t>Extended Basement - Block 1 - Beam Details - SSL 01 - Sheet 9</t>
  </si>
  <si>
    <t>S-E01-BM0110</t>
  </si>
  <si>
    <t>Extended Basement - Block 1 - Beam Details - SSL 01 - Sheet 10</t>
  </si>
  <si>
    <t>S-E01-BM0111</t>
  </si>
  <si>
    <t>Extended Basement - Block 1 - Beam Details - SSL 01 - Sheet 11</t>
  </si>
  <si>
    <t>S-E01-BM0112</t>
  </si>
  <si>
    <t>Extended Basement - Block 1 - Beam Details - SSL 01 - Sheet 12</t>
  </si>
  <si>
    <t>S-E01-BM0113</t>
  </si>
  <si>
    <t>Extended Basement - Block 1 - Beam Details - SSL 01 - Sheet 13</t>
  </si>
  <si>
    <t>S-E01-BM0114</t>
  </si>
  <si>
    <t>Extended Basement - Block 1 - Beam Details - SSL 01 - Sheet 14</t>
  </si>
  <si>
    <t>S-E01-BM0115</t>
  </si>
  <si>
    <t>Extended Basement - Block 1 - Beam Details - SSL 01 - Sheet 15</t>
  </si>
  <si>
    <t>S-E01-BM0116</t>
  </si>
  <si>
    <t>Extended Basement - Block 1 - Beam Details - SSL 01 - Sheet 16</t>
  </si>
  <si>
    <t>S-E01-BM0117</t>
  </si>
  <si>
    <t>Extended Basement - Block 1 - Beam Details - SSL 01 - Sheet 17</t>
  </si>
  <si>
    <t>S-E01-BM0118</t>
  </si>
  <si>
    <t>Extended Basement - Block 1 - Beam Details - SSL 01 - Sheet 18</t>
  </si>
  <si>
    <t>S-E01-BM0119</t>
  </si>
  <si>
    <t>Extended Basement - Block 1 - Beam Details - SSL 01 - Sheet 19</t>
  </si>
  <si>
    <t>S-E01-BM0120</t>
  </si>
  <si>
    <t>Extended Basement - Block 1 - Beam Details - SSL 01 - Sheet 20</t>
  </si>
  <si>
    <t>S-E01-BM0121</t>
  </si>
  <si>
    <t>Extended Basement - Block 1 - Beam Details - SSL 01 - Sheet 21</t>
  </si>
  <si>
    <t>S-E01-BM0122</t>
  </si>
  <si>
    <t>Extended Basement - Block 1 - Beam Details - SSL 01 - Sheet 22</t>
  </si>
  <si>
    <t>S-E01-BM0123</t>
  </si>
  <si>
    <t>Extended Basement - Block 1 - Beam Details - SSL 01 - Sheet 23</t>
  </si>
  <si>
    <t>S-E01-BM0124</t>
  </si>
  <si>
    <t>Extended Basement - Block 1 - Beam Details - SSL 01 - Sheet 24</t>
  </si>
  <si>
    <t>S-E01-BM0125</t>
  </si>
  <si>
    <t>Extended Basement - Block 1 - Beam Details - SSL 01 - Sheet 25</t>
  </si>
  <si>
    <t>S-E01-BM0126</t>
  </si>
  <si>
    <t>Extended Basement - Block 1 - Beam Details - SSL 01 - Sheet 26</t>
  </si>
  <si>
    <t>S-E01-BM0127</t>
  </si>
  <si>
    <t>Extended Basement - Block 1 - Beam Details - SSL 01 - Sheet 27</t>
  </si>
  <si>
    <t>S-E01-BM0128</t>
  </si>
  <si>
    <t>Extended Basement - Block 1 - Beam Details - SSL 01 - Sheet 28</t>
  </si>
  <si>
    <t>S-E01-BM0129</t>
  </si>
  <si>
    <t>Extended Basement - Block 1 - Beam Details - SSL 01 - Sheet 29</t>
  </si>
  <si>
    <t>S-E01-BM0130</t>
  </si>
  <si>
    <t>Extended Basement - Block 1 - Beam Details - SSL 01 - Sheet 30</t>
  </si>
  <si>
    <t>S-E01-BM0131</t>
  </si>
  <si>
    <t>Extended Basement - Block 1 - Beam Details - SSL 01 - Sheet 31</t>
  </si>
  <si>
    <t>S-E01-BM0132</t>
  </si>
  <si>
    <t>Extended Basement - Block 1 - Beam Details - SSL 01 - Sheet 32</t>
  </si>
  <si>
    <t>S-E01-BM0133</t>
  </si>
  <si>
    <t>Extended Basement - Block 1 - Beam Details - SSL 01 - Sheet 33</t>
  </si>
  <si>
    <t>S-E01-BM0134</t>
  </si>
  <si>
    <t>Extended Basement - Block 1 - Beam Details - SSL 01 - Sheet 34</t>
  </si>
  <si>
    <t>S-E01-BM0135</t>
  </si>
  <si>
    <t>Extended Basement - Block 1 - Beam Details - SSL 01 - Sheet 35</t>
  </si>
  <si>
    <t>S-E01-BM0136</t>
  </si>
  <si>
    <t>Extended Basement - Block 1 - Beam Details - SSL 01 - Sheet 36</t>
  </si>
  <si>
    <t>S-E01-BM0137</t>
  </si>
  <si>
    <t>Extended Basement - Block 1 - Beam Details - SSL 01 - Sheet 37</t>
  </si>
  <si>
    <t>S-E01-BM0138</t>
  </si>
  <si>
    <t>Extended Basement - Block 1 - Beam Details - SSL 01 - Sheet 38</t>
  </si>
  <si>
    <t>S-E01-BM0139</t>
  </si>
  <si>
    <t>Extended Basement - Block 1 - Beam Details - SSL 01 - Sheet 39</t>
  </si>
  <si>
    <t>S-E01-BM0140</t>
  </si>
  <si>
    <t>Extended Basement - Block 1 - Beam Details - SSL 01 - Sheet 40</t>
  </si>
  <si>
    <t>S-E01-BM0141</t>
  </si>
  <si>
    <t>Extended Basement - Block 1 - Beam Details - SSL 01 - Sheet 41</t>
  </si>
  <si>
    <t>S-E01-BM0142</t>
  </si>
  <si>
    <t>Extended Basement - Block 1 - Beam Details - SSL 01 - Sheet 42</t>
  </si>
  <si>
    <t>S-E01-BM0143</t>
  </si>
  <si>
    <t>Extended Basement - Block 1 - Beam Details - SSL 01 - Sheet 43</t>
  </si>
  <si>
    <t>S-E01-BM0144</t>
  </si>
  <si>
    <t>Extended Basement - Block 1 - Beam Details - SSL 01 - Sheet 44</t>
  </si>
  <si>
    <t>S-E01-BM0145</t>
  </si>
  <si>
    <t>Extended Basement - Block 1 - Beam Details - SSL 01 - Sheet 45</t>
  </si>
  <si>
    <t>S-E01-BM0146</t>
  </si>
  <si>
    <t>Extended Basement - Block 1 - Beam Details - SSL 01 - Sheet 46</t>
  </si>
  <si>
    <t>S-E01-BM0147</t>
  </si>
  <si>
    <t>Extended Basement - Block 1 - Beam Details - SSL 01 - Sheet 47</t>
  </si>
  <si>
    <t>S-E01-BM0148</t>
  </si>
  <si>
    <t>Extended Basement - Block 1 - Beam Details - SSL 01 - Sheet 48</t>
  </si>
  <si>
    <t>S-E01-BM0149</t>
  </si>
  <si>
    <t>Extended Basement - Block 1 - Beam Details - SSL 01 - Sheet 49</t>
  </si>
  <si>
    <t>S-E01-BM0150</t>
  </si>
  <si>
    <t>Extended Basement - Block 1 - Beam Details - SSL 01 - Sheet 50</t>
  </si>
  <si>
    <t>S-E01-BM0201</t>
  </si>
  <si>
    <t>Extended Basement - Block 1 - Beam Details - SSL 02 - Sheet 1</t>
  </si>
  <si>
    <t>S-E01-BM0202</t>
  </si>
  <si>
    <t>Extended Basement - Block 1 - Beam Details - SSL 02 - Sheet 2</t>
  </si>
  <si>
    <t>S-E01-BM0203</t>
  </si>
  <si>
    <t>Extended Basement - Block 1 - Beam Details - SSL 02 - Sheet 3</t>
  </si>
  <si>
    <t>S-E01-BM0204</t>
  </si>
  <si>
    <t>Extended Basement - Block 1 - Beam Details - SSL 02 - Sheet 4</t>
  </si>
  <si>
    <t>S-E01-BM0205</t>
  </si>
  <si>
    <t>Extended Basement - Block 1 - Beam Details - SSL 02 - Sheet 5</t>
  </si>
  <si>
    <t>S-E01-BM0206</t>
  </si>
  <si>
    <t>Extended Basement - Block 1 - Beam Details - SSL 02 - Sheet 6</t>
  </si>
  <si>
    <t>S-E01-BM0207</t>
  </si>
  <si>
    <t>Extended Basement - Block 1 - Beam Details - SSL 02 - Sheet 7</t>
  </si>
  <si>
    <t>S-E01-BM0208</t>
  </si>
  <si>
    <t>Extended Basement - Block 1 - Beam Details - SSL 02 - Sheet 8</t>
  </si>
  <si>
    <t>S-E01-BM0209</t>
  </si>
  <si>
    <t>Extended Basement - Block 1 - Beam Details - SSL 02 - Sheet 9</t>
  </si>
  <si>
    <t>S-E01-BM0210</t>
  </si>
  <si>
    <t>Extended Basement - Block 1 - Beam Details - SSL 02 - Sheet 10</t>
  </si>
  <si>
    <t>S-E01-BM0211</t>
  </si>
  <si>
    <t>Extended Basement - Block 1 - Beam Details - SSL 02 - Sheet 11</t>
  </si>
  <si>
    <t>S-E01-BM0212</t>
  </si>
  <si>
    <t>Extended Basement - Block 1 - Beam Details - SSL 02 - Sheet 12</t>
  </si>
  <si>
    <t>S-E01-BM0213</t>
  </si>
  <si>
    <t>Extended Basement - Block 1 - Beam Details - SSL 02 - Sheet 13</t>
  </si>
  <si>
    <t>S-E01-BM0214</t>
  </si>
  <si>
    <t>Extended Basement - Block 1 - Beam Details - SSL 02 - Sheet 14</t>
  </si>
  <si>
    <t>S-E01-BM0215</t>
  </si>
  <si>
    <t>Extended Basement - Block 1 - Beam Details - SSL 02 - Sheet 15</t>
  </si>
  <si>
    <t>S-E01-BM0216</t>
  </si>
  <si>
    <t>Extended Basement - Block 1 - Beam Details - SSL 02 - Sheet 16</t>
  </si>
  <si>
    <t>S-E01-BM0217</t>
  </si>
  <si>
    <t>Extended Basement - Block 1 - Beam Details - SSL 02 - Sheet 17</t>
  </si>
  <si>
    <t>S-E01-BM0218</t>
  </si>
  <si>
    <t>Extended Basement - Block 1 - Beam Details - SSL 02 - Sheet 18</t>
  </si>
  <si>
    <t>S-E01-BM0219</t>
  </si>
  <si>
    <t>Extended Basement - Block 1 - Beam Details - SSL 02 - Sheet 19</t>
  </si>
  <si>
    <t>S-E01-BM0220</t>
  </si>
  <si>
    <t>Extended Basement - Block 1 - Beam Details - SSL 02 - Sheet 20</t>
  </si>
  <si>
    <t>S-E01-BM0221</t>
  </si>
  <si>
    <t>Extended Basement - Block 1 - Beam Details - SSL 02 - Sheet 21</t>
  </si>
  <si>
    <t>S-E01-BM0222</t>
  </si>
  <si>
    <t>Extended Basement - Block 1 - Beam Details - SSL 02 - Sheet 22</t>
  </si>
  <si>
    <t>S-E01-BM0223</t>
  </si>
  <si>
    <t>Extended Basement - Block 1 - Beam Details - SSL 02 - Sheet 23</t>
  </si>
  <si>
    <t>S-E01-BM0224</t>
  </si>
  <si>
    <t>Extended Basement - Block 1 - Beam Details - SSL 02 - Sheet 24</t>
  </si>
  <si>
    <t>S-E01-BM0225</t>
  </si>
  <si>
    <t>Extended Basement - Block 1 - Beam Details - SSL 02 - Sheet 25</t>
  </si>
  <si>
    <t>S-E01-BM0226</t>
  </si>
  <si>
    <t>Extended Basement - Block 1 - Beam Details - SSL 02 - Sheet 26</t>
  </si>
  <si>
    <t>S-E01-BM0227</t>
  </si>
  <si>
    <t>Extended Basement - Block 1 - Beam Details - SSL 02 - Sheet 27</t>
  </si>
  <si>
    <t>S-E01-BM0228</t>
  </si>
  <si>
    <t>Extended Basement - Block 1 - Beam Details - SSL 02 - Sheet 28</t>
  </si>
  <si>
    <t>S-E01-BM0229</t>
  </si>
  <si>
    <t>Extended Basement - Block 1 - Beam Details - SSL 02 - Sheet 29</t>
  </si>
  <si>
    <t>S-E01-BM0230</t>
  </si>
  <si>
    <t>Extended Basement - Block 1 - Beam Details - SSL 02 - Sheet 30</t>
  </si>
  <si>
    <t>S-E01-BM0231</t>
  </si>
  <si>
    <t>Extended Basement - Block 1 - Beam Details - SSL 02 - Sheet 31</t>
  </si>
  <si>
    <t>S-E01-BM0232</t>
  </si>
  <si>
    <t>Extended Basement - Block 1 - Beam Details - SSL 02 - Sheet 32</t>
  </si>
  <si>
    <t>S-E01-BM0233</t>
  </si>
  <si>
    <t>Extended Basement - Block 1 - Beam Details - SSL 02 - Sheet 33</t>
  </si>
  <si>
    <t>S-E01-BM0234</t>
  </si>
  <si>
    <t>Extended Basement - Block 1 - Beam Details - SSL 02 - Sheet 34</t>
  </si>
  <si>
    <t>S-E01-BM0235</t>
  </si>
  <si>
    <t>Extended Basement - Block 1 - Beam Details - SSL 02 - Sheet 35</t>
  </si>
  <si>
    <t>S-E01-BM0236</t>
  </si>
  <si>
    <t>Extended Basement - Block 1 - Beam Details - SSL 02 - Sheet 36</t>
  </si>
  <si>
    <t>S-E01-BM0237</t>
  </si>
  <si>
    <t>Extended Basement - Block 1 - Beam Details - SSL 02 - Sheet 37</t>
  </si>
  <si>
    <t>S-E01-BM0238</t>
  </si>
  <si>
    <t>Extended Basement - Block 1 - Beam Details - SSL 02 - Sheet 38</t>
  </si>
  <si>
    <t>S-E01-BM0239</t>
  </si>
  <si>
    <t>Extended Basement - Block 1 - Beam Details - SSL 02 - Sheet 39</t>
  </si>
  <si>
    <t>S-E01-BM0240</t>
  </si>
  <si>
    <t>Extended Basement - Block 1 - Beam Details - SSL 02 - Sheet 40</t>
  </si>
  <si>
    <t>S-E01-BM0241</t>
  </si>
  <si>
    <t>Extended Basement - Block 1 - Beam Details - SSL 02 - Sheet 41</t>
  </si>
  <si>
    <t>S-E01-BM0242</t>
  </si>
  <si>
    <t>Extended Basement - Block 1 - Beam Details - SSL 02 - Sheet 42</t>
  </si>
  <si>
    <t>S-E01-BM0243</t>
  </si>
  <si>
    <t>Extended Basement - Block 1 - Beam Details - SSL 02 - Sheet 43</t>
  </si>
  <si>
    <t>S-E01-BM0244</t>
  </si>
  <si>
    <t>Extended Basement - Block 1 - Beam Details - SSL 02 - Sheet 44</t>
  </si>
  <si>
    <t>S-E01-BM0245</t>
  </si>
  <si>
    <t>Extended Basement - Block 1 - Beam Details - SSL 02 - Sheet 45</t>
  </si>
  <si>
    <t>S-E01-BM0246</t>
  </si>
  <si>
    <t>Extended Basement - Block 1 - Beam Details - SSL 02 - Sheet 46</t>
  </si>
  <si>
    <t>S-E01-BM0247</t>
  </si>
  <si>
    <t>Extended Basement - Block 1 - Beam Details - SSL 02 - Sheet 47</t>
  </si>
  <si>
    <t>S-E01-BM0248</t>
  </si>
  <si>
    <t>Extended Basement - Block 1 - Beam Details - SSL 02 - Sheet 48</t>
  </si>
  <si>
    <t>S-E01-BM0249</t>
  </si>
  <si>
    <t>Extended Basement - Block 1 - Beam Details - SSL 02 - Sheet 49</t>
  </si>
  <si>
    <t>S-E01-BM0250</t>
  </si>
  <si>
    <t>Extended Basement - Block 1 - Beam Details - SSL 02 - Sheet 50</t>
  </si>
  <si>
    <t>S-E01-SB0001</t>
  </si>
  <si>
    <t>Extended Basement - Block 1 - General Notes - Slabs</t>
  </si>
  <si>
    <t>S-E01-SB0102</t>
  </si>
  <si>
    <t>Extended Basement - Block 1 - Slab Details - SSL 1 - Top Reinforcement</t>
  </si>
  <si>
    <t>S-E01-SB0103</t>
  </si>
  <si>
    <t>Extended Basement - Block 1 - Slab Details - SSL 1 - Bottom Reinforcement</t>
  </si>
  <si>
    <t>S-E01-SB0104</t>
  </si>
  <si>
    <t>Extended Basement - Block 1 - Slab Details - SSL 1 - Cutout and Torsional Reinforcement</t>
  </si>
  <si>
    <t>S-E01-SB0105</t>
  </si>
  <si>
    <t>Extended Basement - Block 1 - Slab Details - SSL 1 - Slab Sections</t>
  </si>
  <si>
    <t>S-E01-SB0221</t>
  </si>
  <si>
    <t>Extended Basement - Block 1 - Slab Details - SSL 2 - Top Reinforcement</t>
  </si>
  <si>
    <t>S-E01-SB0222</t>
  </si>
  <si>
    <t>Extended Basement - Block 1 - Slab Details - SSL 2 - Bottom Reinforcement</t>
  </si>
  <si>
    <t>S-E01-SB0223</t>
  </si>
  <si>
    <t>Extended Basement - Block 1 - Slab Details - SSL 2 - Cutout and Torsional Reinforcement</t>
  </si>
  <si>
    <t>S-E01-SB0224</t>
  </si>
  <si>
    <t>Extended Basement - Block 1 - Slab Details - SSL 2 - Slab Sections</t>
  </si>
  <si>
    <t>S-E01-SL0001</t>
  </si>
  <si>
    <t>Extended Basement - Block 1 - General Notes - Sleeves</t>
  </si>
  <si>
    <t>S-E01-SL0102</t>
  </si>
  <si>
    <t>Extended Basement - Block 1 - Sleeve Details - SSL 1 - Sleeve Location</t>
  </si>
  <si>
    <t>S-E01-SL0103</t>
  </si>
  <si>
    <t>Extended Basement - Block 1 - Sleeve Details - SSL 1 - Sleeve Table 1</t>
  </si>
  <si>
    <t>S-E01-SL0104</t>
  </si>
  <si>
    <t>Extended Basement - Block 1 - Sleeve Details - SSL 1 - Sleeve Table 2</t>
  </si>
  <si>
    <t>S-E01-SL0105</t>
  </si>
  <si>
    <t>Extended Basement - Block 1 - Sleeve Details - SSL 1 - Sleeve Table 3</t>
  </si>
  <si>
    <t>S-E01-SL0221</t>
  </si>
  <si>
    <t>Extended Basement - Block 1 - Sleeve Details - SSL 2 - Sleeve Location</t>
  </si>
  <si>
    <t>S-E01-SL0222</t>
  </si>
  <si>
    <t>Extended Basement - Block 1 - Sleeve Details - SSL 2 - Sleeve Table 1</t>
  </si>
  <si>
    <t>S-E01-SL0223</t>
  </si>
  <si>
    <t>Extended Basement - Block 1 - Sleeve Details - SSL 2 - Sleeve Table 2</t>
  </si>
  <si>
    <t>S-E01-SL0224</t>
  </si>
  <si>
    <t>Extended Basement - Block 1 - Sleeve Details - SSL 2 - Sleeve Table 3</t>
  </si>
  <si>
    <r>
      <t xml:space="preserve">Independent Subgrade Structure—Block </t>
    </r>
    <r>
      <rPr>
        <b/>
        <sz val="10"/>
        <color theme="1"/>
        <rFont val="Meta-Normal"/>
        <family val="3"/>
      </rPr>
      <t>02</t>
    </r>
  </si>
  <si>
    <t>FD</t>
  </si>
  <si>
    <t>FOUNDATION DETAILS</t>
  </si>
  <si>
    <t>SS2</t>
  </si>
  <si>
    <t>S-E02-FD0001</t>
  </si>
  <si>
    <t>Extended Basement - Block 2 - Foundation Layout</t>
  </si>
  <si>
    <t>S-E02-FD0002</t>
  </si>
  <si>
    <t>Extended Basement - Block 2 - Isolated Footings - Sheet 1</t>
  </si>
  <si>
    <t>S-E02-FD0003</t>
  </si>
  <si>
    <t>Extended Basement - Block 2 - Isolated Footings - Sheet 2</t>
  </si>
  <si>
    <t>S-E02-FD0004</t>
  </si>
  <si>
    <t>Extended Basement - Block 2 - Combined Footings - Sheet 1</t>
  </si>
  <si>
    <t>S-E02-FD0005</t>
  </si>
  <si>
    <t>Extended Basement - Block 2 - Combined Footings - Sheet 2</t>
  </si>
  <si>
    <t>S-E02-FD0006</t>
  </si>
  <si>
    <t>Extended Basement - Block 2 - Details of Grade Slab</t>
  </si>
  <si>
    <t>S-E02-FD0007</t>
  </si>
  <si>
    <t>Extended Basement - Block 2 - Details of Drains</t>
  </si>
  <si>
    <t>S-E02-FD0008</t>
  </si>
  <si>
    <t>Extended Basement - Block 2 - Details of Sumps</t>
  </si>
  <si>
    <t>S-E02-MS001</t>
  </si>
  <si>
    <t>BASEMENT SUMP (BLOCK-E02)</t>
  </si>
  <si>
    <t>S-E02-FP0101</t>
  </si>
  <si>
    <t>Block E2 ROOF LEVEL FRAMING PLAN</t>
  </si>
  <si>
    <t>S-E02-CL0001</t>
  </si>
  <si>
    <t>S-E02-CL0002</t>
  </si>
  <si>
    <t>Column E2C1, E2C4, E2C9, E2C12, E2C17, E2C19, E2C22 &amp; E2C25 Details</t>
  </si>
  <si>
    <t>S-E02-CL0003</t>
  </si>
  <si>
    <t>Column E2C26 Details</t>
  </si>
  <si>
    <t>S-E02-CL0004</t>
  </si>
  <si>
    <t>Column E2C21 Details</t>
  </si>
  <si>
    <t>S-E02-CL0005</t>
  </si>
  <si>
    <t>COLUMN E2C23,E2C24 AND E2C27 DETAILS</t>
  </si>
  <si>
    <t>S-E02-CL0006</t>
  </si>
  <si>
    <t>Column E2BC1 Details</t>
  </si>
  <si>
    <t>S-E02-CL0007</t>
  </si>
  <si>
    <t>Column E2C12 &amp; E2C17 Details</t>
  </si>
  <si>
    <t>S-E02-CL0101</t>
  </si>
  <si>
    <t>Column and footing details</t>
  </si>
  <si>
    <t>S-E02-BM0001</t>
  </si>
  <si>
    <t>GENERAL NOTES FOR BEAMS</t>
  </si>
  <si>
    <t>S-E02-BM0101</t>
  </si>
  <si>
    <t>BEAM B-1 REINFORCEMENT DETAIL</t>
  </si>
  <si>
    <t>S-E02-BM0102</t>
  </si>
  <si>
    <t>BEAM B-2 REINFORCEMENT DETAIL</t>
  </si>
  <si>
    <t>S-E02-BM0103</t>
  </si>
  <si>
    <t>BEAM B-3 REINFORCEMENT DETAIL</t>
  </si>
  <si>
    <t>S-E02-BM0104</t>
  </si>
  <si>
    <t>BEAM B-4 REINFORCEMENT DETAIL</t>
  </si>
  <si>
    <t>S-E02-BM0105</t>
  </si>
  <si>
    <t>BEAM B-5 REINFORCEMENT DETAIL</t>
  </si>
  <si>
    <t>S-E02-BM0106</t>
  </si>
  <si>
    <t>BEAM B-6 REINFORCEMENT DETAIL</t>
  </si>
  <si>
    <t>S-E02-BM0107</t>
  </si>
  <si>
    <t>BEAM B-7 REINFORCEMENT DETAIL</t>
  </si>
  <si>
    <t>S-E02-BM0108</t>
  </si>
  <si>
    <t>BEAM B-8 REINFORCEMENT DETAIL</t>
  </si>
  <si>
    <t>S-E02-BM0109</t>
  </si>
  <si>
    <t>BEAM B-9 REINFORCEMENT DETAIL</t>
  </si>
  <si>
    <t>S-E02-BM0110</t>
  </si>
  <si>
    <t>BEAM B-10 REINFORCEMENT DETAIL</t>
  </si>
  <si>
    <t>S-E02-BM0111</t>
  </si>
  <si>
    <t>BEAM B-11(SHEET 1) REINFORCEMENT DETAIL</t>
  </si>
  <si>
    <t>S-E02-BM0112</t>
  </si>
  <si>
    <t>BEAM B-11(SHEET 2) REINFORCEMENT DETAIL</t>
  </si>
  <si>
    <t>S-E02-BM0113</t>
  </si>
  <si>
    <t>BEAM B-12 REINFORCEMENT DETAIL</t>
  </si>
  <si>
    <t>S-E02-BM0114</t>
  </si>
  <si>
    <t>BEAM B-13 REINFORCEMENT DETAIL</t>
  </si>
  <si>
    <t>S-E02-BM0115</t>
  </si>
  <si>
    <t>BEAM B-14 REINFORCEMENT DETAIL</t>
  </si>
  <si>
    <t>S-E02-BM0116</t>
  </si>
  <si>
    <t>BEAM B-15 REINFORCEMENT DETAIL</t>
  </si>
  <si>
    <t>S-E02-BM0117</t>
  </si>
  <si>
    <t>BEAM B-16(SHEET 1) REINFORCEMENT DETAIL</t>
  </si>
  <si>
    <t>S-E02-BM0118</t>
  </si>
  <si>
    <t>BEAM B-16(SHEET 2) REINFORCEMENT DETAIL</t>
  </si>
  <si>
    <t>S-E02-RW0001</t>
  </si>
  <si>
    <t>Extended Basement - Block 2 - Retaining Wall Drawings - Sheet 1</t>
  </si>
  <si>
    <t>S-E02-RW0002</t>
  </si>
  <si>
    <t>Extended Basement - Block 2 - Retaining Wall Drawings - Sheet 2</t>
  </si>
  <si>
    <t>S-E02-RW0003</t>
  </si>
  <si>
    <t>Extended Basement - Block 2 - Retaining Wall Drawings - Sheet 3</t>
  </si>
  <si>
    <t>S-E02-RW0004</t>
  </si>
  <si>
    <t>Extended Basement - Block 2 - Retaining Wall Drawings - Sheet 4</t>
  </si>
  <si>
    <t>S-E02-RW0005</t>
  </si>
  <si>
    <t>Extended Basement - Block 2 - Retaining Wall Drawings - Sheet 5</t>
  </si>
  <si>
    <t>S-E02-SB0001</t>
  </si>
  <si>
    <t>PLAN SHOWING BOTTOM REINFORCEMENT</t>
  </si>
  <si>
    <t>S-E02-SB0002</t>
  </si>
  <si>
    <t>PLAN SHOWING TOP REINFORCEMENT</t>
  </si>
  <si>
    <t>S-E02-SB0003</t>
  </si>
  <si>
    <t xml:space="preserve">BBS FOR TOP &amp; BOTTOM REINFORCEMENT </t>
  </si>
  <si>
    <r>
      <t xml:space="preserve">Independent Subgrade Structure—Block </t>
    </r>
    <r>
      <rPr>
        <b/>
        <sz val="10"/>
        <color theme="1"/>
        <rFont val="Meta-Normal"/>
        <family val="3"/>
      </rPr>
      <t>03</t>
    </r>
  </si>
  <si>
    <t>SS3</t>
  </si>
  <si>
    <t>S-E03-FD0001</t>
  </si>
  <si>
    <t>Extended Basement - Block 3 - Foundation Layout</t>
  </si>
  <si>
    <t>S-E03-FD0002</t>
  </si>
  <si>
    <t>Extended Basement - Block 3 - Isolated Footings - Sheet 1</t>
  </si>
  <si>
    <t>S-E03-FD0003</t>
  </si>
  <si>
    <t>Extended Basement - Block 3 - Isolated Footings - Sheet 2</t>
  </si>
  <si>
    <t>S-E03-FD0004</t>
  </si>
  <si>
    <t>Extended Basement - Block 3 - Combined Footings - Sheet 1</t>
  </si>
  <si>
    <t>S-E03-FD0005</t>
  </si>
  <si>
    <t>Extended Basement - Block 3 - Combined Footings - Sheet 2</t>
  </si>
  <si>
    <t>S-E03-FD0006</t>
  </si>
  <si>
    <t>Extended Basement - Block 3 - Details of Grade Slab</t>
  </si>
  <si>
    <t>S-E03-FD0007</t>
  </si>
  <si>
    <t>Extended Basement - Block 3 - Details of Drains</t>
  </si>
  <si>
    <t>S-E03-FD0008</t>
  </si>
  <si>
    <t>Extended Basement - Block 3 - Details of Sumps</t>
  </si>
  <si>
    <t>S-E03-FP0101</t>
  </si>
  <si>
    <t>Extended Basement - Block 3 - Framing Plan at SSL 1</t>
  </si>
  <si>
    <t>S-E03-FP0201</t>
  </si>
  <si>
    <t>Extended Basement - Block 3 - Framing Plan at SSL 2</t>
  </si>
  <si>
    <t>S-E03-CL0001</t>
  </si>
  <si>
    <t>S-E03-CL0002</t>
  </si>
  <si>
    <t>Column E3C34,E3C35 DETAILS</t>
  </si>
  <si>
    <t>S-E03-CL0003</t>
  </si>
  <si>
    <t>Column E3C43,E3C48 DETAILS</t>
  </si>
  <si>
    <t>S-E03-CL0004</t>
  </si>
  <si>
    <t>COLUMN E3C1,E3C6,E3C9 &amp; E3C21 DETAILS</t>
  </si>
  <si>
    <t>S-E03-CL0005</t>
  </si>
  <si>
    <t>COLUMN E3C16,E3C22 &amp; E3C28 DETAILS</t>
  </si>
  <si>
    <t>S-E03-CL0006</t>
  </si>
  <si>
    <t>COLUMN E3C2 DETAILS</t>
  </si>
  <si>
    <t>S-E03-CL0007</t>
  </si>
  <si>
    <t>COLUMN E3C17 DETAILS</t>
  </si>
  <si>
    <t>S-E03-CL0008</t>
  </si>
  <si>
    <t>COLUMN E3C12 DETAILS</t>
  </si>
  <si>
    <t>S-E03-CL0009</t>
  </si>
  <si>
    <t>Extended Basement - Block 3 - Column Drawings - Sheet 9</t>
  </si>
  <si>
    <t>S-E03-CL0010</t>
  </si>
  <si>
    <t>Extended Basement - Block 3 - Column Drawings - Sheet 10</t>
  </si>
  <si>
    <t>S-E03-CL0011</t>
  </si>
  <si>
    <t>Extended Basement - Block 3 - Column Drawings - Sheet 11</t>
  </si>
  <si>
    <t>S-E03-CL0012</t>
  </si>
  <si>
    <t>Extended Basement - Block 3 - Column Drawings - Sheet 12</t>
  </si>
  <si>
    <t>S-E03-CL0013</t>
  </si>
  <si>
    <t>Extended Basement - Block 3 - Column Drawings - Sheet 13</t>
  </si>
  <si>
    <t>S-E03-CL0014</t>
  </si>
  <si>
    <t>Extended Basement - Block 3 - Column Drawings - Sheet 14</t>
  </si>
  <si>
    <t>S-E03-CL0015</t>
  </si>
  <si>
    <t>Extended Basement - Block 3 - Column Drawings - Sheet 15</t>
  </si>
  <si>
    <t>S-E03-CL0016</t>
  </si>
  <si>
    <t>Extended Basement - Block 3 - Column Drawings - Sheet 16</t>
  </si>
  <si>
    <t>S-E03-CL0017</t>
  </si>
  <si>
    <t>Extended Basement - Block 3 - Column Drawings - Sheet 17</t>
  </si>
  <si>
    <t>S-E03-CL0018</t>
  </si>
  <si>
    <t>Extended Basement - Block 3 - Column Drawings - Sheet 18</t>
  </si>
  <si>
    <t>S-E03-CL0019</t>
  </si>
  <si>
    <t>Extended Basement - Block 3 - Column Drawings - Sheet 19</t>
  </si>
  <si>
    <t>S-E03-CL0020</t>
  </si>
  <si>
    <t>Extended Basement - Block 3 - Column Drawings - Sheet 20</t>
  </si>
  <si>
    <t>S-E03-RW0001</t>
  </si>
  <si>
    <t>Extended Basement - Block 3 - Retaining Wall Drawings - Sheet 1</t>
  </si>
  <si>
    <t>S-E03-RW0002</t>
  </si>
  <si>
    <t>Extended Basement - Block 3 - Retaining Wall Drawings - Sheet 2</t>
  </si>
  <si>
    <t>S-E03-RW0003</t>
  </si>
  <si>
    <t>Extended Basement - Block 3 - Retaining Wall Drawings - Sheet 3</t>
  </si>
  <si>
    <t>S-E03-RW0004</t>
  </si>
  <si>
    <t>Extended Basement - Block 3 - Retaining Wall Drawings - Sheet 4</t>
  </si>
  <si>
    <t>S-E03-RW0005</t>
  </si>
  <si>
    <t>Extended Basement - Block 3 - Retaining Wall Drawings - Sheet 5</t>
  </si>
  <si>
    <t>S-E03-BM0101</t>
  </si>
  <si>
    <t>Extended Basement - Block 3 - Beam Details - SSL 01 - Sheet 1</t>
  </si>
  <si>
    <t>S-E03-BM0102</t>
  </si>
  <si>
    <t>Extended Basement - Block 3 - Beam Details - SSL 01 - Sheet 2</t>
  </si>
  <si>
    <t>S-E03-BM0103</t>
  </si>
  <si>
    <t>Extended Basement - Block 3 - Beam Details - SSL 01 - Sheet 3</t>
  </si>
  <si>
    <t>S-E03-BM0104</t>
  </si>
  <si>
    <t>Extended Basement - Block 3 - Beam Details - SSL 01 - Sheet 4</t>
  </si>
  <si>
    <t>S-E03-BM0105</t>
  </si>
  <si>
    <t>Extended Basement - Block 3 - Beam Details - SSL 01 - Sheet 5</t>
  </si>
  <si>
    <t>S-E03-BM0106</t>
  </si>
  <si>
    <t>Extended Basement - Block 3 - Beam Details - SSL 01 - Sheet 6</t>
  </si>
  <si>
    <t>S-E03-BM0107</t>
  </si>
  <si>
    <t>Extended Basement - Block 3 - Beam Details - SSL 01 - Sheet 7</t>
  </si>
  <si>
    <t>S-E03-BM0108</t>
  </si>
  <si>
    <t>Extended Basement - Block 3 - Beam Details - SSL 01 - Sheet 8</t>
  </si>
  <si>
    <t>S-E03-BM0109</t>
  </si>
  <si>
    <t>Extended Basement - Block 3 - Beam Details - SSL 01 - Sheet 9</t>
  </si>
  <si>
    <t>S-E03-BM0110</t>
  </si>
  <si>
    <t>Extended Basement - Block 3 - Beam Details - SSL 01 - Sheet 10</t>
  </si>
  <si>
    <t>S-E03-BM0111</t>
  </si>
  <si>
    <t>Extended Basement - Block 3 - Beam Details - SSL 01 - Sheet 11</t>
  </si>
  <si>
    <t>S-E03-BM0112</t>
  </si>
  <si>
    <t>Extended Basement - Block 3 - Beam Details - SSL 01 - Sheet 12</t>
  </si>
  <si>
    <t>S-E03-BM0113</t>
  </si>
  <si>
    <t>Extended Basement - Block 3 - Beam Details - SSL 01 - Sheet 13</t>
  </si>
  <si>
    <t>S-E03-BM0114</t>
  </si>
  <si>
    <t>Extended Basement - Block 3 - Beam Details - SSL 01 - Sheet 14</t>
  </si>
  <si>
    <t>S-E03-BM0115</t>
  </si>
  <si>
    <t>Extended Basement - Block 3 - Beam Details - SSL 01 - Sheet 15</t>
  </si>
  <si>
    <t>S-E03-BM0116</t>
  </si>
  <si>
    <t>Extended Basement - Block 3 - Beam Details - SSL 01 - Sheet 16</t>
  </si>
  <si>
    <t>S-E03-BM0117</t>
  </si>
  <si>
    <t>Extended Basement - Block 3 - Beam Details - SSL 01 - Sheet 17</t>
  </si>
  <si>
    <t>S-E03-BM0118</t>
  </si>
  <si>
    <t>Extended Basement - Block 3 - Beam Details - SSL 01 - Sheet 18</t>
  </si>
  <si>
    <t>S-E03-BM0119</t>
  </si>
  <si>
    <t>Extended Basement - Block 3 - Beam Details - SSL 01 - Sheet 19</t>
  </si>
  <si>
    <t>S-E03-BM0120</t>
  </si>
  <si>
    <t>Extended Basement - Block 3 - Beam Details - SSL 01 - Sheet 20</t>
  </si>
  <si>
    <t>S-E03-BM0121</t>
  </si>
  <si>
    <t>Extended Basement - Block 3 - Beam Details - SSL 01 - Sheet 21</t>
  </si>
  <si>
    <t>S-E03-BM0122</t>
  </si>
  <si>
    <t>Extended Basement - Block 3 - Beam Details - SSL 01 - Sheet 22</t>
  </si>
  <si>
    <t>S-E03-BM0123</t>
  </si>
  <si>
    <t>Extended Basement - Block 3 - Beam Details - SSL 01 - Sheet 23</t>
  </si>
  <si>
    <t>S-E03-BM0124</t>
  </si>
  <si>
    <t>Extended Basement - Block 3 - Beam Details - SSL 01 - Sheet 24</t>
  </si>
  <si>
    <t>S-E03-BM0125</t>
  </si>
  <si>
    <t>Extended Basement - Block 3 - Beam Details - SSL 01 - Sheet 25</t>
  </si>
  <si>
    <t>S-E03-BM0126</t>
  </si>
  <si>
    <t>Extended Basement - Block 3 - Beam Details - SSL 01 - Sheet 26</t>
  </si>
  <si>
    <t>S-E03-BM0127</t>
  </si>
  <si>
    <t>Extended Basement - Block 3 - Beam Details - SSL 01 - Sheet 27</t>
  </si>
  <si>
    <t>S-E03-BM0128</t>
  </si>
  <si>
    <t>Extended Basement - Block 3 - Beam Details - SSL 01 - Sheet 28</t>
  </si>
  <si>
    <t>S-E03-BM0129</t>
  </si>
  <si>
    <t>Extended Basement - Block 3 - Beam Details - SSL 01 - Sheet 29</t>
  </si>
  <si>
    <t>S-E03-BM0130</t>
  </si>
  <si>
    <t>Extended Basement - Block 3 - Beam Details - SSL 01 - Sheet 30</t>
  </si>
  <si>
    <t>S-E03-BM0131</t>
  </si>
  <si>
    <t>Extended Basement - Block 3 - Beam Details - SSL 01 - Sheet 31</t>
  </si>
  <si>
    <t>S-E03-BM0132</t>
  </si>
  <si>
    <t>Extended Basement - Block 3 - Beam Details - SSL 01 - Sheet 32</t>
  </si>
  <si>
    <t>S-E03-BM0133</t>
  </si>
  <si>
    <t>Extended Basement - Block 3 - Beam Details - SSL 01 - Sheet 33</t>
  </si>
  <si>
    <t>S-E03-BM0134</t>
  </si>
  <si>
    <t>Extended Basement - Block 3 - Beam Details - SSL 01 - Sheet 34</t>
  </si>
  <si>
    <t>S-E03-BM0135</t>
  </si>
  <si>
    <t>Extended Basement - Block 3 - Beam Details - SSL 01 - Sheet 35</t>
  </si>
  <si>
    <t>S-E03-BM0136</t>
  </si>
  <si>
    <t>Extended Basement - Block 3 - Beam Details - SSL 01 - Sheet 36</t>
  </si>
  <si>
    <t>S-E03-BM0137</t>
  </si>
  <si>
    <t>Extended Basement - Block 3 - Beam Details - SSL 01 - Sheet 37</t>
  </si>
  <si>
    <t>S-E03-BM0138</t>
  </si>
  <si>
    <t>Extended Basement - Block 3 - Beam Details - SSL 01 - Sheet 38</t>
  </si>
  <si>
    <t>S-E03-BM0139</t>
  </si>
  <si>
    <t>Extended Basement - Block 3 - Beam Details - SSL 01 - Sheet 39</t>
  </si>
  <si>
    <t>S-E03-BM0140</t>
  </si>
  <si>
    <t>Extended Basement - Block 3 - Beam Details - SSL 01 - Sheet 40</t>
  </si>
  <si>
    <t>S-E03-BM0141</t>
  </si>
  <si>
    <t>Extended Basement - Block 3 - Beam Details - SSL 01 - Sheet 41</t>
  </si>
  <si>
    <t>S-E03-BM0142</t>
  </si>
  <si>
    <t>Extended Basement - Block 3 - Beam Details - SSL 01 - Sheet 42</t>
  </si>
  <si>
    <t>S-E03-BM0143</t>
  </si>
  <si>
    <t>Extended Basement - Block 3 - Beam Details - SSL 01 - Sheet 43</t>
  </si>
  <si>
    <t>S-E03-BM0144</t>
  </si>
  <si>
    <t>Extended Basement - Block 3 - Beam Details - SSL 01 - Sheet 44</t>
  </si>
  <si>
    <t>S-E03-BM0145</t>
  </si>
  <si>
    <t>Extended Basement - Block 3 - Beam Details - SSL 01 - Sheet 45</t>
  </si>
  <si>
    <t>S-E03-BM0146</t>
  </si>
  <si>
    <t>Extended Basement - Block 3 - Beam Details - SSL 01 - Sheet 46</t>
  </si>
  <si>
    <t>S-E03-BM0147</t>
  </si>
  <si>
    <t>Extended Basement - Block 3 - Beam Details - SSL 01 - Sheet 47</t>
  </si>
  <si>
    <t>S-E03-BM0148</t>
  </si>
  <si>
    <t>Extended Basement - Block 3 - Beam Details - SSL 01 - Sheet 48</t>
  </si>
  <si>
    <t>S-E03-BM0149</t>
  </si>
  <si>
    <t>Extended Basement - Block 3 - Beam Details - SSL 01 - Sheet 49</t>
  </si>
  <si>
    <t>S-E03-BM0150</t>
  </si>
  <si>
    <t>Extended Basement - Block 3 - Beam Details - SSL 01 - Sheet 50</t>
  </si>
  <si>
    <t>S-E03-BM0201</t>
  </si>
  <si>
    <t>Extended Basement - Block 3 - Beam Details - SSL 02 - Sheet 1</t>
  </si>
  <si>
    <t>S-E03-BM0202</t>
  </si>
  <si>
    <t>Extended Basement - Block 3 - Beam Details - SSL 02 - Sheet 2</t>
  </si>
  <si>
    <t>S-E03-BM0203</t>
  </si>
  <si>
    <t>Extended Basement - Block 3 - Beam Details - SSL 02 - Sheet 3</t>
  </si>
  <si>
    <t>S-E03-BM0204</t>
  </si>
  <si>
    <t>Extended Basement - Block 3 - Beam Details - SSL 02 - Sheet 4</t>
  </si>
  <si>
    <t>S-E03-BM0205</t>
  </si>
  <si>
    <t>Extended Basement - Block 3 - Beam Details - SSL 02 - Sheet 5</t>
  </si>
  <si>
    <t>S-E03-BM0206</t>
  </si>
  <si>
    <t>Extended Basement - Block 3 - Beam Details - SSL 02 - Sheet 6</t>
  </si>
  <si>
    <t>S-E03-BM0207</t>
  </si>
  <si>
    <t>Extended Basement - Block 3 - Beam Details - SSL 02 - Sheet 7</t>
  </si>
  <si>
    <t>S-E03-BM0208</t>
  </si>
  <si>
    <t>Extended Basement - Block 3 - Beam Details - SSL 02 - Sheet 8</t>
  </si>
  <si>
    <t>S-E03-BM0209</t>
  </si>
  <si>
    <t>Extended Basement - Block 3 - Beam Details - SSL 02 - Sheet 9</t>
  </si>
  <si>
    <t>S-E03-BM0210</t>
  </si>
  <si>
    <t>Extended Basement - Block 3 - Beam Details - SSL 02 - Sheet 10</t>
  </si>
  <si>
    <t>S-E03-BM0211</t>
  </si>
  <si>
    <t>Extended Basement - Block 3 - Beam Details - SSL 02 - Sheet 11</t>
  </si>
  <si>
    <t>S-E03-BM0212</t>
  </si>
  <si>
    <t>Extended Basement - Block 3 - Beam Details - SSL 02 - Sheet 12</t>
  </si>
  <si>
    <t>S-E03-BM0213</t>
  </si>
  <si>
    <t>Extended Basement - Block 3 - Beam Details - SSL 02 - Sheet 13</t>
  </si>
  <si>
    <t>S-E03-BM0214</t>
  </si>
  <si>
    <t>Extended Basement - Block 3 - Beam Details - SSL 02 - Sheet 14</t>
  </si>
  <si>
    <t>S-E03-BM0215</t>
  </si>
  <si>
    <t>Extended Basement - Block 3 - Beam Details - SSL 02 - Sheet 15</t>
  </si>
  <si>
    <t>S-E03-BM0216</t>
  </si>
  <si>
    <t>Extended Basement - Block 3 - Beam Details - SSL 02 - Sheet 16</t>
  </si>
  <si>
    <t>S-E03-BM0217</t>
  </si>
  <si>
    <t>Extended Basement - Block 3 - Beam Details - SSL 02 - Sheet 17</t>
  </si>
  <si>
    <t>S-E03-BM0218</t>
  </si>
  <si>
    <t>Extended Basement - Block 3 - Beam Details - SSL 02 - Sheet 18</t>
  </si>
  <si>
    <t>S-E03-BM0219</t>
  </si>
  <si>
    <t>Extended Basement - Block 3 - Beam Details - SSL 02 - Sheet 19</t>
  </si>
  <si>
    <t>S-E03-BM0220</t>
  </si>
  <si>
    <t>Extended Basement - Block 3 - Beam Details - SSL 02 - Sheet 20</t>
  </si>
  <si>
    <t>S-E03-BM0221</t>
  </si>
  <si>
    <t>Extended Basement - Block 3 - Beam Details - SSL 02 - Sheet 21</t>
  </si>
  <si>
    <t>S-E03-BM0222</t>
  </si>
  <si>
    <t>Extended Basement - Block 3 - Beam Details - SSL 02 - Sheet 22</t>
  </si>
  <si>
    <t>S-E03-BM0223</t>
  </si>
  <si>
    <t>Extended Basement - Block 3 - Beam Details - SSL 02 - Sheet 23</t>
  </si>
  <si>
    <t>S-E03-BM0224</t>
  </si>
  <si>
    <t>Extended Basement - Block 3 - Beam Details - SSL 02 - Sheet 24</t>
  </si>
  <si>
    <t>S-E03-BM0225</t>
  </si>
  <si>
    <t>Extended Basement - Block 3 - Beam Details - SSL 02 - Sheet 25</t>
  </si>
  <si>
    <t>S-E03-BM0226</t>
  </si>
  <si>
    <t>Extended Basement - Block 3 - Beam Details - SSL 02 - Sheet 26</t>
  </si>
  <si>
    <t>S-E03-BM0227</t>
  </si>
  <si>
    <t>Extended Basement - Block 3 - Beam Details - SSL 02 - Sheet 27</t>
  </si>
  <si>
    <t>S-E03-BM0228</t>
  </si>
  <si>
    <t>Extended Basement - Block 3 - Beam Details - SSL 02 - Sheet 28</t>
  </si>
  <si>
    <t>S-E03-BM0229</t>
  </si>
  <si>
    <t>Extended Basement - Block 3 - Beam Details - SSL 02 - Sheet 29</t>
  </si>
  <si>
    <t>S-E03-BM0230</t>
  </si>
  <si>
    <t>Extended Basement - Block 3 - Beam Details - SSL 02 - Sheet 30</t>
  </si>
  <si>
    <t>S-E03-BM0231</t>
  </si>
  <si>
    <t>Extended Basement - Block 3 - Beam Details - SSL 02 - Sheet 31</t>
  </si>
  <si>
    <t>S-E03-BM0232</t>
  </si>
  <si>
    <t>Extended Basement - Block 3 - Beam Details - SSL 02 - Sheet 32</t>
  </si>
  <si>
    <t>S-E03-BM0233</t>
  </si>
  <si>
    <t>Extended Basement - Block 3 - Beam Details - SSL 02 - Sheet 33</t>
  </si>
  <si>
    <t>S-E03-BM0234</t>
  </si>
  <si>
    <t>Extended Basement - Block 3 - Beam Details - SSL 02 - Sheet 34</t>
  </si>
  <si>
    <t>S-E03-BM0235</t>
  </si>
  <si>
    <t>Extended Basement - Block 3 - Beam Details - SSL 02 - Sheet 35</t>
  </si>
  <si>
    <t>S-E03-BM0236</t>
  </si>
  <si>
    <t>Extended Basement - Block 3 - Beam Details - SSL 02 - Sheet 36</t>
  </si>
  <si>
    <t>S-E03-BM0237</t>
  </si>
  <si>
    <t>Extended Basement - Block 3 - Beam Details - SSL 02 - Sheet 37</t>
  </si>
  <si>
    <t>S-E03-BM0238</t>
  </si>
  <si>
    <t>Extended Basement - Block 3 - Beam Details - SSL 02 - Sheet 38</t>
  </si>
  <si>
    <t>S-E03-BM0239</t>
  </si>
  <si>
    <t>Extended Basement - Block 3 - Beam Details - SSL 02 - Sheet 39</t>
  </si>
  <si>
    <t>S-E03-BM0240</t>
  </si>
  <si>
    <t>Extended Basement - Block 3 - Beam Details - SSL 02 - Sheet 40</t>
  </si>
  <si>
    <t>S-E03-BM0241</t>
  </si>
  <si>
    <t>Extended Basement - Block 3 - Beam Details - SSL 02 - Sheet 41</t>
  </si>
  <si>
    <t>S-E03-BM0242</t>
  </si>
  <si>
    <t>Extended Basement - Block 3 - Beam Details - SSL 02 - Sheet 42</t>
  </si>
  <si>
    <t>S-E03-BM0243</t>
  </si>
  <si>
    <t>Extended Basement - Block 3 - Beam Details - SSL 02 - Sheet 43</t>
  </si>
  <si>
    <t>S-E03-BM0244</t>
  </si>
  <si>
    <t>Extended Basement - Block 3 - Beam Details - SSL 02 - Sheet 44</t>
  </si>
  <si>
    <t>S-E03-BM0245</t>
  </si>
  <si>
    <t>Extended Basement - Block 3 - Beam Details - SSL 02 - Sheet 45</t>
  </si>
  <si>
    <t>S-E03-BM0246</t>
  </si>
  <si>
    <t>Extended Basement - Block 3 - Beam Details - SSL 02 - Sheet 46</t>
  </si>
  <si>
    <t>S-E03-BM0247</t>
  </si>
  <si>
    <t>Extended Basement - Block 3 - Beam Details - SSL 02 - Sheet 47</t>
  </si>
  <si>
    <t>S-E03-BM0248</t>
  </si>
  <si>
    <t>Extended Basement - Block 3 - Beam Details - SSL 02 - Sheet 48</t>
  </si>
  <si>
    <t>S-E03-BM0249</t>
  </si>
  <si>
    <t>Extended Basement - Block 3 - Beam Details - SSL 02 - Sheet 49</t>
  </si>
  <si>
    <t>S-E03-BM0250</t>
  </si>
  <si>
    <t>Extended Basement - Block 3 - Beam Details - SSL 02 - Sheet 50</t>
  </si>
  <si>
    <t>S-E03-SB0001</t>
  </si>
  <si>
    <t>Extended Basement - Block 3 - General Notes - Slabs</t>
  </si>
  <si>
    <t>S-E03-SB0102</t>
  </si>
  <si>
    <t>Extended Basement - Block 3 - Slab Details - SSL 1 - Top Reinforcement</t>
  </si>
  <si>
    <t>S-E03-SB0103</t>
  </si>
  <si>
    <t>Extended Basement - Block 3 - Slab Details - SSL 1 - Bottom Reinforcement</t>
  </si>
  <si>
    <t>S-E03-SB0104</t>
  </si>
  <si>
    <t>Extended Basement - Block 3 - Slab Details - SSL 1 - Cutout and Torsional Reinforcement</t>
  </si>
  <si>
    <t>S-E03-SB0105</t>
  </si>
  <si>
    <t>Extended Basement - Block 3 - Slab Details - SSL 1 - Slab Sections</t>
  </si>
  <si>
    <t>S-E03-SB0221</t>
  </si>
  <si>
    <t>Extended Basement - Block 3 - Slab Details - SSL 2 - Top Reinforcement</t>
  </si>
  <si>
    <t>S-E03-SB0222</t>
  </si>
  <si>
    <t>Extended Basement - Block 3 - Slab Details - SSL 2 - Bottom Reinforcement</t>
  </si>
  <si>
    <t>S-E03-SB0223</t>
  </si>
  <si>
    <t>Extended Basement - Block 3 - Slab Details - SSL 2 - Cutout and Torsional Reinforcement</t>
  </si>
  <si>
    <t>S-E03-SB0224</t>
  </si>
  <si>
    <t>Extended Basement - Block 3 - Slab Details - SSL 2 - Slab Sections</t>
  </si>
  <si>
    <t>S-E03-SL0001</t>
  </si>
  <si>
    <t>Extended Basement - Block 3 - General Notes - Sleeves</t>
  </si>
  <si>
    <t>S-E03-SL0102</t>
  </si>
  <si>
    <t>Extended Basement - Block 3 - Sleeve Details - SSL 1 - Sleeve Location</t>
  </si>
  <si>
    <t>S-E03-SL0103</t>
  </si>
  <si>
    <t>Extended Basement - Block 3 - Sleeve Details - SSL 1 - Sleeve Table 1</t>
  </si>
  <si>
    <t>S-E03-SL0104</t>
  </si>
  <si>
    <t>Extended Basement - Block 3 - Sleeve Details - SSL 1 - Sleeve Table 2</t>
  </si>
  <si>
    <t>S-E03-SL0105</t>
  </si>
  <si>
    <t>Extended Basement - Block 3 - Sleeve Details - SSL 1 - Sleeve Table 3</t>
  </si>
  <si>
    <t>S-E03-SL0221</t>
  </si>
  <si>
    <t>Extended Basement - Block 3 - Sleeve Details - SSL 2 - Sleeve Location</t>
  </si>
  <si>
    <t>S-E03-SL0222</t>
  </si>
  <si>
    <t>Extended Basement - Block 3 - Sleeve Details - SSL 2 - Sleeve Table 1</t>
  </si>
  <si>
    <t>S-E03-SL0223</t>
  </si>
  <si>
    <t>Extended Basement - Block 3 - Sleeve Details - SSL 2 - Sleeve Table 2</t>
  </si>
  <si>
    <t>S-E03-SL0224</t>
  </si>
  <si>
    <t>Extended Basement - Block 3 - Sleeve Details - SSL 2 - Sleeve Table 3</t>
  </si>
  <si>
    <r>
      <t xml:space="preserve">Independent Subgrade Structure—Block </t>
    </r>
    <r>
      <rPr>
        <b/>
        <sz val="10"/>
        <color theme="1"/>
        <rFont val="Meta-Normal"/>
        <family val="3"/>
      </rPr>
      <t>04</t>
    </r>
  </si>
  <si>
    <t>SS4</t>
  </si>
  <si>
    <t>S-E04-FD0001</t>
  </si>
  <si>
    <t>Extended Basement - Block 4 - Foundation Layout</t>
  </si>
  <si>
    <t>S-E04-FD0002</t>
  </si>
  <si>
    <t>Extended Basement - Block 4 - Isolated Footings - Sheet 1</t>
  </si>
  <si>
    <t>S-E04-FD0003</t>
  </si>
  <si>
    <t>Extended Basement - Block 4 - Isolated Footings - Sheet 2</t>
  </si>
  <si>
    <t>S-E04-FD0004</t>
  </si>
  <si>
    <t>Extended Basement - Block 4 - Combined Footings - Sheet 1</t>
  </si>
  <si>
    <t>S-E04-FD0005</t>
  </si>
  <si>
    <t>Extended Basement - Block 4 - Combined Footings - Sheet 2</t>
  </si>
  <si>
    <t>S-E04-FD0006</t>
  </si>
  <si>
    <t>Extended Basement - Block 4 - Details of Grade Slab</t>
  </si>
  <si>
    <t>S-E04-FD0007</t>
  </si>
  <si>
    <t>Extended Basement - Block 4 - Details of Drains</t>
  </si>
  <si>
    <t>S-E04-FD0008</t>
  </si>
  <si>
    <t>Extended Basement - Block 4 - Details of Sumps</t>
  </si>
  <si>
    <t>S-E04-FP0101</t>
  </si>
  <si>
    <t>Extended Basement - Block 4 - Framing Plan at SSL 1</t>
  </si>
  <si>
    <t>S-E04-FP0201</t>
  </si>
  <si>
    <t>Extended Basement - Block 4 - Framing Plan at SSL 2</t>
  </si>
  <si>
    <t>S-E04-CL0001</t>
  </si>
  <si>
    <t>GENERAL COLUMN DETAILS</t>
  </si>
  <si>
    <t>S-E04-CL0002</t>
  </si>
  <si>
    <t>COLUMN E4C28,E4C35,E4C36 AND E4C37 DETAILS</t>
  </si>
  <si>
    <t>S-E04-CL0003</t>
  </si>
  <si>
    <t>COLUMN E4C46  DETAILS</t>
  </si>
  <si>
    <t>S-E04-CL0004</t>
  </si>
  <si>
    <t>Extended Basement - Block 4 - Column Drawings - Sheet 4</t>
  </si>
  <si>
    <t>S-E04-CL0005</t>
  </si>
  <si>
    <t>Extended Basement - Block 4 - Column Drawings - Sheet 5</t>
  </si>
  <si>
    <t>S-E04-CL0006</t>
  </si>
  <si>
    <t>Extended Basement - Block 4 - Column Drawings - Sheet 6</t>
  </si>
  <si>
    <t>S-E04-CL0007</t>
  </si>
  <si>
    <t>Extended Basement - Block 4 - Column Drawings - Sheet 7</t>
  </si>
  <si>
    <t>S-E04-CL0008</t>
  </si>
  <si>
    <t>Extended Basement - Block 4 - Column Drawings - Sheet 8</t>
  </si>
  <si>
    <t>S-E04-CL0009</t>
  </si>
  <si>
    <t>Extended Basement - Block 4 - Column Drawings - Sheet 9</t>
  </si>
  <si>
    <t>S-E04-CL0010</t>
  </si>
  <si>
    <t>Extended Basement - Block 4 - Column Drawings - Sheet 10</t>
  </si>
  <si>
    <t>S-E04-CL0011</t>
  </si>
  <si>
    <t>Extended Basement - Block 4 - Column Drawings - Sheet 11</t>
  </si>
  <si>
    <t>S-E04-CL0012</t>
  </si>
  <si>
    <t>Extended Basement - Block 4 - Column Drawings - Sheet 12</t>
  </si>
  <si>
    <t>S-E04-CL0013</t>
  </si>
  <si>
    <t>Extended Basement - Block 4 - Column Drawings - Sheet 13</t>
  </si>
  <si>
    <t>S-E04-CL0014</t>
  </si>
  <si>
    <t>Extended Basement - Block 4 - Column Drawings - Sheet 14</t>
  </si>
  <si>
    <t>S-E04-CL0015</t>
  </si>
  <si>
    <t>Extended Basement - Block 4 - Column Drawings - Sheet 15</t>
  </si>
  <si>
    <t>S-E04-CL0016</t>
  </si>
  <si>
    <t>Extended Basement - Block 4 - Column Drawings - Sheet 16</t>
  </si>
  <si>
    <t>S-E04-CL0017</t>
  </si>
  <si>
    <t>Extended Basement - Block 4 - Column Drawings - Sheet 17</t>
  </si>
  <si>
    <t>S-E04-CL0018</t>
  </si>
  <si>
    <t>Extended Basement - Block 4 - Column Drawings - Sheet 18</t>
  </si>
  <si>
    <t>S-E04-CL0019</t>
  </si>
  <si>
    <t>Extended Basement - Block 4 - Column Drawings - Sheet 19</t>
  </si>
  <si>
    <t>S-E04-CL0020</t>
  </si>
  <si>
    <t>Extended Basement - Block 4 - Column Drawings - Sheet 20</t>
  </si>
  <si>
    <t>S-E04-RW0001</t>
  </si>
  <si>
    <t>Extended Basement - Block 4 - Retaining Wall Drawings - Sheet 1</t>
  </si>
  <si>
    <t>S-E04-RW0002</t>
  </si>
  <si>
    <t>Extended Basement - Block 4 - Retaining Wall Drawings - Sheet 2</t>
  </si>
  <si>
    <t>S-E04-RW0003</t>
  </si>
  <si>
    <t>Extended Basement - Block 4 - Retaining Wall Drawings - Sheet 3</t>
  </si>
  <si>
    <t>S-E04-RW0004</t>
  </si>
  <si>
    <t>Extended Basement - Block 4 - Retaining Wall Drawings - Sheet 4</t>
  </si>
  <si>
    <t>S-E04-RW0005</t>
  </si>
  <si>
    <t>Extended Basement - Block 4 - Retaining Wall Drawings - Sheet 5</t>
  </si>
  <si>
    <t>S-E04-BM0101</t>
  </si>
  <si>
    <t>Extended Basement - Block 4 - Beam Details - SSL 01 - Sheet 1</t>
  </si>
  <si>
    <t>S-E04-BM0102</t>
  </si>
  <si>
    <t>Extended Basement - Block 4 - Beam Details - SSL 01 - Sheet 2</t>
  </si>
  <si>
    <t>S-E04-BM0103</t>
  </si>
  <si>
    <t>Extended Basement - Block 4 - Beam Details - SSL 01 - Sheet 3</t>
  </si>
  <si>
    <t>S-E04-BM0104</t>
  </si>
  <si>
    <t>Extended Basement - Block 4 - Beam Details - SSL 01 - Sheet 4</t>
  </si>
  <si>
    <t>S-E04-BM0105</t>
  </si>
  <si>
    <t>Extended Basement - Block 4 - Beam Details - SSL 01 - Sheet 5</t>
  </si>
  <si>
    <t>S-E04-BM0106</t>
  </si>
  <si>
    <t>Extended Basement - Block 4 - Beam Details - SSL 01 - Sheet 6</t>
  </si>
  <si>
    <t>S-E04-BM0107</t>
  </si>
  <si>
    <t>Extended Basement - Block 4 - Beam Details - SSL 01 - Sheet 7</t>
  </si>
  <si>
    <t>S-E04-BM0108</t>
  </si>
  <si>
    <t>Extended Basement - Block 4 - Beam Details - SSL 01 - Sheet 8</t>
  </si>
  <si>
    <t>S-E04-BM0109</t>
  </si>
  <si>
    <t>Extended Basement - Block 4 - Beam Details - SSL 01 - Sheet 9</t>
  </si>
  <si>
    <t>S-E04-BM0110</t>
  </si>
  <si>
    <t>Extended Basement - Block 4 - Beam Details - SSL 01 - Sheet 10</t>
  </si>
  <si>
    <t>S-E04-BM0111</t>
  </si>
  <si>
    <t>Extended Basement - Block 4 - Beam Details - SSL 01 - Sheet 11</t>
  </si>
  <si>
    <t>S-E04-BM0112</t>
  </si>
  <si>
    <t>Extended Basement - Block 4 - Beam Details - SSL 01 - Sheet 12</t>
  </si>
  <si>
    <t>S-E04-BM0113</t>
  </si>
  <si>
    <t>Extended Basement - Block 4 - Beam Details - SSL 01 - Sheet 13</t>
  </si>
  <si>
    <t>S-E04-BM0114</t>
  </si>
  <si>
    <t>Extended Basement - Block 4 - Beam Details - SSL 01 - Sheet 14</t>
  </si>
  <si>
    <t>S-E04-BM0115</t>
  </si>
  <si>
    <t>Extended Basement - Block 4 - Beam Details - SSL 01 - Sheet 15</t>
  </si>
  <si>
    <t>S-E04-BM0116</t>
  </si>
  <si>
    <t>Extended Basement - Block 4 - Beam Details - SSL 01 - Sheet 16</t>
  </si>
  <si>
    <t>S-E04-BM0117</t>
  </si>
  <si>
    <t>Extended Basement - Block 4 - Beam Details - SSL 01 - Sheet 17</t>
  </si>
  <si>
    <t>S-E04-BM0118</t>
  </si>
  <si>
    <t>Extended Basement - Block 4 - Beam Details - SSL 01 - Sheet 18</t>
  </si>
  <si>
    <t>S-E04-BM0119</t>
  </si>
  <si>
    <t>Extended Basement - Block 4 - Beam Details - SSL 01 - Sheet 19</t>
  </si>
  <si>
    <t>S-E04-BM0120</t>
  </si>
  <si>
    <t>Extended Basement - Block 4 - Beam Details - SSL 01 - Sheet 20</t>
  </si>
  <si>
    <t>S-E04-BM0121</t>
  </si>
  <si>
    <t>Extended Basement - Block 4 - Beam Details - SSL 01 - Sheet 21</t>
  </si>
  <si>
    <t>S-E04-BM0122</t>
  </si>
  <si>
    <t>Extended Basement - Block 4 - Beam Details - SSL 01 - Sheet 22</t>
  </si>
  <si>
    <t>S-E04-BM0123</t>
  </si>
  <si>
    <t>Extended Basement - Block 4 - Beam Details - SSL 01 - Sheet 23</t>
  </si>
  <si>
    <t>S-E04-BM0124</t>
  </si>
  <si>
    <t>Extended Basement - Block 4 - Beam Details - SSL 01 - Sheet 24</t>
  </si>
  <si>
    <t>S-E04-BM0125</t>
  </si>
  <si>
    <t>Extended Basement - Block 4 - Beam Details - SSL 01 - Sheet 25</t>
  </si>
  <si>
    <t>S-E04-BM0126</t>
  </si>
  <si>
    <t>Extended Basement - Block 4 - Beam Details - SSL 01 - Sheet 26</t>
  </si>
  <si>
    <t>S-E04-BM0127</t>
  </si>
  <si>
    <t>Extended Basement - Block 4 - Beam Details - SSL 01 - Sheet 27</t>
  </si>
  <si>
    <t>S-E04-BM0128</t>
  </si>
  <si>
    <t>Extended Basement - Block 4 - Beam Details - SSL 01 - Sheet 28</t>
  </si>
  <si>
    <t>S-E04-BM0129</t>
  </si>
  <si>
    <t>Extended Basement - Block 4 - Beam Details - SSL 01 - Sheet 29</t>
  </si>
  <si>
    <t>S-E04-BM0130</t>
  </si>
  <si>
    <t>Extended Basement - Block 4 - Beam Details - SSL 01 - Sheet 30</t>
  </si>
  <si>
    <t>S-E04-BM0131</t>
  </si>
  <si>
    <t>Extended Basement - Block 4 - Beam Details - SSL 01 - Sheet 31</t>
  </si>
  <si>
    <t>S-E04-BM0132</t>
  </si>
  <si>
    <t>Extended Basement - Block 4 - Beam Details - SSL 01 - Sheet 32</t>
  </si>
  <si>
    <t>S-E04-BM0133</t>
  </si>
  <si>
    <t>Extended Basement - Block 4 - Beam Details - SSL 01 - Sheet 33</t>
  </si>
  <si>
    <t>S-E04-BM0134</t>
  </si>
  <si>
    <t>Extended Basement - Block 4 - Beam Details - SSL 01 - Sheet 34</t>
  </si>
  <si>
    <t>S-E04-BM0135</t>
  </si>
  <si>
    <t>Extended Basement - Block 4 - Beam Details - SSL 01 - Sheet 35</t>
  </si>
  <si>
    <t>S-E04-BM0136</t>
  </si>
  <si>
    <t>Extended Basement - Block 4 - Beam Details - SSL 01 - Sheet 36</t>
  </si>
  <si>
    <t>S-E04-BM0137</t>
  </si>
  <si>
    <t>Extended Basement - Block 4 - Beam Details - SSL 01 - Sheet 37</t>
  </si>
  <si>
    <t>S-E04-BM0138</t>
  </si>
  <si>
    <t>Extended Basement - Block 4 - Beam Details - SSL 01 - Sheet 38</t>
  </si>
  <si>
    <t>S-E04-BM0139</t>
  </si>
  <si>
    <t>Extended Basement - Block 4 - Beam Details - SSL 01 - Sheet 39</t>
  </si>
  <si>
    <t>S-E04-BM0140</t>
  </si>
  <si>
    <t>Extended Basement - Block 4 - Beam Details - SSL 01 - Sheet 40</t>
  </si>
  <si>
    <t>S-E04-BM0141</t>
  </si>
  <si>
    <t>Extended Basement - Block 4 - Beam Details - SSL 01 - Sheet 41</t>
  </si>
  <si>
    <t>S-E04-BM0142</t>
  </si>
  <si>
    <t>Extended Basement - Block 4 - Beam Details - SSL 01 - Sheet 42</t>
  </si>
  <si>
    <t>S-E04-BM0143</t>
  </si>
  <si>
    <t>Extended Basement - Block 4 - Beam Details - SSL 01 - Sheet 43</t>
  </si>
  <si>
    <t>S-E04-BM0144</t>
  </si>
  <si>
    <t>Extended Basement - Block 4 - Beam Details - SSL 01 - Sheet 44</t>
  </si>
  <si>
    <t>S-E04-BM0145</t>
  </si>
  <si>
    <t>Extended Basement - Block 4 - Beam Details - SSL 01 - Sheet 45</t>
  </si>
  <si>
    <t>S-E04-BM0146</t>
  </si>
  <si>
    <t>Extended Basement - Block 4 - Beam Details - SSL 01 - Sheet 46</t>
  </si>
  <si>
    <t>S-E04-BM0147</t>
  </si>
  <si>
    <t>Extended Basement - Block 4 - Beam Details - SSL 01 - Sheet 47</t>
  </si>
  <si>
    <t>S-E04-BM0148</t>
  </si>
  <si>
    <t>Extended Basement - Block 4 - Beam Details - SSL 01 - Sheet 48</t>
  </si>
  <si>
    <t>S-E04-BM0149</t>
  </si>
  <si>
    <t>Extended Basement - Block 4 - Beam Details - SSL 01 - Sheet 49</t>
  </si>
  <si>
    <t>S-E04-BM0150</t>
  </si>
  <si>
    <t>Extended Basement - Block 4 - Beam Details - SSL 01 - Sheet 50</t>
  </si>
  <si>
    <t>S-E04-BM0201</t>
  </si>
  <si>
    <t>Extended Basement - Block 4 - Beam Details - SSL 02 - Sheet 1</t>
  </si>
  <si>
    <t>S-E04-BM0202</t>
  </si>
  <si>
    <t>Extended Basement - Block 4 - Beam Details - SSL 02 - Sheet 2</t>
  </si>
  <si>
    <t>S-E04-BM0203</t>
  </si>
  <si>
    <t>Extended Basement - Block 4 - Beam Details - SSL 02 - Sheet 3</t>
  </si>
  <si>
    <t>S-E04-BM0204</t>
  </si>
  <si>
    <t>Extended Basement - Block 4 - Beam Details - SSL 02 - Sheet 4</t>
  </si>
  <si>
    <t>S-E04-BM0205</t>
  </si>
  <si>
    <t>Extended Basement - Block 4 - Beam Details - SSL 02 - Sheet 5</t>
  </si>
  <si>
    <t>S-E04-BM0206</t>
  </si>
  <si>
    <t>Extended Basement - Block 4 - Beam Details - SSL 02 - Sheet 6</t>
  </si>
  <si>
    <t>S-E04-BM0207</t>
  </si>
  <si>
    <t>Extended Basement - Block 4 - Beam Details - SSL 02 - Sheet 7</t>
  </si>
  <si>
    <t>S-E04-BM0208</t>
  </si>
  <si>
    <t>Extended Basement - Block 4 - Beam Details - SSL 02 - Sheet 8</t>
  </si>
  <si>
    <t>S-E04-BM0209</t>
  </si>
  <si>
    <t>Extended Basement - Block 4 - Beam Details - SSL 02 - Sheet 9</t>
  </si>
  <si>
    <t>S-E04-BM0210</t>
  </si>
  <si>
    <t>Extended Basement - Block 4 - Beam Details - SSL 02 - Sheet 10</t>
  </si>
  <si>
    <t>S-E04-BM0211</t>
  </si>
  <si>
    <t>Extended Basement - Block 4 - Beam Details - SSL 02 - Sheet 11</t>
  </si>
  <si>
    <t>S-E04-BM0212</t>
  </si>
  <si>
    <t>Extended Basement - Block 4 - Beam Details - SSL 02 - Sheet 12</t>
  </si>
  <si>
    <t>S-E04-BM0213</t>
  </si>
  <si>
    <t>Extended Basement - Block 4 - Beam Details - SSL 02 - Sheet 13</t>
  </si>
  <si>
    <t>S-E04-BM0214</t>
  </si>
  <si>
    <t>Extended Basement - Block 4 - Beam Details - SSL 02 - Sheet 14</t>
  </si>
  <si>
    <t>S-E04-BM0215</t>
  </si>
  <si>
    <t>Extended Basement - Block 4 - Beam Details - SSL 02 - Sheet 15</t>
  </si>
  <si>
    <t>S-E04-BM0216</t>
  </si>
  <si>
    <t>Extended Basement - Block 4 - Beam Details - SSL 02 - Sheet 16</t>
  </si>
  <si>
    <t>S-E04-BM0217</t>
  </si>
  <si>
    <t>Extended Basement - Block 4 - Beam Details - SSL 02 - Sheet 17</t>
  </si>
  <si>
    <t>S-E04-BM0218</t>
  </si>
  <si>
    <t>Extended Basement - Block 4 - Beam Details - SSL 02 - Sheet 18</t>
  </si>
  <si>
    <t>S-E04-BM0219</t>
  </si>
  <si>
    <t>Extended Basement - Block 4 - Beam Details - SSL 02 - Sheet 19</t>
  </si>
  <si>
    <t>S-E04-BM0220</t>
  </si>
  <si>
    <t>Extended Basement - Block 4 - Beam Details - SSL 02 - Sheet 20</t>
  </si>
  <si>
    <t>S-E04-BM0221</t>
  </si>
  <si>
    <t>Extended Basement - Block 4 - Beam Details - SSL 02 - Sheet 21</t>
  </si>
  <si>
    <t>S-E04-BM0222</t>
  </si>
  <si>
    <t>Extended Basement - Block 4 - Beam Details - SSL 02 - Sheet 22</t>
  </si>
  <si>
    <t>S-E04-BM0223</t>
  </si>
  <si>
    <t>Extended Basement - Block 4 - Beam Details - SSL 02 - Sheet 23</t>
  </si>
  <si>
    <t>S-E04-BM0224</t>
  </si>
  <si>
    <t>Extended Basement - Block 4 - Beam Details - SSL 02 - Sheet 24</t>
  </si>
  <si>
    <t>S-E04-BM0225</t>
  </si>
  <si>
    <t>Extended Basement - Block 4 - Beam Details - SSL 02 - Sheet 25</t>
  </si>
  <si>
    <t>S-E04-BM0226</t>
  </si>
  <si>
    <t>Extended Basement - Block 4 - Beam Details - SSL 02 - Sheet 26</t>
  </si>
  <si>
    <t>S-E04-BM0227</t>
  </si>
  <si>
    <t>Extended Basement - Block 4 - Beam Details - SSL 02 - Sheet 27</t>
  </si>
  <si>
    <t>S-E04-BM0228</t>
  </si>
  <si>
    <t>Extended Basement - Block 4 - Beam Details - SSL 02 - Sheet 28</t>
  </si>
  <si>
    <t>S-E04-BM0229</t>
  </si>
  <si>
    <t>Extended Basement - Block 4 - Beam Details - SSL 02 - Sheet 29</t>
  </si>
  <si>
    <t>S-E04-BM0230</t>
  </si>
  <si>
    <t>Extended Basement - Block 4 - Beam Details - SSL 02 - Sheet 30</t>
  </si>
  <si>
    <t>S-E04-BM0231</t>
  </si>
  <si>
    <t>Extended Basement - Block 4 - Beam Details - SSL 02 - Sheet 31</t>
  </si>
  <si>
    <t>S-E04-BM0232</t>
  </si>
  <si>
    <t>Extended Basement - Block 4 - Beam Details - SSL 02 - Sheet 32</t>
  </si>
  <si>
    <t>S-E04-BM0233</t>
  </si>
  <si>
    <t>Extended Basement - Block 4 - Beam Details - SSL 02 - Sheet 33</t>
  </si>
  <si>
    <t>S-E04-BM0234</t>
  </si>
  <si>
    <t>Extended Basement - Block 4 - Beam Details - SSL 02 - Sheet 34</t>
  </si>
  <si>
    <t>S-E04-BM0235</t>
  </si>
  <si>
    <t>Extended Basement - Block 4 - Beam Details - SSL 02 - Sheet 35</t>
  </si>
  <si>
    <t>S-E04-BM0236</t>
  </si>
  <si>
    <t>Extended Basement - Block 4 - Beam Details - SSL 02 - Sheet 36</t>
  </si>
  <si>
    <t>S-E04-BM0237</t>
  </si>
  <si>
    <t>Extended Basement - Block 4 - Beam Details - SSL 02 - Sheet 37</t>
  </si>
  <si>
    <t>S-E04-BM0238</t>
  </si>
  <si>
    <t>Extended Basement - Block 4 - Beam Details - SSL 02 - Sheet 38</t>
  </si>
  <si>
    <t>S-E04-BM0239</t>
  </si>
  <si>
    <t>Extended Basement - Block 4 - Beam Details - SSL 02 - Sheet 39</t>
  </si>
  <si>
    <t>S-E04-BM0240</t>
  </si>
  <si>
    <t>Extended Basement - Block 4 - Beam Details - SSL 02 - Sheet 40</t>
  </si>
  <si>
    <t>S-E04-BM0241</t>
  </si>
  <si>
    <t>Extended Basement - Block 4 - Beam Details - SSL 02 - Sheet 41</t>
  </si>
  <si>
    <t>S-E04-BM0242</t>
  </si>
  <si>
    <t>Extended Basement - Block 4 - Beam Details - SSL 02 - Sheet 42</t>
  </si>
  <si>
    <t>S-E04-BM0243</t>
  </si>
  <si>
    <t>Extended Basement - Block 4 - Beam Details - SSL 02 - Sheet 43</t>
  </si>
  <si>
    <t>S-E04-BM0244</t>
  </si>
  <si>
    <t>Extended Basement - Block 4 - Beam Details - SSL 02 - Sheet 44</t>
  </si>
  <si>
    <t>S-E04-BM0245</t>
  </si>
  <si>
    <t>Extended Basement - Block 4 - Beam Details - SSL 02 - Sheet 45</t>
  </si>
  <si>
    <t>S-E04-BM0246</t>
  </si>
  <si>
    <t>Extended Basement - Block 4 - Beam Details - SSL 02 - Sheet 46</t>
  </si>
  <si>
    <t>S-E04-BM0247</t>
  </si>
  <si>
    <t>Extended Basement - Block 4 - Beam Details - SSL 02 - Sheet 47</t>
  </si>
  <si>
    <t>S-E04-BM0248</t>
  </si>
  <si>
    <t>Extended Basement - Block 4 - Beam Details - SSL 02 - Sheet 48</t>
  </si>
  <si>
    <t>S-E04-BM0249</t>
  </si>
  <si>
    <t>Extended Basement - Block 4 - Beam Details - SSL 02 - Sheet 49</t>
  </si>
  <si>
    <t>S-E04-BM0250</t>
  </si>
  <si>
    <t>Extended Basement - Block 4 - Beam Details - SSL 02 - Sheet 50</t>
  </si>
  <si>
    <t>S-E04-SB0001</t>
  </si>
  <si>
    <t>Extended Basement - Block 4 - General Notes - Slabs</t>
  </si>
  <si>
    <t>S-E04-SB0102</t>
  </si>
  <si>
    <t>Extended Basement - Block 4 - Slab Details - SSL 1 - Top Reinforcement</t>
  </si>
  <si>
    <t>S-E04-SB0103</t>
  </si>
  <si>
    <t>Extended Basement - Block 4 - Slab Details - SSL 1 - Bottom Reinforcement</t>
  </si>
  <si>
    <t>S-E04-SB0104</t>
  </si>
  <si>
    <t>Extended Basement - Block 4 - Slab Details - SSL 1 - Cutout and Torsional Reinforcement</t>
  </si>
  <si>
    <t>S-E04-SB0105</t>
  </si>
  <si>
    <t>Extended Basement - Block 4 - Slab Details - SSL 1 - Slab Sections</t>
  </si>
  <si>
    <t>S-E04-SB0221</t>
  </si>
  <si>
    <t>Extended Basement - Block 4 - Slab Details - SSL 2 - Top Reinforcement</t>
  </si>
  <si>
    <t>S-E04-SB0222</t>
  </si>
  <si>
    <t>Extended Basement - Block 4 - Slab Details - SSL 2 - Bottom Reinforcement</t>
  </si>
  <si>
    <t>S-E04-SB0223</t>
  </si>
  <si>
    <t>Extended Basement - Block 4 - Slab Details - SSL 2 - Cutout and Torsional Reinforcement</t>
  </si>
  <si>
    <t>S-E04-SB0224</t>
  </si>
  <si>
    <t>Extended Basement - Block 4 - Slab Details - SSL 2 - Slab Sections</t>
  </si>
  <si>
    <t>S-E04-SL0001</t>
  </si>
  <si>
    <t>Extended Basement - Block 4 - General Notes - Sleeves</t>
  </si>
  <si>
    <t>S-E04-SL0102</t>
  </si>
  <si>
    <t>Extended Basement - Block 4 - Sleeve Details - SSL 1 - Sleeve Location</t>
  </si>
  <si>
    <t>S-E04-SL0103</t>
  </si>
  <si>
    <t>Extended Basement - Block 4 - Sleeve Details - SSL 1 - Sleeve Table 1</t>
  </si>
  <si>
    <t>S-E04-SL0104</t>
  </si>
  <si>
    <t>Extended Basement - Block 4 - Sleeve Details - SSL 1 - Sleeve Table 2</t>
  </si>
  <si>
    <t>S-E04-SL0105</t>
  </si>
  <si>
    <t>Extended Basement - Block 4 - Sleeve Details - SSL 1 - Sleeve Table 3</t>
  </si>
  <si>
    <t>S-E04-SL0221</t>
  </si>
  <si>
    <t>Extended Basement - Block 4 - Sleeve Details - SSL 2 - Sleeve Location</t>
  </si>
  <si>
    <t>S-E04-SL0222</t>
  </si>
  <si>
    <t>Extended Basement - Block 4 - Sleeve Details - SSL 2 - Sleeve Table 1</t>
  </si>
  <si>
    <t>S-E04-SL0223</t>
  </si>
  <si>
    <t>Extended Basement - Block 4 - Sleeve Details - SSL 2 - Sleeve Table 2</t>
  </si>
  <si>
    <t>S-E04-SL0224</t>
  </si>
  <si>
    <t>Extended Basement - Block 4 - Sleeve Details - SSL 2 - Sleeve Table 3</t>
  </si>
  <si>
    <r>
      <t xml:space="preserve">Independent Subgrade Structure—Block </t>
    </r>
    <r>
      <rPr>
        <b/>
        <sz val="10"/>
        <color theme="1"/>
        <rFont val="Meta-Normal"/>
        <family val="3"/>
      </rPr>
      <t>05</t>
    </r>
  </si>
  <si>
    <t>SS5</t>
  </si>
  <si>
    <t>CL</t>
  </si>
  <si>
    <t>COLUMN DETAILS</t>
  </si>
  <si>
    <t>RW</t>
  </si>
  <si>
    <t>RETAINING WALL DETAILS</t>
  </si>
  <si>
    <t>FP</t>
  </si>
  <si>
    <t>FRAMING PLANS</t>
  </si>
  <si>
    <t>BM</t>
  </si>
  <si>
    <t>BEAM REINFORCEMENT DETAILS—PODIUM</t>
  </si>
  <si>
    <t>SB</t>
  </si>
  <si>
    <t>SLAB REINFORCEMENT DETAILS—PODIUM</t>
  </si>
  <si>
    <r>
      <t xml:space="preserve">Independent Subgrade Structure—Block </t>
    </r>
    <r>
      <rPr>
        <b/>
        <sz val="10"/>
        <color theme="1"/>
        <rFont val="Meta-Normal"/>
        <family val="3"/>
      </rPr>
      <t>06</t>
    </r>
  </si>
  <si>
    <t>SS6</t>
  </si>
  <si>
    <r>
      <t xml:space="preserve">Independent Subgrade Structure—Block </t>
    </r>
    <r>
      <rPr>
        <b/>
        <sz val="10"/>
        <color theme="1"/>
        <rFont val="Meta-Normal"/>
        <family val="3"/>
      </rPr>
      <t>07</t>
    </r>
  </si>
  <si>
    <t>SS7</t>
  </si>
  <si>
    <r>
      <t xml:space="preserve">Independent Subgrade Structure—Block </t>
    </r>
    <r>
      <rPr>
        <b/>
        <sz val="10"/>
        <color theme="1"/>
        <rFont val="Meta-Normal"/>
        <family val="3"/>
      </rPr>
      <t>08</t>
    </r>
  </si>
  <si>
    <t>SS8</t>
  </si>
  <si>
    <r>
      <t xml:space="preserve">Independent Subgrade Structure—Block </t>
    </r>
    <r>
      <rPr>
        <b/>
        <sz val="10"/>
        <color theme="1"/>
        <rFont val="Meta-Normal"/>
        <family val="3"/>
      </rPr>
      <t>09</t>
    </r>
  </si>
  <si>
    <t>SS9</t>
  </si>
  <si>
    <t>S-E09-FD0001</t>
  </si>
  <si>
    <t>FOUNDATION LAYOUT FOR E09</t>
  </si>
  <si>
    <t>S-E09-FD0002</t>
  </si>
  <si>
    <t>ISOLATED FOOTING DETAIL (BLOCK E09  &amp;E10)</t>
  </si>
  <si>
    <t>S-E09-FD0003</t>
  </si>
  <si>
    <t>TABLE OF REINF. FOR ISOLATED FOOTINGS (BLOCK E09  &amp;E10)</t>
  </si>
  <si>
    <t>S-E09-FD0004</t>
  </si>
  <si>
    <t>FOUNDATION DETAILS FOR F10</t>
  </si>
  <si>
    <t>S-E09-FD0005</t>
  </si>
  <si>
    <t>FOUNDATION DETAILS FOR F19</t>
  </si>
  <si>
    <t>S-E09-FD0006</t>
  </si>
  <si>
    <t>FOUNDATION DETAILS FOR F25</t>
  </si>
  <si>
    <t>S-E09-FD0007</t>
  </si>
  <si>
    <t>FOUNDATION DETAILS FOR F29</t>
  </si>
  <si>
    <t>S-E09-FD0008</t>
  </si>
  <si>
    <t>FOUNDATION DETAILS FOR F32</t>
  </si>
  <si>
    <t>S-E09-FD0009</t>
  </si>
  <si>
    <t>FOUNDATION DETAILS FOR F38</t>
  </si>
  <si>
    <t>S-E09-FD0010</t>
  </si>
  <si>
    <t>FOUNDATION DETAILS FOR F49</t>
  </si>
  <si>
    <t>S-E09-FD0011</t>
  </si>
  <si>
    <t>FOUNDATION DETAILS FOR F7</t>
  </si>
  <si>
    <t>S-E09-RW0001</t>
  </si>
  <si>
    <t>TYP. RETAINING WALL DETAIL</t>
  </si>
  <si>
    <t>S-E09-RW0002</t>
  </si>
  <si>
    <t>S-E09-CL0001</t>
  </si>
  <si>
    <t>COLUMN REINFORCEMENT DETAILS</t>
  </si>
  <si>
    <t>S-E09-FP0101</t>
  </si>
  <si>
    <t>FRAMING PLAN AT SSL01</t>
  </si>
  <si>
    <t>S-E09-BM0101</t>
  </si>
  <si>
    <t>TYPICAL BEAM DETAILS</t>
  </si>
  <si>
    <t>S-E09-BM0102</t>
  </si>
  <si>
    <t>SSL01 BEAM REINF. DETAILS (SHEET 1)</t>
  </si>
  <si>
    <t>S-E09-BM0103</t>
  </si>
  <si>
    <t>SSL01 BEAM REINF. DETAILS (SHEET 2)</t>
  </si>
  <si>
    <t>S-E09-SB0101</t>
  </si>
  <si>
    <t>PLAN SHOWING BOTTOM REINFORCEMENT DETAILS (SHEET 1)</t>
  </si>
  <si>
    <t>S-E09-SB0102</t>
  </si>
  <si>
    <t>PLAN SHOWING BOTTOM REINFORCEMENT DETAILS (SHEET 2)</t>
  </si>
  <si>
    <t>S-E09-SB0103</t>
  </si>
  <si>
    <t>BBS OF BOTTOM REINFORCEMENT</t>
  </si>
  <si>
    <t>S-E09-SB0104</t>
  </si>
  <si>
    <t>PLAN SHOWING TOP REINFORCEMENT DETAILS (SHEET 1)</t>
  </si>
  <si>
    <t>S-E09-SB0105</t>
  </si>
  <si>
    <t>PLAN SHOWING TOP REINFORCEMENT DETAILS (SHEET 2)</t>
  </si>
  <si>
    <t>S-E09-SB0106</t>
  </si>
  <si>
    <t>BBS OF TOP REINFORCEMENT</t>
  </si>
  <si>
    <r>
      <t xml:space="preserve">Independent Subgrade Structure—Block </t>
    </r>
    <r>
      <rPr>
        <b/>
        <sz val="10"/>
        <color theme="1"/>
        <rFont val="Meta-Normal"/>
        <family val="3"/>
      </rPr>
      <t>10</t>
    </r>
  </si>
  <si>
    <t>S-E10-FD0001</t>
  </si>
  <si>
    <t>FOUNDATION LAYOUT FOR E10</t>
  </si>
  <si>
    <t>S10</t>
  </si>
  <si>
    <t>S-E10-FD0002</t>
  </si>
  <si>
    <t>FOUNDATION DETAILS FOR F50</t>
  </si>
  <si>
    <t>S-E10-FD0003</t>
  </si>
  <si>
    <t>FOUNDATION DETAILS FOR F52</t>
  </si>
  <si>
    <t>S-E10-MS0001</t>
  </si>
  <si>
    <t>T07- SUMP TANK DETAILS</t>
  </si>
  <si>
    <t>S-E10-CL0001</t>
  </si>
  <si>
    <t>S-E10-FP0101</t>
  </si>
  <si>
    <t>FRAMING PLAN AT SSL01 E10</t>
  </si>
  <si>
    <t>S-E10-BM0101</t>
  </si>
  <si>
    <t>S-E10-BM0102</t>
  </si>
  <si>
    <t>S-E10-SB0101</t>
  </si>
  <si>
    <t>PLAN SHOWING BOTTOM REIN. OF 1ST SSL</t>
  </si>
  <si>
    <t>S-E10-SB0102</t>
  </si>
  <si>
    <t>PLAN SHOWING TOP REIN. OF 1ST SSL</t>
  </si>
  <si>
    <t>S-E10-SB0103</t>
  </si>
  <si>
    <t>BBS OF BOTTOM &amp; TOP REINF. OF 1ST SSL</t>
  </si>
  <si>
    <r>
      <t xml:space="preserve">Independent Subgrade Structure—Block </t>
    </r>
    <r>
      <rPr>
        <b/>
        <sz val="10"/>
        <color theme="1"/>
        <rFont val="Meta-Normal"/>
        <family val="3"/>
      </rPr>
      <t>11</t>
    </r>
  </si>
  <si>
    <t>S-E11-FD0001</t>
  </si>
  <si>
    <t>FOUNDATION LAYOUT FOR E11</t>
  </si>
  <si>
    <t>S11</t>
  </si>
  <si>
    <t>S-E11-FD0002</t>
  </si>
  <si>
    <t>TABLE OF REINF. FOR ISOLATED FOOTINGS (BLOCK E11)</t>
  </si>
  <si>
    <t>S-E11-CL0001</t>
  </si>
  <si>
    <t>S-E11-FP0101</t>
  </si>
  <si>
    <t>Framing plan at SSL 01</t>
  </si>
  <si>
    <t>S-E11-BM0101</t>
  </si>
  <si>
    <t>SSL01 Beam Reinforcement details (sheet 1)</t>
  </si>
  <si>
    <t>S-E11-SB0101</t>
  </si>
  <si>
    <t xml:space="preserve">Plan showing bottom reinforcement of 1st SSL in X direction </t>
  </si>
  <si>
    <t>S-E11-SB0102</t>
  </si>
  <si>
    <t xml:space="preserve">Plan showing bottom reinforcement of 1st SSL in Y direction </t>
  </si>
  <si>
    <t>S-E11-SB0103</t>
  </si>
  <si>
    <t xml:space="preserve">Plan showing top reinforcement of 1st SSL in Y direction </t>
  </si>
  <si>
    <t>S-E11-SB0104</t>
  </si>
  <si>
    <t xml:space="preserve">Plan showing top reinforcement of 1st SSL in X direction </t>
  </si>
  <si>
    <t>S-E11-SL0101</t>
  </si>
  <si>
    <t>E11  Sleeve layout at SSL01</t>
  </si>
  <si>
    <t>S-E11-SL0102</t>
  </si>
  <si>
    <t>Sleeve Reinforcement details of SSL01</t>
  </si>
  <si>
    <r>
      <t xml:space="preserve">Independent Subgrade Structure—Block </t>
    </r>
    <r>
      <rPr>
        <b/>
        <sz val="10"/>
        <color theme="1"/>
        <rFont val="Meta-Normal"/>
        <family val="3"/>
      </rPr>
      <t>12</t>
    </r>
    <r>
      <rPr>
        <sz val="10"/>
        <color theme="1"/>
        <rFont val="Neo Sans Pro Medium"/>
        <family val="2"/>
      </rPr>
      <t xml:space="preserve"> [6V EXT BSMNT]</t>
    </r>
  </si>
  <si>
    <t>S12</t>
  </si>
  <si>
    <t>S-E13-FD0001</t>
  </si>
  <si>
    <t>FOUNDATION LAYOUT_E13</t>
  </si>
  <si>
    <t>S-E13-FD0002</t>
  </si>
  <si>
    <t>ISOLATED FOOTING REINF. DETAILS</t>
  </si>
  <si>
    <t>S-E13-FD0003</t>
  </si>
  <si>
    <t>E13CF1-COMBINED FOOTING REINFORCEMENT DETAILS</t>
  </si>
  <si>
    <t>S-E13-FP0101</t>
  </si>
  <si>
    <t>S-E13-BM0101</t>
  </si>
  <si>
    <t>S-E13-BM0102</t>
  </si>
  <si>
    <t>SSL01  BEAM REINF. DETAILS (SHEET 1)</t>
  </si>
  <si>
    <t>S-E13-CL0001</t>
  </si>
  <si>
    <t>S-E13-SB0101</t>
  </si>
  <si>
    <t>PLAN SHOWING BOTTOM REINF. OF 1ST SSL IN X DIRECTION</t>
  </si>
  <si>
    <t>S-E13-SB0102</t>
  </si>
  <si>
    <t>PLAN SHOWING BOTTOM REINF. OF 1ST SSL IN Y DIRECTION</t>
  </si>
  <si>
    <t>S-E13-SB0103</t>
  </si>
  <si>
    <t>PLAN SHOWING TOP REINF. OF 1ST SSL IN X DIRECTION</t>
  </si>
  <si>
    <t>S-E13-SB0104</t>
  </si>
  <si>
    <t>PLAN SHOWING TOP REINF. OF 1ST SSL IN Y DIRECTION</t>
  </si>
  <si>
    <t>S-T01-FD0102</t>
  </si>
  <si>
    <t>Raft - Bottom Reinforcement - Basic Mesh - X Direction (Sheet 1 of 3)</t>
  </si>
  <si>
    <t>ST-T01-1</t>
  </si>
  <si>
    <t>S-T01-FD0103</t>
  </si>
  <si>
    <t>Raft - Bottom Reinforcement - Basic Mesh - Y Direction (Sheet 2 of 3)</t>
  </si>
  <si>
    <t>S-T01-FD0104</t>
  </si>
  <si>
    <t>Raft - Bottom Reinforcement - Basic Mesh - BBS (Sheet 3 of 3)</t>
  </si>
  <si>
    <t>S-T01-FD0105</t>
  </si>
  <si>
    <t>Raft - Top Reinforcement - Basic Mesh - X Direction (Sheet 1 of 3)</t>
  </si>
  <si>
    <t>S-T01-FD0106</t>
  </si>
  <si>
    <t>Raft - Top Reinforcement - Basic Mesh - Y Direction (Sheet 2 of 3)</t>
  </si>
  <si>
    <t>S-T01-FD0107</t>
  </si>
  <si>
    <t>Raft - Top Reinforcement - Basic Mesh - BBS (Sheet 3 of 3)</t>
  </si>
  <si>
    <t>S-T01-FD0108</t>
  </si>
  <si>
    <t>Raft - Shear and Sideface Reinforcement (Sheet 1 of 2)</t>
  </si>
  <si>
    <t>S-T01-FD0109</t>
  </si>
  <si>
    <t>Raft - Shear and Sideface Reinforcement - BBS (Sheet 2 of 2)</t>
  </si>
  <si>
    <t>S-T01-FD0110</t>
  </si>
  <si>
    <t>Raft - Bottom Alternate Reinforcement - X Direction (Sheet 1 of 2)</t>
  </si>
  <si>
    <t>S-T01-FD0111</t>
  </si>
  <si>
    <t>Raft - Bottom Alternate Reinforcement - BBS (Sheet 2 of 2)</t>
  </si>
  <si>
    <t>S-T01-FD0112</t>
  </si>
  <si>
    <t>Raft - Bottom Extra Reinforcement - X Direction (Sheet 1 of 3)</t>
  </si>
  <si>
    <t>S-T01-FD0113</t>
  </si>
  <si>
    <t>Raft - Bottom Extra Reinforcement - Y Direction (Sheet 2 of 3)</t>
  </si>
  <si>
    <t>S-T01-FD0114</t>
  </si>
  <si>
    <t>Raft - Bottom Extra Reinforcement - BBS (Sheet 3 of 3)</t>
  </si>
  <si>
    <t>S-T01-FD0115</t>
  </si>
  <si>
    <t>Raft - Top Extra Reinforcement Details</t>
  </si>
  <si>
    <t>S-T01-FD0116</t>
  </si>
  <si>
    <t>Raft - Section AA</t>
  </si>
  <si>
    <t>S-T01-FD0117</t>
  </si>
  <si>
    <t>Raft - Section BB</t>
  </si>
  <si>
    <t>S-T01-FD0118</t>
  </si>
  <si>
    <t>Raft - Section CC, DD, EE, FF</t>
  </si>
  <si>
    <t>S-T01-FD0119</t>
  </si>
  <si>
    <t>Raft - PCC Layout(SHEET 1 OF 2)</t>
  </si>
  <si>
    <t>S-T01-FD0120</t>
  </si>
  <si>
    <t>Raft - PCC Layout(SHEET 2 OF 2)</t>
  </si>
  <si>
    <t>S-T01-FD0021</t>
  </si>
  <si>
    <t>RAFT-CONSTRUCTION JOINT DETAILS(SHEET 1 OF 2)</t>
  </si>
  <si>
    <t>S-T01-FD0022</t>
  </si>
  <si>
    <t>RAFT-CONSTRUCTION JOINT BBS(SHEET 2 OF 2)</t>
  </si>
  <si>
    <t>S-T01-FD0123</t>
  </si>
  <si>
    <t>T01-RAFT PLAN SHOWING THERMOCOUPLE LOCATIONS</t>
  </si>
  <si>
    <t>R7</t>
  </si>
  <si>
    <t>R8</t>
  </si>
  <si>
    <t>S-T02-FD0124</t>
  </si>
  <si>
    <t>ISOLATED FOOTING DETAILS FOR TOWER-01</t>
  </si>
  <si>
    <t>S-T02-FD0125</t>
  </si>
  <si>
    <t>T01-RAFT PLAN SHOWING POST COOLING PIPE LAYOUT &amp;THERMOCOUPLE LOCATIONS</t>
  </si>
  <si>
    <t>S-T01-RW0001</t>
  </si>
  <si>
    <t>TYP.RETAINING WALL DETAILS FOR T-01 RAFT</t>
  </si>
  <si>
    <t>S-T01-RW0201</t>
  </si>
  <si>
    <t>T01RW2 REINFORCEMENT DETAILS</t>
  </si>
  <si>
    <t>S-T01-RW0301</t>
  </si>
  <si>
    <t>T01RW3 REINFORCEMENT DETAILS (Sheet 1 of 2)</t>
  </si>
  <si>
    <t>S-T01-RW0302</t>
  </si>
  <si>
    <t>T01RW3 REINFORCEMENT DETAILS (Sheet 2 of 2)</t>
  </si>
  <si>
    <t>S-T01-RW0401</t>
  </si>
  <si>
    <t>T01RW4 REINFORCEMENT DETAILS</t>
  </si>
  <si>
    <t>S-T01-RW0501</t>
  </si>
  <si>
    <t>T01RW5 REINFORCEMENT DETAILS</t>
  </si>
  <si>
    <t>S-T01-WT0002</t>
  </si>
  <si>
    <t>RC Details of Water Tank - Sheet 2</t>
  </si>
  <si>
    <t>S-T01-WT0003</t>
  </si>
  <si>
    <t>RC Details of Water Tank - Sheet 3</t>
  </si>
  <si>
    <t>S-T01-WT0004</t>
  </si>
  <si>
    <t>RC Details of Water Tank - Sheet 4</t>
  </si>
  <si>
    <t>S-T01-WT0005</t>
  </si>
  <si>
    <t>RC Details of Water Tank - Sheet 5</t>
  </si>
  <si>
    <t>S-T01-WT0006</t>
  </si>
  <si>
    <t>RC Details of Water Tank - Sheet 6</t>
  </si>
  <si>
    <t>S-T01-WT0007</t>
  </si>
  <si>
    <t>RC Details of Water Tank - Sheet 7</t>
  </si>
  <si>
    <t>S-T01-WT0008</t>
  </si>
  <si>
    <t>RC Details of Water Tank - Sheet 8</t>
  </si>
  <si>
    <t>S-T01-WT0009</t>
  </si>
  <si>
    <t>RC Details of Water Tank - Sheet 9</t>
  </si>
  <si>
    <t>S-T01-WT0010</t>
  </si>
  <si>
    <t>RC Details of Water Tank - Sheet 10</t>
  </si>
  <si>
    <t>S-T01-WT0011</t>
  </si>
  <si>
    <t>RC Details of Water Tank - Sheet 11</t>
  </si>
  <si>
    <t>S-T01-WT0012</t>
  </si>
  <si>
    <t>RC Details of Water Tank - Sheet 12</t>
  </si>
  <si>
    <t>S-T01-WT0013</t>
  </si>
  <si>
    <t>RC Details of Water Tank - Sheet 13</t>
  </si>
  <si>
    <t>S-T01-WT0014</t>
  </si>
  <si>
    <t>RC Details of Water Tank - Sheet 14</t>
  </si>
  <si>
    <t>S-T01-WT0015</t>
  </si>
  <si>
    <t>RC Details of Water Tank - Sheet 15</t>
  </si>
  <si>
    <t>S-T01-WT0016</t>
  </si>
  <si>
    <t>RC Details of Water Tank - Sheet 16</t>
  </si>
  <si>
    <t>S-T01-WT0017</t>
  </si>
  <si>
    <t>RC Details of Water Tank - Sheet 17</t>
  </si>
  <si>
    <t>S-T01-WT0018</t>
  </si>
  <si>
    <t>RC Details of Water Tank - Sheet 18</t>
  </si>
  <si>
    <t>S-T01-WT0019</t>
  </si>
  <si>
    <t>RC Details of Water Tank - Sheet 19</t>
  </si>
  <si>
    <t>S-T01-WT0020</t>
  </si>
  <si>
    <t>RC Details of Water Tank - Sheet 20</t>
  </si>
  <si>
    <t>S-T01-WT0021</t>
  </si>
  <si>
    <t>RC Details of Water Tank - Sheet 21</t>
  </si>
  <si>
    <t>S-T01-WT0022</t>
  </si>
  <si>
    <t>RC Details of Water Tank - Sheet 22</t>
  </si>
  <si>
    <t>S-T01-WT0023</t>
  </si>
  <si>
    <t>RC Details of Water Tank - Sheet 23</t>
  </si>
  <si>
    <t>S-T01-WT0024</t>
  </si>
  <si>
    <t>RC Details of Water Tank - Sheet 24</t>
  </si>
  <si>
    <t>S-T01-WT0025</t>
  </si>
  <si>
    <t>RC Details of Water Tank - Sheet 25</t>
  </si>
  <si>
    <t>S-T01-WT0026</t>
  </si>
  <si>
    <t>RC Details of Water Tank - Sheet 26</t>
  </si>
  <si>
    <t>S-T01-WT0027</t>
  </si>
  <si>
    <t>RC Details of Water Tank - Sheet 27</t>
  </si>
  <si>
    <t>S-T01-WT0028</t>
  </si>
  <si>
    <t>RC Details of Water Tank - Sheet 28</t>
  </si>
  <si>
    <t>S-T01-WT0029</t>
  </si>
  <si>
    <t>RC Details of Water Tank - Sheet 29</t>
  </si>
  <si>
    <t>S-T01-WT0030</t>
  </si>
  <si>
    <t>RC Details of Water Tank - Sheet 30</t>
  </si>
  <si>
    <t>S-T01-CL0001</t>
  </si>
  <si>
    <t>General Column Details(Sheet 1 of 2)</t>
  </si>
  <si>
    <t>S-T01-CL0002</t>
  </si>
  <si>
    <t>Typical Column Lapping Details(Sheet 2 of 2)</t>
  </si>
  <si>
    <t>R6</t>
  </si>
  <si>
    <t>R5</t>
  </si>
  <si>
    <t>S-T01-CL0003</t>
  </si>
  <si>
    <t>Column C1a,b,c &amp; d Details(Sheet-1 of 2)</t>
  </si>
  <si>
    <t>S-T01-CL0004</t>
  </si>
  <si>
    <t>Column C1a,b,c &amp; d Details(Sheet-2 of 2)</t>
  </si>
  <si>
    <t>S-T01-CL0005</t>
  </si>
  <si>
    <t>Column C2a,b,c &amp; d Details(Sheet-1 of 3)</t>
  </si>
  <si>
    <t>S-T01-CL0006</t>
  </si>
  <si>
    <t>Column C2a,b,c &amp; d Details(Sheet-2 of 4)</t>
  </si>
  <si>
    <t>S-T01-CL0007</t>
  </si>
  <si>
    <t>Column C2a,b,c &amp; d Details(Sheet-3 of 3)</t>
  </si>
  <si>
    <t>S-T01-CL0008</t>
  </si>
  <si>
    <t>Column C3ab &amp; C3cd Details(Sheet-1 of 2)</t>
  </si>
  <si>
    <t>S-T01-CL0009</t>
  </si>
  <si>
    <t>Column C3ab &amp; C3cd Details(Sheet-2 of 2)</t>
  </si>
  <si>
    <t>S-T01-CL0010</t>
  </si>
  <si>
    <t>Column C4 a,b,c &amp; d Details(Sheet-1 of 4)</t>
  </si>
  <si>
    <t>S-T01-CL0011</t>
  </si>
  <si>
    <t>Column C4 a,b,c &amp; d Details(Sheet-2 of 3)</t>
  </si>
  <si>
    <t>S-T01-CL0012</t>
  </si>
  <si>
    <t>Column C4 a,b,c &amp; d Details(Sheet-3 of 3)</t>
  </si>
  <si>
    <t>S-T01-CL0013</t>
  </si>
  <si>
    <t>Column C5 a,b,c &amp; d Details(Sheet-1 of 3)</t>
  </si>
  <si>
    <t>S-T01-CL0014</t>
  </si>
  <si>
    <t>Column C5 a,b,c &amp; d Details(Sheet-2 of 2)</t>
  </si>
  <si>
    <t>S-T01-CL0015</t>
  </si>
  <si>
    <t>Column C6 a,b,c &amp; d Details(Sheet-1 of 3)</t>
  </si>
  <si>
    <t>S-T01-CL0016</t>
  </si>
  <si>
    <t>Column C6 a,b,c &amp; d Details(Sheet-2 of 2)</t>
  </si>
  <si>
    <t>S-T01-CL0017</t>
  </si>
  <si>
    <t>Column W1a,b,c &amp; d Details(Sheet-1 of 2)</t>
  </si>
  <si>
    <t>S-T01-CL0018</t>
  </si>
  <si>
    <t>Column W1a,b,c &amp; d Details(Sheet-2 of 4)</t>
  </si>
  <si>
    <t>S-T01-CL0019</t>
  </si>
  <si>
    <t>Column W2a,b,c &amp; d Details(Sheet-1 of 2)</t>
  </si>
  <si>
    <t>S-T01-CL0020</t>
  </si>
  <si>
    <t>Column W2a,b,c &amp; d Details(Sheet-2 of 2)</t>
  </si>
  <si>
    <t>R9</t>
  </si>
  <si>
    <t>S-T01-CL0021</t>
  </si>
  <si>
    <t>Column LC1 Details(Sheet-1 of 5)</t>
  </si>
  <si>
    <t>S-T01-CL0022</t>
  </si>
  <si>
    <t>Column LC1 Details(Sheet-2 of 5)</t>
  </si>
  <si>
    <t>S-T01-CL0023</t>
  </si>
  <si>
    <t>Column LC1 Details(Sheet-3 of 8)</t>
  </si>
  <si>
    <t>S-T01-CL0024</t>
  </si>
  <si>
    <t>Elevation &amp; Bar Lapping Detail of Lift Core LC1</t>
  </si>
  <si>
    <t>S-T01-CL0025</t>
  </si>
  <si>
    <t>Column LC1 Details(Sheet-4 of 5)</t>
  </si>
  <si>
    <t>S-T01-CL0026</t>
  </si>
  <si>
    <t>Column LC1 Details(Sheet-5 of 5)</t>
  </si>
  <si>
    <t>S-T01-CL0027</t>
  </si>
  <si>
    <t>Column LC2 Details(Sheet-1 of 5)</t>
  </si>
  <si>
    <t>S-T01-CL0028</t>
  </si>
  <si>
    <t>Column LC2 Details(Sheet-2 of 5)</t>
  </si>
  <si>
    <t>S-T01-CL0029</t>
  </si>
  <si>
    <t>Column LC2 Details(Sheet-3 of 8)</t>
  </si>
  <si>
    <t>S-T01-CL0030</t>
  </si>
  <si>
    <t>Column LC2 Details(Sheet-4 of 5)</t>
  </si>
  <si>
    <t>S-T01-CL0031</t>
  </si>
  <si>
    <t>Column LC2 Details(Sheet-5 of 5)</t>
  </si>
  <si>
    <t>S-T01-CL0032</t>
  </si>
  <si>
    <t>Column C8 &amp; C9 Details</t>
  </si>
  <si>
    <t>S-T01-CL0033</t>
  </si>
  <si>
    <t>Column 1C7a,b,c&amp;d Details</t>
  </si>
  <si>
    <t>S-T01-CL0034</t>
  </si>
  <si>
    <t>Column C2a,b,c&amp;d Pedestal Details</t>
  </si>
  <si>
    <t>S-T01-CL0035</t>
  </si>
  <si>
    <t>Column C4a,b,c&amp;d Pedestal Details</t>
  </si>
  <si>
    <t>S-T01-CL0036</t>
  </si>
  <si>
    <t>Typical Column Coupler location details</t>
  </si>
  <si>
    <t>S-T01-CL0037</t>
  </si>
  <si>
    <t>Column W1a,b,c&amp;d Details (Sheet-3 of 4)</t>
  </si>
  <si>
    <t>S-T01-CL0038</t>
  </si>
  <si>
    <t>Column W2a,b,c&amp;d Details (Sheet-3 of 4)</t>
  </si>
  <si>
    <t>S-T01-CL0039</t>
  </si>
  <si>
    <t>Column C2a,b,c &amp; d Details(Sheet-4 of 4)</t>
  </si>
  <si>
    <t>S-T01-CL0040</t>
  </si>
  <si>
    <t>Column C4 a,b,c &amp; d Details(Sheet-4 of 4)</t>
  </si>
  <si>
    <t>S-T01-CL0041</t>
  </si>
  <si>
    <t>Column C5 a,b,c &amp; d Details(Sheet-3 of 3)</t>
  </si>
  <si>
    <t>S-T01-CL0042</t>
  </si>
  <si>
    <t>Column C6 a,b,c &amp; d Details(Sheet-3of 3)</t>
  </si>
  <si>
    <t>S-T01-CL0043</t>
  </si>
  <si>
    <t>Column W1a,b,c&amp;d Details (Sheet-4of 4)</t>
  </si>
  <si>
    <t>S-T01-CL0044</t>
  </si>
  <si>
    <t>Column W2a,b,c&amp;d Details (Sheet-4of 4)</t>
  </si>
  <si>
    <t>S-T01-CL0045</t>
  </si>
  <si>
    <t>Column LC1 Details(Sheet-6 of 8)</t>
  </si>
  <si>
    <t>S-T01-CL0046</t>
  </si>
  <si>
    <t>Column LC1 Details(Sheet-7of 8)</t>
  </si>
  <si>
    <t>S-T01-CL0047</t>
  </si>
  <si>
    <t>Column LC1 Details(Sheet-8 of 8)</t>
  </si>
  <si>
    <t>S-T01-CL0048</t>
  </si>
  <si>
    <t>Column LC2 Details(Sheet-6 of 8)</t>
  </si>
  <si>
    <t>S-T01-CL0049</t>
  </si>
  <si>
    <t>Column LC2 Details(Sheet-7 of 8)</t>
  </si>
  <si>
    <t>S-T01-CL0050</t>
  </si>
  <si>
    <t>Column LC2 Details(Sheet-8 of 8)</t>
  </si>
  <si>
    <t>S-T01-SL0001</t>
  </si>
  <si>
    <t>Block 1 - General Notes - Sleeves</t>
  </si>
  <si>
    <t>S-T01-CT0110</t>
  </si>
  <si>
    <t>Customization-1031&amp;1041,Internal Staircase Details(Sheet 1 of 2)</t>
  </si>
  <si>
    <t>S-T01-CT0111</t>
  </si>
  <si>
    <t>Customization-1031&amp;1041,Internal Staircase Details(Sheet 2 of 2)</t>
  </si>
  <si>
    <t>S-T01-ST0101</t>
  </si>
  <si>
    <t>Main Staircase Details-Sheet-1</t>
  </si>
  <si>
    <t>S-T01-ST0102</t>
  </si>
  <si>
    <t>Main Staircase Details-Sheet-2</t>
  </si>
  <si>
    <t>S-T01-ST0103</t>
  </si>
  <si>
    <t>Main Staircase Details-Sheet-3</t>
  </si>
  <si>
    <t>S-T01-ST0104</t>
  </si>
  <si>
    <t>Main Staircase Details-Sheet-4</t>
  </si>
  <si>
    <t>S-T01-ST0105</t>
  </si>
  <si>
    <t>Main Staircase Details-Sheet-5</t>
  </si>
  <si>
    <t>S-T01-ST0106</t>
  </si>
  <si>
    <t>Main Staircase Details-Sheet-6</t>
  </si>
  <si>
    <t>S-T01-ST0107</t>
  </si>
  <si>
    <t>Main Staircase Details-Sheet-7</t>
  </si>
  <si>
    <t>S-T01-ST0108</t>
  </si>
  <si>
    <t>Internal Staircase Details (Sheet 1 of 2)</t>
  </si>
  <si>
    <t>S-T01-ST0109</t>
  </si>
  <si>
    <t>Internal Staircase Details (Sheet 2 of 2)</t>
  </si>
  <si>
    <t>S-T01-ST0110</t>
  </si>
  <si>
    <t>External Staircase Details</t>
  </si>
  <si>
    <t>S-T01-ST0111</t>
  </si>
  <si>
    <t>Internal staircase extension details</t>
  </si>
  <si>
    <t>S-PRT-FD0001</t>
  </si>
  <si>
    <t>FOUNDATION LAYOUT</t>
  </si>
  <si>
    <t>S-PRT-FD0002</t>
  </si>
  <si>
    <t>Typical Details for Isolated Footing</t>
  </si>
  <si>
    <t>S-PRT-FD0003</t>
  </si>
  <si>
    <t>Table of Reinforcements for Isolated Footing</t>
  </si>
  <si>
    <t>S-PRT-CL0001</t>
  </si>
  <si>
    <t>S-PRT-CL0002</t>
  </si>
  <si>
    <t>Typical Column Lapping and Coupler Details</t>
  </si>
  <si>
    <t>S-PRT-CL0003</t>
  </si>
  <si>
    <t>Column C1,C6,C10,C11,C12,C13,C14,C15,C23 Details</t>
  </si>
  <si>
    <t>S-PRT-CL0004</t>
  </si>
  <si>
    <t>Column C2,C3,C4,C18,C21 Details</t>
  </si>
  <si>
    <t>S-PRT-CL0005</t>
  </si>
  <si>
    <t>Column C5,C7 &amp; C9 Details</t>
  </si>
  <si>
    <t>S-PRT-CL0006</t>
  </si>
  <si>
    <t>Column C16,C17,C19&amp;C22 Details</t>
  </si>
  <si>
    <t>S-PRT-CL0007</t>
  </si>
  <si>
    <t>Column C8,C20,C24,C25,C26&amp;C27 Details</t>
  </si>
  <si>
    <t>S-T3V-CL0001</t>
  </si>
  <si>
    <t>Column 3VC24 &amp; 3VC25 Detail</t>
  </si>
  <si>
    <t>S-T01-FP0101</t>
  </si>
  <si>
    <t>Framing Plan SSL 01 (Level 1)</t>
  </si>
  <si>
    <t>ST-T01-2</t>
  </si>
  <si>
    <t>S-T01-FP0201</t>
  </si>
  <si>
    <t>Framing Plan SSL 2</t>
  </si>
  <si>
    <t>S-T01-MS0102</t>
  </si>
  <si>
    <t>HOOK DETAILS FOR LIFT</t>
  </si>
  <si>
    <t>S-T01-MS0103</t>
  </si>
  <si>
    <t xml:space="preserve">BEAM 1B-32/B-60 REINF DETAILS </t>
  </si>
  <si>
    <t>S-T01-BMGN01</t>
  </si>
  <si>
    <t>Block 1 - General Notes - Beams</t>
  </si>
  <si>
    <t>S-T01-BM011</t>
  </si>
  <si>
    <t>Beam 1B-01ab &amp;cd Reinforcement Detail</t>
  </si>
  <si>
    <t>S-T01-BM0102</t>
  </si>
  <si>
    <t>Beam 1B-02ab &amp;cd Reinforcement Detail</t>
  </si>
  <si>
    <t>S-T01-BM0103</t>
  </si>
  <si>
    <t>Beam 1B-03ab &amp;cd Reinforcement Detail</t>
  </si>
  <si>
    <t>S-T01-BM0104</t>
  </si>
  <si>
    <t>Beam 1B-04a,b,c&amp;d Reinforcement Detail</t>
  </si>
  <si>
    <t>S-T01-BM0105</t>
  </si>
  <si>
    <t>Beam 1B-06ab &amp;cd Reinforcement Detail</t>
  </si>
  <si>
    <t>S-T01-BM0106</t>
  </si>
  <si>
    <t>Beam 1B-07a,b,c&amp;d Reinforcement Detail</t>
  </si>
  <si>
    <t>S-T01-BM0107</t>
  </si>
  <si>
    <t>Beam 1B-08a,b,c&amp;d Reinforcement Detail</t>
  </si>
  <si>
    <t>S-T01-BM0108</t>
  </si>
  <si>
    <t>Beam 1B-09a,b,c&amp;d Reinforcement Detail</t>
  </si>
  <si>
    <t>S-T01-BM0109</t>
  </si>
  <si>
    <t>Beam 1B-10a,b,c&amp;d Reinforcement Detail</t>
  </si>
  <si>
    <t>S-T01-BM0110</t>
  </si>
  <si>
    <t>Beam 1B-11  Reinforcement Detail</t>
  </si>
  <si>
    <t>S-T01-BM0111</t>
  </si>
  <si>
    <t>Beam 1B-12Reinforcement Detail</t>
  </si>
  <si>
    <t>S-T01-BM0112</t>
  </si>
  <si>
    <t>Beam 1B-25a,b,c&amp;d Reinforcement Detail</t>
  </si>
  <si>
    <t>S-T01-BM0113</t>
  </si>
  <si>
    <t>Beam 1B-13ac&amp;bd and 1B-14a,b,c&amp;d Reinforcement Detail</t>
  </si>
  <si>
    <t>S-T01-BM0114</t>
  </si>
  <si>
    <t>Beam 1B-15a,b,c,d &amp;17a,b,c,d Reinforcement Detail</t>
  </si>
  <si>
    <t>S-T01-BM0115</t>
  </si>
  <si>
    <t>Beam 1B-16a,b,c,&amp;d  Reinforcement Detail</t>
  </si>
  <si>
    <t>S-T01-BM0116</t>
  </si>
  <si>
    <t>Beam 1B-18a,b,c,&amp;d  Reinforcement Detail</t>
  </si>
  <si>
    <t>S-T01-BM0117</t>
  </si>
  <si>
    <t>Beam 1B-19ac,bd  &amp; 23ac&amp;bd Reinforcement Detail</t>
  </si>
  <si>
    <t>S-T01-BM0118</t>
  </si>
  <si>
    <t>Beam 1B-20a,b,c&amp;d Reinforcement Detail</t>
  </si>
  <si>
    <t>S-T01-BM0119</t>
  </si>
  <si>
    <t>Beam 1B-21a,b,c&amp;d Reinforcement Detail</t>
  </si>
  <si>
    <t>S-T01-BM0120</t>
  </si>
  <si>
    <t>Beam 1B-22ab &amp;cd Reinforcement Detail</t>
  </si>
  <si>
    <t>S-T01-BM0121</t>
  </si>
  <si>
    <t>Beam 1B-24ab &amp;cd Reinforcement Detail</t>
  </si>
  <si>
    <t>S-T01-BM0122</t>
  </si>
  <si>
    <t>Beam 1B-27,28&amp;29 Reinforcement Detail</t>
  </si>
  <si>
    <t>S-T01-BM0123</t>
  </si>
  <si>
    <t>Beam 1B-05ab &amp;cd Reinforcement Detail</t>
  </si>
  <si>
    <t>S-T01-BM0124</t>
  </si>
  <si>
    <t>Beam 1B-26ac&amp; bd Reinforcement Detail</t>
  </si>
  <si>
    <t>S-T01-BM0125</t>
  </si>
  <si>
    <t>Beam 1B-30&amp;31 bd Reinforcement Detail</t>
  </si>
  <si>
    <t>S-T01-BM0126</t>
  </si>
  <si>
    <t>Beam 1CB-01a,b,c&amp;d Reinforcement Detail</t>
  </si>
  <si>
    <t>Block 1 - Beam Details - SSL 1 - Sheet 30</t>
  </si>
  <si>
    <t>S-T01-BM0127</t>
  </si>
  <si>
    <t>Block 1 - Beam Details - SSL 1 - Sheet 31</t>
  </si>
  <si>
    <t>S-T01-BM0128</t>
  </si>
  <si>
    <t>Block 1 - Beam Details - SSL 1 - Sheet 32</t>
  </si>
  <si>
    <t>S-T01-BM0129</t>
  </si>
  <si>
    <t>Block 1 - Beam Details - SSL 1 - Sheet 33</t>
  </si>
  <si>
    <t>S-T01-BM0130</t>
  </si>
  <si>
    <t>Block 1 - Beam Details - SSL 1 - Sheet 34</t>
  </si>
  <si>
    <t>S-T01-BM0131</t>
  </si>
  <si>
    <t>Block 1 - Beam Details - SSL 1 - Sheet 35</t>
  </si>
  <si>
    <t>S-T01-BM0132</t>
  </si>
  <si>
    <t>Block 1 - Beam Details - SSL 1 - Sheet 36</t>
  </si>
  <si>
    <t>S-T01-BM0133</t>
  </si>
  <si>
    <t>S-T01-BM0134</t>
  </si>
  <si>
    <t>S-T01-BM0135</t>
  </si>
  <si>
    <t>S-T01-BM0136</t>
  </si>
  <si>
    <t>S-T01-BM0137</t>
  </si>
  <si>
    <t>Block 1 - Beam Details - SSL 1 - Sheet 37</t>
  </si>
  <si>
    <t>S-T01-BM0138</t>
  </si>
  <si>
    <t>Block 1 - Beam Details - SSL 1 - Sheet 38</t>
  </si>
  <si>
    <t>S-T01-BM0139</t>
  </si>
  <si>
    <t>Block 1 - Beam Details - SSL 1 - Sheet 39</t>
  </si>
  <si>
    <t>S-T01-BM0140</t>
  </si>
  <si>
    <t>Block 1 - Beam Details - SSL 1 - Sheet 40</t>
  </si>
  <si>
    <t>S-T01-BM0141</t>
  </si>
  <si>
    <t>Block 1 - Beam Details - SSL 1 - Sheet 41</t>
  </si>
  <si>
    <t>S-T01-BM0142</t>
  </si>
  <si>
    <t>Block 1 - Beam Details - SSL 1 - Sheet 42</t>
  </si>
  <si>
    <t>S-T01-BM0143</t>
  </si>
  <si>
    <t>Block 1 - Beam Details - SSL 1 - Sheet 43</t>
  </si>
  <si>
    <t>S-T01-BM0144</t>
  </si>
  <si>
    <t>Block 1 - Beam Details - SSL 1 - Sheet 44</t>
  </si>
  <si>
    <t>S-T01-BM0145</t>
  </si>
  <si>
    <t>Block 1 - Beam Details - SSL 1 - Sheet 45</t>
  </si>
  <si>
    <t>S-T01-BM0146</t>
  </si>
  <si>
    <t>Block 1 - Beam Details - SSL 1 - Sheet 46</t>
  </si>
  <si>
    <t>S-T01-BM0147</t>
  </si>
  <si>
    <t>Block 1 - Beam Details - SSL 1 - Sheet 47</t>
  </si>
  <si>
    <t>S-T01-BM0148</t>
  </si>
  <si>
    <t>Block 1 - Beam Details - SSL 1 - Sheet 48</t>
  </si>
  <si>
    <t>S-T01-BM0149</t>
  </si>
  <si>
    <t>Block 1 - Beam Details - SSL 1 - Sheet 49</t>
  </si>
  <si>
    <t>S-T01-BM0150</t>
  </si>
  <si>
    <t>Block 1 - Beam Details - SSL 1 - Sheet 50</t>
  </si>
  <si>
    <t>S-T01-BM0201</t>
  </si>
  <si>
    <t>Beam 2B-01a,b,c,c and 2B-04a,b,c,d Reinforcement Detail (SSL 02,04 ,06&amp;08)</t>
  </si>
  <si>
    <t>S-T01-BM0204</t>
  </si>
  <si>
    <t>Beam 2B-07a,b,c&amp;d Reinforcement Detail  (SSL 02,04,06&amp;08)</t>
  </si>
  <si>
    <t>S-T01-BM0207</t>
  </si>
  <si>
    <t>Beam 2B-09a,b,c&amp;d Reinforcement Detail</t>
  </si>
  <si>
    <t>S-T01-BM0208</t>
  </si>
  <si>
    <t>Beam 2B-10 a,b,c,&amp;d Reinforcement Detail</t>
  </si>
  <si>
    <t>S-T01-BM0209</t>
  </si>
  <si>
    <t>Beam 2B-11  Reinforcement Detail   (SHEET 1 OF 2)</t>
  </si>
  <si>
    <t>S-T01-BM0210</t>
  </si>
  <si>
    <t>Beam 2B-11  Reinforcement Detail   (SHEET 2 OF 2)</t>
  </si>
  <si>
    <t>S-T01-BM0211</t>
  </si>
  <si>
    <t>Beam 2B-12Reinforcement Detail  (SHEET 1 OF 2)</t>
  </si>
  <si>
    <t>S-T01-BM0212</t>
  </si>
  <si>
    <t>Beam 2B-12Reinforcement Detail  (SHEET 2 OF 2)</t>
  </si>
  <si>
    <t>S-T01-BM0215</t>
  </si>
  <si>
    <t>Beam 2B-16a,b,c,&amp;d  Reinforcement Detail (SSL 02,04,06&amp;08)</t>
  </si>
  <si>
    <t>S-T01-BM0217</t>
  </si>
  <si>
    <t>Beam 2B-18a,b,c,&amp;d  Reinforcement Detail (SSL 02,04,06&amp;08)</t>
  </si>
  <si>
    <t>S-T01-BM0227</t>
  </si>
  <si>
    <t>Beam B34  &amp; B35 Reinforcement Detail (SSL 02 to SSL 09)</t>
  </si>
  <si>
    <t>S-T01-BM0228</t>
  </si>
  <si>
    <t>Rectification Details of Beam 2B05cd (SSL 02)</t>
  </si>
  <si>
    <t>S-T01-BM0229</t>
  </si>
  <si>
    <t>Beam 2B-30&amp;31 bd Reinforcement Detail</t>
  </si>
  <si>
    <t>S-T01-BM0230</t>
  </si>
  <si>
    <t>Beam 2CB-01a,b,c&amp;d Reinforcement Detail</t>
  </si>
  <si>
    <t>S-T01-BM3040</t>
  </si>
  <si>
    <t>BEAM B40 REINFORCEMENT DETAILS</t>
  </si>
  <si>
    <t>S-T01-BM3041</t>
  </si>
  <si>
    <t>BEAM B41 REINFORCEMENT DETAILS</t>
  </si>
  <si>
    <t>S-T01-BM3042</t>
  </si>
  <si>
    <t>BEAM B42 REINFORCEMENT DETAILS</t>
  </si>
  <si>
    <t>S-T01-BM3043</t>
  </si>
  <si>
    <t>BEAM B44 &amp; B45 REINFORCEMENT DETAILS</t>
  </si>
  <si>
    <t>S-T01-BM3044</t>
  </si>
  <si>
    <t>BEAM B46 &amp; B47 REINFORCEMENT DETAILS</t>
  </si>
  <si>
    <t>S-T01-BM3045</t>
  </si>
  <si>
    <t>BEAM B48 REINFORCEMENT DETAILS</t>
  </si>
  <si>
    <t>S-T01-BM3046</t>
  </si>
  <si>
    <t>BEAM B49 REINFORCEMENT DETAILS</t>
  </si>
  <si>
    <t>S-T01-BM3047</t>
  </si>
  <si>
    <t>BEAM B50 REINFORCEMENT DETAILS</t>
  </si>
  <si>
    <t>S-T01-BM3048</t>
  </si>
  <si>
    <t>BEAM B51 REINFORCEMENT DETAILS</t>
  </si>
  <si>
    <t>S-T01-BM3049</t>
  </si>
  <si>
    <t>BEAM B52 REINFORCEMENT DETAILS</t>
  </si>
  <si>
    <t>S-T01-BM3050</t>
  </si>
  <si>
    <t>BEAM B57, B58, B59 &amp; B60 REINFORCEMENT DETAILS</t>
  </si>
  <si>
    <t>S-T01-BM3051</t>
  </si>
  <si>
    <t>BEAM CB-02 &amp; CB-03 REINFORCEMENT DETAILS</t>
  </si>
  <si>
    <t>S-T01-JB0001</t>
  </si>
  <si>
    <t>T01 JIB REINFORCEMENT DETAILS</t>
  </si>
  <si>
    <t>S-T01-SBGN01</t>
  </si>
  <si>
    <t>Block 1 - General Notes For Slabs</t>
  </si>
  <si>
    <t>S-T01-SB0102</t>
  </si>
  <si>
    <t>Plan showing Bottom Reinforcements of 1st SSL</t>
  </si>
  <si>
    <t>ST-T01-4</t>
  </si>
  <si>
    <t>S-T01-SB0105</t>
  </si>
  <si>
    <t>Plan showing Top reinforcements of 1st SSL</t>
  </si>
  <si>
    <t>S-T01-SB0108</t>
  </si>
  <si>
    <t>Plan showing Torsional Reinforcements of 1st SSL</t>
  </si>
  <si>
    <t>S-T01-SB0207</t>
  </si>
  <si>
    <t>Plan showing Torsional Reinforcements of  2nd SSL</t>
  </si>
  <si>
    <t>S-T01-SL0101</t>
  </si>
  <si>
    <t>Block 1 - Sleeve Details  for  SSL1</t>
  </si>
  <si>
    <t>S-T01-SL0102</t>
  </si>
  <si>
    <t>Block 1 - Sleeve Details - SSL 1 - Sleeve Table 1</t>
  </si>
  <si>
    <t>S-T01-SL0103</t>
  </si>
  <si>
    <t>Block 1 - Sleeve Details - SSL 1 - Sleeve Table 2</t>
  </si>
  <si>
    <t>S-T01-SL0104</t>
  </si>
  <si>
    <t>Block 1 - Sleeve Details - SSL 1 - Sleeve Table 3</t>
  </si>
  <si>
    <t>S-T01-SL0201</t>
  </si>
  <si>
    <t>Plan Showing Sleeves at SSL 02 to SSL 28 (Sheet 1)</t>
  </si>
  <si>
    <t>S-T01-SL0202</t>
  </si>
  <si>
    <t>Elevations Showing Sleeves at SSL 02 to SSL 28 (Sheet 2)</t>
  </si>
  <si>
    <t>S-T01-SL0203</t>
  </si>
  <si>
    <t>Sleeves Reinforcement Details for SSL 02 to SSL 28 (Sheet 3)</t>
  </si>
  <si>
    <t>S-PRT-FP0001</t>
  </si>
  <si>
    <t>Framing Plan of SSL-1</t>
  </si>
  <si>
    <t>S-PRT-BM0101</t>
  </si>
  <si>
    <t>Beam 1B01 Reinforcement Detail</t>
  </si>
  <si>
    <t>S-PRT-BM0102</t>
  </si>
  <si>
    <t>Beam 1B02a Reinforcement Detail</t>
  </si>
  <si>
    <t>S-PRT-BM0103</t>
  </si>
  <si>
    <t>Beam 1B02B Reinforcement Detail</t>
  </si>
  <si>
    <t>S-PRT-BM0104</t>
  </si>
  <si>
    <t>Beam 1B02C Reinforcement Detail</t>
  </si>
  <si>
    <t>S-PRT-BM0105</t>
  </si>
  <si>
    <t>Beam 1B03 &amp; 1B05 Reinforcement Detail</t>
  </si>
  <si>
    <t>S-PRT-BM0106</t>
  </si>
  <si>
    <t>Beam 1B04 Reinforcement Detail</t>
  </si>
  <si>
    <t>S-PRT-BM0107</t>
  </si>
  <si>
    <t>Beam 1B06 &amp; 1B08 Reinforcement Detail</t>
  </si>
  <si>
    <t>S-PRT-BM0108</t>
  </si>
  <si>
    <t>Beam 1B07 Reinforcement Detail</t>
  </si>
  <si>
    <t>S-PRT-BM0109</t>
  </si>
  <si>
    <t>Beam 1B09 Reinforcement Detail</t>
  </si>
  <si>
    <t>S-PRT-BM0110</t>
  </si>
  <si>
    <t>Beam 1B10 Reinforcement Detail</t>
  </si>
  <si>
    <t>S-PRT-BM0111</t>
  </si>
  <si>
    <t>Beam 1B11 &amp; 1B12 Reinforcement Detail</t>
  </si>
  <si>
    <t>S-PRT-BM0112</t>
  </si>
  <si>
    <t>Beam 1B14 &amp; 1B16 Reinforcement Detail</t>
  </si>
  <si>
    <t>S-PRT-BM0113</t>
  </si>
  <si>
    <t>Beam 1B13 Reinforcement Detail</t>
  </si>
  <si>
    <t>S-PRT-BM0114</t>
  </si>
  <si>
    <t>Beam 1B 21 &amp;1B22 Reinforcement Detail</t>
  </si>
  <si>
    <t>S-PRT-BM0115</t>
  </si>
  <si>
    <t>Beam 1B 17&amp;1B18 Reinforcement Detail</t>
  </si>
  <si>
    <t>S-PRT-BM0116</t>
  </si>
  <si>
    <t>Beam 1B 19&amp;1B20 Reinforcement Detail</t>
  </si>
  <si>
    <t>S-PRT-BM0117</t>
  </si>
  <si>
    <t>Beam 1B 15 Reinforcement Detail</t>
  </si>
  <si>
    <t>S-T01-FP0401</t>
  </si>
  <si>
    <t>Framing Plan  at SSL 04</t>
  </si>
  <si>
    <t>ST-T01-5</t>
  </si>
  <si>
    <t>S-T01-FP0601</t>
  </si>
  <si>
    <t>Framing Plan  at SSL 06 &amp; 08</t>
  </si>
  <si>
    <t>S-T01-FP1002</t>
  </si>
  <si>
    <t>Framing Plan  at SSL 10 ,12,14,16,18,20,22,24&amp;26</t>
  </si>
  <si>
    <t>S-T01-FP1301</t>
  </si>
  <si>
    <t>Framing Plan  at SSL 10,12,14,16,18,20,22,24&amp;26</t>
  </si>
  <si>
    <t>S-T01-FP2801</t>
  </si>
  <si>
    <t>Framing Plan  at SSL28</t>
  </si>
  <si>
    <t>S-T01-BM0202</t>
  </si>
  <si>
    <t>Beam 2B-03ab, cd &amp; 02a,b,c,d Reinforcement Detail (SSL10 TO SSL19)</t>
  </si>
  <si>
    <t>S-T01-BM0205</t>
  </si>
  <si>
    <t>Beam 2B-06ab &amp;cd Reinforcement Detail (SSL10 TO SSL19)</t>
  </si>
  <si>
    <t>S-T01-BM0206</t>
  </si>
  <si>
    <t>Beam 2B-08a,b,c&amp;d Reinforcement Detail (SSL10 TO SSL19)</t>
  </si>
  <si>
    <t>S-T01-BM0214</t>
  </si>
  <si>
    <t>Beam 2B-15a,b,c,d &amp;20 a,b,c,d Reinforcement Detail  (SSL10 TO SSL19)</t>
  </si>
  <si>
    <t>S-T01-BM0216</t>
  </si>
  <si>
    <t>Beam 2B-17a,b,c,&amp;d  Reinforcement Detail  (SSL10 TO SSL19)</t>
  </si>
  <si>
    <t>S-T01-BM0218</t>
  </si>
  <si>
    <t>Beam 2B-19ac,bd  &amp; 22ac, bd Reinforcement Detail (SSL10 TO SSL19)</t>
  </si>
  <si>
    <t>S-T01-BM0219</t>
  </si>
  <si>
    <t>Beam 2B-21a,b,c&amp;d Reinforcement Detail  (SSL10 TO SSL19)</t>
  </si>
  <si>
    <t>S-T01-BM0220</t>
  </si>
  <si>
    <t>Beam 2B-23ac &amp;bd Reinforcement Detail   (SSL10 TO SSL19)</t>
  </si>
  <si>
    <t>S-T01-BM0221</t>
  </si>
  <si>
    <t>Beam 2B-25 a,b,c,d &amp; 32 a,b,c,d Reinforcement Detail  (SSL10 TO SSL19)</t>
  </si>
  <si>
    <t>S-T01-BM0222</t>
  </si>
  <si>
    <t>Beam 2B-26 &amp; 27 Reinforcement Detail  (SSL10 TO SSL19)</t>
  </si>
  <si>
    <t>S-T01-BM0223</t>
  </si>
  <si>
    <t>Beam 2B-28 Reinforcement Detail  (SSL10 TO SSL19)</t>
  </si>
  <si>
    <t>S-T01-BM0224</t>
  </si>
  <si>
    <t>Beam 2B-29ac,bd &amp; 2CB-01a,b,c&amp;d Reinforcement Detail (SSL10 TO SSL19)</t>
  </si>
  <si>
    <t>S-T01-BM0225</t>
  </si>
  <si>
    <t>Beam 2B-30&amp;31Reinforcement Detail (SSL10 TO SSL19)</t>
  </si>
  <si>
    <t>S-T01-BM0226</t>
  </si>
  <si>
    <t xml:space="preserve">Typical details of Pergola (SSL10 TO SSL19) </t>
  </si>
  <si>
    <t>S-T01-BM0401</t>
  </si>
  <si>
    <t>Beam 4B-01a,b,c &amp; d  Reinforcement Detail(SSL4,6,8,10&amp;12)</t>
  </si>
  <si>
    <t>S-T01-BM0402</t>
  </si>
  <si>
    <t>Beam 4B-04a,b,c &amp; d  Reinforcement Detail(SSL4,6,8,10&amp;12)</t>
  </si>
  <si>
    <t>S-T01-BM0403</t>
  </si>
  <si>
    <t>Beam 4B-16a,b,c &amp; d  Reinforcement Detail(SSL4,6,8,10&amp;12)</t>
  </si>
  <si>
    <t>S-T01-BM0404</t>
  </si>
  <si>
    <t>Beam 4B-18a,b,c &amp; d  Reinforcement Detail(SSL4,6,8,10&amp;12)</t>
  </si>
  <si>
    <t>S-T01-BM0405</t>
  </si>
  <si>
    <t>Beam 4B-06a,b,c &amp; d  Reinforcement Detail(SSL4,6,8,10&amp;12)</t>
  </si>
  <si>
    <t>S-T01-BM1001</t>
  </si>
  <si>
    <t>BEAM B-01a,b,c&amp;d REINFORCEMENT DETAIL(SSL10 TO SSL19)</t>
  </si>
  <si>
    <t>S-T01-BM1002</t>
  </si>
  <si>
    <t>BEAM B-02a,b,c&amp;d REINFORCEMENT DETAIL(SSL10 TO SSL19)</t>
  </si>
  <si>
    <t>S-T01-BM1003</t>
  </si>
  <si>
    <t>BEAM B-03ab &amp; cd REINFORCEMENT DETAIL(SSL10 TO SSL19)</t>
  </si>
  <si>
    <t>S-T01-BM1004</t>
  </si>
  <si>
    <t>BEAM B-04a,b,c&amp;d REINFORCEMENT DETAIL(SSL10 TO SSL19) (Sheet 1 of 2)</t>
  </si>
  <si>
    <t>S-T01-BM1005</t>
  </si>
  <si>
    <t>BEAM B-04a,b,c&amp;d REINFORCEMENT DETAIL(SSL10 TO SSL19) (Sheet 2 of 2)</t>
  </si>
  <si>
    <t>S-T01-BM1006</t>
  </si>
  <si>
    <t>BEAM B-05ab &amp; cd REINFORCEMENT DETAIL(SSL10 TO SSL19)</t>
  </si>
  <si>
    <t>S-T01-BM1007</t>
  </si>
  <si>
    <t>BEAM B-06ab &amp; cd REINFORCEMENT DETAIL(SSL10 TO SSL19)</t>
  </si>
  <si>
    <t>S-T01-BM1008</t>
  </si>
  <si>
    <t>BEAM B-07a,b,c&amp;d REINFORCEMENT DETAIL(SSL10 TO SSL19)(SHEET 1 OF 2)</t>
  </si>
  <si>
    <t>S-T01-BM1009</t>
  </si>
  <si>
    <t>BEAM B-07a,b,c&amp;d REINFORCEMENT DETAIL(SSL10 TO SSL19)(SHEET 2 OF 2)</t>
  </si>
  <si>
    <t>S-T01-BM1010</t>
  </si>
  <si>
    <t>BEAM B-08a,b,c&amp;d REINFORCEMENT DETAIL(SSL10 TO SSL19)</t>
  </si>
  <si>
    <t>S-T01-BM1011</t>
  </si>
  <si>
    <t>BEAM B-09a,b,c&amp;d REINFORCEMENT DETAIL(SSL10 TO SSL19)</t>
  </si>
  <si>
    <t>S-T01-BM1012</t>
  </si>
  <si>
    <t>BEAM B-10a,b,c&amp;d REINFORCEMENT DETAIL(SSL10 TO SSL19)(SHEET 1 OF 2)</t>
  </si>
  <si>
    <t>S-T01-BM1013</t>
  </si>
  <si>
    <t>BEAM B-11 REINFORCEMENT DETAIL(SSL10 TO SSL19)(SHEET 1 OF 2)</t>
  </si>
  <si>
    <t>S-T01-BM1014</t>
  </si>
  <si>
    <t>BEAM B-11 REINFORCEMENT DETAIL(SSL10 TO SSL19)(SHEET 2 OF 2)</t>
  </si>
  <si>
    <t>S-T01-BM1015</t>
  </si>
  <si>
    <t>BEAM B-12 REINFORCEMENT DETAIL(SSL10 TO SSL19)(SHEET 1 OF 2)</t>
  </si>
  <si>
    <t>S-T01-BM1016</t>
  </si>
  <si>
    <t>BEAM B-12 REINFORCEMENT DETAIL(SSL10 TO SSL19)(SHEET 2 OF 2)</t>
  </si>
  <si>
    <t>S-T01-BM1017</t>
  </si>
  <si>
    <t>BEAM B-13a,b,c&amp;d &amp; B-14a,b,c&amp;d REINFORCEMENT DETAIL(SSL10 TO SSL19)</t>
  </si>
  <si>
    <t>S-T01-BM1018</t>
  </si>
  <si>
    <t>BEAM B-15a,b,c&amp;d REINFORCEMENT DETAIL(SSL10 TO SSL19)</t>
  </si>
  <si>
    <t>S-T01-BM1019</t>
  </si>
  <si>
    <t>BEAM B-16a,b,c&amp;d REINFORCEMENT DETAIL(SSL10 TO SSL19)(SHEET 1 OF 2)</t>
  </si>
  <si>
    <t>S-T01-BM1020</t>
  </si>
  <si>
    <t>BEAM B-16a,b,c&amp;d REINFORCEMENT DETAIL(SSL10 TO SSL19)(SHEET 2 OF 2)</t>
  </si>
  <si>
    <t>S-T01-BM1021</t>
  </si>
  <si>
    <t>BEAM B-17a,b,c&amp;d REINFORCEMENT DETAIL(SSL10 TO SSL19)</t>
  </si>
  <si>
    <t>S-T01-BM1022</t>
  </si>
  <si>
    <t>BEAM B-18a,b,c&amp;d REINFORCEMENT DETAIL(SSL10 TO SSL19)(SHEET 1 OF 2)</t>
  </si>
  <si>
    <t>S-T01-BM1023</t>
  </si>
  <si>
    <t>BEAM B-18a,b,c&amp;d REINFORCEMENT DETAIL(SSL10 TO SSL19)(SHEET 2 OF 2)</t>
  </si>
  <si>
    <t>S-T01-BM1024</t>
  </si>
  <si>
    <t>BEAM B-19a,b,c&amp;d REINFORCEMENT DETAIL(SSL10 TO SSL19)</t>
  </si>
  <si>
    <t>S-T01-BM1025</t>
  </si>
  <si>
    <t>BEAM B-20a,b,c&amp;d REINFORCEMENT DETAIL(SSL10 TO SSL19)</t>
  </si>
  <si>
    <t>S-T01-BM1026</t>
  </si>
  <si>
    <t>BEAM B-21a,b,c&amp;d REINFORCEMENT DETAIL(SSL10 TO SSL19)</t>
  </si>
  <si>
    <t>S-T01-BM1027</t>
  </si>
  <si>
    <t>BEAM B-22a,b,c&amp;d REINFORCEMENT DETAIL(SSL10 TO SSL19)</t>
  </si>
  <si>
    <t>S-T01-BM1028</t>
  </si>
  <si>
    <t>BEAM B-23ab&amp;cd REINFORCEMENT DETAIL(SSL10 TO SSL19)</t>
  </si>
  <si>
    <t>S-T01-BM1029</t>
  </si>
  <si>
    <t>BEAM B-25a,b,c&amp;d REINFORCEMENT DETAIL(SSL10 TO SSL19)</t>
  </si>
  <si>
    <t>S-T01-BM1030</t>
  </si>
  <si>
    <t>BEAM B-26 &amp; B-27 REINFORCEMENT DETAIL(SSL10 TO SSL19)</t>
  </si>
  <si>
    <t>S-T01-BM1031</t>
  </si>
  <si>
    <t>BEAM B-28 &amp; B-29ac&amp;bd REINFORCEMENT DETAIL(SSL10 TO SSL19)</t>
  </si>
  <si>
    <t>S-T01-BM1032</t>
  </si>
  <si>
    <t>BEAM B-30 &amp; B-31a,b,c&amp;d REINFORCEMENT DETAIL(SSL10 TO SSL19)</t>
  </si>
  <si>
    <t>S-T01-BM1033</t>
  </si>
  <si>
    <t>BEAM B-32a,b,c&amp;d REINFORCEMENT DETAIL(SSL10 TO SSL19)</t>
  </si>
  <si>
    <t>S-T01-BM1034</t>
  </si>
  <si>
    <t>BEAM B-33 a,b,c&amp;d REINFORCEMENT DETAIL(SSL06 TO SSL09)</t>
  </si>
  <si>
    <t>S-T01-BM1035</t>
  </si>
  <si>
    <t>BEAM CB-01a,b,c&amp;d REINFORCEMENT DETAIL(SSL10 TO SSL19)</t>
  </si>
  <si>
    <t>S-T01-BM1036</t>
  </si>
  <si>
    <t>BEAM B-36a,b,c&amp;d &amp; B-37a,b,c&amp;d REINFORCEMENT DETAIL(SSL10 TO SSL19)</t>
  </si>
  <si>
    <t>S-T01-BM2001</t>
  </si>
  <si>
    <t>BEAM B-01a,b,c&amp;d REINFORCEMENT DETAIL(SSL20 TO SSL27)</t>
  </si>
  <si>
    <t>S-T01-BM2002</t>
  </si>
  <si>
    <t>BEAM B-02a,b,c&amp;d REINFORCEMENT DETAIL(SSL20 TO SSL27)</t>
  </si>
  <si>
    <t>S-T01-BM2003</t>
  </si>
  <si>
    <t>BEAM B-03ab &amp; cd REINFORCEMENT DETAIL(SSL20 TO SSL27)</t>
  </si>
  <si>
    <t>S-T01-BM2004</t>
  </si>
  <si>
    <t>BEAM B-04a,b,c&amp;d REINFORCEMENT DETAIL(SSL20 TO SSL27) (Sheet 1 of 2)</t>
  </si>
  <si>
    <t>S-T01-BM2005</t>
  </si>
  <si>
    <t>BEAM B-04a,b,c&amp;d REINFORCEMENT DETAIL(SSL20 TO SSL27) (Sheet 2 of 2)</t>
  </si>
  <si>
    <t>S-T01-BM2006</t>
  </si>
  <si>
    <t>BEAM B-05ab &amp; cd REINFORCEMENT DETAIL(SSL20 TO SSL27)</t>
  </si>
  <si>
    <t>S-T01-BM2007</t>
  </si>
  <si>
    <t>BEAM B-06ab &amp; cd REINFORCEMENT DETAIL(SSL20 TO SSL27)</t>
  </si>
  <si>
    <t>S-T01-BM2008</t>
  </si>
  <si>
    <t>BEAM B-07a,b,c&amp;d REINFORCEMENT DETAIL(SSL20 TO SSL27)(SHEET 1 OF 2)</t>
  </si>
  <si>
    <t>S-T01-BM2009</t>
  </si>
  <si>
    <t>BEAM B-07a,b,c&amp;d REINFORCEMENT DETAIL(SSL20 TO SSL27)(SHEET 2 OF 2)</t>
  </si>
  <si>
    <t>S-T01-BM2010</t>
  </si>
  <si>
    <t>BEAM B-08a,b,c&amp;d REINFORCEMENT DETAIL(SSL20 TO SSL27)</t>
  </si>
  <si>
    <t>S-T01-BM2011</t>
  </si>
  <si>
    <t>BEAM B-09a,b,c&amp;d REINFORCEMENT DETAIL(SSL20 TO SSL27)</t>
  </si>
  <si>
    <t>S-T01-BM2012</t>
  </si>
  <si>
    <t>BEAM B-10a,b,c&amp;d REINFORCEMENT DETAIL(SSL20 TO SSL27)(SHEET 1 OF 2)</t>
  </si>
  <si>
    <t>S-T01-BM2013</t>
  </si>
  <si>
    <t>BEAM B-11 REINFORCEMENT DETAIL(SSL20 TO SSL27)(SHEET 1 OF 2)</t>
  </si>
  <si>
    <t>S-T01-BM2014</t>
  </si>
  <si>
    <t>BEAM B-11 REINFORCEMENT DETAIL(SSL20 TO SSL27)(SHEET 2 OF 2)</t>
  </si>
  <si>
    <t>S-T01-BM2015</t>
  </si>
  <si>
    <t>BEAM B-12 REINFORCEMENT DETAIL(SSL20 TO SSL27)(SHEET 1 OF 2)</t>
  </si>
  <si>
    <t>S-T01-BM2016</t>
  </si>
  <si>
    <t>BEAM B-12 REINFORCEMENT DETAIL(SSL20 TO SSL27)(SHEET 2 OF 2)</t>
  </si>
  <si>
    <t>S-T01-BM2017</t>
  </si>
  <si>
    <t>BEAM B-13a,b,c&amp;d &amp; B-14a,b,c&amp;d REINFORCEMENT DETAIL(SSL20 TO SSL27)</t>
  </si>
  <si>
    <t>S-T01-BM2018</t>
  </si>
  <si>
    <t>BEAM B-15a,b,c&amp;d REINFORCEMENT DETAIL(SSL20 TO SSL27)</t>
  </si>
  <si>
    <t>S-T01-BM2019</t>
  </si>
  <si>
    <t>BEAM B-16a,b,c&amp;d REINFORCEMENT DETAIL(SSL20 TO SSL27)(SHEET 1 OF 2)</t>
  </si>
  <si>
    <t>S-T01-BM2020</t>
  </si>
  <si>
    <t>BEAM B-16a,b,c&amp;d REINFORCEMENT DETAIL(SSL20 TO SSL27)(SHEET 2 OF 2)</t>
  </si>
  <si>
    <t>S-T01-BM2021</t>
  </si>
  <si>
    <t>BEAM B-17a,b,c&amp;d REINFORCEMENT DETAIL(SSL20 TO SSL27)</t>
  </si>
  <si>
    <t>S-T01-BM2022</t>
  </si>
  <si>
    <t>BEAM B-18a,b,c&amp;d REINFORCEMENT DETAIL(SSL20 TO SSL27)(SHEET 1 OF 2)</t>
  </si>
  <si>
    <t>S-T01-BM2023</t>
  </si>
  <si>
    <t>BEAM B-18a,b,c&amp;d REINFORCEMENT DETAIL(SSL20 TO SSL27)(SHEET 2 OF 2)</t>
  </si>
  <si>
    <t>S-T01-BM2024</t>
  </si>
  <si>
    <t>BEAM B-19a,b,c&amp;d REINFORCEMENT DETAIL(SSL20 TO SSL27)</t>
  </si>
  <si>
    <t>S-T01-BM2025</t>
  </si>
  <si>
    <t>BEAM B-20a,b,c&amp;d REINFORCEMENT DETAIL(SSL20 TO SSL27)</t>
  </si>
  <si>
    <t>S-T01-BM2026</t>
  </si>
  <si>
    <t>BEAM B-21a,b,c&amp;d REINFORCEMENT DETAIL(SSL20 TO SSL27)</t>
  </si>
  <si>
    <t>S-T01-BM2027</t>
  </si>
  <si>
    <t>BEAM B-22a,b,c&amp;d REINFORCEMENT DETAIL(SSL20 TO SSL27)</t>
  </si>
  <si>
    <t>S-T01-BM2028</t>
  </si>
  <si>
    <t>BEAM B-23ab&amp;cd REINFORCEMENT DETAIL(SSL20 TO SSL27)</t>
  </si>
  <si>
    <t>S-T01-BM2029</t>
  </si>
  <si>
    <t>BEAM B-25a,b,c&amp;d REINFORCEMENT DETAIL(SSL20 TO SSL27)</t>
  </si>
  <si>
    <t>S-T01-BM2030</t>
  </si>
  <si>
    <t>BEAM B-26 &amp; B-27 REINFORCEMENT DETAIL(SSL20 TO SSL27)</t>
  </si>
  <si>
    <t>S-T01-BM2031</t>
  </si>
  <si>
    <t>BEAM B-28 &amp; B-29ac&amp;bd REINFORCEMENT DETAIL(SSL20 TO SSL27)</t>
  </si>
  <si>
    <t>S-T01-BM2032</t>
  </si>
  <si>
    <t>BEAM B-30 &amp; B-31a,b,c&amp;d REINFORCEMENT DETAIL(SSL20 TO SSL27)</t>
  </si>
  <si>
    <t>S-T01-BM2033</t>
  </si>
  <si>
    <t>BEAM B-32a,b,c&amp;d REINFORCEMENT DETAIL(SSL20 TO SSL27)</t>
  </si>
  <si>
    <t>S-T01-BM2034</t>
  </si>
  <si>
    <t>S-T01-BM2035</t>
  </si>
  <si>
    <t>BEAM CB-01a,b,c&amp;d REINFORCEMENT DETAIL(SSL20 TO SSL27)</t>
  </si>
  <si>
    <t>S-T01-BM2036</t>
  </si>
  <si>
    <t>BEAM B-36a,b,c&amp;d &amp; B-37a,b,c&amp;d REINFORCEMENT DETAIL(SSL20 TO SSL27)</t>
  </si>
  <si>
    <t>S-T01-BM2801</t>
  </si>
  <si>
    <t>BEAM B-01a,b,c&amp;d REINFORCEMENT DETAIL(SSL28)</t>
  </si>
  <si>
    <t>S-T01-BM2802</t>
  </si>
  <si>
    <t>BEAM B-02a,b,c&amp;d REINFORCEMENT DETAIL(SSL28)</t>
  </si>
  <si>
    <t>S-T01-BM2803</t>
  </si>
  <si>
    <t>BEAM B-03ab &amp; cd REINFORCEMENT DETAIL(SSL28)</t>
  </si>
  <si>
    <t>S-T01-BM2804</t>
  </si>
  <si>
    <t>BEAM B-04a,b,c&amp;d REINFORCEMENT DETAIL(SSL28)</t>
  </si>
  <si>
    <t>S-T01-BM2805</t>
  </si>
  <si>
    <t>BEAM B-05ab &amp; cd REINFORCEMENT DETAIL(SSL28)</t>
  </si>
  <si>
    <t>S-T01-BM2806</t>
  </si>
  <si>
    <t>BEAM B-06ab &amp; cd REINFORCEMENT DETAIL(SSL28)</t>
  </si>
  <si>
    <t>S-T01-BM2807</t>
  </si>
  <si>
    <t>BEAM B-07a,b,c&amp;d REINFORCEMENT DETAIL(SSL28)</t>
  </si>
  <si>
    <t>S-T01-BM2808</t>
  </si>
  <si>
    <t>BEAM B-08a&amp;b REINFORCEMENT DETAIL(SSL28)</t>
  </si>
  <si>
    <t>S-T01-BM2809</t>
  </si>
  <si>
    <t>BEAM B-08c&amp;d REINFORCEMENT DETAIL(SSL28)</t>
  </si>
  <si>
    <t>S-T01-BM2810</t>
  </si>
  <si>
    <t>BEAM B-09a,b,c&amp;d REINFORCEMENT DETAIL(SSL28)</t>
  </si>
  <si>
    <t>S-T01-BM2811</t>
  </si>
  <si>
    <t>BEAM B-10a,b,c&amp;d REINFORCEMENT DETAIL(SSL28)</t>
  </si>
  <si>
    <t>S-T01-BM2812</t>
  </si>
  <si>
    <t>BEAM B-11 REINFORCEMENT DETAIL(SSL28)(SHEET 1 OF 2)</t>
  </si>
  <si>
    <t>S-T01-BM2813</t>
  </si>
  <si>
    <t>BEAM B-11 REINFORCEMENT DETAIL(SSL28)(SHEET 2 OF 2)</t>
  </si>
  <si>
    <t>S-T01-BM2814</t>
  </si>
  <si>
    <t>BEAM B-12 REINFORCEMENT DETAIL(SSL28)(SHEET 1 OF 2)</t>
  </si>
  <si>
    <t>S-T01-BM2815</t>
  </si>
  <si>
    <t>BEAM B-12 REINFORCEMENT DETAIL(SSL28)(SHEET 2 OF 2)</t>
  </si>
  <si>
    <t>S-T01-BM2816</t>
  </si>
  <si>
    <t>BEAM B-13a,b,c&amp;d &amp; B-14a,b,c&amp;d REINFORCEMENT DETAIL(SSL28)</t>
  </si>
  <si>
    <t>S-T01-BM2817</t>
  </si>
  <si>
    <t>BEAM B-15a,b,c&amp;d REINFORCEMENT DETAIL(SSL28)</t>
  </si>
  <si>
    <t>S-T01-BM2818</t>
  </si>
  <si>
    <t>BEAM B-16a,b,c&amp;d REINFORCEMENT DETAIL(SSL28)</t>
  </si>
  <si>
    <t>S-T01-BM2819</t>
  </si>
  <si>
    <t>BEAM B-17a,b,c&amp;d REINFORCEMENT DETAIL(SSL28)</t>
  </si>
  <si>
    <t>S-T01-BM2820</t>
  </si>
  <si>
    <t>BEAM B-18a,b,c&amp;d REINFORCEMENT DETAIL(SSL28)</t>
  </si>
  <si>
    <t>S-T01-BM2821</t>
  </si>
  <si>
    <t>BEAM B-19a,b,c&amp;d REINFORCEMENT DETAIL(SSL28)</t>
  </si>
  <si>
    <t>S-T01-BM2822</t>
  </si>
  <si>
    <t>BEAM B-20a,b,c&amp;d REINFORCEMENT DETAIL(SSL28)</t>
  </si>
  <si>
    <t>S-T01-BM2823</t>
  </si>
  <si>
    <t>BEAM B-21a,b,c&amp;d REINFORCEMENT DETAIL(SSL28)</t>
  </si>
  <si>
    <t>S-T01-BM2824</t>
  </si>
  <si>
    <t>BEAM B-22a,b,c&amp;d REINFORCEMENT DETAIL(SSL28)</t>
  </si>
  <si>
    <t>S-T01-BM2825</t>
  </si>
  <si>
    <t>BEAM B-23ab&amp;cd REINFORCEMENT DETAIL(SSL28)</t>
  </si>
  <si>
    <t>S-T01-BM2826</t>
  </si>
  <si>
    <t>BEAM B-25a,b,c&amp;d REINFORCEMENT DETAIL(SSL28)</t>
  </si>
  <si>
    <t>S-T01-BM2827</t>
  </si>
  <si>
    <t>BEAM B-26 &amp; B-27 REINFORCEMENT DETAIL(SSL28)</t>
  </si>
  <si>
    <t>S-T01-BM2828</t>
  </si>
  <si>
    <t>BEAM B-28 &amp; B-29ac&amp;bd REINFORCEMENT DETAIL(SSL28)</t>
  </si>
  <si>
    <t>S-T01-BM2829</t>
  </si>
  <si>
    <t>BEAM B-30 &amp; B-31a,b,c&amp;d REINFORCEMENT DETAIL(SSL28)</t>
  </si>
  <si>
    <t>S-T01-BM2830</t>
  </si>
  <si>
    <t>BEAM B-32a,b,c&amp;d REINFORCEMENT DETAIL(SSL28)</t>
  </si>
  <si>
    <t>S-T01-BM2831</t>
  </si>
  <si>
    <t>BEAM B-33 a,b,c&amp;d REINFORCEMENT DETAIL(SSL28)</t>
  </si>
  <si>
    <t>S-T01-BM2832</t>
  </si>
  <si>
    <t>BEAM B-36a,b,c&amp;d &amp; B-37a,b,c&amp;d REINFORCEMENT DETAIL(SSL28)</t>
  </si>
  <si>
    <t>S-T01-BM2833</t>
  </si>
  <si>
    <t>BEAM CB-01a,b,c&amp;d REINFORCEMENT DETAIL(SSL28)</t>
  </si>
  <si>
    <t>S-T01-SB0103</t>
  </si>
  <si>
    <t>BBS for Bot.Reinforcements of 1st SSL(Sheet 1 of 2)</t>
  </si>
  <si>
    <t>S-T01-SB0104</t>
  </si>
  <si>
    <t>BBS for Bot.Reinforcements of 1st SSL(Sheet2 of 2)</t>
  </si>
  <si>
    <t>S-T01-SB0106</t>
  </si>
  <si>
    <t>BBS for Top Reinforcements of 1st SSL(Sheet 1 of 2)</t>
  </si>
  <si>
    <t>S-T01-SB0107</t>
  </si>
  <si>
    <t>BBS for Top Reinforcements of 1st SSL(Sheet 2 of 2)</t>
  </si>
  <si>
    <t>S-T01-SB0206</t>
  </si>
  <si>
    <t>BBS for Top Reinforcements of  2nd SSL(Sheet 2 of 2)</t>
  </si>
  <si>
    <t>S-T01-SB0301</t>
  </si>
  <si>
    <t>Plan showing Bottom Reinforcements of 3RD,5TH,7TH,9TH&amp;11TH SSL</t>
  </si>
  <si>
    <t>S-T01-SB0302</t>
  </si>
  <si>
    <t>BBS for Bot.Reinforcements of 3RD,5TH,7TH,9TH&amp;11TH SSL</t>
  </si>
  <si>
    <t>S-T01-SB0303</t>
  </si>
  <si>
    <t>Part plan showing Bottom Reinforcements of 3RD,5TH,7TH,9TH&amp;11TH SSL</t>
  </si>
  <si>
    <t>S-T01-SB0304</t>
  </si>
  <si>
    <t>Plan showing Top reinforcements of 3RD,5TH,7TH,9TH&amp;11TH SSL</t>
  </si>
  <si>
    <t>S-T01-SB0305</t>
  </si>
  <si>
    <t>BBS for Top Reinforcements of 3RD,5TH,7TH,9TH&amp;11TH SSL(Sheet 1 of 2)</t>
  </si>
  <si>
    <t>S-T01-SB0306</t>
  </si>
  <si>
    <t>BBS for Top Reinforcements of  3RD,5TH,7TH,9TH&amp;11TH SSL(Sheet 2 of 2)</t>
  </si>
  <si>
    <t>S-T01-SB0307</t>
  </si>
  <si>
    <t>Part plan showing Top Reinforcements of 3RD,5TH,7TH,9TH&amp;11TH SSL</t>
  </si>
  <si>
    <t>S-T01-SB0308</t>
  </si>
  <si>
    <t>Plan showing Torsional Reinforcements of  3RD,5TH,7TH,9TH&amp;11TH SSL</t>
  </si>
  <si>
    <t>S-T01-SB0405</t>
  </si>
  <si>
    <t>BBS for Top Reinforcements of 4TH,6TH,8TH,10TH&amp;12TH SSL(Sheet 1 of 2)</t>
  </si>
  <si>
    <t>S-T01-SB0406</t>
  </si>
  <si>
    <t>BBS for Top Reinforcements of  4TH,6TH,8TH,10TH&amp;12TH SSL(Sheet 2 of 2)</t>
  </si>
  <si>
    <t>S-T01-SB2801</t>
  </si>
  <si>
    <t>Plan showing Slab Bottom Reinforcements for SSL28</t>
  </si>
  <si>
    <t>S-T01-SB2802</t>
  </si>
  <si>
    <t>BBS of Slab Bottom Reinforcements for SSL28</t>
  </si>
  <si>
    <t>S-T01-SB2803</t>
  </si>
  <si>
    <t>Plan showing Slab Top Reinforcements for SSL28</t>
  </si>
  <si>
    <t>S-T01-SB2804</t>
  </si>
  <si>
    <t>BBS of Slab Top Reinforcements for SSL28</t>
  </si>
  <si>
    <t>S-T01-SL0401</t>
  </si>
  <si>
    <t>Plan showing sleeves at SSL04,06,08,10 &amp;12</t>
  </si>
  <si>
    <t>S-T01-SL0402</t>
  </si>
  <si>
    <t>Elevation showing sleeves at SSL04,06,08,10 &amp;12</t>
  </si>
  <si>
    <t>S-T01-SL0403</t>
  </si>
  <si>
    <t>Sleeve Reinforcement Details(For SSL04,06,08,10 &amp;12)</t>
  </si>
  <si>
    <t>S-T01-SL2902</t>
  </si>
  <si>
    <t>Elevation showing sleeves at SSL29(SHEET2)</t>
  </si>
  <si>
    <t>S-T01-CT0101</t>
  </si>
  <si>
    <t>Customization-1031&amp;1041,Beam 4B-07a Reinf.Detail(SSL04)</t>
  </si>
  <si>
    <t>S-T01-CT0102</t>
  </si>
  <si>
    <t>Customization-1031&amp;1041,Beam 4B-08a Reinf.Detail(SSL04)</t>
  </si>
  <si>
    <t>S-T01-CT0103</t>
  </si>
  <si>
    <t>Customization-1031&amp;1041,Beam 4B-37 Reinf.Detail(SSL04)</t>
  </si>
  <si>
    <t>S-T01-CT0104</t>
  </si>
  <si>
    <t>Customization-1031&amp;1041,Beam 4B-36 Reinf.Detail(SSL04)</t>
  </si>
  <si>
    <t>S-T01-CT0105</t>
  </si>
  <si>
    <t>Customization-1031&amp;1041,Beam 4B-20a Reinf.Detail(SSL04)</t>
  </si>
  <si>
    <t>S-T01-CT0106</t>
  </si>
  <si>
    <t>Customization-1031&amp;1041,Beam 4B-21a Reinf.Detail(SSL04)</t>
  </si>
  <si>
    <t>S-T01-CT0107</t>
  </si>
  <si>
    <t>Customization-1031&amp;1041,Beam 4B-23ab Reinf.Detail(SSL04)</t>
  </si>
  <si>
    <t>S-T01-CT0108</t>
  </si>
  <si>
    <t>Customization-1031&amp;1041,Beam 4B-06b Reinf.Detail(SSL04)</t>
  </si>
  <si>
    <t>S-T01-CT0109</t>
  </si>
  <si>
    <t>Plan showing sleeves at SSL04 for 1031&amp;1041(Sheet1)</t>
  </si>
  <si>
    <t>S-T01-CT0112</t>
  </si>
  <si>
    <t>Customization-1031&amp;1041-Plan showing slab Bottom Reinf. For SSL04 Quadrant A</t>
  </si>
  <si>
    <t>S-T01-CT0113</t>
  </si>
  <si>
    <t>Customization-1031&amp;1041-Plan showing slab Top Reinf. For SSL04 Quadrant A</t>
  </si>
  <si>
    <t>S-T01-CT0114</t>
  </si>
  <si>
    <t>Customization-1031&amp;1041-Plan showing slab Bottom and Top Reinf. For SSL04 Quadrant A</t>
  </si>
  <si>
    <t>S-T01-CT0115</t>
  </si>
  <si>
    <t>Customization-1031&amp;1041-Plan showing slab Torsion  Reinf. For SSL04 Quadrant A</t>
  </si>
  <si>
    <t>S-T01-FP0301</t>
  </si>
  <si>
    <t>Framing Plan  at SSL 3,5&amp;7</t>
  </si>
  <si>
    <t>ST-T01-6</t>
  </si>
  <si>
    <t>S-T01-FP0901</t>
  </si>
  <si>
    <t>Framing Plan  at SSL 09</t>
  </si>
  <si>
    <t>S-T01-FP1101</t>
  </si>
  <si>
    <t>Framing Plan  at SSL 11,13,15,17,19,21,23,25&amp;27</t>
  </si>
  <si>
    <t>S-T01-FP2701</t>
  </si>
  <si>
    <t>Framing Plan  at SSL27</t>
  </si>
  <si>
    <t>S-T01-BM0301</t>
  </si>
  <si>
    <t>Beam 3B-01a,b,c&amp;d Reinforcement Detail (SSL3,5,7&amp;9)</t>
  </si>
  <si>
    <t>S-T01-BM0302</t>
  </si>
  <si>
    <t>Beam 3B-04a,b,c&amp;d Reinforcement Detail (SSL3,5,7&amp;9)</t>
  </si>
  <si>
    <t>S-T01-BM0303</t>
  </si>
  <si>
    <t>Beam 3B-16a,b,c&amp;d Reinforcement Detail (SSL3,5,7&amp;9)</t>
  </si>
  <si>
    <t>S-T01-BM0304</t>
  </si>
  <si>
    <t>Beam 3B-18a,b,c&amp;d Reinforcement Detail (SSL3,5,7&amp;9)</t>
  </si>
  <si>
    <t>S-T01-BM0305</t>
  </si>
  <si>
    <t>Beam 3B-07a,b,c&amp;d Reinforcement Detail (SSL3,5,7&amp;9)</t>
  </si>
  <si>
    <t>S-T01-BM0306</t>
  </si>
  <si>
    <t>Beam 3B-09a,b,c&amp;d Reinforcement Detail (SSL3,5,7&amp;9)</t>
  </si>
  <si>
    <t>S-T01-BM0307</t>
  </si>
  <si>
    <t>Beam 3B-10a,b,c&amp;d and 3B-33a,b,c&amp;d Reinforcement Detail (SSL3,5,7&amp;9)</t>
  </si>
  <si>
    <t>S-T01-BM0308</t>
  </si>
  <si>
    <t>Beam 3B-11 Reinforcement Detail (Sheet 1 of 2) (SSL3,5,7&amp;9)</t>
  </si>
  <si>
    <t>S-T01-BM0309</t>
  </si>
  <si>
    <t>Beam 3B-11 Reinforcement Detail (Sheet 2 of 2) (SSL3,5,7&amp;9)</t>
  </si>
  <si>
    <t>S-T01-BM0310</t>
  </si>
  <si>
    <t>Beam 3B-12 Reinforcement Detail (Sheet 1 of 2) (SSL3,5,7&amp;9)</t>
  </si>
  <si>
    <t>S-T01-BM0311</t>
  </si>
  <si>
    <t>Beam 3B-12 Reinforcement Detail (Sheet 2 of 2) (SSL3,5,7&amp;9)</t>
  </si>
  <si>
    <t>S-T01-BM0312</t>
  </si>
  <si>
    <t>Beam 3B-12 Reinforcement Detail(SSL03 T0 SSL-12)(Sheet 2of 2)</t>
  </si>
  <si>
    <t>S-T01-BM0313</t>
  </si>
  <si>
    <t>Beam 3B-13a,b,c,d &amp; 14a,b,c,d Reinforcement Detail(SSL03 T0 SSL-12)</t>
  </si>
  <si>
    <t>S-T01-BM0314</t>
  </si>
  <si>
    <t>Beam 3B-15a,b,c,d &amp; 20a,b,c,d Reinforcement Detail(SSL03 T0 SSL-12)</t>
  </si>
  <si>
    <t>S-T01-BM0315</t>
  </si>
  <si>
    <t>Beam 3B-16a,b,c&amp;d Reinforcement Detail(SSL03 T0 SSL-12)</t>
  </si>
  <si>
    <t>S-T01-BM0316</t>
  </si>
  <si>
    <t>Beam 3B-17a,b,c&amp;d Reinforcement Detail(SSL03 T0 SSL-12)</t>
  </si>
  <si>
    <t>S-T01-BM0317</t>
  </si>
  <si>
    <t>Beam 3B-18a,b,c&amp;d Reinforcement Detail(SSL03 T0 SSL-12)</t>
  </si>
  <si>
    <t>S-T01-BM0318</t>
  </si>
  <si>
    <t>Beam 3B-19ac&amp;bd &amp; 22ac&amp;bd Reinforcement Detail(SSL03 T0 SSL-12)</t>
  </si>
  <si>
    <t>S-T01-BM0319</t>
  </si>
  <si>
    <t>Beam 3B-21a,b,c&amp;d Reinforcement Detail(SSL03 T0 SSL-12)</t>
  </si>
  <si>
    <t>S-T01-BM0320</t>
  </si>
  <si>
    <t>Beam 3B-23ab&amp;cd Reinforcement Detail(SSL03 T0 SSL-12)</t>
  </si>
  <si>
    <t>S-T01-BM0321</t>
  </si>
  <si>
    <t>Beam 3B-24ab&amp;cd &amp; 25a,b,c&amp;dReinforcement Detail(SSL03 T0 SSL-12)</t>
  </si>
  <si>
    <t>S-T01-BM0322</t>
  </si>
  <si>
    <t>Beam 3B-26 &amp; 27 Reinforcement Detail(SSL03 T0 SSL-12)</t>
  </si>
  <si>
    <t>S-T01-BM0323</t>
  </si>
  <si>
    <t>Beam 3B-28 Reinforcement Detail(SSL03 T0 SSL-12)</t>
  </si>
  <si>
    <t>S-T01-BM0324</t>
  </si>
  <si>
    <t>Beam 3B-30 &amp; 31 Reinforcement Detail(SSL03 T0 SSL-12)</t>
  </si>
  <si>
    <t>S-T01-BM0325</t>
  </si>
  <si>
    <t>Typical details of Pergola(SSL03 T0 SSL-12)</t>
  </si>
  <si>
    <t>S-T01-BM2701</t>
  </si>
  <si>
    <t>Beam B-08a&amp;b Reinforcement Detail (SSL27)</t>
  </si>
  <si>
    <t>S-T01-BM2702</t>
  </si>
  <si>
    <t>Beam B-11 Reinforcement Detail (Sheet 1 of 2)(SSL27)</t>
  </si>
  <si>
    <t>S-T01-BM2703</t>
  </si>
  <si>
    <t>Beam B-11 Reinforcement Detail (Sheet 2 of 2)(SSL27)</t>
  </si>
  <si>
    <t>S-T01-CP0001</t>
  </si>
  <si>
    <t>CONNECTING PERGOLA DETAILS BETWEEN T01 &amp; T2V (SSL 09, 13, 21 &amp; 25)</t>
  </si>
  <si>
    <t>S-T01-CP0003</t>
  </si>
  <si>
    <t>CONNECTING PERGOLA DETAILS BETWEEN T01 &amp; T2V (SSL 03)</t>
  </si>
  <si>
    <t>S-T01-SB0201</t>
  </si>
  <si>
    <t>Plan showing Slab Bottom Reinforcements for SSL02 to SSL27</t>
  </si>
  <si>
    <t>S-T01-SB0202</t>
  </si>
  <si>
    <t>BBS of Slab Bottom Reinforcements for SSL02 to 27</t>
  </si>
  <si>
    <t>S-T01-SB0203</t>
  </si>
  <si>
    <t>Plan showing Slab Top Reinforcements for SSL02 to SSL27</t>
  </si>
  <si>
    <t>S-T01-SB0204</t>
  </si>
  <si>
    <t>BBS of Slab Top Reinforcements for SSL02 to 27</t>
  </si>
  <si>
    <t>S-T01-SB0205</t>
  </si>
  <si>
    <t>Plan showing Slab Torsion Reinforcement for SSL 2 to SSL 27</t>
  </si>
  <si>
    <t>S-T01-SB0401</t>
  </si>
  <si>
    <t>Plan showing Bottom Reinforcements of 4TH,6TH,8TH,10TH&amp;12TH SSL</t>
  </si>
  <si>
    <t>S-T01-SB0402</t>
  </si>
  <si>
    <t>BBS for Bot.Reinforcements of  4TH,6TH,8TH,10TH&amp;12TH SSL</t>
  </si>
  <si>
    <t>S-T01-SB0403</t>
  </si>
  <si>
    <t>Part plan showing Bottom Reinforcements of 4TH,6TH,8TH,10TH&amp;12TH SSL</t>
  </si>
  <si>
    <t>S-T01-SB0404</t>
  </si>
  <si>
    <t>Plan showing Top reinforcements of 4TH,6TH,8TH,10TH&amp;12TH SSL</t>
  </si>
  <si>
    <t>S-T01-SB0407</t>
  </si>
  <si>
    <t>Part plan showing Top Reinforcements of 4TH,6TH,8TH,10TH&amp;12TH SSL</t>
  </si>
  <si>
    <t>S-T01-SB0408</t>
  </si>
  <si>
    <t>Plan showing Torsional Reinforcements of  4TH,6TH,8TH,10TH&amp;12TH SSL</t>
  </si>
  <si>
    <t>S-T01-SL0301</t>
  </si>
  <si>
    <t>Plan showing sleeves at SSL03,05,07,09&amp;11</t>
  </si>
  <si>
    <t>S-T01-SL0302</t>
  </si>
  <si>
    <t>Elevation showing sleeves at SSL03,05,07,09&amp;11</t>
  </si>
  <si>
    <t>S-T01-SL0303</t>
  </si>
  <si>
    <t>Sleeve Reinforcement Details(For SSL03,05,07,09&amp;11)</t>
  </si>
  <si>
    <t>S-T01-SL0304</t>
  </si>
  <si>
    <t>Block 1 - Sleeve Details - SSL 3,5,7,9 - Sleeve Table 3</t>
  </si>
  <si>
    <t>S-T01-SL0404</t>
  </si>
  <si>
    <t>Block 1 - Sleeve Details - SSL 4,6,8,10 - Sleeve Table 3</t>
  </si>
  <si>
    <t>S-T01-SL2901</t>
  </si>
  <si>
    <t>SLEEVE DETAILS AT SSL29(SHEET1)</t>
  </si>
  <si>
    <t>S-T01-FP2901</t>
  </si>
  <si>
    <t>Framing Plan  at SSL29</t>
  </si>
  <si>
    <t>ST-T01-8</t>
  </si>
  <si>
    <t>S-T01-BM0203</t>
  </si>
  <si>
    <t>Beam 2B-05ab &amp; cd Reinforcement Detail  (SSL2 TO SSL9)</t>
  </si>
  <si>
    <t>S-T01-BM0213</t>
  </si>
  <si>
    <t>Beam 2B-13a,b,c,d &amp;2B-14a,b,c&amp;d Reinforcement Detail (SSL2 TO SSL9)</t>
  </si>
  <si>
    <t>S-T01-BM2901</t>
  </si>
  <si>
    <t>BEAM B-01a,b,c&amp;d REINFORCEMENT DETAIL(SSL29)</t>
  </si>
  <si>
    <t>S-T01-BM2902</t>
  </si>
  <si>
    <t>BEAM B-02a,b,c&amp;d REINFORCEMENT DETAIL(SSL29)</t>
  </si>
  <si>
    <t>S-T01-BM2903</t>
  </si>
  <si>
    <t>BEAM B-03ab &amp; cd REINFORCEMENT DETAIL(SSL29)</t>
  </si>
  <si>
    <t>S-T01-BM2904</t>
  </si>
  <si>
    <t>BEAM B-04a&amp;b REINFORCEMENT DETAIL(SSL29)</t>
  </si>
  <si>
    <t>S-T01-BM2905</t>
  </si>
  <si>
    <t>BEAM B-04c&amp;d REINFORCEMENT DETAIL(SSL29)</t>
  </si>
  <si>
    <t>S-T01-BM2906</t>
  </si>
  <si>
    <t>BEAM B-05ab REINFORCEMENT DETAIL(SSL29)</t>
  </si>
  <si>
    <t>S-T01-BM2907</t>
  </si>
  <si>
    <t>BEAM B-05cd REINFORCEMENT DETAIL(SSL29)</t>
  </si>
  <si>
    <t>S-T01-BM2908</t>
  </si>
  <si>
    <t>BEAM B-06ab &amp; cd REINFORCEMENT DETAIL(SSL29)</t>
  </si>
  <si>
    <t>S-T01-BM2909</t>
  </si>
  <si>
    <t>BEAM B-07a,b,c&amp;d REINF. DETAIL(SHEET 1 OF 2) (SSL29)</t>
  </si>
  <si>
    <t>S-T01-BM2910</t>
  </si>
  <si>
    <t>BEAM B-07a,b,c&amp;d REINF. DETAIL(SHEET 2 OF 2) (SSL29)</t>
  </si>
  <si>
    <t>S-T01-BM2911</t>
  </si>
  <si>
    <t>BEAM B-08a&amp;b REINFORCEMENT DETAIL(SSL29)</t>
  </si>
  <si>
    <t>S-T01-BM2912</t>
  </si>
  <si>
    <t>BEAM B-08c&amp;d REINFORCEMENT DETAIL(SSL29)</t>
  </si>
  <si>
    <t>S-T01-BM2913</t>
  </si>
  <si>
    <t>BEAM B-09a&amp;b REINF. DETAIL(SSL29)</t>
  </si>
  <si>
    <t>S-T01-BM2914</t>
  </si>
  <si>
    <t>BEAM B-09c&amp;d REINF. DETAIL(SSL29)</t>
  </si>
  <si>
    <t>S-T01-BM2915</t>
  </si>
  <si>
    <t>BEAM B-10a&amp;b REINFORCEMENT DETAIL(SSL29)</t>
  </si>
  <si>
    <t>S-T01-BM2916</t>
  </si>
  <si>
    <t>BEAM B-10c&amp;d REINFORCEMENT DETAIL(SSL29)</t>
  </si>
  <si>
    <t>S-T01-BM2917</t>
  </si>
  <si>
    <t>BEAM B-11 REINFORCEMENT DETAIL(SHEET 1 OF 2)(SSL29)</t>
  </si>
  <si>
    <t>S-T01-BM2918</t>
  </si>
  <si>
    <t>BEAM B-11 REINFORCEMENT DETAIL(SHEET 2 OF 2)(SSL29)</t>
  </si>
  <si>
    <t>S-T01-BM2919</t>
  </si>
  <si>
    <t>BEAM B-12 REINFORCEMENT DETAIL(SHEET 1 OF 2)(SSL29)</t>
  </si>
  <si>
    <t>S-T01-BM2920</t>
  </si>
  <si>
    <t>BEAM B-12 REINFORCEMENT DETAIL(SHEET 2 OF 2)(SSL29)</t>
  </si>
  <si>
    <t>S-T01-BM2921</t>
  </si>
  <si>
    <t>BEAM B-13a&amp;b &amp; 14a&amp;b REINFORCEMENT DETAIL(SSL29)</t>
  </si>
  <si>
    <t>S-T01-BM2922</t>
  </si>
  <si>
    <t>BEAM B-13c&amp;d &amp; 14c&amp;d REINFORCEMENT DETAIL(SSL29)</t>
  </si>
  <si>
    <t>S-T01-BM2923</t>
  </si>
  <si>
    <t>BEAM B-15a,b,c&amp;d REINFORCEMENT DETAIL(SSL29)</t>
  </si>
  <si>
    <t>S-T01-BM2924</t>
  </si>
  <si>
    <t>BEAM B-16a,b,c&amp;d REINFORCEMENT DETAIL(SSL29)</t>
  </si>
  <si>
    <t>S-T01-BM2925</t>
  </si>
  <si>
    <t>BEAM B-17a,b,c&amp;d REINFORCEMENT DETAIL(SSL29)</t>
  </si>
  <si>
    <t>S-T01-BM2926</t>
  </si>
  <si>
    <t>BEAM B-18a&amp;b REINFORCEMENT DETAIL(SSL29)</t>
  </si>
  <si>
    <t>S-T01-BM2927</t>
  </si>
  <si>
    <t>BEAM B-18c&amp;d REINFORCEMENT DETAIL(SSL29)</t>
  </si>
  <si>
    <t>S-T01-BM2928</t>
  </si>
  <si>
    <t>BEAM B-19a,b,c&amp;d REINFORCEMENT DETAIL(SSL29)</t>
  </si>
  <si>
    <t>S-T01-BM2929</t>
  </si>
  <si>
    <t>BEAM B-20a&amp;b REINFORCEMENT DETAIL(SSL29)</t>
  </si>
  <si>
    <t>S-T01-BM2930</t>
  </si>
  <si>
    <t>BEAM B-20c&amp;d REINFORCEMENT DETAIL(SSL29)</t>
  </si>
  <si>
    <t>S-T01-BM2931</t>
  </si>
  <si>
    <t>BEAM B-21a&amp;b REINFORCEMENT DETAIL(SSL29)</t>
  </si>
  <si>
    <t>S-T01-BM2932</t>
  </si>
  <si>
    <t>BEAM B-21c&amp;d REINFORCEMENT DETAIL(SSL29)</t>
  </si>
  <si>
    <t>S-T01-BM2933</t>
  </si>
  <si>
    <t>BEAM B-22a,b,c&amp;d REINFORCEMENT DETAIL(SSL29)</t>
  </si>
  <si>
    <t>S-T01-BM2934</t>
  </si>
  <si>
    <t>BEAM B-23ab REINFORCEMENT DETAIL(SSL29)</t>
  </si>
  <si>
    <t>S-T01-BM2935</t>
  </si>
  <si>
    <t>BEAM B-23cd REINFORCEMENT DETAIL(SSL29)</t>
  </si>
  <si>
    <t>S-T01-BM2936</t>
  </si>
  <si>
    <t>BEAM B-25a,b,c&amp;d REINFORCEMENT DETAIL(SSL29)</t>
  </si>
  <si>
    <t>S-T01-BM2937</t>
  </si>
  <si>
    <t>BEAM B-26 &amp; B-27 REINFORCEMENT DETAIL(SSL29)</t>
  </si>
  <si>
    <t>S-T01-BM2938</t>
  </si>
  <si>
    <t>BEAM B-28 &amp; B-29a,b,c&amp;d REINFORCEMENT DETAIL(SSL29)</t>
  </si>
  <si>
    <t>S-T01-BM2939</t>
  </si>
  <si>
    <t>BEAM B-30 &amp; B-31  REINFORCEMENT DETAIL(SSL29)</t>
  </si>
  <si>
    <t>S-T01-BM2940</t>
  </si>
  <si>
    <t>BEAM B-32a,b,c&amp;d REINFORCEMENT DETAIL(SSL29)</t>
  </si>
  <si>
    <t>S-T01-BM2941</t>
  </si>
  <si>
    <t>BEAM B-33 a,b,c&amp;d REINFORCEMENT DETAIL(SSL29)</t>
  </si>
  <si>
    <t>S-T01-BM2942</t>
  </si>
  <si>
    <t>BEAM B-36a,b,c&amp;d &amp; B-37a,b,c&amp;d REINFORCEMENT DETAIL(SSL29)</t>
  </si>
  <si>
    <t>S-T01-BM2943</t>
  </si>
  <si>
    <t>BEAM CB-01a,b,c&amp;d , B34a&amp;b, c&amp;d, B38a&amp;b &amp; B39a&amp;b REINF. DETAIL(SSL29)</t>
  </si>
  <si>
    <t>S-T01-SB2901</t>
  </si>
  <si>
    <t>Plan showing Slab Bottom Reinforcement of 29th SSL</t>
  </si>
  <si>
    <t>S-T01-SB2902</t>
  </si>
  <si>
    <t>Slab BBS for Bottom Reinforcement of 29th SSL</t>
  </si>
  <si>
    <t>S-T01-SB2903</t>
  </si>
  <si>
    <t>Plan showing Slab Top Reinforcement of 29th SSL</t>
  </si>
  <si>
    <t>S-T01-SB2904</t>
  </si>
  <si>
    <t>Slab BBS for Top Reinforcement of 29th SSL</t>
  </si>
  <si>
    <t>S-T01-SL2903</t>
  </si>
  <si>
    <t>Sleeve Reinforcement Details  For SSL29</t>
  </si>
  <si>
    <t>S-T01-FP3002</t>
  </si>
  <si>
    <t>Plan at OHT base slab and sections</t>
  </si>
  <si>
    <t>ST-T01-9</t>
  </si>
  <si>
    <t>S-T01-FP3003</t>
  </si>
  <si>
    <t>Plan at OHT roof slab and sections</t>
  </si>
  <si>
    <t>S-T01-FP3001</t>
  </si>
  <si>
    <t>Framing Plan  at SSL30</t>
  </si>
  <si>
    <t>S-T01-FP3004</t>
  </si>
  <si>
    <t>CONNECTING BRIDGE BETWEEN T01 &amp; T2V AT SSL 30</t>
  </si>
  <si>
    <t>S-T01-MS0101</t>
  </si>
  <si>
    <t>T01&amp;T2V-CONNECTING PERGOLA INSERT PLATE (IP1)DETAILS</t>
  </si>
  <si>
    <t>S-T01-OH0001</t>
  </si>
  <si>
    <t>OVER HEAD TANK DETAILS (SHEET 1)</t>
  </si>
  <si>
    <t>S-T01-OH0002</t>
  </si>
  <si>
    <t>OVER HEAD TANK DETAILS (SHEET 2)</t>
  </si>
  <si>
    <t>S-T01-OH0003</t>
  </si>
  <si>
    <t>OVER HEAD TANK DETAILS (SHEET 3)</t>
  </si>
  <si>
    <t>S-T01-OH0004</t>
  </si>
  <si>
    <t>OVER HEAD TANK DETAILS (SHEET 4)</t>
  </si>
  <si>
    <t>S-T01-OH0005</t>
  </si>
  <si>
    <t>OVER HEAD TANK DETAILS (SHEET 5)</t>
  </si>
  <si>
    <t>S-T01-OH0006</t>
  </si>
  <si>
    <t>OVER HEAD TANK DETAILS (SHEET 6)</t>
  </si>
  <si>
    <t>S-T01-CP0002</t>
  </si>
  <si>
    <t>CONNECTING BRIDGE DETAILS (SSL30)</t>
  </si>
  <si>
    <t>S-T01-SB3001</t>
  </si>
  <si>
    <t>Plan showing Bottom Reinforcement of 30th SSL</t>
  </si>
  <si>
    <t>S-T01-SB3002</t>
  </si>
  <si>
    <t>Plan showing Top Reinforcement of 30th SSL</t>
  </si>
  <si>
    <t>S-T01-SB3003</t>
  </si>
  <si>
    <t>Slab BBS for Bottom &amp; Top Reinforcement of 30th SSL</t>
  </si>
  <si>
    <t>S-T01-SL3001</t>
  </si>
  <si>
    <t>SLEEVE DETAILS AT SSL30 (Sheet 1)</t>
  </si>
  <si>
    <t>S-T01-SL3002</t>
  </si>
  <si>
    <t>ELEVATION SHOWING SLEEVES AT SSL30 (Sheet 2)</t>
  </si>
  <si>
    <t>S-T01-SL3003</t>
  </si>
  <si>
    <t xml:space="preserve">SLEEVES REINFORCEMENT DETAILS FOR SSL30 </t>
  </si>
  <si>
    <t>S-T2V-RW0101</t>
  </si>
  <si>
    <t>T2V RW1 Reinforcement Details</t>
  </si>
  <si>
    <t>ST-T2V-1</t>
  </si>
  <si>
    <t>S-T2V-RW0102</t>
  </si>
  <si>
    <t>T2V RW2 Reinforcement Details</t>
  </si>
  <si>
    <t>S-T2V-FD0001</t>
  </si>
  <si>
    <t>RAFT-PCC LAYOUT (SHEET 1 OF 2)</t>
  </si>
  <si>
    <t>S-T2V-FD0002</t>
  </si>
  <si>
    <t>RAFT-PCC LAYOUT (SHEET 2 OF 2)</t>
  </si>
  <si>
    <t>S-T2V-FD0003</t>
  </si>
  <si>
    <t>Foundation Layout</t>
  </si>
  <si>
    <t>R10</t>
  </si>
  <si>
    <t>S-T2V-FD0004</t>
  </si>
  <si>
    <t>Raft- Bottom Reinforcement - Layer 1 - Y direction (Sheet 1 of 4)</t>
  </si>
  <si>
    <t>S-T2V-FD0005</t>
  </si>
  <si>
    <t>Raft- Bottom Reinforcement - Layer 1 - Y direction - BBS (Sheet 2 of 4)</t>
  </si>
  <si>
    <t>S-T2V-FD0006</t>
  </si>
  <si>
    <t>Raft- Bottom Reinforcement - Layer 2 - X direction (Sheet 3 of 4)</t>
  </si>
  <si>
    <t>S-T2V-FD0007</t>
  </si>
  <si>
    <t>Raft- Bottom Reinforcement - Layer 2 - X direction - BBS (Sheet 4 of 4)</t>
  </si>
  <si>
    <t>S-T2V-FD0008</t>
  </si>
  <si>
    <t>Raft- Top Reinforcement - Layer 1 - Y direction (Sheet 1 of 3)</t>
  </si>
  <si>
    <t>S-T2V-FD0009</t>
  </si>
  <si>
    <t>Raft- Top Reinforcement - Layer 2 - X direction (Sheet 2 of 3)</t>
  </si>
  <si>
    <t>S-T2V-FD0010</t>
  </si>
  <si>
    <t>Raft- Top Reinforcement - Layer 1 &amp; 2 - BBS (Sheet 3 of 3)</t>
  </si>
  <si>
    <t>S-T2V-FD0011</t>
  </si>
  <si>
    <t>Raft- Shear &amp; Side Face Reinforcement - (Sheet 1 of 2)</t>
  </si>
  <si>
    <t>S-T2V-FD0012</t>
  </si>
  <si>
    <t>Raft- Shear &amp; Side Face Reinforcement - BBS (Sheet 2 of 2)</t>
  </si>
  <si>
    <t>S-T2V-FD0013</t>
  </si>
  <si>
    <t>Raft- Construction Joint - (Sheet 1 of 2)</t>
  </si>
  <si>
    <t>S-T2V-FD0014</t>
  </si>
  <si>
    <t>Raft- Construction Joint - BBS (Sheet 2 of 2)</t>
  </si>
  <si>
    <t>S-T2V-FD0015</t>
  </si>
  <si>
    <t>Raft-Bottom Reinforcement - Layer 3 - Y Direction - (Sheet 1 of 3)</t>
  </si>
  <si>
    <t>S-T2V-FD0016</t>
  </si>
  <si>
    <t>Raft-Bottom Reinforcement - Layer 4 - X Direction - (Sheet 2 of 3)</t>
  </si>
  <si>
    <t>S-T2V-FD0017</t>
  </si>
  <si>
    <t>Raft-Bottom Reinforcement - Layer 3 &amp; 4 - BBS (Sheet 3 of 3)</t>
  </si>
  <si>
    <t>S-T2V-FD0018</t>
  </si>
  <si>
    <t>Raft-Top Reinforcement - Layer 3 - Y Direction - (Sheet 1 of 3)</t>
  </si>
  <si>
    <t>S-T2V-FD0019</t>
  </si>
  <si>
    <t>Raft-Top Reinforcement - Layer 4 - X Direction - (Sheet 2 of 3)</t>
  </si>
  <si>
    <t>S-T2V-FD0020</t>
  </si>
  <si>
    <t>Raft-Top Reinforcement - Layer 3 &amp; 4 - BBS (Sheet 3 of 3)</t>
  </si>
  <si>
    <t>S-T2V-FD0021</t>
  </si>
  <si>
    <t>Tower 2 Vertical - Raft - Section AA</t>
  </si>
  <si>
    <t>S-T2V-FD0022</t>
  </si>
  <si>
    <t>Tower 2 Vertical - Raft - Section BB</t>
  </si>
  <si>
    <t>S-T2V-FD0023</t>
  </si>
  <si>
    <t>T2V-RAFT PLAN SHOWING THERMOCOUPLE LOCATIONS</t>
  </si>
  <si>
    <t>S-T2V-FD0024</t>
  </si>
  <si>
    <t>Foundations for columns between T3V &amp; T2V resting on T2V raft</t>
  </si>
  <si>
    <t>S-T2V-FD0025</t>
  </si>
  <si>
    <t>RAFT - STRENGTHENING DETAILS</t>
  </si>
  <si>
    <t>S-T2V-CL0001</t>
  </si>
  <si>
    <t>General Notes on Columns</t>
  </si>
  <si>
    <t>S-T2V-CL0002</t>
  </si>
  <si>
    <t>Typical Column Lapping Details</t>
  </si>
  <si>
    <t>S-T2V-CL0003</t>
  </si>
  <si>
    <t>Column 2VC1a &amp; b Pedestal Details</t>
  </si>
  <si>
    <t>S-T2V-CL0004</t>
  </si>
  <si>
    <t>Column 2VC2a &amp; b Pedestal Details</t>
  </si>
  <si>
    <t>S-T2V-CL0005</t>
  </si>
  <si>
    <t>Column 2VC3a &amp; b Pedestal Details</t>
  </si>
  <si>
    <t>S-T2V-CL0006</t>
  </si>
  <si>
    <t>Column 2VC6a &amp; b Pedestal Details</t>
  </si>
  <si>
    <t>S-T2V-CL0007</t>
  </si>
  <si>
    <t>Column 2VC11a &amp; b Pedestal Details</t>
  </si>
  <si>
    <t>S-T2V-CL0008</t>
  </si>
  <si>
    <t>Column 2VC13a &amp; b Pedestal Details</t>
  </si>
  <si>
    <t>S-T2V-CL0009</t>
  </si>
  <si>
    <t>Column 2VC1a &amp; 2VC1b Details (Sheet 1 of 2)</t>
  </si>
  <si>
    <t>S-T2V-CL0010</t>
  </si>
  <si>
    <t>Column 2VC1a &amp; 2VC1b Details (Sheet 2 of 2)</t>
  </si>
  <si>
    <t>S-T2V-CL0011</t>
  </si>
  <si>
    <t>Column 2VC2a &amp; 2VC2b Details (Sheet 1 of 2)</t>
  </si>
  <si>
    <t>S-T2V-CL0012</t>
  </si>
  <si>
    <t>Column 2VC2a &amp; 2VC2b Details (Sheet 2 of 2)</t>
  </si>
  <si>
    <t>S-T2V-CL0013</t>
  </si>
  <si>
    <t>Column 2VC3a &amp; 2VC3b Details (Sheet 1 of 2)</t>
  </si>
  <si>
    <t>S-T2V-CL0014</t>
  </si>
  <si>
    <t>Column 2VC3a &amp; 2VC3b Details (Sheet 2 of 2)</t>
  </si>
  <si>
    <t>S-T2V-CL0015</t>
  </si>
  <si>
    <t>Column 2VC4a &amp; 2VC4b Details (Sheet 1 of 2)</t>
  </si>
  <si>
    <t>S-T2V-CL0016</t>
  </si>
  <si>
    <t>Column 2VC4a &amp; 2VC4b Details (Sheet 2 of 2)</t>
  </si>
  <si>
    <t>S-T2V-CL0017</t>
  </si>
  <si>
    <t>Column 2VC5a &amp; 2VC5b Details (Sheet 1 of 2)</t>
  </si>
  <si>
    <t>S-T2V-CL0018</t>
  </si>
  <si>
    <t>Column 2VC5a &amp; 2VC5b Details (Sheet 2 of 2)</t>
  </si>
  <si>
    <t>S-T2V-CL0019</t>
  </si>
  <si>
    <t>Column 2VC6a &amp; 2VC6b Details (Sheet 1 of 2)</t>
  </si>
  <si>
    <t>S-T2V-CL0020</t>
  </si>
  <si>
    <t>Column 2VC6a &amp; 2VC6b Details (Sheet 2 of 2)</t>
  </si>
  <si>
    <t>S-T2V-CL0021</t>
  </si>
  <si>
    <t>Column 2VC7a &amp; 2VC7b Details (Sheet 1 of 2)</t>
  </si>
  <si>
    <t>S-T2V-CL0022</t>
  </si>
  <si>
    <t>Column 2VC7a &amp; 2VC7b Details (Sheet 2 of 2)</t>
  </si>
  <si>
    <t>S-T2V-CL0023</t>
  </si>
  <si>
    <t>Column 2VC8a &amp; 2VC8b Details (Sheet 1 of 2)</t>
  </si>
  <si>
    <t>S-T2V-CL0024</t>
  </si>
  <si>
    <t>Column 2VC8a &amp; 2VC8b Details (Sheet 2 of 2)</t>
  </si>
  <si>
    <t>S-T2V-CL0025</t>
  </si>
  <si>
    <t>Column 2VC9a &amp; 2VC9b Details (Sheet 1 of 2)</t>
  </si>
  <si>
    <t>S-T2V-CL0026</t>
  </si>
  <si>
    <t>Column 2VC9a &amp; 2VC9b Details (Sheet 2 of 2)</t>
  </si>
  <si>
    <t>S-T2V-CL0027</t>
  </si>
  <si>
    <t>Column 2VC10a &amp; 2VC10b Details (Sheet 1 of 2)</t>
  </si>
  <si>
    <t>S-T2V-CL0028</t>
  </si>
  <si>
    <t>Column 2VC10a &amp; 2VC10b Details (Sheet 2 of 2)</t>
  </si>
  <si>
    <t>S-T2V-CL0029</t>
  </si>
  <si>
    <t>Column 2VC11a &amp; 2VC11b Detail(Sheet 1 of 3)</t>
  </si>
  <si>
    <t>S-T2V-CL0030</t>
  </si>
  <si>
    <t>Column 2VC11a &amp; 2VC11b Detail(Sheet 2 of 3)</t>
  </si>
  <si>
    <t>S-T2V-CL0031</t>
  </si>
  <si>
    <t>Column 2VC12ab Details (Sheet 1 of 2)</t>
  </si>
  <si>
    <t>S-T2V-CL0032</t>
  </si>
  <si>
    <t>Column 2VC12ab Details (Sheet 2 of 2)</t>
  </si>
  <si>
    <t>S-T2V-CL0033</t>
  </si>
  <si>
    <t>Column 2VC13a &amp; 2VC13b Details (Sheet 1 of 2)</t>
  </si>
  <si>
    <t>S-T2V-CL0034</t>
  </si>
  <si>
    <t>Column 2VC13a &amp; 2VC13b Details (Sheet 2 of 2)</t>
  </si>
  <si>
    <t>S-T2V-CL0035</t>
  </si>
  <si>
    <t>Column 2VC14a &amp; 2VC14b Details (Sheet 1 of 2)</t>
  </si>
  <si>
    <t>S-T2V-CL0036</t>
  </si>
  <si>
    <t>Column 2VC14a &amp; 2VC14b Details (Sheet 2 of 2)</t>
  </si>
  <si>
    <t>S-T2V-CL0037</t>
  </si>
  <si>
    <t>Column 2VLC1 Details (Sheet 1 of 4)</t>
  </si>
  <si>
    <t>S-T2V-CL0038</t>
  </si>
  <si>
    <t>Column 2VLC1 Details (Sheet 2 of 4)</t>
  </si>
  <si>
    <t>S-T2V-CL0039</t>
  </si>
  <si>
    <t>Column 2VLC1 Details (Sheet 3 of 4)</t>
  </si>
  <si>
    <t>S-T2V-CL0040</t>
  </si>
  <si>
    <t>Column 2VLC1 Details (Sheet 4 of 4)</t>
  </si>
  <si>
    <t>S-T2V-CL0041</t>
  </si>
  <si>
    <t>Column 2VLC2 Details (Sheet 1 of 3)</t>
  </si>
  <si>
    <t>S-T2V-CL0042</t>
  </si>
  <si>
    <t>Column 2VLC2 Details (Sheet 2 of 3)</t>
  </si>
  <si>
    <t>S-T2V-CL0043</t>
  </si>
  <si>
    <t>Column 2VLC2 Details (Sheet 3 of 3)</t>
  </si>
  <si>
    <t>S-T2V-CL0044</t>
  </si>
  <si>
    <t>Column 2VC11a &amp; 2VC11b Detail(Sheet 3 of 3)</t>
  </si>
  <si>
    <t>S-T2V-CL0045</t>
  </si>
  <si>
    <t>Column 2VW1a &amp; 2VW1b Detail(Sheet 1 of 3)</t>
  </si>
  <si>
    <t>S-T2V-CL0046</t>
  </si>
  <si>
    <t>Column 2VW1a &amp; 2VW1b Detail(Sheet 2 of 3)</t>
  </si>
  <si>
    <t>S-T2V-CL0047</t>
  </si>
  <si>
    <t>Column 2VW2a &amp; 2VW2b Detail(Sheet 1 of 3)</t>
  </si>
  <si>
    <t>S-T2V-CL0048</t>
  </si>
  <si>
    <t>Column 2VW2a &amp; 2VW2b Detail(Sheet 2 of 3)</t>
  </si>
  <si>
    <t>S-T2V-CL0049</t>
  </si>
  <si>
    <t>Column 2VLC1  Detail(Sheet 5)</t>
  </si>
  <si>
    <t>S-T2V-CL0050</t>
  </si>
  <si>
    <t>Column 2VLC1  Detail(Sheet 6)</t>
  </si>
  <si>
    <t>S-T2V-CL0051</t>
  </si>
  <si>
    <t>Column 2VLC2 DETAIL (SHEET 4)</t>
  </si>
  <si>
    <t>S-T2V-CL0052</t>
  </si>
  <si>
    <t>ELEVATION &amp; BAR LAPPING DETAIL OF LIFT CORE LC1</t>
  </si>
  <si>
    <t>S-T2V-CL0053</t>
  </si>
  <si>
    <t>Column 2VW1a&amp;2VW1b Detail(Sheet 3 of 3)</t>
  </si>
  <si>
    <t>S-T2V-CL0054</t>
  </si>
  <si>
    <t>Column 2VW2a&amp;2VW2b Detail(Sheet 3 of 3)</t>
  </si>
  <si>
    <t>S-T2V-CL0055</t>
  </si>
  <si>
    <t>Column 2VLC1  Detail(Sheet 7)</t>
  </si>
  <si>
    <t>S-T2V-CL0056</t>
  </si>
  <si>
    <t>Column 2VLC2 Detail(Sheet 5)</t>
  </si>
  <si>
    <t>S-T2V-CL0057</t>
  </si>
  <si>
    <t>Column 2VLC1 Detail (Sheet 8)</t>
  </si>
  <si>
    <t>S-T2V-CL0058</t>
  </si>
  <si>
    <t>Column 2VLC2 Detail(Sheet 6)</t>
  </si>
  <si>
    <t>S-T2V-CL0059</t>
  </si>
  <si>
    <t>Column 2VC24, 25, 26,27,28,29, 30,31,32 &amp; 33 DETAIL</t>
  </si>
  <si>
    <t>S-T2V-CL0060</t>
  </si>
  <si>
    <t>TYPICAL COLUMN STRENGTHENING DETAILS</t>
  </si>
  <si>
    <t>S-T2V-CL0061</t>
  </si>
  <si>
    <t>SCHEDULE OF COLUMN STRENGTHENING DETAILS</t>
  </si>
  <si>
    <t>S-T2V-CL0062</t>
  </si>
  <si>
    <t>STRENGTHENING BY COMBINING COLUMNS</t>
  </si>
  <si>
    <t>S-T2V-CL0063</t>
  </si>
  <si>
    <t>DETAIL SHOWING JACKETING AS PER ARCHITECTURAL REQUIREMENTS</t>
  </si>
  <si>
    <t>S-T2V-FP0101</t>
  </si>
  <si>
    <t>S-T2V-SE0101</t>
  </si>
  <si>
    <t>SSL1-SECTIONS (SHEET 1)</t>
  </si>
  <si>
    <t>S-T2V-ST0101</t>
  </si>
  <si>
    <t>Tower 2 Vertical - Main Staircase details - Sheet 1</t>
  </si>
  <si>
    <t>S-T2V-ST0102</t>
  </si>
  <si>
    <t>Tower 2 Vertical - Main Staircase details - Sheet 2</t>
  </si>
  <si>
    <t>S-T2V-ST0103</t>
  </si>
  <si>
    <t>Tower 2 Vertical - Main Staircase details - Sheet 3</t>
  </si>
  <si>
    <t>S-T2V-ST0104</t>
  </si>
  <si>
    <t>Tower 2 Vertical - Main Staircase details - Sheet 4</t>
  </si>
  <si>
    <t>S-T2V-ST0105</t>
  </si>
  <si>
    <t>Tower 2 Vertical - Main Staircase details - Sheet 5</t>
  </si>
  <si>
    <t>S-T2V-ST0106</t>
  </si>
  <si>
    <t>Tower 2 Vertical - Main Staircase details - Sheet 6</t>
  </si>
  <si>
    <t>S-T2V-ST0107</t>
  </si>
  <si>
    <t>Tower 2 Vertical - Main Staircase details - Sheet 7</t>
  </si>
  <si>
    <t>S-T2V-ST0108</t>
  </si>
  <si>
    <t>Tower 2 Vertical - Main Staircase details - Sheet 8</t>
  </si>
  <si>
    <t>S-T2V-ST0109</t>
  </si>
  <si>
    <t>Tower 2 Vertical - Main Staircase details - Sheet 9</t>
  </si>
  <si>
    <t>S-T2V-ST0110</t>
  </si>
  <si>
    <t>Tower 2 Vertical - Main Staircase details - Sheet 10</t>
  </si>
  <si>
    <t>S-T2V-ST0111</t>
  </si>
  <si>
    <t>Tower 2 Vertical - Main Staircase details - Sheet 11</t>
  </si>
  <si>
    <t>S-T2V-ST0112</t>
  </si>
  <si>
    <t>Tower 2 Vertical - Main Staircase details - Sheet 12</t>
  </si>
  <si>
    <t>S-T2V-ST0113</t>
  </si>
  <si>
    <t>INTERNAL STAIRCASE DETAILS</t>
  </si>
  <si>
    <t>S-T2V-ST0114</t>
  </si>
  <si>
    <t>TYP. STAIRCASE FLIGHT EXTENSION DETAILS</t>
  </si>
  <si>
    <t>S-T2V-MS0004</t>
  </si>
  <si>
    <t>METAL STAIRCASE DETAILS</t>
  </si>
  <si>
    <t>S-T2V-FP0201</t>
  </si>
  <si>
    <t>Framing Plan at SSL 02</t>
  </si>
  <si>
    <t>ST-T2V-2</t>
  </si>
  <si>
    <t>S-T2V-SBGN01</t>
  </si>
  <si>
    <t>General Notes - Slabs</t>
  </si>
  <si>
    <t>S-T2V-SB0102</t>
  </si>
  <si>
    <t>Plan showing Bottom Reinforcement of 1st SSL</t>
  </si>
  <si>
    <t>S-T2V-SB0105</t>
  </si>
  <si>
    <t>Plan showing Top Reinforcement of 1st SSL</t>
  </si>
  <si>
    <t>S-T2V-SB0108</t>
  </si>
  <si>
    <t>Slab section details at 1st SSL</t>
  </si>
  <si>
    <t>S-T2V-SB0109</t>
  </si>
  <si>
    <t>Plan showing Slab Torsion Reinforcement for SSL 1</t>
  </si>
  <si>
    <t>S-T2V-SB3204</t>
  </si>
  <si>
    <t>PLAN SHOWING TOP REINFORCEMENT FOR WAFFLE SLAB</t>
  </si>
  <si>
    <t>S-T2V-SB3205</t>
  </si>
  <si>
    <t>SECTIONS FOR WAFFLE SLAB</t>
  </si>
  <si>
    <t>S-T2V-SB3206</t>
  </si>
  <si>
    <t>TYPICAL BEAM DETAILS FOR WAFFLE SLAB</t>
  </si>
  <si>
    <t>S-T2V-SL0101</t>
  </si>
  <si>
    <t>Plan showing sleeves at SSL-01</t>
  </si>
  <si>
    <t>S-T2V-SL0102</t>
  </si>
  <si>
    <t>Sleeve details for SSL-01</t>
  </si>
  <si>
    <t>S-T2V-BM1072</t>
  </si>
  <si>
    <t>Anchoring Details for RC Upstands on Beams</t>
  </si>
  <si>
    <t>ST-T2V-4</t>
  </si>
  <si>
    <t>S-T2V-FP0401</t>
  </si>
  <si>
    <t>Framing Plan at SSL 04 &amp; 06</t>
  </si>
  <si>
    <t>ST-T2V-5</t>
  </si>
  <si>
    <t>S-T2V-FP0601</t>
  </si>
  <si>
    <t>Framing Plan at SSL 06</t>
  </si>
  <si>
    <t>S-T2V-FP0602</t>
  </si>
  <si>
    <t>Section of Framing Plan at SSL 06</t>
  </si>
  <si>
    <t>S-T2V-FP0801</t>
  </si>
  <si>
    <t>Framing Plan at SSL 08</t>
  </si>
  <si>
    <t>S-T2V-FP0802</t>
  </si>
  <si>
    <t>Sections of Framing Plan at SSL08</t>
  </si>
  <si>
    <t>S-T2V-FP0903</t>
  </si>
  <si>
    <t>Sections of Framing Plan at SSL09(Sheet 02)</t>
  </si>
  <si>
    <t>S-T2V-FP1001</t>
  </si>
  <si>
    <t>Framing Plan at SSL 10, 12, 14,16,18,20,22,24&amp;26</t>
  </si>
  <si>
    <t>S-T2V-FP1002</t>
  </si>
  <si>
    <t>Sections of Framing Plan at SSL 10, 12, 14,16,18,20,22,24&amp;26</t>
  </si>
  <si>
    <t>S-T2V-FP1101</t>
  </si>
  <si>
    <t>Framing Plan at SSL 11,13,15,17,19,21,23,25&amp;27</t>
  </si>
  <si>
    <t>S-T2V-FP1102</t>
  </si>
  <si>
    <t>Sections of Framing Plan at SSL 11,13,15,17,19,21,23,25&amp;27</t>
  </si>
  <si>
    <t>S-T2V-SE0202</t>
  </si>
  <si>
    <t>Sections for SSL 2 to SSL 13 (Sheet 2)</t>
  </si>
  <si>
    <t>S-T2V-SE0204</t>
  </si>
  <si>
    <t>Sections for SSL 2 to SSL 13 (Sheet 4)</t>
  </si>
  <si>
    <t>S-T2V-FP1601</t>
  </si>
  <si>
    <t>Framing Plan at SSL 16,18,20,22,24 &amp; 26</t>
  </si>
  <si>
    <t>S-T2V-FP3201</t>
  </si>
  <si>
    <t>FRAMING PLAN AT SSL32</t>
  </si>
  <si>
    <t>S-T2V-BM0103</t>
  </si>
  <si>
    <t>Beam 1B-02 ab Reinforcement Detail</t>
  </si>
  <si>
    <t>S-T2V-BM0105</t>
  </si>
  <si>
    <t xml:space="preserve">Beam 1B-04 ab Reinforcement Details </t>
  </si>
  <si>
    <t>S-T2V-BM0107</t>
  </si>
  <si>
    <t xml:space="preserve">Beam 1B-06 a &amp; b Reinforcement Details </t>
  </si>
  <si>
    <t>S-T2V-BM0109</t>
  </si>
  <si>
    <t>Beam 1B-08 a &amp; b Reinforcement Detail</t>
  </si>
  <si>
    <t>S-T2V-BM0111</t>
  </si>
  <si>
    <t>Beam 1B-10a &amp; b Reinforcement Detail</t>
  </si>
  <si>
    <t>S-T2V-BM0113</t>
  </si>
  <si>
    <t>Beam 1B-12  Reinforcement Detail</t>
  </si>
  <si>
    <t>S-T2V-BM0114</t>
  </si>
  <si>
    <t>Beam 1B-13a&amp;b &amp; 1B-52 Reinforcement Detail</t>
  </si>
  <si>
    <t>S-T2V-BM0115</t>
  </si>
  <si>
    <t xml:space="preserve">Beam 1B-14a&amp;b Reinforcement Details  </t>
  </si>
  <si>
    <t>S-T2V-BM0117</t>
  </si>
  <si>
    <t xml:space="preserve">Beam 1B-16a&amp; b Reinforcement Details  </t>
  </si>
  <si>
    <t>S-T2V-BM0118</t>
  </si>
  <si>
    <t xml:space="preserve">Beam 1B-18a&amp; b Reinforcement Details  </t>
  </si>
  <si>
    <t>S-T2V-BM0120</t>
  </si>
  <si>
    <t xml:space="preserve">Beam 1B-20a &amp; b Reinforcement Details </t>
  </si>
  <si>
    <t>S-T2V-BM0122</t>
  </si>
  <si>
    <t xml:space="preserve">Beam 1B-22ab Reinforcement Details </t>
  </si>
  <si>
    <t>S-T2V-BM0123</t>
  </si>
  <si>
    <t xml:space="preserve">Beam 1B-24a &amp; b Reinforcement Details </t>
  </si>
  <si>
    <t>S-T2V-BM0126</t>
  </si>
  <si>
    <t xml:space="preserve">Beam 1B-48,49&amp;50 Reinforcement Details </t>
  </si>
  <si>
    <t>S-T2V-BM0127</t>
  </si>
  <si>
    <t>Beam 1B-26a &amp; 1B-26b Reinforcement Detail</t>
  </si>
  <si>
    <t>S-T2V-BM0129</t>
  </si>
  <si>
    <t>Beam 1B-28 a &amp; b Reinforcement Detail</t>
  </si>
  <si>
    <t>S-T2V-BM0130</t>
  </si>
  <si>
    <t>Beam 1B-29a Reinforcement Detail (Sheet 1 of 2)</t>
  </si>
  <si>
    <t>S-T2V-BM0131</t>
  </si>
  <si>
    <t>Beam 1B-29a Reinforcement Detail (Sheet 2 of 2)</t>
  </si>
  <si>
    <t>S-T2V-BM0134</t>
  </si>
  <si>
    <t>Beam 1B-31ab Reinforcement Detail (Sheet 1 of 2)</t>
  </si>
  <si>
    <t>S-T2V-BM0135</t>
  </si>
  <si>
    <t>Beam 1B-31ab Reinforcement Detail (Sheet 2 of 2)</t>
  </si>
  <si>
    <t>S-T2V-BM0136</t>
  </si>
  <si>
    <t>Beam 1B-32a Reinforcement Detail</t>
  </si>
  <si>
    <t>S-T2V-BM0137</t>
  </si>
  <si>
    <t>Beam 1B-32b Reinforcement Detail</t>
  </si>
  <si>
    <t>S-T2V-BM0138</t>
  </si>
  <si>
    <t>Beam 1B-34ab Reinforcement Detail  (Sheet 1 of 2)</t>
  </si>
  <si>
    <t>S-T2V-BM0139</t>
  </si>
  <si>
    <t>Beam 1B-34ab Reinforcement Detail  (Sheet 2 of 2)</t>
  </si>
  <si>
    <t>S-T2V-BM0140</t>
  </si>
  <si>
    <t>Beam 1B-36a&amp;b Reinforcement Detail</t>
  </si>
  <si>
    <t>S-T2V-BM0141</t>
  </si>
  <si>
    <t>Beam 1B-37a&amp;b, 1B-46a&amp;b Reinforcement Detail</t>
  </si>
  <si>
    <t>S-T2V-BM0142</t>
  </si>
  <si>
    <t>Beam 1B-38 a Reinforcement Detail</t>
  </si>
  <si>
    <t>S-T2V-BM0143</t>
  </si>
  <si>
    <t>Beam 1B-38 b Reinforcement Detail</t>
  </si>
  <si>
    <t>S-T2V-BM0146</t>
  </si>
  <si>
    <t>Beam 1B-40 a&amp;b Reinforcement Detail</t>
  </si>
  <si>
    <t>S-T2V-BM0148</t>
  </si>
  <si>
    <t xml:space="preserve">Beam 1B-42a  Reinforcement Detail </t>
  </si>
  <si>
    <t>S-T2V-BM0149</t>
  </si>
  <si>
    <t xml:space="preserve">Beam 1B-42b  Reinforcement Detail </t>
  </si>
  <si>
    <t>S-T2V-BM0152</t>
  </si>
  <si>
    <t xml:space="preserve">Beam 1B-44a  Reinforcement Detail </t>
  </si>
  <si>
    <t>S-T2V-BM0153</t>
  </si>
  <si>
    <t xml:space="preserve">Beam 1B-44b  Reinforcement Detail </t>
  </si>
  <si>
    <t>S-T2V-BM0155</t>
  </si>
  <si>
    <t xml:space="preserve">Beam 1B-46a&amp;b  Reinforcement Detail </t>
  </si>
  <si>
    <t>S-T2V-BM0157</t>
  </si>
  <si>
    <t xml:space="preserve">Beam 1B-54a&amp;b &amp; 56a&amp;b Reinforcement Detail </t>
  </si>
  <si>
    <t>S-T2V-BM0158</t>
  </si>
  <si>
    <t xml:space="preserve">Beam 1B-55a &amp; 1B-55b &amp; 1B-58a&amp;b  Reinforcement Detail </t>
  </si>
  <si>
    <t>S-T2V-BM0204</t>
  </si>
  <si>
    <t>BEAM B-04a&amp;b REINFORCEMENT DETAIL(SSL02 TO SSL09) (Sheet 1 of 2)</t>
  </si>
  <si>
    <t>S-T2V-BM0205</t>
  </si>
  <si>
    <t>BEAM B-04a&amp;b REINFORCEMENT DETAIL(SSL02 TO SSL09) (Sheet 2 of 2)</t>
  </si>
  <si>
    <t>S-T2V-BM0208</t>
  </si>
  <si>
    <t>BEAM B-07a&amp;b REINFORCEMENT DETAIL(SSL02 TO SSL09)(SHEET 1 OF 2)</t>
  </si>
  <si>
    <t>S-T2V-BM0209</t>
  </si>
  <si>
    <t>BEAM B-07a&amp;b REINFORCEMENT DETAIL(SSL02 TO SSL09)(SHEET 2 OF 2)</t>
  </si>
  <si>
    <t>S-T2V-BM0212</t>
  </si>
  <si>
    <t>BEAM B-10a&amp;b REINFORCEMENT DETAIL(SSL02 TO SSL09)(SHEET 1 OF 2)</t>
  </si>
  <si>
    <t>S-T2V-BM0213</t>
  </si>
  <si>
    <t>BEAM B-10a&amp;b REINFORCEMENT DETAIL(SSL02 TO SSL09)(SHEET 2 OF 2)</t>
  </si>
  <si>
    <t>S-T2V-BM0214</t>
  </si>
  <si>
    <t>BEAM B-11 REINFORCEMENT DETAIL(SSL02 TO SSL09)(SHEET 1 OF 2)</t>
  </si>
  <si>
    <t>S-T2V-BM0215</t>
  </si>
  <si>
    <t>BEAM B-11 REINFORCEMENT DETAIL(SSL02 TO SSL09)(SHEET 2 OF 2)</t>
  </si>
  <si>
    <t>S-T2V-BM0216</t>
  </si>
  <si>
    <t>BEAM B-12 REINFORCEMENT DETAIL(SSL02 TO SSL09)(SHEET 1 OF 2)</t>
  </si>
  <si>
    <t>S-T2V-BM0217</t>
  </si>
  <si>
    <t>BEAM B-12 REINFORCEMENT DETAIL(SSL02 TO SSL09)(SHEET 2 OF 2)</t>
  </si>
  <si>
    <t>S-T2V-BM0220</t>
  </si>
  <si>
    <t>BEAM B-16a&amp;b REINFORCEMENT DETAIL(SSL02 TO SSL09)(SHEET 1 OF 2)</t>
  </si>
  <si>
    <t>S-T2V-BM0221</t>
  </si>
  <si>
    <t>BEAM B-16a&amp;b REINFORCEMENT DETAIL(SSL02 TO SSL09)(SHEET 2 OF 2)</t>
  </si>
  <si>
    <t>S-T2V-BM0223</t>
  </si>
  <si>
    <t>BEAM B-18a&amp;b REINFORCEMENT DETAIL(SSL02 TO SSL09)(SHEET 1 OF 2)</t>
  </si>
  <si>
    <t>S-T2V-BM0224</t>
  </si>
  <si>
    <t>BEAM B-18a&amp;b REINFORCEMENT DETAIL(SSL02 TO SSL09)(SHEET 2 OF 2)</t>
  </si>
  <si>
    <t>S-T2V-BM0246</t>
  </si>
  <si>
    <t>BEAM B47 REINFORCEMENT DETAIL(SHEET 1 OF 2)(SSL2,4,6 &amp; 8)</t>
  </si>
  <si>
    <t>S-T2V-BM0247</t>
  </si>
  <si>
    <t>BEAM B47 REINFORCEMENT DETAIL(SHEET 2 OF 2)(SSL2,4,6 &amp; 8)</t>
  </si>
  <si>
    <t>S-T2V-BM0256</t>
  </si>
  <si>
    <t>BEAM B51 REINFORCEMENT DETAIL(SSL02)</t>
  </si>
  <si>
    <t>S-T2V-BM0260</t>
  </si>
  <si>
    <t>BEAM B51 REINFORCEMENT DETAIL(SHEET 1 OF 2)(SSL4 &amp; 6)</t>
  </si>
  <si>
    <t>S-T2V-BM0261</t>
  </si>
  <si>
    <t>BEAM B51 REINFORCEMENT DETAIL(SHEET 2 OF 2)(SSL4 &amp; 6)</t>
  </si>
  <si>
    <t>S-T2V-BM0262</t>
  </si>
  <si>
    <t>BEAM B51 REINFORCEMENT DETAIL(SHEET 1 OF 2)(SSL8)</t>
  </si>
  <si>
    <t>S-T2V-BM0263</t>
  </si>
  <si>
    <t>BEAM B51 REINFORCEMENT DETAIL(SHEET 2 OF 2)(SSL8)</t>
  </si>
  <si>
    <t>S-T2V-BM0269</t>
  </si>
  <si>
    <t>BEAM B55 &amp; B56 REINFORCEMENT DETAIL(SHEET 1 OF 2)(SSL 2, 3, 4 &amp; 6)</t>
  </si>
  <si>
    <t>S-T2V-BM0501</t>
  </si>
  <si>
    <t>Beam B11 Reinforcement Detail(Sheet 1 of 2)</t>
  </si>
  <si>
    <t>S-T2V-BM0502</t>
  </si>
  <si>
    <t>Beam B11 Reinforcement Detail(Sheet 2 of 2)</t>
  </si>
  <si>
    <t>S-T2V-BM0504</t>
  </si>
  <si>
    <t>Beam B62 &amp; B76 Reinforcement Detail</t>
  </si>
  <si>
    <t>S-T2V-BM0507</t>
  </si>
  <si>
    <t>Beam B78 Reinforcement Detail</t>
  </si>
  <si>
    <t>S-T2V-BM0508</t>
  </si>
  <si>
    <t>Beam B44, 61,59 &amp; 42 a&amp;b Reinforcement Detail</t>
  </si>
  <si>
    <t>S-T2V-BM0601</t>
  </si>
  <si>
    <t>BEAM B40 REINFORCEMENT DETAIL(SSL 06)</t>
  </si>
  <si>
    <t>S-T2V-BM0602</t>
  </si>
  <si>
    <t>BEAM B41 &amp;B42 REINFORCEMENT DETAIL(SSL 06)</t>
  </si>
  <si>
    <t>S-T2V-BM0603</t>
  </si>
  <si>
    <t>BEAM B43 REINFORCEMENT DETAIL(SSL 06)</t>
  </si>
  <si>
    <t>S-T2V-BM0604</t>
  </si>
  <si>
    <t>BEAM B44 REINFORCEMENT DETAIL(SSL 06)</t>
  </si>
  <si>
    <t>S-T2V-BM0605</t>
  </si>
  <si>
    <t>BEAM B45 &amp; B46 REINFORCEMENT DETAIL(SSL 06)</t>
  </si>
  <si>
    <t>S-T2V-BM0606</t>
  </si>
  <si>
    <t>BEAM B48 AND B49 REINFORCEMENT DETAIL(SSL 06)</t>
  </si>
  <si>
    <t>S-T2V-BM0607</t>
  </si>
  <si>
    <t>BEAM B50,B51 AND B52 REINFORCEMENT DETAIL(SSL 06,07,08)</t>
  </si>
  <si>
    <t>S-T2V-BM0608</t>
  </si>
  <si>
    <t>BEAM B53 REINFORCEMENT DETAIL(SSL 06)</t>
  </si>
  <si>
    <t>S-T2V-BM0609</t>
  </si>
  <si>
    <t>BEAM B54 &amp;B57 REINFORCEMENT DETAIL(SSL 06)</t>
  </si>
  <si>
    <t>S-T2V-BM0610</t>
  </si>
  <si>
    <t>BEAM B55 &amp;B56 REINFORCEMENT DETAIL(SSL 06)</t>
  </si>
  <si>
    <t>S-T2V-BM0611</t>
  </si>
  <si>
    <t>BEAM B58 REINFORCEMENT DETAIL(SHEET 1 OF 2)(SSL 06)</t>
  </si>
  <si>
    <t>S-T2V-BM0612</t>
  </si>
  <si>
    <t>BEAM B58 REINFORCEMENT DETAIL(SHEET 2OF 2)(SSL 06)</t>
  </si>
  <si>
    <t>S-T2V-BM0615</t>
  </si>
  <si>
    <t>BEAM B58 REINFORCEMENT DETAIL(SHEET 1 OF 2)(SSL 08)</t>
  </si>
  <si>
    <t>S-T2V-BM0616</t>
  </si>
  <si>
    <t>BEAM B58 REINFORCEMENT DETAIL(SHEET 2OF 2)(SSL 08)</t>
  </si>
  <si>
    <t>S-T2V-BM0617</t>
  </si>
  <si>
    <t>BEAM B59 ,B60 AND B64 REINFORCEMENT DETAIL(SSL 06)</t>
  </si>
  <si>
    <t>S-T2V-BM0618</t>
  </si>
  <si>
    <t>BEAM B61 REINFORCEMENT DETAIL(SSL 06)</t>
  </si>
  <si>
    <t>S-T2V-BM0619</t>
  </si>
  <si>
    <t>BEAM B62 REINFORCEMENT DETAIL(SSL 06)</t>
  </si>
  <si>
    <t>S-T2V-BM0621</t>
  </si>
  <si>
    <t>BEAM B63 REINFORCEMENT DETAIL(SSL 06)</t>
  </si>
  <si>
    <t>S-T2V-BM0622</t>
  </si>
  <si>
    <t>BEAM B65 REINFORCEMENT DETAIL(SSL 06)</t>
  </si>
  <si>
    <t>S-T2V-BM0624</t>
  </si>
  <si>
    <t>BEAM B66 REINFORCEMENT DETAIL(SSL 06)</t>
  </si>
  <si>
    <t>S-T2V-BM0625</t>
  </si>
  <si>
    <t>BEAM B67 &amp;B68 REINFORCEMENT DETAIL(SSL 06,07,08)(SHEET 1 OF 2)</t>
  </si>
  <si>
    <t>S-T2V-BM0626</t>
  </si>
  <si>
    <t>BEAM B69 &amp; B70 REINFORCEMENT DETAIL(SSL 06)</t>
  </si>
  <si>
    <t>S-T2V-BM0627</t>
  </si>
  <si>
    <t>BEAM B71 REINFORCEMENT DETAIL(SSL 06,07,08)</t>
  </si>
  <si>
    <t>S-T2V-BM0628</t>
  </si>
  <si>
    <t>BEAM B11 REINFORCEMENT DETAIL(SHEET 1 OF 2)(SSL 06,07&amp;08)</t>
  </si>
  <si>
    <t>S-T2V-BM0629</t>
  </si>
  <si>
    <t>BEAM B11 REINFORCEMENT DETAIL(SHEET 2OF 2)(SSL 06,07&amp;08)</t>
  </si>
  <si>
    <t>S-T2V-BM0630</t>
  </si>
  <si>
    <t>BEAM B67 &amp;B68 REINFORCEMENT DETAIL(SSL 06,07,08)(SHEET 2 OF 2)</t>
  </si>
  <si>
    <t>S-T2V-BM0631</t>
  </si>
  <si>
    <t>BEAM B47 REINFORCEMENT DETAIL(SHEET 1 OF 2)(SSL 06)</t>
  </si>
  <si>
    <t>S-T2V-BM0632</t>
  </si>
  <si>
    <t>BEAM B47 REINFORCEMENT DETAIL(SHEET 2 OF 2)(SSL 06)</t>
  </si>
  <si>
    <t>S-T2V-BM0633</t>
  </si>
  <si>
    <t>BEAM B51 REINFORCEMENT DETAIL(SHEET 1 OF 2)(SSL 06)</t>
  </si>
  <si>
    <t>S-T2V-BM0634</t>
  </si>
  <si>
    <t>BEAM B51 REINFORCEMENT DETAIL(SHEET 2 OF 2)(SSL 06)</t>
  </si>
  <si>
    <t>S-T2V-BM0701</t>
  </si>
  <si>
    <t>BEAM B40 REINFORCEMENT DETAIL(SSL 07&amp;08)</t>
  </si>
  <si>
    <t>S-T2V-BM0702</t>
  </si>
  <si>
    <t>BEAM B41 &amp;B42 REINFORCEMENT DETAIL(SSL 07&amp;08)</t>
  </si>
  <si>
    <t>S-T2V-BM0703</t>
  </si>
  <si>
    <t>BEAM B43 REINFORCEMENT DETAIL(SSL 07&amp;08)</t>
  </si>
  <si>
    <t>S-T2V-BM0704</t>
  </si>
  <si>
    <t>BEAM B44 REINFORCEMENT DETAIL(SSL 07&amp;08)</t>
  </si>
  <si>
    <t>S-T2V-BM0705</t>
  </si>
  <si>
    <t>BEAM B45 &amp; B46 REINFORCEMENT DETAIL(SSL 07&amp;08)</t>
  </si>
  <si>
    <t>S-T2V-BM0706</t>
  </si>
  <si>
    <t>BEAM B47 REINFORCEMENT DETAIL(SSL 07&amp;08)</t>
  </si>
  <si>
    <t>S-T2V-BM0707</t>
  </si>
  <si>
    <t>BEAM B48 AND B49 REINFORCEMENT DETAIL(SSL 07&amp;08)</t>
  </si>
  <si>
    <t>S-T2V-BM0708</t>
  </si>
  <si>
    <t>BEAM B50 AND B52 REINFORCEMENT DETAIL(SSL 07&amp;08)</t>
  </si>
  <si>
    <t>S-T2V-BM0710</t>
  </si>
  <si>
    <t>BEAM B51 REINFORCEMENT DETAIL(SSL 08)</t>
  </si>
  <si>
    <t>S-T2V-BM0711</t>
  </si>
  <si>
    <t>BEAM B53 REINFORCEMENT DETAIL(SSL 07&amp;08)</t>
  </si>
  <si>
    <t>S-T2V-BM0712</t>
  </si>
  <si>
    <t>BEAM B54 REINFORCEMENT DETAIL(SSL 07&amp;08)</t>
  </si>
  <si>
    <t>S-T2V-BM0713</t>
  </si>
  <si>
    <t>BEAM B55 &amp; B56 REINFORCEMENT DETAIL(SSL 07&amp;08)</t>
  </si>
  <si>
    <t>S-T2V-BM0714</t>
  </si>
  <si>
    <t>BEAM B57 REINFORCEMENT DETAIL(SSL 07&amp;08)</t>
  </si>
  <si>
    <t>S-T2V-BM0715</t>
  </si>
  <si>
    <t>BEAM B58 REINFORCEMENT DETAIL(SSL 07&amp;08)</t>
  </si>
  <si>
    <t>S-T2V-BM0716</t>
  </si>
  <si>
    <t>BEAM B59 ,B60 REINFORCEMENT DETAIL(SSL 07&amp;08)</t>
  </si>
  <si>
    <t>S-T2V-BM0717</t>
  </si>
  <si>
    <t>BEAM B61 REINFORCEMENT DETAIL(SSL 07&amp;08)</t>
  </si>
  <si>
    <t>S-T2V-BM0718</t>
  </si>
  <si>
    <t>BEAM B62 REINFORCEMENT DETAIL(SSL 07&amp;08)</t>
  </si>
  <si>
    <t>S-T2V-BM0719</t>
  </si>
  <si>
    <t>BEAM B63 &amp; B64 REINFORCEMENT DETAIL(SSL 07&amp;08)</t>
  </si>
  <si>
    <t>S-T2V-BM0720</t>
  </si>
  <si>
    <t>BEAM B65 REINFORCEMENT DETAIL(SSL 07&amp;08)</t>
  </si>
  <si>
    <t>S-T2V-BM0721</t>
  </si>
  <si>
    <t>BEAM B66 REINFORCEMENT DETAIL(SSL 07&amp;08)</t>
  </si>
  <si>
    <t>S-T2V-BM0722</t>
  </si>
  <si>
    <t>BEAM B67 REINFORCEMENT DETAIL(SSL 07&amp;08)</t>
  </si>
  <si>
    <t>S-T2V-BM0724</t>
  </si>
  <si>
    <t>BEAM B69 REINFORCEMENT DETAIL(SSL 07&amp;08)</t>
  </si>
  <si>
    <t>S-T2V-BM0725</t>
  </si>
  <si>
    <t>BEAM B70 REINFORCEMENT DETAIL(SSL 07&amp;08)</t>
  </si>
  <si>
    <t>S-T2V-BM0726</t>
  </si>
  <si>
    <t>BEAM B71 &amp; B72 REINFORCEMENT DETAIL(SSL 07&amp;08)</t>
  </si>
  <si>
    <t>S-T2V-BM0727</t>
  </si>
  <si>
    <t>BEAM B73 REINFORCEMENT DETAIL(SSL 07&amp;08)</t>
  </si>
  <si>
    <t>S-T2V-BM0728</t>
  </si>
  <si>
    <t>BEAM B74 REINFORCEMENT DETAIL(SSL 07&amp;08)</t>
  </si>
  <si>
    <t>S-T2V-BM0909</t>
  </si>
  <si>
    <t>BEAM B51 REINFORCEMENT DETAIL(SSL 09)(Sheet 1 of 2)</t>
  </si>
  <si>
    <t>S-T2V-BM0910</t>
  </si>
  <si>
    <t>BEAM B51 REINFORCEMENT DETAIL(SSL 09)(Sheet 2 of 2)</t>
  </si>
  <si>
    <t>S-T2V-BM1004</t>
  </si>
  <si>
    <t>BEAM B-04a&amp;b REINFORCEMENT DETAIL(SSL10 TO SSL19) (Sheet 1 of 2)</t>
  </si>
  <si>
    <t>S-T2V-BM1005</t>
  </si>
  <si>
    <t>BEAM B-04a&amp;b REINFORCEMENT DETAIL(SSL10 TO SSL19) (Sheet 2 of 2)</t>
  </si>
  <si>
    <t>S-T2V-BM1008</t>
  </si>
  <si>
    <t>BEAM B-07a&amp;b REINFORCEMENT DETAIL(SSL10 TO SSL19)(SHEET 1 OF 2)</t>
  </si>
  <si>
    <t>S-T2V-BM1009</t>
  </si>
  <si>
    <t>BEAM B-07a&amp;b REINFORCEMENT DETAIL(SSL10 TO SSL19)(SHEET 2 OF 2)</t>
  </si>
  <si>
    <t>S-T2V-BM1012</t>
  </si>
  <si>
    <t>BEAM B-10a&amp;b REINFORCEMENT DETAIL(SSL10 TO SSL19)(SHEET 1 OF 2)</t>
  </si>
  <si>
    <t>S-T2V-BM1013</t>
  </si>
  <si>
    <t>BEAM B-10a&amp;b REINFORCEMENT DETAIL(SSL10 TO SSL19)(SHEET 2 OF 2)</t>
  </si>
  <si>
    <t>S-T2V-BM1014</t>
  </si>
  <si>
    <t>S-T2V-BM1015</t>
  </si>
  <si>
    <t>S-T2V-BM1016</t>
  </si>
  <si>
    <t>S-T2V-BM1017</t>
  </si>
  <si>
    <t>S-T2V-BM1020</t>
  </si>
  <si>
    <t>BEAM B-16a&amp;b REINFORCEMENT DETAIL(SSL10 TO SSL19)(SHEET 1 OF 2)</t>
  </si>
  <si>
    <t>S-T2V-BM1021</t>
  </si>
  <si>
    <t>BEAM B-16a&amp;b REINFORCEMENT DETAIL(SSL10 TO SSL19)(SHEET 2 OF 2)</t>
  </si>
  <si>
    <t>S-T2V-BM1023</t>
  </si>
  <si>
    <t>BEAM B-18a&amp;b REINFORCEMENT DETAIL(SSL10 TO SSL19)(SHEET 1 OF 2)</t>
  </si>
  <si>
    <t>S-T2V-BM1024</t>
  </si>
  <si>
    <t>BEAM B-18a&amp;b REINFORCEMENT DETAIL(SSL10 TO SSL19)(SHEET 2 OF 2)</t>
  </si>
  <si>
    <t>S-T2V-BM1043</t>
  </si>
  <si>
    <t>BEAM B-47 REINFORCEMENT DETAIL (SHEET 1 OF 2) (SSL10,12,14,16,18,20,22,24 &amp; 26)</t>
  </si>
  <si>
    <t>S-T2V-BM1044</t>
  </si>
  <si>
    <t>BEAM B-47 REINFORCEMENT DETAIL (SHEET 2 OF 2) (SSL10,12,14,16,18,20,22,24 &amp; 26)</t>
  </si>
  <si>
    <t>S-T2V-BM1052</t>
  </si>
  <si>
    <t>BEAM B-51 REINFORCEMENT DETAIL (SSL10,12,14,16,18,20,22,24 &amp; 26)</t>
  </si>
  <si>
    <t>S-T2V-BM1053</t>
  </si>
  <si>
    <t>BEAM B-51 REINFORCEMENT DETAIL (SSL11,13,15,17,19,21,23,25 &amp; 27)</t>
  </si>
  <si>
    <t>S-T2V-BM1054</t>
  </si>
  <si>
    <t>BEAM B-54 REINFORCEMENT DETAIL (SSL10,11,12,14,15,16,18,19,20,22,23,24,26 &amp; 27)(SHEET 1 OF 2)</t>
  </si>
  <si>
    <t>S-T2V-BM1055</t>
  </si>
  <si>
    <t>BEAM B-54 REINFORCEMENT DETAIL (SSL13,17,21 &amp; 25)(SHEET 2 OF 2)</t>
  </si>
  <si>
    <t>S-T2V-BM1063</t>
  </si>
  <si>
    <t>BEAM B-62 REINFORCEMENT DETAIL (SSL10,12,14,16,18,20,22,24 &amp; 26)</t>
  </si>
  <si>
    <t>S-T2V-BM1064</t>
  </si>
  <si>
    <t>BEAM B-62 REINFORCEMENT DETAIL (SSL11,13,15,17,19,21,23,25 &amp; 27)</t>
  </si>
  <si>
    <t>S-T2V-BM1073</t>
  </si>
  <si>
    <t>BEAM B-62 REINFORCEMENT DETAIL (SSL16,18,20,22,24 &amp; 26)</t>
  </si>
  <si>
    <t>S-T2V-BM2004</t>
  </si>
  <si>
    <t>BEAM B-04a&amp;b REINFORCEMENT DETAIL(SSL 20 TO SSL27) (Sheet 1 of 2)</t>
  </si>
  <si>
    <t>S-T2V-BM2005</t>
  </si>
  <si>
    <t>BEAM B-04a&amp;b REINFORCEMENT DETAIL(SSL 20 TO SSL27) (Sheet 2 of 2)</t>
  </si>
  <si>
    <t>S-T2V-BM2008</t>
  </si>
  <si>
    <t>BEAM B-07a&amp;b REINFORCEMENT DETAIL(SSL 20 TO SSL27)(SHEET 1 OF 2)</t>
  </si>
  <si>
    <t>S-T2V-BM2009</t>
  </si>
  <si>
    <t>BEAM B-07a&amp;b REINFORCEMENT DETAIL(SSL 20 TO SSL27)(SHEET 2 OF 2)</t>
  </si>
  <si>
    <t>S-T2V-BM2012</t>
  </si>
  <si>
    <t>BEAM B-10a&amp;b REINFORCEMENT DETAIL(SSL 20 TO SSL27)(SHEET 1 OF 2)</t>
  </si>
  <si>
    <t>S-T2V-BM2013</t>
  </si>
  <si>
    <t>BEAM B-10a&amp;b REINFORCEMENT DETAIL(SSL 20 TO SSL27)(SHEET 2 OF 2)</t>
  </si>
  <si>
    <t>S-T2V-BM2014</t>
  </si>
  <si>
    <t>BEAM B-11 REINFORCEMENT DETAIL(SSL 20 TO SSL27)(SHEET 1 OF 2)</t>
  </si>
  <si>
    <t>S-T2V-BM2015</t>
  </si>
  <si>
    <t>BEAM B-11 REINFORCEMENT DETAIL(SSL 20 TO SSL27)(SHEET 2 OF 2)</t>
  </si>
  <si>
    <t>S-T2V-BM2016</t>
  </si>
  <si>
    <t>BEAM B-12 REINFORCEMENT DETAIL(SSL 20 TO SSL27)(SHEET 1 OF 2)</t>
  </si>
  <si>
    <t>S-T2V-BM2017</t>
  </si>
  <si>
    <t>BEAM B-12 REINFORCEMENT DETAIL(SSL 20 TO SSL27)(SHEET 2 OF 2)</t>
  </si>
  <si>
    <t>S-T2V-BM2020</t>
  </si>
  <si>
    <t>BEAM B-16a&amp;b REINFORCEMENT DETAIL(SSL 20 TO SSL27)(SHEET 1 OF 2)</t>
  </si>
  <si>
    <t>S-T2V-BM2021</t>
  </si>
  <si>
    <t>BEAM B-16a&amp;b REINFORCEMENT DETAIL(SSL 20 TO SSL27)(SHEET 2 OF 2)</t>
  </si>
  <si>
    <t>S-T2V-BM2023</t>
  </si>
  <si>
    <t>BEAM B-18a&amp;b REINFORCEMENT DETAIL(SSL 20 TO SSL27)(SHEET 1 OF 2)</t>
  </si>
  <si>
    <t>S-T2V-BM2024</t>
  </si>
  <si>
    <t>BEAM B-18a&amp;b REINFORCEMENT DETAIL(SSL 20 TO SSL27)(SHEET 2 OF 2)</t>
  </si>
  <si>
    <t>S-T2V-BM3038</t>
  </si>
  <si>
    <t>BEAM B40 REINFORCEMENT DETAIL(SSL 30)</t>
  </si>
  <si>
    <t>S-T2V-BM3039</t>
  </si>
  <si>
    <t>BEAM B-41 &amp; B-42 REINFORCEMENT DETAIL(SSL 30)</t>
  </si>
  <si>
    <t>S-T2V-BM3040</t>
  </si>
  <si>
    <t>BEAM B43 ( a &amp; b) REINFORCEMENT DETAIL(SSL 30)</t>
  </si>
  <si>
    <t>S-T2V-BM3041</t>
  </si>
  <si>
    <t>BEAM B44 REINFORCEMENT DETAIL(SSL 30)</t>
  </si>
  <si>
    <t>S-T2V-BM3042</t>
  </si>
  <si>
    <t>BEAM B45 REINFORCEMENT DETAIL(SSL 30)</t>
  </si>
  <si>
    <t>S-T2V-BM3043</t>
  </si>
  <si>
    <t>BEAM B47 REINFORCEMENT DETAIL ( SHEET 1 OF 2 ) (SSL 30)</t>
  </si>
  <si>
    <t>S-T2V-BM3044</t>
  </si>
  <si>
    <t>BEAM B47 REINFORCEMENT DETAIL ( SHEET 2 OF 2 ) (SSL 30)</t>
  </si>
  <si>
    <t>S-T2V-BM3049</t>
  </si>
  <si>
    <t>BEAM B48 REINFORCEMENT DETAIL(SSL 30)</t>
  </si>
  <si>
    <t>S-T2V-BM3050</t>
  </si>
  <si>
    <t>BEAM B49 REINFORCEMENT DETAIL(SSL 30)</t>
  </si>
  <si>
    <t>S-T2V-BM3051</t>
  </si>
  <si>
    <t>BEAM B50 REINFORCEMENT DETAIL(SSL 30)</t>
  </si>
  <si>
    <t>S-T2V-BM3052</t>
  </si>
  <si>
    <t>BEAM B51 REINFORCEMENT DETAIL(SSL 30)</t>
  </si>
  <si>
    <t>S-T2V-BM3054</t>
  </si>
  <si>
    <t>BEAM B54 REINFORCEMENT DETAIL(SSL 30)</t>
  </si>
  <si>
    <t>S-T2V-BM3056</t>
  </si>
  <si>
    <t>BEAM B55 REINFORCEMENT DETAIL(SSL 30)</t>
  </si>
  <si>
    <t>S-T2V-BM3057</t>
  </si>
  <si>
    <t>BEAM B56 REINFORCEMENT DETAIL(SSL 30)</t>
  </si>
  <si>
    <t>S-T2V-BM3058</t>
  </si>
  <si>
    <t>BEAM B57 REINFORCEMENT DETAIL(SSL 30)</t>
  </si>
  <si>
    <t>S-T2V-BM3059</t>
  </si>
  <si>
    <t>BEAM B58 REINFORCEMENT DETAIL(SSL 30)</t>
  </si>
  <si>
    <t>S-T2V-BM3061</t>
  </si>
  <si>
    <t>BEAM B-59 &amp; B-60 REINFORCEMENT DETAIL(SSL 30)</t>
  </si>
  <si>
    <t>S-T2V-BM3062</t>
  </si>
  <si>
    <t>BEAM B-61 REINFORCEMENT DETAIL(SSL 30)</t>
  </si>
  <si>
    <t>S-T2V-BM3065</t>
  </si>
  <si>
    <t>BEAM B-64 &amp; B-65 REINFORCEMENT DETAIL(SSL 30)</t>
  </si>
  <si>
    <t>S-T2V-BM3067</t>
  </si>
  <si>
    <t>BEAM B-69 REINFORCEMENT DETAIL(SSL 30)</t>
  </si>
  <si>
    <t>S-T2V-BM3068</t>
  </si>
  <si>
    <t>BEAM B-70 REINFORCEMENT DETAIL(SSL 30)</t>
  </si>
  <si>
    <t>S-T2V-BM3069</t>
  </si>
  <si>
    <t>BEAM B-72 REINFORCEMENT DETAIL(SSL 30)</t>
  </si>
  <si>
    <t>S-T2V-BM3070</t>
  </si>
  <si>
    <t>BEAM B-73 REINFORCEMENT DETAIL(SSL 30)</t>
  </si>
  <si>
    <t>S-T2V-BM3071</t>
  </si>
  <si>
    <t>BEAM B-63 REINFORCEMENT DETAIL(SSL 30)</t>
  </si>
  <si>
    <t>S-T2V-BM3074</t>
  </si>
  <si>
    <t>BEAM B-62 REINFORCEMENT DETAIL(SSL 30)</t>
  </si>
  <si>
    <t>S-T2V-BM3145</t>
  </si>
  <si>
    <t xml:space="preserve">BEAM B-47 REINFORCEMENT DETAIL (SHEET 1 of 2) </t>
  </si>
  <si>
    <t>S-T2V-BM3146</t>
  </si>
  <si>
    <t xml:space="preserve">BEAM B-47 REINFORCEMENT DETAIL (SHEET 2 of 2) </t>
  </si>
  <si>
    <t>S-T2V-BM3236</t>
  </si>
  <si>
    <t>BEAM B-11 REINFORCEMENT DETAIL(SHEET 1 OF 2)(SSL32)</t>
  </si>
  <si>
    <t>S-T2V-BM3237</t>
  </si>
  <si>
    <t>BEAM B-11 REINFORCEMENT DETAIL(SHEET 2 OF 2)(SSL32)</t>
  </si>
  <si>
    <t>S-T2V-BM3238</t>
  </si>
  <si>
    <t>BEAM B-12 REINFORCEMENT DETAIL(SHEET 1 OF 2)(SSL32)</t>
  </si>
  <si>
    <t>S-T2V-BM3239</t>
  </si>
  <si>
    <t>BEAM B-12 REINFORCEMENT DETAIL(SHEET 2 OF 2)(SSL32)</t>
  </si>
  <si>
    <t>S-T2V-BM3240</t>
  </si>
  <si>
    <t>BEAM B-40 REINFORCEMENT DETAIL (SSL32)</t>
  </si>
  <si>
    <t>S-T2V-BM3241</t>
  </si>
  <si>
    <t>BEAM B-41 &amp; B-42 REINFORCEMENT DETAIL (SSL32)</t>
  </si>
  <si>
    <t>S-T2V-BM3242</t>
  </si>
  <si>
    <t>BEAM B-43 REINFORCEMENT DETAIL(SSL32)</t>
  </si>
  <si>
    <t>S-T2V-BM3244</t>
  </si>
  <si>
    <t>BEAM B-44 REINFORCEMENT DETAIL(SSL32)</t>
  </si>
  <si>
    <t>S-T2V-BM3245</t>
  </si>
  <si>
    <t>BEAM B-45,B46&amp;B-52 REINFORCEMENT DETAIL</t>
  </si>
  <si>
    <t>S-T2V-BM3246</t>
  </si>
  <si>
    <t>S-T2V-BM3247</t>
  </si>
  <si>
    <t>S-T2V-BM3248</t>
  </si>
  <si>
    <t>BEAM B-48 REINFORCEMENT DETAIL (SSL32)</t>
  </si>
  <si>
    <t>S-T2V-BM3249</t>
  </si>
  <si>
    <t>BEAM B-49 &amp; B-59 REINFORCEMENT DETAIL (SSL32)</t>
  </si>
  <si>
    <t>S-T2V-BM3250</t>
  </si>
  <si>
    <t>BEAM B-50 REINFORCEMENT DETAIL (SSL32)</t>
  </si>
  <si>
    <t>S-T2V-BM3251</t>
  </si>
  <si>
    <t>BEAM B-51 REINFORCEMENT DETAIL (SSL32)</t>
  </si>
  <si>
    <t>S-T2V-BM3252</t>
  </si>
  <si>
    <t>BEAM B-54 REINFORCEMENT DETAIL (SSL32)</t>
  </si>
  <si>
    <t>S-T2V-BM3253</t>
  </si>
  <si>
    <t>BEAM B-55 REINFORCEMENT DETAIL (SSL32)</t>
  </si>
  <si>
    <t>S-T2V-BM3254</t>
  </si>
  <si>
    <t>BEAM B-56 REINFORCEMENT DETAIL (SSL32)</t>
  </si>
  <si>
    <t>S-T2V-BM3256</t>
  </si>
  <si>
    <t>BEAM B-57 REINFORCEMENT DETAIL (SSL32)</t>
  </si>
  <si>
    <t>S-T2V-BM3257</t>
  </si>
  <si>
    <t>BEAM B-58 REINFORCEMENT DETAIL (SSL32)</t>
  </si>
  <si>
    <t>S-T2V-BM3258</t>
  </si>
  <si>
    <t>BEAM B-60 &amp; B-61 REINFORCEMENT DETAIL (SSL32)</t>
  </si>
  <si>
    <t>S-T2V-BM3259</t>
  </si>
  <si>
    <t>BEAM B-62 REINFORCEMENT DETAIL (SSL32)</t>
  </si>
  <si>
    <t>S-T2V-BM3260</t>
  </si>
  <si>
    <t>BEAM B-63 REINFORCEMENT DETAIL (SSL32)</t>
  </si>
  <si>
    <t>S-T2V-BM3261</t>
  </si>
  <si>
    <t>BEAM B-64 REINFORCEMENT DETAIL (SSL32)</t>
  </si>
  <si>
    <t>S-T2V-BM3262</t>
  </si>
  <si>
    <t>BEAM B-65 REINFORCEMENT DETAIL (SSL32)</t>
  </si>
  <si>
    <t>S-T2V-BM3263</t>
  </si>
  <si>
    <t>BEAM B-66 REINFORCEMENT DETAIL (SSL32)</t>
  </si>
  <si>
    <t>S-T2V-BM3264</t>
  </si>
  <si>
    <t>BEAM CB-01ab &amp; CB-02ab REINFORCEMENT DETAIL (SSL32)</t>
  </si>
  <si>
    <t>S-T2V-BM3265</t>
  </si>
  <si>
    <t>BEAM B-01 REINFORCEMENT DETAIL (SSL32)</t>
  </si>
  <si>
    <t>S-T2V-BM3266</t>
  </si>
  <si>
    <t>BEAM B-67 REINFORCEMENT DETAIL (SSL32)</t>
  </si>
  <si>
    <t>S-T2V-BM3267</t>
  </si>
  <si>
    <t>BEAM B-33&amp;B-68 REINFORCEMENT DETAIL (SSL32)</t>
  </si>
  <si>
    <t>S-T2V-CT0101</t>
  </si>
  <si>
    <t>Steel Platform details for SSL06,07&amp;08</t>
  </si>
  <si>
    <t>S-T2V-SB0103</t>
  </si>
  <si>
    <t>BBS for Bottom Reinforcement of 1st SSL (Sheet 1 of 2)</t>
  </si>
  <si>
    <t>S-T2V-SB0104</t>
  </si>
  <si>
    <t>BBS for Bottom Reinforcement of 1st SSL (Sheet 2 of 2)</t>
  </si>
  <si>
    <t>S-T2V-SB0106</t>
  </si>
  <si>
    <t>BBS for Top Reinforcement of 1st SSL (Sheet 1 of 2)</t>
  </si>
  <si>
    <t>S-T2V-SB0107</t>
  </si>
  <si>
    <t>BBS for Top Reinforcement of 1st SSL (Sheet 2 of 2)</t>
  </si>
  <si>
    <t>S-T2V-SB0214</t>
  </si>
  <si>
    <t>L30 Portion-Plan showing Terrace Garden Slabs Reinforcement for SSL 04 &amp; 06</t>
  </si>
  <si>
    <t>S-T2V-SB0218</t>
  </si>
  <si>
    <t>L30 Portion-Plan showing Slabs Top Reinforcement for Quadrant-B of SSL 04</t>
  </si>
  <si>
    <t>S-T2V-SB0219</t>
  </si>
  <si>
    <t>L30 Portion-BBS of  Slab Top Reinforcement for Quadrant-B of SSL 04</t>
  </si>
  <si>
    <t>S-T2V-SB0220</t>
  </si>
  <si>
    <t>L30 Portion-Plan showing Slabs Bottom Reinforcement for Quadrant-A of SSL 04</t>
  </si>
  <si>
    <t>S-T2V-SB0221</t>
  </si>
  <si>
    <t>L30 Portion-Plan showing Slabs Top Reinforcement for Quadrant-A of SSL 04</t>
  </si>
  <si>
    <t>S-T2V-SB0222</t>
  </si>
  <si>
    <t>L30 Portion-BBS of  Slabs Reinforcement for Quadrant-A of SSL 04</t>
  </si>
  <si>
    <t>S-T2V-SB0601</t>
  </si>
  <si>
    <t>L30 Portion-Plan showing Slabs Bottom Reinforcement for SSL06</t>
  </si>
  <si>
    <t>S-T2V-SB0602</t>
  </si>
  <si>
    <t>L30 Portion-Plan showing Slabs Top Reinforcement for SSL06</t>
  </si>
  <si>
    <t>S-T2V-SB0603</t>
  </si>
  <si>
    <t>L30 Portion-BBS of Bottom Slabs Reinforcement of SSL06</t>
  </si>
  <si>
    <t>S-T2V-SB0604</t>
  </si>
  <si>
    <t>L30 Portion-BBS of Top Slabs Reinforcement for SSL06</t>
  </si>
  <si>
    <t>S-T2V-SB0605</t>
  </si>
  <si>
    <t>L30 Portion-Plan showing Torsion Reinforcement for SSL06</t>
  </si>
  <si>
    <t>S-T2V-SB0704</t>
  </si>
  <si>
    <t>L30 Portion - Plan Showing Torsion Reinforcement for SSL07&amp;08</t>
  </si>
  <si>
    <t>S-T2V-SB0801</t>
  </si>
  <si>
    <t>L30 Portion - Plan Showing Slab Bottom Reinforcement for SSL08</t>
  </si>
  <si>
    <t>S-T2V-SB0802</t>
  </si>
  <si>
    <t>L30 Portion - Plan Showing Slab Top Reinforcement for SSL08</t>
  </si>
  <si>
    <t>S-T2V-SB0803</t>
  </si>
  <si>
    <t>L30 Portion -BBS for Slab Reinforcement for SSL08</t>
  </si>
  <si>
    <t>S-T2V-SB1004</t>
  </si>
  <si>
    <t>L30-PORTION-PLAN SHOWING TERRACE GARDEN SLABS BOTTOM &amp; TOP REINFORCEMENT FOR SSL10,12,14</t>
  </si>
  <si>
    <t>S-T2V-SB1604</t>
  </si>
  <si>
    <t>L30-PORTION-PLAN SHOWING TERRACE GARDEN SLABS BOTTOM &amp; TOP REINFORCEMENT FOR SSL16,18,20,22,24&amp;26</t>
  </si>
  <si>
    <t>S-T2V-SB3201</t>
  </si>
  <si>
    <t>PLAN SHOWING BOTTOM REINFORCEMENT FOR SSL32</t>
  </si>
  <si>
    <t>S-T2V-SB3202</t>
  </si>
  <si>
    <t>PLAN SHOWING TOP REINFORCEMENT FOR SSL32</t>
  </si>
  <si>
    <t>S-T2V-SB3203</t>
  </si>
  <si>
    <t>BBS FOR TOP &amp; BOTTOM REINFORCEMENT (SSL32)</t>
  </si>
  <si>
    <t>S-T2V-SB3207</t>
  </si>
  <si>
    <t>PERGOLA DETAILS AT SSL32</t>
  </si>
  <si>
    <t>S-T2V-SL0202</t>
  </si>
  <si>
    <t>C-20 Portion-Sleeves Reinforcement Details for SSL 02 to SSL 27 (Sheet 2)</t>
  </si>
  <si>
    <t>S-T2V-SL0701</t>
  </si>
  <si>
    <t>Plan Showing L30 Portion Sleeves for SSL07&amp;08</t>
  </si>
  <si>
    <t>S-T2V-SL0702</t>
  </si>
  <si>
    <t>L30 Portion Sleeve Details for SSL07&amp;08</t>
  </si>
  <si>
    <t>S-T2V-SL1601</t>
  </si>
  <si>
    <t>L30 Portion Plan Showing Sleeves (SSL 16 to SSL 27) (Sheet 1 of 2)</t>
  </si>
  <si>
    <t>S-T2V-SL1602</t>
  </si>
  <si>
    <t>L30 Portion Sleeve Details for SSL 16 to SSL 27- (Sheet 2 of 2)</t>
  </si>
  <si>
    <t>S-T2V-SL3003</t>
  </si>
  <si>
    <t>L30 Portion Sleeve Details for SSL30 (sheet 2)</t>
  </si>
  <si>
    <t>S-T2V-SL3201</t>
  </si>
  <si>
    <t>L30 PORTION PLAN SSHOWING SLEEVES AT SSL32</t>
  </si>
  <si>
    <t>S-T2V-SL3202</t>
  </si>
  <si>
    <t>L30 PORTION SLEEVE REINF. DETAILS FOR SSL32</t>
  </si>
  <si>
    <t>S-T2V-M0001</t>
  </si>
  <si>
    <t>RC WALL DETAILS AROUND TREE TUB (SSL10)</t>
  </si>
  <si>
    <t>S-T2V-MS0002</t>
  </si>
  <si>
    <t>TYP. BALCONY ROOF DETAIL AT SSL31 (C20)</t>
  </si>
  <si>
    <t>ST-T2V-8</t>
  </si>
  <si>
    <t>S-T2V-MS0003</t>
  </si>
  <si>
    <t>S-T2V-FP0301</t>
  </si>
  <si>
    <t xml:space="preserve">Framing Plan at SSL 03 </t>
  </si>
  <si>
    <t>ST-T2V-6</t>
  </si>
  <si>
    <t>S-T2V-FP0501</t>
  </si>
  <si>
    <t>Framing Plan at SSL 05</t>
  </si>
  <si>
    <t>S-T2V-FP0701</t>
  </si>
  <si>
    <t>Framing Plan at SSL 07</t>
  </si>
  <si>
    <t>S-T2V-FP0702</t>
  </si>
  <si>
    <t>Sections of Framing Plan at SSL07</t>
  </si>
  <si>
    <t>S-T2V-FP0901</t>
  </si>
  <si>
    <t>Framing Plan at SSL 09</t>
  </si>
  <si>
    <t>S-T2V-FP0902</t>
  </si>
  <si>
    <t>Sections of Framing Plan at SSL09(Sheet 01)</t>
  </si>
  <si>
    <t>S-T2V-FP0904</t>
  </si>
  <si>
    <t>Sections of Framing Plan at SSL09(Sheet 03)</t>
  </si>
  <si>
    <t>S-T2V-SE0201</t>
  </si>
  <si>
    <t>Sections for SSL 2 to SSL 13 (Sheet 1)</t>
  </si>
  <si>
    <t>S-T2V-SE0203</t>
  </si>
  <si>
    <t>Sections for SSL 2 to SSL 13 (Sheet 3)</t>
  </si>
  <si>
    <t>S-T2V-FP1701</t>
  </si>
  <si>
    <t>Framing Plan at SSL 17,19,21,23, 25 &amp; 27</t>
  </si>
  <si>
    <t>S-T2V-FP3101</t>
  </si>
  <si>
    <t>FRAMING PLAN AT SSL31</t>
  </si>
  <si>
    <t>S-T2V-BM0102</t>
  </si>
  <si>
    <t>Beam 1B-01 ab Reinforcement Detail</t>
  </si>
  <si>
    <t>S-T2V-BM0104</t>
  </si>
  <si>
    <t>Beam 1B-03 a &amp; b Reinforcement Detail</t>
  </si>
  <si>
    <t>S-T2V-BM0106</t>
  </si>
  <si>
    <t xml:space="preserve">Beam 1B-05 ab Reinforcement Details </t>
  </si>
  <si>
    <t>S-T2V-BM0108</t>
  </si>
  <si>
    <t xml:space="preserve">Beam 1B-07 a &amp; b Reinforcement Details </t>
  </si>
  <si>
    <t>S-T2V-BM0110</t>
  </si>
  <si>
    <t>Beam 1B-09a &amp; b Reinforcement Detail</t>
  </si>
  <si>
    <t>S-T2V-BM0112</t>
  </si>
  <si>
    <t>S-T2V-BM0116</t>
  </si>
  <si>
    <t xml:space="preserve">Beam 1B-15a&amp; b &amp; 1B -17a&amp;b Reinforcement Details  </t>
  </si>
  <si>
    <t>S-T2V-BM0119</t>
  </si>
  <si>
    <t>Beam 1B-19 a &amp; b &amp; 1B-23a &amp; bReinforcement Detail</t>
  </si>
  <si>
    <t>S-T2V-BM0121</t>
  </si>
  <si>
    <t xml:space="preserve">Beam 1B-21a &amp; b Reinforcement Details </t>
  </si>
  <si>
    <t>S-T2V-BM0124</t>
  </si>
  <si>
    <t xml:space="preserve">Beam 1B-25a &amp; b Reinforcement Details </t>
  </si>
  <si>
    <t>S-T2V-BM0125</t>
  </si>
  <si>
    <t xml:space="preserve">Beam 1B-47a &amp; b Reinforcement Details </t>
  </si>
  <si>
    <t>S-T2V-BM0128</t>
  </si>
  <si>
    <t>Beam 1B-27a &amp; b Reinforcement Detail</t>
  </si>
  <si>
    <t>S-T2V-BM0132</t>
  </si>
  <si>
    <t>Beam 1B-29b Reinforcement Detail</t>
  </si>
  <si>
    <t>S-T2V-BM0133</t>
  </si>
  <si>
    <t>Beam 1B-30a&amp;b &amp; 35a&amp;b &amp; 51ab Reinforcement Detail</t>
  </si>
  <si>
    <t>S-T2V-BM0144</t>
  </si>
  <si>
    <t>Beam 1B-39a Reinforcement Detail</t>
  </si>
  <si>
    <t>S-T2V-BM0145</t>
  </si>
  <si>
    <t>Beam 1B-39b Reinforcement Detail</t>
  </si>
  <si>
    <t>S-T2V-BM0147</t>
  </si>
  <si>
    <t>Beam 1B-41 a &amp; 1B-41 b Reinforcement Detail</t>
  </si>
  <si>
    <t>S-T2V-BM0150</t>
  </si>
  <si>
    <t xml:space="preserve">Beam 1B-43a  Reinforcement Detail </t>
  </si>
  <si>
    <t>S-T2V-BM0151</t>
  </si>
  <si>
    <t xml:space="preserve">Beam 1B-43b  Reinforcement Detail </t>
  </si>
  <si>
    <t>S-T2V-BM0154</t>
  </si>
  <si>
    <t xml:space="preserve">Beam 1B-45a&amp;b  Reinforcement Detail </t>
  </si>
  <si>
    <t>S-T2V-BM0156</t>
  </si>
  <si>
    <t xml:space="preserve">Beam 1B-53  Reinforcement Detail </t>
  </si>
  <si>
    <t>S-T2V-BM0159</t>
  </si>
  <si>
    <t xml:space="preserve">Beam 1B-57ab  Reinforcement Detail </t>
  </si>
  <si>
    <t>S-T2V-BM0160</t>
  </si>
  <si>
    <t>Beam 1B-33 Reinforcement Detail</t>
  </si>
  <si>
    <t>S-T2V-BM0161</t>
  </si>
  <si>
    <t>Beam 1B-59a&amp;b Reinforcement Details</t>
  </si>
  <si>
    <t>S-T2V-BM0201</t>
  </si>
  <si>
    <t>BEAM B-01a&amp;b REINFORCEMENT DETAIL(SSL02 TO SSL09)</t>
  </si>
  <si>
    <t>S-T2V-BM0202</t>
  </si>
  <si>
    <t>BEAM B-02a&amp;b REINFORCEMENT DETAIL(SSL02 TO SSL09)</t>
  </si>
  <si>
    <t>S-T2V-BM0203</t>
  </si>
  <si>
    <t>BEAM B-03ab REINFORCEMENT DETAIL(SSL02 TO SSL09)</t>
  </si>
  <si>
    <t>S-T2V-BM0206</t>
  </si>
  <si>
    <t>BEAM B-05ab REINFORCEMENT DETAIL(SSL02 TO SSL09)</t>
  </si>
  <si>
    <t>S-T2V-BM0207</t>
  </si>
  <si>
    <t>BEAM B-06ab REINFORCEMENT DETAIL(SSL02 TO SSL09)</t>
  </si>
  <si>
    <t>S-T2V-BM0210</t>
  </si>
  <si>
    <t>BEAM B-08a&amp;b REINFORCEMENT DETAIL(SSL02 TO SSL09)</t>
  </si>
  <si>
    <t>S-T2V-BM0211</t>
  </si>
  <si>
    <t>BEAM B-09a&amp;b REINFORCEMENT DETAIL(SSL02 TO SSL09)</t>
  </si>
  <si>
    <t>S-T2V-BM0218</t>
  </si>
  <si>
    <t>BEAM B-13a&amp;b &amp; B-14a&amp;b REINFORCEMENT DETAIL(SSL02 TO SSL09)</t>
  </si>
  <si>
    <t>S-T2V-BM0219</t>
  </si>
  <si>
    <t>BEAM B-15a&amp;b REINFORCEMENT DETAIL(SSL02 TO SSL09)</t>
  </si>
  <si>
    <t>S-T2V-BM0222</t>
  </si>
  <si>
    <t>BEAM B-17a&amp;b REINFORCEMENT DETAIL(SSL02 TO SSL09)</t>
  </si>
  <si>
    <t>S-T2V-BM0225</t>
  </si>
  <si>
    <t>BEAM B-19a&amp;b REINFORCEMENT DETAIL(SSL02 TO SSL09)</t>
  </si>
  <si>
    <t>S-T2V-BM0226</t>
  </si>
  <si>
    <t>BEAM B-20a&amp;b REINFORCEMENT DETAIL(SSL02 TO SSL09)</t>
  </si>
  <si>
    <t>S-T2V-BM0227</t>
  </si>
  <si>
    <t>BEAM B-21a&amp;b REINFORCEMENT DETAIL(SSL02 TO SSL09)</t>
  </si>
  <si>
    <t>S-T2V-BM0228</t>
  </si>
  <si>
    <t>BEAM B-22a&amp;b REINFORCEMENT DETAIL(SSL02 TO SSL09)</t>
  </si>
  <si>
    <t>S-T2V-BM0229</t>
  </si>
  <si>
    <t>BEAM B-23ab REINFORCEMENT DETAIL(SSL02 TO SSL09)</t>
  </si>
  <si>
    <t>S-T2V-BM0230</t>
  </si>
  <si>
    <t>BEAM B-25a&amp;b REINFORCEMENT DETAIL(SSL02 TO SSL09)</t>
  </si>
  <si>
    <t>S-T2V-BM0231</t>
  </si>
  <si>
    <t>BEAM B-26 &amp; B-27 REINFORCEMENT DETAIL(SSL02 TO SSL09)</t>
  </si>
  <si>
    <t>S-T2V-BM0232</t>
  </si>
  <si>
    <t>BEAM B-28 &amp; B-29a&amp;b REINFORCEMENT DETAIL(SSL02 TO SSL09)</t>
  </si>
  <si>
    <t>S-T2V-BM0233</t>
  </si>
  <si>
    <t>BEAM B-30 &amp; B-31 REINFORCEMENT DETAIL(SSL02 TO SSL09)</t>
  </si>
  <si>
    <t>S-T2V-BM0234</t>
  </si>
  <si>
    <t>BEAM B-32a&amp;b REINFORCEMENT DETAIL(SSL02 TO SSL09)</t>
  </si>
  <si>
    <t>S-T2V-BM0235</t>
  </si>
  <si>
    <t>BEAM B-33 a&amp;b REINFORCEMENT DETAIL(SSL06 TO SSL09)</t>
  </si>
  <si>
    <t>S-T2V-BM0236</t>
  </si>
  <si>
    <t>BEAM B-34 REINFORCEMENT DETAIL(SSL02 TO SSL27)</t>
  </si>
  <si>
    <t>S-T2V-BM0237</t>
  </si>
  <si>
    <t>BEAM 2CB-01a&amp;b REINFORCEMENT DETAIL(SSL 02 TO 09)</t>
  </si>
  <si>
    <t>S-T2V-BM0238</t>
  </si>
  <si>
    <t>Typical Details of Pergola (SSL02 TO SSL27)</t>
  </si>
  <si>
    <t>S-T2V-BM0239</t>
  </si>
  <si>
    <t>BEAM B40 REINFORCEMENT DETAIL(SHEET 1 OF 2)(SSL 02 TO 09)</t>
  </si>
  <si>
    <t>S-T2V-BM0240</t>
  </si>
  <si>
    <t>BEAM B40 REINFORCEMENT DETAIL(SHEET 2 OF 2)(SSL 02 TO 09)</t>
  </si>
  <si>
    <t>S-T2V-BM0241</t>
  </si>
  <si>
    <t>BEAM B41 REINFORCEMENT DETAIL(SSL 02 TO 09)</t>
  </si>
  <si>
    <t>S-T2V-BM0242</t>
  </si>
  <si>
    <t>BEAM B42 &amp; B43 REINFORCEMENT DETAIL(SHEET 1 OF 2)(SSL 02 TO 09)</t>
  </si>
  <si>
    <t>S-T2V-BM0243</t>
  </si>
  <si>
    <t>BEAM B42 &amp; B43 REINFORCEMENT DETAIL(SHEET 2 OF 2)(SSL 02 TO 09)</t>
  </si>
  <si>
    <t>S-T2V-BM0244</t>
  </si>
  <si>
    <t>BEAM B44 REINFORCEMENT DETAIL(SSL 02 TO 09)</t>
  </si>
  <si>
    <t>S-T2V-BM0245</t>
  </si>
  <si>
    <t>BEAM B45 &amp; B46 REINFORCEMENT DETAIL(SSL 02 TO 09)</t>
  </si>
  <si>
    <t>S-T2V-BM0248</t>
  </si>
  <si>
    <t>BEAM B47 REINFORCEMENT DETAIL(SHEET 1 OF 2)(SSL3)</t>
  </si>
  <si>
    <t>S-T2V-BM0249</t>
  </si>
  <si>
    <t>BEAM B47 REINFORCEMENT DETAIL(SHEET 2 OF 2)(SSL3,5,7 &amp; 9)</t>
  </si>
  <si>
    <t>S-T2V-BM0250</t>
  </si>
  <si>
    <t>BEAM B48 REINFORCEMENT DETAIL(SSL 02 TO 09)</t>
  </si>
  <si>
    <t>S-T2V-BM0251</t>
  </si>
  <si>
    <t>BEAM B49 REINFORCEMENT DETAIL(SSL 02 TO 09)</t>
  </si>
  <si>
    <t>S-T2V-BM0252</t>
  </si>
  <si>
    <t>BEAM B50 REINFORCEMENT DETAIL(SHEET 1 OF 4)(SSL 02 TO 09)</t>
  </si>
  <si>
    <t>S-T2V-BM0253</t>
  </si>
  <si>
    <t>BEAM B50 REINFORCEMENT DETAIL(SHEET 2 OF 4)(SSL 02 TO 09)</t>
  </si>
  <si>
    <t>S-T2V-BM0254</t>
  </si>
  <si>
    <t>BEAM B50 REINFORCEMENT DETAIL(SHEET 3 OF 4)(SSL 02 TO 09)</t>
  </si>
  <si>
    <t>S-T2V-BM0255</t>
  </si>
  <si>
    <t>BEAM B50 REINFORCEMENT DETAIL(SHEET 4 OF 4)(SSL 02 TO 09)</t>
  </si>
  <si>
    <t>S-T2V-BM0257</t>
  </si>
  <si>
    <t>BEAM B51 REINFORCEMENT DETAIL(SSL07)</t>
  </si>
  <si>
    <t>S-T2V-BM0258</t>
  </si>
  <si>
    <t>BEAM B51 REINFORCEMENT DETAIL(SHEET 1 OF 2)(SSL3 &amp; 5)</t>
  </si>
  <si>
    <t>S-T2V-BM0259</t>
  </si>
  <si>
    <t>BEAM B51 REINFORCEMENT DETAIL(SHEET 2 OF 2)(SSL3 &amp; 5)</t>
  </si>
  <si>
    <t>S-T2V-BM0264</t>
  </si>
  <si>
    <t>BEAM B51 REINFORCEMENT DETAIL(SHEET 1 OF 2)(SSL9)</t>
  </si>
  <si>
    <t>S-T2V-BM0265</t>
  </si>
  <si>
    <t>BEAM B51 REINFORCEMENT DETAIL(SHEET 2 OF 2)(SSL9)</t>
  </si>
  <si>
    <t>S-T2V-BM0266</t>
  </si>
  <si>
    <t>BEAM B52 &amp; B53 REINFORCEMENT DETAIL(SSL2 TO 9)</t>
  </si>
  <si>
    <t>S-T2V-BM0267</t>
  </si>
  <si>
    <t>BEAM B54 REINFORCEMENT DETAIL(SHEET 1 OF 2)(SSL 02 TO 09)</t>
  </si>
  <si>
    <t>S-T2V-BM0268</t>
  </si>
  <si>
    <t>BEAM B54 REINFORCEMENT DETAIL(SHEET 2 OF 2)(SSL 02 TO 09)</t>
  </si>
  <si>
    <t>S-T2V-BM0270</t>
  </si>
  <si>
    <t>BEAM B55 &amp; B56 REINFORCEMENT DETAIL(SHEET 2 OF 2)(SSL 02 TO 09)</t>
  </si>
  <si>
    <t>S-T2V-BM0271</t>
  </si>
  <si>
    <t>BEAM B57 REINFORCEMENT DETAIL(SSL 02 TO 09)</t>
  </si>
  <si>
    <t>S-T2V-BM0272</t>
  </si>
  <si>
    <t>BEAM B58 REINFORCEMENT DETAIL(SHEET 1 OF 2)(SSL 02 TO 09)</t>
  </si>
  <si>
    <t>S-T2V-BM0273</t>
  </si>
  <si>
    <t>BEAM B58 REINFORCEMENT DETAIL(SHEET 2 OF 2)(SSL 02 TO 09)</t>
  </si>
  <si>
    <t>S-T2V-BM0274</t>
  </si>
  <si>
    <t>BEAM B59 &amp; B60 REINFORCEMENT DETAIL(SSL 02 TO 09)</t>
  </si>
  <si>
    <t>S-T2V-BM0275</t>
  </si>
  <si>
    <t>BEAM B61 REINFORCEMENT DETAIL(SSL 02 TO 09)</t>
  </si>
  <si>
    <t>S-T2V-BM0276</t>
  </si>
  <si>
    <t>BEAM B62 REINFORCEMENT DETAIL(SHEET 1 OF 2)(SSL 02 TO 09)</t>
  </si>
  <si>
    <t>S-T2V-BM0277</t>
  </si>
  <si>
    <t>BEAM B62 REINFORCEMENT DETAIL(SHEET 2 OF 2)(SSL 02 TO 09)</t>
  </si>
  <si>
    <t>S-T2V-BM0278</t>
  </si>
  <si>
    <t>BEAM B63 REINFORCEMENT DETAIL(SSL 02 TO 09)</t>
  </si>
  <si>
    <t>S-T2V-BM0279</t>
  </si>
  <si>
    <t>BEAM B64 REINFORCEMENT DETAIL(SSL 02 TO 09)</t>
  </si>
  <si>
    <t>S-T2V-BM0280</t>
  </si>
  <si>
    <t>BEAM B65 &amp; B66 REINFORCEMENT DETAIL(SSL 02 TO 09)</t>
  </si>
  <si>
    <t>S-T2V-BM0281</t>
  </si>
  <si>
    <t>BEAM B67 REINFORCEMENT DETAIL(SSL 02 TO 09)</t>
  </si>
  <si>
    <t>S-T2V-BM0282</t>
  </si>
  <si>
    <t>BEAM B71 REINFORCEMENT DETAIL(SSL 02 TO 09)</t>
  </si>
  <si>
    <t>S-T2V-BM0283</t>
  </si>
  <si>
    <t>BEAM B68 REINFORCEMENT DETAIL(SSL 03,05,07,09)</t>
  </si>
  <si>
    <t>S-T2V-BM0284</t>
  </si>
  <si>
    <t>BEAM B64 REINFORCEMENT DETAIL(SSL 09)</t>
  </si>
  <si>
    <t>S-T2V-BM0503</t>
  </si>
  <si>
    <t>Beam B41  Reinforcement Detail</t>
  </si>
  <si>
    <t>S-T2V-BM0505</t>
  </si>
  <si>
    <t>Beam B75 Reinforcement Detail</t>
  </si>
  <si>
    <t>S-T2V-BM0506</t>
  </si>
  <si>
    <t>Beam B77 Reinforcement Detail</t>
  </si>
  <si>
    <t>S-T2V-BM0613</t>
  </si>
  <si>
    <t>BEAM B58 REINFORCEMENT DETAIL(SHEET1OF 2)(SSL 07)</t>
  </si>
  <si>
    <t>S-T2V-BM0614</t>
  </si>
  <si>
    <t>BEAM B58 REINFORCEMENT DETAIL(SHEET2OF 2)(SSL 07)</t>
  </si>
  <si>
    <t>S-T2V-BM0620</t>
  </si>
  <si>
    <t>BEAM B62 REINFORCEMENT DETAIL(SSL 07)</t>
  </si>
  <si>
    <t>S-T2V-BM0623</t>
  </si>
  <si>
    <t>BEAM B65 REINFORCEMENT DETAIL(SSL 07)</t>
  </si>
  <si>
    <t>S-T2V-BM0709</t>
  </si>
  <si>
    <t>BEAM B51 REINFORCEMENT DETAIL(SSL 07)</t>
  </si>
  <si>
    <t>S-T2V-BM0723</t>
  </si>
  <si>
    <t>BEAM B68 REINFORCEMENT DETAIL(SSL 07)</t>
  </si>
  <si>
    <t>S-T2V-BM0901</t>
  </si>
  <si>
    <t>BEAM B40 REINFORCEMENT DETAIL(SSL 09)</t>
  </si>
  <si>
    <t>S-T2V-BM0902</t>
  </si>
  <si>
    <t>BEAM B41 &amp;B42 REINFORCEMENT DETAIL(SSL 09)</t>
  </si>
  <si>
    <t>S-T2V-BM0903</t>
  </si>
  <si>
    <t>BEAM B43 REINFORCEMENT DETAIL(SSL 09)</t>
  </si>
  <si>
    <t>S-T2V-BM0904</t>
  </si>
  <si>
    <t>BEAM B44 REINFORCEMENT DETAIL(SSL 09)</t>
  </si>
  <si>
    <t>S-T2V-BM0905</t>
  </si>
  <si>
    <t>BEAM B45 &amp; B46 REINFORCEMENT DETAIL(SSL 09)</t>
  </si>
  <si>
    <t>S-T2V-BM0906</t>
  </si>
  <si>
    <t>BEAM B47 REINFORCEMENT DETAIL(SSL 09)</t>
  </si>
  <si>
    <t>S-T2V-BM0907</t>
  </si>
  <si>
    <t>BEAM B48 AND B49 REINFORCEMENT DETAIL(SSL 09)</t>
  </si>
  <si>
    <t>S-T2V-BM0908</t>
  </si>
  <si>
    <t>BEAM  B52 REINFORCEMENT DETAIL(SSL 09)</t>
  </si>
  <si>
    <t>S-T2V-BM0911</t>
  </si>
  <si>
    <t>BEAM B53 REINFORCEMENT DETAIL(SSL 09)</t>
  </si>
  <si>
    <t>S-T2V-BM0912</t>
  </si>
  <si>
    <t>BEAM B54 REINFORCEMENT DETAIL(SSL 09)</t>
  </si>
  <si>
    <t>S-T2V-BM0913</t>
  </si>
  <si>
    <t>BEAM B55 &amp; B56 REINFORCEMENT DETAIL(SSL 09)</t>
  </si>
  <si>
    <t>S-T2V-BM0914</t>
  </si>
  <si>
    <t>BEAM B57 REINFORCEMENT DETAIL(SSL 09)</t>
  </si>
  <si>
    <t>S-T2V-BM0915</t>
  </si>
  <si>
    <t>BEAM B58 REINFORCEMENT DETAIL(SSL 09)</t>
  </si>
  <si>
    <t>S-T2V-BM0916</t>
  </si>
  <si>
    <t>BEAM B59 ,B60 REINFORCEMENT DETAIL(SSL 09)</t>
  </si>
  <si>
    <t>S-T2V-BM0917</t>
  </si>
  <si>
    <t>BEAM B61 REINFORCEMENT DETAIL(SSL 09)</t>
  </si>
  <si>
    <t>S-T2V-BM0918</t>
  </si>
  <si>
    <t>BEAM B62 REINFORCEMENT DETAIL(SSL 09)</t>
  </si>
  <si>
    <t>S-T2V-BM0919</t>
  </si>
  <si>
    <t>BEAM B63 &amp; B64 REINFORCEMENT DETAIL(SSL 09)</t>
  </si>
  <si>
    <t>S-T2V-BM0920</t>
  </si>
  <si>
    <t>BEAM B65 REINFORCEMENT DETAIL(SSL 09)</t>
  </si>
  <si>
    <t>S-T2V-BM0921</t>
  </si>
  <si>
    <t>BEAM B66 REINFORCEMENT DETAIL(SSL 09)</t>
  </si>
  <si>
    <t>S-T2V-BM0922</t>
  </si>
  <si>
    <t>BEAM B67 REINFORCEMENT DETAIL(SSL 09)</t>
  </si>
  <si>
    <t>S-T2V-BM0923</t>
  </si>
  <si>
    <t>S-T2V-BM0924</t>
  </si>
  <si>
    <t>BEAM B69 REINFORCEMENT DETAIL(SSL 09)</t>
  </si>
  <si>
    <t>S-T2V-BM0925</t>
  </si>
  <si>
    <t>BEAM B70 REINFORCEMENT DETAIL(SSL 09)</t>
  </si>
  <si>
    <t>S-T2V-BM0926</t>
  </si>
  <si>
    <t>BEAM B71 &amp; B72 REINFORCEMENT DETAIL(SSL 09)</t>
  </si>
  <si>
    <t>S-T2V-BM0927</t>
  </si>
  <si>
    <t>BEAM B73 REINFORCEMENT DETAIL(SSL 09)</t>
  </si>
  <si>
    <t>S-T2V-BM0928</t>
  </si>
  <si>
    <t>BEAM B74 REINFORCEMENT DETAIL(SSL 09)</t>
  </si>
  <si>
    <t>S-T2V-BM1001</t>
  </si>
  <si>
    <t>BEAM B-01a&amp;b REINFORCEMENT DETAIL(SSL10 TO SSL19)</t>
  </si>
  <si>
    <t>S-T2V-BM1002</t>
  </si>
  <si>
    <t>BEAM B-02a&amp;b REINFORCEMENT DETAIL(SSL10 TO SSL19)</t>
  </si>
  <si>
    <t>S-T2V-BM1003</t>
  </si>
  <si>
    <t>BEAM B-03ab REINFORCEMENT DETAIL(SSL10 TO SSL19)</t>
  </si>
  <si>
    <t>S-T2V-BM1006</t>
  </si>
  <si>
    <t>BEAM B-05ab REINFORCEMENT DETAIL(SSL10 TO SSL19)</t>
  </si>
  <si>
    <t>S-T2V-BM1007</t>
  </si>
  <si>
    <t>BEAM B-06ab REINFORCEMENT DETAIL(SSL10 TO SSL19)</t>
  </si>
  <si>
    <t>S-T2V-BM1010</t>
  </si>
  <si>
    <t>BEAM B-08a&amp;b REINFORCEMENT DETAIL(SSL10 TO SSL19)</t>
  </si>
  <si>
    <t>S-T2V-BM1011</t>
  </si>
  <si>
    <t>BEAM B-09a&amp;b REINFORCEMENT DETAIL(SSL10 TO SSL19)</t>
  </si>
  <si>
    <t>S-T2V-BM1018</t>
  </si>
  <si>
    <t>BEAM B-13a&amp;b &amp; B-14a&amp;b REINFORCEMENT DETAIL(SSL10 TO SSL19)</t>
  </si>
  <si>
    <t>S-T2V-BM1019</t>
  </si>
  <si>
    <t>BEAM B-15a&amp;b REINFORCEMENT DETAIL(SSL10 TO SSL19)</t>
  </si>
  <si>
    <t>S-T2V-BM1022</t>
  </si>
  <si>
    <t>BEAM B-17a&amp;b REINFORCEMENT DETAIL(SSL10 TO SSL19)</t>
  </si>
  <si>
    <t>S-T2V-BM1025</t>
  </si>
  <si>
    <t>BEAM B-19a&amp;b REINFORCEMENT DETAIL(SSL10 TO SSL19)</t>
  </si>
  <si>
    <t>S-T2V-BM1026</t>
  </si>
  <si>
    <t>BEAM B-20a&amp;b REINFORCEMENT DETAIL(SSL10 TO SSL19)</t>
  </si>
  <si>
    <t>S-T2V-BM1027</t>
  </si>
  <si>
    <t>BEAM B-21a&amp;b REINFORCEMENT DETAIL(SSL10 TO SSL19)</t>
  </si>
  <si>
    <t>S-T2V-BM1028</t>
  </si>
  <si>
    <t>BEAM B-22a&amp;b REINFORCEMENT DETAIL(SSL10 TO SSL19)</t>
  </si>
  <si>
    <t>S-T2V-BM1029</t>
  </si>
  <si>
    <t>BEAM B-23ab REINFORCEMENT DETAIL(SSL10 TO SSL19)</t>
  </si>
  <si>
    <t>S-T2V-BM1030</t>
  </si>
  <si>
    <t>BEAM B-25a&amp;b REINFORCEMENT DETAIL(SSL10 TO SSL19)</t>
  </si>
  <si>
    <t>S-T2V-BM1031</t>
  </si>
  <si>
    <t>S-T2V-BM1032</t>
  </si>
  <si>
    <t>BEAM B-28 &amp; B-29a&amp;b REINFORCEMENT DETAIL(SSL10 TO SSL19)</t>
  </si>
  <si>
    <t>S-T2V-BM1033</t>
  </si>
  <si>
    <t>BEAM B-30 &amp; B-31 REINFORCEMENT DETAIL(SSL10 TO SSL19)</t>
  </si>
  <si>
    <t>S-T2V-BM1034</t>
  </si>
  <si>
    <t>BEAM B-32a&amp;b REINFORCEMENT DETAIL(SSL10 TO SSL19)</t>
  </si>
  <si>
    <t>S-T2V-BM1035</t>
  </si>
  <si>
    <t>S-T2V-BM1036</t>
  </si>
  <si>
    <t>BEAM 2CB-01a&amp;b REINFORCEMENT DETAIL(SSL10 TO SSL19)</t>
  </si>
  <si>
    <t>S-T2V-BM1037</t>
  </si>
  <si>
    <t>BEAM B-36 a&amp;b  and B-37a&amp;b REINFORCEMENT DETAIL(SSL16 TO SSL19)</t>
  </si>
  <si>
    <t>S-T2V-BM1038</t>
  </si>
  <si>
    <t>BEAM B-40 REINFORCEMENT DETAIL (SSL10 TO 27)</t>
  </si>
  <si>
    <t>S-T2V-BM1039</t>
  </si>
  <si>
    <t>BEAM B-41 &amp; B-42 REINFORCEMENT DETAIL (SSL10 TO 27)</t>
  </si>
  <si>
    <t>S-T2V-BM1040</t>
  </si>
  <si>
    <t>BEAM B-43 REINFORCEMENT DETAIL (SSL10 TO 27)</t>
  </si>
  <si>
    <t>S-T2V-BM1041</t>
  </si>
  <si>
    <t>BEAM B-44 REINFORCEMENT DETAIL (SSL10 TO 27)</t>
  </si>
  <si>
    <t>S-T2V-BM1042</t>
  </si>
  <si>
    <t>BEAM B-45 &amp; B-46 REINFORCEMENT DETAIL (SSL10 TO 27)</t>
  </si>
  <si>
    <t>S-T2V-BM1045</t>
  </si>
  <si>
    <t>BEAM B-47 REINFORCEMENT DETAIL (SHEET 1 OF 2) (SSL11,15,19,23 &amp; 27)</t>
  </si>
  <si>
    <t>S-T2V-BM1046</t>
  </si>
  <si>
    <t>BEAM B-47 REINFORCEMENT DETAIL (SHEET 2 OF 2) (SSL11,15,19,23 &amp; 27)</t>
  </si>
  <si>
    <t>S-T2V-BM1047</t>
  </si>
  <si>
    <t>BEAM B-47 REINFORCEMENT DETAIL (SHEET 1 OF 2) (SSL13,17,21 &amp; 25)</t>
  </si>
  <si>
    <t>S-T2V-BM1048</t>
  </si>
  <si>
    <t>BEAM B-47 REINFORCEMENT DETAIL (SHEET 2 OF 2) (SSL13,17,21 &amp; 25)</t>
  </si>
  <si>
    <t>S-T2V-BM1049</t>
  </si>
  <si>
    <t>BEAM B-48 REINFORCEMENT DETAIL (SSL10 TO 27)</t>
  </si>
  <si>
    <t>S-T2V-BM1050</t>
  </si>
  <si>
    <t>BEAM B-49 REINFORCEMENT DETAIL (SSL10 TO 27)</t>
  </si>
  <si>
    <t>S-T2V-BM1051</t>
  </si>
  <si>
    <t>BEAM B-50-1 &amp; B-50-2 REINFORCEMENT DETAIL (SSL10 TO 27)</t>
  </si>
  <si>
    <t>S-T2V-BM1056</t>
  </si>
  <si>
    <t>BEAM B-55 REINFORCEMENT DETAIL (SSL10 TO 27)</t>
  </si>
  <si>
    <t>S-T2V-BM1057</t>
  </si>
  <si>
    <t>BEAM B-56 REINFORCEMENT DETAIL (SSL10 TO 27)</t>
  </si>
  <si>
    <t>S-T2V-BM1058</t>
  </si>
  <si>
    <t>BEAM B-57 REINFORCEMENT DETAIL (SSL10 TO 27)</t>
  </si>
  <si>
    <t>S-T2V-BM1059</t>
  </si>
  <si>
    <t>BEAM B-58 REINFORCEMENT DETAIL (SHEET 1 OF 2)(SSL10 TO 27)</t>
  </si>
  <si>
    <t>S-T2V-BM1060</t>
  </si>
  <si>
    <t>BEAM B-58 REINFORCEMENT DETAIL (SHEET 2 OF 2)(SSL10 TO 27)</t>
  </si>
  <si>
    <t>S-T2V-BM1061</t>
  </si>
  <si>
    <t>BEAM B-59 &amp; B-60 REINFORCEMENT DETAIL (SSL10 TO 27)</t>
  </si>
  <si>
    <t>S-T2V-BM1062</t>
  </si>
  <si>
    <t>BEAM B-61 REINFORCEMENT DETAIL (SSL10 TO 27)</t>
  </si>
  <si>
    <t>S-T2V-BM1065</t>
  </si>
  <si>
    <t>BEAM B-64 REINFORCEMENT DETAIL (SSL10 TO 27)</t>
  </si>
  <si>
    <t>S-T2V-BM1066</t>
  </si>
  <si>
    <t>BEAM B-68 REINFORCEMENT DETAIL (SSL11,13,15,17….27)</t>
  </si>
  <si>
    <t>S-T2V-BM1067</t>
  </si>
  <si>
    <t>BEAM B-69 REINFORCEMENT DETAIL (SSL10 TO 27)</t>
  </si>
  <si>
    <t>S-T2V-BM1068</t>
  </si>
  <si>
    <t>BEAM B-70 &amp; B-71 REINFORCEMENT DETAIL (SSL10 TO 27)</t>
  </si>
  <si>
    <t>S-T2V-BM1069</t>
  </si>
  <si>
    <t>BEAM B-72 REINFORCEMENT DETAIL (SSL10 TO 27)</t>
  </si>
  <si>
    <t>S-T2V-BM1070</t>
  </si>
  <si>
    <t>BEAM B-73 REINFORCEMENT DETAIL (SSL10 TO 27)</t>
  </si>
  <si>
    <t>S-T2V-BM1071</t>
  </si>
  <si>
    <t>BEAM B-63 REINFORCEMENT DETAIL (SSL10 TO 27)</t>
  </si>
  <si>
    <t>S-T2V-BM1074</t>
  </si>
  <si>
    <t>BEAM B-62 REINFORCEMENT DETAIL (SSL17,19,21,23,25 &amp; 27)</t>
  </si>
  <si>
    <t>S-T2V-BM2001</t>
  </si>
  <si>
    <t>BEAM B-01a&amp;b REINFORCEMENT DETAIL(SSL 20 TO SSL27)</t>
  </si>
  <si>
    <t>S-T2V-BM2002</t>
  </si>
  <si>
    <t>BEAM B-02a&amp;b REINFORCEMENT DETAIL(SSL 20 TO SSL27)</t>
  </si>
  <si>
    <t>S-T2V-BM2003</t>
  </si>
  <si>
    <t>BEAM B-03ab REINFORCEMENT DETAIL(SSL 20 TO SSL27)</t>
  </si>
  <si>
    <t>S-T2V-BM2006</t>
  </si>
  <si>
    <t>BEAM B-05ab REINFORCEMENT DETAIL(SSL 20 TO SSL27)</t>
  </si>
  <si>
    <t>S-T2V-BM2007</t>
  </si>
  <si>
    <t>BEAM B-06ab REINFORCEMENT DETAIL(SSL 20 TO SSL27)</t>
  </si>
  <si>
    <t>S-T2V-BM2010</t>
  </si>
  <si>
    <t>BEAM B-08a&amp;b REINFORCEMENT DETAIL(SSL 20 TO SSL27)</t>
  </si>
  <si>
    <t>S-T2V-BM2011</t>
  </si>
  <si>
    <t>BEAM B-09a&amp;b REINFORCEMENT DETAIL(SSL 20 TO SSL27)</t>
  </si>
  <si>
    <t>S-T2V-BM2018</t>
  </si>
  <si>
    <t>BEAM B-13a&amp;b &amp; B-14a&amp;b REINFORCEMENT DETAIL(SSL 20 TO SSL27)</t>
  </si>
  <si>
    <t>S-T2V-BM2019</t>
  </si>
  <si>
    <t>BEAM B-15a&amp;b REINFORCEMENT DETAIL(SSL 20 TO SSL27)</t>
  </si>
  <si>
    <t>S-T2V-BM2022</t>
  </si>
  <si>
    <t>BEAM B-17a&amp;b REINFORCEMENT DETAIL(SSL 20 TO SSL27)</t>
  </si>
  <si>
    <t>S-T2V-BM2025</t>
  </si>
  <si>
    <t>BEAM B-19a&amp;b REINFORCEMENT DETAIL(SSL 20 TO SSL27)</t>
  </si>
  <si>
    <t>S-T2V-BM2026</t>
  </si>
  <si>
    <t>BEAM B-20a&amp;b REINFORCEMENT DETAIL(SSL 20 TO SSL27)</t>
  </si>
  <si>
    <t>S-T2V-BM2027</t>
  </si>
  <si>
    <t>BEAM B-21a&amp;b REINFORCEMENT DETAIL(SSL 20 TO SSL27)</t>
  </si>
  <si>
    <t>S-T2V-BM2028</t>
  </si>
  <si>
    <t>BEAM B-22a&amp;b REINFORCEMENT DETAIL(SSL 20 TO SSL27)</t>
  </si>
  <si>
    <t>S-T2V-BM2029</t>
  </si>
  <si>
    <t>BEAM B-23ab REINFORCEMENT DETAIL(SSL 20 TO SSL27)</t>
  </si>
  <si>
    <t>S-T2V-BM2030</t>
  </si>
  <si>
    <t>BEAM B-25a&amp;b REINFORCEMENT DETAIL(SSL 20 TO SSL27)</t>
  </si>
  <si>
    <t>S-T2V-BM2031</t>
  </si>
  <si>
    <t>BEAM B-26 &amp; B-27 REINFORCEMENT DETAIL(SSL 20 TO SSL27)</t>
  </si>
  <si>
    <t>S-T2V-BM2032</t>
  </si>
  <si>
    <t>BEAM B-28 &amp; B-29a&amp;b REINFORCEMENT DETAIL(SSL 20 TO SSL27)</t>
  </si>
  <si>
    <t>S-T2V-BM2033</t>
  </si>
  <si>
    <t>BEAM B-30 &amp; B-31 REINFORCEMENT DETAIL(SSL 20 TO SSL27)</t>
  </si>
  <si>
    <t>S-T2V-BM2034</t>
  </si>
  <si>
    <t>BEAM B-32a&amp;b REINFORCEMENT DETAIL(SSL 20 TO SSL27)</t>
  </si>
  <si>
    <t>S-T2V-BM2035</t>
  </si>
  <si>
    <t>BEAM B-33 a&amp;b REINFORCEMENT DETAIL(SSL20 TO SSL27)</t>
  </si>
  <si>
    <t>S-T2V-BM2036</t>
  </si>
  <si>
    <t>BEAM 2CB-01a&amp;b REINFORCEMENT DETAIL(SSL 20 TO SSL27)</t>
  </si>
  <si>
    <t>S-T2V-BM2037</t>
  </si>
  <si>
    <t>BEAM B-36 a&amp;b  and B-37a&amp;b REINFORCEMENT DETAIL(SSL20 TO SSL27)</t>
  </si>
  <si>
    <t>S-T2V-BM3101</t>
  </si>
  <si>
    <t>BEAM B-01 REINFORCEMENT DETAIL(SSL31)</t>
  </si>
  <si>
    <t>S-T2V-BM3102</t>
  </si>
  <si>
    <t>BEAM B-02 REINFORCEMENT DETAIL(SSL31)</t>
  </si>
  <si>
    <t>S-T2V-BM3103</t>
  </si>
  <si>
    <t>BEAM B-03 REINFORCEMENT DETAIL(SSL31)</t>
  </si>
  <si>
    <t>S-T2V-BM3104</t>
  </si>
  <si>
    <t>BEAM B-04 REINFORCEMENT DETAIL (SSL31)</t>
  </si>
  <si>
    <t>S-T2V-BM3105</t>
  </si>
  <si>
    <t>BEAM B-05 REINFORCEMENT DETAIL(SSL31)</t>
  </si>
  <si>
    <t>S-T2V-BM3106</t>
  </si>
  <si>
    <t>BEAM B-06 REINFORCEMENT DETAIL(SSL31)</t>
  </si>
  <si>
    <t>S-T2V-BM3107</t>
  </si>
  <si>
    <t>BEAM B-07 REINFORCEMENT DETAIL(SSL31)</t>
  </si>
  <si>
    <t>S-T2V-BM3108</t>
  </si>
  <si>
    <t>BEAM B-08 REINFORCEMENT DETAIL(SSL31)</t>
  </si>
  <si>
    <t>S-T2V-BM3109</t>
  </si>
  <si>
    <t>BEAM B-09 REINFORCEMENT DETAIL(SSL31)</t>
  </si>
  <si>
    <t>S-T2V-BM3110</t>
  </si>
  <si>
    <t>BEAM B-10 REINFORCEMENT DETAIL(SSL31)</t>
  </si>
  <si>
    <t>S-T2V-BM3111</t>
  </si>
  <si>
    <t>BEAM B-11 REINFORCEMENT DETAIL(SHEET 1 OF 2)(SSL31)</t>
  </si>
  <si>
    <t>S-T2V-BM3112</t>
  </si>
  <si>
    <t>BEAM B-11 REINFORCEMENT DETAIL(SHEET 2 OF 2)(SSL31)</t>
  </si>
  <si>
    <t>S-T2V-BM3113</t>
  </si>
  <si>
    <t>BEAM B-12 REINFORCEMENT DETAIL(SHEET 1 OF 2)(SSL31)</t>
  </si>
  <si>
    <t>S-T2V-BM3114</t>
  </si>
  <si>
    <t>BEAM B-12 REINFORCEMENT DETAIL(SHEET 2 OF 2)(SSL31)</t>
  </si>
  <si>
    <t>S-T2V-BM3115</t>
  </si>
  <si>
    <t>BEAM B-13 REINFORCEMENT DETAIL(SSL31)</t>
  </si>
  <si>
    <t>S-T2V-BM3116</t>
  </si>
  <si>
    <t>BEAM B-14 REINFORCEMENT DETAIL(SSL31)</t>
  </si>
  <si>
    <t>S-T2V-BM3117</t>
  </si>
  <si>
    <t>BEAM B-15 REINFORCEMENT DETAIL(SSL31)</t>
  </si>
  <si>
    <t>S-T2V-BM3118</t>
  </si>
  <si>
    <t>BEAM B-16 REINFORCEMENT DETAIL(SSL31)</t>
  </si>
  <si>
    <t>S-T2V-BM3119</t>
  </si>
  <si>
    <t>BEAM B-17 REINFORCEMENT DETAIL(SSL31)</t>
  </si>
  <si>
    <t>S-T2V-BM3120</t>
  </si>
  <si>
    <t>BEAM B-18 REINFORCEMENT DETAIL(SSL31)</t>
  </si>
  <si>
    <t>S-T2V-BM3121</t>
  </si>
  <si>
    <t>BEAM B-19 REINFORCEMENT DETAIL(SSL31)</t>
  </si>
  <si>
    <t>S-T2V-BM3122</t>
  </si>
  <si>
    <t>BEAM B-20 REINFORCEMENT DETAIL(SSL31)</t>
  </si>
  <si>
    <t>S-T2V-BM3123</t>
  </si>
  <si>
    <t>BEAM B-21 REINFORCEMENT DETAIL(SSL31)</t>
  </si>
  <si>
    <t>S-T2V-BM3124</t>
  </si>
  <si>
    <t>BEAM B-22 REINFORCEMENT DETAIL(SSL31)</t>
  </si>
  <si>
    <t>S-T2V-BM3125</t>
  </si>
  <si>
    <t>BEAM B-23 REINFORCEMENT DETAIL(SSL31)</t>
  </si>
  <si>
    <t>S-T2V-BM3126</t>
  </si>
  <si>
    <t>BEAM B-25 REINFORCEMENT DETAIL(SSL31)</t>
  </si>
  <si>
    <t>S-T2V-BM3127</t>
  </si>
  <si>
    <t>BEAM B-26 &amp; B-27 REINFORCEMENT DETAIL(SSL31)</t>
  </si>
  <si>
    <t>S-T2V-BM3128</t>
  </si>
  <si>
    <t>BEAM B-24 &amp; B-29 REINFORCEMENT DETAIL(SSL31)</t>
  </si>
  <si>
    <t>S-T2V-BM3129</t>
  </si>
  <si>
    <t>BEAM B-28 &amp; B-31 REINFORCEMENT DETAIL(SSL31)</t>
  </si>
  <si>
    <t>S-T2V-BM3130</t>
  </si>
  <si>
    <t>BEAM B-32 REINFORCEMENT DETAIL(SSL31)</t>
  </si>
  <si>
    <t>S-T2V-BM3131</t>
  </si>
  <si>
    <t>BEAM B-33 REINFORCEMENT DETAIL(SSL31)</t>
  </si>
  <si>
    <t>S-T2V-BM3132</t>
  </si>
  <si>
    <t>BEAM B-36 &amp; B-37 REINFORCEMENT DETAIL(SSL31)</t>
  </si>
  <si>
    <t>S-T2V-BM3140</t>
  </si>
  <si>
    <t>BEAM B-40 REINFORCEMENT DETAIL (SSL31)</t>
  </si>
  <si>
    <t>S-T2V-BM3141</t>
  </si>
  <si>
    <t>BEAM B-41 &amp; B-42 REINFORCEMENT DETAIL (SSL31)</t>
  </si>
  <si>
    <t>S-T2V-BM3142</t>
  </si>
  <si>
    <t>BEAM B-43 REINFORCEMENT DETAIL(SSL31)</t>
  </si>
  <si>
    <t>S-T2V-BM3143</t>
  </si>
  <si>
    <t>BEAM B-44 REINFORCEMENT DETAIL(SSL31)</t>
  </si>
  <si>
    <t>S-T2V-BM3144</t>
  </si>
  <si>
    <t>BEAM B-45 REINFORCEMENT DETAIL(SSL31)</t>
  </si>
  <si>
    <t>S-T2V-BM3150</t>
  </si>
  <si>
    <t>BEAM B-49 REINFORCEMENT DETAIL(SSL31)</t>
  </si>
  <si>
    <t>S-T2V-BM3151</t>
  </si>
  <si>
    <t>BEAM B-50 REINFORCEMENT DETAIL(SSL31)</t>
  </si>
  <si>
    <t>S-T2V-BM3152</t>
  </si>
  <si>
    <t>BEAM B-51 REINFORCEMENT DETAIL(SSL31)</t>
  </si>
  <si>
    <t>S-T2V-BM3153</t>
  </si>
  <si>
    <t>BEAM B-52 REINFORCEMENT DETAIL(SSL31)</t>
  </si>
  <si>
    <t>S-T2V-BM3154</t>
  </si>
  <si>
    <t>BEAM B-53 REINFORCEMENT DETAIL(SSL31)</t>
  </si>
  <si>
    <t>S-T2V-BM3156</t>
  </si>
  <si>
    <t>BEAM B-54 REINFORCEMENT DETAIL (SSL31)</t>
  </si>
  <si>
    <t>S-T2V-BM3158</t>
  </si>
  <si>
    <t>BEAM B-55 REINFORCEMENT DETAIL(SSL31)</t>
  </si>
  <si>
    <t>S-T2V-BM3159</t>
  </si>
  <si>
    <t>BEAM B-56 REINFORCEMENT DETAIL(SSL31)</t>
  </si>
  <si>
    <t>S-T2V-BM3160</t>
  </si>
  <si>
    <t>BEAM B-57 REINFORCEMENT DETAIL(SSL31)</t>
  </si>
  <si>
    <t>S-T2V-BM3161</t>
  </si>
  <si>
    <t>BEAM B-58 REINFORCEMENT DETAIL(SSL31)</t>
  </si>
  <si>
    <t>S-T2V-BM3162</t>
  </si>
  <si>
    <t>BEAM B-59 REINFORCEMENT DETAIL(SSL31)</t>
  </si>
  <si>
    <t>S-T2V-BM3163</t>
  </si>
  <si>
    <t>BEAM B-60 &amp; B-61 REINFORCEMENT DETAIL(SSL31)</t>
  </si>
  <si>
    <t>S-T2V-BM3164</t>
  </si>
  <si>
    <t>BEAM B-62 REINFORCEMENT DETAIL(SSL31)</t>
  </si>
  <si>
    <t>S-T2V-BM3166</t>
  </si>
  <si>
    <t>BEAM B-63 REINFORCEMENT DETAIL (SSL31)</t>
  </si>
  <si>
    <t>S-T2V-BM3167</t>
  </si>
  <si>
    <t>BEAM B-64 REINFORCEMENT DETAIL(SSL31)</t>
  </si>
  <si>
    <t>S-T2V-BM3168</t>
  </si>
  <si>
    <t>BEAM B-65 REINFORCEMENT DETAIL(SSL31)</t>
  </si>
  <si>
    <t>S-T2V-BM3169</t>
  </si>
  <si>
    <t>BEAM B-66 REINFORCEMENT DETAIL(SSL31)</t>
  </si>
  <si>
    <t>S-T2V-BM3170</t>
  </si>
  <si>
    <t>BEAM B-67 REINFORCEMENT DETAIL(SSL31)</t>
  </si>
  <si>
    <t>S-T2V-BM3171</t>
  </si>
  <si>
    <t>BEAM B-69 REINFORCEMENT DETAIL(SSL31)</t>
  </si>
  <si>
    <t>S-T2V-BM3172</t>
  </si>
  <si>
    <t>BEAM B-68 REINFORCEMENT DETAIL(SSL31)</t>
  </si>
  <si>
    <t>S-T2V-SB0201</t>
  </si>
  <si>
    <t>C20 Portion - Plan showing Slab Bottom Reinforcement for SSL 2 to SSL 27</t>
  </si>
  <si>
    <t>S-T2V-SB0202</t>
  </si>
  <si>
    <t>C20 Portion - BBS of Slab Bottom Reinforcement for SSL 2 to SSL 27</t>
  </si>
  <si>
    <t>S-T2V-SB0203</t>
  </si>
  <si>
    <t>C20 Portion - Plan showing Slab Top Reinforcement for SSL 2 to SSL 27</t>
  </si>
  <si>
    <t>S-T2V-SB0204</t>
  </si>
  <si>
    <t>C20 Portion - BBS of Slab Top Reinforcement for SSL 2 to SSL 27</t>
  </si>
  <si>
    <t>S-T2V-SB0205</t>
  </si>
  <si>
    <t>C20 Portion - Plan showing Slab Torsion Reinforcement for SSL 2 to SSL 27</t>
  </si>
  <si>
    <t>S-T2V-SB0206</t>
  </si>
  <si>
    <t>L30 Portion-Plan showing Internal Slabs Bottom Reinforcement for SSL 02&amp; 07</t>
  </si>
  <si>
    <t>S-T2V-SB0207</t>
  </si>
  <si>
    <t>L30 Portion-Plan showing Internal Slabs Top Reinforcement for SSL 02&amp; 07</t>
  </si>
  <si>
    <t>S-T2V-SB0208</t>
  </si>
  <si>
    <t>L30 Portion-BBS of Internal Slabs  for SSL 02&amp; 07</t>
  </si>
  <si>
    <t>S-T2V-SB0209</t>
  </si>
  <si>
    <t>L30 Portion-Plan showing Terrace Garden Slabs Reinforcement for SSL 02&amp; 07</t>
  </si>
  <si>
    <t>S-T2V-SB0210</t>
  </si>
  <si>
    <t>L30 Portion-Plan showing Internal Slabs Bottom Reinforcement for SSL 03,04,05,06,08 &amp; 09</t>
  </si>
  <si>
    <t>S-T2V-SB0211</t>
  </si>
  <si>
    <t>L30 Portion-Plan showing Internal Slabs Top Reinforcement for SSL 03,04,05,06,08 &amp; 09</t>
  </si>
  <si>
    <t>S-T2V-SB0212</t>
  </si>
  <si>
    <t>L30 Portion-BBS of Internal Slabs  for SSL 03,04,05,06,08 &amp; 09</t>
  </si>
  <si>
    <t>S-T2V-SB0213</t>
  </si>
  <si>
    <t>L30 Portion-Plan showing Terrace Garden Slabs Reinforcement for SSL 03 &amp; 05</t>
  </si>
  <si>
    <t>S-T2V-SB0215</t>
  </si>
  <si>
    <t>L30 Portion-Plan showing Terrace Garden Slabs Bottom Reinforcement for SSL 08 &amp; 09</t>
  </si>
  <si>
    <t>S-T2V-SB0216</t>
  </si>
  <si>
    <t>L30 Portion-Plan showing Terrace Garden Slabs Top Reinforcement for SSL 08 &amp; 09</t>
  </si>
  <si>
    <t>S-T2V-SB0217</t>
  </si>
  <si>
    <t>L30 Portion-Plan showing Torsion Reinforcement for SSL 02 &amp; 09</t>
  </si>
  <si>
    <t>S-T2V-SB0501</t>
  </si>
  <si>
    <t xml:space="preserve">Plan showing slab reinforcement  for L30 Portion of SSL05 </t>
  </si>
  <si>
    <t>S-T2V-SB0701</t>
  </si>
  <si>
    <t>L30 Portion - Plan Showing Slab Bottom Reinforcement for SSL07</t>
  </si>
  <si>
    <t>S-T2V-SB0702</t>
  </si>
  <si>
    <t>L30 Portion - Plan Showing Slab Top Reinforcement for SSL07</t>
  </si>
  <si>
    <t>S-T2V-SB0703</t>
  </si>
  <si>
    <t>L30 Portion -BBS for Slab Reinforcement for SSL07</t>
  </si>
  <si>
    <t>S-T2V-SB0901</t>
  </si>
  <si>
    <t>L30 Portion - Plan Showing Slab Bottom Reinforcement for SSL09</t>
  </si>
  <si>
    <t>S-T2V-SB0902</t>
  </si>
  <si>
    <t>L30 Portion - Plan Showing Slab Top Reinforcement for SSL09</t>
  </si>
  <si>
    <t>S-T2V-SB0903</t>
  </si>
  <si>
    <t>L30 Portion -BBS for Slab Reinforcement for SSL09</t>
  </si>
  <si>
    <t>S-T2V-SB0904</t>
  </si>
  <si>
    <t>L30 Portion - Plan Showing Torsion Reinforcement for SSL09</t>
  </si>
  <si>
    <t>S-T2V-SB1001</t>
  </si>
  <si>
    <t>L30-PORTION-PLAN SHOWING INTERNAL SLABS BOTTOM REINFORCEMENT FOR SSL10 TO SSL15</t>
  </si>
  <si>
    <t>S-T2V-SB1002</t>
  </si>
  <si>
    <t>L30-PORTION-PLAN SHOWING INTERNAL SLABS TOP REINFORCEMENT FOR SSL10 TO SSL15</t>
  </si>
  <si>
    <t>S-T2V-SB1003</t>
  </si>
  <si>
    <t>L30-PORTION-INTERNAL SLABS BBS FOR SSL10 TO SSL15</t>
  </si>
  <si>
    <t>S-T2V-SB1005</t>
  </si>
  <si>
    <t>L30-PORTION-PLAN SHOWING TERRACE GARDEN SLABS BOTTOM &amp; TOP REINFORCEMENT FOR SSL11,13,15</t>
  </si>
  <si>
    <t>S-T2V-SB1006</t>
  </si>
  <si>
    <t>L30-PORTION-TERRACE GARDEN SLABS BBS FOR SSL10 TO SSL15</t>
  </si>
  <si>
    <t>S-T2V-SB1601</t>
  </si>
  <si>
    <t>L30-PORTION-PLAN SHOWING INTERNAL SLABS BOTTOM REINFORCEMENT FOR SSL16 TO SSL27</t>
  </si>
  <si>
    <t>S-T2V-SB1602</t>
  </si>
  <si>
    <t>L30-PORTION-PLAN SHOWING INTERNAL SLABS TOP REINFORCEMENT FOR SSL16 TO SSL27</t>
  </si>
  <si>
    <t>S-T2V-SB1603</t>
  </si>
  <si>
    <t>L30-PORTION-INTERNAL SLABS BBS FOR SSL16 TO SSL27</t>
  </si>
  <si>
    <t>S-T2V-SB1605</t>
  </si>
  <si>
    <t>L30-PORTION-PLAN SHOWING TERRACE GARDEN SLABS BOTTOM &amp; TOP REINFORCEMENT FOR SSL17,19,21,23,25&amp;27</t>
  </si>
  <si>
    <t>S-T2V-SB1606</t>
  </si>
  <si>
    <t>L30-PORTION-TERRACE GARDEN SLABS BBS FOR SSL16 TO SSL27</t>
  </si>
  <si>
    <t>S-T2V-SB3101</t>
  </si>
  <si>
    <t>PLAN SHOWING BOTTOM REINFORCEMENT FOR SSL31</t>
  </si>
  <si>
    <t>S-T2V-SB3102</t>
  </si>
  <si>
    <t>PLAN SHOWING TOP REINFORCEMENT FOR SSL31</t>
  </si>
  <si>
    <t>S-T2V-SL0201</t>
  </si>
  <si>
    <t>C-20 Portion-Plan Showing Sleeves at SSL 02 to SSL 27 (Sheet 1)</t>
  </si>
  <si>
    <t>S-T2V-SL0203</t>
  </si>
  <si>
    <t>L30 portion plan showing SERVICES sleeves(SSL02, 03, 04 &amp; 06) (SHEET 1 OF 5)</t>
  </si>
  <si>
    <t>S-T2V-SL0204</t>
  </si>
  <si>
    <t>L30 portion plan showing LANDSCAPING sleeves at even and odd typical levels(SHEET 2 OF 5)</t>
  </si>
  <si>
    <t>S-T2V-SL0205</t>
  </si>
  <si>
    <t>L30 portion plan showing LANDSCAPING sleeves at even and odd typical levels(SHEET 3 OF 5)</t>
  </si>
  <si>
    <t>S-T2V-SL0206</t>
  </si>
  <si>
    <t>L30 portion sleeve details for SSL02, 03, 04 &amp; 06  (SHEET 4 OF 5)</t>
  </si>
  <si>
    <t>S-T2V-SL0207</t>
  </si>
  <si>
    <t>L30 portion sleeve details for SSL02, 03, 04 &amp; 06 (SHEET 5 OF 5)</t>
  </si>
  <si>
    <t>S-T2V-SL0501</t>
  </si>
  <si>
    <t xml:space="preserve">Plan showing sleeves at SSL05-Pedestrian Bridge </t>
  </si>
  <si>
    <t>S-T2V-SL0901</t>
  </si>
  <si>
    <t>Plan Showing L30 Portion Sleeves for SSL09</t>
  </si>
  <si>
    <t>S-T2V-SL0902</t>
  </si>
  <si>
    <t>L30 Portion Sleeve Details for SSLSSL09</t>
  </si>
  <si>
    <t>S-T2V-SL0903</t>
  </si>
  <si>
    <t>Plan Showing Core-Cut Details in SSL09 Beams (For Sales Lounge)</t>
  </si>
  <si>
    <t>S-T2V-SL1001</t>
  </si>
  <si>
    <t>L30 Portion Plan Showing Sleeves (SSL 10 to SSL 15) (Sheet 1 of 3)</t>
  </si>
  <si>
    <t>S-T2V-SL1002</t>
  </si>
  <si>
    <t>L30 Portion Sleeve Details for SSL 10 to SSL 27- (Sheet 2 of 3)</t>
  </si>
  <si>
    <t>S-T2V-SL1003</t>
  </si>
  <si>
    <t>L30 Portion Sleeve Details for SSL 10 to SSL 15- (Sheet 3 of 3)</t>
  </si>
  <si>
    <t>S-T2V-SL3002</t>
  </si>
  <si>
    <t>L30 Portion Sleeve Details for SSL30(sheet 1)</t>
  </si>
  <si>
    <t>S-T2V-SL3102</t>
  </si>
  <si>
    <t>C-20 Portion-Sleeves Reinf. Details for SSL 31</t>
  </si>
  <si>
    <t>S-T2V-SL3101</t>
  </si>
  <si>
    <t>L30 PORTION PLAN SSHOWING SLEEVES AT SSL31</t>
  </si>
  <si>
    <t>S-T2V-SL3103</t>
  </si>
  <si>
    <t>L30 PORTION SLEEVE REINFORCEMENT DETAILS FOR SSL31</t>
  </si>
  <si>
    <t>S-T2V-FP3001</t>
  </si>
  <si>
    <t>FRAMING PLAN AT SSL30</t>
  </si>
  <si>
    <t>ST-T2V-9</t>
  </si>
  <si>
    <t>S-T2V-FP3202</t>
  </si>
  <si>
    <t>OHT- PLAN AT BASE &amp; ROOF LEVELS AND SECTIONS</t>
  </si>
  <si>
    <t>S-T2V-JB0001</t>
  </si>
  <si>
    <t>T2V JIB REINFORCEMENT DETAILS</t>
  </si>
  <si>
    <t>S-T2V-SB3001</t>
  </si>
  <si>
    <t>L30 PORTION - PLAN SHOWING BOTTOM REINFORCEMENT FOR SSL30</t>
  </si>
  <si>
    <t>S-T2V-SB3002</t>
  </si>
  <si>
    <t>L30 PORTION - PLAN SHOWING TOP REINFORCEMENT FOR SSL30</t>
  </si>
  <si>
    <t>S-T2V-SB3003</t>
  </si>
  <si>
    <t>L30 PORTION -BBS FOR TOP &amp; BOTTOM REINFORCEMENT OF SSL30</t>
  </si>
  <si>
    <t>S-T2V-SL3001</t>
  </si>
  <si>
    <t>L30 Portion Plan Showing Sleeves at SSL30</t>
  </si>
  <si>
    <t>S-T2V-MS0005</t>
  </si>
  <si>
    <t>TOWER1 AND TOWER2 CONNECTING METAL STAIRCASE DETAIL</t>
  </si>
  <si>
    <t>S-T2V-MS0006</t>
  </si>
  <si>
    <t>S-T2S-FD0001</t>
  </si>
  <si>
    <t>ST-T2S-1</t>
  </si>
  <si>
    <t>S-T2S-FD0002</t>
  </si>
  <si>
    <t>Foundation Sections</t>
  </si>
  <si>
    <t>S-T2S-FD0003</t>
  </si>
  <si>
    <t>Table of Reinf. For Isolated Footing</t>
  </si>
  <si>
    <t>S-T2S-FD0004</t>
  </si>
  <si>
    <t>Foundation details for F18 &amp; F19</t>
  </si>
  <si>
    <t>S-T2S-RW0001</t>
  </si>
  <si>
    <t>Retaining wall reinforcement details(Earth Side) along grid 2-A</t>
  </si>
  <si>
    <t>S-T2S-RW0002</t>
  </si>
  <si>
    <t>Retaining wall reinforcement details(Basement Side) along grid 2-A</t>
  </si>
  <si>
    <t>S-T2S-RW0003</t>
  </si>
  <si>
    <t>Retaining wall column &amp; beam details along grid 2-A</t>
  </si>
  <si>
    <t>S-T2S-RW0004</t>
  </si>
  <si>
    <t>Retaining Wall Details(4 OF 6)</t>
  </si>
  <si>
    <t>S-T2S-RW0005</t>
  </si>
  <si>
    <t>Retaining Wall Details(5 OF 6)</t>
  </si>
  <si>
    <t>S-T2S-RW0006</t>
  </si>
  <si>
    <t>Retaining Wall Details(6 OF 6)</t>
  </si>
  <si>
    <t>S-T2S-RW0007</t>
  </si>
  <si>
    <t>Retaining Wall cutout reinforcement Details</t>
  </si>
  <si>
    <t>S-T2S-RW0008</t>
  </si>
  <si>
    <t>Retaining Wall cutout reinforcement Details along Grid 2A</t>
  </si>
  <si>
    <t>S-T2S-RW0009</t>
  </si>
  <si>
    <t>Retaining Wall  section Details along Grid 2A</t>
  </si>
  <si>
    <t>S-T2S-RW0010</t>
  </si>
  <si>
    <t>Retaining Wall Details along Grid 2A</t>
  </si>
  <si>
    <t>S-T2S-RW0011</t>
  </si>
  <si>
    <t>Ramp Retaining Wall Details</t>
  </si>
  <si>
    <t>S-T2S-RW0012</t>
  </si>
  <si>
    <t>Ramp Retaining Wall Reinforcement Details (Earth Side)</t>
  </si>
  <si>
    <t>S-T2S-RW0013</t>
  </si>
  <si>
    <t>Ramp Retaining Wall Reinforcement Details (Basement Side)</t>
  </si>
  <si>
    <t>S-T2S-RW0014</t>
  </si>
  <si>
    <t>Ramp Retaining Wall- Footing Section Details</t>
  </si>
  <si>
    <t>S-T2S-RW0015</t>
  </si>
  <si>
    <t>Ramp Retaining wall-1</t>
  </si>
  <si>
    <t>S-T2S-RW0016</t>
  </si>
  <si>
    <t>Reinforcement detail(Earth side)-wall-1</t>
  </si>
  <si>
    <t>S-T2S-RW0017</t>
  </si>
  <si>
    <t>Reinforcement detail(Basement side)-wall-1</t>
  </si>
  <si>
    <t>S-T2S-RW0018</t>
  </si>
  <si>
    <t>Ramp Retaining wall -2</t>
  </si>
  <si>
    <t>S-T2S-RW0019</t>
  </si>
  <si>
    <t>Reinforcement detail(Basement side)-wall-2</t>
  </si>
  <si>
    <t>S-T2S-RW0020</t>
  </si>
  <si>
    <t>Reinforcement detail(Earth side)-wall-2</t>
  </si>
  <si>
    <t>S-T2S-RW0021</t>
  </si>
  <si>
    <t>Ramp Retaining wall section details</t>
  </si>
  <si>
    <t>S-T2S-RW0022</t>
  </si>
  <si>
    <t>Ramp Retaining Wall-1  footing section details</t>
  </si>
  <si>
    <t>S-T2S-RW0023</t>
  </si>
  <si>
    <t>Ramp Retaining Wall-2  footing section details</t>
  </si>
  <si>
    <t>S-T2S-FD0101</t>
  </si>
  <si>
    <t>Foundation details for CF1</t>
  </si>
  <si>
    <t>S-T2S-FD0201</t>
  </si>
  <si>
    <t>Foundation details for CF2(1 of 2)</t>
  </si>
  <si>
    <t>S-T2S-FD0202</t>
  </si>
  <si>
    <t>Foundation details for CF2(2 of 2)</t>
  </si>
  <si>
    <t>S-T2S-FD0301</t>
  </si>
  <si>
    <t>Foundation details for CF3(1 of 2)</t>
  </si>
  <si>
    <t>S-T2S-FD0302</t>
  </si>
  <si>
    <t>Foundation details for CF3(2 of 2)</t>
  </si>
  <si>
    <t>S-T2S-FD0401</t>
  </si>
  <si>
    <t>Foundation details for CF4(1 of 2)</t>
  </si>
  <si>
    <t>S-T2S-FD0402</t>
  </si>
  <si>
    <t>Foundation details for CF4(2 of 2)</t>
  </si>
  <si>
    <t>S-T2S-FD0501</t>
  </si>
  <si>
    <t>Foundation details for CF5(1 of 2)</t>
  </si>
  <si>
    <t>S-T2S-FD0502</t>
  </si>
  <si>
    <t>Foundation details for CF5(2 of 2)</t>
  </si>
  <si>
    <t>S-T2S-FD0601</t>
  </si>
  <si>
    <t>Foundation details for CF6</t>
  </si>
  <si>
    <t>S-T2S-FD0701</t>
  </si>
  <si>
    <t>Foundation details for CF7</t>
  </si>
  <si>
    <t>S-T2S-FD0801</t>
  </si>
  <si>
    <t>Foundation details for CF8a</t>
  </si>
  <si>
    <t>S-T2S-FD0802</t>
  </si>
  <si>
    <t>Foundation details for CF8b</t>
  </si>
  <si>
    <t>S-T2S-FD0901</t>
  </si>
  <si>
    <t>Foundation details for CF9(1 of 2)</t>
  </si>
  <si>
    <t>S-T2S-FD0902</t>
  </si>
  <si>
    <t>Foundation details for CF9(2 of 2)</t>
  </si>
  <si>
    <t>S-T2S-FD1101</t>
  </si>
  <si>
    <t>Foundation details for CF11(1 of 2)</t>
  </si>
  <si>
    <t>S-T2S-FD1001</t>
  </si>
  <si>
    <t>Foundation details for CF10(1of 5)</t>
  </si>
  <si>
    <t>S-T2S-FD1002</t>
  </si>
  <si>
    <t>Foundation details for CF10(2of 5)</t>
  </si>
  <si>
    <t>S-T2S-FD1003</t>
  </si>
  <si>
    <t>Foundation details for CF10(3of 5)</t>
  </si>
  <si>
    <t>S-T2S-FD1004</t>
  </si>
  <si>
    <t>Foundation details for CF10(4of 5)</t>
  </si>
  <si>
    <t>S-T2S-FD1005</t>
  </si>
  <si>
    <t>Foundation details for CF10(5of 5)</t>
  </si>
  <si>
    <t>S-T2S-FD1102</t>
  </si>
  <si>
    <t>Foundation details for CF11(2 of 2)</t>
  </si>
  <si>
    <t>S-T2S-FD1201</t>
  </si>
  <si>
    <t>Foundation details for CF12</t>
  </si>
  <si>
    <t>S-T2S-FD1401</t>
  </si>
  <si>
    <t>Foundation details for CF14(1 of 2)</t>
  </si>
  <si>
    <t>S-T2S-FD1402</t>
  </si>
  <si>
    <t>Foundation details for CF14(2 of 2)</t>
  </si>
  <si>
    <t>S-T2S-FD1501</t>
  </si>
  <si>
    <t>Foundation details for CF15(1 of 2)</t>
  </si>
  <si>
    <t>S-T2S-FD1502</t>
  </si>
  <si>
    <t>Foundation details for CF15(2 of 2)</t>
  </si>
  <si>
    <t>S-T2S-FD1301</t>
  </si>
  <si>
    <t>Foundation details for CF13</t>
  </si>
  <si>
    <t>S-T2S-WT0101</t>
  </si>
  <si>
    <t>Storm Water Sump Details (Sheet 01)</t>
  </si>
  <si>
    <t>S-T2S-WT0102</t>
  </si>
  <si>
    <t>Storm Water Sump Details (Sheet 02)</t>
  </si>
  <si>
    <t>S-T2S-CL0001</t>
  </si>
  <si>
    <t>Column General Details</t>
  </si>
  <si>
    <t>S-T2S-CL0002</t>
  </si>
  <si>
    <t>Column Lapping Details</t>
  </si>
  <si>
    <t>S-T2S-CL0003</t>
  </si>
  <si>
    <t>Typical Coupler Location Details</t>
  </si>
  <si>
    <t>S-T2S-CL0004</t>
  </si>
  <si>
    <t>Column reinforcement detail- 2SC1a, 2SC2a, 2SC3a, 2SC4a, 2SC4b &amp; 2SC3b (FOUNDATION TO 4TH SSL)</t>
  </si>
  <si>
    <t>S-T2S-CL0005</t>
  </si>
  <si>
    <t>Column reinforcement detail- 2SC5a, 2SC6a, 2SC7a &amp; 2SC8a (FOUNDATION TO 4TH SSL)</t>
  </si>
  <si>
    <t>S-T2S-CL0006</t>
  </si>
  <si>
    <t>Column reinforcement detail- 2SC8b, 2SC7b, 2SC6b, 2SC5b &amp; 2SC9a (FOUNDATION TO 4TH SSL)</t>
  </si>
  <si>
    <t>S-T2S-CL0007</t>
  </si>
  <si>
    <t>Column reinforcement detail- 2SC10a, 2SC11a, 2SC12a &amp; 2SC12b (FOUNDATION TO 4TH SSL)</t>
  </si>
  <si>
    <t>S-T2S-CL0008</t>
  </si>
  <si>
    <t>Column reinforcement detail- 2SC11b, 2SC10b, 2SC9b &amp; 2SC13a (FOUNDATION TO 4TH SSL)</t>
  </si>
  <si>
    <t>S-T2S-CL0009</t>
  </si>
  <si>
    <t>Column reinforcement detail- 2SC14a, 2SC15a, 2SC16a &amp; 2SC16b (FOUNDATION TO 4TH SSL)</t>
  </si>
  <si>
    <t>S-T2S-CL0010</t>
  </si>
  <si>
    <t>Column reinforcement detail- 2SC15b, 2SC14b, 2SC13b &amp; 2SC17a (FOUNDATION TO 4TH SSL)</t>
  </si>
  <si>
    <t>S-T2S-CL0011</t>
  </si>
  <si>
    <t>Column reinforcement detail- 2SC18a, 2SC19, 2SC21a &amp; 2SC22a (FOUNDATION TO 4TH SSL)</t>
  </si>
  <si>
    <t>S-T2S-CL0012</t>
  </si>
  <si>
    <t>Column reinforcement detail- 2SC23, 2SC25a, 2SC26a &amp; 2SC27a (FOUNDATION TO 4TH SSL)</t>
  </si>
  <si>
    <t>S-T2S-CL0013</t>
  </si>
  <si>
    <t>Column reinforcement detail- 2SC28a, 2SC28b, 2SC27b &amp; 2SC29a (FOUNDATION TO 4TH SSL)</t>
  </si>
  <si>
    <t>S-T2S-CL0014</t>
  </si>
  <si>
    <t>Column reinforcement detail- 2SC30a, 2SC31a, 2SC32a, 2SC32b &amp; 2SC31b (FOUNDATION TO 4TH SSL)</t>
  </si>
  <si>
    <t>S-T2S-CL0015</t>
  </si>
  <si>
    <t>Column reinforcement detail- 2SW1 &amp; 2SC50 (FOUNDATION TO 4TH SSL)</t>
  </si>
  <si>
    <t>S-T2S-CL0016</t>
  </si>
  <si>
    <t>Column reinforcement detail- 2SW2 (FOUNDATION TO 4TH SSL)</t>
  </si>
  <si>
    <t>S-T2S-CL0017</t>
  </si>
  <si>
    <t>Column reinforcement detail- 2SW3 &amp; 2SC35 (FOUNDATION TO 4TH SSL)</t>
  </si>
  <si>
    <t>S-T2S-CL0018</t>
  </si>
  <si>
    <t>Column reinforcement detail- 2SC36, 2SC37, 2SC38 &amp; 2SC39 (FOUNDATION TO 4TH SSL)</t>
  </si>
  <si>
    <t>S-T2S-CL0019</t>
  </si>
  <si>
    <t>Column reinforcement detail- 2SC40, 2SC41, 2SC42 &amp; 2SC43 (FOUNDATION TO 4TH SSL)</t>
  </si>
  <si>
    <t>S-T2S-CL0020</t>
  </si>
  <si>
    <t>Column reinforcement detail- 2SC44, 2SC45 &amp; 2SC46 (FOUNDATION TO 4TH SSL)</t>
  </si>
  <si>
    <t>S-T2S-CL0021</t>
  </si>
  <si>
    <t>Column reinforcement detail- 2SC47, 2SC48 &amp; 2SC49 (FOUNDATION TO 4TH SSL)</t>
  </si>
  <si>
    <t>S-T2S-CL0022</t>
  </si>
  <si>
    <t>Column reinforcement detail- 2SC7a, 2SC8a, 2SC8b, 2SC7b &amp; 2SC9a (4TH SSL TO 8TH SSL)</t>
  </si>
  <si>
    <t>S-T2S-CL0023</t>
  </si>
  <si>
    <t>Column reinforcement detail- 2SC10a, 2SC11a, 2SC12a &amp; 2SC12b (4TH SSL TO 8TH SSL)</t>
  </si>
  <si>
    <t>S-T2S-CL0024</t>
  </si>
  <si>
    <t>Column reinforcement detail- 2SC11b, 2SC10b, 2SC9b &amp; 2SC13a (4TH SSL TO 8TH SSL)</t>
  </si>
  <si>
    <t>S-T2S-CL0025</t>
  </si>
  <si>
    <t>Column reinforcement detail- 2SC14a, 2SC15a, 2SC16a &amp; 2SC16b (4TH SSL TO 8TH SSL)</t>
  </si>
  <si>
    <t>S-T2S-CL0026</t>
  </si>
  <si>
    <t>Column reinforcement detail- 2SC15b, 2SC14b, 2SC13b &amp; 2SC17a (4TH SSL TO 8TH SSL)</t>
  </si>
  <si>
    <t>S-T2S-CL0027</t>
  </si>
  <si>
    <t>Column reinforcement detail- 2SC18a, 2SC19, 2SC21a &amp; 2SC22a (4TH SSL TO 8TH SSL)</t>
  </si>
  <si>
    <t>S-T2S-CL0028</t>
  </si>
  <si>
    <t>Column reinforcement detail- 2SC23, 2SC25a, 2SC26a &amp; 2SC27a (4TH SSL TO 8TH SSL)</t>
  </si>
  <si>
    <t>S-T2S-CL0029</t>
  </si>
  <si>
    <t>Column reinforcement detail- 2SC28a, 2SC28b, 2SC27b &amp; 2SC29a (4TH SSL TO 8TH SSL)</t>
  </si>
  <si>
    <t>S-T2S-CL0030</t>
  </si>
  <si>
    <t>Column reinforcement detail- 2SC30a, 2SC31a, 2SC32a, 2SC32b &amp; 2SC31b (4TH SSL TO 8TH SSL)</t>
  </si>
  <si>
    <t>S-T2S-CL0031</t>
  </si>
  <si>
    <t>Column reinforcement detail- 2SW1 &amp; 2SC50 (4TH SSL TO 8TH SSL)</t>
  </si>
  <si>
    <t>S-T2S-CL0032</t>
  </si>
  <si>
    <t>Column reinforcement detail- 2SW2 (4TH SSL TO 8TH SSL)</t>
  </si>
  <si>
    <t>S-T2S-CL0033</t>
  </si>
  <si>
    <t>Column reinforcement detail- 2SW3 &amp; 2SC35 (4TH SSL TO 8TH SSL)</t>
  </si>
  <si>
    <t>S-T2S-CL0034</t>
  </si>
  <si>
    <t>Column reinforcement detail- 2SC36, 2SC37, 2SC38 &amp; 2SC39 (4TH SSL TO 8TH SSL)</t>
  </si>
  <si>
    <t>S-T2S-CL0035</t>
  </si>
  <si>
    <t>Column reinforcement detail- 2SC40, 2SC41, 2SC42 &amp; 2SC43 (4TH SSL TO 8TH SSL)</t>
  </si>
  <si>
    <t>S-T2S-CL0036</t>
  </si>
  <si>
    <t>Column reinforcement detail- 2SC44, 2SC45 &amp; 2SC46 (4TH SSL TO 8TH SSL)</t>
  </si>
  <si>
    <t>S-T2S-CL0037</t>
  </si>
  <si>
    <t>Column reinforcement detail- 2SC47, 2SC48 &amp; 2SC49 (4TH SSL TO 8TH SSL)</t>
  </si>
  <si>
    <t>S-T2S-CL0038</t>
  </si>
  <si>
    <t>Lift core wall details (Sheet 1 of 3)</t>
  </si>
  <si>
    <t>S-T2S-CL0039</t>
  </si>
  <si>
    <t>Lift core wall details (Sheet 2of 3)</t>
  </si>
  <si>
    <t>S-T2S-CL0040</t>
  </si>
  <si>
    <t>Lift core wall details (Sheet 3 of 3)</t>
  </si>
  <si>
    <t>S-T2S-CL0041</t>
  </si>
  <si>
    <t>Floating column details</t>
  </si>
  <si>
    <t>S-T2S-CL0042</t>
  </si>
  <si>
    <t>Typical Coupler Location and Lapping Details for Columns in CF9 &amp; CF10</t>
  </si>
  <si>
    <t>S-T2S-CL0043</t>
  </si>
  <si>
    <t>Ramp Columns Coupler &amp; Lapping Details(Sheet-1 of 8)</t>
  </si>
  <si>
    <t>S-T2S-CL0044</t>
  </si>
  <si>
    <t>Ramp Columns Coupler &amp; Lapping Details(Sheet-2 of 8)</t>
  </si>
  <si>
    <t>S-T2S-CL0045</t>
  </si>
  <si>
    <t>Ramp Columns Coupler &amp; Lapping Details(Sheet-3 of 8)</t>
  </si>
  <si>
    <t>S-T2S-CL0046</t>
  </si>
  <si>
    <t>Ramp Columns Coupler &amp; Lapping Details(Sheet-4of 8)</t>
  </si>
  <si>
    <t>S-T2S-CL0047</t>
  </si>
  <si>
    <t>Ramp Columns Coupler &amp; Lapping Details(Sheet-5 of 8)</t>
  </si>
  <si>
    <t>S-T2S-CL0048</t>
  </si>
  <si>
    <t>Ramp Columns Coupler &amp; Lapping Details(Sheet-6 of 8)</t>
  </si>
  <si>
    <t>S-T2S-CL0049</t>
  </si>
  <si>
    <t>Ramp Columns Coupler &amp; Lapping Details(Sheet-7of 8)</t>
  </si>
  <si>
    <t>S-T2S-CL0050</t>
  </si>
  <si>
    <t>Ramp Columns Coupler &amp; Lapping Details(Sheet-8 of 8)</t>
  </si>
  <si>
    <t>S-T2S-CL0051</t>
  </si>
  <si>
    <t>Typical Coupler?Lapping Location details for Columns in CF4, CF15 &amp;F5 (2.E/8)</t>
  </si>
  <si>
    <t>S-SW1-SB0003</t>
  </si>
  <si>
    <t>FOUNDATION - SECTION A</t>
  </si>
  <si>
    <t>S-T2S-ST0101</t>
  </si>
  <si>
    <t>Plan and sections of Staircase_1 &amp; 3</t>
  </si>
  <si>
    <t>S-T2S-ST0102</t>
  </si>
  <si>
    <t>Reinforcement details of Staircase - 1</t>
  </si>
  <si>
    <t>S-T2S-ST0103</t>
  </si>
  <si>
    <t>Reinforcement details of Staircase - 3(Sheet 1)</t>
  </si>
  <si>
    <t>S-T2S-ST0104</t>
  </si>
  <si>
    <t>Reinforcement details of Staircase - 3(Sheet 2)</t>
  </si>
  <si>
    <t>S-T2S-ST0105</t>
  </si>
  <si>
    <t>Reinforcement details of ST1C1</t>
  </si>
  <si>
    <t>S-T2S-ST0106</t>
  </si>
  <si>
    <t>Reinforcement details of Staircase - 3(Sheet 3)</t>
  </si>
  <si>
    <t>S-T2S-ST0201</t>
  </si>
  <si>
    <t>Plan and sections of Staircase_2(Sheet 1)</t>
  </si>
  <si>
    <t>S-T2S-ST0202</t>
  </si>
  <si>
    <t>Plan and sections of Staircase_2(Sheet 2)</t>
  </si>
  <si>
    <t>S-T2S-ST0203</t>
  </si>
  <si>
    <t>Reinforcement details of Staircase - 2(Sheet 1)</t>
  </si>
  <si>
    <t>S-T2S-ST0204</t>
  </si>
  <si>
    <t>Reinforcement details of Staircase - 2(Sheet 2)</t>
  </si>
  <si>
    <t>S-T2S-ST0205</t>
  </si>
  <si>
    <t>Reinforcement details of Staircase - 2(Sheet 3)</t>
  </si>
  <si>
    <t>S-T2S-ST0206</t>
  </si>
  <si>
    <t>Reinforcement details of Staircase - 2(Sheet 4)</t>
  </si>
  <si>
    <t>S-T2S-ST0207</t>
  </si>
  <si>
    <t>Reinforcement details of Staircase - 2(Sheet 5)</t>
  </si>
  <si>
    <t>S-T2S-ST0208</t>
  </si>
  <si>
    <t>Reinforcement details of Staircase - 2(Sheet 6)</t>
  </si>
  <si>
    <t>S-T2S-ST0209</t>
  </si>
  <si>
    <t>Reinforcement details of Staircase - 2(Sheet 7)</t>
  </si>
  <si>
    <t>S-T2S-ST0301</t>
  </si>
  <si>
    <t>Plan and sections of Staircase_4(Sheet 1)</t>
  </si>
  <si>
    <t>S-T2S-ST0302</t>
  </si>
  <si>
    <t>Plan and sections of Staircase_4(Sheet 2)</t>
  </si>
  <si>
    <t>S-T2S-ST0303</t>
  </si>
  <si>
    <t>Reinforcement details of Staircase - 4(Sheet 1)</t>
  </si>
  <si>
    <t>S-T2S-ST0304</t>
  </si>
  <si>
    <t>Reinforcement details of Staircase - 4(Sheet 2)</t>
  </si>
  <si>
    <t>S-T2S-ST0305</t>
  </si>
  <si>
    <t>Reinforcement details of Staircase - 4(Sheet 3)</t>
  </si>
  <si>
    <t>S-T2S-ST0306</t>
  </si>
  <si>
    <t>Reinforcement details of Staircase - 4(Sheet 4)</t>
  </si>
  <si>
    <t>S-T2S-FP0101</t>
  </si>
  <si>
    <t>Framing Plan at SSL 01</t>
  </si>
  <si>
    <t>ST-T2S-2</t>
  </si>
  <si>
    <t>S-T2S-FP0102</t>
  </si>
  <si>
    <t>3D view of SSL01</t>
  </si>
  <si>
    <t>S-T2S-FP0103</t>
  </si>
  <si>
    <t>Ramp plan from basement to SSL 01 (Sheet 1)</t>
  </si>
  <si>
    <t>S-T2S-FP0104</t>
  </si>
  <si>
    <t>Ramp 3D view from basement to SSL 01 (Sheet 2)</t>
  </si>
  <si>
    <t>S-T2S-FP0105</t>
  </si>
  <si>
    <t>Ramp sections from basement to SSL 01 (Sheet 3)</t>
  </si>
  <si>
    <t>S-T2S-FP0203</t>
  </si>
  <si>
    <t>Ramp plan from SSL 01 to SSL02 (Sheet 1)</t>
  </si>
  <si>
    <t>S-T2S-FP0204</t>
  </si>
  <si>
    <t>Ramp 3D view from SSL 01 to SSL02(Sheet 2)</t>
  </si>
  <si>
    <t>S-T2S-FP0205</t>
  </si>
  <si>
    <t>Ramp sections from SSL 01 to SSL02 (Sheet 3)</t>
  </si>
  <si>
    <t>S-T2S-FP0303</t>
  </si>
  <si>
    <t>Ramp plan from SSL 02 to SSL03 (Sheet 1)</t>
  </si>
  <si>
    <t>S-T2S-FP0304</t>
  </si>
  <si>
    <t>Ramp 3D view from SSL 02 to SSL03(Sheet 2)</t>
  </si>
  <si>
    <t>S-T2S-FP0305</t>
  </si>
  <si>
    <t>Ramp sections from SSL 02 to SSL03 (Sheet 3)</t>
  </si>
  <si>
    <t>S-T2S-FP0403</t>
  </si>
  <si>
    <t>Ramp plan from SSL 03 to SSL04 (Sheet 1)</t>
  </si>
  <si>
    <t>S-T2S-FP0404</t>
  </si>
  <si>
    <t>Ramp 3D view from SSL 03 to SSL04(Sheet 2)</t>
  </si>
  <si>
    <t>S-T2S-FP0405</t>
  </si>
  <si>
    <t>Ramp sections from SSL 03 to SSL04(Sheet 3)</t>
  </si>
  <si>
    <t>S-T2S-FP0503</t>
  </si>
  <si>
    <t>Ramp plan from SSL 04 to SSL05 (Sheet 1)</t>
  </si>
  <si>
    <t>S-T2S-FP0504</t>
  </si>
  <si>
    <t>Ramp 3D view from SSL 04 to SSL05 (Sheet 2)</t>
  </si>
  <si>
    <t>S-T2S-FP0505</t>
  </si>
  <si>
    <t>Ramp sections from SSL 04 to SSL05 (Sheet 3)</t>
  </si>
  <si>
    <t>S-T2S-SE0101</t>
  </si>
  <si>
    <t>Section along grids 2.1 to 2.5 at SSL1</t>
  </si>
  <si>
    <t>S-T2S-SE0102</t>
  </si>
  <si>
    <t>Section along grids 2.5 to 2.9 at SSL1</t>
  </si>
  <si>
    <t>S-T2S-SE0201</t>
  </si>
  <si>
    <t>Section between grids 2.1 &amp; 2.2 and along grid 2.2 (SSL 02 to SSL08)</t>
  </si>
  <si>
    <t>S-T2S-SE0202</t>
  </si>
  <si>
    <t>Section between grids 2.2 &amp; 2.3 and along grid 2.3 (SSL 02 to SSL08)</t>
  </si>
  <si>
    <t>S-T2S-SE0203</t>
  </si>
  <si>
    <t>Section between grids 2.3 &amp; 2.4 and along grid 2.4 (SSL 02 to SSL08)</t>
  </si>
  <si>
    <t>S-T2S-SE0204</t>
  </si>
  <si>
    <t>Section between grids 2.4 &amp; 2.5 and along grid 2.5 (SSL 02 to SSL08)</t>
  </si>
  <si>
    <t>S-T2S-SE0205</t>
  </si>
  <si>
    <t>Section between grids 2.5 &amp; 2.6 and along grid 2.6 (SSL 02 to SSL08)</t>
  </si>
  <si>
    <t>S-T2S-SE0206</t>
  </si>
  <si>
    <t>Section between grids 2.6 &amp; 2.7 and along grid 2.7 (SSL 02 to SSL08)</t>
  </si>
  <si>
    <t>S-T2S-SE0207</t>
  </si>
  <si>
    <t>Section between grids 2.7 &amp; 2.8 and along grid 2.8 (SSL 02 to SSL08)</t>
  </si>
  <si>
    <t>S-T2S-SE0208</t>
  </si>
  <si>
    <t>Section between grids 2.8 &amp; 2.9 and along grid 2.9 (SSL 02 to SSL08)</t>
  </si>
  <si>
    <t>S-T2S-SE0209</t>
  </si>
  <si>
    <t>Section along grid 2.10 (SSL 02 to SSL08)</t>
  </si>
  <si>
    <t>S-T2S-BM0101</t>
  </si>
  <si>
    <t>Beam- 1B1a Reinforcement Detail (Sheet 1 of 3)</t>
  </si>
  <si>
    <t>S-T2S-BM0102</t>
  </si>
  <si>
    <t>Beam- 1B1a Reinforcement Detail (Sheet 2 of 3)</t>
  </si>
  <si>
    <t>S-T2S-BM0103</t>
  </si>
  <si>
    <t>Beam- 1B1a Reinforcement Detail (Sheet 3 of 3)</t>
  </si>
  <si>
    <t>S-T2S-BM0104</t>
  </si>
  <si>
    <t>Beam- 1B2a Reinforcement Detail (Sheet 1 of 3)</t>
  </si>
  <si>
    <t>S-T2S-BM0105</t>
  </si>
  <si>
    <t>Beam- 1B2a Reinforcement Detail (Sheet 2 of 3)</t>
  </si>
  <si>
    <t>S-T2S-BM0106</t>
  </si>
  <si>
    <t>Beam- 1B2a Reinforcement Detail (Sheet 3 of 3)</t>
  </si>
  <si>
    <t>S-T2S-BM0107</t>
  </si>
  <si>
    <t>Beam- 1B3a Reinforcement Detail (Sheet 1 of 3)</t>
  </si>
  <si>
    <t>S-T2S-BM0108</t>
  </si>
  <si>
    <t>Beam- 1B3a Reinforcement Detail (Sheet 2 of 3)</t>
  </si>
  <si>
    <t>S-T2S-BM0109</t>
  </si>
  <si>
    <t>Beam- 1B3a Reinforcement Detail (Sheet 3 of 3)</t>
  </si>
  <si>
    <t>S-T2S-BM0110</t>
  </si>
  <si>
    <t>Beam- 1B4a Reinforcement Detail (Sheet 1 of 3)</t>
  </si>
  <si>
    <t>S-T2S-BM0111</t>
  </si>
  <si>
    <t>Beam- 1B4a Reinforcement Detail (Sheet 2 of 3)</t>
  </si>
  <si>
    <t>S-T2S-BM0112</t>
  </si>
  <si>
    <t>Beam- 1B4a Reinforcement Detail (Sheet 3 of 3)</t>
  </si>
  <si>
    <t>S-T2S-BM0113</t>
  </si>
  <si>
    <t>Beam- 1B5a Reinforcement Detail (Sheet 1 of 3)</t>
  </si>
  <si>
    <t>S-T2S-BM0114</t>
  </si>
  <si>
    <t>Beam- 1B5a Reinforcement Detail (Sheet 2 of 3)</t>
  </si>
  <si>
    <t>S-T2S-BM0115</t>
  </si>
  <si>
    <t>Beam- 1B5a Reinforcement Detail (Sheet 3 of 3)</t>
  </si>
  <si>
    <t>S-T2S-BM0116</t>
  </si>
  <si>
    <t>Beam- 1B5b Reinforcement Detail (Sheet 1 of 3)</t>
  </si>
  <si>
    <t>S-T2S-BM0117</t>
  </si>
  <si>
    <t>Beam- 1B5b Reinforcement Detail (Sheet 2 of 3)</t>
  </si>
  <si>
    <t>S-T2S-BM0118</t>
  </si>
  <si>
    <t>Beam- 1B5b Reinforcement Detail (Sheet 3 of 3)</t>
  </si>
  <si>
    <t>S-T2S-BM0119</t>
  </si>
  <si>
    <t>Beam- 1B4b Reinforcement Detail (Sheet 1 of 3)</t>
  </si>
  <si>
    <t>S-T2S-BM0120</t>
  </si>
  <si>
    <t>Beam- 1B4b Reinforcement Detail (Sheet 2 of 3)</t>
  </si>
  <si>
    <t>S-T2S-BM0121</t>
  </si>
  <si>
    <t>Beam- 1B4b Reinforcement Detail (Sheet 3 of 3)</t>
  </si>
  <si>
    <t>S-T2S-BM0122</t>
  </si>
  <si>
    <t>Beam- 1B3b Reinforcement Detail (Sheet 1 of 2)</t>
  </si>
  <si>
    <t>S-T2S-BM0123</t>
  </si>
  <si>
    <t>Beam- 1B3b Reinforcement Detail (Sheet 2 of 2)</t>
  </si>
  <si>
    <t>S-T2S-BM0124</t>
  </si>
  <si>
    <t>Beam- 1B2b Reinforcement Detail (Sheet 1 of 2)</t>
  </si>
  <si>
    <t>S-T2S-BM0125</t>
  </si>
  <si>
    <t>Beam- 1B2b Reinforcement Detail (Sheet 2 of 2)</t>
  </si>
  <si>
    <t>S-T2S-BM0126</t>
  </si>
  <si>
    <t>Beam- 1B 6 &amp; 1B 7 Reinforcement Detail</t>
  </si>
  <si>
    <t>S-T2S-BM0127</t>
  </si>
  <si>
    <t>Beam- 1B 8 &amp; 1B 9 Reinforcement Detail</t>
  </si>
  <si>
    <t>S-T2S-BM0128</t>
  </si>
  <si>
    <t>Beam- 1B 10 &amp; 1B 11 Reinforcement Detail</t>
  </si>
  <si>
    <t>S-T2S-BM0129</t>
  </si>
  <si>
    <t>Beam- 1B 12 Reinforcement Detail (Sheet 1 of 2)</t>
  </si>
  <si>
    <t>S-T2S-BM0130</t>
  </si>
  <si>
    <t>Beam- 1B 12 Reinforcement Detail (Sheet 2 of 2)</t>
  </si>
  <si>
    <t>S-T2S-BM0131</t>
  </si>
  <si>
    <t>Beam- 1B 13 &amp; 1B 14  Reinforcement Detail</t>
  </si>
  <si>
    <t>S-T2S-BM0132</t>
  </si>
  <si>
    <t>Beam- 1B 15a &amp; 1B 16a  Reinforcement Detail</t>
  </si>
  <si>
    <t>S-T2S-BM0133</t>
  </si>
  <si>
    <t>Beam- 1B 17a &amp; 1B 17b  Reinforcement Detail</t>
  </si>
  <si>
    <t>S-T2S-BM0134</t>
  </si>
  <si>
    <t>Beam- 1B 18a &amp; 1B 18b  Reinforcement Detail</t>
  </si>
  <si>
    <t>S-T2S-BM0135</t>
  </si>
  <si>
    <t>Beam- 1B 20 Reinforcement Detail (Sheet 1 of 2)</t>
  </si>
  <si>
    <t>S-T2S-BM0136</t>
  </si>
  <si>
    <t>Beam- 1B 20 Reinforcement Detail (Sheet 2 of 2)</t>
  </si>
  <si>
    <t>S-T2S-BM0137</t>
  </si>
  <si>
    <t>Beam- 1B 21 Reinforcement Detail (Sheet 1 of 2)</t>
  </si>
  <si>
    <t>S-T2S-BM0138</t>
  </si>
  <si>
    <t>Beam- 1B 21 Reinforcement Detail (Sheet 2 of 2)</t>
  </si>
  <si>
    <t>S-T2S-BM0139</t>
  </si>
  <si>
    <t>Beam- 1B 22 Reinforcement Detail (Sheet 1 of 2)</t>
  </si>
  <si>
    <t>S-T2S-BM0140</t>
  </si>
  <si>
    <t>Beam- 1B 22 Reinforcement Detail (Sheet 2 of 2)</t>
  </si>
  <si>
    <t>S-T2S-BM0141</t>
  </si>
  <si>
    <t>Beam- 1B 23 Reinforcement Detail (Sheet 1 of 2)</t>
  </si>
  <si>
    <t>S-T2S-BM0142</t>
  </si>
  <si>
    <t>Beam- 1B 23 Reinforcement Detail (Sheet 2 of 2)</t>
  </si>
  <si>
    <t>S-T2S-BM0143</t>
  </si>
  <si>
    <t>Beam- 1B 24 Reinforcement Detail (Sheet 1 of 2)</t>
  </si>
  <si>
    <t>S-T2S-BM0144</t>
  </si>
  <si>
    <t>Beam- 1B 24 Reinforcement Detail (Sheet 2 of 2)</t>
  </si>
  <si>
    <t>S-T2S-BM0145</t>
  </si>
  <si>
    <t>Beam- 1B 25 Reinforcement Detail</t>
  </si>
  <si>
    <t>S-T2S-BM0146</t>
  </si>
  <si>
    <t>Beam- 1B 26 Reinforcement Detail</t>
  </si>
  <si>
    <t>S-T2S-BM0147</t>
  </si>
  <si>
    <t>Beam- 1B 27 Reinforcement Detail (Sheet 1 of 2)</t>
  </si>
  <si>
    <t>S-T2S-BM0148</t>
  </si>
  <si>
    <t>Beam- 1B 27 Reinforcement Detail (Sheet 2 of 2)</t>
  </si>
  <si>
    <t>S-T2S-BM0149</t>
  </si>
  <si>
    <t>Beam- 1B 28 Reinforcement Detail (Sheet 1 of 2)</t>
  </si>
  <si>
    <t>S-T2S-BM0150</t>
  </si>
  <si>
    <t>Beam- 1B 28 Reinforcement Detail (Sheet 2 of 2)</t>
  </si>
  <si>
    <t>S-T2S-BM0151</t>
  </si>
  <si>
    <t>Beam- 1B 29 Reinforcement Detail (Sheet 1 of 2)</t>
  </si>
  <si>
    <t>S-T2S-BM0152</t>
  </si>
  <si>
    <t>Beam- 1B 29 Reinforcement Detail (Sheet 2 of 2)</t>
  </si>
  <si>
    <t>S-T2S-BM0153</t>
  </si>
  <si>
    <t>Beam- 1B 30 Reinforcement Detail (Sheet 1 of 2)</t>
  </si>
  <si>
    <t>S-T2S-BM0154</t>
  </si>
  <si>
    <t>Beam- 1B 30 Reinforcement Detail (Sheet 2 of 2)</t>
  </si>
  <si>
    <t>S-T2S-BM0155</t>
  </si>
  <si>
    <t>Beam- 1B 31 Reinforcement Detail (Sheet 1 of 2)</t>
  </si>
  <si>
    <t>S-T2S-BM0156</t>
  </si>
  <si>
    <t>Beam- 1B 31 Reinforcement Detail (Sheet 2 of 2)</t>
  </si>
  <si>
    <t>S-T2S-BM0157</t>
  </si>
  <si>
    <t>Beam- 1B 32 Reinforcement Detail (Sheet 1 of 2)</t>
  </si>
  <si>
    <t>S-T2S-BM0158</t>
  </si>
  <si>
    <t>Beam- 1B 32 Reinforcement Detail (Sheet 2 of 2)</t>
  </si>
  <si>
    <t>S-T2S-BM0159</t>
  </si>
  <si>
    <t>Beam- 1B 33 Reinforcement Detail (Sheet 1 of 2)</t>
  </si>
  <si>
    <t>S-T2S-BM0160</t>
  </si>
  <si>
    <t>Beam- 1B 33 Reinforcement Detail (Sheet 2 of 2)</t>
  </si>
  <si>
    <t>S-T2S-BM0161</t>
  </si>
  <si>
    <t>Beam- 1B 34 Reinforcement Detail (Sheet 1 of 2)</t>
  </si>
  <si>
    <t>S-T2S-BM0162</t>
  </si>
  <si>
    <t>Beam- 1B 34 Reinforcement Detail (Sheet 2 of 2)</t>
  </si>
  <si>
    <t>S-T2S-BM0163</t>
  </si>
  <si>
    <t>Beam- 1B 35 &amp; 1B 36 Reinforcement Detail (Sheet 1 of 2)</t>
  </si>
  <si>
    <t>S-T2S-BM0164</t>
  </si>
  <si>
    <t>Beam- 1B 35 &amp; 1B 36 Reinforcement Detail (Sheet 2 of 2)</t>
  </si>
  <si>
    <t>S-T2S-BM0165</t>
  </si>
  <si>
    <t>Beam- 1B 37 &amp; 1B 38 Reinforcement Detail</t>
  </si>
  <si>
    <t>S-T2S-BM0166</t>
  </si>
  <si>
    <t>Beam- 1B 39 Reinforcement Detail (Sheet 1 of 2)</t>
  </si>
  <si>
    <t>S-T2S-BM0167</t>
  </si>
  <si>
    <t>Beam- 1B 39 Reinforcement Detail (Sheet 2 of 2)</t>
  </si>
  <si>
    <t>S-T2S-BM0168</t>
  </si>
  <si>
    <t>Beam- 1B 40 Reinforcement Detail (Sheet 1 of 2)</t>
  </si>
  <si>
    <t>S-T2S-BM0169</t>
  </si>
  <si>
    <t>Beam- 1B 40 Reinforcement Detail (Sheet 2 of 2)</t>
  </si>
  <si>
    <t>S-T2S-BM0170</t>
  </si>
  <si>
    <t>Beam- 1B 41 Reinforcement Detail (Sheet 1 of 2)</t>
  </si>
  <si>
    <t>S-T2S-BM0171</t>
  </si>
  <si>
    <t>Beam- 1B 41 Reinforcement Detail (Sheet 2 of 2)</t>
  </si>
  <si>
    <t>S-T2S-BM0172</t>
  </si>
  <si>
    <t xml:space="preserve">Beam- 1B 42a &amp; 1B 42b Reinforcement Detail </t>
  </si>
  <si>
    <t>S-T2S-BM0173</t>
  </si>
  <si>
    <t xml:space="preserve">Beam- 1B 43a &amp; 1B 43b Reinforcement Detail </t>
  </si>
  <si>
    <t>S-T2S-BM0174</t>
  </si>
  <si>
    <t xml:space="preserve">Beam- 1B 44a, 1B 44b &amp; B45 Reinforcement Detail </t>
  </si>
  <si>
    <t>S-T2S-SB0001</t>
  </si>
  <si>
    <t>General Notes for slabs</t>
  </si>
  <si>
    <t>S-T2S-SB0101</t>
  </si>
  <si>
    <t>Plan showing top reinforcement of 1st SSL(Sheet 1)</t>
  </si>
  <si>
    <t>S-T2S-SB0102</t>
  </si>
  <si>
    <t>Plan showing top reinforcement of 1st SSL(Sheet 2)</t>
  </si>
  <si>
    <t>S-T2S-SB0103</t>
  </si>
  <si>
    <t>BBS of top reinforcement of 1st SSL</t>
  </si>
  <si>
    <t>S-T2S-SB0104</t>
  </si>
  <si>
    <t>Plan showing bottom reinforcement of 1st SSL(Sheet 1)</t>
  </si>
  <si>
    <t>S-T2S-SB0105</t>
  </si>
  <si>
    <t>Plan showing bottom reinforcement of 1st SSL(Sheet 2)</t>
  </si>
  <si>
    <t>S-T2S-SB0106</t>
  </si>
  <si>
    <t>BBS of bottom reinforcement of 1st SSL</t>
  </si>
  <si>
    <t>S-T2S-SB0107</t>
  </si>
  <si>
    <t>Plan showing bottom reinforcement for Ramp slab from basement to 1st SSL</t>
  </si>
  <si>
    <t>S-T2S-SB0108</t>
  </si>
  <si>
    <t>Plan showing top reinforcement for Ramp slab from basement to 1st SSL</t>
  </si>
  <si>
    <t>S-T2S-SB0109</t>
  </si>
  <si>
    <t>BBS for Ramp slab from basement to 1st SSL</t>
  </si>
  <si>
    <t>S-SW1-SB0001</t>
  </si>
  <si>
    <t>STORM WATER TANK BASE SLAB BOTTOM REINF. DETAILS</t>
  </si>
  <si>
    <t>S-SW1-SB0002</t>
  </si>
  <si>
    <t>STORM WATER TANK BASE SLAB TOP REINF. DETAILS</t>
  </si>
  <si>
    <t>S-SW1-SB0004</t>
  </si>
  <si>
    <t>BASE SLAB - BBS FOR BOTTOM REINFORCEMENT</t>
  </si>
  <si>
    <t>S-SW1-SB0005</t>
  </si>
  <si>
    <t>BASE SLAB - BBS FOR TOP REINFORCEMENT</t>
  </si>
  <si>
    <t>S-T2S-MS0001</t>
  </si>
  <si>
    <t>Beam Anchoring Details</t>
  </si>
  <si>
    <t>S-T2S-FP0201</t>
  </si>
  <si>
    <t>ST-T2S-4</t>
  </si>
  <si>
    <t>S-T2S-FP0301</t>
  </si>
  <si>
    <t>Framing Plan at SSL 03</t>
  </si>
  <si>
    <t>S-T2S-FP0202</t>
  </si>
  <si>
    <t>3D view of SSL02</t>
  </si>
  <si>
    <t>S-T2S-FP0302</t>
  </si>
  <si>
    <t>3D view of SSL03</t>
  </si>
  <si>
    <t>S-T2S-BM0201</t>
  </si>
  <si>
    <t>Beam- 2B1a Reinforcement Detail (Sheet 1 of 3)</t>
  </si>
  <si>
    <t>S-T2S-BM0202</t>
  </si>
  <si>
    <t>Beam- 2B1a Reinforcement Detail (Sheet 2 of 3)</t>
  </si>
  <si>
    <t>S-T2S-BM0203</t>
  </si>
  <si>
    <t>Beam-2B1a Reinforcement Detail (Sheet 3 of 3)</t>
  </si>
  <si>
    <t>S-T2S-BM0204</t>
  </si>
  <si>
    <t>Beam-2B2a Reinforcement Detail (Sheet 1 of 3)</t>
  </si>
  <si>
    <t>S-T2S-BM0205</t>
  </si>
  <si>
    <t>Beam- 2B2a Reinforcement Detail (Sheet 2 of 3)</t>
  </si>
  <si>
    <t>S-T2S-BM0206</t>
  </si>
  <si>
    <t>Beam- 2B2a Reinforcement Detail (Sheet 3 of 3)</t>
  </si>
  <si>
    <t>S-T2S-BM0207</t>
  </si>
  <si>
    <t>Beam- 2B3a Reinforcement Detail (Sheet 1 of 3)</t>
  </si>
  <si>
    <t>S-T2S-BM0208</t>
  </si>
  <si>
    <t>Beam- 2B3a Reinforcement Detail (Sheet 2 of 3)</t>
  </si>
  <si>
    <t>S-T2S-BM0209</t>
  </si>
  <si>
    <t>Beam- 2B3a Reinforcement Detail (Sheet 3 of 3)</t>
  </si>
  <si>
    <t>S-T2S-BM0210</t>
  </si>
  <si>
    <t>Beam- 2B4a Reinforcement Detail (Sheet 1 of 3)</t>
  </si>
  <si>
    <t>S-T2S-BM0211</t>
  </si>
  <si>
    <t>Beam- 2B4a Reinforcement Detail (Sheet 2 of 3)</t>
  </si>
  <si>
    <t>S-T2S-BM0212</t>
  </si>
  <si>
    <t>Beam- 2B4a Reinforcement Detail (Sheet 3 of 3)</t>
  </si>
  <si>
    <t>S-T2S-BM0213</t>
  </si>
  <si>
    <t>Beam- 2B5a Reinforcement Detail (Sheet 1 of 3)</t>
  </si>
  <si>
    <t>S-T2S-BM0214</t>
  </si>
  <si>
    <t>Beam- 2B5a Reinforcement Detail (Sheet 2 of 3)</t>
  </si>
  <si>
    <t>S-T2S-BM0215</t>
  </si>
  <si>
    <t>Beam- 2B5a Reinforcement Detail (Sheet 3 of 3)</t>
  </si>
  <si>
    <t>S-T2S-BM0216</t>
  </si>
  <si>
    <t>Beam- 2B5b Reinforcement Detail (Sheet 1 of 3)</t>
  </si>
  <si>
    <t>S-T2S-BM0217</t>
  </si>
  <si>
    <t>Beam- 2B5b Reinforcement Detail (Sheet 2 of 3)</t>
  </si>
  <si>
    <t>S-T2S-BM0218</t>
  </si>
  <si>
    <t>Beam- 2B5b Reinforcement Detail (Sheet 3 of 3)</t>
  </si>
  <si>
    <t>S-T2S-BM0219</t>
  </si>
  <si>
    <t>Beam- 2B4b Reinforcement Detail (Sheet 1 of 3)</t>
  </si>
  <si>
    <t>S-T2S-BM0220</t>
  </si>
  <si>
    <t>Beam- 2B4b Reinforcement Detail (Sheet 2 of 3)</t>
  </si>
  <si>
    <t>S-T2S-BM0221</t>
  </si>
  <si>
    <t>Beam- 2B4b Reinforcement Detail (Sheet 3 of 3)</t>
  </si>
  <si>
    <t>S-T2S-BM0222</t>
  </si>
  <si>
    <t>Beam- 2B3b Reinforcement Detail (Sheet 1 of 2)</t>
  </si>
  <si>
    <t>S-T2S-BM0223</t>
  </si>
  <si>
    <t>Beam- 2B3b Reinforcement Detail (Sheet 2 of 2)</t>
  </si>
  <si>
    <t>S-T2S-BM0224</t>
  </si>
  <si>
    <t>Beam- 2B2b Reinforcement Detail (Sheet 1 of 2)</t>
  </si>
  <si>
    <t>S-T2S-BM0225</t>
  </si>
  <si>
    <t>Beam- 2B2b Reinforcement Detail (Sheet 2 of 2)</t>
  </si>
  <si>
    <t>S-T2S-BM0226</t>
  </si>
  <si>
    <t>Beam- 2B 6 &amp; 2B 7 Reinforcement Detail</t>
  </si>
  <si>
    <t>S-T2S-BM0227</t>
  </si>
  <si>
    <t>Beam- 2B 8 &amp; 2B 9 Reinforcement Detail</t>
  </si>
  <si>
    <t>S-T2S-BM0228</t>
  </si>
  <si>
    <t>Beam- 2B 10 &amp; 2B 11 Reinforcement Detail</t>
  </si>
  <si>
    <t>S-T2S-BM0229</t>
  </si>
  <si>
    <t>Beam- 2B 12 Reinforcement Detail (Sheet 1 of 2)</t>
  </si>
  <si>
    <t>S-T2S-BM0230</t>
  </si>
  <si>
    <t>Beam- 2B 12 Reinforcement Detail (Sheet 2 of 2)</t>
  </si>
  <si>
    <t>S-T2S-BM0231</t>
  </si>
  <si>
    <t>Beam- 2B 13 &amp; 2B 14  Reinforcement Detail</t>
  </si>
  <si>
    <t>S-T2S-BM0232</t>
  </si>
  <si>
    <t>Beam- 2B 15a Reinforcement Detail</t>
  </si>
  <si>
    <t>S-T2S-BM0233</t>
  </si>
  <si>
    <t>Beam- 2B 16a Reinforcement Detail</t>
  </si>
  <si>
    <t>S-T2S-BM0234</t>
  </si>
  <si>
    <t>Beam- 2B 17a &amp; b  Reinforcement Detail</t>
  </si>
  <si>
    <t>S-T2S-BM0235</t>
  </si>
  <si>
    <t>Beam- 2B 18a &amp; b and 2B19 Reinforcement Detail</t>
  </si>
  <si>
    <t>S-T2S-BM0236</t>
  </si>
  <si>
    <t>Beam- 2B 16b Reinforcement Detail</t>
  </si>
  <si>
    <t>S-T2S-BM0237</t>
  </si>
  <si>
    <t>Beam- 2B 15b Reinforcement Detail</t>
  </si>
  <si>
    <t>S-T2S-BM0238</t>
  </si>
  <si>
    <t>Beam- 2B 20 Reinforcement Detail (Sheet 1 of 2)</t>
  </si>
  <si>
    <t>S-T2S-BM0239</t>
  </si>
  <si>
    <t>Beam- 2B 20 Reinforcement Detail (Sheet 2 of 2)</t>
  </si>
  <si>
    <t>S-T2S-BM0240</t>
  </si>
  <si>
    <t>Beam- 2B 21 Reinforcement Detail (Sheet 1 of 2)</t>
  </si>
  <si>
    <t>S-T2S-BM0241</t>
  </si>
  <si>
    <t>Beam- 2B 21 Reinforcement Detail (Sheet 2 of 2)</t>
  </si>
  <si>
    <t>S-T2S-BM0242</t>
  </si>
  <si>
    <t>Beam- 2B 22 Reinforcement Detail (Sheet 1 of 2)</t>
  </si>
  <si>
    <t>S-T2S-BM0243</t>
  </si>
  <si>
    <t>Beam- 2B 22 Reinforcement Detail (Sheet 2 of 2)</t>
  </si>
  <si>
    <t>S-T2S-BM0244</t>
  </si>
  <si>
    <t>Beam- 2B 23 Reinforcement Detail (Sheet 1 of 2)</t>
  </si>
  <si>
    <t>S-T2S-BM0245</t>
  </si>
  <si>
    <t>Beam- 2B 23 Reinforcement Detail (Sheet 2 of 2)</t>
  </si>
  <si>
    <t>S-T2S-BM0246</t>
  </si>
  <si>
    <t>Beam- 2B 24 Reinforcement Detail (Sheet 1 of 2)</t>
  </si>
  <si>
    <t>S-T2S-BM0247</t>
  </si>
  <si>
    <t>Beam- 2B 24 Reinforcement Detail (Sheet 2 of 2)</t>
  </si>
  <si>
    <t>S-T2S-BM0248</t>
  </si>
  <si>
    <t>Beam- 2B 25 Reinforcement Detail</t>
  </si>
  <si>
    <t>S-T2S-BM0249</t>
  </si>
  <si>
    <t>Beam- 2B 26 Reinforcement Detail</t>
  </si>
  <si>
    <t>S-T2S-BM0250</t>
  </si>
  <si>
    <t>Beam- 2B 27 Reinforcement Detail (Sheet 1 of 2)</t>
  </si>
  <si>
    <t>S-T2S-BM0251</t>
  </si>
  <si>
    <t>Beam- 2B 27 Reinforcement Detail (Sheet 2 of 2)</t>
  </si>
  <si>
    <t>S-T2S-BM0252</t>
  </si>
  <si>
    <t>Beam- 2B 28 Reinforcement Detail (Sheet 1 of 2)</t>
  </si>
  <si>
    <t>S-T2S-BM0253</t>
  </si>
  <si>
    <t>Beam- 2B 28 Reinforcement Detail (Sheet 2 of 2)</t>
  </si>
  <si>
    <t>S-T2S-BM0254</t>
  </si>
  <si>
    <t>Beam- 2B 29 Reinforcement Detail (Sheet 1 of 2)</t>
  </si>
  <si>
    <t>S-T2S-BM0255</t>
  </si>
  <si>
    <t>Beam- 2B 29 Reinforcement Detail (Sheet 2 of 2)</t>
  </si>
  <si>
    <t>S-T2S-BM0256</t>
  </si>
  <si>
    <t>Beam- 2B 29 Reinforcement Detail (Sheet 3 of 3)</t>
  </si>
  <si>
    <t>S-T2S-BM0257</t>
  </si>
  <si>
    <t>Beam- 2B 30 Reinforcement Detail (Sheet 1 of 2)</t>
  </si>
  <si>
    <t>S-T2S-BM0258</t>
  </si>
  <si>
    <t>Beam- 2B 30 Reinforcement Detail (Sheet 2 of 2)</t>
  </si>
  <si>
    <t>S-T2S-BM0259</t>
  </si>
  <si>
    <t>Beam- 2B 31 a &amp; 2B31b Reinforcement Detail</t>
  </si>
  <si>
    <t>S-T2S-BM0260</t>
  </si>
  <si>
    <t>Beam- 2B 32 Reinforcement Detail (Sheet 1 of 3)</t>
  </si>
  <si>
    <t>S-T2S-BM0261</t>
  </si>
  <si>
    <t>Beam- 2B 32 Reinforcement Detail (Sheet 2 of 3)</t>
  </si>
  <si>
    <t>S-T2S-BM0262</t>
  </si>
  <si>
    <t>Beam- 2B 32 Reinforcement Detail (Sheet 3 of 3)</t>
  </si>
  <si>
    <t>S-T2S-BM0263</t>
  </si>
  <si>
    <t>Beam- 2B 33a  Reinforcement Detail</t>
  </si>
  <si>
    <t>S-T2S-BM0264</t>
  </si>
  <si>
    <t>Beam- 2B 33b  Reinforcement Detail</t>
  </si>
  <si>
    <t>S-T2S-BM0265</t>
  </si>
  <si>
    <t>Beam- 2B 34a &amp; 2B34b  Reinforcement Detail</t>
  </si>
  <si>
    <t>S-T2S-BM0266</t>
  </si>
  <si>
    <t>Beam- 2B 35 Reinforcement Detail (Sheet 1 of 3)</t>
  </si>
  <si>
    <t>S-T2S-BM0267</t>
  </si>
  <si>
    <t>Beam- 2B 35 Reinforcement Detail (Sheet 2 of 3)</t>
  </si>
  <si>
    <t>S-T2S-BM0268</t>
  </si>
  <si>
    <t>Beam- 2B 35 Reinforcement Detail (Sheet 3 of 3)</t>
  </si>
  <si>
    <t>S-T2S-BM0269</t>
  </si>
  <si>
    <t>Beam- 2B 36a &amp; 2B 36b Reinforcement Detail</t>
  </si>
  <si>
    <t>S-T2S-BM0270</t>
  </si>
  <si>
    <t>Beam- 2B 37 Reinforcement Detail  (Sheet 1 of 3)</t>
  </si>
  <si>
    <t>S-T2S-BM0271</t>
  </si>
  <si>
    <t>Beam- 2B 37 Reinforcement Detail  (Sheet,2 of 3)</t>
  </si>
  <si>
    <t>S-T2S-BM0272</t>
  </si>
  <si>
    <t>Beam- 2B 37 Reinforcement Detail  (Sheet 3 of 3)</t>
  </si>
  <si>
    <t>S-T2S-BM0273</t>
  </si>
  <si>
    <t>Beam- 2B 38 Reinforcement Detail</t>
  </si>
  <si>
    <t>S-T2S-BM0274</t>
  </si>
  <si>
    <t>Beam- 2B 39 Reinforcement Detail (Sheet 1 of 2)</t>
  </si>
  <si>
    <t>S-T2S-BM0275</t>
  </si>
  <si>
    <t>Beam- 2B 39 Reinforcement Detail (Sheet 2 of 2)</t>
  </si>
  <si>
    <t>S-T2S-BM0276</t>
  </si>
  <si>
    <t>Beam- 2B 40 Reinforcement Detail</t>
  </si>
  <si>
    <t>S-T2S-BM0277</t>
  </si>
  <si>
    <t xml:space="preserve">Beam- 2B 41 &amp; 2B49 Reinforcement Detail </t>
  </si>
  <si>
    <t>S-T2S-BM0278</t>
  </si>
  <si>
    <t>Beam- 2B 43, 2B50 &amp;2B1-4b Reinforcement Detail</t>
  </si>
  <si>
    <t>S-T2S-BM0301</t>
  </si>
  <si>
    <t>Beam- 3B1a Reinforcement Detail (Sheet 1 of 3)</t>
  </si>
  <si>
    <t>S-T2S-BM0302</t>
  </si>
  <si>
    <t>Beam- 3B1a Reinforcement Detail (Sheet 2 of 3)</t>
  </si>
  <si>
    <t>S-T2S-BM0303</t>
  </si>
  <si>
    <t>Beam-3B1a Reinforcement Detail (Sheet 3 of 3)</t>
  </si>
  <si>
    <t>S-T2S-BM0304</t>
  </si>
  <si>
    <t>Beam- 3B1b Reinforcement Detail (Sheet 1 of 2)</t>
  </si>
  <si>
    <t>S-T2S-BM0305</t>
  </si>
  <si>
    <t>Beam- 3B1b Reinforcement Detail (Sheet 2 of 2)</t>
  </si>
  <si>
    <t>S-T2S-BM0306</t>
  </si>
  <si>
    <t>Beam-3B2a Reinforcement Detail (Sheet 1 of 3)</t>
  </si>
  <si>
    <t>S-T2S-BM0307</t>
  </si>
  <si>
    <t>Beam- 3B2a Reinforcement Detail (Sheet 2 of 3)</t>
  </si>
  <si>
    <t>S-T2S-BM0308</t>
  </si>
  <si>
    <t>Beam- 3B2a Reinforcement Detail (Sheet 3 of 3)</t>
  </si>
  <si>
    <t>S-T2S-BM0309</t>
  </si>
  <si>
    <t>Beam- 3B2b Reinforcement Detail (Sheet 1 of 2)</t>
  </si>
  <si>
    <t>S-T2S-BM0310</t>
  </si>
  <si>
    <t>Beam- 3B2b Reinforcement Detail (Sheet 2 of 2)</t>
  </si>
  <si>
    <t>S-T2S-BM0311</t>
  </si>
  <si>
    <t>Beam- 3B3a Reinforcement Detail (Sheet 1 of 3)</t>
  </si>
  <si>
    <t>S-T2S-BM0312</t>
  </si>
  <si>
    <t>Beam- 3B3a Reinforcement Detail (Sheet 2 of 3)</t>
  </si>
  <si>
    <t>S-T2S-BM0313</t>
  </si>
  <si>
    <t>Beam- 3B3a Reinforcement Detail (Sheet 3 of 3)</t>
  </si>
  <si>
    <t>S-T2S-BM0314</t>
  </si>
  <si>
    <t>Beam- 3B3b Reinforcement Detail (Sheet 1 of 2)</t>
  </si>
  <si>
    <t>S-T2S-BM0315</t>
  </si>
  <si>
    <t>Beam- 3B3b Reinforcement Detail (Sheet 2 of 2)</t>
  </si>
  <si>
    <t>S-T2S-BM0316</t>
  </si>
  <si>
    <t>Beam- 3B4a Reinforcement Detail (Sheet 1 of 3)</t>
  </si>
  <si>
    <t>S-T2S-BM0317</t>
  </si>
  <si>
    <t>Beam- 3B4a Reinforcement Detail (Sheet 2 of 3)</t>
  </si>
  <si>
    <t>S-T2S-BM0318</t>
  </si>
  <si>
    <t>Beam- 3B4a Reinforcement Detail (Sheet 3 of 3)</t>
  </si>
  <si>
    <t>S-T2S-BM0319</t>
  </si>
  <si>
    <t>Beam- 3B4b Reinforcement Detail (Sheet 1 of 3)</t>
  </si>
  <si>
    <t>S-T2S-BM0320</t>
  </si>
  <si>
    <t>Beam- 3B4b Reinforcement Detail (Sheet 2 of 3)</t>
  </si>
  <si>
    <t>S-T2S-BM0321</t>
  </si>
  <si>
    <t>Beam- 3B4b Reinforcement Detail (Sheet 3 of 3)</t>
  </si>
  <si>
    <t>S-T2S-BM0322</t>
  </si>
  <si>
    <t>Beam- 3B5a Reinforcement Detail (Sheet 1 of 3)</t>
  </si>
  <si>
    <t>S-T2S-BM0323</t>
  </si>
  <si>
    <t>Beam- 3B5a Reinforcement Detail (Sheet 2 of 3)</t>
  </si>
  <si>
    <t>S-T2S-BM0324</t>
  </si>
  <si>
    <t>Beam- 3B5a Reinforcement Detail (Sheet 3 of 3)</t>
  </si>
  <si>
    <t>S-T2S-BM0325</t>
  </si>
  <si>
    <t>Beam- 3B5b Reinforcement Detail (Sheet 1 of 3)</t>
  </si>
  <si>
    <t>S-T2S-BM0326</t>
  </si>
  <si>
    <t>Beam- 3B5b Reinforcement Detail (Sheet 2 of 3)</t>
  </si>
  <si>
    <t>S-T2S-BM0327</t>
  </si>
  <si>
    <t>Beam- 3B5b Reinforcement Detail (Sheet 3 of 3)</t>
  </si>
  <si>
    <t>S-T2S-BM0328</t>
  </si>
  <si>
    <t>Beam- 3B6 &amp;3B8 Reinforcement Detail</t>
  </si>
  <si>
    <t>S-T2S-BM0329</t>
  </si>
  <si>
    <t>Beam- 3B 9 Reinforcement Detail</t>
  </si>
  <si>
    <t>S-T2S-BM0330</t>
  </si>
  <si>
    <t>Beam- 3B10 &amp;3B11 Reinforcement Detail</t>
  </si>
  <si>
    <t>S-T2S-BM0331</t>
  </si>
  <si>
    <t>Beam- 3B12 Reinforcement Detail</t>
  </si>
  <si>
    <t>S-T2S-BM0332</t>
  </si>
  <si>
    <t>Beam- 3B13&amp;3B14 Reinforcement Detail</t>
  </si>
  <si>
    <t>S-T2S-BM0333</t>
  </si>
  <si>
    <t xml:space="preserve">Beam- 3B15a Reinforcement Detail </t>
  </si>
  <si>
    <t>S-T2S-BM0334</t>
  </si>
  <si>
    <t xml:space="preserve">Beam- 3B15b Reinforcement Detail </t>
  </si>
  <si>
    <t>S-T2S-BM0335</t>
  </si>
  <si>
    <t xml:space="preserve">Beam- 3B16a Reinforcement Detail </t>
  </si>
  <si>
    <t>S-T2S-BM0336</t>
  </si>
  <si>
    <t xml:space="preserve">Beam- 3B16b Reinforcement Detail </t>
  </si>
  <si>
    <t>S-T2S-BM0337</t>
  </si>
  <si>
    <t xml:space="preserve">Beam- 3B17 a&amp;b, 3B18 a&amp;b Reinforcement Detail </t>
  </si>
  <si>
    <t>S-T2S-BM0341</t>
  </si>
  <si>
    <t>Beam- 3B 20 Reinforcement Detail (Sheet 1 of 3)</t>
  </si>
  <si>
    <t>S-T2S-BM0342</t>
  </si>
  <si>
    <t>Beam- 3B 20 Reinforcement Detail (Sheet 2 of 3)</t>
  </si>
  <si>
    <t>S-T2S-BM0343</t>
  </si>
  <si>
    <t>Beam- 3B 20 Reinforcement Detail (Sheet 3 of 3)</t>
  </si>
  <si>
    <t>S-T2S-BM0344</t>
  </si>
  <si>
    <t>Beam- 3B 21 Reinforcement Detail (Sheet 1 of 2)</t>
  </si>
  <si>
    <t>S-T2S-BM0345</t>
  </si>
  <si>
    <t>Beam- 3B 21 Reinforcement Detail (Sheet 2 of 2)</t>
  </si>
  <si>
    <t>S-T2S-BM0346</t>
  </si>
  <si>
    <t>Beam- 3B 22 Reinforcement Detail (Sheet 1 of 2)</t>
  </si>
  <si>
    <t>S-T2S-BM0347</t>
  </si>
  <si>
    <t>Beam- 3B 22 Reinforcement Detail (Sheet 2 of 2)</t>
  </si>
  <si>
    <t>S-T2S-BM0348</t>
  </si>
  <si>
    <t>Beam- 3B 23 Reinforcement Detail (Sheet 1 of 2)</t>
  </si>
  <si>
    <t>S-T2S-BM0349</t>
  </si>
  <si>
    <t>Beam- 3B 23 Reinforcement Detail (Sheet 2 of 2)</t>
  </si>
  <si>
    <t>S-T2S-BM0350</t>
  </si>
  <si>
    <t>Beam- 3B 24 Reinforcement Detail (Sheet 1 of 3)</t>
  </si>
  <si>
    <t>S-T2S-BM0351</t>
  </si>
  <si>
    <t>Beam- 3B 24 Reinforcement Detail (Sheet 2 of 3)</t>
  </si>
  <si>
    <t>S-T2S-BM0352</t>
  </si>
  <si>
    <t>Beam- 3B 24 Reinforcement Detail (Sheet 3 of 3)</t>
  </si>
  <si>
    <t>S-T2S-BM0353</t>
  </si>
  <si>
    <t>Beam- 3B 25 Reinforcement Detail (Sheet 1 of 2)</t>
  </si>
  <si>
    <t>S-T2S-BM0354</t>
  </si>
  <si>
    <t>Beam- 3B 25 Reinforcement Detail (Sheet 2 of 2)</t>
  </si>
  <si>
    <t>S-T2S-BM0355</t>
  </si>
  <si>
    <t>Beam- 3B 26 Reinforcement Detail</t>
  </si>
  <si>
    <t>S-T2S-BM0356</t>
  </si>
  <si>
    <t>Beam- 3B 27 Reinforcement Detail (Sheet 1 of 2)</t>
  </si>
  <si>
    <t>S-T2S-BM0357</t>
  </si>
  <si>
    <t>Beam- 3B 27 Reinforcement Detail (Sheet 2 of 2)</t>
  </si>
  <si>
    <t>S-T2S-BM0358</t>
  </si>
  <si>
    <t>Beam- 3B 28 Reinforcement Detail (Sheet 1 of 2)</t>
  </si>
  <si>
    <t>S-T2S-BM0359</t>
  </si>
  <si>
    <t>Beam- 3B 28 Reinforcement Detail (Sheet 2 of 2)</t>
  </si>
  <si>
    <t>S-T2S-BM0360</t>
  </si>
  <si>
    <t>Beam- 3B 29 Reinforcement Detail (Sheet 1 of 2)</t>
  </si>
  <si>
    <t>S-T2S-BM0361</t>
  </si>
  <si>
    <t>Beam- 3B 29 Reinforcement Detail (Sheet 2 of 2)</t>
  </si>
  <si>
    <t>S-T2S-BM0362</t>
  </si>
  <si>
    <t>Beam- 3B 29 Reinforcement Detail (Sheet 3 of 3)</t>
  </si>
  <si>
    <t>S-T2S-BM0363</t>
  </si>
  <si>
    <t>Beam 3B31a&amp;b &amp; 3B51 Reinforcement</t>
  </si>
  <si>
    <t>S-T2S-BM0364</t>
  </si>
  <si>
    <t>Beam- 3B32 Reinforcement Detail (Sheet 1 of 2)</t>
  </si>
  <si>
    <t>S-T2S-BM0365</t>
  </si>
  <si>
    <t>Beam- 3B32 Reinforcement Detail (Sheet 2 of 2)</t>
  </si>
  <si>
    <t>S-T2S-BM0366</t>
  </si>
  <si>
    <t>Beam- 3B32 Reinforcement Detail (Sheet 3 of 3)</t>
  </si>
  <si>
    <t>S-T2S-BM0367</t>
  </si>
  <si>
    <t>Beam- 3B 33a Reinforcement Detail</t>
  </si>
  <si>
    <t>S-T2S-BM0368</t>
  </si>
  <si>
    <t>Beam- 3B 33b Reinforcement Detail</t>
  </si>
  <si>
    <t>S-T2S-BM0369</t>
  </si>
  <si>
    <t>Beam- 3B 34a Reinforcement Detail</t>
  </si>
  <si>
    <t>S-T2S-BM0370</t>
  </si>
  <si>
    <t>Beam- 3B 34b Reinforcement Detail</t>
  </si>
  <si>
    <t>S-T2S-BM0371</t>
  </si>
  <si>
    <t>Beam- 3B35 Reinforcement Detail (Sheet 1 of 3)</t>
  </si>
  <si>
    <t>S-T2S-BM0372</t>
  </si>
  <si>
    <t>Beam- 3B35 Reinforcement Detail (Sheet 2 of 3)</t>
  </si>
  <si>
    <t>S-T2S-BM0373</t>
  </si>
  <si>
    <t>Beam- 3B35 Reinforcement Detail (Sheet 3 of 3)</t>
  </si>
  <si>
    <t>S-T2S-BM0374</t>
  </si>
  <si>
    <t>Beam- 3B37 Reinforcement Detail (Sheet 1 of 3)</t>
  </si>
  <si>
    <t>S-T2S-BM0375</t>
  </si>
  <si>
    <t>Beam- 3B37 Reinforcement Detail (Sheet 2 of 3)</t>
  </si>
  <si>
    <t>S-T2S-BM0376</t>
  </si>
  <si>
    <t>Beam- 3B37 Reinforcement Detail (Sheet 3 of 3)</t>
  </si>
  <si>
    <t>S-T2S-BM0377</t>
  </si>
  <si>
    <t>Beam- 3B 38ab Reinforcement Detail</t>
  </si>
  <si>
    <t>S-T2S-BM0378</t>
  </si>
  <si>
    <t>Beam- 3B40a Reinforcement Detail (Sheet 1 of 2)</t>
  </si>
  <si>
    <t>S-T2S-BM0379</t>
  </si>
  <si>
    <t>Beam- 3B40a Reinforcement Detail (Sheet 2 of 2)</t>
  </si>
  <si>
    <t>S-T2S-BM0380</t>
  </si>
  <si>
    <t>Beam- 3B40b Reinforcement Detail (Sheet 1 of 2)</t>
  </si>
  <si>
    <t>S-T2S-BM0381</t>
  </si>
  <si>
    <t>Beam- 3B40b Reinforcement Detail (Sheet 2 of 2)</t>
  </si>
  <si>
    <t>S-T2S-BM0382</t>
  </si>
  <si>
    <t xml:space="preserve">Beam- 3B 41a&amp;bReinforcement Detail </t>
  </si>
  <si>
    <t>S-T2S-BM0383</t>
  </si>
  <si>
    <t>Beam 3B39a&amp;b, 3B45a&amp;b &amp; 3B50 Reinforcement Detail</t>
  </si>
  <si>
    <t>S-T2S-BM0384</t>
  </si>
  <si>
    <t>Beam- 3B 44ab Reinforcement Detail</t>
  </si>
  <si>
    <t>S-T2S-BM0385</t>
  </si>
  <si>
    <t>Beam- 3B46a Reinforcement Detail</t>
  </si>
  <si>
    <t>S-T2S-BM0386</t>
  </si>
  <si>
    <t>Beam- 3B46b Reinforcement Detail</t>
  </si>
  <si>
    <t>S-T2S-BM0387</t>
  </si>
  <si>
    <t>Beam- 3B47a Reinforcement Detail</t>
  </si>
  <si>
    <t>S-T2S-BM0388</t>
  </si>
  <si>
    <t>Beam- 3B47b Reinforcement Detail</t>
  </si>
  <si>
    <t>S-T2S-BM0389</t>
  </si>
  <si>
    <t>Beam- 3B48a Reinforcement Detail (Sheet 1 of 2)</t>
  </si>
  <si>
    <t>S-T2S-BM0390</t>
  </si>
  <si>
    <t>Beam- 3B48a Reinforcement Detail (Sheet 2 of 2)</t>
  </si>
  <si>
    <t>S-T2S-BM0391</t>
  </si>
  <si>
    <t>Beam- 3B49 Reinforcement Detail</t>
  </si>
  <si>
    <t>S-T2S-BM0392</t>
  </si>
  <si>
    <t>Beam- 3B 42a&amp;b Reinforcement Detail</t>
  </si>
  <si>
    <t>S-T2S-BM0393</t>
  </si>
  <si>
    <t>Beam 3B7 Reinforcement Detail</t>
  </si>
  <si>
    <t>S-T2S-SB0110</t>
  </si>
  <si>
    <t>Plan showing bottom reinforcement for Ramp slab from 2nd SSL to 5th SSL</t>
  </si>
  <si>
    <t>S-T2S-SB0111</t>
  </si>
  <si>
    <t>Plan showing top reinforcement for Ramp slab from 2nd SSL to 5th SSL</t>
  </si>
  <si>
    <t>S-T2S-SB0112</t>
  </si>
  <si>
    <t>BBS for Ramp slab from 2nd SSL to 5th SSL</t>
  </si>
  <si>
    <t>S-T2S-SB0201</t>
  </si>
  <si>
    <t>Plan showing top reinforcement of 2nd SSL(Sheet 1)</t>
  </si>
  <si>
    <t>S-T2S-SB0202</t>
  </si>
  <si>
    <t>Plan showing top reinforcement of 2nd SSL(Sheet 2)</t>
  </si>
  <si>
    <t>S-T2S-SB0203</t>
  </si>
  <si>
    <t>BBS of top reinforcement of 2nd SSL</t>
  </si>
  <si>
    <t>S-T2S-SB0204</t>
  </si>
  <si>
    <t>Plan showing bottom reinforcement of 2nd SSL(Sheet 1)</t>
  </si>
  <si>
    <t>S-T2S-SB0205</t>
  </si>
  <si>
    <t>Plan showing bottom reinforcement of 2nd SSL(Sheet 2)</t>
  </si>
  <si>
    <t>S-T2S-SB0206</t>
  </si>
  <si>
    <t>BBS of bottom reinforcement of 2nd SSL</t>
  </si>
  <si>
    <t>S-T2S-SB0301</t>
  </si>
  <si>
    <t>Plan showing bottom reinforcement of 3rd SSL (Sheet 1)</t>
  </si>
  <si>
    <t>S-T2S-SB0302</t>
  </si>
  <si>
    <t>Plan showing top reinforcement of 3rd SSL (Sheet 1)</t>
  </si>
  <si>
    <t>S-T2S-SL0201</t>
  </si>
  <si>
    <t>Plan showing sleeves at SSL02 (Sheet 1 of 3)</t>
  </si>
  <si>
    <t>S-T2S-SL0202</t>
  </si>
  <si>
    <t>Plan showing sleeves at SSL02 (Sheet 2of 3)</t>
  </si>
  <si>
    <t>S-T2S-SL0203</t>
  </si>
  <si>
    <t>Elevation showing sleeves at SSL02 (Sheet 3 of 3)</t>
  </si>
  <si>
    <t>S-T2S-SL0204</t>
  </si>
  <si>
    <t>Sleeves Reinforcement Details for SSL 02</t>
  </si>
  <si>
    <t>S-T2S-MS0003</t>
  </si>
  <si>
    <t>COMMON TG PARTITION WALL SUPPORT DETAIL</t>
  </si>
  <si>
    <t>S-T2S-RB0101</t>
  </si>
  <si>
    <t>Beam RB-0 reinforcement detail(SSL2 to SSL5)</t>
  </si>
  <si>
    <t>S-T2S-RB0102</t>
  </si>
  <si>
    <t>Beam RB-1  reinforcement detail(SSL2 to SSL5)</t>
  </si>
  <si>
    <t>S-T2S-RB0103</t>
  </si>
  <si>
    <t>Beam RB-2 reinforcement detail(SSL2 to SSL5)</t>
  </si>
  <si>
    <t>S-T2S-RB0104</t>
  </si>
  <si>
    <t>Beam RB-3 reinforcement detail(SSL2 to SSL5)</t>
  </si>
  <si>
    <t>S-T2S-RB0105</t>
  </si>
  <si>
    <t>Beam RB-4 reinforcement detail(SSL2 to SSL5)</t>
  </si>
  <si>
    <t>S-T2S-RB0106</t>
  </si>
  <si>
    <t>Beam RB-5 reinforcement detail(SSL2 to SSL5)</t>
  </si>
  <si>
    <t>S-T2S-RB0107</t>
  </si>
  <si>
    <t>Beam RB-6 reinforcement detail(SSL2 to SSL5)</t>
  </si>
  <si>
    <t>S-T2S-RB0108</t>
  </si>
  <si>
    <t>Beam RB-7 reinforcement detail(SSL1 to SSL5)</t>
  </si>
  <si>
    <t>S-T2S-RB0109</t>
  </si>
  <si>
    <t>Beam RB-8 reinforcement detail(SSL1 &amp; SSL2)</t>
  </si>
  <si>
    <t>S-T2S-RB0110</t>
  </si>
  <si>
    <t>Beam RB-8 reinforcement detail(SSL3 to SSL5)</t>
  </si>
  <si>
    <t>S-T2S-RB0111</t>
  </si>
  <si>
    <t>Beam RB-9 reinforcement detail(SSL1 to SSL5)</t>
  </si>
  <si>
    <t>S-T2S-RB0112</t>
  </si>
  <si>
    <t>Beam RB-10 reinforcement detail(SSL1 to SSL5)</t>
  </si>
  <si>
    <t>S-T2S-RB0113</t>
  </si>
  <si>
    <t>Beam RB-11 reinforcement detail(SSL1 to SSL5)</t>
  </si>
  <si>
    <t>S-T2S-RB0114</t>
  </si>
  <si>
    <t>Beam RB-12 reinforcement detail(SSL1 to SSL5)</t>
  </si>
  <si>
    <t>S-T2S-RB0115</t>
  </si>
  <si>
    <t>Beam RB-13 reinforcement detail(SSL1)</t>
  </si>
  <si>
    <t>S-T2S-RB0116</t>
  </si>
  <si>
    <t>Beam RB-13 reinforcement detail(SSL2 to SSL5)(Sheet 1 of 2)</t>
  </si>
  <si>
    <t>S-T2S-RB0117</t>
  </si>
  <si>
    <t>Beam RB-13 reinforcement detail(SSL2 to SSL5)(Sheet 2 of 2)</t>
  </si>
  <si>
    <t>S-T2S-RB0118</t>
  </si>
  <si>
    <t>Beam RB-14 reinforcement detail(SSL1)</t>
  </si>
  <si>
    <t>S-T2S-RB0119</t>
  </si>
  <si>
    <t>Beam RB-14 reinforcement detail(SSL2)(Sheet 1 of 2)</t>
  </si>
  <si>
    <t>S-T2S-RB0120</t>
  </si>
  <si>
    <t>Beam RB-14 reinforcement detail(SSL2)(Sheet 2 of 2)</t>
  </si>
  <si>
    <t>S-T2S-RB0121</t>
  </si>
  <si>
    <t>Beam RB-14 reinforcement detail(SSL3 to SSL5)(Sheet 1 of 3)</t>
  </si>
  <si>
    <t>S-T2S-RB0122</t>
  </si>
  <si>
    <t>Beam RB-14 reinforcement detail(SSL3 to SSL5)(Sheet 2 of 3)</t>
  </si>
  <si>
    <t>S-T2S-RB0123</t>
  </si>
  <si>
    <t>Beam RB-14 reinforcement detail(SSL3 to SSL5)(Sheet 3 of 3)</t>
  </si>
  <si>
    <t>S-T2S-FP0401</t>
  </si>
  <si>
    <t>Framing Plan at SSL 04</t>
  </si>
  <si>
    <t>ST-T2S-5</t>
  </si>
  <si>
    <t>S-T2S-FP0501</t>
  </si>
  <si>
    <t>S-T2S-FP0601</t>
  </si>
  <si>
    <t>S-T2S-FP0402</t>
  </si>
  <si>
    <t>3D view of SSL04</t>
  </si>
  <si>
    <t>S-T2S-FP0502</t>
  </si>
  <si>
    <t>3D view of SSL05</t>
  </si>
  <si>
    <t>S-T2S-FP0602</t>
  </si>
  <si>
    <t>3D view of SSL06</t>
  </si>
  <si>
    <t>S-T2S-BM0401</t>
  </si>
  <si>
    <t>Beam- 4B1a Reinforcement Detail (Sheet 1 of 3)</t>
  </si>
  <si>
    <t>S-T2S-BM0402</t>
  </si>
  <si>
    <t>Beam- 4B1a Reinforcement Detail (Sheet 2 of 3)</t>
  </si>
  <si>
    <t>S-T2S-BM0403</t>
  </si>
  <si>
    <t>Beam-4B1a Reinforcement Detail (Sheet 3 of 3)</t>
  </si>
  <si>
    <t>S-T2S-BM0404</t>
  </si>
  <si>
    <t>Beam- 4B1b Reinforcement Detail (Sheet 1 of 2)</t>
  </si>
  <si>
    <t>S-T2S-BM0405</t>
  </si>
  <si>
    <t>Beam- 4B1b Reinforcement Detail (Sheet 2 of 2)</t>
  </si>
  <si>
    <t>S-T2S-BM0406</t>
  </si>
  <si>
    <t>Beam-4B2a Reinforcement Detail (Sheet 1 of 3)</t>
  </si>
  <si>
    <t>S-T2S-BM0407</t>
  </si>
  <si>
    <t>Beam- 4B2a Reinforcement Detail (Sheet 2 of 3)</t>
  </si>
  <si>
    <t>S-T2S-BM0408</t>
  </si>
  <si>
    <t>Beam- 4B2a Reinforcement Detail (Sheet 3 of 3)</t>
  </si>
  <si>
    <t>S-T2S-BM0409</t>
  </si>
  <si>
    <t>Beam- 4B2b Reinforcement Detail (Sheet 1 of 2)</t>
  </si>
  <si>
    <t>S-T2S-BM0410</t>
  </si>
  <si>
    <t>Beam- 4B2b Reinforcement Detail (Sheet 2 of 2)</t>
  </si>
  <si>
    <t>S-T2S-BM0411</t>
  </si>
  <si>
    <t>Beam- 4B3a Reinforcement Detail (Sheet 1 of 3)</t>
  </si>
  <si>
    <t>S-T2S-BM0412</t>
  </si>
  <si>
    <t>Beam- 4B3a Reinforcement Detail (Sheet 2 of 3)</t>
  </si>
  <si>
    <t>S-T2S-BM0413</t>
  </si>
  <si>
    <t>Beam- 4B3a Reinforcement Detail (Sheet 3 of 3)</t>
  </si>
  <si>
    <t>S-T2S-BM0414</t>
  </si>
  <si>
    <t>Beam- 4B3b Reinforcement Detail (Sheet 1 of 2)</t>
  </si>
  <si>
    <t>S-T2S-BM0415</t>
  </si>
  <si>
    <t>Beam- 4B3b Reinforcement Detail (Sheet 2 of 2)</t>
  </si>
  <si>
    <t>S-T2S-BM0416</t>
  </si>
  <si>
    <t>Beam- 4B4a Reinforcement Detail (Sheet 1 of 3)</t>
  </si>
  <si>
    <t>S-T2S-BM0417</t>
  </si>
  <si>
    <t>Beam- 4B4a Reinforcement Detail (Sheet 2 of 3)</t>
  </si>
  <si>
    <t>S-T2S-BM0418</t>
  </si>
  <si>
    <t>Beam- 4B4a Reinforcement Detail (Sheet 3 of 3)</t>
  </si>
  <si>
    <t>S-T2S-BM0419</t>
  </si>
  <si>
    <t>Beam- 4B4b Reinforcement Detail (Sheet 1 of 3)</t>
  </si>
  <si>
    <t>S-T2S-BM0420</t>
  </si>
  <si>
    <t>Beam- 4B4b Reinforcement Detail (Sheet 2 of 3)</t>
  </si>
  <si>
    <t>S-T2S-BM0421</t>
  </si>
  <si>
    <t>Beam- 4B4b Reinforcement Detail (Sheet 3 of 3)</t>
  </si>
  <si>
    <t>S-T2S-BM0422</t>
  </si>
  <si>
    <t>Beam- 4B5a Reinforcement Detail (Sheet 1 of 3)</t>
  </si>
  <si>
    <t>S-T2S-BM0423</t>
  </si>
  <si>
    <t>Beam- 4B5a Reinforcement Detail (Sheet 2 of 3)</t>
  </si>
  <si>
    <t>S-T2S-BM0424</t>
  </si>
  <si>
    <t>Beam- 4B5a Reinforcement Detail (Sheet 3 of 3)</t>
  </si>
  <si>
    <t>S-T2S-BM0425</t>
  </si>
  <si>
    <t>Beam- 4B5b Reinforcement Detail (Sheet 1 of 3)</t>
  </si>
  <si>
    <t>S-T2S-BM0426</t>
  </si>
  <si>
    <t>Beam- 4B5b Reinforcement Detail (Sheet 2 of 3)</t>
  </si>
  <si>
    <t>S-T2S-BM0427</t>
  </si>
  <si>
    <t>Beam- 4B5b Reinforcement Detail (Sheet 3 of 3)</t>
  </si>
  <si>
    <t>S-T2S-BM0428</t>
  </si>
  <si>
    <t>Beam- 4B6 &amp;4B8 Reinforcement Detail</t>
  </si>
  <si>
    <t>S-T2S-BM0429</t>
  </si>
  <si>
    <t>Beam- 4B 7 Reinforcement Detail</t>
  </si>
  <si>
    <t>S-T2S-BM0430</t>
  </si>
  <si>
    <t>Beam- 4B 9 Reinforcement Detail</t>
  </si>
  <si>
    <t>S-T2S-BM0431</t>
  </si>
  <si>
    <t>Beam- 4B10 &amp;4B11 Reinforcement Detail</t>
  </si>
  <si>
    <t>S-T2S-BM0432</t>
  </si>
  <si>
    <t>Beam- 4B12 Reinforcement Detail</t>
  </si>
  <si>
    <t>S-T2S-BM0433</t>
  </si>
  <si>
    <t>Beam- 4B13&amp;4B14 Reinforcement Detail</t>
  </si>
  <si>
    <t>S-T2S-BM0434</t>
  </si>
  <si>
    <t xml:space="preserve">Beam- 4B15a Reinforcement Detail </t>
  </si>
  <si>
    <t>S-T2S-BM0435</t>
  </si>
  <si>
    <t xml:space="preserve">Beam- 4B15b Reinforcement Detail </t>
  </si>
  <si>
    <t>S-T2S-BM0436</t>
  </si>
  <si>
    <t xml:space="preserve">Beam- 4B16a Reinforcement Detail </t>
  </si>
  <si>
    <t>S-T2S-BM0437</t>
  </si>
  <si>
    <t>Beam- 4B16b Reinforcement Detail (Sheet 1 of 2)</t>
  </si>
  <si>
    <t>S-T2S-BM0438</t>
  </si>
  <si>
    <t>Beam- 4B16b Reinforcement Detail (Sheet 2 of 2)</t>
  </si>
  <si>
    <t>S-T2S-BM0439</t>
  </si>
  <si>
    <t xml:space="preserve">Beam- 4B17 a&amp;b, 4B18 a&amp;b Reinforcement Detail </t>
  </si>
  <si>
    <t>S-T2S-BM0440</t>
  </si>
  <si>
    <t xml:space="preserve">Beam- 4B19a&amp;b Reinforcement Detail </t>
  </si>
  <si>
    <t>S-T2S-BM0441</t>
  </si>
  <si>
    <t>Beam- 4B 20 Reinforcement Detail (Sheet 1 of 3)</t>
  </si>
  <si>
    <t>S-T2S-BM0442</t>
  </si>
  <si>
    <t>Beam- 4B 20 Reinforcement Detail (Sheet 2 of 3)</t>
  </si>
  <si>
    <t>S-T2S-BM0443</t>
  </si>
  <si>
    <t>Beam- 4B 20 Reinforcement Detail (Sheet 3 of 3)</t>
  </si>
  <si>
    <t>S-T2S-BM0444</t>
  </si>
  <si>
    <t>Beam- 4B 21 Reinforcement Detail (Sheet 1 of 2)</t>
  </si>
  <si>
    <t>S-T2S-BM0445</t>
  </si>
  <si>
    <t>Beam- 4B 21 Reinforcement Detail (Sheet 2 of 2)</t>
  </si>
  <si>
    <t>S-T2S-BM0446</t>
  </si>
  <si>
    <t>Beam- 4B 22 Reinforcement Detail (Sheet 1 of 2)</t>
  </si>
  <si>
    <t>S-T2S-BM0447</t>
  </si>
  <si>
    <t>Beam- 4B 22 Reinforcement Detail (Sheet 2 of 2)</t>
  </si>
  <si>
    <t>S-T2S-BM0448</t>
  </si>
  <si>
    <t>Beam- 4B 23 Reinforcement Detail (Sheet 1 of 2)</t>
  </si>
  <si>
    <t>S-T2S-BM0449</t>
  </si>
  <si>
    <t>Beam- 4B 23 Reinforcement Detail (Sheet 2 of 2)</t>
  </si>
  <si>
    <t>S-T2S-BM0450</t>
  </si>
  <si>
    <t>Beam- 4B 24 Reinforcement Detail (Sheet 1 of 3)</t>
  </si>
  <si>
    <t>S-T2S-BM0451</t>
  </si>
  <si>
    <t>Beam- 4B 24 Reinforcement Detail (Sheet 2 of 3)</t>
  </si>
  <si>
    <t>S-T2S-BM0452</t>
  </si>
  <si>
    <t>Beam- 4B 24 Reinforcement Detail (Sheet 3 of 3)</t>
  </si>
  <si>
    <t>S-T2S-BM0453</t>
  </si>
  <si>
    <t>Beam- 4B 25 Reinforcement Detail (Sheet 1 of 2)</t>
  </si>
  <si>
    <t>S-T2S-BM0454</t>
  </si>
  <si>
    <t>Beam- 4B 25 Reinforcement Detail (Sheet 2 of 2)</t>
  </si>
  <si>
    <t>S-T2S-BM0455</t>
  </si>
  <si>
    <t>Beam- 4B 26 Reinforcement Detail</t>
  </si>
  <si>
    <t>S-T2S-BM0456</t>
  </si>
  <si>
    <t>Beam- 4B 27 Reinforcement Detail (Sheet 1 of 2)</t>
  </si>
  <si>
    <t>S-T2S-BM0457</t>
  </si>
  <si>
    <t>Beam- 4B 27 Reinforcement Detail (Sheet 2 of 2)</t>
  </si>
  <si>
    <t>S-T2S-BM0458</t>
  </si>
  <si>
    <t>Beam- 4B 28 Reinforcement Detail (Sheet 1 of 3)</t>
  </si>
  <si>
    <t>S-T2S-BM0459</t>
  </si>
  <si>
    <t>Beam- 4B 28 Reinforcement Detail (Sheet 2 of 3)</t>
  </si>
  <si>
    <t>S-T2S-BM0460</t>
  </si>
  <si>
    <t>Beam- 4B 28 Reinforcement Detail (Sheet 3 of 3)</t>
  </si>
  <si>
    <t>S-T2S-BM0461</t>
  </si>
  <si>
    <t>Beam- 4B 29 Reinforcement Detail (Sheet 1 of 2)</t>
  </si>
  <si>
    <t>S-T2S-BM0462</t>
  </si>
  <si>
    <t>Beam- 4B 29 Reinforcement Detail (Sheet 2 of 2)</t>
  </si>
  <si>
    <t>S-T2S-BM0463</t>
  </si>
  <si>
    <t>Beam- 4B31a&amp;b Reinforcement Detail</t>
  </si>
  <si>
    <t>S-T2S-BM0465</t>
  </si>
  <si>
    <t>Beam- 4B 32 Reinforcement Detail (Sheet 1 of 3)</t>
  </si>
  <si>
    <t>S-T2S-BM0466</t>
  </si>
  <si>
    <t>Beam- 4B 32 Reinforcement Detail (Sheet 2 of 3)</t>
  </si>
  <si>
    <t>S-T2S-BM0467</t>
  </si>
  <si>
    <t>Beam- 4B 32 Reinforcement Detail (Sheet 3 of 3)</t>
  </si>
  <si>
    <t>S-T2S-BM0468</t>
  </si>
  <si>
    <t>Beam- 4B 33a Reinforcement Detail</t>
  </si>
  <si>
    <t>S-T2S-BM0469</t>
  </si>
  <si>
    <t>Beam- 4B 33b Reinforcement Detail</t>
  </si>
  <si>
    <t>S-T2S-BM0470</t>
  </si>
  <si>
    <t>Beam- 4B 34a Reinforcement Detail</t>
  </si>
  <si>
    <t>S-T2S-BM0471</t>
  </si>
  <si>
    <t>Beam- 4B 34b Reinforcement Detail</t>
  </si>
  <si>
    <t>S-T2S-BM0472</t>
  </si>
  <si>
    <t>Beam- 4B 35 Reinforcement Detail (Sheet 1 of 3)</t>
  </si>
  <si>
    <t>S-T2S-BM0473</t>
  </si>
  <si>
    <t>Beam- 4B 35 Reinforcement Detail (Sheet 2 of 3)</t>
  </si>
  <si>
    <t>S-T2S-BM0474</t>
  </si>
  <si>
    <t>Beam- 4B 35 Reinforcement Detail (Sheet 3 of 3)</t>
  </si>
  <si>
    <t>S-T2S-BM0475</t>
  </si>
  <si>
    <t>Beam- 4B 37 Reinforcement Detail (Sheet 1 of 3)</t>
  </si>
  <si>
    <t>S-T2S-BM0476</t>
  </si>
  <si>
    <t>Beam- 4B 37 Reinforcement Detail (Sheet 2 of 3)</t>
  </si>
  <si>
    <t>S-T2S-BM0477</t>
  </si>
  <si>
    <t>Beam- 4B 37 Reinforcement Detail (Sheet 3 of 3)</t>
  </si>
  <si>
    <t>S-T2S-BM0478</t>
  </si>
  <si>
    <t>Beam- 4B 38ab Reinforcement Detail</t>
  </si>
  <si>
    <t>S-T2S-BM0479</t>
  </si>
  <si>
    <t>Beam- 4B 40a Reinforcement Detail (Sheet 1 of 2)</t>
  </si>
  <si>
    <t>S-T2S-BM0480</t>
  </si>
  <si>
    <t>Beam- 4B 40a Reinforcement Detail (Sheet 2 of 2)</t>
  </si>
  <si>
    <t>S-T2S-BM0481</t>
  </si>
  <si>
    <t>Beam- 4B 40b Reinforcement Detail (Sheet 1 of 2)</t>
  </si>
  <si>
    <t>S-T2S-BM0482</t>
  </si>
  <si>
    <t>Beam- 4B 40b Reinforcement Detail (Sheet 2 of 2)</t>
  </si>
  <si>
    <t>S-T2S-BM0483</t>
  </si>
  <si>
    <t>Beam- 4B 41a&amp;b Reinforcement Detail</t>
  </si>
  <si>
    <t>S-T2S-BM0484</t>
  </si>
  <si>
    <t>Beam- 4B 42a&amp;b Reinforcement Detail</t>
  </si>
  <si>
    <t>S-T2S-BM0485</t>
  </si>
  <si>
    <t>Beam- 4B 44ab Reinforcement Detail</t>
  </si>
  <si>
    <t>S-T2S-BM0486</t>
  </si>
  <si>
    <t>Beam 4B45a&amp;b &amp; 4B50 Reinforcement Detail</t>
  </si>
  <si>
    <t>S-T2S-BM0487</t>
  </si>
  <si>
    <t>Beam- 4B 46a Reinforcement Detail</t>
  </si>
  <si>
    <t>S-T2S-BM0488</t>
  </si>
  <si>
    <t>Beam- 4B 46b Reinforcement Detail</t>
  </si>
  <si>
    <t>S-T2S-BM0489</t>
  </si>
  <si>
    <t>Beam- 4B 47a Reinforcement Detail</t>
  </si>
  <si>
    <t>S-T2S-BM0490</t>
  </si>
  <si>
    <t>Beam- 4B 47b Reinforcement Detail</t>
  </si>
  <si>
    <t>S-T2S-BM0491</t>
  </si>
  <si>
    <t>Beam- 4B 48 Reinforcement Detail</t>
  </si>
  <si>
    <t>S-T2S-BM0492</t>
  </si>
  <si>
    <t>Beam- 4B 49 Reinforcement Detail</t>
  </si>
  <si>
    <t>S-T2S-BM0501</t>
  </si>
  <si>
    <t>Typical Beam Details (Sheet 1)</t>
  </si>
  <si>
    <t>S-T2S-BM0502</t>
  </si>
  <si>
    <t>Typical Beam Details (Sheet 2)</t>
  </si>
  <si>
    <t>S-T2S-BM0503</t>
  </si>
  <si>
    <t>Typical Beam Details (Sheet 3)</t>
  </si>
  <si>
    <t>S-T2S-BM0504</t>
  </si>
  <si>
    <t>Typical Beam Details (Sheet 4)</t>
  </si>
  <si>
    <t>S-T2S-BM0505</t>
  </si>
  <si>
    <t>Typical Beam Details (Sheet 5)</t>
  </si>
  <si>
    <t>S-T2S-BM0506</t>
  </si>
  <si>
    <t>Typical Beam Details (Sheet 6)</t>
  </si>
  <si>
    <t>S-T2S-BM0507</t>
  </si>
  <si>
    <t>Typical Beam Details (Sheet 7)</t>
  </si>
  <si>
    <t>S-T2S-BM0508</t>
  </si>
  <si>
    <t>5B2a&amp;b and 5B3a&amp;b Reinf. Details</t>
  </si>
  <si>
    <t>S-T2S-BM0509</t>
  </si>
  <si>
    <t>Beam 5B1-4a, 515a&amp;b, 5B4b Reinf. Detail</t>
  </si>
  <si>
    <t>S-T2S-BM0510</t>
  </si>
  <si>
    <t>Beam 5B16 a&amp;b Reinf Detail</t>
  </si>
  <si>
    <t>S-T2S-BM0601</t>
  </si>
  <si>
    <t>S-T2S-BM0602</t>
  </si>
  <si>
    <t>S-T2S-BM0603</t>
  </si>
  <si>
    <t>S-T2S-BM0604</t>
  </si>
  <si>
    <t>S-T2S-BM0605</t>
  </si>
  <si>
    <t>S-T2S-BM0606</t>
  </si>
  <si>
    <t>S-T2S-BM0607</t>
  </si>
  <si>
    <t>Beam 6B15a,6B15b,6B16a,6B16b &amp;6B2-1b Reinf. Details</t>
  </si>
  <si>
    <t>S-T2S-BM0608</t>
  </si>
  <si>
    <t>Beam 6B2-1a,6B3-1a,6B4-1a,6B5-1a,6B5-1b,6B8b,6B3-1b,6B4-5a,b &amp; 6B6-1b Reinf. Details</t>
  </si>
  <si>
    <t>S-T2S-BM0609</t>
  </si>
  <si>
    <t>Beam 6B41a&amp;b,6B42a&amp;b and 6B3-6a&amp;b Reinf. Detail</t>
  </si>
  <si>
    <t>S-T2S-BM0701</t>
  </si>
  <si>
    <t>S-T2S-BM0702</t>
  </si>
  <si>
    <t>S-T2S-BM0703</t>
  </si>
  <si>
    <t>S-T2S-BM0704</t>
  </si>
  <si>
    <t>S-T2S-BM0705</t>
  </si>
  <si>
    <t>S-T2S-BM0706</t>
  </si>
  <si>
    <t>S-T2S-BM0707</t>
  </si>
  <si>
    <t>S-T2S-BM0708</t>
  </si>
  <si>
    <t>Typical Beam Details (Sheet 8)</t>
  </si>
  <si>
    <t>S-T2S-SB0303</t>
  </si>
  <si>
    <t>BBS for slab top&amp;bottom reinforcement of 4th SSL (Sheet 1)</t>
  </si>
  <si>
    <t>S-T2S-SB0304</t>
  </si>
  <si>
    <t>Plan showing bottom reinforcement of 4th SSL (Sheet 2)</t>
  </si>
  <si>
    <t>S-T2S-SB0305</t>
  </si>
  <si>
    <t>Plan showing top reinforcement of 4th SSL (Sheet 2)</t>
  </si>
  <si>
    <t>S-T2S-SB0306</t>
  </si>
  <si>
    <t>BBS for slab top&amp;bottom reinforcement of 4th SSL (Sheet 2)</t>
  </si>
  <si>
    <t>S-T2S-SB0307</t>
  </si>
  <si>
    <t>WAFFLE SLAB DETAILS (SHEET 1)</t>
  </si>
  <si>
    <t>S-T2S-SB0308</t>
  </si>
  <si>
    <t>WAFFLE SLAB DETAILS (SHEET 2)</t>
  </si>
  <si>
    <t>S-T2S-SB0309</t>
  </si>
  <si>
    <t>PERGOLA REINFORCEMENT DETAILS</t>
  </si>
  <si>
    <t>S-T2S-SB0401</t>
  </si>
  <si>
    <t>Plan showing bottom reinf. of 4th SSL (Sheet 1)</t>
  </si>
  <si>
    <t>S-T2S-SB0402</t>
  </si>
  <si>
    <t>Plan showing top reinf. of 4th SSL (Sheet 1)</t>
  </si>
  <si>
    <t>S-T2S-SB0403</t>
  </si>
  <si>
    <t>BBS of reinforcement of 4th SSL (Sheet 1)</t>
  </si>
  <si>
    <t>S-T2S-SB0404</t>
  </si>
  <si>
    <t>S-T2S-SB0405</t>
  </si>
  <si>
    <t>S-T2S-SB0406</t>
  </si>
  <si>
    <t>BBS of reinforcement of 4th SSL (Sheet 2)</t>
  </si>
  <si>
    <t>S-T2S-SB0501</t>
  </si>
  <si>
    <t xml:space="preserve">Bottom reinforcement Details of 5th SSL </t>
  </si>
  <si>
    <t>S-T2S-SB0502</t>
  </si>
  <si>
    <t xml:space="preserve">Top reinforcement Details of 5th SSL </t>
  </si>
  <si>
    <t>S-T2S-SB0503</t>
  </si>
  <si>
    <t>BBS of bottom reinf. Details of 5th SSL</t>
  </si>
  <si>
    <t>S-T2S-SB0504</t>
  </si>
  <si>
    <t>BBS of Top  Reinf. Details of 5th SSL</t>
  </si>
  <si>
    <t>S-T2S-SB0601</t>
  </si>
  <si>
    <t>BOTTOM REINFORCEMENT DETAILS OF SSL06</t>
  </si>
  <si>
    <t>S-T2S-SB0602</t>
  </si>
  <si>
    <t>TOP REINFORCEMENT DETAILS OF SSL06</t>
  </si>
  <si>
    <t>S-T2S-SB0603</t>
  </si>
  <si>
    <t>BBS FOR BOTTOM AND TOP REINFORCEMENT</t>
  </si>
  <si>
    <t>S-T2S-SL0301</t>
  </si>
  <si>
    <t>PLAN SHOWING LANDSACAPE SLEEVES AT SSL3,4,5,6 FRONT TERRACE GARDEN</t>
  </si>
  <si>
    <t>S-T2S-SL0302</t>
  </si>
  <si>
    <t>PLAN SHOWING SERVICES SLEEVES AT SSL3</t>
  </si>
  <si>
    <t>S-T2S-SL0303</t>
  </si>
  <si>
    <t>LANDSCAPE SLEEVE REINFORCEMENT DETAILS OF SSL3,4,5,6</t>
  </si>
  <si>
    <t>S-T2S-SL0304</t>
  </si>
  <si>
    <t>SERVICE SLEEVE REINFORCEMENT DETAILS OF SSL03</t>
  </si>
  <si>
    <t>S-T2S-SL0401</t>
  </si>
  <si>
    <t>PLAN SHOWING SERVICES SLEEVES AT SSL04</t>
  </si>
  <si>
    <t>S-T2S-SL0402</t>
  </si>
  <si>
    <t>SERVICES SLEEVE REINFORCEMENT DETAILS OF SSL04</t>
  </si>
  <si>
    <t>S-T2S-SL0501</t>
  </si>
  <si>
    <t>PLAN SHOWING SERVICES SLEEVES AT SSL05</t>
  </si>
  <si>
    <t>S-T2S-SL0502</t>
  </si>
  <si>
    <t>SERVICE SLEEVES REINFORCEMENT DETAILS OF SSL05</t>
  </si>
  <si>
    <t>S-T2S-SL0601</t>
  </si>
  <si>
    <t>PART PLAN SHOWING LANDSACAPE SLEEVES AT SSL06</t>
  </si>
  <si>
    <t>S-T2S-SL0602</t>
  </si>
  <si>
    <t>LANDSCAPE SLEEVE REINF. DETAILS OF SSL6</t>
  </si>
  <si>
    <t>S-T2S-SL0603</t>
  </si>
  <si>
    <t>PLAN SHOWING SERVICES SLEEVES AT SSL06</t>
  </si>
  <si>
    <t>S-T2S-SL0604</t>
  </si>
  <si>
    <t>SERVICES SLEEVE REINF. DETAILS OF SSL06</t>
  </si>
  <si>
    <t>S-T2S-SL0701</t>
  </si>
  <si>
    <t>PLAN SHOWING SLEEVES LOCATIONS AT SSL07</t>
  </si>
  <si>
    <t>S-T2S-SL0702</t>
  </si>
  <si>
    <t>SLEEVE REINF. DETAILS OF SSL07 (SHEET 1)</t>
  </si>
  <si>
    <t>S-T2S-SL0703</t>
  </si>
  <si>
    <t>SLEEVE REINF. DETAILS OF SSL07 (SHEET 2)</t>
  </si>
  <si>
    <t>S-T2S-SL0704</t>
  </si>
  <si>
    <t>PLAN SHOWING SLEEVES LOCATIONS AT SSL07(SIDE-B)</t>
  </si>
  <si>
    <t>S-T2S-SL0705</t>
  </si>
  <si>
    <t>SLEEVE REINF. DETAILS OF SSL07 SIDE-B (SHEET 1)</t>
  </si>
  <si>
    <t>S-T2S-SL0706</t>
  </si>
  <si>
    <t>SLEEVE REINF. DETAILS OF SSL07 SIDE-B (SHEET 2)</t>
  </si>
  <si>
    <t>S-T2S-SL0801</t>
  </si>
  <si>
    <t>PLAN SHOWING SLEEVES LOCATIONS AT SSL08</t>
  </si>
  <si>
    <t>S-T2S-SL0802</t>
  </si>
  <si>
    <t>SLEEVE REINF. DETAILS OF SSL08 (SHEET 1)</t>
  </si>
  <si>
    <t>S-T2S-SL0803</t>
  </si>
  <si>
    <t>SLEEVE REINF. DETAILS OF SSL08 (SHEET 2)</t>
  </si>
  <si>
    <t>S-T2S-SL0804</t>
  </si>
  <si>
    <t>SLEEVE REINF. DETAILS OF SSL08 (SHEET 3)</t>
  </si>
  <si>
    <t>S-T2S-SL0805</t>
  </si>
  <si>
    <t>SLEEVE REINF. DETAILS OF SSL08 (SHEET 4)</t>
  </si>
  <si>
    <t>S-T2S-FP0701</t>
  </si>
  <si>
    <t>ST-T2S-7</t>
  </si>
  <si>
    <t>S-T2S-FP0702</t>
  </si>
  <si>
    <t>3D view of SSL07</t>
  </si>
  <si>
    <t>S-T2S-BM0709</t>
  </si>
  <si>
    <t>BEAM 7B2 REINFORCEMENT DETAIL</t>
  </si>
  <si>
    <t>S-T2S-BM0710</t>
  </si>
  <si>
    <t>BEAM 7B3a REINFORCEMENT DETAIL</t>
  </si>
  <si>
    <t>S-T2S-BM0711</t>
  </si>
  <si>
    <t>BEAM 7B3b REINFORCEMENT DETAIL</t>
  </si>
  <si>
    <t>S-T2S-BM0712</t>
  </si>
  <si>
    <t>BEAM 7B4b REINFORCEMENT DETAIL</t>
  </si>
  <si>
    <t>S-T2S-BM0713</t>
  </si>
  <si>
    <t>BEAM 7B6-3a &amp; 3b REINFORCEMENT DETAIL</t>
  </si>
  <si>
    <t>S-T2S-BM0714</t>
  </si>
  <si>
    <t>BEAM 7B25-2 &amp; 29-2 REINFORCEMENT DETAIL</t>
  </si>
  <si>
    <t>S-T2S-SB0701</t>
  </si>
  <si>
    <t>Plan showing bottom reinforcement of 7th SSL</t>
  </si>
  <si>
    <t>S-T2S-SB0702</t>
  </si>
  <si>
    <t>Plan showing top reinforcement of 7th SSL</t>
  </si>
  <si>
    <t>S-T2S-SB0703</t>
  </si>
  <si>
    <t>Plan showing BBS</t>
  </si>
  <si>
    <t>S-T2S-SB0704</t>
  </si>
  <si>
    <t>S-T2S-FP0801</t>
  </si>
  <si>
    <t>ST-T2S-8</t>
  </si>
  <si>
    <t>S-T2S-FP0802</t>
  </si>
  <si>
    <t>3D view of SSL08</t>
  </si>
  <si>
    <t>S-T2S-BM0801</t>
  </si>
  <si>
    <t>Typical Beam Details</t>
  </si>
  <si>
    <t>S-T2S-BM0802</t>
  </si>
  <si>
    <t>SSL08 BEAM DETAILS(SHEET-1)</t>
  </si>
  <si>
    <t>S-T2S-BM0803</t>
  </si>
  <si>
    <t>SSL08 BEAM DETAILS(SHEET-2)</t>
  </si>
  <si>
    <t>S-T2S-BM0804</t>
  </si>
  <si>
    <t>SSL08 BEAM DETAILS(SHEET-3)</t>
  </si>
  <si>
    <t>S-T2S-BM0805</t>
  </si>
  <si>
    <t>SSL08 BEAM DETAILS(SHEET-4)</t>
  </si>
  <si>
    <t>S-T2S-BM0806</t>
  </si>
  <si>
    <t>BEAM 8B2-2b REINFORCEMENT DETAILS</t>
  </si>
  <si>
    <t>S-T2S-BM0807</t>
  </si>
  <si>
    <t>BEAM 8B3-2a, 8B3-2b &amp; 8B24 REINFORCEMENT DETAILS</t>
  </si>
  <si>
    <t>S-T2S-BM0808</t>
  </si>
  <si>
    <t>BEAM 8B5-2a, 8B5-2b &amp; 8B25-1 &amp; 8B25-2 REINFORCEMENT DETAILS</t>
  </si>
  <si>
    <t>S-T2S-BM0809</t>
  </si>
  <si>
    <t>BEAM 8B6-3b &amp; 8B23-6 REINF. DETAILS</t>
  </si>
  <si>
    <t>S-T2S-SB0801</t>
  </si>
  <si>
    <t>BOTTOM REINFORCEMENT DETAILS OF SSL08</t>
  </si>
  <si>
    <t>S-T2S-SB0802</t>
  </si>
  <si>
    <t>BBS FOR BOTTOM REINFORCEMENT DETAILS OF SSL08</t>
  </si>
  <si>
    <t>S-T2S-SB0803</t>
  </si>
  <si>
    <t>TOP REINFORCEMENT DETAILS OF SSL08</t>
  </si>
  <si>
    <t>S-T2S-SB0804</t>
  </si>
  <si>
    <t>BBS FOR TOP REINFORCEMENT DETAILS OF SSL08</t>
  </si>
  <si>
    <t>S-T2S-SB0805</t>
  </si>
  <si>
    <t>S-T2S-SB0806</t>
  </si>
  <si>
    <t>S-T2S-SB0807</t>
  </si>
  <si>
    <t>PERGOLA DETAILS (SSL08)</t>
  </si>
  <si>
    <t>S-T2S-MS0002</t>
  </si>
  <si>
    <t>T2S SSL08 shaft closure details</t>
  </si>
  <si>
    <t>S-T3V-FD0001</t>
  </si>
  <si>
    <t>T3V-FOUNDATION-PCC LAYOUT</t>
  </si>
  <si>
    <t>ST-TXV-1</t>
  </si>
  <si>
    <t>S-T3V-FD0002</t>
  </si>
  <si>
    <t>S-T3V-FD0003</t>
  </si>
  <si>
    <t>FOUNDATION 3D AND SECTIONS</t>
  </si>
  <si>
    <t>S-T3V-FD0004</t>
  </si>
  <si>
    <t>T3V-RAFT PLAN SHOWING THERMOCOUPLE LOCATIONS</t>
  </si>
  <si>
    <t>S-T3V-FD0101</t>
  </si>
  <si>
    <t>FOUNDATION DETAILS FOR CF1a (SHEET 1 OF 5)</t>
  </si>
  <si>
    <t>S-T3V-FD0102</t>
  </si>
  <si>
    <t>FOUNDATION DETAILS FOR CF1a (SHEET 2 OF 5)</t>
  </si>
  <si>
    <t>S-T3V-FD0103</t>
  </si>
  <si>
    <t>FOUNDATION DETAILS FOR CF1a (SHEET 3 OF 5)</t>
  </si>
  <si>
    <t>S-T3V-FD0104</t>
  </si>
  <si>
    <t>FOUNDATION DETAILS FOR CF1b (SHEET 4 OF 5)</t>
  </si>
  <si>
    <t>S-T3V-FD0105</t>
  </si>
  <si>
    <t>FOUNDATION DETAILS FOR CF1b (SHEET 5 OF 5)</t>
  </si>
  <si>
    <t>S-T3V-FD0106</t>
  </si>
  <si>
    <t>Strengthening details of Foundation CF1b</t>
  </si>
  <si>
    <t>S-T3V-FD0201</t>
  </si>
  <si>
    <t>FOUNDATION DETAILS FOR CF2 (SHEET 1 OF 2)</t>
  </si>
  <si>
    <t>S-T3V-FD0202</t>
  </si>
  <si>
    <t>FOUNDATION DETAILS FOR CF2 (SHEET 2 OF 2)</t>
  </si>
  <si>
    <t>S-T3V-FD0203</t>
  </si>
  <si>
    <t>Strengthening details of Foundation CF2</t>
  </si>
  <si>
    <t>S-T3V-FD0301</t>
  </si>
  <si>
    <t>FOUNDATION DETAILS FOR CF3 (SHEET 1 OF 2)</t>
  </si>
  <si>
    <t>S-T3V-FD0302</t>
  </si>
  <si>
    <t>FOUNDATION DETAILS FOR CF3 (SHEET 2 OF 2)</t>
  </si>
  <si>
    <t>S-T3V-FD0401</t>
  </si>
  <si>
    <t>FOUNDATION DETAILS FOR CF4 (SHEET 1 OF 4)</t>
  </si>
  <si>
    <t>S-T3V-FD0402</t>
  </si>
  <si>
    <t>FOUNDATION DETAILS FOR CF4 (SHEET 2 OF 4)</t>
  </si>
  <si>
    <t>S-T3V-FD0403</t>
  </si>
  <si>
    <t>FOUNDATION DETAILS FOR CF4 (SHEET 3 OF 4)</t>
  </si>
  <si>
    <t>S-T3V-FD0404</t>
  </si>
  <si>
    <t>FOUNDATION DETAILS FOR CF4 (SHEET 4 OF 4)</t>
  </si>
  <si>
    <t>S-T3V-FD0405</t>
  </si>
  <si>
    <t>FOUNDATION DETAILS FOR CF4 (SHEET 5)</t>
  </si>
  <si>
    <t>S-T3V-FD0501</t>
  </si>
  <si>
    <t>FOUNDATION DETAILS FOR CF5 (SHEET 1 )</t>
  </si>
  <si>
    <t>S-T3V-FD0502</t>
  </si>
  <si>
    <t>FOUNDATION DETAILS FOR CF5 (SHEET 2)</t>
  </si>
  <si>
    <t>S-T3V-FD0503</t>
  </si>
  <si>
    <t>FOUNDATION DETAILS FOR CF5 (SHEET 3)</t>
  </si>
  <si>
    <t>S-T3V-FD0504</t>
  </si>
  <si>
    <t>FOUNDATION DETAILS FOR CF5 (SHEET 4 )</t>
  </si>
  <si>
    <t>S-T3V-FD0505</t>
  </si>
  <si>
    <t>FOUNDATION DETAILS FOR CF5 (SHEET 5)</t>
  </si>
  <si>
    <t>S-T3V-FD0506</t>
  </si>
  <si>
    <t>FOUNDATION DETAILS FOR CF5 (SHEET 6)</t>
  </si>
  <si>
    <t>S-T3V-FD0507</t>
  </si>
  <si>
    <t>FOUNDATION DETAILS FOR CF5 (SHEET 7 )</t>
  </si>
  <si>
    <t>S-T3V-FD0508</t>
  </si>
  <si>
    <t>FOUNDATION DETAILS FOR CF5 (SHEET 8)</t>
  </si>
  <si>
    <t>S-T3V-FD0509</t>
  </si>
  <si>
    <t>FOUNDATION DETAILS FOR CF5 (SHEET 9)</t>
  </si>
  <si>
    <t>S-T3V-FD0510</t>
  </si>
  <si>
    <t>FOUNDATION DETAILS FOR CF5 (SHEET 10)</t>
  </si>
  <si>
    <t>S-T3V-FD0511</t>
  </si>
  <si>
    <t>FOUNDATION DETAILS FOR CF5 (SHEET 11)</t>
  </si>
  <si>
    <t>S-T3V-FD0601</t>
  </si>
  <si>
    <t>FOUNDATION DETAILS FOR CF6 (SHEET 1 OF 3)</t>
  </si>
  <si>
    <t>S-T3V-FD0602</t>
  </si>
  <si>
    <t>FOUNDATION DETAILS FOR CF6 (SHEET 2 OF 3)</t>
  </si>
  <si>
    <t>S-T3V-FD0603</t>
  </si>
  <si>
    <t>FOUNDATION DETAILS FOR CF6 (SHEET 3 OF 3)</t>
  </si>
  <si>
    <t>S-T3V-FD0701</t>
  </si>
  <si>
    <t>FOUNDATION DETAILS FOR CF7 (SHEET 1 OF 3)</t>
  </si>
  <si>
    <t>S-T3V-FD0702</t>
  </si>
  <si>
    <t>FOUNDATION DETAILS FOR CF7 (SHEET 2 OF 3)</t>
  </si>
  <si>
    <t>S-T3V-FD0703</t>
  </si>
  <si>
    <t>FOUNDATION DETAILS FOR CF7 (SHEET 3 OF 3)</t>
  </si>
  <si>
    <t>S-T3V-FD0704</t>
  </si>
  <si>
    <t>Strengthening details of Foundation CF7</t>
  </si>
  <si>
    <t>S-T3V-RW0001</t>
  </si>
  <si>
    <t>Retaining wall details connecting VW2a &amp;2b</t>
  </si>
  <si>
    <t>Column general details</t>
  </si>
  <si>
    <t>S-T3V-CL0002</t>
  </si>
  <si>
    <t xml:space="preserve">Typical column coupler details </t>
  </si>
  <si>
    <t>S-T3V-CL0003</t>
  </si>
  <si>
    <t xml:space="preserve">Typical column lapping details </t>
  </si>
  <si>
    <t>S-T3V-CL0101</t>
  </si>
  <si>
    <t>Column VC1a &amp; VC1b Detail (Sheet 1 of 3)</t>
  </si>
  <si>
    <t>S-T3V-CL0102</t>
  </si>
  <si>
    <t>Column VC1a &amp; VC1b Detail (Sheet 2 of 3)</t>
  </si>
  <si>
    <t>S-T3V-CL0103</t>
  </si>
  <si>
    <t>Column VC1a &amp; VC1b Detail (Sheet 3 of 3)</t>
  </si>
  <si>
    <t>S-T3V-CL0201</t>
  </si>
  <si>
    <t>Column VC2a &amp; VC2b Detail (Sheet 1 of 3)</t>
  </si>
  <si>
    <t>S-T3V-CL0202</t>
  </si>
  <si>
    <t>Column VC2a &amp; VC2b Detail (Sheet 2 of 3)</t>
  </si>
  <si>
    <t>S-T3V-CL0203</t>
  </si>
  <si>
    <t>Column VC2a &amp; VC2b Detail (Sheet 3 of 3)</t>
  </si>
  <si>
    <t>S-T3V-CL0301</t>
  </si>
  <si>
    <t>Column VC3a &amp; VC3b Detail (Sheet 1 of 3)</t>
  </si>
  <si>
    <t>S-T3V-CL0302</t>
  </si>
  <si>
    <t>Column VC3a &amp; VC3b Detail (Sheet 2 of 3)</t>
  </si>
  <si>
    <t>S-T3V-CL0303</t>
  </si>
  <si>
    <t>Column VC3a &amp; VC3b Detail (Sheet 3 of 3)</t>
  </si>
  <si>
    <t>S-T3V-CL0401</t>
  </si>
  <si>
    <t>Column VC4a &amp; VC4b Detail (Sheet 1 of 3)</t>
  </si>
  <si>
    <t>S-T3V-CL0402</t>
  </si>
  <si>
    <t>Column VC4a &amp; VC4b Detail (Sheet 2 of 3)</t>
  </si>
  <si>
    <t>S-T3V-CL0403</t>
  </si>
  <si>
    <t>Column VC4a &amp; VC4b Detail (Sheet 3 of 3)</t>
  </si>
  <si>
    <t>S-T3V-CL0501</t>
  </si>
  <si>
    <t>Column VC5a &amp; VC5b Detail (Sheet 1 of 2)</t>
  </si>
  <si>
    <t>S-T3V-CL0502</t>
  </si>
  <si>
    <t>Column VC5a &amp; VC5b Detail (Sheet 2 of 2)</t>
  </si>
  <si>
    <t>S-T3V-CL0601</t>
  </si>
  <si>
    <t>Column VC6a &amp; VC6b Detail (Sheet 1 of 3)</t>
  </si>
  <si>
    <t>S-T3V-CL0602</t>
  </si>
  <si>
    <t>Column VC6a &amp; VC6b Detail (Sheet 2 of 3)</t>
  </si>
  <si>
    <t>S-T3V-CL0603</t>
  </si>
  <si>
    <t>Column VC6a &amp; VC6b Detail (Sheet 3 of 3)</t>
  </si>
  <si>
    <t>S-T3V-CL0701</t>
  </si>
  <si>
    <t>Column VC7a &amp; VC7b Detail (Sheet 1 of 2)</t>
  </si>
  <si>
    <t>S-T3V-CL0702</t>
  </si>
  <si>
    <t>Column VC7a &amp; VC7b Detail (Sheet 2 of 2)</t>
  </si>
  <si>
    <t>S-T3V-CL0801</t>
  </si>
  <si>
    <t xml:space="preserve">Column VC8a &amp; VC8b Detail </t>
  </si>
  <si>
    <t>S-T3V-CL0901</t>
  </si>
  <si>
    <t>Column VC9a &amp; VC9b Detail (Sheet 1 of 2)</t>
  </si>
  <si>
    <t>S-T3V-CL0902</t>
  </si>
  <si>
    <t>Column VC9b Detail (Sheet 2 of 2)</t>
  </si>
  <si>
    <t>S-T3V-CL1001</t>
  </si>
  <si>
    <t xml:space="preserve">Column VC10a &amp; VC10b Detail </t>
  </si>
  <si>
    <t>S-T3V-CL1002</t>
  </si>
  <si>
    <t xml:space="preserve">Column  VC10b Detail </t>
  </si>
  <si>
    <t>S-T3V-CL1101</t>
  </si>
  <si>
    <t>Column VC11a &amp; VC11b Detail (Sheet 1 of 3)</t>
  </si>
  <si>
    <t>S-T3V-CL1102</t>
  </si>
  <si>
    <t>Column VC11a &amp; VC11b Detail (Sheet 2 of 3)</t>
  </si>
  <si>
    <t>S-T3V-CL1103</t>
  </si>
  <si>
    <t>Column VC11a &amp; VC11b Detail (Sheet 3 of 3)</t>
  </si>
  <si>
    <t>S-T3V-CL1104</t>
  </si>
  <si>
    <t>Column  VC11b Detail (Sheet 4)</t>
  </si>
  <si>
    <t>S-T3V-CL1301</t>
  </si>
  <si>
    <t>Column VC13a &amp; VC13b Detail (Sheet 1 of 3)</t>
  </si>
  <si>
    <t>S-T3V-CL1302</t>
  </si>
  <si>
    <t>Column VC13a &amp; VC13b Detail (Sheet 2 of 3)</t>
  </si>
  <si>
    <t>S-T3V-CL1303</t>
  </si>
  <si>
    <t>Column VC13a &amp; VC13b Detail (Sheet 3 of 3)</t>
  </si>
  <si>
    <t>S-T3V-CL1501</t>
  </si>
  <si>
    <t>Column VW1a &amp; VW1b Detail (Sheet 1 of 3)</t>
  </si>
  <si>
    <t>S-T3V-CL1502</t>
  </si>
  <si>
    <t>Column VW1a &amp; VW1b Detail (Sheet 2 of 3)</t>
  </si>
  <si>
    <t>S-T3V-CL1503</t>
  </si>
  <si>
    <t>Column VW1a &amp; VW1b Detail (Sheet 3 of 3)</t>
  </si>
  <si>
    <t>S-T3V-CL1801</t>
  </si>
  <si>
    <t>Column VW2a &amp; VW2b Detail (Sheet 1 of 3)</t>
  </si>
  <si>
    <t>S-T3V-CL1802</t>
  </si>
  <si>
    <t>Column VW2a &amp; VW2b Detail (Sheet 2 of 3)</t>
  </si>
  <si>
    <t>S-T3V-CL1803</t>
  </si>
  <si>
    <t>Column VW2a &amp; VW2b Detail (Sheet 3 of 3)</t>
  </si>
  <si>
    <t>S-T3V-CL1901</t>
  </si>
  <si>
    <t>Column VLC1 Detail (Sheet 1 of 5)</t>
  </si>
  <si>
    <t>S-T3V-CL1902</t>
  </si>
  <si>
    <t>Column VLC1 Detail (Sheet 2 of 5)</t>
  </si>
  <si>
    <t>S-T3V-CL1903</t>
  </si>
  <si>
    <t>Column VLC1 Detail (Sheet 3 of 5)</t>
  </si>
  <si>
    <t>S-T3V-CL1904</t>
  </si>
  <si>
    <t>Column VLC1 Detail (Sheet 4 of 5)</t>
  </si>
  <si>
    <t>S-T3V-CL1905</t>
  </si>
  <si>
    <t>Column VLC1 Detail (Sheet 5 of 5)</t>
  </si>
  <si>
    <t>S-T3V-CL1906</t>
  </si>
  <si>
    <t>S-T3V-CL2001</t>
  </si>
  <si>
    <t>Column VLC2 Detail (Sheet 1 of 5)</t>
  </si>
  <si>
    <t>S-T3V-CL2002</t>
  </si>
  <si>
    <t>Column VLC2 Detail (Sheet 2 of 5)</t>
  </si>
  <si>
    <t>S-T3V-CL2003</t>
  </si>
  <si>
    <t>Column VLC2 Detail (Sheet 3 of 5)</t>
  </si>
  <si>
    <t>S-T3V-CL2004</t>
  </si>
  <si>
    <t>Column VLC2 Detail (Sheet 4 of 5)</t>
  </si>
  <si>
    <t>S-T3V-CL2005</t>
  </si>
  <si>
    <t>Column VLC2 Detail (Sheet 5 of 5)</t>
  </si>
  <si>
    <t>S-T3V-CL2101</t>
  </si>
  <si>
    <t xml:space="preserve">Column Details of VC14, VC21, VC24 to VC37, VC39 &amp; VC41 to VC44 </t>
  </si>
  <si>
    <t>S-T3V-CL0004</t>
  </si>
  <si>
    <t>S-T3V-FP0101</t>
  </si>
  <si>
    <t>Framing plan at SSL01</t>
  </si>
  <si>
    <t>S-T3V-FP0102</t>
  </si>
  <si>
    <t>Section of SSL01</t>
  </si>
  <si>
    <t>S-T3V-JB0001</t>
  </si>
  <si>
    <t>T3V JIB REINFORCEMENT DETAILS</t>
  </si>
  <si>
    <t>S-T3V-ST0101</t>
  </si>
  <si>
    <t>Main Staircase details - Sheet 1</t>
  </si>
  <si>
    <t>S-T3V-ST0102</t>
  </si>
  <si>
    <t>Main Staircase details - Sheet 2</t>
  </si>
  <si>
    <t>S-T3V-ST0103</t>
  </si>
  <si>
    <t>Main Staircase details - Sheet 3</t>
  </si>
  <si>
    <t>S-T3V-ST0104</t>
  </si>
  <si>
    <t>Main Staircase details - Sheet 4</t>
  </si>
  <si>
    <t>S-T3V-ST0105</t>
  </si>
  <si>
    <t xml:space="preserve"> Main Staircase details - Sheet 5</t>
  </si>
  <si>
    <t>S-T3V-ST0106</t>
  </si>
  <si>
    <t xml:space="preserve"> Main Staircase details - Sheet 6</t>
  </si>
  <si>
    <t>S-T3V-ST0107</t>
  </si>
  <si>
    <t xml:space="preserve"> Main Staircase details - Sheet 7</t>
  </si>
  <si>
    <t>S-T3V-ST0108</t>
  </si>
  <si>
    <t>Main Staircase details - Sheet 8</t>
  </si>
  <si>
    <t>S-T3V-ST0109</t>
  </si>
  <si>
    <t xml:space="preserve"> Main Staircase details - Sheet 9</t>
  </si>
  <si>
    <t>S-T3V-ST0110</t>
  </si>
  <si>
    <t xml:space="preserve"> Main Staircase details - Sheet 10</t>
  </si>
  <si>
    <t>S-T3V-ST0111</t>
  </si>
  <si>
    <t>Main Staircase details - Sheet 11</t>
  </si>
  <si>
    <t>S-T3V-ST0112</t>
  </si>
  <si>
    <t>Main Staircase details - Sheet 12</t>
  </si>
  <si>
    <t>S-T4V-FD0001</t>
  </si>
  <si>
    <t>T4V-FOUNDATION-PCC LAYOUT</t>
  </si>
  <si>
    <t>S-T4V-FD0002</t>
  </si>
  <si>
    <t>S-T4V-FD0003</t>
  </si>
  <si>
    <t>S-T4V-FD0004</t>
  </si>
  <si>
    <t>T4V-RAFT PLAN SHOWING THERMOCOUPLE LOCATIONS</t>
  </si>
  <si>
    <t>S-T4V-FD0101</t>
  </si>
  <si>
    <t>S-T4V-FD0102</t>
  </si>
  <si>
    <t>S-T4V-FD0103</t>
  </si>
  <si>
    <t>S-T4V-FD0104</t>
  </si>
  <si>
    <t>S-T4V-FD0105</t>
  </si>
  <si>
    <t>S-T4V-FD0201</t>
  </si>
  <si>
    <t>S-T4V-FD0202</t>
  </si>
  <si>
    <t>S-T4V-FD0301</t>
  </si>
  <si>
    <t>S-T4V-FD0302</t>
  </si>
  <si>
    <t>S-T4V-FD0401</t>
  </si>
  <si>
    <t>S-T4V-FD0402</t>
  </si>
  <si>
    <t>S-T4V-FD0403</t>
  </si>
  <si>
    <t>S-T4V-FD0404</t>
  </si>
  <si>
    <t>S-T4V-FD0501</t>
  </si>
  <si>
    <t>FOUNDATION DETAILS FOR CF5 (SHEET 1)</t>
  </si>
  <si>
    <t>S-T4V-FD0502</t>
  </si>
  <si>
    <t>S-T4V-FD0503</t>
  </si>
  <si>
    <t>S-T4V-FD0504</t>
  </si>
  <si>
    <t>FOUNDATION DETAILS FOR CF5 (SHEET 4)</t>
  </si>
  <si>
    <t>S-T4V-FD0505</t>
  </si>
  <si>
    <t>S-T4V-FD0506</t>
  </si>
  <si>
    <t>S-T4V-FD0507</t>
  </si>
  <si>
    <t>FOUNDATION DETAILS FOR CF5 (SHEET 7)</t>
  </si>
  <si>
    <t>S-T4V-FD0508</t>
  </si>
  <si>
    <t>S-T4V-FD0509</t>
  </si>
  <si>
    <t>S-T4V-FD0510</t>
  </si>
  <si>
    <t>S-T4V-FD0511</t>
  </si>
  <si>
    <t>S-T4V-FD0512</t>
  </si>
  <si>
    <t>FOUNDATION DETAILS FOR CF5 (SHEET 12)</t>
  </si>
  <si>
    <t>S-T4V-FD0601</t>
  </si>
  <si>
    <t>S-T4V-FD0602</t>
  </si>
  <si>
    <t>S-T4V-FD0603</t>
  </si>
  <si>
    <t>S-T4V-FD0701</t>
  </si>
  <si>
    <t>S-T4V-FD0702</t>
  </si>
  <si>
    <t>S-T4V-FD0703</t>
  </si>
  <si>
    <t>S-T4V-RW0001</t>
  </si>
  <si>
    <t>S-T4V-RW0002</t>
  </si>
  <si>
    <t>Retaining Wall Details Around Tower 4 Vertical (Sheet-1)</t>
  </si>
  <si>
    <t>S-T4V-RW0003</t>
  </si>
  <si>
    <t>Retaining Wall Details Around Tower 4 Vertical (Sheet-2)</t>
  </si>
  <si>
    <t>S-T4V-CL0001</t>
  </si>
  <si>
    <t>S-T4V-CL0002</t>
  </si>
  <si>
    <t>S-T4V-CL0003</t>
  </si>
  <si>
    <t>S-T4V-CL0101</t>
  </si>
  <si>
    <t>S-T4V-CL0102</t>
  </si>
  <si>
    <t>S-T4V-CL0103</t>
  </si>
  <si>
    <t>S-T4V-CL0201</t>
  </si>
  <si>
    <t>S-T4V-CL0202</t>
  </si>
  <si>
    <t>S-T4V-CL0203</t>
  </si>
  <si>
    <t>S-T4V-CL0301</t>
  </si>
  <si>
    <t>S-T4V-CL0302</t>
  </si>
  <si>
    <t>S-T4V-CL0303</t>
  </si>
  <si>
    <t>S-T4V-CL0401</t>
  </si>
  <si>
    <t>S-T4V-CL0402</t>
  </si>
  <si>
    <t>S-T4V-CL0403</t>
  </si>
  <si>
    <t>S-T4V-CL0501</t>
  </si>
  <si>
    <t xml:space="preserve">Column VC5a &amp; VC5b Detail </t>
  </si>
  <si>
    <t>S-T4V-CL0601</t>
  </si>
  <si>
    <t>S-T4V-CL0602</t>
  </si>
  <si>
    <t>S-T4V-CL0603</t>
  </si>
  <si>
    <t>S-T4V-CL0701</t>
  </si>
  <si>
    <t>S-T4V-CL0702</t>
  </si>
  <si>
    <t>S-T4V-CL0801</t>
  </si>
  <si>
    <t>S-T4V-CL0901</t>
  </si>
  <si>
    <t xml:space="preserve">Column VC9a &amp; VC9b Detail </t>
  </si>
  <si>
    <t>S-T4V-CL1001</t>
  </si>
  <si>
    <t>S-T4V-CL1101</t>
  </si>
  <si>
    <t>S-T4V-CL1102</t>
  </si>
  <si>
    <t>S-T4V-CL1103</t>
  </si>
  <si>
    <t>S-T4V-CL1301</t>
  </si>
  <si>
    <t>S-T4V-CL1302</t>
  </si>
  <si>
    <t>S-T4V-CL1303</t>
  </si>
  <si>
    <t>S-T4V-CL1501</t>
  </si>
  <si>
    <t>S-T4V-CL1502</t>
  </si>
  <si>
    <t>S-T4V-CL1503</t>
  </si>
  <si>
    <t>S-T4V-CL1801</t>
  </si>
  <si>
    <t>S-T4V-CL1802</t>
  </si>
  <si>
    <t>S-T4V-CL1803</t>
  </si>
  <si>
    <t>S-T4V-CL1901</t>
  </si>
  <si>
    <t>S-T4V-CL1902</t>
  </si>
  <si>
    <t>S-T4V-CL1903</t>
  </si>
  <si>
    <t>S-T4V-CL1904</t>
  </si>
  <si>
    <t>S-T4V-CL1905</t>
  </si>
  <si>
    <t>S-T4V-CL2001</t>
  </si>
  <si>
    <t>S-T4V-CL2002</t>
  </si>
  <si>
    <t>S-T4V-CL2003</t>
  </si>
  <si>
    <t>S-T4V-CL2004</t>
  </si>
  <si>
    <t>S-T4V-CL2005</t>
  </si>
  <si>
    <t>S-T4V-JB0001</t>
  </si>
  <si>
    <t>T4V JIB REINFORCEMENT DETAILS</t>
  </si>
  <si>
    <t>S-T4V-ST0101</t>
  </si>
  <si>
    <t>S-T4V-ST0102</t>
  </si>
  <si>
    <t>S-T4V-ST0103</t>
  </si>
  <si>
    <t>S-T4V-ST0104</t>
  </si>
  <si>
    <t>S-T4V-ST0105</t>
  </si>
  <si>
    <t>S-T4V-ST0106</t>
  </si>
  <si>
    <t>S-T4V-ST0107</t>
  </si>
  <si>
    <t>S-T4V-ST0108</t>
  </si>
  <si>
    <t>S-T4V-ST0109</t>
  </si>
  <si>
    <t>S-T4V-ST0110</t>
  </si>
  <si>
    <t>S-T4V-ST0111</t>
  </si>
  <si>
    <t>S-T4V-ST0112</t>
  </si>
  <si>
    <t>S-T5V-FD0001</t>
  </si>
  <si>
    <t>T5V-FOUNDATION-PCC LAYOUT</t>
  </si>
  <si>
    <t>S-T5V-FD0002</t>
  </si>
  <si>
    <t>S-T5V-FD0003</t>
  </si>
  <si>
    <t>S-T5V-FD0004</t>
  </si>
  <si>
    <t>T5V- Raft Plan Showing Thermocouple Locations</t>
  </si>
  <si>
    <t>S-T5V-FD0101</t>
  </si>
  <si>
    <t>S-T5V-FD0102</t>
  </si>
  <si>
    <t>S-T5V-FD0103</t>
  </si>
  <si>
    <t>S-T5V-FD0104</t>
  </si>
  <si>
    <t>S-T5V-FD0105</t>
  </si>
  <si>
    <t>S-T5V-FD0201</t>
  </si>
  <si>
    <t>S-T5V-FD0202</t>
  </si>
  <si>
    <t>S-T5V-FD0301</t>
  </si>
  <si>
    <t>S-T5V-FD0302</t>
  </si>
  <si>
    <t>S-T5V-FD0401</t>
  </si>
  <si>
    <t>S-T5V-FD0402</t>
  </si>
  <si>
    <t>S-T5V-FD0403</t>
  </si>
  <si>
    <t>S-T5V-FD0404</t>
  </si>
  <si>
    <t>S-T5V-FD0501</t>
  </si>
  <si>
    <t>S-T5V-FD0502</t>
  </si>
  <si>
    <t>S-T5V-FD0503</t>
  </si>
  <si>
    <t>S-T5V-FD0504</t>
  </si>
  <si>
    <t>S-T5V-FD0505</t>
  </si>
  <si>
    <t>S-T5V-FD0506</t>
  </si>
  <si>
    <t>S-T5V-FD0507</t>
  </si>
  <si>
    <t>S-T5V-FD0508</t>
  </si>
  <si>
    <t>S-T5V-FD0509</t>
  </si>
  <si>
    <t>S-T5V-FD0510</t>
  </si>
  <si>
    <t>S-T5V-FD0511</t>
  </si>
  <si>
    <t>S-T5V-FD0512</t>
  </si>
  <si>
    <t>S-T5V-FD0601</t>
  </si>
  <si>
    <t>S-T5V-FD0602</t>
  </si>
  <si>
    <t>S-T5V-FD0603</t>
  </si>
  <si>
    <t>S-T5V-FD0701</t>
  </si>
  <si>
    <t>S-T5V-FD0702</t>
  </si>
  <si>
    <t>S-T5V-FD0703</t>
  </si>
  <si>
    <t>S-T5V-RW0001</t>
  </si>
  <si>
    <t>RETAINING WALL DETAILS AROUND TOWER 5 VERTICAL</t>
  </si>
  <si>
    <t>S-T5V-CL0001</t>
  </si>
  <si>
    <t>S-T5V-CL0002</t>
  </si>
  <si>
    <t>S-T5V-CL0003</t>
  </si>
  <si>
    <t>S-T5V-CL0101</t>
  </si>
  <si>
    <t>S-T5V-CL0102</t>
  </si>
  <si>
    <t>S-T5V-CL0103</t>
  </si>
  <si>
    <t>S-T5V-CL0201</t>
  </si>
  <si>
    <t>S-T5V-CL0202</t>
  </si>
  <si>
    <t>S-T5V-CL0203</t>
  </si>
  <si>
    <t>S-T5V-CL0301</t>
  </si>
  <si>
    <t>S-T5V-CL0302</t>
  </si>
  <si>
    <t>S-T5V-CL0303</t>
  </si>
  <si>
    <t>S-T5V-CL0401</t>
  </si>
  <si>
    <t>S-T5V-CL0402</t>
  </si>
  <si>
    <t>S-T5V-CL0403</t>
  </si>
  <si>
    <t>S-T5V-CL0501</t>
  </si>
  <si>
    <t>S-T5V-CL0601</t>
  </si>
  <si>
    <t>S-T5V-CL0602</t>
  </si>
  <si>
    <t>S-T5V-CL0603</t>
  </si>
  <si>
    <t>S-T5V-CL0701</t>
  </si>
  <si>
    <t>S-T5V-CL0702</t>
  </si>
  <si>
    <t>S-T5V-CL0801</t>
  </si>
  <si>
    <t>S-T5V-CL0901</t>
  </si>
  <si>
    <t>S-T5V-CL1001</t>
  </si>
  <si>
    <t>S-T5V-CL1101</t>
  </si>
  <si>
    <t>S-T5V-CL1102</t>
  </si>
  <si>
    <t>S-T5V-CL1103</t>
  </si>
  <si>
    <t>S-T5V-CL1301</t>
  </si>
  <si>
    <t>S-T5V-CL1302</t>
  </si>
  <si>
    <t>S-T5V-CL1303</t>
  </si>
  <si>
    <t>S-T5V-CL1501</t>
  </si>
  <si>
    <t>S-T5V-CL1502</t>
  </si>
  <si>
    <t>S-T5V-CL1503</t>
  </si>
  <si>
    <t>S-T5V-CL1801</t>
  </si>
  <si>
    <t>S-T5V-CL1802</t>
  </si>
  <si>
    <t>S-T5V-CL1803</t>
  </si>
  <si>
    <t>S-T5V-CL1901</t>
  </si>
  <si>
    <t>S-T5V-CL1902</t>
  </si>
  <si>
    <t>S-T5V-CL1903</t>
  </si>
  <si>
    <t>S-T5V-CL1904</t>
  </si>
  <si>
    <t>S-T5V-CL1905</t>
  </si>
  <si>
    <t>S-T5V-CL2001</t>
  </si>
  <si>
    <t>S-T5V-CL2002</t>
  </si>
  <si>
    <t>S-T5V-CL2003</t>
  </si>
  <si>
    <t>S-T5V-CL2004</t>
  </si>
  <si>
    <t>S-T5V-CL2005</t>
  </si>
  <si>
    <t>S-T5V-CL2006</t>
  </si>
  <si>
    <t>Tower Crane Cutout Details in VLC2</t>
  </si>
  <si>
    <t>S-T5V-BM0001</t>
  </si>
  <si>
    <t xml:space="preserve"> JIB REINFORCEMENT DETAILS</t>
  </si>
  <si>
    <t>S-T5V-ST0101</t>
  </si>
  <si>
    <t>S-T5V-ST0102</t>
  </si>
  <si>
    <t>S-T5V-ST0103</t>
  </si>
  <si>
    <t>S-T5V-ST0104</t>
  </si>
  <si>
    <t>S-T5V-ST0105</t>
  </si>
  <si>
    <t>S-T5V-ST0106</t>
  </si>
  <si>
    <t>S-T5V-ST0107</t>
  </si>
  <si>
    <t>S-T5V-ST0108</t>
  </si>
  <si>
    <t>S-T5V-ST0109</t>
  </si>
  <si>
    <t>S-T5V-ST0110</t>
  </si>
  <si>
    <t>S-T5V-ST0111</t>
  </si>
  <si>
    <t>S-T5V-ST0112</t>
  </si>
  <si>
    <t>S-T5V-ST0113</t>
  </si>
  <si>
    <t>Main Staircase details - Sheet 13</t>
  </si>
  <si>
    <t>S-TXV-CL0001</t>
  </si>
  <si>
    <t>S-TXV-CL0002</t>
  </si>
  <si>
    <t>S-TXV-CB0001</t>
  </si>
  <si>
    <t>Plan and Section of Connecting Bridge</t>
  </si>
  <si>
    <t>S-TXV-ST0101</t>
  </si>
  <si>
    <t>EXTERNAL STAIRCASE DETAILS</t>
  </si>
  <si>
    <t>S-TXV-ST0201</t>
  </si>
  <si>
    <t>INTERNAL STAIRCASE DETAILS (SHEET 1 OF 2)</t>
  </si>
  <si>
    <t>S-TXV-ST0202</t>
  </si>
  <si>
    <t>INTERNAL STAIRCASE DETAILS (SHEET 2 OF 2)</t>
  </si>
  <si>
    <t>S-T3V-FP0201</t>
  </si>
  <si>
    <t>Framing Plan at SSL02</t>
  </si>
  <si>
    <t>ST-TXV-2</t>
  </si>
  <si>
    <t>S-T3V-BM0001</t>
  </si>
  <si>
    <t xml:space="preserve"> General Notes for Beams</t>
  </si>
  <si>
    <t>S-T3V-BM0101</t>
  </si>
  <si>
    <t>Beam B-01 Reinforcemnt Detail</t>
  </si>
  <si>
    <t>S-T3V-BM0102</t>
  </si>
  <si>
    <t>Beam B-02 Reinforcement Detail</t>
  </si>
  <si>
    <t>S-T3V-BM0159</t>
  </si>
  <si>
    <t>BEAM CB-01a&amp;b reinforcement detail</t>
  </si>
  <si>
    <t>S-T3V-BM0925</t>
  </si>
  <si>
    <t>BEAM VB-01 REINFORCEMENT DETAIL</t>
  </si>
  <si>
    <t>S-T3V-SB0001</t>
  </si>
  <si>
    <t>General Notes for Slabs</t>
  </si>
  <si>
    <t>S-T3V-SB0101</t>
  </si>
  <si>
    <t>Plan showing slab bottom  reinforcement of SSL01</t>
  </si>
  <si>
    <t>S-T3V-SB0102</t>
  </si>
  <si>
    <t>Plan showing slab top reinforcement of SSL01</t>
  </si>
  <si>
    <t>S-T3V-SB0103</t>
  </si>
  <si>
    <t>BBS for Bottom Reinforcement for SSL01</t>
  </si>
  <si>
    <t>S-T3V-SB0105</t>
  </si>
  <si>
    <t>Slab sections at SSL01</t>
  </si>
  <si>
    <t>S-T3V-SL0101</t>
  </si>
  <si>
    <t>Plan Showing Sleeves at SSL01</t>
  </si>
  <si>
    <t>S-T3V-SL0102</t>
  </si>
  <si>
    <t>S-T4V-CL1906</t>
  </si>
  <si>
    <t>S-T4V-FP0101</t>
  </si>
  <si>
    <t>S-T4V-FP0102</t>
  </si>
  <si>
    <t>S-T4V-FP0201</t>
  </si>
  <si>
    <t>Framing plan at SSL02</t>
  </si>
  <si>
    <t>S-T4V-BM0001</t>
  </si>
  <si>
    <t>S-T4V-BM0101</t>
  </si>
  <si>
    <t>S-T4V-BM0102</t>
  </si>
  <si>
    <t>S-T4V-BM0159</t>
  </si>
  <si>
    <t>S-T4V-BM0328</t>
  </si>
  <si>
    <t>S-T4V-SB0101</t>
  </si>
  <si>
    <t>S-T4V-SB0102</t>
  </si>
  <si>
    <t xml:space="preserve">BBS for bottom Reinforcement for SSL01  </t>
  </si>
  <si>
    <t>S-T4V-SB0103</t>
  </si>
  <si>
    <t>S-T4V-SB0205</t>
  </si>
  <si>
    <t>L30 Portion-Plan Showing Slab Reinforcement for SSL02</t>
  </si>
  <si>
    <t>S-T4V-SL0101</t>
  </si>
  <si>
    <t>S-T4V-SL0102</t>
  </si>
  <si>
    <t>S-T5V-CL1906</t>
  </si>
  <si>
    <t>S-T5V-FP0101</t>
  </si>
  <si>
    <t>S-T5V-FP0102</t>
  </si>
  <si>
    <t>Sections of SSL01</t>
  </si>
  <si>
    <t>S-T5V-FP0201</t>
  </si>
  <si>
    <t>S-T6V-FP0101</t>
  </si>
  <si>
    <t>S-T6V-FP0102</t>
  </si>
  <si>
    <t>S-T6V-FP0201</t>
  </si>
  <si>
    <t>S-T5V-BMGN01</t>
  </si>
  <si>
    <t>S-T5V-BM0101</t>
  </si>
  <si>
    <t>S-T5V-BM0102</t>
  </si>
  <si>
    <t>S-T5V-BM0159</t>
  </si>
  <si>
    <t>S-T5V-BM0328</t>
  </si>
  <si>
    <t>S-T5V-SB0101</t>
  </si>
  <si>
    <t>S-T5V-SB0102</t>
  </si>
  <si>
    <t xml:space="preserve">BBS of bottom Reinforcement for SSL01  </t>
  </si>
  <si>
    <t>S-T5V-SB0103</t>
  </si>
  <si>
    <t>S-T5V-SB0205</t>
  </si>
  <si>
    <t>S-T5V-SB0206</t>
  </si>
  <si>
    <t>L30 Portion-Plan Showing Slab Bottom Reinforcement for SSL02</t>
  </si>
  <si>
    <t>S-T5V-SB0207</t>
  </si>
  <si>
    <t>L30 Portion-BBS of Slab Bottom Reinforcement for SSL02</t>
  </si>
  <si>
    <t>S-T5V-SB0208</t>
  </si>
  <si>
    <t>L30 Portion-Plan Showing Slab top Reinforcement for SSL02</t>
  </si>
  <si>
    <t>S-T5V-SB0209</t>
  </si>
  <si>
    <t>L30 Portion-BBS of Slab top Reinforcement for SSL02</t>
  </si>
  <si>
    <t>S-T5V-SL0101</t>
  </si>
  <si>
    <t>S-T5V-SL0102</t>
  </si>
  <si>
    <t>S-T3V-FP0401</t>
  </si>
  <si>
    <t>Framing Plan at SSL04</t>
  </si>
  <si>
    <t>ST-TXV-5</t>
  </si>
  <si>
    <t>S-T3V-FP0601</t>
  </si>
  <si>
    <t>Framing Plan at SSL06</t>
  </si>
  <si>
    <t>S-T3V-FP0801</t>
  </si>
  <si>
    <t>Framing Plan at SSL08</t>
  </si>
  <si>
    <t>S-T3V-SE0202</t>
  </si>
  <si>
    <t>Sections for SSL-2 to SSL-11 (Sheet 2)</t>
  </si>
  <si>
    <t>S-T3V-SE0204</t>
  </si>
  <si>
    <t>Sections for SSL-2 to SSL-11 (Sheet 4)</t>
  </si>
  <si>
    <t>S-T3V-BM0104</t>
  </si>
  <si>
    <t xml:space="preserve">Beam B-04 Reinforcement Details </t>
  </si>
  <si>
    <t>S-T3V-BM0106</t>
  </si>
  <si>
    <t xml:space="preserve">Beam B-06 Reinforcement Details </t>
  </si>
  <si>
    <t>S-T3V-BM0108</t>
  </si>
  <si>
    <t>Beam B-08 Reinforcement Detail</t>
  </si>
  <si>
    <t>S-T3V-BM0110</t>
  </si>
  <si>
    <t>Beam B-10 Reinforcement Detail</t>
  </si>
  <si>
    <t>S-T3V-BM0112</t>
  </si>
  <si>
    <t>Beam B-12  Reinforcement Detail</t>
  </si>
  <si>
    <t>S-T3V-BM0113</t>
  </si>
  <si>
    <t>Beam B-13 &amp; B-14 Reinforcement Detail</t>
  </si>
  <si>
    <t>S-T3V-BM0115</t>
  </si>
  <si>
    <t xml:space="preserve">Beam B-16 Reinforcement Details  </t>
  </si>
  <si>
    <t>S-T3V-BM0116</t>
  </si>
  <si>
    <t xml:space="preserve">Beam B-18  Reinforcement Details  </t>
  </si>
  <si>
    <t>S-T3V-BM0117</t>
  </si>
  <si>
    <t>Beam B-19 &amp; B-20 Reinforcement Detail</t>
  </si>
  <si>
    <t>S-T3V-BM0121</t>
  </si>
  <si>
    <t xml:space="preserve">Beam B-24 Reinforcement Details </t>
  </si>
  <si>
    <t>S-T3V-BM0123</t>
  </si>
  <si>
    <t>Beam B-26  Reinforcement Detail</t>
  </si>
  <si>
    <t>S-T3V-BM0126</t>
  </si>
  <si>
    <t>Beam B-28 Reinforcement Detail</t>
  </si>
  <si>
    <t>S-T3V-BM0127</t>
  </si>
  <si>
    <t>Beam B-29a Reinforcement Detail (Sheet 1 of 2)</t>
  </si>
  <si>
    <t>S-T3V-BM0128</t>
  </si>
  <si>
    <t>Beam B-29a Reinforcement Detail (Sheet 2 of 2)</t>
  </si>
  <si>
    <t>S-T3V-BM0130</t>
  </si>
  <si>
    <t>Beam B-30 &amp; B32 Reinforcement Detail</t>
  </si>
  <si>
    <t>S-T3V-BM0131</t>
  </si>
  <si>
    <t>Beam B-31 Reinforcement Detail (Sheet 1 of 2)</t>
  </si>
  <si>
    <t>S-T3V-BM0132</t>
  </si>
  <si>
    <t>Beam B-31 Reinforcement Detail (Sheet 2of 2)</t>
  </si>
  <si>
    <t>S-T3V-BM0134</t>
  </si>
  <si>
    <t>Beam B-34 Reinforcement Detail  (Sheet 1 of 2)</t>
  </si>
  <si>
    <t>S-T3V-BM0135</t>
  </si>
  <si>
    <t>Beam B-34 Reinforcement Detail  (Sheet 2 of 2)</t>
  </si>
  <si>
    <t>S-T3V-BM0137</t>
  </si>
  <si>
    <t>Beam B-36a Reinforcement Detail</t>
  </si>
  <si>
    <t>S-T3V-BM0138</t>
  </si>
  <si>
    <t>Beam B-36b Reinforcement Detail</t>
  </si>
  <si>
    <t>S-T3V-BM0139</t>
  </si>
  <si>
    <t>Beam B-38 a Reinforcement Detail</t>
  </si>
  <si>
    <t>S-T3V-BM0140</t>
  </si>
  <si>
    <t>Beam B-38 b Reinforcement Detail</t>
  </si>
  <si>
    <t>S-T3V-BM0142</t>
  </si>
  <si>
    <t>Beam B-40a Reinforcement Detail</t>
  </si>
  <si>
    <t>S-T3V-BM0144</t>
  </si>
  <si>
    <t xml:space="preserve">Beam B-42a  Reinforcement Detail </t>
  </si>
  <si>
    <t>S-T3V-BM0145</t>
  </si>
  <si>
    <t xml:space="preserve">Beam B-42b  Reinforcement Detail </t>
  </si>
  <si>
    <t>S-T3V-BM0148</t>
  </si>
  <si>
    <t xml:space="preserve">Beam B-44a  Reinforcement Detail </t>
  </si>
  <si>
    <t>S-T3V-BM0149</t>
  </si>
  <si>
    <t xml:space="preserve">Beam B-44b  Reinforcement Detail </t>
  </si>
  <si>
    <t>S-T3V-BM0150</t>
  </si>
  <si>
    <t xml:space="preserve">Beam B-45 &amp;B-46  Reinforcement Detail </t>
  </si>
  <si>
    <t>S-T3V-BM0152</t>
  </si>
  <si>
    <t xml:space="preserve">Beam B-48,49&amp;50  Reinforcement Detail </t>
  </si>
  <si>
    <t>S-T3V-BM0153</t>
  </si>
  <si>
    <t xml:space="preserve">Beam B-51&amp;B-52  Reinforcement Detail </t>
  </si>
  <si>
    <t>S-T3V-BM0154</t>
  </si>
  <si>
    <t xml:space="preserve">Beam B-54 &amp; 56 Reinforcement Detail </t>
  </si>
  <si>
    <t>S-T3V-BM0158</t>
  </si>
  <si>
    <t>Beam B-60 Reinforcement Detail</t>
  </si>
  <si>
    <t>S-T3V-BM0160</t>
  </si>
  <si>
    <t>Beam B-40b Reinforcemnt Detail</t>
  </si>
  <si>
    <t>S-T3V-BM0237</t>
  </si>
  <si>
    <t>BEAM B-40 REINFORCEMENT DETAIL(SSL2)</t>
  </si>
  <si>
    <t>ST-TXV-4</t>
  </si>
  <si>
    <t>S-T3V-BM0238</t>
  </si>
  <si>
    <t>BEAM B-41 REINFORCEMENT DETAIL(SSL2)</t>
  </si>
  <si>
    <t>S-T3V-BM0239</t>
  </si>
  <si>
    <t>BEAM B-42 REINFORCEMENT DETAIL(SSL2)</t>
  </si>
  <si>
    <t>S-T3V-BM0240</t>
  </si>
  <si>
    <t>BEAM B-43 REINFORCEMENT DETAIL(SSL2)</t>
  </si>
  <si>
    <t>S-T3V-BM0241</t>
  </si>
  <si>
    <t>BEAM B-44 REINFORCEMENT DETAIL(SSL2)</t>
  </si>
  <si>
    <t>S-T3V-BM0242</t>
  </si>
  <si>
    <t>BEAM B-45 REINFORCEMENT DETAIL(SSL2)</t>
  </si>
  <si>
    <t>S-T3V-BM0243</t>
  </si>
  <si>
    <t>BEAM B-46 REINFORCEMENT DETAIL(SSL2)</t>
  </si>
  <si>
    <t>S-T3V-BM0244</t>
  </si>
  <si>
    <t>BEAM B-47 REINFORCEMENT DETAIL(SHEET 1 OF 2)(SSL2)</t>
  </si>
  <si>
    <t>S-T3V-BM0245</t>
  </si>
  <si>
    <t>BEAM B-47 REINFORCEMENT DETAIL(SHEET 2 OF 2)(SSL2)</t>
  </si>
  <si>
    <t>S-T3V-BM0248</t>
  </si>
  <si>
    <t>BEAM B-47 REINFORCEMENT DETAIL(SHEET 1 OF 2)(SSL4)</t>
  </si>
  <si>
    <t>S-T3V-BM0249</t>
  </si>
  <si>
    <t>BEAM B-47 REINFORCEMENT DETAIL(SHEET 2 OF 2)(SSL4)</t>
  </si>
  <si>
    <t>S-T3V-BM0258</t>
  </si>
  <si>
    <t>BEAM B-51 REINFORCEMENT DETAIL(SSL2)</t>
  </si>
  <si>
    <t>S-T3V-BM0261</t>
  </si>
  <si>
    <t>BEAM B-51 REINFORCEMENT DETAIL(SHEET 1 OF 2)(SSL4)</t>
  </si>
  <si>
    <t>S-T3V-BM0262</t>
  </si>
  <si>
    <t>BEAM B-51 REINFORCEMENT DETAIL(SHEET 2 OF 2)(SSL4)</t>
  </si>
  <si>
    <t>S-T3V-BM0283</t>
  </si>
  <si>
    <t>BEAM B-73 REINFORCEMENT DETAIL(SSL3&amp;4)</t>
  </si>
  <si>
    <t>S-T3V-BM0301</t>
  </si>
  <si>
    <t>BEAM B-40a&amp;b REINFORCEMENT DETAIL</t>
  </si>
  <si>
    <t>S-T3V-BM0303</t>
  </si>
  <si>
    <t>BEAM B-42a&amp;b REINFORCEMENT DETAIL</t>
  </si>
  <si>
    <t>S-T3V-BM0306</t>
  </si>
  <si>
    <t>BEAM B-44a&amp;b REINFORCEMENT DETAIL</t>
  </si>
  <si>
    <t>S-T3V-BM0308</t>
  </si>
  <si>
    <t>BEAM B-45(SHEET 2) REINFORCEMENT DETAIL</t>
  </si>
  <si>
    <t>S-T3V-BM0310</t>
  </si>
  <si>
    <t>BEAM B-46(SHEET 2) REINFORCEMENT DETAIL</t>
  </si>
  <si>
    <t>S-T3V-BM0312</t>
  </si>
  <si>
    <t>BEAM B-48a&amp;b REINFORCEMENT DETAIL</t>
  </si>
  <si>
    <t>S-T3V-BM0314</t>
  </si>
  <si>
    <t>BEAM B-49(SHEET 2) REINFORCEMENT DETAIL</t>
  </si>
  <si>
    <t>S-T3V-BM0316</t>
  </si>
  <si>
    <t>BEAM B-50 REINFORCEMENT DETAIL</t>
  </si>
  <si>
    <t>S-T3V-BM0319</t>
  </si>
  <si>
    <t>BEAM B-52a&amp;b REINFORCEMENT DETAIL</t>
  </si>
  <si>
    <t>S-T3V-BM0321</t>
  </si>
  <si>
    <t>BEAM B-54a&amp;b REINFORCEMENT DETAIL</t>
  </si>
  <si>
    <t>S-T3V-BM0323</t>
  </si>
  <si>
    <t>BEAM B-56a&amp;b REINFORCEMENT DETAIL</t>
  </si>
  <si>
    <t>S-T3V-BM0325</t>
  </si>
  <si>
    <t>BEAM B-58a&amp;b REINFORCEMENT DETAIL</t>
  </si>
  <si>
    <t>S-T3V-BM0327</t>
  </si>
  <si>
    <t>BEAM B-60a&amp;b REINFORCEMENT DETAIL</t>
  </si>
  <si>
    <t>S-T3V-BM0503</t>
  </si>
  <si>
    <t>BEAM B-46 REINFORCEMENT DETAIL</t>
  </si>
  <si>
    <t>S-T3V-BM0505</t>
  </si>
  <si>
    <t>BEAM B-48 REINFORCEMENT DETAIL</t>
  </si>
  <si>
    <t>S-T3V-BM0601</t>
  </si>
  <si>
    <t>BEAM B-40 &amp; B-41 REINFORCEMENT DETAIL (SSL06, 07, 08)</t>
  </si>
  <si>
    <t>S-T3V-BM0602</t>
  </si>
  <si>
    <t>BEAM B-42 &amp; B-44 REINFORCEMENT DETAIL (SSL06, 07, 08)</t>
  </si>
  <si>
    <t>S-T3V-BM0603</t>
  </si>
  <si>
    <t>BEAM B-43 REINFORCEMENT DETAIL (SSL06, 07, 08)</t>
  </si>
  <si>
    <t>S-T3V-BM0604</t>
  </si>
  <si>
    <t>BEAM B-45 &amp; B-46 REINFORCEMENT DETAIL (SSL06, 07, 08)</t>
  </si>
  <si>
    <t>S-T3V-BM0605</t>
  </si>
  <si>
    <t>BEAM B-47 &amp; B-48 REINFORCEMENT DETAIL (SSL06, 07, 08)</t>
  </si>
  <si>
    <t>S-T3V-BM0606</t>
  </si>
  <si>
    <t>BEAM B-49 &amp; B-50 REINFORCEMENT DETAIL (SSL06, 07, 08)</t>
  </si>
  <si>
    <t>S-T3V-BM0607</t>
  </si>
  <si>
    <t>BEAM B-51 REINFORCEMENT DETAIL (SSL06, 07, 08)</t>
  </si>
  <si>
    <t>S-T3V-BM0608</t>
  </si>
  <si>
    <t>BEAM B-52 &amp; B-53 REINFORCEMENT DETAIL (SSL06, 07, 08)</t>
  </si>
  <si>
    <t>S-T3V-BM0609</t>
  </si>
  <si>
    <t>BEAM B-54 &amp; B-55 REINFORCEMENT DETAIL (SSL06, 07, 08)</t>
  </si>
  <si>
    <t>S-T3V-BM0610</t>
  </si>
  <si>
    <t>BEAM B-56 REINFORCEMENT DETAIL (SSL06, 08)</t>
  </si>
  <si>
    <t>S-T3V-BM0612</t>
  </si>
  <si>
    <t>BEAM B-56 REINFORCEMENT DETAIL (SSL06) (SHEET 2)</t>
  </si>
  <si>
    <t>S-T3V-BM0613</t>
  </si>
  <si>
    <t>BEAM B-56 REINFORCEMENT DETAIL (SSL08)</t>
  </si>
  <si>
    <t>S-T3V-BM0615</t>
  </si>
  <si>
    <t>BEAM B-57 &amp; B-58 REINFORCEMENT DETAIL (SSL06, 07, 08)</t>
  </si>
  <si>
    <t>S-T3V-BM0616</t>
  </si>
  <si>
    <t>BEAM B-59 REINFORCEMENT DETAIL (SSL06, 07, 08)</t>
  </si>
  <si>
    <t>S-T3V-BM0617</t>
  </si>
  <si>
    <t>BEAM B-60 &amp; B-61 REINFORCEMENT DETAIL (SSL06, 07, 08)</t>
  </si>
  <si>
    <t>S-T3V-BM0618</t>
  </si>
  <si>
    <t>BEAM B-62 REINFORCEMENT DETAIL (SSL06, 07, 08)</t>
  </si>
  <si>
    <t>S-T3V-BM0619</t>
  </si>
  <si>
    <t>BEAM B-63 &amp; B-64 REINFORCEMENT DETAIL (SSL06, 07, 08)</t>
  </si>
  <si>
    <t>S-T3V-BM0620</t>
  </si>
  <si>
    <t>BEAM B-65 REINFORCEMENT DETAIL (SSL06, 07, 08)</t>
  </si>
  <si>
    <t>S-T3V-BM0621</t>
  </si>
  <si>
    <t>BEAM B-66 REINFORCEMENT DETAIL (SSL06, 07, 08)</t>
  </si>
  <si>
    <t>S-T3V-BM0622</t>
  </si>
  <si>
    <t>BEAM B-67 REINFORCEMENT DETAIL (SSL06, 07, 08)</t>
  </si>
  <si>
    <t>S-T3V-BM0623</t>
  </si>
  <si>
    <t>BEAM B-68 &amp; B-69 REINFORCEMENT DETAIL (SSL06, 07, 08)</t>
  </si>
  <si>
    <t>S-T3V-BM0624</t>
  </si>
  <si>
    <t>BEAM B-71 REINFORCEMENT DETAIL(SSL6)</t>
  </si>
  <si>
    <t>S-T3V-BM0701</t>
  </si>
  <si>
    <t>BEAM B-40 REINFORCEMENT DETAIL(SSL07&amp;08)</t>
  </si>
  <si>
    <t>S-T3V-BM0702</t>
  </si>
  <si>
    <t>BEAM B-41 &amp; B-42  REINFORCEMENT DETAIL(SSL07&amp;08)</t>
  </si>
  <si>
    <t>S-T3V-BM0703</t>
  </si>
  <si>
    <t>BEAM B-43  REINFORCEMENT DETAIL(SSL07&amp;08)</t>
  </si>
  <si>
    <t>S-T3V-BM0704</t>
  </si>
  <si>
    <t>BEAM B-44  REINFORCEMENT DETAIL(SSL07&amp;08)</t>
  </si>
  <si>
    <t>S-T3V-BM0705</t>
  </si>
  <si>
    <t>BEAM B-45 &amp; B-46 REINFORCEMENT DETAIL(SSL07&amp;08)</t>
  </si>
  <si>
    <t>S-T3V-BM0706</t>
  </si>
  <si>
    <t>BEAM B-47 REINFORCEMENT DETAIL(SSL07&amp;08)</t>
  </si>
  <si>
    <t>S-T3V-BM0707</t>
  </si>
  <si>
    <t>BEAM B-48 &amp; B-49 REINFORCEMENT DETAIL(SSL07&amp;08)</t>
  </si>
  <si>
    <t>S-T3V-BM0708</t>
  </si>
  <si>
    <t>BEAM B-50 REINFORCEMENT DETAIL(SSL07&amp;08)</t>
  </si>
  <si>
    <t>S-T3V-BM0710</t>
  </si>
  <si>
    <t>BEAM B-51 REINFORCEMENT DETAIL(SSL08)</t>
  </si>
  <si>
    <t>S-T3V-BM0711</t>
  </si>
  <si>
    <t>BEAM B-52 &amp; B-53 REINFORCEMENT DETAIL(SSL07&amp;08)</t>
  </si>
  <si>
    <t>S-T3V-BM0712</t>
  </si>
  <si>
    <t>BEAM B-54 REINFORCEMENT DETAIL(SSL07&amp;08)</t>
  </si>
  <si>
    <t>S-T3V-BM0713</t>
  </si>
  <si>
    <t>BEAM B-55 &amp; B-56 REINFORCEMENT DETAIL(SSL07&amp;08)</t>
  </si>
  <si>
    <t>S-T3V-BM0714</t>
  </si>
  <si>
    <t>BEAM B-57 REINFORCEMENT DETAIL(SSL07&amp;08)</t>
  </si>
  <si>
    <t>S-T3V-BM0715</t>
  </si>
  <si>
    <t>BEAM B-58 REINFORCEMENT DETAIL(SSL07&amp;08)</t>
  </si>
  <si>
    <t>S-T3V-BM0716</t>
  </si>
  <si>
    <t>BEAM B-59 &amp; B-60 REINFORCEMENT DETAIL(SSL07&amp;08)</t>
  </si>
  <si>
    <t>S-T3V-BM0717</t>
  </si>
  <si>
    <t>BEAM B-61 REINFORCEMENT DETAIL(SSL07&amp;08)</t>
  </si>
  <si>
    <t>S-T3V-BM0718</t>
  </si>
  <si>
    <t>BEAM B-62 REINFORCEMENT DETAIL(SSL07&amp;08)</t>
  </si>
  <si>
    <t>S-T3V-BM0719</t>
  </si>
  <si>
    <t>BEAM B-63 &amp; B-64 REINFORCEMENT DETAIL(SSL07&amp;08)</t>
  </si>
  <si>
    <t>S-T3V-BM0720</t>
  </si>
  <si>
    <t>BEAM B-65 REINFORCEMENT DETAIL(SSL07&amp;08)</t>
  </si>
  <si>
    <t>S-T3V-BM0721</t>
  </si>
  <si>
    <t>BEAM B-66 REINFORCEMENT DETAIL(SSL07&amp;08)</t>
  </si>
  <si>
    <t>S-T3V-BM0722</t>
  </si>
  <si>
    <t>BEAM B-67 REINFORCEMENT DETAIL(SSL07&amp;08)</t>
  </si>
  <si>
    <t>S-T3V-BM0724</t>
  </si>
  <si>
    <t>BEAM B-69 REINFORCEMENT DETAIL(SSL07 &amp;08)</t>
  </si>
  <si>
    <t>S-T3V-BM0725</t>
  </si>
  <si>
    <t>BEAM B-70 REINFORCEMENT DETAIL(SSL07&amp;08)</t>
  </si>
  <si>
    <t>S-T3V-BM0726</t>
  </si>
  <si>
    <t>BEAM B-71 &amp; B-72 REINFORCEMENT DETAIL(SSL07&amp;08)</t>
  </si>
  <si>
    <t>S-T3V-BM0727</t>
  </si>
  <si>
    <t>BEAM B-73 &amp; B-74 REINFORCEMENT DETAIL(SSL07&amp;08)</t>
  </si>
  <si>
    <t>S-T3V-BM1047</t>
  </si>
  <si>
    <t>BEAM B-47 REINFORCEMENT DETAIL (SHEET 1 of 2) (SSL10, 12, 14, 16 &amp; 18)</t>
  </si>
  <si>
    <t>S-T3V-BM1048</t>
  </si>
  <si>
    <t>BEAM B-47 REINFORCEMENT DETAIL (SHEET 2 of 2) (SSL10, 12, 14, 16 &amp; 18)</t>
  </si>
  <si>
    <t>S-T3V-BM1055</t>
  </si>
  <si>
    <t>BEAM B-54 REINFORCEMENT DETAIL(SSL10, 12, 14, 16 &amp; 18)</t>
  </si>
  <si>
    <t>S-T3V-BM1057</t>
  </si>
  <si>
    <t>BEAM B-55 REINFORCEMENT DETAIL(SSL10, 11, 12, 14, 15, 16, 18 &amp; 19)</t>
  </si>
  <si>
    <t>S-T3V-BM1065</t>
  </si>
  <si>
    <t>BEAM B-63 REINFORCEMENT DETAIL(SSL10, 12, 14, 16 &amp; 18)</t>
  </si>
  <si>
    <t>S-T3V-BM1070</t>
  </si>
  <si>
    <t xml:space="preserve">BEAM B-67 REINFORCEMENT DETAIL(SSL10 TO SSL17) (SHEET 1 OF 2) </t>
  </si>
  <si>
    <t>S-T3V-BM1071</t>
  </si>
  <si>
    <t>BEAM B-67 REINFORCEMENT DETAIL(SSL18 &amp; 19) (SHEET 2 OF 2)</t>
  </si>
  <si>
    <t>S-T3V-BM2040</t>
  </si>
  <si>
    <t>BEAM B-40 REINFORCEMENT DETAIL(SSL20 TO SSL28)</t>
  </si>
  <si>
    <t>S-T3V-BM2041</t>
  </si>
  <si>
    <t>BEAM B-41 &amp; B-42 REINFORCEMENT DETAIL(SSL20 TO SSL28)</t>
  </si>
  <si>
    <t>S-T3V-BM2042</t>
  </si>
  <si>
    <t>BEAM B-43 REINFORCEMENT DETAIL(SSL20 TO SSL28)</t>
  </si>
  <si>
    <t>S-T3V-BM2043</t>
  </si>
  <si>
    <t>BEAM B-44 REINFORCEMENT DETAIL(SSL20 TO SSL28)</t>
  </si>
  <si>
    <t>S-T3V-BM2044</t>
  </si>
  <si>
    <t>BEAM B-45 REINFORCEMENT DETAIL(SSL20 TO SSL28)</t>
  </si>
  <si>
    <t>S-T3V-BM2047</t>
  </si>
  <si>
    <t>BEAM B-47 REINFORCEMENT DETAIL (SHEET 1 of 2) (SSL20, 22, 24, 26 &amp; 28)</t>
  </si>
  <si>
    <t>S-T3V-BM2048</t>
  </si>
  <si>
    <t>BEAM B-47 REINFORCEMENT DETAIL (SHEET 2 of 2)(SSL20, 22, 24, 26 &amp; 28)</t>
  </si>
  <si>
    <t>S-T3V-BM2049</t>
  </si>
  <si>
    <t>BEAM B-48 REINFORCEMENT DETAIL(SSL20 TO SSL28)</t>
  </si>
  <si>
    <t>S-T3V-BM2050</t>
  </si>
  <si>
    <t>BEAM B-49 REINFORCEMENT DETAIL(SSL20 TO SSL28)</t>
  </si>
  <si>
    <t>S-T3V-BM2051</t>
  </si>
  <si>
    <t>BEAM B-50 REINFORCEMENT DETAIL(SSL20 TO SSL28)</t>
  </si>
  <si>
    <t>S-T3V-BM2052</t>
  </si>
  <si>
    <t>BEAM B-51 REINFORCEMENT DETAIL(SSL20 TO SSL28)</t>
  </si>
  <si>
    <t>S-T3V-BM2053</t>
  </si>
  <si>
    <t>BEAM B-52 REINFORCEMENT DETAIL(SSL20 TO SSL28)</t>
  </si>
  <si>
    <t>S-T3V-BM2054</t>
  </si>
  <si>
    <t>BEAM B-53 REINFORCEMENT DETAIL(SSL20 TO SSL28)</t>
  </si>
  <si>
    <t>S-T3V-BM2055</t>
  </si>
  <si>
    <t>BEAM B-54 REINFORCEMENT DETAIL (SSL20, 22, 24, 26 &amp; 28)</t>
  </si>
  <si>
    <t>S-T3V-BM2057</t>
  </si>
  <si>
    <t>BEAM B-55 REINFORCEMENT DETAIL(SSL20, 21, 22, 24, 25, 26 &amp; 28)</t>
  </si>
  <si>
    <t>S-T3V-BM2059</t>
  </si>
  <si>
    <t>BEAM B-56 REINFORCEMENT DETAIL(SSL20 TO SSL28)</t>
  </si>
  <si>
    <t>S-T3V-BM2060</t>
  </si>
  <si>
    <t>BEAM B-57 REINFORCEMENT DETAIL(SSL20 TO SSL28)</t>
  </si>
  <si>
    <t>S-T3V-BM2061</t>
  </si>
  <si>
    <t>BEAM B-58 REINFORCEMENT DETAIL(SSL20 TO SSL28)</t>
  </si>
  <si>
    <t>S-T3V-BM2062</t>
  </si>
  <si>
    <t>BEAM B-59 REINFORCEMENT DETAIL(SSL20 TO SSL28)</t>
  </si>
  <si>
    <t>S-T3V-BM2063</t>
  </si>
  <si>
    <t>BEAM B-60 &amp; B-61 REINFORCEMENT DETAIL(SSL20 TO SSL28)</t>
  </si>
  <si>
    <t>S-T3V-BM2064</t>
  </si>
  <si>
    <t>BEAM B-62 REINFORCEMENT DETAIL(SSL20 TO SSL28)</t>
  </si>
  <si>
    <t>S-T3V-BM2065</t>
  </si>
  <si>
    <t>BEAM B-63 REINFORCEMENT DETAIL(SSL20, 22, 24, 26 &amp; 28)</t>
  </si>
  <si>
    <t>S-T3V-BM2067</t>
  </si>
  <si>
    <t>BEAM B-64 REINFORCEMENT DETAIL(SSL20 TO SSL28)</t>
  </si>
  <si>
    <t>S-T3V-BM2068</t>
  </si>
  <si>
    <t>BEAM B-65 REINFORCEMENT DETAIL(SSL20 TO SSL28)</t>
  </si>
  <si>
    <t>S-T3V-BM2069</t>
  </si>
  <si>
    <t>BEAM B-66 REINFORCEMENT DETAIL(SSL20 TO SSL28)</t>
  </si>
  <si>
    <t>S-T3V-BM2070</t>
  </si>
  <si>
    <t>BEAM B-67 REINFORCEMENT DETAIL(SSL20 TO SSL28)</t>
  </si>
  <si>
    <t>S-T3V-BM2001</t>
  </si>
  <si>
    <t>BEAM B-01 REINFORCEMENT DETAIL (SSL20 TO SSL30)</t>
  </si>
  <si>
    <t>S-T3V-BM2002</t>
  </si>
  <si>
    <t>BEAM B-02REINFORCEMENT DETAIL (SSL20 TO SSL30)</t>
  </si>
  <si>
    <t>S-T3V-BM2003</t>
  </si>
  <si>
    <t>BEAM B-03 REINFORCEMENT DETAIL (SSL20 TO SSL30)</t>
  </si>
  <si>
    <t>S-T3V-BM2004</t>
  </si>
  <si>
    <t xml:space="preserve">BEAM B-04 REINFORCEMENT DETAIL(Sheet 1 of 2)(SSL20 TO SSL30) </t>
  </si>
  <si>
    <t>S-T3V-BM2005</t>
  </si>
  <si>
    <t xml:space="preserve">BEAM B-04 REINFORCEMENT DETAIL(Sheet 2 of 2)(SSL20 TO SSL30) </t>
  </si>
  <si>
    <t>S-T3V-BM2006</t>
  </si>
  <si>
    <t>BEAM B-05 REINFORCEMENT DETAIL(SSL20 TO SSL30)</t>
  </si>
  <si>
    <t>S-T3V-BM2007</t>
  </si>
  <si>
    <t>BEAM B-06 REINFORCEMENT DETAIL(SSL20 TO SSL30)</t>
  </si>
  <si>
    <t>S-T3V-BM2008</t>
  </si>
  <si>
    <t>BEAM B-07 REINFORCEMENT DETAIL(SHEET 1 OF 2)(SSL20 TO SSL30)</t>
  </si>
  <si>
    <t>S-T3V-BM2009</t>
  </si>
  <si>
    <t>BEAM B-07 REINFORCEMENT DETAIL(SHEET 2 OF 2)(SSL20 TO SSL30)</t>
  </si>
  <si>
    <t>S-T3V-BM2010</t>
  </si>
  <si>
    <t>BEAM B-08 REINFORCEMENT DETAIL(SSL20 TO SSL30)</t>
  </si>
  <si>
    <t>S-T3V-BM2011</t>
  </si>
  <si>
    <t>BEAM B-09 REINFORCEMENT DETAIL(SSL20 TO SSL30)</t>
  </si>
  <si>
    <t>S-T3V-BM2012</t>
  </si>
  <si>
    <t>BEAM B-10 REINFORCEMENT DETAIL(SHEET 1 OF 2)(SSL20 TO SSL30)</t>
  </si>
  <si>
    <t>S-T3V-BM2013</t>
  </si>
  <si>
    <t>BEAM B-10 REINFORCEMENT DETAIL(SHEET 2 OF 2)(SSL20 TO SSL30)</t>
  </si>
  <si>
    <t>S-T3V-BM2014</t>
  </si>
  <si>
    <t>BEAM B-11 REINFORCEMENT DETAIL(SHEET 1 OF 2)(SSL20 TO SSL30)</t>
  </si>
  <si>
    <t>S-T3V-BM2015</t>
  </si>
  <si>
    <t>BEAM B-11 REINFORCEMENT DETAIL(SHEET 2 OF 2)(SSL20 TO SSL30)</t>
  </si>
  <si>
    <t>S-T3V-BM2016</t>
  </si>
  <si>
    <t>BEAM B-12 REINFORCEMENT DETAIL(SHEET 1 OF 2)(SSL20 TO SSL30)</t>
  </si>
  <si>
    <t>S-T3V-BM2017</t>
  </si>
  <si>
    <t>BEAM B-12 REINFORCEMENT DETAIL(SHEET 2 OF 2)(SSL20 TO SSL30)</t>
  </si>
  <si>
    <t>S-T3V-BM2018</t>
  </si>
  <si>
    <t>BEAM B-13 &amp; B-14 REINFORCEMENT DETAIL(SSL20 TO SSL30)</t>
  </si>
  <si>
    <t>S-T3V-BM2019</t>
  </si>
  <si>
    <t>BEAM B-15 REINFORCEMENT DETAIL(SSL20 TO SSL30)</t>
  </si>
  <si>
    <t>S-T3V-BM2020</t>
  </si>
  <si>
    <t>BEAM B-16 REINFORCEMENT DETAIL(SHEET 1 OF 2)(SSL20 TO SSL30)</t>
  </si>
  <si>
    <t>S-T3V-BM2021</t>
  </si>
  <si>
    <t>BEAM B-16 REINFORCEMENT DETAIL(SHEET 2 OF 2)(SSL20 TO SSL30)</t>
  </si>
  <si>
    <t>S-T3V-BM2022</t>
  </si>
  <si>
    <t>BEAM B-17 REINFORCEMENT DETAIL(SSL20 TO SSL30)</t>
  </si>
  <si>
    <t>S-T3V-BM2023</t>
  </si>
  <si>
    <t>BEAM B-18 REINFORCEMENT DETAIL(SHEET 1 OF 2)(SSL20 TO SSL30)</t>
  </si>
  <si>
    <t>S-T3V-BM2024</t>
  </si>
  <si>
    <t>BEAM B-18 REINFORCEMENT DETAIL(SHEET 2 OF 2)(SSL20 TO SSL30)</t>
  </si>
  <si>
    <t>S-T3V-BM2025</t>
  </si>
  <si>
    <t>BEAM B-19 REINFORCEMENT DETAIL(SSL20 TO SSL30)</t>
  </si>
  <si>
    <t>S-T3V-BM2026</t>
  </si>
  <si>
    <t>BEAM B-20 REINFORCEMENT DETAIL(SSL20 TO SSL30)</t>
  </si>
  <si>
    <t>S-T3V-BM2027</t>
  </si>
  <si>
    <t>BEAM B-21 REINFORCEMENT DETAIL(SSL20 TO SSL30)</t>
  </si>
  <si>
    <t>S-T3V-BM2028</t>
  </si>
  <si>
    <t>BEAM B-22 REINFORCEMENT DETAIL(SSL20 TO SSL30)</t>
  </si>
  <si>
    <t>S-T3V-BM2029</t>
  </si>
  <si>
    <t>BEAM B-23 REINFORCEMENT DETAIL(SSL20 TO SSL30)</t>
  </si>
  <si>
    <t>S-T3V-BM2030</t>
  </si>
  <si>
    <t>BEAM B-25, B26 &amp; B27 REINFORCEMENT DETAIL(SSL20 TO SSL30)</t>
  </si>
  <si>
    <t>S-T3V-BM2031</t>
  </si>
  <si>
    <t>BEAM B-28 &amp; B-29 REINFORCEMENT DETAIL(SSL20 TO SSL30)</t>
  </si>
  <si>
    <t>S-T3V-BM2032</t>
  </si>
  <si>
    <t>BEAM B-30 &amp; B-31 REINFORCEMENT DETAIL(SSL20 TO SSL30)</t>
  </si>
  <si>
    <t>S-T3V-BM2033</t>
  </si>
  <si>
    <t>BEAM B-32 REINFORCEMENT DETAIL(SSL20 TO SSL30)</t>
  </si>
  <si>
    <t>S-T3V-BM2035</t>
  </si>
  <si>
    <t>BEAM B-33 REINFORCEMENT DETAIL(SSL20 TO SSL30)</t>
  </si>
  <si>
    <t>S-T3V-BM3040</t>
  </si>
  <si>
    <t>BEAM B-40 REINFORCEMENT DETAIL (SSL30)</t>
  </si>
  <si>
    <t>S-T3V-BM3041</t>
  </si>
  <si>
    <t>BEAM B-41 &amp; B-42 REINFORCEMENT DETAIL (SSL30)</t>
  </si>
  <si>
    <t>S-T3V-BM3042</t>
  </si>
  <si>
    <t>BEAM B-43 REINFORCEMENT DETAIL (SSL30)</t>
  </si>
  <si>
    <t>S-T3V-BM3043</t>
  </si>
  <si>
    <t>BEAM B-44 REINFORCEMENT DETAIL (SSL30)</t>
  </si>
  <si>
    <t>S-T3V-BM3044</t>
  </si>
  <si>
    <t>BEAM B-45 REINFORCEMENT DETAIL (SSL30)</t>
  </si>
  <si>
    <t>S-T3V-BM3045</t>
  </si>
  <si>
    <t>BEAM B-47 REINFORCEMENT DETAIL (SHEET 1 OF 2) (SSL30)</t>
  </si>
  <si>
    <t>S-T3V-BM3046</t>
  </si>
  <si>
    <t>BEAM B-47 REINFORCEMENT DETAIL (SHEET 2 OF 2) (SSL30)</t>
  </si>
  <si>
    <t>S-T3V-BM3047</t>
  </si>
  <si>
    <t>BEAM B-48 REINFORCEMENT DETAIL (SSL30)</t>
  </si>
  <si>
    <t>S-T3V-BM3048</t>
  </si>
  <si>
    <t>BEAM B-49 REINFORCEMENT DETAIL (SSL30)</t>
  </si>
  <si>
    <t>S-T3V-BM3049</t>
  </si>
  <si>
    <t>BEAM B-50 REINFORCEMENT DETAIL (SSL30)</t>
  </si>
  <si>
    <t>S-T3V-BM3050</t>
  </si>
  <si>
    <t>BEAM B-51 REINFORCEMENT DETAIL (SSL30)</t>
  </si>
  <si>
    <t>S-T3V-BM3051</t>
  </si>
  <si>
    <t>BEAM B-52 REINFORCEMENT DETAIL (SSL30)</t>
  </si>
  <si>
    <t>S-T3V-BM3052</t>
  </si>
  <si>
    <t>BEAM B-53 REINFORCEMENT DETAIL (SSL30)</t>
  </si>
  <si>
    <t>S-T3V-BM3053</t>
  </si>
  <si>
    <t>BEAM B-54 REINFORCEMENT DETAIL (SSL30)</t>
  </si>
  <si>
    <t>S-T3V-BM3054</t>
  </si>
  <si>
    <t>BEAM B-55 REINFORCEMENT DETAIL (SSL30)</t>
  </si>
  <si>
    <t>S-T3V-BM3055</t>
  </si>
  <si>
    <t>BEAM B-56 REINFORCEMENT DETAIL (SSL30)</t>
  </si>
  <si>
    <t>S-T3V-BM3056</t>
  </si>
  <si>
    <t>BEAM B-57 REINFORCEMENT DETAIL (SSL30)</t>
  </si>
  <si>
    <t>S-T3V-BM3057</t>
  </si>
  <si>
    <t>BEAM B-58 REINFORCEMENT DETAIL (SSL30)</t>
  </si>
  <si>
    <t>S-T3V-BM3058</t>
  </si>
  <si>
    <t>BEAM B-59 REINFORCEMENT DETAIL (SSL30)</t>
  </si>
  <si>
    <t>S-T3V-BM3059</t>
  </si>
  <si>
    <t>BEAM B-60 &amp; B-61 REINFORCEMENT DETAIL (SSL30)</t>
  </si>
  <si>
    <t>S-T3V-BM3060</t>
  </si>
  <si>
    <t>BEAM B-62 REINFORCEMENT DETAIL (SSL30)</t>
  </si>
  <si>
    <t>S-T3V-BM3061</t>
  </si>
  <si>
    <t>BEAM B-63 REINFORCEMENT DETAIL (SSL30)</t>
  </si>
  <si>
    <t>S-T3V-BM3062</t>
  </si>
  <si>
    <t>BEAM B-64 REINFORCEMENT DETAIL (SSL30)</t>
  </si>
  <si>
    <t>S-T3V-BM3063</t>
  </si>
  <si>
    <t>BEAM B-65 REINFORCEMENT DETAIL (SSL30)</t>
  </si>
  <si>
    <t>S-T3V-BM3064</t>
  </si>
  <si>
    <t>BEAM B-66 REINFORCEMENT DETAIL (SSL30)</t>
  </si>
  <si>
    <t>S-T3V-BM3065</t>
  </si>
  <si>
    <t>BEAM B-67 REINFORCEMENT DETAIL (SSL30)</t>
  </si>
  <si>
    <t>S-T3V-BM3066</t>
  </si>
  <si>
    <t>BEAM B-69 REINFORCEMENT DETAIL (SSL30)</t>
  </si>
  <si>
    <t>S-T3V-BM3145</t>
  </si>
  <si>
    <t>S-T3V-BM3146</t>
  </si>
  <si>
    <t>S-T3V-BM3236</t>
  </si>
  <si>
    <t>BEAM B-11 REINFORCEMENT DETAIL (SHEET 1 OF 1) (SSL32)</t>
  </si>
  <si>
    <t>S-T3V-BM3237</t>
  </si>
  <si>
    <t>BEAM B-12 REINFORCEMENT DETAIL (SHEET 1 OF 2) (SSL32)</t>
  </si>
  <si>
    <t>S-T3V-BM3238</t>
  </si>
  <si>
    <t>BEAM B-12 REINFORCEMENT DETAIL (SHEET 2 OF 2) (SSL32)</t>
  </si>
  <si>
    <t>S-T3V-BM3239</t>
  </si>
  <si>
    <t>S-T3V-BM3240</t>
  </si>
  <si>
    <t>S-T3V-BM3241</t>
  </si>
  <si>
    <t>BEAM B-43 REINFORCEMENT DETAIL (SSL32)</t>
  </si>
  <si>
    <t>S-T3V-BM3242</t>
  </si>
  <si>
    <t>BEAM B44 AND B45 &amp; B46 REINFORCEMENT DETAIL (SSL32)</t>
  </si>
  <si>
    <t>S-T3V-BM3243</t>
  </si>
  <si>
    <t>BEAM B-47 REINFORCEMENT DETAIL (SHEET 1 OF 2) (SSL32)</t>
  </si>
  <si>
    <t>S-T3V-BM3244</t>
  </si>
  <si>
    <t>BEAM B-47 REINFORCEMENT DETAIL (SHEET 2 OF 2) (SSL32)</t>
  </si>
  <si>
    <t>S-T3V-BM3245</t>
  </si>
  <si>
    <t>BEAM B-48 &amp; B-49 REINFORCEMENT DETAIL (SSL32)</t>
  </si>
  <si>
    <t>S-T3V-BM3246</t>
  </si>
  <si>
    <t>BEAM B-50 &amp; B-52 REINFORCEMENT DETAIL (SSL32)</t>
  </si>
  <si>
    <t>S-T3V-BM3247</t>
  </si>
  <si>
    <t>S-T3V-BM3248</t>
  </si>
  <si>
    <t>BEAM B-54 &amp; B-55 REINFORCEMENT DETAIL (SSL32)</t>
  </si>
  <si>
    <t>S-T3V-BM3249</t>
  </si>
  <si>
    <t>S-T3V-BM3250</t>
  </si>
  <si>
    <t>S-T3V-BM3251</t>
  </si>
  <si>
    <t>BEAM B-58 &amp; B-59 REINFORCEMENT DETAIL (SSL32)</t>
  </si>
  <si>
    <t>S-T3V-BM3252</t>
  </si>
  <si>
    <t>S-T3V-BM3253</t>
  </si>
  <si>
    <t>S-T3V-BM3254</t>
  </si>
  <si>
    <t>BEAM B-63 &amp; B-64 REINFORCEMENT DETAIL (SSL32)</t>
  </si>
  <si>
    <t>S-T3V-BM3255</t>
  </si>
  <si>
    <t>BEAM B-65 &amp; B-66 REINFORCEMENT DETAIL (SSL32)</t>
  </si>
  <si>
    <t>S-T3V-BM3264</t>
  </si>
  <si>
    <t>S-T3V-BM3265</t>
  </si>
  <si>
    <t>BEAM-01 REINFORCEMENT DETAIL (SSL32)</t>
  </si>
  <si>
    <t>S-T3V-BM3266</t>
  </si>
  <si>
    <t>S-T3V-BM3267</t>
  </si>
  <si>
    <t>BEAM B-33 &amp; B-68 REINFORCEMENT DETAIL (SSL32)</t>
  </si>
  <si>
    <t>S-T3V-SB0106</t>
  </si>
  <si>
    <t>BBS for Top Reinforcement for SSL01 (Sheet 2)</t>
  </si>
  <si>
    <t>S-T3V-SB0301</t>
  </si>
  <si>
    <t>PLAN SHOWING SLAB BOTTOM REINFORCEMENT OF SSL03 &amp; 04</t>
  </si>
  <si>
    <t>S-T3V-SB0302</t>
  </si>
  <si>
    <t>SLAB BBS FOR BOTTOM REINFORCEMENT OF SSL 03 &amp; 04</t>
  </si>
  <si>
    <t>S-T3V-SB0303</t>
  </si>
  <si>
    <t>PLAN SHOWING SLAB TOP REINFORCEMENT OF SSL03 &amp; 04</t>
  </si>
  <si>
    <t>S-T3V-SB0304</t>
  </si>
  <si>
    <t>SLAB BBS FOR TOP REINFORCEMENT OF SSL 03 &amp; 04</t>
  </si>
  <si>
    <t>S-T3V-SB0305</t>
  </si>
  <si>
    <t>L30 Portion-Plan Showing Terrace Garden Slabs Reinforcement for SSL04</t>
  </si>
  <si>
    <t>S-T3V-SB0602</t>
  </si>
  <si>
    <t>PLAN SHOWING SLAB REINFORCEMENT FOR L30 PORTION OF SSL06, 07 &amp; 08 (SHEET 2)</t>
  </si>
  <si>
    <t>S-T3V-SB0801</t>
  </si>
  <si>
    <t>L30 Portion-Plan Showing Slabs Bottom Reinforcement for SSL 08</t>
  </si>
  <si>
    <t>S-T3V-SB0802</t>
  </si>
  <si>
    <t>L30 Portion-Plan Showing Slabs Top Reinforcement for SSL 08</t>
  </si>
  <si>
    <t>S-T3V-SB0803</t>
  </si>
  <si>
    <t>L30 Portion-BBS for  Slab Reinforcement of SSL 08</t>
  </si>
  <si>
    <t>S-T3V-SB1001</t>
  </si>
  <si>
    <t>L30 PORTION-PLAN SHOWING INTERNAL SLABS BOTTOM  REINFORCEMENT FOR SSL10 TO SSL28</t>
  </si>
  <si>
    <t>S-T3V-SB1002</t>
  </si>
  <si>
    <t>L30 PORTION-PLAN SHOWING INTERNAL SLABS TOP  REINFORCEMENT FOR SSL10 TO SSL28</t>
  </si>
  <si>
    <t>S-T3V-SB1003</t>
  </si>
  <si>
    <t>L30 PORTION-BBS OF INTERNAL SLABS BOTTOM REINFOIRCEMENT FOR SSL10 TO SSL28</t>
  </si>
  <si>
    <t>S-T3V-SB1004</t>
  </si>
  <si>
    <t>L30 PORTION-BBS OF INTERNAL SLABS TOP REINFOIRCEMENT FOR SSL10 TO SSL28</t>
  </si>
  <si>
    <t>S-T3V-SB1005</t>
  </si>
  <si>
    <t>L30 PORTION- PLAN SHOWING TERRACE GARDEN SLABS BOTTOM &amp; TOP REINFORCEMENT FOR SSL10,12,14,16,18,20,22,24,26,28</t>
  </si>
  <si>
    <t>S-T3V-SB1006</t>
  </si>
  <si>
    <t>L30 PORTION-PLAN SHOWING TERRACE GARDEN SLABS BOTTOM &amp; TOP REINFORCEMENT FOR SSL11,13,15,17,19,21,23,25,27</t>
  </si>
  <si>
    <t>L30 PORTION-BBS OF TERRACE GARDEN SLABS BOTTOM &amp; TOP REINFORCEMENT FOR SSL10,12,14,16,18,20,22,24,26,28</t>
  </si>
  <si>
    <t>S-T3V-SB1008</t>
  </si>
  <si>
    <t>L30 PORTION-BBS OF TERRACE GARDEN SLABS BOTTOM &amp; TOP REINFORCEMENT FOR SSL11,13,15,17,19,21,23,25,27</t>
  </si>
  <si>
    <t>S-T3V-SB2801</t>
  </si>
  <si>
    <t>C20 Portion-Plan Showing Slab Bottom Reinforcement for SSL28 TO SSL 30</t>
  </si>
  <si>
    <t>S-T3V-SB2802</t>
  </si>
  <si>
    <t>C20 Portion-BBS of Slab Bottom Reinforcement for SSL28 TO SSL 30</t>
  </si>
  <si>
    <t>S-T3V-SB2803</t>
  </si>
  <si>
    <t>C20 Portion-Plan Showing Slab Top Reinforcement for SSL28 TO SSL 30</t>
  </si>
  <si>
    <t>S-T3V-SB2804</t>
  </si>
  <si>
    <t>C20 Portion-BBS of Slab Top Reinforcement for SSL28 TO SSL 30</t>
  </si>
  <si>
    <t>S-T3V-SB2805</t>
  </si>
  <si>
    <t>C20 Portion-Plan Showing Slab Torsion Reinforcement for SSL28 TO SSL 30</t>
  </si>
  <si>
    <t>S-T3V-SL0202</t>
  </si>
  <si>
    <t>C20 Portion-Sleeves Reinf. Details for SSL02 to SSL27 (Sheet 2)</t>
  </si>
  <si>
    <t>S-T3V-SL0601</t>
  </si>
  <si>
    <t>L30 Portion Plan Showing Sleeves at SSL06</t>
  </si>
  <si>
    <t>S-T3V-SL0602</t>
  </si>
  <si>
    <t>L30 Portion - Sleeves Reinforcement details for SSL6</t>
  </si>
  <si>
    <t>S-T4V-CL2101</t>
  </si>
  <si>
    <t>Details of Wedge Portion, Stepped Block &amp; Extended Basement Columns Resting on T4V foundations</t>
  </si>
  <si>
    <t>S-T4V-FP0401</t>
  </si>
  <si>
    <t>S-T4V-FP0601</t>
  </si>
  <si>
    <t>Framing plan at SSL06</t>
  </si>
  <si>
    <t>S-T4V-FP0801</t>
  </si>
  <si>
    <t>Framing plan at SSL08</t>
  </si>
  <si>
    <t>S-T4V-BM0104</t>
  </si>
  <si>
    <t>S-T4V-BM0106</t>
  </si>
  <si>
    <t>S-T4V-BM0108</t>
  </si>
  <si>
    <t>S-T4V-BM0110</t>
  </si>
  <si>
    <t>S-T4V-BM0112</t>
  </si>
  <si>
    <t>S-T4V-BM0113</t>
  </si>
  <si>
    <t>S-T4V-BM0115</t>
  </si>
  <si>
    <t>S-T4V-BM0116</t>
  </si>
  <si>
    <t>S-T4V-BM0117</t>
  </si>
  <si>
    <t>S-T4V-BM0121</t>
  </si>
  <si>
    <t>S-T4V-BM0123</t>
  </si>
  <si>
    <t>S-T4V-BM0126</t>
  </si>
  <si>
    <t>S-T4V-BM0127</t>
  </si>
  <si>
    <t>S-T4V-BM0128</t>
  </si>
  <si>
    <t>S-T4V-BM0130</t>
  </si>
  <si>
    <t>S-T4V-BM0131</t>
  </si>
  <si>
    <t>S-T4V-BM0132</t>
  </si>
  <si>
    <t>S-T4V-BM0134</t>
  </si>
  <si>
    <t>S-T4V-BM0135</t>
  </si>
  <si>
    <t>S-T4V-BM0137</t>
  </si>
  <si>
    <t>S-T4V-BM0138</t>
  </si>
  <si>
    <t>S-T4V-BM0139</t>
  </si>
  <si>
    <t>S-T4V-BM0140</t>
  </si>
  <si>
    <t>S-T4V-BM0142</t>
  </si>
  <si>
    <t>Beam B-40 Reinforcement Detail</t>
  </si>
  <si>
    <t>S-T4V-BM0144</t>
  </si>
  <si>
    <t>S-T4V-BM0145</t>
  </si>
  <si>
    <t>S-T4V-BM0148</t>
  </si>
  <si>
    <t>S-T4V-BM0149</t>
  </si>
  <si>
    <t>S-T4V-BM0150</t>
  </si>
  <si>
    <t>S-T4V-BM0152</t>
  </si>
  <si>
    <t>S-T4V-BM0153</t>
  </si>
  <si>
    <t>S-T4V-BM0154</t>
  </si>
  <si>
    <t>S-T4V-BM0158</t>
  </si>
  <si>
    <t>S-T4V-BM0237</t>
  </si>
  <si>
    <t>S-T4V-BM0238</t>
  </si>
  <si>
    <t>S-T4V-BM0239</t>
  </si>
  <si>
    <t>S-T4V-BM0240</t>
  </si>
  <si>
    <t>S-T4V-BM0241</t>
  </si>
  <si>
    <t>S-T4V-BM0242</t>
  </si>
  <si>
    <t>S-T4V-BM0243</t>
  </si>
  <si>
    <t>S-T4V-BM0301</t>
  </si>
  <si>
    <t>S-T4V-BM0303</t>
  </si>
  <si>
    <t>S-T4V-BM0306</t>
  </si>
  <si>
    <t>S-T4V-BM0308</t>
  </si>
  <si>
    <t>S-T4V-BM0310</t>
  </si>
  <si>
    <t>S-T4V-BM0312</t>
  </si>
  <si>
    <t>S-T4V-BM0314</t>
  </si>
  <si>
    <t>S-T4V-BM0316</t>
  </si>
  <si>
    <t>S-T4V-BM0319</t>
  </si>
  <si>
    <t>S-T4V-BM0321</t>
  </si>
  <si>
    <t>S-T4V-BM0323</t>
  </si>
  <si>
    <t>S-T4V-BM0325</t>
  </si>
  <si>
    <t>S-T4V-BM0327</t>
  </si>
  <si>
    <t>S-T4V-BM0503</t>
  </si>
  <si>
    <t>S-T4V-BM0505</t>
  </si>
  <si>
    <t>S-T4V-BM0601</t>
  </si>
  <si>
    <t>S-T4V-BM0602</t>
  </si>
  <si>
    <t>S-T4V-BM0603</t>
  </si>
  <si>
    <t>S-T4V-BM0604</t>
  </si>
  <si>
    <t>S-T4V-BM0605</t>
  </si>
  <si>
    <t>S-T4V-BM0606</t>
  </si>
  <si>
    <t>S-T4V-BM0607</t>
  </si>
  <si>
    <t>S-T4V-BM0608</t>
  </si>
  <si>
    <t>S-T4V-BM0609</t>
  </si>
  <si>
    <t>S-T4V-BM0610</t>
  </si>
  <si>
    <t>S-T4V-BM0612</t>
  </si>
  <si>
    <t>S-T4V-BM0613</t>
  </si>
  <si>
    <t>S-T4V-BM0615</t>
  </si>
  <si>
    <t>S-T4V-BM0616</t>
  </si>
  <si>
    <t>S-T4V-BM0617</t>
  </si>
  <si>
    <t>S-T4V-BM0618</t>
  </si>
  <si>
    <t>S-T4V-BM0619</t>
  </si>
  <si>
    <t>S-T4V-BM0620</t>
  </si>
  <si>
    <t>S-T4V-BM0621</t>
  </si>
  <si>
    <t>S-T4V-BM0622</t>
  </si>
  <si>
    <t>S-T4V-BM0623</t>
  </si>
  <si>
    <t>S-T4V-BM1047</t>
  </si>
  <si>
    <t>S-T4V-BM1048</t>
  </si>
  <si>
    <t>S-T4V-BM1055</t>
  </si>
  <si>
    <t>S-T4V-BM1057</t>
  </si>
  <si>
    <t>S-T4V-BM1065</t>
  </si>
  <si>
    <t>S-T4V-BM1070</t>
  </si>
  <si>
    <t>S-T4V-BM1071</t>
  </si>
  <si>
    <t>S-T4V-BM2001</t>
  </si>
  <si>
    <t>S-T4V-BM2002</t>
  </si>
  <si>
    <t>S-T4V-BM2003</t>
  </si>
  <si>
    <t>S-T4V-BM2004</t>
  </si>
  <si>
    <t>S-T4V-BM2005</t>
  </si>
  <si>
    <t>S-T4V-BM2006</t>
  </si>
  <si>
    <t>S-T4V-BM2007</t>
  </si>
  <si>
    <t>S-T4V-BM2008</t>
  </si>
  <si>
    <t>S-T4V-BM2009</t>
  </si>
  <si>
    <t>S-T4V-BM2010</t>
  </si>
  <si>
    <t>S-T4V-BM2011</t>
  </si>
  <si>
    <t>S-T4V-BM2012</t>
  </si>
  <si>
    <t>S-T4V-BM2013</t>
  </si>
  <si>
    <t>S-T4V-BM2014</t>
  </si>
  <si>
    <t>S-T4V-BM2015</t>
  </si>
  <si>
    <t>S-T4V-BM2016</t>
  </si>
  <si>
    <t>S-T4V-BM2017</t>
  </si>
  <si>
    <t>S-T4V-BM2018</t>
  </si>
  <si>
    <t>S-T4V-BM2019</t>
  </si>
  <si>
    <t>S-T4V-BM2020</t>
  </si>
  <si>
    <t>S-T4V-BM2021</t>
  </si>
  <si>
    <t>S-T4V-BM2022</t>
  </si>
  <si>
    <t>S-T4V-BM2023</t>
  </si>
  <si>
    <t>S-T4V-BM2024</t>
  </si>
  <si>
    <t>S-T4V-BM2025</t>
  </si>
  <si>
    <t>S-T4V-BM2026</t>
  </si>
  <si>
    <t>S-T4V-BM2027</t>
  </si>
  <si>
    <t>S-T4V-BM2028</t>
  </si>
  <si>
    <t>S-T4V-BM2029</t>
  </si>
  <si>
    <t>S-T4V-BM2030</t>
  </si>
  <si>
    <t>S-T4V-BM2031</t>
  </si>
  <si>
    <t>S-T4V-BM2032</t>
  </si>
  <si>
    <t>S-T4V-BM2033</t>
  </si>
  <si>
    <t>S-T4V-BM2034</t>
  </si>
  <si>
    <t>S-T4V-BM2040</t>
  </si>
  <si>
    <t>S-T4V-BM2041</t>
  </si>
  <si>
    <t>S-T4V-BM2042</t>
  </si>
  <si>
    <t>S-T4V-BM2043</t>
  </si>
  <si>
    <t>S-T4V-BM2044</t>
  </si>
  <si>
    <t>S-T4V-BM2047</t>
  </si>
  <si>
    <t>S-T4V-BM2048</t>
  </si>
  <si>
    <t>S-T4V-BM2049</t>
  </si>
  <si>
    <t>S-T4V-BM2050</t>
  </si>
  <si>
    <t>S-T4V-BM2051</t>
  </si>
  <si>
    <t>S-T4V-BM2052</t>
  </si>
  <si>
    <t>S-T4V-BM2053</t>
  </si>
  <si>
    <t>S-T4V-BM2054</t>
  </si>
  <si>
    <t>S-T4V-BM2055</t>
  </si>
  <si>
    <t>S-T4V-BM2057</t>
  </si>
  <si>
    <t>S-T4V-BM2059</t>
  </si>
  <si>
    <t>S-T4V-BM2060</t>
  </si>
  <si>
    <t>S-T4V-BM2061</t>
  </si>
  <si>
    <t>S-T4V-BM2062</t>
  </si>
  <si>
    <t>S-T4V-BM2063</t>
  </si>
  <si>
    <t>S-T4V-BM2064</t>
  </si>
  <si>
    <t>S-T4V-BM2065</t>
  </si>
  <si>
    <t>S-T4V-BM2067</t>
  </si>
  <si>
    <t>S-T4V-BM2068</t>
  </si>
  <si>
    <t>S-T4V-BM2069</t>
  </si>
  <si>
    <t>S-T4V-BM2070</t>
  </si>
  <si>
    <t>S-T4V-BM3040</t>
  </si>
  <si>
    <t>S-T4V-BM3041</t>
  </si>
  <si>
    <t>S-T4V-BM3042</t>
  </si>
  <si>
    <t>S-T4V-BM3043</t>
  </si>
  <si>
    <t>S-T4V-BM3044</t>
  </si>
  <si>
    <t>S-T4V-BM3045</t>
  </si>
  <si>
    <t>S-T4V-BM3046</t>
  </si>
  <si>
    <t>S-T4V-BM3047</t>
  </si>
  <si>
    <t>S-T4V-BM3048</t>
  </si>
  <si>
    <t>S-T4V-BM3049</t>
  </si>
  <si>
    <t>S-T4V-BM3050</t>
  </si>
  <si>
    <t>S-T4V-BM3051</t>
  </si>
  <si>
    <t>S-T4V-BM3052</t>
  </si>
  <si>
    <t>S-T4V-BM3053</t>
  </si>
  <si>
    <t>S-T4V-BM3054</t>
  </si>
  <si>
    <t>S-T4V-BM3055</t>
  </si>
  <si>
    <t>S-T4V-BM3056</t>
  </si>
  <si>
    <t>S-T4V-BM3057</t>
  </si>
  <si>
    <t>S-T4V-BM3058</t>
  </si>
  <si>
    <t>S-T4V-BM3059</t>
  </si>
  <si>
    <t>S-T4V-BM3060</t>
  </si>
  <si>
    <t>S-T4V-BM3061</t>
  </si>
  <si>
    <t>S-T4V-BM3062</t>
  </si>
  <si>
    <t>S-T4V-BM3063</t>
  </si>
  <si>
    <t>S-T4V-BM3064</t>
  </si>
  <si>
    <t>S-T4V-BM3065</t>
  </si>
  <si>
    <t>S-T4V-BM3066</t>
  </si>
  <si>
    <t>S-T4V-BM3145</t>
  </si>
  <si>
    <t>S-T4V-BM3146</t>
  </si>
  <si>
    <t>S-T4V-BM3236</t>
  </si>
  <si>
    <t>S-T4V-BM3237</t>
  </si>
  <si>
    <t>S-T4V-BM3238</t>
  </si>
  <si>
    <t>S-T4V-BM3239</t>
  </si>
  <si>
    <t>S-T4V-BM3240</t>
  </si>
  <si>
    <t>S-T4V-BM3241</t>
  </si>
  <si>
    <t>S-T4V-BM3242</t>
  </si>
  <si>
    <t>S-T4V-BM3243</t>
  </si>
  <si>
    <t>S-T4V-BM3244</t>
  </si>
  <si>
    <t>S-T4V-BM3245</t>
  </si>
  <si>
    <t>S-T4V-BM3246</t>
  </si>
  <si>
    <t>S-T4V-BM3247</t>
  </si>
  <si>
    <t>S-T4V-BM3248</t>
  </si>
  <si>
    <t>S-T4V-BM3249</t>
  </si>
  <si>
    <t>S-T4V-BM3250</t>
  </si>
  <si>
    <t>S-T4V-BM3251</t>
  </si>
  <si>
    <t>S-T4V-BM3252</t>
  </si>
  <si>
    <t>S-T4V-BM3253</t>
  </si>
  <si>
    <t>S-T4V-BM3254</t>
  </si>
  <si>
    <t>S-T4V-BM3255</t>
  </si>
  <si>
    <t>S-T4V-BM3264</t>
  </si>
  <si>
    <t>S-T4V-BM3265</t>
  </si>
  <si>
    <t>S-T4V-BM3266</t>
  </si>
  <si>
    <t>S-T4V-BM3267</t>
  </si>
  <si>
    <t>S-T4V-SB0105</t>
  </si>
  <si>
    <t>BBS of top Reinforcement for SSL01  (Sheet 2)</t>
  </si>
  <si>
    <t>S-T4V-SB0301</t>
  </si>
  <si>
    <t>S-T4V-SB0302</t>
  </si>
  <si>
    <t>S-T4V-SB0303</t>
  </si>
  <si>
    <t>S-T4V-SB0304</t>
  </si>
  <si>
    <t>S-T4V-SB0602</t>
  </si>
  <si>
    <t>S-T4V-SB0604</t>
  </si>
  <si>
    <t xml:space="preserve">BBS FOR SLAB REINF. OF L30 PORTION OF SSL 06, 07 &amp; 08 </t>
  </si>
  <si>
    <t>S-T4V-SB1001</t>
  </si>
  <si>
    <t>S-T4V-SB1002</t>
  </si>
  <si>
    <t>S-T4V-SB1003</t>
  </si>
  <si>
    <t>S-T4V-SB1004</t>
  </si>
  <si>
    <t>S-T4V-SB1005</t>
  </si>
  <si>
    <t>S-T4V-SB1006</t>
  </si>
  <si>
    <t>S-T4V-SB1008</t>
  </si>
  <si>
    <t>S-T4V-SB2801</t>
  </si>
  <si>
    <t>S-T4V-SB2802</t>
  </si>
  <si>
    <t>S-T4V-SB2803</t>
  </si>
  <si>
    <t>S-T4V-SB2804</t>
  </si>
  <si>
    <t>S-T4V-SB2805</t>
  </si>
  <si>
    <t>S-T4V-SL0202</t>
  </si>
  <si>
    <t>C20 Portion-Sleeves Reinf. Details for SSL02 to SSL28 (Sheet 2)</t>
  </si>
  <si>
    <t>S-T4V-SL0601</t>
  </si>
  <si>
    <t>S-T4V-SL0602</t>
  </si>
  <si>
    <t>S-T5V-FP0401</t>
  </si>
  <si>
    <t>S-T5V-FP0601</t>
  </si>
  <si>
    <t>S-T5V-FP0801</t>
  </si>
  <si>
    <t>S-T6V-FP0401</t>
  </si>
  <si>
    <t>S-T6V-FP0601</t>
  </si>
  <si>
    <t>S-T6V-FP0801</t>
  </si>
  <si>
    <t>S-T5V-BM0104</t>
  </si>
  <si>
    <t>S-T5V-BM0106</t>
  </si>
  <si>
    <t>S-T5V-BM0108</t>
  </si>
  <si>
    <t>S-T5V-BM0110</t>
  </si>
  <si>
    <t>S-T5V-BM0112</t>
  </si>
  <si>
    <t>S-T5V-BM0113</t>
  </si>
  <si>
    <t>S-T5V-BM0115</t>
  </si>
  <si>
    <t>S-T5V-BM0116</t>
  </si>
  <si>
    <t>S-T5V-BM0117</t>
  </si>
  <si>
    <t>S-T5V-BM0121</t>
  </si>
  <si>
    <t>S-T5V-BM0123</t>
  </si>
  <si>
    <t>S-T5V-BM0126</t>
  </si>
  <si>
    <t>S-T5V-BM0127</t>
  </si>
  <si>
    <t>S-T5V-BM0128</t>
  </si>
  <si>
    <t>S-T5V-BM0130</t>
  </si>
  <si>
    <t>S-T5V-BM0131</t>
  </si>
  <si>
    <t>S-T5V-BM0132</t>
  </si>
  <si>
    <t>S-T5V-BM0134</t>
  </si>
  <si>
    <t>S-T5V-BM0135</t>
  </si>
  <si>
    <t>S-T5V-BM0137</t>
  </si>
  <si>
    <t>S-T5V-BM0138</t>
  </si>
  <si>
    <t>S-T5V-BM0139</t>
  </si>
  <si>
    <t>S-T5V-BM0140</t>
  </si>
  <si>
    <t>S-T5V-BM0142</t>
  </si>
  <si>
    <t>S-T5V-BM0144</t>
  </si>
  <si>
    <t>S-T5V-BM0145</t>
  </si>
  <si>
    <t>S-T5V-BM0148</t>
  </si>
  <si>
    <t>S-T5V-BM0149</t>
  </si>
  <si>
    <t>S-T5V-BM0150</t>
  </si>
  <si>
    <t>S-T5V-BM0152</t>
  </si>
  <si>
    <t>S-T5V-BM0153</t>
  </si>
  <si>
    <t>S-T5V-BM0154</t>
  </si>
  <si>
    <t>S-T5V-BM0158</t>
  </si>
  <si>
    <t>S-T5V-BM0237</t>
  </si>
  <si>
    <t>S-T5V-BM0238</t>
  </si>
  <si>
    <t>S-T5V-BM0239</t>
  </si>
  <si>
    <t>S-T5V-BM0240</t>
  </si>
  <si>
    <t>S-T5V-BM0241</t>
  </si>
  <si>
    <t>S-T5V-BM0242</t>
  </si>
  <si>
    <t>S-T5V-BM0243</t>
  </si>
  <si>
    <t>S-T5V-BM0244</t>
  </si>
  <si>
    <t>BEAM B-47 REINFORCEMENT DETAIL(SSL2)</t>
  </si>
  <si>
    <t>S-T5V-BM0245</t>
  </si>
  <si>
    <t>BEAM B-48 REINFORCEMENT DETAIL (SHEET 1) (SSL2)</t>
  </si>
  <si>
    <t>S-T5V-BM0246</t>
  </si>
  <si>
    <t>BEAM B-48 REINFORCEMENT DETAIL (SHEET 2) (SSL2)</t>
  </si>
  <si>
    <t>S-T5V-BM0247</t>
  </si>
  <si>
    <t>BEAM B-49 REINFORCEMENT DETAIL(SSL2)</t>
  </si>
  <si>
    <t>S-T5V-BM0248</t>
  </si>
  <si>
    <t>BEAM B-51 REINFORCEMENT DETAIL (SHEET 1) (SSL2)</t>
  </si>
  <si>
    <t>S-T5V-BM0249</t>
  </si>
  <si>
    <t>BEAM B-51 REINFORCEMENT DETAIL (SHEET 2) (SSL2)</t>
  </si>
  <si>
    <t>S-T5V-BM0250</t>
  </si>
  <si>
    <t>BEAM B-52 REINFORCEMENT DETAIL (SHEET 1) (SSL2)</t>
  </si>
  <si>
    <t>S-T5V-BM0251</t>
  </si>
  <si>
    <t>BEAM B-52 REINFORCEMENT DETAIL (SHEET 2) (SSL2)</t>
  </si>
  <si>
    <t>S-T5V-BM0252</t>
  </si>
  <si>
    <t>BEAM B-53 REINFORCEMENT DETAIL (SHEET 1) (SSL2)</t>
  </si>
  <si>
    <t>S-T5V-BM0253</t>
  </si>
  <si>
    <t>BEAM B-53 REINFORCEMENT DETAIL (SHEET 2) (SSL2)</t>
  </si>
  <si>
    <t>S-T5V-BM0254</t>
  </si>
  <si>
    <t>BEAM B-54 REINFORCEMENT DETAIL (SHEET 1) (SSL2)</t>
  </si>
  <si>
    <t>S-T5V-BM0255</t>
  </si>
  <si>
    <t>BEAM B-54 REINFORCEMENT DETAIL (SHEET 2) (SSL2)</t>
  </si>
  <si>
    <t>S-T5V-BM0256</t>
  </si>
  <si>
    <t>BEAM B-54 REINFORCEMENT DETAIL (SHEET 3) (SSL2)</t>
  </si>
  <si>
    <t>S-T5V-BM0257</t>
  </si>
  <si>
    <t>BEAM B-54 REINFORCEMENT DETAIL (SHEET 4) (SSL2)</t>
  </si>
  <si>
    <t>S-T5V-BM0258</t>
  </si>
  <si>
    <t>BEAM B-55 &amp; 56 REINFORCEMENT DETAIL(SSL2)</t>
  </si>
  <si>
    <t>S-T5V-BM0259</t>
  </si>
  <si>
    <t>BEAM B-57 REINFORCEMENT DETAIL(SSL2)</t>
  </si>
  <si>
    <t>S-T5V-BM0260</t>
  </si>
  <si>
    <t>BEAM B-58 REINFORCEMENT DETAIL(SSL2)</t>
  </si>
  <si>
    <t>S-T5V-BM0261</t>
  </si>
  <si>
    <t>BEAM B-59 REINFORCEMENT DETAIL(SSL2)</t>
  </si>
  <si>
    <t>S-T5V-BM0262</t>
  </si>
  <si>
    <t>BEAM B-60 REINFORCEMENT DETAIL(SSL2)</t>
  </si>
  <si>
    <t>S-T5V-BM0263</t>
  </si>
  <si>
    <t>BEAM B-61 REINFORCEMENT DETAIL(SSL2)</t>
  </si>
  <si>
    <t>S-T5V-BM0264</t>
  </si>
  <si>
    <t>BEAM B-62 REINFORCEMENT DETAIL(SSL2)</t>
  </si>
  <si>
    <t>S-T5V-BM0265</t>
  </si>
  <si>
    <t>BEAM B-63 REINFORCEMENT DETAIL(SSL2)</t>
  </si>
  <si>
    <t>S-T5V-BM0266</t>
  </si>
  <si>
    <t>BEAM B-64 REINFORCEMENT DETAIL(SSL2)</t>
  </si>
  <si>
    <t>S-T5V-BM0267</t>
  </si>
  <si>
    <t>BEAM B-65 REINFORCEMENT DETAIL(SSL2)</t>
  </si>
  <si>
    <t>S-T5V-BM0268</t>
  </si>
  <si>
    <t>BEAM B-66 REINFORCEMENT DETAIL(SSL2)</t>
  </si>
  <si>
    <t>S-T5V-BM0269</t>
  </si>
  <si>
    <t>BEAM B-67 REINFORCEMENT DETAIL(SSL2)</t>
  </si>
  <si>
    <t>S-T5V-BM0270</t>
  </si>
  <si>
    <t>BEAM B-68 REINFORCEMENT DETAIL(SSL2)</t>
  </si>
  <si>
    <t>S-T5V-BM0271</t>
  </si>
  <si>
    <t>BEAM B-69 REINFORCEMENT DETAIL(SSL2)</t>
  </si>
  <si>
    <t>S-T5V-BM0272</t>
  </si>
  <si>
    <t>BEAM B-70 REINFORCEMENT DETAIL(SSL2)</t>
  </si>
  <si>
    <t>S-T5V-BM0273</t>
  </si>
  <si>
    <t>BEAM B-71 REINFORCEMENT DETAIL(SSL2)</t>
  </si>
  <si>
    <t>S-T5V-BM0274</t>
  </si>
  <si>
    <t>BEAM B-72 REINFORCEMENT DETAIL(SSL2)</t>
  </si>
  <si>
    <t>S-T5V-BM0275</t>
  </si>
  <si>
    <t>BEAM B-73 REINFORCEMENT DETAIL(SSL2)</t>
  </si>
  <si>
    <t>S-T5V-BM0301</t>
  </si>
  <si>
    <t>S-T5V-BM0303</t>
  </si>
  <si>
    <t>S-T5V-BM0306</t>
  </si>
  <si>
    <t>S-T5V-BM0308</t>
  </si>
  <si>
    <t>S-T5V-BM0310</t>
  </si>
  <si>
    <t>S-T5V-BM0312</t>
  </si>
  <si>
    <t>S-T5V-BM0314</t>
  </si>
  <si>
    <t>S-T5V-BM0316</t>
  </si>
  <si>
    <t>S-T5V-BM0319</t>
  </si>
  <si>
    <t>S-T5V-BM0321</t>
  </si>
  <si>
    <t>S-T5V-BM0323</t>
  </si>
  <si>
    <t>S-T5V-BM0325</t>
  </si>
  <si>
    <t>S-T5V-BM0327</t>
  </si>
  <si>
    <t>S-T5V-BM0503</t>
  </si>
  <si>
    <t>S-T5V-BM0505</t>
  </si>
  <si>
    <t>S-T5V-BM0601</t>
  </si>
  <si>
    <t>S-T5V-BM0602</t>
  </si>
  <si>
    <t>S-T5V-BM0603</t>
  </si>
  <si>
    <t>S-T5V-BM0604</t>
  </si>
  <si>
    <t>S-T5V-BM0605</t>
  </si>
  <si>
    <t>S-T5V-BM0606</t>
  </si>
  <si>
    <t>S-T5V-BM0607</t>
  </si>
  <si>
    <t>S-T5V-BM0608</t>
  </si>
  <si>
    <t>S-T5V-BM0609</t>
  </si>
  <si>
    <t>S-T5V-BM0610</t>
  </si>
  <si>
    <t>S-T5V-BM0612</t>
  </si>
  <si>
    <t>S-T5V-BM0613</t>
  </si>
  <si>
    <t>S-T5V-BM0615</t>
  </si>
  <si>
    <t>S-T5V-BM0616</t>
  </si>
  <si>
    <t>S-T5V-BM0617</t>
  </si>
  <si>
    <t>S-T5V-BM0618</t>
  </si>
  <si>
    <t>S-T5V-BM0619</t>
  </si>
  <si>
    <t>S-T5V-BM0620</t>
  </si>
  <si>
    <t>S-T5V-BM0621</t>
  </si>
  <si>
    <t>S-T5V-BM0622</t>
  </si>
  <si>
    <t>S-T5V-BM0623</t>
  </si>
  <si>
    <t>S-T5V-BM1047</t>
  </si>
  <si>
    <t>S-T5V-BM1048</t>
  </si>
  <si>
    <t>S-T5V-BM1055</t>
  </si>
  <si>
    <t>S-T5V-BM1057</t>
  </si>
  <si>
    <t>S-T5V-BM1065</t>
  </si>
  <si>
    <t>S-T5V-BM1070</t>
  </si>
  <si>
    <t>S-T5V-BM1071</t>
  </si>
  <si>
    <t>S-T5V-BM2001</t>
  </si>
  <si>
    <t>S-T5V-BM2002</t>
  </si>
  <si>
    <t>S-T5V-BM2003</t>
  </si>
  <si>
    <t>S-T5V-BM2004</t>
  </si>
  <si>
    <t>S-T5V-BM2005</t>
  </si>
  <si>
    <t>S-T5V-BM2006</t>
  </si>
  <si>
    <t>S-T5V-BM2007</t>
  </si>
  <si>
    <t>S-T5V-BM2008</t>
  </si>
  <si>
    <t>S-T5V-BM2009</t>
  </si>
  <si>
    <t>S-T5V-BM2010</t>
  </si>
  <si>
    <t>S-T5V-BM2011</t>
  </si>
  <si>
    <t>S-T5V-BM2012</t>
  </si>
  <si>
    <t>S-T5V-BM2013</t>
  </si>
  <si>
    <t>S-T5V-BM2014</t>
  </si>
  <si>
    <t>S-T5V-BM2015</t>
  </si>
  <si>
    <t>S-T5V-BM2016</t>
  </si>
  <si>
    <t>S-T5V-BM2017</t>
  </si>
  <si>
    <t>S-T5V-BM2018</t>
  </si>
  <si>
    <t>S-T5V-BM2019</t>
  </si>
  <si>
    <t>S-T5V-BM2020</t>
  </si>
  <si>
    <t>S-T5V-BM2021</t>
  </si>
  <si>
    <t>S-T5V-BM2022</t>
  </si>
  <si>
    <t>S-T5V-BM2023</t>
  </si>
  <si>
    <t>S-T5V-BM2024</t>
  </si>
  <si>
    <t>S-T5V-BM2025</t>
  </si>
  <si>
    <t>S-T5V-BM2026</t>
  </si>
  <si>
    <t>S-T5V-BM2027</t>
  </si>
  <si>
    <t>S-T5V-BM2028</t>
  </si>
  <si>
    <t>S-T5V-BM2029</t>
  </si>
  <si>
    <t>S-T5V-BM2030</t>
  </si>
  <si>
    <t>S-T5V-BM2031</t>
  </si>
  <si>
    <t>S-T5V-BM2032</t>
  </si>
  <si>
    <t>S-T5V-BM2033</t>
  </si>
  <si>
    <t>S-T5V-BM2034</t>
  </si>
  <si>
    <t>S-T5V-BM2035</t>
  </si>
  <si>
    <t>BEAM B-36 &amp; B-37 REINFORCEMENT DETAIL(SSL20 TO SSL30)</t>
  </si>
  <si>
    <t>S-T5V-BM2040</t>
  </si>
  <si>
    <t>S-T5V-BM2041</t>
  </si>
  <si>
    <t>S-T5V-BM2042</t>
  </si>
  <si>
    <t>S-T5V-BM2043</t>
  </si>
  <si>
    <t>S-T5V-BM2044</t>
  </si>
  <si>
    <t>S-T5V-BM2047</t>
  </si>
  <si>
    <t>S-T5V-BM2048</t>
  </si>
  <si>
    <t>S-T5V-BM2049</t>
  </si>
  <si>
    <t>S-T5V-BM2050</t>
  </si>
  <si>
    <t>S-T5V-BM2051</t>
  </si>
  <si>
    <t>S-T5V-BM2052</t>
  </si>
  <si>
    <t>S-T5V-BM2053</t>
  </si>
  <si>
    <t>S-T5V-BM2054</t>
  </si>
  <si>
    <t>S-T5V-BM2055</t>
  </si>
  <si>
    <t>S-T5V-BM2057</t>
  </si>
  <si>
    <t>S-T5V-BM2059</t>
  </si>
  <si>
    <t>S-T5V-BM2060</t>
  </si>
  <si>
    <t>S-T5V-BM2061</t>
  </si>
  <si>
    <t>S-T5V-BM2062</t>
  </si>
  <si>
    <t>S-T5V-BM2063</t>
  </si>
  <si>
    <t>S-T5V-BM2064</t>
  </si>
  <si>
    <t>S-T5V-BM2065</t>
  </si>
  <si>
    <t>S-T5V-BM2067</t>
  </si>
  <si>
    <t>S-T5V-BM2068</t>
  </si>
  <si>
    <t>S-T5V-BM2069</t>
  </si>
  <si>
    <t>S-T5V-BM2070</t>
  </si>
  <si>
    <t>S-T5V-BM3040</t>
  </si>
  <si>
    <t>S-T5V-BM3041</t>
  </si>
  <si>
    <t>S-T5V-BM3042</t>
  </si>
  <si>
    <t>S-T5V-BM3043</t>
  </si>
  <si>
    <t>S-T5V-BM3044</t>
  </si>
  <si>
    <t>S-T5V-BM3045</t>
  </si>
  <si>
    <t>S-T5V-BM3046</t>
  </si>
  <si>
    <t>S-T5V-BM3047</t>
  </si>
  <si>
    <t>S-T5V-BM3048</t>
  </si>
  <si>
    <t>S-T5V-BM3049</t>
  </si>
  <si>
    <t>S-T5V-BM3050</t>
  </si>
  <si>
    <t>S-T5V-BM3051</t>
  </si>
  <si>
    <t>S-T5V-BM3052</t>
  </si>
  <si>
    <t>S-T5V-BM3053</t>
  </si>
  <si>
    <t>S-T5V-BM3054</t>
  </si>
  <si>
    <t>S-T5V-BM3055</t>
  </si>
  <si>
    <t>S-T5V-BM3056</t>
  </si>
  <si>
    <t>S-T5V-BM3057</t>
  </si>
  <si>
    <t>S-T5V-BM3058</t>
  </si>
  <si>
    <t>S-T5V-BM3059</t>
  </si>
  <si>
    <t>S-T5V-BM3060</t>
  </si>
  <si>
    <t>S-T5V-BM3061</t>
  </si>
  <si>
    <t>S-T5V-BM3062</t>
  </si>
  <si>
    <t>S-T5V-BM3063</t>
  </si>
  <si>
    <t>S-T5V-BM3064</t>
  </si>
  <si>
    <t>S-T5V-BM3065</t>
  </si>
  <si>
    <t>S-T5V-BM3066</t>
  </si>
  <si>
    <t>S-T5V-BM3145</t>
  </si>
  <si>
    <t>S-T5V-BM3146</t>
  </si>
  <si>
    <t>S-T5V-BM3236</t>
  </si>
  <si>
    <t>S-T5V-BM3237</t>
  </si>
  <si>
    <t>S-T5V-BM3238</t>
  </si>
  <si>
    <t>S-T5V-BM3239</t>
  </si>
  <si>
    <t>S-T5V-BM3240</t>
  </si>
  <si>
    <t>S-T5V-BM3241</t>
  </si>
  <si>
    <t>S-T5V-BM3242</t>
  </si>
  <si>
    <t>S-T5V-BM3243</t>
  </si>
  <si>
    <t>S-T5V-BM3244</t>
  </si>
  <si>
    <t>S-T5V-BM3245</t>
  </si>
  <si>
    <t>S-T5V-BM3246</t>
  </si>
  <si>
    <t>S-T5V-BM3247</t>
  </si>
  <si>
    <t>S-T5V-BM3248</t>
  </si>
  <si>
    <t>S-T5V-BM3249</t>
  </si>
  <si>
    <t>S-T5V-BM3250</t>
  </si>
  <si>
    <t>S-T5V-BM3251</t>
  </si>
  <si>
    <t>S-T5V-BM3252</t>
  </si>
  <si>
    <t>S-T5V-BM3253</t>
  </si>
  <si>
    <t>S-T5V-BM3254</t>
  </si>
  <si>
    <t>S-T5V-BM3255</t>
  </si>
  <si>
    <t>S-T5V-BM3264</t>
  </si>
  <si>
    <t>S-T5V-BM3265</t>
  </si>
  <si>
    <t>S-T5V-BM3266</t>
  </si>
  <si>
    <t>S-T5V-BM3267</t>
  </si>
  <si>
    <t>S-T5V-SB0105</t>
  </si>
  <si>
    <t>S-T5V-SB0301</t>
  </si>
  <si>
    <t>S-T5V-SB0302</t>
  </si>
  <si>
    <t>S-T5V-SB0303</t>
  </si>
  <si>
    <t>S-T5V-SB0304</t>
  </si>
  <si>
    <t>S-T5V-SB0602</t>
  </si>
  <si>
    <t>S-T5V-SB0604</t>
  </si>
  <si>
    <t>S-T5V-SB1001</t>
  </si>
  <si>
    <t>S-T5V-SB1002</t>
  </si>
  <si>
    <t>S-T5V-SB1003</t>
  </si>
  <si>
    <t>S-T5V-SB1004</t>
  </si>
  <si>
    <t>S-T5V-SB1005</t>
  </si>
  <si>
    <t>S-T5V-SB1006</t>
  </si>
  <si>
    <t>S-T5V-SB1008</t>
  </si>
  <si>
    <t>S-T5V-SB2801</t>
  </si>
  <si>
    <t>S-T5V-SB2802</t>
  </si>
  <si>
    <t>S-T5V-SB2803</t>
  </si>
  <si>
    <t>S-T5V-SB2804</t>
  </si>
  <si>
    <t>S-T5V-SB2805</t>
  </si>
  <si>
    <t>S-T5V-SL0202</t>
  </si>
  <si>
    <t>S-T5V-SL0303</t>
  </si>
  <si>
    <t>Sleeve Reinforcement Details of SSL 03(sheet-2)</t>
  </si>
  <si>
    <t>S-T5V-SL0601</t>
  </si>
  <si>
    <t>S-T5V-SL0602</t>
  </si>
  <si>
    <t>S-TXV-FP1001</t>
  </si>
  <si>
    <t>Framing Plan at SSL 10,12,14,16,18,20,22,24&amp;26</t>
  </si>
  <si>
    <t>S-TXV-FP1101</t>
  </si>
  <si>
    <t>Framing Plan at SSL 11,13,15,17,19,21,23,25,27 &amp;29</t>
  </si>
  <si>
    <t>S-TXV-SE1001</t>
  </si>
  <si>
    <t>SECTIONS AT SSL10</t>
  </si>
  <si>
    <t>S-TXV-FP3201</t>
  </si>
  <si>
    <t>S-TXV-CB0002</t>
  </si>
  <si>
    <t>Connecting Bridge Detail B/W Stepped &amp; Vertical Towers(SSL3 &amp; SSL4)</t>
  </si>
  <si>
    <t>S-TXV-BM3201</t>
  </si>
  <si>
    <t>BEAM B40 REINFORCEMENT DETAIL</t>
  </si>
  <si>
    <t>S-TXV-BM3204</t>
  </si>
  <si>
    <t>BEAM B44 REINFORCEMENT DETAIL</t>
  </si>
  <si>
    <t>S-TXV-BM3206</t>
  </si>
  <si>
    <t>BEAM B48 REINFORCEMENT DETAIL</t>
  </si>
  <si>
    <t>S-TXV-BM3208</t>
  </si>
  <si>
    <t>BEAM B50 REINFORCEMENT DETAIL</t>
  </si>
  <si>
    <t>S-TXV-BM3210</t>
  </si>
  <si>
    <t>BEAM B52 REINFORCEMENT DETAIL</t>
  </si>
  <si>
    <t>S-TXV-CP0001</t>
  </si>
  <si>
    <t>CONNECTING PERGOLA DETAILS BETWEEN T2V&amp;T3V, T3V&amp;T4V, T4V&amp;T5V, T5V&amp;T6V (SSL 09, 13, 21 &amp; 25)</t>
  </si>
  <si>
    <t>S-TXV-SB3201</t>
  </si>
  <si>
    <t>PLAN SHOWING BOTTOM REINF. DETAIL (SSL32)</t>
  </si>
  <si>
    <t>S-TXV-SB3202</t>
  </si>
  <si>
    <t>PLAN SHOWING TOP REINF. DETAIL (SSL32)</t>
  </si>
  <si>
    <t>S-TXV-SB3203</t>
  </si>
  <si>
    <t>BBS OF TOP &amp; BOTTOM REINFORCEMENT (SSL32)</t>
  </si>
  <si>
    <t>S-TXV-SB3205</t>
  </si>
  <si>
    <t>SECTIONS OF WAFFLE SLAB (SSL32)</t>
  </si>
  <si>
    <t>S-TXV-SB3206</t>
  </si>
  <si>
    <t>TYP BEAM DETAILS FOR WAFFLE SLAB (SSL32)</t>
  </si>
  <si>
    <t>S-TXV-SB3207</t>
  </si>
  <si>
    <t>PERGOLA DETAILS (SSL32)</t>
  </si>
  <si>
    <t>S-TXV-SL0701</t>
  </si>
  <si>
    <t>L30 Portion Plan showing sleeve locations at SSL07 &amp; 08</t>
  </si>
  <si>
    <t>S-TXV-SL0702</t>
  </si>
  <si>
    <t>L30 Portion - Sleeves Reinforcement details for SSL07 &amp; 08</t>
  </si>
  <si>
    <t>S-TXV-SL1001</t>
  </si>
  <si>
    <t>L30 PORTION PLAN SHOWING SLEEVES (SSL10 TO SSL28)</t>
  </si>
  <si>
    <t>S-TXV-SL1002</t>
  </si>
  <si>
    <t>L30 PORTION-SLEEVES REINF. DETAILS FOR SSL10 TO SSL28</t>
  </si>
  <si>
    <t>S-TXV-SL3201</t>
  </si>
  <si>
    <t>L30 PORTION PLAN SHOWING SLEEVES (SSL32)</t>
  </si>
  <si>
    <t>S-TXV-SL3202</t>
  </si>
  <si>
    <t>L30 PORTION-SLEEVES REINF. DETAILS FOR SSL32</t>
  </si>
  <si>
    <t>S-T3V-FP0301</t>
  </si>
  <si>
    <t>Framing Plan at SSL03</t>
  </si>
  <si>
    <t>S-T3V-FP0501</t>
  </si>
  <si>
    <t>Framing Plan at SSL05</t>
  </si>
  <si>
    <t>ST-TXV-6</t>
  </si>
  <si>
    <t>S-T3V-FP0701</t>
  </si>
  <si>
    <t>Framing Plan at SSL07</t>
  </si>
  <si>
    <t>S-T3V-FP0901</t>
  </si>
  <si>
    <t>Framing plan at SSL09</t>
  </si>
  <si>
    <t>S-T3V-SE0201</t>
  </si>
  <si>
    <t>Sections for SSL-2 to SSL-11 (Sheet 1)</t>
  </si>
  <si>
    <t>S-T3V-SE0203</t>
  </si>
  <si>
    <t>Sections for SSL-2 to SSL-11 (Sheet 3)</t>
  </si>
  <si>
    <t>S-T3V-BM0103</t>
  </si>
  <si>
    <t>Beam B-03  Reinforcement Detail</t>
  </si>
  <si>
    <t>S-T3V-BM0105</t>
  </si>
  <si>
    <t xml:space="preserve">Beam B-05 Reinforcement Details </t>
  </si>
  <si>
    <t>S-T3V-BM0107</t>
  </si>
  <si>
    <t xml:space="preserve">Beam B-07 Reinforcement Details </t>
  </si>
  <si>
    <t>S-T3V-BM0109</t>
  </si>
  <si>
    <t>Beam B-09 Reinforcement Detail</t>
  </si>
  <si>
    <t>S-T3V-BM0111</t>
  </si>
  <si>
    <t>Beam B-11  Reinforcement Detail</t>
  </si>
  <si>
    <t>S-T3V-BM0114</t>
  </si>
  <si>
    <t xml:space="preserve">Beam B-15 &amp; B -17 Reinforcement Details  </t>
  </si>
  <si>
    <t>S-T3V-BM0118</t>
  </si>
  <si>
    <t xml:space="preserve">Beam B-21 Reinforcement Details </t>
  </si>
  <si>
    <t>S-T3V-BM0119</t>
  </si>
  <si>
    <t xml:space="preserve">Beam B-22 &amp; B-23 Reinforcement Details </t>
  </si>
  <si>
    <t>S-T3V-BM0120</t>
  </si>
  <si>
    <t xml:space="preserve">Beam B-61 Reinforcement Details </t>
  </si>
  <si>
    <t>S-T3V-BM0122</t>
  </si>
  <si>
    <t xml:space="preserve">Beam B-25 Reinforcement Details </t>
  </si>
  <si>
    <t>S-T3V-BM0124</t>
  </si>
  <si>
    <t>Beam B-27a Reinforcement Detail</t>
  </si>
  <si>
    <t>S-T3V-BM0125</t>
  </si>
  <si>
    <t>Beam B-27b Reinforcement Detail</t>
  </si>
  <si>
    <t>S-T3V-BM0133</t>
  </si>
  <si>
    <t>Beam B-33  Reinforcement Detail</t>
  </si>
  <si>
    <t>S-T3V-BM0136</t>
  </si>
  <si>
    <t xml:space="preserve">Beam B-35&amp;B-37 Reinforcement Detail  </t>
  </si>
  <si>
    <t>S-T3V-BM0141</t>
  </si>
  <si>
    <t>Beam B-39 Reinforcement Detail</t>
  </si>
  <si>
    <t>S-T3V-BM0143</t>
  </si>
  <si>
    <t>Beam B-41  Reinforcement Detail</t>
  </si>
  <si>
    <t>S-T3V-BM0146</t>
  </si>
  <si>
    <t xml:space="preserve">Beam B-43a  Reinforcement Detail </t>
  </si>
  <si>
    <t>S-T3V-BM0147</t>
  </si>
  <si>
    <t xml:space="preserve">Beam B-43b  Reinforcement Detail </t>
  </si>
  <si>
    <t>S-T3V-BM0151</t>
  </si>
  <si>
    <t xml:space="preserve">Beam B-47  Reinforcement Detail </t>
  </si>
  <si>
    <t>S-T3V-BM0155</t>
  </si>
  <si>
    <t xml:space="preserve">Beam B-55 Reinforcement Detail </t>
  </si>
  <si>
    <t>S-T3V-BM0156</t>
  </si>
  <si>
    <t xml:space="preserve">Beam B-57 Reinforcement Detail </t>
  </si>
  <si>
    <t>S-T3V-BM0157</t>
  </si>
  <si>
    <t xml:space="preserve">Beam B-58&amp;B-59  Reinforcement Detail </t>
  </si>
  <si>
    <t>S-T3V-BM0161</t>
  </si>
  <si>
    <t>Beam B-62 &amp; 63 Reinforcemnt Detail</t>
  </si>
  <si>
    <t>S-T3V-BM0201</t>
  </si>
  <si>
    <t>BEAM B-01 REINFORCEMENT DETAIL(SSL 2 TO SSL9)</t>
  </si>
  <si>
    <t>S-T3V-BM0202</t>
  </si>
  <si>
    <t>BEAM B-02 REINFORCEMENT DETAIL(SSL 2 TO SSL9)</t>
  </si>
  <si>
    <t>S-T3V-BM0203</t>
  </si>
  <si>
    <t>BEAM B-03 REINFORCEMENT DETAIL(SSL 2 TO SSL9)</t>
  </si>
  <si>
    <t>S-T3V-BM0204</t>
  </si>
  <si>
    <t>BEAM B-04 REINFORCEMENT DETAIL (Sheet 1 of 2)(SSL 2 TO SSL9)</t>
  </si>
  <si>
    <t>S-T3V-BM0205</t>
  </si>
  <si>
    <t xml:space="preserve">BEAM B-04 REINFORCEMENT DETAIL(Sheet 2 of 2)(SSL 2 TO SSL9) </t>
  </si>
  <si>
    <t>S-T3V-BM0206</t>
  </si>
  <si>
    <t>BEAM B-05 REINFORCEMENT DETAIL(SSL 2 TO SSL9)</t>
  </si>
  <si>
    <t>S-T3V-BM0207</t>
  </si>
  <si>
    <t>BEAM B-06 REINFORCEMENT DETAIL(SSL 2 TO SSL9)</t>
  </si>
  <si>
    <t>S-T3V-BM0208</t>
  </si>
  <si>
    <t>BEAM B-07 REINFORCEMENT DETAIL(SHEET 1 OF 2)(SSL 2 TO SSL9)</t>
  </si>
  <si>
    <t>S-T3V-BM0209</t>
  </si>
  <si>
    <t>BEAM B-07 REINFORCEMENT DETAIL(SHEET 2 OF 2)(SSL 2 TO SSL9)</t>
  </si>
  <si>
    <t>S-T3V-BM0210</t>
  </si>
  <si>
    <t>BEAM B-08 REINFORCEMENT DETAIL(SSL 2 TO SSL9)</t>
  </si>
  <si>
    <t>S-T3V-BM0211</t>
  </si>
  <si>
    <t>BEAM B-09 REINFORCEMENT DETAIL(SSL 2 TO SSL9)</t>
  </si>
  <si>
    <t>S-T3V-BM0212</t>
  </si>
  <si>
    <t>BEAM B-10 REINFORCEMENT DETAIL(SHEET 1 OF 2)(SSL 2 TO SSL9)</t>
  </si>
  <si>
    <t>S-T3V-BM0213</t>
  </si>
  <si>
    <t>BEAM B-10 REINFORCEMENT DETAIL(SHEET 2 OF 2)(SSL 2 TO SSL9)</t>
  </si>
  <si>
    <t>S-T3V-BM0214</t>
  </si>
  <si>
    <t>BEAM B-11 REINFORCEMENT DETAIL(SHEET 1 OF 2)(SSL 2 TO SSL9)</t>
  </si>
  <si>
    <t>S-T3V-BM0215</t>
  </si>
  <si>
    <t>BEAM B-11 REINFORCEMENT DETAIL(SHEET 2 OF 2)(SSL 2 TO SSL9)</t>
  </si>
  <si>
    <t>S-T3V-BM0216</t>
  </si>
  <si>
    <t>BEAM B-12 REINFORCEMENT DETAIL(SHEET 1 OF 2)(SSL 2 TO SSL9)</t>
  </si>
  <si>
    <t>S-T3V-BM0217</t>
  </si>
  <si>
    <t>BEAM B-12 REINFORCEMENT DETAIL(SHEET 2 OF 2)(SSL 2 TO SSL9)</t>
  </si>
  <si>
    <t>S-T3V-BM0218</t>
  </si>
  <si>
    <t>BEAM B-13 &amp; B-14 REINFORCEMENT DETAIL(SSL 2 TO SSL9)</t>
  </si>
  <si>
    <t>S-T3V-BM0219</t>
  </si>
  <si>
    <t>BEAM B-15 REINFORCEMENT DETAIL(SSL 2 TO SSL9)</t>
  </si>
  <si>
    <t>S-T3V-BM0220</t>
  </si>
  <si>
    <t>BEAM B-16 REINFORCEMENT DETAIL(SHEET 1 OF 2)(SSL 2 TO SSL9)</t>
  </si>
  <si>
    <t>S-T3V-BM0221</t>
  </si>
  <si>
    <t>BEAM B-16 REINFORCEMENT DETAIL(SHEET 2 OF 2)(SSL 2 TO SSL9)</t>
  </si>
  <si>
    <t>S-T3V-BM0222</t>
  </si>
  <si>
    <t>BEAM B-17 REINFORCEMENT DETAIL(SSL 2 TO SSL9)</t>
  </si>
  <si>
    <t>S-T3V-BM0223</t>
  </si>
  <si>
    <t>BEAM B-18 REINFORCEMENT DETAIL(SHEET 1 OF 2)(SSL 2 TO SSL9)</t>
  </si>
  <si>
    <t>S-T3V-BM0224</t>
  </si>
  <si>
    <t>BEAM B-18 REINFORCEMENT DETAIL(SHEET 2 OF 2)(SSL 2 TO SSL9)</t>
  </si>
  <si>
    <t>S-T3V-BM0225</t>
  </si>
  <si>
    <t>BEAM B-19 REINFORCEMENT DETAIL(SSL 2 TO SSL9)</t>
  </si>
  <si>
    <t>S-T3V-BM0226</t>
  </si>
  <si>
    <t>BEAM B-20 REINFORCEMENT DETAIL(SSL 2 TO SSL9)</t>
  </si>
  <si>
    <t>S-T3V-BM0227</t>
  </si>
  <si>
    <t>BEAM B-21 REINFORCEMENT DETAIL(SSL 2 TO SSL9)</t>
  </si>
  <si>
    <t>S-T3V-BM0228</t>
  </si>
  <si>
    <t>BEAM B-22 REINFORCEMENT DETAIL(SSL 2 TO SSL9)</t>
  </si>
  <si>
    <t>S-T3V-BM0229</t>
  </si>
  <si>
    <t>BEAM B-23 REINFORCEMENT DETAIL(SSL 2 TO SSL9)</t>
  </si>
  <si>
    <t>S-T3V-BM0230</t>
  </si>
  <si>
    <t>BEAM B-25, B-26 &amp; B-27 REINFORCEMENT DETAIL(SSL 2 TO SSL9)</t>
  </si>
  <si>
    <t>S-T3V-BM0231</t>
  </si>
  <si>
    <t>BEAM B-28 &amp; B-29 REINFORCEMENT DETAIL(SSL 2 TO SSL9)</t>
  </si>
  <si>
    <t>S-T3V-BM0232</t>
  </si>
  <si>
    <t>BEAM B-30 &amp; B-31 REINFORCEMENT DETAIL(SSL 2 TO SSL9)</t>
  </si>
  <si>
    <t>S-T3V-BM0233</t>
  </si>
  <si>
    <t>BEAM B-32 REINFORCEMENT DETAIL(SSL 2 TO SSL9)</t>
  </si>
  <si>
    <t>S-T3V-BM0234</t>
  </si>
  <si>
    <t>BEAM B-33 REINFORCEMENT DETAIL(SSL6 TO SSL9)</t>
  </si>
  <si>
    <t>S-T3V-BM0235</t>
  </si>
  <si>
    <t>BEAM B-34 &amp; B-35 REINFORCEMENT DETAIL(SSL 2 TO SSL27)</t>
  </si>
  <si>
    <t>S-T3V-BM0236</t>
  </si>
  <si>
    <t>BEAM CB-01 REINFORCEMENT DETAIL(SSL 2 TO SSL27)</t>
  </si>
  <si>
    <t>S-T3V-BM0246</t>
  </si>
  <si>
    <t>BEAM B-47 REINFORCEMENT DETAIL(SHEET 1 OF 2)(SSL3)</t>
  </si>
  <si>
    <t>S-T3V-BM0247</t>
  </si>
  <si>
    <t>BEAM B-47 REINFORCEMENT DETAIL(SHEET 2 OF 2)(SSL3)</t>
  </si>
  <si>
    <t>S-T3V-BM0250</t>
  </si>
  <si>
    <t>BEAM B-47 REINFORCEMENT DETAIL(SHEET 1 OF 2)(SSL5)</t>
  </si>
  <si>
    <t>S-T3V-BM0251</t>
  </si>
  <si>
    <t>BEAM B-47 REINFORCEMENT DETAIL(SHEET 2 OF 2)(SSL5)</t>
  </si>
  <si>
    <t>S-T3V-BM0252</t>
  </si>
  <si>
    <t>BEAM B-48 REINFORCEMENT DETAIL(SSL2 TO SSL5)</t>
  </si>
  <si>
    <t>S-T3V-BM0253</t>
  </si>
  <si>
    <t>BEAM B-49 REINFORCEMENT DETAIL(SHEET 1 OF 2)(SSL2 TO SSL5)</t>
  </si>
  <si>
    <t>S-T3V-BM0254</t>
  </si>
  <si>
    <t>BEAM B-49 REINFORCEMENT DETAIL(SHEET 2 OF 2)(SSL2 TO SSL5)</t>
  </si>
  <si>
    <t>S-T3V-BM0255</t>
  </si>
  <si>
    <t>BEAM B-50 REINFORCEMENT DETAIL(SHEET 1 OF 3)(SSL2 TO SSL5)</t>
  </si>
  <si>
    <t>S-T3V-BM0256</t>
  </si>
  <si>
    <t>BEAM B-50 REINFORCEMENT DETAIL(SHEET 2 OF 3)(SSL2 TO SSL5)</t>
  </si>
  <si>
    <t>S-T3V-BM0257</t>
  </si>
  <si>
    <t>BEAM B-50 REINFORCEMENT DETAIL(SHEET 3 OF 3)(SSL2 TO SSL5)</t>
  </si>
  <si>
    <t>S-T3V-BM0259</t>
  </si>
  <si>
    <t>BEAM B-51 REINFORCEMENT DETAIL(SHEET 1 OF 2)(SSL3)</t>
  </si>
  <si>
    <t>S-T3V-BM0260</t>
  </si>
  <si>
    <t>BEAM B-51 REINFORCEMENT DETAIL(SHEET 2 OF 2)(SSL3)</t>
  </si>
  <si>
    <t>S-T3V-BM0263</t>
  </si>
  <si>
    <t>BEAM B-51 REINFORCEMENT DETAIL(SSL5)</t>
  </si>
  <si>
    <t>S-T3V-BM0264</t>
  </si>
  <si>
    <t>BEAM B-52 &amp; B-53 REINFORCEMENT DETAIL(SSL2 TO SSL5)</t>
  </si>
  <si>
    <t>S-T3V-BM0265</t>
  </si>
  <si>
    <t>BEAM B-54 REINFORCEMENT DETAIL(SHEET 1 OF 2)(SSL2 TO SSL5)</t>
  </si>
  <si>
    <t>S-T3V-BM0266</t>
  </si>
  <si>
    <t>BEAM B-54 REINFORCEMENT DETAIL(SHEET 2 OF 2)(SSL2 TO SSL5)</t>
  </si>
  <si>
    <t>S-T3V-BM0267</t>
  </si>
  <si>
    <t>BEAM B-55 &amp; B-56 REINFORCEMENT DETAIL(SHEET 1 OF 2)(SSL2 TO SSL5)</t>
  </si>
  <si>
    <t>S-T3V-BM0268</t>
  </si>
  <si>
    <t>BEAM B-55 &amp; B-56 REINFORCEMENT DETAIL(SHEET 2 OF 2)(SSL2 TO SSL5)</t>
  </si>
  <si>
    <t>S-T3V-BM0269</t>
  </si>
  <si>
    <t>BEAM B-57 REINFORCEMENT DETAIL(SSL2 TO SSL5)</t>
  </si>
  <si>
    <t>S-T3V-BM0270</t>
  </si>
  <si>
    <t>BEAM B-58 REINFORCEMENT DETAIL(SHEET 1 OF 2)(SSL2 TO SSL5)</t>
  </si>
  <si>
    <t>S-T3V-BM0271</t>
  </si>
  <si>
    <t>BEAM B-58 REINFORCEMENT DETAIL(SHEET 2 OF 2)(SSL2 TO SSL5)</t>
  </si>
  <si>
    <t>S-T3V-BM0272</t>
  </si>
  <si>
    <t>BEAM B-59 &amp; B-60 REINFORCEMENT DETAIL(SSL2 TO SSL5)</t>
  </si>
  <si>
    <t>S-T3V-BM0273</t>
  </si>
  <si>
    <t>BEAM B-61 REINFORCEMENT DETAIL(SSL2 TO SSL5)</t>
  </si>
  <si>
    <t>S-T3V-BM0274</t>
  </si>
  <si>
    <t>BEAM B-62 REINFORCEMENT DETAIL(SHEET 1 OF 2)(SSL2 TO SSL5)</t>
  </si>
  <si>
    <t>S-T3V-BM0275</t>
  </si>
  <si>
    <t>BEAM B-62 REINFORCEMENT DETAIL(SHEET 2 OF 2)(SSL2 TO SSL5)</t>
  </si>
  <si>
    <t>S-T3V-BM0276</t>
  </si>
  <si>
    <t>BEAM B-63 REINFORCEMENT DETAIL(SSL2 TO SSL5)</t>
  </si>
  <si>
    <t>S-T3V-BM0277</t>
  </si>
  <si>
    <t>BEAM B-64 REINFORCEMENT DETAIL(SSL2 TO SSL5)</t>
  </si>
  <si>
    <t>S-T3V-BM0278</t>
  </si>
  <si>
    <t>BEAM B-65 &amp; B-66 REINFORCEMENT DETAIL(SHEET 1 OF 2)(SSL2 TO SSL5)</t>
  </si>
  <si>
    <t>S-T3V-BM0279</t>
  </si>
  <si>
    <t>BEAM B-65 &amp; B-66 REINFORCEMENT DETAIL(SHEET 2 OF 2)(SSL2 TO SSL5)</t>
  </si>
  <si>
    <t>S-T3V-BM0280</t>
  </si>
  <si>
    <t>BEAM B-67 REINFORCEMENT DETAIL(SSL2 TO SSL5)</t>
  </si>
  <si>
    <t>S-T3V-BM0281</t>
  </si>
  <si>
    <t>BEAM VB-01 REINFORCEMENT DETAIL(SSL3,5)</t>
  </si>
  <si>
    <t>S-T3V-BM0282</t>
  </si>
  <si>
    <t>BEAM B-71 &amp; B-72 REINFORCEMENT DETAIL(SSL2 TO SSL5)</t>
  </si>
  <si>
    <t>S-T3V-BM0302</t>
  </si>
  <si>
    <t>BEAM B-41a&amp;b REINFORCEMENT DETAIL</t>
  </si>
  <si>
    <t>S-T3V-BM0304</t>
  </si>
  <si>
    <t>BEAM B-43a REINFORCEMENT DETAIL</t>
  </si>
  <si>
    <t>S-T3V-BM0305</t>
  </si>
  <si>
    <t>BEAM B-43b REINFORCEMENT DETAIL</t>
  </si>
  <si>
    <t>S-T3V-BM0307</t>
  </si>
  <si>
    <t>BEAM B-45(SHEET 1) REINFORCEMENT DETAIL</t>
  </si>
  <si>
    <t>S-T3V-BM0309</t>
  </si>
  <si>
    <t>BEAM B-46(SHEET 1) REINFORCEMENT DETAIL</t>
  </si>
  <si>
    <t>S-T3V-BM0311</t>
  </si>
  <si>
    <t>BEAM B-47a&amp;b REINFORCEMENT DETAIL</t>
  </si>
  <si>
    <t>S-T3V-BM0313</t>
  </si>
  <si>
    <t>BEAM B-49(SHEET 1) REINFORCEMENT DETAIL</t>
  </si>
  <si>
    <t>S-T3V-BM0315</t>
  </si>
  <si>
    <t>BEAM B-49(SHEET 3) REINFORCEMENT DETAIL</t>
  </si>
  <si>
    <t>S-T3V-BM0317</t>
  </si>
  <si>
    <t>BEAM B-51a REINFORCEMENT DETAIL</t>
  </si>
  <si>
    <t>S-T3V-BM0318</t>
  </si>
  <si>
    <t>BEAM B-51b REINFORCEMENT DETAIL</t>
  </si>
  <si>
    <t>S-T3V-BM0320</t>
  </si>
  <si>
    <t>BEAM B-53a&amp;b REINFORCEMENT DETAIL</t>
  </si>
  <si>
    <t>S-T3V-BM0322</t>
  </si>
  <si>
    <t>BEAM B-55 REINFORCEMENT DETAIL</t>
  </si>
  <si>
    <t>S-T3V-BM0324</t>
  </si>
  <si>
    <t>BEAM B-57a&amp;b REINFORCEMENT DETAIL</t>
  </si>
  <si>
    <t>S-T3V-BM0326</t>
  </si>
  <si>
    <t>BEAM B-59a&amp;b REINFORCEMENT DETAIL</t>
  </si>
  <si>
    <t>S-T3V-BM0501</t>
  </si>
  <si>
    <t>BEAM B-40 &amp; 41 REINFORCEMENT DETAIL</t>
  </si>
  <si>
    <t>S-T3V-BM0502</t>
  </si>
  <si>
    <t>BEAM B-42, 43, 44 &amp; 45 REINFORCEMENT DETAIL</t>
  </si>
  <si>
    <t>S-T3V-BM0504</t>
  </si>
  <si>
    <t>BEAM B-47 REINFORCEMENT DETAIL</t>
  </si>
  <si>
    <t>S-T3V-BM0611</t>
  </si>
  <si>
    <t>BEAM B-56 REINFORCEMENT DETAIL (SSL06) (SHEET 1)</t>
  </si>
  <si>
    <t>S-T3V-BM0614</t>
  </si>
  <si>
    <t>BEAM B-56 REINFORCEMENT DETAIL (SSL07)</t>
  </si>
  <si>
    <t>S-T3V-BM0709</t>
  </si>
  <si>
    <t>BEAM B-51 REINFORCEMENT DETAIL(SSL07)</t>
  </si>
  <si>
    <t>S-T3V-BM0723</t>
  </si>
  <si>
    <t>BEAM VB-01 REINFORCEMENT DETAILS(SSL07)</t>
  </si>
  <si>
    <t>S-T3V-BM0901</t>
  </si>
  <si>
    <t>BEAM B-40-1 REINFORCEMENT DETAIL (SSL09)</t>
  </si>
  <si>
    <t>S-T3V-BM0902</t>
  </si>
  <si>
    <t>BEAM B-41 &amp; B-42 REINFORCEMENT DETAIL (SSL09)</t>
  </si>
  <si>
    <t>S-T3V-BM0903</t>
  </si>
  <si>
    <t>BEAM B-43-1 REINFORCEMENT DETAIL (SSL09)</t>
  </si>
  <si>
    <t>S-T3V-BM0904</t>
  </si>
  <si>
    <t>BEAM B-44 REINFORCEMENT DETAIL (SSL09)</t>
  </si>
  <si>
    <t>S-T3V-BM0905</t>
  </si>
  <si>
    <t>BEAM B-46 REINFORCEMENT DETAIL (SSL09)</t>
  </si>
  <si>
    <t>S-T3V-BM0906</t>
  </si>
  <si>
    <t>BEAM B-47 REINFORCEMENT DETAIL (SSL09)</t>
  </si>
  <si>
    <t>S-T3V-BM0907</t>
  </si>
  <si>
    <t>S-T3V-BM0908</t>
  </si>
  <si>
    <t>BEAM B-48 REINFORCEMENT DETAIL (SSL09)</t>
  </si>
  <si>
    <t>S-T3V-BM0909</t>
  </si>
  <si>
    <t>BEAM B-49 REINFORCEMENT DETAIL (SSL09)</t>
  </si>
  <si>
    <t>S-T3V-BM0910</t>
  </si>
  <si>
    <t>BEAM B-50 REINFORCEMENT DETAIL (SSL09)</t>
  </si>
  <si>
    <t>S-T3V-BM0911</t>
  </si>
  <si>
    <t>BEAM B-51 REINFORCEMENT DETAIL(SSL09)</t>
  </si>
  <si>
    <t>S-T3V-BM0912</t>
  </si>
  <si>
    <t>BEAM B-52 REINFORCEMENT DETAIL (SSL09)</t>
  </si>
  <si>
    <t>S-T3V-BM0913</t>
  </si>
  <si>
    <t>BEAM B-53 REINFORCEMENT DETAIL (SSL09)</t>
  </si>
  <si>
    <t>S-T3V-BM0914</t>
  </si>
  <si>
    <t>BEAM B-54 REINFORCEMENT DETAIL (SSL09)</t>
  </si>
  <si>
    <t>S-T3V-BM0915</t>
  </si>
  <si>
    <t>BEAM B-55 REINFORCEMENT DETAIL (SSL09)</t>
  </si>
  <si>
    <t>S-T3V-BM0916</t>
  </si>
  <si>
    <t>BEAM B-56 REINFORCEMENT DETAIL (SSL09)</t>
  </si>
  <si>
    <t>S-T3V-BM0917</t>
  </si>
  <si>
    <t>BEAM B-57 REINFORCEMENT DETAIL (SSL09)</t>
  </si>
  <si>
    <t>S-T3V-BM0918</t>
  </si>
  <si>
    <t>BEAM B-58 REINFORCEMENT DETAIL(SSL09)</t>
  </si>
  <si>
    <t>S-T3V-BM0919</t>
  </si>
  <si>
    <t>BEAM B-59 &amp; B-60 REINFORCEMENT DETAIL (SSL09)</t>
  </si>
  <si>
    <t>S-T3V-BM0920</t>
  </si>
  <si>
    <t>BEAM B-61 REINFORCEMENT DETAIL (SSL09)</t>
  </si>
  <si>
    <t>S-T3V-BM0921</t>
  </si>
  <si>
    <t>BEAM B-62 REINFORCEMENT DETAIL (SSL09)</t>
  </si>
  <si>
    <t>S-T3V-BM0922</t>
  </si>
  <si>
    <t>BEAM B-64 REINFORCEMENT DETAIL(SSL09)</t>
  </si>
  <si>
    <t>S-T3V-BM0923</t>
  </si>
  <si>
    <t>BEAM B-65 REINFORCEMENT DETAIL(SSL09)</t>
  </si>
  <si>
    <t>S-T3V-BM0924</t>
  </si>
  <si>
    <t>BEAM B-66 REINFORCEMENT DETAIL(SSL09)</t>
  </si>
  <si>
    <t>S-T3V-BM1001</t>
  </si>
  <si>
    <t>BEAM B-01 REINFORCEMENT DETAIL(SSL 10 TO SSL 19)</t>
  </si>
  <si>
    <t>S-T3V-BM1002</t>
  </si>
  <si>
    <t>BEAM B-02 REINFORCEMENT DETAIL(SSL 10 TO SSL 19)</t>
  </si>
  <si>
    <t>S-T3V-BM1003</t>
  </si>
  <si>
    <t>BEAM B-03 REINFORCEMENT DETAIL(SSL 10 TO SSL 19)</t>
  </si>
  <si>
    <t>S-T3V-BM1004</t>
  </si>
  <si>
    <t>BEAM B-04 REINFORCEMENT DETAIL (Sheet 1 of 2)(SSL 10 TO SSL 19)</t>
  </si>
  <si>
    <t>S-T3V-BM1005</t>
  </si>
  <si>
    <t xml:space="preserve">BEAM B-04 REINFORCEMENT DETAIL(Sheet 2 of 2)(SSL 10 TO SSL 19) </t>
  </si>
  <si>
    <t>S-T3V-BM1006</t>
  </si>
  <si>
    <t>BEAM B-05 REINFORCEMENT DETAIL(SSL 10 TO SSL 19)</t>
  </si>
  <si>
    <t>S-T3V-BM1007</t>
  </si>
  <si>
    <t>BEAM B-06 REINFORCEMENT DETAIL(SSL 10 TO SSL 19)</t>
  </si>
  <si>
    <t>S-T3V-BM1008</t>
  </si>
  <si>
    <t>BEAM B-07 REINFORCEMENT DETAIL(SHEET 1 OF 2)(SSL 10 TO SSL 19)</t>
  </si>
  <si>
    <t>S-T3V-BM1009</t>
  </si>
  <si>
    <t>BEAM B-07 REINFORCEMENT DETAIL(SHEET 2 OF 2)(SSL 10 TO SSL 19)</t>
  </si>
  <si>
    <t>S-T3V-BM1010</t>
  </si>
  <si>
    <t>BEAM B-08 REINFORCEMENT DETAIL(SSL 10 TO SSL 19)</t>
  </si>
  <si>
    <t>S-T3V-BM1011</t>
  </si>
  <si>
    <t>BEAM B-09 REINFORCEMENT DETAIL(SSL 10 TO SSL 19)</t>
  </si>
  <si>
    <t>S-T3V-BM1012</t>
  </si>
  <si>
    <t>BEAM B-10 REINFORCEMENT DETAIL(SHEET 1 OF 2)(SSL 10 TO SSL 19)</t>
  </si>
  <si>
    <t>S-T3V-BM1013</t>
  </si>
  <si>
    <t>BEAM B-10a&amp;b REINFORCEMENT DETAIL(SHEET 2 OF 2)(SSL 10 TO SSL 19)</t>
  </si>
  <si>
    <t>S-T3V-BM1014</t>
  </si>
  <si>
    <t>BEAM B-11 REINFORCEMENT DETAIL(SHEET 1 OF 2)(SSL 10 TO SSL 19)</t>
  </si>
  <si>
    <t>S-T3V-BM1015</t>
  </si>
  <si>
    <t>BEAM B-11 REINFORCEMENT DETAIL(SHEET 2 OF 2)(SSL 10 TO SSL 19)</t>
  </si>
  <si>
    <t>S-T3V-BM1016</t>
  </si>
  <si>
    <t>BEAM B-12 REINFORCEMENT DETAIL(SHEET 1 OF 2)(SSL 10 TO SSL 19)</t>
  </si>
  <si>
    <t>S-T3V-BM1017</t>
  </si>
  <si>
    <t>BEAM B-12 REINFORCEMENT DETAIL(SHEET 2 OF 2)(SSL 10 TO SSL 19)</t>
  </si>
  <si>
    <t>S-T3V-BM1018</t>
  </si>
  <si>
    <t>BEAM B-13 &amp; B-14 REINFORCEMENT DETAIL(SSL 10 TO SSL 19)</t>
  </si>
  <si>
    <t>S-T3V-BM1019</t>
  </si>
  <si>
    <t>BEAM B-15 REINFORCEMENT DETAIL(SSL 10 TO SSL 19)</t>
  </si>
  <si>
    <t>S-T3V-BM1020</t>
  </si>
  <si>
    <t>BEAM B-16 REINFORCEMENT DETAIL(SHEET 1 OF 2)(SSL 10 TO SSL 19)</t>
  </si>
  <si>
    <t>S-T3V-BM1021</t>
  </si>
  <si>
    <t>BEAM B-16 REINFORCEMENT DETAIL(SHEET 2 OF 2)(SSL 10 TO SSL 19)</t>
  </si>
  <si>
    <t>S-T3V-BM1022</t>
  </si>
  <si>
    <t>BEAM B-17 REINFORCEMENT DETAIL(SSL 10 TO SSL 19)</t>
  </si>
  <si>
    <t>S-T3V-BM1023</t>
  </si>
  <si>
    <t>BEAM B-18 REINFORCEMENT DETAIL(SHEET 1 OF 2)(SSL 10 TO SSL 19)</t>
  </si>
  <si>
    <t>S-T3V-BM1024</t>
  </si>
  <si>
    <t>BEAM B-18 REINFORCEMENT DETAIL(SHEET 2 OF 2)(SSL 10 TO SSL 19)</t>
  </si>
  <si>
    <t>S-T3V-BM1025</t>
  </si>
  <si>
    <t>BEAM B-19 REINFORCEMENT DETAIL(SSL 10 TO SSL 19)</t>
  </si>
  <si>
    <t>S-T3V-BM1026</t>
  </si>
  <si>
    <t>BEAM B-20 REINFORCEMENT DETAIL(SSL 10 TO SSL 19)</t>
  </si>
  <si>
    <t>S-T3V-BM1027</t>
  </si>
  <si>
    <t>BEAM B-21 REINFORCEMENT DETAIL(SSL 10 TO SSL 19)</t>
  </si>
  <si>
    <t>S-T3V-BM1028</t>
  </si>
  <si>
    <t>BEAM B-22 REINFORCEMENT DETAIL(SSL 10 TO SSL 19)</t>
  </si>
  <si>
    <t>S-T3V-BM1029</t>
  </si>
  <si>
    <t>BEAM B-23 REINFORCEMENT DETAIL(SSL 10 TO SSL 19)</t>
  </si>
  <si>
    <t>S-T3V-BM1030</t>
  </si>
  <si>
    <t>BEAM B-25, B-26 &amp; B-27 REINFORCEMENT DETAIL(SSL 10 TO SSL 19)</t>
  </si>
  <si>
    <t>S-T3V-BM1031</t>
  </si>
  <si>
    <t>BEAM B-28 &amp; B-29 REINFORCEMENT DETAIL(SSL 10 TO SSL 19)</t>
  </si>
  <si>
    <t>S-T3V-BM1032</t>
  </si>
  <si>
    <t>BEAM B-30 &amp; B-31 REINFORCEMENT DETAIL(SSL 10 TO SSL 19)</t>
  </si>
  <si>
    <t>S-T3V-BM1033</t>
  </si>
  <si>
    <t>BEAM B-32 REINFORCEMENT DETAIL(SSL 10 TO SSL 19)</t>
  </si>
  <si>
    <t>S-T3V-BM1034</t>
  </si>
  <si>
    <t>BEAM B-33 REINFORCEMENT DETAIL(SSL 10 TO SSL 19)</t>
  </si>
  <si>
    <t>S-T3V-BM1040</t>
  </si>
  <si>
    <t>BEAM B-40 REINFORCEMENT DETAIL(SSL10 TO SSL19)</t>
  </si>
  <si>
    <t>S-T3V-BM1041</t>
  </si>
  <si>
    <t>BEAM B-41 &amp; B-42 REINFORCEMENT DETAIL(SSL10 TO SSL19)</t>
  </si>
  <si>
    <t>S-T3V-BM1042</t>
  </si>
  <si>
    <t>BEAM B-43 REINFORCEMENT DETAIL(SSL10 TO SSL19)</t>
  </si>
  <si>
    <t>S-T3V-BM1043</t>
  </si>
  <si>
    <t>BEAM B-44 REINFORCEMENT DETAIL(SSL10 TO SSL19)</t>
  </si>
  <si>
    <t>S-T3V-BM1044</t>
  </si>
  <si>
    <t>BEAM B-45 REINFORCEMENT DETAIL(SSL10 TO SSL19)</t>
  </si>
  <si>
    <t>S-T3V-BM1045</t>
  </si>
  <si>
    <t>BEAM B-47 REINFORCEMENT DETAIL (SHEET 1 of 2) (SSL11, 13, 15, 17 &amp; 19)</t>
  </si>
  <si>
    <t>S-T3V-BM1046</t>
  </si>
  <si>
    <t>BEAM B-47 REINFORCEMENT DETAIL (SHEET 2 of 2) (SSL11, 13, 15, 17 &amp; 19)</t>
  </si>
  <si>
    <t>S-T3V-BM1049</t>
  </si>
  <si>
    <t>BEAM B-48 REINFORCEMENT DETAIL(SSL10 TO SSL19)</t>
  </si>
  <si>
    <t>S-T3V-BM1050</t>
  </si>
  <si>
    <t>BEAM B-49 REINFORCEMENT DETAIL(SSL10 TO SSL19)</t>
  </si>
  <si>
    <t>S-T3V-BM1051</t>
  </si>
  <si>
    <t>BEAM B-50 REINFORCEMENT DETAIL(SSL10 TO SSL19)</t>
  </si>
  <si>
    <t>S-T3V-BM1052</t>
  </si>
  <si>
    <t>BEAM B-51 REINFORCEMENT DETAIL(SSL10 TO SSL19)</t>
  </si>
  <si>
    <t>S-T3V-BM1053</t>
  </si>
  <si>
    <t>BEAM B-52 REINFORCEMENT DETAIL(SSL10 TO SSL19)</t>
  </si>
  <si>
    <t>S-T3V-BM1054</t>
  </si>
  <si>
    <t>BEAM B-53 REINFORCEMENT DETAIL(SSL10 TO SSL19)</t>
  </si>
  <si>
    <t>S-T3V-BM1056</t>
  </si>
  <si>
    <t>BEAM B-54 REINFORCEMENT DETAIL(SSL11, 13, 15, 17 &amp; 19)</t>
  </si>
  <si>
    <t>S-T3V-BM1058</t>
  </si>
  <si>
    <t>BEAM B-55 REINFORCEMENT DETAIL(SSL13 &amp; 17)</t>
  </si>
  <si>
    <t>S-T3V-BM1059</t>
  </si>
  <si>
    <t>BEAM B-56 REINFORCEMENT DETAIL(SSL10 TO SSL19)</t>
  </si>
  <si>
    <t>S-T3V-BM1060</t>
  </si>
  <si>
    <t>BEAM B-57 REINFORCEMENT DETAIL(SSL10 TO SSL19)</t>
  </si>
  <si>
    <t>S-T3V-BM1061</t>
  </si>
  <si>
    <t>BEAM B-58 REINFORCEMENT DETAIL(SSL10 TO SSL19)</t>
  </si>
  <si>
    <t>S-T3V-BM1062</t>
  </si>
  <si>
    <t>BEAM B-59 REINFORCEMENT DETAIL(SSL10 TO SSL19)</t>
  </si>
  <si>
    <t>S-T3V-BM1063</t>
  </si>
  <si>
    <t>BEAM B-60 &amp; B-61 REINFORCEMENT DETAIL(SSL10 TO SSL19)</t>
  </si>
  <si>
    <t>S-T3V-BM1064</t>
  </si>
  <si>
    <t>BEAM B-62 REINFORCEMENT DETAIL(SSL10 TO SSL19)</t>
  </si>
  <si>
    <t>S-T3V-BM1066</t>
  </si>
  <si>
    <t>BEAM B-63 REINFORCEMENT DETAIL(SSL11, 13, 15, 17 &amp; 19)</t>
  </si>
  <si>
    <t>S-T3V-BM1067</t>
  </si>
  <si>
    <t>BEAM B-64 REINFORCEMENT DETAIL(SSL10 TO SSL19)</t>
  </si>
  <si>
    <t>S-T3V-BM1068</t>
  </si>
  <si>
    <t>BEAM B-65 REINFORCEMENT DETAIL(SSL10 TO SSL19)</t>
  </si>
  <si>
    <t>S-T3V-BM1069</t>
  </si>
  <si>
    <t>BEAM B-66 REINFORCEMENT DETAIL(SSL10 TO SSL19)</t>
  </si>
  <si>
    <t>S-T3V-BM1072</t>
  </si>
  <si>
    <t>BEAM B-68 REINFORCEMENT DETAIL(SSL11, 13, 15, 17 &amp; 19)</t>
  </si>
  <si>
    <t>S-T3V-BM2045</t>
  </si>
  <si>
    <t>BEAM B-47 REINFORCEMENT DETAIL (SHEET 1 of 2) (SSL21, 23, 25 &amp; 27)</t>
  </si>
  <si>
    <t>S-T3V-BM2046</t>
  </si>
  <si>
    <t>BEAM B-47 REINFORCEMENT DETAIL (SHEET 2 of 2) (SSL21, 23, 25 &amp; 27)</t>
  </si>
  <si>
    <t>S-T3V-BM2056</t>
  </si>
  <si>
    <t>BEAM B-54 REINFORCEMENT DETAIL (SSL21, 23, 25 &amp; 27)</t>
  </si>
  <si>
    <t>S-T3V-BM2058</t>
  </si>
  <si>
    <t>BEAM B-55 REINFORCEMENT DETAIL(SSL23 &amp; 27)</t>
  </si>
  <si>
    <t>S-T3V-BM2066</t>
  </si>
  <si>
    <t>BEAM B-63 REINFORCEMENT DETAIL (SSL21, 23, 25 &amp; 27)</t>
  </si>
  <si>
    <t>S-T3V-BM2071</t>
  </si>
  <si>
    <t>BEAM B-68 REINFORCEMENT DETAIL(SSL21, 23, 25 &amp; 27)</t>
  </si>
  <si>
    <t>S-T3V-BM2036</t>
  </si>
  <si>
    <t>BEAM B-36 &amp; B-37 REINFORCEMENT DETAIL(SSL16 TO SSL19)</t>
  </si>
  <si>
    <t>S-T3V-BM2940</t>
  </si>
  <si>
    <t>BEAM B-40 REINFORCEMENT DETAIL(SSL29)</t>
  </si>
  <si>
    <t>S-T3V-BM2941</t>
  </si>
  <si>
    <t>BEAM B-41 &amp; B-42 REINFORCEMENT DETAIL(SSL29)</t>
  </si>
  <si>
    <t>S-T3V-BM2942</t>
  </si>
  <si>
    <t>BEAM B-43 REINFORCEMENT DETAIL(SSL29)</t>
  </si>
  <si>
    <t>S-T3V-BM2943</t>
  </si>
  <si>
    <t>BEAM B-44 REINFORCEMENT DETAIL(SSL29)</t>
  </si>
  <si>
    <t>S-T3V-BM2944</t>
  </si>
  <si>
    <t>BEAM B-45 REINFORCEMENT DETAIL(SSL29)</t>
  </si>
  <si>
    <t>S-T3V-BM2945</t>
  </si>
  <si>
    <t>BEAM B-47 REINFORCEMENT DETAIL (SHEET 1 of 2) (SSL29)</t>
  </si>
  <si>
    <t>S-T3V-BM2946</t>
  </si>
  <si>
    <t>BEAM B-47 REINFORCEMENT DETAIL (SHEET 2 of 2) (SSL29)</t>
  </si>
  <si>
    <t>S-T3V-BM2949</t>
  </si>
  <si>
    <t>BEAM B-48 REINFORCEMENT DETAIL(SSL29)</t>
  </si>
  <si>
    <t>S-T3V-BM2950</t>
  </si>
  <si>
    <t>BEAM B-49 REINFORCEMENT DETAIL(SSL29)</t>
  </si>
  <si>
    <t>S-T3V-BM2951</t>
  </si>
  <si>
    <t>BEAM B-50 REINFORCEMENT DETAIL(SSL29)</t>
  </si>
  <si>
    <t>S-T3V-BM2952</t>
  </si>
  <si>
    <t>BEAM B-51 REINFORCEMENT DETAIL(SSL29)</t>
  </si>
  <si>
    <t>S-T3V-BM2953</t>
  </si>
  <si>
    <t>BEAM B-52 REINFORCEMENT DETAIL(SSL29)</t>
  </si>
  <si>
    <t>S-T3V-BM2954</t>
  </si>
  <si>
    <t>BEAM B-53 REINFORCEMENT DETAIL(SSL29)</t>
  </si>
  <si>
    <t>S-T3V-BM2956</t>
  </si>
  <si>
    <t>BEAM B-54 REINFORCEMENT DETAIL (SSL29)</t>
  </si>
  <si>
    <t>S-T3V-BM2957</t>
  </si>
  <si>
    <t>BEAM B-55 REINFORCEMENT DETAIL(SSL29)</t>
  </si>
  <si>
    <t>S-T3V-BM2959</t>
  </si>
  <si>
    <t>BEAM B-56 REINFORCEMENT DETAIL(SSL29)</t>
  </si>
  <si>
    <t>S-T3V-BM2960</t>
  </si>
  <si>
    <t>BEAM B-57 REINFORCEMENT DETAIL(SSL29)</t>
  </si>
  <si>
    <t>S-T3V-BM2961</t>
  </si>
  <si>
    <t>BEAM B-58 REINFORCEMENT DETAIL(SSL29)</t>
  </si>
  <si>
    <t>S-T3V-BM2962</t>
  </si>
  <si>
    <t>BEAM B-59 REINFORCEMENT DETAIL(SSL29)</t>
  </si>
  <si>
    <t>S-T3V-BM2963</t>
  </si>
  <si>
    <t>BEAM B-60 &amp; B-61 REINFORCEMENT DETAIL(SSL29)</t>
  </si>
  <si>
    <t>S-T3V-BM2964</t>
  </si>
  <si>
    <t>BEAM B-62 REINFORCEMENT DETAIL(SSL29)</t>
  </si>
  <si>
    <t>S-T3V-BM2966</t>
  </si>
  <si>
    <t>BEAM B-63 REINFORCEMENT DETAIL (SSL29)</t>
  </si>
  <si>
    <t>S-T3V-BM2967</t>
  </si>
  <si>
    <t>BEAM B-64 REINFORCEMENT DETAIL(SSL29)</t>
  </si>
  <si>
    <t>S-T3V-BM2968</t>
  </si>
  <si>
    <t>BEAM B-65 REINFORCEMENT DETAIL(SSL29)</t>
  </si>
  <si>
    <t>S-T3V-BM2969</t>
  </si>
  <si>
    <t>BEAM B-66 REINFORCEMENT DETAIL(SSL29)</t>
  </si>
  <si>
    <t>S-T3V-BM2970</t>
  </si>
  <si>
    <t>BEAM B-67 REINFORCEMENT DETAIL(SSL29)</t>
  </si>
  <si>
    <t>S-T3V-BM2971</t>
  </si>
  <si>
    <t>BEAM B-68 REINFORCEMENT DETAIL(SSL29)</t>
  </si>
  <si>
    <t>S-T3V-BM2934</t>
  </si>
  <si>
    <t>S-T3V-BM3140</t>
  </si>
  <si>
    <t>S-T3V-BM3141</t>
  </si>
  <si>
    <t>S-T3V-BM3142</t>
  </si>
  <si>
    <t>S-T3V-BM3143</t>
  </si>
  <si>
    <t>S-T3V-BM3144</t>
  </si>
  <si>
    <t>S-T3V-BM3147</t>
  </si>
  <si>
    <t>S-T3V-BM3148</t>
  </si>
  <si>
    <t>S-T3V-BM3149</t>
  </si>
  <si>
    <t>S-T3V-BM3150</t>
  </si>
  <si>
    <t>S-T3V-BM3151</t>
  </si>
  <si>
    <t>S-T3V-BM3152</t>
  </si>
  <si>
    <t>S-T3V-BM3153</t>
  </si>
  <si>
    <t>S-T3V-BM3154</t>
  </si>
  <si>
    <t>S-T3V-BM3155</t>
  </si>
  <si>
    <t>S-T3V-BM3156</t>
  </si>
  <si>
    <t>S-T3V-BM3157</t>
  </si>
  <si>
    <t>S-T3V-BM3158</t>
  </si>
  <si>
    <t>S-T3V-BM3159</t>
  </si>
  <si>
    <t>S-T3V-BM3160</t>
  </si>
  <si>
    <t>S-T3V-BM3161</t>
  </si>
  <si>
    <t>S-T3V-BM3162</t>
  </si>
  <si>
    <t>S-T3V-BM3163</t>
  </si>
  <si>
    <t>S-T3V-BM3164</t>
  </si>
  <si>
    <t>S-T3V-BM3165</t>
  </si>
  <si>
    <t>S-T3V-BM3166</t>
  </si>
  <si>
    <t>S-T3V-BM3101</t>
  </si>
  <si>
    <t>S-T3V-BM3102</t>
  </si>
  <si>
    <t>S-T3V-BM3103</t>
  </si>
  <si>
    <t>S-T3V-BM3104</t>
  </si>
  <si>
    <t>S-T3V-BM3105</t>
  </si>
  <si>
    <t>S-T3V-BM3106</t>
  </si>
  <si>
    <t>S-T3V-BM3107</t>
  </si>
  <si>
    <t>S-T3V-BM3108</t>
  </si>
  <si>
    <t>S-T3V-BM3109</t>
  </si>
  <si>
    <t>S-T3V-BM3110</t>
  </si>
  <si>
    <t>S-T3V-BM3111</t>
  </si>
  <si>
    <t>BEAM B-11 REINFORCEMENT DETAIL (SSL31)</t>
  </si>
  <si>
    <t>S-T3V-BM3112</t>
  </si>
  <si>
    <t>BEAM B-12 REINFORCEMENT DETAIL(SSL31)</t>
  </si>
  <si>
    <t>S-T3V-BM3113</t>
  </si>
  <si>
    <t>BEAM B-12 REINFORCEMENT DETAIL SHEET 2(SSL31)</t>
  </si>
  <si>
    <t>S-T3V-BM3114</t>
  </si>
  <si>
    <t>BEAM B-14 &amp; B-15 REINFORCEMENT DETAIL(SSL31)</t>
  </si>
  <si>
    <t>S-T3V-BM3115</t>
  </si>
  <si>
    <t>BEAM B-16 &amp; B-17 REINFORCEMENT DETAIL(SSL31)</t>
  </si>
  <si>
    <t>S-T3V-BM3116</t>
  </si>
  <si>
    <t>S-T3V-BM3117</t>
  </si>
  <si>
    <t>BEAM B-19 &amp; B-20 REINFORCEMENT DETAIL(SSL31)</t>
  </si>
  <si>
    <t>S-T3V-BM3118</t>
  </si>
  <si>
    <t>S-T3V-BM3119</t>
  </si>
  <si>
    <t>S-T3V-BM3120</t>
  </si>
  <si>
    <t>S-T3V-BM3121</t>
  </si>
  <si>
    <t>BEAM B-24 &amp; B-25 REINFORCEMENT DETAIL(SSL31)</t>
  </si>
  <si>
    <t>S-T3V-BM3122</t>
  </si>
  <si>
    <t>S-T3V-BM3123</t>
  </si>
  <si>
    <t>BEAM B-28 REINFORCEMENT DETAIL(SSL31)</t>
  </si>
  <si>
    <t>S-T3V-BM3124</t>
  </si>
  <si>
    <t>BEAM B-29 &amp; B-31 REINFORCEMENT DETAIL(SSL31)</t>
  </si>
  <si>
    <t>S-T3V-BM3125</t>
  </si>
  <si>
    <t>BEAM B-32 &amp; B-33 REINFORCEMENT DETAIL(SSL31)</t>
  </si>
  <si>
    <t>S-T3V-BM3126</t>
  </si>
  <si>
    <t>S-T3V-BM3127</t>
  </si>
  <si>
    <t>S-T3V-SB0104</t>
  </si>
  <si>
    <t>BBS for Top Reinforcement for SSL01  (Sheet 1)</t>
  </si>
  <si>
    <t>S-T3V-SB0201</t>
  </si>
  <si>
    <t>C20 Portion-Plan Showing Slab Bottom Reinforcement for SSL 2 to 27</t>
  </si>
  <si>
    <t>S-T3V-SB0202</t>
  </si>
  <si>
    <t>C20 Portion-BBS of Slab Bottom Reinforcement for SSL 2 to 27</t>
  </si>
  <si>
    <t>S-T3V-SB0203</t>
  </si>
  <si>
    <t>C20 Portion-Plan Showing Slab Top Reinforcement for SSL 2 to 27</t>
  </si>
  <si>
    <t>S-T3V-SB0204</t>
  </si>
  <si>
    <t>C20 Portion-BBS of Slab Top Reinforcement for SSL 2 to 27</t>
  </si>
  <si>
    <t>S-T3V-SB0205</t>
  </si>
  <si>
    <t>C20 Portion-Plan Showing Slab Torsion Reinforcement for SSL 2 to 27</t>
  </si>
  <si>
    <t>S-T3V-SB0206</t>
  </si>
  <si>
    <t>L30 Portion-Plan Showing Internal Slab Bottom Reinforcement for SSL02 &amp; 05</t>
  </si>
  <si>
    <t>S-T3V-SB0207</t>
  </si>
  <si>
    <t>L30 Portion-Plan Showing Internal Slab Top Reinforcement for SSL02 &amp; 05</t>
  </si>
  <si>
    <t>S-T3V-SB0208</t>
  </si>
  <si>
    <t>L30 Portion-BBS of  Internal Slab Reinforcement for SSL02 &amp; 05</t>
  </si>
  <si>
    <t>S-T3V-SB0209</t>
  </si>
  <si>
    <t>L30 Portion-Plan Showing Terrace Garden Slabs Reinforcement for SSL02 &amp; 05</t>
  </si>
  <si>
    <t>S-T3V-SB0210</t>
  </si>
  <si>
    <t>L30 Portion-BBS for Terrace Garden Slab Reinforcement for SSL02 &amp; 05</t>
  </si>
  <si>
    <t>S-T3V-SB0501</t>
  </si>
  <si>
    <t>PLAN SHOWING SLAB REINFORCEMENT FOR L30 PORTION OF SSL05</t>
  </si>
  <si>
    <t>S-T3V-SB0601</t>
  </si>
  <si>
    <t>PLAN SHOWING SLAB REINFORCEMENT FOR L30 PORTION OF SSL06, 07 &amp; 08 (SHEET 1)</t>
  </si>
  <si>
    <t>S-T3V-SB0603</t>
  </si>
  <si>
    <t>PLAN SHOWING SLAB REINFORCEMENT FOR L30 PORTION OF SSL06, 07 &amp; 08 (SHEET 3)</t>
  </si>
  <si>
    <t>S-T3V-SB0701</t>
  </si>
  <si>
    <t>L30 Portion-Plan Showing Slabs Bottom Reinforcement for SSL 07</t>
  </si>
  <si>
    <t>S-T3V-SB0702</t>
  </si>
  <si>
    <t>L30 Portion-Plan Showing Slabs Top Reinforcement for SSL 07</t>
  </si>
  <si>
    <t>S-T3V-SB0703</t>
  </si>
  <si>
    <t>L30 Portion-BBS for  Slab Reinforcement of SSL 07</t>
  </si>
  <si>
    <t>S-T3V-SB0901</t>
  </si>
  <si>
    <t>L30 PORTION-PLAN SHOWING SLABS BOTTOM REINFORCEMENT FOR SSL 09</t>
  </si>
  <si>
    <t>S-T3V-SB0902</t>
  </si>
  <si>
    <t>L30 PORTION-PLAN SHOWING SLABS TOP REINFORCEMENT FOR SSL 09</t>
  </si>
  <si>
    <t>S-T3V-SB0903</t>
  </si>
  <si>
    <t>L30 PORTION-BBS FOR SLAB BOTTOM REINFORCEMENT OF SSL 09</t>
  </si>
  <si>
    <t>S-T3V-SB0904</t>
  </si>
  <si>
    <t>L30 PORTION-BBS FOR SLAB TOP REINFORCEMENT OF SSL 09</t>
  </si>
  <si>
    <t>S-T3V-SL0201</t>
  </si>
  <si>
    <t>C20 Portion- Plan Showing Sleeves at SSL02 to SSL27 (Sheet 1)</t>
  </si>
  <si>
    <t>S-T4V-FP0301</t>
  </si>
  <si>
    <t>S-T4V-FP0501</t>
  </si>
  <si>
    <t>S-T4V-FP0701</t>
  </si>
  <si>
    <t>Framing plan at SSL07</t>
  </si>
  <si>
    <t>S-T4V-BM0103</t>
  </si>
  <si>
    <t>S-T4V-BM0105</t>
  </si>
  <si>
    <t>S-T4V-BM0107</t>
  </si>
  <si>
    <t>S-T4V-BM0109</t>
  </si>
  <si>
    <t>S-T4V-BM0111</t>
  </si>
  <si>
    <t>S-T4V-BM0114</t>
  </si>
  <si>
    <t>S-T4V-BM0118</t>
  </si>
  <si>
    <t>S-T4V-BM0119</t>
  </si>
  <si>
    <t>S-T4V-BM0120</t>
  </si>
  <si>
    <t>S-T4V-BM0122</t>
  </si>
  <si>
    <t>S-T4V-BM0124</t>
  </si>
  <si>
    <t>S-T4V-BM0125</t>
  </si>
  <si>
    <t>S-T4V-BM0133</t>
  </si>
  <si>
    <t>S-T4V-BM0136</t>
  </si>
  <si>
    <t>S-T4V-BM0141</t>
  </si>
  <si>
    <t>S-T4V-BM0143</t>
  </si>
  <si>
    <t>Beam B-41a &amp; B-41b  Reinforcement Detail</t>
  </si>
  <si>
    <t>S-T4V-BM0146</t>
  </si>
  <si>
    <t>S-T4V-BM0147</t>
  </si>
  <si>
    <t>S-T4V-BM0151</t>
  </si>
  <si>
    <t>S-T4V-BM0155</t>
  </si>
  <si>
    <t>S-T4V-BM0156</t>
  </si>
  <si>
    <t>S-T4V-BM0157</t>
  </si>
  <si>
    <t>S-T4V-BM0201</t>
  </si>
  <si>
    <t>S-T4V-BM0202</t>
  </si>
  <si>
    <t>S-T4V-BM0203</t>
  </si>
  <si>
    <t>S-T4V-BM0204</t>
  </si>
  <si>
    <t>S-T4V-BM0205</t>
  </si>
  <si>
    <t>S-T4V-BM0206</t>
  </si>
  <si>
    <t>S-T4V-BM0207</t>
  </si>
  <si>
    <t>S-T4V-BM0208</t>
  </si>
  <si>
    <t>S-T4V-BM0209</t>
  </si>
  <si>
    <t>S-T4V-BM0210</t>
  </si>
  <si>
    <t>S-T4V-BM0211</t>
  </si>
  <si>
    <t>S-T4V-BM0212</t>
  </si>
  <si>
    <t>S-T4V-BM0213</t>
  </si>
  <si>
    <t>S-T4V-BM0214</t>
  </si>
  <si>
    <t>S-T4V-BM0215</t>
  </si>
  <si>
    <t>S-T4V-BM0216</t>
  </si>
  <si>
    <t>S-T4V-BM0217</t>
  </si>
  <si>
    <t>S-T4V-BM0218</t>
  </si>
  <si>
    <t>S-T4V-BM0219</t>
  </si>
  <si>
    <t>S-T4V-BM0220</t>
  </si>
  <si>
    <t>S-T4V-BM0221</t>
  </si>
  <si>
    <t>S-T4V-BM0222</t>
  </si>
  <si>
    <t>S-T4V-BM0223</t>
  </si>
  <si>
    <t>S-T4V-BM0224</t>
  </si>
  <si>
    <t>S-T4V-BM0225</t>
  </si>
  <si>
    <t>S-T4V-BM0226</t>
  </si>
  <si>
    <t>S-T4V-BM0227</t>
  </si>
  <si>
    <t>S-T4V-BM0228</t>
  </si>
  <si>
    <t>S-T4V-BM0229</t>
  </si>
  <si>
    <t>S-T4V-BM0230</t>
  </si>
  <si>
    <t>S-T4V-BM0231</t>
  </si>
  <si>
    <t>S-T4V-BM0232</t>
  </si>
  <si>
    <t>S-T4V-BM0233</t>
  </si>
  <si>
    <t>S-T4V-BM0234</t>
  </si>
  <si>
    <t>S-T4V-BM0235</t>
  </si>
  <si>
    <t>S-T4V-BM0236</t>
  </si>
  <si>
    <t>S-T4V-BM0302</t>
  </si>
  <si>
    <t>S-T4V-BM0304</t>
  </si>
  <si>
    <t>S-T4V-BM0305</t>
  </si>
  <si>
    <t>S-T4V-BM0307</t>
  </si>
  <si>
    <t>S-T4V-BM0309</t>
  </si>
  <si>
    <t>S-T4V-BM0311</t>
  </si>
  <si>
    <t>S-T4V-BM0313</t>
  </si>
  <si>
    <t>S-T4V-BM0315</t>
  </si>
  <si>
    <t>S-T4V-BM0317</t>
  </si>
  <si>
    <t>S-T4V-BM0318</t>
  </si>
  <si>
    <t>S-T4V-BM0320</t>
  </si>
  <si>
    <t>S-T4V-BM0322</t>
  </si>
  <si>
    <t>S-T4V-BM0324</t>
  </si>
  <si>
    <t>S-T4V-BM0326</t>
  </si>
  <si>
    <t>S-T4V-BM0501</t>
  </si>
  <si>
    <t>S-T4V-BM0502</t>
  </si>
  <si>
    <t>S-T4V-BM0504</t>
  </si>
  <si>
    <t>S-T4V-BM0611</t>
  </si>
  <si>
    <t>S-T4V-BM0614</t>
  </si>
  <si>
    <t>S-T4V-BM1001</t>
  </si>
  <si>
    <t>BEAM B-01 REINFORCEMENT DETAIL(SSL10 TO SSL19)</t>
  </si>
  <si>
    <t>S-T4V-BM1002</t>
  </si>
  <si>
    <t>BEAM B-02 REINFORCEMENT DETAIL(SSL10 TO SSL19)</t>
  </si>
  <si>
    <t>S-T4V-BM1003</t>
  </si>
  <si>
    <t>BEAM B-03 REINFORCEMENT DETAIL(SSL10 TO SSL19)</t>
  </si>
  <si>
    <t>S-T4V-BM1004</t>
  </si>
  <si>
    <t xml:space="preserve">BEAM B-04 REINFORCEMENT DETAIL(Sheet 1 of 2)(SSL10 TO SSL19) </t>
  </si>
  <si>
    <t>S-T4V-BM1005</t>
  </si>
  <si>
    <t xml:space="preserve">BEAM B-04 REINFORCEMENT DETAIL(Sheet 2 of 2)(SSL10 TO SSL19) </t>
  </si>
  <si>
    <t>S-T4V-BM1006</t>
  </si>
  <si>
    <t>BEAM B-05 REINFORCEMENT DETAIL(SSL10 TO SSL19)</t>
  </si>
  <si>
    <t>S-T4V-BM1007</t>
  </si>
  <si>
    <t>BEAM B-06 REINFORCEMENT DETAIL(SSL10 TO SSL19)</t>
  </si>
  <si>
    <t>S-T4V-BM1008</t>
  </si>
  <si>
    <t>BEAM B-07 REINFORCEMENT DETAIL(SHEET 1 OF 2)(SSL10 TO SSL19)</t>
  </si>
  <si>
    <t>S-T4V-BM1009</t>
  </si>
  <si>
    <t>BEAM B-07 REINFORCEMENT DETAIL(SHEET 2 OF 2)(SSL10 TO SSL19)</t>
  </si>
  <si>
    <t>S-T4V-BM1010</t>
  </si>
  <si>
    <t>BEAM B-08 REINFORCEMENT DETAIL(SSL10 TO SSL19)</t>
  </si>
  <si>
    <t>S-T4V-BM1011</t>
  </si>
  <si>
    <t>BEAM B-09 REINFORCEMENT DETAIL(SSL10 TO SSL19)</t>
  </si>
  <si>
    <t>S-T4V-BM1012</t>
  </si>
  <si>
    <t>BEAM B-10 REINFORCEMENT DETAIL(SHEET 1 OF 2)(SSL10 TO SSL19)</t>
  </si>
  <si>
    <t>S-T4V-BM1013</t>
  </si>
  <si>
    <t>BEAM B-10 REINFORCEMENT DETAIL(SHEET 2 OF 2)(SSL10 TO SSL19)</t>
  </si>
  <si>
    <t>S-T4V-BM1014</t>
  </si>
  <si>
    <t>BEAM B-11 REINFORCEMENT DETAIL(SHEET 1 OF 2)(SSL10 TO SSL19)</t>
  </si>
  <si>
    <t>S-T4V-BM1015</t>
  </si>
  <si>
    <t>BEAM B-11 REINFORCEMENT DETAIL(SHEET 2 OF 2)(SSL10 TO SSL19)</t>
  </si>
  <si>
    <t>S-T4V-BM1016</t>
  </si>
  <si>
    <t>BEAM B-12 REINFORCEMENT DETAIL(SHEET 1 OF 2)(SSL10 TO SSL19)</t>
  </si>
  <si>
    <t>S-T4V-BM1017</t>
  </si>
  <si>
    <t>BEAM B-12 REINFORCEMENT DETAIL(SHEET 2 OF 2)(SSL10 TO SSL19)</t>
  </si>
  <si>
    <t>S-T4V-BM1018</t>
  </si>
  <si>
    <t>BEAM B-13 &amp; B-14 REINFORCEMENT DETAIL(SSL10 TO SSL19)</t>
  </si>
  <si>
    <t>S-T4V-BM1019</t>
  </si>
  <si>
    <t>BEAM B-15 REINFORCEMENT DETAIL(SSL10 TO SSL19)</t>
  </si>
  <si>
    <t>S-T4V-BM1020</t>
  </si>
  <si>
    <t>BEAM B-16 REINFORCEMENT DETAIL(SHEET 1 OF 2)(SSL10 TO SSL19)</t>
  </si>
  <si>
    <t>S-T4V-BM1021</t>
  </si>
  <si>
    <t>BEAM B-16 REINFORCEMENT DETAIL(SHEET 2 OF 2)(SSL10 TO SSL19)</t>
  </si>
  <si>
    <t>S-T4V-BM1022</t>
  </si>
  <si>
    <t>BEAM B-17 REINFORCEMENT DETAIL(SSL10 TO SSL19)</t>
  </si>
  <si>
    <t>S-T4V-BM1023</t>
  </si>
  <si>
    <t>BEAM B-18 REINFORCEMENT DETAIL(SHEET 1 OF 2)(SSL10 TO SSL19)</t>
  </si>
  <si>
    <t>S-T4V-BM1024</t>
  </si>
  <si>
    <t>BEAM B-18 REINFORCEMENT DETAIL(SHEET 2 OF 2)(SSL10 TO SSL19)</t>
  </si>
  <si>
    <t>S-T4V-BM1025</t>
  </si>
  <si>
    <t>BEAM B-19 REINFORCEMENT DETAIL(SSL10 TO SSL19)</t>
  </si>
  <si>
    <t>S-T4V-BM1026</t>
  </si>
  <si>
    <t>BEAM B-20 REINFORCEMENT DETAIL(SSL10 TO SSL19)</t>
  </si>
  <si>
    <t>S-T4V-BM1027</t>
  </si>
  <si>
    <t>BEAM B-21 REINFORCEMENT DETAIL(SSL10 TO SSL19)</t>
  </si>
  <si>
    <t>S-T4V-BM1028</t>
  </si>
  <si>
    <t>BEAM B-22 REINFORCEMENT DETAIL(SSL10 TO SSL19)</t>
  </si>
  <si>
    <t>S-T4V-BM1029</t>
  </si>
  <si>
    <t>BEAM B-23 REINFORCEMENT DETAIL(SSL10 TO SSL19)</t>
  </si>
  <si>
    <t>S-T4V-BM1030</t>
  </si>
  <si>
    <t>BEAM B-25, B26 &amp; B27 REINFORCEMENT DETAIL(SSL10 TO SSL19)</t>
  </si>
  <si>
    <t>S-T4V-BM1031</t>
  </si>
  <si>
    <t>BEAM B-28 &amp; B-29 REINFORCEMENT DETAIL(SSL10 TO SSL19)</t>
  </si>
  <si>
    <t>S-T4V-BM1032</t>
  </si>
  <si>
    <t>S-T4V-BM1033</t>
  </si>
  <si>
    <t>BEAM B-32 REINFORCEMENT DETAIL(SSL10 TO SSL19)</t>
  </si>
  <si>
    <t>S-T4V-BM1034</t>
  </si>
  <si>
    <t>BEAM B-33 REINFORCEMENT DETAIL(SSL10 TO SSL19)</t>
  </si>
  <si>
    <t>S-T4V-BM1035</t>
  </si>
  <si>
    <t>S-T4V-BM0901</t>
  </si>
  <si>
    <t>S-T4V-BM0902</t>
  </si>
  <si>
    <t>S-T4V-BM0903</t>
  </si>
  <si>
    <t>S-T4V-BM0904</t>
  </si>
  <si>
    <t>S-T4V-BM0905</t>
  </si>
  <si>
    <t>S-T4V-BM0906</t>
  </si>
  <si>
    <t>S-T4V-BM0907</t>
  </si>
  <si>
    <t>S-T4V-BM0908</t>
  </si>
  <si>
    <t>S-T4V-BM0909</t>
  </si>
  <si>
    <t>S-T4V-BM0910</t>
  </si>
  <si>
    <t>S-T4V-BM0911</t>
  </si>
  <si>
    <t>S-T4V-BM0912</t>
  </si>
  <si>
    <t>S-T4V-BM0913</t>
  </si>
  <si>
    <t>S-T4V-BM0914</t>
  </si>
  <si>
    <t>S-T4V-BM0915</t>
  </si>
  <si>
    <t>S-T4V-BM0916</t>
  </si>
  <si>
    <t>S-T4V-BM0917</t>
  </si>
  <si>
    <t>S-T4V-BM0918</t>
  </si>
  <si>
    <t>S-T4V-BM0919</t>
  </si>
  <si>
    <t>S-T4V-BM0920</t>
  </si>
  <si>
    <t>S-T4V-BM0921</t>
  </si>
  <si>
    <t>S-T4V-BM0922</t>
  </si>
  <si>
    <t>S-T4V-BM0923</t>
  </si>
  <si>
    <t>S-T4V-BM0924</t>
  </si>
  <si>
    <t>S-T4V-BM1040</t>
  </si>
  <si>
    <t>S-T4V-BM1041</t>
  </si>
  <si>
    <t>S-T4V-BM1042</t>
  </si>
  <si>
    <t>S-T4V-BM1043</t>
  </si>
  <si>
    <t>S-T4V-BM1044</t>
  </si>
  <si>
    <t>S-T4V-BM1045</t>
  </si>
  <si>
    <t>S-T4V-BM1046</t>
  </si>
  <si>
    <t>S-T4V-BM1049</t>
  </si>
  <si>
    <t>S-T4V-BM1050</t>
  </si>
  <si>
    <t>S-T4V-BM1051</t>
  </si>
  <si>
    <t>S-T4V-BM1052</t>
  </si>
  <si>
    <t>S-T4V-BM1053</t>
  </si>
  <si>
    <t>S-T4V-BM1054</t>
  </si>
  <si>
    <t>S-T4V-BM1056</t>
  </si>
  <si>
    <t>S-T4V-BM1058</t>
  </si>
  <si>
    <t>S-T4V-BM1059</t>
  </si>
  <si>
    <t>S-T4V-BM1060</t>
  </si>
  <si>
    <t>S-T4V-BM1061</t>
  </si>
  <si>
    <t>S-T4V-BM1062</t>
  </si>
  <si>
    <t>S-T4V-BM1063</t>
  </si>
  <si>
    <t>S-T4V-BM1064</t>
  </si>
  <si>
    <t>S-T4V-BM1066</t>
  </si>
  <si>
    <t>S-T4V-BM1067</t>
  </si>
  <si>
    <t>S-T4V-BM1068</t>
  </si>
  <si>
    <t>S-T4V-BM1069</t>
  </si>
  <si>
    <t>S-T4V-BM1072</t>
  </si>
  <si>
    <t>S-T4V-BM2035</t>
  </si>
  <si>
    <t>S-T4V-BM2045</t>
  </si>
  <si>
    <t>S-T4V-BM2046</t>
  </si>
  <si>
    <t>S-T4V-BM2056</t>
  </si>
  <si>
    <t>S-T4V-BM2058</t>
  </si>
  <si>
    <t>S-T4V-BM2066</t>
  </si>
  <si>
    <t>S-T4V-BM2071</t>
  </si>
  <si>
    <t>S-T4V-BM2940</t>
  </si>
  <si>
    <t>S-T4V-BM2941</t>
  </si>
  <si>
    <t>S-T4V-BM2942</t>
  </si>
  <si>
    <t>S-T4V-BM2943</t>
  </si>
  <si>
    <t>S-T4V-BM2944</t>
  </si>
  <si>
    <t>S-T4V-BM2945</t>
  </si>
  <si>
    <t>S-T4V-BM2946</t>
  </si>
  <si>
    <t>S-T4V-BM2949</t>
  </si>
  <si>
    <t>S-T4V-BM2950</t>
  </si>
  <si>
    <t>S-T4V-BM2951</t>
  </si>
  <si>
    <t>S-T4V-BM2952</t>
  </si>
  <si>
    <t>S-T4V-BM2953</t>
  </si>
  <si>
    <t>S-T4V-BM2954</t>
  </si>
  <si>
    <t>S-T4V-BM2956</t>
  </si>
  <si>
    <t>S-T4V-BM2957</t>
  </si>
  <si>
    <t>S-T4V-BM2959</t>
  </si>
  <si>
    <t>S-T4V-BM2960</t>
  </si>
  <si>
    <t>S-T4V-BM2961</t>
  </si>
  <si>
    <t>S-T4V-BM2962</t>
  </si>
  <si>
    <t>S-T4V-BM2963</t>
  </si>
  <si>
    <t>S-T4V-BM2964</t>
  </si>
  <si>
    <t>S-T4V-BM2966</t>
  </si>
  <si>
    <t>S-T4V-BM2967</t>
  </si>
  <si>
    <t>S-T4V-BM2968</t>
  </si>
  <si>
    <t>S-T4V-BM2969</t>
  </si>
  <si>
    <t>S-T4V-BM2970</t>
  </si>
  <si>
    <t>S-T4V-BM2971</t>
  </si>
  <si>
    <t>S-T4V-BM2934</t>
  </si>
  <si>
    <t>S-T4V-BM3140</t>
  </si>
  <si>
    <t>S-T4V-BM3141</t>
  </si>
  <si>
    <t>S-T4V-BM3142</t>
  </si>
  <si>
    <t>S-T4V-BM3143</t>
  </si>
  <si>
    <t>S-T4V-BM3144</t>
  </si>
  <si>
    <t>S-T4V-BM3147</t>
  </si>
  <si>
    <t>S-T4V-BM3148</t>
  </si>
  <si>
    <t>S-T4V-BM3149</t>
  </si>
  <si>
    <t>S-T4V-BM3150</t>
  </si>
  <si>
    <t>S-T4V-BM3151</t>
  </si>
  <si>
    <t>S-T4V-BM3152</t>
  </si>
  <si>
    <t>S-T4V-BM3153</t>
  </si>
  <si>
    <t>S-T4V-BM3154</t>
  </si>
  <si>
    <t>S-T4V-BM3155</t>
  </si>
  <si>
    <t>S-T4V-BM3156</t>
  </si>
  <si>
    <t>S-T4V-BM3157</t>
  </si>
  <si>
    <t>S-T4V-BM3158</t>
  </si>
  <si>
    <t>S-T4V-BM3159</t>
  </si>
  <si>
    <t>S-T4V-BM3160</t>
  </si>
  <si>
    <t>S-T4V-BM3161</t>
  </si>
  <si>
    <t>S-T4V-BM3162</t>
  </si>
  <si>
    <t>S-T4V-BM3163</t>
  </si>
  <si>
    <t>S-T4V-BM3164</t>
  </si>
  <si>
    <t>S-T4V-BM3165</t>
  </si>
  <si>
    <t>S-T4V-BM3166</t>
  </si>
  <si>
    <t>S-T4V-BM3101</t>
  </si>
  <si>
    <t>S-T4V-BM3102</t>
  </si>
  <si>
    <t>S-T4V-BM3103</t>
  </si>
  <si>
    <t>S-T4V-BM3104</t>
  </si>
  <si>
    <t>S-T4V-BM3105</t>
  </si>
  <si>
    <t>S-T4V-BM3106</t>
  </si>
  <si>
    <t>S-T4V-BM3107</t>
  </si>
  <si>
    <t>S-T4V-BM3108</t>
  </si>
  <si>
    <t>S-T4V-BM3109</t>
  </si>
  <si>
    <t>S-T4V-BM3110</t>
  </si>
  <si>
    <t>S-T4V-BM3111</t>
  </si>
  <si>
    <t>S-T4V-BM3112</t>
  </si>
  <si>
    <t>S-T4V-BM3113</t>
  </si>
  <si>
    <t>S-T4V-BM3114</t>
  </si>
  <si>
    <t>S-T4V-BM3115</t>
  </si>
  <si>
    <t>S-T4V-BM3116</t>
  </si>
  <si>
    <t>S-T4V-BM3117</t>
  </si>
  <si>
    <t>S-T4V-BM3118</t>
  </si>
  <si>
    <t>S-T4V-BM3119</t>
  </si>
  <si>
    <t>S-T4V-BM3120</t>
  </si>
  <si>
    <t>S-T4V-BM3121</t>
  </si>
  <si>
    <t>S-T4V-BM3122</t>
  </si>
  <si>
    <t>S-T4V-BM3123</t>
  </si>
  <si>
    <t>S-T4V-BM3124</t>
  </si>
  <si>
    <t>S-T4V-BM3125</t>
  </si>
  <si>
    <t>S-T4V-BM3126</t>
  </si>
  <si>
    <t>S-T4V-BM3127</t>
  </si>
  <si>
    <t>S-T4V-SB0104</t>
  </si>
  <si>
    <t>BBS of top Reinforcement for SSL01  (Sheet 1)</t>
  </si>
  <si>
    <t>S-T4V-SB0201</t>
  </si>
  <si>
    <t>S-T4V-SB0202</t>
  </si>
  <si>
    <t>S-T4V-SB0203</t>
  </si>
  <si>
    <t>S-T4V-SB0204</t>
  </si>
  <si>
    <t>S-T4V-SB0501</t>
  </si>
  <si>
    <t>S-T4V-SB0601</t>
  </si>
  <si>
    <t>S-T4V-SB0603</t>
  </si>
  <si>
    <t>S-T4V-SB0901</t>
  </si>
  <si>
    <t>S-T4V-SB0902</t>
  </si>
  <si>
    <t>S-T4V-SB0903</t>
  </si>
  <si>
    <t>S-T4V-SB0904</t>
  </si>
  <si>
    <t>S-T4V-SL0201</t>
  </si>
  <si>
    <t>C20 Portion- Plan Showing Sleeves at SSL02 to SSL28 (Sheet 1)</t>
  </si>
  <si>
    <t>S-T5V-CL2101</t>
  </si>
  <si>
    <t>Details of Wedge Portion &amp; Extended Basement Columns Resting on T5V foundations</t>
  </si>
  <si>
    <t>S-T5V-FP0301</t>
  </si>
  <si>
    <t>S-T5V-FP0501</t>
  </si>
  <si>
    <t>S-T5V-FP0701</t>
  </si>
  <si>
    <t>S-T5V-FP0901</t>
  </si>
  <si>
    <t>S-T6V-FP0301</t>
  </si>
  <si>
    <t>S-T6V-FP0501</t>
  </si>
  <si>
    <t>S-T6V-FP0701</t>
  </si>
  <si>
    <t>S-T6V-FP0901</t>
  </si>
  <si>
    <t>S-T5V-BM0103</t>
  </si>
  <si>
    <t>S-T5V-BM0105</t>
  </si>
  <si>
    <t>S-T5V-BM0107</t>
  </si>
  <si>
    <t>S-T5V-BM0109</t>
  </si>
  <si>
    <t>S-T5V-BM0111</t>
  </si>
  <si>
    <t>S-T5V-BM0114</t>
  </si>
  <si>
    <t>S-T5V-BM0118</t>
  </si>
  <si>
    <t>S-T5V-BM0119</t>
  </si>
  <si>
    <t>S-T5V-BM0120</t>
  </si>
  <si>
    <t>S-T5V-BM0122</t>
  </si>
  <si>
    <t>S-T5V-BM0124</t>
  </si>
  <si>
    <t>S-T5V-BM0125</t>
  </si>
  <si>
    <t>S-T5V-BM0133</t>
  </si>
  <si>
    <t>S-T5V-BM0136</t>
  </si>
  <si>
    <t>S-T5V-BM0141</t>
  </si>
  <si>
    <t>S-T5V-BM0143</t>
  </si>
  <si>
    <t>S-T5V-BM0146</t>
  </si>
  <si>
    <t>S-T5V-BM0147</t>
  </si>
  <si>
    <t>S-T5V-BM0151</t>
  </si>
  <si>
    <t>S-T5V-BM0155</t>
  </si>
  <si>
    <t>S-T5V-BM0156</t>
  </si>
  <si>
    <t>S-T5V-BM0157</t>
  </si>
  <si>
    <t>S-T5V-BM0160</t>
  </si>
  <si>
    <t xml:space="preserve">Beam B-42a-1  Reinforcement Detail </t>
  </si>
  <si>
    <t>S-T5V-BM0201</t>
  </si>
  <si>
    <t>S-T5V-BM0202</t>
  </si>
  <si>
    <t>S-T5V-BM0203</t>
  </si>
  <si>
    <t>S-T5V-BM0204</t>
  </si>
  <si>
    <t>S-T5V-BM0205</t>
  </si>
  <si>
    <t>S-T5V-BM0206</t>
  </si>
  <si>
    <t>S-T5V-BM0207</t>
  </si>
  <si>
    <t>S-T5V-BM0208</t>
  </si>
  <si>
    <t>S-T5V-BM0209</t>
  </si>
  <si>
    <t>S-T5V-BM0210</t>
  </si>
  <si>
    <t>S-T5V-BM0211</t>
  </si>
  <si>
    <t>S-T5V-BM0212</t>
  </si>
  <si>
    <t>S-T5V-BM0213</t>
  </si>
  <si>
    <t>S-T5V-BM0214</t>
  </si>
  <si>
    <t>S-T5V-BM0215</t>
  </si>
  <si>
    <t>S-T5V-BM0216</t>
  </si>
  <si>
    <t>S-T5V-BM0217</t>
  </si>
  <si>
    <t>S-T5V-BM0218</t>
  </si>
  <si>
    <t>S-T5V-BM0219</t>
  </si>
  <si>
    <t>S-T5V-BM0220</t>
  </si>
  <si>
    <t>S-T5V-BM0221</t>
  </si>
  <si>
    <t>S-T5V-BM0222</t>
  </si>
  <si>
    <t>S-T5V-BM0223</t>
  </si>
  <si>
    <t>S-T5V-BM0224</t>
  </si>
  <si>
    <t>S-T5V-BM0225</t>
  </si>
  <si>
    <t>S-T5V-BM0226</t>
  </si>
  <si>
    <t>S-T5V-BM0227</t>
  </si>
  <si>
    <t>S-T5V-BM0228</t>
  </si>
  <si>
    <t>S-T5V-BM0229</t>
  </si>
  <si>
    <t>S-T5V-BM0230</t>
  </si>
  <si>
    <t>S-T5V-BM0231</t>
  </si>
  <si>
    <t>S-T5V-BM0232</t>
  </si>
  <si>
    <t>S-T5V-BM0233</t>
  </si>
  <si>
    <t>S-T5V-BM0234</t>
  </si>
  <si>
    <t>S-T5V-BM0235</t>
  </si>
  <si>
    <t>S-T5V-BM0236</t>
  </si>
  <si>
    <t>S-T5V-BM0302</t>
  </si>
  <si>
    <t>S-T5V-BM0304</t>
  </si>
  <si>
    <t>S-T5V-BM0305</t>
  </si>
  <si>
    <t>S-T5V-BM0307</t>
  </si>
  <si>
    <t>S-T5V-BM0309</t>
  </si>
  <si>
    <t>S-T5V-BM0311</t>
  </si>
  <si>
    <t>S-T5V-BM0313</t>
  </si>
  <si>
    <t>S-T5V-BM0315</t>
  </si>
  <si>
    <t>S-T5V-BM0317</t>
  </si>
  <si>
    <t>S-T5V-BM0318</t>
  </si>
  <si>
    <t>S-T5V-BM0320</t>
  </si>
  <si>
    <t>S-T5V-BM0322</t>
  </si>
  <si>
    <t>S-T5V-BM0324</t>
  </si>
  <si>
    <t>S-T5V-BM0326</t>
  </si>
  <si>
    <t>S-T5V-BM0329</t>
  </si>
  <si>
    <t>BEAM B-47a&amp;b REINFORCEMENT DETAIL (SSL03)</t>
  </si>
  <si>
    <t>S-T5V-BM0330</t>
  </si>
  <si>
    <t>BEAM B-48a&amp;b REINFORCEMENT DETAIL (SSL03)</t>
  </si>
  <si>
    <t>S-T5V-BM0331</t>
  </si>
  <si>
    <t>BEAM B-49(SHEET 1) REINFORCEMENT DETAIL (SSL03)</t>
  </si>
  <si>
    <t>S-T5V-BM0332</t>
  </si>
  <si>
    <t>BEAM B-49(SHEET 2) REINFORCEMENT DETAIL (SSL03)</t>
  </si>
  <si>
    <t>S-T5V-BM0333</t>
  </si>
  <si>
    <t>BEAM B-49(SHEET 3) REINFORCEMENT DETAIL (SSL03)</t>
  </si>
  <si>
    <t>S-T5V-BM0501</t>
  </si>
  <si>
    <t>S-T5V-BM0502</t>
  </si>
  <si>
    <t>S-T5V-BM0504</t>
  </si>
  <si>
    <t>S-T5V-BM0611</t>
  </si>
  <si>
    <t>S-T5V-BM0614</t>
  </si>
  <si>
    <t>S-T5V-BM1001</t>
  </si>
  <si>
    <t>S-T5V-BM1002</t>
  </si>
  <si>
    <t>S-T5V-BM1003</t>
  </si>
  <si>
    <t>S-T5V-BM1004</t>
  </si>
  <si>
    <t>S-T5V-BM1005</t>
  </si>
  <si>
    <t>S-T5V-BM1006</t>
  </si>
  <si>
    <t>S-T5V-BM1007</t>
  </si>
  <si>
    <t>S-T5V-BM1008</t>
  </si>
  <si>
    <t>S-T5V-BM1009</t>
  </si>
  <si>
    <t>S-T5V-BM1010</t>
  </si>
  <si>
    <t>S-T5V-BM1011</t>
  </si>
  <si>
    <t>S-T5V-BM1012</t>
  </si>
  <si>
    <t>S-T5V-BM1013</t>
  </si>
  <si>
    <t>S-T5V-BM1014</t>
  </si>
  <si>
    <t>S-T5V-BM1015</t>
  </si>
  <si>
    <t>S-T5V-BM1016</t>
  </si>
  <si>
    <t>S-T5V-BM1017</t>
  </si>
  <si>
    <t>S-T5V-BM1018</t>
  </si>
  <si>
    <t>S-T5V-BM1019</t>
  </si>
  <si>
    <t>S-T5V-BM1020</t>
  </si>
  <si>
    <t>S-T5V-BM1021</t>
  </si>
  <si>
    <t>S-T5V-BM1022</t>
  </si>
  <si>
    <t>S-T5V-BM1023</t>
  </si>
  <si>
    <t>S-T5V-BM1024</t>
  </si>
  <si>
    <t>S-T5V-BM1025</t>
  </si>
  <si>
    <t>S-T5V-BM1026</t>
  </si>
  <si>
    <t>S-T5V-BM1027</t>
  </si>
  <si>
    <t>S-T5V-BM1028</t>
  </si>
  <si>
    <t>S-T5V-BM1029</t>
  </si>
  <si>
    <t>S-T5V-BM1030</t>
  </si>
  <si>
    <t>S-T5V-BM1031</t>
  </si>
  <si>
    <t>S-T5V-BM1032</t>
  </si>
  <si>
    <t>S-T5V-BM1033</t>
  </si>
  <si>
    <t>S-T5V-BM1034</t>
  </si>
  <si>
    <t>S-T5V-BM1035</t>
  </si>
  <si>
    <t>S-T5V-BM0901</t>
  </si>
  <si>
    <t>S-T5V-BM0902</t>
  </si>
  <si>
    <t>S-T5V-BM0903</t>
  </si>
  <si>
    <t>S-T5V-BM0904</t>
  </si>
  <si>
    <t>S-T5V-BM0905</t>
  </si>
  <si>
    <t>S-T5V-BM0906</t>
  </si>
  <si>
    <t>S-T5V-BM0907</t>
  </si>
  <si>
    <t>S-T5V-BM0908</t>
  </si>
  <si>
    <t>S-T5V-BM0909</t>
  </si>
  <si>
    <t>S-T5V-BM0910</t>
  </si>
  <si>
    <t>S-T5V-BM0911</t>
  </si>
  <si>
    <t>S-T5V-BM0912</t>
  </si>
  <si>
    <t>S-T5V-BM0913</t>
  </si>
  <si>
    <t>S-T5V-BM0914</t>
  </si>
  <si>
    <t>S-T5V-BM0915</t>
  </si>
  <si>
    <t>S-T5V-BM0916</t>
  </si>
  <si>
    <t>S-T5V-BM0917</t>
  </si>
  <si>
    <t>S-T5V-BM0918</t>
  </si>
  <si>
    <t>S-T5V-BM0919</t>
  </si>
  <si>
    <t>S-T5V-BM0920</t>
  </si>
  <si>
    <t>S-T5V-BM0921</t>
  </si>
  <si>
    <t>S-T5V-BM0922</t>
  </si>
  <si>
    <t>S-T5V-BM0923</t>
  </si>
  <si>
    <t>S-T5V-BM0924</t>
  </si>
  <si>
    <t>S-T5V-BM1040</t>
  </si>
  <si>
    <t>S-T5V-BM1041</t>
  </si>
  <si>
    <t>S-T5V-BM1042</t>
  </si>
  <si>
    <t>S-T5V-BM1043</t>
  </si>
  <si>
    <t>S-T5V-BM1044</t>
  </si>
  <si>
    <t>S-T5V-BM1045</t>
  </si>
  <si>
    <t>S-T5V-BM1046</t>
  </si>
  <si>
    <t>S-T5V-BM1049</t>
  </si>
  <si>
    <t>S-T5V-BM1050</t>
  </si>
  <si>
    <t>S-T5V-BM1051</t>
  </si>
  <si>
    <t>S-T5V-BM1052</t>
  </si>
  <si>
    <t>S-T5V-BM1053</t>
  </si>
  <si>
    <t>S-T5V-BM1054</t>
  </si>
  <si>
    <t>S-T5V-BM1056</t>
  </si>
  <si>
    <t>S-T5V-BM1058</t>
  </si>
  <si>
    <t>S-T5V-BM1059</t>
  </si>
  <si>
    <t>S-T5V-BM1060</t>
  </si>
  <si>
    <t>S-T5V-BM1061</t>
  </si>
  <si>
    <t>S-T5V-BM1062</t>
  </si>
  <si>
    <t>S-T5V-BM1063</t>
  </si>
  <si>
    <t>S-T5V-BM1064</t>
  </si>
  <si>
    <t>S-T5V-BM1066</t>
  </si>
  <si>
    <t>S-T5V-BM1067</t>
  </si>
  <si>
    <t>S-T5V-BM1068</t>
  </si>
  <si>
    <t>S-T5V-BM1069</t>
  </si>
  <si>
    <t>S-T5V-BM1072</t>
  </si>
  <si>
    <t>S-T5V-BM2045</t>
  </si>
  <si>
    <t>S-T5V-BM2046</t>
  </si>
  <si>
    <t>S-T5V-BM2056</t>
  </si>
  <si>
    <t>S-T5V-BM2058</t>
  </si>
  <si>
    <t>S-T5V-BM2066</t>
  </si>
  <si>
    <t>S-T5V-BM2071</t>
  </si>
  <si>
    <t>S-T5V-BM2940</t>
  </si>
  <si>
    <t>S-T5V-BM2941</t>
  </si>
  <si>
    <t>S-T5V-BM2942</t>
  </si>
  <si>
    <t>S-T5V-BM2943</t>
  </si>
  <si>
    <t>S-T5V-BM2944</t>
  </si>
  <si>
    <t>S-T5V-BM2945</t>
  </si>
  <si>
    <t>S-T5V-BM2946</t>
  </si>
  <si>
    <t>S-T5V-BM2947</t>
  </si>
  <si>
    <t>BEAM B-48 &amp; B49 REINFORCEMENT DETAIL(SSL29)</t>
  </si>
  <si>
    <t>S-T5V-BM2948</t>
  </si>
  <si>
    <t>S-T5V-BM2949</t>
  </si>
  <si>
    <t>BEAM B51 &amp;B52 REINFORCEMENT DETAIL(SSL29)</t>
  </si>
  <si>
    <t>S-T5V-BM2950</t>
  </si>
  <si>
    <t>S-T5V-BM2951</t>
  </si>
  <si>
    <t>S-T5V-BM2952</t>
  </si>
  <si>
    <t>BEAM B55 &amp; B56  REINFORCEMENT DETAIL(SSL29)</t>
  </si>
  <si>
    <t>S-T5V-BM2953</t>
  </si>
  <si>
    <t>S-T5V-BM2954</t>
  </si>
  <si>
    <t>S-T5V-BM2955</t>
  </si>
  <si>
    <t>S-T5V-BM2956</t>
  </si>
  <si>
    <t>S-T5V-BM2957</t>
  </si>
  <si>
    <t>S-T5V-BM2958</t>
  </si>
  <si>
    <t>S-T5V-BM2959</t>
  </si>
  <si>
    <t>BEAM B64 &amp; B65 REINFORCEMENT DETAIL(SSL29)</t>
  </si>
  <si>
    <t>S-T5V-BM2960</t>
  </si>
  <si>
    <t>S-T5V-BM2961</t>
  </si>
  <si>
    <t>BEAM B-67 &amp; B68 REINFORCEMENT DETAIL(SSL29)</t>
  </si>
  <si>
    <t>S-T5V-BM2934</t>
  </si>
  <si>
    <t>S-T5V-BM3101</t>
  </si>
  <si>
    <t>BEAM B-01a&amp;b REINFORCEMENT DETAIL(SSL31)</t>
  </si>
  <si>
    <t>S-T5V-BM3102</t>
  </si>
  <si>
    <t>BEAM B-02a&amp;b REINFORCEMENT DETAIL(SSL31)</t>
  </si>
  <si>
    <t>S-T5V-BM3103</t>
  </si>
  <si>
    <t>BEAM B-03a&amp;b REINFORCEMENT DETAIL(SSL31)</t>
  </si>
  <si>
    <t>S-T5V-BM3104</t>
  </si>
  <si>
    <t>BEAM B-04a&amp;b REINFORCEMENT DETAIL (SSL31)</t>
  </si>
  <si>
    <t>S-T5V-BM3105</t>
  </si>
  <si>
    <t>BEAM B-05a&amp;b REINFORCEMENT DETAIL(SSL31)</t>
  </si>
  <si>
    <t>S-T5V-BM3106</t>
  </si>
  <si>
    <t>BEAM B-06a&amp;b REINFORCEMENT DETAIL(SSL31)</t>
  </si>
  <si>
    <t>S-T5V-BM3107</t>
  </si>
  <si>
    <t>BEAM B-07a&amp;b REINFORCEMENT DETAIL(SSL31)</t>
  </si>
  <si>
    <t>S-T5V-BM3108</t>
  </si>
  <si>
    <t>BEAM B-08a&amp;b REINFORCEMENT DETAIL(SSL31)</t>
  </si>
  <si>
    <t>S-T5V-BM3109</t>
  </si>
  <si>
    <t>BEAM B-09a&amp;b REINFORCEMENT DETAIL(SSL31)</t>
  </si>
  <si>
    <t>S-T5V-BM3110</t>
  </si>
  <si>
    <t>BEAM B-10a&amp;b REINFORCEMENT DETAIL(SSL31)</t>
  </si>
  <si>
    <t>S-T5V-BM3111</t>
  </si>
  <si>
    <t>BEAM B-11a&amp;b REINFORCEMENT DETAIL (SSL31)</t>
  </si>
  <si>
    <t>S-T5V-BM3112</t>
  </si>
  <si>
    <t>BEAM B-12a&amp;b REINFORCEMENT DETAIL(SSL31)</t>
  </si>
  <si>
    <t>S-T5V-BM3113</t>
  </si>
  <si>
    <t>BEAM B-12a&amp;b REINFORCEMENT DETAIL SHEET 2(SSL31)</t>
  </si>
  <si>
    <t>S-T5V-BM3114</t>
  </si>
  <si>
    <t>BEAM B-14a&amp;b &amp; B-15a&amp;b REINFORCEMENT DETAIL(SSL31)</t>
  </si>
  <si>
    <t>S-T5V-BM3115</t>
  </si>
  <si>
    <t>BEAM B-16a&amp;b &amp; B-17a&amp;b REINFORCEMENT DETAIL(SSL31)</t>
  </si>
  <si>
    <t>S-T5V-BM3116</t>
  </si>
  <si>
    <t>S-T5V-BM3117</t>
  </si>
  <si>
    <t>BEAM B-19a&amp;b &amp; B-20a&amp;b REINFORCEMENT DETAIL(SSL31)</t>
  </si>
  <si>
    <t>S-T5V-BM3118</t>
  </si>
  <si>
    <t>BEAM B-21a&amp;b REINFORCEMENT DETAIL(SSL31)</t>
  </si>
  <si>
    <t>S-T5V-BM3119</t>
  </si>
  <si>
    <t>BEAM B-22a&amp;b REINFORCEMENT DETAIL(SSL31)</t>
  </si>
  <si>
    <t>S-T5V-BM3120</t>
  </si>
  <si>
    <t>BEAM B-23a&amp;b REINFORCEMENT DETAIL(SSL31)</t>
  </si>
  <si>
    <t>S-T5V-BM3121</t>
  </si>
  <si>
    <t>BEAM B-24a&amp;b &amp; B-25a&amp;b REINFORCEMENT DETAIL(SSL31)</t>
  </si>
  <si>
    <t>S-T5V-BM3122</t>
  </si>
  <si>
    <t>BEAM B-26a&amp;b &amp; B-27a&amp;b REINFORCEMENT DETAIL(SSL31)</t>
  </si>
  <si>
    <t>S-T5V-BM3123</t>
  </si>
  <si>
    <t>BEAM B-28a&amp;b REINFORCEMENT DETAIL(SSL31)</t>
  </si>
  <si>
    <t>S-T5V-BM3124</t>
  </si>
  <si>
    <t>BEAM B-29a&amp;b &amp; B-31 REINFORCEMENT DETAIL(SSL31)</t>
  </si>
  <si>
    <t>S-T5V-BM3125</t>
  </si>
  <si>
    <t>BEAM B-32a&amp;b &amp; B-33a&amp;b REINFORCEMENT DETAIL(SSL31)</t>
  </si>
  <si>
    <t>S-T5V-BM3126</t>
  </si>
  <si>
    <t>BEAM B-36a&amp;b &amp; B-37a&amp;b REINFORCEMENT DETAIL(SSL31)</t>
  </si>
  <si>
    <t>S-T5V-BM3127</t>
  </si>
  <si>
    <t>S-T5V-BM3140</t>
  </si>
  <si>
    <t>S-T5V-BM3141</t>
  </si>
  <si>
    <t>S-T5V-BM3142</t>
  </si>
  <si>
    <t>S-T5V-BM3143</t>
  </si>
  <si>
    <t>S-T5V-BM3144</t>
  </si>
  <si>
    <t>S-T5V-BM3147</t>
  </si>
  <si>
    <t>S-T5V-BM3148</t>
  </si>
  <si>
    <t>S-T5V-BM3149</t>
  </si>
  <si>
    <t>S-T5V-BM3150</t>
  </si>
  <si>
    <t>S-T5V-BM3151</t>
  </si>
  <si>
    <t>S-T5V-BM3152</t>
  </si>
  <si>
    <t>S-T5V-BM3153</t>
  </si>
  <si>
    <t>S-T5V-BM3154</t>
  </si>
  <si>
    <t>S-T5V-BM3155</t>
  </si>
  <si>
    <t>S-T5V-BM3156</t>
  </si>
  <si>
    <t>S-T5V-BM3157</t>
  </si>
  <si>
    <t>S-T5V-BM3158</t>
  </si>
  <si>
    <t>S-T5V-BM3159</t>
  </si>
  <si>
    <t>S-T5V-BM3160</t>
  </si>
  <si>
    <t>S-T5V-BM3161</t>
  </si>
  <si>
    <t>S-T5V-BM3162</t>
  </si>
  <si>
    <t>S-T5V-BM3163</t>
  </si>
  <si>
    <t>S-T5V-BM3164</t>
  </si>
  <si>
    <t>S-T5V-BM3165</t>
  </si>
  <si>
    <t>S-T5V-BM3166</t>
  </si>
  <si>
    <t>S-T5V-SB0104</t>
  </si>
  <si>
    <t>S-T5V-SB0201</t>
  </si>
  <si>
    <t>S-T5V-SB0202</t>
  </si>
  <si>
    <t>S-T5V-SB0203</t>
  </si>
  <si>
    <t>S-T5V-SB0204</t>
  </si>
  <si>
    <t>S-T5V-SB0501</t>
  </si>
  <si>
    <t>S-T5V-SB0601</t>
  </si>
  <si>
    <t>S-T5V-SB0603</t>
  </si>
  <si>
    <t>S-T5V-SB0901</t>
  </si>
  <si>
    <t>S-T5V-SB0902</t>
  </si>
  <si>
    <t>S-T5V-SB0903</t>
  </si>
  <si>
    <t>S-T5V-SB0904</t>
  </si>
  <si>
    <t>S-T5V-SL0201</t>
  </si>
  <si>
    <t>S-T5V-SL0301</t>
  </si>
  <si>
    <t>L30 Portion plan showing service sleeves at SSL03</t>
  </si>
  <si>
    <t>S-T5V-SL0302</t>
  </si>
  <si>
    <t>Sleeve Reinforcement Details of SSL 03(sheet-1)</t>
  </si>
  <si>
    <t>S-T5V-SL0304</t>
  </si>
  <si>
    <t>Sleeve Reinforcement Details of SSL 03(sheet-3)</t>
  </si>
  <si>
    <t>S-TXV-FP3101</t>
  </si>
  <si>
    <t>S-TXV-CB0003</t>
  </si>
  <si>
    <t>Connecting Bridge Detail B/W Stepped &amp; Vertical Towers(SSL5)</t>
  </si>
  <si>
    <t>S-TXV-CB0004</t>
  </si>
  <si>
    <t>Connecting Bridge Corbel Details (SSL3)</t>
  </si>
  <si>
    <t>S-TXV-BM3202</t>
  </si>
  <si>
    <t>BEAM B41 REINFORCEMENT DETAIL</t>
  </si>
  <si>
    <t>S-TXV-BM3203</t>
  </si>
  <si>
    <t>BEAM B42 &amp; B43 REINFORCEMENT DETAIL</t>
  </si>
  <si>
    <t>S-TXV-BM3205</t>
  </si>
  <si>
    <t>BEAM B45 &amp; B47 REINFORCEMENT DETAIL</t>
  </si>
  <si>
    <t>S-TXV-BM3207</t>
  </si>
  <si>
    <t>BEAM B49 REINFORCEMENT DETAIL</t>
  </si>
  <si>
    <t>S-TXV-BM3209</t>
  </si>
  <si>
    <t>BEAM B51 REINFORCEMENT DETAIL</t>
  </si>
  <si>
    <t>S-TXV-SB3101</t>
  </si>
  <si>
    <t>BBS &amp; PLAN SHOWING SLAB BOTTOM  REINFORCMENT OF 31ST SSL</t>
  </si>
  <si>
    <t>S-TXV-SB3102</t>
  </si>
  <si>
    <t>BBS &amp; PLAN SHOWING SLAB TOP  REINFORCMENT OF 31ST SSL</t>
  </si>
  <si>
    <t>S-TXV-SL0901</t>
  </si>
  <si>
    <t>L30 Portion Plan showing sleeve locations at SSL09</t>
  </si>
  <si>
    <t>S-TXV-SL0902</t>
  </si>
  <si>
    <t>L30 Portion - Sleeves Reinforcement details for SSL09</t>
  </si>
  <si>
    <t>S-TXV-SL3101</t>
  </si>
  <si>
    <t>C20 PORTION PLAN SHOWING SLEEVES (SSL31)</t>
  </si>
  <si>
    <t>S-TXV-SL3102</t>
  </si>
  <si>
    <t>C20 PORTION-SLEEVES REINF. DETAILS FOR SSL31</t>
  </si>
  <si>
    <t>S-TXV-SL3103</t>
  </si>
  <si>
    <t>L30 PORTION PLAN SHOWING SLEEVES (SSL31)</t>
  </si>
  <si>
    <t>S-TXV-SL3104</t>
  </si>
  <si>
    <t>L30 PORTION-SLEEVES REINF. DETAILS FOR SSL31</t>
  </si>
  <si>
    <t>S-T3V-BM0129</t>
  </si>
  <si>
    <t>Beam B-29b Reinforcement Detail</t>
  </si>
  <si>
    <t>S-T3V-SB2901</t>
  </si>
  <si>
    <t>L30 PORTION-PLAN SHOWING INTERNAL SLABS BOTTOM  REINFORCEMENT FOR SSL29</t>
  </si>
  <si>
    <t>ST-TXV-8</t>
  </si>
  <si>
    <t>S-T3V-SB2902</t>
  </si>
  <si>
    <t>L30 PORTION-PLAN SHOWING INTERNAL SLABS TOP  REINFORCEMENT FOR SSL29</t>
  </si>
  <si>
    <t>S-T3V-SB2903</t>
  </si>
  <si>
    <t>L30 PORTION-BBS OF INTERNAL SLABS BOTTOM REINFOIRCEMENT FOR SSL29</t>
  </si>
  <si>
    <t>S-T3V-SB2904</t>
  </si>
  <si>
    <t>L30 PORTION-BBS OF INTERNAL SLABS TOP REINFOIRCEMENT FOR SSL29</t>
  </si>
  <si>
    <t>S-T3V-SB2906</t>
  </si>
  <si>
    <t>L30 PORTION-PLAN SHOWING TERRACE GARDEN SLABS BOTTOM &amp; TOP REINFORCEMENT FOR SSL29</t>
  </si>
  <si>
    <t>S-T3V-SB2908</t>
  </si>
  <si>
    <t>L30 PORTION-BBS OF TERRACE GARDEN SLABS BOTTOM &amp; TOP REINFORCEMENT FOR SSL29</t>
  </si>
  <si>
    <t>S-T4V-BM0129</t>
  </si>
  <si>
    <t>S-T4V-SB2901</t>
  </si>
  <si>
    <t>S-T4V-SB2902</t>
  </si>
  <si>
    <t>S-T4V-SB2903</t>
  </si>
  <si>
    <t>S-T4V-SB2904</t>
  </si>
  <si>
    <t>S-T4V-SB2906</t>
  </si>
  <si>
    <t>S-T4V-SB2908</t>
  </si>
  <si>
    <t>S-T5V-BM0129</t>
  </si>
  <si>
    <t>S-T5V-SB2901</t>
  </si>
  <si>
    <t>S-T5V-SB2902</t>
  </si>
  <si>
    <t>S-T5V-SB2903</t>
  </si>
  <si>
    <t>L30 PORTION-BBS OF INTERNAL SLABS BOTTOM REINFORCEMENT FOR SSL29</t>
  </si>
  <si>
    <t>S-T5V-SB2904</t>
  </si>
  <si>
    <t>L30 PORTION-BBS OF INTERNAL SLABS TOP REINFORCEMENT FOR SSL29</t>
  </si>
  <si>
    <t>S-T5V-SB2905</t>
  </si>
  <si>
    <t>L30 PORTION-PLAN SHOWING TERRACE GARDEN SLABS BOTTOM AND TOP REINFORCEMENT FOR SSL29</t>
  </si>
  <si>
    <t>S-T5V-SB2906</t>
  </si>
  <si>
    <t>S-TXV-FP3001</t>
  </si>
  <si>
    <t>S-TXV-OH0001</t>
  </si>
  <si>
    <t>ST-TXV-9</t>
  </si>
  <si>
    <t>S-TXV-OH0002</t>
  </si>
  <si>
    <t>S-TXV-OH0003</t>
  </si>
  <si>
    <t>S-TXV-OH0004</t>
  </si>
  <si>
    <t>S-TXV-OH0005</t>
  </si>
  <si>
    <t>S-TXV-OH0006</t>
  </si>
  <si>
    <t>S-TXV-SB3001</t>
  </si>
  <si>
    <t>L30 PORTION-PLAN SHOWING SLABS BOTTOM  REINFORCEMENT FOR SSL30</t>
  </si>
  <si>
    <t>S-TXV-SB3002</t>
  </si>
  <si>
    <t>L30 PORTION-PLAN SHOWING TOP  REINFORCEMENT FOR SSL30</t>
  </si>
  <si>
    <t>S-TXV-SB3003</t>
  </si>
  <si>
    <t>L30 PORTION-BBS OF SLAB REINFOIRCEMENT FOR SSL30</t>
  </si>
  <si>
    <t>S-TXV-SB3204</t>
  </si>
  <si>
    <t xml:space="preserve">PLAN SHOWING TOP &amp; BOT. REINF. DETAIL FOR WAFFLE SLAB </t>
  </si>
  <si>
    <t>S-TXV-SL3001</t>
  </si>
  <si>
    <t>L30 PORTION PLAN SHOWING SLEEVES (SSL30)</t>
  </si>
  <si>
    <t>S-TXV-SL3002</t>
  </si>
  <si>
    <t>L30 PORTION-SLEEVES REINF. DETAILS FOR SSL30</t>
  </si>
  <si>
    <t>S-T3S-FD0001</t>
  </si>
  <si>
    <t>ST-TXS-1</t>
  </si>
  <si>
    <t>S-T3S-FD0002</t>
  </si>
  <si>
    <t>Table of Reinf.for isolated footings</t>
  </si>
  <si>
    <t>S-T3S-RW0005</t>
  </si>
  <si>
    <t>Retaining Wall Section Details along Grid 3-A</t>
  </si>
  <si>
    <t>S-TXS-RW0006</t>
  </si>
  <si>
    <t>Retaining Wall foundation details b/w grids 3A &amp; 3B</t>
  </si>
  <si>
    <t>S-TXS-RW0007</t>
  </si>
  <si>
    <t>TXS &amp; T6S RETAINING WALL DETAILS</t>
  </si>
  <si>
    <t>S-TXS-RW0008</t>
  </si>
  <si>
    <t>Beam RWB03 Reinf.Detail</t>
  </si>
  <si>
    <t>S-T3S-CL0001</t>
  </si>
  <si>
    <t>S-T3S-CL0002</t>
  </si>
  <si>
    <t>S-T3S-CL0003</t>
  </si>
  <si>
    <t>Column 3SC1,3SC2,3SC3,3SC4,3SC5,3SC6,3SC7,3SC8,3SC9,3SC10 &amp;3SC11 Detail</t>
  </si>
  <si>
    <t>S-T3S-CL0004</t>
  </si>
  <si>
    <t>Column Reinforcement Detail-3SC39,3SC40,3SC41 &amp;3SC42(Foundation to 4th SSL)</t>
  </si>
  <si>
    <t>S-T3S-CL0005</t>
  </si>
  <si>
    <t>Column Reinforcement Detail-3SC43,3SC44,3SC45 &amp;3SC46(Foundation to 4th SSL)</t>
  </si>
  <si>
    <t>S-T3S-CL0006</t>
  </si>
  <si>
    <t>Column Reinforcement Detail-3SC39,3SC40,3SC41 &amp;3SC42( 4th SSL to 8th SSL)</t>
  </si>
  <si>
    <t>S-T3S-CL0007</t>
  </si>
  <si>
    <t>Column Reinforcement Detail-3SC43,3SC44,3SC45 &amp;3SC46( 4th SSL to 8th SSL)</t>
  </si>
  <si>
    <t>S-T4S-FD0001</t>
  </si>
  <si>
    <t>Tower-4 Stepped  Foundation Layout-Part Plan</t>
  </si>
  <si>
    <t>S-T4S-FD0002</t>
  </si>
  <si>
    <t>Table of Reinf.for Tower-4 Stepped Footings</t>
  </si>
  <si>
    <t>S-T4S-CL0001</t>
  </si>
  <si>
    <t>S-T4S-CL0002</t>
  </si>
  <si>
    <t>S-T4S-CL0003</t>
  </si>
  <si>
    <t>Column 4SC1,4SC2,4SC4,4SC4,4SC5,4SC6,4SC7,4SC8,4SC9,4SC10 &amp;4SC11 Detail</t>
  </si>
  <si>
    <t>S-T5S-FD0001</t>
  </si>
  <si>
    <t>Tower-5 Stepped  Foundation Layout-Part Plan</t>
  </si>
  <si>
    <t>S-T5S-FD0002</t>
  </si>
  <si>
    <t>Table of Reinf.for Tower-5 Stepped Footings</t>
  </si>
  <si>
    <t>S-T5S-CL0001</t>
  </si>
  <si>
    <t>S-T5S-CL0002</t>
  </si>
  <si>
    <t>S-T5S-CL0003</t>
  </si>
  <si>
    <t>Column  5SC6,5SC7,5SC8,5SC9,5SC10 &amp;5SC11 Detail</t>
  </si>
  <si>
    <t>S-TXS-WT0102</t>
  </si>
  <si>
    <t>S-TXS-FD0001</t>
  </si>
  <si>
    <t>S-TXS-FD0002</t>
  </si>
  <si>
    <t>Table of Reinf for isolated footings</t>
  </si>
  <si>
    <t>S-TXS-FD0003</t>
  </si>
  <si>
    <t>Typical pedestal details of isolated footings</t>
  </si>
  <si>
    <t>S-TXS-FD0101</t>
  </si>
  <si>
    <t>S-TXS-FD0201</t>
  </si>
  <si>
    <t>Foundation details for CF2 (1 of 2)</t>
  </si>
  <si>
    <t>S-TXS-FD0202</t>
  </si>
  <si>
    <t>Foundation details for CF2 (2 of 2)</t>
  </si>
  <si>
    <t>S-TXS-FD0301</t>
  </si>
  <si>
    <t>Foundation details for CF3 (1 of 2)</t>
  </si>
  <si>
    <t>S-TXS-FD0302</t>
  </si>
  <si>
    <t>Foundation details for CF3 (2 of 2)</t>
  </si>
  <si>
    <t>S-TXS-FD0401</t>
  </si>
  <si>
    <t>Foundation details for CF4 (1 of 2)</t>
  </si>
  <si>
    <t>S-TXS-FD0402</t>
  </si>
  <si>
    <t>Foundation details for CF4 (2 of 2)</t>
  </si>
  <si>
    <t>S-TXS-FD0501</t>
  </si>
  <si>
    <t>Foundation details for CF5</t>
  </si>
  <si>
    <t>S-TXS-FD0601</t>
  </si>
  <si>
    <t>S-TXS-FD0701</t>
  </si>
  <si>
    <t>Foundation details for CF7 (1 of 2)</t>
  </si>
  <si>
    <t>S-TXS-FD0702</t>
  </si>
  <si>
    <t>Foundation details for CF7 (2 of 2)</t>
  </si>
  <si>
    <t>S-TXS-FD0801</t>
  </si>
  <si>
    <t>Foundation details for CF8 (1 of 2)</t>
  </si>
  <si>
    <t>S-TXS-FD0802</t>
  </si>
  <si>
    <t>Foundation details for CF8 (2 of 2)</t>
  </si>
  <si>
    <t>S-TXS-FD0901</t>
  </si>
  <si>
    <t>Foundation details for CF9 (1 of 2)</t>
  </si>
  <si>
    <t>S-TXS-FD0902</t>
  </si>
  <si>
    <t>Foundation details for CF9 (2 of 2)</t>
  </si>
  <si>
    <t>S-TXS-FD1001</t>
  </si>
  <si>
    <t>Foundation details for CF10 (1 of 2)</t>
  </si>
  <si>
    <t>S-TXS-FD1002</t>
  </si>
  <si>
    <t>Foundation details for CF10 (2 of 2)</t>
  </si>
  <si>
    <t>S-TXS-FD1101</t>
  </si>
  <si>
    <t>Foundation details for CF11 (1 of 2)</t>
  </si>
  <si>
    <t>S-TXS-FD1102</t>
  </si>
  <si>
    <t>Foundation details for CF11 (2 of 2)</t>
  </si>
  <si>
    <t>S-TXS-FD1201</t>
  </si>
  <si>
    <t>Foundation details for CF12 (1 of 2)</t>
  </si>
  <si>
    <t>S-TXS-FD1202</t>
  </si>
  <si>
    <t>Foundation details for CF12 (2 of 2)</t>
  </si>
  <si>
    <t>S-TXS-FD1301</t>
  </si>
  <si>
    <t>Foundation details for CF13 (1 of 2)</t>
  </si>
  <si>
    <t>S-TXS-FD1302</t>
  </si>
  <si>
    <t>Foundation details for CF13 (2 of 2)</t>
  </si>
  <si>
    <t>S-TXS-FD1401</t>
  </si>
  <si>
    <t>Foundation details for CF14 (1 of 2)</t>
  </si>
  <si>
    <t>S-TXS-FD1402</t>
  </si>
  <si>
    <t>Foundation details for CF14 (2 of 2)</t>
  </si>
  <si>
    <t>S-TXS-FD1501</t>
  </si>
  <si>
    <t>Foundation details for CF15 (SHEET 1)</t>
  </si>
  <si>
    <t>S-TXS-FD1502</t>
  </si>
  <si>
    <t>Foundation details for CF15 (SHEET 2)</t>
  </si>
  <si>
    <t>S-TXS-FD1503</t>
  </si>
  <si>
    <t>Foundation details for CF15 (SHEET 3)</t>
  </si>
  <si>
    <t>S-TXS-FD1504</t>
  </si>
  <si>
    <t>Foundation details for CF15 (SHEET 4)</t>
  </si>
  <si>
    <t>S-TXS-FD1505</t>
  </si>
  <si>
    <t>Foundation details for CF15 (SHEET 5)</t>
  </si>
  <si>
    <t>S-TXS-FD1506</t>
  </si>
  <si>
    <t>Foundation details for CF15 (SHEET 6)</t>
  </si>
  <si>
    <t>S-TXS-FD1507</t>
  </si>
  <si>
    <t>Foundation details for CF15 (SHEET 7)</t>
  </si>
  <si>
    <t>S-TXS-FD1508</t>
  </si>
  <si>
    <t>Foundation details for CF15 (SHEET 8)</t>
  </si>
  <si>
    <t>S-TXS-FD1509</t>
  </si>
  <si>
    <t>Foundation details for CF15 (SHEET 9)</t>
  </si>
  <si>
    <t>S-TXS-RW0001</t>
  </si>
  <si>
    <t>Retaining Wall Reinforcement Details (Earth Side) b/w Grids 3-A &amp; 3-B</t>
  </si>
  <si>
    <t>S-TXS-RW0002</t>
  </si>
  <si>
    <t>Retaining Wall Reinforcement Details (Basement Side) b/w Grids 3-A &amp; 3-B</t>
  </si>
  <si>
    <t>S-TXS-RW0003</t>
  </si>
  <si>
    <t>Retaining Wall Column &amp; Typical Groove Details</t>
  </si>
  <si>
    <t>S-TXS-RW0004</t>
  </si>
  <si>
    <t>Structural/Retaining wall reinforcement sections b/w grids 3-A &amp; 3-B</t>
  </si>
  <si>
    <t>S-TXS-CL0002</t>
  </si>
  <si>
    <t>TYPICAL COUPLER LOCATION DETAILS</t>
  </si>
  <si>
    <t>S-TXS-CL0003</t>
  </si>
  <si>
    <t>COLUMN REINFORCEMENT DETAILS-SC2a, SC3a, SC4a &amp; SC5a (FOUNDATION TO 4TH SSL)</t>
  </si>
  <si>
    <t>S-TXS-CL0004</t>
  </si>
  <si>
    <t>COLUMN REINFORCEMENT DETAILS-SC6a, SC7a, SC8a &amp; SC9a (FOUNDATION TO 4TH SSL)</t>
  </si>
  <si>
    <t>S-TXS-CL0005</t>
  </si>
  <si>
    <t>COLUMN REINFORCEMENT DETAILS-SC11a, SC12a, SC13a &amp; SC14a (FOUNDATION TO 4TH SSL)</t>
  </si>
  <si>
    <t>S-TXS-CL0006</t>
  </si>
  <si>
    <t>COLUMN REINFORCEMENT DETAILS-SC15a, SC16a, SC17a &amp; SC18a (FOUNDATION TO 4TH SSL)</t>
  </si>
  <si>
    <t>S-TXS-CL0007</t>
  </si>
  <si>
    <t>COLUMN REINFORCEMENT DETAILS-SC19a (FOUNDATION TO 4TH SSL)</t>
  </si>
  <si>
    <t>S-TXS-CL0008</t>
  </si>
  <si>
    <t>COLUMN REINFORCEMENT DETAILS-SC35, SC36, SC37 &amp; SC38  (FOUNDATION TO 4TH SSL)</t>
  </si>
  <si>
    <t>S-TXS-CL0009</t>
  </si>
  <si>
    <t>COLUMN REINFORCEMENT DETAILS-SC39, SC40, SC41 &amp; SC42  (FOUNDATION TO 4TH SSL)</t>
  </si>
  <si>
    <t>S-TXS-CL0010</t>
  </si>
  <si>
    <t>COLUMN REINFORCEMENT DETAILS-SC43  (FOUNDATION TO 4TH SSL)</t>
  </si>
  <si>
    <t>S-TXS-CL0011</t>
  </si>
  <si>
    <t>COLUMN REINFORCEMENT DETAILS-SC1b, SC2b, SC3b, SC4b &amp; SC5b (FOUNDATION TO 4TH SSL)</t>
  </si>
  <si>
    <t>S-TXS-CL0012</t>
  </si>
  <si>
    <t>COLUMN REINFORCEMENT DETAILS-SC6b, SC7b, SC8b &amp; SC9b (FOUNDATION TO 4TH SSL)</t>
  </si>
  <si>
    <t>S-TXS-CL0013</t>
  </si>
  <si>
    <t>COLUMN REINFORCEMENT DETAILS-SC11b, SC12b, SC13b &amp; SC14b (FOUNDATION TO 4TH SSL)</t>
  </si>
  <si>
    <t>S-TXS-CL0014</t>
  </si>
  <si>
    <t>COLUMN REINFORCEMENT DETAILS-SC15b, SC16b, SC17b &amp; SC18b (FOUNDATION TO 4TH SSL)</t>
  </si>
  <si>
    <t>S-TXS-CL0015</t>
  </si>
  <si>
    <t>COLUMN REINFORCEMENT DETAILS-SC19b (FOUNDATION TO 4TH SSL)</t>
  </si>
  <si>
    <t>S-TXS-CL0016</t>
  </si>
  <si>
    <t>COLUMN REINFORCEMENT DETAILS-SC21a, SC22a &amp; SC23a (FOUNDATION TO 4TH SSL)</t>
  </si>
  <si>
    <t>S-TXS-CL0017</t>
  </si>
  <si>
    <t>COLUMN REINFORCEMENT DETAILS-SC25a, SC26a, SC27a &amp; SC28a (FOUNDATION TO 4TH SSL)</t>
  </si>
  <si>
    <t>S-TXS-CL0018</t>
  </si>
  <si>
    <t>COLUMN REINFORCEMENT DETAILS-SC29a, SC30a, SC31a &amp; SC32a (FOUNDATION TO 4TH SSL)</t>
  </si>
  <si>
    <t>S-TXS-CL0019</t>
  </si>
  <si>
    <t>COLUMN REINFORCEMENT DETAILS-SC33, SC44 to SC46 (FOUNDATION TO 4TH SSL)</t>
  </si>
  <si>
    <t>S-TXS-CL0020</t>
  </si>
  <si>
    <t>COLUMN REINFORCEMENT DETAILS-SC21b, SC22b &amp; SC23b (FOUNDATION TO 4TH SSL)</t>
  </si>
  <si>
    <t>S-TXS-CL0021</t>
  </si>
  <si>
    <t>COLUMN REINFORCEMENT DETAILS-SC25b, SC26b, SC27b &amp; SC28b (FOUNDATION TO 4TH SSL)</t>
  </si>
  <si>
    <t>S-TXS-CL0022</t>
  </si>
  <si>
    <t>COLUMN REINFORCEMENT DETAILS-SC29b, SC30b, SC31b &amp; SC32b (FOUNDATION TO 4TH SSL)</t>
  </si>
  <si>
    <t>S-TXS-CL0023</t>
  </si>
  <si>
    <t xml:space="preserve"> COLUMN LAPPING DETAILS</t>
  </si>
  <si>
    <t>S-TXS-CL0024</t>
  </si>
  <si>
    <t>LIFT CORE WALL DETAILS (SHEET 01 OF 02)</t>
  </si>
  <si>
    <t>S-TXS-CL0025</t>
  </si>
  <si>
    <t>LIFT CORE WALL DETAILS (SHEET 02 OF 02)</t>
  </si>
  <si>
    <t>S-TXS-CL0026</t>
  </si>
  <si>
    <t>400THK. RCC WALL (FOUNDATION TO 1ST SSL)</t>
  </si>
  <si>
    <t>S-TXS-CL0027</t>
  </si>
  <si>
    <t>COLUMN REINFORCEMENT DETAIL-SW1 (FOUNDATION TO 4TH SSL)</t>
  </si>
  <si>
    <t>S-TXS-CL0028</t>
  </si>
  <si>
    <t>COLUMN REINFORCEMENT DETAIL-SW2 (FOUNDATION TO 4TH SSL)</t>
  </si>
  <si>
    <t>S-TXS-CL0029</t>
  </si>
  <si>
    <t>COLUMN REINFORCEMENT DETAIL-SW3 (FOUNDATION TO 4TH SSL)</t>
  </si>
  <si>
    <t>S-TXS-CL0030</t>
  </si>
  <si>
    <t>COLUMN REINFORCEMENT DETAILS-3SC7a, 3SC8a, SC9a, 3SC10a (4TH SSL TO 8TH SSL)</t>
  </si>
  <si>
    <t>S-TXS-CL0031</t>
  </si>
  <si>
    <t>COLUMN REINFORCEMENT DETAILS-3SC11a, 3SC12a, SC13a, 3SC14a (4TH SSL TO 8TH SSL)</t>
  </si>
  <si>
    <t>S-TXS-CL0032</t>
  </si>
  <si>
    <t>COLUMN REINFORCEMENT DETAILS-3SC15a, 3SC16a, SC17a, 3SC18a (4TH SSL TO 8TH SSL)</t>
  </si>
  <si>
    <t>S-TXS-CL0033</t>
  </si>
  <si>
    <t>COLUMN REINFORCEMENT DETAILS-3SC19a, 3SC21a, SC22a, 3SC23a (4TH SSL TO 8TH SSL)</t>
  </si>
  <si>
    <t>S-TXS-CL0034</t>
  </si>
  <si>
    <t>COLUMN REINFORCEMENT DETAILS-3SC25a, 3SC26a, SC27a, 3SC28a (4TH SSL TO 8TH SSL)</t>
  </si>
  <si>
    <t>S-TXS-CL0035</t>
  </si>
  <si>
    <t>COLUMN REINFORCEMENT DETAILS-3SC29a, 3SC30a, SC31a, 3SC32a (4TH SSL TO 8TH SSL)</t>
  </si>
  <si>
    <t>S-TXS-CL0036</t>
  </si>
  <si>
    <t>COLUMN REINFORCEMENT DETAILS-3SW1 (4TH SSL TO 8TH SSL)</t>
  </si>
  <si>
    <t>S-TXS-CL0037</t>
  </si>
  <si>
    <t>COLUMN REINFORCEMENT DETAILS-3SW2 (4TH SSL TO 8TH SSL)</t>
  </si>
  <si>
    <t>S-TXS-CL0038</t>
  </si>
  <si>
    <t>COLUMN REINFORCEMENT DETAILS-3SW3 (4TH SSL TO 8TH SSL)</t>
  </si>
  <si>
    <t>S-TXS-CL0039</t>
  </si>
  <si>
    <t>COLUMN REINFORCEMENT DETAILS-3SC7b, 3SC8b, SC9b, 3SC10b (4TH SSL TO 8TH SSL)</t>
  </si>
  <si>
    <t>S-TXS-CL0040</t>
  </si>
  <si>
    <t>COLUMN REINFORCEMENT DETAILS-3SC11b, 3SC12b, SC13b, 3SC14b (4TH SSL TO 8TH SSL)</t>
  </si>
  <si>
    <t>S-TXS-CL0041</t>
  </si>
  <si>
    <t>FLOATING COLUMN DETAILS</t>
  </si>
  <si>
    <t>S-TXS-CL0042</t>
  </si>
  <si>
    <t>COLUMN REINFORCEMENT DETAILS-3SC15b, 3SC16b, SC17b, 3SC18b (4TH SSL TO 8TH SSL)</t>
  </si>
  <si>
    <t>S-TXS-CL0043</t>
  </si>
  <si>
    <t>COLUMN REINFORCEMENT DETAILS-3SC19b, 3SC21b, SC22b, 3SC23b (4TH SSL TO 8TH SSL)</t>
  </si>
  <si>
    <t>S-TXS-CL0044</t>
  </si>
  <si>
    <t>COLUMN REINFORCEMENT DETAILS-3SC25b, 3SC26b, SC27b, 3SC28b (4TH SSL TO 8TH SSL)</t>
  </si>
  <si>
    <t>S-TXS-CL0045</t>
  </si>
  <si>
    <t>COLUMN REINFORCEMENT DETAILS-3SC29b, 3SC30b, SC31b, 3SC32b (4TH SSL TO 8TH SSL)</t>
  </si>
  <si>
    <t>S-TXS-CL0046</t>
  </si>
  <si>
    <t>COLUMN REINFORCEMENT DETAILS-3SC37, 3SC38, SC41, 3SC42,3SC43 (4TH SSL TO 8TH SSL)</t>
  </si>
  <si>
    <t>S-TXS-CL0047</t>
  </si>
  <si>
    <t>COLUMN REINFORCEMENT DETAILS-3SC44, 3SC45, SC46, 3SC33 (4TH SSL TO 8TH SSL)</t>
  </si>
  <si>
    <t>S-TXS-CL0048</t>
  </si>
  <si>
    <t>LIFT CORE WALL DETAILS (4TH SSL TO 8TH SSL)</t>
  </si>
  <si>
    <t>S-TXS-MS0004</t>
  </si>
  <si>
    <t>Staircase-2 Midlanding slab extension details</t>
  </si>
  <si>
    <t>S-TXS-MS0005</t>
  </si>
  <si>
    <t>TYPICALSERVICE PLATFORM DETAILS</t>
  </si>
  <si>
    <t>S-TXS-ST0101</t>
  </si>
  <si>
    <t>S-TXS-ST0102</t>
  </si>
  <si>
    <t>S-TXS-ST0103</t>
  </si>
  <si>
    <t>S-TXS-ST0104</t>
  </si>
  <si>
    <t>S-TXS-ST0105</t>
  </si>
  <si>
    <t>S-TXS-ST0106</t>
  </si>
  <si>
    <t>S-TXS-ST0201</t>
  </si>
  <si>
    <t>S-TXS-ST0202</t>
  </si>
  <si>
    <t>S-TXS-ST0203</t>
  </si>
  <si>
    <t>S-TXS-ST0204</t>
  </si>
  <si>
    <t>S-TXS-ST0205</t>
  </si>
  <si>
    <t>S-TXS-ST0206</t>
  </si>
  <si>
    <t>S-TXS-ST0207</t>
  </si>
  <si>
    <t>S-TXS-ST0208</t>
  </si>
  <si>
    <t>S-TXS-ST0209</t>
  </si>
  <si>
    <t>S-TXS-ST0301</t>
  </si>
  <si>
    <t>S-TXS-ST0302</t>
  </si>
  <si>
    <t>S-TXS-ST0303</t>
  </si>
  <si>
    <t>S-TXS-ST0304</t>
  </si>
  <si>
    <t>S-TXS-ST0305</t>
  </si>
  <si>
    <t>S-TXS-ST0306</t>
  </si>
  <si>
    <t>S-TXS-FP0101</t>
  </si>
  <si>
    <t>ST-TXS-2</t>
  </si>
  <si>
    <t>S-TXS-BM0101</t>
  </si>
  <si>
    <t>BEAM B1a REINF DETAILS (SHEET 1 OF 3)</t>
  </si>
  <si>
    <t>S-TXS-BM0102</t>
  </si>
  <si>
    <t>BEAM B1a REINF DETAILS (SHEET 2 OF 3)</t>
  </si>
  <si>
    <t>S-TXS-BM0103</t>
  </si>
  <si>
    <t>BEAM B1a REINF DETAILS (SHEET 3 OF 3)</t>
  </si>
  <si>
    <t>S-TXS-BM0104</t>
  </si>
  <si>
    <t>BEAM B2a REINF DETAILS (SHEET 1 OF 3)</t>
  </si>
  <si>
    <t>S-TXS-BM0105</t>
  </si>
  <si>
    <t>BEAM B2a REINF DETAILS (SHEET 2 OF 3)</t>
  </si>
  <si>
    <t>S-TXS-BM0106</t>
  </si>
  <si>
    <t>BEAM B2a REINF DETAILS (SHEET 3 OF 3)</t>
  </si>
  <si>
    <t>S-TXS-BM0107</t>
  </si>
  <si>
    <t>BEAM B3a REINF DETAILS (SHEET 1 OF 3)</t>
  </si>
  <si>
    <t>S-TXS-BM0108</t>
  </si>
  <si>
    <t>BEAM B3a REINF DETAILS (SHEET 2 OF 3)</t>
  </si>
  <si>
    <t>S-TXS-BM0109</t>
  </si>
  <si>
    <t>BEAM B3a REINF DETAILS (SHEET 3 OF 3)</t>
  </si>
  <si>
    <t>S-TXS-BM0110</t>
  </si>
  <si>
    <t>BEAM B4a REINF DETAILS (SHEET 1 OF 3)</t>
  </si>
  <si>
    <t>S-TXS-BM0111</t>
  </si>
  <si>
    <t>BEAM B4a REINF DETAILS (SHEET 2 OF 3)</t>
  </si>
  <si>
    <t>S-TXS-BM0112</t>
  </si>
  <si>
    <t>BEAM B4a REINF DETAILS (SHEET 3 OF 3)</t>
  </si>
  <si>
    <t>S-TXS-BM0113</t>
  </si>
  <si>
    <t>BEAM B5a REINF DETAILS (SHEET 1 OF 3)</t>
  </si>
  <si>
    <t>S-TXS-BM0114</t>
  </si>
  <si>
    <t>BEAM B5a REINF DETAILS (SHEET 2 OF 3)</t>
  </si>
  <si>
    <t>S-TXS-BM0115</t>
  </si>
  <si>
    <t>BEAM B5a REINF DETAILS (SHEET 3 OF 3)</t>
  </si>
  <si>
    <t>S-TXS-BM0116</t>
  </si>
  <si>
    <t>BEAM B5b REINF DETAILS (SHEET 1 OF 3)</t>
  </si>
  <si>
    <t>S-TXS-BM0117</t>
  </si>
  <si>
    <t>BEAM B5b REINF DETAILS (SHEET 2 OF 3)</t>
  </si>
  <si>
    <t>S-TXS-BM0118</t>
  </si>
  <si>
    <t>BEAM B5b REINF DETAILS (SHEET 3 OF 3)</t>
  </si>
  <si>
    <t>S-TXS-BM0119</t>
  </si>
  <si>
    <t>BEAM B4b REINF DETAILS (SHEET 1 OF 3)</t>
  </si>
  <si>
    <t>S-TXS-BM0120</t>
  </si>
  <si>
    <t>BEAM B4b REINF DETAILS (SHEET 2 OF 3)</t>
  </si>
  <si>
    <t>S-TXS-BM0121</t>
  </si>
  <si>
    <t>BEAM B4b REINF DETAILS (SHEET 3 OF 3)</t>
  </si>
  <si>
    <t>S-TXS-BM0122</t>
  </si>
  <si>
    <t>BEAM B3b REINF DETAILS (SHEET 1 OF 3)</t>
  </si>
  <si>
    <t>S-TXS-BM0123</t>
  </si>
  <si>
    <t>BEAM B3b REINF DETAILS (SHEET 2 OF 3)</t>
  </si>
  <si>
    <t>S-TXS-BM0124</t>
  </si>
  <si>
    <t>BEAM B3b REINF DETAILS (SHEET 3 OF 3)</t>
  </si>
  <si>
    <t>S-TXS-BM0125</t>
  </si>
  <si>
    <t>BEAM B2b REINF DETAILS (SHEET 1 OF 3)</t>
  </si>
  <si>
    <t>S-TXS-BM0126</t>
  </si>
  <si>
    <t>BEAM B2b REINF DETAILS (SHEET 2 OF 3)</t>
  </si>
  <si>
    <t>S-TXS-BM0127</t>
  </si>
  <si>
    <t>BEAM B2b REINF DETAILS (SHEET 3 OF 3)</t>
  </si>
  <si>
    <t>S-TXS-BM0128</t>
  </si>
  <si>
    <t>BEAM B1b REINF DETAILS (SHEET 1 OF 2)</t>
  </si>
  <si>
    <t>S-TXS-BM0129</t>
  </si>
  <si>
    <t>BEAM B1b REINF DETAILS (SHEET 2 OF 2)</t>
  </si>
  <si>
    <t>S-TXS-BM0130</t>
  </si>
  <si>
    <t>BEAM BW1 REINF DETAILS (SHEET 1 OF 2)</t>
  </si>
  <si>
    <t>S-TXS-BM0131</t>
  </si>
  <si>
    <t>BEAM BW1 REINF DETAILS (SHEET 2 OF 2)</t>
  </si>
  <si>
    <t>S-TXS-BM0132</t>
  </si>
  <si>
    <t>BEAM BW2 REINF DETAILS (SHEET 1 OF 3)</t>
  </si>
  <si>
    <t>S-TXS-BM0133</t>
  </si>
  <si>
    <t>BEAM BW2 REINF DETAILS (SHEET 2 OF 3)</t>
  </si>
  <si>
    <t>S-TXS-BM0134</t>
  </si>
  <si>
    <t>BEAM BW2 REINF DETAILS (SHEET 3 OF 3)</t>
  </si>
  <si>
    <t>S-TXS-BM0140</t>
  </si>
  <si>
    <t>BEAM 1B20 REINF DETAILS (SHEET 1 OF 2)</t>
  </si>
  <si>
    <t>S-TXS-BM0141</t>
  </si>
  <si>
    <t>BEAM 1B20 REINF DETAILS (SHEET 2 OF 2)</t>
  </si>
  <si>
    <t>S-TXS-BM0142</t>
  </si>
  <si>
    <t>BEAM 1B21 REINF DETAILS (SHEET 1 OF 2)</t>
  </si>
  <si>
    <t>S-TXS-BM0143</t>
  </si>
  <si>
    <t>BEAM 1B21 REINF DETAILS (SHEET 2 OF 2)</t>
  </si>
  <si>
    <t>S-TXS-BM0144</t>
  </si>
  <si>
    <t>BEAM 1B22 REINF DETAILS (SHEET 1 OF 2)</t>
  </si>
  <si>
    <t>S-TXS-BM0145</t>
  </si>
  <si>
    <t>BEAM 1B22 REINF DETAILS (SHEET 2 OF 2)</t>
  </si>
  <si>
    <t>S-TXS-BM0146</t>
  </si>
  <si>
    <t>BEAM 1B23 REINF DETAILS (SHEET 1 OF 2)</t>
  </si>
  <si>
    <t>S-TXS-BM0147</t>
  </si>
  <si>
    <t>BEAM 1B23 REINF DETAILS (SHEET 2 OF 2)</t>
  </si>
  <si>
    <t>S-TXS-BM0148</t>
  </si>
  <si>
    <t>BEAM 1B24 REINF DETAILS (SHEET 1 OF 3)</t>
  </si>
  <si>
    <t>S-TXS-BM0149</t>
  </si>
  <si>
    <t>BEAM 1B24 REINF DETAILS (SHEET 2 OF 3)</t>
  </si>
  <si>
    <t>S-TXS-BM0150</t>
  </si>
  <si>
    <t>BEAM 1B24 REINF DETAILS (SHEET 3 OF 3)</t>
  </si>
  <si>
    <t>S-TXS-BM0151</t>
  </si>
  <si>
    <t>BEAM 1B25 REINF DETAILS (SHEET 1 OF 3)</t>
  </si>
  <si>
    <t>S-TXS-BM0152</t>
  </si>
  <si>
    <t>BEAM 1B25 REINF DETAILS (SHEET 2 OF 3)</t>
  </si>
  <si>
    <t>S-TXS-BM0153</t>
  </si>
  <si>
    <t>BEAM 1B25 REINF DETAILS (SHEET 3 OF 3)</t>
  </si>
  <si>
    <t>S-TXS-BM0154</t>
  </si>
  <si>
    <t>BEAM 1B26 REINF DETAILS (SHEET 1 OF 1)</t>
  </si>
  <si>
    <t>S-TXS-BM0155</t>
  </si>
  <si>
    <t>BEAM 1B27 REINF DETAILS (SHEET 1 OF 3)</t>
  </si>
  <si>
    <t>S-TXS-BM0156</t>
  </si>
  <si>
    <t>BEAM 1B27 REINF DETAILS (SHEET 2 OF 3)</t>
  </si>
  <si>
    <t>S-TXS-BM0157</t>
  </si>
  <si>
    <t>BEAM 1B27 REINF DETAILS (SHEET 3 OF 3)</t>
  </si>
  <si>
    <t>S-TXS-BM0158</t>
  </si>
  <si>
    <t>BEAM 1B28 REINF DETAILS (SHEET 1 OF 2)</t>
  </si>
  <si>
    <t>S-TXS-BM0159</t>
  </si>
  <si>
    <t>BEAM 1B28 REINF DETAILS (SHEET 2 OF 2)</t>
  </si>
  <si>
    <t>S-TXS-BM0160</t>
  </si>
  <si>
    <t>BEAM 1B29 REINF DETAILS (SHEET 1 OF 3)</t>
  </si>
  <si>
    <t>S-TXS-BM0161</t>
  </si>
  <si>
    <t>BEAM 1B29 REINF DETAILS (SHEET 2 OF 3)</t>
  </si>
  <si>
    <t>S-TXS-BM0162</t>
  </si>
  <si>
    <t>BEAM 1B29 REINF DETAILS (SHEET 3 OF 3)</t>
  </si>
  <si>
    <t>S-TXS-BM0163</t>
  </si>
  <si>
    <t>BEAM 1B30 REINF DETAILS (SHEET 1 OF 3)</t>
  </si>
  <si>
    <t>S-TXS-BM0164</t>
  </si>
  <si>
    <t>BEAM 1B30 REINF DETAILS (SHEET 2 OF 3)</t>
  </si>
  <si>
    <t>S-TXS-BM0165</t>
  </si>
  <si>
    <t>BEAM 1B30 REINF DETAILS (SHEET 3 OF 3)</t>
  </si>
  <si>
    <t>S-TXS-BM0166</t>
  </si>
  <si>
    <t>BEAM 1B31 REINF DETAILS (SHEET 1 OF 3)</t>
  </si>
  <si>
    <t>S-TXS-BM0167</t>
  </si>
  <si>
    <t>BEAM 1B31 REINF DETAILS (SHEET 2 OF 3)</t>
  </si>
  <si>
    <t>S-TXS-BM0168</t>
  </si>
  <si>
    <t>BEAM 1B31 REINF DETAILS (SHEET 3 OF 3)</t>
  </si>
  <si>
    <t>S-TXS-BM0169</t>
  </si>
  <si>
    <t>BEAM 1B32 REINF DETAILS (SHEET 1 OF 3)</t>
  </si>
  <si>
    <t>S-TXS-BM0170</t>
  </si>
  <si>
    <t>BEAM 1B32 REINF DETAILS (SHEET 2 OF 3)</t>
  </si>
  <si>
    <t>S-TXS-BM0171</t>
  </si>
  <si>
    <t>BEAM 1B32 REINF DETAILS (SHEET 3 OF 3)</t>
  </si>
  <si>
    <t>S-TXS-BM0172</t>
  </si>
  <si>
    <t>BEAM 1B33 REINF DETAILS (SHEET 1 OF 3)</t>
  </si>
  <si>
    <t>S-TXS-BM0173</t>
  </si>
  <si>
    <t>BEAM 1B33 REINF DETAILS (SHEET 2 OF 3)</t>
  </si>
  <si>
    <t>S-TXS-BM0174</t>
  </si>
  <si>
    <t>BEAM 1B33 REINF DETAILS (SHEET 3 OF 3)</t>
  </si>
  <si>
    <t>S-TXS-BM0175</t>
  </si>
  <si>
    <t>BEAM 1B34 REINF DETAILS (SHEET 1 OF 3)</t>
  </si>
  <si>
    <t>S-TXS-BM0176</t>
  </si>
  <si>
    <t>BEAM 1B34 REINF DETAILS (SHEET 2 OF 3)</t>
  </si>
  <si>
    <t>S-TXS-BM0177</t>
  </si>
  <si>
    <t>BEAM 1B34 REINF DETAILS (SHEET 3 OF 3)</t>
  </si>
  <si>
    <t>S-TXS-BM0178</t>
  </si>
  <si>
    <t xml:space="preserve">BEAM 1B35a REINF DETAILS </t>
  </si>
  <si>
    <t>S-TXS-BM0179</t>
  </si>
  <si>
    <t xml:space="preserve">BEAM 1B36a REINF DETAILS </t>
  </si>
  <si>
    <t>S-TXS-BM0180</t>
  </si>
  <si>
    <t>BEAM 1B38 &amp; 1B37 REINF DETAILS</t>
  </si>
  <si>
    <t>S-TXS-BM0181</t>
  </si>
  <si>
    <t>BEAM-1B1-0a &amp; b REINF DETAILS</t>
  </si>
  <si>
    <t>S-TXS-BM0182</t>
  </si>
  <si>
    <t>BEAM-1B2a REINF DETAILS</t>
  </si>
  <si>
    <t>S-TXS-BM0183</t>
  </si>
  <si>
    <t>BEAM-1B3a REINF DETAILS</t>
  </si>
  <si>
    <t>S-TXS-BM0184</t>
  </si>
  <si>
    <t>BEAM-1B4a REINF DETAILS</t>
  </si>
  <si>
    <t>S-TXS-BM0185</t>
  </si>
  <si>
    <t>BEAM-1B5a REINF DETAILS</t>
  </si>
  <si>
    <t>S-TXS-BM0186</t>
  </si>
  <si>
    <t>BEAM-1B5b REINF DETAILS</t>
  </si>
  <si>
    <t>S-TXS-BM0187</t>
  </si>
  <si>
    <t>BEAM-1B4b REINF DETAILS</t>
  </si>
  <si>
    <t>S-TXS-BM0188</t>
  </si>
  <si>
    <t>BEAM-1B3b REINF DETAILS</t>
  </si>
  <si>
    <t>S-TXS-BM0189</t>
  </si>
  <si>
    <t>BEAM-1B2b REINF DETAILS</t>
  </si>
  <si>
    <t>S-TXS-BM0190</t>
  </si>
  <si>
    <t>BEAM-BW2-0 REINF DETAILS</t>
  </si>
  <si>
    <t>S-TXS-BM0191</t>
  </si>
  <si>
    <t>BEAM-1B39 REINF DETAILS (SHEET 1 OF 2)</t>
  </si>
  <si>
    <t>S-TXS-BM0192</t>
  </si>
  <si>
    <t>BEAM-1B39 REINF DETAILS (SHEET 2 OF 2)</t>
  </si>
  <si>
    <t>S-TXS-BM0193</t>
  </si>
  <si>
    <t>BEAM-1B40 REINF DETAILS (SHEET 1 OF 2)</t>
  </si>
  <si>
    <t>S-TXS-BM0194</t>
  </si>
  <si>
    <t>BEAM-1B40 REINF DETAILS (SHEET 2 OF 2)</t>
  </si>
  <si>
    <t>S-TXS-BM0195</t>
  </si>
  <si>
    <t>BEAM-1B41 REINF DETAILS (SHEET 1 OF 3)</t>
  </si>
  <si>
    <t>S-TXS-BM0196</t>
  </si>
  <si>
    <t>BEAM-1B41 REINF DETAILS (SHEET 2 OF 3)</t>
  </si>
  <si>
    <t>S-TXS-BM0197</t>
  </si>
  <si>
    <t>BEAM-1B41 REINF DETAILS (SHEET 3 OF 3)</t>
  </si>
  <si>
    <t>S-TXS-BM0198</t>
  </si>
  <si>
    <t>BEAM-1B42a &amp; 1B42b REINF DETAILS</t>
  </si>
  <si>
    <t>S-TXS-BM0199</t>
  </si>
  <si>
    <t>BEAM-1B43a &amp; 1B43b REINF DETAILS</t>
  </si>
  <si>
    <t>S-TXS-BM0135</t>
  </si>
  <si>
    <t>BEAM-1B6 &amp; 1B7 REINF DETAILS</t>
  </si>
  <si>
    <t>S-TXS-BM0136</t>
  </si>
  <si>
    <t>BEAM-1B8 &amp; 1B9 REINF DETAILS</t>
  </si>
  <si>
    <t>S-TXS-BM0137</t>
  </si>
  <si>
    <t>BEAM-1B10 &amp; 1B11 REINF DETAILS</t>
  </si>
  <si>
    <t>S-TXS-BM0138</t>
  </si>
  <si>
    <t>BEAM-1B12 REINF DETAILS</t>
  </si>
  <si>
    <t>S-TXS-BM0139</t>
  </si>
  <si>
    <t>BEAM-1B15a, 1B16a,1B15b, 1B16b, 1B17a&amp;b REINF DETAILS</t>
  </si>
  <si>
    <t>BEAM-1B18a&amp;b REINF DETAILS</t>
  </si>
  <si>
    <t>S-TXS-SB0101</t>
  </si>
  <si>
    <t>Plan showing bottom reinforcement of 1st SSL</t>
  </si>
  <si>
    <t>S-TXS-SB0102</t>
  </si>
  <si>
    <t xml:space="preserve">BBS of bottom reinforcement of 1st SSL </t>
  </si>
  <si>
    <t>S-TXS-SB0103</t>
  </si>
  <si>
    <t>Plan showing top reinforcement of 1st SSL</t>
  </si>
  <si>
    <t>S-TXS-SB0104</t>
  </si>
  <si>
    <t xml:space="preserve">BBS of top reinforcement of 1st SSL </t>
  </si>
  <si>
    <t>S-TXS-SB0105</t>
  </si>
  <si>
    <t>PART PLAN SHOWING REINF. DETAILS (TOP&amp;BOTTOM)FOR FIRE DRIVEWAY OF SSL1</t>
  </si>
  <si>
    <t>S-TXS-SB0106</t>
  </si>
  <si>
    <t>BBS OF PART PLAN SHOWING REINF. DETAILS (TOP&amp;BOTTOM)FOR FIRE DRIVEWAY OF SSL1</t>
  </si>
  <si>
    <t>S-TXS-SB0001</t>
  </si>
  <si>
    <t>GENERAL NOTES FOR SLABS</t>
  </si>
  <si>
    <t>S-TXS-MS0002</t>
  </si>
  <si>
    <t>TYPICAL BOLLARD REINF. DETAILS</t>
  </si>
  <si>
    <t>S-TXS-MS0007</t>
  </si>
  <si>
    <t>Mechanical exhaust cover  detail at SSL02 (Sheet-1)</t>
  </si>
  <si>
    <t>S-TXS-MS0008</t>
  </si>
  <si>
    <t>Mechanical exhaust cover detail at SSL02 (Sheet-2)</t>
  </si>
  <si>
    <t>S-TXS-MS0009</t>
  </si>
  <si>
    <t>T2S,TXS &amp; t6s beam strengthening details(Sheet-1)</t>
  </si>
  <si>
    <t>S-TXS-MS0010</t>
  </si>
  <si>
    <t>T2S,TXS &amp; t6s beam strengthening details(Sheet-2)</t>
  </si>
  <si>
    <t>S-TXS-FP0201</t>
  </si>
  <si>
    <t>ST-TXS-4</t>
  </si>
  <si>
    <t>S-TXS-FP0301</t>
  </si>
  <si>
    <t>S-TXS-BM0200</t>
  </si>
  <si>
    <t>BEAM-1B44a &amp; 1B44b REINF DETAILS</t>
  </si>
  <si>
    <t>S-TXS-BM0201</t>
  </si>
  <si>
    <t>BEAM-1B46 REINF DETAILS</t>
  </si>
  <si>
    <t>S-TXS-BM0202</t>
  </si>
  <si>
    <t>TYPICAL BEAM DETAILS (SHEET1)</t>
  </si>
  <si>
    <t>S-TXS-BM0203</t>
  </si>
  <si>
    <t>SSL02 BEAM REINF. DETAILS (SHEET 2)</t>
  </si>
  <si>
    <t>S-TXS-BM0204</t>
  </si>
  <si>
    <t>SSL02 BEAM REINF. DETAILS (SHEET 3)</t>
  </si>
  <si>
    <t>S-TXS-BM0205</t>
  </si>
  <si>
    <t>SSL02 BEAM REINF. DETAILS (SHEET 4)</t>
  </si>
  <si>
    <t>S-TXS-BM0206</t>
  </si>
  <si>
    <t>SSL02 BEAM REINF. DETAILS (SHEET 5)</t>
  </si>
  <si>
    <t>S-TXS-BM0207</t>
  </si>
  <si>
    <t>SSL02 BEAM REINF. DETAILS (SHEET 6)</t>
  </si>
  <si>
    <t>S-TXS-BM0208</t>
  </si>
  <si>
    <t>SSL02 BEAM REINF. DETAILS (SHEET 7)</t>
  </si>
  <si>
    <t>S-TXS-BM0209</t>
  </si>
  <si>
    <t>SSL02 BEAM REINF. DETAILS (SHEET 8)</t>
  </si>
  <si>
    <t>S-TXS-BM0210</t>
  </si>
  <si>
    <t>BEAM-2B3a &amp; 2B37 REINF DETAILS (SHEET 9)</t>
  </si>
  <si>
    <t>S-TXS-BM0211</t>
  </si>
  <si>
    <t>BEAM-2B37, 2BW3-1,&amp;2, 2BW1-6  REINF DETAILS</t>
  </si>
  <si>
    <t>S-TXS-BM0301</t>
  </si>
  <si>
    <t>S-TXS-BM0302</t>
  </si>
  <si>
    <t>SSL03 BEAM REINF. DETAILS (SHEET 1)</t>
  </si>
  <si>
    <t>S-TXS-BM0303</t>
  </si>
  <si>
    <t>SSL03 BEAM REINF. DETAILS (SHEET 2)</t>
  </si>
  <si>
    <t>S-TXS-BM0304</t>
  </si>
  <si>
    <t>SSL03 BEAM REINF. DETAILS (SHEET 3)</t>
  </si>
  <si>
    <t>S-TXS-BM0305</t>
  </si>
  <si>
    <t>SSL03 BEAM REINF. DETAILS (SHEET 4)</t>
  </si>
  <si>
    <t>S-TXS-BM0306</t>
  </si>
  <si>
    <t>SSL03 BEAM REINF. DETAILS (SHEET 5)</t>
  </si>
  <si>
    <t>S-TXS-BM0307</t>
  </si>
  <si>
    <t>SSL03 BEAM REINF. DETAILS (SHEET 6)</t>
  </si>
  <si>
    <t>S-TXS-BM0308</t>
  </si>
  <si>
    <t>SSL03 BEAM REINF. DETAILS (SHEET 7)</t>
  </si>
  <si>
    <t>S-TXS-BM0309</t>
  </si>
  <si>
    <t>SSL03 BEAM REINF. DETAILS (SHEET 8)</t>
  </si>
  <si>
    <t>S-TXS-BM0310</t>
  </si>
  <si>
    <t>BEAM-3B1a,15a&amp;b &amp; 1B16a&amp;b REINF DETAILS</t>
  </si>
  <si>
    <t>S-TXS-BM0311</t>
  </si>
  <si>
    <t>BEAM-3B2a&amp;b REINF DETAILS</t>
  </si>
  <si>
    <t>S-TXS-BM0312</t>
  </si>
  <si>
    <t>BEAM-3B3a&amp;b REINF DETAILS</t>
  </si>
  <si>
    <t>S-TXS-BM0313</t>
  </si>
  <si>
    <t>BEAM 3B3a,3B1-5b&amp;3BW1-5 REINFORCEMENT DETAILS</t>
  </si>
  <si>
    <t>S-TXS-SL0201</t>
  </si>
  <si>
    <t>Plan Showing Sleeves at SSL02(Sheet 1)</t>
  </si>
  <si>
    <t>S-TXS-SL0202</t>
  </si>
  <si>
    <t>Plan Showing Sleeves at SSL02(Sheet 2)</t>
  </si>
  <si>
    <t>S-TXS-SL0203</t>
  </si>
  <si>
    <t>SLEEVE REUNF. DETAILS OF SSL2</t>
  </si>
  <si>
    <t>S-TXS-SL0301</t>
  </si>
  <si>
    <t>Plan Showing Landscape Sleeves at SSL3,4,5,6 Front Terrace Garden</t>
  </si>
  <si>
    <t>S-TXS-SL0302</t>
  </si>
  <si>
    <t>Plan Showing Services Sleeves at SSL03</t>
  </si>
  <si>
    <t>S-TXS-SL0303</t>
  </si>
  <si>
    <t>LANDSCAPE SLEEVE REINF. DETAILS OF SSL3,4,5&amp;6</t>
  </si>
  <si>
    <t>S-TXS-SL0304</t>
  </si>
  <si>
    <t>SERVICE SLEEVE REINF. DETAILS OF SSL03</t>
  </si>
  <si>
    <t>S-TXS-SB0201</t>
  </si>
  <si>
    <t>Plan showing bottom reinforcement of 2ND SSL</t>
  </si>
  <si>
    <t>S-TXS-SB0202</t>
  </si>
  <si>
    <t xml:space="preserve">BBS of bottom reinforcement of 2nd SSL </t>
  </si>
  <si>
    <t>S-TXS-SB0203</t>
  </si>
  <si>
    <t>Plan showing top reinforcement of 2nd SSL</t>
  </si>
  <si>
    <t>S-TXS-SB0204</t>
  </si>
  <si>
    <t xml:space="preserve">BBS of top reinforcement of 2nd SSL </t>
  </si>
  <si>
    <t>S-TXS-SB0301</t>
  </si>
  <si>
    <t>Plan showing bottom reinforcement of 3RD SSL (SHEET 1)</t>
  </si>
  <si>
    <t>S-TXS-SB0302</t>
  </si>
  <si>
    <t>Plan showing bottom reinforcement of 3RD SSL (SHEET 2)</t>
  </si>
  <si>
    <t>S-TXS-SB0303</t>
  </si>
  <si>
    <t xml:space="preserve">BBS of bottom reinforcement of 3RD SSL </t>
  </si>
  <si>
    <t>S-TXS-SB0304</t>
  </si>
  <si>
    <t>Plan showing top reinforcement of 3RD SSL (SHEET 1)</t>
  </si>
  <si>
    <t>S-TXS-SB0305</t>
  </si>
  <si>
    <t>Plan showing top reinforcement of 3RD SSL (SHEET 2)</t>
  </si>
  <si>
    <t>S-TXS-SB0306</t>
  </si>
  <si>
    <t>BBS of top reinforcement of 3RD SSL (SHEET 1)</t>
  </si>
  <si>
    <t>S-TXS-SB0307</t>
  </si>
  <si>
    <t>BBS of top reinforcement of 3RD SSL (SHEET 2)</t>
  </si>
  <si>
    <t>S-TXS-SB0308</t>
  </si>
  <si>
    <t>WAFFLE SLAB DETAILS (SHEET1)</t>
  </si>
  <si>
    <t>S-TXS-SB0309</t>
  </si>
  <si>
    <t>WAFFLE SLAB DETAILS (SHEET2)</t>
  </si>
  <si>
    <t>S-TXS-SB0310</t>
  </si>
  <si>
    <t>S-TXS-MS0006</t>
  </si>
  <si>
    <t>Mechanical exhaust cover at SSL02</t>
  </si>
  <si>
    <t>S-TXS-FP0401</t>
  </si>
  <si>
    <t>ST-TXS-5</t>
  </si>
  <si>
    <t>S-TXS-FP0501</t>
  </si>
  <si>
    <t>S-TXS-FP0601</t>
  </si>
  <si>
    <t>S-TXS-BM0401</t>
  </si>
  <si>
    <t>S-TXS-BM0402</t>
  </si>
  <si>
    <t>SSL04 Beam Reinforcement Details (Sheet1)</t>
  </si>
  <si>
    <t>S-TXS-BM0403</t>
  </si>
  <si>
    <t>SSL04 Beam Reinforcement Details (Sheet2)</t>
  </si>
  <si>
    <t>S-TXS-BM0404</t>
  </si>
  <si>
    <t>SSL04 Beam Reinforcement Details (Sheet3)</t>
  </si>
  <si>
    <t>S-TXS-BM0405</t>
  </si>
  <si>
    <t>SSL04 Beam Reinforcement Details (Sheet 4)</t>
  </si>
  <si>
    <t>S-TXS-BM0406</t>
  </si>
  <si>
    <t>SSL04 Beam Reinforcement Details (Sheet 5)</t>
  </si>
  <si>
    <t>S-TXS-BM0407</t>
  </si>
  <si>
    <t>SSL04 Beam Reinforcement Details (Sheet 6)</t>
  </si>
  <si>
    <t>S-TXS-BM0408</t>
  </si>
  <si>
    <t>SSL04 Beam Reinforcement Details (Sheet 7)</t>
  </si>
  <si>
    <t>S-TXS-BM0409</t>
  </si>
  <si>
    <t>SSL04 Beam Reinforcement Details (Sheet 8)</t>
  </si>
  <si>
    <t>S-TXS-BM0410</t>
  </si>
  <si>
    <t>SSL04 Beam Reinforcement Details (Sheet 9)</t>
  </si>
  <si>
    <t>S-TXS-BM0411</t>
  </si>
  <si>
    <t>BEAM 4B3-3a, 4B4-6a/b, 4BW1-5 REINF. DETAILS</t>
  </si>
  <si>
    <t>S-TXS-BM0501</t>
  </si>
  <si>
    <t>S-TXS-BM0502</t>
  </si>
  <si>
    <t>S-TXS-BM0503</t>
  </si>
  <si>
    <t>S-TXS-BM0504</t>
  </si>
  <si>
    <t>S-TXS-BM0505</t>
  </si>
  <si>
    <t>S-TXS-BM0506</t>
  </si>
  <si>
    <t>S-TXS-BM0507</t>
  </si>
  <si>
    <t>S-TXS-BM0508</t>
  </si>
  <si>
    <t>S-TXS-BM0509</t>
  </si>
  <si>
    <t>Beam 5B1-4a&amp;b, 5B2-4a&amp;b reinf. Details</t>
  </si>
  <si>
    <t>S-TXS-BM0510</t>
  </si>
  <si>
    <t>Beam 5B3-a&amp;b reinf. Details</t>
  </si>
  <si>
    <t>S-TXS-BM0511</t>
  </si>
  <si>
    <t>Beam 5B2-5a&amp;b and 5B15-a&amp;b reinf. Details</t>
  </si>
  <si>
    <t>S-TXS-BM0512</t>
  </si>
  <si>
    <t>Beam 5B16-2a&amp;b and 5BW1-4 &amp; 5BW2-4 reinf. Details</t>
  </si>
  <si>
    <t>S-TXS-BM0601</t>
  </si>
  <si>
    <t>S-TXS-BM0602</t>
  </si>
  <si>
    <t>SSL06 Beam Reinforcement Details (Sheet1)</t>
  </si>
  <si>
    <t>S-TXS-BM0603</t>
  </si>
  <si>
    <t>SSL06 Beam Reinforcement Details (Sheet2)</t>
  </si>
  <si>
    <t>S-TXS-BM0604</t>
  </si>
  <si>
    <t>SSL06 Beam Reinforcement Details (Sheet3)</t>
  </si>
  <si>
    <t>S-TXS-BM0605</t>
  </si>
  <si>
    <t>SSL06 Beam Reinforcement Details (Sheet 4)</t>
  </si>
  <si>
    <t>S-TXS-BM0606</t>
  </si>
  <si>
    <t>Beam 6B2-1a&amp;b, 6B3-1a&amp;b,6B4-1a&amp;b,6B5-1a&amp;b  and 6BW-1 reinf. Details</t>
  </si>
  <si>
    <t>S-TXS-SL0401</t>
  </si>
  <si>
    <t>Plan Showing Services Sleeves at SSL04</t>
  </si>
  <si>
    <t>S-TXS-SL0402</t>
  </si>
  <si>
    <t>SERVICE SLEEVE REINF. DETAILS OF SSL04</t>
  </si>
  <si>
    <t>S-TXS-SL0501</t>
  </si>
  <si>
    <t>S-TXS-SL0502</t>
  </si>
  <si>
    <t>S-TXS-SL0601</t>
  </si>
  <si>
    <t>Plan Showing Services Sleeves at SSL06</t>
  </si>
  <si>
    <t>S-TXS-SL0602</t>
  </si>
  <si>
    <t>SERVICE &amp; LANDSCAPE SLEEVE REINF. DETAILS OF SSL06</t>
  </si>
  <si>
    <t>S-TXS-SB0401</t>
  </si>
  <si>
    <t xml:space="preserve">Plan showing bottom reinforcement of 4th SSL </t>
  </si>
  <si>
    <t>S-TXS-SB0402</t>
  </si>
  <si>
    <t>Plan showing top reinforcement of 4th SSL</t>
  </si>
  <si>
    <t>S-TXS-SB0403</t>
  </si>
  <si>
    <t>BBS of Bottom Reinforcement of 4th SSL</t>
  </si>
  <si>
    <t>S-TXS-SB0404</t>
  </si>
  <si>
    <t>BBS of Top Reinforcement of 4th SSL (Sheet 1)</t>
  </si>
  <si>
    <t>S-TXS-SB0405</t>
  </si>
  <si>
    <t>BBS of Top Reinforcement of 4th SSL (Sheet 2)</t>
  </si>
  <si>
    <t>S-TXS-SB0501</t>
  </si>
  <si>
    <t xml:space="preserve">Plan showing bottom reinforcement of 5th SSL </t>
  </si>
  <si>
    <t>S-TXS-SB0502</t>
  </si>
  <si>
    <t>BBS of Bottom Reinforcement of 5th SSL</t>
  </si>
  <si>
    <t>S-TXS-SB0503</t>
  </si>
  <si>
    <t xml:space="preserve">Plan showing top reinforcement of 5th SSL </t>
  </si>
  <si>
    <t>S-TXS-SB0504</t>
  </si>
  <si>
    <t>BBS of Top Reinforcement of 5th SSL (Sheet 1)</t>
  </si>
  <si>
    <t>S-TXS-SB0505</t>
  </si>
  <si>
    <t>BBS of Top Reinforcement of 5th SSL (Sheet 2)</t>
  </si>
  <si>
    <t>S-TXS-SB0601</t>
  </si>
  <si>
    <t xml:space="preserve">Plan showing bottom reinforcement of 6th SSL </t>
  </si>
  <si>
    <t>S-TXS-SB0602</t>
  </si>
  <si>
    <t>BBS of Bottom Reinforcement of 6th SSL</t>
  </si>
  <si>
    <t>S-TXS-SB0603</t>
  </si>
  <si>
    <t xml:space="preserve">Plan showing top reinforcement of 6th SSL </t>
  </si>
  <si>
    <t>S-TXS-SB0604</t>
  </si>
  <si>
    <t>BBS of Top Reinforcement of 6th SSL</t>
  </si>
  <si>
    <t>S-TXS-FP0701</t>
  </si>
  <si>
    <t>ST-TXS-7</t>
  </si>
  <si>
    <t>S-TXS-BM0701</t>
  </si>
  <si>
    <t>S-TXS-BM0702</t>
  </si>
  <si>
    <t>SSL07 Beam Details (Sheet1)</t>
  </si>
  <si>
    <t>S-TXS-BM0703</t>
  </si>
  <si>
    <t>SSL07 Beam Details (Sheet2)</t>
  </si>
  <si>
    <t>S-TXS-BM0704</t>
  </si>
  <si>
    <t>SSL07 Beam Details (Sheet3)</t>
  </si>
  <si>
    <t>S-TXS-BM0705</t>
  </si>
  <si>
    <t>SSL07 Beam Details (Sheet 4)</t>
  </si>
  <si>
    <t>S-TXS-BM0706</t>
  </si>
  <si>
    <t>Beam 7B2-4a,7B5-3a,7B4-a &amp; 7B2-1a reinforcement Detail</t>
  </si>
  <si>
    <t>S-TXS-BM0707</t>
  </si>
  <si>
    <t>Beam 7B2-4b,7B5-3b,7B4-b &amp; 7B2-1b reinforcement Detail</t>
  </si>
  <si>
    <t>S-TXS-SL0701</t>
  </si>
  <si>
    <t>Plan Showing Sleeves at SSL07</t>
  </si>
  <si>
    <t>S-TXS-SL0702</t>
  </si>
  <si>
    <t>Typical Sleeve Reinf.details of SSL07</t>
  </si>
  <si>
    <t>S-TXS-SL0703</t>
  </si>
  <si>
    <t>Sleeve Reinf. Details of SSL07</t>
  </si>
  <si>
    <t>S-TXS-SB0701</t>
  </si>
  <si>
    <t xml:space="preserve">Plan showing bottom reinforcement of 7th SSL </t>
  </si>
  <si>
    <t>S-TXS-SB0702</t>
  </si>
  <si>
    <t>BBS for Bottom Reinforcement of 7th SSL</t>
  </si>
  <si>
    <t>S-TXS-SB0703</t>
  </si>
  <si>
    <t xml:space="preserve">Plan showing top reinforcement of 7th SSL </t>
  </si>
  <si>
    <t>S-TXS-SB0704</t>
  </si>
  <si>
    <t>BBS for Top Reinforcement of 7th SSL (Sheet 1)</t>
  </si>
  <si>
    <t>S-TXS-SB0705</t>
  </si>
  <si>
    <t>BBS for Top Reinforcement of 7th SSL (Sheet 2)</t>
  </si>
  <si>
    <t>S-TXS-SB0706</t>
  </si>
  <si>
    <t>PERGOLA REINFORCEMENT DETAILS (SSL7)</t>
  </si>
  <si>
    <t>S-TXS-FP0801</t>
  </si>
  <si>
    <t>ST-TXS-8</t>
  </si>
  <si>
    <t>S-TXS-BM0801</t>
  </si>
  <si>
    <t>S-TXS-BM0802</t>
  </si>
  <si>
    <t>SSL08 Beam Details (Sheet1)</t>
  </si>
  <si>
    <t>S-TXS-BM0803</t>
  </si>
  <si>
    <t>SSL08 Beam Details (Sheet2)</t>
  </si>
  <si>
    <t>S-TXS-BM0804</t>
  </si>
  <si>
    <t>Beam 8B3-2a/2b &amp; 8B5-2a/2b  reinforcement Detail</t>
  </si>
  <si>
    <t>S-TXS-BM0805</t>
  </si>
  <si>
    <t>Beam 8B11-3a &amp; CB  reinforcement Detail</t>
  </si>
  <si>
    <t>S-TXS-SL0801</t>
  </si>
  <si>
    <t>Plan Showing Sleeves at SSL08</t>
  </si>
  <si>
    <t>S-TXS-SL0802</t>
  </si>
  <si>
    <t>Sleeve Reinf. Details of SSL08 (sheet1)</t>
  </si>
  <si>
    <t>S-TXS-SL0803</t>
  </si>
  <si>
    <t>Sleeve Reinf. Details of SSL08 (sheet2)</t>
  </si>
  <si>
    <t>S-TXS-SB0801</t>
  </si>
  <si>
    <t xml:space="preserve">Plan showing bottom reinforcement of 8th SSL </t>
  </si>
  <si>
    <t>S-TXS-SB0802</t>
  </si>
  <si>
    <t>BBS for Bottom Reinforcement of 8th SSL</t>
  </si>
  <si>
    <t>S-TXS-SB0803</t>
  </si>
  <si>
    <t xml:space="preserve">Plan showing top reinforcement of 8th SSL </t>
  </si>
  <si>
    <t>S-TXS-SB0804</t>
  </si>
  <si>
    <t xml:space="preserve">BBS for Top Reinforcement of 8th SSL </t>
  </si>
  <si>
    <t>S-TXS-SB0805</t>
  </si>
  <si>
    <t>Waffle slab reinforcement details (sheet 1)</t>
  </si>
  <si>
    <t>S-TXS-SB0806</t>
  </si>
  <si>
    <t>Waffle slab reinforcement details (sheet 2)</t>
  </si>
  <si>
    <t>S-TXS-SB0807</t>
  </si>
  <si>
    <t>PERGOLA AND UPSTAND DETAILS (SSL08)</t>
  </si>
  <si>
    <t>S-TXS-SB0808</t>
  </si>
  <si>
    <t>STEEL PERGOLA AND UPSTAND DETAILS (SSL08)</t>
  </si>
  <si>
    <t>S-TXS-MS0001</t>
  </si>
  <si>
    <t>LIFT HEAD ROOM DETAIL (T2S)</t>
  </si>
  <si>
    <t>S-TXS-MS0003</t>
  </si>
  <si>
    <t>LIFT HEAD ROOM DETAIL</t>
  </si>
  <si>
    <t>S-T6V-FD0001</t>
  </si>
  <si>
    <t>T6V-FOUNDATION-PCC LAYOUT</t>
  </si>
  <si>
    <t>ST-T6V-1</t>
  </si>
  <si>
    <t>S-T6V-FD0002</t>
  </si>
  <si>
    <t>S-T6V-FD0003</t>
  </si>
  <si>
    <t>S-T6V-FD0004</t>
  </si>
  <si>
    <t>T6V_PLAN SHOWING THERMOCOUPLE LOCATIONS</t>
  </si>
  <si>
    <t>S-T6V-FD0005</t>
  </si>
  <si>
    <t>T6V_EXTENDED BASEMENT</t>
  </si>
  <si>
    <t>S-T6V-FD0006</t>
  </si>
  <si>
    <t>EXTENDED BASEMENT ISOLATED FOOTING REINF DETAILS</t>
  </si>
  <si>
    <t>S-T6V-FD0007</t>
  </si>
  <si>
    <t>EXTENDED BASEMENT FOUNDATION EB6F8,EB6F9 REINF DETAILS</t>
  </si>
  <si>
    <t>S-T6V-FD0101</t>
  </si>
  <si>
    <t>S-T6V-FD0102</t>
  </si>
  <si>
    <t>S-T6V-FD0103</t>
  </si>
  <si>
    <t>S-T6V-FD0104</t>
  </si>
  <si>
    <t>S-T6V-FD0105</t>
  </si>
  <si>
    <t>S-T6V-FD0201</t>
  </si>
  <si>
    <t>S-T6V-FD0202</t>
  </si>
  <si>
    <t>S-T6V-FD0301</t>
  </si>
  <si>
    <t>S-T6V-FD0302</t>
  </si>
  <si>
    <t>S-T6V-FD0501</t>
  </si>
  <si>
    <t>S-T6V-FD0502</t>
  </si>
  <si>
    <t>S-T6V-FD0503</t>
  </si>
  <si>
    <t>S-T6V-FD0504</t>
  </si>
  <si>
    <t>S-T6V-FD0505</t>
  </si>
  <si>
    <t>S-T6V-FD0506</t>
  </si>
  <si>
    <t>S-T6V-FD0507</t>
  </si>
  <si>
    <t>S-T6V-FD0508</t>
  </si>
  <si>
    <t>S-T6V-FD0509</t>
  </si>
  <si>
    <t>S-T6V-FD0510</t>
  </si>
  <si>
    <t>S-T6V-FD0511</t>
  </si>
  <si>
    <t>S-T6V-FD0512</t>
  </si>
  <si>
    <t>S-T6V-FD0601</t>
  </si>
  <si>
    <t>S-T6V-FD0602</t>
  </si>
  <si>
    <t>S-T6V-FD0603</t>
  </si>
  <si>
    <t>S-T6V-FD0701</t>
  </si>
  <si>
    <t>FOUNDATION DETAILS FOR CF7 (SHEET 1)</t>
  </si>
  <si>
    <t>S-T6V-FD0702</t>
  </si>
  <si>
    <t>FOUNDATION DETAILS FOR CF7 (SHEET 2)</t>
  </si>
  <si>
    <t>S-T6V-FD0703</t>
  </si>
  <si>
    <t>FOUNDATION DETAILS FOR CF7 (SHEET 3)</t>
  </si>
  <si>
    <t>S-T6V-FD0704</t>
  </si>
  <si>
    <t>FOUNDATION DETAILS FOR CF7 (SHEET 4)</t>
  </si>
  <si>
    <t>S-T6V-CL0001</t>
  </si>
  <si>
    <t>S-T6V-CL0002</t>
  </si>
  <si>
    <t>S-T6V-CL0003</t>
  </si>
  <si>
    <t>S-T6V-CL0101</t>
  </si>
  <si>
    <t>S-T6V-CL0102</t>
  </si>
  <si>
    <t>S-T6V-CL0103</t>
  </si>
  <si>
    <t>S-T6V-CL0201</t>
  </si>
  <si>
    <t>S-T6V-CL0202</t>
  </si>
  <si>
    <t>S-T6V-CL0203</t>
  </si>
  <si>
    <t>S-T6V-CL0301</t>
  </si>
  <si>
    <t>S-T6V-CL0302</t>
  </si>
  <si>
    <t>S-T6V-CL0303</t>
  </si>
  <si>
    <t>S-T6V-CL0401</t>
  </si>
  <si>
    <t>S-T6V-CL0402</t>
  </si>
  <si>
    <t>S-T6V-CL0403</t>
  </si>
  <si>
    <t>S-T6V-CL0501</t>
  </si>
  <si>
    <t>S-T6V-CL0601</t>
  </si>
  <si>
    <t>S-T6V-CL0602</t>
  </si>
  <si>
    <t>S-T6V-CL0603</t>
  </si>
  <si>
    <t>S-T6V-CL0701</t>
  </si>
  <si>
    <t>S-T6V-CL0702</t>
  </si>
  <si>
    <t>S-T6V-CL0801</t>
  </si>
  <si>
    <t>S-T6V-CL0901</t>
  </si>
  <si>
    <t>S-T6V-CL1001</t>
  </si>
  <si>
    <t>S-T6V-CL1101</t>
  </si>
  <si>
    <t>S-T6V-CL1102</t>
  </si>
  <si>
    <t>S-T6V-CL1103</t>
  </si>
  <si>
    <t>S-T6V-CL1301</t>
  </si>
  <si>
    <t>S-T6V-CL1302</t>
  </si>
  <si>
    <t>S-T6V-CL1303</t>
  </si>
  <si>
    <t>S-T6V-CL1501</t>
  </si>
  <si>
    <t>S-T6V-CL1502</t>
  </si>
  <si>
    <t>S-T6V-CL1503</t>
  </si>
  <si>
    <t>S-T6V-CL1801</t>
  </si>
  <si>
    <t>S-T6V-CL1802</t>
  </si>
  <si>
    <t>S-T6V-CL1803</t>
  </si>
  <si>
    <t>S-T6V-CL1901</t>
  </si>
  <si>
    <t>S-T6V-CL1902</t>
  </si>
  <si>
    <t>S-T6V-CL1903</t>
  </si>
  <si>
    <t>S-T6V-CL1904</t>
  </si>
  <si>
    <t>S-T6V-CL1905</t>
  </si>
  <si>
    <t>S-T6V-CL1906</t>
  </si>
  <si>
    <t>Elevation &amp; Bar Lapping Detail of Lift Core VLC1</t>
  </si>
  <si>
    <t>S-T6V-CL2001</t>
  </si>
  <si>
    <t>S-T6V-CL2002</t>
  </si>
  <si>
    <t>S-T6V-CL2003</t>
  </si>
  <si>
    <t>S-T6V-CL2004</t>
  </si>
  <si>
    <t>S-T6V-CL2005</t>
  </si>
  <si>
    <t>S-T6V-CL2101</t>
  </si>
  <si>
    <t>Details of Stepped Block &amp; Extended Basement Columns Resting on T6V Foundations</t>
  </si>
  <si>
    <t>S-T6V-CL2201</t>
  </si>
  <si>
    <t>COL VW2a/B AND VW2a-1/b-1 CUT OUT DETAILS- ROPE SUSPENDED PLATFORM</t>
  </si>
  <si>
    <t>S-T6V-ST0101</t>
  </si>
  <si>
    <t>S-T6V-ST0102</t>
  </si>
  <si>
    <t>S-T6V-ST0103</t>
  </si>
  <si>
    <t>S-T6V-ST0104</t>
  </si>
  <si>
    <t>S-T6V-ST0105</t>
  </si>
  <si>
    <t>S-T6V-ST0106</t>
  </si>
  <si>
    <t>S-T6V-ST0107</t>
  </si>
  <si>
    <t>S-T6V-ST0108</t>
  </si>
  <si>
    <t>S-T6V-ST0109</t>
  </si>
  <si>
    <t>S-T6V-ST0110</t>
  </si>
  <si>
    <t>S-T6V-ST0111</t>
  </si>
  <si>
    <t>S-T6V-ST0112</t>
  </si>
  <si>
    <t>S-T6V-BMGN01</t>
  </si>
  <si>
    <t>ST-T6V-2</t>
  </si>
  <si>
    <t>S-T6V-BM0101</t>
  </si>
  <si>
    <t>S-T6V-BM0102</t>
  </si>
  <si>
    <t>S-T6V-BM0159</t>
  </si>
  <si>
    <t>S-T6V-BM0162</t>
  </si>
  <si>
    <t>Typical beam details</t>
  </si>
  <si>
    <t>S-T6V-BM0328</t>
  </si>
  <si>
    <t>S-T6V-BM1073</t>
  </si>
  <si>
    <t>S-T6V-BM2934</t>
  </si>
  <si>
    <t>S-T6V-JB0001</t>
  </si>
  <si>
    <t>T6V JIB REINFORCEMENT DETAILS</t>
  </si>
  <si>
    <t>S-T6V-SB0101</t>
  </si>
  <si>
    <t>Plan showing slab top  reinforcement of SSL01</t>
  </si>
  <si>
    <t>ST-T6V-4</t>
  </si>
  <si>
    <t>S-T6V-SB0104</t>
  </si>
  <si>
    <t>S-T6V-SB0105</t>
  </si>
  <si>
    <t>S-T06-SB0106</t>
  </si>
  <si>
    <t>Part plan showing slab bottom reinf. (X- direction) at SSL 01 -Extended basement</t>
  </si>
  <si>
    <t>S-T6V-SB0107</t>
  </si>
  <si>
    <t>BBS of X-direction bottom bars of SSL 01  Extended basement</t>
  </si>
  <si>
    <t>S-T6V-SB0108</t>
  </si>
  <si>
    <t>Part plan showing slab bottom reinf. (Y- direction) at SSL 01 -Extended basement</t>
  </si>
  <si>
    <t>S-T6V-SB0109</t>
  </si>
  <si>
    <t>BBS of Y-direction bottom bars of SSL 01  Extended basement</t>
  </si>
  <si>
    <t>S-T6V-SB0110</t>
  </si>
  <si>
    <t>Part plan showing slab top  reinf. (X- direction) at SSL 01 -Extended basement</t>
  </si>
  <si>
    <t>S-T6V-SB0111</t>
  </si>
  <si>
    <t>BBS of X-direction top bars of SSL 01  Extended basement</t>
  </si>
  <si>
    <t>S-T6V-SB0112</t>
  </si>
  <si>
    <t>Part plan showing slab top reinf. (Y- direction) at SSL 01 -Extended basement</t>
  </si>
  <si>
    <t>S-T6V-SB0113</t>
  </si>
  <si>
    <t>BBS of Y-direction top bars of SSL 01  Extended basement</t>
  </si>
  <si>
    <t>S-T6V-SB0205</t>
  </si>
  <si>
    <t>S-T6V-SL0101</t>
  </si>
  <si>
    <t>S-T6V-SL0102</t>
  </si>
  <si>
    <t>S-T6V-BM0104</t>
  </si>
  <si>
    <t>ST-T6V-5</t>
  </si>
  <si>
    <t>S-T6V-BM0106</t>
  </si>
  <si>
    <t>S-T6V-BM0108</t>
  </si>
  <si>
    <t>S-T6V-BM0110</t>
  </si>
  <si>
    <t>S-T6V-BM0112</t>
  </si>
  <si>
    <t>S-T6V-BM0113</t>
  </si>
  <si>
    <t>S-T6V-BM0115</t>
  </si>
  <si>
    <t>S-T6V-BM0116</t>
  </si>
  <si>
    <t>S-T6V-BM0117</t>
  </si>
  <si>
    <t>S-T6V-BM0121</t>
  </si>
  <si>
    <t>S-T6V-BM0123</t>
  </si>
  <si>
    <t>S-T6V-BM0126</t>
  </si>
  <si>
    <t>S-T6V-BM0127</t>
  </si>
  <si>
    <t>S-T6V-BM0128</t>
  </si>
  <si>
    <t>S-T6V-BM0130</t>
  </si>
  <si>
    <t>Beam B-32 Reinforcement Detail</t>
  </si>
  <si>
    <t>S-T6V-BM0131</t>
  </si>
  <si>
    <t>S-T6V-BM0132</t>
  </si>
  <si>
    <t>S-T6V-BM0134</t>
  </si>
  <si>
    <t>S-T6V-BM0135</t>
  </si>
  <si>
    <t>S-T6V-BM0137</t>
  </si>
  <si>
    <t>S-T6V-BM0138</t>
  </si>
  <si>
    <t>S-T6V-BM0139</t>
  </si>
  <si>
    <t>S-T6V-BM0140</t>
  </si>
  <si>
    <t>S-T6V-BM0142</t>
  </si>
  <si>
    <t>S-T6V-BM0144</t>
  </si>
  <si>
    <t>S-T6V-BM0145</t>
  </si>
  <si>
    <t>S-T6V-BM0148</t>
  </si>
  <si>
    <t>S-T6V-BM0149</t>
  </si>
  <si>
    <t>S-T6V-BM0150</t>
  </si>
  <si>
    <t>S-T6V-BM0152</t>
  </si>
  <si>
    <t>S-T6V-BM0153</t>
  </si>
  <si>
    <t>S-T6V-BM0154</t>
  </si>
  <si>
    <t>S-T6V-BM0158</t>
  </si>
  <si>
    <t>S-T6V-BM0163</t>
  </si>
  <si>
    <t>Beam reinf. Details for T6V EXT. Basement (BLOCK 12)</t>
  </si>
  <si>
    <t>S-T6V-BM0237</t>
  </si>
  <si>
    <t>S-T6V-BM0238</t>
  </si>
  <si>
    <t>S-T6V-BM0239</t>
  </si>
  <si>
    <t>S-T6V-BM0240</t>
  </si>
  <si>
    <t>S-T6V-BM0241</t>
  </si>
  <si>
    <t>S-T6V-BM0242</t>
  </si>
  <si>
    <t>S-T6V-BM0243</t>
  </si>
  <si>
    <t>S-T6V-BM0301</t>
  </si>
  <si>
    <t>S-T6V-BM0303</t>
  </si>
  <si>
    <t>S-T6V-BM0306</t>
  </si>
  <si>
    <t>S-T6V-BM0308</t>
  </si>
  <si>
    <t>S-T6V-BM0310</t>
  </si>
  <si>
    <t>S-T6V-BM0312</t>
  </si>
  <si>
    <t>S-T6V-BM0314</t>
  </si>
  <si>
    <t>S-T6V-BM0316</t>
  </si>
  <si>
    <t>S-T6V-BM0319</t>
  </si>
  <si>
    <t>S-T6V-BM0321</t>
  </si>
  <si>
    <t>S-T6V-BM0323</t>
  </si>
  <si>
    <t>S-T6V-BM0325</t>
  </si>
  <si>
    <t>S-T6V-BM0327</t>
  </si>
  <si>
    <t>S-T6V-BM0503</t>
  </si>
  <si>
    <t>S-T6V-BM0505</t>
  </si>
  <si>
    <t>S-T6V-BM0601</t>
  </si>
  <si>
    <t>S-T6V-BM0602</t>
  </si>
  <si>
    <t>S-T6V-BM0603</t>
  </si>
  <si>
    <t>S-T6V-BM0604</t>
  </si>
  <si>
    <t>S-T6V-BM0605</t>
  </si>
  <si>
    <t>S-T6V-BM0606</t>
  </si>
  <si>
    <t>S-T6V-BM0607</t>
  </si>
  <si>
    <t>S-T6V-BM0608</t>
  </si>
  <si>
    <t>S-T6V-BM0609</t>
  </si>
  <si>
    <t>S-T6V-BM0610</t>
  </si>
  <si>
    <t>S-T6V-BM0612</t>
  </si>
  <si>
    <t>S-T6V-BM0613</t>
  </si>
  <si>
    <t>S-T6V-BM0615</t>
  </si>
  <si>
    <t>S-T6V-BM0616</t>
  </si>
  <si>
    <t>S-T6V-BM0617</t>
  </si>
  <si>
    <t>S-T6V-BM0618</t>
  </si>
  <si>
    <t>S-T6V-BM0619</t>
  </si>
  <si>
    <t>S-T6V-BM0620</t>
  </si>
  <si>
    <t>S-T6V-BM0621</t>
  </si>
  <si>
    <t>S-T6V-BM0622</t>
  </si>
  <si>
    <t>S-T6V-BM0623</t>
  </si>
  <si>
    <t>S-T6V-BM1047</t>
  </si>
  <si>
    <t>S-T6V-BM1048</t>
  </si>
  <si>
    <t>S-T6V-BM1055</t>
  </si>
  <si>
    <t>S-T6V-BM1057</t>
  </si>
  <si>
    <t>S-T6V-BM1065</t>
  </si>
  <si>
    <t>S-T6V-BM1070</t>
  </si>
  <si>
    <t>S-T6V-BM1071</t>
  </si>
  <si>
    <t>S-T6V-BM2047</t>
  </si>
  <si>
    <t>BEAM B-47 REINFORCEMENT DETAIL (SHEET 1 of 2) (SSL20, 22, 24 &amp; 26)</t>
  </si>
  <si>
    <t>S-T6V-BM2048</t>
  </si>
  <si>
    <t>BEAM B-47 REINFORCEMENT DETAIL (SHEET 2 of 2)(SSL20, 22, 24 &amp; 26)</t>
  </si>
  <si>
    <t>S-T6V-BM2055</t>
  </si>
  <si>
    <t>BEAM B-54 REINFORCEMENT DETAIL (SSL20, 22, 24, 26)</t>
  </si>
  <si>
    <t>S-T6V-BM2057</t>
  </si>
  <si>
    <t>BEAM B-55 REINFORCEMENT DETAIL(SSL20, 21, 22, 24, 25, 26)</t>
  </si>
  <si>
    <t>S-T6V-BM2065</t>
  </si>
  <si>
    <t>BEAM B-63 REINFORCEMENT DETAIL(SSL20, 22, 24 &amp; 26)</t>
  </si>
  <si>
    <t>S-T6V-BM2001</t>
  </si>
  <si>
    <t>BEAM B-01 REINFORCEMENT DETAIL(SSL20 TO SSL28)</t>
  </si>
  <si>
    <t>S-T6V-BM2002</t>
  </si>
  <si>
    <t>BEAM B-02 REINFORCEMENT DETAIL(SSL20 TO SSL28)</t>
  </si>
  <si>
    <t>S-T6V-BM2003</t>
  </si>
  <si>
    <t>BEAM B-03 REINFORCEMENT DETAIL(SSL20 TO SSL28)</t>
  </si>
  <si>
    <t>S-T6V-BM2004</t>
  </si>
  <si>
    <t xml:space="preserve">BEAM B-04 REINFORCEMENT DETAIL(Sheet 1 of 2)(SSL20 TO SSL28) </t>
  </si>
  <si>
    <t>S-T6V-BM2005</t>
  </si>
  <si>
    <t xml:space="preserve">BEAM B-04 REINFORCEMENT DETAIL(Sheet 2 of 2)(SSL20 TO SSL28) </t>
  </si>
  <si>
    <t>S-T6V-BM2006</t>
  </si>
  <si>
    <t>BEAM B-05 REINFORCEMENT DETAIL(SSL20 TO SSL28)</t>
  </si>
  <si>
    <t>S-T6V-BM2007</t>
  </si>
  <si>
    <t>BEAM B-06 REINFORCEMENT DETAIL(SSL20 TO SSL28)</t>
  </si>
  <si>
    <t>S-T6V-BM2008</t>
  </si>
  <si>
    <t>BEAM B-07 REINFORCEMENT DETAIL(SHEET 1 OF 2)(SSL20 TO SSL28)</t>
  </si>
  <si>
    <t>S-T6V-BM2009</t>
  </si>
  <si>
    <t>BEAM B-07 REINFORCEMENT DETAIL(SHEET 2 OF 2)(SSL20 TO SSL28)</t>
  </si>
  <si>
    <t>S-T6V-BM2010</t>
  </si>
  <si>
    <t>BEAM B-08 REINFORCEMENT DETAIL(SSL20 TO SSL28)</t>
  </si>
  <si>
    <t>S-T6V-BM2011</t>
  </si>
  <si>
    <t>BEAM B-09 REINFORCEMENT DETAIL(SSL20 TO SSL28)</t>
  </si>
  <si>
    <t>S-T6V-BM2012</t>
  </si>
  <si>
    <t>BEAM B-10 REINFORCEMENT DETAIL(SHEET 1 OF 2)(SSL20 TO SSL28)</t>
  </si>
  <si>
    <t>S-T6V-BM2013</t>
  </si>
  <si>
    <t>BEAM B-10 REINFORCEMENT DETAIL(SHEET 2 OF 2)(SSL20 TO SSL28)</t>
  </si>
  <si>
    <t>S-T6V-BM2014</t>
  </si>
  <si>
    <t>BEAM B-11 REINFORCEMENT DETAIL(SHEET 1 OF 2)(SSL20 TO SSL28)</t>
  </si>
  <si>
    <t>S-T6V-BM2015</t>
  </si>
  <si>
    <t>BEAM B-11 REINFORCEMENT DETAIL(SHEET 2 OF 2)(SSL20 TO SSL28)</t>
  </si>
  <si>
    <t>S-T6V-BM2016</t>
  </si>
  <si>
    <t>BEAM B-12 REINFORCEMENT DETAIL(SHEET 1 OF 2)(SSL20 TO SSL28)</t>
  </si>
  <si>
    <t>S-T6V-BM2017</t>
  </si>
  <si>
    <t>BEAM B-12 REINFORCEMENT DETAIL(SHEET 2 OF 2)(SSL20 TO SSL28)</t>
  </si>
  <si>
    <t>S-T6V-BM2018</t>
  </si>
  <si>
    <t>BEAM B-13 &amp; B-14 REINFORCEMENT DETAIL(SSL20 TO SSL28)</t>
  </si>
  <si>
    <t>S-T6V-BM2019</t>
  </si>
  <si>
    <t>BEAM B-15 REINFORCEMENT DETAIL(SSL20 TO SSL28)</t>
  </si>
  <si>
    <t>S-T6V-BM2020</t>
  </si>
  <si>
    <t>BEAM B-16 REINFORCEMENT DETAIL(SHEET 1 OF 2)(SSL20 TO SSL28)</t>
  </si>
  <si>
    <t>S-T6V-BM2021</t>
  </si>
  <si>
    <t>BEAM B-16 REINFORCEMENT DETAIL(SHEET 2 OF 2)(SSL20 TO SSL28)</t>
  </si>
  <si>
    <t>S-T6V-BM2022</t>
  </si>
  <si>
    <t>BEAM B-17 REINFORCEMENT DETAIL(SSL20 TO SSL28)</t>
  </si>
  <si>
    <t>S-T6V-BM2023</t>
  </si>
  <si>
    <t>BEAM B-18 REINFORCEMENT DETAIL(SHEET 1 OF 2)(SSL20 TO SSL28)</t>
  </si>
  <si>
    <t>S-T6V-BM2024</t>
  </si>
  <si>
    <t>BEAM B-18 REINFORCEMENT DETAIL(SHEET 2 OF 2)(SSL20 TO SSL28)</t>
  </si>
  <si>
    <t>S-T6V-BM2025</t>
  </si>
  <si>
    <t>BEAM B-19 REINFORCEMENT DETAIL(SSL20 TO SSL28)</t>
  </si>
  <si>
    <t>S-T6V-BM2026</t>
  </si>
  <si>
    <t>BEAM B-20 REINFORCEMENT DETAIL(SSL20 TO SSL28)</t>
  </si>
  <si>
    <t>S-T6V-BM2027</t>
  </si>
  <si>
    <t>BEAM B-21 REINFORCEMENT DETAIL(SSL20 TO SSL28)</t>
  </si>
  <si>
    <t>S-T6V-BM2028</t>
  </si>
  <si>
    <t>BEAM B-22 REINFORCEMENT DETAIL(SSL20 TO SSL28)</t>
  </si>
  <si>
    <t>S-T6V-BM2029</t>
  </si>
  <si>
    <t>BEAM B-23 REINFORCEMENT DETAIL(SSL20 TO SSL28)</t>
  </si>
  <si>
    <t>S-T6V-BM2030</t>
  </si>
  <si>
    <t>BEAM B-25, B26 &amp; B27 REINFORCEMENT DETAIL(SSL20 TO SSL28)</t>
  </si>
  <si>
    <t>S-T6V-BM2031</t>
  </si>
  <si>
    <t>BEAM B-28 &amp; B-29 REINFORCEMENT DETAIL(SSL20 TO SSL28)</t>
  </si>
  <si>
    <t>S-T6V-BM2032</t>
  </si>
  <si>
    <t>BEAM B-30 &amp; B-31 REINFORCEMENT DETAIL(SSL20 TO SSL28)</t>
  </si>
  <si>
    <t>S-T6V-BM2033</t>
  </si>
  <si>
    <t>BEAM B-32 REINFORCEMENT DETAIL(SSL20 TO SSL28)</t>
  </si>
  <si>
    <t>S-T6V-BM2034</t>
  </si>
  <si>
    <t>BEAM B-33 REINFORCEMENT DETAIL(SSL20 TO SSL28)</t>
  </si>
  <si>
    <t>S-T6V-BM2901</t>
  </si>
  <si>
    <t>BEAM B-01 REINFORCEMENT DETAIL(SSL29 to SSL30)</t>
  </si>
  <si>
    <t>S-T6V-BM2902</t>
  </si>
  <si>
    <t>BEAM B-02 REINFORCEMENT DETAIL(SSL29 to SSL30)</t>
  </si>
  <si>
    <t>S-T6V-BM2903</t>
  </si>
  <si>
    <t>BEAM B-03 REINFORCEMENT DETAIL(SSL29 to SSL30)</t>
  </si>
  <si>
    <t>S-T6V-BM2904</t>
  </si>
  <si>
    <t xml:space="preserve">BEAM B-04 REINFORCEMENT DETAIL(Sheet 1 of 2)(SSL29 to SSL30) </t>
  </si>
  <si>
    <t>S-T6V-BM2905</t>
  </si>
  <si>
    <t xml:space="preserve">BEAM B-04 REINFORCEMENT DETAIL(Sheet 2 of 2)(SSL29 to SSL30) </t>
  </si>
  <si>
    <t>S-T6V-BM2906</t>
  </si>
  <si>
    <t>BEAM B-05 REINFORCEMENT DETAIL(SSL29 to SSL30)</t>
  </si>
  <si>
    <t>S-T6V-BM2907</t>
  </si>
  <si>
    <t>BEAM B-06 REINFORCEMENT DETAIL(SSL29 to SSL30)</t>
  </si>
  <si>
    <t>S-T6V-BM2908</t>
  </si>
  <si>
    <t>BEAM B-07 REINFORCEMENT DETAIL(SHEET 1 OF 2)(SSL29 to SSL30)</t>
  </si>
  <si>
    <t>S-T6V-BM2909</t>
  </si>
  <si>
    <t>BEAM B-07 REINFORCEMENT DETAIL(SHEET 2 OF 2)(SSL29 to SSL30)</t>
  </si>
  <si>
    <t>S-T6V-BM2910</t>
  </si>
  <si>
    <t>BEAM B-08 REINFORCEMENT DETAIL(SSL29 to SSL30)</t>
  </si>
  <si>
    <t>S-T6V-BM2911</t>
  </si>
  <si>
    <t>BEAM B-09 REINFORCEMENT DETAIL(SSL29 to SSL30)</t>
  </si>
  <si>
    <t>S-T6V-BM2912</t>
  </si>
  <si>
    <t>BEAM B-10 REINFORCEMENT DETAIL(SHEET 1 OF 2)(SSL29 to SSL30)</t>
  </si>
  <si>
    <t>S-T6V-BM2913</t>
  </si>
  <si>
    <t>BEAM B-10 REINFORCEMENT DETAIL(SHEET 2 OF 2)(SSL29 to SSL30)</t>
  </si>
  <si>
    <t>S-T6V-BM2914</t>
  </si>
  <si>
    <t>BEAM B-11 REINFORCEMENT DETAIL(SHEET 1 OF 2)(SSL29 to SSL30)</t>
  </si>
  <si>
    <t>S-T6V-BM2915</t>
  </si>
  <si>
    <t>BEAM B-11 REINFORCEMENT DETAIL(SHEET 2 OF 2)(SSL29 to SSL30)</t>
  </si>
  <si>
    <t>S-T6V-BM2916</t>
  </si>
  <si>
    <t>BEAM B-12 REINFORCEMENT DETAIL(SHEET 1 OF 2)(SSL29 to SSL30)</t>
  </si>
  <si>
    <t>S-T6V-BM2917</t>
  </si>
  <si>
    <t>BEAM B-12 REINFORCEMENT DETAIL(SHEET 2 OF 2)(SSL29 to SSL30)</t>
  </si>
  <si>
    <t>S-T6V-BM2918</t>
  </si>
  <si>
    <t>BEAM B-13 &amp; B-14 REINFORCEMENT DETAIL(SSL29 to SSL30)</t>
  </si>
  <si>
    <t>S-T6V-BM2919</t>
  </si>
  <si>
    <t>BEAM B-15 REINFORCEMENT DETAIL(SSL29 to SSL30)</t>
  </si>
  <si>
    <t>S-T6V-BM2920</t>
  </si>
  <si>
    <t>BEAM B-16 REINFORCEMENT DETAIL(SHEET 1 OF 2)(SSL29 to SSL30)</t>
  </si>
  <si>
    <t>S-T6V-BM2921</t>
  </si>
  <si>
    <t>BEAM B-16 REINFORCEMENT DETAIL(SHEET 2 OF 2)(SSL29 to SSL30)</t>
  </si>
  <si>
    <t>S-T6V-BM2922</t>
  </si>
  <si>
    <t>BEAM B-17 REINFORCEMENT DETAIL(SSL29 to SSL30)</t>
  </si>
  <si>
    <t>S-T6V-BM2923</t>
  </si>
  <si>
    <t>BEAM B-18 REINFORCEMENT DETAIL(SHEET 1 OF 2)(SSL29 to SSL30)</t>
  </si>
  <si>
    <t>S-T6V-BM2924</t>
  </si>
  <si>
    <t>BEAM B-18 REINFORCEMENT DETAIL(SHEET 2 OF 2)(SSL29 to SSL30)</t>
  </si>
  <si>
    <t>S-T6V-BM2925</t>
  </si>
  <si>
    <t>BEAM B-19 REINFORCEMENT DETAIL(SSL29 to SSL30)</t>
  </si>
  <si>
    <t>S-T6V-BM2926</t>
  </si>
  <si>
    <t>BEAM B-20 REINFORCEMENT DETAIL(SSL29 to SSL30)</t>
  </si>
  <si>
    <t>S-T6V-BM2927</t>
  </si>
  <si>
    <t>BEAM B-21 REINFORCEMENT DETAIL(SSL29 to SSL30)</t>
  </si>
  <si>
    <t>S-T6V-BM2928</t>
  </si>
  <si>
    <t>BEAM B-22 REINFORCEMENT DETAIL(SSL29 to SSL30)</t>
  </si>
  <si>
    <t>S-T6V-BM2929</t>
  </si>
  <si>
    <t>BEAM B-23 REINFORCEMENT DETAIL(SSL29 to SSL30)</t>
  </si>
  <si>
    <t>S-T6V-BM2930</t>
  </si>
  <si>
    <t>BEAM B-25, B26 &amp; B27 REINFORCEMENT DETAIL(SSL29 to SSL30)</t>
  </si>
  <si>
    <t>S-T6V-BM2931</t>
  </si>
  <si>
    <t>BEAM B-28 &amp; B-29 REINFORCEMENT DETAIL(SSL29 to SSL30)</t>
  </si>
  <si>
    <t>S-T6V-BM2932</t>
  </si>
  <si>
    <t>BEAM B-30 &amp; B-31 REINFORCEMENT DETAIL(SSL29 to SSL30)</t>
  </si>
  <si>
    <t>S-T6V-BM2933</t>
  </si>
  <si>
    <t>BEAM B-32 REINFORCEMENT DETAIL(SSL29 to SSL30)</t>
  </si>
  <si>
    <t>S-T6V-BM3040</t>
  </si>
  <si>
    <t>S-T6V-BM3041</t>
  </si>
  <si>
    <t>S-T6V-BM3042</t>
  </si>
  <si>
    <t>S-T6V-BM3043</t>
  </si>
  <si>
    <t>S-T6V-BM3044</t>
  </si>
  <si>
    <t>S-T6V-BM3045</t>
  </si>
  <si>
    <t>S-T6V-BM3046</t>
  </si>
  <si>
    <t>S-T6V-BM3047</t>
  </si>
  <si>
    <t>S-T6V-BM3048</t>
  </si>
  <si>
    <t>S-T6V-BM3049</t>
  </si>
  <si>
    <t>S-T6V-BM3050</t>
  </si>
  <si>
    <t>S-T6V-BM3051</t>
  </si>
  <si>
    <t>S-T6V-BM3052</t>
  </si>
  <si>
    <t>S-T6V-BM3053</t>
  </si>
  <si>
    <t>S-T6V-BM3054</t>
  </si>
  <si>
    <t>S-T6V-BM3055</t>
  </si>
  <si>
    <t>S-T6V-BM3056</t>
  </si>
  <si>
    <t>S-T6V-BM3057</t>
  </si>
  <si>
    <t>S-T6V-BM3058</t>
  </si>
  <si>
    <t>S-T6V-BM3059</t>
  </si>
  <si>
    <t>S-T6V-BM3060</t>
  </si>
  <si>
    <t>S-T6V-BM3061</t>
  </si>
  <si>
    <t>S-T6V-BM3062</t>
  </si>
  <si>
    <t>S-T6V-BM3063</t>
  </si>
  <si>
    <t>S-T6V-BM3064</t>
  </si>
  <si>
    <t>S-T6V-BM3065</t>
  </si>
  <si>
    <t>S-T6V-BM3066</t>
  </si>
  <si>
    <t>S-T6V-BM3145</t>
  </si>
  <si>
    <t>S-T6V-BM3146</t>
  </si>
  <si>
    <t>S-T6V-BM3236</t>
  </si>
  <si>
    <t>S-T6V-BM3237</t>
  </si>
  <si>
    <t>S-T6V-BM3238</t>
  </si>
  <si>
    <t>S-T6V-BM3239</t>
  </si>
  <si>
    <t>S-T6V-BM3240</t>
  </si>
  <si>
    <t>S-T6V-BM3241</t>
  </si>
  <si>
    <t>S-T6V-BM3242</t>
  </si>
  <si>
    <t>S-T6V-BM3243</t>
  </si>
  <si>
    <t>S-T6V-BM3244</t>
  </si>
  <si>
    <t>S-T6V-BM3245</t>
  </si>
  <si>
    <t>S-T6V-BM3246</t>
  </si>
  <si>
    <t>S-T6V-BM3247</t>
  </si>
  <si>
    <t>S-T6V-BM3248</t>
  </si>
  <si>
    <t>S-T6V-BM3249</t>
  </si>
  <si>
    <t>S-T6V-BM3250</t>
  </si>
  <si>
    <t>S-T6V-BM3251</t>
  </si>
  <si>
    <t>S-T6V-BM3252</t>
  </si>
  <si>
    <t>S-T6V-BM3253</t>
  </si>
  <si>
    <t>S-T6V-BM3254</t>
  </si>
  <si>
    <t>S-T6V-BM3255</t>
  </si>
  <si>
    <t>S-T6V-BM3264</t>
  </si>
  <si>
    <t>S-T6V-BM3265</t>
  </si>
  <si>
    <t>S-T6V-BM3266</t>
  </si>
  <si>
    <t>S-T6V-BM3267</t>
  </si>
  <si>
    <t>S-T6V-SB0103</t>
  </si>
  <si>
    <t>BBS for Top Reinforcement for SSL01  (Sheet 2)</t>
  </si>
  <si>
    <t>S-T6V-SB0301</t>
  </si>
  <si>
    <t>S-T6V-SB0302</t>
  </si>
  <si>
    <t>S-T6V-SB0303</t>
  </si>
  <si>
    <t>S-T6V-SB0304</t>
  </si>
  <si>
    <t>S-T6V-SB0602</t>
  </si>
  <si>
    <t>S-T6V-SB0604</t>
  </si>
  <si>
    <t>S-T6V-SB1001</t>
  </si>
  <si>
    <t>S-T6V-SB1002</t>
  </si>
  <si>
    <t>S-T6V-SB1003</t>
  </si>
  <si>
    <t>S-T6V-SB1004</t>
  </si>
  <si>
    <t>S-T6V-SB1005</t>
  </si>
  <si>
    <t>S-T6V-SB1006</t>
  </si>
  <si>
    <t>S-T6V-SB1008</t>
  </si>
  <si>
    <t>S-T6V-SB2801</t>
  </si>
  <si>
    <t>S-T6V-SB2802</t>
  </si>
  <si>
    <t>S-T6V-SB2803</t>
  </si>
  <si>
    <t>S-T6V-SB2804</t>
  </si>
  <si>
    <t>S-T6V-SB2805</t>
  </si>
  <si>
    <t>S-T6V-SL0202</t>
  </si>
  <si>
    <t>S-T6V-SL0601</t>
  </si>
  <si>
    <t>S-T6V-SL0602</t>
  </si>
  <si>
    <t>ST-T6V-6</t>
  </si>
  <si>
    <t>S-T6V-BM0103</t>
  </si>
  <si>
    <t>S-T6V-BM0105</t>
  </si>
  <si>
    <t>S-T6V-BM0107</t>
  </si>
  <si>
    <t>S-T6V-BM0109</t>
  </si>
  <si>
    <t>S-T6V-BM0111</t>
  </si>
  <si>
    <t>S-T6V-BM0114</t>
  </si>
  <si>
    <t>S-T6V-BM0118</t>
  </si>
  <si>
    <t>S-T6V-BM0119</t>
  </si>
  <si>
    <t xml:space="preserve">Beam  B-23 Reinforcement Details </t>
  </si>
  <si>
    <t>S-T6V-BM0120</t>
  </si>
  <si>
    <t>S-T6V-BM0122</t>
  </si>
  <si>
    <t>S-T6V-BM0124</t>
  </si>
  <si>
    <t>S-T6V-BM0125</t>
  </si>
  <si>
    <t>S-T6V-BM0133</t>
  </si>
  <si>
    <t>S-T6V-BM0136</t>
  </si>
  <si>
    <t xml:space="preserve">Beam B-35 Reinforcement Detail  </t>
  </si>
  <si>
    <t>S-T6V-BM0141</t>
  </si>
  <si>
    <t>S-T6V-BM0143</t>
  </si>
  <si>
    <t>S-T6V-BM0146</t>
  </si>
  <si>
    <t>S-T6V-BM0147</t>
  </si>
  <si>
    <t>S-T6V-BM0151</t>
  </si>
  <si>
    <t>S-T6V-BM0155</t>
  </si>
  <si>
    <t>S-T6V-BM0156</t>
  </si>
  <si>
    <t>S-T6V-BM0157</t>
  </si>
  <si>
    <t>S-T6V-BM0161</t>
  </si>
  <si>
    <t>Beam B-62 &amp; 63 Reinforcement Detail</t>
  </si>
  <si>
    <t>S-T6V-BM0201</t>
  </si>
  <si>
    <t>S-T6V-BM0202</t>
  </si>
  <si>
    <t>S-T6V-BM0203</t>
  </si>
  <si>
    <t>S-T6V-BM0204</t>
  </si>
  <si>
    <t>S-T6V-BM0205</t>
  </si>
  <si>
    <t>S-T6V-BM0206</t>
  </si>
  <si>
    <t>S-T6V-BM0207</t>
  </si>
  <si>
    <t>S-T6V-BM0208</t>
  </si>
  <si>
    <t>S-T6V-BM0209</t>
  </si>
  <si>
    <t>S-T6V-BM0210</t>
  </si>
  <si>
    <t>S-T6V-BM0211</t>
  </si>
  <si>
    <t>S-T6V-BM0212</t>
  </si>
  <si>
    <t>S-T6V-BM0213</t>
  </si>
  <si>
    <t>S-T6V-BM0214</t>
  </si>
  <si>
    <t>S-T6V-BM0215</t>
  </si>
  <si>
    <t>S-T6V-BM0216</t>
  </si>
  <si>
    <t>S-T6V-BM0217</t>
  </si>
  <si>
    <t>S-T6V-BM0218</t>
  </si>
  <si>
    <t>S-T6V-BM0219</t>
  </si>
  <si>
    <t>S-T6V-BM0220</t>
  </si>
  <si>
    <t>S-T6V-BM0221</t>
  </si>
  <si>
    <t>S-T6V-BM0222</t>
  </si>
  <si>
    <t>S-T6V-BM0223</t>
  </si>
  <si>
    <t>S-T6V-BM0224</t>
  </si>
  <si>
    <t>S-T6V-BM0225</t>
  </si>
  <si>
    <t>S-T6V-BM0226</t>
  </si>
  <si>
    <t>S-T6V-BM0227</t>
  </si>
  <si>
    <t>S-T6V-BM0228</t>
  </si>
  <si>
    <t>S-T6V-BM0229</t>
  </si>
  <si>
    <t>S-T6V-BM0230</t>
  </si>
  <si>
    <t>S-T6V-BM0231</t>
  </si>
  <si>
    <t>S-T6V-BM0232</t>
  </si>
  <si>
    <t>S-T6V-BM0233</t>
  </si>
  <si>
    <t>S-T6V-BM0234</t>
  </si>
  <si>
    <t>S-T6V-BM0235</t>
  </si>
  <si>
    <t>S-T6V-BM0236</t>
  </si>
  <si>
    <t>S-T6V-BM0302</t>
  </si>
  <si>
    <t>S-T6V-BM0304</t>
  </si>
  <si>
    <t>S-T6V-BM0305</t>
  </si>
  <si>
    <t>S-T6V-BM0307</t>
  </si>
  <si>
    <t>S-T6V-BM0309</t>
  </si>
  <si>
    <t>S-T6V-BM0311</t>
  </si>
  <si>
    <t>S-T6V-BM0313</t>
  </si>
  <si>
    <t>S-T6V-BM0315</t>
  </si>
  <si>
    <t>S-T6V-BM0317</t>
  </si>
  <si>
    <t>S-T6V-BM0318</t>
  </si>
  <si>
    <t>S-T6V-BM0320</t>
  </si>
  <si>
    <t>S-T6V-BM0322</t>
  </si>
  <si>
    <t>S-T6V-BM0324</t>
  </si>
  <si>
    <t>S-T6V-BM0326</t>
  </si>
  <si>
    <t>S-T6V-BM0501</t>
  </si>
  <si>
    <t>S-T6V-BM0502</t>
  </si>
  <si>
    <t>S-T6V-BM0504</t>
  </si>
  <si>
    <t>S-T6V-BM0611</t>
  </si>
  <si>
    <t>S-T6V-BM0614</t>
  </si>
  <si>
    <t>S-T6V-BM0901</t>
  </si>
  <si>
    <t>S-T6V-BM0902</t>
  </si>
  <si>
    <t>S-T6V-BM0903</t>
  </si>
  <si>
    <t>S-T6V-BM0904</t>
  </si>
  <si>
    <t>S-T6V-BM0905</t>
  </si>
  <si>
    <t>S-T6V-BM0906</t>
  </si>
  <si>
    <t>S-T6V-BM0907</t>
  </si>
  <si>
    <t>S-T6V-BM0908</t>
  </si>
  <si>
    <t>S-T6V-BM0909</t>
  </si>
  <si>
    <t>S-T6V-BM0910</t>
  </si>
  <si>
    <t>S-T6V-BM0911</t>
  </si>
  <si>
    <t>S-T6V-BM0912</t>
  </si>
  <si>
    <t>S-T6V-BM0913</t>
  </si>
  <si>
    <t>S-T6V-BM0914</t>
  </si>
  <si>
    <t>S-T6V-BM0915</t>
  </si>
  <si>
    <t>S-T6V-BM0916</t>
  </si>
  <si>
    <t>S-T6V-BM0917</t>
  </si>
  <si>
    <t>S-T6V-BM0918</t>
  </si>
  <si>
    <t>S-T6V-BM0919</t>
  </si>
  <si>
    <t>S-T6V-BM0920</t>
  </si>
  <si>
    <t>S-T6V-BM0921</t>
  </si>
  <si>
    <t>S-T6V-BM0922</t>
  </si>
  <si>
    <t>S-T6V-BM0923</t>
  </si>
  <si>
    <t>S-T6V-BM0924</t>
  </si>
  <si>
    <t>S-T6V-BM1001</t>
  </si>
  <si>
    <t>S-T6V-BM1002</t>
  </si>
  <si>
    <t>S-T6V-BM1003</t>
  </si>
  <si>
    <t>S-T6V-BM1004</t>
  </si>
  <si>
    <t>S-T6V-BM1005</t>
  </si>
  <si>
    <t>S-T6V-BM1006</t>
  </si>
  <si>
    <t>S-T6V-BM1007</t>
  </si>
  <si>
    <t>S-T6V-BM1008</t>
  </si>
  <si>
    <t>S-T6V-BM1009</t>
  </si>
  <si>
    <t>S-T6V-BM1010</t>
  </si>
  <si>
    <t>S-T6V-BM1011</t>
  </si>
  <si>
    <t>S-T6V-BM1012</t>
  </si>
  <si>
    <t>S-T6V-BM1013</t>
  </si>
  <si>
    <t>S-T6V-BM1014</t>
  </si>
  <si>
    <t>S-T6V-BM1015</t>
  </si>
  <si>
    <t>S-T6V-BM1016</t>
  </si>
  <si>
    <t>S-T6V-BM1017</t>
  </si>
  <si>
    <t>S-T6V-BM1018</t>
  </si>
  <si>
    <t>S-T6V-BM1019</t>
  </si>
  <si>
    <t>S-T6V-BM1020</t>
  </si>
  <si>
    <t>S-T6V-BM1021</t>
  </si>
  <si>
    <t>S-T6V-BM1022</t>
  </si>
  <si>
    <t>S-T6V-BM1023</t>
  </si>
  <si>
    <t>S-T6V-BM1024</t>
  </si>
  <si>
    <t>S-T6V-BM1025</t>
  </si>
  <si>
    <t>S-T6V-BM1026</t>
  </si>
  <si>
    <t>S-T6V-BM1027</t>
  </si>
  <si>
    <t>S-T6V-BM1028</t>
  </si>
  <si>
    <t>S-T6V-BM1029</t>
  </si>
  <si>
    <t>S-T6V-BM1030</t>
  </si>
  <si>
    <t>S-T6V-BM1031</t>
  </si>
  <si>
    <t>S-T6V-BM1032</t>
  </si>
  <si>
    <t>S-T6V-BM1033</t>
  </si>
  <si>
    <t>S-T6V-BM1034</t>
  </si>
  <si>
    <t>S-T6V-BM1035</t>
  </si>
  <si>
    <t>S-T6V-BM1040</t>
  </si>
  <si>
    <t>S-T6V-BM1041</t>
  </si>
  <si>
    <t>S-T6V-BM1042</t>
  </si>
  <si>
    <t>S-T6V-BM1043</t>
  </si>
  <si>
    <t>S-T6V-BM1044</t>
  </si>
  <si>
    <t>S-T6V-BM1045</t>
  </si>
  <si>
    <t>S-T6V-BM1046</t>
  </si>
  <si>
    <t>S-T6V-BM1049</t>
  </si>
  <si>
    <t>S-T6V-BM1050</t>
  </si>
  <si>
    <t>S-T6V-BM1051</t>
  </si>
  <si>
    <t>S-T6V-BM1052</t>
  </si>
  <si>
    <t>S-T6V-BM1053</t>
  </si>
  <si>
    <t>S-T6V-BM1054</t>
  </si>
  <si>
    <t>S-T6V-BM1056</t>
  </si>
  <si>
    <t>S-T6V-BM1058</t>
  </si>
  <si>
    <t>S-T6V-BM1059</t>
  </si>
  <si>
    <t>S-T6V-BM1060</t>
  </si>
  <si>
    <t>S-T6V-BM1061</t>
  </si>
  <si>
    <t>S-T6V-BM1062</t>
  </si>
  <si>
    <t>S-T6V-BM1063</t>
  </si>
  <si>
    <t>S-T6V-BM1064</t>
  </si>
  <si>
    <t>S-T6V-BM1066</t>
  </si>
  <si>
    <t>S-T6V-BM1067</t>
  </si>
  <si>
    <t>S-T6V-BM1068</t>
  </si>
  <si>
    <t>S-T6V-BM1069</t>
  </si>
  <si>
    <t>S-T6V-BM1072</t>
  </si>
  <si>
    <t>S-T6V-BM2040</t>
  </si>
  <si>
    <t>BEAM B-40 REINFORCEMENT DETAIL(SSL20 TO SSL27)</t>
  </si>
  <si>
    <t>S-T6V-BM2041</t>
  </si>
  <si>
    <t>BEAM B-41 &amp; B-42 REINFORCEMENT DETAIL(SSL20 TO SSL27)</t>
  </si>
  <si>
    <t>S-T6V-BM2042</t>
  </si>
  <si>
    <t>BEAM B-43 REINFORCEMENT DETAIL(SSL20 TO SSL27)</t>
  </si>
  <si>
    <t>S-T6V-BM2043</t>
  </si>
  <si>
    <t>BEAM B-44 REINFORCEMENT DETAIL(SSL20 TO SSL27)</t>
  </si>
  <si>
    <t>S-T6V-BM2044</t>
  </si>
  <si>
    <t>BEAM B-45 REINFORCEMENT DETAIL(SSL20 TO SSL27)</t>
  </si>
  <si>
    <t>S-T6V-BM2045</t>
  </si>
  <si>
    <t>S-T6V-BM2046</t>
  </si>
  <si>
    <t>S-T6V-BM2049</t>
  </si>
  <si>
    <t>BEAM B-48 REINFORCEMENT DETAIL(SSL20 TO SSL27)</t>
  </si>
  <si>
    <t>S-T6V-BM2050</t>
  </si>
  <si>
    <t>BEAM B-49 REINFORCEMENT DETAIL(SSL20 TO SSL27)</t>
  </si>
  <si>
    <t>S-T6V-BM2051</t>
  </si>
  <si>
    <t>BEAM B-50 REINFORCEMENT DETAIL(SSL20 TO SSL27)</t>
  </si>
  <si>
    <t>S-T6V-BM2052</t>
  </si>
  <si>
    <t>BEAM B-51 REINFORCEMENT DETAIL(SSL20 TO SSL27)</t>
  </si>
  <si>
    <t>S-T6V-BM2053</t>
  </si>
  <si>
    <t>BEAM B-52 REINFORCEMENT DETAIL(SSL20 TO SSL27)</t>
  </si>
  <si>
    <t>S-T6V-BM2054</t>
  </si>
  <si>
    <t>BEAM B-53 REINFORCEMENT DETAIL(SSL20 TO SSL27)</t>
  </si>
  <si>
    <t>S-T6V-BM2056</t>
  </si>
  <si>
    <t>S-T6V-BM2058</t>
  </si>
  <si>
    <t>S-T6V-BM2059</t>
  </si>
  <si>
    <t>BEAM B-56 REINFORCEMENT DETAIL(SSL20 TO SSL27)</t>
  </si>
  <si>
    <t>S-T6V-BM2060</t>
  </si>
  <si>
    <t>BEAM B-57 REINFORCEMENT DETAIL(SSL20 TO SSL27)</t>
  </si>
  <si>
    <t>S-T6V-BM2061</t>
  </si>
  <si>
    <t>BEAM B-58 REINFORCEMENT DETAIL(SSL20 TO SSL27)</t>
  </si>
  <si>
    <t>S-T6V-BM2062</t>
  </si>
  <si>
    <t>BEAM B-59 REINFORCEMENT DETAIL(SSL20 TO SSL27)</t>
  </si>
  <si>
    <t>S-T6V-BM2063</t>
  </si>
  <si>
    <t>BEAM B-60 &amp; B-61 REINFORCEMENT DETAIL(SSL20 TO SSL27)</t>
  </si>
  <si>
    <t>S-T6V-BM2064</t>
  </si>
  <si>
    <t>BEAM B-62 REINFORCEMENT DETAIL(SSL20 TO SSL27)</t>
  </si>
  <si>
    <t>S-T6V-BM2066</t>
  </si>
  <si>
    <t>S-T6V-BM2067</t>
  </si>
  <si>
    <t>BEAM B-64 REINFORCEMENT DETAIL(SSL20 TO SSL27)</t>
  </si>
  <si>
    <t>S-T6V-BM2068</t>
  </si>
  <si>
    <t>BEAM B-65 REINFORCEMENT DETAIL(SSL20 TO SSL27)</t>
  </si>
  <si>
    <t>S-T6V-BM2069</t>
  </si>
  <si>
    <t>BEAM B-66 REINFORCEMENT DETAIL(SSL20 TO SSL27)</t>
  </si>
  <si>
    <t>S-T6V-BM2070</t>
  </si>
  <si>
    <t>BEAM B-67 REINFORCEMENT DETAIL(SSL20 TO SSL27)</t>
  </si>
  <si>
    <t>S-T6V-BM2071</t>
  </si>
  <si>
    <t>S-T6V-BM2035</t>
  </si>
  <si>
    <t>S-T6V-BM3140</t>
  </si>
  <si>
    <t>S-T6V-BM3141</t>
  </si>
  <si>
    <t>S-T6V-BM3142</t>
  </si>
  <si>
    <t>S-T6V-BM3143</t>
  </si>
  <si>
    <t>S-T6V-BM3144</t>
  </si>
  <si>
    <t>S-T6V-BM3147</t>
  </si>
  <si>
    <t>S-T6V-BM3148</t>
  </si>
  <si>
    <t>S-T6V-BM3149</t>
  </si>
  <si>
    <t>S-T6V-BM3150</t>
  </si>
  <si>
    <t>S-T6V-BM3151</t>
  </si>
  <si>
    <t>S-T6V-BM3152</t>
  </si>
  <si>
    <t>S-T6V-BM3153</t>
  </si>
  <si>
    <t>S-T6V-BM3154</t>
  </si>
  <si>
    <t>S-T6V-BM3155</t>
  </si>
  <si>
    <t>S-T6V-BM3156</t>
  </si>
  <si>
    <t>S-T6V-BM3157</t>
  </si>
  <si>
    <t>S-T6V-BM3158</t>
  </si>
  <si>
    <t>S-T6V-BM3159</t>
  </si>
  <si>
    <t>S-T6V-BM3160</t>
  </si>
  <si>
    <t>S-T6V-BM3161</t>
  </si>
  <si>
    <t>S-T6V-BM3162</t>
  </si>
  <si>
    <t>S-T6V-BM3163</t>
  </si>
  <si>
    <t>S-T6V-BM3164</t>
  </si>
  <si>
    <t>S-T6V-BM3165</t>
  </si>
  <si>
    <t>S-T6V-BM3166</t>
  </si>
  <si>
    <t>S-T6V-BM3101</t>
  </si>
  <si>
    <t>S-T6V-BM3102</t>
  </si>
  <si>
    <t>S-T6V-BM3103</t>
  </si>
  <si>
    <t>S-T6V-BM3104</t>
  </si>
  <si>
    <t>S-T6V-BM3105</t>
  </si>
  <si>
    <t>S-T6V-BM3106</t>
  </si>
  <si>
    <t>S-T6V-BM3107</t>
  </si>
  <si>
    <t>S-T6V-BM3108</t>
  </si>
  <si>
    <t>S-T6V-BM3109</t>
  </si>
  <si>
    <t>S-T6V-BM3110</t>
  </si>
  <si>
    <t>S-T6V-BM3111</t>
  </si>
  <si>
    <t>S-T6V-BM3112</t>
  </si>
  <si>
    <t>S-T6V-BM3113</t>
  </si>
  <si>
    <t>S-T6V-BM3114</t>
  </si>
  <si>
    <t>S-T6V-BM3115</t>
  </si>
  <si>
    <t>S-T6V-BM3116</t>
  </si>
  <si>
    <t>S-T6V-BM3117</t>
  </si>
  <si>
    <t>S-T6V-BM3118</t>
  </si>
  <si>
    <t>S-T6V-BM3119</t>
  </si>
  <si>
    <t>S-T6V-BM3120</t>
  </si>
  <si>
    <t>S-T6V-BM3121</t>
  </si>
  <si>
    <t>S-T6V-BM3122</t>
  </si>
  <si>
    <t>S-T6V-BM3123</t>
  </si>
  <si>
    <t>S-T6V-BM3124</t>
  </si>
  <si>
    <t>S-T6V-BM3125</t>
  </si>
  <si>
    <t>S-T6V-BM3126</t>
  </si>
  <si>
    <t>S-T6V-BM3127</t>
  </si>
  <si>
    <t>S-T6V-SB0102</t>
  </si>
  <si>
    <t>S-T6V-SB0201</t>
  </si>
  <si>
    <t>S-T6V-SB0202</t>
  </si>
  <si>
    <t>S-T6V-SB0203</t>
  </si>
  <si>
    <t>S-T6V-SB0204</t>
  </si>
  <si>
    <t>S-T6V-SB0501</t>
  </si>
  <si>
    <t>S-T6V-SB0601</t>
  </si>
  <si>
    <t>S-T6V-SB0603</t>
  </si>
  <si>
    <t>S-T6V-SB0901</t>
  </si>
  <si>
    <t>S-T6V-SB0902</t>
  </si>
  <si>
    <t>S-T6V-SB0903</t>
  </si>
  <si>
    <t>S-T6V-SB0904</t>
  </si>
  <si>
    <t>S-T6V-SL0201</t>
  </si>
  <si>
    <t>S-T6V-BM0129</t>
  </si>
  <si>
    <t>ST-T6V-8</t>
  </si>
  <si>
    <t>S-T6V-SB2901</t>
  </si>
  <si>
    <t>S-T6V-SB2902</t>
  </si>
  <si>
    <t>S-T6V-SB2903</t>
  </si>
  <si>
    <t>S-T6V-SB2904</t>
  </si>
  <si>
    <t>S-T6V-SB2906</t>
  </si>
  <si>
    <t>S-T6V-SB2908</t>
  </si>
  <si>
    <t>S-T6V-MS0001</t>
  </si>
  <si>
    <t>TOWER 6 &amp; 7 CONNECTING METAL STAIRCASE DETAILS</t>
  </si>
  <si>
    <t>ST-T6V-9</t>
  </si>
  <si>
    <t>S-T6V-MS0002</t>
  </si>
  <si>
    <t>TOWER 6 &amp; 7 CONNECTING METAL STAIRCASE DETAIL</t>
  </si>
  <si>
    <t>S-T6V-MS0003</t>
  </si>
  <si>
    <t>S-T6S-FD0001</t>
  </si>
  <si>
    <t>Tower-6Stepped  Foundation Layout-Part Plan</t>
  </si>
  <si>
    <t>ST-T6S-1</t>
  </si>
  <si>
    <t>S-T6S-FD0002</t>
  </si>
  <si>
    <t>Table of Reinf.for Tower-6 Stepped Footings</t>
  </si>
  <si>
    <t>S-T6S-FD0003</t>
  </si>
  <si>
    <t>S-T6S-FD0004</t>
  </si>
  <si>
    <t>Table of Reinf. For Isolated Footings</t>
  </si>
  <si>
    <t>S-T6S-FD0005</t>
  </si>
  <si>
    <t>Typical Pedestal Details of Isolated Footings</t>
  </si>
  <si>
    <t>S-T6S-FD0101</t>
  </si>
  <si>
    <t>S-T6S-FD0201</t>
  </si>
  <si>
    <t>S-T6S-FD0202</t>
  </si>
  <si>
    <t>S-T6S-FD0301</t>
  </si>
  <si>
    <t>S-T6S-FD0302</t>
  </si>
  <si>
    <t>S-T6S-FD0401</t>
  </si>
  <si>
    <t>S-T6S-FD0402</t>
  </si>
  <si>
    <t>S-T6S-FD0501</t>
  </si>
  <si>
    <t>Foundation details for CF5a</t>
  </si>
  <si>
    <t>S-T6S-FD0502</t>
  </si>
  <si>
    <t>Foundation details for CF5b</t>
  </si>
  <si>
    <t>S-T6S-FD0701</t>
  </si>
  <si>
    <t>Foundation details for CF7 (Sht 1 of5)</t>
  </si>
  <si>
    <t>S-T6S-FD0702</t>
  </si>
  <si>
    <t>Foundation details for CF7 (Sht 2 of5)</t>
  </si>
  <si>
    <t>S-T6S-FD0703</t>
  </si>
  <si>
    <t>Foundation details for CF7 (Sht 3 of5)</t>
  </si>
  <si>
    <t>S-T6S-FD0704</t>
  </si>
  <si>
    <t>Foundation details for CF7 (Sht 4 of5)</t>
  </si>
  <si>
    <t>S-T6S-FD0705</t>
  </si>
  <si>
    <t>Foundation details for CF7 (Sht 5 of5)</t>
  </si>
  <si>
    <t>S-T6S-FD0801</t>
  </si>
  <si>
    <t>Foundation details for CF8(1 of 2)</t>
  </si>
  <si>
    <t>S-T6S-FD0802</t>
  </si>
  <si>
    <t>Foundation details for CF8(2 of 2)</t>
  </si>
  <si>
    <t>S-T6S-FD0901</t>
  </si>
  <si>
    <t>Foundation details for CF9 1 of 2)</t>
  </si>
  <si>
    <t>S-T6S-FD0902</t>
  </si>
  <si>
    <t>S-T6S-RW0001</t>
  </si>
  <si>
    <t>Retaining wall reinforcement details (Earth side) b/w grids 2-A &amp; 2 -B</t>
  </si>
  <si>
    <t>S-T6S-RW0002</t>
  </si>
  <si>
    <t>Retaining wall reinforcement details (Basement side) b/w grids 2-A &amp; 2 -B</t>
  </si>
  <si>
    <t>S-T6S-RW0003</t>
  </si>
  <si>
    <t>Retaining wall column and beam details b/w grids 2-A &amp; 2-B</t>
  </si>
  <si>
    <t>S-T6S-RW0004</t>
  </si>
  <si>
    <t>Structural/Retaining wall reinforcement sections b/w grids 2-A &amp; 2-B</t>
  </si>
  <si>
    <t>S-T6S-RW0005</t>
  </si>
  <si>
    <t>S-T6S-RW0006</t>
  </si>
  <si>
    <t xml:space="preserve">Retaining wall details </t>
  </si>
  <si>
    <t>S-T6S-RW0007</t>
  </si>
  <si>
    <t>Retaining wall foundation reinforcement details along 2.10</t>
  </si>
  <si>
    <t>S-T6S-RW0008</t>
  </si>
  <si>
    <t>Retaining wall foundation details b/w grids 2-A and 2-B</t>
  </si>
  <si>
    <t>S-T6S-RW0009</t>
  </si>
  <si>
    <t>S-T6S-RW0010</t>
  </si>
  <si>
    <t>Ramp Retaining wall(RW1) Details</t>
  </si>
  <si>
    <t>S-T6S-RW0011</t>
  </si>
  <si>
    <t>Ramp Retaing Wall(RW1) Reinforcement details(Earth side)</t>
  </si>
  <si>
    <t>S-T6S-RW0012</t>
  </si>
  <si>
    <t>Ramp Retaing Wall(RW1) Reinforcement details(Basement side)</t>
  </si>
  <si>
    <t>S-T6S-RW0013</t>
  </si>
  <si>
    <t>Ramp Retaing Wall(RW1) Wall-Footing Section Details</t>
  </si>
  <si>
    <t>S-T6S-RW0014</t>
  </si>
  <si>
    <t>Ramp Retaining wall (RW2&amp;RW3)</t>
  </si>
  <si>
    <t>S-T6S-RW0015</t>
  </si>
  <si>
    <t>Reinforcement detail(Earth side)-RW2 &amp; RW3 Walls</t>
  </si>
  <si>
    <t>S-T6S-RW0016</t>
  </si>
  <si>
    <t>Reinforcement detail(Basement side)-RW2 &amp; RW3 Walls</t>
  </si>
  <si>
    <t>S-T6S-RW0017</t>
  </si>
  <si>
    <t xml:space="preserve">Ramp Retaining wall (RW4) </t>
  </si>
  <si>
    <t>S-T6S-RW0018</t>
  </si>
  <si>
    <t>Reinforcement detail(Basement side)-Wall(RW4)</t>
  </si>
  <si>
    <t>S-T6S-RW0019</t>
  </si>
  <si>
    <t>Reinforcement detail(Earth side)-Wall(RW4)</t>
  </si>
  <si>
    <t>S-T6S-RW0020</t>
  </si>
  <si>
    <t>Ramp Retaining wall (RW4) section details</t>
  </si>
  <si>
    <t>S-T6S-RW0021</t>
  </si>
  <si>
    <t>Ramp Retaining Wall (RW2 &amp;RW3) footing section details</t>
  </si>
  <si>
    <t>S-T6S-RW0022</t>
  </si>
  <si>
    <t>Ramp Retaining Wall (RW4) footing section details</t>
  </si>
  <si>
    <t>S-T6S-MS0001</t>
  </si>
  <si>
    <t>STORM WATER COLLECTION TANK</t>
  </si>
  <si>
    <t>S-T6S-MS0002</t>
  </si>
  <si>
    <t>STORM WATER TANK REINF. DETAILS (SHEET 1)</t>
  </si>
  <si>
    <t>S-T6S-MS0003</t>
  </si>
  <si>
    <t>STORM WATER TANK REINF. DETAILS (SHEET 2)</t>
  </si>
  <si>
    <t>S-T6S-MS0004</t>
  </si>
  <si>
    <t>Slab opening &amp; Closure Details</t>
  </si>
  <si>
    <t>S-T6S-CL0001</t>
  </si>
  <si>
    <t>S-T6S-CL0002</t>
  </si>
  <si>
    <t>S-T6S-CL0003</t>
  </si>
  <si>
    <t>Column  6SC1,6SC2 &amp; 6SC3 Detail</t>
  </si>
  <si>
    <t>S-T6S-CL0004</t>
  </si>
  <si>
    <t>Column reinforcement detail- 6SC5a, 6SC6a, 6SC7a &amp; 6SC8a (FOUNDATION TO 4TH SSL)</t>
  </si>
  <si>
    <t>S-T6S-CL0005</t>
  </si>
  <si>
    <t>Column reinforcement detail- 6SC10a, 6SC11a, 6SC12a &amp; 6SC12b (FOUNDATION TO 4TH SSL)</t>
  </si>
  <si>
    <t>S-T6S-CL0006</t>
  </si>
  <si>
    <t>Column reinforcement detail- 6SC11b, 6SC10b, 6SC9b &amp; 6SC13a (FOUNDATION TO 4TH SSL)</t>
  </si>
  <si>
    <t>S-T6S-CL0007</t>
  </si>
  <si>
    <t>Column reinforcement detail- 6SC14a, 6SC15a, 6SC16a &amp; 6SC16b (FOUNDATION TO 4TH SSL)</t>
  </si>
  <si>
    <t>S-T6S-CL0008</t>
  </si>
  <si>
    <t>Column reinforcement detail-  6SC15b, 6SC14b, 6SC13b &amp; 6SC17a (FOUNDATION TO 4TH SSL)</t>
  </si>
  <si>
    <t>S-T6S-CL0009</t>
  </si>
  <si>
    <t>Column reinforcement detail-  6SC51, 6SC52, 6SC53 &amp; 6SC38 (FOUNDATION TO 4TH SSL)</t>
  </si>
  <si>
    <t>S-T6S-CL0010</t>
  </si>
  <si>
    <t>Column reinforcement detail-  6SC8b, 6SC7b, 6SC6b, 6SC5b &amp; 6SC9a (FOUNDATION TO 4TH SSL)</t>
  </si>
  <si>
    <t>S-T6S-CL0011</t>
  </si>
  <si>
    <t>Column reinforcement detail- 6SC18a, 6SC19, 6SC21a, 6SC22a (FOUNDATION TO 4TH SSL)</t>
  </si>
  <si>
    <t>S-T6S-CL0012</t>
  </si>
  <si>
    <t>Column reinforcement detail- 6SC23, 6SC25a, 6SC26a &amp; 6SC27a (FOUNDATION TO 4TH SSL)</t>
  </si>
  <si>
    <t>S-T6S-CL0013</t>
  </si>
  <si>
    <t>Column reinforcement detail- 6SC28a, 6SC28b, 6SC27b &amp; 6SC29a (FOUNDATION TO 4TH SSL)</t>
  </si>
  <si>
    <t>S-T6S-CL0014</t>
  </si>
  <si>
    <t>Column reinforcement detail- 6SC30a, 6SC31a, 6SC32a, 6SC32b &amp; 6SC31b (FOUNDATION TO 4TH SSL)</t>
  </si>
  <si>
    <t>S-T6S-CL0015</t>
  </si>
  <si>
    <t>Column reinforcement detail- 6SCW1, 6SC43 (FOUNDATION TO 4TH SSL)</t>
  </si>
  <si>
    <t>S-T6S-CL0016</t>
  </si>
  <si>
    <t>Column reinforcement detail- 6SCW2 (FOUNDATION TO 4TH SSL)</t>
  </si>
  <si>
    <t>S-T6S-CL0017</t>
  </si>
  <si>
    <t>Column reinforcement detail- 6SCW3 (FOUNDATION TO 4TH SSL)</t>
  </si>
  <si>
    <t>S-T6S-CL0018</t>
  </si>
  <si>
    <t>Column reinforcement detail- 6SC45, 6SC46, 6SC47  (FOUNDATION TO 4TH SSL)</t>
  </si>
  <si>
    <t>S-T6S-CL0019</t>
  </si>
  <si>
    <t>Column reinforcement detail-  6SC48, 6SC49 &amp;6SC50 (FOUNDATION TO 4TH SSL)</t>
  </si>
  <si>
    <t>S-T6S-CL0020</t>
  </si>
  <si>
    <t>Column reinforcement detail-  6SC39, 6SC35, 6SC36 &amp; 6SC37 (FOUNDATION TO 4TH SSL)</t>
  </si>
  <si>
    <t>S-T6S-CL0021</t>
  </si>
  <si>
    <t>Column reinforcement detail-  6SC40, 6SC41, 6SC42 &amp; 6SC44(FOUNDATION TO 4TH SSL)</t>
  </si>
  <si>
    <t>S-T6S-CL0022</t>
  </si>
  <si>
    <t>Column reinforcement detail- 6SC54, 6SC55, 6SC56, 6SC57 &amp; 6SC58 (FOUNDATION TO 4TH SSL)</t>
  </si>
  <si>
    <t>S-T6S-CL0023</t>
  </si>
  <si>
    <t>Column reinforcement detail-  6SC59, 6SC60 &amp; 6SC61 (FOUNDATION TO 4TH SSL)</t>
  </si>
  <si>
    <t>S-T6S-CL0024</t>
  </si>
  <si>
    <t>Column reinforcement detail-  6SC1, 6SC2b, 6SC2a, 6SC3b &amp; 6SC3a (FOUNDATION TO 4TH SSL)</t>
  </si>
  <si>
    <t>S-T6S-CL0025</t>
  </si>
  <si>
    <t>LIFT CORE WALL DETAILS (SHEET 1 )</t>
  </si>
  <si>
    <t>S-T6S-CL0026</t>
  </si>
  <si>
    <t>LIFT CORE WALL DETAILS (SHEET 2 )</t>
  </si>
  <si>
    <t>S-T6S-CL0030</t>
  </si>
  <si>
    <t>Column reinforcement detail- 6SC7a, 6SC8a, 6SC8b &amp; 6SC7b (4TH SSL TO 8TH SSL)</t>
  </si>
  <si>
    <t>S-T6S-CL0031</t>
  </si>
  <si>
    <t>Column reinforcement detail- 6SC56, 6SC52, 6SC9a, 6SC10a &amp; 6SC11a(4TH SSL TO 8TH SSL )</t>
  </si>
  <si>
    <t>S-T6S-CL0032</t>
  </si>
  <si>
    <t>Column reinforcement detail- 6SC12a, 6SC12b, 6SC11b, 6SC10b &amp; 6SC9b (4TH SSL TO 8TH SSL)</t>
  </si>
  <si>
    <t>S-T6S-CL0033</t>
  </si>
  <si>
    <t>Column reinforcement detail- 6SC57, 6SC53, 6SC13a, 6SC14a &amp; 6SC15a ( 4TH SSL TO 8TH SSL)</t>
  </si>
  <si>
    <t>S-T6S-CL0034</t>
  </si>
  <si>
    <t>Column reinforcement detail-  6SC16a, 6SC16b, 6SC15b, 6SC14b &amp; 6SC13b (4TH SSL TO 8TH SSL)</t>
  </si>
  <si>
    <t>S-T6S-CL0035</t>
  </si>
  <si>
    <t>Column reinforcement detail-  6SC58, 6SC17a, 6SC18a &amp; 6SC19 (4TH SSL TO 8TH SSL)</t>
  </si>
  <si>
    <t>S-T6S-CL0036</t>
  </si>
  <si>
    <t>Column reinforcement detail-  6SW1  (4TH SSL TO 8TH SSL)</t>
  </si>
  <si>
    <t>S-T6S-CL0037</t>
  </si>
  <si>
    <t>Column reinforcement detail- 6SW2 (4TH SSL TO 8TH SSL)</t>
  </si>
  <si>
    <t>S-T6S-CL0038</t>
  </si>
  <si>
    <t>Column reinforcement detail- 6SW3 (4TH SSL TO 8TH SSL)</t>
  </si>
  <si>
    <t>S-T6S-CL0039</t>
  </si>
  <si>
    <t>Column reinforcement detail-  6SC37, 6SC38 &amp; 6SC39 (4TH SSL TO 8TH SSL)</t>
  </si>
  <si>
    <t>S-T6S-CL0040</t>
  </si>
  <si>
    <t>Column reinforcement detail-  6SC36, 6SC59,6SC21a, 6SC22a &amp; 6SC14b (4TH SSL TO 8TH SSL)</t>
  </si>
  <si>
    <t>S-T6S-CL0041</t>
  </si>
  <si>
    <t>Column reinforcement detail-  6SC23, 6SC60,6SC25a &amp; 6SC26a (4TH SSL TO 8TH SSL)</t>
  </si>
  <si>
    <t>S-T6S-CL0042</t>
  </si>
  <si>
    <t>Column reinforcement detail-  6SC27a, 6SC28a,6SC28b &amp; 6SC27b (4TH SSL TO 8TH SSL)</t>
  </si>
  <si>
    <t>S-T6S-CL0043</t>
  </si>
  <si>
    <t>Column reinforcement detail-  6SC61, 6SC29a,6SC30a &amp; 6SC31a (4TH SSL TO 8TH SSL)</t>
  </si>
  <si>
    <t>S-T6S-CL0044</t>
  </si>
  <si>
    <t>Column reinforcement detail- 6SC32a, 6SC32b &amp; 6SC31b  (4TH SSL TO 8TH SSL)</t>
  </si>
  <si>
    <t>S-T6S-CL0045</t>
  </si>
  <si>
    <t>Column reinforcement detail- 6SC50, 6SC40,6SC41 &amp; 6SC42  (4TH SSL TO 8TH SSL)</t>
  </si>
  <si>
    <t>S-T6S-CL0046</t>
  </si>
  <si>
    <t>Column reinforcement detail- 6SC43, 6SC44,6SC45 &amp; 6SC46  (4TH SSL TO 8TH SSL)</t>
  </si>
  <si>
    <t>S-T6S-CL0047</t>
  </si>
  <si>
    <t>S-T6S-CL0048</t>
  </si>
  <si>
    <t>Column reinforcement detail- 6SC47, 6SC48 &amp; 6SC49  (4TH SSL TO 8TH SSL)</t>
  </si>
  <si>
    <t>S-T6S-CL0049</t>
  </si>
  <si>
    <t>S-T6S-ST0101</t>
  </si>
  <si>
    <t>S-T6S-ST0102</t>
  </si>
  <si>
    <t>S-T6S-ST0103</t>
  </si>
  <si>
    <t>S-T6S-ST0104</t>
  </si>
  <si>
    <t>S-T6S-ST0105</t>
  </si>
  <si>
    <t>S-T6S-ST0106</t>
  </si>
  <si>
    <t>S-T6S-ST0107</t>
  </si>
  <si>
    <t>TYP STAIRCASE FLIGHT EXTENSION DETAILS</t>
  </si>
  <si>
    <t>S-T6S-ST0201</t>
  </si>
  <si>
    <t>S-T6S-ST0202</t>
  </si>
  <si>
    <t>S-T6S-ST0203</t>
  </si>
  <si>
    <t>S-T6S-ST0204</t>
  </si>
  <si>
    <t>S-T6S-ST0205</t>
  </si>
  <si>
    <t>S-T6S-ST0206</t>
  </si>
  <si>
    <t>S-T6S-ST0207</t>
  </si>
  <si>
    <t>S-T6S-ST0208</t>
  </si>
  <si>
    <t>S-T6S-ST0209</t>
  </si>
  <si>
    <t>S-T6S-ST0301</t>
  </si>
  <si>
    <t>S-T6S-ST0302</t>
  </si>
  <si>
    <t>S-T6S-FP0101</t>
  </si>
  <si>
    <t>ST-T6S-2</t>
  </si>
  <si>
    <t>S-T6S-FP0103</t>
  </si>
  <si>
    <t>S-T6S-FP0104</t>
  </si>
  <si>
    <t>S-T6S-FP0105</t>
  </si>
  <si>
    <t>S-T6S-BM0101</t>
  </si>
  <si>
    <t>Beam- 1BW1 Reinf. Detail (Sheet 1 of 2)</t>
  </si>
  <si>
    <t>S-T6S-BM0102</t>
  </si>
  <si>
    <t>Beam- 1BW1 Reinf. Detail (Sheet 2 of 2)</t>
  </si>
  <si>
    <t>S-T6S-BM0103</t>
  </si>
  <si>
    <t>Beam- 1BW2 Reinforcement Detail (Sheet 1 of 3)</t>
  </si>
  <si>
    <t>S-T6S-BM0104</t>
  </si>
  <si>
    <t>Beam- 1BW2 Reinforcement Detail (Sheet 2 of 3)</t>
  </si>
  <si>
    <t>S-T6S-BM0105</t>
  </si>
  <si>
    <t>Beam- 1BW2 Reinforcement Detail (Sheet 3 of 3)</t>
  </si>
  <si>
    <t>S-T6S-BM0106</t>
  </si>
  <si>
    <t>Beam- 1B1B Reinforcement Detail (Sheet 1 of 2)</t>
  </si>
  <si>
    <t>S-T6S-BM0107</t>
  </si>
  <si>
    <t>Beam- 1B1B Reinforcement Detail (Sheet 2 of 2)</t>
  </si>
  <si>
    <t>S-T6S-BM0108</t>
  </si>
  <si>
    <t>Beam- 1B2b Reinforcement Detail (Sheet 1 of 3)</t>
  </si>
  <si>
    <t>S-T6S-BM0109</t>
  </si>
  <si>
    <t>Beam- 1B2b Reinforcement Detail (Sheet 2 of 3)</t>
  </si>
  <si>
    <t>S-T6S-BM0110</t>
  </si>
  <si>
    <t>Beam- 1B2b Reinforcement Detail (Sheet 3 of 3)</t>
  </si>
  <si>
    <t>S-T6S-BM0111</t>
  </si>
  <si>
    <t>Beam- 1B3b Reinforcement Detail (Sheet 1 of 3)</t>
  </si>
  <si>
    <t>S-T6S-BM0112</t>
  </si>
  <si>
    <t>Beam- 1B3b Reinforcement Detail (Sheet 2 of 3)</t>
  </si>
  <si>
    <t>S-T6S-BM0113</t>
  </si>
  <si>
    <t>Beam- 1B3b Reinforcement Detail (Sheet 3 of 3)</t>
  </si>
  <si>
    <t>S-T6S-BM0114</t>
  </si>
  <si>
    <t>S-T6S-BM0115</t>
  </si>
  <si>
    <t>S-T6S-BM0116</t>
  </si>
  <si>
    <t>S-T6S-BM0117</t>
  </si>
  <si>
    <t>S-T6S-BM0118</t>
  </si>
  <si>
    <t>S-T6S-BM0119</t>
  </si>
  <si>
    <t>S-T6S-BM0120</t>
  </si>
  <si>
    <t>S-T6S-BM0121</t>
  </si>
  <si>
    <t>S-T6S-BM0122</t>
  </si>
  <si>
    <t>S-T6S-BM0123</t>
  </si>
  <si>
    <t>S-T6S-BM0124</t>
  </si>
  <si>
    <t>S-T6S-BM0125</t>
  </si>
  <si>
    <t>S-T6S-BM0126</t>
  </si>
  <si>
    <t>Beam- 1B3a Reinforcement Detail (Sheet 1 of 2)</t>
  </si>
  <si>
    <t>S-T6S-BM0127</t>
  </si>
  <si>
    <t>Beam- 1B3a Reinforcement Detail (Sheet 2 of 2)</t>
  </si>
  <si>
    <t>S-T6S-BM0128</t>
  </si>
  <si>
    <t>Beam- 1B2a Reinforcement Detail (Sheet 1 of 2)</t>
  </si>
  <si>
    <t>S-T6S-BM0129</t>
  </si>
  <si>
    <t>Beam- 1B2a Reinforcement Detail (Sheet 2 of 2)</t>
  </si>
  <si>
    <t>S-T6S-BM0130</t>
  </si>
  <si>
    <t>Beam- 1B12 Reinforcement Detail (Sheet 1 of 2)</t>
  </si>
  <si>
    <t>S-T6S-BM0131</t>
  </si>
  <si>
    <t>Beam- 1B12 Reinforcement Detail (Sheet 2 of 2)</t>
  </si>
  <si>
    <t>S-T6S-BM0132</t>
  </si>
  <si>
    <t>Beam- 1B28 Reinforcement Detail (Sheet 1 of 2)</t>
  </si>
  <si>
    <t>S-T6S-BM0133</t>
  </si>
  <si>
    <t>Beam- 1B28 Reinforcement Detail (Sheet 2 of 2)</t>
  </si>
  <si>
    <t>S-T6S-BM0134</t>
  </si>
  <si>
    <t>Beam- 1B29 Reinforcement Detail (Sheet 1 of 3)</t>
  </si>
  <si>
    <t>S-T6S-BM0135</t>
  </si>
  <si>
    <t>Beam- 1B29 Reinforcement Detail (Sheet 2 of 3)</t>
  </si>
  <si>
    <t>S-T6S-BM0136</t>
  </si>
  <si>
    <t>Beam- 1B29 Reinforcement Detail (Sheet 3 of 3)</t>
  </si>
  <si>
    <t>S-T6S-BM0137</t>
  </si>
  <si>
    <t>Beam- 1B30 Reinforcement Detail (Sheet 1 of 2)</t>
  </si>
  <si>
    <t>S-T6S-BM0138</t>
  </si>
  <si>
    <t>Beam- 1B30 Reinforcement Detail (Sheet 2 of 2)</t>
  </si>
  <si>
    <t>S-T6S-BM0139</t>
  </si>
  <si>
    <t>Beam- 1B31 Reinforcement Detail (Sheet 1 of 2)</t>
  </si>
  <si>
    <t>S-T6S-BM0140</t>
  </si>
  <si>
    <t>Beam- 1B31 Reinforcement Detail (Sheet 2 of 2)</t>
  </si>
  <si>
    <t>S-T6S-BM0141</t>
  </si>
  <si>
    <t>Beam- 1B32 Reinforcement Detail (Sheet 1 of 3)</t>
  </si>
  <si>
    <t>S-T6S-BM0142</t>
  </si>
  <si>
    <t>Beam- 1B32 Reinforcement Detail (Sheet 2 of 3)</t>
  </si>
  <si>
    <t>S-T6S-BM0143</t>
  </si>
  <si>
    <t>Beam- 1B32 Reinforcement Detail (Sheet 3 of 3)</t>
  </si>
  <si>
    <t>S-T6S-BM0144</t>
  </si>
  <si>
    <t>Beam- 1B33 Reinforcement Detail (Sheet 1 of 3)</t>
  </si>
  <si>
    <t>S-T6S-BM0145</t>
  </si>
  <si>
    <t>Beam- 1B33 Reinforcement Detail (Sheet 2 of 3)</t>
  </si>
  <si>
    <t>S-T6S-BM0146</t>
  </si>
  <si>
    <t>Beam- 1B33 Reinforcement Detail (Sheet 3 of 3)</t>
  </si>
  <si>
    <t>S-T6S-BM0147</t>
  </si>
  <si>
    <t>Beam- 1B34 Reinforcement Detail (Sheet 1 of 3)</t>
  </si>
  <si>
    <t>S-T6S-BM0148</t>
  </si>
  <si>
    <t>Beam- 1B34 Reinforcement Detail (Sheet 2 of 3)</t>
  </si>
  <si>
    <t>S-T6S-BM0149</t>
  </si>
  <si>
    <t>Beam- 1B34 Reinforcement Detail (Sheet 3 of 3)</t>
  </si>
  <si>
    <t>S-T6S-BM0150</t>
  </si>
  <si>
    <t>Beam- 1B16 a &amp; b Reinforcement Detail</t>
  </si>
  <si>
    <t>S-T6S-BM0151</t>
  </si>
  <si>
    <t>Beam- 1B17b Reinforcement Detail</t>
  </si>
  <si>
    <t>S-T6S-BM0152</t>
  </si>
  <si>
    <t>Beam- 1B17a Reinforcement Detail</t>
  </si>
  <si>
    <t>S-T6S-BM0153</t>
  </si>
  <si>
    <t>Beam- 1B35 &amp; 1B36 Reinforcement Detail</t>
  </si>
  <si>
    <t>S-T6S-BM0154</t>
  </si>
  <si>
    <t>Beam- 1B18a &amp; 1B18b Reinforcement Detail</t>
  </si>
  <si>
    <t>S-T6S-BM0155</t>
  </si>
  <si>
    <t>Beam- 1B6 &amp; 1B7 Reinforcement Detail</t>
  </si>
  <si>
    <t>S-T6S-BM0156</t>
  </si>
  <si>
    <t>Beam- 1B8 &amp; 1B9 Reinforcement Detail</t>
  </si>
  <si>
    <t>S-T6S-BM0157</t>
  </si>
  <si>
    <t>Beam- 1B10 Reinforcement Detail</t>
  </si>
  <si>
    <t>S-T6S-BM0158</t>
  </si>
  <si>
    <t>Beam- 1B13 &amp; 1B14 Reinforcement Detail</t>
  </si>
  <si>
    <t>S-T6S-BM0159</t>
  </si>
  <si>
    <t>Beam- 1B20 Reinforcement Detail (Sheet 1 of 3)</t>
  </si>
  <si>
    <t>S-T6S-BM0160</t>
  </si>
  <si>
    <t>Beam- 1B20 Reinforcement Detail (Sheet 2 of 3)</t>
  </si>
  <si>
    <t>S-T6S-BM0161</t>
  </si>
  <si>
    <t>Beam- 1B20 Reinforcement Detail (Sheet 3 of 3)</t>
  </si>
  <si>
    <t>S-T6S-BM0162</t>
  </si>
  <si>
    <t>Beam- 1B21 Reinforcement Detail (Sheet 1 of 2)</t>
  </si>
  <si>
    <t>S-T6S-BM0163</t>
  </si>
  <si>
    <t>Beam- 1B21 Reinforcement Detail (Sheet 2 of 2)</t>
  </si>
  <si>
    <t>S-T6S-BM0164</t>
  </si>
  <si>
    <t>Beam- 1B22 Reinforcement Detail (Sheet 1 of 2)</t>
  </si>
  <si>
    <t>S-T6S-BM0165</t>
  </si>
  <si>
    <t>Beam- 1B22 Reinforcement Detail (Sheet 2 of 2)</t>
  </si>
  <si>
    <t>S-T6S-BM0166</t>
  </si>
  <si>
    <t>Beam- 1B23 Reinforcement Detail (Sheet 1 of 3)</t>
  </si>
  <si>
    <t>S-T6S-BM0167</t>
  </si>
  <si>
    <t>Beam- 1B23 Reinforcement Detail (Sheet 2 of 3)</t>
  </si>
  <si>
    <t>S-T6S-BM0168</t>
  </si>
  <si>
    <t>Beam- 1B23 Reinforcement Detail (Sheet 3 of 3)</t>
  </si>
  <si>
    <t>S-T6S-BM0169</t>
  </si>
  <si>
    <t>Beam- 1B24 Reinforcement Detail (Sheet 1 of 3)</t>
  </si>
  <si>
    <t>S-T6S-BM0170</t>
  </si>
  <si>
    <t>Beam- 1B24 Reinforcement Detail (Sheet 2 of 3)</t>
  </si>
  <si>
    <t>S-T6S-BM0171</t>
  </si>
  <si>
    <t>Beam- 1B24 Reinforcement Detail (Sheet 3 of 3)</t>
  </si>
  <si>
    <t>S-T6S-BM0172</t>
  </si>
  <si>
    <t>Beam- 1B25 Reinforcement Detail (Sheet 1 of 2)</t>
  </si>
  <si>
    <t>S-T6S-BM0173</t>
  </si>
  <si>
    <t>Beam- 1B25 Reinforcement Detail (Sheet 2 of 2)</t>
  </si>
  <si>
    <t>S-T6S-BM0174</t>
  </si>
  <si>
    <t>Beam- 1B27 Reinforcement Detail (Sheet 1 of 2)</t>
  </si>
  <si>
    <t>S-T6S-BM0175</t>
  </si>
  <si>
    <t>Beam- 1B27 Reinforcement Detail (Sheet 2 of 2)</t>
  </si>
  <si>
    <t>S-T6S-BM0176</t>
  </si>
  <si>
    <t>S-T6S-BM0177</t>
  </si>
  <si>
    <t>S-T6S-BM0178</t>
  </si>
  <si>
    <t>S-T6S-BM0179</t>
  </si>
  <si>
    <t>S-T6S-BM0180</t>
  </si>
  <si>
    <t>S-T6S-BM0181</t>
  </si>
  <si>
    <t>S-T6S-BM0182</t>
  </si>
  <si>
    <t>S-T6S-BM0183</t>
  </si>
  <si>
    <t>S-T6S-BM0184</t>
  </si>
  <si>
    <t>S-T6S-BM0185</t>
  </si>
  <si>
    <t>S-T6S-BM0186</t>
  </si>
  <si>
    <t>S-T6S-BM0187</t>
  </si>
  <si>
    <t>S-T6S-BM0188</t>
  </si>
  <si>
    <t>BEAM-1B1-0b REINF DETAILS</t>
  </si>
  <si>
    <t>S-T6S-BM0189</t>
  </si>
  <si>
    <t>S-T6S-BM0190</t>
  </si>
  <si>
    <t>S-T6S-BM0191</t>
  </si>
  <si>
    <t>S-T6S-BM0192</t>
  </si>
  <si>
    <t>S-T6S-BM0193</t>
  </si>
  <si>
    <t>S-T6S-BM0194</t>
  </si>
  <si>
    <t>S-T6S-BM0195</t>
  </si>
  <si>
    <t>S-T6S-BM0196</t>
  </si>
  <si>
    <t>BEAM-1B11 REINFORCEMENT DETAIL</t>
  </si>
  <si>
    <t>S-T6S-BM0197</t>
  </si>
  <si>
    <t>BEAM-1B26 REINFORCEMENT DETAIL</t>
  </si>
  <si>
    <t>S-T6S-BM0198</t>
  </si>
  <si>
    <t>BEAM-1B37 &amp; 1B38 REINFORCEMENT DETAIL</t>
  </si>
  <si>
    <t>S-T6S-BM0199</t>
  </si>
  <si>
    <t>BEAM-1B45 &amp; 46 REINFORCEMENT DETAIL</t>
  </si>
  <si>
    <t>S-T6S-SB0101</t>
  </si>
  <si>
    <t>S-T6S-SB0102</t>
  </si>
  <si>
    <t>BBS of bottom reinforcement of 1st SSL (Sheet 2)</t>
  </si>
  <si>
    <t>S-T6S-SB0103</t>
  </si>
  <si>
    <t>S-T6S-SB0104</t>
  </si>
  <si>
    <t>BBS of top reinforcement of 1st SSL (Sheet 2)</t>
  </si>
  <si>
    <t>S-T6S-SB0105</t>
  </si>
  <si>
    <t>PART PLAN SHOWING RTEINFORCEMENT DETAILS( TOP &amp; BOTTOM) FOR FIRE DRIVEWAY OF SSL1</t>
  </si>
  <si>
    <t>S-T6S-SB0106</t>
  </si>
  <si>
    <t>S-T6S-FP0201</t>
  </si>
  <si>
    <t>ST-T6S-4</t>
  </si>
  <si>
    <t>S-T6S-FP0301</t>
  </si>
  <si>
    <t>S-T6S-FP0203</t>
  </si>
  <si>
    <t>S-T6S-FP0204</t>
  </si>
  <si>
    <t>S-T6S-FP0205</t>
  </si>
  <si>
    <t>S-T6S-FP0303</t>
  </si>
  <si>
    <t>S-T6S-FP0304</t>
  </si>
  <si>
    <t>S-T6S-FP0305</t>
  </si>
  <si>
    <t>S-T6S-BM0202</t>
  </si>
  <si>
    <t>S-T6S-BM0203</t>
  </si>
  <si>
    <t>S-T6S-BM0204</t>
  </si>
  <si>
    <t>S-T6S-BM0205</t>
  </si>
  <si>
    <t>S-T6S-BM0206</t>
  </si>
  <si>
    <t>S-T6S-BM0207</t>
  </si>
  <si>
    <t>S-T6S-BM0208</t>
  </si>
  <si>
    <t>S-T6S-BM0209</t>
  </si>
  <si>
    <t>S-T6S-BM0210</t>
  </si>
  <si>
    <t>BEAM 2B3-3b REINFORCEMENT DETAIL (SHEET 9)</t>
  </si>
  <si>
    <t>S-T6S-BM0211</t>
  </si>
  <si>
    <t xml:space="preserve">BEAM  2B39-0b,2B42, 2BW1-6&amp;7, 2BW3-1&amp;2  REINFORCEMENT DETAIL </t>
  </si>
  <si>
    <t>S-T6S-BM0301</t>
  </si>
  <si>
    <t>BEAM 3B1a, 3B47a&amp;b, 3B48 REINF DETAILS</t>
  </si>
  <si>
    <t>S-T6S-BM0302</t>
  </si>
  <si>
    <t>BEAM 3B2a, 3B39a&amp;b, 3B44a&amp;b, 3B45a&amp;b, 3B50 REINF DETAILS</t>
  </si>
  <si>
    <t>S-T6S-BM0303</t>
  </si>
  <si>
    <t>BEAM 3B3a, 3B46a&amp;b, 3B49 REINF DETAILS</t>
  </si>
  <si>
    <t>S-T6S-BM0304</t>
  </si>
  <si>
    <t>BEAM 3B4a REINF DETAILS</t>
  </si>
  <si>
    <t>S-T6S-BM0305</t>
  </si>
  <si>
    <t>BEAM 3B5a REINF DETAILS</t>
  </si>
  <si>
    <t>S-T6S-BM0306</t>
  </si>
  <si>
    <t>BEAM 3B5b REINF DETAILS</t>
  </si>
  <si>
    <t>S-T6S-BM0307</t>
  </si>
  <si>
    <t>BEAM 3B4b REINF DETAILS</t>
  </si>
  <si>
    <t>S-T6S-BM0308</t>
  </si>
  <si>
    <t>BEAM 3B3b REINF DETAILS</t>
  </si>
  <si>
    <t>S-T6S-BM0309</t>
  </si>
  <si>
    <t>BEAM 3B2b REINF DETAILS</t>
  </si>
  <si>
    <t>S-T6S-BM0310</t>
  </si>
  <si>
    <t>BEAM 3B1b, 3B41a, 3B41b REINF DETAILS</t>
  </si>
  <si>
    <t>S-T6S-BM0311</t>
  </si>
  <si>
    <t>BEAM 3BW1 &amp; 3B40a REINF DETAILS</t>
  </si>
  <si>
    <t>S-T6S-BM0312</t>
  </si>
  <si>
    <t>BEAM 3BW2 &amp; 3B40b REINF DETAILS</t>
  </si>
  <si>
    <t>S-T6S-BM0313</t>
  </si>
  <si>
    <t>BEAM 3B6, 3B7, 3B8, 3B9, 3B10, 3B11  &amp; 3B25 REINF DETAILS</t>
  </si>
  <si>
    <t>S-T6S-BM0314</t>
  </si>
  <si>
    <t>BEAM 3B12, 3B13, 3B14 &amp; 3B15a&amp;b REINF DETAILS</t>
  </si>
  <si>
    <t>S-T6S-BM0315</t>
  </si>
  <si>
    <t>BEAM 3B16a&amp;b, 3B17a&amp;b, 3B18a&amp;b, 3B34a&amp;b REINF DETAILS</t>
  </si>
  <si>
    <t>S-T6S-BM0316</t>
  </si>
  <si>
    <t>BEAM 3B20 REINF DETAILS</t>
  </si>
  <si>
    <t>S-T6S-BM0317</t>
  </si>
  <si>
    <t>BEAM 3B21 &amp; 3B42 REINF DETAILS</t>
  </si>
  <si>
    <t>S-T6S-BM0318</t>
  </si>
  <si>
    <t>BEAM 3B22 REINF DETAILS</t>
  </si>
  <si>
    <t>S-T6S-BM0319</t>
  </si>
  <si>
    <t>BEAM 3B23, 3B26-1,3B26-2, 3B26-3 &amp; 3B43a REINF DETAILS</t>
  </si>
  <si>
    <t>S-T6S-BM0320</t>
  </si>
  <si>
    <t>BEAM 3B24 REINF DETAILS</t>
  </si>
  <si>
    <t>S-T6S-BM0321</t>
  </si>
  <si>
    <t>BEAM 3B27 REINF DETAILS</t>
  </si>
  <si>
    <t>S-T6S-BM0322</t>
  </si>
  <si>
    <t>BEAM 3B28 REINF DETAILS</t>
  </si>
  <si>
    <t>S-T6S-BM0323</t>
  </si>
  <si>
    <t>BEAM 3B29 REINF DETAILS</t>
  </si>
  <si>
    <t>S-T6S-BM0324</t>
  </si>
  <si>
    <t>BEAM 3B31a&amp;b, 3B33a&amp;b, 3B51 &amp; 3B38ab REINF DETAILS</t>
  </si>
  <si>
    <t>S-T6S-BM0325</t>
  </si>
  <si>
    <t>BEAM 3B32 REINF DETAILS</t>
  </si>
  <si>
    <t>S-T6S-BM0326</t>
  </si>
  <si>
    <t>BEAM 3B35 REINF DETAILS</t>
  </si>
  <si>
    <t>S-T6S-BM0327</t>
  </si>
  <si>
    <t>BEAM 3B37 REINF DETAILS</t>
  </si>
  <si>
    <t>S-T6S-SL0301</t>
  </si>
  <si>
    <t>PLAN SHOWING SLEEVES AT SSL03</t>
  </si>
  <si>
    <t>S-T6S-SL0302</t>
  </si>
  <si>
    <t>SLEEVE REINF. DETAILS OF SSL03</t>
  </si>
  <si>
    <t>S-T6S-SB0201</t>
  </si>
  <si>
    <t>S-T6S-SB0202</t>
  </si>
  <si>
    <t>S-T6S-SB0203</t>
  </si>
  <si>
    <t>S-T6S-SB0204</t>
  </si>
  <si>
    <t>S-T6S-SB0205</t>
  </si>
  <si>
    <t>S-T6S-SB0206</t>
  </si>
  <si>
    <t>S-T6S-SB0301</t>
  </si>
  <si>
    <t>Plan showing bottom reinforcement of 3RD SSL(Sheet 1)</t>
  </si>
  <si>
    <t>S-T6S-SB0302</t>
  </si>
  <si>
    <t>Plan showing bottom reinforcement of 3RD SSL(Sheet 2)</t>
  </si>
  <si>
    <t>S-T6S-SB0303</t>
  </si>
  <si>
    <t>BBS of bottom reinforcement of 1st SSL (Sheet 1)</t>
  </si>
  <si>
    <t>S-T6S-SB0304</t>
  </si>
  <si>
    <t>Plan showing top reinforcement of 3RD SSL(Sheet 1)</t>
  </si>
  <si>
    <t>S-T6S-SB0305</t>
  </si>
  <si>
    <t>Plan showing top reinforcement of 3RD SSL(Sheet 2)</t>
  </si>
  <si>
    <t>S-T6S-SB0306</t>
  </si>
  <si>
    <t>BBS of top reinforcement of 3RD SSL (Sheet 1)</t>
  </si>
  <si>
    <t>S-T6S-SB0307</t>
  </si>
  <si>
    <t>BBS of top reinforcement of 3RD SSL (Sheet 2)</t>
  </si>
  <si>
    <t>S-T6S-SB0308</t>
  </si>
  <si>
    <t>S-T6S-SB0309</t>
  </si>
  <si>
    <t>S-T6S-SB0310</t>
  </si>
  <si>
    <t>S-T6S-FP0401</t>
  </si>
  <si>
    <t>ST-T6S-5</t>
  </si>
  <si>
    <t>S-T6S-FP0501</t>
  </si>
  <si>
    <t>S-T6S-FP0601</t>
  </si>
  <si>
    <t>S-T6S-FP0403</t>
  </si>
  <si>
    <t>S-T6S-FP0404</t>
  </si>
  <si>
    <t>S-T6S-FP0405</t>
  </si>
  <si>
    <t>S-T6S-FP0503</t>
  </si>
  <si>
    <t>S-T6S-FP0504</t>
  </si>
  <si>
    <t>S-T6S-FP0505</t>
  </si>
  <si>
    <t>S-T6S-BM0401</t>
  </si>
  <si>
    <t>S-T6S-BM0402</t>
  </si>
  <si>
    <t>S-T6S-BM0403</t>
  </si>
  <si>
    <t>S-T6S-BM0404</t>
  </si>
  <si>
    <t>S-T6S-BM0405</t>
  </si>
  <si>
    <t>S-T6S-BM0406</t>
  </si>
  <si>
    <t>S-T6S-BM0407</t>
  </si>
  <si>
    <t>BEAM 4B3-3b, 4B4-2a, 4B4-6a REINF. DETAILS</t>
  </si>
  <si>
    <t>S-T6S-BM0408</t>
  </si>
  <si>
    <t>BEAM 4B4-6b, 4B24-1, 4BW1-2 REINF. DETAILS</t>
  </si>
  <si>
    <t>S-T6S-BM0501</t>
  </si>
  <si>
    <t>S-T6S-BM0502</t>
  </si>
  <si>
    <t>SSL05 Beam Reinforcement Details (Sheet1)</t>
  </si>
  <si>
    <t>S-T6S-BM0503</t>
  </si>
  <si>
    <t>SSL05 Beam Reinforcement Details (Sheet2)</t>
  </si>
  <si>
    <t>S-T6S-BM0504</t>
  </si>
  <si>
    <t>SSL05 Beam Reinforcement Details (Sheet3)</t>
  </si>
  <si>
    <t>S-T6S-BM0505</t>
  </si>
  <si>
    <t>SSL05 Beam Reinforcement Details (Sheet 4)</t>
  </si>
  <si>
    <t>S-T6S-BM0506</t>
  </si>
  <si>
    <t>SSL05 Beam Reinforcement Details (Sheet 5)</t>
  </si>
  <si>
    <t>S-T6S-BM0507</t>
  </si>
  <si>
    <t>BEAM 5B1-1b &amp; 5B2-4b&amp;5b REINF. DETAIL</t>
  </si>
  <si>
    <t>S-T6S-BM0508</t>
  </si>
  <si>
    <t>BEAM 5B2-2a &amp; 5B3-3b,4b,5b&amp;6b  REINF. DETAILS</t>
  </si>
  <si>
    <t>S-T6S-BM0509</t>
  </si>
  <si>
    <t>BEAM 5B3-2a,3a &amp; 5B4-2a &amp; 5b29-4  REINF. DETAILS</t>
  </si>
  <si>
    <t>S-T6S-BM0601</t>
  </si>
  <si>
    <t>S-T6S-BM0602</t>
  </si>
  <si>
    <t>S-T6S-BM0603</t>
  </si>
  <si>
    <t>S-T6S-BM0604</t>
  </si>
  <si>
    <t>S-T6S-BM0605</t>
  </si>
  <si>
    <t>S-T6S-BM0606</t>
  </si>
  <si>
    <t>BEAM 6B2-1a,6B2-1b,6B3-1a,6B3-1b, 6B4-1b,6B4-4a,6B4-4b  REINF. DETAILS</t>
  </si>
  <si>
    <t>S-T6S-BM0607</t>
  </si>
  <si>
    <t>BEAM 6B5-1a, 6B5-1b,6B6a, 6B15-1a, 6BW1  REINF. DETAILS</t>
  </si>
  <si>
    <t>S-T6S-SL0401</t>
  </si>
  <si>
    <t>PLAN SHOWING SLEEVES AT SSL04</t>
  </si>
  <si>
    <t>S-T6S-SL0402</t>
  </si>
  <si>
    <t>SLEEVE REINF. DETAILS OF SSL04</t>
  </si>
  <si>
    <t>S-T6S-SL0501</t>
  </si>
  <si>
    <t>PLAN SHOWING SLEEVES AT SSL05</t>
  </si>
  <si>
    <t>S-T6S-SL0502</t>
  </si>
  <si>
    <t>SLEEVE REINF. DETAILS OF SSL05 (SHEET 1 OF 2)</t>
  </si>
  <si>
    <t>S-T6S-SL0503</t>
  </si>
  <si>
    <t>SLEEVE REINF. DETAILS OF SSL05 (SHEET 12OF 2)</t>
  </si>
  <si>
    <t>S-T6S-SL0601</t>
  </si>
  <si>
    <t>PLAN SHOWING SLEEVES AT SSL06 (SHEET 1)</t>
  </si>
  <si>
    <t>S-T6S-SL0602</t>
  </si>
  <si>
    <t>PLAN SHOWING SLEEVES AT SSL06 (SHEET 2)</t>
  </si>
  <si>
    <t>S-T6S-SL0603</t>
  </si>
  <si>
    <t>SLEEVE REINF. DETAILS OF SSL06</t>
  </si>
  <si>
    <t>S-T6S-SB0401</t>
  </si>
  <si>
    <t>PLAN SHOWING BOTTOM REINFORCEMENT OF 4TH SSL</t>
  </si>
  <si>
    <t>S-T6S-SB0402</t>
  </si>
  <si>
    <t>BBS FOR BOTTOM REINFORCEMENT OF 4TH SSL</t>
  </si>
  <si>
    <t>S-T6S-SB0403</t>
  </si>
  <si>
    <t>PLAN SHOWING TOP REINFORCEMENT OF 4TH SSL</t>
  </si>
  <si>
    <t>S-T6S-SB0404</t>
  </si>
  <si>
    <t>BBS FOR TOP REINFORCEMENT OF 4TH SSL (SHEET 1)</t>
  </si>
  <si>
    <t>S-T6S-SB0405</t>
  </si>
  <si>
    <t>BBS FOR TOP REINFORCEMENT OF 4TH SSL (SHEET2)</t>
  </si>
  <si>
    <t>S-T6S-SB0501</t>
  </si>
  <si>
    <t>PLAN SHOWING BOTTOM REINFORCEMENT OF 5TH SSL</t>
  </si>
  <si>
    <t>S-T6S-SB0502</t>
  </si>
  <si>
    <t>BBS FOR BOTTOM REINFORCEMENT OF 5TH SSL</t>
  </si>
  <si>
    <t>S-T6S-SB0503</t>
  </si>
  <si>
    <t>PLAN SHOWING TOP REINFORCEMENT OF 5TH SSL</t>
  </si>
  <si>
    <t>S-T6S-SB0504</t>
  </si>
  <si>
    <t>BBS FOR TOP REINFORCEMENT OF 5TH SSL (SHEET 1)</t>
  </si>
  <si>
    <t>S-T6S-SB0505</t>
  </si>
  <si>
    <t>BBS FOR TOP REINFORCEMENT OF 5TH SSL (SHEET2)</t>
  </si>
  <si>
    <t>S-T6S-SB0601</t>
  </si>
  <si>
    <t>PLAN SHOWING BOTTOM REINFORCEMENT OF 6TH SSL</t>
  </si>
  <si>
    <t>S-T6S-SB0602</t>
  </si>
  <si>
    <t>BBS FOR BOTTOM REINFORCEMENT OF 6TH SSL</t>
  </si>
  <si>
    <t>S-T6S-SB0603</t>
  </si>
  <si>
    <t>PLAN SHOWING TOP REINFORCEMENT OF 6TH SSL</t>
  </si>
  <si>
    <t>S-T6S-SB0604</t>
  </si>
  <si>
    <t>BBS FOR TOP REINFORCEMENT OF 6TH SSL</t>
  </si>
  <si>
    <t>S-T6S-FP0701</t>
  </si>
  <si>
    <t>ST-T6S-7</t>
  </si>
  <si>
    <t>S-T6S-BM0701</t>
  </si>
  <si>
    <t>S-T6S-BM0702</t>
  </si>
  <si>
    <t>SSL07 Beam Reinforcement Details (Sheet1)</t>
  </si>
  <si>
    <t>S-T6S-BM0703</t>
  </si>
  <si>
    <t>SSL07 Beam Reinforcement Details (Sheet2)</t>
  </si>
  <si>
    <t>S-T6S-BM0704</t>
  </si>
  <si>
    <t>SSL07 Beam Reinforcement Details (Sheet3)</t>
  </si>
  <si>
    <t>S-T6S-BM0705</t>
  </si>
  <si>
    <t>SSL07 Beam Reinforcement Details (Sheet 4)</t>
  </si>
  <si>
    <t>S-T6S-BM0706</t>
  </si>
  <si>
    <t>BEAM 7B2-1a,7B2-1b,7B2-4a, 7B2-4b REINF. DETAILS</t>
  </si>
  <si>
    <t>S-T6S-BM0707</t>
  </si>
  <si>
    <t>BEAM 7B4-1a,7B4-4a,7B4-5a, 7B4-6a,7B4-7a  REINF. DETAILS</t>
  </si>
  <si>
    <t>S-T6S-BM0708</t>
  </si>
  <si>
    <t>BEAM 7B4-1b,7B4-3b,7B4-4b REINF. DETAILS</t>
  </si>
  <si>
    <t>S-T6S-BM0709</t>
  </si>
  <si>
    <t>BEAM 7B3-4b,7B5-4a,7B5-3b, 7B6-1a, 7b6-2a REINF. DETAILS</t>
  </si>
  <si>
    <t>S-T6S-BM0710</t>
  </si>
  <si>
    <t>BEAM 7B26-1,7B28-1 REINF. DETAILS</t>
  </si>
  <si>
    <t>S-T6S-SL0701</t>
  </si>
  <si>
    <t>PLAN SHOWING SLEEVES AT SSL07</t>
  </si>
  <si>
    <t>S-T6S-SL0702</t>
  </si>
  <si>
    <t>SLEEVE TYPICAL DETAILS OF SSL07</t>
  </si>
  <si>
    <t>S-T6S-SL0703</t>
  </si>
  <si>
    <t>S-T6S-SL0704</t>
  </si>
  <si>
    <t>S-T6S-SL0705</t>
  </si>
  <si>
    <t>SLEEVE REINF. DETAILS OF SSL07 (SHEET 3)</t>
  </si>
  <si>
    <t>S-T6S-SB0701</t>
  </si>
  <si>
    <t>PLAN SHOWING BOTTOM REINFORCEMENT OF 7TH SSL</t>
  </si>
  <si>
    <t>S-T6S-SB0702</t>
  </si>
  <si>
    <t>BBS FOR BOTTOM REINFORCEMENT OF 7TH SSL</t>
  </si>
  <si>
    <t>S-T6S-SB0703</t>
  </si>
  <si>
    <t>PLAN SHOWING TOP REINFORCEMENT OF 7TH SSL</t>
  </si>
  <si>
    <t>S-T6S-SB0704</t>
  </si>
  <si>
    <t>BBS FOR TOP REINFORCEMENT OF 7TH SSL</t>
  </si>
  <si>
    <t>S-T6S-SB0705</t>
  </si>
  <si>
    <t>S-T6S-FP0801</t>
  </si>
  <si>
    <t>ST-T6S-8</t>
  </si>
  <si>
    <t>S-T6S-BM0801</t>
  </si>
  <si>
    <t>S-T6S-BM0802</t>
  </si>
  <si>
    <t>Beam Reinforcement Details (Sheet1)</t>
  </si>
  <si>
    <t>S-T6S-BM0803</t>
  </si>
  <si>
    <t>Beam Reinforcement Details (Sheet2)</t>
  </si>
  <si>
    <t>S-T6S-BM0804</t>
  </si>
  <si>
    <t>BEAM 8B2-2a,8B3-2a,8B3-2b REINF. DETAILS</t>
  </si>
  <si>
    <t>S-T6S-BM0805</t>
  </si>
  <si>
    <t>BEAM 8B5-2a,8B5-2b,,8B6-3a, 8B24-3 REINF. DETAILS</t>
  </si>
  <si>
    <t>S-T6S-BM0806</t>
  </si>
  <si>
    <t>Beam 8B9-3b &amp; CB &amp; 8B36 Reinf Details</t>
  </si>
  <si>
    <t>S-T6S-SL0801</t>
  </si>
  <si>
    <t>PLAN SHOWING SLEEVES AT SSL08</t>
  </si>
  <si>
    <t>S-T6S-SL0802</t>
  </si>
  <si>
    <t>S-T6S-SL0803</t>
  </si>
  <si>
    <t>S-T6S-SL0804</t>
  </si>
  <si>
    <t>S-T6S-SB0801</t>
  </si>
  <si>
    <t>PLAN SHOWING BOTTOM REINFORCEMENT OF 8TH SSL</t>
  </si>
  <si>
    <t>S-T6S-SB0802</t>
  </si>
  <si>
    <t>BBS FOR BOTTOM REINFORCEMENT OF 8TH SSL</t>
  </si>
  <si>
    <t>S-T6S-SB0803</t>
  </si>
  <si>
    <t>PLAN SHOWING TOP REINFORCEMENT OF 8TH SSL</t>
  </si>
  <si>
    <t>S-T6S-SB0804</t>
  </si>
  <si>
    <t>BBS FOR TOP REINFORCEMENT OF 8TH SSL</t>
  </si>
  <si>
    <t>S-T6S-SB0805</t>
  </si>
  <si>
    <t>S-T6S-SB0806</t>
  </si>
  <si>
    <t>S-T6S-SB0807</t>
  </si>
  <si>
    <t>Pergola &amp; Upstand details(SSL08)</t>
  </si>
  <si>
    <t>S-T6S-ST0303</t>
  </si>
  <si>
    <t>S-T6S-ST0304</t>
  </si>
  <si>
    <t>S-T6S-ST0305</t>
  </si>
  <si>
    <t>S-T6S-ST0306</t>
  </si>
  <si>
    <t>S-T6S-RB0101</t>
  </si>
  <si>
    <t>S-T6S-RB0103</t>
  </si>
  <si>
    <t>S-T6S-RB0104</t>
  </si>
  <si>
    <t>S-T6S-RB0105</t>
  </si>
  <si>
    <t>S-T6S-RB0106</t>
  </si>
  <si>
    <t>S-T6S-RB0107</t>
  </si>
  <si>
    <t>S-T6S-RB0108</t>
  </si>
  <si>
    <t>S-T6S-RB0109</t>
  </si>
  <si>
    <t>S-T6S-RB0110</t>
  </si>
  <si>
    <t>S-T6S-RB0111</t>
  </si>
  <si>
    <t>S-T6S-RB0112</t>
  </si>
  <si>
    <t>S-T6S-RB0114</t>
  </si>
  <si>
    <t>S-T6S-RB0115</t>
  </si>
  <si>
    <t>S-T6S-RB0116</t>
  </si>
  <si>
    <t>S-T6S-RB0117</t>
  </si>
  <si>
    <t>S-T6S-RB0118</t>
  </si>
  <si>
    <t>S-T6S-RB0119</t>
  </si>
  <si>
    <t>S-T6S-RB0120</t>
  </si>
  <si>
    <t>S-T6S-RB0121</t>
  </si>
  <si>
    <t>S-T6S-RB0122</t>
  </si>
  <si>
    <t>S-T6S-RB0123</t>
  </si>
  <si>
    <t>S-T6S-RB0102</t>
  </si>
  <si>
    <t>Beam RB-1 reinforcement detail(SSL2 to SSL5)</t>
  </si>
  <si>
    <t>S-T6S-RB0113</t>
  </si>
  <si>
    <t>S-T07-FD0001</t>
  </si>
  <si>
    <t>T07-FOUNDATION-PCC LAYOUT</t>
  </si>
  <si>
    <t>ST-T07-1</t>
  </si>
  <si>
    <t>S-T07-FD0002</t>
  </si>
  <si>
    <t>S-T07-FD0101</t>
  </si>
  <si>
    <t>FOUNDATION DETAILS FOR CF1 (SHEET 1)</t>
  </si>
  <si>
    <t>S-T07-FD0201</t>
  </si>
  <si>
    <t>FOUNDATION DETAILS FOR CF2(ab&amp;cd) (SHEET 1)</t>
  </si>
  <si>
    <t>S-T07-FD0202</t>
  </si>
  <si>
    <t>FOUNDATION DETAILS FOR CF2(ab&amp;cd) (SHEET 2)</t>
  </si>
  <si>
    <t>S-T07-FD0301</t>
  </si>
  <si>
    <t>FOUNDATION DETAILS FOR CF3 (ac&amp;bd) (SHEET 1)</t>
  </si>
  <si>
    <t>S-T07-FD0302</t>
  </si>
  <si>
    <t>FOUNDATION DETAILS FOR CF3 (ac&amp;bd) (SHEET 2)</t>
  </si>
  <si>
    <t>S-T07-FD0303</t>
  </si>
  <si>
    <t>FOUNDATION DETAILS FOR CF3 (ac&amp;bd) (SHEET 3)</t>
  </si>
  <si>
    <t>S-T07-FD0304</t>
  </si>
  <si>
    <t>FOUNDATION DETAILS FOR CF3 (ac&amp;bd) (SHEET 4)</t>
  </si>
  <si>
    <t>S-T07-FD0305</t>
  </si>
  <si>
    <t>FOUNDATION DETAILS FOR CF3 (ac&amp;bd) (SHEET 5)</t>
  </si>
  <si>
    <t>S-T07-FD0306</t>
  </si>
  <si>
    <t>FOUNDATION DETAILS FOR CF3 (ac&amp;bd) (SHEET 6)</t>
  </si>
  <si>
    <t>S-T07-FD0307</t>
  </si>
  <si>
    <t>FOUNDATION DETAILS FOR CF3 (ac&amp;bd) (SHEET 7)</t>
  </si>
  <si>
    <t>S-T07-FD0401</t>
  </si>
  <si>
    <t>FOUNDATION DETAILS FOR CF4 (SHEET 1 )</t>
  </si>
  <si>
    <t>S-T07-FD0402</t>
  </si>
  <si>
    <t>FOUNDATION DETAILS FOR CF4 (SHEET 2)</t>
  </si>
  <si>
    <t>S-T07-FD0403</t>
  </si>
  <si>
    <t>FOUNDATION DETAILS FOR CF4 (SHEET 3 )</t>
  </si>
  <si>
    <t>S-T07-CL0001</t>
  </si>
  <si>
    <t>S-T07-CL0002</t>
  </si>
  <si>
    <t>Typical Column Coupler Details</t>
  </si>
  <si>
    <t>S-T07-CL0003</t>
  </si>
  <si>
    <t>S-T07-CL0401</t>
  </si>
  <si>
    <t>Column 7C4a,b,c&amp;d Pedestal Detail</t>
  </si>
  <si>
    <t>S-T07-CL0402</t>
  </si>
  <si>
    <t xml:space="preserve">Column 7C4a,b,c&amp;d </t>
  </si>
  <si>
    <t>S-T07-CL0403</t>
  </si>
  <si>
    <t>Column 7C4a,b,c&amp;d</t>
  </si>
  <si>
    <t>S-T07-CL0501</t>
  </si>
  <si>
    <t>Column 7C5a,b,c&amp;d Details (Sheet-1 of 2)</t>
  </si>
  <si>
    <t>S-T07-CL0502</t>
  </si>
  <si>
    <t>Column 7C5a,b,c&amp;d Details (Sheet-2 of 2)</t>
  </si>
  <si>
    <t>S-T07-CL0601</t>
  </si>
  <si>
    <t>Column 7C6a,b,c&amp;d Details (Sheet-1 of 2)</t>
  </si>
  <si>
    <t>S-T07-CL0602</t>
  </si>
  <si>
    <t>Column 7C6a,b,c&amp;d Details (Sheet-2 of 2)</t>
  </si>
  <si>
    <t>S-T07-CL0801</t>
  </si>
  <si>
    <t>Column 7W2a,b,c&amp;d Details (Sheet-1 of 3)</t>
  </si>
  <si>
    <t>S-T07-CL0802</t>
  </si>
  <si>
    <t>Column 7W2a,b,c&amp;d Details (Sheet-3 of 3)</t>
  </si>
  <si>
    <t>S-T07-CL0901</t>
  </si>
  <si>
    <t>Column LC1  Detail</t>
  </si>
  <si>
    <t>S-T07-CL0902</t>
  </si>
  <si>
    <t>S-T07-CL0904</t>
  </si>
  <si>
    <t>S-T07-CL0905</t>
  </si>
  <si>
    <t>S-T07-CL0906</t>
  </si>
  <si>
    <t>S-T07-CL1001</t>
  </si>
  <si>
    <t>Column LC2  Detail</t>
  </si>
  <si>
    <t>S-T07-CL1002</t>
  </si>
  <si>
    <t>S-T07-CL1004</t>
  </si>
  <si>
    <t>S-T07-CL1005</t>
  </si>
  <si>
    <t>S-T07-CL1101</t>
  </si>
  <si>
    <t>COLUMN DETAILS OF EXTENDED BASEMENT RESTING ON T07 FOUNDATION(7EC1 TO 7EC28)</t>
  </si>
  <si>
    <t>S-T07-CL0201</t>
  </si>
  <si>
    <t>COLUMN 7C2a,b,c &amp; d PEDESTAL DETAIL</t>
  </si>
  <si>
    <t>S-T07-CL0202</t>
  </si>
  <si>
    <t>COLUMN 7C2a,b,c &amp; d</t>
  </si>
  <si>
    <t>S-T07-CL0203</t>
  </si>
  <si>
    <t>S-T07-CL0204</t>
  </si>
  <si>
    <t>S-T07-CL0701</t>
  </si>
  <si>
    <t>COLUMN 7W1a,b,c &amp; d</t>
  </si>
  <si>
    <t>S-T07-CL0702</t>
  </si>
  <si>
    <t>S-T07-CL0703</t>
  </si>
  <si>
    <t>S-T07-CL0803</t>
  </si>
  <si>
    <t>COLUMN 7W2a,b,c &amp; d DETAILS (SHEET 2 OF 3)</t>
  </si>
  <si>
    <t>S-T07-CL0603</t>
  </si>
  <si>
    <t>COLUMN 7C6a,b,c &amp; d DETAILS (SHEET 3 OF 3)</t>
  </si>
  <si>
    <t>S-T07-CL0903</t>
  </si>
  <si>
    <t>Column LC1 Detail</t>
  </si>
  <si>
    <t>S-T07-CL1003</t>
  </si>
  <si>
    <t>Column LC2 Detail</t>
  </si>
  <si>
    <t>S-T07-FP0101</t>
  </si>
  <si>
    <t>Framing Plan at SSL 01(Level 1)</t>
  </si>
  <si>
    <t>S-T07-ST0101</t>
  </si>
  <si>
    <t>S-T07-ST0102</t>
  </si>
  <si>
    <t>S-T07-ST0103</t>
  </si>
  <si>
    <t>S-T07-ST0104</t>
  </si>
  <si>
    <t>S-T07-ST0105</t>
  </si>
  <si>
    <t>S-T07-ST0106</t>
  </si>
  <si>
    <t>S-T07-ST0107</t>
  </si>
  <si>
    <t>S-T07-ST0108</t>
  </si>
  <si>
    <t>S-T07-ST0112</t>
  </si>
  <si>
    <t>S-T07-ST0113</t>
  </si>
  <si>
    <t>S-T07-FP0201</t>
  </si>
  <si>
    <t>ST-T07-2</t>
  </si>
  <si>
    <t>S-T07-BMGN01</t>
  </si>
  <si>
    <t>S-T07-BM0101</t>
  </si>
  <si>
    <t>BEAM B-01ab&amp;cd REINFORCEMENT DETAIL</t>
  </si>
  <si>
    <t>S-T07-BM0102</t>
  </si>
  <si>
    <t>BEAM B-02ab&amp;cd REINFORCEMENT DETAIL</t>
  </si>
  <si>
    <t>S-T07-BM0125</t>
  </si>
  <si>
    <t>BEAM CB-01a,b,c&amp;d REINFORCEMENT DETAIL</t>
  </si>
  <si>
    <t>S-T07-SL0101</t>
  </si>
  <si>
    <t>S-T07-SL0102</t>
  </si>
  <si>
    <t>SLEEVE DETAILS FOR SSL-01</t>
  </si>
  <si>
    <t>S-T07-SBGN01</t>
  </si>
  <si>
    <t>S-T07-SB0101</t>
  </si>
  <si>
    <t>Plan Showing Slab Bottom Reinforcement Details for SSL 01</t>
  </si>
  <si>
    <t>S-T07-SB0102</t>
  </si>
  <si>
    <t>Plan Showing Slab Top Reinforcement Details for SSL 02</t>
  </si>
  <si>
    <t>S-T07-SB0103</t>
  </si>
  <si>
    <t>BBS Table for Bottom Reinforcement at SSL 01</t>
  </si>
  <si>
    <t>S-T07-SB0104</t>
  </si>
  <si>
    <t>BBS Table for Top Reinforcement at SSL 02</t>
  </si>
  <si>
    <t>S-T07-FP0401</t>
  </si>
  <si>
    <t>ST-T07-5</t>
  </si>
  <si>
    <t>S-T07-FP0601</t>
  </si>
  <si>
    <t>Framing Plan at SSL 06 &amp; 08</t>
  </si>
  <si>
    <t>S-T07-FP1001</t>
  </si>
  <si>
    <t>S-T07-FP2801</t>
  </si>
  <si>
    <t>Framing Plan at SSL 28</t>
  </si>
  <si>
    <t>S-T07-CP0002</t>
  </si>
  <si>
    <t>CONNECTING BRIDGE DETAILS AT SSL30 BETWEEN T07 &amp; T6V</t>
  </si>
  <si>
    <t>S-TXV-CP0002</t>
  </si>
  <si>
    <t>CONNECTING BRIDGE DETAILS AT SSL32 BETWEEN VERTICAL TOWERS</t>
  </si>
  <si>
    <t>S-T07-BM0104</t>
  </si>
  <si>
    <t>BEAM B-04a,b,c&amp;d REINFORCEMENT DETAIL</t>
  </si>
  <si>
    <t>S-T07-BM0106</t>
  </si>
  <si>
    <t>BEAM B-06ab&amp;cd REINFORCEMENT DETAIL</t>
  </si>
  <si>
    <t>S-T07-BM0108</t>
  </si>
  <si>
    <t>BEAM B-08a,b,c&amp;d REINFORCEMENT DETAIL</t>
  </si>
  <si>
    <t>S-T07-BM0110</t>
  </si>
  <si>
    <t>BEAM B-10a,b,c&amp;d REINFORCEMENT DETAIL</t>
  </si>
  <si>
    <t>S-T07-BM0112</t>
  </si>
  <si>
    <t>S-T07-BM0113</t>
  </si>
  <si>
    <t>BEAM B-13ac&amp;bd , B14a,b,c,d REINFORCEMENT DETAIL</t>
  </si>
  <si>
    <t>S-T07-BM0115</t>
  </si>
  <si>
    <t>BEAM B-16a,b,c&amp;d REINFORCEMENT DETAIL</t>
  </si>
  <si>
    <t>S-T07-BM0116</t>
  </si>
  <si>
    <t>BEAM B-18a,b,c&amp;d REINFORCEMENT DETAIL</t>
  </si>
  <si>
    <t>S-T07-BM0117</t>
  </si>
  <si>
    <t>BEAM B-19ac,bd  &amp; 20a,b,c&amp;d REINFORCEMENT DETAIL</t>
  </si>
  <si>
    <t>S-T07-BM0118</t>
  </si>
  <si>
    <t>BEAM B-21 &amp; 24ac&amp;bd REINFORCEMENT DETAIL</t>
  </si>
  <si>
    <t>S-T07-BM0123</t>
  </si>
  <si>
    <t>BEAM B-30,31 &amp; 32 REINFORCEMENT DETAIL</t>
  </si>
  <si>
    <t>S-T07-BM0124</t>
  </si>
  <si>
    <t>BEAM B-35 &amp; 38 REINFORCEMENT DETAILS</t>
  </si>
  <si>
    <t>S-T07-BM0201</t>
  </si>
  <si>
    <t>BEAM B-01a,b,c,d &amp;B-04a,b,c,d  REINFORCEMENT DETAIL(SSL2,4,6&amp;8)</t>
  </si>
  <si>
    <t>ST-T07-4</t>
  </si>
  <si>
    <t>S-T07-BM0204</t>
  </si>
  <si>
    <t>BEAM B-07a,b, c&amp;d  REINF.  DETAIL(SSL2,4,6&amp;8)</t>
  </si>
  <si>
    <t>S-T07-BM0207</t>
  </si>
  <si>
    <t>BEAM B-09a,b, c&amp;d  REINFORCEMENT  DETAIL(SSL02 TO 04)</t>
  </si>
  <si>
    <t>S-T07-BM0208</t>
  </si>
  <si>
    <t>BEAM B-10a,b, c&amp;d  REINFORCEMENT  DETAIL(SSL-02 )</t>
  </si>
  <si>
    <t>S-T07-BM0209</t>
  </si>
  <si>
    <t>BEAM B-11 REINFORCEMENT  DETAIL(SHEET 1 OF 2 )</t>
  </si>
  <si>
    <t>S-T07-BM0210</t>
  </si>
  <si>
    <t>BEAM B-11 REINFORCEMENT  DETAIL(SHEET 2 OF 2 )</t>
  </si>
  <si>
    <t>S-T07-BM0211</t>
  </si>
  <si>
    <t>BEAM B-12 REINFORCEMENT  DETAIL(SHEET 1 OF 2 )</t>
  </si>
  <si>
    <t>S-T07-BM0212</t>
  </si>
  <si>
    <t>BEAM B-12 REINFORCEMENT  DETAIL(SHEET 2 OF 2 )</t>
  </si>
  <si>
    <t>S-T07-BM0215</t>
  </si>
  <si>
    <t>BEAM B-16a,b,c&amp;d  REINFORCEMENT DETAIL(SSL2,4,6&amp;8)</t>
  </si>
  <si>
    <t>S-T07-BM0217</t>
  </si>
  <si>
    <t>BEAM B-18a,b,c&amp;d  REINFORCEMENT DETAIL(SSL2,4,6&amp;8)</t>
  </si>
  <si>
    <t>S-T07-BM1001</t>
  </si>
  <si>
    <t>BEAM B-01a,b,c,d &amp;B-04a,b,c,d  REINFORCEMENT DETAIL(SSL10,12,14,16 &amp; 18)</t>
  </si>
  <si>
    <t>S-T07-BM1004</t>
  </si>
  <si>
    <t>BEAM B-07a,b, c&amp;d  REINF.  DETAIL(SSL10,12,14,16 &amp; 18)</t>
  </si>
  <si>
    <t>S-T07-BM1009</t>
  </si>
  <si>
    <t>S-T07-BM1010</t>
  </si>
  <si>
    <t>S-T07-BM1011</t>
  </si>
  <si>
    <t>S-T07-BM1012</t>
  </si>
  <si>
    <t>S-T07-BM1015</t>
  </si>
  <si>
    <t>BEAM B-16a,b,c&amp;d  REINFORCEMENT DETAIL(SSL10,12,14,16 &amp; 18)</t>
  </si>
  <si>
    <t>S-T07-BM1017</t>
  </si>
  <si>
    <t>BEAM B-18a,b,c&amp;d  REINFORCEMENT DETAIL(SSL10,12,14,16 &amp; 18)</t>
  </si>
  <si>
    <t>S-T07-BM2001</t>
  </si>
  <si>
    <t>S-T07-BM2004</t>
  </si>
  <si>
    <t>S-T07-BM2009</t>
  </si>
  <si>
    <t>S-T07-BM2010</t>
  </si>
  <si>
    <t>S-T07-BM2011</t>
  </si>
  <si>
    <t>S-T07-BM2012</t>
  </si>
  <si>
    <t>S-T07-BM2015</t>
  </si>
  <si>
    <t>S-T07-BM2017</t>
  </si>
  <si>
    <t>S-T07-BM2801</t>
  </si>
  <si>
    <t>BEAM B-07a,b, c&amp;d  REINF.  DETAIL(SSL28)</t>
  </si>
  <si>
    <t>S-T07-BM2802</t>
  </si>
  <si>
    <t>BEAM B-08a&amp;b  REINFORCEMENT DETAIL(SSL28)</t>
  </si>
  <si>
    <t>S-T07-BM2803</t>
  </si>
  <si>
    <t>BEAM B-08C&amp;d  REINFORCEMENT DETAIL(SSL28)</t>
  </si>
  <si>
    <t>S-T07-BM2804</t>
  </si>
  <si>
    <t>BEAM B-09a,b, c&amp;d  REINFORCEMENT  DETAIL(SSL28)</t>
  </si>
  <si>
    <t>S-T07-BM2805</t>
  </si>
  <si>
    <t>BEAM B-10a,b, c&amp;d  REINFORCEMENT  DETAIL(SSL28)</t>
  </si>
  <si>
    <t>S-T07-BM2806</t>
  </si>
  <si>
    <t>BEAM B-11 REINFORCEMENT  DETAIL(SHEET 1 OF 2 )(SSL28)</t>
  </si>
  <si>
    <t>S-T07-BM2807</t>
  </si>
  <si>
    <t>BEAM B-11 REINFORCEMENT  DETAIL(SHEET 2 OF 2 )(SSL28)</t>
  </si>
  <si>
    <t>S-T07-BM3001</t>
  </si>
  <si>
    <t>BEAM B-01ab&amp;cd REINFORCEMENT DETAIL(SSL30)</t>
  </si>
  <si>
    <t>S-T07-BM3002</t>
  </si>
  <si>
    <t>BEAM B-02a &amp; b REINFORCEMENT DETAIL(SSL30)</t>
  </si>
  <si>
    <t>S-T07-BM3003</t>
  </si>
  <si>
    <t>BEAM B-03a&amp;b REINFORCEMENT DETAIL(SSL30)</t>
  </si>
  <si>
    <t>S-T07-BM3004</t>
  </si>
  <si>
    <t>BEAM B-04a &amp; b REINFORCEMENT DETAIL(SSL30)</t>
  </si>
  <si>
    <t>S-T07-BM3005</t>
  </si>
  <si>
    <t>BEAM B-05ab&amp;cd REINFORCEMENT DETAIL(SSL30)</t>
  </si>
  <si>
    <t>S-T07-BM3006</t>
  </si>
  <si>
    <t>BEAM B-06ab REINFORCEMENT DETAIL(SSL30)</t>
  </si>
  <si>
    <t>S-T07-BM3007</t>
  </si>
  <si>
    <t>BEAM B-07a &amp; b REINFORCEMENT DETAIL(SSL30)</t>
  </si>
  <si>
    <t>S-T07-BM3008</t>
  </si>
  <si>
    <t>BEAM B-08a &amp; b REINFORCEMENT DETAIL(SSL30)</t>
  </si>
  <si>
    <t>S-T07-BM3009</t>
  </si>
  <si>
    <t>BEAM B-09a &amp; b REINFORCEMENT DETAIL(SSL30)</t>
  </si>
  <si>
    <t>S-T07-BM3010</t>
  </si>
  <si>
    <t>BEAM B-10a &amp; b REINFORCEMENT DETAIL(SSL30)</t>
  </si>
  <si>
    <t>S-T07-BM3011</t>
  </si>
  <si>
    <t>BEAM B-11 REINFORCEMENT DETAIL(SHEET 1 OF2)(SSL30)</t>
  </si>
  <si>
    <t>S-T07-BM3012</t>
  </si>
  <si>
    <t>BEAM B-11 REINFORCEMENT DETAIL(SHEET 2 OF2)(SSL30)</t>
  </si>
  <si>
    <t>S-T07-BM3013</t>
  </si>
  <si>
    <t>BEAM B-12 REINFORCEMENT DETAIL(SHEET 1 OF2)</t>
  </si>
  <si>
    <t>S-T07-BM3014</t>
  </si>
  <si>
    <t>BEAM B-12 REINFORCEMENT DETAIL(SHEET 2 OF2)</t>
  </si>
  <si>
    <t>S-T07-BM3015</t>
  </si>
  <si>
    <t>BEAM B-13 REINFORCEMENT DETAIL(SSL30)</t>
  </si>
  <si>
    <t>S-T07-BM3016</t>
  </si>
  <si>
    <t>BEAM B-14a &amp; b REINFORCEMENT DETAIL(SSL30)</t>
  </si>
  <si>
    <t>S-T07-BM3017</t>
  </si>
  <si>
    <t>BEAM B-15a &amp; b REINFORCEMENT DETAIL(SSL30)</t>
  </si>
  <si>
    <t>S-T07-BM3018</t>
  </si>
  <si>
    <t>BEAM B-16a &amp; b REINFORCEMENT DETAIL(SSL30)</t>
  </si>
  <si>
    <t>S-T07-BM3019</t>
  </si>
  <si>
    <t>BEAM B-17a &amp; b REINFORCEMENT DETAIL(SSL30)</t>
  </si>
  <si>
    <t>S-T07-BM3020</t>
  </si>
  <si>
    <t>BEAM B-18a &amp; b REINFORCEMENT DETAIL(SSL30)</t>
  </si>
  <si>
    <t>S-T07-BM3021</t>
  </si>
  <si>
    <t>BEAM B-20a &amp; b REINFORCEMENT DETAIL(SSL30)</t>
  </si>
  <si>
    <t>S-T07-BM3022</t>
  </si>
  <si>
    <t>BEAM B-21a &amp; b REINFORCEMENT DETAIL(SSL30)</t>
  </si>
  <si>
    <t>S-T07-BM3023</t>
  </si>
  <si>
    <t>BEAM B-22ac &amp; bd REINFORCEMENT DETAIL(SSL30)</t>
  </si>
  <si>
    <t>S-T07-BM3024</t>
  </si>
  <si>
    <t>BEAM B-23ab REINFORCEMENT DETAIL(SSL30)</t>
  </si>
  <si>
    <t>S-T07-BM3025</t>
  </si>
  <si>
    <t>BEAM B-25a &amp; b REINFORCEMENT DETAIL(SSL30)</t>
  </si>
  <si>
    <t>S-T07-BM3026</t>
  </si>
  <si>
    <t>BEAM B-31a &amp; b REINFORCEMENT DETAIL(SSL30)</t>
  </si>
  <si>
    <t>S-T07-BM3027</t>
  </si>
  <si>
    <t>BEAM B- 32 REINFORCEMENT DETAIL(SSL30)</t>
  </si>
  <si>
    <t>S-T07-BM3028</t>
  </si>
  <si>
    <t>BEAM B-33ab &amp; cd REINFORCEMENT DETAIL(SSL30)</t>
  </si>
  <si>
    <t>S-T07-BM3029</t>
  </si>
  <si>
    <t>BEAM B-34a,b,c &amp; d REINFORCEMENT DETAIL(SSL30)</t>
  </si>
  <si>
    <t>S-T07-BM3030</t>
  </si>
  <si>
    <t>BEAM B-35ac&amp;bd REINFORCEMENT DETAIL(SSL30)</t>
  </si>
  <si>
    <t>S-T07-BM3031</t>
  </si>
  <si>
    <t>BEAM B-36a&amp;b &amp; B-37a&amp;b REINFORCEMENT DETAIL(SSL30)</t>
  </si>
  <si>
    <t>S-T07-BM3032</t>
  </si>
  <si>
    <t>BEAM B-38a &amp; b REINFORCEMENT DETAIL(SSL30)</t>
  </si>
  <si>
    <t>S-T07-BM3033</t>
  </si>
  <si>
    <t>BEAM CB-00a &amp; CB-01a&amp;b REINFORCEMENT DETAIL(SSL30)</t>
  </si>
  <si>
    <t>S-T07-BM3034</t>
  </si>
  <si>
    <t>S-T07-BM3039</t>
  </si>
  <si>
    <t>S-T07-BM3041</t>
  </si>
  <si>
    <t>S-T07-BM3044</t>
  </si>
  <si>
    <t>S-T07-SL0202</t>
  </si>
  <si>
    <t>Elevation showing sleeves at SSL02 to SSL28(Sheet 2)</t>
  </si>
  <si>
    <t>S-T07-FP0301</t>
  </si>
  <si>
    <t>ST-T07-6</t>
  </si>
  <si>
    <t>S-T07-FP0501</t>
  </si>
  <si>
    <t>Framing Plan at SSL 05 &amp; 07</t>
  </si>
  <si>
    <t>S-T07-FP0901</t>
  </si>
  <si>
    <t>S-T07-FP1101</t>
  </si>
  <si>
    <t>S-T07-CP0001</t>
  </si>
  <si>
    <t>CONNECTING PERGOLA DETAILS BETWEEN T6V &amp;T07 (SSL 09, 13, 21 &amp; 25)</t>
  </si>
  <si>
    <t>S-T07-BM0103</t>
  </si>
  <si>
    <t>BEAM B-03ab&amp;cd REINFORCEMENT DETAIL</t>
  </si>
  <si>
    <t>S-T07-BM0105</t>
  </si>
  <si>
    <t>BEAM B-05ab&amp;cd REINFORCEMENT DETAIL</t>
  </si>
  <si>
    <t>S-T07-BM0107</t>
  </si>
  <si>
    <t>BEAM B-07a,b,c&amp;d REINFORCEMENT DETAIL</t>
  </si>
  <si>
    <t>S-T07-BM0109</t>
  </si>
  <si>
    <t>BEAM B-09a,b,c&amp;d REINFORCEMENT DETAIL</t>
  </si>
  <si>
    <t>S-T07-BM0111</t>
  </si>
  <si>
    <t>BEAM B-11 REINFORCEMENT DETAIL</t>
  </si>
  <si>
    <t>S-T07-BM0114</t>
  </si>
  <si>
    <t>BEAM B-15a,b,c,d &amp; 17a,b,c,d REINFORCEMENT DETAIL</t>
  </si>
  <si>
    <t>S-T07-BM0119</t>
  </si>
  <si>
    <t>BEAM B-22 &amp; B-23ab&amp;cd REINFORCEMENT DETAIL</t>
  </si>
  <si>
    <t>S-T07-BM0120</t>
  </si>
  <si>
    <t>BEAM B-25a,b,c&amp;d REINFORCEMENT DETAIL</t>
  </si>
  <si>
    <t>S-T07-BM0121</t>
  </si>
  <si>
    <t>BEAM B-26 &amp; B-27ac,bd REINFORCEMENT DETAIL</t>
  </si>
  <si>
    <t>S-T07-BM0122</t>
  </si>
  <si>
    <t>BEAM B-28 &amp; B-29 REINFORCEMENT DETAIL</t>
  </si>
  <si>
    <t>S-T07-BM0202</t>
  </si>
  <si>
    <t>BEAM B-02a,b,c,d &amp;B-03ab, cd  REINFORCEMENT DETAIL(SSL02 TO SSL09)</t>
  </si>
  <si>
    <t>S-T07-BM0203</t>
  </si>
  <si>
    <t>BEAM B-05ab&amp; cd  REINFORCEMENT DETAIL(SSL02 TO SSL09)</t>
  </si>
  <si>
    <t>S-T07-BM0205</t>
  </si>
  <si>
    <t>BEAM B-06ab&amp; cd  REINFORCEMENT DETAIL(SSL02 TO SSL09)</t>
  </si>
  <si>
    <t>S-T07-BM0206</t>
  </si>
  <si>
    <t>BEAM B-08a,b,c&amp;d  REINFORCEMENT DETAIL(SSL02 TO SSL09)</t>
  </si>
  <si>
    <t>S-T07-BM0213</t>
  </si>
  <si>
    <t>BEAM B-13a,b,c,d &amp; 14a,b,c,d  REINFORCEMENT DETAIL(SSL02 TO SSL09)</t>
  </si>
  <si>
    <t>S-T07-BM0214</t>
  </si>
  <si>
    <t>BEAM B-15a,b,c,d &amp; 20a,b,c,d  REINFORCEMENT DETAIL(SSL02 TO SSL09)</t>
  </si>
  <si>
    <t>S-T07-BM0216</t>
  </si>
  <si>
    <t>BEAM B-17a,b,c&amp;d  REINFORCEMENT DETAIL(SSL02 TO SSL 09)</t>
  </si>
  <si>
    <t>S-T07-BM0218</t>
  </si>
  <si>
    <t>BEAM B-19ab,cd  &amp; 22ac,bd  REINFORCEMENT DETAIL(SSL02 TO SSL09)</t>
  </si>
  <si>
    <t>S-T07-BM0219</t>
  </si>
  <si>
    <t>BEAM B-21a,b,c&amp;d  REINFORCEMENT DETAIL(SSL02 TO SSL 09)</t>
  </si>
  <si>
    <t>S-T07-BM0220</t>
  </si>
  <si>
    <t>BEAM B-23ab&amp; cd  REINFORCEMENT DETAIL(SSL02 TO SSL09)</t>
  </si>
  <si>
    <t>S-T07-BM0221</t>
  </si>
  <si>
    <t>BEAM B-25a,b,c&amp;d &amp; 32a,b,c&amp;d  REINFORCEMENT DETAIL(SSL02 TO SSL09)</t>
  </si>
  <si>
    <t>S-T07-BM0222</t>
  </si>
  <si>
    <t>BEAM B-26 &amp; 27  REINFORCEMENT DETAIL(SSL02 TO SSL09)</t>
  </si>
  <si>
    <t>S-T07-BM0223</t>
  </si>
  <si>
    <t>BEAM B-28  REINFORCEMENT DETAIL(SSL02 TO SSL09)</t>
  </si>
  <si>
    <t>S-T07-BM0224</t>
  </si>
  <si>
    <t>BEAM B-29ac&amp; bd AND CB-01 a,b,c&amp;d REINFORCEMENT DETAIL(SSL02 TO SSL09)</t>
  </si>
  <si>
    <t>S-T07-BM0225</t>
  </si>
  <si>
    <t>BEAM B-30,31 &amp; 33  REINFORCEMENT DETAIL(SSL02 TO SSL09)</t>
  </si>
  <si>
    <t>S-T07-BM0226</t>
  </si>
  <si>
    <t>BEAM B-34 &amp; B-35  REINFORCEMENT DETAIL(SSL02 TO SSL09)</t>
  </si>
  <si>
    <t>S-T07-BM0227</t>
  </si>
  <si>
    <t>BEAM B-09a,b,c&amp;d  REINFORCEMENT DETAIL(SSL05 TO SSL 09)</t>
  </si>
  <si>
    <t>S-T07-BM0228</t>
  </si>
  <si>
    <t>BEAM B-10a,b,c&amp;d  REINFORCEMENT  DETAIL(SSL03-09 )</t>
  </si>
  <si>
    <t>S-T07-BM0229</t>
  </si>
  <si>
    <t>BEAM B-01a,b,c,d &amp;B-16a,b,c,d  REINFORCEMENT DETAIL(SSL3,5,7&amp;9)</t>
  </si>
  <si>
    <t>S-T07-BM0230</t>
  </si>
  <si>
    <t>BEAM B-04a,b,c&amp; d  REINFORCEMENT DETAIL(SSL3,5,7&amp;9)</t>
  </si>
  <si>
    <t>S-T07-BM0231</t>
  </si>
  <si>
    <t>BEAM B-07a,b,c&amp;d  REINF.  DETAIL(SSL3,5,7&amp;9)</t>
  </si>
  <si>
    <t>S-T07-BM0232</t>
  </si>
  <si>
    <t>BEAM B-18a,b,c&amp; d  REINFORCEMENT DETAIL(SSL3,5,7&amp;9)</t>
  </si>
  <si>
    <t>S-T07-BM1002</t>
  </si>
  <si>
    <t>BEAM B-02a,b,c,d &amp;B-03ab, cd  REINFORCEMENT DETAIL(SSL10 TO SSL19)</t>
  </si>
  <si>
    <t>S-T07-BM1003</t>
  </si>
  <si>
    <t>BEAM B-05ab&amp; cd  REINFORCEMENT DETAIL(SSL10 TO SSL19)</t>
  </si>
  <si>
    <t>S-T07-BM1005</t>
  </si>
  <si>
    <t>BEAM B-06ab&amp; cd  REINFORCEMENT DETAIL(SSL10 TO SSL19)</t>
  </si>
  <si>
    <t>S-T07-BM1006</t>
  </si>
  <si>
    <t>BEAM B-08a,b,c&amp;d  REINFORCEMENT DETAIL(SSL10 TO SSL19)</t>
  </si>
  <si>
    <t>S-T07-BM1007</t>
  </si>
  <si>
    <t>BEAM B-09a,b, c&amp;d  REINFORCEMENT  DETAIL(SSL10 TO SSL19)</t>
  </si>
  <si>
    <t>S-T07-BM1008</t>
  </si>
  <si>
    <t>BEAM B-10a,b, c&amp;d  REINFORCEMENT  DETAIL(SSL10 TO SSL19)</t>
  </si>
  <si>
    <t>S-T07-BM1013</t>
  </si>
  <si>
    <t>BEAM B-13a,b,c,d &amp; 14a,b,c,d  REINFORCEMENT DETAIL(SSL10 TO SSL19)</t>
  </si>
  <si>
    <t>S-T07-BM1014</t>
  </si>
  <si>
    <t>BEAM B-15a,b,c,d &amp; 20a,b,c,d  REINFORCEMENT DETAIL(SSL10 TO SSL19)</t>
  </si>
  <si>
    <t>S-T07-BM1016</t>
  </si>
  <si>
    <t>BEAM B-17a,b,c&amp;d  REINFORCEMENT DETAIL(SSL10 TO SSL19)</t>
  </si>
  <si>
    <t>S-T07-BM1018</t>
  </si>
  <si>
    <t>BEAM B-19ab,cd  &amp; 22ac,bd  REINFORCEMENT DETAIL(SSL10 TO SSL19)</t>
  </si>
  <si>
    <t>S-T07-BM1019</t>
  </si>
  <si>
    <t>BEAM B-21a,b,c&amp;d  REINFORCEMENT DETAIL(SSL10 TO SSL19)</t>
  </si>
  <si>
    <t>S-T07-BM1020</t>
  </si>
  <si>
    <t>BEAM B-23ab&amp; cd  REINFORCEMENT DETAIL(SSL10 TO SSL19)</t>
  </si>
  <si>
    <t>S-T07-BM1021</t>
  </si>
  <si>
    <t>BEAM B-25a,b,c&amp;d &amp; 32a,b,c&amp;d  REINFORCEMENT DETAIL(SSL10 TO SSL19)</t>
  </si>
  <si>
    <t>S-T07-BM1022</t>
  </si>
  <si>
    <t>BEAM B-26 &amp; 27  REINFORCEMENT DETAIL(SSL10 TO SSL19)</t>
  </si>
  <si>
    <t>S-T07-BM1023</t>
  </si>
  <si>
    <t>BEAM B-28  REINFORCEMENT DETAIL(SSL10 TO SSL19)</t>
  </si>
  <si>
    <t>S-T07-BM1024</t>
  </si>
  <si>
    <t>BEAM B-29ac&amp; bd AND CB-01 a,b,c&amp;d REINFORCEMENT DETAIL(SSL10 TO SSL19)</t>
  </si>
  <si>
    <t>S-T07-BM1025</t>
  </si>
  <si>
    <t>BEAM B-30,31 &amp; 33  REINFORCEMENT DETAIL(SSL10 TO SSL19)</t>
  </si>
  <si>
    <t>S-T07-BM1026</t>
  </si>
  <si>
    <t>BEAM B-34 &amp; B-35  REINFORCEMENT DETAIL(SSL10 TO SSL19)</t>
  </si>
  <si>
    <t>S-T07-BM1028</t>
  </si>
  <si>
    <t>BEAM B-36 &amp; B-37  REINFORCEMENT DETAIL(SSL17 to 19)</t>
  </si>
  <si>
    <t>S-T07-BM1029</t>
  </si>
  <si>
    <t>BEAM B-01a,b,c,d &amp;B-16a,b,c,d  REINFORCEMENT DETAIL(SSL11,13,15,17&amp;19)</t>
  </si>
  <si>
    <t>S-T07-BM1030</t>
  </si>
  <si>
    <t>BEAM B-04a,b,c&amp; d  REINFORCEMENT DETAIL(SSL11,13,15,17&amp;19)</t>
  </si>
  <si>
    <t>S-T07-BM1031</t>
  </si>
  <si>
    <t>BEAM B-07a,b,c&amp;d  REINF.  DETAIL(SSL11,13,15,17&amp;19)</t>
  </si>
  <si>
    <t>S-T07-BM1032</t>
  </si>
  <si>
    <t>BEAM B-18a,b,c&amp; d  REINFORCEMENT DETAIL(SSL11,13,15,17&amp;19)</t>
  </si>
  <si>
    <t>S-T07-BM2002</t>
  </si>
  <si>
    <t>S-T07-BM2003</t>
  </si>
  <si>
    <t>S-T07-BM2005</t>
  </si>
  <si>
    <t>S-T07-BM2006</t>
  </si>
  <si>
    <t>S-T07-BM2007</t>
  </si>
  <si>
    <t>S-T07-BM2008</t>
  </si>
  <si>
    <t>S-T07-BM2013</t>
  </si>
  <si>
    <t>S-T07-BM2014</t>
  </si>
  <si>
    <t>S-T07-BM2016</t>
  </si>
  <si>
    <t>S-T07-BM2018</t>
  </si>
  <si>
    <t>S-T07-BM2019</t>
  </si>
  <si>
    <t>S-T07-BM2020</t>
  </si>
  <si>
    <t>S-T07-BM2021</t>
  </si>
  <si>
    <t>S-T07-BM2022</t>
  </si>
  <si>
    <t>S-T07-BM2023</t>
  </si>
  <si>
    <t>S-T07-BM2024</t>
  </si>
  <si>
    <t>S-T07-BM2025</t>
  </si>
  <si>
    <t>S-T07-BM2026</t>
  </si>
  <si>
    <t>S-T07-BM2028</t>
  </si>
  <si>
    <t>S-T07-BM2029</t>
  </si>
  <si>
    <t>S-T07-BM2030</t>
  </si>
  <si>
    <t>S-T07-BM2031</t>
  </si>
  <si>
    <t>S-T07-BM2032</t>
  </si>
  <si>
    <t>S-T07-BM2901</t>
  </si>
  <si>
    <t>S-T07-BM2902</t>
  </si>
  <si>
    <t>S-T07-BM2903</t>
  </si>
  <si>
    <t>S-T07-BM2904</t>
  </si>
  <si>
    <t>S-T07-BM2905</t>
  </si>
  <si>
    <t>S-T07-BM2906</t>
  </si>
  <si>
    <t>S-T07-BM2907</t>
  </si>
  <si>
    <t>S-T07-BM2908</t>
  </si>
  <si>
    <t>S-T07-BM2909</t>
  </si>
  <si>
    <t>BEAM B-07 a &amp;b REINF. DETAIL(SSL29)</t>
  </si>
  <si>
    <t>S-T07-BM2910</t>
  </si>
  <si>
    <t>BEAM B-07 c&amp;d REINF. DETAIL(SSL29)</t>
  </si>
  <si>
    <t>S-T07-BM2911</t>
  </si>
  <si>
    <t>S-T07-BM2912</t>
  </si>
  <si>
    <t>S-T07-BM2913</t>
  </si>
  <si>
    <t>S-T07-BM2914</t>
  </si>
  <si>
    <t>S-T07-BM2915</t>
  </si>
  <si>
    <t>S-T07-BM2916</t>
  </si>
  <si>
    <t>S-T07-BM2917</t>
  </si>
  <si>
    <t>S-T07-BM2918</t>
  </si>
  <si>
    <t>S-T07-BM2919</t>
  </si>
  <si>
    <t>S-T07-BM2920</t>
  </si>
  <si>
    <t>S-T07-BM2921</t>
  </si>
  <si>
    <t>S-T07-BM2922</t>
  </si>
  <si>
    <t>S-T07-BM2923</t>
  </si>
  <si>
    <t>S-T07-BM2924</t>
  </si>
  <si>
    <t>S-T07-BM2925</t>
  </si>
  <si>
    <t>S-T07-BM2926</t>
  </si>
  <si>
    <t>S-T07-BM2927</t>
  </si>
  <si>
    <t>S-T07-BM2928</t>
  </si>
  <si>
    <t>S-T07-BM2929</t>
  </si>
  <si>
    <t>S-T07-BM2930</t>
  </si>
  <si>
    <t>S-T07-BM2931</t>
  </si>
  <si>
    <t>S-T07-BM2932</t>
  </si>
  <si>
    <t>S-T07-BM2933</t>
  </si>
  <si>
    <t>S-T07-BM2934</t>
  </si>
  <si>
    <t>S-T07-BM2935</t>
  </si>
  <si>
    <t>S-T07-BM2936</t>
  </si>
  <si>
    <t>S-T07-BM2937</t>
  </si>
  <si>
    <t>S-T07-BM2938</t>
  </si>
  <si>
    <t>S-T07-BM2939</t>
  </si>
  <si>
    <t>S-T07-BM2940</t>
  </si>
  <si>
    <t>S-T07-BM2941</t>
  </si>
  <si>
    <t>S-T07-BM2942</t>
  </si>
  <si>
    <t>S-T07-BM3043</t>
  </si>
  <si>
    <t>S-T07-BM3035</t>
  </si>
  <si>
    <t>S-T07-BM3036</t>
  </si>
  <si>
    <t>BEAM B42 &amp; 43 REINFORCEMENT DETAIL</t>
  </si>
  <si>
    <t>S-T07-BM3037</t>
  </si>
  <si>
    <t>BEAM B44 &amp; 45 REINFORCEMENT DETAIL</t>
  </si>
  <si>
    <t>S-T07-BM3038</t>
  </si>
  <si>
    <t>BEAM B46 &amp; 47 REINFORCEMENT DETAIL</t>
  </si>
  <si>
    <t>S-T07-BM3040</t>
  </si>
  <si>
    <t>S-T07-BM3042</t>
  </si>
  <si>
    <t>S-T07-SL0201</t>
  </si>
  <si>
    <t>Plan showing sleeves at SSL02 to SSL28(Sheet 1)</t>
  </si>
  <si>
    <t>S-T07-SL0203</t>
  </si>
  <si>
    <t>SLEEVES REINFORCEMENT DETAILS FOR SSL2 TO SSL28(Sheet 3)</t>
  </si>
  <si>
    <t>S-T07-SL2901</t>
  </si>
  <si>
    <t>SLEEVE DETAILS FOR SSL29 (Sheet 1)</t>
  </si>
  <si>
    <t>S-T07-SB0201</t>
  </si>
  <si>
    <t>Plan Showing Slab Bottom Reinforcement for SSL 2 to 27</t>
  </si>
  <si>
    <t>S-T07-SB0202</t>
  </si>
  <si>
    <t>S-T07-SB0203</t>
  </si>
  <si>
    <t>Plan Showing Slab Top Reinforcement for SSL 2 to 27</t>
  </si>
  <si>
    <t>S-T07-SB0204</t>
  </si>
  <si>
    <t>BBS for Slab Top Reinforcement for SSL 2 to 27</t>
  </si>
  <si>
    <t>S-T07-FP2901</t>
  </si>
  <si>
    <t>Framing Plan at SSL 29</t>
  </si>
  <si>
    <t>ST-T07-8</t>
  </si>
  <si>
    <t>S-T07-SL2902</t>
  </si>
  <si>
    <t>SLEEVES REINFORCEMENT DETAILS FOR SSL29</t>
  </si>
  <si>
    <t>S-T07-SB2901</t>
  </si>
  <si>
    <t>Plan Showing Slab Bottom Reinf. for SSL 29</t>
  </si>
  <si>
    <t>S-T07-SB2902</t>
  </si>
  <si>
    <t>BBS of Slab Bottom Reinf.s for SSL29</t>
  </si>
  <si>
    <t>S-T07-SB2903</t>
  </si>
  <si>
    <t>Plan Showing Slab Top Reinf. for SSL 29</t>
  </si>
  <si>
    <t>S-T07-SB2904</t>
  </si>
  <si>
    <t>BBS for Slab Top Reinf. for SSL 29</t>
  </si>
  <si>
    <t>S-T07-FP3001</t>
  </si>
  <si>
    <t>Framing Plan at SSL 30</t>
  </si>
  <si>
    <t>ST-T07-9</t>
  </si>
  <si>
    <t>S-T07-FP3004</t>
  </si>
  <si>
    <t>OHT BASE SLAB DETAILS</t>
  </si>
  <si>
    <t>S-T07-FP3005</t>
  </si>
  <si>
    <t>OHT ROOF SLAB DETAILS</t>
  </si>
  <si>
    <t>S-T07-OH0001</t>
  </si>
  <si>
    <t>S-T07-OH0002</t>
  </si>
  <si>
    <t>S-T07-OH0003</t>
  </si>
  <si>
    <t>S-T07-OH0004</t>
  </si>
  <si>
    <t>S-T07-OH0005</t>
  </si>
  <si>
    <t>S-T07-OH0006</t>
  </si>
  <si>
    <t>S-T07-SL3001</t>
  </si>
  <si>
    <t xml:space="preserve">SLEEVE DETAILS AT SSL30 </t>
  </si>
  <si>
    <t>S-T07-SL3002</t>
  </si>
  <si>
    <t>S-T07-SB3001</t>
  </si>
  <si>
    <t>Plan Showing Slab Bottom Reinf. of SSL 30</t>
  </si>
  <si>
    <t>S-T07-SB3002</t>
  </si>
  <si>
    <t>Plan Showing Slab Top Reinf. of SSL 30</t>
  </si>
  <si>
    <t>S-T07-SB3003</t>
  </si>
  <si>
    <t>Slab BBS for Bottom &amp; TopReinf.s  SSL30</t>
  </si>
  <si>
    <t>S-V01-M0201</t>
  </si>
  <si>
    <t>Master List of Drawings of Villa Cluster 1&amp;2</t>
  </si>
  <si>
    <t>ST-VC1-1</t>
  </si>
  <si>
    <t>S-V01-M0202</t>
  </si>
  <si>
    <t>S-V01-FD0101</t>
  </si>
  <si>
    <t xml:space="preserve"> Block 1 - Foundation Layout</t>
  </si>
  <si>
    <t>S-V01-FD0102</t>
  </si>
  <si>
    <t>Typical Details For Isolated Footings</t>
  </si>
  <si>
    <t>S-V01-FD0103</t>
  </si>
  <si>
    <t>Table of Reinforcement for Footing - Sheet 1</t>
  </si>
  <si>
    <t>S-V01-FD0104</t>
  </si>
  <si>
    <t>Table of Reinforcement for Footing - Sheet 2</t>
  </si>
  <si>
    <t>S-V01-FP0101</t>
  </si>
  <si>
    <t>Framing Plan at 1st SSL</t>
  </si>
  <si>
    <t>S-V01-FP0102</t>
  </si>
  <si>
    <t>Villa - Block 1 - Framing Plan at SSL 2</t>
  </si>
  <si>
    <t>ST-VC1-2</t>
  </si>
  <si>
    <t>S-V01-FP0103</t>
  </si>
  <si>
    <t>Block1-Framing plan at 3rd SSL</t>
  </si>
  <si>
    <t>S-V01-FP0104</t>
  </si>
  <si>
    <t>Block1-Framing plan at 4th&amp;5th SSL(B&amp;D Quadrants)</t>
  </si>
  <si>
    <t>S-V01-FP0105</t>
  </si>
  <si>
    <t>Block1-Framing plan at 4th&amp;5th SSL(A&amp;C Quadrants)</t>
  </si>
  <si>
    <t>S-V01-FP0106</t>
  </si>
  <si>
    <t>Block1-Slab sections at 4th&amp;5th SSL(Sheet-1)</t>
  </si>
  <si>
    <t>S-V01-FP0107</t>
  </si>
  <si>
    <t>Block1-Slab sections at 4th&amp;5th SSL(Sheet-2)</t>
  </si>
  <si>
    <t>S-V01-CL0101</t>
  </si>
  <si>
    <t>Typical Column Details</t>
  </si>
  <si>
    <t>S-V01-CL0102</t>
  </si>
  <si>
    <t>Column 1C1a,1C1c,1C1b,1C1d,1C2a,1C2c,1C2b,1C2d  Detail</t>
  </si>
  <si>
    <t>S-V01-CL0103</t>
  </si>
  <si>
    <t>Column 1C3a,1C3c,1C3b,1C3d,1C4a,1C4c,1C4b,1C4d  Detail</t>
  </si>
  <si>
    <t>S-V01-CL0104</t>
  </si>
  <si>
    <t>Column 1C5a,1C5c,1C5b,1C5d,1C6a,1C6c,1C6b,1C6d  Detail</t>
  </si>
  <si>
    <t>S-V01-CL0105</t>
  </si>
  <si>
    <t>Column 1C7a,1C7c,1C7b,1C7d,1C8a,1C8c,1C8b,1C8d  Detail</t>
  </si>
  <si>
    <t>S-V01-CL0106</t>
  </si>
  <si>
    <t>Column 1C9a,1C9c,1C9b,1C9d,1C10a,1C10c,1C10b,1C10d  Detail</t>
  </si>
  <si>
    <t>S-V01-CL0107</t>
  </si>
  <si>
    <t>Column 1C11a,1C11c,1C11b,1C11d,1C12a,1C12c,1C12b,1C12d  Detail</t>
  </si>
  <si>
    <t>S-V01-CL0108</t>
  </si>
  <si>
    <t>Column 1C13bd,1C13ac,1C14bd,1C14ac  Detail</t>
  </si>
  <si>
    <t>S-V01-CL0109</t>
  </si>
  <si>
    <t>Column 1C15bd,1C15ac,1C16bd,1C16ac  Detail</t>
  </si>
  <si>
    <t>S-V01-CL0110</t>
  </si>
  <si>
    <t>Column 1C17a,1C17b, C17c &amp; C17d and C18a&amp;b  Detail</t>
  </si>
  <si>
    <t>S-V01-CL0111</t>
  </si>
  <si>
    <t>Villa - Block 1 - Column Elevations (Sheet 1)</t>
  </si>
  <si>
    <t>S-V01-CL0112</t>
  </si>
  <si>
    <t>Villa - Block 1 - Column Elevations (Sheet 2)</t>
  </si>
  <si>
    <t>S-V01-RW0101</t>
  </si>
  <si>
    <t>Retaining Wall Sections RW1 &amp; RW2 (SHEET 1)</t>
  </si>
  <si>
    <t>S-V01-RW0102</t>
  </si>
  <si>
    <t>Retaining Wall Sections RW3, RW4 &amp; RW5 (SHEET 2)</t>
  </si>
  <si>
    <t>S-V01-RW0103</t>
  </si>
  <si>
    <t>Retaining Wall Sections RW6 (SHEET 3)</t>
  </si>
  <si>
    <t>S-V01-RW0104</t>
  </si>
  <si>
    <t>Typical Details of Retaining wall</t>
  </si>
  <si>
    <t>S-V01-RW0105</t>
  </si>
  <si>
    <t>Reinforcement details around cutout in RW03</t>
  </si>
  <si>
    <t>S-V01-RW0106</t>
  </si>
  <si>
    <t>Reinforcement details around cutout in RW03(A&amp;B Quadrants Only)</t>
  </si>
  <si>
    <t>S-V01-RW0107</t>
  </si>
  <si>
    <t>End Villa Retaining  wall Details(Block1,6,7&amp;12)</t>
  </si>
  <si>
    <t>S-V01-RW0108</t>
  </si>
  <si>
    <t>End Villa Retaining  wall Elevation(Block1,6,7&amp;12)</t>
  </si>
  <si>
    <t>S-V01-RW0109</t>
  </si>
  <si>
    <t>Retaining wall details</t>
  </si>
  <si>
    <t>S-V01-RW0110</t>
  </si>
  <si>
    <t>S-V01-RW0111</t>
  </si>
  <si>
    <t>Retaining wall cutout details</t>
  </si>
  <si>
    <t>S-V01-RW0112</t>
  </si>
  <si>
    <t>RC WALL DETAILS NEAR COLUMN C2 (MAID'S ENTRY CANOPY)</t>
  </si>
  <si>
    <t>S-V01-ST0101</t>
  </si>
  <si>
    <t>Staircase Details - (Sheet 1 of 3)</t>
  </si>
  <si>
    <t>S-V01-ST0102</t>
  </si>
  <si>
    <t>Staircase Details - (Sheet 2 of 3)</t>
  </si>
  <si>
    <t>S-V01-ST0103</t>
  </si>
  <si>
    <t>Staircase Details - (Sheet 3 of 3)</t>
  </si>
  <si>
    <t>S-V01-ST0104</t>
  </si>
  <si>
    <t>S-V01-ST0105</t>
  </si>
  <si>
    <t>S-V01-ST0106</t>
  </si>
  <si>
    <t>S-V01-ST0107</t>
  </si>
  <si>
    <t>Villa External Staircase Details</t>
  </si>
  <si>
    <t>S-V01-BM0102</t>
  </si>
  <si>
    <t>Beam 1-1B01a, 1-1B01b, 1-1B01c and 1-1B01d Detail (Sheet-1)</t>
  </si>
  <si>
    <t>S-V01-BM0103</t>
  </si>
  <si>
    <t>Beam 1-1B01a, 1-1B01b, 1-1B01c and 1-1B01d Reinf. Detail (Sheet-2)</t>
  </si>
  <si>
    <t>S-V01-BM0104</t>
  </si>
  <si>
    <t>Beam 1-1B02a, 1-1B02b, 1-1B02c and 1-1B02d &amp; Beam 1-1B03a, 1-1B03b, 1-1B03c and 1-1B03d Detail</t>
  </si>
  <si>
    <t>S-V01-BM0105</t>
  </si>
  <si>
    <t>Beam 1-1B04a, 1-1B04b, 1-1B04c and 1-1B04d Detail</t>
  </si>
  <si>
    <t>S-V01-BM0106</t>
  </si>
  <si>
    <t>Beam 1-1B05ac and 1-1B05bd Detail</t>
  </si>
  <si>
    <t>S-V01-BM0107</t>
  </si>
  <si>
    <t>Beam 1-1B06ac and 1-1B06bd Detail (Sheet-1)</t>
  </si>
  <si>
    <t>S-V01-BM0108</t>
  </si>
  <si>
    <t>Beam 1-1B06ac and 1-1B06bd Reinf. Detail (Sheet-2)</t>
  </si>
  <si>
    <t>S-V01-BM0109</t>
  </si>
  <si>
    <t>Beam 1-1B07ac and 1-1B07bd Detail</t>
  </si>
  <si>
    <t>S-V01-BM0110</t>
  </si>
  <si>
    <t>Beam 1-1B08ac and 1-1B08bd Detail (Sheet-1)</t>
  </si>
  <si>
    <t>S-V01-BM0111</t>
  </si>
  <si>
    <t>Beam 1-1B08ac and 1-1B08bd Detail (Sheet-2)</t>
  </si>
  <si>
    <t>S-V01-BM0112</t>
  </si>
  <si>
    <t>Beam 1-1B09a, 1-1B09b, 1-1B09c and 1-1B09d Detail</t>
  </si>
  <si>
    <t>S-V01-BM0113</t>
  </si>
  <si>
    <t>Beam 1-1B10a, 1-1B10b, 1-1B10c and 1-1B10d Detail</t>
  </si>
  <si>
    <t>S-V01-BM0114</t>
  </si>
  <si>
    <t>BEAM 1-2B01a/b/c/d DETAIL</t>
  </si>
  <si>
    <t>S-V01-BM0115</t>
  </si>
  <si>
    <t>BEAM 1-2B03a/b &amp; c/d DETAIL</t>
  </si>
  <si>
    <t>S-V01-BM0116</t>
  </si>
  <si>
    <t>BEAM 1-2B04a/b/c/d DETAIL</t>
  </si>
  <si>
    <t>S-V01-BM0117</t>
  </si>
  <si>
    <t>BEAM 1-2B05a/b/c/d &amp; 1-2B05a/b/c/d DETAIL</t>
  </si>
  <si>
    <t>S-V01-BM0118</t>
  </si>
  <si>
    <t>BEAM 1-2B07a/b/c/d , 1-2B08ac&amp;1-2B08bd DETAIL</t>
  </si>
  <si>
    <t>S-V01-BM0119</t>
  </si>
  <si>
    <t>BEAM 1-2B09a &amp; 1-2B09b DETAIL</t>
  </si>
  <si>
    <t>S-V01-BM0120</t>
  </si>
  <si>
    <t>BEAM 1-2B09c &amp; 1-2B09d DETAIL</t>
  </si>
  <si>
    <t>S-V01-BM0121</t>
  </si>
  <si>
    <t>BEAM 1-2B10ac &amp; 1-2B10bd DETAIL</t>
  </si>
  <si>
    <t>S-V01-BM0122</t>
  </si>
  <si>
    <t>BEAM 1-2B11ac &amp; 1-2B11bd DETAIL</t>
  </si>
  <si>
    <t>S-V01-BM0123</t>
  </si>
  <si>
    <t>BEAM 1-2B12a DETAIL</t>
  </si>
  <si>
    <t>S-V01-BM0124</t>
  </si>
  <si>
    <t>BEAM 1-2B12b DETAIL</t>
  </si>
  <si>
    <t>S-V01-BM0125</t>
  </si>
  <si>
    <t>BEAM 1-2B12c DETAIL</t>
  </si>
  <si>
    <t>S-V01-BM0126</t>
  </si>
  <si>
    <t>BEAM 1-2B12d DETAIL</t>
  </si>
  <si>
    <t>S-V01-BM0127</t>
  </si>
  <si>
    <t>BEAM 1-2B13a/b/c/d &amp; 1-2B14a/b/c/dDETAIL</t>
  </si>
  <si>
    <t>S-V01-BM0128</t>
  </si>
  <si>
    <t>BEAM 1-2B02a/b/c/d DETAIL</t>
  </si>
  <si>
    <t>S-V01-BM0129</t>
  </si>
  <si>
    <t>Beam 1-3B01cd&amp;1-3B01ab Detail(Sheet-1)</t>
  </si>
  <si>
    <t>S-V01-BM0130</t>
  </si>
  <si>
    <t>Beam 1-3B01cd&amp;1-3B01ab Detail(Sheet-2)</t>
  </si>
  <si>
    <t>S-V01-BM0131</t>
  </si>
  <si>
    <t>Beam 1-3B01cd&amp;1-3B01ab Detail(Sheet-3)</t>
  </si>
  <si>
    <t>S-V01-BM0132</t>
  </si>
  <si>
    <t>Beam 1-3B02a,b,c&amp;d and 1-3B03cd&amp;1-3B03ab Detail</t>
  </si>
  <si>
    <t>S-V01-BM0133</t>
  </si>
  <si>
    <t>Beam 1-3B04a,b,c&amp;d Detail</t>
  </si>
  <si>
    <t>S-V01-BM0134</t>
  </si>
  <si>
    <t>Beam 1-3B05a,b,c&amp;d and 1-3B06bd&amp;1-3B06ac Detail</t>
  </si>
  <si>
    <t>S-V01-BM0135</t>
  </si>
  <si>
    <t>Beam 1-3B07ab&amp;1-3B07cd and 1-3B08ac&amp;1-3B08bd Detail</t>
  </si>
  <si>
    <t>S-V01-BM0136</t>
  </si>
  <si>
    <t>Beam 1-3B09ac&amp;1-3B09bd Detail</t>
  </si>
  <si>
    <t>S-V01-BM0137</t>
  </si>
  <si>
    <t>Beam 1-3B10ac&amp;1-3B10bd Detail</t>
  </si>
  <si>
    <t>S-V01-BM0138</t>
  </si>
  <si>
    <t>Beam 1-3B11ac&amp;1-3B11bd Detail</t>
  </si>
  <si>
    <t>S-V01-BM0139</t>
  </si>
  <si>
    <t>Beam 1-3B12ac&amp;1-3B12bd Detail</t>
  </si>
  <si>
    <t>S-V01-BM0140</t>
  </si>
  <si>
    <t>Beam 1-3B13ac&amp;1-3B13bd and 1-3B14a,b,c&amp;d Detail</t>
  </si>
  <si>
    <t>S-V01-BM0141</t>
  </si>
  <si>
    <t>1-3B15a,b,c&amp;d and Beam 1-3B16ac&amp;1-3B16bd Detail</t>
  </si>
  <si>
    <t>S-V01-BM0142</t>
  </si>
  <si>
    <t>Beam  1-5B01ac&amp;bd Detail(Sheet-01)</t>
  </si>
  <si>
    <t>S-V01-BM0143</t>
  </si>
  <si>
    <t>Beam  1-5B01ac&amp;bd Detail(Sheet-02)</t>
  </si>
  <si>
    <t>S-V01-BM0144</t>
  </si>
  <si>
    <t>Beam  1-5B02ac&amp;bd Detail</t>
  </si>
  <si>
    <t>S-V01-BM0145</t>
  </si>
  <si>
    <t>Beam  1-5B04ac&amp;bd Detail</t>
  </si>
  <si>
    <t>S-V01-BM0146</t>
  </si>
  <si>
    <t>Beam  1-5B05ac&amp;bd Detail</t>
  </si>
  <si>
    <t>S-V01-BM0147</t>
  </si>
  <si>
    <t>Beam  1-5B06a Detail</t>
  </si>
  <si>
    <t>S-V01-BM0148</t>
  </si>
  <si>
    <t>Beam  1-5B06bDetail</t>
  </si>
  <si>
    <t>S-V01-BM0149</t>
  </si>
  <si>
    <t>Beam  1-5B06c Detail</t>
  </si>
  <si>
    <t>S-V01-BM0150</t>
  </si>
  <si>
    <t>Beam  1-5B06dDetail</t>
  </si>
  <si>
    <t>S-V01-BM0151</t>
  </si>
  <si>
    <t>Beam  1-5B07a&amp;1-5B07b Detail</t>
  </si>
  <si>
    <t>S-V01-BM0152</t>
  </si>
  <si>
    <t>Beam  1-5B07c&amp;1-5B07d Detail</t>
  </si>
  <si>
    <t>S-V01-BM0153</t>
  </si>
  <si>
    <t>Beam  1-5B08ac&amp;bd Detail(Sheet-01)</t>
  </si>
  <si>
    <t>S-V01-BM0154</t>
  </si>
  <si>
    <t>Beam  1-5B08ac&amp;bd Detail(Sheet-02)</t>
  </si>
  <si>
    <t>S-V01-BM0155</t>
  </si>
  <si>
    <t>Beam  1-5B09ac Detail(Sheet-01)</t>
  </si>
  <si>
    <t>S-V01-BM0156</t>
  </si>
  <si>
    <t>Beam  1-5B09ac Detail(Sheet-02)</t>
  </si>
  <si>
    <t>S-V01-BM0157</t>
  </si>
  <si>
    <t>Beam  1-5B09bd Detail(Sheet-01)</t>
  </si>
  <si>
    <t>S-V01-BM0158</t>
  </si>
  <si>
    <t>Beam  1-5B09bd Detail(Sheet-02)</t>
  </si>
  <si>
    <t>S-V01-BM0159</t>
  </si>
  <si>
    <t>Beam  1-5B10a and 1-5B10b Detail</t>
  </si>
  <si>
    <t>S-V01-BM0160</t>
  </si>
  <si>
    <t>Beam  1-5B10c and d Detail</t>
  </si>
  <si>
    <t>S-V01-BM0161</t>
  </si>
  <si>
    <t>Beam  1-5B11ac&amp;bd Detail</t>
  </si>
  <si>
    <t>S-V01-BM0162</t>
  </si>
  <si>
    <t>Beam  1-5B12ac&amp;bd Detail(Sheet-01)</t>
  </si>
  <si>
    <t>S-V01-BM0163</t>
  </si>
  <si>
    <t>Beam  1-5B12ac&amp;bd Detail(Sheet-02)</t>
  </si>
  <si>
    <t>S-V01-BM0164</t>
  </si>
  <si>
    <t>Beam  1-5B13a,b,c&amp;d Detail(Sheet-01)</t>
  </si>
  <si>
    <t>S-V01-BM0165</t>
  </si>
  <si>
    <t>Beam  1-5B13a,b,c&amp;d Detail(Sheet-02)</t>
  </si>
  <si>
    <t>S-V01-BM0166</t>
  </si>
  <si>
    <t>Beam  1-5B14a,b,c&amp;d and 1-5B15a,b,c&amp;d Detail</t>
  </si>
  <si>
    <t>S-V01-BM0167</t>
  </si>
  <si>
    <t>Beam  1-5B16a,b,c&amp;d Detail(Sheet-01)</t>
  </si>
  <si>
    <t>S-V01-BM0168</t>
  </si>
  <si>
    <t>Beam  1-5B16a,b,c&amp;d Detail(Sheet-02)</t>
  </si>
  <si>
    <t>S-V01-BM0169</t>
  </si>
  <si>
    <t>Beam  1-5B17a,b,c&amp;d Detail(Sheet-01)</t>
  </si>
  <si>
    <t>S-V01-BM0170</t>
  </si>
  <si>
    <t>Beam  1-5B17a,b,c&amp;d Detail(Sheet-02)</t>
  </si>
  <si>
    <t>S-V01-BM0171</t>
  </si>
  <si>
    <t>Beam  1-5B18a,b,c&amp;d Detail</t>
  </si>
  <si>
    <t>S-V01-BM0172</t>
  </si>
  <si>
    <t>Beam  1-5B19a,b,c&amp;d Detail</t>
  </si>
  <si>
    <t>S-V01-BM0173</t>
  </si>
  <si>
    <t>Beam  1-5B20a,b,c&amp;d Detail</t>
  </si>
  <si>
    <t>S-V01-BM0174</t>
  </si>
  <si>
    <t>Beam  1-5B21a&amp;b Detail</t>
  </si>
  <si>
    <t>S-V01-BM0175</t>
  </si>
  <si>
    <t>Beam  1-5B21c&amp;d Detail</t>
  </si>
  <si>
    <t>S-V01-BM0176</t>
  </si>
  <si>
    <t>Beam  1-5B22a&amp;b Detail</t>
  </si>
  <si>
    <t>S-V01-BM0177</t>
  </si>
  <si>
    <t>Beam  1-4B01ac&amp;bd Detail</t>
  </si>
  <si>
    <t>S-V01-BM0178</t>
  </si>
  <si>
    <t>Beam  1-4B02,1-4B03 &amp; 1-4B04a,b,c&amp;d Detail</t>
  </si>
  <si>
    <t>S-V01-BM0179</t>
  </si>
  <si>
    <t>Beam 4B05a,b,c &amp;d Detail</t>
  </si>
  <si>
    <t>S-V01-SB0101</t>
  </si>
  <si>
    <t>Grade Slab Details</t>
  </si>
  <si>
    <t>S-V01-SB0102</t>
  </si>
  <si>
    <t>Typical plan showing Bottom reinforcement at 2nd SSL</t>
  </si>
  <si>
    <t>S-V01-SB0103</t>
  </si>
  <si>
    <t>Typical plan showing Top reinforcement at 2nd SSL</t>
  </si>
  <si>
    <t>S-V01-SB0104</t>
  </si>
  <si>
    <t>BBS for Top &amp; Bottom reinforcement at 2nd SSL</t>
  </si>
  <si>
    <t>S-V01-SB0105</t>
  </si>
  <si>
    <t>Typical plan showing Torsion reinforcement at 2nd SSL</t>
  </si>
  <si>
    <t>S-V01-SB0106</t>
  </si>
  <si>
    <t>Typical plan showing Bottom reinforcement at 3rd SSL</t>
  </si>
  <si>
    <t>S-V01-SB0107</t>
  </si>
  <si>
    <t>Typical plan showing Top reinforcement at 3rd SSL</t>
  </si>
  <si>
    <t>S-V01-SB0108</t>
  </si>
  <si>
    <t>BBS for Top &amp; Bottom reinforcement at 3rd SSL</t>
  </si>
  <si>
    <t>S-V01-SB0109</t>
  </si>
  <si>
    <t>Plan showing Torsion reinforcement at 3rd SSL</t>
  </si>
  <si>
    <t>S-V01-SB0110</t>
  </si>
  <si>
    <t>4th&amp;5th SSL Top reinforcement details(X-Direction)</t>
  </si>
  <si>
    <t>S-V01-SB0111</t>
  </si>
  <si>
    <t>4th&amp;5th SSL Top reinforcement details(Y-Direction)</t>
  </si>
  <si>
    <t>S-V01-SB0112</t>
  </si>
  <si>
    <t>4th&amp;5th SSL Bottom reinforcement details(X-Direction)</t>
  </si>
  <si>
    <t>S-V01-SB0113</t>
  </si>
  <si>
    <t>4th&amp;5th SSL Bottom reinforcement details(Y-Direction)</t>
  </si>
  <si>
    <t>S-V01-SB0114</t>
  </si>
  <si>
    <t>4th&amp;5th SSL Slab BBS</t>
  </si>
  <si>
    <t>S-V01-SB0115</t>
  </si>
  <si>
    <t>Slab section details (Sheet-1)</t>
  </si>
  <si>
    <t>S-V01-SB0116</t>
  </si>
  <si>
    <t>Slab section details (Sheet-2)</t>
  </si>
  <si>
    <t>S-V01-SB0117</t>
  </si>
  <si>
    <t>Slab section details (Sheet-3)</t>
  </si>
  <si>
    <t>S-V01-SB0118</t>
  </si>
  <si>
    <t>Slab section details (Sheet-4)</t>
  </si>
  <si>
    <t>S-V01-SB0119</t>
  </si>
  <si>
    <t>Parking canopy reinforcement details</t>
  </si>
  <si>
    <t>S-V01-SB0120</t>
  </si>
  <si>
    <t>Maid's Entry canopy reinforcement details</t>
  </si>
  <si>
    <t>S-V01-SB0121</t>
  </si>
  <si>
    <t>Utility pergola reinforcement details</t>
  </si>
  <si>
    <t>S-V01-SL0101</t>
  </si>
  <si>
    <t>Plan showing sleeve detail at 2nd SSL</t>
  </si>
  <si>
    <t>S-V01-SL0102</t>
  </si>
  <si>
    <t>Sleeve reinforcement details</t>
  </si>
  <si>
    <t>S-V01-SL0103</t>
  </si>
  <si>
    <t>Plan showing sleeve detail at 3rd SSL</t>
  </si>
  <si>
    <t>S-V01-SL0104</t>
  </si>
  <si>
    <t>Sleeve reinforcement details of 3rd SSL</t>
  </si>
  <si>
    <t>S-V01-SL0105</t>
  </si>
  <si>
    <t>Plan showing sleeve detail at 4th &amp; 5th SSL(C&amp;D Quadrants)</t>
  </si>
  <si>
    <t>S-V01-SL0106</t>
  </si>
  <si>
    <t>Plan showing sleeve detail at 4th &amp; 5th SSL(A&amp;B Quadrants)</t>
  </si>
  <si>
    <t>S-V01-SL0107</t>
  </si>
  <si>
    <t>Sleeve section details at 4th &amp; 5th SSL (Sheet-1)</t>
  </si>
  <si>
    <t>S-V01-SL0108</t>
  </si>
  <si>
    <t>Sleeve section details at 4th &amp; 5th SSL (Sheet-2)</t>
  </si>
  <si>
    <t>S-V01-SL0109</t>
  </si>
  <si>
    <t>Sleeve reinforcement details of 4th &amp; 5th SSL</t>
  </si>
  <si>
    <t>S-V01-FD0204</t>
  </si>
  <si>
    <t>Typical Details For Isolated Footing</t>
  </si>
  <si>
    <t>S-V01-FD0201</t>
  </si>
  <si>
    <t xml:space="preserve"> Block 2 - Foundation Layout</t>
  </si>
  <si>
    <t>S-V01-FD0202</t>
  </si>
  <si>
    <t>Table of Reinf. For Footing (Sheet 1)</t>
  </si>
  <si>
    <t>S-V01-FD0203</t>
  </si>
  <si>
    <t>Table of Reinf. For Footing (Sheet 2)</t>
  </si>
  <si>
    <t>Villa - Block 2 - Combined Footings - Sheet 1</t>
  </si>
  <si>
    <t>S-V01-CL0201</t>
  </si>
  <si>
    <t>Column 2C1a, 2C1b, 2C1c, 2C1d &amp; 2C2a,2C2b,2C2c,2C2d Detail</t>
  </si>
  <si>
    <t>S-V01-CL0202</t>
  </si>
  <si>
    <t>Column 2C17a,2C17b, 2C17c &amp; 2C17d  Detail</t>
  </si>
  <si>
    <t>S-V01-CL0203</t>
  </si>
  <si>
    <t>Column 2C3a,2C3b,2C3c,2C3d,2C4a,2C4b,2C4c,2C4d  Detail</t>
  </si>
  <si>
    <t>S-V01-CL0204</t>
  </si>
  <si>
    <t>Column 2C5a,2C5b,2C5c,2C5d,2C6a,2C6b,2C6c,2C6d  Detail</t>
  </si>
  <si>
    <t>S-V01-CL0205</t>
  </si>
  <si>
    <t>Column 2C7a,2C7b,2C7c,2C7d,2C8a,2C8b,2C8c,2C8d  Detail</t>
  </si>
  <si>
    <t>S-V01-CL0206</t>
  </si>
  <si>
    <t>Column 2C9a,2C9b,2C9c,2C9d,2C10a,2C10b,2C10c,2C10d  Detail</t>
  </si>
  <si>
    <t>S-V01-CL0207</t>
  </si>
  <si>
    <t>Column 2C11a,2C11b,2C11c,2C11d,2C12a,2C12b,2C12c,2C12d  Detail</t>
  </si>
  <si>
    <t>S-V01-CL0208</t>
  </si>
  <si>
    <t>Column 2C13a,2C13b,2C13c,2C13d,2C14a,2C14b,2C14c,2C14d  Detail</t>
  </si>
  <si>
    <t>S-V01-CL0209</t>
  </si>
  <si>
    <t>Column 2C15a,2C15b,2C15c,2C15d,2C16a,2C16b,2C16c,2C16d  Detail</t>
  </si>
  <si>
    <t>S-V01-CL0212</t>
  </si>
  <si>
    <t>S-V01-CL0213</t>
  </si>
  <si>
    <t>COLUMN 2C1b DETAIL</t>
  </si>
  <si>
    <t>S-V01-CL0214</t>
  </si>
  <si>
    <t>COLUMN 2C12bd DETAIL</t>
  </si>
  <si>
    <t>S-V01-CL0215</t>
  </si>
  <si>
    <t>Plan Showing Section marks for Columns</t>
  </si>
  <si>
    <t>S-V01-CL0216</t>
  </si>
  <si>
    <t>Column Lapping Detail (Sheet-1)</t>
  </si>
  <si>
    <t>S-V01-CL0217</t>
  </si>
  <si>
    <t>Column Elevation Detail(Sheet-2)</t>
  </si>
  <si>
    <t>S-V01-RW0201</t>
  </si>
  <si>
    <t>S-V01-RW0202</t>
  </si>
  <si>
    <t>S-V01-RW0203</t>
  </si>
  <si>
    <t>S-V01-RW0204</t>
  </si>
  <si>
    <t>Plan showing planter box detail</t>
  </si>
  <si>
    <t>S-V01-RW0205</t>
  </si>
  <si>
    <t xml:space="preserve">Reinforcement details of Planter Box Retaining walls </t>
  </si>
  <si>
    <t>S-V01-RW0206</t>
  </si>
  <si>
    <t>Sections 1 &amp; 2 - Planter Box Detail</t>
  </si>
  <si>
    <t>S-V01-RW0207</t>
  </si>
  <si>
    <t xml:space="preserve">Section 3 - Planter Box Detail </t>
  </si>
  <si>
    <t>S-V01-RW0208</t>
  </si>
  <si>
    <t xml:space="preserve">Section 4 - Planter Box Detail </t>
  </si>
  <si>
    <t>S-V01-RW0209</t>
  </si>
  <si>
    <t>Plan showing planter box detail(Villa-12,14,25&amp;26)</t>
  </si>
  <si>
    <t>S-V01-RW0210</t>
  </si>
  <si>
    <t>Reinforcement details of Planter Box Retaining walls (Villa-12,14,25&amp;26)</t>
  </si>
  <si>
    <t>S-V01-RW0211</t>
  </si>
  <si>
    <t>Sections 1 &amp; 2 - Planter Box Detail(Villa-12,14,25&amp;26)</t>
  </si>
  <si>
    <t>S-V01-RW0212</t>
  </si>
  <si>
    <t>Section 3 - Planter Box Detail (Villa-12,14,25&amp;26)</t>
  </si>
  <si>
    <t>S-V01-RW0213</t>
  </si>
  <si>
    <t>Section 4 - Planter Box Detail (Villa-12,14,25&amp;26)</t>
  </si>
  <si>
    <t>S-V01-RW0214</t>
  </si>
  <si>
    <t>Plan showing planter box detail(900x900/1250x1250)</t>
  </si>
  <si>
    <t>S-V01-RW0215</t>
  </si>
  <si>
    <t>Sleeve details for planter box detail</t>
  </si>
  <si>
    <t>S-V01-RW0216</t>
  </si>
  <si>
    <t>Plan showing planter box detail - (Villa-12,14,25 &amp; 26) (900x900)</t>
  </si>
  <si>
    <t>S-V01-RW0217</t>
  </si>
  <si>
    <t>Light pole details in Planter Box</t>
  </si>
  <si>
    <t>S-V01-SB0201</t>
  </si>
  <si>
    <t>Grade Slab Reinf. Details</t>
  </si>
  <si>
    <t>S-V01-FP0201</t>
  </si>
  <si>
    <t>Block2-Framing Plan at 1st SSL</t>
  </si>
  <si>
    <t>Block2-Framing Plan at 2nd SSL</t>
  </si>
  <si>
    <t>Block2-Framing Plan at 3rd SSL</t>
  </si>
  <si>
    <t>Block2-Framing Plan at 4th SSL</t>
  </si>
  <si>
    <t>S-V01-FP0202</t>
  </si>
  <si>
    <t>Block 2 to 6 Framing Plan at 2nd SSL</t>
  </si>
  <si>
    <t>S-V01-FP0203</t>
  </si>
  <si>
    <t>Block 2 to 6 Framing Plan at 3rd SSL</t>
  </si>
  <si>
    <t>S-V01-FP0204</t>
  </si>
  <si>
    <t>Block 2 to 12 Framing Plan at 4th &amp;5th SSL(B&amp;D Quadrants)</t>
  </si>
  <si>
    <t>S-V01-FP0205</t>
  </si>
  <si>
    <t>Block 2 to 12 Framing Plan at 4th &amp;5th SSL(A&amp;C Quadrants)</t>
  </si>
  <si>
    <t>S-V01-FP0206</t>
  </si>
  <si>
    <t>Block 2 to 12 Slab sections at 4th&amp;5th SSL(Sheet-1)</t>
  </si>
  <si>
    <t>S-V01-FP0207</t>
  </si>
  <si>
    <t>Block 2 to 12 Slab sections at 4th&amp;5th SSL(Sheet-2)</t>
  </si>
  <si>
    <t>S-V01-BM02001</t>
  </si>
  <si>
    <t>General Notes on Beams</t>
  </si>
  <si>
    <t>S-V01-BM02002</t>
  </si>
  <si>
    <t>Beam 2-1B01a, 2-1B01b,2-1B01c and 2-1B01d Detail (Sheet-1)</t>
  </si>
  <si>
    <t>S-V01-BM02003</t>
  </si>
  <si>
    <t>Beam 2-1B01a, 2-1B01b, 2-1B01c and 2-1B01d Reinf. Detail (Sheet-2)</t>
  </si>
  <si>
    <t>S-V01-BM02004</t>
  </si>
  <si>
    <t>Beam 2-1B02a, 2-1B02b, 2-1B02c and 2-1B02d &amp; Beam 2-1B03a, 2-1B03b, 2-1B03c and 2-1B03d Detail</t>
  </si>
  <si>
    <t>S-V01-BM02005</t>
  </si>
  <si>
    <t>Beam 2-1B04a, 2-1B04b, 2-1B04c and 2-1B04d Detail</t>
  </si>
  <si>
    <t>S-V01-BM0206</t>
  </si>
  <si>
    <t>Beam 2-1B05ac and 2-1B05bd Detail</t>
  </si>
  <si>
    <t>S-V01-BM02007</t>
  </si>
  <si>
    <t>Beam 2-1B06ac and 2-1B06bd Detail (Sheet-1)</t>
  </si>
  <si>
    <t>S-V01-BM02008</t>
  </si>
  <si>
    <t>Beam 2-1B06ac and 2-1B06bd Reinf. Detail (Sheet-2)</t>
  </si>
  <si>
    <t>S-V01-BM02009</t>
  </si>
  <si>
    <t>Beam 2-1B07ac and 2-1B07bd Detail</t>
  </si>
  <si>
    <t>S-V01-BM0210</t>
  </si>
  <si>
    <t>Beam 2-1B08ac and 2-1B08bd Detail (Sheet-1)</t>
  </si>
  <si>
    <t>S-V01-BM0211</t>
  </si>
  <si>
    <t>Beam 2-1B08ac and 2-1B08bd Detail (Sheet-2)</t>
  </si>
  <si>
    <t>S-V01-BM02012</t>
  </si>
  <si>
    <t>Beam 2-1B09a, 2-1B09b, 2-1B09c and 2-1B09d Detail</t>
  </si>
  <si>
    <t>S-V01-BM02013</t>
  </si>
  <si>
    <t>Beam 2-1B10a, 2-1B10b, 2-1B10c and 2-1B10d Detail</t>
  </si>
  <si>
    <t>S-V01-M000101</t>
  </si>
  <si>
    <t>3D View of Villa (Sheet-1)</t>
  </si>
  <si>
    <t>S-V01-M000102</t>
  </si>
  <si>
    <t>3D View of Villa (Sheet-2)</t>
  </si>
  <si>
    <t>S-V01-M0203</t>
  </si>
  <si>
    <t>Building Section</t>
  </si>
  <si>
    <t>S-V01-M0204</t>
  </si>
  <si>
    <t>Construction joint location at 3rd SSL</t>
  </si>
  <si>
    <t>S-V01-BM0214</t>
  </si>
  <si>
    <t>Beam 2-2B01a/b/c/d &amp; 2-2B02a/b/c/d Detail</t>
  </si>
  <si>
    <t>S-V01-BM0215</t>
  </si>
  <si>
    <t>Beam 2-2B03a/b/c/d &amp; 2-2B04a/b/c/d Detail</t>
  </si>
  <si>
    <t>S-V01-BM0216</t>
  </si>
  <si>
    <t>Beam 2-2B05a/b/c/d &amp; 2-2B06a/b/c/d Detail</t>
  </si>
  <si>
    <t>S-V01-BM0217</t>
  </si>
  <si>
    <t>Beam 2-2B07a/b/c/d &amp; 2-2B08a/b/c/d Detail</t>
  </si>
  <si>
    <t>S-V01-BM0218</t>
  </si>
  <si>
    <t xml:space="preserve">Beam 2-2B09a/b/c/d </t>
  </si>
  <si>
    <t>S-V01-BM0219</t>
  </si>
  <si>
    <t xml:space="preserve">Beam 2-2B10ac &amp; 2-2B10bd </t>
  </si>
  <si>
    <t>S-V01-BM0220</t>
  </si>
  <si>
    <t xml:space="preserve">Beam 2-2B11ac &amp; 2-2B11bd </t>
  </si>
  <si>
    <t>S-V01-BM0221</t>
  </si>
  <si>
    <t>Beam 2-2B12 b&amp;d Detail</t>
  </si>
  <si>
    <t>S-V01-BM0222</t>
  </si>
  <si>
    <t>Beam 2-2B13a/b/c/d &amp; 2-2B14a/b/c/d Detail</t>
  </si>
  <si>
    <t>S-V01-BM0223</t>
  </si>
  <si>
    <t>Beam 2-2B12 a&amp;c Detail</t>
  </si>
  <si>
    <t>S-V01-BM0224</t>
  </si>
  <si>
    <t>Beam 2-3B01cd &amp; 2-3B01ab Detail (Sheet 1)</t>
  </si>
  <si>
    <t>S-V01-BM0225</t>
  </si>
  <si>
    <t>Beam 2-3B01cd &amp; 2-3B01ab BBS (Sheet 2)</t>
  </si>
  <si>
    <t>S-V01-BM0226</t>
  </si>
  <si>
    <t>Beam 2-3B01cd &amp; 2-3B01ab BBS (Sheet 3)</t>
  </si>
  <si>
    <t>S-V01-BM0227</t>
  </si>
  <si>
    <t>Beam 2-3B02a, 2-3B02b, 2-3B02c, 2-3B02d and 2-3B03ab, 2-3B03cd Detail</t>
  </si>
  <si>
    <t>S-V01-BM0228</t>
  </si>
  <si>
    <t>Beam 2-3B04a, 2-3B04b, 2-3B04c &amp; 2-3B04d Detail</t>
  </si>
  <si>
    <t>S-V01-BM0229</t>
  </si>
  <si>
    <t>Beam 2-3B05a, 2-3B05b, 2-3B05c, 2-3B05d and 2-3B06ac, 2-3B06bd Detail</t>
  </si>
  <si>
    <t>S-V01-BM0230</t>
  </si>
  <si>
    <t>Beam 2-3B07ab, 2-3B07cd and 2-3B08ac, 2-3B08bd Detail</t>
  </si>
  <si>
    <t>S-V01-BM0231</t>
  </si>
  <si>
    <t>Beam 2-3B09ac, 2-3B09bd Detail</t>
  </si>
  <si>
    <t>S-V01-BM0232</t>
  </si>
  <si>
    <t>Beam 2-3B10ac, 2-3B10bd Detail</t>
  </si>
  <si>
    <t>S-V01-BM0233</t>
  </si>
  <si>
    <t>Beam 2-3B11ac, 2-3B11bd Detail</t>
  </si>
  <si>
    <t>S-V01-BM0234</t>
  </si>
  <si>
    <t>Beam 2-3B12ac, 2-3B12bd Detail</t>
  </si>
  <si>
    <t>S-V01-BM0235</t>
  </si>
  <si>
    <t>Beam 2-3B13ac, 2-3B14bd, 2-3B14a, 2-3B14b, 2-3B14c, 2-3B14d  Detail</t>
  </si>
  <si>
    <t>S-V01-BM0236</t>
  </si>
  <si>
    <t>Beam  2-3B15a, 2-3B15b, 2-3B15c, 2-3B15d, 2-3B16ac, 2-3B16bd Detail</t>
  </si>
  <si>
    <t>S-V01-BM0237</t>
  </si>
  <si>
    <t>Beam  2-5B01ac&amp;bd Detail(Sheet-01)</t>
  </si>
  <si>
    <t>S-V01-BM0238</t>
  </si>
  <si>
    <t>Beam  2-5B01ac&amp;bd Detail(Sheet-02)</t>
  </si>
  <si>
    <t>S-V01-BM0239</t>
  </si>
  <si>
    <t>Beam  2-5B02ac&amp;bd Detail</t>
  </si>
  <si>
    <t>S-V01-BM0240</t>
  </si>
  <si>
    <t>Beam  2-5B04ac&amp;bd Detail</t>
  </si>
  <si>
    <t>S-V01-BM0241</t>
  </si>
  <si>
    <t>Beam  2-5B05ac&amp;bd Detail</t>
  </si>
  <si>
    <t>S-V01-BM0242</t>
  </si>
  <si>
    <t>Beam  2-5B06a&amp;c Detail</t>
  </si>
  <si>
    <t>S-V01-BM0243</t>
  </si>
  <si>
    <t>Beam  2-5B06b&amp;d Detail</t>
  </si>
  <si>
    <t>S-V01-BM0244</t>
  </si>
  <si>
    <t>Beam  2-5B07a,b,&amp;d Detail</t>
  </si>
  <si>
    <t>S-V01-BM0245</t>
  </si>
  <si>
    <t>Beam  2-5B08ac&amp;bd Detail(Sheet-01)</t>
  </si>
  <si>
    <t>S-V01-BM0246</t>
  </si>
  <si>
    <t>Beam  2-5B08ac&amp;bd Detail(Sheet-02)</t>
  </si>
  <si>
    <t>S-V01-BM0247</t>
  </si>
  <si>
    <t>Beam  2-5B09ac Detail(Sheet-01)</t>
  </si>
  <si>
    <t>S-V01-BM0248</t>
  </si>
  <si>
    <t>Beam  2-5B09ac Detail(Sheet-02)</t>
  </si>
  <si>
    <t>S-V01-BM0249</t>
  </si>
  <si>
    <t>Beam  2-5B09bd Detail(Sheet-01)</t>
  </si>
  <si>
    <t>S-V01-BM0250</t>
  </si>
  <si>
    <t>Beam  2-5B09bd Detail(Sheet-02)</t>
  </si>
  <si>
    <t>S-V01-BM0251</t>
  </si>
  <si>
    <t>Beam  2-5B10a&amp;c and 2-5B10b&amp;d Detail</t>
  </si>
  <si>
    <t>S-V01-BM0252</t>
  </si>
  <si>
    <t>Beam  2-5B11ac&amp;bd Detail</t>
  </si>
  <si>
    <t>S-V01-BM0253</t>
  </si>
  <si>
    <t>Beam  2-5B12ac&amp;bd Detail(Sheet-01)</t>
  </si>
  <si>
    <t>S-V01-BM0254</t>
  </si>
  <si>
    <t>Beam  2-5B12ac&amp;bd Detail(Sheet-02)</t>
  </si>
  <si>
    <t>S-V01-BM0255</t>
  </si>
  <si>
    <t>Beam  2-5B13a,b,c&amp;d Detail(Sheet-01)</t>
  </si>
  <si>
    <t>S-V01-BM0256</t>
  </si>
  <si>
    <t>Beam  2-5B13a,b,c&amp;d Detail(Sheet-02)</t>
  </si>
  <si>
    <t>S-V01-BM0257</t>
  </si>
  <si>
    <t>Beam  2-5B14a,b,c&amp;d and 2-5B15a,b,c&amp;d Detail</t>
  </si>
  <si>
    <t>S-V01-BM0258</t>
  </si>
  <si>
    <t>Beam  2-5B16a,b,c&amp;d Detail(Sheet-01)</t>
  </si>
  <si>
    <t>S-V01-BM0259</t>
  </si>
  <si>
    <t>Beam  2-5B16a,b,c&amp;d Detail(Sheet-02)</t>
  </si>
  <si>
    <t>S-V01-BM0260</t>
  </si>
  <si>
    <t>Beam  2-5B17a,b,c&amp;d Detail(Sheet-01)</t>
  </si>
  <si>
    <t>S-V01-BM0261</t>
  </si>
  <si>
    <t>Beam  2-5B17a,b,c&amp;d Detail(Sheet-02)</t>
  </si>
  <si>
    <t>S-V01-BM0262</t>
  </si>
  <si>
    <t>Beam  2-5B18a,b,c&amp;d Detail</t>
  </si>
  <si>
    <t>S-V01-BM0263</t>
  </si>
  <si>
    <t>Beam  2-5B19a,b,c&amp;d Detail</t>
  </si>
  <si>
    <t>S-V01-BM0264</t>
  </si>
  <si>
    <t>Beam  2-5B20a,b,c&amp;d Detail</t>
  </si>
  <si>
    <t>S-V01-BM0265</t>
  </si>
  <si>
    <t>Beam  2-5B21a,b,c&amp;d Detail</t>
  </si>
  <si>
    <t>S-V01-BM0266</t>
  </si>
  <si>
    <t>Beam  2-4B01ac&amp;bd Detail</t>
  </si>
  <si>
    <t>S-V01-BM0267</t>
  </si>
  <si>
    <t>Beam  2-4B02,2-4B03 &amp; 2-4B04a,b,c&amp;d Detail</t>
  </si>
  <si>
    <t>S-V01-BM0268</t>
  </si>
  <si>
    <t>Beam 5B21 Detail for End Villas of Block 06,07 &amp;12</t>
  </si>
  <si>
    <t>S-V01-SB0202</t>
  </si>
  <si>
    <t>General Notes on Slabs</t>
  </si>
  <si>
    <t>S-V01-SB0203</t>
  </si>
  <si>
    <t>Typical Plan showing Bottom Reinforcement at 2nd SSL</t>
  </si>
  <si>
    <t>S-V01-SB0204</t>
  </si>
  <si>
    <t>BBS for Top &amp; Bottom Reinforcement at 2nd SSL</t>
  </si>
  <si>
    <t>S-V01-SB0205</t>
  </si>
  <si>
    <t>Typical Plan showing Top Reinforcement at 2nd SSL</t>
  </si>
  <si>
    <t>S-V01-SB0206</t>
  </si>
  <si>
    <t>Typical Plan showing Bottom Reinforcement at 3rd SSL</t>
  </si>
  <si>
    <t>S-V01-SB0207</t>
  </si>
  <si>
    <t>Typical Plan showing Top Reinforcement at 3rd SSL</t>
  </si>
  <si>
    <t>S-V01-SB0208</t>
  </si>
  <si>
    <t>BBS for Top &amp; Bottom Reinforcement at 3rd SSL</t>
  </si>
  <si>
    <t>S-V01-SB0209</t>
  </si>
  <si>
    <t>Plan showing top and bottom torsion reinforcement at 2nd SSL</t>
  </si>
  <si>
    <t>S-V01-SB0210</t>
  </si>
  <si>
    <t>Plan showing top and bottom torsion reinforcement at 3rd SSL</t>
  </si>
  <si>
    <t>S-V01-SB0211</t>
  </si>
  <si>
    <t>4th&amp;5th SSL Bottom Reinforcement details(X-Direction)</t>
  </si>
  <si>
    <t>S-V01-SB0212</t>
  </si>
  <si>
    <t>4th&amp;5th SSL Bottom Reinforcement details(Y-Direction)</t>
  </si>
  <si>
    <t>S-V01-SB0213</t>
  </si>
  <si>
    <t>4th&amp;5th SSL Top Reinforcement details(X-Direction)</t>
  </si>
  <si>
    <t>S-V01-SB0214</t>
  </si>
  <si>
    <t>4th&amp;5th SSL Top Reinforcement details(Y-Direction)</t>
  </si>
  <si>
    <t>S-V01-SB0215</t>
  </si>
  <si>
    <t>4th&amp;5th SSLBBS for Top and Bottom reinforcement</t>
  </si>
  <si>
    <t>S-V01-SB0216</t>
  </si>
  <si>
    <t>Slab section details(Sheet-01)</t>
  </si>
  <si>
    <t>S-V01-SB0217</t>
  </si>
  <si>
    <t>Slab section details(Sheet-02)</t>
  </si>
  <si>
    <t>S-V01-SB0218</t>
  </si>
  <si>
    <t>Slab section details(Sheet-03)</t>
  </si>
  <si>
    <t>S-V01-SB0219</t>
  </si>
  <si>
    <t>Slab section details(Sheet-04)</t>
  </si>
  <si>
    <t>S-V01-SB0220</t>
  </si>
  <si>
    <t>Parking &amp; Maid's entry canopy reinforcement details</t>
  </si>
  <si>
    <t>S-V01-SB0221</t>
  </si>
  <si>
    <t>S-V01-SB0222</t>
  </si>
  <si>
    <t>Maid's Entry canopy reinforcement details of End Villas-Block6,7&amp;12</t>
  </si>
  <si>
    <t>S-V01-SL0201</t>
  </si>
  <si>
    <t>S-V01-SL0202</t>
  </si>
  <si>
    <t>Sleeve reinforcement details of 2nd SSL</t>
  </si>
  <si>
    <t>S-V01-SL0203</t>
  </si>
  <si>
    <t>S-V01-SL0204</t>
  </si>
  <si>
    <t>S-V01-SL0205</t>
  </si>
  <si>
    <t>Plan showing sleeve detail at 4th&amp;5th SSL</t>
  </si>
  <si>
    <t>S-V01-SL0206</t>
  </si>
  <si>
    <t>Sleeve reinforcement details of 4th&amp;5th SSL</t>
  </si>
  <si>
    <t>S-V01-SL0207</t>
  </si>
  <si>
    <t>Sleeve section details of 4th&amp;5th SSL(Sheet-01)</t>
  </si>
  <si>
    <t>S-V01-SL0208</t>
  </si>
  <si>
    <t>Sleeve section details of 4th&amp;5th SSL(Sheet-02)</t>
  </si>
  <si>
    <t>S-V01-FD0301</t>
  </si>
  <si>
    <t>Block 3 - Foundation Layout</t>
  </si>
  <si>
    <t>S-V01-FD0302</t>
  </si>
  <si>
    <t>Table of Reinf. For Footing (Sheet 1 of 2)</t>
  </si>
  <si>
    <t>S-V01-FD0303</t>
  </si>
  <si>
    <t>S-V01-CL0318</t>
  </si>
  <si>
    <t>S-V01-CL0319</t>
  </si>
  <si>
    <t>Column Lapping Detail (Sheet-2)</t>
  </si>
  <si>
    <t>S-V01-CL0320</t>
  </si>
  <si>
    <t>S-V01-CL0321</t>
  </si>
  <si>
    <t>S-V01-RW0301</t>
  </si>
  <si>
    <t>S-V01-RW0302</t>
  </si>
  <si>
    <t>S-V01-RW0303</t>
  </si>
  <si>
    <t>S-V01-FD0401</t>
  </si>
  <si>
    <t>Foundation Layout for Block - 4,5,8,9,10 &amp; 11</t>
  </si>
  <si>
    <t>S-V01-FD0402</t>
  </si>
  <si>
    <t>Table of Reinf. For Footing .</t>
  </si>
  <si>
    <t>S-V01-FD0403</t>
  </si>
  <si>
    <t>Summary of Levels of Footing &amp; Retaining wall</t>
  </si>
  <si>
    <t>S-V01-RW0501</t>
  </si>
  <si>
    <t>S-V01-RW0502</t>
  </si>
  <si>
    <t>S-V01-RW0503</t>
  </si>
  <si>
    <t>S-V01-CL0522</t>
  </si>
  <si>
    <t>S-V01-CL0523</t>
  </si>
  <si>
    <t>S-V01-FD0601</t>
  </si>
  <si>
    <t>Villa - Block 6 - Foundation Layout</t>
  </si>
  <si>
    <t>S-V01-FD0602</t>
  </si>
  <si>
    <t>S-V01-FD0603</t>
  </si>
  <si>
    <t>S-V01-GC0101</t>
  </si>
  <si>
    <t>Framing plan &amp;Details of V50 -Glass roof(Sheet-1)</t>
  </si>
  <si>
    <t>S-V01-GC0102</t>
  </si>
  <si>
    <t>Framing plan &amp;Details of V50 -Glass roof(Sheet-2)</t>
  </si>
  <si>
    <t>S-V01-GC0103</t>
  </si>
  <si>
    <t>Framing plan &amp; Details of V50 -Glass roof for Block-1</t>
  </si>
  <si>
    <t>S-V01-SP0001</t>
  </si>
  <si>
    <t>Partition Wall &amp; Swimming Pool Details Between Villas &amp; Terrace Garden (Sheet 01)</t>
  </si>
  <si>
    <t>Partition Wall &amp; Swimming Pool Details Between Villas &amp; Terrace Garden (Sheet 02)</t>
  </si>
  <si>
    <t>S-V02-SP0001</t>
  </si>
  <si>
    <t>Experience home pool details</t>
  </si>
  <si>
    <t>S-V02-FD0701</t>
  </si>
  <si>
    <t>Foundation Layout For Block - 7</t>
  </si>
  <si>
    <t>S-V02-FD0702</t>
  </si>
  <si>
    <t>Block 7 -Table of Reinf. For Footing (Sheet 1)</t>
  </si>
  <si>
    <t>S-V02-FD0703</t>
  </si>
  <si>
    <t>Block 7 -Table of Reinf. For Footing (Sheet 2)</t>
  </si>
  <si>
    <t>S-V02-CL0701</t>
  </si>
  <si>
    <t>Block 7 to 12 - Column 7C1a, 7C1b, 7C1c, 7C1d &amp; 7C2a,7C2b,7C7C,7C2d Detail</t>
  </si>
  <si>
    <t>S-V02-CL0702</t>
  </si>
  <si>
    <t>Block 7 to 12 - Column 7C3a,7C3b,7C3c,7C3d,7C4a,7C4b,7C4c,7C4d  Detail</t>
  </si>
  <si>
    <t>S-V02-CL0703</t>
  </si>
  <si>
    <t>Block 7 to 12 - Column 7C5a,7C5b,7C5c,7C5d,7C6a,7C6b,7C6c,7C6d  Detail</t>
  </si>
  <si>
    <t>S-V02-CL0704</t>
  </si>
  <si>
    <t>Block 7 to 12 - Column 7C7a,7C7b,7C7c,7C7d,7C8a,7C8b,7C8c,7C8d  Detail</t>
  </si>
  <si>
    <t>S-V02-CL0705</t>
  </si>
  <si>
    <t>Block 7 to 12 - Column 7C9a,7C9b,7C9c,7C9d,7C10a,7C10b,7C10c,7C10d  Detail</t>
  </si>
  <si>
    <t>S-V02-CL0706</t>
  </si>
  <si>
    <t>Block 7 to 12 - Column 7C11a,7C11b,7C11c,7C11d &amp; 7C12ac,7C12bd Detail</t>
  </si>
  <si>
    <t>S-V02-CL0707</t>
  </si>
  <si>
    <t>Block 7 to 12 - Column 7C13ac,7C13bd &amp; 7C14ac,7C14bd  Detail</t>
  </si>
  <si>
    <t>S-V02-CL0708</t>
  </si>
  <si>
    <t>Block 7 to 12 - Column 7C15ac,7C15bd &amp; 7C16ac,7C16bd Detail</t>
  </si>
  <si>
    <t>S-V02-CL0709</t>
  </si>
  <si>
    <t>Block 7 to 12 - Column 7C17a,7C17b, 7C17c &amp; 7C17d  Detail</t>
  </si>
  <si>
    <t>S-V02-CL0724</t>
  </si>
  <si>
    <t>Villa Block 7 to 12 - Column Lapping detail (Sheet 1)</t>
  </si>
  <si>
    <t>S-V02-CL0725</t>
  </si>
  <si>
    <t>Villa Block 7 to 12 - Column Lapping detail (Sheet 2)</t>
  </si>
  <si>
    <t>S-V02-RW0701</t>
  </si>
  <si>
    <t>Block 7 to 12 - Retaining Wall Sections RW1 &amp; RW2 (SHEET 1)</t>
  </si>
  <si>
    <t>S-V02-RW0702</t>
  </si>
  <si>
    <t>Block 7 to 12 - Retaining Wall Sections RW3, RW4 &amp; RW5 (SHEET 2)</t>
  </si>
  <si>
    <t>S-V02-RW0703</t>
  </si>
  <si>
    <t>Block 7 to 12 - Retaining Wall Sections RW6 (SHEET 3)</t>
  </si>
  <si>
    <t>S-V02-SB0701</t>
  </si>
  <si>
    <t>Block 7 to 12 - Grade slab Top reinforcement - Layer 1  (sheet 1)</t>
  </si>
  <si>
    <t>S-V02-SB0702</t>
  </si>
  <si>
    <t>Block 7 to 12 - Grade slab Top reinforcement - Layer 2  (sheet 2)</t>
  </si>
  <si>
    <t>S-V02-SB0703</t>
  </si>
  <si>
    <t>Block 7 to 12 - Grade slab Bottom reinforcement - Layer 1  (sheet 1)</t>
  </si>
  <si>
    <t>S-V02-SB0704</t>
  </si>
  <si>
    <t>Block 7 to 12 - Grade slab Bottom reinforcement - Layer 2  (sheet 2)</t>
  </si>
  <si>
    <t>S-V02-SE0701</t>
  </si>
  <si>
    <t>Block 7 to 12 - Foundation Sections (Sheet 1)</t>
  </si>
  <si>
    <t>S-V02-SE0702</t>
  </si>
  <si>
    <t>Block 7 to 12 - Foundation Sections (Sheet 2)</t>
  </si>
  <si>
    <t>S-V02-SE0703</t>
  </si>
  <si>
    <t>Block 7 to 12 - Foundation Sections (Sheet 3)</t>
  </si>
  <si>
    <t>S-V02-FP0701</t>
  </si>
  <si>
    <t>Block 7 to 12 (CLUSTER-2) - 1st SSL Framing Plan</t>
  </si>
  <si>
    <t>S-V02-FP0702</t>
  </si>
  <si>
    <t>Block 7 to 12 (CLUSTER-2) - 2nd SSL Framing Plan</t>
  </si>
  <si>
    <t>S-V02-FP0703</t>
  </si>
  <si>
    <t>Block 7 to 12 -Framing Plan at 3rd SSL</t>
  </si>
  <si>
    <t>S-V02-BM0702</t>
  </si>
  <si>
    <t>Beam 7-1B01a, 7-1B01b,7-1B01c and 7-1B01d Detail (Sheet-1)</t>
  </si>
  <si>
    <t>S-V02-BM0703</t>
  </si>
  <si>
    <t>Beam 7-1B01a, 7-1B01b, 7-1B01c and 7-1B01d  Detail (Sheet-2)</t>
  </si>
  <si>
    <t>S-V02-BM0704</t>
  </si>
  <si>
    <t>Beam 7-1B02a, 7-1B02b, 7-1B02c and 7-1B02d &amp; Beam 7-1B03a, 7-1B03b, 7-1B03c and 7-1B03d Detail</t>
  </si>
  <si>
    <t>S-V02-BM0705</t>
  </si>
  <si>
    <t>Beam 7-1B04a, 7-1B04b, 7-1B04c and 7-1B04d Detail</t>
  </si>
  <si>
    <t>S-V02-BM0706</t>
  </si>
  <si>
    <t>Beam 7-1B05ac and 7-1B05bd Detail</t>
  </si>
  <si>
    <t>S-V02-BM0707</t>
  </si>
  <si>
    <t>Beam 7-1B06ac and 7-1B06bd Detail (Sheet-1)</t>
  </si>
  <si>
    <t>S-V02-BM0708</t>
  </si>
  <si>
    <t>Beam 7-1B06ac and 7-1B06bd Reinf. Detail (Sheet-2)</t>
  </si>
  <si>
    <t>S-V02-BM0709</t>
  </si>
  <si>
    <t>Beam 7-1B07ac and 7-1B07bd Detail</t>
  </si>
  <si>
    <t>S-V02-BM0710</t>
  </si>
  <si>
    <t>Beam 7-1B08ac and 7-1B08bd Detail (Sheet-1)</t>
  </si>
  <si>
    <t>S-V02-BM0711</t>
  </si>
  <si>
    <t>Beam 7-1B08ac and 7-1B08bd Detail (Sheet-2)</t>
  </si>
  <si>
    <t>S-V02-BM0712</t>
  </si>
  <si>
    <t>Beam 7-1B09a, 7-1B09b, 7-1B09c and 7-1B09d Detail</t>
  </si>
  <si>
    <t>S-V02-BM0713</t>
  </si>
  <si>
    <t>Beam 7-1B10a, 7-1B10b, 7-1B10c and 7-1B10d Detail</t>
  </si>
  <si>
    <t>S-V02-SB0706</t>
  </si>
  <si>
    <t>S-V02-SB0707</t>
  </si>
  <si>
    <t>S-V02-SB0708</t>
  </si>
  <si>
    <t>S-V02-SB0709</t>
  </si>
  <si>
    <t>Plan showing Torsion reinforcement at 2nd SSL</t>
  </si>
  <si>
    <t>S-V02-SB0710</t>
  </si>
  <si>
    <t>Plan showing Top Reinforcement at 3rd SSL</t>
  </si>
  <si>
    <t>S-V02-SB0711</t>
  </si>
  <si>
    <t>BBS for top &amp; bottom reinforcement at 3rd SSL</t>
  </si>
  <si>
    <t>S-V02-SB0712</t>
  </si>
  <si>
    <t>Plan showing Bottom Reinforcement at 3rd SSL</t>
  </si>
  <si>
    <t>S-V02-SB0713</t>
  </si>
  <si>
    <t>Plan showing Torsion reinforcement at 3rdSSL</t>
  </si>
  <si>
    <t>S-V02-SL0701</t>
  </si>
  <si>
    <t>S-V02-SL0702</t>
  </si>
  <si>
    <t xml:space="preserve">Sleeve reinforcement details </t>
  </si>
  <si>
    <t>S-V02-SL0703</t>
  </si>
  <si>
    <t>S-V02-SL0704</t>
  </si>
  <si>
    <t>S-V02-BM0714</t>
  </si>
  <si>
    <t>Beam 7-2B01a/b/c/d &amp; 7-2B02a/b/c/d Detail</t>
  </si>
  <si>
    <t>S-V02-BM0715</t>
  </si>
  <si>
    <t>Beam 7-2B03a/b/c/d &amp; 7-2B04a/b/c/d Detail</t>
  </si>
  <si>
    <t>S-V02-BM0716</t>
  </si>
  <si>
    <t>Beam 7-2B05a/b/c/d &amp; 7-2B06a/b/c/d Detail</t>
  </si>
  <si>
    <t>S-V02-BM0717</t>
  </si>
  <si>
    <t>Beam 7-2B07a/b/c/d &amp; 7-2B08a/b/c/d Detail</t>
  </si>
  <si>
    <t>S-V02-BM0718</t>
  </si>
  <si>
    <t xml:space="preserve">Beam 7-2B09a/b/c/d </t>
  </si>
  <si>
    <t>S-V02-BM0719</t>
  </si>
  <si>
    <t xml:space="preserve">Beam 7-2B10ac &amp; 7-2B10bd </t>
  </si>
  <si>
    <t>S-V02-BM0720</t>
  </si>
  <si>
    <t xml:space="preserve">Beam 7-2B11ac &amp; 7-2B11bd </t>
  </si>
  <si>
    <t>S-V02-BM0721</t>
  </si>
  <si>
    <t>Beam 7-2B12b &amp; 7-2B12d</t>
  </si>
  <si>
    <t>S-V02-BM0722</t>
  </si>
  <si>
    <t>Beam 7-2B12a &amp; 7-2B12c</t>
  </si>
  <si>
    <t>S-V02-BM0723</t>
  </si>
  <si>
    <t>Beam 7-2B13a/b/c/d &amp; 7-2B14a/b/c/d Detail</t>
  </si>
  <si>
    <t>S-V02-BM0724</t>
  </si>
  <si>
    <t>Beam 7-3B01cd&amp;7-3B01ab Detail(Sheet-1)</t>
  </si>
  <si>
    <t>S-V02-BM0725</t>
  </si>
  <si>
    <t>Beam 7-3B01cd&amp;7-3B01ab Detail(Sheet-2)</t>
  </si>
  <si>
    <t>S-V02-BM0726</t>
  </si>
  <si>
    <t>Beam 7-3B01cd&amp;7-3B01ab Detail(Sheet-3)</t>
  </si>
  <si>
    <t>S-V02-BM0727</t>
  </si>
  <si>
    <t>Beam 7-3B02a,b,c&amp;d and 7-3B03cd&amp;7-3B03ab Detail</t>
  </si>
  <si>
    <t>S-V02-BM0728</t>
  </si>
  <si>
    <t>Beam 7-3B04a,b,c&amp;d Detail</t>
  </si>
  <si>
    <t>S-V02-BM0729</t>
  </si>
  <si>
    <t>Beam 7-3B05a,b,c&amp;d and 7-3B06bd&amp;7-3B06ac Detail</t>
  </si>
  <si>
    <t>S-V02-BM0730</t>
  </si>
  <si>
    <t>Beam 7-3B07ab&amp;7-3B07cd and 7-3B08ac&amp;7-3B08bd Detail</t>
  </si>
  <si>
    <t>S-V02-BM0731</t>
  </si>
  <si>
    <t>Beam 7-3B09ac&amp;7-3B09bd Detail</t>
  </si>
  <si>
    <t>S-V02-BM0732</t>
  </si>
  <si>
    <t>Beam 7-3B10ac&amp;7-3B10bd Detail</t>
  </si>
  <si>
    <t>S-V02-BM0733</t>
  </si>
  <si>
    <t>Beam 7-3B11ac&amp;7-3B11bd Detail</t>
  </si>
  <si>
    <t>S-V02-BM0734</t>
  </si>
  <si>
    <t>Beam 7-3B12ac&amp;7-3B12bd Detail</t>
  </si>
  <si>
    <t>S-V02-BM0735</t>
  </si>
  <si>
    <t>Beam 7-3B13ac&amp;7-3B13bd and 7-3B14a,b,c&amp;d Detail</t>
  </si>
  <si>
    <t>S-V02-BM0736</t>
  </si>
  <si>
    <t>7-3B15a,b,c&amp;d and Beam 7-3B16ac&amp;7-3B16bd Detail</t>
  </si>
  <si>
    <t>S-V02-M0001</t>
  </si>
  <si>
    <t xml:space="preserve">MEZZANINE FLOOR DETAILS AT 100.720 </t>
  </si>
  <si>
    <t>S-V02-M0002</t>
  </si>
  <si>
    <t xml:space="preserve">JACUZZI SUPPORTING DETAILS </t>
  </si>
  <si>
    <t>S-V01-M0003</t>
  </si>
  <si>
    <t>TYPICAL RC LIFT WALL DETAIL</t>
  </si>
  <si>
    <t>S-V01-M0004</t>
  </si>
  <si>
    <t>LOFT DETAILS (SHEET 1)</t>
  </si>
  <si>
    <t>S-V01-M0005</t>
  </si>
  <si>
    <t>LOFT DETAILS (SHEET 2)</t>
  </si>
  <si>
    <t>S-V02-FD0801</t>
  </si>
  <si>
    <t>Foundation Layout For Block - 8 to 11</t>
  </si>
  <si>
    <t>S-V02-FD0802</t>
  </si>
  <si>
    <t>Table of Reinf. For Footing (Sheet 1) - Block 8 to 11</t>
  </si>
  <si>
    <t>S-V02-FD0803</t>
  </si>
  <si>
    <t>Table of Reinf. For Footing (Sheet 2) - Block 8 to 11</t>
  </si>
  <si>
    <t>S-V02-FD1201</t>
  </si>
  <si>
    <t>Foundation Layout For Block - 12</t>
  </si>
  <si>
    <t>S-V02-FD1202</t>
  </si>
  <si>
    <t>Block 12 - Table of Reinf. For Footing (Sheet 1)</t>
  </si>
  <si>
    <t>S-V02-FD1203</t>
  </si>
  <si>
    <t>Block 12 - Table of Reinf. For Footing (Sheet 2)</t>
  </si>
  <si>
    <t>S-V03-SB0705</t>
  </si>
  <si>
    <t>S-V40-FD0001</t>
  </si>
  <si>
    <t>ST-VC3-1</t>
  </si>
  <si>
    <t>S-V40-FD0002</t>
  </si>
  <si>
    <t>FOUNDATION BOTTOM REINF. DETAILS(SHEET-1)</t>
  </si>
  <si>
    <t>S-V40-FD0003</t>
  </si>
  <si>
    <t>FOUNDATION BOTTOM REINF. DETAILS(SHEET-2)</t>
  </si>
  <si>
    <t>S-V40-FD0004</t>
  </si>
  <si>
    <t>FOUNDATION TOP REINF. DETAILS(SHEET-1)</t>
  </si>
  <si>
    <t>S-V40-FD0005</t>
  </si>
  <si>
    <t>FOUNDATIONTOP REINF. DETAILS(SHEET-2)</t>
  </si>
  <si>
    <t>S-V40-FD0006</t>
  </si>
  <si>
    <t>FOUNDATIONTOP SHEAR, SECTIONS &amp; TYPICAL GRADE SLABREINF. DETAILS</t>
  </si>
  <si>
    <t>S-V40-FP0101</t>
  </si>
  <si>
    <t>S-V40-FP0201</t>
  </si>
  <si>
    <t>FRAMING PLAN AT SSL02</t>
  </si>
  <si>
    <t>S-V40-FP0301</t>
  </si>
  <si>
    <t>FRAMING PLAN AT SSL03(ROOF)</t>
  </si>
  <si>
    <t>S-V40-FP0302</t>
  </si>
  <si>
    <t>TYPICAL FRAMING PLAN 3D AT ROOF LEVEL (SSL03)</t>
  </si>
  <si>
    <t>S-V40-ST0001</t>
  </si>
  <si>
    <t>S-V40-ST0002</t>
  </si>
  <si>
    <t>STAIRCASE  REINF DETAILS</t>
  </si>
  <si>
    <t>S-V40-RW0001</t>
  </si>
  <si>
    <t>S-V40-RW0002</t>
  </si>
  <si>
    <t>RW16 &amp; RC16 WALL DETAILS</t>
  </si>
  <si>
    <t>S-V40-RW0003</t>
  </si>
  <si>
    <t>Planter box reinf detail</t>
  </si>
  <si>
    <t>S-V40-SL0101</t>
  </si>
  <si>
    <t>RW CUTOUT AT SSL1</t>
  </si>
  <si>
    <t>S-V40-CL0001</t>
  </si>
  <si>
    <t>GENERAL NOTES FOR COLUMNS</t>
  </si>
  <si>
    <t>S-V40-CL0002</t>
  </si>
  <si>
    <t>COLUMN REINFORCEMENT DETAILS (SHEET-1)</t>
  </si>
  <si>
    <t>S-V40-CL0003</t>
  </si>
  <si>
    <t>COLUMN REINFORCEMENT DETAILS (SHEET-2)</t>
  </si>
  <si>
    <t>S-V40-CL0004</t>
  </si>
  <si>
    <t>COLUMN REINFORCEMENT DETAILS (SHEET-3)</t>
  </si>
  <si>
    <t>S-V40-CL0005</t>
  </si>
  <si>
    <t>COLUMN REINFORCEMENT DETAILS (SHEET-4)</t>
  </si>
  <si>
    <t>S-V40-CL0006</t>
  </si>
  <si>
    <t>COLUMN REINFORCEMENT DETAILS (SHEET-5)</t>
  </si>
  <si>
    <t>S-V40-CL0007</t>
  </si>
  <si>
    <t>COLUMN 18 AND 19 PEDESTAL DETAILS</t>
  </si>
  <si>
    <t>S-V40-CL0008</t>
  </si>
  <si>
    <t>P1a, 2a, 3a, 4a &amp; 5a PEDESTAL DETAILS</t>
  </si>
  <si>
    <t>S-V40-CL0009</t>
  </si>
  <si>
    <t>V40 COLUMN LAPPING ELEVATIONS (SHEET-1)</t>
  </si>
  <si>
    <t>S-V40-CL0010</t>
  </si>
  <si>
    <t>V40 COLUMN LAPPING ELEVATIONS (SHEET-2)</t>
  </si>
  <si>
    <t>S-V40-CL0011</t>
  </si>
  <si>
    <t>V40 COLUMN LAPPING ELEVATIONS (SHEET-3)</t>
  </si>
  <si>
    <t>S-V40-CL0012</t>
  </si>
  <si>
    <t>V40 COLUMN LAPPING ELEVATIONS (SHEET-4)</t>
  </si>
  <si>
    <t>S-V40-CL0013</t>
  </si>
  <si>
    <t>V40 COLUMN LAPPING ELEVATIONS (SHEET-5)</t>
  </si>
  <si>
    <t>S-V40-SB0001</t>
  </si>
  <si>
    <t>ST-VC3-2</t>
  </si>
  <si>
    <t>S-V40-SB0101</t>
  </si>
  <si>
    <t>PLAN SHOWING SLAB BOTTOM REINFORCEMENT</t>
  </si>
  <si>
    <t>S-V40-SB0102</t>
  </si>
  <si>
    <t>S-V40-SB0103</t>
  </si>
  <si>
    <t>PLAN SHOWING SLAB TOP REINFORCEMENT</t>
  </si>
  <si>
    <t>S-V40-SB0104</t>
  </si>
  <si>
    <t>S-V40-BM0001</t>
  </si>
  <si>
    <t>S-V40-BM0101</t>
  </si>
  <si>
    <t>1B1e BEAM REINF. DETAILS (END VILLA)</t>
  </si>
  <si>
    <t>S-V40-BM0102</t>
  </si>
  <si>
    <t>1B2e BEAM REINF. DETAILS (END VILLA)</t>
  </si>
  <si>
    <t>S-V40-BM0103</t>
  </si>
  <si>
    <t>1B3e BEAM REINF. DETAILS (END VILLA)</t>
  </si>
  <si>
    <t>S-V40-BM0104</t>
  </si>
  <si>
    <t>1B4e BEAM REINF. DETAILS (END VILLA)</t>
  </si>
  <si>
    <t>S-V40-BM0105</t>
  </si>
  <si>
    <t>1B5e BEAM REINF.DETAILS (END VILLA)</t>
  </si>
  <si>
    <t>S-V40-BM0106</t>
  </si>
  <si>
    <t>1B1a BEAM REINF. DETAILS (END VILLA)</t>
  </si>
  <si>
    <t>S-V40-BM0107</t>
  </si>
  <si>
    <t>1B2a/b BEAM REINF. DETAILS (INTERNAL VILLA)</t>
  </si>
  <si>
    <t>S-V40-BM0108</t>
  </si>
  <si>
    <t>1B3a/b BEAM REINF. DETAILS (INTERNAL VILLA)</t>
  </si>
  <si>
    <t>S-V40-BM0109</t>
  </si>
  <si>
    <t>1B4a/b BEAM REINF. DETAILS (INTERNAL VILLA)</t>
  </si>
  <si>
    <t>S-V40-BM0110</t>
  </si>
  <si>
    <t>1B5a/b (INTERNAL VILLA), 1PBa &amp; 1PBe BEAM REINF. DETAILS</t>
  </si>
  <si>
    <t>S-V40-SB0201</t>
  </si>
  <si>
    <t>PLAN SHOWING SLAB BOTTOM X DIR REINFORCEMENT</t>
  </si>
  <si>
    <t>S-V40-SB0202</t>
  </si>
  <si>
    <t>PLAN SHOWING SLAB BOTTOM  Y DIR REINFORCEMENT</t>
  </si>
  <si>
    <t>S-V40-SB0203</t>
  </si>
  <si>
    <t>PLAN SHOWING SLAB TOP  X DIR REINFORCEMENT</t>
  </si>
  <si>
    <t>S-V40-SB0204</t>
  </si>
  <si>
    <t>PLAN SHOWING SLAB TOP  Y DIR REINFORCEMENT</t>
  </si>
  <si>
    <t>S-V40-BM0201</t>
  </si>
  <si>
    <t>2B1-e BEAM REINF. DETAILS</t>
  </si>
  <si>
    <t>S-V40-BM0202</t>
  </si>
  <si>
    <t>2B1 BEAM REINF. DETAILS</t>
  </si>
  <si>
    <t>S-V40-BM0203</t>
  </si>
  <si>
    <t>2B3-e BEAM REINF. DETAILS</t>
  </si>
  <si>
    <t>S-V40-BM0204</t>
  </si>
  <si>
    <t>2B3 BEAM REINF. DETAILS</t>
  </si>
  <si>
    <t>S-V40-BM0205</t>
  </si>
  <si>
    <t>2B4 BEAM REINF. DETAILS</t>
  </si>
  <si>
    <t>S-V40-BM0206</t>
  </si>
  <si>
    <t>2B5 BEAM REINF. DETAILS</t>
  </si>
  <si>
    <t>S-V40-BM0207</t>
  </si>
  <si>
    <t xml:space="preserve">2B6 BEAM REINF. DETAILS </t>
  </si>
  <si>
    <t>S-V40-BM0208</t>
  </si>
  <si>
    <t>2B7-1 &amp; 2B7-2 BEAM REINF. DETAILS</t>
  </si>
  <si>
    <t>S-V40-BM0209</t>
  </si>
  <si>
    <t xml:space="preserve">2B8 BEAM REINF. DETAILS (SHEET-1) </t>
  </si>
  <si>
    <t>S-V40-BM0210</t>
  </si>
  <si>
    <t xml:space="preserve">2B8 BEAM REINF. DETAILS (SHEET-2) </t>
  </si>
  <si>
    <t>S-V40-BM0211</t>
  </si>
  <si>
    <t>2B9-e BEAM REINF. DETAILS</t>
  </si>
  <si>
    <t>S-V40-BM0212</t>
  </si>
  <si>
    <t>2B9 BEAM REINF. DETAILS (SHEET-1)</t>
  </si>
  <si>
    <t>S-V40-BM0213</t>
  </si>
  <si>
    <t>2B9 BEAM REINF. DETAILS (SHEET-2)</t>
  </si>
  <si>
    <t>S-V40-BM0214</t>
  </si>
  <si>
    <t xml:space="preserve">2B10-e BEAM REINF. DETAILS </t>
  </si>
  <si>
    <t>S-V40-BM0215</t>
  </si>
  <si>
    <t>2B10 BEAM REINF. DETAILS (SHEET-1)</t>
  </si>
  <si>
    <t>S-V40-BM0216</t>
  </si>
  <si>
    <t>2B10 BEAM REINF. DETAILS (SHEET-2)</t>
  </si>
  <si>
    <t>S-V40-BM0217</t>
  </si>
  <si>
    <t>2B12 BEAM REINF. DETAILS</t>
  </si>
  <si>
    <t>S-V40-BM0218</t>
  </si>
  <si>
    <t>2B13-e BEAM REINF. DETAILS</t>
  </si>
  <si>
    <t>S-V40-BM0219</t>
  </si>
  <si>
    <t>2B13-a/b BEAM REINF. DETAILS</t>
  </si>
  <si>
    <t>S-V40-BM0220</t>
  </si>
  <si>
    <t>2B14 &amp; CB1, CB2 &amp; CB3 BEAM REINF. DETAILS</t>
  </si>
  <si>
    <t>S-V40-BM0221</t>
  </si>
  <si>
    <t>2B15 BEAM REINF. DETAILS</t>
  </si>
  <si>
    <t>S-V40-BM0222</t>
  </si>
  <si>
    <t>2B16 BEAM REINF. DETAILS</t>
  </si>
  <si>
    <t>S-V40-BM0223</t>
  </si>
  <si>
    <t>2B17 BEAM REINF. DETAILS</t>
  </si>
  <si>
    <t>S-V40-BM0224</t>
  </si>
  <si>
    <t>2B18 &amp; 2B19 BEAM REINF. DETAILS</t>
  </si>
  <si>
    <t>S-V40-BM0225</t>
  </si>
  <si>
    <t>2B20 BEAM REINF. DETAILS</t>
  </si>
  <si>
    <t>S-V40-SL0301</t>
  </si>
  <si>
    <t>TYPICAL VILLA V40 SLEEVES</t>
  </si>
  <si>
    <t>S-V40-SL0302</t>
  </si>
  <si>
    <t>SLEEVE REINFORCEMENT DETAILS OF SSL03</t>
  </si>
  <si>
    <t>S-V40-SB0301</t>
  </si>
  <si>
    <t>PLAN SHOWING BOTTOM REINFORCEMENT (X-DIRECTION) &amp; BBS</t>
  </si>
  <si>
    <t>S-V40-SB0302</t>
  </si>
  <si>
    <t>PLAN SHOWING BOTTOM REINFORCEMENT (Y-DIRECTION) &amp; BBS</t>
  </si>
  <si>
    <t>S-V40-SB0303</t>
  </si>
  <si>
    <t>PLAN SHOWING TOP REINFORCEMENT (X-DIRECTION)</t>
  </si>
  <si>
    <t>S-V40-SB0304</t>
  </si>
  <si>
    <t>BBS OF SLAB TOP REINFORCEMENT (X-DIRECTION)</t>
  </si>
  <si>
    <t>S-V40-SB0305</t>
  </si>
  <si>
    <t>PLAN SHOWING SLAB TOP REINFORCEMENT (Y-DIRECTION)</t>
  </si>
  <si>
    <t>S-V40-SB0306</t>
  </si>
  <si>
    <t>BBS OF SLAB TOP REINFORCEMENT (Y-DIRECTION)</t>
  </si>
  <si>
    <t>S-V40-SB0307</t>
  </si>
  <si>
    <t>GRAB BAR PEDESTAL, PERGOLA &amp; SLAB SECTION DETAIL (SHEET 1)</t>
  </si>
  <si>
    <t>S-V40-SB0308</t>
  </si>
  <si>
    <t>SLAB SECTION DETAIL (SHEET 2)</t>
  </si>
  <si>
    <t>S-V40-BM0301</t>
  </si>
  <si>
    <t>3B1e BEAM REINFORCEMENT DETAILS (SHEET 1)</t>
  </si>
  <si>
    <t>S-V40-BM0302</t>
  </si>
  <si>
    <t>3B1e BEAM REINFORCEMENT DETAILS (SHEET 2)</t>
  </si>
  <si>
    <t>S-V40-BM0303</t>
  </si>
  <si>
    <t>3B1 BEAM REINFORCEMENT DETAILS (SHEET 1)</t>
  </si>
  <si>
    <t>S-V40-BM0304</t>
  </si>
  <si>
    <t>3B1 BEAM REINFORCEMENT DETAILS (SHEET 2)</t>
  </si>
  <si>
    <t>S-V40-BM0305</t>
  </si>
  <si>
    <t>3B2 BEAM REINFORCEMENT DETAILS (SHEET 1)</t>
  </si>
  <si>
    <t>S-V40-BM0306</t>
  </si>
  <si>
    <t>3B2 BEAM REINFORCEMENT DETAILS (SHEET 2)</t>
  </si>
  <si>
    <t>S-V40-BM0307</t>
  </si>
  <si>
    <t>3B3 BEAM REINFORCEMENT DETAILS (SHEET 1)</t>
  </si>
  <si>
    <t>S-V40-BM0308</t>
  </si>
  <si>
    <t>3B3 BEAM REINFORCEMENT DETAILS (SHEET 2)</t>
  </si>
  <si>
    <t>S-V40-BM0309</t>
  </si>
  <si>
    <t>3B4 BEAM REINFORCEMENT DETAILS</t>
  </si>
  <si>
    <t>S-V40-BM0310</t>
  </si>
  <si>
    <t>3B5 BEAM REINFORCEMENT DETAILS (SHEET 1)</t>
  </si>
  <si>
    <t>S-V40-BM0311</t>
  </si>
  <si>
    <t>3B5 BEAM REINFORCEMENT DETAILS (SHEET 2)</t>
  </si>
  <si>
    <t>S-V40-BM0312</t>
  </si>
  <si>
    <t>3B6e BEAM REINFORCEMENT DETAILS (END VILLA)</t>
  </si>
  <si>
    <t>S-V40-BM0313</t>
  </si>
  <si>
    <t>3B6a/b BEAM REINFORCEMENT DETAILS (INTERNAL VILLA) (SHEET-1)</t>
  </si>
  <si>
    <t>S-V40-BM0314</t>
  </si>
  <si>
    <t>3B6a/b BEAM REINFORCEMENT DETAILS (INTERNAL VILLA) (SHEET-2)</t>
  </si>
  <si>
    <t>S-V40-BM0315</t>
  </si>
  <si>
    <t>3B6e BEAM REINFORCEMENT DETAILS (VILLA ADJACENT TO EXPANSION JOINT)</t>
  </si>
  <si>
    <t>S-V40-BM0316</t>
  </si>
  <si>
    <t>3B7e BEAM REINFORCEMENT DETAILS</t>
  </si>
  <si>
    <t>S-V40-BM0317</t>
  </si>
  <si>
    <t>3B7a/b BEAM REINFORCEMENT DETAILS (SHEET-1)</t>
  </si>
  <si>
    <t>S-V40-BM0318</t>
  </si>
  <si>
    <t>3B7a/b BEAM REINFORCEMENT DETAILS (SHEET-2)</t>
  </si>
  <si>
    <t>S-V40-BM0319</t>
  </si>
  <si>
    <t>3B8 BEAM REINFORCEMENT DETAILS</t>
  </si>
  <si>
    <t>S-V40-BM0320</t>
  </si>
  <si>
    <t>3B9e BEAM REINFORCEMENT DETAILS</t>
  </si>
  <si>
    <t>S-V40-BM0321</t>
  </si>
  <si>
    <t>3B9 BEAM REINFORCEMENT DETAILS</t>
  </si>
  <si>
    <t>S-V40-BM0322</t>
  </si>
  <si>
    <t>3B10 BEAM REINFORCEMENT DETAILS</t>
  </si>
  <si>
    <t>S-V40-BM0323</t>
  </si>
  <si>
    <t>3B11 BEAM REINFORCEMENT DETAILS</t>
  </si>
  <si>
    <t>S-V40-BM0324</t>
  </si>
  <si>
    <t>3B12 BEAM REINFORCEMENT DETAILS (SHEET 1 0F 4)</t>
  </si>
  <si>
    <t>S-V40-BM0325</t>
  </si>
  <si>
    <t>3B12 BEAM REINFORCEMENT DETAILS (SHEET 2 0F 4)</t>
  </si>
  <si>
    <t>S-V40-BM0326</t>
  </si>
  <si>
    <t>3B12 BEAM REINFORCEMENT DETAILS (SHEET 3 0F 4)</t>
  </si>
  <si>
    <t>S-V40-BM0327</t>
  </si>
  <si>
    <t>3B12 BEAM REINFORCEMENT DETAILS (VILLA ADJACENT TO EXPANSION JOINT) (SHEET 4 0F 4)</t>
  </si>
  <si>
    <t>S-V40-BM0328</t>
  </si>
  <si>
    <t>3B13 BEAM REINFORCEMENT DETAILS</t>
  </si>
  <si>
    <t>S-V40-BM0329</t>
  </si>
  <si>
    <t>3B14 BEAM REINFORCEMENT DETAILS</t>
  </si>
  <si>
    <t>S-V40-BM0330</t>
  </si>
  <si>
    <t>3B15 BEAM REINFORCEMENT DETAILS</t>
  </si>
  <si>
    <t>S-V40-BM0331</t>
  </si>
  <si>
    <t>3B17e BEAM REINFORCEMENT DETAILS</t>
  </si>
  <si>
    <t>S-V40-BM0332</t>
  </si>
  <si>
    <t>3B17a/b BEAM REINFORCEMENT DETAILS</t>
  </si>
  <si>
    <t>S-V40-BM0333</t>
  </si>
  <si>
    <t>3B18 BEAM REINFORCEMENT DETAILS</t>
  </si>
  <si>
    <t>S-V40-BM0334</t>
  </si>
  <si>
    <t>3B16 &amp; CB  beam reinf details</t>
  </si>
  <si>
    <t>S-V40-BM0335</t>
  </si>
  <si>
    <t>ENCLOSURE AND FENCING DETAILS - 1</t>
  </si>
  <si>
    <t>ST-SDV-2</t>
  </si>
  <si>
    <t>COMPOUND WALL AND BOUNDARY WALLS (Master plan showing boundary wall extent details)</t>
  </si>
  <si>
    <t>S-A01-EX0100</t>
  </si>
  <si>
    <t>Compound Wall Details (Sheet 1 of 2)</t>
  </si>
  <si>
    <t>0059-ST-SI-EX001</t>
  </si>
  <si>
    <t>Excavation Plan</t>
  </si>
  <si>
    <t>S-A01-EX0101</t>
  </si>
  <si>
    <t>Cluster A Phase 1 -Excavation Layout</t>
  </si>
  <si>
    <t>S-A01-EX0102</t>
  </si>
  <si>
    <t>Cluster A Phase 1 -Excavation Section A</t>
  </si>
  <si>
    <t>S-A01-EX0103</t>
  </si>
  <si>
    <t>Cluster A Phase 1 -Excavation Section B</t>
  </si>
  <si>
    <t>S-A01-EX0104</t>
  </si>
  <si>
    <t>Cluster A Phase 1 -Excavation Section C &amp; D</t>
  </si>
  <si>
    <t>S-DATA-001</t>
  </si>
  <si>
    <t>Soil Test Report - Towers</t>
  </si>
  <si>
    <t>0059-ST-SI-PH001</t>
  </si>
  <si>
    <t>Borehole Locations for Soil Investigation</t>
  </si>
  <si>
    <t>0059-01-000-000-ST00W001</t>
  </si>
  <si>
    <t>Temporary Compound Wall Details (Sheet - 1)</t>
  </si>
  <si>
    <t>0059-ST-SI-CW002</t>
  </si>
  <si>
    <t>5' High GI Sheet Temporary Barricade Footing Details</t>
  </si>
  <si>
    <t>0059-01-000-000-ST00W002</t>
  </si>
  <si>
    <t>Temprary Compound Wall - RCC Beam Details Near Electrical Pole (N=2658.561, E=4660.651)</t>
  </si>
  <si>
    <t>0059-01-000-000-ST00W003</t>
  </si>
  <si>
    <t>Temprary Compound Wall - RCC Beam Details at Coconut Tree Locations</t>
  </si>
  <si>
    <t>0059-01-000-000-ST00W004</t>
  </si>
  <si>
    <t>Temprary Compound Wall - Substation Area - Details for foundation encroachment</t>
  </si>
  <si>
    <t>0059-01-000-000-ST00W005</t>
  </si>
  <si>
    <t>Temprary Compound Wall - Substation Area - Wall Section 5-5</t>
  </si>
  <si>
    <t>S-RSC-FP0101</t>
  </si>
  <si>
    <t>SECURITY CABIN DETAILS</t>
  </si>
  <si>
    <t>S-RSC-BM0101</t>
  </si>
  <si>
    <t>RESIDENTIAL SECURITY CABIN BEAM REINFORCEMENT DETAILS</t>
  </si>
  <si>
    <t>S-RSC-SB0101</t>
  </si>
  <si>
    <t>RESIDENTIAL SECURITY CABIN BOTTOM SLAB REINFORCEMENT AND BBS DETAILS</t>
  </si>
  <si>
    <t>S-RSC-SB0102</t>
  </si>
  <si>
    <t>RESIDENTIAL SECURITY CABIN TOP SLAB REINFORCEMENT AND BBS DETAILS</t>
  </si>
  <si>
    <t>S-SCC-FD0001</t>
  </si>
  <si>
    <t>S-SCC-FD0002</t>
  </si>
  <si>
    <t>SECURITY CABIN FOUNDATION REINFORCEMENT DETAILS (SHEET 1)</t>
  </si>
  <si>
    <t>S-SCC-FD0003</t>
  </si>
  <si>
    <t>SECURITY CABIN FOUNDATION REINFORCEMENT DETAILS (SHEET 2)</t>
  </si>
  <si>
    <t>S-SCC-FD0004</t>
  </si>
  <si>
    <t>SECURITY CABIN FOUNDATION REINFORCEMENT DETAILS (SHEET3)</t>
  </si>
  <si>
    <t>S-SCC-FP0101</t>
  </si>
  <si>
    <t>FRAMING PLAN</t>
  </si>
  <si>
    <t>S-SCC-CL0001</t>
  </si>
  <si>
    <t>SECURITY CABIN COLUMN, PLINTH BEAM AND RETAINING WALL DETAILS</t>
  </si>
  <si>
    <t>S-SCC-SB0001</t>
  </si>
  <si>
    <t>SECUTIY CABIN SLAB DETAILS</t>
  </si>
  <si>
    <t>S-SI-MS0155</t>
  </si>
  <si>
    <t>GAZEBO DETAILS</t>
  </si>
  <si>
    <t>S-SI-MS0156</t>
  </si>
  <si>
    <t>PEDESTAL DETAILS FOR LANDSCAPE LIGHT POLE ON THE ELECTRICAL TRENCH COVER SLAB</t>
  </si>
  <si>
    <t>S-UT1-EX0001</t>
  </si>
  <si>
    <t>Excavation Layout for UGT-1 (Between T01 &amp; T2V)</t>
  </si>
  <si>
    <t>ST-SDV-3</t>
  </si>
  <si>
    <t>S-A01-EX0105</t>
  </si>
  <si>
    <t>Cluster A Phase 2-Excavation Layout</t>
  </si>
  <si>
    <t>S-A01-EX0106</t>
  </si>
  <si>
    <t>Excavation Layout for STP-1</t>
  </si>
  <si>
    <t>S-SI-MS0134</t>
  </si>
  <si>
    <t>DG YARD FOUNDATION DETAILS</t>
  </si>
  <si>
    <t>S-SI-CW0106</t>
  </si>
  <si>
    <t>Compound Wall Section 6-6</t>
  </si>
  <si>
    <t>S-SI-MH0107</t>
  </si>
  <si>
    <t>Storm Drain Manhole and Chamber Details (750x750) (Sheet 1 of 2)</t>
  </si>
  <si>
    <t>S-SI-MH0108</t>
  </si>
  <si>
    <t>Storm Drain Manhole and Chamber Details (900x900) (Sheet 1 of 2)</t>
  </si>
  <si>
    <t>S-SI-RD0109</t>
  </si>
  <si>
    <t>Road Section details for Villa area</t>
  </si>
  <si>
    <t>S-SI-WTR0110</t>
  </si>
  <si>
    <t>Typical Water Trench detail.</t>
  </si>
  <si>
    <t>S-SI-MH0111</t>
  </si>
  <si>
    <t>Storm Drain Manhole and Chamber Details (750x750) (Sheet 2 of 2)</t>
  </si>
  <si>
    <t>S-SI-MH0112</t>
  </si>
  <si>
    <t>Storm Drain Manhole and Chamber Details (900x900)(Sheet 2 of 2)</t>
  </si>
  <si>
    <t>S-SI-MH0113</t>
  </si>
  <si>
    <t>Storm Drain Manhole and Chamber Details (600x600)</t>
  </si>
  <si>
    <t>S-SI-MH0114</t>
  </si>
  <si>
    <t>Storm Drain Manhole and Chamber Details (1250x1250) (Sheet 1 of 3)</t>
  </si>
  <si>
    <t>S-SI-MH0115</t>
  </si>
  <si>
    <t>Storm Drain Manhole and Chamber Details (1250x1250) (Sheet 2 of 3)</t>
  </si>
  <si>
    <t>S-SI-MH0116</t>
  </si>
  <si>
    <t>Storm Drain Manhole and Chamber Details (1250x1250) (Sheet 3 of 3)</t>
  </si>
  <si>
    <t>S-SI-RW0117</t>
  </si>
  <si>
    <t>Cluster 2 Retaining Wall-Villa Area (Sheet 1 of 4)</t>
  </si>
  <si>
    <t>S-SI-RW0118</t>
  </si>
  <si>
    <t>Cluster 2 Retaining Wall-Villa Area (Sheet 2 of 4)</t>
  </si>
  <si>
    <t>S-SI-RW0119</t>
  </si>
  <si>
    <t>Cluster 2 Retaining Wall-Villa Area (Sheet 3 of 4)</t>
  </si>
  <si>
    <t>S-SI-RW0120</t>
  </si>
  <si>
    <t>Cluster 2 Retaining Wall-Villa Area (Sheet 4 of 4)</t>
  </si>
  <si>
    <t>S-SI-ETR0121</t>
  </si>
  <si>
    <t>Typical Electrical Trench Detail</t>
  </si>
  <si>
    <t>S-SI-MH0122</t>
  </si>
  <si>
    <t>Recharge Pit Details for MH-1250x1250</t>
  </si>
  <si>
    <t>S-SI-MH0123</t>
  </si>
  <si>
    <t>Recharge Pit Details for MH-900x900</t>
  </si>
  <si>
    <t>S-SI-WT0124</t>
  </si>
  <si>
    <t>Sump Tank Details in Villa Cluster 2(Sheet 1 of 2)</t>
  </si>
  <si>
    <t>S-SI-WT0125</t>
  </si>
  <si>
    <t>Sump Tank Details in Villa Cluster 2(Sheet 2of 2)</t>
  </si>
  <si>
    <t>S-SI-MH0126</t>
  </si>
  <si>
    <t>Sewage manhole details (750 X 750)</t>
  </si>
  <si>
    <t>S-SI-MH0127</t>
  </si>
  <si>
    <t>Sewage manhole details (1200ɸ)</t>
  </si>
  <si>
    <t>S-SI-MH0128</t>
  </si>
  <si>
    <t>Sewage manhole details (1400ɸ)</t>
  </si>
  <si>
    <t>S-MS-NB0001</t>
  </si>
  <si>
    <t>Standard Details For Wire Cut Nib</t>
  </si>
  <si>
    <t>S-SI-RW0129</t>
  </si>
  <si>
    <t>Retaining wall details from south west entrance to service yard</t>
  </si>
  <si>
    <t>S-SI-RW0130</t>
  </si>
  <si>
    <t>Lake Side Retaining Wall Details</t>
  </si>
  <si>
    <t>S-SI-MH0131</t>
  </si>
  <si>
    <t>RC Manhole Details (1200x1200, 1200x900, 1400x900)</t>
  </si>
  <si>
    <t>S-SI-MS0132</t>
  </si>
  <si>
    <t>VALVE CHAMBER, GULLY TRAP &amp; INSPECTION CHAMBER DETAILS</t>
  </si>
  <si>
    <t>S-SI-RW0131</t>
  </si>
  <si>
    <t>Retaining wall along Ramp 9 next to Villa Cluster 3</t>
  </si>
  <si>
    <t>S-SI-CW0132</t>
  </si>
  <si>
    <t>Master plan showing boundary wall extent details</t>
  </si>
  <si>
    <t>S-SI-CW0133</t>
  </si>
  <si>
    <t>South boundary wall details</t>
  </si>
  <si>
    <t>S-SI-CW0134</t>
  </si>
  <si>
    <t>S-SI-CW0135</t>
  </si>
  <si>
    <t>Compound Wall Details (Sheet 2 of 2)</t>
  </si>
  <si>
    <t>S-SI-CW0136</t>
  </si>
  <si>
    <t>Compound Wall Detail (Stretch E, F, &amp; G)</t>
  </si>
  <si>
    <t>S-SI-CW0137</t>
  </si>
  <si>
    <t>Compound Wall Detail (Stretch H, I, J, K, &amp; L) Sheet 1 of 2</t>
  </si>
  <si>
    <t>S-SI-CW0138</t>
  </si>
  <si>
    <t>Compound Wall Detail (Stretch H, I, J, K, &amp; L) Sheet 2 of 2</t>
  </si>
  <si>
    <t>S-SI-CW0139</t>
  </si>
  <si>
    <t>Boundary Wall Details for Stretch 8 (Near South-West Entrance)</t>
  </si>
  <si>
    <t>S-SI-RW0133</t>
  </si>
  <si>
    <t>Retaining Wall &amp; Staircase Details near Substation Area (Stretch A &amp; B)</t>
  </si>
  <si>
    <t>S-SI-CW0140</t>
  </si>
  <si>
    <t>Boundary Wall Details for Stretch 9 (T08 North Side)</t>
  </si>
  <si>
    <t>S-SI-SC1001</t>
  </si>
  <si>
    <t>Security Cabin-Foundation &amp; Framing Plan Details</t>
  </si>
  <si>
    <t>S-SI-SC1002</t>
  </si>
  <si>
    <t>Footing and Column Reinforcement Details</t>
  </si>
  <si>
    <t>S-SI-SC1003</t>
  </si>
  <si>
    <t>Beam B1 and B2 Reinforcement Details</t>
  </si>
  <si>
    <t>S-SI-SC1004</t>
  </si>
  <si>
    <t>Beam B3, B4 and B5 Reinforcement Details</t>
  </si>
  <si>
    <t>S-SI-SC1005</t>
  </si>
  <si>
    <t>Security Cabin Slab Reinforcement Details</t>
  </si>
  <si>
    <t>S-SI-MS0135</t>
  </si>
  <si>
    <t>Trench for STP Exhaust Duct</t>
  </si>
  <si>
    <t>S-SI-RW0036</t>
  </si>
  <si>
    <t>BASEMENT RETAINING WALL DETAILS</t>
  </si>
  <si>
    <t>S-SI-BC0037</t>
  </si>
  <si>
    <t>BOX CULVERT REINF. DETAILS BETWEEN T6S &amp; T08</t>
  </si>
  <si>
    <t>S-SI-MS0138</t>
  </si>
  <si>
    <t>ELECTRICAL PANEL ROOM</t>
  </si>
  <si>
    <t>S-SI-MS0139</t>
  </si>
  <si>
    <t>ELECTRICAL ROOM REINF. DETAILS (SHEET 1)</t>
  </si>
  <si>
    <t>S-SI-MS0140</t>
  </si>
  <si>
    <t>ELECTRICAL ROOM REINF. DETAILS (SHEET 2)</t>
  </si>
  <si>
    <t>S-SI-MS0141</t>
  </si>
  <si>
    <t>Typical Light  Pole Foundation details upto 5.5m height (Sheet-1)</t>
  </si>
  <si>
    <t>S-SI-MS0142</t>
  </si>
  <si>
    <t>Typical Light  Pole Foundation details upto 5.5m height (Sheet-2)</t>
  </si>
  <si>
    <t>S-SI-MS0143</t>
  </si>
  <si>
    <t>Cental Green Area Water Supply Trench Reinf. Details</t>
  </si>
  <si>
    <t>S-SI-MS0144</t>
  </si>
  <si>
    <t>HVAC TUNNEL REINF. DETAILS FOR TOWER 09</t>
  </si>
  <si>
    <t>S-SI-MS0145</t>
  </si>
  <si>
    <t>SITE SIGNAGE FOOTING DETAILS</t>
  </si>
  <si>
    <t>S-SI-MS0146</t>
  </si>
  <si>
    <t>TYPICAL WALKWAY PAVEMENT DETAIL</t>
  </si>
  <si>
    <t>S-SI-MS0147</t>
  </si>
  <si>
    <t>ELECTRICAL PANEL ROOM-2 DETAILS</t>
  </si>
  <si>
    <t>S-SI-MS0148</t>
  </si>
  <si>
    <t>ELECTRICAL PANEL ROOM-2 BEAM DETAILS</t>
  </si>
  <si>
    <t>S-SI-MS0149</t>
  </si>
  <si>
    <t>ELECTRICAL PANEL ROOM-2 SLAB, FOOTING AND COLUMN REINF. DETAILS</t>
  </si>
  <si>
    <t>S-SI-MS0150</t>
  </si>
  <si>
    <t>ELECTRICAL PANEL ROOM-2 FOOTING REINF. DETAILS</t>
  </si>
  <si>
    <t>S-SI-MS0151</t>
  </si>
  <si>
    <t>Signage Wall near Residential Security Cabin</t>
  </si>
  <si>
    <t>S-SI-MS0152</t>
  </si>
  <si>
    <t>CENTRAL GREEN AMPHITEATER</t>
  </si>
  <si>
    <t>S-SI-MS0153</t>
  </si>
  <si>
    <t>Typical foundation details for landscape light poles</t>
  </si>
  <si>
    <t>S-TMP-MS0101</t>
  </si>
  <si>
    <t>Temporary Security Cabin - Foundation Layout &amp; Framing Arrangement at 1st SSL</t>
  </si>
  <si>
    <t>S-TMP-MS0102</t>
  </si>
  <si>
    <t>Temporary Security Cabin - Isolated Footing &amp; Column Details</t>
  </si>
  <si>
    <t>S-TMP-MS0103</t>
  </si>
  <si>
    <t>Temporary Security Cabin - Plan showing Top &amp; Bottom Reinforcement at 1st SSL (sheet 1 of 2)</t>
  </si>
  <si>
    <t>S-TMP-MS0104</t>
  </si>
  <si>
    <t>Temporary Security Cabin - BBS for Top &amp; Bottom Reinforcement at 1st SSL (sheet 2 of 2)</t>
  </si>
  <si>
    <t>S-TMP-MS0105</t>
  </si>
  <si>
    <t>Temporary Security Cabin - Beam details (Sheet 1)</t>
  </si>
  <si>
    <t>S-TMP-MS0106</t>
  </si>
  <si>
    <t>Temporary Security Cabin - Beam details (Sheet 2)</t>
  </si>
  <si>
    <t>S-TMP-MS0107</t>
  </si>
  <si>
    <t xml:space="preserve">Temporary Entrance Gate - Supporting System for Corten Steel Panels </t>
  </si>
  <si>
    <t>S-TMP-MS0108</t>
  </si>
  <si>
    <t>Temporary Security Cabin - Connections details of the corten steel supporting sections</t>
  </si>
  <si>
    <t>S-TMP-MS0109</t>
  </si>
  <si>
    <t>Foundation Layout and Footing details for Metal Works Shed at PoaRR</t>
  </si>
  <si>
    <t>S-TMP-MS0110</t>
  </si>
  <si>
    <t>Foundation Layout and Footing details for Metal Works Shed at PoaRR (Sheet 2 of 2)</t>
  </si>
  <si>
    <t>S-TMP-MS0111</t>
  </si>
  <si>
    <t>Sectional Details Showing Soil Fill</t>
  </si>
  <si>
    <t>S-TMP-MS0112</t>
  </si>
  <si>
    <t>Metal Works - Roof Plan Bracing Details</t>
  </si>
  <si>
    <t>S-TMP-MS0113</t>
  </si>
  <si>
    <t>Road Details Near Entrance Gate</t>
  </si>
  <si>
    <t>S-SW2-FD0001</t>
  </si>
  <si>
    <t>FOUNDATION LAYOUT OF SW-2</t>
  </si>
  <si>
    <t>S-SW2-FD0002</t>
  </si>
  <si>
    <t>SW2 BASE SLAB BOTTOM REINFORCEMENT DETAILS</t>
  </si>
  <si>
    <t>S-SW2-FD0003</t>
  </si>
  <si>
    <t>BBS FOR SW2 BASE SLAB BOTTOM REINFORCEMENT</t>
  </si>
  <si>
    <t>S-SW2-FD0004</t>
  </si>
  <si>
    <t>SW2 BASE SLAB TOP REINFORCEMENT DETAILS</t>
  </si>
  <si>
    <t>S-SW2-FD0005</t>
  </si>
  <si>
    <t>BBS FOR SW2 BASE SLAB TOP REINFORCEMENT</t>
  </si>
  <si>
    <t>S-SW2-FD0006</t>
  </si>
  <si>
    <t>SW2 BASE SLAB SHEAR AND SW2F9 FOOTING REINF. DETAILS</t>
  </si>
  <si>
    <t>S-SW2-CL0001</t>
  </si>
  <si>
    <t>Column Reinforcement Details</t>
  </si>
  <si>
    <t>S-SW2-RW0001</t>
  </si>
  <si>
    <t>TYP. STORM WATER TANK WALL DETAIL</t>
  </si>
  <si>
    <t>S-SW2-RW0002</t>
  </si>
  <si>
    <t>STORM WATER TANK WALL REINFORCEMENT DETAILS</t>
  </si>
  <si>
    <t>S-SW1-CL0001</t>
  </si>
  <si>
    <t>S-SW1-RW0101</t>
  </si>
  <si>
    <t>RW1 REINFORCEMENT DETAIL</t>
  </si>
  <si>
    <t>S-SW1-RW0201</t>
  </si>
  <si>
    <t>RW2 REINFORCEMENT DETAIL</t>
  </si>
  <si>
    <t>S-SW1-RW0301</t>
  </si>
  <si>
    <t>RW3 REINFORCEMENT DETAIL</t>
  </si>
  <si>
    <t>S-SW1-RW0401</t>
  </si>
  <si>
    <t>RW4 REINFORCEMENT DETAIL</t>
  </si>
  <si>
    <t>S-SW1-RW0501</t>
  </si>
  <si>
    <t>RW5 REINFORCEMENT DETAIL(EARTH SIDE -X DIRECTION)</t>
  </si>
  <si>
    <t>S-SW1-RW0502</t>
  </si>
  <si>
    <t>RW5 REINFORCEMENT DETAIL(EARTH SIDE -Y DIRECTION)</t>
  </si>
  <si>
    <t>S-SW1-RW0503</t>
  </si>
  <si>
    <t>RW5 REINFORCEMENT DETAIL(WATER TANK SIDE -X DIRECTION)</t>
  </si>
  <si>
    <t>S-SW1-RW0504</t>
  </si>
  <si>
    <t>RW5 REINFORCEMENT DETAIL(WATER TANK SIDE -Y DIRECTION)</t>
  </si>
  <si>
    <t>S-SW1-RW0601</t>
  </si>
  <si>
    <t>RW6 REINFORCEMENT DETAIL(WATER TANK SIDE)</t>
  </si>
  <si>
    <t>S-SW1-RW0602</t>
  </si>
  <si>
    <t>RW6 REINFORCEMENT DETAIL (OUTER SIDE)</t>
  </si>
  <si>
    <t>S-WT0101</t>
  </si>
  <si>
    <t>S-UT1-FD0001</t>
  </si>
  <si>
    <t>UT-1  Foundation Layout</t>
  </si>
  <si>
    <t>S-UT1-FD0002</t>
  </si>
  <si>
    <t>Table of Reinf. For Isolated Footings of UT-1</t>
  </si>
  <si>
    <t>S-UT1-FD0003</t>
  </si>
  <si>
    <t xml:space="preserve">UT1 Base Slab Bottom Reinforcement Details </t>
  </si>
  <si>
    <t>S-UT1-FD0004</t>
  </si>
  <si>
    <t>UT1 Base Slab Top Reinforcement Details</t>
  </si>
  <si>
    <t>S-UT1-FD0005</t>
  </si>
  <si>
    <t>BBS for UT1 Base Slab</t>
  </si>
  <si>
    <t>S-UT1-FD0006</t>
  </si>
  <si>
    <t>Plan Showing Reinf. Of Strip Footing at 89.500m</t>
  </si>
  <si>
    <t>S-UT1-FD0007</t>
  </si>
  <si>
    <t>BBS of Strip Footing at 89.500m</t>
  </si>
  <si>
    <t>S-UT1-FD0008</t>
  </si>
  <si>
    <t>UT1 Base Slab &amp; Strip Footing Sections</t>
  </si>
  <si>
    <t>S-UT2-FD0001</t>
  </si>
  <si>
    <t>UGT-2 FOUNDATION LAYOUT</t>
  </si>
  <si>
    <t>S-UT2-FD0002</t>
  </si>
  <si>
    <t>UGT-2 BASE SLAB BOTTOM REINFORCEMENT DETAILS</t>
  </si>
  <si>
    <t>S-UT2-FD0003</t>
  </si>
  <si>
    <t>UGT-2 BASE SLAB TOP REINFORCEMENT DETAILS</t>
  </si>
  <si>
    <t>S-UT2-FD0004</t>
  </si>
  <si>
    <t>BBS OF UGT-2 BASE SLAB REINFORCEMENT DETAILS</t>
  </si>
  <si>
    <t>S-UT2-FD0005</t>
  </si>
  <si>
    <t>ISOLATED FOOTING DETAIL (UT-2)</t>
  </si>
  <si>
    <t>S-UT2-CL0001</t>
  </si>
  <si>
    <t>COLUMN REINFORCEMENT DETAILS (UGT2)</t>
  </si>
  <si>
    <t>S-UT2-RW0001</t>
  </si>
  <si>
    <t>S-UT2-RW0002</t>
  </si>
  <si>
    <t>WALL REINFORCEMENT DETAILS(SIDE-A)</t>
  </si>
  <si>
    <t>S-UT2-RW0003</t>
  </si>
  <si>
    <t>WALL REINFORCEMENT DETAILS(SIDE-B)</t>
  </si>
  <si>
    <t>S-UT3-FD0001</t>
  </si>
  <si>
    <t>UGT-3 FOUNDATION LAYOUT</t>
  </si>
  <si>
    <t>S-UT3-FD0002</t>
  </si>
  <si>
    <t>UGT-3 BASE SLAB BOTTOM REINFORCEMENT DETAILS</t>
  </si>
  <si>
    <t>S-UT3-FD0003</t>
  </si>
  <si>
    <t>UGT-3 BASE SLAB TOP REINFORCEMENT DETAILS</t>
  </si>
  <si>
    <t>S-UT3-FD0004</t>
  </si>
  <si>
    <t>BBS OF UGT-3 BASE SLAB REINFORCEMENT DETAILS</t>
  </si>
  <si>
    <t>S-UT3-FD0005</t>
  </si>
  <si>
    <t>ISOLATED FOOTING DETAIL (UT-3)</t>
  </si>
  <si>
    <t>S-UT3-CL0001</t>
  </si>
  <si>
    <t>COLUMN REINFORCEMENT DETAILS (UGT3)</t>
  </si>
  <si>
    <t>S-UT3-RW0001</t>
  </si>
  <si>
    <t>S-UT3-RW0002</t>
  </si>
  <si>
    <t>S-UT3-RW0003</t>
  </si>
  <si>
    <t>S-UT3-FP0101</t>
  </si>
  <si>
    <t>UT-3 ROOF SLAB FRAMING PLAN</t>
  </si>
  <si>
    <t>S-UT3-SB0001</t>
  </si>
  <si>
    <t>PLAN SHOWING SLAB BOTTOM  REINFORCEMENT OF UGT3 (X-DIR)</t>
  </si>
  <si>
    <t>S-UT3-SB0002</t>
  </si>
  <si>
    <t>BBS FOR SLAB BOTTOM REINFORCEMENT OF UGT3 (X-DIR)</t>
  </si>
  <si>
    <t>S-UT3-SB0003</t>
  </si>
  <si>
    <t>PLAN SHOWING SLAB BOTTOM  REINF OF UGT3 (Y-DIR)</t>
  </si>
  <si>
    <t>S-UT3-SB0004</t>
  </si>
  <si>
    <t>BBS FOR SLAB BOTTOM REINFORCEMENT OF UGT3 (Y-DIR)</t>
  </si>
  <si>
    <t>S-UT3-SB0005</t>
  </si>
  <si>
    <t>PLAN SHOWING SLAB TOP  REINFORCEMENT OF UGT3 (X-DIR)</t>
  </si>
  <si>
    <t>S-UT3-SB0006</t>
  </si>
  <si>
    <t>BBS FOR SLAB TOP REINFORCEMENT OF UGT3 (X-DIR)</t>
  </si>
  <si>
    <t>S-UT3-SB0007</t>
  </si>
  <si>
    <t>PLAN SHOWING SLAB TOP  REINFORCEMENT OF UGT3 (Y-DIR)</t>
  </si>
  <si>
    <t>S-UT3-SB0008</t>
  </si>
  <si>
    <t>BBS FOR SLAB TOP REINFORCEMENT OF UGT3 (Y-DIR)</t>
  </si>
  <si>
    <t>S-UT3-BM0101</t>
  </si>
  <si>
    <t>S-UT3-BM0102</t>
  </si>
  <si>
    <t>BEAM REINFORCEMENT DETAILS (SHEET-1)</t>
  </si>
  <si>
    <t>S-UT3-BM0103</t>
  </si>
  <si>
    <t>BEAM REINFORCEMENT DETAILS (SHEET-2)</t>
  </si>
  <si>
    <t>S-UT3-BM0104</t>
  </si>
  <si>
    <t>BEAM B20-5 REINFORCEMENT DETAILS</t>
  </si>
  <si>
    <t>S-SW1-FD0001</t>
  </si>
  <si>
    <t>STORM WATER SUMP-1 FOUNDATION LAYOUT</t>
  </si>
  <si>
    <t>S-ST1-FD0001</t>
  </si>
  <si>
    <t>FOUNDATION LAYOUT(STP-1)</t>
  </si>
  <si>
    <t>S-ST1-FD0002</t>
  </si>
  <si>
    <t>TABLE OF REINF. FOR ISOLATED FOOTING OF ST1</t>
  </si>
  <si>
    <t>S-ST1-FD0003</t>
  </si>
  <si>
    <t>ST1 BASE SLAB BOTTOM REINFORCEMENT DETAILS</t>
  </si>
  <si>
    <t>S-ST1-FD0004</t>
  </si>
  <si>
    <t>ST1 BASE SLAB TOP REINFORCEMENT DETAILS</t>
  </si>
  <si>
    <t>S-ST1-FD0005</t>
  </si>
  <si>
    <t>BBS FOR ST1 BASE SLAB</t>
  </si>
  <si>
    <t>S-ST1-FD0006</t>
  </si>
  <si>
    <t>SECTION OF ST-1</t>
  </si>
  <si>
    <t>S-ST2-FD0001</t>
  </si>
  <si>
    <t>Foundation Layout-STP-2</t>
  </si>
  <si>
    <t>S-ST2-FD0002</t>
  </si>
  <si>
    <t>PLAN SHOWING BOTTOM REINFORCEMENT DETAILS</t>
  </si>
  <si>
    <t>S-ST2-FD0003</t>
  </si>
  <si>
    <t>PLAN SHOWING TOP REINFORCEMENT DETAILS</t>
  </si>
  <si>
    <t>S-ST2-FD0004</t>
  </si>
  <si>
    <t>BBS OF BOTH(TOP &amp; BOTTOM) REINFORCEMENT DETAILS</t>
  </si>
  <si>
    <t>S-ST2-FD0005</t>
  </si>
  <si>
    <t>PART PLAN SHOWING (TOP &amp; BOTTOM) STRIP FOOTING REINFORCEMENT DETAILS</t>
  </si>
  <si>
    <t>S-ST2-FD0006</t>
  </si>
  <si>
    <t>ISOLATED FOOTING REINF DETAILS</t>
  </si>
  <si>
    <t>S-ST2-ST0001</t>
  </si>
  <si>
    <t>Part  Plan showing STP2 Staircase Detail</t>
  </si>
  <si>
    <t>S-ST2-ST0102</t>
  </si>
  <si>
    <t>Reinf Detail of Staircase -1 (Sheet 1)</t>
  </si>
  <si>
    <t>S-ST2-ST0103</t>
  </si>
  <si>
    <t>Reinf Detail of Staircase -1 (Sheet 2)</t>
  </si>
  <si>
    <t>S-ST2-CL0001</t>
  </si>
  <si>
    <t xml:space="preserve">COLUMN REINFORCEMENT DETAILS </t>
  </si>
  <si>
    <t>S-ST2-RW0001</t>
  </si>
  <si>
    <t>S-ST2-RW0002</t>
  </si>
  <si>
    <t>S-ST2-RW0003</t>
  </si>
  <si>
    <t>S-ST2-FP0101</t>
  </si>
  <si>
    <t>Framing Plan at SSL01 -STP2</t>
  </si>
  <si>
    <t>S-ST2-FP0102</t>
  </si>
  <si>
    <t>Plan at walkway</t>
  </si>
  <si>
    <t>S-ST2-BM0101</t>
  </si>
  <si>
    <t>S-ST2-BM0102</t>
  </si>
  <si>
    <t>STP-2 Beam Details (SHEET-1)</t>
  </si>
  <si>
    <t>S-ST2-BM0103</t>
  </si>
  <si>
    <t>STP-2 Beam Details (SHEET-2)</t>
  </si>
  <si>
    <t>S-ST2-BM0104</t>
  </si>
  <si>
    <t>ST2 Beam B1,B2  Reinf Detail</t>
  </si>
  <si>
    <t>S-ST2-SB0001</t>
  </si>
  <si>
    <t>PLAN SHOWING SLAB BOTTOM REINFORCEMENTOF STP2(X-DIR)</t>
  </si>
  <si>
    <t>S-ST2-SB0002</t>
  </si>
  <si>
    <t>BBS OF SLAB BOTTOM REINFORCEMENTOF STP2(X-DIR)</t>
  </si>
  <si>
    <t>S-ST2-SB0003</t>
  </si>
  <si>
    <t>PLAN SHOWING SLAB BOTTOM REINFORCEMENTOF STP2(Y-DIR)</t>
  </si>
  <si>
    <t>S-ST2-SB0004</t>
  </si>
  <si>
    <t>BBS OF SLAB BOTTOM REINFORCEMENTOF STP2(Y-DIR)</t>
  </si>
  <si>
    <t>S-ST2-SB0005</t>
  </si>
  <si>
    <t>PLAN SHOWING SLAB TOP REINFORCEMENTOF STP2(X-DIR)</t>
  </si>
  <si>
    <t>S-ST2-SB0006</t>
  </si>
  <si>
    <t>BBS OF SLAB TOP REINFORCEMENTOF STP2(X-DIR)</t>
  </si>
  <si>
    <t>S-ST2-SB0007</t>
  </si>
  <si>
    <t>PLAN SHOWING SLAB BTOP REINFORCEMENTOF STP2(Y-DIR)</t>
  </si>
  <si>
    <t>S-ST2-SB0008</t>
  </si>
  <si>
    <t>BBS OF SLAB TOP REINFORCEMENTOF STP2(Y-DIR)</t>
  </si>
  <si>
    <t>S-ST2-SB0009</t>
  </si>
  <si>
    <t>Plan showing slab reinf for walkway level</t>
  </si>
  <si>
    <t>S-UT1-CL0001</t>
  </si>
  <si>
    <t>UT1 Column Details</t>
  </si>
  <si>
    <t>S-UT1-RW0101</t>
  </si>
  <si>
    <t>UT1RW1 Reinforcement Details (Pump Room Side) (Sheet 1 of 2)</t>
  </si>
  <si>
    <t>S-UT1-RW0102</t>
  </si>
  <si>
    <t>UT1RW1 Reinforcement Details (Tank Side) (Sheet 2 of 2)</t>
  </si>
  <si>
    <t>S-UT1-RW0201</t>
  </si>
  <si>
    <t>UT1RW2 Reinforcement Details (Pump Room Side) (Sheet 1 of 2)</t>
  </si>
  <si>
    <t>S-UT1-RW0202</t>
  </si>
  <si>
    <t>UT1RW2 Reinforcement Details (Tank Side) (Sheet 2 of 2)</t>
  </si>
  <si>
    <t>S-UT1-RW0301</t>
  </si>
  <si>
    <t>UT1RW3 Reinforcement Details (Pump Room Side) (Sheet 1 of 2)</t>
  </si>
  <si>
    <t>S-UT1-RW0302</t>
  </si>
  <si>
    <t>UT1RW3 Reinforcement Details (Tank Side) (Sheet 2 of 2)</t>
  </si>
  <si>
    <t>S-UT1-RW0401</t>
  </si>
  <si>
    <t>UT1RW4 Reinforcement Details (Earth Side Horizontal) (Sheet 1 of 4)</t>
  </si>
  <si>
    <t>S-UT1-RW0402</t>
  </si>
  <si>
    <t>UT1RW4 Reinforcement Details (Earth Side Vertical) (Sheet 2 of 4)</t>
  </si>
  <si>
    <t>S-UT1-RW0403</t>
  </si>
  <si>
    <t>UT1RW4 Reinforcement Details (Tank Side Horizontal) (Sheet 3 of 4)</t>
  </si>
  <si>
    <t>S-UT1-RW0404</t>
  </si>
  <si>
    <t>UT1RW4 Reinforcement Details (Tank Side Vertical) (Sheet 4 of 4)</t>
  </si>
  <si>
    <t>S-UT1-RW0501</t>
  </si>
  <si>
    <t>UT1RW5 Reinforcement Details (Earth Side) (Sheet 1 of 2)</t>
  </si>
  <si>
    <t>S-UT1-RW0502</t>
  </si>
  <si>
    <t>UT1RW5 Reinforcement Details (Tank Side) (Sheet 2 of 2)</t>
  </si>
  <si>
    <t>S-UT1-RW0601</t>
  </si>
  <si>
    <t>UT1RW6 Reinforcement Details</t>
  </si>
  <si>
    <t>S-UT1-RW0701</t>
  </si>
  <si>
    <t xml:space="preserve">UT1RW7 Reinforcement Details </t>
  </si>
  <si>
    <t>S-UT1-RW0801</t>
  </si>
  <si>
    <t xml:space="preserve">UT1RW8 Reinforcement Details </t>
  </si>
  <si>
    <t>S-UT1-RW0901</t>
  </si>
  <si>
    <t>UT1RW9 Reinf. Details (Raw Water Tank Side) (Sheet 1 of 2)</t>
  </si>
  <si>
    <t>S-UT1-RW0902</t>
  </si>
  <si>
    <t>UT1RW9 Reinf. Details (Treated Water Tank Side) (Sheet 2 of 2)</t>
  </si>
  <si>
    <t>S-UT1-RW1001</t>
  </si>
  <si>
    <t>UT1RW10 Reinforcement Details</t>
  </si>
  <si>
    <t>S-UT1-RW1101</t>
  </si>
  <si>
    <t>UT1RW11 Reinforcement Details</t>
  </si>
  <si>
    <t>S-UT1-RW1201</t>
  </si>
  <si>
    <t>UT1RW12 Reinforcement Details (Tank Side) (Sheet 1 of 2)</t>
  </si>
  <si>
    <t>S-UT1-RW1202</t>
  </si>
  <si>
    <t>UT1RW12 Reinforcement Details (Earth Side) (Sheet 2 of 2)</t>
  </si>
  <si>
    <t>S-ST1-CL0001</t>
  </si>
  <si>
    <t xml:space="preserve">ST1  - COLUMN DRAWINGS </t>
  </si>
  <si>
    <t>S-ST1-RW0001</t>
  </si>
  <si>
    <t>TYPICAL RETAINING WALL DETAIL</t>
  </si>
  <si>
    <t>S-ST1-RW0002</t>
  </si>
  <si>
    <t xml:space="preserve">WALL REINFORCEMENT DETAILS ON SIDE - A </t>
  </si>
  <si>
    <t>S-ST1-RW0003</t>
  </si>
  <si>
    <t>WALL REINFORCEMENT DETAILS ON SIDE - B</t>
  </si>
  <si>
    <t>S-ST1-MS0001</t>
  </si>
  <si>
    <t>CUTOUT CLOSURE DETAILS</t>
  </si>
  <si>
    <t>S-UT1-FP0101</t>
  </si>
  <si>
    <t>UT1 Roof Slab Framing Plan</t>
  </si>
  <si>
    <t>S-SW1-FP0101</t>
  </si>
  <si>
    <t>Storm Water Sump-1 Roof Framing Plan</t>
  </si>
  <si>
    <t>S-ST1-FP0101</t>
  </si>
  <si>
    <t>FRAMING PLAN AT SSL01 (STP-1)</t>
  </si>
  <si>
    <t>S-ST1-FP0102</t>
  </si>
  <si>
    <t>PLAN AT 93.00 LVL (WALKWAY LEVEL)</t>
  </si>
  <si>
    <t>S-UT2-FP0101</t>
  </si>
  <si>
    <t>UGT2 ROOF SLAB FRAMING PLAN</t>
  </si>
  <si>
    <t>S-SW2-FP0101</t>
  </si>
  <si>
    <t>Storm Water Sump-2 Roof Framing Plan</t>
  </si>
  <si>
    <t>S-SW1-BM0101</t>
  </si>
  <si>
    <t>S-SW1-BM0102</t>
  </si>
  <si>
    <t>S-SW1-BM0103</t>
  </si>
  <si>
    <t>S-SW1-BM0104</t>
  </si>
  <si>
    <t>S-SW1-BM0105</t>
  </si>
  <si>
    <t>S-SW1-BM0106</t>
  </si>
  <si>
    <t>S-SW1-BM0107</t>
  </si>
  <si>
    <t>S-SW1-BM0108</t>
  </si>
  <si>
    <t>S-SW1-BM0109</t>
  </si>
  <si>
    <t>BEAM B-9 REINFORCEMENT DETAIL (SHEET 1)</t>
  </si>
  <si>
    <t>S-SW1-BM0110</t>
  </si>
  <si>
    <t>BEAM B-9 REINFORCEMENT DETAIL (SHEET 2)</t>
  </si>
  <si>
    <t>S-SW1-BM0111</t>
  </si>
  <si>
    <t>S-SW1-BM0112</t>
  </si>
  <si>
    <t>BEAM B-11 REINFORCEMENT DETAIL (SHEET 1)</t>
  </si>
  <si>
    <t>S-SW1-BM0113</t>
  </si>
  <si>
    <t>BEAM B-11 REINFORCEMENT DETAIL (SHEET 2)</t>
  </si>
  <si>
    <t>S-SW1-BM0114</t>
  </si>
  <si>
    <t>BEAM MHB-1 &amp;2 REINFORCEMENT DETAIL</t>
  </si>
  <si>
    <t>S-UT1-BM0001</t>
  </si>
  <si>
    <t>S-UT1-BM0101</t>
  </si>
  <si>
    <t>Beam B-1 Reinforcement Detail</t>
  </si>
  <si>
    <t>S-UT1-BM0102</t>
  </si>
  <si>
    <t>Beam B-2 Reinforcement Detail (Sheet 1)</t>
  </si>
  <si>
    <t>S-UT1-BM0103</t>
  </si>
  <si>
    <t>Beam B-2 Reinforcement Detail (Sheet 2)</t>
  </si>
  <si>
    <t>S-UT1-BM0104</t>
  </si>
  <si>
    <t>Beam B-3 Reinforcement Detail (Sheet 1)</t>
  </si>
  <si>
    <t>S-UT1-BM0105</t>
  </si>
  <si>
    <t>Beam B-3 Reinforcement Detail (Sheet 2)</t>
  </si>
  <si>
    <t>S-UT1-BM0106</t>
  </si>
  <si>
    <t>Beam B-4 Reinforcement Detail (Sheet 1)</t>
  </si>
  <si>
    <t>S-UT1-BM0107</t>
  </si>
  <si>
    <t>Beam B-4 Reinforcement Detail (Sheet 2)</t>
  </si>
  <si>
    <t>S-UT1-BM0108</t>
  </si>
  <si>
    <t>Beam B-5 Reinforcement Detail</t>
  </si>
  <si>
    <t>S-UT1-BM0109</t>
  </si>
  <si>
    <t>Beam B-6 Reinforcement Detail (Sheet 1)</t>
  </si>
  <si>
    <t>S-UT1-BM0110</t>
  </si>
  <si>
    <t>Beam B-6 Reinforcement Detail (Sheet 2)</t>
  </si>
  <si>
    <t>S-UT1-BM0111</t>
  </si>
  <si>
    <t>Beam B-7 Reinforcement Detail (Sheet 1)</t>
  </si>
  <si>
    <t>S-UT1-BM0112</t>
  </si>
  <si>
    <t>Beam B-7 Reinforcement Detail (Sheet 2)</t>
  </si>
  <si>
    <t>S-UT1-BM0113</t>
  </si>
  <si>
    <t>Beam B-8 Reinforcement Detail</t>
  </si>
  <si>
    <t>S-UT1-BM0114</t>
  </si>
  <si>
    <t>Beam B-9 Reinforcement Detail</t>
  </si>
  <si>
    <t>S-UT1-BM0115</t>
  </si>
  <si>
    <t>Beam B-10 Reinforcement Detail (Sheet 1)</t>
  </si>
  <si>
    <t>S-UT1-BM0116</t>
  </si>
  <si>
    <t>Beam B-10 Reinforcement Detail (Sheet 2)</t>
  </si>
  <si>
    <t>S-UT1-BM0117</t>
  </si>
  <si>
    <t>Beam B-11 Reinforcement Detail</t>
  </si>
  <si>
    <t>S-UT1-BM0118</t>
  </si>
  <si>
    <t>Beam B-12 Reinforcement Detail (Sheet 1)</t>
  </si>
  <si>
    <t>S-UT1-BM0119</t>
  </si>
  <si>
    <t>Beam B-12 Reinforcement Detail (Sheet 2)</t>
  </si>
  <si>
    <t>S-UT1-BM0120</t>
  </si>
  <si>
    <t>Beam B-13 Reinforcement Detail (Sheet 1)</t>
  </si>
  <si>
    <t>S-UT1-BM0121</t>
  </si>
  <si>
    <t>Beam B-13 Reinforcement Detail (Sheet 2)</t>
  </si>
  <si>
    <t>S-UT1-BM0122</t>
  </si>
  <si>
    <t>Beam B-14 Reinforcement Detail</t>
  </si>
  <si>
    <t>S-UT1-BM0123</t>
  </si>
  <si>
    <t>Beam B-15 Reinforcement Detail</t>
  </si>
  <si>
    <t>S-UT1-BM0124</t>
  </si>
  <si>
    <t>Beam B-16 Reinforcement Detail</t>
  </si>
  <si>
    <t>S-UT1-BM0125</t>
  </si>
  <si>
    <t>Beam B-17 &amp; MHB Reinforcement Detail</t>
  </si>
  <si>
    <t>S-UT1-BM0126</t>
  </si>
  <si>
    <t>Beam B-18 Reinforcement Detail</t>
  </si>
  <si>
    <t>S-UT1-BM0127</t>
  </si>
  <si>
    <t>Beam B-19 Reinforcement Detail (Sheet 1)</t>
  </si>
  <si>
    <t>S-UT1-BM0128</t>
  </si>
  <si>
    <t>Beam B-19 Reinforcement Detail (Sheet 2)</t>
  </si>
  <si>
    <t>S-ST1-BM0101</t>
  </si>
  <si>
    <t>S-ST1-BM0102</t>
  </si>
  <si>
    <t xml:space="preserve">Beam B-2 Reinforcement Detail </t>
  </si>
  <si>
    <t>S-ST1-BM0103</t>
  </si>
  <si>
    <t>Beam B-3 Reinforcement Detail</t>
  </si>
  <si>
    <t>S-ST1-BM0104</t>
  </si>
  <si>
    <t xml:space="preserve">Beam B-4 Reinforcement Detail </t>
  </si>
  <si>
    <t>S-ST1-BM0105</t>
  </si>
  <si>
    <t>Beam B-5 Reinforcement Detail (Sheet 1)</t>
  </si>
  <si>
    <t>S-ST1-BM0106</t>
  </si>
  <si>
    <t>Beam B-5 Reinforcement Detail (Sheet 2)</t>
  </si>
  <si>
    <t>S-ST1-BM0107</t>
  </si>
  <si>
    <t>S-ST1-BM0108</t>
  </si>
  <si>
    <t>S-ST1-BM0109</t>
  </si>
  <si>
    <t xml:space="preserve">Beam B-7 Reinforcement Detail </t>
  </si>
  <si>
    <t>S-ST1-BM0110</t>
  </si>
  <si>
    <t>Beam B-8 Reinforcement Detail (Sheet 1)</t>
  </si>
  <si>
    <t>S-ST1-BM0111</t>
  </si>
  <si>
    <t>Beam B-8 Reinforcement Detail (Sheet 2)</t>
  </si>
  <si>
    <t>S-ST1-BM0112</t>
  </si>
  <si>
    <t xml:space="preserve">Beam B-9 Reinforcement Detail </t>
  </si>
  <si>
    <t>S-ST1-BM0113</t>
  </si>
  <si>
    <t>S-ST1-BM0114</t>
  </si>
  <si>
    <t>S-ST1-BM0115</t>
  </si>
  <si>
    <t>S-ST1-BM0116</t>
  </si>
  <si>
    <t>S-ST1-BM0117</t>
  </si>
  <si>
    <t>S-ST1-BM0118</t>
  </si>
  <si>
    <t>Beam B-13 Reinforcement Detail</t>
  </si>
  <si>
    <t>S-ST1-BM0119</t>
  </si>
  <si>
    <t>Beam B-14 Reinforcement Detail (Sheet 1)</t>
  </si>
  <si>
    <t>S-ST1-BM0120</t>
  </si>
  <si>
    <t>Beam B-14 Reinforcement Detail (Sheet 2)</t>
  </si>
  <si>
    <t>S-ST1-BM0121</t>
  </si>
  <si>
    <t>Beam B-15 Reinforcement Detail (Sheet 1)</t>
  </si>
  <si>
    <t>S-ST1-BM0122</t>
  </si>
  <si>
    <t>Beam B-15 Reinforcement Detail (Sheet 2)</t>
  </si>
  <si>
    <t>S-ST1-BM0123</t>
  </si>
  <si>
    <t>S-ST1-BM0124</t>
  </si>
  <si>
    <t>Beam B-17 Reinforcement Detail (Sheet 1)</t>
  </si>
  <si>
    <t>S-ST1-BM0125</t>
  </si>
  <si>
    <t>Beam B-17 Reinforcement Detail (Sheet 2)</t>
  </si>
  <si>
    <t>S-ST1-BM0126</t>
  </si>
  <si>
    <t>S-ST1-BM0127</t>
  </si>
  <si>
    <t>Beam B-19 Reinforcement Detail</t>
  </si>
  <si>
    <t>S-ST1-BM0128</t>
  </si>
  <si>
    <t>Beam B-20 Reinforcement Detail (Sheet 1)</t>
  </si>
  <si>
    <t>S-ST1-BM0129</t>
  </si>
  <si>
    <t>Beam B-20 Reinforcement Detail (Sheet 2)</t>
  </si>
  <si>
    <t>S-ST1-BM0130</t>
  </si>
  <si>
    <t>Beam B-21 Reinforcement Detail (Sheet 1)</t>
  </si>
  <si>
    <t>S-ST1-BM0131</t>
  </si>
  <si>
    <t>Beam B-21 Reinforcement Detail (Sheet 2)</t>
  </si>
  <si>
    <t>S-ST1-BM0132</t>
  </si>
  <si>
    <t>Beam B-22 &amp; B-23 Reinforcement Detail</t>
  </si>
  <si>
    <t>S-ST1-BM0133</t>
  </si>
  <si>
    <t>Beam B-24 Reinforcement Detail (Sheet 1)</t>
  </si>
  <si>
    <t>S-ST1-BM0134</t>
  </si>
  <si>
    <t>Beam B-24 Reinforcement Detail (Sheet 2)</t>
  </si>
  <si>
    <t>S-UT2-BM0101</t>
  </si>
  <si>
    <t>S-UT2-BM0102</t>
  </si>
  <si>
    <t>BEAM REINF. DETAILS (SHEET 01)</t>
  </si>
  <si>
    <t>S-UT2-BM0103</t>
  </si>
  <si>
    <t>BEAM REINF. DETAILS (SHEET 02)</t>
  </si>
  <si>
    <t>S-SW2-BM0101</t>
  </si>
  <si>
    <t>S-SW2-BM0102</t>
  </si>
  <si>
    <t xml:space="preserve">BEAM REINFORCEMENT DETAILS </t>
  </si>
  <si>
    <t>S-SW1-SB0101</t>
  </si>
  <si>
    <t>PLAN SHOWING BOTTTOM REINFORCEMENT OF ROOF SLAB (X-DIRECTION)</t>
  </si>
  <si>
    <t>S-SW1-SB0102</t>
  </si>
  <si>
    <t>PLAN SHOWING BOTTTOM REINFORCEMENT OF ROOF SLAB (Y-DIRECTION)</t>
  </si>
  <si>
    <t>S-SW1-SB0103</t>
  </si>
  <si>
    <t>PLAN SHOWING TOP REINFORCEMENT OF ROOF SLAB (X-DIRECTION)</t>
  </si>
  <si>
    <t>S-SW1-SB0104</t>
  </si>
  <si>
    <t>PLAN SHOWING TOP REINFORCEMENT OF ROOF SLAB (Y-DIRECTION)</t>
  </si>
  <si>
    <t>S-UT1-SBGN01</t>
  </si>
  <si>
    <t>S-UT1-SB0001</t>
  </si>
  <si>
    <t>Plan Showing Slab Bottom Reinf. of UGT Roof lvl(Y-Dir)</t>
  </si>
  <si>
    <t>S-UT1-SB0002</t>
  </si>
  <si>
    <t>Plan Showing Slab Top Reinf. of UGT Roof lvl(X-Dir)</t>
  </si>
  <si>
    <t>S-UT1-SB0003</t>
  </si>
  <si>
    <t>BBS for Slab Top  Reinforcement of UGT Roff Lvl</t>
  </si>
  <si>
    <t>S-UT1-SB0004</t>
  </si>
  <si>
    <t>Plan Showing Slab Bottom Reinf. of UGT Roof lvl(X-Dir)</t>
  </si>
  <si>
    <t>S-UT1-SB0005</t>
  </si>
  <si>
    <t>Plan Showing Slab Top Reinf. of UGT Roof lvl(Y-Dir)</t>
  </si>
  <si>
    <t>S-UT1-SB0006</t>
  </si>
  <si>
    <t>BBS for Slab Bottom  Reinforcement of UGT Roff Lvl</t>
  </si>
  <si>
    <t>S-ST1-SB0001</t>
  </si>
  <si>
    <t>Plan Showing Slab Bottom Reinforcement of STP-1 (X-dir)</t>
  </si>
  <si>
    <t>S-ST1-SB0002</t>
  </si>
  <si>
    <t>Plan Showing Slab Bottom Reinforcement of STP-1 (Y-dir)</t>
  </si>
  <si>
    <t>S-ST1-SB0003</t>
  </si>
  <si>
    <t>BBS for Slab Bottom Reinforcment of STP-1 (X dir)</t>
  </si>
  <si>
    <t>S-ST1-SB0004</t>
  </si>
  <si>
    <t>BBS for Slab Bottom Reinforcment of STP-1 (Y dir)</t>
  </si>
  <si>
    <t>S-ST1-SB0005</t>
  </si>
  <si>
    <t>Plan Showing Slab Top Reinforcement of STP-1 (X-dir)</t>
  </si>
  <si>
    <t>S-ST1-SB0006</t>
  </si>
  <si>
    <t>Plan Showing Slab Top Reinforcement of STP-1 (Y-dir)</t>
  </si>
  <si>
    <t>S-ST1-SB0007</t>
  </si>
  <si>
    <t>BBS for Slab Top Reinforcment of STP-1 (X dir)</t>
  </si>
  <si>
    <t>S-ST1-SB0008</t>
  </si>
  <si>
    <t>BBS for Slab Top Reinforcment of STP-1 (Y dir)</t>
  </si>
  <si>
    <t>S-ST1-SB0009</t>
  </si>
  <si>
    <t>Typ. Slab Details for Walkway Lvl (93.000)</t>
  </si>
  <si>
    <t>S-SW2-SB0001</t>
  </si>
  <si>
    <t>PLAN SHOWING BOTTOM REINFORCEMENT (SHEET-1)</t>
  </si>
  <si>
    <t>S-SW2-SB0002</t>
  </si>
  <si>
    <t>PLAN SHOWING BOTTOM REINFORCEMENT (SHEET-2)</t>
  </si>
  <si>
    <t>S-SW2-SB0003</t>
  </si>
  <si>
    <t>BBS FOR SLAB BOTTOM REINFORCEMENT (SHEET-3)</t>
  </si>
  <si>
    <t>S-SW2-SB0004</t>
  </si>
  <si>
    <t>PLAN SHOWING TOP REINFORCEMENT (SHEET-4)</t>
  </si>
  <si>
    <t>S-SW2-SB0005</t>
  </si>
  <si>
    <t>PLAN SHOWING TOP REINFORCEMENT (SHEET-5)</t>
  </si>
  <si>
    <t>S-SW2-SB0006</t>
  </si>
  <si>
    <t>BBS FOR SLAB TOP REINFORCEMENT (SHEET-6)</t>
  </si>
  <si>
    <t>S-UT2-SB0001</t>
  </si>
  <si>
    <t>PLAN SHOWING SLAB BOTTOM REINF OF UGT2 ROOF LVL  (X-DIR)</t>
  </si>
  <si>
    <t>S-UT2-SB0002</t>
  </si>
  <si>
    <t>PLAN SHOWING SLAB BOTTOM REINF OF UGT2 ROOF LVL  (Y-DIR)</t>
  </si>
  <si>
    <t>S-UT2-SB0003</t>
  </si>
  <si>
    <t xml:space="preserve">BBS OF BOTTOM REINF. OF UGT2 ROOF LVL </t>
  </si>
  <si>
    <t>S-UT2-SB0004</t>
  </si>
  <si>
    <t>PLAN SHOWING SLAB TOP REINF OF UGT2 ROOF LVL  (X-DIR)</t>
  </si>
  <si>
    <t>S-UT2-SB0005</t>
  </si>
  <si>
    <t>PLAN SHOWING SLAB TOP REINF OF UGT2 ROOF LVL  (Y-DIR)</t>
  </si>
  <si>
    <t>S-UT2-SB0006</t>
  </si>
  <si>
    <t>BBS OF TOP REINF. OF UGT2 ROOF LVL (SHEET-1)</t>
  </si>
  <si>
    <t>S-UT2-SB0007</t>
  </si>
  <si>
    <t>BBS OF TOP REINF. OF UGT2 ROOF LVL (SHEET-2)</t>
  </si>
  <si>
    <t>S-ST1-ST0001</t>
  </si>
  <si>
    <t>STP STAIRCASE DETAILS (SHEET-1)</t>
  </si>
  <si>
    <t>S-ST1-ST0002</t>
  </si>
  <si>
    <t>STP STAIRCASE DETAILS (SHEET-2)</t>
  </si>
  <si>
    <t>BEAM REINFORCEMENT DETAILS</t>
  </si>
  <si>
    <t>SLAB REINFORCEMENT DETAILS</t>
  </si>
  <si>
    <t>S-CHB-FD0001</t>
  </si>
  <si>
    <t>Foundation layout</t>
  </si>
  <si>
    <t>ST-AMN-1</t>
  </si>
  <si>
    <t>S-CHB-FD0002</t>
  </si>
  <si>
    <t>Plan showing bottom longitudinal reinforcement details(Sheet 1)</t>
  </si>
  <si>
    <t>S-CHB-FD0003</t>
  </si>
  <si>
    <t>Plan showing top longitudinal reinforcement details(Sheet 2)</t>
  </si>
  <si>
    <t>S-CHB-FD0004</t>
  </si>
  <si>
    <t>Plan showing bottom transverse reinforcement details(Sheet 3)</t>
  </si>
  <si>
    <t>S-CHB-FD0005</t>
  </si>
  <si>
    <t>Plan showing top  transverse reinforcement details(Sheet 4)</t>
  </si>
  <si>
    <t>S-CHB-FD0006</t>
  </si>
  <si>
    <t>Clubhouse Isolated Foundation Details</t>
  </si>
  <si>
    <t>S-CHB-FD0007</t>
  </si>
  <si>
    <t>Isolated Footing Details For Suite</t>
  </si>
  <si>
    <t>S-CHB-FD0008</t>
  </si>
  <si>
    <t>Plan Showing Bottom Reinf. For Suite Foundation</t>
  </si>
  <si>
    <t>S-CHB-FD0009</t>
  </si>
  <si>
    <t>Plan Showing Top Reinf. For Suite Foundation</t>
  </si>
  <si>
    <t>S-CHB-CL0001</t>
  </si>
  <si>
    <t>Column details(Sheet 1)</t>
  </si>
  <si>
    <t>S-CHB-CL0002</t>
  </si>
  <si>
    <t>Column details(Sheet 2)</t>
  </si>
  <si>
    <t>S-CHB-CL0003</t>
  </si>
  <si>
    <t>Column details(Sheet 3)</t>
  </si>
  <si>
    <t>S-CHB-CL0004</t>
  </si>
  <si>
    <t>Typical Column Lapping details</t>
  </si>
  <si>
    <t>S-CHB-RW0001</t>
  </si>
  <si>
    <t>Retaining wall typical detail</t>
  </si>
  <si>
    <t>S-CHB-RW0002</t>
  </si>
  <si>
    <t>Wall reinforcement details(Sheet 1)</t>
  </si>
  <si>
    <t>S-CHB-RW0003</t>
  </si>
  <si>
    <t>Wall reinforcement details(Sheet 2)</t>
  </si>
  <si>
    <t>S-CHB-RW0004</t>
  </si>
  <si>
    <t>Wall reinforcement details(Sheet 3)</t>
  </si>
  <si>
    <t>S-CHB-SP0003</t>
  </si>
  <si>
    <t>Heated pool  roof layout</t>
  </si>
  <si>
    <t>ST-AMN-3</t>
  </si>
  <si>
    <t>S-CHB-SP0004</t>
  </si>
  <si>
    <t>Heated pool and sump reinf. Details</t>
  </si>
  <si>
    <t>S-CHB-SP0005</t>
  </si>
  <si>
    <t>Heated pool pedestal and steel column base connection  Detail</t>
  </si>
  <si>
    <t>S-CHB-SP0006</t>
  </si>
  <si>
    <t>Plan showing roof slab reinf details</t>
  </si>
  <si>
    <t>S-CHB-SP0007</t>
  </si>
  <si>
    <t>Roof slab steel connection detail</t>
  </si>
  <si>
    <t>S-CHB-MS0001</t>
  </si>
  <si>
    <t>Entrance Support Details</t>
  </si>
  <si>
    <t>S-CHB-MS0002</t>
  </si>
  <si>
    <t>Beam and Column Anchorage Details for Lift</t>
  </si>
  <si>
    <t>S-CHB-MS0003</t>
  </si>
  <si>
    <t>Kitchen Sump Tank Detail</t>
  </si>
  <si>
    <t>S-CHB-MS0004</t>
  </si>
  <si>
    <t>Club House Service Yard Details</t>
  </si>
  <si>
    <t>S-CHB-MS0005</t>
  </si>
  <si>
    <t>Sevice Yard Roof Connection Details</t>
  </si>
  <si>
    <t>S-CHB-FP0101</t>
  </si>
  <si>
    <t>S-CHB-FP0201</t>
  </si>
  <si>
    <t>S-CHB-BMGN01</t>
  </si>
  <si>
    <t>S-CHB-BM0101</t>
  </si>
  <si>
    <t>BEAM 1 REINFORCEMENT DETAIL</t>
  </si>
  <si>
    <t>S-CHB-BM0102</t>
  </si>
  <si>
    <t>BEAM 2 REINFORCEMENT DETAIL</t>
  </si>
  <si>
    <t>S-CHB-BM0103</t>
  </si>
  <si>
    <t>BEAM 3 REINFORCEMENT DETAIL</t>
  </si>
  <si>
    <t>S-CHB-BM0104</t>
  </si>
  <si>
    <t>BEAM 4 REINFORCEMENT DETAIL</t>
  </si>
  <si>
    <t>S-CHB-BM0105</t>
  </si>
  <si>
    <t>BEAM 5 REINFORCEMENT DETAIL</t>
  </si>
  <si>
    <t>S-CHB-BM0106</t>
  </si>
  <si>
    <t>BEAM 6 REINFORCEMENT DETAIL</t>
  </si>
  <si>
    <t>S-CHB-BM0107</t>
  </si>
  <si>
    <t>BEAM 7 REINFORCEMENT DETAIL</t>
  </si>
  <si>
    <t>S-CHB-BM0108</t>
  </si>
  <si>
    <t>BEAM 8 REINFORCEMENT DETAIL</t>
  </si>
  <si>
    <t>S-CHB-BM0109</t>
  </si>
  <si>
    <t>BEAM 9 REINFORCEMENT DETAIL</t>
  </si>
  <si>
    <t>S-CHB-BM0110</t>
  </si>
  <si>
    <t>BEAM 10 REINFORCEMENT DETAIL</t>
  </si>
  <si>
    <t>S-CHB-BM0111</t>
  </si>
  <si>
    <t>BEAM 11 REINFORCEMENT DETAIL</t>
  </si>
  <si>
    <t>S-CHB-BM0112</t>
  </si>
  <si>
    <t>BEAM 12 REINFORCEMENT DETAIL</t>
  </si>
  <si>
    <t>S-CHB-BM0113</t>
  </si>
  <si>
    <t>BEAM 13 REINFORCEMENT DETAIL</t>
  </si>
  <si>
    <t>S-CHB-BM0114</t>
  </si>
  <si>
    <t>BEAM 14 &amp; 15 REINFORCEMENT DETAIL</t>
  </si>
  <si>
    <t>S-CHB-BM0115</t>
  </si>
  <si>
    <t>BEAM 16 REINFORCEMENT DETAIL</t>
  </si>
  <si>
    <t>S-CHB-BM0116</t>
  </si>
  <si>
    <t>BEAM 17 REINFORCEMENT DETAIL</t>
  </si>
  <si>
    <t>S-CHB-BM0117</t>
  </si>
  <si>
    <t>BEAM 18 REINFORCEMENT DETAIL</t>
  </si>
  <si>
    <t>S-CHB-BM0118</t>
  </si>
  <si>
    <t>BEAM 19 REINFORCEMENT DETAIL</t>
  </si>
  <si>
    <t>S-CHB-BM0119</t>
  </si>
  <si>
    <t>BEAM 20 REINFORCEMENT DETAIL</t>
  </si>
  <si>
    <t>S-CHB-BM0120</t>
  </si>
  <si>
    <t>BEAM 21 REINFORCEMENT DETAIL</t>
  </si>
  <si>
    <t>S-CHB-BM0121</t>
  </si>
  <si>
    <t>BEAM 22 REINFORCEMENT DETAIL</t>
  </si>
  <si>
    <t>S-CHB-BM0122</t>
  </si>
  <si>
    <t>BEAM 23 &amp; 24 REINFORCEMENT DETAIL</t>
  </si>
  <si>
    <t>S-CHB-BM0123</t>
  </si>
  <si>
    <t>BEAM 25 REINFORCEMENT DETAIL</t>
  </si>
  <si>
    <t>S-CHB-BM0124</t>
  </si>
  <si>
    <t>BEAM 26 REINFORCEMENT DETAIL</t>
  </si>
  <si>
    <t>S-CHB-BM0125</t>
  </si>
  <si>
    <t>BEAM 27 REINFORCEMENT DETAIL</t>
  </si>
  <si>
    <t>S-CHB-BM0126</t>
  </si>
  <si>
    <t>BEAM 28 REINFORCEMENT DETAIL</t>
  </si>
  <si>
    <t>S-CHB-BM0127</t>
  </si>
  <si>
    <t>BEAM 29 &amp;30 REINFORCEMENT DETAIL</t>
  </si>
  <si>
    <t>S-CHB-BM0128</t>
  </si>
  <si>
    <t>BEAM 31  &amp;32 REINFORCEMENT DETAIL</t>
  </si>
  <si>
    <t>S-CHB-BM0129</t>
  </si>
  <si>
    <t>BEAM 33 REINFORCEMENT DETAIL</t>
  </si>
  <si>
    <t>S-CHB-BM0130</t>
  </si>
  <si>
    <t>BEAM 34 REINFORCEMENT DETAIL</t>
  </si>
  <si>
    <t>S-CHB-BM0131</t>
  </si>
  <si>
    <t>BEAM 35 REINFORCEMENT DETAIL</t>
  </si>
  <si>
    <t>S-CHB-BM0132</t>
  </si>
  <si>
    <t>BEAM 36 REINFORCEMENT DETAIL</t>
  </si>
  <si>
    <t>S-CHB-BM0133</t>
  </si>
  <si>
    <t>BEAM 37 REINFORCEMENT DETAIL</t>
  </si>
  <si>
    <t>S-CHB-BM0134</t>
  </si>
  <si>
    <t>BEAM 38 REINFORCEMENT DETAIL</t>
  </si>
  <si>
    <t>S-CHB-BM0135</t>
  </si>
  <si>
    <t>BEAM 39 REINFORCEMENT DETAIL</t>
  </si>
  <si>
    <t>S-CHB-BM0136</t>
  </si>
  <si>
    <t>SSL01 BEAM DETAILS BETWEEN GRID 1.8 TO 1.14</t>
  </si>
  <si>
    <t>S-CHB-BM0201</t>
  </si>
  <si>
    <t>BEAM B-35 REINFORCEMENT DETAIL (SHEET 1)</t>
  </si>
  <si>
    <t>S-CHB-BM0202</t>
  </si>
  <si>
    <t>BEAM B-35 REINFORCEMENT DETAIL (SHEET 2)</t>
  </si>
  <si>
    <t>S-CHB-BM0203</t>
  </si>
  <si>
    <t>BEAM B-48 REINFORCEMENT DETAIL (SHEET 1)</t>
  </si>
  <si>
    <t>S-CHB-BM0204</t>
  </si>
  <si>
    <t>BEAM B-48 REINFORCEMENT DETAIL (SHEET 2)</t>
  </si>
  <si>
    <t>S-CHB-BM0205</t>
  </si>
  <si>
    <t>BEAM B-49 REINFORCEMENT DETAIL</t>
  </si>
  <si>
    <t>S-CHB-BM0206</t>
  </si>
  <si>
    <t>S-CHB-BM0207</t>
  </si>
  <si>
    <t>BEAM B-51 REINFORCEMENT DETAIL</t>
  </si>
  <si>
    <t>S-CHB-BM0208</t>
  </si>
  <si>
    <t>BEAM B-52 REINFORCEMENT DETAIL</t>
  </si>
  <si>
    <t>S-CHB-BM0209</t>
  </si>
  <si>
    <t>BEAM B-53 REINFORCEMENT DETAIL</t>
  </si>
  <si>
    <t>S-CHB-BM0210</t>
  </si>
  <si>
    <t>BEAM B-54 REINFORCEMENT DETAIL</t>
  </si>
  <si>
    <t>S-CHB-BM0211</t>
  </si>
  <si>
    <t>S-CHB-BM0212</t>
  </si>
  <si>
    <t>BEAM B-56 REINFORCEMENT DETAIL</t>
  </si>
  <si>
    <t>S-CHB-BM0213</t>
  </si>
  <si>
    <t>BEAM B-57 REINFORCEMENT DETAIL</t>
  </si>
  <si>
    <t>S-CHB-BM0214</t>
  </si>
  <si>
    <t>BEAM B-58 REINFORCEMENT DETAIL</t>
  </si>
  <si>
    <t>S-CHB-BM0215</t>
  </si>
  <si>
    <t>BEAM B-59 REINFORCEMENT DETAIL (SHEET 1)</t>
  </si>
  <si>
    <t>S-CHB-BM0216</t>
  </si>
  <si>
    <t>BEAM B-59 REINFORCEMENT DETAIL (SHEET 2)</t>
  </si>
  <si>
    <t>S-CHB-BM0217</t>
  </si>
  <si>
    <t>BEAM B2 REINF. DETAIL(SHEET 1)</t>
  </si>
  <si>
    <t>S-CHB-BM0218</t>
  </si>
  <si>
    <t>BEAM B2 REINF. DETAIL(SHEET 2)</t>
  </si>
  <si>
    <t>S-CHB-BM0219</t>
  </si>
  <si>
    <t>BEAM B2 REINF. DETAIL(SHEET 3)</t>
  </si>
  <si>
    <t>S-CHB-BM0220</t>
  </si>
  <si>
    <t>BEAM B3 REINFORCEMENT DETAIL</t>
  </si>
  <si>
    <t>S-CHB-BM0221</t>
  </si>
  <si>
    <t>BEAM B4 REINFORCEMENT DETAIL</t>
  </si>
  <si>
    <t>S-CHB-BM0222</t>
  </si>
  <si>
    <t>BEAM B5 REINFORCEMENT DETAIL</t>
  </si>
  <si>
    <t>S-CHB-BM0223</t>
  </si>
  <si>
    <t>BEAM B6 REINFORCEMENT DETAIL</t>
  </si>
  <si>
    <t>S-CHB-BM0224</t>
  </si>
  <si>
    <t>BEAM B7 REINFORCEMENT DETAIL</t>
  </si>
  <si>
    <t>S-CHB-BM0225</t>
  </si>
  <si>
    <t>BEAM B8 REINF DETAIL(SHEET 1)</t>
  </si>
  <si>
    <t>S-CHB-BM0226</t>
  </si>
  <si>
    <t>BEAM B8 REINF DETAIL(SHEET 2)</t>
  </si>
  <si>
    <t>S-CHB-BM0227</t>
  </si>
  <si>
    <t>BEAM B8 REINF DETAIL(SHEET 3)</t>
  </si>
  <si>
    <t>S-CHB-BM0228</t>
  </si>
  <si>
    <t>BEAM B9 REINFORCEMENT DETAIL</t>
  </si>
  <si>
    <t>S-CHB-BM0229</t>
  </si>
  <si>
    <t>BEAM B10 REINFORCEMENT DETAIL</t>
  </si>
  <si>
    <t>S-CHB-BM0230</t>
  </si>
  <si>
    <t>BEAM B11 REINFORCEMENT DETAIL</t>
  </si>
  <si>
    <t>S-CHB-BM0231</t>
  </si>
  <si>
    <t>BEAM B12 REINFORCEMENT DETAIL</t>
  </si>
  <si>
    <t>S-CHB-BM0232</t>
  </si>
  <si>
    <t>BEAM B13 REINFORCEMENT DETAIL</t>
  </si>
  <si>
    <t>S-CHB-BM0233</t>
  </si>
  <si>
    <t>BEAM B14 REINFORCEMENT DETAIL</t>
  </si>
  <si>
    <t>S-CHB-BM0234</t>
  </si>
  <si>
    <t>BEAM B15 REINFORCEMENT DETAIL</t>
  </si>
  <si>
    <t>S-CHB-BM0235</t>
  </si>
  <si>
    <t>BEAM B16 REINFORCEMENT DETAIL</t>
  </si>
  <si>
    <t>S-CHB-BM0236</t>
  </si>
  <si>
    <t>BEAM B17 REINFORCEMENT DETAIL</t>
  </si>
  <si>
    <t>S-CHB-BM0237</t>
  </si>
  <si>
    <t>BEAM B18 REINFORCEMENT DETAIL</t>
  </si>
  <si>
    <t>S-CHB-BM0238</t>
  </si>
  <si>
    <t>BEAM B19 REINFORCEMENT DETAIL</t>
  </si>
  <si>
    <t>S-CHB-BM0239</t>
  </si>
  <si>
    <t>BEAM B20 REINFORCEMENT DETAIL</t>
  </si>
  <si>
    <t>S-CHB-BM0240</t>
  </si>
  <si>
    <t>BEAM B21 REINFORCEMENT DETAIL</t>
  </si>
  <si>
    <t>S-CHB-BM0241</t>
  </si>
  <si>
    <t>BEAM B22 REINFORCEMENT DETAIL</t>
  </si>
  <si>
    <t>S-CHB-BM0242</t>
  </si>
  <si>
    <t>BEAM B23 REINFORCEMENT DETAIL</t>
  </si>
  <si>
    <t>S-CHB-BM0243</t>
  </si>
  <si>
    <t>BEAM B24 REINFORCEMENT DETAIL</t>
  </si>
  <si>
    <t>S-CHB-BM0244</t>
  </si>
  <si>
    <t>BEAM B25 REINFORCEMENT DETAIL</t>
  </si>
  <si>
    <t>S-CHB-BM0245</t>
  </si>
  <si>
    <t>BEAM B26 REINFORCEMENT DETAIL</t>
  </si>
  <si>
    <t>S-CHB-BM0246</t>
  </si>
  <si>
    <t>BEAM B27 REINFORCEMENT DETAIL</t>
  </si>
  <si>
    <t>S-CHB-BM0247</t>
  </si>
  <si>
    <t>BEAM B28 REINFORCEMENT DETAIL</t>
  </si>
  <si>
    <t>S-CHB-BM0248</t>
  </si>
  <si>
    <t>BEAM B29 REINFORCEMENT DETAIL</t>
  </si>
  <si>
    <t>S-CHB-BM0249</t>
  </si>
  <si>
    <t>BEAM B30 REINFORCEMENT DETAIL</t>
  </si>
  <si>
    <t>S-CHB-BM0250</t>
  </si>
  <si>
    <t>BEAM B31 REINFORCEMENT DETAIL</t>
  </si>
  <si>
    <t>S-CHB-BM0251</t>
  </si>
  <si>
    <t>BEAM B32 REINFORCEMENT DETAIL</t>
  </si>
  <si>
    <t>S-CHB-BM0252</t>
  </si>
  <si>
    <t>BEAM B33 REINFORCEMENT DETAIL</t>
  </si>
  <si>
    <t>S-CHB-BM0253</t>
  </si>
  <si>
    <t>BEAM B34 REINFORCEMENT DETAIL</t>
  </si>
  <si>
    <t>S-CHB-BM0254</t>
  </si>
  <si>
    <t>BEAM B35 REINFORCEMENT DETAIL</t>
  </si>
  <si>
    <t>S-CHB-BM0255</t>
  </si>
  <si>
    <t>BEAM B36 &amp;B37 REINFORCEMENT DETAIL</t>
  </si>
  <si>
    <t>S-CHB-BM0256</t>
  </si>
  <si>
    <t>BEAM B38 REINFORCEMENT DETAIL</t>
  </si>
  <si>
    <t>S-CHB-BM0257</t>
  </si>
  <si>
    <t>BEAM B39 REINFORCEMENT DETAIL</t>
  </si>
  <si>
    <t>S-CHB-BM0258</t>
  </si>
  <si>
    <t>S-CHB-BM0259</t>
  </si>
  <si>
    <t>BEAM B42 REINFORCEMENT DETAIL</t>
  </si>
  <si>
    <t>S-CHB-BM0260</t>
  </si>
  <si>
    <t>BEAM B43 REINFORCEMENT DETAIL</t>
  </si>
  <si>
    <t>S-CHB-BM0261</t>
  </si>
  <si>
    <t>S-CHB-BM0262</t>
  </si>
  <si>
    <t>BEAM B45 REINFORCEMENT DETAIL</t>
  </si>
  <si>
    <t>S-CHB-BM0263</t>
  </si>
  <si>
    <t>BEAM B46 REINFORCEMENT DETAIL</t>
  </si>
  <si>
    <t>S-CHB-BM0264</t>
  </si>
  <si>
    <t>BEAM B47 REINFORCEMENT DETAIL</t>
  </si>
  <si>
    <t>S-CHB-BM0265</t>
  </si>
  <si>
    <t>BEAM B48 REINFORCEMENT DETAIL(SHEET 3)</t>
  </si>
  <si>
    <t>S-CHB-BM0266</t>
  </si>
  <si>
    <t>BEAM B2 REINFORCEMENT DETAIL (SHEET 4)</t>
  </si>
  <si>
    <t>S-CHB-BM0267</t>
  </si>
  <si>
    <t>BEAM B2 REINFORCEMENT DETAIL (SHEET 5)</t>
  </si>
  <si>
    <t>S-CHB-BM0268</t>
  </si>
  <si>
    <t>BEAM B60 REINFORCEMENT DETAIL</t>
  </si>
  <si>
    <t>S-CHB-SBGN01</t>
  </si>
  <si>
    <t>S-CHB-SB0101</t>
  </si>
  <si>
    <t>PLAN SHOWING SLAB BOTTTOM AND TOP REINFORCEMETN OF SSL01</t>
  </si>
  <si>
    <t>S-CHB-SB0102</t>
  </si>
  <si>
    <t>BBS OF SLAB BOTTOM AND TOP REINFORCEMENT OF SSL01</t>
  </si>
  <si>
    <t>S-CHB-SB0201</t>
  </si>
  <si>
    <t>PLAN SHOWING SLAB BOTTTOM AND TOP REINFORCEMETN OF SSL02 (grid 1.A to 1.F)</t>
  </si>
  <si>
    <t>S-CHB-SB0202</t>
  </si>
  <si>
    <t>PLAN SHOWING SLAB BOTTOM AND TOP REINFORCEMENT OF SSL2 UPTO GRID 1.2</t>
  </si>
  <si>
    <t>S-CHB-SB0203</t>
  </si>
  <si>
    <t>PLAN SHOWING SLAB BOTTOM REINFORCEMENT(SHEET 3)</t>
  </si>
  <si>
    <t>S-CHB-SB0204</t>
  </si>
  <si>
    <t>PLAN SHOWING SLAB TOP REINFORCEMENT(SHEET 4)</t>
  </si>
  <si>
    <t>S-CHB-SL0101</t>
  </si>
  <si>
    <t>SLEEVE DETAILS AT SSL01</t>
  </si>
  <si>
    <t>S-CHB-SL0102</t>
  </si>
  <si>
    <t>SLEEVES REINFORCEMENT DETAILS FOR SSL1</t>
  </si>
  <si>
    <t>S-CHB-SL0201</t>
  </si>
  <si>
    <t>SLEEVE DETAILS AT SSL02</t>
  </si>
  <si>
    <t>S-CHB-SL0202</t>
  </si>
  <si>
    <t>SLEEVES REINFORCEMENT DETAILS FOR SSL2 (POUR1)</t>
  </si>
  <si>
    <t>S-CHB-SL0203</t>
  </si>
  <si>
    <t>SLEEVES AT RETAINING WALL</t>
  </si>
  <si>
    <t>S-CHB-SL0204</t>
  </si>
  <si>
    <t>S-CHB-SL0205</t>
  </si>
  <si>
    <t>SLEEVE REINFORCEMENT DETAILS FOR SSL02</t>
  </si>
  <si>
    <t>S-CHB-ST0101</t>
  </si>
  <si>
    <t>PLAN AND SECTION OF STAIRCASE 1,2 &amp; 3</t>
  </si>
  <si>
    <t>S-CHB-ST0102</t>
  </si>
  <si>
    <t>STAIRCASE 01 REINFORCEMENT DETAILS</t>
  </si>
  <si>
    <t>S-CHB-ST0103</t>
  </si>
  <si>
    <t>STAIRCASE 02 REINFORCEMENT DETAILS</t>
  </si>
  <si>
    <t>S-CHB-ST0104</t>
  </si>
  <si>
    <t>STAIRCASE 03 REINFORCEMENT DETAILS</t>
  </si>
  <si>
    <t>S-CHB-SP0009</t>
  </si>
  <si>
    <t>FOUNDATION AND COLUMN BASE CONNECTION DETAILS (SHEET 1)</t>
  </si>
  <si>
    <t>S-CHB-SP0010</t>
  </si>
  <si>
    <t>FOUNDATION AND COLUMN BASE CONNECTION DETAILS (SHEET 2)</t>
  </si>
  <si>
    <t>S-AMT-SP0001</t>
  </si>
  <si>
    <t>Swimming Pool base slab reinf  Details</t>
  </si>
  <si>
    <t>S-AMT-SP0002</t>
  </si>
  <si>
    <t>Swimming Pool reinf Details</t>
  </si>
  <si>
    <t>S-AMT-SP0008</t>
  </si>
  <si>
    <t>S-AMT-SP0009</t>
  </si>
  <si>
    <t>S-AMT-SP0010</t>
  </si>
  <si>
    <t>S-AMT-SP0011</t>
  </si>
  <si>
    <t>S-AMT-FD0001</t>
  </si>
  <si>
    <t>CENTRAL GREEN CHANGING AND FILTERATION ROOM</t>
  </si>
  <si>
    <t>S-AMT-FP0001</t>
  </si>
  <si>
    <t>S-AMT-CL0001</t>
  </si>
  <si>
    <t>GENERAL DETAILS FOR COLUMN</t>
  </si>
  <si>
    <t>S-AMT-FD0002</t>
  </si>
  <si>
    <t>CHANGING ROOM FOUNDATION BOTTOM REINF. DETAILS</t>
  </si>
  <si>
    <t>S-AMT-FD0003</t>
  </si>
  <si>
    <t>CHANGING ROOM FOUNDATION TOP REINF. DETAILS</t>
  </si>
  <si>
    <t>S-AMT-FD0004</t>
  </si>
  <si>
    <t>CHANGING ROOM FOUNDATION SHEAR AND COLUMNREINF. DETAILS</t>
  </si>
  <si>
    <t>S-AMT-FD0005</t>
  </si>
  <si>
    <t>CHANGING ROOM FOUNDATION REINF. BBS</t>
  </si>
  <si>
    <t>S-AMT-RW0001</t>
  </si>
  <si>
    <t>Retaining Wall Reinforcement Details RW1</t>
  </si>
  <si>
    <t>S-AMT-RW0002</t>
  </si>
  <si>
    <t>Retaining Wall Reinforcement Details RW2 &amp; RW5</t>
  </si>
  <si>
    <t>S-AMT-RW0003</t>
  </si>
  <si>
    <t>Retaining Wall Reinforcement Details RW3</t>
  </si>
  <si>
    <t>S-AMT-RW0004</t>
  </si>
  <si>
    <t>Retaining Wall Reinforcement Details RW4</t>
  </si>
  <si>
    <t>S-AMT-RW0005</t>
  </si>
  <si>
    <t>Retaining Wall Reinforcement Details RW6 &amp; RW7</t>
  </si>
  <si>
    <t>Sports Complex</t>
  </si>
  <si>
    <t xml:space="preserve"> RETAINING WALL DETAILS</t>
  </si>
  <si>
    <t>BEAM REINFORCEMENT DETAILS—ROOF</t>
  </si>
  <si>
    <t>SLAB REINFORCEMENT DETAILS—ROOF</t>
  </si>
  <si>
    <t>Issued in FY: 25</t>
  </si>
  <si>
    <t>PHE</t>
  </si>
  <si>
    <t>PHE-C01-1011</t>
  </si>
  <si>
    <t>GRADE SLAB BASEMENT FLOOR PLAN SURFACE DRAINAGE LAYOUT</t>
  </si>
  <si>
    <t>PHE-C01-1014</t>
  </si>
  <si>
    <t>SUB SOIL &amp; SURFACE DRAINAGE LAYOUT</t>
  </si>
  <si>
    <t>PHE-C01-1016</t>
  </si>
  <si>
    <t>PHE-C01-1021</t>
  </si>
  <si>
    <t>PHE-C01-1026</t>
  </si>
  <si>
    <t>GRADE SLAB BASEMENT FLOOR PLAN SUB SOIL DRAINAGE LAYOUT</t>
  </si>
  <si>
    <t>ELE-T0I-T02-1012</t>
  </si>
  <si>
    <t>SSL 1 TOWER-1 &amp; 2 BASEMENT CABLE TRAY LAYOUT</t>
  </si>
  <si>
    <t>ELE-T01-1014</t>
  </si>
  <si>
    <t>BASEMENT LIGHTING LAYOUT</t>
  </si>
  <si>
    <t>ELE-T01-T02-1013</t>
  </si>
  <si>
    <t>TOWER-1 &amp; 2 BASEMENT RAY LAYOUT TYPICAL SECTION</t>
  </si>
  <si>
    <t>ELE-T01-T02-T3-101B</t>
  </si>
  <si>
    <t>SSL 1- TOWER 1, 2 &amp; 3 BASEMENT CABLE TRAY LAYOUT</t>
  </si>
  <si>
    <t>ELE-T02-1024</t>
  </si>
  <si>
    <t>BASEMENT ELECTRICAL LAYOUT</t>
  </si>
  <si>
    <t>ELE-T02-1025</t>
  </si>
  <si>
    <t>ELE-T02S-1014</t>
  </si>
  <si>
    <t>STILT LEVEL ELECTRICAL LAYOUT</t>
  </si>
  <si>
    <t>ELE-T02S-T03S-1011</t>
  </si>
  <si>
    <t>TOWER-1 ELECTRICAL ROOM</t>
  </si>
  <si>
    <t>ELE-T02S-T03S-1012</t>
  </si>
  <si>
    <t>ELE-T03S-1011A</t>
  </si>
  <si>
    <t>TOWER-2&amp;3 ELECTRICAL ROOM LOCATED @ TOWER-3 (SSL 02) STEPPED BLOCK</t>
  </si>
  <si>
    <t>ELE-T03S-1011B</t>
  </si>
  <si>
    <t>ELE</t>
  </si>
  <si>
    <t>ELE-T03S-1012A</t>
  </si>
  <si>
    <t>TOWER-2&amp;3 ELECTRICAL ROOM ELEVATION &amp; SECTIONS</t>
  </si>
  <si>
    <t>ELE-T03S-1012B</t>
  </si>
  <si>
    <t>ELE-T05S-T06S-1011</t>
  </si>
  <si>
    <t>TOWER-5,6&amp;7 ELECTRICAL ROOM LOCATED @ TOWER-5,6 (SSL 02) STEPPED BLOCK</t>
  </si>
  <si>
    <t>ELE-T05S-T06S-1012</t>
  </si>
  <si>
    <t>TOWER-5,687 ELECTRICAL ROOM - ELEVATION &amp; SECTIONS</t>
  </si>
  <si>
    <t>ELE-T5S-T6S-T7S-1013</t>
  </si>
  <si>
    <t>SSL 1- TOWER 5,6 &amp; 7 BASEMENT - CABLE TRAY LAYOUT</t>
  </si>
  <si>
    <t>ELE-T5S-T6S-T7S-1014</t>
  </si>
  <si>
    <t>SSL-02 TOWER-5,6&amp;7 STILT LEVEL - CABLE TRAY LAYOUT</t>
  </si>
  <si>
    <t>UGT-2 &amp; UGT-3 LIGHTING LAYOUT</t>
  </si>
  <si>
    <t>FPS-B1-B7-1011</t>
  </si>
  <si>
    <t>BASEMENT FLOOR TOWER 1-7 FIRE PROTECTION LAYOUT</t>
  </si>
  <si>
    <t>FPS-B1-B7-1012</t>
  </si>
  <si>
    <t>BASEMENT FLOOR TOWER 1-7 FIRE DETECTION LAYOUT</t>
  </si>
  <si>
    <t>FPS-B1-B7-1013</t>
  </si>
  <si>
    <t>BASEMENT FLOOR TOWER 1-7 FIRE WATER CURTAIN LAYOUT</t>
  </si>
  <si>
    <t>FPS-T01-T02-1011</t>
  </si>
  <si>
    <t>SSL 1 Basement -Fire Fighting Layout</t>
  </si>
  <si>
    <t>FPS-T01-T02-1013</t>
  </si>
  <si>
    <t>SSL1 BASEMENT WATER CURTAIN LAYOUT</t>
  </si>
  <si>
    <t>FPS</t>
  </si>
  <si>
    <t>HVAC-STP-UGT-9001</t>
  </si>
  <si>
    <t>STP1 &amp; UGT1 VENTILATION LAYOUT</t>
  </si>
  <si>
    <t>HVAC-STP-UGT-9001I</t>
  </si>
  <si>
    <t>HVAC-STP2-UGT2&amp;3-9001</t>
  </si>
  <si>
    <t>STP2, UGT 2&amp;3 PUMP ROOM VENTILATION LAYOUT</t>
  </si>
  <si>
    <t>HVAC-T01-T02-T03-1011</t>
  </si>
  <si>
    <t>SSL 1-T1,283- Basement Mechanical Ventilation Layout</t>
  </si>
  <si>
    <t>HVAC-T01-T02-T03-1011A</t>
  </si>
  <si>
    <t>SSL 1 - Basement Mechanical Ventilation Layout</t>
  </si>
  <si>
    <t>HVAC-T01-T02-T03-1011B</t>
  </si>
  <si>
    <t>CO</t>
  </si>
  <si>
    <t>HVAC-T01-T02-T03-1012</t>
  </si>
  <si>
    <t>SSL 1 - Basement Mechanical Ventilation Section Layout</t>
  </si>
  <si>
    <t>HVAC-T01-T02-T03-1012A</t>
  </si>
  <si>
    <t>HVAC-T01-T02-T03-1012B</t>
  </si>
  <si>
    <t>SL 1 - basement Mechanical Ventilation Section Layout</t>
  </si>
  <si>
    <t>HvAC-T01-T02-T03-1014</t>
  </si>
  <si>
    <t>SL 1 - basement mechanic ai Ventilation Section Layout</t>
  </si>
  <si>
    <t>HVAC-T01-T02-T03-1014</t>
  </si>
  <si>
    <t>HVAC-T02S-T03S-1011</t>
  </si>
  <si>
    <t>TOWER-1 ELECTRICAL ROOM LOCATED @ TOWER-2 (SSL 02) VENTILATION LAYOUT</t>
  </si>
  <si>
    <t>HVAC-T04-T05-T06 &amp; T07-1012</t>
  </si>
  <si>
    <t>SSL 1-T4-T7 Basement Mechanical Ventilation Layout</t>
  </si>
  <si>
    <t>CO-T01&amp;02-1012</t>
  </si>
  <si>
    <t>(BASEMENT CEILING PLAN) TOWER-01 &amp; 02 SERVICES COORDINATED DRAWING</t>
  </si>
  <si>
    <t>CO-T01&amp;02-1013</t>
  </si>
  <si>
    <t>CO-T01&amp;02-1014</t>
  </si>
  <si>
    <t>CO-T01&amp;02-1015</t>
  </si>
  <si>
    <t>CO-T01&amp;02-1016</t>
  </si>
  <si>
    <t>(BASEMENT CEILING PLAN) SERVICES COORDINATED DRAWING SECTION LAYOUT</t>
  </si>
  <si>
    <t>CO-T01&amp;02-1017</t>
  </si>
  <si>
    <t>(BASEMENT CEILING PLAN) SERVICES COORDINATED DRAWING - SECTION LAYOUT</t>
  </si>
  <si>
    <t>CO-T01&amp;02-1018</t>
  </si>
  <si>
    <t>CO-T01&amp;02-1019</t>
  </si>
  <si>
    <t>oT BASEMENT CEILING PLAN SERVICES COORDINATED DRAWING SECTION LAYOUT</t>
  </si>
  <si>
    <t>CO-T01&amp;02-1020</t>
  </si>
  <si>
    <t>CO-T01&amp;02-1021</t>
  </si>
  <si>
    <t>BASEMENT CEILING PLAN SERVICES COORDINATED DRAWING SECTION LAYOUT</t>
  </si>
  <si>
    <t>CO-T01&amp;T02-1015</t>
  </si>
  <si>
    <t>CO-T01&amp;T02-1016</t>
  </si>
  <si>
    <t>( BASEMENT CEILING PLAN) SERVICES COORDINATED DRAWING SECTION LAYOUT</t>
  </si>
  <si>
    <t>CO-T01&amp;T02-1017</t>
  </si>
  <si>
    <t>CO-T01&amp;T02-1018</t>
  </si>
  <si>
    <t>HVAC</t>
  </si>
  <si>
    <t>PHE-T06-4012</t>
  </si>
  <si>
    <t>T06V - MALE STAFF TOILET WATER SUPPLY LAYOUT &amp; SCTIONS</t>
  </si>
  <si>
    <t>FPS-TXV-1011</t>
  </si>
  <si>
    <t>TOWER -3 LOBBY -FIRE FIGHTING LAYOUT</t>
  </si>
  <si>
    <t>ToweR: 01 &amp; 07</t>
  </si>
  <si>
    <t>IBMS-T01-T07-1011</t>
  </si>
  <si>
    <t>BASEMENT T01-T07 - IBMS LAYOUT</t>
  </si>
  <si>
    <t>ELE-T01-1AA1</t>
  </si>
  <si>
    <t>TYPICAL EVEN LEVEL ELECTRICAL LAYOUT(DEFAULT)</t>
  </si>
  <si>
    <t>ELE-T01-1BB1</t>
  </si>
  <si>
    <t>TYPICAL ODD LEVEL ELECTRICAL LAYOUT(DEFAULT)</t>
  </si>
  <si>
    <t>ELE-T01-9002</t>
  </si>
  <si>
    <t>DB SCHEME (DEFALUT)</t>
  </si>
  <si>
    <t>ELE-T01-9003</t>
  </si>
  <si>
    <t>TYPICAL ODD LEVEL DB SCHEME (DEFALUT)</t>
  </si>
  <si>
    <t>HvAc-sTP-uGT-9001</t>
  </si>
  <si>
    <t>HVAC-STP-UGT-9011</t>
  </si>
  <si>
    <t>HVAc-T01-T02-T03-1012</t>
  </si>
  <si>
    <t>SSL 1 - Basement Mechanical Ventilation Section Layout SPTONL</t>
  </si>
  <si>
    <t>HVAc-T01-T02-T03-1014</t>
  </si>
  <si>
    <t>SL 1 - Basement Mechanical Ventilation Section Layout</t>
  </si>
  <si>
    <t>IBMS-T1-T7-1AA1</t>
  </si>
  <si>
    <t>TYPICAL EVEN LEVEL IBMS LAYOUT</t>
  </si>
  <si>
    <t>IBMS-T1-T7-1BB1</t>
  </si>
  <si>
    <t>TYPICAL ODD LEVEL IBMS LAYOUT</t>
  </si>
  <si>
    <t>IBMS-T1-T7-1021</t>
  </si>
  <si>
    <t>STILT-IBMS LAYOUT</t>
  </si>
  <si>
    <t>IBMS-T1-T7-1031</t>
  </si>
  <si>
    <t>SSL 02-IBMS LAYOUT</t>
  </si>
  <si>
    <t>IBMS-T1-T7-1041</t>
  </si>
  <si>
    <t>SSL 03-IBMS LAYOUT</t>
  </si>
  <si>
    <t>IBMS-T1-T7-1051</t>
  </si>
  <si>
    <t>SSL 04-IBMS LAYOUT</t>
  </si>
  <si>
    <t>IBMS-T1-T7-1061</t>
  </si>
  <si>
    <t>SSL 05-IBMS LAYOUT</t>
  </si>
  <si>
    <t>IBMS-T1-T7-1071</t>
  </si>
  <si>
    <t>SSL 06-IBMS LAYOUT</t>
  </si>
  <si>
    <t>IBMS-T1-T7-1081</t>
  </si>
  <si>
    <t>SSL 07-IBMS LAYOUT</t>
  </si>
  <si>
    <t>IBMS-T1-T7-1091</t>
  </si>
  <si>
    <t>SSL 14-IBMS LAYOUT</t>
  </si>
  <si>
    <t>IBMS-T1-T7-1111</t>
  </si>
  <si>
    <t>SSL 31-IBMS LAYOUT</t>
  </si>
  <si>
    <t>PHE-c01-1011</t>
  </si>
  <si>
    <t>GRADE SLAB BASEMENT FLOOR SUB SOIL DRAINAGE LAYOUT</t>
  </si>
  <si>
    <t>PHE-T01-9001</t>
  </si>
  <si>
    <t>Water Supply Schemaiic Layout</t>
  </si>
  <si>
    <t>(BASEMENT CEILING PLAN SERVICES COORDINATED DRAWING SECTION LAYOUT</t>
  </si>
  <si>
    <t>CO-T01&amp;T02-1019</t>
  </si>
  <si>
    <t>CO-T01&amp;T02-1020</t>
  </si>
  <si>
    <t>CO-T01&amp;T02-1021</t>
  </si>
  <si>
    <t>CO-00-0006</t>
  </si>
  <si>
    <t>(BASEMENT CEILING PLAN) TOWER-T01-T07 SERVICES COORDINATED DRAWING</t>
  </si>
  <si>
    <t>ELE-C20P-1271A</t>
  </si>
  <si>
    <t>ELE-C20P-1271B</t>
  </si>
  <si>
    <t>ELE-C20P-1272A</t>
  </si>
  <si>
    <t>ELE-C20P-1272B</t>
  </si>
  <si>
    <t>LOWER &amp; UPPER LEVEL TV-TEL LAYOUT WITH SCHEMI</t>
  </si>
  <si>
    <t>ELE-C20P-1273A</t>
  </si>
  <si>
    <t>ELE-C20P-1281A</t>
  </si>
  <si>
    <t>ELE-C20P-1281B</t>
  </si>
  <si>
    <t>ELE-T01-1271</t>
  </si>
  <si>
    <t>LOWER LEVEL (PENTHOUSE) ELECTRICAL LAYOUT</t>
  </si>
  <si>
    <t>ELE-T01-1281</t>
  </si>
  <si>
    <t>SSL28 TERRACE FLOOR ELECTRICAL LAYOUT</t>
  </si>
  <si>
    <t>ELE-T01-1291</t>
  </si>
  <si>
    <t>SSL29 TERRACE FLOOR ELECTRICAL LAYOUT</t>
  </si>
  <si>
    <t>ELE-T01-1302</t>
  </si>
  <si>
    <t>TERRACE LEVEL SOLAR PANEL LOCATION</t>
  </si>
  <si>
    <t>HVAC-T03S-T06S-1081</t>
  </si>
  <si>
    <t>SSL 8 -Typical Stepped Towers 3-6 Terrace Ventilation Equipment Layout</t>
  </si>
  <si>
    <t>PHE-0HT-4001</t>
  </si>
  <si>
    <t>‘OHT PUDDLE FLANGE DETAILS FOR TOWER-01</t>
  </si>
  <si>
    <t>PHE-0HT-4003</t>
  </si>
  <si>
    <t>Puddle Flange plan ,sections and elevation Details</t>
  </si>
  <si>
    <t>PHE-OHT-4002</t>
  </si>
  <si>
    <t>OHT PUDDLE FLANGE DETAILS FOR TOWER-01</t>
  </si>
  <si>
    <t>PHE-T01-1287A</t>
  </si>
  <si>
    <t>RAIN WATER DISPOSAL LAYOUT AT LEVEL 30</t>
  </si>
  <si>
    <t>PHE-T01-1287B</t>
  </si>
  <si>
    <t>RAINWATER DISPOSAL LAYOUT</t>
  </si>
  <si>
    <t>ELE-T7-1008</t>
  </si>
  <si>
    <t>BASEMENT STAIRCASE ELECTRICAL LAYOUT</t>
  </si>
  <si>
    <t>ELE-T07-1AA1</t>
  </si>
  <si>
    <t>TYPICAL EVEN LEVEL ELECTRICAL LAYOUT(DEFAULT}</t>
  </si>
  <si>
    <t>ELE-T07-1BB1</t>
  </si>
  <si>
    <t>~ TYPICAL ODD LEVEL ELECTRICAL LAYOUK(DEFAULT)</t>
  </si>
  <si>
    <t>ELE-T07-9002</t>
  </si>
  <si>
    <t>TYPICAL EVEN LEVEL DB SCHEME (DEFAULT)</t>
  </si>
  <si>
    <t>ELE-T07-9003</t>
  </si>
  <si>
    <t>TYPICAL ODD LEVEL DB SCHEME (DEFAULT)</t>
  </si>
  <si>
    <t>ELE-T07-9006</t>
  </si>
  <si>
    <t>$SL-2 {LEVEL-1 RCP) DB SCHEME (DEFAULT)</t>
  </si>
  <si>
    <t>ELE-T07-10151</t>
  </si>
  <si>
    <t>$5L-2 {LEVEL-1 RCP) ELECTRICAL LAYOUT(DEFAULT)</t>
  </si>
  <si>
    <t>HVAC-T04-T05-T06&amp;T07-1012</t>
  </si>
  <si>
    <t>ELE-C20P-1273B</t>
  </si>
  <si>
    <t>LOWER &amp; UPPER LEVEL TV-TEL LAYOUT WITH SCHEM</t>
  </si>
  <si>
    <t>Tower - 2V - 6V</t>
  </si>
  <si>
    <t>ELE-T02-1008</t>
  </si>
  <si>
    <t>TYPICAL STAIRCASE ELECTRICAL LAYOUT</t>
  </si>
  <si>
    <t>T2V-6V</t>
  </si>
  <si>
    <t>PHE-T02V-1021</t>
  </si>
  <si>
    <t>SSL 3 - Floor Plan Surface drainage</t>
  </si>
  <si>
    <t>PHE-T02V-1021A</t>
  </si>
  <si>
    <t>PHE-T02V-1031</t>
  </si>
  <si>
    <t>SSL 4-Floor Plan Surface drainage</t>
  </si>
  <si>
    <t>PHE-T02V-1031A</t>
  </si>
  <si>
    <t>PHE-T02V-1041A</t>
  </si>
  <si>
    <t>SSL 5 -Floor Plan Surface drainage</t>
  </si>
  <si>
    <t>PHE-T02V-1041B</t>
  </si>
  <si>
    <t>ELE-T02V-1AA2</t>
  </si>
  <si>
    <t>TYPICAL EVEN LEVEL (LVL-10,12,14,16,18,20,22,24,26) ELECTRICAL LAYOUT (DEFAULT)</t>
  </si>
  <si>
    <t>ELE-T02V-1BB2</t>
  </si>
  <si>
    <t>TYPICAL ODD LEVEL (LVL-11,13,15,17,19,21,23,25) ELECTRICAL LAYOUT (DEFAULT)</t>
  </si>
  <si>
    <t>ELE-T02V-1015</t>
  </si>
  <si>
    <t>SSL 2 ( FIRST LVL ) ELECTRICAL LAYOUT (DEFAULT)</t>
  </si>
  <si>
    <t>ELE-T02V-1016</t>
  </si>
  <si>
    <t>SSL 2 ( FIRST LVL ) DB SCHEME (DEFAULT)</t>
  </si>
  <si>
    <t>ELE-T02V-1032</t>
  </si>
  <si>
    <t>EXPERIENCE HOME (2102) ELECTRICAL LAYOUT</t>
  </si>
  <si>
    <t>ELE-T02V-1051</t>
  </si>
  <si>
    <t>L30 PARKING LEVEL 03,04 &amp; 05 ELECTRICAL LAYOUT</t>
  </si>
  <si>
    <t>ELE-T02V-9006</t>
  </si>
  <si>
    <t>SSL 2 ( FIRST LVL ) TYPICAL UNIT TV &amp; TELEPHONE SCHEME</t>
  </si>
  <si>
    <t>ELE-T02V-9011</t>
  </si>
  <si>
    <t>TYPICAL EVEN LEVEL (LVL-10,12,14,16,18,20,22,24,26) DB SCHEME (DEFAULT)</t>
  </si>
  <si>
    <t>ELE-T02V-9012</t>
  </si>
  <si>
    <t>TYPICAL ODD LEVEL (LVL-11,13,15,17,19,21,23,25) DB SCHEME (DEFAULT)</t>
  </si>
  <si>
    <t>FDS-T02V-1012</t>
  </si>
  <si>
    <t>LEVEL O1- FIRE DETECTION LAYOUT</t>
  </si>
  <si>
    <t>FDS-T02V-1022</t>
  </si>
  <si>
    <t>LEVEL 02 FIRE DETECTION LAYOUT</t>
  </si>
  <si>
    <t>FDS-T02V-1032</t>
  </si>
  <si>
    <t>LEVEL 03 FIRE DETECTION LAYOUT</t>
  </si>
  <si>
    <t>FDS-T02V-1042</t>
  </si>
  <si>
    <t>LEVEL 04 FIRE DETECTION LAYOUT</t>
  </si>
  <si>
    <t>FDS-T02V-1052</t>
  </si>
  <si>
    <t>LEVEL 05 FIRE DETECTION LAYOUT</t>
  </si>
  <si>
    <t>FDS-T02V-1062</t>
  </si>
  <si>
    <t>SIXTH LEVEL FIRE DETECTION LAYOUT</t>
  </si>
  <si>
    <t>FDS-T02V-1072</t>
  </si>
  <si>
    <t>SEVENTH LEVEL FIRE DETECTION LAYOUT</t>
  </si>
  <si>
    <t>FDS-T02V-1082</t>
  </si>
  <si>
    <t>EIGHTH LEVEL FIRE DETECTION LAYOUT</t>
  </si>
  <si>
    <t>FDS-T02V-1272</t>
  </si>
  <si>
    <t>28TH LEVEL FIRE DETECTION LAYOUT</t>
  </si>
  <si>
    <t>FDS-T02V-1282</t>
  </si>
  <si>
    <t>29TH LEVEL FIRE DETECTION LAYOUT</t>
  </si>
  <si>
    <t>FDS-T02V-1291</t>
  </si>
  <si>
    <t>FIRE ROOF PLAN</t>
  </si>
  <si>
    <t>FPS-T01V-1AA1</t>
  </si>
  <si>
    <t>TYPICAL ODD LEVEL-LIFT LOBBY-FIRE PROTECTION LAYOUT TOWER-2</t>
  </si>
  <si>
    <t>FPS-T02V-1AA1</t>
  </si>
  <si>
    <t>EVEN FLOOR 9TH TO 14TH FIRE PROTECTION LAYOUT</t>
  </si>
  <si>
    <t>FPS-T02V-1AA2</t>
  </si>
  <si>
    <t>EVEN FLOOR 9TH TO 14TH FIRE DETECTION LAYOUT</t>
  </si>
  <si>
    <t>FPS-T02V-1AA3</t>
  </si>
  <si>
    <t>EVEN FLOOR 15TH TO 27TH FIRE PROTECTION LAYOUT</t>
  </si>
  <si>
    <t>FPS-T02V-1AA4</t>
  </si>
  <si>
    <t>EVEN FLOOR 15TH TO 27TH FIRE DETECTION LAYOUT</t>
  </si>
  <si>
    <t>FPS-T02V-1BB1</t>
  </si>
  <si>
    <t>ODD FLOOR 9TH TO 14TH FIRE PROTECTION LAYOUT</t>
  </si>
  <si>
    <t>FPS-T02V-1BB2</t>
  </si>
  <si>
    <t>ODD FLOOR 9TH TO 14TH FIRE DETECTION LAYOUT</t>
  </si>
  <si>
    <t>FPS-T02V-1BB3</t>
  </si>
  <si>
    <t>ODD FLOOR 15TH TO 27TH FIRE PROTECTION LAYOUT</t>
  </si>
  <si>
    <t>FPS-T02V-1BB4</t>
  </si>
  <si>
    <t>ODD FLOOR 15TH TO 27TH FIRE DETECTION LAYOUT</t>
  </si>
  <si>
    <t>FPS-T02V-1011</t>
  </si>
  <si>
    <t>LEVEL O1- FIRE PROTECTION LAYOUT</t>
  </si>
  <si>
    <t>FPS-T02V-1021</t>
  </si>
  <si>
    <t>LEVEL 02 FIRE PROTECTION LAYOUT</t>
  </si>
  <si>
    <t>FPS-T02V-1031</t>
  </si>
  <si>
    <t>LEVEL O03 FIRE PROTECTION LAYOUT</t>
  </si>
  <si>
    <t>FPS-T02V-1041</t>
  </si>
  <si>
    <t>LEVEL 04 FIRE PROTECTION LAYOUT</t>
  </si>
  <si>
    <t>FPS-T02V-1051</t>
  </si>
  <si>
    <t>LEVEL 05 FIRE PROTECTION LAYOUT</t>
  </si>
  <si>
    <t>FPS-T02V-1061</t>
  </si>
  <si>
    <t>SIXTH LEVEL -IRE PROTECTION LAYOUT</t>
  </si>
  <si>
    <t>FPS-T02V-1071</t>
  </si>
  <si>
    <t>SEVENTH LEVEL RE PROTECTION LAYOUT</t>
  </si>
  <si>
    <t>FPS-T02V-1081</t>
  </si>
  <si>
    <t>EIGHTH LEVEL FIRE PROTECTION LAYOUT</t>
  </si>
  <si>
    <t>FPS-T02V-1271</t>
  </si>
  <si>
    <t>28TH LEVEL FIRE PROTECTION LAYOUT</t>
  </si>
  <si>
    <t>FPS-T02V-1281</t>
  </si>
  <si>
    <t>29TH LEVEL FIRE PROTECTION LAYOUT</t>
  </si>
  <si>
    <t>FPS-T02V-9001</t>
  </si>
  <si>
    <t>FIRE PROTECTION SCHEMATIC LAYOUT.</t>
  </si>
  <si>
    <t>FPS-T02V-9002</t>
  </si>
  <si>
    <t>FIRE DETECTION SCHEMATIC LAYOUT.</t>
  </si>
  <si>
    <t>PHE-T02V-0001</t>
  </si>
  <si>
    <t>TO2V LEVEL-08 CEILING LEVEL PLUMBING LAYOUT</t>
  </si>
  <si>
    <t>PHE-T03-4011</t>
  </si>
  <si>
    <t>BASEMENT - FEMALE STAFF TOILET</t>
  </si>
  <si>
    <t>CO-T02V-0001</t>
  </si>
  <si>
    <t>T02V COORDINATED LEVEL-08 CEILING LEVEL LAYOUT</t>
  </si>
  <si>
    <t>CO-T02V-1051</t>
  </si>
  <si>
    <t>SSL 6 (Fifth lvl)-Coordinated Layout</t>
  </si>
  <si>
    <t>I-C20-5520</t>
  </si>
  <si>
    <t>ELE-c20P-1271</t>
  </si>
  <si>
    <t>LOWER &amp; UPPER LEVEL TV-TEL LAYOUT WITH SCHEA</t>
  </si>
  <si>
    <t>ELE-T2V-1301</t>
  </si>
  <si>
    <t>ELE-T2V-1302</t>
  </si>
  <si>
    <t>LOWER LEVEL (PENTHOUSE) DB DETAILS</t>
  </si>
  <si>
    <t>ELE-T2V-1303</t>
  </si>
  <si>
    <t>LOWER &amp; UPPER LEVEL (PENTHC TV-TEL CONDUIT ROUTING</t>
  </si>
  <si>
    <t>ELE-T2V-1304</t>
  </si>
  <si>
    <t>LOWER &amp; UPPER LEVEL (PENTHC TV-TELEPHONE SCHEME</t>
  </si>
  <si>
    <t>ELE-T2V-1311</t>
  </si>
  <si>
    <t>UPPER LEVEL (PENTHOUSE) ELECTRICAL LAYOUT</t>
  </si>
  <si>
    <t>ELE-T2V-1311A</t>
  </si>
  <si>
    <t>ELE-T2V-1311B</t>
  </si>
  <si>
    <t>"UPPER LEVEL (PENTHOUSE) ELECTRICAL LAYOUT</t>
  </si>
  <si>
    <t>ELE-T02V-1002</t>
  </si>
  <si>
    <t>COMBINED TERRACE LIGHTNING ARRESTOR LAYOUT</t>
  </si>
  <si>
    <t>ELE-T02V-1003</t>
  </si>
  <si>
    <t>8th LEVEL - INTERMEDIATE RING PLAN ING ARRESTOR LAYOUT</t>
  </si>
  <si>
    <t>ELE-T02V-1004</t>
  </si>
  <si>
    <t>GROUND LEVEL EARTHPIT LOCATION</t>
  </si>
  <si>
    <t>ELE-T02V-1005</t>
  </si>
  <si>
    <t>ELEVATION-1 LIGHTNING ARRESTOR LAYOUT</t>
  </si>
  <si>
    <t>ELE-T02V-1006</t>
  </si>
  <si>
    <t>ELEVATION-2 LIGHTNING ARRESTOR LAYOUT</t>
  </si>
  <si>
    <t>ELE-T02V-1007</t>
  </si>
  <si>
    <t>LIGHTNING ARRESTOR DETAILS</t>
  </si>
  <si>
    <t>ELE-T02V-1281</t>
  </si>
  <si>
    <t>ELE-T02V-1291</t>
  </si>
  <si>
    <t>TERRACE FLOOR ELECTRICAL LAYOUT</t>
  </si>
  <si>
    <t>ELE.T02V-1004</t>
  </si>
  <si>
    <t>IBMS-T1-T7-1112</t>
  </si>
  <si>
    <t>SSL 32-IBMS LAYOUT</t>
  </si>
  <si>
    <t>OHT PUDDLE FLANGE DETAILS</t>
  </si>
  <si>
    <t>PHE-0HT-4002</t>
  </si>
  <si>
    <t>OHT PUDDLE FLANGE PLAN</t>
  </si>
  <si>
    <t>PUDDLE FLANGE DETAIL</t>
  </si>
  <si>
    <t>PHE-T2V-1285</t>
  </si>
  <si>
    <t>SSL31 &amp; SSL32 -TERRACE RAIN WATER DISPOSAL LAYOUT</t>
  </si>
  <si>
    <t>CO-T02V-1001</t>
  </si>
  <si>
    <t>T2V - SSL 31 UL PENTHOUSE SERVICES COORDINATED PLAN</t>
  </si>
  <si>
    <t>CO-T02V-1001A</t>
  </si>
  <si>
    <t>T2V-5SL 31 UL PENTHOUSE SERVICES COORDINATED PLAN</t>
  </si>
  <si>
    <t>CO-T02V-1001B</t>
  </si>
  <si>
    <t>T12V - SSL 31 UL PENTHOUS| SERVICES COORDINATED PLAN</t>
  </si>
  <si>
    <t>CO-T02V-1003</t>
  </si>
  <si>
    <t>T2V - SSL 32 - TERRACE LEVEL SERVICES COORDINATED PLAN</t>
  </si>
  <si>
    <t>CO-T02V-1003A</t>
  </si>
  <si>
    <t>T2Y - S51. 32 - TERRACE LEVEL SERVICES COORDINATED PLAN</t>
  </si>
  <si>
    <t>CO-T02V-1003B</t>
  </si>
  <si>
    <t>ELE-T3-T6-1008</t>
  </si>
  <si>
    <t>ELE-T05V-1051</t>
  </si>
  <si>
    <t>L30 PARKING LEVEL 03 &amp; 05 ELECTRICAL LAYOUT</t>
  </si>
  <si>
    <t>ELE-T05V-1052</t>
  </si>
  <si>
    <t>L30 PARKING LEVEL 04 ELECTRICAL LAYOUT</t>
  </si>
  <si>
    <t>PHE-T06-4011</t>
  </si>
  <si>
    <t>MALE STAFF TOILET DRAINAGE LAYOUT &amp; SECIONS</t>
  </si>
  <si>
    <t>ELE-T3-T6-10081</t>
  </si>
  <si>
    <t>HVAC-T3V-1001</t>
  </si>
  <si>
    <t>T3V STAFF LOUNGE VENTILATION LAYOUT</t>
  </si>
  <si>
    <t>HVAC-T6V-1002</t>
  </si>
  <si>
    <t>T6V STAFF LOUNGE VENTILATION LAYOUT</t>
  </si>
  <si>
    <t>ELE-00-9005</t>
  </si>
  <si>
    <t>SINGLE LINE DIAGRAM TRANSFORMER/DG</t>
  </si>
  <si>
    <t>ELE-00-9006</t>
  </si>
  <si>
    <t>SINGLE LINE DIAGRAM METERING PANEL TOWER 6 &amp; 7</t>
  </si>
  <si>
    <t>ELE-00-9007</t>
  </si>
  <si>
    <t>SINGLE LINE DIAGRAM METERING PANEL TOWER 5</t>
  </si>
  <si>
    <t>ELE-00-9008</t>
  </si>
  <si>
    <t>SINGLE LINE DIAGRAM FIRE EMERENCY /UTILITY/PHE PANELS</t>
  </si>
  <si>
    <t>ELE-00-9009</t>
  </si>
  <si>
    <t>POWER DISTRIBUTION LAYOUT (SLD) [GENERAL NOTES]</t>
  </si>
  <si>
    <t>ELE-T03-1008</t>
  </si>
  <si>
    <t>ELE-T03V-1AA1</t>
  </si>
  <si>
    <t>TYPICAL EVEN LEVEL (LEVEL2&amp; 4) ELECTRICAL LAYOUT {DEFAULTY</t>
  </si>
  <si>
    <t>ELE-T03V-1AA2</t>
  </si>
  <si>
    <t>TYPICAL EVEN LEVEL (LVL-55L 10,12,14,15,18,20,22,24,2¢ ELECTRICAL LAYOUT (DEFAULT)</t>
  </si>
  <si>
    <t>ELE-T03V-1BB1</t>
  </si>
  <si>
    <t>~ TYPICAL ODD LEVEL (LEVEL 3 &amp; 5) ELECTRICAL LAYOUT (DEFAULT)</t>
  </si>
  <si>
    <t>ELE-T03V-1BB2</t>
  </si>
  <si>
    <t>TYPICAL ODD LEVEL {LVL-SSL 11,13,15,17,19,21,23,25} ELECTRICAL LAYOUT (DEFAULT)</t>
  </si>
  <si>
    <t>ELE-T03V-1015</t>
  </si>
  <si>
    <t>“ssL 2 ( LEVEL 1 UNIT RCP ) ELECTRICAL LAYOUT (DEFAULT)</t>
  </si>
  <si>
    <t>ELE-T03V-1016</t>
  </si>
  <si>
    <t>SSL 2 ( LEVEL 1 UNIT RCP ) DB SCHEME (DEFAULT)</t>
  </si>
  <si>
    <t>ELE-T03V-1017</t>
  </si>
  <si>
    <t>LEVEL &amp; UNIT RCP - SSL-7 ELECTRICAL LAYOUT (DEFAULT)</t>
  </si>
  <si>
    <t>ELE-T03V-1018</t>
  </si>
  <si>
    <t>LEVEL-7 UNIT RCP SSL-8 ELECTRICAL LAYOUT (DEFAULT)</t>
  </si>
  <si>
    <t>ELE-T03V-1019</t>
  </si>
  <si>
    <t>LEVEL-8 UNIT RCP SSL9 ELECTRICAL LAYOUT (DEFAULT)</t>
  </si>
  <si>
    <t>ELE-T03V-9002</t>
  </si>
  <si>
    <t>"TYPICAL EVEN LEVEL (LEVEL 2 &amp; 4) DB SCHEME (DEFAULT)</t>
  </si>
  <si>
    <t>ELE-T03v-9003</t>
  </si>
  <si>
    <t>TYPICAL ODD LEVEL (LEVEL-3 &amp; 5) DB SCHEME (DEFAULT)</t>
  </si>
  <si>
    <t>ELE-T03V-9007</t>
  </si>
  <si>
    <t>LEVEL &amp; UNIT RCP - $5L-7 DB SCHEME (DEFAULT)</t>
  </si>
  <si>
    <t>ELE-T03v-9008</t>
  </si>
  <si>
    <t>LEVEL-7 UNIT RCP SSL-8 DB SCHEME (DEFAULT)</t>
  </si>
  <si>
    <t>ELE-T03V-9009</t>
  </si>
  <si>
    <t>LEVEL-8 UNIT RCP SSL-¢ DB SCHEME (DEFAULT)</t>
  </si>
  <si>
    <t>ELE-T03V-9011</t>
  </si>
  <si>
    <t>1 TYPICAL EVEN LEVEL DB SCHEME (DEFAULT) (LVL-S5L 10,12,14,16,18,20,22.24,26)</t>
  </si>
  <si>
    <t>ELE-T03V-9012</t>
  </si>
  <si>
    <t>TYPICAL ODD LEVEL (LVL-S5L 11,13,15,17,19,21,23,25} DB SCHEME [DEFAULTY</t>
  </si>
  <si>
    <t>ELE-T05V-1020</t>
  </si>
  <si>
    <t>LEVEL-01 LOBBY ELECTRICAL LAYOUT</t>
  </si>
  <si>
    <t>ELE-T05V-1021</t>
  </si>
  <si>
    <t>LEVEL-02 LOBBY ELECTRICAL LAYOUT</t>
  </si>
  <si>
    <t>ELE-TXV-1020</t>
  </si>
  <si>
    <t>LEVEL-01 &amp; 02, RECEPTION LOBBY ELECTRICAL LAYOUT</t>
  </si>
  <si>
    <t>HVAC-TV5-1001</t>
  </si>
  <si>
    <t>LEVEL - 1 &amp; 2 - HVAC LAYOUT</t>
  </si>
  <si>
    <t>HVAC-TXV-1013</t>
  </si>
  <si>
    <t>TXV-L06-R22-HVAC VRV LAYOUT</t>
  </si>
  <si>
    <t>PHE-TXV-0001</t>
  </si>
  <si>
    <t>LEVEL-08 CEILING LEVEL PLUMBING LAYOUT</t>
  </si>
  <si>
    <t>TXV-R22 DEFAULT SHEET TITLE: HOT WATER SUPPLY LOOP LAYOUT</t>
  </si>
  <si>
    <t>PHE-TXV-1051</t>
  </si>
  <si>
    <t>SSL-06 (Fifth lvl) PLUMBING LAYOUT VERTICAL TOWER 03 to 06</t>
  </si>
  <si>
    <t>CO-TXV-0001</t>
  </si>
  <si>
    <t>TXV LEVEL-08 COORDINATED CEILING LEVEL LAYOUT</t>
  </si>
  <si>
    <t>LOWER &amp; UPPER LEVEL TV-TEL LAYOUT WITH SCHEM!</t>
  </si>
  <si>
    <t>PHE.0HTw4002</t>
  </si>
  <si>
    <t>TERRACE SERVICES COORDINATED PLAN TXV - SSL 31</t>
  </si>
  <si>
    <t>FF-TXV-1001</t>
  </si>
  <si>
    <t>TYPICAL LEVEL FIRE PROTECTION LAYOUT</t>
  </si>
  <si>
    <t>FF-TXV-1002</t>
  </si>
  <si>
    <t>Tower : 2S - 6S</t>
  </si>
  <si>
    <t>PHE-T02S-I024</t>
  </si>
  <si>
    <t>LEVEL-2 SSL-03 SURFACE DRAINAGE LAYOUT</t>
  </si>
  <si>
    <t>T2S-6S</t>
  </si>
  <si>
    <t>PHE-T2S&amp;T6S-I004</t>
  </si>
  <si>
    <t>STLIT LEVEL SURFACE DRAINAGE LAYOUT</t>
  </si>
  <si>
    <t>PHE-T02S-1004</t>
  </si>
  <si>
    <t>STILT SSL-01 SURFACE DRAINAGE LAYOUT</t>
  </si>
  <si>
    <t>PHE-T02S-1014</t>
  </si>
  <si>
    <t>LEVEL-1 SSL-02 SURFACE DRAINAGE LAYOUT</t>
  </si>
  <si>
    <t>PHE-T02S-1024A</t>
  </si>
  <si>
    <t>PHE-T02S-1024B</t>
  </si>
  <si>
    <t>PHE-T02S-1034</t>
  </si>
  <si>
    <t>LEVEL-3 SSL-04 SURFACE DRAINAGE LAYOUT</t>
  </si>
  <si>
    <t>PHE-T02S-1044</t>
  </si>
  <si>
    <t>LEVEL-4 SSL-05 SURFACE DRAINAGE LAYOUT PHE-T02S-1044</t>
  </si>
  <si>
    <t>PHE-T2S-T6S-1024</t>
  </si>
  <si>
    <t>LEVEL-02 SURFACE DRAINAGE LAYOUT</t>
  </si>
  <si>
    <t>PHE-T2S-T6S-1044</t>
  </si>
  <si>
    <t>LEVEL-04 SURFACE DRAINAGE LAYOUT</t>
  </si>
  <si>
    <t>PHE-T2S-T6S-10341</t>
  </si>
  <si>
    <t>LEVEL-03 SURFACE DRAINAGE LAYOUT</t>
  </si>
  <si>
    <t>PHE-T2S-T65-1014</t>
  </si>
  <si>
    <t>LEVEL-01 SURFACE DRAINAGE LAYOUT</t>
  </si>
  <si>
    <t>PHE-T2S-T65-1054</t>
  </si>
  <si>
    <t>LEVEL-05 SURFACE DRAINAGE LAYOUT</t>
  </si>
  <si>
    <t>~ STILT LEVEL ELECTRICAL LAYOUT</t>
  </si>
  <si>
    <t>ELE-T02S-1021</t>
  </si>
  <si>
    <t>SSL3 L45 Unit Electrical Layout (Default)</t>
  </si>
  <si>
    <t>ELE-T02S-1022</t>
  </si>
  <si>
    <t>SSL3 Parking Electrical Layout</t>
  </si>
  <si>
    <t>ELE-T02S-1023</t>
  </si>
  <si>
    <t>SSL3 L45 UNIT DB SCHEME (DEFAULT)</t>
  </si>
  <si>
    <t>ELE-T02S-1024</t>
  </si>
  <si>
    <t>SSL3 L45 UNIT TV-TEL LAYOUT</t>
  </si>
  <si>
    <t>ELE-T02S-1031</t>
  </si>
  <si>
    <t>SSL4 L45 Unit Electrical Layout (Default)</t>
  </si>
  <si>
    <t>ELE-T02s-1032</t>
  </si>
  <si>
    <t>SsL4 Parking Electrical Layout</t>
  </si>
  <si>
    <t>ELE-T02S-1032</t>
  </si>
  <si>
    <t>SSL4 Parking Electrical Layout</t>
  </si>
  <si>
    <t>ELE-T02S-1033</t>
  </si>
  <si>
    <t>SSL4 L45 UNIT DB SCHEME (DEFAULT)</t>
  </si>
  <si>
    <t>ELE-T02S-1034</t>
  </si>
  <si>
    <t>SSL4 L45 UNIT TV-TEL LAYOUT</t>
  </si>
  <si>
    <t>ELE-T02s-1041</t>
  </si>
  <si>
    <t>SSL 5 L45 Unit Electrical Layout (De</t>
  </si>
  <si>
    <t>ELE-T02S-1041</t>
  </si>
  <si>
    <t>SSL 5 (Level-3) L45 Unit Electrical Layout (Default)</t>
  </si>
  <si>
    <t>ELE-T02S-1042</t>
  </si>
  <si>
    <t>SSL 5 (Level-3) Parking Electrical Layout</t>
  </si>
  <si>
    <t>ELE-T02S-1043</t>
  </si>
  <si>
    <t>SSL 5 (Level-3) L45 UNIT DB SCHEME (DEFAULT)</t>
  </si>
  <si>
    <t>ELE-T02S-1044</t>
  </si>
  <si>
    <t>SSL 5 (Level-3) L45 UNIT TV-TEL LAYOUT</t>
  </si>
  <si>
    <t>ELE-T02S-1051</t>
  </si>
  <si>
    <t>SSL 6 L45 Unit Electrical Layout (Default)</t>
  </si>
  <si>
    <t>ELE-T02S-1052</t>
  </si>
  <si>
    <t>SSL 6 L45 UNIT DB SCHEME (DEFAULT)</t>
  </si>
  <si>
    <t>ELE-T02S-1053</t>
  </si>
  <si>
    <t>SSL 6 L45 UNIT TV-TEL LAYOUT</t>
  </si>
  <si>
    <t>ELE-T02S-1061</t>
  </si>
  <si>
    <t>SSL7 L45 Unit Electrical Layout (Default)</t>
  </si>
  <si>
    <t>ELE-T02S-1062</t>
  </si>
  <si>
    <t>SSL7 L45 UNIT DB SCHEME (DEFAULT)</t>
  </si>
  <si>
    <t>ELE-T02S-1063</t>
  </si>
  <si>
    <t>SSL7 L45 UNIT TV-TEL LAYOUT</t>
  </si>
  <si>
    <t>FDS-T02S-102</t>
  </si>
  <si>
    <t>SSL4 FIRE DETECTION LAYOUT</t>
  </si>
  <si>
    <t>FDS-T02S-1012</t>
  </si>
  <si>
    <t>SSL3 FIRE DETECTION LAYOUT</t>
  </si>
  <si>
    <t>FPS-T02S-1013A</t>
  </si>
  <si>
    <t>STILT CEILING LVL FIRE PROTECTION LAYOUT</t>
  </si>
  <si>
    <t>FPS-T02S-1013B</t>
  </si>
  <si>
    <t>FPS-T02S-1013C</t>
  </si>
  <si>
    <t>FPS-T02S-1013D</t>
  </si>
  <si>
    <t>FPS-T02S-1013E</t>
  </si>
  <si>
    <t>FPS-T02S-1013F</t>
  </si>
  <si>
    <t>FPS-T03S-1012</t>
  </si>
  <si>
    <t>T03S STILT CEILING FIRE PROTECTION LAYOUT</t>
  </si>
  <si>
    <t>FPS-T04S-1012</t>
  </si>
  <si>
    <t>T04S STILT CEILING FIRE PROTECTION LAYOUT</t>
  </si>
  <si>
    <t>PHE-T02S-1012</t>
  </si>
  <si>
    <t>STILT CEILING LVL. WATER SUPPLY &amp; DRAINAGE LAYOUT</t>
  </si>
  <si>
    <t>PHE-T2S-8002</t>
  </si>
  <si>
    <t>SHAFT-13, 14 &amp; 15 LDP DETAIL TYPICAL FOR T02S TO T06S</t>
  </si>
  <si>
    <t>PHE-T2S-9003</t>
  </si>
  <si>
    <t>STEPPED TOWER - 02 WATER SUPPLY SCHEMATIC DIAGRAM</t>
  </si>
  <si>
    <t>CO-T02S-1012</t>
  </si>
  <si>
    <t>STILT CEILING LEVEL CO-ORDINATED LAYOUT - T02S</t>
  </si>
  <si>
    <t>CO-T02S-1012A</t>
  </si>
  <si>
    <t>STILT CEILING LVL CO-ORDINATED LAYOUT</t>
  </si>
  <si>
    <t>CO-T02S-1012B</t>
  </si>
  <si>
    <t>CO-T02S-1012C</t>
  </si>
  <si>
    <t>CO-T02S-1012D</t>
  </si>
  <si>
    <t>CO-T02S-1012E</t>
  </si>
  <si>
    <t>CO-T02S-1012F</t>
  </si>
  <si>
    <t>CO-ORDINATED BATHROOM-1 ELEVATION A -</t>
  </si>
  <si>
    <t>CO-ORDINATDE SHAFT FLOOR PLAN</t>
  </si>
  <si>
    <t>CO-T2S-4142</t>
  </si>
  <si>
    <t>CO-ORDINATED ENLARGED SHAFT DETAIL</t>
  </si>
  <si>
    <t>CO-T2S-4143</t>
  </si>
  <si>
    <t>CO-ORDINATED SHAFT SECTION DETAIL-01</t>
  </si>
  <si>
    <t>CO-T2S-4144</t>
  </si>
  <si>
    <t>CO-ORDINATED SHAFT SECTION DETAIL-02 &amp; 05</t>
  </si>
  <si>
    <t>CO-T2S-4147</t>
  </si>
  <si>
    <t>SOUTH SIDE SHAFT CLAMPING DETAIL</t>
  </si>
  <si>
    <t>ELE-T02S-1071</t>
  </si>
  <si>
    <t>SSL 8 ( LEVEL-6 )-PENT HOUSE ELECTRICAL LAYOUT</t>
  </si>
  <si>
    <t>ELE-T02S-1072</t>
  </si>
  <si>
    <t>SSL 8 ( LEVEL-6 )-PENT HOUSE DB SCHEMATIC</t>
  </si>
  <si>
    <t>ELE-T02S-1073</t>
  </si>
  <si>
    <t>SSL 8 ( LEVEL-6 )-PENT HOUSE TV/TELEPHONE LAYOUT</t>
  </si>
  <si>
    <t>FPS-L45-2062</t>
  </si>
  <si>
    <t>L45 2062 PENTHOUSE FIRE PROTECTION LAYOUT</t>
  </si>
  <si>
    <t>FPS-T02S-1072</t>
  </si>
  <si>
    <t>TOWER - 02S - PENTHOUSE LEVEL FIRE DETECTION LAYOUT</t>
  </si>
  <si>
    <t>HA-L45p-2062-1001</t>
  </si>
  <si>
    <t>2062 Home Automation Layout</t>
  </si>
  <si>
    <t>HVAC-L45P-2062</t>
  </si>
  <si>
    <t>L45 2062 PENTOUSE HVAC LAYOUT</t>
  </si>
  <si>
    <t>PHE-T2S&amp;T6S-1004</t>
  </si>
  <si>
    <t>SILITLEVEL SURFACE DRAINAGE LAYOUT</t>
  </si>
  <si>
    <t>PHE-T2S-T6S-1014</t>
  </si>
  <si>
    <t>PHE-T2S-T6S-1034</t>
  </si>
  <si>
    <t>PHE-T2S-T6S-1054</t>
  </si>
  <si>
    <t>CO-T06S-1012</t>
  </si>
  <si>
    <t>STILT CEILING LEVEL CO-ORDINATED LAYOUT - T06S</t>
  </si>
  <si>
    <t>PHE-T6S-9003</t>
  </si>
  <si>
    <t>STEPPED TOWER - 06 WATER SUPPLY SCHEMATIC DIAGRAM</t>
  </si>
  <si>
    <t>PHE-T2ST6S-1044</t>
  </si>
  <si>
    <t>LEVEL-04 SUKFALE DRAINAGE LAYOUT</t>
  </si>
  <si>
    <t>PHE-T2ST6S-1054</t>
  </si>
  <si>
    <t>PHE-T2ST65-1014</t>
  </si>
  <si>
    <t>ELE-T03S-1042</t>
  </si>
  <si>
    <t>SSL5 Parking Electrical Layout</t>
  </si>
  <si>
    <t>ELE-T03S-1054</t>
  </si>
  <si>
    <t>ssL6 Parking Electrical Layout</t>
  </si>
  <si>
    <t>SSL 8 ( LEVEL-6 )-PENT HOUSE ELECTRICAL LAYOUT (TOWER-3,4 &amp; 5 STEPPED)</t>
  </si>
  <si>
    <t>SSL 8 ( LEVEL-6 )-PENT HOUSE DB SCHEMATIC (TOWER-3,4 &amp; 5 STEPPED)</t>
  </si>
  <si>
    <t>SSL 8 ( LEVEL-6 )-PENT HOUSE TV/TELEPHONE LAYOUT (TOWER-3,4 &amp; 5 STEPPED)</t>
  </si>
  <si>
    <t>ELE-T03S-1074</t>
  </si>
  <si>
    <t>ELE-T03S-1075</t>
  </si>
  <si>
    <t>EE UP LIGHT / FOCUS LIGHT/ RUB UP LIGHT FIXTURE LAYOU</t>
  </si>
  <si>
    <t>ELE-TXS-1014</t>
  </si>
  <si>
    <t>Basement Parking Electrical Layout</t>
  </si>
  <si>
    <t>ELE-TXS-1024</t>
  </si>
  <si>
    <t>Stilt level Parking Electrical Layout</t>
  </si>
  <si>
    <t>PHE-T2S-8001</t>
  </si>
  <si>
    <t>SSL-04 (FFL-03) CONNECTING BREIDGE DRAIN DETAIL</t>
  </si>
  <si>
    <t>PHE-TXS-1011</t>
  </si>
  <si>
    <t>BASEMENT FLOOR DRAINAGE LAYOUT</t>
  </si>
  <si>
    <t>PHE-TXS-1012</t>
  </si>
  <si>
    <t>SECTION-B LAYOUT</t>
  </si>
  <si>
    <t>PHE-TXS-1021</t>
  </si>
  <si>
    <t>PHE-TXS-1031</t>
  </si>
  <si>
    <t>PHE-TXS-1041</t>
  </si>
  <si>
    <t>PHE-TXS-1051</t>
  </si>
  <si>
    <t>PHE-TXS-1061</t>
  </si>
  <si>
    <t>PHE-TXS-1071</t>
  </si>
  <si>
    <t>PHE-TXS-9003</t>
  </si>
  <si>
    <t>STEPPED TOWER -3TO § WATER SUPPLY SCHEMATIC DIAGRAM</t>
  </si>
  <si>
    <t>CO-T03S-1012</t>
  </si>
  <si>
    <t>STILT CEILING LEVEL CO-ORDINATED LAYOUT - T03S</t>
  </si>
  <si>
    <t>Water  Supply Schematic</t>
  </si>
  <si>
    <t>Grade Slab-Below Plinth Beam Plumbing Layout</t>
  </si>
  <si>
    <t>V50a Below Plinth Beam Sectional Details</t>
  </si>
  <si>
    <t>V50c-Default Electrical Layout -Roof Level</t>
  </si>
  <si>
    <t>Below Plinth Electrical and Communication cable entry detail</t>
  </si>
  <si>
    <t>SSL0 , SSL1 - V50c Default Electrical Layout</t>
  </si>
  <si>
    <t>V50c Electrical Sections</t>
  </si>
  <si>
    <t>SSL2 &amp; SSL3 - V50c Default Electrical Layout</t>
  </si>
  <si>
    <t>SSL4 - V50c Default Electrical  Layout</t>
  </si>
  <si>
    <t>CO-V40-1011</t>
  </si>
  <si>
    <t>GRADE SLAB BELOW PLINTH PLUMBING LAYOUT</t>
  </si>
  <si>
    <t>ELE-V40-1012</t>
  </si>
  <si>
    <t>LEVEL 1 &amp; 2 ELECTRICAL LAYOUT</t>
  </si>
  <si>
    <t>ELE-V40-1013</t>
  </si>
  <si>
    <t>LEVEL 1 &amp; 2 DB SCHEME</t>
  </si>
  <si>
    <t>ELE-V40-1021</t>
  </si>
  <si>
    <t>LEVEL 3 &amp; 4 ELECTRICAL LAYOUT</t>
  </si>
  <si>
    <t>ELE-V40-1022</t>
  </si>
  <si>
    <t>TV-TELEPHONE CONDUIT ROUTING</t>
  </si>
  <si>
    <t>ELE-V40-1023</t>
  </si>
  <si>
    <t>TV-TELEPHONE SCHEME</t>
  </si>
  <si>
    <t>ELE-V40-1031</t>
  </si>
  <si>
    <t>ROOF LEVEL ELECTRICAL LAYOUT</t>
  </si>
  <si>
    <t>ELE-V40-1041</t>
  </si>
  <si>
    <t>ELE-V40-1042</t>
  </si>
  <si>
    <t>PHE-V40-4109</t>
  </si>
  <si>
    <t>SERVICE PLATFORM PLUMBING &amp; DRAINAGE LAYOUT</t>
  </si>
  <si>
    <t>PHE-V40-9001</t>
  </si>
  <si>
    <t>WATER SUPPLY SCHEMATIC LAYOUT</t>
  </si>
  <si>
    <t>CO-V40-4101</t>
  </si>
  <si>
    <t>COORDINATED SHAFT DETAIL DRAWING</t>
  </si>
  <si>
    <t>CO-V40-4106</t>
  </si>
  <si>
    <t>CO-ORDINATED SLEEVES PLAN</t>
  </si>
  <si>
    <t>CO-V40-4109</t>
  </si>
  <si>
    <t>CO-ORDINATED SERVICE PLATFORM LAYOUT</t>
  </si>
  <si>
    <t>Individual Home V50</t>
  </si>
  <si>
    <t>PLUMBING</t>
  </si>
  <si>
    <t>Enlarged toilet details and Wall Elevation BTR 1</t>
  </si>
  <si>
    <t>Enlarged toilet details and Wall Elevation BTR 2</t>
  </si>
  <si>
    <t>Enlarged toilet details and Wall Elevation BTR 3</t>
  </si>
  <si>
    <t>Enlarged toilet details and Wall Elevation BTR 4</t>
  </si>
  <si>
    <t>Enlarged toilet details and Wall Elevation Maid's Toilet</t>
  </si>
  <si>
    <t>Enlarged toilet details and Wall Elevation Powder Room</t>
  </si>
  <si>
    <t>Enlarged Kitchen details and wall elevation</t>
  </si>
  <si>
    <t>Enlarged Utility details and wall elevation</t>
  </si>
  <si>
    <t xml:space="preserve">PHE Shaft  detail drawing </t>
  </si>
  <si>
    <t>ELECTRICAL</t>
  </si>
  <si>
    <t>V50c-Default Television and Telephone Schematic diagram</t>
  </si>
  <si>
    <t>SSL0 , SSL1 - V50c Default TV / Telephone Layout</t>
  </si>
  <si>
    <t>SSL2 &amp; SSL3 - V50c Default TV / Telephone Layout</t>
  </si>
  <si>
    <t>Standard Electrical Notes</t>
  </si>
  <si>
    <t>SSL-1 : V50c-HVAC layout VRV System (Lower level)- Option 1</t>
  </si>
  <si>
    <t>SSL-2 &amp; 3 : V50c-HVAC layout VRV System (Upper level)- Option 1</t>
  </si>
  <si>
    <t>SSL-2 &amp; 3 : V50c-HVAC layout VRV System (Upper level)- Option 2</t>
  </si>
  <si>
    <t>SSL-4 : V50c-HVAC layout VRV System (Roof level)- Option 1</t>
  </si>
  <si>
    <t>HVAC section - A &amp; B (VRV System ) Option 1</t>
  </si>
  <si>
    <t>HVAC section - A &amp; B (VRV System ) Option 2</t>
  </si>
  <si>
    <t>HVAC section - D &amp; E (VRV System ) Option 1</t>
  </si>
  <si>
    <t>HVAC section - F &amp; G (VRV System )  Option 1</t>
  </si>
  <si>
    <t>SSL-1 : V50c-HVAC layout Split AC System (Lower level)</t>
  </si>
  <si>
    <t>COORDINATED DRAWING</t>
  </si>
  <si>
    <t>V50c . Lower Level Co-ordinated Layout details</t>
  </si>
  <si>
    <t>HOME AUTOMATION</t>
  </si>
  <si>
    <t>HA</t>
  </si>
  <si>
    <t>V50 EXPERIENCE HOME LOWER LEVEL HOME AUTOMATION LAYOUT</t>
  </si>
  <si>
    <t>V50 EXPERIENCE HOME UPPER LEVEL HOME AUTOMATION LAYOUT</t>
  </si>
  <si>
    <t>CLIENT SPECIFICATION SHEET</t>
  </si>
  <si>
    <t>Individual Home V40</t>
  </si>
  <si>
    <t>V40c-Default Television and Telephone Schematic diagram</t>
  </si>
  <si>
    <t>SSL0 , SSL1 - V40c Default TV / Telephone Layout</t>
  </si>
  <si>
    <t>SSL2 &amp; SSL3 - V40c Default Electrical Layout</t>
  </si>
  <si>
    <t>SSL2 &amp; SSL3 - V40c Default TV / Telephone Layout</t>
  </si>
  <si>
    <t>SSL-1 : V40c-HVAC layout VRV System (Lower level)- Option 1</t>
  </si>
  <si>
    <t>SSL-2 &amp; 3 : V40c-HVAC layout VRV System (Upper level)- Option 1</t>
  </si>
  <si>
    <t>SSL-2 &amp; 3 : V40c-HVAC layout VRV System (Upper level)- Option 2</t>
  </si>
  <si>
    <t>SSL-4 : V40c-HVAC layout VRV System (Roof level)- Option 1</t>
  </si>
  <si>
    <t>SSL-1 : V40c-HVAC layout Split AC System (Lower level)</t>
  </si>
  <si>
    <t>Individual Home C20</t>
  </si>
  <si>
    <t>TOILET DETAILS &amp; WALL ELEVATIONS</t>
  </si>
  <si>
    <t>Enlarged toilet details and Wall Elevation Master Bath</t>
  </si>
  <si>
    <t>Enlarged toilet details and Wall Elevation Guest Bath</t>
  </si>
  <si>
    <t>Enlarged toilet details and Wall Elevation Children's Bath</t>
  </si>
  <si>
    <t xml:space="preserve">Enlarged Kitchen &amp; Utility Plumbing details and Wall Elevation </t>
  </si>
  <si>
    <t>C20 Unit - DB Scheme</t>
  </si>
  <si>
    <t xml:space="preserve">Typical TV and Telephone scheme ( Default C20 Unit ) </t>
  </si>
  <si>
    <t>C20 Unit Electrical Layout ( Default )</t>
  </si>
  <si>
    <t xml:space="preserve">Typical Unit C20 HVAC layout </t>
  </si>
  <si>
    <t>COORDINATED DRAWINGS</t>
  </si>
  <si>
    <t xml:space="preserve">Co-ordinated Enlarged toilet details and Wall Elevation BTR 1 </t>
  </si>
  <si>
    <t xml:space="preserve">Co-ordinated Enlarged toilet details and Wall Elevation BTR 2 </t>
  </si>
  <si>
    <t xml:space="preserve">Co-ordinated Enlarged toilet details and Wall Elevation BTR 3 </t>
  </si>
  <si>
    <t xml:space="preserve">Co-ordinated Enlarged Kitchen &amp; Utility Plumbing details and Wall Elevation </t>
  </si>
  <si>
    <t xml:space="preserve">Co-ordinated Terrace plan Sleeves layout </t>
  </si>
  <si>
    <t>Co-ordinated Ground Floor  C20 Sleeveslayout  (VRV Option)</t>
  </si>
  <si>
    <t>Co-ordinated Ground Floor  C20 Sleeveslayout  (Split Option)</t>
  </si>
  <si>
    <t>Co-ordinated Typical  C20 Sleeveslayout  (VRV Option)</t>
  </si>
  <si>
    <t>Co-ordinated Typical  C20 Sleeveslayout  (Split Option)</t>
  </si>
  <si>
    <t xml:space="preserve">HA </t>
  </si>
  <si>
    <t>C20 Home Automation Layout</t>
  </si>
  <si>
    <t>C20 Client Specification Sheet</t>
  </si>
  <si>
    <t>Individual Home L30</t>
  </si>
  <si>
    <t>Enlarged toilet details and Wall Elevation L30 BTR 1 of T2</t>
  </si>
  <si>
    <t>Enlarged toilet details and Wall Elevation L30 BTR 2 of T2</t>
  </si>
  <si>
    <t>Enlarged toilet details and Wall Elevation L30 BTR 3 of T2</t>
  </si>
  <si>
    <t>Enlarged toilet details and Wall Elevation L30 BTR 4 of T2</t>
  </si>
  <si>
    <t>Enlarged L30 Maids Toilet Plumbing details and Wall Elevation of T2</t>
  </si>
  <si>
    <t>Enlarged L30 Dry Kitchen Plumbing details and Wall Elevation of T2</t>
  </si>
  <si>
    <t>Enlarged L30 Wet Kitchen Plumbing details and Wall Elevation of T2</t>
  </si>
  <si>
    <t>Enlarged L30 Utility Plumbing details and Wall Elevation of T2</t>
  </si>
  <si>
    <t>Enlarged L30 Pantry Plumbing details and Wall Elevation of T2</t>
  </si>
  <si>
    <t>L30 Unit Electrical Layout ( Default )</t>
  </si>
  <si>
    <t>Typical  L30 HVAC layout  VRV Option- Vertical Tower 2</t>
  </si>
  <si>
    <t>Typical  L30 HVAC layout  Split Option- Vertical Tower 2</t>
  </si>
  <si>
    <t>Co-ordinated Enlarged toilet details and Wall Elevation L30 BTR 1 of T2</t>
  </si>
  <si>
    <t>Co-ordinated Enlarged toilet details and Wall Elevation L30 BTR 2 of T2</t>
  </si>
  <si>
    <t>Co-ordinated Enlarged toilet details and Wall Elevation L30 BTR 3 of T2</t>
  </si>
  <si>
    <t>Co-ordinated Enlarged toilet details and Wall Elevation L30 BTR 4 of T2</t>
  </si>
  <si>
    <t>Co-ordinated Enlarged L30 Maids Toilet Plumbing details and Wall Elevation of T2</t>
  </si>
  <si>
    <t>Co-ordinated Enlarged L30 Dry Kitchen Plumbing details and Wall Elevation of T2</t>
  </si>
  <si>
    <t>Co-ordinated Enlarged L30 Wet Kitchen Plumbing details and Wall Elevation of T2</t>
  </si>
  <si>
    <t>Co-ordinated Enlarged L30 Utility Plumbing details and Wall Elevation of T2</t>
  </si>
  <si>
    <t>Co-ordinated Enlarged L30 Pantry Plumbing details and Wall Elevation of T2</t>
  </si>
  <si>
    <t>Co-ordinated Typical  L30 Sleeves Layout  VRV Option- Vertical Tower 2</t>
  </si>
  <si>
    <t>Co-ordinated Typical  L30 Sleeves Layout  Split Option- Vertical Tower 2</t>
  </si>
  <si>
    <t>Individual Home L45</t>
  </si>
  <si>
    <t>Enlarged toilet details and Wall Elevation L45 BTR 1 of T2</t>
  </si>
  <si>
    <t>Enlarged toilet details and Wall Elevation L45 BTR 2 of T2</t>
  </si>
  <si>
    <t>Enlarged toilet details and Wall Elevation L45 BTR 3 of T2</t>
  </si>
  <si>
    <t>Enlarged toilet details and Wall Elevation L45 BTR 4 of T2</t>
  </si>
  <si>
    <t>Enlarged toilet details and Wall Elevation L45 BTR 5 of T2</t>
  </si>
  <si>
    <t>Enlarged toilet details and Wall Elevation L45 BTR 6 of T2</t>
  </si>
  <si>
    <t>Enlarged L45 Maids Toilet Plumbing details and Wall Elevation of T2</t>
  </si>
  <si>
    <t>Enlarged L45 Kitchen Plumbing details and Wall Elevation of T2</t>
  </si>
  <si>
    <t>Enlarged L45 Utility Plumbing details and Wall Elevation of T2</t>
  </si>
  <si>
    <t>Enlarged L45 Pantry Plumbing details and Wall Elevation of T2</t>
  </si>
  <si>
    <t>SSL 3 L45 Unit Electrical Layout-(Default)</t>
  </si>
  <si>
    <t>SSL 6 L45 Unit Electrical Layout-(Default)</t>
  </si>
  <si>
    <t>SSL 6 L45 Unit DB Schematic</t>
  </si>
  <si>
    <t>SSL 7 L45 Unit and Parking Electrical Layout-(Default)</t>
  </si>
  <si>
    <t>SSL 7 L45 Unit DB Schematic</t>
  </si>
  <si>
    <t>Typical L45 HVAC layout  VRV Option- Stepped Tower 2</t>
  </si>
  <si>
    <t>SSL 3 ( First lvl )L45 HVAC layout VRV Option- Stepped Tower 2</t>
  </si>
  <si>
    <t>SSL 4 ( Second lvl ) L45 HVAC layout VRV Option- Stepped Tower 2</t>
  </si>
  <si>
    <t>SSL 5 ( Third lvl ) L45 HVAC layout VRV Option- Stepped Tower 2</t>
  </si>
  <si>
    <t>SSL 6 ( Fourth lvl ) L45 HVAC layout VRV Option- Stepped Tower 2</t>
  </si>
  <si>
    <t>SSL 7 ( Fifth lvl ) L45 HVAC layout VRV Option- Stepped Tower 2</t>
  </si>
  <si>
    <t>Co-ordinated Enlarged toilet details and Wall Elevation L45 BTR 1 of T2</t>
  </si>
  <si>
    <t>Co-ordinated Enlarged toilet details and Wall Elevation L45 BTR 2 of T2</t>
  </si>
  <si>
    <t>Co-ordinatedEnlarged toilet details and Wall Elevation L45 BTR 3 of T2</t>
  </si>
  <si>
    <t>Co-ordinated Enlarged toilet details and Wall Elevation L45 BTR 4 of T2</t>
  </si>
  <si>
    <t>Co-ordinated Enlarged toilet details and Wall Elevation L45 BTR 5 of T2</t>
  </si>
  <si>
    <t>Co-ordinated Enlarged toilet details and Wall Elevation L45 BTR 6 of T2</t>
  </si>
  <si>
    <t>Co-ordinated Enlarged L45 Maids Toilet Plumbing details and Wall Elevation of T2</t>
  </si>
  <si>
    <t>Co-ordinated Enlarged L45 Kitchen Plumbing details and Wall Elevation of T2</t>
  </si>
  <si>
    <t>Co-ordinated Enlarged L45 Utility Plumbing details and Wall Elevation of T2</t>
  </si>
  <si>
    <t>Co-ordinated Enlarged L45 Pantry Plumbing details and Wall Elevation of T2</t>
  </si>
  <si>
    <t>Co-ordinated Typical L45 Sleeves Layout  VRV Option- Stepped Tower 2</t>
  </si>
  <si>
    <t>Co-ordinated SSL 2 ( First lvl )L45 Sleeves Layout Chiller Option- Stepped Tower 2</t>
  </si>
  <si>
    <t>Co-ordinated SSL 3 ( Second lvl ) L45 Sleeves Layout Chiller Option- Stepped Tower 2</t>
  </si>
  <si>
    <t>Co-ordinated SSL 4 ( Third lvl ) L45 Sleeves Layout Chiller Option- Stepped Tower 2</t>
  </si>
  <si>
    <t>Co-ordinated SSL 5 ( Fourth lvl ) L45 Sleeves Layout Chiller Option- Stepped Tower 2</t>
  </si>
  <si>
    <t>Co-ordinated SSL 6 ( Fifth lvl ) L45 Sleeves Layout Chiller Option- Stepped Tower 2</t>
  </si>
  <si>
    <t>Co-ordinated SSL 7 ( Sixth lvl ) L45 Sleeves Layout Chiller Option- Stepped Tower 2</t>
  </si>
  <si>
    <t>Co-ordinated SSL 8 ( Seventh lvl ) L45 Sleeves Layout Chiller Option- Stepped Tower 2</t>
  </si>
  <si>
    <t>Co-ordinated SSL 9 ( Eighth lvl )L45 Sleeves Layout Chiller Option- Stepped Tower 2</t>
  </si>
  <si>
    <t>Co-ordinated SSL 10 ( Ninth lvl ) L45 Sleeves Layout Chiller Option- Stepped Tower 2</t>
  </si>
  <si>
    <t>Co-ordinated L45 -SSL1 Sleeves Layout-Stepped Tower 2</t>
  </si>
  <si>
    <t>Co-ordinated L45 -SSL2 Sleeves Layout-Stepped Tower 2</t>
  </si>
  <si>
    <t>Co-ordinated L45 -SSL3 Sleeves Layout-Stepped Tower 2</t>
  </si>
  <si>
    <t>Co-ordinated L45 -SSL4 Sleeves Layout-Stepped Tower 2</t>
  </si>
  <si>
    <t>Co-ordinated L45 -SSL5 Sleeves Layout-Stepped Tower 2</t>
  </si>
  <si>
    <t>Co-ordinated L45 -SSL6 Sleeves Layout-Stepped Tower 2</t>
  </si>
  <si>
    <t>Co-ordinated L45 -SSL7 Sleeves Layout-Stepped Tower 2</t>
  </si>
  <si>
    <t>Co-ordinated L45 -SSL8 Sleeves Layout-Stepped Tower 2</t>
  </si>
  <si>
    <t>Individual Home R11</t>
  </si>
  <si>
    <t>Enlarged toilet details and Wall Elevation R11 BTR 1 of T2</t>
  </si>
  <si>
    <t>Enlarged toilet details and Wall Elevation R11 BTR 2 of T2</t>
  </si>
  <si>
    <t>Enlarged R11 Kitchen Plumbing details and Wall Elevation of T2</t>
  </si>
  <si>
    <t>Enlarged R11 Utility Plumbing details and Wall Elevation of T2</t>
  </si>
  <si>
    <t>R11 Unit Electrical Layout-(Default)</t>
  </si>
  <si>
    <t>R11 Unit DB Schematic</t>
  </si>
  <si>
    <t>Typical R11 HVAC layout  VRV Option</t>
  </si>
  <si>
    <t>Typical R11 HVAC layout  Split Option</t>
  </si>
  <si>
    <t>Co-ordinated Enlarged toilet details and Wall Elevation R11 BTR 1 of T2</t>
  </si>
  <si>
    <t>Co-ordinated Enlarged toilet details and Wall Elevation R11 BTR 2 of T2</t>
  </si>
  <si>
    <t>Co-ordinated Enlarged R11 Kitchen Plumbing details and Wall Elevation of T2</t>
  </si>
  <si>
    <t>Co-ordinated Enlarged R11 Utility Plumbing details and Wall Elevation of T2</t>
  </si>
  <si>
    <t>Co-ordinated Typical R11 Sleeves Layout  VRV Option- Stepped Tower 2</t>
  </si>
  <si>
    <t>Individual Home R22</t>
  </si>
  <si>
    <t>Enlarged toilet details and Wall Elevation R22 BTR 1 of T2</t>
  </si>
  <si>
    <t>Enlarged toilet details and Wall Elevation R22 BTR 2 of T2</t>
  </si>
  <si>
    <t>Enlarged R22 Kitchen Plumbing details and Wall Elevation of T2</t>
  </si>
  <si>
    <t>Enlarged R22 Utility Plumbing details and Wall Elevation of T2</t>
  </si>
  <si>
    <t>R22 Unit Electrical Layout-(Default)</t>
  </si>
  <si>
    <t>R22 Unit DB Schematic</t>
  </si>
  <si>
    <t>Typical R22 HVAC layout  VRV Option</t>
  </si>
  <si>
    <t>Typical R22 HVAC layout  Split Option</t>
  </si>
  <si>
    <t>Co-ordinated Enlarged toilet details and Wall Elevation R22 BTR 1 of T2</t>
  </si>
  <si>
    <t>Co-ordinated Enlarged toilet details and Wall Elevation R22 BTR 2 of T2</t>
  </si>
  <si>
    <t>Co-ordinated Enlarged R22 Kitchen Plumbing details and Wall Elevation of T2</t>
  </si>
  <si>
    <t>Co-ordinated Enlarged R22 Utility Plumbing details and Wall Elevation of T2</t>
  </si>
  <si>
    <t>Co-ordinated Typical R22 Sleeves Layout  VRV Option- Stepped Tower 2</t>
  </si>
  <si>
    <t>Individual Home C20 P</t>
  </si>
  <si>
    <t>PHE-C20P-0001</t>
  </si>
  <si>
    <t>PHE-C20P-0002</t>
  </si>
  <si>
    <t>LOWER LEVEL WATER SUPPLY LAYOUT</t>
  </si>
  <si>
    <t>PHE-C20P-0003</t>
  </si>
  <si>
    <t>UPPER LEVEL DRAINAGE LAYOUT</t>
  </si>
  <si>
    <t>PHE-C20P-0004</t>
  </si>
  <si>
    <t>UPPER LEVEL WATER SUPPLY LAYOUT</t>
  </si>
  <si>
    <t>PHE-C20P-0005</t>
  </si>
  <si>
    <t>HEAT PUMP ROUTING</t>
  </si>
  <si>
    <t>PHE-C20P-4011</t>
  </si>
  <si>
    <t>BTR-1 ENLARGED TOILET DETAIL</t>
  </si>
  <si>
    <t>PHE-C20P-4012</t>
  </si>
  <si>
    <t>PHE_BTR-1 ENLARGE TOILET SECTION LAYOUT</t>
  </si>
  <si>
    <t>PHE-C20P-4021</t>
  </si>
  <si>
    <t>BTR-2 ENLARGED TOILET DETAIL</t>
  </si>
  <si>
    <t>PHE-C20P-4022</t>
  </si>
  <si>
    <t>PHE_BTR-2 ENLARGE TOILET SECTION LAYOUT</t>
  </si>
  <si>
    <t>PHE-C20P-4031</t>
  </si>
  <si>
    <t>BTR-3 ENLARGED TOILET DETAIL</t>
  </si>
  <si>
    <t>PHE-C20P-4032</t>
  </si>
  <si>
    <t>PHE_BTR-3 ENLARGE TOILET SECTION LAYOUT</t>
  </si>
  <si>
    <t>PHE-C20P-4041</t>
  </si>
  <si>
    <t>BTR-4 ENLARGED TOILET DETAIL</t>
  </si>
  <si>
    <t>PHE-C20P-4042</t>
  </si>
  <si>
    <t>PHE_BTR-4 ENLARGE TOILET SECTION LAYOUT</t>
  </si>
  <si>
    <t>PHE-C20P-4051</t>
  </si>
  <si>
    <t>BTR-5 ENLARGED TOILET DETAIL</t>
  </si>
  <si>
    <t>PHE-C20P-4052</t>
  </si>
  <si>
    <t>PHE_BTR-5 ENLARGE TOILET SECTION LAYOUT</t>
  </si>
  <si>
    <t>PHE-C20P-4061</t>
  </si>
  <si>
    <t>KTC,UTL AND MDBTR ELARGED TOILET DETAIL</t>
  </si>
  <si>
    <t>PHE-C20P-4062</t>
  </si>
  <si>
    <t>PHE_KTC,UTL AND MDBTR ENLARGE SECTION LAYOUT</t>
  </si>
  <si>
    <t>PHE-C20P-4071</t>
  </si>
  <si>
    <t>LAUNDRY ENLARGED TOILET DETAIL</t>
  </si>
  <si>
    <t>PHE-C20P-4072</t>
  </si>
  <si>
    <t>PHE_LAUNDRY ENLARGE SECTION LAYOUT</t>
  </si>
  <si>
    <t>PHE-C20P-4081</t>
  </si>
  <si>
    <t>SERVICE PLATFORM ENLARGED TOILET DETAIL</t>
  </si>
  <si>
    <t>Typical Unit C20 HVAC layout ( C20 PENT HOUSE UPPER &amp; LOWER LEVEL HVAC LAYOUT)</t>
  </si>
  <si>
    <t>Individual Home L30 P</t>
  </si>
  <si>
    <t>Individual Home L45 P</t>
  </si>
  <si>
    <t>E13-FD00-03</t>
  </si>
  <si>
    <t>ELE-00-0001</t>
  </si>
  <si>
    <t>External cable routing layout (HT/LT/Communication)</t>
  </si>
  <si>
    <t>ELE-00-0002</t>
  </si>
  <si>
    <t>SITEPLAN SECTIONS</t>
  </si>
  <si>
    <t>ELE-00-0003</t>
  </si>
  <si>
    <t>SITEPLAN - SECTIONS</t>
  </si>
  <si>
    <t>ELE-00-0004</t>
  </si>
  <si>
    <t>ELE-00-0010</t>
  </si>
  <si>
    <t>ELE-00-0011</t>
  </si>
  <si>
    <t>VILLA STREET LIGHTING DB DETAILS</t>
  </si>
  <si>
    <t>ELE-00-0021</t>
  </si>
  <si>
    <t>Site Plan Road Cross Sectlon</t>
  </si>
  <si>
    <t>ELE-00-0022</t>
  </si>
  <si>
    <t>Villa - Electrical Trench &amp; Culvert details</t>
  </si>
  <si>
    <t>ELE-00-0023</t>
  </si>
  <si>
    <t>Electrical Service yard</t>
  </si>
  <si>
    <t>ELE-00-9003</t>
  </si>
  <si>
    <t>POWER DISTRIBUTION LAYOUT (SLD) [TOWER-2]</t>
  </si>
  <si>
    <t>ELE-00-9004</t>
  </si>
  <si>
    <t>POWER DISTRIBUTION LAYOUT (SLD) TOWER-2]</t>
  </si>
  <si>
    <t>ELE-00-9010</t>
  </si>
  <si>
    <t>RMU/TRANSFORMER / LT KIOSK SCHEME</t>
  </si>
  <si>
    <t>ELE-00-9011</t>
  </si>
  <si>
    <t>DG SYNCH / EB &amp; DG DISTRIBUTION SCHEME</t>
  </si>
  <si>
    <t>ELE-00-9012</t>
  </si>
  <si>
    <t>METERING PANELS SCHEME</t>
  </si>
  <si>
    <t>ELE-00-9013</t>
  </si>
  <si>
    <t>UTILITY / FIRE EMERGENCY/ PHE/ LIFT PANEL SCHEME</t>
  </si>
  <si>
    <t>ELE-00-9014</t>
  </si>
  <si>
    <t>POWER DISTRIBUTION (SLD) [GENERAL NOTES]</t>
  </si>
  <si>
    <t>ELE-BW01-0001</t>
  </si>
  <si>
    <t>BOARD WALK-1 LIGHTING LAYOUT</t>
  </si>
  <si>
    <t>ELE-BW02-0002</t>
  </si>
  <si>
    <t>BOARDWALK-2, PART - 1 &amp; 2 LIGHTING LAYOUT</t>
  </si>
  <si>
    <t>ELE-PH 1-0012</t>
  </si>
  <si>
    <t>CENTRAL GREEN AREA-PHASE-1 LANDSCAPE LIGHTING LAYOUT</t>
  </si>
  <si>
    <t>ELE-PH1-0012</t>
  </si>
  <si>
    <t>CENTRAL GREEN AREA-PHASE 1 LANDSCAPE LIGHTING LAYOUT</t>
  </si>
  <si>
    <t>ELE-PH 1-0013</t>
  </si>
  <si>
    <t>CENTRAL GREEN AREA-PHASE-1 LANDSCAPE LIGHTING DB SCHEME</t>
  </si>
  <si>
    <t>ELE-PH1-0013</t>
  </si>
  <si>
    <t>CENTRAL GREEN AREA STANDARD LIGHT FIXTURE DETAILS</t>
  </si>
  <si>
    <t>ELE-PH2-0014</t>
  </si>
  <si>
    <t>CENTRAL GREEN AREA-PHASE 2 LANDSCAPE LIGHTING LAYOUT</t>
  </si>
  <si>
    <t>IBMS-00-0001</t>
  </si>
  <si>
    <t>SITE PLAN CCTV LAYOUT</t>
  </si>
  <si>
    <t>INFRA-001</t>
  </si>
  <si>
    <t>OVERALL SITE PLAN WITH SHEET INDEX</t>
  </si>
  <si>
    <t>INFRA-002</t>
  </si>
  <si>
    <t>1-EW, 2-EW, 1-NS &amp; 2-NS PLAN</t>
  </si>
  <si>
    <t>INFRA-003</t>
  </si>
  <si>
    <t>1-EW, 2-EW, 1-NS &amp; 2-NS PROFILE (L-SECTION)</t>
  </si>
  <si>
    <t>INFRA-004</t>
  </si>
  <si>
    <t>MAIN ENTRANCE ROAD PLAN, PROFILE (L-SECTION)&amp; CROSS SECTIONS</t>
  </si>
  <si>
    <t>INFRA-005</t>
  </si>
  <si>
    <t>4-EW, 5-EW&amp; 5-NS PLAN, PROFILE (L-SECTION)</t>
  </si>
  <si>
    <t>INFRA-006</t>
  </si>
  <si>
    <t>TYP. VILLA DRIVEWAY ENTRANCE AND INTERSECTION1&amp;3 DETAIL</t>
  </si>
  <si>
    <t>INFRA-007</t>
  </si>
  <si>
    <t>SECONDARY ENTRANCE, INTERSECTION NO.2&amp; CUL DE SAC DETAIL</t>
  </si>
  <si>
    <t>INFRA-008</t>
  </si>
  <si>
    <t>ROAD CROSS SECTIONS</t>
  </si>
  <si>
    <t>INFRA-009</t>
  </si>
  <si>
    <t>ROAD CENTER LINE SET-OUT PLAN</t>
  </si>
  <si>
    <t>INFRA-010</t>
  </si>
  <si>
    <t>ROAD CENTER LINE SET-OUT TABLES</t>
  </si>
  <si>
    <t>INFRA-011</t>
  </si>
  <si>
    <t>PLAN VIEW 3-EW &amp; 3-NS</t>
  </si>
  <si>
    <t>INFRA-012</t>
  </si>
  <si>
    <t>3-EW &amp; 3-NS PROFILE (L-SECTION) &amp; ROAD CROSS SECTIONS</t>
  </si>
  <si>
    <t>INFRA-013</t>
  </si>
  <si>
    <t>ROAD CENTER LINE SET-OUT PLAN TABLES</t>
  </si>
  <si>
    <t>CO-00-0001</t>
  </si>
  <si>
    <t>COORDINATED SITE PLAN ENLARGED VILLA AREA</t>
  </si>
  <si>
    <t>CO-00-0005</t>
  </si>
  <si>
    <t>COORDINATED SITE PLAN SECTIONS</t>
  </si>
  <si>
    <t>CO-00-0007</t>
  </si>
  <si>
    <t>COORDINATED SITE PLAN</t>
  </si>
  <si>
    <t>CO-00-0008</t>
  </si>
  <si>
    <t>COORDINATED SITE PLAN ENLARGED TOWER 01 TO 07</t>
  </si>
  <si>
    <t>CO-00-0011</t>
  </si>
  <si>
    <t>SITE PLAN ELECTRICAL SECTIONS</t>
  </si>
  <si>
    <t>CO-00-0012</t>
  </si>
  <si>
    <t>CO-00-0013</t>
  </si>
  <si>
    <t>SITE PLAN ELECTRICAL SECTIONS TRENCH DETAILS</t>
  </si>
  <si>
    <t>CO-00-0014</t>
  </si>
  <si>
    <t>External cable routing layout (HT/LT/Communication</t>
  </si>
  <si>
    <t>CONCEPTUAL EARTHING SCHEME</t>
  </si>
  <si>
    <t>ELE-00-0005</t>
  </si>
  <si>
    <t>SHAFT EARTHING DETAILS</t>
  </si>
  <si>
    <t>ELE-00-0007</t>
  </si>
  <si>
    <t>EARTHING DETAILS</t>
  </si>
  <si>
    <t>ELE-00-0026</t>
  </si>
  <si>
    <t>SITE PLAN EARTHING LAYOUT</t>
  </si>
  <si>
    <t>ELE-00-0027</t>
  </si>
  <si>
    <t>TOWER 01 &amp; 02 EARTHING LAYOUT</t>
  </si>
  <si>
    <t>ELE-00-0028</t>
  </si>
  <si>
    <t>TOWER 03 EARTHING LAYOUT</t>
  </si>
  <si>
    <t>ELE-00-0029</t>
  </si>
  <si>
    <t>TOWER 04 EARTHING LAYOUT</t>
  </si>
  <si>
    <t>ELE-00-0030</t>
  </si>
  <si>
    <t>TOWER 05 EARTHING LAYOUT</t>
  </si>
  <si>
    <t>ELE-00-0031</t>
  </si>
  <si>
    <t>TOWER 06 &amp; 07 EARTHING LAYOUT</t>
  </si>
  <si>
    <t>ELE-00-0032</t>
  </si>
  <si>
    <t>ZONE-1 ELECTRICAL EQUIPMENT EARTHING LAYOUT</t>
  </si>
  <si>
    <t>ELE-00-0033</t>
  </si>
  <si>
    <t>ZONE-2 ELECTRICAL EQUIPMENT EARTHING LAYOUT</t>
  </si>
  <si>
    <t>ELE-00-0034</t>
  </si>
  <si>
    <t>GENERAL DETAILS FOR EARTHING LAYOUT</t>
  </si>
  <si>
    <t>ELE-SCN-4006</t>
  </si>
  <si>
    <t>SECURITY CABIN-RESIDENTIAL ELECTRICAL LAYOUT</t>
  </si>
  <si>
    <t>ELE-STP2-1017</t>
  </si>
  <si>
    <t>SSL 1, STP-2 CABLE TRAY ROUTING LAYOUT</t>
  </si>
  <si>
    <t>ELE-UGT &amp; STP-9002</t>
  </si>
  <si>
    <t>UGT &amp; STP LIGHTING LAYOUT</t>
  </si>
  <si>
    <t>ELE-UGT2 &amp; 3-1015</t>
  </si>
  <si>
    <t>SSL1-STP2, UGT2&amp;3 CABLE TRAY ROUTING LAYOUT</t>
  </si>
  <si>
    <t>ELE-UGT2 &amp;3-1016</t>
  </si>
  <si>
    <t>SSL1,UGT2&amp;3 CABLE TRAY ROUTING LAYOUT</t>
  </si>
  <si>
    <t>FF-CG-0001</t>
  </si>
  <si>
    <t>SITE PLAN FIRE FIGHTING LAYOUT CENTRAL GREEN AREA</t>
  </si>
  <si>
    <t>Site Plan CCTV Layout</t>
  </si>
  <si>
    <t>IBMS-00-9001</t>
  </si>
  <si>
    <t>CCTV SCHEMATIC DRAWING</t>
  </si>
  <si>
    <t>IBMS-00-9002</t>
  </si>
  <si>
    <t>CCTV POLE TYPICAL MOUNTING DETAILS</t>
  </si>
  <si>
    <t>PHE-00-0001</t>
  </si>
  <si>
    <t>Site Plan External Combined Services</t>
  </si>
  <si>
    <t>PHE-00-0002</t>
  </si>
  <si>
    <t>PHE-00-0003</t>
  </si>
  <si>
    <t>PHE-00-0004</t>
  </si>
  <si>
    <t>PHE-00-0016</t>
  </si>
  <si>
    <t>SITE PLAN 6S RAMP AREA PLUMBING LAYOUT</t>
  </si>
  <si>
    <t>PHE-00-0017</t>
  </si>
  <si>
    <t>STORM WATER COLLECTION TANK DETAIL - 6S RAMP AREA</t>
  </si>
  <si>
    <t>PHE-00-0020</t>
  </si>
  <si>
    <t>SITE PLAN CENTRAL GREEN AREA PLUMBING LAYOUT</t>
  </si>
  <si>
    <t>PHE-00-0021</t>
  </si>
  <si>
    <t>Site Plan SECTION DETAILS</t>
  </si>
  <si>
    <t>PHE-SCN-4001</t>
  </si>
  <si>
    <t>SECURITY CABIN TOILET PLAN DETAIL</t>
  </si>
  <si>
    <t>PHE-SCN-4002</t>
  </si>
  <si>
    <t>SECURITY CABIN TOILET ELEVATION DETAIL</t>
  </si>
  <si>
    <t>PHE-SWT02-4005</t>
  </si>
  <si>
    <t>STORM WATER SUMP - 02 PLAN</t>
  </si>
  <si>
    <t>PHE-SWT02-4006</t>
  </si>
  <si>
    <t>STROM WATER SUMP - 02 SECTIONS</t>
  </si>
  <si>
    <t>C0-00-0016</t>
  </si>
  <si>
    <t>COORDINATED SITE PLAN 6S RAMP AREA</t>
  </si>
  <si>
    <t>CO-00-0004</t>
  </si>
  <si>
    <t>CO-ORDINATE SITE PLAN CLUSTER - 03</t>
  </si>
  <si>
    <t>CO-00-017</t>
  </si>
  <si>
    <t>COORDINATED SITE PLAN 6S RAMP AREA REACTIONS</t>
  </si>
  <si>
    <t>CO-00-028</t>
  </si>
  <si>
    <t>CO-ORDINATE SITE PLAN CLUSTER-03 - SECTIONS</t>
  </si>
  <si>
    <t>CO-SITE-BWSSB-4006</t>
  </si>
  <si>
    <t>BWSSB CO-ORDINATED SITE PLAN</t>
  </si>
  <si>
    <t>OWC Drawings</t>
  </si>
  <si>
    <t>LPG gas bank layout with schematic flow diagram</t>
  </si>
  <si>
    <t>NA</t>
  </si>
  <si>
    <t>PHE-CH-1006</t>
  </si>
  <si>
    <t>Lower Level (Below Plinth) Drainage Layout FFL-01</t>
  </si>
  <si>
    <t>ELE-CH-0005</t>
  </si>
  <si>
    <t>LEVEL-2 DISTRIBUTION DIAGRAM</t>
  </si>
  <si>
    <t>ELE-CH-0008</t>
  </si>
  <si>
    <t>GYM LEVEL-2 ELECTRICAL LAYOUT</t>
  </si>
  <si>
    <t>ELE-CH-0010</t>
  </si>
  <si>
    <t>CLUBHOUSE EARTHING LAYOUT</t>
  </si>
  <si>
    <t>FPS-CH-1001</t>
  </si>
  <si>
    <t>Club House - Lower Level Fire Protection Layout</t>
  </si>
  <si>
    <t>FPS-CH-1002</t>
  </si>
  <si>
    <t>LOWER LEVEL FIRE DETECTOR SYSTEM LAYOUT</t>
  </si>
  <si>
    <t>FPS-CH-1003</t>
  </si>
  <si>
    <t>Club House - Upper Level Fire Protection Layout</t>
  </si>
  <si>
    <t>FPS-CH-1004</t>
  </si>
  <si>
    <t>UPPER LEVEL FIRE DETECTOR SYSTEM LAYOUT</t>
  </si>
  <si>
    <t>HVAC-CH-1001</t>
  </si>
  <si>
    <t>LOWER LEVEL HVAC LAYOUT</t>
  </si>
  <si>
    <t>HVAC-CH-1004</t>
  </si>
  <si>
    <t>UPPER LEVEL HVAC LAYOUT</t>
  </si>
  <si>
    <t>HVAC-CH-1007</t>
  </si>
  <si>
    <t>UPPER LVL KITCHEN VENTILATION</t>
  </si>
  <si>
    <t>IBMS-CH-1001</t>
  </si>
  <si>
    <t>CLUB HOUSE - LEVEL 01 - IBMS LAYOUT</t>
  </si>
  <si>
    <t>IBMS-CH-1002</t>
  </si>
  <si>
    <t>CLUB HOUSE - LEVEL 02 - IBMS LAYOUT</t>
  </si>
  <si>
    <t>PHE-CH-1001</t>
  </si>
  <si>
    <t>PHE-CH-1002</t>
  </si>
  <si>
    <t>Lower Level - Water Supply Layout FFL-01</t>
  </si>
  <si>
    <t>PHE-CH-1004</t>
  </si>
  <si>
    <t>Suit Toilet Drainage Layout</t>
  </si>
  <si>
    <t>PHE-CH-1005</t>
  </si>
  <si>
    <t>Suit Toilet Water Supply Layout</t>
  </si>
  <si>
    <t>CLUB HOUSE KITCHEN AREA WATER SUPPLY LAYOUT</t>
  </si>
  <si>
    <t>PHE-CH-1007</t>
  </si>
  <si>
    <t>Men &amp; Women Tollet Water Supply Layout Lvl-02</t>
  </si>
  <si>
    <t>PHE-CH-1008</t>
  </si>
  <si>
    <t>Men &amp; Women Tollet Drainage Layout Lvi-02</t>
  </si>
  <si>
    <t>PHE-CH-1013</t>
  </si>
  <si>
    <t>WATER SUPPLY TO POOL FILTRATION UNIT</t>
  </si>
  <si>
    <t>PHE-CH-1040</t>
  </si>
  <si>
    <t>PHE_TOILET SECTIONS</t>
  </si>
  <si>
    <t>PHE-CH-1041</t>
  </si>
  <si>
    <t>PHE-CH-1051</t>
  </si>
  <si>
    <t>UPPER LEVEL PHE LAYOUT</t>
  </si>
  <si>
    <t>PHE-CH-4011</t>
  </si>
  <si>
    <t>Cafeteria Drainage Layout</t>
  </si>
  <si>
    <t>PHE-CH-4012</t>
  </si>
  <si>
    <t>CAFETERIA WATER SUPPLY LAYOUT</t>
  </si>
  <si>
    <t>PHE-CH-1401</t>
  </si>
  <si>
    <t>SUBSOIL DRAINAGE PLAN POOL AREA</t>
  </si>
  <si>
    <t>PHE-00-0018</t>
  </si>
  <si>
    <t>SITE PLAN BOARD WALK AREA PLUMBING LAYOUT</t>
  </si>
  <si>
    <t>Site CCTV Drawings</t>
  </si>
  <si>
    <t>CO-CH-1001</t>
  </si>
  <si>
    <t>CH -FFL 1 - CEILING LVL CO-ORDINATED LAYOUT 1/2 &amp; 2/2</t>
  </si>
  <si>
    <t>CO-CH-1002</t>
  </si>
  <si>
    <t>CH - FFL 2 - CEILING LVL CO-ORDINATED LAYOUT 1/2</t>
  </si>
  <si>
    <t>CO-CH-1003</t>
  </si>
  <si>
    <t>CH - FFL 2 - CEILING LVL CO-ORDINATED LAYOUT 2/2</t>
  </si>
  <si>
    <t>CO-CH-1004</t>
  </si>
  <si>
    <t>CO-CH-FFL - 3D DETAIL 1</t>
  </si>
  <si>
    <t>CO-00-0018</t>
  </si>
  <si>
    <t>COORDINATED SITE PLAN BOARD WALK AREA</t>
  </si>
  <si>
    <t>CO-00-0019</t>
  </si>
  <si>
    <t>COORDINATED SITE PLAN BOARD WALK AREA - SECTIONS</t>
  </si>
  <si>
    <t>Pool Deck Drainage Routing</t>
  </si>
  <si>
    <t>Plan in Y 25</t>
  </si>
  <si>
    <t>Issued in Y 25</t>
  </si>
  <si>
    <t>LS | DRAWING LIST</t>
  </si>
  <si>
    <t>LS-0059-03-0000-IR-SC-001</t>
  </si>
  <si>
    <t>IRRIGATION WATER SUPPLY SCHEMATIC T-2,3,4,5,6</t>
  </si>
  <si>
    <t>LS-T2S-1201</t>
  </si>
  <si>
    <t>T2S STILT LEVEL PLANTING MARKING PLAN</t>
  </si>
  <si>
    <t>LS-T2S-1301</t>
  </si>
  <si>
    <t>T2S STILT LEVEL SURFACE DRAINAGE PLAN</t>
  </si>
  <si>
    <t>LS-T2S-1302</t>
  </si>
  <si>
    <t>T2S STILT LEVEL SUB SURFACE DRAINAGE PLAN</t>
  </si>
  <si>
    <t>LS-T2S-1501</t>
  </si>
  <si>
    <t>T2S STILT LEVEL LIGHTING PLAN</t>
  </si>
  <si>
    <t>LS-T2S-1601</t>
  </si>
  <si>
    <t>T2S STILT LEVEL IRRIGATION PLAN</t>
  </si>
  <si>
    <t>LS-T2S-1701</t>
  </si>
  <si>
    <t>T2S STILT LEVEL PLANTING PLAN</t>
  </si>
  <si>
    <t>LS-T2S-T6S-RF-1301</t>
  </si>
  <si>
    <t>T2S &amp; T6S ROOF SURFACE DRAINAGE PLAN</t>
  </si>
  <si>
    <t>LS-T2S-T6S-RF-1302</t>
  </si>
  <si>
    <t>T2S &amp; T6S ROOF SUB-SURFACE DRAINAGE PLAN</t>
  </si>
  <si>
    <t>LS-T2S-T6S-RF-1601</t>
  </si>
  <si>
    <t>T2S &amp; T6S ROOF IRRIGATION PLAN</t>
  </si>
  <si>
    <t>LS-T2S-T6S-RF-1801</t>
  </si>
  <si>
    <t>T2S &amp; T6S ROOF PLANTING PLAN</t>
  </si>
  <si>
    <t>LS-T2S-T6S-RF-1802</t>
  </si>
  <si>
    <t>T2S &amp; T6S ROOF SHRUB MARKING PLAN</t>
  </si>
  <si>
    <t>LS-T2S-T6S-RF-3001</t>
  </si>
  <si>
    <t>T2S &amp; T6S ROOF SECTION AND DETAILS</t>
  </si>
  <si>
    <t>LS-TXS W-1201</t>
  </si>
  <si>
    <t>TXS SSL02 WEDGE SHAPE GARDEN SETTING-OUT PLAN</t>
  </si>
  <si>
    <t>LS-TXS W-1202</t>
  </si>
  <si>
    <t>TXS SSL03 WEDGE SHAPE GARDEN SETTING-OUT PLAN</t>
  </si>
  <si>
    <t>LS-TXS W-1203</t>
  </si>
  <si>
    <t>TXS SSL04 WEDGE SHAPE GARDEN SETTING-OUT PLAN</t>
  </si>
  <si>
    <t>LS-TXS W-1204</t>
  </si>
  <si>
    <t>TXS SSL05 WEDGE SHAPE GARDEN SETTING-OUT PLAN</t>
  </si>
  <si>
    <t>LS-TXS W-1205</t>
  </si>
  <si>
    <t>TXS SSL06 REAR SIDE GARDEN SETTING OUT PLAN</t>
  </si>
  <si>
    <t>Tower -2S to 6S</t>
  </si>
  <si>
    <t>LS-TXS W-1301</t>
  </si>
  <si>
    <t>TXS SSL02 WEDGE SHAPE GARDEN GRADING PLAN</t>
  </si>
  <si>
    <t>LS-TXS W-1302</t>
  </si>
  <si>
    <t>TXS SSL03 WEDGE SHAPE GARDEN GRADING PLAN</t>
  </si>
  <si>
    <t>LS-TXS W-1303</t>
  </si>
  <si>
    <t>TXS SSL04 WEDGE SHAPE GARDEN GRADING PLAN</t>
  </si>
  <si>
    <t>LS-TXS W-1304</t>
  </si>
  <si>
    <t>TXS SSL05 WEDGE SHAPE GARDEN GRADING PLAN</t>
  </si>
  <si>
    <t>LS-TXS W-1305</t>
  </si>
  <si>
    <t>TXS SSL06 REAR SIDE GARDEN GRADING PLAN</t>
  </si>
  <si>
    <t>LS-TXS W-1501</t>
  </si>
  <si>
    <t>TXS SSLO2 WEDGE SHAPE GARDEN LIGHTING PLAN</t>
  </si>
  <si>
    <t>LS-TXS W-1502</t>
  </si>
  <si>
    <t>TXS SSL03 WEDGE SHAPE GARDEN LIGHTING PLAN</t>
  </si>
  <si>
    <t>LS-TXS W-1503</t>
  </si>
  <si>
    <t>TXS SSL04 WEDGE SHAPE GARDEN LIGHTING PLAN</t>
  </si>
  <si>
    <t>LS-TXS W-1504</t>
  </si>
  <si>
    <t>TXS SSL05 WEDGE SHAPE GARDEN LIGHTING PLAN</t>
  </si>
  <si>
    <t>LS-TXS W-1505</t>
  </si>
  <si>
    <t>TXS SSL06 REAR SIDE GARDEN LIGHTING PLAN</t>
  </si>
  <si>
    <t>LS-TXS W-1601</t>
  </si>
  <si>
    <t>TXS SSL02 WEDGE SHAPE GARDEN IRRIGATION PLAN</t>
  </si>
  <si>
    <t>LS-TXS W-1602</t>
  </si>
  <si>
    <t>TXS SSL03 WEDGE SHAPE GARDEN IRRIGATION PLAN</t>
  </si>
  <si>
    <t>LS-TXS W-1603</t>
  </si>
  <si>
    <t>TXS SSL04 WEDGE SHAPE GARDEN IRRIGATION PLAN</t>
  </si>
  <si>
    <t>LS-TXS W-1604</t>
  </si>
  <si>
    <t>TXS SSL05 WEDGE SHAPE GARDEN IRRIGATION PLAN</t>
  </si>
  <si>
    <t>LS-TXS W-1605</t>
  </si>
  <si>
    <t>TXS SSL06 REAR SIDE GARDEN IRRIGATION PLAN</t>
  </si>
  <si>
    <t>LS-TXS W-1801</t>
  </si>
  <si>
    <t>TXS SSL02 WEDGE SHAPE GARDEN PLANTING PLAN</t>
  </si>
  <si>
    <t>LS-TXS W-1801A</t>
  </si>
  <si>
    <t>TXS SSL02 WEDGE SHAPE GARDEN PLANTING PALETTE</t>
  </si>
  <si>
    <t>LS-TXS W-1802</t>
  </si>
  <si>
    <t>TXS SSL03 WEDGE SHAPE GARDEN PLANTING PLAN</t>
  </si>
  <si>
    <t>LS-TXS W-1803</t>
  </si>
  <si>
    <t>TXS SSL04 WEDGE SHAPE GARDEN PLANTING PLAN</t>
  </si>
  <si>
    <t>LS-TXS W-1804</t>
  </si>
  <si>
    <t>TXS SSL05 WEDGE SHAPE GARDEN PLANTING PLAN</t>
  </si>
  <si>
    <t>LS-TXS W-1805</t>
  </si>
  <si>
    <t>TXS SSL06 REAR SIDE GARDEN PLANTING PLAN</t>
  </si>
  <si>
    <t>LS-TXS W-3001</t>
  </si>
  <si>
    <t>TXS SSL 02, 03, 04, 05 WEDGE SHAPE GARDEN SECTION</t>
  </si>
  <si>
    <t>LS-TXS W-3002</t>
  </si>
  <si>
    <t>LS-TXS W-3003</t>
  </si>
  <si>
    <t>LS-TXS W-3004</t>
  </si>
  <si>
    <t>LS-TXS W-3005</t>
  </si>
  <si>
    <t>TXS SSL06 REAR SIDE GARDEN SECTIONS</t>
  </si>
  <si>
    <t>LS-T3S-T5S-RF-1801</t>
  </si>
  <si>
    <t>T3S,T4S &amp; T5S ROOF PLANTING PLAN</t>
  </si>
  <si>
    <t>LS-T3S-T5S-RF-1802</t>
  </si>
  <si>
    <t>T3S,T4S &amp; T5S ROOF SHRUB MARKING PLAN</t>
  </si>
  <si>
    <t>LS-T3S-T5S-RF-3001</t>
  </si>
  <si>
    <t>T3S,T4S &amp; T5S ROOF SECTION AND DETAILS</t>
  </si>
  <si>
    <t>LS-T3S-T5SRF-1301</t>
  </si>
  <si>
    <t>T3S,T4S &amp; T5S ROOF SURFACE DRAINAGE PLAN</t>
  </si>
  <si>
    <t>LS-T3S-T5SRF-1302</t>
  </si>
  <si>
    <t>T3S,T4S &amp; T5S ROOF SUB-SURFACE DRAINAGE PLAN</t>
  </si>
  <si>
    <t>LS-T3S-T5SRF-1601</t>
  </si>
  <si>
    <t>T3S ,T4S &amp; T5S ROOF IRRIGATION PLAN</t>
  </si>
  <si>
    <t>Villa Blocks</t>
  </si>
  <si>
    <t>VC-1 &amp; 2</t>
  </si>
  <si>
    <t>LS-0059-R08TT-WD-DR-01</t>
  </si>
  <si>
    <t>ROOF &amp; TREE TUB SUB-SURFACE DRAINAGE PLAN-1</t>
  </si>
  <si>
    <t>V01</t>
  </si>
  <si>
    <t>LS-0059-V50-RL-WD-IR-01</t>
  </si>
  <si>
    <t>V50 ROOF IRRIGATION PLAN</t>
  </si>
  <si>
    <t>LS-0059-V50-RL-WD-MP-01</t>
  </si>
  <si>
    <t>V50 | ROOF GARDEN - MARKING PLAN</t>
  </si>
  <si>
    <t>LS-0059-V50-RL-WD-PL-01</t>
  </si>
  <si>
    <t>V50 | ROOF GARDEN - PLANTING PLAN</t>
  </si>
  <si>
    <t>LS-0059-V50a-RG-WD-SEC-03</t>
  </si>
  <si>
    <t>ROOF LEVEL GARDEN SECTIONAL DETAILS 3</t>
  </si>
  <si>
    <t>LS-0059-V50a-RG-WD-SEC-04</t>
  </si>
  <si>
    <t>ROOF LEVEL GARDEN SECTIONAL DETAILS 4</t>
  </si>
  <si>
    <t>LS-0059-V50b-R08TT-WD-DR-01</t>
  </si>
  <si>
    <t>V50b | ROOF &amp; TREE TUB SUB-SURFACE DRAINAGE PLAN-1</t>
  </si>
  <si>
    <t>LS-0059-V50b-R08TT-WD-DR-02</t>
  </si>
  <si>
    <t>V50b | ROOF &amp; TREE TUB SUB-SURFACE DRAINAGE PLAN-2</t>
  </si>
  <si>
    <t>LS-0059R08TT-WD-DR-02</t>
  </si>
  <si>
    <t>ROOF &amp; TREE TUB SUB-SURFACE DRAINAGE PLAN-2</t>
  </si>
  <si>
    <t>LS-0059V50a-RG-WD-KP-01</t>
  </si>
  <si>
    <t>ROOF LEVEL GARDEN KEY PLAN</t>
  </si>
  <si>
    <t>LS-0059V50a-RG-WD-SEC-01</t>
  </si>
  <si>
    <t>ROOF LEVEL GARDEN SECTIONAL DETAILS 1</t>
  </si>
  <si>
    <t>LS-0059V50a-RG-WD-SEC-02</t>
  </si>
  <si>
    <t>ROOF LEVEL GARDEN SECTIONAL DETAILS 2</t>
  </si>
  <si>
    <t>LS-0059-V26-LG1-WD-LP-02</t>
  </si>
  <si>
    <t>LOWER+UPPER LEVEL &amp; LIVING ROOM PLANTER GARDEN LANDSCAPE LIGHTING SPECIFICATION</t>
  </si>
  <si>
    <t>VC-3</t>
  </si>
  <si>
    <t>V03</t>
  </si>
  <si>
    <t>LS-V03-1101</t>
  </si>
  <si>
    <t>VILLA CLUSTER 03 LANDSCAPE GA PLAN</t>
  </si>
  <si>
    <t>LS-V03-1201</t>
  </si>
  <si>
    <t>VILLA CLUSTER 03 SETTING OUT PLAN</t>
  </si>
  <si>
    <t>LS-V03-1301</t>
  </si>
  <si>
    <t>VILLA CLUSTER 03 GRADING AND DRAINAGE PLAN</t>
  </si>
  <si>
    <t>LS-V03-1302</t>
  </si>
  <si>
    <t>VILLA CLUSTER 03 RAINBIRD MARKING PLAN</t>
  </si>
  <si>
    <t>LS-V03-1501</t>
  </si>
  <si>
    <t>VILLA CLUSTER 03 LIGHTING AND MARKING PLAN</t>
  </si>
  <si>
    <t>LS-V03-1601</t>
  </si>
  <si>
    <t>VILLA CLUSTER 03 IRRIGATION PLAN</t>
  </si>
  <si>
    <t>LS-V03-1701</t>
  </si>
  <si>
    <t>VILLA CLUSTER 03 TREE AND MATERIAL PLAN</t>
  </si>
  <si>
    <t>LS-V03-1801</t>
  </si>
  <si>
    <t>VILLA CLUSTER 03 SHRUB PLANTING PLAN</t>
  </si>
  <si>
    <t>LS-V03-1802</t>
  </si>
  <si>
    <t>VILLA CLUSTER 03 SHRUB MARKING PLAN</t>
  </si>
  <si>
    <t>LS-V03-3001</t>
  </si>
  <si>
    <t>VILLA CLUSTER 03 SECTION AND DETAILS</t>
  </si>
  <si>
    <t>PLANTING &amp; MATERIAL PLAN</t>
  </si>
  <si>
    <t>SETTING OUT PLAN</t>
  </si>
  <si>
    <t>LEVELS &amp; DRAINAGE PLAN</t>
  </si>
  <si>
    <t xml:space="preserve">SUB SURFACE DRAINAGE PLAN </t>
  </si>
  <si>
    <t>LIGHTING PLAN</t>
  </si>
  <si>
    <t xml:space="preserve">SECTIONS </t>
  </si>
  <si>
    <t>DETAILS</t>
  </si>
  <si>
    <t xml:space="preserve">GRAB BAR DETAILS </t>
  </si>
  <si>
    <t>ELECTRO MECHANICAL LAYOUT</t>
  </si>
  <si>
    <t>Individual Home L30P</t>
  </si>
  <si>
    <t>Lower Level- Planting &amp; Material plan</t>
  </si>
  <si>
    <t>Lower Level- Setting out plan</t>
  </si>
  <si>
    <t>Lower Level- Surface &amp; sub surface drainage</t>
  </si>
  <si>
    <t>Lower Level- Lighting &amp; Irrigation Plan</t>
  </si>
  <si>
    <t>Lower Level- Sections</t>
  </si>
  <si>
    <t>Upper Level- Planting &amp; Material plan</t>
  </si>
  <si>
    <t>Upper Level- Setting out plan</t>
  </si>
  <si>
    <t>Upper Level- Surface &amp; sub surface drainage</t>
  </si>
  <si>
    <t>Upper Level- Lighting &amp; Irrigation Plan</t>
  </si>
  <si>
    <t>Upper Level- Sections</t>
  </si>
  <si>
    <t>Individual Home C20P</t>
  </si>
  <si>
    <t>Material Planting and Lighting Plan</t>
  </si>
  <si>
    <t>Levels, Surface Slope and Drainage Plan</t>
  </si>
  <si>
    <t>Irrigation Plan</t>
  </si>
  <si>
    <t>Sectional Details</t>
  </si>
  <si>
    <t>Deck Marking</t>
  </si>
  <si>
    <t>Individual Home L45P</t>
  </si>
  <si>
    <t>Terrace garden-01- Planting &amp; Material plan</t>
  </si>
  <si>
    <t>Terrace garden-01- Setting out plan</t>
  </si>
  <si>
    <t>Terrace garden-01- Surface &amp; sub surface drainage</t>
  </si>
  <si>
    <t>Terrace garden-01- Lighting &amp; Irrigation Plan</t>
  </si>
  <si>
    <t>Terrace garden-01- Sections</t>
  </si>
  <si>
    <t>Terrace garden-02- Planting &amp; Material plan</t>
  </si>
  <si>
    <t>Terrace garden-02- Setting out plan</t>
  </si>
  <si>
    <t>Terrace garden-02- Surface &amp; sub surface drainage</t>
  </si>
  <si>
    <t>Terrace garden-02- Lighting &amp; Irrigation Plan</t>
  </si>
  <si>
    <t>Terrace garden-02- Sections</t>
  </si>
  <si>
    <t>Terrace garden-03- Planting &amp; Material plan</t>
  </si>
  <si>
    <t>Terrace garden-03- Setting out plan</t>
  </si>
  <si>
    <t>Terrace garden-03- Surface &amp; sub surface drainage</t>
  </si>
  <si>
    <t>Terrace garden-03- Lighting &amp; Irrigation Plan</t>
  </si>
  <si>
    <t>Terrace garden-03- Sections</t>
  </si>
  <si>
    <t>Central courtyard- Planting &amp; Material plan</t>
  </si>
  <si>
    <t>Central courtyard- Setting out plan</t>
  </si>
  <si>
    <t>Central courtyard- Surface &amp; sub surface drainage</t>
  </si>
  <si>
    <t>Central courtyard- Lighting &amp; Irrigation Plan</t>
  </si>
  <si>
    <t>Central courtyard- Sections</t>
  </si>
  <si>
    <t>Rear Garden- Planting &amp; Material plan</t>
  </si>
  <si>
    <t>Rear Garden- Setting out plan</t>
  </si>
  <si>
    <t>Rear Garden- Surface &amp; sub surface drainage</t>
  </si>
  <si>
    <t>Rear Garden- Lighting &amp; Irrigation Plan</t>
  </si>
  <si>
    <t>Rear Garden- Sections</t>
  </si>
  <si>
    <t>LS-CG2-1301</t>
  </si>
  <si>
    <t>Central Green Phase 2 Surface and Subsurface Drainage plan</t>
  </si>
  <si>
    <t>LS-CG2-1701</t>
  </si>
  <si>
    <t>Central green-phase 2 Tree and Material Plan</t>
  </si>
  <si>
    <t>LS-CG2-1101</t>
  </si>
  <si>
    <t>Central Green Phase 2 Landscape GA Plan</t>
  </si>
  <si>
    <t>LS-CG2-1401</t>
  </si>
  <si>
    <t>Central Green Phase 2 Lighting plan</t>
  </si>
  <si>
    <t>LS-CG2-1601</t>
  </si>
  <si>
    <t>Central green-phase 2 Irrigation Plan</t>
  </si>
  <si>
    <t>LS-CG2-1801</t>
  </si>
  <si>
    <t>Central Green Phase 2 Shrub and Ground cover Planting plant</t>
  </si>
  <si>
    <t>LS-CG2-1802</t>
  </si>
  <si>
    <t>CENTRAL GREEN PHASE 2 SHRUB PLANTING MARKING PLAN</t>
  </si>
  <si>
    <t>LS-CG2-3001</t>
  </si>
  <si>
    <t>Central Green Phase 2 Sections and Details</t>
  </si>
  <si>
    <t>LS-CG2-4001</t>
  </si>
  <si>
    <t>CENTRAL GREEN PHASE 2 SWALE DETAIL</t>
  </si>
  <si>
    <t>LS-CG2-6000</t>
  </si>
  <si>
    <t>WIRE CUT BRICK MOCKUP FOR PATHWAY</t>
  </si>
  <si>
    <t>LS-GFC-CG-GR-201</t>
  </si>
  <si>
    <t>Grading Plan-Surface and Sub Surface Drainage Plan</t>
  </si>
  <si>
    <t>LS-GFC-CG-IR-701</t>
  </si>
  <si>
    <t>Irrigation Plan-Phase-1</t>
  </si>
  <si>
    <t>LS-GFC-CG-IR-701A</t>
  </si>
  <si>
    <t>IRRIGATION PLAN _CENTRAL GREEN PHASE1 _PART A</t>
  </si>
  <si>
    <t>LS-GFC-CG-LP-401</t>
  </si>
  <si>
    <t>Lighting Plan-Phase-1</t>
  </si>
  <si>
    <t>LS-GFC-CG-SH-601</t>
  </si>
  <si>
    <t>Shrub and Ground Cover Planting Plan</t>
  </si>
  <si>
    <t>LS-GFC-CG-SP-101</t>
  </si>
  <si>
    <t>Setting out plan</t>
  </si>
  <si>
    <t>LS-GFC-CG-TR-501</t>
  </si>
  <si>
    <t>Tree Planting Plan</t>
  </si>
  <si>
    <t>LS-GFC-GR-20</t>
  </si>
  <si>
    <t>TITLE: Grading Plan-Surface and Sub Surface Drainage Plan</t>
  </si>
  <si>
    <t>LS-GFC-T1-GR-203A</t>
  </si>
  <si>
    <t>T1V-Courtyard RC upstand sleeves</t>
  </si>
  <si>
    <t>LS-MP-CG-1101</t>
  </si>
  <si>
    <t>CENTRAL GREEN GENERAL ARRANGEMENT PLAN</t>
  </si>
  <si>
    <t>LS-CG02-1101</t>
  </si>
  <si>
    <t>CENTRAL GREEN PHASE 2 PART A GENERAL ARRANGEMENT PLAN</t>
  </si>
  <si>
    <t>LS-CG02-1102</t>
  </si>
  <si>
    <t>CENTRAL GREEN PHASE 2 PARTB GENERAL ARRANGEMENT PLAN</t>
  </si>
  <si>
    <t>LS-CG02-1201</t>
  </si>
  <si>
    <t>CENTRAL GREEN PHASE 2 PART B PATHWAY MARKING PLAN</t>
  </si>
  <si>
    <t>LS-CG02-1301</t>
  </si>
  <si>
    <t>CENTRAL GREEN PHASE 2 PART A GRADING PLAN</t>
  </si>
  <si>
    <t>LS-CG02-1302</t>
  </si>
  <si>
    <t>CENTRAL GREEN PHASE 2 PART A DRAINAGE PLAN</t>
  </si>
  <si>
    <t>LS-CG02-1303</t>
  </si>
  <si>
    <t>CENTRAL GREEN PHASE 2 PART A DECK SUBSURFACE DRAINAGE PLAN</t>
  </si>
  <si>
    <t>LS-CG02-1304</t>
  </si>
  <si>
    <t>CENTRAL GREEN PHASE 2 PARTB DRAINAGE PLAN</t>
  </si>
  <si>
    <t>LS-CG02-1401</t>
  </si>
  <si>
    <t>CENTRAL GREEN PHASE 2 PART A MATERIAL PLAN</t>
  </si>
  <si>
    <t>LS-CG02-1402</t>
  </si>
  <si>
    <t>CENTRAL GREEN PHASE 2 PARTB MATERIAL PLAN</t>
  </si>
  <si>
    <t>LS-CG02-1501</t>
  </si>
  <si>
    <t>CENTRAL GREEN PHASE 2 PART A LIGHTING PLAN</t>
  </si>
  <si>
    <t>LS-CG02-1502</t>
  </si>
  <si>
    <t>CENTRAL GREEN PHASE 2 PART B LIGHTING PLAN</t>
  </si>
  <si>
    <t>LS-CG02-1503</t>
  </si>
  <si>
    <t>CENTRAL GREEN PHASE 2 SPEC SHEET</t>
  </si>
  <si>
    <t>CENTRAL GREEN PHASE 2 PART A IRRIGATION PLAN</t>
  </si>
  <si>
    <t>LS-CG2-1602</t>
  </si>
  <si>
    <t>CENTRAL GREEN PHASE 2 PART B IRRIGATION PLAN</t>
  </si>
  <si>
    <t>LS-CG02-1701</t>
  </si>
  <si>
    <t>LS-CG02-1702</t>
  </si>
  <si>
    <t>CENTRAL GREEN PHASE 2 PARTB TREE PLANTING PLAN</t>
  </si>
  <si>
    <t>LS-CG02-1801</t>
  </si>
  <si>
    <t>CENTRAL GREEN PHASE 2 PART A SHRUB PLANTING PLAN</t>
  </si>
  <si>
    <t>LS-CG02-1802</t>
  </si>
  <si>
    <t>CENTRAL GREEN PHASE 2 PART B SHRUB PLANTING PLAN</t>
  </si>
  <si>
    <t>LS-CG02-1803</t>
  </si>
  <si>
    <t>CENTRAL GREEN PHASE 2 PART A &amp; B SHRUB PLANTING CO-ORDINATES</t>
  </si>
  <si>
    <t>LS-CG02-3001</t>
  </si>
  <si>
    <t>CENTRAL GREEN PHASE 02 SWIMMING POOL OVERALL SECTIONS</t>
  </si>
  <si>
    <t>LS-CG02-3002</t>
  </si>
  <si>
    <t>CENTRAL GREEN PHASE 2 CENTRAL LAWN OVERALL SECTIONS</t>
  </si>
  <si>
    <t>LS-CG02-3003</t>
  </si>
  <si>
    <t>CENTRAL GREEN PHASE 02 AMPHITHEATER TYPICAL SECTION</t>
  </si>
  <si>
    <t>LS-CG02-3003-A</t>
  </si>
  <si>
    <t>CENTRAL GREEN PHASE 02 AMPHITHEATER SECTIONAL DETAILS</t>
  </si>
  <si>
    <t>LS-CG02-3003-B</t>
  </si>
  <si>
    <t>CENTRAL GREEN PHASE 02 AMPHITHEATER PAVING PATTERN</t>
  </si>
  <si>
    <t>LS-CG02-3003-C</t>
  </si>
  <si>
    <t>CENTRAL GREEN PHASE 02 AMPHITHEATER DETAILED LEVELS</t>
  </si>
  <si>
    <t>LS-CG02-3004</t>
  </si>
  <si>
    <t>CENTRAL GREEN PHASE 2 CENTRAL LAWN SEATER DETAILS</t>
  </si>
  <si>
    <t>LS-CG02-4001</t>
  </si>
  <si>
    <t>CENTRAL GREEN PHASE 2 SWIMMING POOL SECTIONAL DETAILS</t>
  </si>
  <si>
    <t>LS-CG02-4002</t>
  </si>
  <si>
    <t>LS-CG02-4003</t>
  </si>
  <si>
    <t>LS-CG02-4004</t>
  </si>
  <si>
    <t>LS-MP-BE-1701</t>
  </si>
  <si>
    <t>BACK ENTRANCE TREE PLANTING PLAN</t>
  </si>
  <si>
    <t>LS-RSC-1301</t>
  </si>
  <si>
    <t>RESIDENTIAL SECURITY CABIN DRAINAGE PLAN</t>
  </si>
  <si>
    <t>LS-RSC-1601</t>
  </si>
  <si>
    <t>RESIDENTIAL SECURITY CABIN IRRIGATION PLAN</t>
  </si>
  <si>
    <t>LS-RSC-1801</t>
  </si>
  <si>
    <t>RESIDENTIAL SECURITY CABIN PLANTING PLAN</t>
  </si>
  <si>
    <t>LS-RSC-1802</t>
  </si>
  <si>
    <t>RESIDENTIAL SECURITY CABIN MARKING PLAN</t>
  </si>
  <si>
    <t>LS-RSC-3001</t>
  </si>
  <si>
    <t>RESIDENTIAL SECURITY CABIN SECTION</t>
  </si>
  <si>
    <t>LS-CG02-1901</t>
  </si>
  <si>
    <t>MAIN &amp; KIDS POOL PIPE ROUTING PLAN</t>
  </si>
  <si>
    <t>LS-CG02-1902</t>
  </si>
  <si>
    <t>MAIN &amp; KIDS POOL PLUMBING SLEEVE PLAN</t>
  </si>
  <si>
    <t>LS-CG02-1903</t>
  </si>
  <si>
    <t>MAIN &amp; KIDS POOL LIGHTING SLEEVE &amp; ROUTING PLAN</t>
  </si>
  <si>
    <t>LS-GFC-CL-DT-907A</t>
  </si>
  <si>
    <t>LAP &amp; KID'S POOL PUDDLE FLANGE/SLEEVE DETAILS</t>
  </si>
  <si>
    <t>LS-GFC-CL-DT-907B</t>
  </si>
  <si>
    <t>Lap Pool &amp; kids Pool Plumbing Details</t>
  </si>
  <si>
    <t>LS-GFC-CL-DT-907C</t>
  </si>
  <si>
    <t>Heated Pool - Plumbing Details</t>
  </si>
  <si>
    <t>LS-GFC-CL-DT-907D</t>
  </si>
  <si>
    <t>Heated pool &amp; Sump puddle flange /sleeve detail</t>
  </si>
  <si>
    <t>LS-GFC-CL-DT-907E</t>
  </si>
  <si>
    <t>Filtration room retaining wall cutout</t>
  </si>
  <si>
    <t>LS-GFC-CL-DT-907F</t>
  </si>
  <si>
    <t>Filtration Room- Electro-mechanical details</t>
  </si>
  <si>
    <t>LS-GFC-CL-GA-007</t>
  </si>
  <si>
    <t>SWIMMING POOL AREA GENERAL ARRANGEMENT PLAN</t>
  </si>
  <si>
    <t>LS-GFC-CL-MP-307</t>
  </si>
  <si>
    <t>SWIMMING POOL MATERIAL PLAN</t>
  </si>
  <si>
    <t>LS-GFC-CL-SP-107</t>
  </si>
  <si>
    <t>SWIMMING POOL RCC MARKING PLAN</t>
  </si>
  <si>
    <t>LS-GFC-CL-SS-807</t>
  </si>
  <si>
    <t>SWIMMING POOL SECTIONS</t>
  </si>
  <si>
    <t>LS-GFC-CL-SS-807A</t>
  </si>
  <si>
    <t>SWIMMING POOL SECTIONAL DETAIL</t>
  </si>
  <si>
    <t>LS-GFC-CL-TR-507</t>
  </si>
  <si>
    <t>SWIMMING POOL AND HEATED POOL AREA TREE AND SHRUB PLANTING PLAN</t>
  </si>
  <si>
    <t>LS-PHE-UGT-4010</t>
  </si>
  <si>
    <t>TYPICAL WATER TANK PUDDLE FLANGE DETAIL ABOVE Ø50MM</t>
  </si>
  <si>
    <t>0059-LS-GFC-CL-DT-907C</t>
  </si>
  <si>
    <t>HEATED POOL PLUMBING DETAIL</t>
  </si>
  <si>
    <t>L9-BW-02-1601</t>
  </si>
  <si>
    <t>BOARDWALK PART -1&amp; 2 IRRIGATION PLAN</t>
  </si>
  <si>
    <t>LS-BW00-4001</t>
  </si>
  <si>
    <t>BOARD WALK PHASE 01 &amp; 02 GAZEBO DETAIL PLAN</t>
  </si>
  <si>
    <t>LS-BW00-4002</t>
  </si>
  <si>
    <t>BOARD WALK PHASE 01 &amp; 02 GAZEBO DETAIL SECTION</t>
  </si>
  <si>
    <t>LS-BW01-1101</t>
  </si>
  <si>
    <t>BOARD WALK PART-3 GENERAL ARRANGEMENT PLAN</t>
  </si>
  <si>
    <t>LS-BW01-1201</t>
  </si>
  <si>
    <t>BOARD WALK PHASE 01 MARKING PLAN</t>
  </si>
  <si>
    <t>LS-BW01-1202</t>
  </si>
  <si>
    <t>BOARD WALK PHASE 01 MARKING CO-ORDINATE POINTS</t>
  </si>
  <si>
    <t>LS-BW01-1301</t>
  </si>
  <si>
    <t>BOARD WALK PHASE 01 SURFACE GRADING PLAN</t>
  </si>
  <si>
    <t>LS-BW01-1302</t>
  </si>
  <si>
    <t>BOARD WALK PHASE 01 DRAINAGE PLAN</t>
  </si>
  <si>
    <t>LS-BW01-1401</t>
  </si>
  <si>
    <t>BOARD WALK PHASE 01 MATERIAL PLAN</t>
  </si>
  <si>
    <t>LS-BW01-1501</t>
  </si>
  <si>
    <t>BOARD WALK PART-3 LIGHTING PLAN</t>
  </si>
  <si>
    <t>LS-BW01-1502</t>
  </si>
  <si>
    <t>BOARD WALK PHASE 01 LIGHT MARKING PLAN</t>
  </si>
  <si>
    <t>LS-BW01-1503</t>
  </si>
  <si>
    <t>BOARDWALK PART-1 &amp; 2 LIGHTING MARKING PLAN</t>
  </si>
  <si>
    <t>LS-BW01-1601</t>
  </si>
  <si>
    <t>BOARD WALK IRRIGATION PLAN</t>
  </si>
  <si>
    <t>LS-BW01-1701</t>
  </si>
  <si>
    <t>BOARD WALK TREE PLANTATION AND MARKING DETAIL</t>
  </si>
  <si>
    <t>LS-BW01-1801</t>
  </si>
  <si>
    <t>BOARD WALK PHASE 01 SHRUB PLANTING PLAN</t>
  </si>
  <si>
    <t>LS-BW01-1802</t>
  </si>
  <si>
    <t>BOARD WALK SHRUB IMAGES</t>
  </si>
  <si>
    <t>LS-BW01-3001</t>
  </si>
  <si>
    <t>BOARD WALK PHASE 01 SECTIONS</t>
  </si>
  <si>
    <t>LS-BW01-3002</t>
  </si>
  <si>
    <t>BOARD WALK PHASE 01 DETAILED SECTIONS</t>
  </si>
  <si>
    <t>LS-BW01-3003</t>
  </si>
  <si>
    <t>BOARD WALK PHASE 01 MEDITATION DECK DETAIL</t>
  </si>
  <si>
    <t>LS-BW02-1B01</t>
  </si>
  <si>
    <t>BOARD WALK PART -1&amp; 2 SHRUB PLANTING PLAN</t>
  </si>
  <si>
    <t>LS-BW02-1001</t>
  </si>
  <si>
    <t>BOARDWALK PART -1 &amp; 2 LANDSCAPE COVER PAGE</t>
  </si>
  <si>
    <t>LS-BW02-1101</t>
  </si>
  <si>
    <t>BOARDWALK PART -1 &amp; 2 GENERAL ARRANGEMENT PLAN</t>
  </si>
  <si>
    <t>LS-BW02-1201</t>
  </si>
  <si>
    <t>BOARDWALK PART -1 &amp; 2 MARKING PLAN | HARDSCAPE</t>
  </si>
  <si>
    <t>LS-BW02-1202</t>
  </si>
  <si>
    <t>BOARDWALK PART -1 &amp; 2 MARKING PLAN | MOUNDS</t>
  </si>
  <si>
    <t>LS-BW02-1301</t>
  </si>
  <si>
    <t>BOARDWALK PART -1 &amp; 2 LEVELS PLAN</t>
  </si>
  <si>
    <t>LS-BW02-1302</t>
  </si>
  <si>
    <t>BOARDWALK PART -1 &amp; 2 DRAINAGE PLAN</t>
  </si>
  <si>
    <t>LS-BW02-1401</t>
  </si>
  <si>
    <t>BOARDWALK PART -1&amp; 2 MATERIAL PLAN AND SCHEDULE</t>
  </si>
  <si>
    <t>LS-BW02-1501</t>
  </si>
  <si>
    <t>BOARDWALK PART -1 &amp; 2 LIGHTING AND MARKING PLAN</t>
  </si>
  <si>
    <t>LS-BW02-1502</t>
  </si>
  <si>
    <t>BOARD WALK PART-3 LIGHTING SPECIFICATIONS</t>
  </si>
  <si>
    <t>LS-BW02-1701</t>
  </si>
  <si>
    <t>BOARD WALK PART -1&amp; 2 TREE PLANTING PLAN</t>
  </si>
  <si>
    <t>LS-BW02-3001</t>
  </si>
  <si>
    <t>BOARDWALK PART -1 &amp; 2 SECTIONAL DETAILS</t>
  </si>
  <si>
    <t>LS-BW02-3002</t>
  </si>
  <si>
    <t>BOARDWALK PART -1 &amp; 2 BLOWN-UP DETAILS</t>
  </si>
  <si>
    <t>LS-BW-01-1601</t>
  </si>
  <si>
    <t>Sports complex</t>
  </si>
  <si>
    <t>General arrangement Plan</t>
  </si>
  <si>
    <t xml:space="preserve">Setting out plan </t>
  </si>
  <si>
    <t>Grading plan</t>
  </si>
  <si>
    <t xml:space="preserve">Material plan </t>
  </si>
  <si>
    <t>Lighting plan</t>
  </si>
  <si>
    <t xml:space="preserve">Tree Planting plan </t>
  </si>
  <si>
    <t xml:space="preserve">Shrub Planting plan </t>
  </si>
  <si>
    <t>Sectional detail</t>
  </si>
  <si>
    <t>Details</t>
  </si>
  <si>
    <t>SR</t>
  </si>
  <si>
    <t>Project</t>
  </si>
  <si>
    <t>Responsible</t>
  </si>
  <si>
    <t>Update as on 02-04-2024</t>
  </si>
  <si>
    <t>LTF</t>
  </si>
  <si>
    <t>Kushal</t>
  </si>
  <si>
    <t>Project Delivery - By 04-04 EOD
Unit Delivery - 20 units update pending. Will be shared by tomorrow first half</t>
  </si>
  <si>
    <t>ATR P1,2A,Comr</t>
  </si>
  <si>
    <t>Ashish</t>
  </si>
  <si>
    <t>P1, 2a competed and mail sent
Comr -  Awaiting BOQ</t>
  </si>
  <si>
    <t>ATR P2b &amp; c</t>
  </si>
  <si>
    <t>Harish</t>
  </si>
  <si>
    <t>Mail will be sent on 02-04</t>
  </si>
  <si>
    <t>GFC | Parking(1-7)</t>
  </si>
  <si>
    <t>SFTW</t>
  </si>
  <si>
    <t>Sagar</t>
  </si>
  <si>
    <t>Will be shared by 05-04</t>
  </si>
  <si>
    <t>GFC | Parking(8)</t>
  </si>
  <si>
    <t>ITQE</t>
  </si>
  <si>
    <t>Couldn't connect</t>
  </si>
  <si>
    <t>GFC | Tower1</t>
  </si>
  <si>
    <t>TMFT</t>
  </si>
  <si>
    <t>Abdul</t>
  </si>
  <si>
    <t>He will call back as he was travelling</t>
  </si>
  <si>
    <t>GFC | Tower2</t>
  </si>
  <si>
    <t>GFC | Tower3</t>
  </si>
  <si>
    <t>GFC | Tower4</t>
  </si>
  <si>
    <t>GFC | Tower5</t>
  </si>
  <si>
    <t>GFC | Tower6</t>
  </si>
  <si>
    <t>Ind Home</t>
  </si>
  <si>
    <t>Services Cost</t>
  </si>
  <si>
    <t>No. of Units</t>
  </si>
  <si>
    <t>GFC | Tower7</t>
  </si>
  <si>
    <t>GFC | Tower8</t>
  </si>
  <si>
    <t>GFC | Villas</t>
  </si>
  <si>
    <t>L2BHK</t>
  </si>
  <si>
    <t>L3BHK</t>
  </si>
  <si>
    <t>GFC | Site Development and Site Services</t>
  </si>
  <si>
    <t>Check</t>
  </si>
  <si>
    <t>Package Number</t>
  </si>
  <si>
    <t>Workhead or Package Name</t>
  </si>
  <si>
    <t>Design Fee</t>
  </si>
  <si>
    <t>GFC | Tower—2V</t>
  </si>
  <si>
    <t>GFC | Tower—6S</t>
  </si>
  <si>
    <t>GFC | Independent Subgrade Structure [Tower 1-7]</t>
  </si>
  <si>
    <t>Plan in 
FY: 21-22</t>
  </si>
  <si>
    <t>Issued in 
FY: 21-22</t>
  </si>
  <si>
    <t>Till Mar'21</t>
  </si>
  <si>
    <t>Apr-21</t>
  </si>
  <si>
    <t>May-21</t>
  </si>
  <si>
    <t>Jun-21</t>
  </si>
  <si>
    <t>Jul-21</t>
  </si>
  <si>
    <t>Aug-21</t>
  </si>
  <si>
    <t>Sep-21</t>
  </si>
  <si>
    <t>Oct-21</t>
  </si>
  <si>
    <t>Nov-21</t>
  </si>
  <si>
    <t>Dec-21</t>
  </si>
  <si>
    <t>Jan-22</t>
  </si>
  <si>
    <t>Feb-22</t>
  </si>
  <si>
    <t>Mar - 21</t>
  </si>
  <si>
    <t>T1</t>
  </si>
  <si>
    <t>IRRIGATION WATER SUPPLY  SCHEMATIC - T1</t>
  </si>
  <si>
    <t>IRRIGATION WATER SUPPLY  SCHEMATIC - T2</t>
  </si>
  <si>
    <t>IRRIGATION WATER SUPPLY  SCHEMATIC - T2S</t>
  </si>
  <si>
    <t>PLANTING PLAN</t>
  </si>
  <si>
    <t>SECTIONS 01</t>
  </si>
  <si>
    <t>SECTIONS 02</t>
  </si>
  <si>
    <t>T3V</t>
  </si>
  <si>
    <t>IRRIGATION WATER SUPPLY  SCHEMATIC - T3V-5V</t>
  </si>
  <si>
    <t>T3S</t>
  </si>
  <si>
    <t>IRRIGATION WATER SUPPLY  SCHEMATIC - T3S-5S</t>
  </si>
  <si>
    <t>IRRIGATION WATER SUPPLY  SCHEMATIC - T6</t>
  </si>
  <si>
    <t>IRRIGATION WATER SUPPLY  SCHEMATIC - T6S</t>
  </si>
  <si>
    <t>T7</t>
  </si>
  <si>
    <t>IRRIGATION WATER SUPPLY  SCHEMATIC - T7</t>
  </si>
  <si>
    <t>Tower—08</t>
  </si>
  <si>
    <t>T8</t>
  </si>
  <si>
    <t>T08</t>
  </si>
  <si>
    <t>Tower—09 [Commercial]</t>
  </si>
  <si>
    <t>T9</t>
  </si>
  <si>
    <t>IRRIGATION WATER SUPPLY  SCHEMATIC - T9</t>
  </si>
  <si>
    <t>T09</t>
  </si>
  <si>
    <t>Villa Block - Cluster 1 &amp; 2</t>
  </si>
  <si>
    <t>VO1</t>
  </si>
  <si>
    <t>Villa Block - Cluster 3</t>
  </si>
  <si>
    <t>SITE</t>
  </si>
  <si>
    <t>LANDSCAPE DEVELOPMENT PLAN</t>
  </si>
  <si>
    <t>HARDSCAPE LAYOUT – IF REQUIRED</t>
  </si>
  <si>
    <t>SECTIONS 03</t>
  </si>
  <si>
    <t>PROJECT ENTRANCE</t>
  </si>
  <si>
    <t>TEMPORARY ENTRANCE</t>
  </si>
  <si>
    <t>CH</t>
  </si>
  <si>
    <t>CLUB HOUSE LANDSCAPE LAYOUT—ALL LEVELS</t>
  </si>
  <si>
    <t>CLUB HOUSE LANDSCAPE LAYOUT—ROOF LEVEL</t>
  </si>
  <si>
    <t>CLUB HOUSE LANDSCAPE LAYOUT—COMMON AREA</t>
  </si>
  <si>
    <t>CENTRAL GREEN AREA LAYOUT</t>
  </si>
  <si>
    <t>CHILDREN'S PLAY AREA LAYOUT</t>
  </si>
  <si>
    <t>DOG PARK</t>
  </si>
  <si>
    <t>BOARD WALK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</si>
</sst>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 #,##0.00_ ;_ * \-#,##0.00_ ;_ * &quot;-&quot;??_ ;_ @_ "/>
    <numFmt numFmtId="164" formatCode="_(* #,##0.00_);_(* \(#,##0.00\);_(* &quot;-&quot;??_);_(@_)"/>
    <numFmt numFmtId="165" formatCode="0.0%"/>
    <numFmt numFmtId="166" formatCode="0.0"/>
    <numFmt numFmtId="167" formatCode="mmmm&quot; &quot;d&quot;, &quot;yyyy;@"/>
    <numFmt numFmtId="168" formatCode="0%;\-0%;\-;@"/>
    <numFmt numFmtId="169" formatCode="0.0%;\-0.0%;\-;@"/>
    <numFmt numFmtId="170" formatCode="[$-409]mmmm\ d\,\ yyyy;@"/>
    <numFmt numFmtId="171" formatCode="_(* #,##0_);_(* \(#,##0\);_(* &quot;-&quot;??_);_(@_)"/>
    <numFmt numFmtId="172" formatCode="_(* #,##0.00_);_(* \(#,##0.00\);_(* \-??_);_(@_)"/>
    <numFmt numFmtId="173" formatCode="0.00_);\(0.00\)"/>
    <numFmt numFmtId="174" formatCode="#,##0.00\ ;&quot; -&quot;#,##0.00\ ;&quot; -&quot;#\ ;@\ "/>
    <numFmt numFmtId="175" formatCode="#,##0.00\ ;&quot; (&quot;#,##0.00\);&quot; -&quot;#\ ;@\ "/>
    <numFmt numFmtId="176" formatCode="_ * #,##0_ ;_ * \-#,##0_ ;_ * &quot;-&quot;??_ ;_ @_ "/>
    <numFmt numFmtId="177" formatCode="_ * #,##0.000_ ;_ * \-#,##0.000_ ;_ * &quot;-&quot;??_ ;_ @_ "/>
  </numFmts>
  <fonts count="121">
    <font>
      <sz val="10"/>
      <color theme="1"/>
      <name val="Meta-Norm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Neo Sans Pro Light"/>
      <family val="2"/>
    </font>
    <font>
      <sz val="10"/>
      <color theme="1"/>
      <name val="Neo Sans Pro Medium"/>
      <family val="2"/>
    </font>
    <font>
      <sz val="10"/>
      <color theme="1"/>
      <name val="Neo Sans Pro"/>
      <family val="2"/>
    </font>
    <font>
      <sz val="10"/>
      <color theme="1"/>
      <name val="Meta-Normal"/>
      <family val="2"/>
    </font>
    <font>
      <b/>
      <sz val="10"/>
      <color theme="1"/>
      <name val="Meta-Normal"/>
      <family val="3"/>
    </font>
    <font>
      <sz val="10"/>
      <name val="Arial"/>
      <family val="2"/>
    </font>
    <font>
      <sz val="11"/>
      <color rgb="FF000000"/>
      <name val="Arial"/>
      <family val="2"/>
    </font>
    <font>
      <sz val="10"/>
      <color rgb="FF000000"/>
      <name val="Meta-Normal"/>
      <family val="2"/>
      <charset val="1"/>
    </font>
    <font>
      <sz val="10"/>
      <name val="Neo Sans Pro Medium"/>
      <family val="2"/>
    </font>
    <font>
      <sz val="10"/>
      <color theme="1"/>
      <name val="Meta-Normal"/>
      <family val="3"/>
    </font>
    <font>
      <sz val="14"/>
      <color theme="0"/>
      <name val="Impact"/>
      <family val="2"/>
    </font>
    <font>
      <sz val="9"/>
      <name val="Times New Roman"/>
      <family val="1"/>
      <charset val="1"/>
    </font>
    <font>
      <sz val="10"/>
      <name val="Century Gothic"/>
      <family val="2"/>
      <charset val="1"/>
    </font>
    <font>
      <sz val="9"/>
      <color indexed="8"/>
      <name val="Neo Sans Pro Light"/>
      <family val="2"/>
    </font>
    <font>
      <sz val="10"/>
      <name val="Century Gothic"/>
      <family val="2"/>
    </font>
    <font>
      <sz val="10"/>
      <name val="Neo Sans Pro Light"/>
      <family val="2"/>
    </font>
    <font>
      <sz val="9"/>
      <color rgb="FF000000"/>
      <name val="Times New Roman"/>
      <family val="1"/>
    </font>
    <font>
      <sz val="10"/>
      <name val="Meta-Normal"/>
      <family val="3"/>
    </font>
    <font>
      <sz val="8"/>
      <name val="Neo Sans Pro Light"/>
      <family val="2"/>
    </font>
    <font>
      <b/>
      <sz val="10"/>
      <name val="Neo Sans Pro Light"/>
      <family val="2"/>
    </font>
    <font>
      <b/>
      <sz val="10"/>
      <name val="Century Gothic"/>
      <family val="2"/>
      <charset val="1"/>
    </font>
    <font>
      <b/>
      <sz val="10"/>
      <name val="Meta-Normal"/>
      <family val="3"/>
    </font>
    <font>
      <sz val="10"/>
      <name val="Meta-Normal"/>
      <family val="2"/>
    </font>
    <font>
      <sz val="10"/>
      <name val="Calibri Light"/>
      <family val="2"/>
    </font>
    <font>
      <sz val="10"/>
      <color theme="1"/>
      <name val="Meta-Normal"/>
      <family val="1"/>
    </font>
    <font>
      <sz val="12"/>
      <color theme="1"/>
      <name val="Calibri"/>
      <family val="2"/>
      <scheme val="minor"/>
    </font>
    <font>
      <sz val="10"/>
      <color rgb="FFFF0000"/>
      <name val="Neo Sans Pro Light"/>
      <family val="2"/>
    </font>
    <font>
      <sz val="10"/>
      <color rgb="FFFF0000"/>
      <name val="Neo Sans Pro Medium"/>
      <family val="2"/>
    </font>
    <font>
      <sz val="10"/>
      <name val="Neo Sans Pro"/>
      <family val="2"/>
    </font>
    <font>
      <sz val="11"/>
      <color indexed="8"/>
      <name val="Calibri"/>
      <family val="2"/>
    </font>
    <font>
      <sz val="10"/>
      <color theme="0"/>
      <name val="Neo Sans Pro Light"/>
      <family val="2"/>
    </font>
    <font>
      <sz val="10"/>
      <color theme="0"/>
      <name val="Meta-Normal"/>
      <family val="3"/>
    </font>
    <font>
      <sz val="8"/>
      <name val="Meta-Normal"/>
      <family val="2"/>
    </font>
    <font>
      <sz val="12"/>
      <name val="Times New Roman"/>
      <family val="1"/>
    </font>
    <font>
      <sz val="10"/>
      <color theme="1"/>
      <name val="NeoSansPro-Light"/>
      <family val="2"/>
    </font>
    <font>
      <sz val="8"/>
      <color indexed="8"/>
      <name val="Neo Sans Pro Light"/>
      <family val="2"/>
    </font>
    <font>
      <sz val="8"/>
      <color indexed="8"/>
      <name val="Calibri"/>
      <family val="2"/>
    </font>
    <font>
      <sz val="8"/>
      <color theme="1"/>
      <name val="Calibri"/>
      <family val="2"/>
    </font>
    <font>
      <sz val="10"/>
      <color indexed="8"/>
      <name val="Arial"/>
      <family val="2"/>
    </font>
    <font>
      <sz val="8"/>
      <color theme="1"/>
      <name val="Calibri"/>
      <family val="2"/>
      <scheme val="minor"/>
    </font>
    <font>
      <sz val="10"/>
      <name val="Arial"/>
      <family val="2"/>
      <charset val="1"/>
    </font>
    <font>
      <sz val="11"/>
      <color indexed="8"/>
      <name val="Meta-Normal"/>
      <family val="2"/>
      <charset val="1"/>
    </font>
    <font>
      <sz val="8"/>
      <name val="Neo Sans Pro Light"/>
      <family val="2"/>
      <charset val="134"/>
    </font>
    <font>
      <sz val="12"/>
      <name val="Times New Roman"/>
      <family val="1"/>
      <charset val="134"/>
    </font>
    <font>
      <sz val="8"/>
      <color indexed="8"/>
      <name val="Calibri"/>
      <family val="2"/>
      <charset val="134"/>
    </font>
    <font>
      <sz val="11"/>
      <color indexed="9"/>
      <name val="Calibri"/>
      <family val="2"/>
    </font>
    <font>
      <sz val="11"/>
      <color indexed="16"/>
      <name val="Calibri"/>
      <family val="2"/>
    </font>
    <font>
      <b/>
      <sz val="11"/>
      <color indexed="52"/>
      <name val="Calibri"/>
      <family val="2"/>
    </font>
    <font>
      <b/>
      <sz val="11"/>
      <color indexed="9"/>
      <name val="Calibri"/>
      <family val="2"/>
    </font>
    <font>
      <sz val="10"/>
      <name val="Mangal"/>
      <family val="1"/>
    </font>
    <font>
      <sz val="10"/>
      <name val="Verdana"/>
      <family val="2"/>
    </font>
    <font>
      <i/>
      <sz val="11"/>
      <color indexed="23"/>
      <name val="Calibri"/>
      <family val="2"/>
    </font>
    <font>
      <sz val="11"/>
      <color indexed="17"/>
      <name val="Calibri"/>
      <family val="2"/>
    </font>
    <font>
      <b/>
      <sz val="15"/>
      <color indexed="54"/>
      <name val="Calibri"/>
      <family val="2"/>
    </font>
    <font>
      <b/>
      <sz val="13"/>
      <color indexed="54"/>
      <name val="Calibri"/>
      <family val="2"/>
    </font>
    <font>
      <b/>
      <sz val="11"/>
      <color indexed="54"/>
      <name val="Calibri"/>
      <family val="2"/>
    </font>
    <font>
      <sz val="11"/>
      <color indexed="62"/>
      <name val="Calibri"/>
      <family val="2"/>
    </font>
    <font>
      <sz val="11"/>
      <color indexed="52"/>
      <name val="Calibri"/>
      <family val="2"/>
    </font>
    <font>
      <sz val="11"/>
      <color indexed="60"/>
      <name val="Calibri"/>
      <family val="2"/>
    </font>
    <font>
      <sz val="10"/>
      <color indexed="8"/>
      <name val="Arial1"/>
    </font>
    <font>
      <sz val="12"/>
      <color indexed="8"/>
      <name val="Calibri"/>
      <family val="2"/>
    </font>
    <font>
      <b/>
      <sz val="11"/>
      <color indexed="63"/>
      <name val="Calibri"/>
      <family val="2"/>
    </font>
    <font>
      <sz val="18"/>
      <color indexed="54"/>
      <name val="Calibri Light"/>
      <family val="2"/>
    </font>
    <font>
      <b/>
      <sz val="11"/>
      <color indexed="8"/>
      <name val="Calibri"/>
      <family val="2"/>
    </font>
    <font>
      <sz val="11"/>
      <color indexed="10"/>
      <name val="Calibri"/>
      <family val="2"/>
    </font>
    <font>
      <sz val="10"/>
      <color theme="1"/>
      <name val="Calibri"/>
      <family val="2"/>
      <scheme val="minor"/>
    </font>
    <font>
      <b/>
      <sz val="10"/>
      <color theme="1"/>
      <name val="Calibri"/>
      <family val="2"/>
      <scheme val="minor"/>
    </font>
    <font>
      <sz val="10"/>
      <name val="Century Gothic"/>
      <family val="1"/>
    </font>
    <font>
      <b/>
      <sz val="10"/>
      <color theme="1"/>
      <name val="Neo Sans Pro"/>
      <family val="2"/>
    </font>
    <font>
      <sz val="12"/>
      <color theme="1"/>
      <name val="Neo Sans Pro"/>
      <family val="2"/>
    </font>
    <font>
      <sz val="14"/>
      <color theme="0"/>
      <name val="Neo Sans Pro"/>
      <family val="2"/>
    </font>
    <font>
      <sz val="10"/>
      <color rgb="FF000000"/>
      <name val="Neo Sans Pro"/>
      <family val="2"/>
    </font>
    <font>
      <b/>
      <sz val="10"/>
      <name val="Neo Sans Pro"/>
      <family val="2"/>
    </font>
    <font>
      <sz val="10"/>
      <color rgb="FFFF0000"/>
      <name val="Meta-Normal"/>
      <family val="3"/>
    </font>
    <font>
      <b/>
      <sz val="12"/>
      <color theme="1"/>
      <name val="Meta-Normal"/>
      <family val="3"/>
    </font>
    <font>
      <sz val="11"/>
      <color theme="1"/>
      <name val="Neo Sans Pro"/>
      <family val="2"/>
    </font>
    <font>
      <sz val="11"/>
      <color theme="0"/>
      <name val="Neo Sans Pro"/>
      <family val="2"/>
    </font>
    <font>
      <sz val="11"/>
      <color theme="1"/>
      <name val="Meta-Normal"/>
      <family val="3"/>
    </font>
    <font>
      <sz val="14"/>
      <color theme="0"/>
      <name val="Meta-Normal"/>
      <family val="3"/>
    </font>
    <font>
      <sz val="9"/>
      <color theme="1"/>
      <name val="Meta-Normal"/>
      <family val="3"/>
    </font>
    <font>
      <sz val="9"/>
      <name val="Meta-Normal"/>
      <family val="3"/>
    </font>
    <font>
      <b/>
      <sz val="11"/>
      <color theme="1"/>
      <name val="Meta-Normal"/>
      <family val="3"/>
    </font>
    <font>
      <b/>
      <sz val="11"/>
      <color theme="0"/>
      <name val="Meta-Normal"/>
      <family val="3"/>
    </font>
    <font>
      <sz val="9"/>
      <color rgb="FF000000"/>
      <name val="Meta-Normal"/>
      <family val="3"/>
    </font>
    <font>
      <sz val="11"/>
      <color theme="1"/>
      <name val="Neo Sans Pro Medium"/>
      <family val="2"/>
    </font>
    <font>
      <sz val="12"/>
      <color theme="1"/>
      <name val="Neo Sans Pro Medium"/>
      <family val="2"/>
    </font>
    <font>
      <sz val="10"/>
      <color rgb="FF000000"/>
      <name val="Meta-Normal"/>
      <family val="3"/>
    </font>
    <font>
      <sz val="10"/>
      <color rgb="FF000000"/>
      <name val="Neo Sans Pro Light"/>
      <family val="2"/>
    </font>
    <font>
      <sz val="10"/>
      <color indexed="8"/>
      <name val="Arial"/>
      <family val="2"/>
      <charset val="1"/>
    </font>
    <font>
      <sz val="11"/>
      <color indexed="8"/>
      <name val="Arial"/>
      <family val="2"/>
    </font>
    <font>
      <sz val="9"/>
      <name val="Times New Roman"/>
      <family val="1"/>
    </font>
    <font>
      <sz val="11"/>
      <color indexed="8"/>
      <name val="Calibri"/>
      <family val="2"/>
      <charset val="1"/>
    </font>
    <font>
      <sz val="10"/>
      <color theme="1"/>
      <name val="Helvetica"/>
      <family val="2"/>
    </font>
    <font>
      <b/>
      <sz val="10"/>
      <color theme="1"/>
      <name val="Helvetica"/>
      <family val="2"/>
    </font>
    <font>
      <sz val="10"/>
      <name val="Helvetica"/>
      <family val="2"/>
    </font>
    <font>
      <sz val="14"/>
      <color theme="0"/>
      <name val="Impact"/>
      <family val="3"/>
    </font>
    <font>
      <b/>
      <sz val="10"/>
      <name val="Helvetica"/>
      <family val="2"/>
    </font>
    <font>
      <b/>
      <sz val="11"/>
      <color theme="1"/>
      <name val="Meta-Normal"/>
    </font>
    <font>
      <sz val="11"/>
      <color theme="1"/>
      <name val="Meta-Normal"/>
    </font>
    <font>
      <b/>
      <sz val="12"/>
      <color theme="1"/>
      <name val="Meta-Normal"/>
    </font>
    <font>
      <sz val="10"/>
      <color theme="1"/>
      <name val="Meta-Normal"/>
    </font>
    <font>
      <sz val="10"/>
      <name val="Meta-Normal"/>
    </font>
    <font>
      <sz val="11"/>
      <name val="Meta-Normal"/>
    </font>
    <font>
      <sz val="11"/>
      <color rgb="FFFF0000"/>
      <name val="Meta-Normal"/>
    </font>
    <font>
      <sz val="18"/>
      <color theme="0"/>
      <name val="Impact"/>
      <family val="2"/>
    </font>
    <font>
      <sz val="18"/>
      <color theme="0"/>
      <name val="Meta-Normal"/>
      <family val="3"/>
    </font>
    <font>
      <sz val="12"/>
      <color theme="0"/>
      <name val="Neo Sans Pro Medium"/>
      <family val="2"/>
    </font>
    <font>
      <sz val="14"/>
      <name val="Neo Sans Pro Medium"/>
      <family val="2"/>
    </font>
    <font>
      <sz val="11"/>
      <color theme="1"/>
      <name val="Meta-Normal"/>
      <family val="2"/>
    </font>
    <font>
      <b/>
      <sz val="14"/>
      <color theme="1"/>
      <name val="Calibri"/>
      <family val="2"/>
      <scheme val="minor"/>
    </font>
    <font>
      <b/>
      <sz val="10"/>
      <color theme="1"/>
      <name val="Helvetica"/>
    </font>
    <font>
      <b/>
      <sz val="10"/>
      <color theme="1"/>
      <name val="Neo Sans Pro Light"/>
      <family val="2"/>
    </font>
    <font>
      <b/>
      <sz val="10"/>
      <color theme="1"/>
      <name val="Meta-Normal"/>
    </font>
    <font>
      <sz val="12"/>
      <name val="Neo Sans Pro Medium"/>
      <family val="2"/>
    </font>
    <font>
      <sz val="12"/>
      <color theme="1"/>
      <name val="Meta-Normal"/>
    </font>
    <font>
      <b/>
      <sz val="10"/>
      <name val="Meta-Normal"/>
    </font>
  </fonts>
  <fills count="28">
    <fill>
      <patternFill patternType="none"/>
    </fill>
    <fill>
      <patternFill patternType="gray125"/>
    </fill>
    <fill>
      <patternFill patternType="solid">
        <fgColor theme="5" tint="0.79998168889431442"/>
        <bgColor indexed="64"/>
      </patternFill>
    </fill>
    <fill>
      <patternFill patternType="solid">
        <fgColor rgb="FF963634"/>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indexed="43"/>
        <bgColor indexed="64"/>
      </patternFill>
    </fill>
    <fill>
      <patternFill patternType="solid">
        <fgColor indexed="42"/>
        <bgColor indexed="64"/>
      </patternFill>
    </fill>
    <fill>
      <patternFill patternType="solid">
        <fgColor indexed="53"/>
        <bgColor indexed="64"/>
      </patternFill>
    </fill>
    <fill>
      <patternFill patternType="solid">
        <fgColor indexed="55"/>
        <bgColor indexed="64"/>
      </patternFill>
    </fill>
    <fill>
      <patternFill patternType="solid">
        <fgColor indexed="22"/>
        <bgColor indexed="64"/>
      </patternFill>
    </fill>
    <fill>
      <patternFill patternType="solid">
        <fgColor indexed="27"/>
        <bgColor indexed="64"/>
      </patternFill>
    </fill>
    <fill>
      <patternFill patternType="solid">
        <fgColor indexed="26"/>
        <bgColor indexed="64"/>
      </patternFill>
    </fill>
    <fill>
      <patternFill patternType="solid">
        <fgColor indexed="29"/>
        <bgColor indexed="64"/>
      </patternFill>
    </fill>
    <fill>
      <patternFill patternType="solid">
        <fgColor indexed="31"/>
        <bgColor indexed="64"/>
      </patternFill>
    </fill>
    <fill>
      <patternFill patternType="solid">
        <fgColor indexed="49"/>
        <bgColor indexed="64"/>
      </patternFill>
    </fill>
    <fill>
      <patternFill patternType="solid">
        <fgColor indexed="51"/>
        <bgColor indexed="64"/>
      </patternFill>
    </fill>
    <fill>
      <patternFill patternType="solid">
        <fgColor indexed="62"/>
        <bgColor indexed="64"/>
      </patternFill>
    </fill>
    <fill>
      <patternFill patternType="solid">
        <fgColor indexed="47"/>
        <bgColor indexed="64"/>
      </patternFill>
    </fill>
    <fill>
      <patternFill patternType="solid">
        <fgColor rgb="FF92D050"/>
        <bgColor indexed="64"/>
      </patternFill>
    </fill>
    <fill>
      <patternFill patternType="solid">
        <fgColor theme="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rgb="FFF8F8F8"/>
        <bgColor indexed="64"/>
      </patternFill>
    </fill>
    <fill>
      <patternFill patternType="solid">
        <fgColor theme="7" tint="0.59999389629810485"/>
        <bgColor indexed="64"/>
      </patternFill>
    </fill>
  </fills>
  <borders count="1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7"/>
      </bottom>
      <diagonal/>
    </border>
    <border>
      <left/>
      <right/>
      <top/>
      <bottom style="medium">
        <color indexed="27"/>
      </bottom>
      <diagonal/>
    </border>
    <border>
      <left/>
      <right/>
      <top/>
      <bottom style="double">
        <color indexed="52"/>
      </bottom>
      <diagonal/>
    </border>
    <border>
      <left style="thin">
        <color indexed="44"/>
      </left>
      <right style="thin">
        <color indexed="44"/>
      </right>
      <top style="thin">
        <color indexed="44"/>
      </top>
      <bottom style="thin">
        <color indexed="44"/>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s>
  <cellStyleXfs count="2256">
    <xf numFmtId="0" fontId="0" fillId="0" borderId="0"/>
    <xf numFmtId="9" fontId="8" fillId="0" borderId="0" applyFont="0" applyFill="0" applyBorder="0" applyAlignment="0" applyProtection="0"/>
    <xf numFmtId="0" fontId="10" fillId="0" borderId="0"/>
    <xf numFmtId="0" fontId="11" fillId="0" borderId="0"/>
    <xf numFmtId="0" fontId="12" fillId="0" borderId="0"/>
    <xf numFmtId="0" fontId="16" fillId="0" borderId="0"/>
    <xf numFmtId="49" fontId="13" fillId="0" borderId="0">
      <alignment horizontal="left" vertical="center"/>
    </xf>
    <xf numFmtId="49" fontId="18" fillId="0" borderId="0"/>
    <xf numFmtId="167" fontId="21" fillId="0" borderId="0"/>
    <xf numFmtId="0" fontId="23" fillId="0" borderId="0"/>
    <xf numFmtId="0" fontId="4" fillId="0" borderId="0"/>
    <xf numFmtId="0" fontId="8" fillId="0" borderId="0"/>
    <xf numFmtId="43" fontId="10"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4" fillId="0" borderId="0"/>
    <xf numFmtId="9" fontId="8" fillId="0" borderId="0" applyFont="0" applyFill="0" applyBorder="0" applyAlignment="0" applyProtection="0"/>
    <xf numFmtId="0" fontId="10" fillId="0" borderId="0"/>
    <xf numFmtId="43" fontId="23" fillId="0" borderId="0" applyFont="0" applyFill="0" applyBorder="0" applyAlignment="0" applyProtection="0"/>
    <xf numFmtId="0" fontId="3" fillId="0" borderId="0"/>
    <xf numFmtId="0" fontId="3" fillId="0" borderId="0"/>
    <xf numFmtId="0" fontId="3" fillId="0" borderId="0"/>
    <xf numFmtId="0" fontId="30" fillId="0" borderId="0"/>
    <xf numFmtId="0" fontId="2" fillId="0" borderId="0"/>
    <xf numFmtId="0" fontId="2" fillId="0" borderId="0"/>
    <xf numFmtId="0" fontId="2" fillId="0" borderId="0"/>
    <xf numFmtId="0" fontId="21" fillId="0" borderId="0" applyNumberFormat="0" applyBorder="0" applyProtection="0"/>
    <xf numFmtId="170" fontId="34" fillId="0" borderId="0"/>
    <xf numFmtId="0" fontId="11" fillId="0" borderId="0"/>
    <xf numFmtId="43" fontId="8"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23" fillId="0" borderId="0"/>
    <xf numFmtId="43" fontId="23" fillId="0" borderId="0" applyFont="0" applyFill="0" applyBorder="0" applyAlignment="0" applyProtection="0"/>
    <xf numFmtId="9" fontId="23" fillId="0" borderId="0" applyFont="0" applyFill="0" applyBorder="0" applyAlignment="0" applyProtection="0"/>
    <xf numFmtId="43" fontId="23" fillId="0" borderId="0" applyFont="0" applyFill="0" applyBorder="0" applyAlignment="0" applyProtection="0"/>
    <xf numFmtId="0" fontId="38" fillId="0" borderId="0"/>
    <xf numFmtId="43" fontId="10" fillId="0" borderId="0" applyFont="0" applyFill="0" applyBorder="0" applyAlignment="0" applyProtection="0"/>
    <xf numFmtId="43" fontId="23" fillId="0" borderId="0" applyFont="0" applyFill="0" applyBorder="0" applyAlignment="0" applyProtection="0"/>
    <xf numFmtId="0" fontId="23" fillId="0" borderId="0"/>
    <xf numFmtId="0" fontId="10" fillId="0" borderId="0"/>
    <xf numFmtId="43" fontId="5" fillId="0" borderId="0" applyFont="0" applyFill="0" applyBorder="0" applyAlignment="0" applyProtection="0"/>
    <xf numFmtId="43" fontId="39" fillId="0" borderId="0" applyFont="0" applyFill="0" applyBorder="0" applyAlignment="0" applyProtection="0"/>
    <xf numFmtId="0" fontId="23" fillId="0" borderId="0"/>
    <xf numFmtId="43" fontId="10" fillId="0" borderId="0" applyFont="0" applyFill="0" applyBorder="0" applyAlignment="0" applyProtection="0"/>
    <xf numFmtId="0" fontId="40" fillId="0" borderId="0" applyBorder="0" applyProtection="0"/>
    <xf numFmtId="43" fontId="23" fillId="0" borderId="0" applyFont="0" applyFill="0" applyBorder="0" applyAlignment="0" applyProtection="0"/>
    <xf numFmtId="43" fontId="10" fillId="0" borderId="0" applyFont="0" applyFill="0" applyBorder="0" applyAlignment="0" applyProtection="0"/>
    <xf numFmtId="0" fontId="41" fillId="0" borderId="0"/>
    <xf numFmtId="0" fontId="38" fillId="0" borderId="0">
      <alignment vertical="center"/>
    </xf>
    <xf numFmtId="43" fontId="23" fillId="0" borderId="0" applyFont="0" applyFill="0" applyBorder="0" applyAlignment="0" applyProtection="0"/>
    <xf numFmtId="9" fontId="39" fillId="0" borderId="0" applyFont="0" applyFill="0" applyBorder="0" applyAlignment="0" applyProtection="0"/>
    <xf numFmtId="43" fontId="23" fillId="0" borderId="0" applyFont="0" applyFill="0" applyBorder="0" applyAlignment="0" applyProtection="0">
      <alignment vertical="center"/>
    </xf>
    <xf numFmtId="43"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23" fillId="0" borderId="0"/>
    <xf numFmtId="0" fontId="42" fillId="0" borderId="0"/>
    <xf numFmtId="0" fontId="39" fillId="0" borderId="0"/>
    <xf numFmtId="43" fontId="41" fillId="0" borderId="0" applyFont="0" applyFill="0" applyBorder="0" applyAlignment="0" applyProtection="0"/>
    <xf numFmtId="0" fontId="41" fillId="0" borderId="0"/>
    <xf numFmtId="0" fontId="23" fillId="0" borderId="0"/>
    <xf numFmtId="0" fontId="41" fillId="0" borderId="0"/>
    <xf numFmtId="0" fontId="1" fillId="0" borderId="0"/>
    <xf numFmtId="43" fontId="41" fillId="0" borderId="0" applyProtection="0"/>
    <xf numFmtId="0" fontId="43" fillId="0" borderId="0" applyProtection="0"/>
    <xf numFmtId="0" fontId="41" fillId="0" borderId="0"/>
    <xf numFmtId="43" fontId="1" fillId="0" borderId="0" applyFont="0" applyFill="0" applyBorder="0" applyAlignment="0" applyProtection="0"/>
    <xf numFmtId="0" fontId="10" fillId="0" borderId="0">
      <alignment vertical="center"/>
    </xf>
    <xf numFmtId="0" fontId="41" fillId="0" borderId="0" applyProtection="0"/>
    <xf numFmtId="0" fontId="41" fillId="0" borderId="0" applyProtection="0"/>
    <xf numFmtId="0" fontId="44" fillId="0" borderId="0"/>
    <xf numFmtId="0" fontId="41" fillId="0" borderId="0" applyNumberFormat="0" applyFont="0" applyFill="0" applyBorder="0" applyProtection="0"/>
    <xf numFmtId="0" fontId="34" fillId="0" borderId="0" applyProtection="0"/>
    <xf numFmtId="0" fontId="41" fillId="0" borderId="0" applyProtection="0"/>
    <xf numFmtId="172" fontId="34" fillId="0" borderId="0" applyFill="0" applyBorder="0" applyAlignment="0" applyProtection="0"/>
    <xf numFmtId="0" fontId="10" fillId="0" borderId="0">
      <alignment vertical="center"/>
    </xf>
    <xf numFmtId="0" fontId="34" fillId="0" borderId="0" applyProtection="0"/>
    <xf numFmtId="43" fontId="23" fillId="0" borderId="0" applyFont="0" applyFill="0" applyBorder="0" applyAlignment="0" applyProtection="0"/>
    <xf numFmtId="0" fontId="41" fillId="0" borderId="0"/>
    <xf numFmtId="0" fontId="10" fillId="0" borderId="0" applyProtection="0"/>
    <xf numFmtId="0" fontId="10" fillId="0" borderId="0"/>
    <xf numFmtId="0" fontId="41" fillId="0" borderId="0">
      <alignment vertical="center"/>
    </xf>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1" fillId="0" borderId="0"/>
    <xf numFmtId="0" fontId="45" fillId="0" borderId="0"/>
    <xf numFmtId="43" fontId="1" fillId="0" borderId="0" applyFont="0" applyFill="0" applyBorder="0" applyAlignment="0" applyProtection="0"/>
    <xf numFmtId="0" fontId="42"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3" fillId="0" borderId="0" applyFont="0" applyFill="0" applyBorder="0" applyAlignment="0" applyProtection="0"/>
    <xf numFmtId="0" fontId="39" fillId="0" borderId="0"/>
    <xf numFmtId="0" fontId="46" fillId="0" borderId="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23" fillId="0" borderId="0"/>
    <xf numFmtId="0" fontId="1" fillId="0" borderId="0"/>
    <xf numFmtId="43" fontId="1" fillId="0" borderId="0" applyFont="0" applyFill="0" applyBorder="0" applyAlignment="0" applyProtection="0"/>
    <xf numFmtId="0" fontId="47" fillId="0" borderId="0">
      <alignment vertical="center"/>
    </xf>
    <xf numFmtId="0" fontId="48" fillId="0" borderId="0">
      <alignment vertical="center"/>
    </xf>
    <xf numFmtId="43" fontId="1" fillId="0" borderId="0" applyFont="0" applyFill="0" applyBorder="0" applyAlignment="0" applyProtection="0"/>
    <xf numFmtId="173" fontId="49" fillId="0" borderId="0" applyFont="0" applyFill="0" applyBorder="0" applyAlignment="0" applyProtection="0"/>
    <xf numFmtId="0" fontId="10" fillId="0" borderId="0"/>
    <xf numFmtId="0" fontId="38" fillId="0" borderId="0"/>
    <xf numFmtId="0" fontId="23" fillId="0" borderId="0"/>
    <xf numFmtId="43" fontId="10" fillId="0" borderId="0" applyFill="0" applyBorder="0" applyAlignment="0" applyProtection="0"/>
    <xf numFmtId="0" fontId="39" fillId="0" borderId="0"/>
    <xf numFmtId="43" fontId="39" fillId="0" borderId="0" applyFont="0" applyFill="0" applyBorder="0" applyAlignment="0" applyProtection="0"/>
    <xf numFmtId="0" fontId="41" fillId="0" borderId="0">
      <alignment vertical="center"/>
    </xf>
    <xf numFmtId="43" fontId="41" fillId="0" borderId="0" applyFont="0" applyFill="0" applyBorder="0" applyAlignment="0" applyProtection="0"/>
    <xf numFmtId="0" fontId="41" fillId="0" borderId="0">
      <alignment vertical="center"/>
    </xf>
    <xf numFmtId="0" fontId="41" fillId="0" borderId="0">
      <alignment vertical="center"/>
    </xf>
    <xf numFmtId="0" fontId="10" fillId="0" borderId="0">
      <alignment vertical="center"/>
    </xf>
    <xf numFmtId="0" fontId="41" fillId="0" borderId="0">
      <alignment vertical="center"/>
    </xf>
    <xf numFmtId="0" fontId="34" fillId="11" borderId="0" applyNumberFormat="0" applyBorder="0" applyAlignment="0" applyProtection="0">
      <alignment vertical="center"/>
    </xf>
    <xf numFmtId="0" fontId="34" fillId="6" borderId="0" applyNumberFormat="0" applyBorder="0" applyAlignment="0" applyProtection="0">
      <alignment vertical="center"/>
    </xf>
    <xf numFmtId="0" fontId="34" fillId="12" borderId="0" applyNumberFormat="0" applyBorder="0" applyAlignment="0" applyProtection="0">
      <alignment vertical="center"/>
    </xf>
    <xf numFmtId="0" fontId="34" fillId="6" borderId="0" applyNumberFormat="0" applyBorder="0" applyAlignment="0" applyProtection="0">
      <alignment vertical="center"/>
    </xf>
    <xf numFmtId="0" fontId="34" fillId="11" borderId="0" applyNumberFormat="0" applyBorder="0" applyAlignment="0" applyProtection="0">
      <alignment vertical="center"/>
    </xf>
    <xf numFmtId="0" fontId="34" fillId="7" borderId="0" applyNumberFormat="0" applyBorder="0" applyAlignment="0" applyProtection="0">
      <alignment vertical="center"/>
    </xf>
    <xf numFmtId="0" fontId="34" fillId="11" borderId="0" applyNumberFormat="0" applyBorder="0" applyAlignment="0" applyProtection="0">
      <alignment vertical="center"/>
    </xf>
    <xf numFmtId="0" fontId="34" fillId="13" borderId="0" applyNumberFormat="0" applyBorder="0" applyAlignment="0" applyProtection="0">
      <alignment vertical="center"/>
    </xf>
    <xf numFmtId="0" fontId="34" fillId="14" borderId="0" applyNumberFormat="0" applyBorder="0" applyAlignment="0" applyProtection="0">
      <alignment vertical="center"/>
    </xf>
    <xf numFmtId="0" fontId="34" fillId="6" borderId="0" applyNumberFormat="0" applyBorder="0" applyAlignment="0" applyProtection="0">
      <alignment vertical="center"/>
    </xf>
    <xf numFmtId="0" fontId="34" fillId="11" borderId="0" applyNumberFormat="0" applyBorder="0" applyAlignment="0" applyProtection="0">
      <alignment vertical="center"/>
    </xf>
    <xf numFmtId="0" fontId="34" fillId="6" borderId="0" applyNumberFormat="0" applyBorder="0" applyAlignment="0" applyProtection="0">
      <alignment vertical="center"/>
    </xf>
    <xf numFmtId="0" fontId="50" fillId="11" borderId="0" applyNumberFormat="0" applyBorder="0" applyAlignment="0" applyProtection="0">
      <alignment vertical="center"/>
    </xf>
    <xf numFmtId="0" fontId="50" fillId="13" borderId="0" applyNumberFormat="0" applyBorder="0" applyAlignment="0" applyProtection="0">
      <alignment vertical="center"/>
    </xf>
    <xf numFmtId="0" fontId="50" fillId="10" borderId="0" applyNumberFormat="0" applyBorder="0" applyAlignment="0" applyProtection="0">
      <alignment vertical="center"/>
    </xf>
    <xf numFmtId="0" fontId="50" fillId="13" borderId="0" applyNumberFormat="0" applyBorder="0" applyAlignment="0" applyProtection="0">
      <alignment vertical="center"/>
    </xf>
    <xf numFmtId="0" fontId="50" fillId="11" borderId="0" applyNumberFormat="0" applyBorder="0" applyAlignment="0" applyProtection="0">
      <alignment vertical="center"/>
    </xf>
    <xf numFmtId="0" fontId="50" fillId="6" borderId="0" applyNumberFormat="0" applyBorder="0" applyAlignment="0" applyProtection="0">
      <alignment vertical="center"/>
    </xf>
    <xf numFmtId="0" fontId="50" fillId="15" borderId="0" applyNumberFormat="0" applyBorder="0" applyAlignment="0" applyProtection="0">
      <alignment vertical="center"/>
    </xf>
    <xf numFmtId="0" fontId="50" fillId="8" borderId="0" applyNumberFormat="0" applyBorder="0" applyAlignment="0" applyProtection="0">
      <alignment vertical="center"/>
    </xf>
    <xf numFmtId="0" fontId="50" fillId="9"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5" borderId="0" applyNumberFormat="0" applyBorder="0" applyAlignment="0" applyProtection="0">
      <alignment vertical="center"/>
    </xf>
    <xf numFmtId="0" fontId="51" fillId="18" borderId="0" applyNumberFormat="0" applyBorder="0" applyAlignment="0" applyProtection="0">
      <alignment vertical="center"/>
    </xf>
    <xf numFmtId="0" fontId="52" fillId="12" borderId="6" applyNumberFormat="0" applyAlignment="0" applyProtection="0">
      <alignment vertical="center"/>
    </xf>
    <xf numFmtId="0" fontId="53" fillId="9" borderId="7" applyNumberFormat="0" applyAlignment="0" applyProtection="0">
      <alignment vertical="center"/>
    </xf>
    <xf numFmtId="174" fontId="54" fillId="0" borderId="0" applyFill="0" applyBorder="0" applyAlignment="0" applyProtection="0">
      <alignment vertical="center"/>
    </xf>
    <xf numFmtId="174" fontId="54" fillId="0" borderId="0" applyFill="0" applyBorder="0" applyAlignment="0" applyProtection="0">
      <alignment vertical="center"/>
    </xf>
    <xf numFmtId="43" fontId="41" fillId="0" borderId="0" applyFont="0" applyFill="0" applyBorder="0" applyAlignment="0" applyProtection="0">
      <alignment vertical="center"/>
    </xf>
    <xf numFmtId="43" fontId="41" fillId="0" borderId="0" applyFont="0" applyFill="0" applyBorder="0" applyAlignment="0" applyProtection="0"/>
    <xf numFmtId="43" fontId="41" fillId="0" borderId="0" applyFont="0" applyFill="0" applyBorder="0" applyAlignment="0" applyProtection="0"/>
    <xf numFmtId="175" fontId="54" fillId="0" borderId="0" applyFill="0" applyBorder="0" applyAlignment="0" applyProtection="0"/>
    <xf numFmtId="174" fontId="54" fillId="0" borderId="0" applyFill="0" applyBorder="0" applyAlignment="0" applyProtection="0">
      <alignment vertical="center"/>
    </xf>
    <xf numFmtId="43" fontId="41" fillId="0" borderId="0" applyFont="0" applyFill="0" applyBorder="0" applyAlignment="0" applyProtection="0"/>
    <xf numFmtId="174" fontId="54" fillId="0" borderId="0" applyFill="0" applyBorder="0" applyAlignment="0" applyProtection="0">
      <alignment vertical="center"/>
    </xf>
    <xf numFmtId="175" fontId="54" fillId="0" borderId="0" applyFill="0" applyBorder="0" applyAlignment="0" applyProtection="0"/>
    <xf numFmtId="0" fontId="41" fillId="0" borderId="0">
      <alignment vertical="center"/>
    </xf>
    <xf numFmtId="0" fontId="55"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xf numFmtId="0" fontId="41" fillId="0" borderId="0"/>
    <xf numFmtId="0" fontId="41" fillId="0" borderId="0"/>
    <xf numFmtId="0" fontId="41" fillId="0" borderId="0"/>
    <xf numFmtId="0" fontId="41" fillId="0" borderId="0" applyProtection="0">
      <alignment vertical="center"/>
    </xf>
    <xf numFmtId="0" fontId="56" fillId="0" borderId="0" applyNumberFormat="0" applyFill="0" applyBorder="0" applyAlignment="0" applyProtection="0">
      <alignment vertical="center"/>
    </xf>
    <xf numFmtId="0" fontId="57" fillId="7" borderId="0" applyNumberFormat="0" applyBorder="0" applyAlignment="0" applyProtection="0">
      <alignment vertical="center"/>
    </xf>
    <xf numFmtId="0" fontId="58" fillId="0" borderId="8" applyNumberFormat="0" applyFill="0" applyAlignment="0" applyProtection="0">
      <alignment vertical="center"/>
    </xf>
    <xf numFmtId="0" fontId="59" fillId="0" borderId="9" applyNumberFormat="0" applyFill="0" applyAlignment="0" applyProtection="0">
      <alignment vertical="center"/>
    </xf>
    <xf numFmtId="0" fontId="60" fillId="0" borderId="10" applyNumberFormat="0" applyFill="0" applyAlignment="0" applyProtection="0">
      <alignment vertical="center"/>
    </xf>
    <xf numFmtId="0" fontId="60" fillId="0" borderId="0" applyNumberFormat="0" applyFill="0" applyBorder="0" applyAlignment="0" applyProtection="0">
      <alignment vertical="center"/>
    </xf>
    <xf numFmtId="0" fontId="61" fillId="13" borderId="6" applyNumberFormat="0" applyAlignment="0" applyProtection="0">
      <alignment vertical="center"/>
    </xf>
    <xf numFmtId="0" fontId="62" fillId="0" borderId="11" applyNumberFormat="0" applyFill="0" applyAlignment="0" applyProtection="0">
      <alignment vertical="center"/>
    </xf>
    <xf numFmtId="0" fontId="63" fillId="6" borderId="0" applyNumberFormat="0" applyBorder="0" applyAlignment="0" applyProtection="0">
      <alignment vertical="center"/>
    </xf>
    <xf numFmtId="0" fontId="38" fillId="0" borderId="0">
      <alignment vertical="center"/>
    </xf>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10"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41"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10" fillId="0" borderId="0">
      <alignment vertical="center"/>
    </xf>
    <xf numFmtId="0" fontId="34" fillId="0" borderId="0"/>
    <xf numFmtId="0" fontId="34" fillId="0" borderId="0"/>
    <xf numFmtId="0" fontId="34" fillId="0" borderId="0"/>
    <xf numFmtId="0" fontId="10" fillId="0" borderId="0">
      <alignment vertical="center"/>
    </xf>
    <xf numFmtId="0" fontId="64" fillId="0" borderId="0" applyNumberFormat="0" applyBorder="0" applyProtection="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41" fillId="0" borderId="0"/>
    <xf numFmtId="0" fontId="43"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34" fillId="0" borderId="0">
      <alignment vertical="center"/>
    </xf>
    <xf numFmtId="0" fontId="34" fillId="0" borderId="0"/>
    <xf numFmtId="0" fontId="34" fillId="0" borderId="0"/>
    <xf numFmtId="0" fontId="34" fillId="0" borderId="0"/>
    <xf numFmtId="0" fontId="10" fillId="0" borderId="0"/>
    <xf numFmtId="0" fontId="10"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43"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43" fillId="0" borderId="0"/>
    <xf numFmtId="0" fontId="43"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10" fillId="0" borderId="0">
      <alignment vertical="center"/>
    </xf>
    <xf numFmtId="0" fontId="10" fillId="0" borderId="0"/>
    <xf numFmtId="0" fontId="10"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10" fillId="0" borderId="0">
      <alignment vertical="center"/>
    </xf>
    <xf numFmtId="0" fontId="43" fillId="0" borderId="0"/>
    <xf numFmtId="0" fontId="43"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41" fillId="0" borderId="0">
      <alignment vertical="center"/>
    </xf>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10" fillId="0" borderId="0"/>
    <xf numFmtId="0" fontId="10"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34" fillId="0" borderId="0"/>
    <xf numFmtId="0" fontId="34" fillId="0" borderId="0"/>
    <xf numFmtId="0" fontId="10" fillId="0" borderId="0">
      <alignment vertical="center"/>
    </xf>
    <xf numFmtId="0" fontId="10" fillId="0" borderId="0"/>
    <xf numFmtId="0" fontId="10" fillId="0" borderId="0"/>
    <xf numFmtId="0" fontId="34"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41" fillId="0" borderId="0">
      <alignment vertical="center"/>
    </xf>
    <xf numFmtId="0" fontId="41" fillId="0" borderId="0"/>
    <xf numFmtId="0" fontId="41" fillId="0" borderId="0"/>
    <xf numFmtId="0" fontId="41" fillId="0" borderId="0"/>
    <xf numFmtId="0" fontId="10" fillId="0" borderId="0">
      <alignment vertical="center"/>
    </xf>
    <xf numFmtId="0" fontId="34" fillId="0" borderId="0">
      <alignment vertical="center"/>
    </xf>
    <xf numFmtId="0" fontId="34" fillId="0" borderId="0"/>
    <xf numFmtId="0" fontId="34" fillId="0" borderId="0"/>
    <xf numFmtId="0" fontId="34" fillId="0" borderId="0"/>
    <xf numFmtId="0" fontId="41" fillId="0" borderId="0">
      <alignment vertical="center"/>
    </xf>
    <xf numFmtId="0" fontId="41" fillId="0" borderId="0">
      <alignment vertical="center"/>
    </xf>
    <xf numFmtId="0" fontId="41"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10" fillId="0" borderId="0">
      <alignment vertical="center"/>
    </xf>
    <xf numFmtId="0" fontId="34" fillId="0" borderId="0"/>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65" fillId="0" borderId="0">
      <alignment vertical="center"/>
    </xf>
    <xf numFmtId="0" fontId="23" fillId="0" borderId="0">
      <alignment vertical="center"/>
    </xf>
    <xf numFmtId="0" fontId="65" fillId="0" borderId="0"/>
    <xf numFmtId="0" fontId="65" fillId="0" borderId="0"/>
    <xf numFmtId="0" fontId="65"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pplyProtection="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pplyProtection="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pplyProtection="0">
      <alignment vertical="center"/>
    </xf>
    <xf numFmtId="0" fontId="34" fillId="0" borderId="0"/>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41" fillId="6" borderId="12" applyNumberFormat="0" applyFont="0" applyAlignment="0" applyProtection="0">
      <alignment vertical="center"/>
    </xf>
    <xf numFmtId="0" fontId="66" fillId="12" borderId="13" applyNumberFormat="0" applyAlignment="0" applyProtection="0">
      <alignment vertical="center"/>
    </xf>
    <xf numFmtId="0" fontId="54" fillId="0" borderId="5" applyFill="0" applyProtection="0">
      <alignment vertical="center"/>
    </xf>
    <xf numFmtId="0" fontId="54" fillId="0" borderId="5" applyFill="0" applyProtection="0">
      <alignment vertical="center"/>
    </xf>
    <xf numFmtId="0" fontId="67" fillId="0" borderId="0" applyNumberFormat="0" applyFill="0" applyBorder="0" applyAlignment="0" applyProtection="0">
      <alignment vertical="center"/>
    </xf>
    <xf numFmtId="0" fontId="68" fillId="0" borderId="14" applyNumberFormat="0" applyFill="0" applyAlignment="0" applyProtection="0">
      <alignment vertical="center"/>
    </xf>
    <xf numFmtId="0" fontId="69" fillId="0" borderId="0" applyNumberFormat="0" applyFill="0" applyBorder="0" applyAlignment="0" applyProtection="0">
      <alignment vertical="center"/>
    </xf>
    <xf numFmtId="0" fontId="1" fillId="0" borderId="0"/>
    <xf numFmtId="43" fontId="1" fillId="0" borderId="0" applyFont="0" applyFill="0" applyBorder="0" applyAlignment="0" applyProtection="0"/>
    <xf numFmtId="0" fontId="41" fillId="0" borderId="0">
      <alignment vertical="center"/>
    </xf>
    <xf numFmtId="0" fontId="10" fillId="0" borderId="0">
      <alignment vertical="center"/>
    </xf>
    <xf numFmtId="0" fontId="10" fillId="0" borderId="0">
      <alignment vertical="center"/>
    </xf>
    <xf numFmtId="43" fontId="41" fillId="0" borderId="0" applyFont="0" applyFill="0" applyBorder="0" applyAlignment="0" applyProtection="0"/>
    <xf numFmtId="0" fontId="41" fillId="0" borderId="0">
      <alignment vertical="center"/>
    </xf>
    <xf numFmtId="0" fontId="41" fillId="0" borderId="0">
      <alignment vertical="center"/>
    </xf>
    <xf numFmtId="0" fontId="1" fillId="0" borderId="0"/>
    <xf numFmtId="43" fontId="10" fillId="0" borderId="0" applyFont="0" applyFill="0" applyBorder="0" applyAlignment="0" applyProtection="0"/>
    <xf numFmtId="43" fontId="10"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8" fillId="0" borderId="0" applyFont="0" applyFill="0" applyBorder="0" applyAlignment="0" applyProtection="0"/>
    <xf numFmtId="0" fontId="45" fillId="0" borderId="0"/>
    <xf numFmtId="0" fontId="93" fillId="0" borderId="0"/>
    <xf numFmtId="0" fontId="94" fillId="0" borderId="0"/>
    <xf numFmtId="170" fontId="95" fillId="0" borderId="0"/>
    <xf numFmtId="170" fontId="1" fillId="0" borderId="0"/>
    <xf numFmtId="170" fontId="96" fillId="0" borderId="0"/>
    <xf numFmtId="170" fontId="1" fillId="0" borderId="0"/>
    <xf numFmtId="170" fontId="95" fillId="0" borderId="0"/>
    <xf numFmtId="170" fontId="34" fillId="0" borderId="0"/>
    <xf numFmtId="164" fontId="8" fillId="0" borderId="0" applyFont="0" applyFill="0" applyBorder="0" applyAlignment="0" applyProtection="0"/>
  </cellStyleXfs>
  <cellXfs count="709">
    <xf numFmtId="0" fontId="0" fillId="0" borderId="0" xfId="0"/>
    <xf numFmtId="0" fontId="27" fillId="0" borderId="0" xfId="0" applyFont="1" applyAlignment="1">
      <alignment vertical="center"/>
    </xf>
    <xf numFmtId="0" fontId="6" fillId="0" borderId="1" xfId="0" applyFont="1" applyBorder="1" applyAlignment="1">
      <alignment vertical="center"/>
    </xf>
    <xf numFmtId="49" fontId="14" fillId="0" borderId="1" xfId="5" applyNumberFormat="1" applyFont="1" applyBorder="1" applyAlignment="1">
      <alignment horizontal="center"/>
    </xf>
    <xf numFmtId="0" fontId="5" fillId="0" borderId="1" xfId="5" applyFont="1" applyBorder="1" applyAlignment="1">
      <alignment horizontal="center" vertical="center"/>
    </xf>
    <xf numFmtId="0" fontId="13" fillId="0" borderId="1" xfId="24" applyFont="1" applyBorder="1" applyAlignment="1">
      <alignment horizontal="center" vertical="center"/>
    </xf>
    <xf numFmtId="0" fontId="6" fillId="0" borderId="1" xfId="24" applyFont="1" applyBorder="1" applyAlignment="1">
      <alignment horizontal="left" vertical="center"/>
    </xf>
    <xf numFmtId="0" fontId="5" fillId="0" borderId="1" xfId="24" applyFont="1" applyBorder="1" applyAlignment="1">
      <alignment horizontal="center" vertical="center"/>
    </xf>
    <xf numFmtId="0" fontId="6" fillId="0" borderId="1" xfId="24" applyFont="1" applyBorder="1" applyAlignment="1">
      <alignment horizontal="center" vertical="center"/>
    </xf>
    <xf numFmtId="0" fontId="5" fillId="0" borderId="1" xfId="23" applyFont="1" applyBorder="1" applyAlignment="1">
      <alignment horizontal="left"/>
    </xf>
    <xf numFmtId="0" fontId="5" fillId="0" borderId="1" xfId="23" applyFont="1" applyBorder="1" applyAlignment="1">
      <alignment horizontal="center"/>
    </xf>
    <xf numFmtId="0" fontId="14" fillId="0" borderId="1" xfId="23" applyFont="1" applyBorder="1"/>
    <xf numFmtId="0" fontId="14" fillId="0" borderId="1" xfId="23" applyFont="1" applyBorder="1" applyAlignment="1">
      <alignment horizontal="center"/>
    </xf>
    <xf numFmtId="0" fontId="6" fillId="0" borderId="1" xfId="23" applyFont="1" applyBorder="1" applyAlignment="1">
      <alignment horizontal="left"/>
    </xf>
    <xf numFmtId="0" fontId="6" fillId="0" borderId="1" xfId="23" applyFont="1" applyBorder="1"/>
    <xf numFmtId="0" fontId="5" fillId="0" borderId="1" xfId="24" applyFont="1" applyBorder="1" applyAlignment="1">
      <alignment horizontal="left" vertical="center"/>
    </xf>
    <xf numFmtId="0" fontId="5" fillId="0" borderId="0" xfId="23" applyFont="1"/>
    <xf numFmtId="0" fontId="5" fillId="0" borderId="0" xfId="23" applyFont="1" applyAlignment="1">
      <alignment horizontal="center"/>
    </xf>
    <xf numFmtId="0" fontId="6" fillId="0" borderId="0" xfId="23" applyFont="1"/>
    <xf numFmtId="0" fontId="14" fillId="0" borderId="0" xfId="23" applyFont="1" applyAlignment="1">
      <alignment horizontal="center"/>
    </xf>
    <xf numFmtId="0" fontId="29" fillId="0" borderId="0" xfId="23" applyFont="1" applyAlignment="1">
      <alignment horizontal="left"/>
    </xf>
    <xf numFmtId="0" fontId="13" fillId="0" borderId="1" xfId="0" applyFont="1" applyBorder="1" applyAlignment="1">
      <alignment vertical="center"/>
    </xf>
    <xf numFmtId="0" fontId="20" fillId="0" borderId="1" xfId="0" applyFont="1" applyBorder="1" applyAlignment="1">
      <alignment vertical="center"/>
    </xf>
    <xf numFmtId="9" fontId="20" fillId="0" borderId="1" xfId="0" applyNumberFormat="1" applyFont="1" applyBorder="1" applyAlignment="1">
      <alignment horizontal="center" vertical="center"/>
    </xf>
    <xf numFmtId="0" fontId="22" fillId="0" borderId="1" xfId="0" applyFont="1" applyBorder="1" applyAlignment="1">
      <alignment horizontal="center" vertical="center"/>
    </xf>
    <xf numFmtId="0" fontId="31" fillId="0" borderId="1" xfId="0" applyFont="1" applyBorder="1" applyAlignment="1">
      <alignment vertical="center"/>
    </xf>
    <xf numFmtId="0" fontId="20" fillId="0" borderId="1" xfId="0" applyFont="1" applyBorder="1" applyAlignment="1">
      <alignment horizontal="center" vertical="center"/>
    </xf>
    <xf numFmtId="1" fontId="22" fillId="0" borderId="1" xfId="0" applyNumberFormat="1" applyFont="1" applyBorder="1" applyAlignment="1">
      <alignment horizontal="center" vertical="center"/>
    </xf>
    <xf numFmtId="1" fontId="27" fillId="0" borderId="1" xfId="0" applyNumberFormat="1" applyFont="1" applyBorder="1" applyAlignment="1">
      <alignment vertical="center"/>
    </xf>
    <xf numFmtId="1" fontId="27" fillId="0" borderId="1" xfId="0" applyNumberFormat="1" applyFont="1" applyBorder="1" applyAlignment="1">
      <alignment horizontal="center" vertical="center"/>
    </xf>
    <xf numFmtId="0" fontId="27" fillId="0" borderId="1" xfId="0" applyFont="1" applyBorder="1" applyAlignment="1">
      <alignment vertical="center"/>
    </xf>
    <xf numFmtId="0" fontId="15" fillId="3" borderId="1" xfId="0" applyFont="1" applyFill="1" applyBorder="1" applyAlignment="1">
      <alignment vertical="center"/>
    </xf>
    <xf numFmtId="0" fontId="20" fillId="3" borderId="1" xfId="0" applyFont="1" applyFill="1" applyBorder="1" applyAlignment="1">
      <alignment vertical="center"/>
    </xf>
    <xf numFmtId="0" fontId="20" fillId="3" borderId="1" xfId="0" applyFont="1" applyFill="1" applyBorder="1" applyAlignment="1">
      <alignment horizontal="center" vertical="center"/>
    </xf>
    <xf numFmtId="0" fontId="22" fillId="3" borderId="1" xfId="0" applyFont="1" applyFill="1" applyBorder="1" applyAlignment="1">
      <alignment horizontal="center" vertical="center"/>
    </xf>
    <xf numFmtId="0" fontId="14" fillId="0" borderId="1" xfId="23" applyFont="1" applyBorder="1" applyAlignment="1">
      <alignment vertical="center"/>
    </xf>
    <xf numFmtId="0" fontId="33" fillId="0" borderId="1" xfId="23" applyFont="1" applyBorder="1" applyAlignment="1">
      <alignment horizontal="left" indent="1"/>
    </xf>
    <xf numFmtId="0" fontId="14" fillId="0" borderId="1" xfId="23" quotePrefix="1" applyFont="1" applyBorder="1" applyAlignment="1">
      <alignment horizontal="center" vertical="center"/>
    </xf>
    <xf numFmtId="0" fontId="7" fillId="0" borderId="1" xfId="23" applyFont="1" applyBorder="1" applyAlignment="1">
      <alignment horizontal="left"/>
    </xf>
    <xf numFmtId="0" fontId="33" fillId="0" borderId="1" xfId="23" applyFont="1" applyBorder="1" applyAlignment="1">
      <alignment horizontal="left"/>
    </xf>
    <xf numFmtId="0" fontId="14" fillId="0" borderId="0" xfId="23" applyFont="1" applyAlignment="1">
      <alignment vertical="center"/>
    </xf>
    <xf numFmtId="0" fontId="35" fillId="0" borderId="0" xfId="5" applyFont="1" applyAlignment="1">
      <alignment horizontal="center" vertical="center"/>
    </xf>
    <xf numFmtId="166" fontId="36" fillId="0" borderId="0" xfId="5" applyNumberFormat="1" applyFont="1" applyAlignment="1">
      <alignment horizontal="center" vertical="center"/>
    </xf>
    <xf numFmtId="49" fontId="13" fillId="0" borderId="1" xfId="10" applyNumberFormat="1" applyFont="1" applyBorder="1" applyAlignment="1">
      <alignment horizontal="center" vertical="center" wrapText="1"/>
    </xf>
    <xf numFmtId="1" fontId="13" fillId="0" borderId="1" xfId="10" applyNumberFormat="1" applyFont="1" applyBorder="1" applyAlignment="1">
      <alignment horizontal="center" vertical="center" wrapText="1"/>
    </xf>
    <xf numFmtId="1" fontId="13" fillId="0" borderId="1" xfId="5" applyNumberFormat="1" applyFont="1" applyBorder="1" applyAlignment="1">
      <alignment horizontal="center" vertical="center"/>
    </xf>
    <xf numFmtId="0" fontId="6" fillId="0" borderId="0" xfId="24" applyFont="1" applyAlignment="1">
      <alignment horizontal="center" vertical="center"/>
    </xf>
    <xf numFmtId="0" fontId="70" fillId="0" borderId="0" xfId="0" applyFont="1"/>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vertical="center" wrapText="1"/>
    </xf>
    <xf numFmtId="0" fontId="33" fillId="0" borderId="0" xfId="0" applyFont="1" applyAlignment="1">
      <alignment vertical="center"/>
    </xf>
    <xf numFmtId="9" fontId="7" fillId="0" borderId="0" xfId="1" applyFont="1" applyBorder="1" applyAlignment="1">
      <alignment vertical="center"/>
    </xf>
    <xf numFmtId="0" fontId="73" fillId="0" borderId="0" xfId="0" applyFont="1" applyAlignment="1">
      <alignment horizontal="right" vertical="center"/>
    </xf>
    <xf numFmtId="168" fontId="7" fillId="0" borderId="0" xfId="0" applyNumberFormat="1" applyFont="1" applyAlignment="1">
      <alignment horizontal="center" vertical="center"/>
    </xf>
    <xf numFmtId="168" fontId="7" fillId="0" borderId="0" xfId="0" applyNumberFormat="1" applyFont="1" applyAlignment="1">
      <alignment vertical="center"/>
    </xf>
    <xf numFmtId="171" fontId="7" fillId="0" borderId="0" xfId="29" applyNumberFormat="1" applyFont="1" applyFill="1" applyBorder="1" applyAlignment="1">
      <alignment horizontal="center" vertical="center"/>
    </xf>
    <xf numFmtId="0" fontId="7" fillId="0" borderId="0" xfId="11" applyFont="1" applyAlignment="1">
      <alignment vertical="center"/>
    </xf>
    <xf numFmtId="1" fontId="7" fillId="0" borderId="0" xfId="11" applyNumberFormat="1" applyFont="1" applyAlignment="1">
      <alignment vertical="center"/>
    </xf>
    <xf numFmtId="168" fontId="7" fillId="0" borderId="0" xfId="1" applyNumberFormat="1" applyFont="1" applyBorder="1" applyAlignment="1">
      <alignment horizontal="center" vertical="center"/>
    </xf>
    <xf numFmtId="171" fontId="7" fillId="0" borderId="0" xfId="29" applyNumberFormat="1" applyFont="1" applyFill="1" applyBorder="1" applyAlignment="1">
      <alignment vertical="center"/>
    </xf>
    <xf numFmtId="0" fontId="5" fillId="0" borderId="1" xfId="0" applyFont="1" applyBorder="1" applyAlignment="1">
      <alignment vertical="center"/>
    </xf>
    <xf numFmtId="1" fontId="6" fillId="0" borderId="0" xfId="19" applyNumberFormat="1" applyFont="1"/>
    <xf numFmtId="0" fontId="20" fillId="0" borderId="0" xfId="0" applyFont="1" applyAlignment="1">
      <alignment vertical="center"/>
    </xf>
    <xf numFmtId="0" fontId="20" fillId="0" borderId="0" xfId="0" applyFont="1" applyAlignment="1">
      <alignment horizontal="center" vertical="center"/>
    </xf>
    <xf numFmtId="0" fontId="20" fillId="0" borderId="15" xfId="0" applyFont="1" applyBorder="1" applyAlignment="1">
      <alignment vertical="center"/>
    </xf>
    <xf numFmtId="0" fontId="20" fillId="0" borderId="15" xfId="0" applyFont="1" applyBorder="1" applyAlignment="1">
      <alignment horizontal="center" vertical="center"/>
    </xf>
    <xf numFmtId="1" fontId="27" fillId="0" borderId="15" xfId="0" applyNumberFormat="1" applyFont="1" applyBorder="1" applyAlignment="1">
      <alignment horizontal="center" vertical="center"/>
    </xf>
    <xf numFmtId="0" fontId="27" fillId="0" borderId="15" xfId="0" applyFont="1" applyBorder="1" applyAlignment="1">
      <alignment vertical="center"/>
    </xf>
    <xf numFmtId="1" fontId="13" fillId="0" borderId="15" xfId="10" applyNumberFormat="1" applyFont="1" applyBorder="1" applyAlignment="1">
      <alignment horizontal="center" vertical="center" wrapText="1"/>
    </xf>
    <xf numFmtId="1" fontId="13" fillId="0" borderId="15" xfId="5" applyNumberFormat="1" applyFont="1" applyBorder="1" applyAlignment="1">
      <alignment horizontal="center" vertical="center"/>
    </xf>
    <xf numFmtId="0" fontId="13" fillId="21" borderId="15" xfId="5" applyFont="1" applyFill="1" applyBorder="1" applyAlignment="1">
      <alignment horizontal="center" vertical="center"/>
    </xf>
    <xf numFmtId="0" fontId="6" fillId="0" borderId="15" xfId="0" applyFont="1" applyBorder="1" applyAlignment="1">
      <alignment horizontal="left" vertical="center"/>
    </xf>
    <xf numFmtId="0" fontId="35" fillId="0" borderId="15" xfId="5" applyFont="1" applyBorder="1" applyAlignment="1">
      <alignment horizontal="center" vertical="center"/>
    </xf>
    <xf numFmtId="166" fontId="36" fillId="0" borderId="15" xfId="5" applyNumberFormat="1" applyFont="1" applyBorder="1" applyAlignment="1">
      <alignment horizontal="center" vertical="center"/>
    </xf>
    <xf numFmtId="1" fontId="6" fillId="0" borderId="15" xfId="19" applyNumberFormat="1" applyFont="1" applyBorder="1"/>
    <xf numFmtId="1" fontId="17" fillId="0" borderId="15" xfId="5" applyNumberFormat="1" applyFont="1" applyBorder="1" applyAlignment="1">
      <alignment horizontal="center" vertical="center"/>
    </xf>
    <xf numFmtId="0" fontId="13" fillId="0" borderId="15" xfId="5" applyFont="1" applyBorder="1" applyAlignment="1">
      <alignment horizontal="center" vertical="center"/>
    </xf>
    <xf numFmtId="166" fontId="22" fillId="0" borderId="15" xfId="0" applyNumberFormat="1" applyFont="1" applyBorder="1" applyAlignment="1">
      <alignment horizontal="center" vertical="center"/>
    </xf>
    <xf numFmtId="1" fontId="27" fillId="21" borderId="15" xfId="0" applyNumberFormat="1" applyFont="1" applyFill="1" applyBorder="1" applyAlignment="1">
      <alignment horizontal="center" vertical="center"/>
    </xf>
    <xf numFmtId="1" fontId="13" fillId="0" borderId="15" xfId="5" applyNumberFormat="1" applyFont="1" applyBorder="1" applyAlignment="1">
      <alignment vertical="center"/>
    </xf>
    <xf numFmtId="1" fontId="6" fillId="21" borderId="15" xfId="19" applyNumberFormat="1" applyFont="1" applyFill="1" applyBorder="1"/>
    <xf numFmtId="0" fontId="24" fillId="0" borderId="15" xfId="5" applyFont="1" applyBorder="1" applyAlignment="1">
      <alignment vertical="center"/>
    </xf>
    <xf numFmtId="0" fontId="17" fillId="0" borderId="15" xfId="5" applyFont="1" applyBorder="1" applyAlignment="1">
      <alignment vertical="center"/>
    </xf>
    <xf numFmtId="1" fontId="17" fillId="21" borderId="15" xfId="5" applyNumberFormat="1" applyFont="1" applyFill="1" applyBorder="1" applyAlignment="1">
      <alignment horizontal="center" vertical="center"/>
    </xf>
    <xf numFmtId="0" fontId="20" fillId="0" borderId="15" xfId="5" applyFont="1" applyBorder="1" applyAlignment="1">
      <alignment horizontal="left" vertical="center"/>
    </xf>
    <xf numFmtId="0" fontId="17" fillId="21" borderId="15" xfId="5" applyFont="1" applyFill="1" applyBorder="1" applyAlignment="1">
      <alignment vertical="center"/>
    </xf>
    <xf numFmtId="49" fontId="13" fillId="0" borderId="15" xfId="6" applyBorder="1">
      <alignment horizontal="left" vertical="center"/>
    </xf>
    <xf numFmtId="0" fontId="28" fillId="0" borderId="15" xfId="5" applyFont="1" applyBorder="1" applyAlignment="1">
      <alignment vertical="center"/>
    </xf>
    <xf numFmtId="1" fontId="25" fillId="0" borderId="15" xfId="5" applyNumberFormat="1" applyFont="1" applyBorder="1" applyAlignment="1">
      <alignment horizontal="center" vertical="center"/>
    </xf>
    <xf numFmtId="1" fontId="25" fillId="21" borderId="15" xfId="5" applyNumberFormat="1" applyFont="1" applyFill="1" applyBorder="1" applyAlignment="1">
      <alignment horizontal="center" vertical="center"/>
    </xf>
    <xf numFmtId="0" fontId="25" fillId="0" borderId="15" xfId="5" applyFont="1" applyBorder="1" applyAlignment="1">
      <alignment vertical="center"/>
    </xf>
    <xf numFmtId="49" fontId="20" fillId="0" borderId="15" xfId="6" applyFont="1" applyBorder="1" applyAlignment="1">
      <alignment horizontal="center" vertical="center"/>
    </xf>
    <xf numFmtId="1" fontId="17" fillId="0" borderId="15" xfId="6" applyNumberFormat="1" applyFont="1" applyBorder="1" applyAlignment="1">
      <alignment horizontal="center" vertical="center"/>
    </xf>
    <xf numFmtId="1" fontId="17" fillId="21" borderId="15" xfId="6" applyNumberFormat="1" applyFont="1" applyFill="1" applyBorder="1" applyAlignment="1">
      <alignment horizontal="center" vertical="center"/>
    </xf>
    <xf numFmtId="49" fontId="17" fillId="0" borderId="15" xfId="6" applyFont="1" applyBorder="1">
      <alignment horizontal="left" vertical="center"/>
    </xf>
    <xf numFmtId="1" fontId="13" fillId="0" borderId="15" xfId="6" applyNumberFormat="1" applyBorder="1" applyAlignment="1">
      <alignment horizontal="center" vertical="center"/>
    </xf>
    <xf numFmtId="1" fontId="13" fillId="21" borderId="15" xfId="6" applyNumberFormat="1" applyFill="1" applyBorder="1" applyAlignment="1">
      <alignment horizontal="center" vertical="center"/>
    </xf>
    <xf numFmtId="49" fontId="25" fillId="0" borderId="15" xfId="5" applyNumberFormat="1" applyFont="1" applyBorder="1" applyAlignment="1">
      <alignment horizontal="center" vertical="center"/>
    </xf>
    <xf numFmtId="49" fontId="25" fillId="0" borderId="15" xfId="5" applyNumberFormat="1" applyFont="1" applyBorder="1" applyAlignment="1">
      <alignment horizontal="left" vertical="center"/>
    </xf>
    <xf numFmtId="0" fontId="19" fillId="0" borderId="15" xfId="5" applyFont="1" applyBorder="1" applyAlignment="1">
      <alignment vertical="center"/>
    </xf>
    <xf numFmtId="166" fontId="22" fillId="0" borderId="15" xfId="6" applyNumberFormat="1" applyFont="1" applyBorder="1" applyAlignment="1">
      <alignment horizontal="center" vertical="center"/>
    </xf>
    <xf numFmtId="0" fontId="70" fillId="0" borderId="15" xfId="0" applyFont="1" applyBorder="1"/>
    <xf numFmtId="0" fontId="70" fillId="0" borderId="15" xfId="0" applyFont="1" applyBorder="1" applyAlignment="1">
      <alignment horizontal="center"/>
    </xf>
    <xf numFmtId="2" fontId="70" fillId="0" borderId="15" xfId="0" applyNumberFormat="1" applyFont="1" applyBorder="1"/>
    <xf numFmtId="0" fontId="70" fillId="0" borderId="15" xfId="0" applyFont="1" applyBorder="1" applyAlignment="1">
      <alignment wrapText="1"/>
    </xf>
    <xf numFmtId="0" fontId="71" fillId="0" borderId="15" xfId="0" applyFont="1" applyBorder="1"/>
    <xf numFmtId="0" fontId="71" fillId="0" borderId="0" xfId="0" applyFont="1"/>
    <xf numFmtId="0" fontId="9" fillId="0" borderId="0" xfId="0" applyFont="1" applyAlignment="1">
      <alignment horizontal="center" vertical="center"/>
    </xf>
    <xf numFmtId="165" fontId="70" fillId="0" borderId="0" xfId="1" applyNumberFormat="1" applyFont="1" applyAlignment="1">
      <alignment horizontal="center"/>
    </xf>
    <xf numFmtId="0" fontId="13" fillId="0" borderId="0" xfId="0" applyFont="1" applyAlignment="1">
      <alignment vertical="center"/>
    </xf>
    <xf numFmtId="1" fontId="22" fillId="0" borderId="0" xfId="0" applyNumberFormat="1" applyFont="1" applyAlignment="1">
      <alignment horizontal="center" vertical="center"/>
    </xf>
    <xf numFmtId="0" fontId="20" fillId="0" borderId="0" xfId="0" applyFont="1" applyAlignment="1">
      <alignment horizontal="left" vertical="center"/>
    </xf>
    <xf numFmtId="0" fontId="31" fillId="0" borderId="0" xfId="0" applyFont="1" applyAlignment="1">
      <alignment vertical="center"/>
    </xf>
    <xf numFmtId="1" fontId="27" fillId="0" borderId="0" xfId="0" applyNumberFormat="1" applyFont="1" applyAlignment="1">
      <alignment horizontal="center" vertical="center"/>
    </xf>
    <xf numFmtId="1" fontId="13" fillId="0" borderId="0" xfId="5" applyNumberFormat="1" applyFont="1" applyAlignment="1">
      <alignment horizontal="center" vertical="center"/>
    </xf>
    <xf numFmtId="1" fontId="13" fillId="0" borderId="0" xfId="10" applyNumberFormat="1" applyFont="1" applyAlignment="1">
      <alignment horizontal="center" vertical="center" wrapText="1"/>
    </xf>
    <xf numFmtId="1" fontId="13" fillId="0" borderId="0" xfId="24" applyNumberFormat="1" applyFont="1" applyAlignment="1">
      <alignment horizontal="center" vertical="center"/>
    </xf>
    <xf numFmtId="0" fontId="5" fillId="0" borderId="0" xfId="24" applyFont="1" applyAlignment="1">
      <alignment horizontal="center" vertical="center"/>
    </xf>
    <xf numFmtId="0" fontId="5" fillId="0" borderId="0" xfId="24" applyFont="1" applyAlignment="1">
      <alignment horizontal="left" vertical="center"/>
    </xf>
    <xf numFmtId="1" fontId="14" fillId="0" borderId="0" xfId="5" applyNumberFormat="1" applyFont="1" applyAlignment="1">
      <alignment horizontal="center"/>
    </xf>
    <xf numFmtId="0" fontId="6" fillId="0" borderId="0" xfId="0" applyFont="1" applyAlignment="1">
      <alignment vertical="center"/>
    </xf>
    <xf numFmtId="0" fontId="14" fillId="0" borderId="0" xfId="23" applyFont="1" applyAlignment="1">
      <alignment horizontal="center" vertical="center"/>
    </xf>
    <xf numFmtId="0" fontId="5" fillId="0" borderId="0" xfId="23" applyFont="1" applyAlignment="1">
      <alignment horizontal="left"/>
    </xf>
    <xf numFmtId="0" fontId="20" fillId="0" borderId="0" xfId="23" applyFont="1" applyAlignment="1">
      <alignment horizontal="left"/>
    </xf>
    <xf numFmtId="0" fontId="33" fillId="0" borderId="0" xfId="23" applyFont="1" applyAlignment="1">
      <alignment horizontal="left" indent="1"/>
    </xf>
    <xf numFmtId="0" fontId="20" fillId="0" borderId="0" xfId="5" applyFont="1" applyAlignment="1">
      <alignment horizontal="center" vertical="center"/>
    </xf>
    <xf numFmtId="0" fontId="14" fillId="0" borderId="0" xfId="23" quotePrefix="1" applyFont="1" applyAlignment="1">
      <alignment horizontal="center" vertical="center"/>
    </xf>
    <xf numFmtId="1" fontId="14" fillId="0" borderId="0" xfId="23" applyNumberFormat="1" applyFont="1" applyAlignment="1">
      <alignment horizontal="center"/>
    </xf>
    <xf numFmtId="1" fontId="17" fillId="0" borderId="0" xfId="5" applyNumberFormat="1" applyFont="1" applyAlignment="1">
      <alignment horizontal="center" vertical="center"/>
    </xf>
    <xf numFmtId="1" fontId="14" fillId="0" borderId="0" xfId="2242" applyNumberFormat="1" applyFont="1" applyAlignment="1">
      <alignment horizontal="center"/>
    </xf>
    <xf numFmtId="0" fontId="20" fillId="0" borderId="0" xfId="23" applyFont="1" applyAlignment="1">
      <alignment horizontal="left" wrapText="1"/>
    </xf>
    <xf numFmtId="0" fontId="5" fillId="0" borderId="0" xfId="5" applyFont="1" applyAlignment="1">
      <alignment horizontal="center" vertical="center"/>
    </xf>
    <xf numFmtId="1" fontId="72" fillId="0" borderId="0" xfId="5" applyNumberFormat="1" applyFont="1" applyAlignment="1">
      <alignment horizontal="center" vertical="center"/>
    </xf>
    <xf numFmtId="0" fontId="7" fillId="0" borderId="0" xfId="24" applyFont="1" applyAlignment="1">
      <alignment horizontal="left" vertical="center"/>
    </xf>
    <xf numFmtId="0" fontId="6" fillId="0" borderId="0" xfId="24" applyFont="1" applyAlignment="1">
      <alignment horizontal="left" vertical="center"/>
    </xf>
    <xf numFmtId="0" fontId="7" fillId="0" borderId="0" xfId="23" applyFont="1" applyAlignment="1">
      <alignment horizontal="left"/>
    </xf>
    <xf numFmtId="0" fontId="7" fillId="0" borderId="16" xfId="0" applyFont="1" applyBorder="1" applyAlignment="1">
      <alignment vertical="center"/>
    </xf>
    <xf numFmtId="0" fontId="73" fillId="0" borderId="16" xfId="0" applyFont="1" applyBorder="1" applyAlignment="1">
      <alignment horizontal="right" vertical="center"/>
    </xf>
    <xf numFmtId="0" fontId="7" fillId="0" borderId="16" xfId="0" applyFont="1" applyBorder="1" applyAlignment="1">
      <alignment vertical="center" wrapText="1"/>
    </xf>
    <xf numFmtId="168" fontId="7" fillId="0" borderId="16" xfId="0" applyNumberFormat="1" applyFont="1" applyBorder="1" applyAlignment="1">
      <alignment horizontal="center" vertical="center"/>
    </xf>
    <xf numFmtId="168" fontId="7" fillId="0" borderId="16" xfId="0" applyNumberFormat="1" applyFont="1" applyBorder="1" applyAlignment="1">
      <alignment vertical="center"/>
    </xf>
    <xf numFmtId="171" fontId="7" fillId="0" borderId="16" xfId="29" applyNumberFormat="1" applyFont="1" applyFill="1" applyBorder="1" applyAlignment="1">
      <alignment horizontal="center" vertical="center"/>
    </xf>
    <xf numFmtId="0" fontId="7" fillId="0" borderId="16" xfId="11" applyFont="1" applyBorder="1" applyAlignment="1">
      <alignment vertical="center"/>
    </xf>
    <xf numFmtId="1" fontId="7" fillId="0" borderId="16" xfId="11" applyNumberFormat="1" applyFont="1" applyBorder="1" applyAlignment="1">
      <alignment vertical="center"/>
    </xf>
    <xf numFmtId="168" fontId="7" fillId="0" borderId="16" xfId="1" applyNumberFormat="1" applyFont="1" applyBorder="1" applyAlignment="1">
      <alignment horizontal="center" vertical="center"/>
    </xf>
    <xf numFmtId="0" fontId="9" fillId="0" borderId="16" xfId="0" applyFont="1" applyBorder="1" applyAlignment="1">
      <alignment horizontal="center" vertical="center"/>
    </xf>
    <xf numFmtId="0" fontId="79" fillId="0" borderId="16" xfId="0" applyFont="1" applyBorder="1" applyAlignment="1">
      <alignment horizontal="center" vertical="center"/>
    </xf>
    <xf numFmtId="0" fontId="9" fillId="0" borderId="16" xfId="0" applyFont="1" applyBorder="1" applyAlignment="1">
      <alignment horizontal="center" vertical="center" wrapText="1"/>
    </xf>
    <xf numFmtId="171" fontId="86" fillId="0" borderId="16" xfId="11" applyNumberFormat="1" applyFont="1" applyBorder="1" applyAlignment="1">
      <alignment horizontal="center" vertical="center" wrapText="1"/>
    </xf>
    <xf numFmtId="0" fontId="86" fillId="0" borderId="16" xfId="11" applyFont="1" applyBorder="1" applyAlignment="1">
      <alignment horizontal="center" vertical="center" wrapText="1"/>
    </xf>
    <xf numFmtId="0" fontId="86" fillId="0" borderId="16" xfId="0" applyFont="1" applyBorder="1" applyAlignment="1">
      <alignment horizontal="center" vertical="center"/>
    </xf>
    <xf numFmtId="0" fontId="7" fillId="0" borderId="16" xfId="0" applyFont="1" applyBorder="1" applyAlignment="1">
      <alignment horizontal="center" vertical="center"/>
    </xf>
    <xf numFmtId="0" fontId="75" fillId="0" borderId="16" xfId="0" applyFont="1" applyBorder="1" applyAlignment="1">
      <alignment horizontal="center" vertical="center"/>
    </xf>
    <xf numFmtId="168" fontId="15" fillId="3" borderId="16" xfId="0" applyNumberFormat="1" applyFont="1" applyFill="1" applyBorder="1" applyAlignment="1">
      <alignment horizontal="center" vertical="center"/>
    </xf>
    <xf numFmtId="168" fontId="75" fillId="0" borderId="16" xfId="0" applyNumberFormat="1" applyFont="1" applyBorder="1" applyAlignment="1">
      <alignment horizontal="center" vertical="center"/>
    </xf>
    <xf numFmtId="171" fontId="89" fillId="0" borderId="16" xfId="29" applyNumberFormat="1" applyFont="1" applyBorder="1" applyAlignment="1">
      <alignment horizontal="center" vertical="center" wrapText="1"/>
    </xf>
    <xf numFmtId="1" fontId="80" fillId="0" borderId="16" xfId="11" applyNumberFormat="1" applyFont="1" applyBorder="1" applyAlignment="1">
      <alignment horizontal="center" vertical="center" wrapText="1"/>
    </xf>
    <xf numFmtId="168" fontId="81" fillId="0" borderId="16" xfId="0" applyNumberFormat="1" applyFont="1" applyBorder="1" applyAlignment="1">
      <alignment horizontal="center" vertical="center"/>
    </xf>
    <xf numFmtId="0" fontId="75" fillId="0" borderId="16" xfId="0" applyFont="1" applyBorder="1" applyAlignment="1">
      <alignment vertical="center" wrapText="1"/>
    </xf>
    <xf numFmtId="0" fontId="75" fillId="0" borderId="16" xfId="0" applyFont="1" applyBorder="1" applyAlignment="1">
      <alignment vertical="center"/>
    </xf>
    <xf numFmtId="168" fontId="75" fillId="0" borderId="16" xfId="0" applyNumberFormat="1" applyFont="1" applyBorder="1" applyAlignment="1">
      <alignment vertical="center"/>
    </xf>
    <xf numFmtId="171" fontId="9" fillId="0" borderId="16" xfId="29" applyNumberFormat="1" applyFont="1" applyFill="1" applyBorder="1" applyAlignment="1">
      <alignment horizontal="center" vertical="center"/>
    </xf>
    <xf numFmtId="171" fontId="9" fillId="0" borderId="16" xfId="11" applyNumberFormat="1" applyFont="1" applyBorder="1" applyAlignment="1">
      <alignment horizontal="center" vertical="center"/>
    </xf>
    <xf numFmtId="171" fontId="73" fillId="0" borderId="16" xfId="11" applyNumberFormat="1" applyFont="1" applyBorder="1" applyAlignment="1">
      <alignment horizontal="center" vertical="center"/>
    </xf>
    <xf numFmtId="1" fontId="7" fillId="0" borderId="16" xfId="11" applyNumberFormat="1" applyFont="1" applyBorder="1" applyAlignment="1">
      <alignment vertical="center" wrapText="1"/>
    </xf>
    <xf numFmtId="0" fontId="73" fillId="3" borderId="16" xfId="0" applyFont="1" applyFill="1" applyBorder="1" applyAlignment="1">
      <alignment horizontal="right" vertical="center"/>
    </xf>
    <xf numFmtId="0" fontId="75" fillId="3" borderId="16" xfId="0" applyFont="1" applyFill="1" applyBorder="1" applyAlignment="1">
      <alignment vertical="center" wrapText="1"/>
    </xf>
    <xf numFmtId="0" fontId="75" fillId="3" borderId="16" xfId="0" applyFont="1" applyFill="1" applyBorder="1" applyAlignment="1">
      <alignment vertical="center"/>
    </xf>
    <xf numFmtId="168" fontId="7" fillId="3" borderId="16" xfId="0" applyNumberFormat="1" applyFont="1" applyFill="1" applyBorder="1" applyAlignment="1">
      <alignment horizontal="center" vertical="center"/>
    </xf>
    <xf numFmtId="171" fontId="14" fillId="3" borderId="16" xfId="29" applyNumberFormat="1" applyFont="1" applyFill="1" applyBorder="1" applyAlignment="1">
      <alignment horizontal="center" vertical="center"/>
    </xf>
    <xf numFmtId="171" fontId="14" fillId="3" borderId="16" xfId="0" applyNumberFormat="1" applyFont="1" applyFill="1" applyBorder="1" applyAlignment="1">
      <alignment horizontal="center" vertical="center"/>
    </xf>
    <xf numFmtId="171" fontId="7" fillId="3" borderId="16" xfId="0" applyNumberFormat="1" applyFont="1" applyFill="1" applyBorder="1" applyAlignment="1">
      <alignment horizontal="center" vertical="center"/>
    </xf>
    <xf numFmtId="168" fontId="75" fillId="3" borderId="16" xfId="0" applyNumberFormat="1" applyFont="1" applyFill="1" applyBorder="1" applyAlignment="1">
      <alignment vertical="center"/>
    </xf>
    <xf numFmtId="168" fontId="14" fillId="0" borderId="16" xfId="0" applyNumberFormat="1" applyFont="1" applyBorder="1" applyAlignment="1">
      <alignment horizontal="center" vertical="center"/>
    </xf>
    <xf numFmtId="171" fontId="9" fillId="0" borderId="16" xfId="12" applyNumberFormat="1" applyFont="1" applyFill="1" applyBorder="1" applyAlignment="1">
      <alignment horizontal="center" vertical="center"/>
    </xf>
    <xf numFmtId="171" fontId="73" fillId="0" borderId="16" xfId="12" applyNumberFormat="1" applyFont="1" applyFill="1" applyBorder="1" applyAlignment="1">
      <alignment horizontal="center" vertical="center"/>
    </xf>
    <xf numFmtId="1" fontId="7" fillId="0" borderId="16" xfId="12" applyNumberFormat="1" applyFont="1" applyFill="1" applyBorder="1" applyAlignment="1">
      <alignment vertical="center"/>
    </xf>
    <xf numFmtId="168" fontId="86" fillId="0" borderId="16" xfId="0" applyNumberFormat="1" applyFont="1" applyBorder="1" applyAlignment="1">
      <alignment horizontal="center" vertical="center"/>
    </xf>
    <xf numFmtId="168" fontId="87" fillId="0" borderId="16" xfId="0" applyNumberFormat="1" applyFont="1" applyBorder="1" applyAlignment="1">
      <alignment vertical="center"/>
    </xf>
    <xf numFmtId="171" fontId="86" fillId="0" borderId="16" xfId="29" applyNumberFormat="1" applyFont="1" applyBorder="1" applyAlignment="1">
      <alignment horizontal="center" vertical="center"/>
    </xf>
    <xf numFmtId="1" fontId="86" fillId="0" borderId="16" xfId="12" applyNumberFormat="1" applyFont="1" applyFill="1" applyBorder="1" applyAlignment="1">
      <alignment vertical="center"/>
    </xf>
    <xf numFmtId="171" fontId="79" fillId="0" borderId="16" xfId="29" applyNumberFormat="1" applyFont="1" applyBorder="1" applyAlignment="1">
      <alignment horizontal="center" vertical="center"/>
    </xf>
    <xf numFmtId="168" fontId="83" fillId="0" borderId="16" xfId="0" applyNumberFormat="1" applyFont="1" applyBorder="1" applyAlignment="1">
      <alignment vertical="center"/>
    </xf>
    <xf numFmtId="1" fontId="14" fillId="0" borderId="16" xfId="12" applyNumberFormat="1" applyFont="1" applyFill="1" applyBorder="1" applyAlignment="1">
      <alignment vertical="center"/>
    </xf>
    <xf numFmtId="0" fontId="73" fillId="0" borderId="16" xfId="0" applyFont="1" applyBorder="1" applyAlignment="1">
      <alignment horizontal="center" vertical="center"/>
    </xf>
    <xf numFmtId="0" fontId="73" fillId="4" borderId="16" xfId="0" applyFont="1" applyFill="1" applyBorder="1" applyAlignment="1">
      <alignment horizontal="center" vertical="center"/>
    </xf>
    <xf numFmtId="0" fontId="6" fillId="4" borderId="16" xfId="0" applyFont="1" applyFill="1" applyBorder="1" applyAlignment="1">
      <alignment vertical="center"/>
    </xf>
    <xf numFmtId="0" fontId="7" fillId="4" borderId="16" xfId="0" applyFont="1" applyFill="1" applyBorder="1" applyAlignment="1">
      <alignment vertical="center"/>
    </xf>
    <xf numFmtId="168" fontId="9" fillId="4" borderId="16" xfId="0" applyNumberFormat="1" applyFont="1" applyFill="1" applyBorder="1" applyAlignment="1">
      <alignment horizontal="center" vertical="center"/>
    </xf>
    <xf numFmtId="171" fontId="9" fillId="4" borderId="16" xfId="2245" applyNumberFormat="1" applyFont="1" applyFill="1" applyBorder="1" applyAlignment="1">
      <alignment horizontal="center" vertical="center"/>
    </xf>
    <xf numFmtId="171" fontId="9" fillId="4" borderId="16" xfId="12" applyNumberFormat="1" applyFont="1" applyFill="1" applyBorder="1" applyAlignment="1">
      <alignment horizontal="center" vertical="center"/>
    </xf>
    <xf numFmtId="1" fontId="9" fillId="4" borderId="16" xfId="12" applyNumberFormat="1" applyFont="1" applyFill="1" applyBorder="1" applyAlignment="1">
      <alignment vertical="center"/>
    </xf>
    <xf numFmtId="0" fontId="7" fillId="0" borderId="16" xfId="0" applyFont="1" applyBorder="1" applyAlignment="1">
      <alignment horizontal="right" vertical="center"/>
    </xf>
    <xf numFmtId="0" fontId="5" fillId="0" borderId="16" xfId="0" applyFont="1" applyBorder="1" applyAlignment="1">
      <alignment vertical="center"/>
    </xf>
    <xf numFmtId="168" fontId="84" fillId="0" borderId="16" xfId="0" applyNumberFormat="1" applyFont="1" applyBorder="1" applyAlignment="1">
      <alignment horizontal="center" vertical="center"/>
    </xf>
    <xf numFmtId="168" fontId="84" fillId="0" borderId="16" xfId="0" applyNumberFormat="1" applyFont="1" applyBorder="1" applyAlignment="1">
      <alignment vertical="center"/>
    </xf>
    <xf numFmtId="171" fontId="14" fillId="0" borderId="16" xfId="29" applyNumberFormat="1" applyFont="1" applyFill="1" applyBorder="1" applyAlignment="1">
      <alignment horizontal="center" vertical="center"/>
    </xf>
    <xf numFmtId="171" fontId="14" fillId="0" borderId="16" xfId="12" applyNumberFormat="1" applyFont="1" applyBorder="1" applyAlignment="1">
      <alignment horizontal="center" vertical="center"/>
    </xf>
    <xf numFmtId="168" fontId="14" fillId="0" borderId="16" xfId="0" applyNumberFormat="1" applyFont="1" applyBorder="1" applyAlignment="1">
      <alignment vertical="center"/>
    </xf>
    <xf numFmtId="0" fontId="5" fillId="0" borderId="16" xfId="0" applyFont="1" applyBorder="1" applyAlignment="1">
      <alignment vertical="center" wrapText="1"/>
    </xf>
    <xf numFmtId="0" fontId="92" fillId="0" borderId="16" xfId="0" applyFont="1" applyBorder="1" applyAlignment="1">
      <alignment vertical="center"/>
    </xf>
    <xf numFmtId="0" fontId="76" fillId="0" borderId="16" xfId="0" applyFont="1" applyBorder="1" applyAlignment="1">
      <alignment vertical="center"/>
    </xf>
    <xf numFmtId="168" fontId="84" fillId="0" borderId="16" xfId="1" applyNumberFormat="1" applyFont="1" applyBorder="1" applyAlignment="1">
      <alignment horizontal="center" vertical="center"/>
    </xf>
    <xf numFmtId="168" fontId="88" fillId="0" borderId="16" xfId="0" applyNumberFormat="1" applyFont="1" applyBorder="1" applyAlignment="1">
      <alignment vertical="center"/>
    </xf>
    <xf numFmtId="168" fontId="91" fillId="0" borderId="16" xfId="0" applyNumberFormat="1" applyFont="1" applyBorder="1" applyAlignment="1">
      <alignment vertical="center"/>
    </xf>
    <xf numFmtId="171" fontId="14" fillId="0" borderId="16" xfId="12" applyNumberFormat="1" applyFont="1" applyFill="1" applyBorder="1" applyAlignment="1">
      <alignment horizontal="center" vertical="center"/>
    </xf>
    <xf numFmtId="1" fontId="14" fillId="0" borderId="16" xfId="13" applyNumberFormat="1" applyFont="1" applyFill="1" applyBorder="1" applyAlignment="1">
      <alignment vertical="center"/>
    </xf>
    <xf numFmtId="168" fontId="82" fillId="4" borderId="16" xfId="0" applyNumberFormat="1" applyFont="1" applyFill="1" applyBorder="1" applyAlignment="1">
      <alignment horizontal="center" vertical="center"/>
    </xf>
    <xf numFmtId="171" fontId="14" fillId="4" borderId="16" xfId="12" applyNumberFormat="1" applyFont="1" applyFill="1" applyBorder="1" applyAlignment="1">
      <alignment horizontal="center" vertical="center"/>
    </xf>
    <xf numFmtId="1" fontId="14" fillId="4" borderId="16" xfId="12" applyNumberFormat="1" applyFont="1" applyFill="1" applyBorder="1" applyAlignment="1">
      <alignment vertical="center"/>
    </xf>
    <xf numFmtId="168" fontId="14" fillId="4" borderId="16" xfId="0" applyNumberFormat="1" applyFont="1" applyFill="1" applyBorder="1" applyAlignment="1">
      <alignment horizontal="center" vertical="center"/>
    </xf>
    <xf numFmtId="171" fontId="9" fillId="0" borderId="16" xfId="12" applyNumberFormat="1" applyFont="1" applyBorder="1" applyAlignment="1">
      <alignment horizontal="center" vertical="center"/>
    </xf>
    <xf numFmtId="0" fontId="9" fillId="4" borderId="16" xfId="0" applyFont="1" applyFill="1" applyBorder="1" applyAlignment="1">
      <alignment horizontal="center" vertical="center"/>
    </xf>
    <xf numFmtId="0" fontId="97" fillId="4" borderId="16" xfId="0" applyFont="1" applyFill="1" applyBorder="1" applyAlignment="1">
      <alignment vertical="center"/>
    </xf>
    <xf numFmtId="171" fontId="9" fillId="4" borderId="16" xfId="29" applyNumberFormat="1" applyFont="1" applyFill="1" applyBorder="1" applyAlignment="1">
      <alignment horizontal="center" vertical="center"/>
    </xf>
    <xf numFmtId="171" fontId="9" fillId="4" borderId="16" xfId="12" applyNumberFormat="1" applyFont="1" applyFill="1" applyBorder="1" applyAlignment="1">
      <alignment vertical="center"/>
    </xf>
    <xf numFmtId="1" fontId="7" fillId="0" borderId="16" xfId="0" applyNumberFormat="1" applyFont="1" applyBorder="1" applyAlignment="1">
      <alignment horizontal="right" vertical="center"/>
    </xf>
    <xf numFmtId="1" fontId="14" fillId="0" borderId="16" xfId="0" applyNumberFormat="1" applyFont="1" applyBorder="1" applyAlignment="1">
      <alignment horizontal="right" vertical="center"/>
    </xf>
    <xf numFmtId="0" fontId="97" fillId="0" borderId="16" xfId="0" applyFont="1" applyBorder="1" applyAlignment="1">
      <alignment vertical="center"/>
    </xf>
    <xf numFmtId="171" fontId="22" fillId="0" borderId="16" xfId="12" applyNumberFormat="1" applyFont="1" applyBorder="1" applyAlignment="1">
      <alignment horizontal="center" vertical="center"/>
    </xf>
    <xf numFmtId="1" fontId="14" fillId="0" borderId="16" xfId="11" applyNumberFormat="1" applyFont="1" applyBorder="1" applyAlignment="1">
      <alignment vertical="center"/>
    </xf>
    <xf numFmtId="0" fontId="33" fillId="0" borderId="16" xfId="0" applyFont="1" applyBorder="1" applyAlignment="1">
      <alignment vertical="center"/>
    </xf>
    <xf numFmtId="1" fontId="22" fillId="0" borderId="16" xfId="0" applyNumberFormat="1" applyFont="1" applyBorder="1" applyAlignment="1">
      <alignment horizontal="right" vertical="center"/>
    </xf>
    <xf numFmtId="0" fontId="99" fillId="0" borderId="16" xfId="0" applyFont="1" applyBorder="1" applyAlignment="1">
      <alignment vertical="center"/>
    </xf>
    <xf numFmtId="168" fontId="85" fillId="0" borderId="16" xfId="0" applyNumberFormat="1" applyFont="1" applyBorder="1" applyAlignment="1">
      <alignment horizontal="center" vertical="center"/>
    </xf>
    <xf numFmtId="168" fontId="85" fillId="0" borderId="16" xfId="0" applyNumberFormat="1" applyFont="1" applyBorder="1" applyAlignment="1">
      <alignment vertical="center"/>
    </xf>
    <xf numFmtId="171" fontId="22" fillId="0" borderId="16" xfId="29" applyNumberFormat="1" applyFont="1" applyFill="1" applyBorder="1" applyAlignment="1">
      <alignment horizontal="center" vertical="center"/>
    </xf>
    <xf numFmtId="171" fontId="22" fillId="0" borderId="16" xfId="12" applyNumberFormat="1" applyFont="1" applyFill="1" applyBorder="1" applyAlignment="1">
      <alignment horizontal="center" vertical="center"/>
    </xf>
    <xf numFmtId="1" fontId="22" fillId="0" borderId="16" xfId="12" applyNumberFormat="1" applyFont="1" applyFill="1" applyBorder="1" applyAlignment="1">
      <alignment vertical="center"/>
    </xf>
    <xf numFmtId="168" fontId="22" fillId="0" borderId="16" xfId="0" applyNumberFormat="1" applyFont="1" applyBorder="1" applyAlignment="1">
      <alignment vertical="center"/>
    </xf>
    <xf numFmtId="2" fontId="73" fillId="0" borderId="16" xfId="0" applyNumberFormat="1" applyFont="1" applyBorder="1" applyAlignment="1">
      <alignment horizontal="right" vertical="center"/>
    </xf>
    <xf numFmtId="2" fontId="9" fillId="0" borderId="16" xfId="0" applyNumberFormat="1" applyFont="1" applyBorder="1" applyAlignment="1">
      <alignment horizontal="right" vertical="center"/>
    </xf>
    <xf numFmtId="168" fontId="9" fillId="0" borderId="16" xfId="0" applyNumberFormat="1" applyFont="1" applyBorder="1" applyAlignment="1">
      <alignment horizontal="center" vertical="center"/>
    </xf>
    <xf numFmtId="1" fontId="22" fillId="0" borderId="16" xfId="11" applyNumberFormat="1" applyFont="1" applyBorder="1" applyAlignment="1">
      <alignment vertical="center"/>
    </xf>
    <xf numFmtId="1" fontId="33" fillId="0" borderId="16" xfId="0" applyNumberFormat="1" applyFont="1" applyBorder="1" applyAlignment="1">
      <alignment horizontal="right" vertical="center"/>
    </xf>
    <xf numFmtId="171" fontId="14" fillId="0" borderId="16" xfId="11" applyNumberFormat="1" applyFont="1" applyBorder="1" applyAlignment="1">
      <alignment horizontal="center" vertical="center"/>
    </xf>
    <xf numFmtId="166" fontId="73" fillId="0" borderId="16" xfId="0" applyNumberFormat="1" applyFont="1" applyBorder="1" applyAlignment="1">
      <alignment horizontal="right" vertical="center"/>
    </xf>
    <xf numFmtId="166" fontId="9" fillId="0" borderId="16" xfId="0" applyNumberFormat="1" applyFont="1" applyBorder="1" applyAlignment="1">
      <alignment horizontal="right" vertical="center"/>
    </xf>
    <xf numFmtId="0" fontId="97" fillId="0" borderId="16" xfId="0" applyFont="1" applyBorder="1" applyAlignment="1">
      <alignment horizontal="left" vertical="center"/>
    </xf>
    <xf numFmtId="171" fontId="14" fillId="0" borderId="16" xfId="16" applyNumberFormat="1" applyFont="1" applyFill="1" applyBorder="1" applyAlignment="1">
      <alignment horizontal="center" vertical="center"/>
    </xf>
    <xf numFmtId="1" fontId="14" fillId="0" borderId="16" xfId="16" applyNumberFormat="1" applyFont="1" applyFill="1" applyBorder="1" applyAlignment="1">
      <alignment vertical="center"/>
    </xf>
    <xf numFmtId="0" fontId="9" fillId="0" borderId="16" xfId="0" applyFont="1" applyBorder="1" applyAlignment="1">
      <alignment horizontal="right" vertical="center"/>
    </xf>
    <xf numFmtId="171" fontId="86" fillId="0" borderId="16" xfId="12" applyNumberFormat="1" applyFont="1" applyBorder="1" applyAlignment="1">
      <alignment horizontal="center" vertical="center"/>
    </xf>
    <xf numFmtId="168" fontId="84" fillId="0" borderId="16" xfId="0" applyNumberFormat="1" applyFont="1" applyBorder="1" applyAlignment="1">
      <alignment vertical="center" wrapText="1"/>
    </xf>
    <xf numFmtId="171" fontId="78" fillId="0" borderId="16" xfId="12" applyNumberFormat="1" applyFont="1" applyFill="1" applyBorder="1" applyAlignment="1">
      <alignment horizontal="center" vertical="center"/>
    </xf>
    <xf numFmtId="2" fontId="104" fillId="2" borderId="0" xfId="29" applyNumberFormat="1" applyFont="1" applyFill="1" applyBorder="1" applyAlignment="1">
      <alignment horizontal="center" vertical="center"/>
    </xf>
    <xf numFmtId="49" fontId="17" fillId="0" borderId="0" xfId="6" applyFont="1">
      <alignment horizontal="left" vertical="center"/>
    </xf>
    <xf numFmtId="0" fontId="32" fillId="0" borderId="0" xfId="0" applyFont="1" applyAlignment="1">
      <alignment vertical="center"/>
    </xf>
    <xf numFmtId="1" fontId="78" fillId="0" borderId="0" xfId="5" applyNumberFormat="1" applyFont="1" applyAlignment="1">
      <alignment horizontal="center"/>
    </xf>
    <xf numFmtId="0" fontId="32" fillId="0" borderId="0" xfId="23" applyFont="1"/>
    <xf numFmtId="171" fontId="89" fillId="0" borderId="16" xfId="29" applyNumberFormat="1" applyFont="1" applyBorder="1" applyAlignment="1">
      <alignment horizontal="center" wrapText="1"/>
    </xf>
    <xf numFmtId="3" fontId="70" fillId="0" borderId="0" xfId="0" applyNumberFormat="1" applyFont="1"/>
    <xf numFmtId="0" fontId="0" fillId="0" borderId="0" xfId="23" applyFont="1" applyAlignment="1">
      <alignment horizontal="center" vertical="center"/>
    </xf>
    <xf numFmtId="0" fontId="112" fillId="0" borderId="0" xfId="0" applyFont="1" applyAlignment="1">
      <alignment vertical="center"/>
    </xf>
    <xf numFmtId="0" fontId="0" fillId="0" borderId="0" xfId="23" quotePrefix="1" applyFont="1" applyAlignment="1">
      <alignment horizontal="center" vertical="center"/>
    </xf>
    <xf numFmtId="0" fontId="13" fillId="0" borderId="15" xfId="0" applyFont="1" applyBorder="1" applyAlignment="1">
      <alignment horizontal="left" vertical="center"/>
    </xf>
    <xf numFmtId="0" fontId="20" fillId="0" borderId="15" xfId="0" applyFont="1" applyBorder="1" applyAlignment="1">
      <alignment horizontal="left" vertical="center"/>
    </xf>
    <xf numFmtId="0" fontId="22" fillId="0" borderId="15" xfId="0" applyFont="1" applyBorder="1" applyAlignment="1">
      <alignment horizontal="left" vertical="center"/>
    </xf>
    <xf numFmtId="0" fontId="15" fillId="3" borderId="15" xfId="0" applyFont="1" applyFill="1" applyBorder="1" applyAlignment="1">
      <alignment horizontal="left" vertical="center"/>
    </xf>
    <xf numFmtId="0" fontId="20" fillId="3" borderId="15" xfId="0" applyFont="1" applyFill="1" applyBorder="1" applyAlignment="1">
      <alignment horizontal="left" vertical="center"/>
    </xf>
    <xf numFmtId="0" fontId="13" fillId="0" borderId="15" xfId="5" applyFont="1" applyBorder="1" applyAlignment="1">
      <alignment horizontal="left" vertical="center"/>
    </xf>
    <xf numFmtId="0" fontId="24" fillId="0" borderId="15" xfId="5" applyFont="1" applyBorder="1" applyAlignment="1">
      <alignment horizontal="left" vertical="center"/>
    </xf>
    <xf numFmtId="0" fontId="26" fillId="0" borderId="15" xfId="5" applyFont="1" applyBorder="1" applyAlignment="1">
      <alignment horizontal="left" vertical="center"/>
    </xf>
    <xf numFmtId="0" fontId="17" fillId="0" borderId="15" xfId="5" applyFont="1" applyBorder="1" applyAlignment="1">
      <alignment horizontal="left" vertical="center"/>
    </xf>
    <xf numFmtId="49" fontId="13" fillId="0" borderId="15" xfId="5" applyNumberFormat="1" applyFont="1" applyBorder="1" applyAlignment="1">
      <alignment horizontal="left" vertical="center"/>
    </xf>
    <xf numFmtId="0" fontId="0" fillId="0" borderId="0" xfId="24" applyFont="1" applyAlignment="1">
      <alignment horizontal="left" vertical="center"/>
    </xf>
    <xf numFmtId="0" fontId="28" fillId="0" borderId="15" xfId="5" applyFont="1" applyBorder="1" applyAlignment="1">
      <alignment horizontal="left" vertical="center"/>
    </xf>
    <xf numFmtId="0" fontId="25" fillId="0" borderId="15" xfId="5" applyFont="1" applyBorder="1" applyAlignment="1">
      <alignment horizontal="left" vertical="center"/>
    </xf>
    <xf numFmtId="0" fontId="22" fillId="0" borderId="15" xfId="5" applyFont="1" applyBorder="1" applyAlignment="1">
      <alignment horizontal="left" vertical="center"/>
    </xf>
    <xf numFmtId="0" fontId="70" fillId="0" borderId="0" xfId="0" applyFont="1" applyAlignment="1">
      <alignment horizontal="center"/>
    </xf>
    <xf numFmtId="0" fontId="114" fillId="25" borderId="17" xfId="0" applyFont="1" applyFill="1" applyBorder="1" applyAlignment="1">
      <alignment horizontal="center"/>
    </xf>
    <xf numFmtId="0" fontId="114" fillId="25" borderId="17" xfId="0" applyFont="1" applyFill="1" applyBorder="1"/>
    <xf numFmtId="0" fontId="9" fillId="4" borderId="17" xfId="0" applyFont="1" applyFill="1" applyBorder="1" applyAlignment="1">
      <alignment horizontal="center" vertical="center"/>
    </xf>
    <xf numFmtId="0" fontId="115" fillId="4" borderId="17" xfId="0" applyFont="1" applyFill="1" applyBorder="1" applyAlignment="1">
      <alignment vertical="center"/>
    </xf>
    <xf numFmtId="1" fontId="22" fillId="0" borderId="17" xfId="0" applyNumberFormat="1" applyFont="1" applyBorder="1" applyAlignment="1">
      <alignment horizontal="center" vertical="center"/>
    </xf>
    <xf numFmtId="0" fontId="99" fillId="0" borderId="17" xfId="0" applyFont="1" applyBorder="1" applyAlignment="1">
      <alignment vertical="center"/>
    </xf>
    <xf numFmtId="43" fontId="103" fillId="0" borderId="17" xfId="29" applyFont="1" applyBorder="1"/>
    <xf numFmtId="1" fontId="14" fillId="0" borderId="17" xfId="0" applyNumberFormat="1" applyFont="1" applyBorder="1" applyAlignment="1">
      <alignment horizontal="center" vertical="center"/>
    </xf>
    <xf numFmtId="0" fontId="97" fillId="0" borderId="17" xfId="0" applyFont="1" applyBorder="1" applyAlignment="1">
      <alignment vertical="center"/>
    </xf>
    <xf numFmtId="0" fontId="20" fillId="0" borderId="17" xfId="0" applyFont="1" applyBorder="1" applyAlignment="1">
      <alignment vertical="center"/>
    </xf>
    <xf numFmtId="0" fontId="71" fillId="0" borderId="17" xfId="0" applyFont="1" applyBorder="1"/>
    <xf numFmtId="0" fontId="71" fillId="0" borderId="17" xfId="0" applyFont="1" applyBorder="1" applyAlignment="1">
      <alignment horizontal="center"/>
    </xf>
    <xf numFmtId="0" fontId="70" fillId="0" borderId="17" xfId="0" applyFont="1" applyBorder="1"/>
    <xf numFmtId="0" fontId="70" fillId="0" borderId="17" xfId="0" applyFont="1" applyBorder="1" applyAlignment="1">
      <alignment horizontal="center"/>
    </xf>
    <xf numFmtId="0" fontId="70" fillId="0" borderId="17" xfId="0" applyFont="1" applyBorder="1" applyAlignment="1">
      <alignment wrapText="1"/>
    </xf>
    <xf numFmtId="0" fontId="28" fillId="21" borderId="15" xfId="5" applyFont="1" applyFill="1" applyBorder="1" applyAlignment="1">
      <alignment vertical="center"/>
    </xf>
    <xf numFmtId="0" fontId="25" fillId="21" borderId="15" xfId="5" applyFont="1" applyFill="1" applyBorder="1" applyAlignment="1">
      <alignment vertical="center"/>
    </xf>
    <xf numFmtId="49" fontId="17" fillId="21" borderId="15" xfId="6" applyFont="1" applyFill="1" applyBorder="1">
      <alignment horizontal="left" vertical="center"/>
    </xf>
    <xf numFmtId="49" fontId="17" fillId="21" borderId="0" xfId="6" applyFont="1" applyFill="1">
      <alignment horizontal="left" vertical="center"/>
    </xf>
    <xf numFmtId="49" fontId="25" fillId="21" borderId="15" xfId="5" applyNumberFormat="1" applyFont="1" applyFill="1" applyBorder="1" applyAlignment="1">
      <alignment horizontal="left" vertical="center"/>
    </xf>
    <xf numFmtId="0" fontId="19" fillId="21" borderId="15" xfId="5" applyFont="1" applyFill="1" applyBorder="1" applyAlignment="1">
      <alignment vertical="center"/>
    </xf>
    <xf numFmtId="0" fontId="6" fillId="0" borderId="0" xfId="23" applyFont="1" applyAlignment="1">
      <alignment horizontal="left"/>
    </xf>
    <xf numFmtId="0" fontId="116" fillId="0" borderId="0" xfId="24" applyFont="1" applyAlignment="1">
      <alignment horizontal="left" vertical="center"/>
    </xf>
    <xf numFmtId="49" fontId="17" fillId="0" borderId="0" xfId="6" applyFont="1" applyAlignment="1">
      <alignment horizontal="center" vertical="center"/>
    </xf>
    <xf numFmtId="0" fontId="5" fillId="0" borderId="0" xfId="0" applyFont="1" applyAlignment="1">
      <alignment vertical="center"/>
    </xf>
    <xf numFmtId="0" fontId="13" fillId="0" borderId="15" xfId="6" applyNumberFormat="1" applyBorder="1">
      <alignment horizontal="left" vertical="center"/>
    </xf>
    <xf numFmtId="0" fontId="0" fillId="0" borderId="0" xfId="0" applyAlignment="1">
      <alignment horizontal="center"/>
    </xf>
    <xf numFmtId="1" fontId="106" fillId="0" borderId="15" xfId="0" applyNumberFormat="1" applyFont="1" applyBorder="1" applyAlignment="1">
      <alignment horizontal="center" vertical="center"/>
    </xf>
    <xf numFmtId="1" fontId="106" fillId="0" borderId="15" xfId="5" applyNumberFormat="1" applyFont="1" applyBorder="1" applyAlignment="1">
      <alignment horizontal="center" vertical="center"/>
    </xf>
    <xf numFmtId="0" fontId="106" fillId="0" borderId="15" xfId="5" applyFont="1" applyBorder="1" applyAlignment="1">
      <alignment horizontal="center" vertical="center"/>
    </xf>
    <xf numFmtId="0" fontId="120" fillId="0" borderId="15" xfId="5" applyFont="1" applyBorder="1" applyAlignment="1">
      <alignment horizontal="center" vertical="center"/>
    </xf>
    <xf numFmtId="49" fontId="106" fillId="0" borderId="15" xfId="6" applyFont="1" applyBorder="1" applyAlignment="1">
      <alignment horizontal="center" vertical="center"/>
    </xf>
    <xf numFmtId="1" fontId="106" fillId="0" borderId="15" xfId="6" applyNumberFormat="1" applyFont="1" applyBorder="1" applyAlignment="1">
      <alignment horizontal="center" vertical="center"/>
    </xf>
    <xf numFmtId="1" fontId="120" fillId="0" borderId="15" xfId="5" applyNumberFormat="1" applyFont="1" applyBorder="1" applyAlignment="1">
      <alignment horizontal="center" vertical="center"/>
    </xf>
    <xf numFmtId="49" fontId="120" fillId="0" borderId="15" xfId="5" applyNumberFormat="1" applyFont="1" applyBorder="1" applyAlignment="1">
      <alignment horizontal="center" vertical="center"/>
    </xf>
    <xf numFmtId="1" fontId="22" fillId="0" borderId="0" xfId="0" applyNumberFormat="1" applyFont="1" applyAlignment="1">
      <alignment horizontal="left" vertical="center"/>
    </xf>
    <xf numFmtId="1" fontId="14" fillId="0" borderId="0" xfId="24" applyNumberFormat="1" applyFont="1" applyAlignment="1">
      <alignment horizontal="left" vertical="center"/>
    </xf>
    <xf numFmtId="0" fontId="14" fillId="0" borderId="0" xfId="24" applyFont="1" applyAlignment="1">
      <alignment horizontal="left" vertical="center"/>
    </xf>
    <xf numFmtId="1" fontId="14" fillId="0" borderId="0" xfId="23" applyNumberFormat="1" applyFont="1" applyAlignment="1">
      <alignment horizontal="left"/>
    </xf>
    <xf numFmtId="0" fontId="28" fillId="0" borderId="0" xfId="24" applyFont="1" applyAlignment="1">
      <alignment horizontal="center" vertical="center"/>
    </xf>
    <xf numFmtId="1" fontId="28" fillId="0" borderId="0" xfId="24" applyNumberFormat="1" applyFont="1" applyAlignment="1">
      <alignment horizontal="left" vertical="center"/>
    </xf>
    <xf numFmtId="0" fontId="28" fillId="0" borderId="0" xfId="23" applyFont="1" applyAlignment="1">
      <alignment horizontal="left"/>
    </xf>
    <xf numFmtId="0" fontId="22" fillId="0" borderId="0" xfId="23" applyFont="1" applyAlignment="1">
      <alignment horizontal="center" vertical="center"/>
    </xf>
    <xf numFmtId="1" fontId="22" fillId="0" borderId="0" xfId="5" applyNumberFormat="1" applyFont="1" applyAlignment="1">
      <alignment horizontal="center"/>
    </xf>
    <xf numFmtId="0" fontId="17" fillId="0" borderId="0" xfId="5" applyFont="1" applyAlignment="1">
      <alignment horizontal="left" vertical="center"/>
    </xf>
    <xf numFmtId="1" fontId="106" fillId="0" borderId="0" xfId="5" applyNumberFormat="1" applyFont="1" applyAlignment="1">
      <alignment horizontal="center" vertical="center"/>
    </xf>
    <xf numFmtId="1" fontId="17" fillId="21" borderId="0" xfId="5" applyNumberFormat="1" applyFont="1" applyFill="1" applyAlignment="1">
      <alignment horizontal="center" vertical="center"/>
    </xf>
    <xf numFmtId="0" fontId="17" fillId="0" borderId="0" xfId="5" applyFont="1" applyAlignment="1">
      <alignment vertical="center"/>
    </xf>
    <xf numFmtId="0" fontId="116" fillId="0" borderId="0" xfId="0" applyFont="1" applyAlignment="1">
      <alignment vertical="center"/>
    </xf>
    <xf numFmtId="0" fontId="22" fillId="0" borderId="0" xfId="0" applyFont="1" applyAlignment="1">
      <alignment horizontal="center" vertical="center"/>
    </xf>
    <xf numFmtId="0" fontId="15" fillId="3" borderId="0" xfId="0" applyFont="1" applyFill="1" applyAlignment="1">
      <alignment vertical="center"/>
    </xf>
    <xf numFmtId="0" fontId="20" fillId="3" borderId="0" xfId="0" applyFont="1" applyFill="1" applyAlignment="1">
      <alignment vertical="center"/>
    </xf>
    <xf numFmtId="0" fontId="22" fillId="3" borderId="0" xfId="0" applyFont="1" applyFill="1" applyAlignment="1">
      <alignment horizontal="center" vertical="center"/>
    </xf>
    <xf numFmtId="0" fontId="13" fillId="0" borderId="0" xfId="24" applyFont="1" applyAlignment="1">
      <alignment horizontal="center" vertical="center"/>
    </xf>
    <xf numFmtId="1" fontId="27" fillId="0" borderId="0" xfId="0" applyNumberFormat="1" applyFont="1" applyAlignment="1">
      <alignment vertical="center"/>
    </xf>
    <xf numFmtId="0" fontId="33" fillId="0" borderId="0" xfId="23" applyFont="1" applyAlignment="1">
      <alignment horizontal="left"/>
    </xf>
    <xf numFmtId="0" fontId="14" fillId="0" borderId="0" xfId="23" applyFont="1"/>
    <xf numFmtId="0" fontId="118" fillId="0" borderId="0" xfId="0" applyFont="1" applyAlignment="1">
      <alignment vertical="center"/>
    </xf>
    <xf numFmtId="49" fontId="14" fillId="0" borderId="0" xfId="5" applyNumberFormat="1" applyFont="1" applyAlignment="1">
      <alignment horizontal="center"/>
    </xf>
    <xf numFmtId="1" fontId="14" fillId="0" borderId="0" xfId="24" applyNumberFormat="1" applyFont="1" applyAlignment="1">
      <alignment horizontal="center" vertical="center"/>
    </xf>
    <xf numFmtId="0" fontId="117" fillId="0" borderId="0" xfId="23" applyFont="1" applyAlignment="1">
      <alignment horizontal="left"/>
    </xf>
    <xf numFmtId="49" fontId="6" fillId="0" borderId="0" xfId="23" applyNumberFormat="1" applyFont="1"/>
    <xf numFmtId="1" fontId="5" fillId="0" borderId="0" xfId="23" applyNumberFormat="1" applyFont="1"/>
    <xf numFmtId="0" fontId="0" fillId="0" borderId="0" xfId="24" applyFont="1" applyAlignment="1">
      <alignment horizontal="center" vertical="center"/>
    </xf>
    <xf numFmtId="0" fontId="5" fillId="0" borderId="0" xfId="21" applyFont="1" applyAlignment="1">
      <alignment horizontal="left" vertical="center"/>
    </xf>
    <xf numFmtId="0" fontId="105" fillId="0" borderId="0" xfId="21" applyFont="1" applyAlignment="1">
      <alignment horizontal="center" vertical="center"/>
    </xf>
    <xf numFmtId="0" fontId="5" fillId="0" borderId="0" xfId="21" applyFont="1" applyAlignment="1">
      <alignment horizontal="center" vertical="center"/>
    </xf>
    <xf numFmtId="0" fontId="0" fillId="0" borderId="0" xfId="24" applyFont="1" applyAlignment="1">
      <alignment horizontal="right" vertical="center"/>
    </xf>
    <xf numFmtId="1" fontId="106" fillId="0" borderId="0" xfId="0" applyNumberFormat="1" applyFont="1" applyAlignment="1">
      <alignment horizontal="center" vertical="center"/>
    </xf>
    <xf numFmtId="49" fontId="13" fillId="0" borderId="0" xfId="10" applyNumberFormat="1" applyFont="1" applyAlignment="1">
      <alignment horizontal="center" vertical="center" wrapText="1"/>
    </xf>
    <xf numFmtId="0" fontId="15" fillId="21" borderId="0" xfId="0" applyFont="1" applyFill="1" applyAlignment="1">
      <alignment vertical="center"/>
    </xf>
    <xf numFmtId="0" fontId="20" fillId="21" borderId="0" xfId="0" applyFont="1" applyFill="1" applyAlignment="1">
      <alignment vertical="center"/>
    </xf>
    <xf numFmtId="0" fontId="22" fillId="21" borderId="0" xfId="0" applyFont="1" applyFill="1" applyAlignment="1">
      <alignment horizontal="center" vertical="center"/>
    </xf>
    <xf numFmtId="0" fontId="31" fillId="21" borderId="0" xfId="0" applyFont="1" applyFill="1" applyAlignment="1">
      <alignment vertical="center"/>
    </xf>
    <xf numFmtId="0" fontId="13" fillId="21" borderId="0" xfId="5" applyFont="1" applyFill="1" applyAlignment="1">
      <alignment horizontal="center" vertical="center"/>
    </xf>
    <xf numFmtId="1" fontId="13" fillId="21" borderId="0" xfId="5" applyNumberFormat="1" applyFont="1" applyFill="1" applyAlignment="1">
      <alignment horizontal="center" vertical="center"/>
    </xf>
    <xf numFmtId="1" fontId="106" fillId="21" borderId="0" xfId="5" applyNumberFormat="1" applyFont="1" applyFill="1" applyAlignment="1">
      <alignment horizontal="center" vertical="center"/>
    </xf>
    <xf numFmtId="1" fontId="13" fillId="21" borderId="0" xfId="10" applyNumberFormat="1" applyFont="1" applyFill="1" applyAlignment="1">
      <alignment horizontal="center" vertical="center" wrapText="1"/>
    </xf>
    <xf numFmtId="49" fontId="13" fillId="21" borderId="0" xfId="10" applyNumberFormat="1" applyFont="1" applyFill="1" applyAlignment="1">
      <alignment horizontal="center" vertical="center" wrapText="1"/>
    </xf>
    <xf numFmtId="0" fontId="27" fillId="21" borderId="0" xfId="0" applyFont="1" applyFill="1" applyAlignment="1">
      <alignment vertical="center"/>
    </xf>
    <xf numFmtId="1" fontId="90" fillId="0" borderId="0" xfId="19" applyNumberFormat="1" applyFont="1"/>
    <xf numFmtId="1" fontId="119" fillId="0" borderId="0" xfId="19" applyNumberFormat="1" applyFont="1" applyAlignment="1">
      <alignment horizontal="center"/>
    </xf>
    <xf numFmtId="1" fontId="90" fillId="0" borderId="0" xfId="2239" applyNumberFormat="1" applyFont="1"/>
    <xf numFmtId="0" fontId="6" fillId="0" borderId="0" xfId="0" applyFont="1" applyAlignment="1">
      <alignment horizontal="left" vertical="center"/>
    </xf>
    <xf numFmtId="0" fontId="6" fillId="0" borderId="0" xfId="21" applyFont="1" applyAlignment="1">
      <alignment horizontal="left" vertical="center"/>
    </xf>
    <xf numFmtId="0" fontId="6" fillId="0" borderId="0" xfId="21" applyFont="1" applyAlignment="1">
      <alignment horizontal="center" vertical="center"/>
    </xf>
    <xf numFmtId="0" fontId="32" fillId="0" borderId="0" xfId="21" applyFont="1" applyAlignment="1">
      <alignment horizontal="center" vertical="center"/>
    </xf>
    <xf numFmtId="1" fontId="105" fillId="0" borderId="0" xfId="19" applyNumberFormat="1" applyFont="1" applyAlignment="1">
      <alignment horizontal="center"/>
    </xf>
    <xf numFmtId="1" fontId="6" fillId="0" borderId="0" xfId="2239" applyNumberFormat="1" applyFont="1"/>
    <xf numFmtId="0" fontId="6" fillId="0" borderId="0" xfId="19" applyFont="1"/>
    <xf numFmtId="2" fontId="14" fillId="0" borderId="0" xfId="21" applyNumberFormat="1" applyFont="1" applyAlignment="1">
      <alignment horizontal="center" vertical="center"/>
    </xf>
    <xf numFmtId="2" fontId="105" fillId="0" borderId="0" xfId="21" applyNumberFormat="1" applyFont="1" applyAlignment="1">
      <alignment horizontal="center" vertical="center"/>
    </xf>
    <xf numFmtId="0" fontId="14" fillId="0" borderId="0" xfId="21" applyFont="1" applyAlignment="1">
      <alignment horizontal="center" vertical="center"/>
    </xf>
    <xf numFmtId="2" fontId="14" fillId="0" borderId="0" xfId="2239" applyNumberFormat="1" applyFont="1" applyAlignment="1">
      <alignment horizontal="center" vertical="center"/>
    </xf>
    <xf numFmtId="0" fontId="6" fillId="0" borderId="0" xfId="19" applyFont="1" applyAlignment="1">
      <alignment horizontal="left"/>
    </xf>
    <xf numFmtId="0" fontId="105" fillId="0" borderId="0" xfId="19" applyFont="1" applyAlignment="1">
      <alignment horizontal="center"/>
    </xf>
    <xf numFmtId="2" fontId="0" fillId="0" borderId="0" xfId="2239" applyNumberFormat="1" applyFont="1" applyAlignment="1">
      <alignment horizontal="center" vertical="center"/>
    </xf>
    <xf numFmtId="2" fontId="105" fillId="0" borderId="0" xfId="5" applyNumberFormat="1" applyFont="1" applyAlignment="1">
      <alignment horizontal="center"/>
    </xf>
    <xf numFmtId="2" fontId="0" fillId="0" borderId="0" xfId="19" applyNumberFormat="1" applyFont="1" applyAlignment="1">
      <alignment horizontal="center" vertical="center"/>
    </xf>
    <xf numFmtId="0" fontId="5" fillId="0" borderId="0" xfId="19" applyFont="1" applyAlignment="1">
      <alignment horizontal="left"/>
    </xf>
    <xf numFmtId="2" fontId="105" fillId="0" borderId="0" xfId="19" applyNumberFormat="1" applyFont="1" applyAlignment="1">
      <alignment horizontal="center"/>
    </xf>
    <xf numFmtId="2" fontId="14" fillId="0" borderId="0" xfId="5" applyNumberFormat="1" applyFont="1" applyAlignment="1">
      <alignment horizontal="center" vertical="center"/>
    </xf>
    <xf numFmtId="0" fontId="14" fillId="0" borderId="0" xfId="19" applyFont="1" applyAlignment="1">
      <alignment horizontal="center"/>
    </xf>
    <xf numFmtId="0" fontId="5" fillId="0" borderId="0" xfId="19" applyFont="1"/>
    <xf numFmtId="2" fontId="14" fillId="0" borderId="0" xfId="19" applyNumberFormat="1" applyFont="1" applyAlignment="1">
      <alignment horizontal="center" vertical="center"/>
    </xf>
    <xf numFmtId="2" fontId="14" fillId="0" borderId="0" xfId="2241" applyNumberFormat="1" applyFont="1" applyAlignment="1">
      <alignment horizontal="center" vertical="center"/>
    </xf>
    <xf numFmtId="2" fontId="14" fillId="0" borderId="0" xfId="19" applyNumberFormat="1" applyFont="1" applyAlignment="1">
      <alignment horizontal="center"/>
    </xf>
    <xf numFmtId="2" fontId="0" fillId="0" borderId="0" xfId="19" applyNumberFormat="1" applyFont="1" applyAlignment="1">
      <alignment horizontal="center"/>
    </xf>
    <xf numFmtId="2" fontId="14" fillId="0" borderId="0" xfId="2239" applyNumberFormat="1" applyFont="1" applyAlignment="1">
      <alignment horizontal="center"/>
    </xf>
    <xf numFmtId="2" fontId="0" fillId="0" borderId="0" xfId="2239" applyNumberFormat="1" applyFont="1" applyAlignment="1">
      <alignment horizontal="center"/>
    </xf>
    <xf numFmtId="0" fontId="5" fillId="0" borderId="0" xfId="19" applyFont="1" applyAlignment="1">
      <alignment horizontal="center"/>
    </xf>
    <xf numFmtId="0" fontId="29" fillId="0" borderId="0" xfId="19" applyFont="1" applyAlignment="1">
      <alignment horizontal="left"/>
    </xf>
    <xf numFmtId="0" fontId="31" fillId="0" borderId="0" xfId="19" applyFont="1"/>
    <xf numFmtId="0" fontId="14" fillId="0" borderId="0" xfId="19" applyFont="1" applyAlignment="1">
      <alignment horizontal="center" vertical="center"/>
    </xf>
    <xf numFmtId="2" fontId="0" fillId="0" borderId="0" xfId="5" applyNumberFormat="1" applyFont="1" applyAlignment="1">
      <alignment horizontal="center" vertical="center"/>
    </xf>
    <xf numFmtId="0" fontId="29" fillId="0" borderId="0" xfId="19" applyFont="1" applyAlignment="1">
      <alignment horizontal="center"/>
    </xf>
    <xf numFmtId="2" fontId="0" fillId="0" borderId="0" xfId="5" applyNumberFormat="1" applyFont="1" applyAlignment="1">
      <alignment horizontal="center"/>
    </xf>
    <xf numFmtId="2" fontId="14" fillId="0" borderId="0" xfId="5" applyNumberFormat="1" applyFont="1" applyAlignment="1">
      <alignment horizontal="center"/>
    </xf>
    <xf numFmtId="1" fontId="5" fillId="0" borderId="0" xfId="21" applyNumberFormat="1" applyFont="1" applyAlignment="1">
      <alignment horizontal="center" vertical="center"/>
    </xf>
    <xf numFmtId="0" fontId="20" fillId="0" borderId="15" xfId="5" applyFont="1" applyBorder="1" applyAlignment="1">
      <alignment vertical="center"/>
    </xf>
    <xf numFmtId="1" fontId="13" fillId="0" borderId="15" xfId="5" applyNumberFormat="1" applyFont="1" applyBorder="1" applyAlignment="1">
      <alignment horizontal="center" vertical="center" wrapText="1"/>
    </xf>
    <xf numFmtId="15" fontId="106" fillId="0" borderId="15" xfId="5" applyNumberFormat="1" applyFont="1" applyBorder="1" applyAlignment="1">
      <alignment horizontal="center" vertical="center"/>
    </xf>
    <xf numFmtId="9" fontId="7" fillId="0" borderId="0" xfId="0" applyNumberFormat="1" applyFont="1" applyAlignment="1">
      <alignment horizontal="center" vertical="center"/>
    </xf>
    <xf numFmtId="1" fontId="7" fillId="20" borderId="0" xfId="11" applyNumberFormat="1" applyFont="1" applyFill="1" applyAlignment="1">
      <alignment vertical="center"/>
    </xf>
    <xf numFmtId="2" fontId="9" fillId="0" borderId="0" xfId="0" applyNumberFormat="1" applyFont="1" applyAlignment="1">
      <alignment horizontal="center" vertical="center"/>
    </xf>
    <xf numFmtId="2" fontId="79" fillId="0" borderId="0" xfId="0" applyNumberFormat="1" applyFont="1" applyAlignment="1">
      <alignment horizontal="center" vertical="center"/>
    </xf>
    <xf numFmtId="0" fontId="75" fillId="0" borderId="0" xfId="0" applyFont="1" applyAlignment="1">
      <alignment horizontal="center" vertical="center"/>
    </xf>
    <xf numFmtId="171" fontId="6" fillId="19" borderId="0" xfId="29" applyNumberFormat="1" applyFont="1" applyFill="1" applyBorder="1" applyAlignment="1">
      <alignment horizontal="center" vertical="center" wrapText="1"/>
    </xf>
    <xf numFmtId="9" fontId="6" fillId="22" borderId="0" xfId="11" applyNumberFormat="1" applyFont="1" applyFill="1" applyAlignment="1">
      <alignment horizontal="center" vertical="center" wrapText="1"/>
    </xf>
    <xf numFmtId="171" fontId="89" fillId="27" borderId="0" xfId="29" applyNumberFormat="1" applyFont="1" applyFill="1" applyBorder="1" applyAlignment="1">
      <alignment horizontal="center" vertical="center" wrapText="1"/>
    </xf>
    <xf numFmtId="43" fontId="101" fillId="25" borderId="0" xfId="29" applyFont="1" applyFill="1" applyBorder="1" applyAlignment="1">
      <alignment horizontal="center" vertical="center" wrapText="1"/>
    </xf>
    <xf numFmtId="43" fontId="101" fillId="24" borderId="0" xfId="29" applyFont="1" applyFill="1" applyBorder="1" applyAlignment="1">
      <alignment horizontal="center" vertical="center" wrapText="1"/>
    </xf>
    <xf numFmtId="9" fontId="6" fillId="0" borderId="0" xfId="11" applyNumberFormat="1" applyFont="1" applyAlignment="1">
      <alignment horizontal="center" vertical="center" wrapText="1"/>
    </xf>
    <xf numFmtId="43" fontId="101" fillId="22" borderId="0" xfId="29" applyFont="1" applyFill="1" applyBorder="1" applyAlignment="1">
      <alignment horizontal="center" vertical="center" wrapText="1"/>
    </xf>
    <xf numFmtId="168" fontId="75" fillId="0" borderId="0" xfId="0" applyNumberFormat="1" applyFont="1" applyAlignment="1">
      <alignment horizontal="center" vertical="center"/>
    </xf>
    <xf numFmtId="164" fontId="101" fillId="24" borderId="0" xfId="2255" applyFont="1" applyFill="1" applyBorder="1" applyAlignment="1">
      <alignment horizontal="center" vertical="center" wrapText="1"/>
    </xf>
    <xf numFmtId="164" fontId="101" fillId="22" borderId="0" xfId="11" applyNumberFormat="1" applyFont="1" applyFill="1" applyAlignment="1">
      <alignment horizontal="center" vertical="center" wrapText="1"/>
    </xf>
    <xf numFmtId="9" fontId="8" fillId="0" borderId="0" xfId="11" applyNumberFormat="1" applyAlignment="1">
      <alignment horizontal="center" vertical="center"/>
    </xf>
    <xf numFmtId="9" fontId="101" fillId="22" borderId="0" xfId="11" applyNumberFormat="1" applyFont="1" applyFill="1" applyAlignment="1">
      <alignment horizontal="center" vertical="center" wrapText="1"/>
    </xf>
    <xf numFmtId="9" fontId="101" fillId="25" borderId="0" xfId="11" applyNumberFormat="1" applyFont="1" applyFill="1" applyAlignment="1">
      <alignment horizontal="center" vertical="center" wrapText="1"/>
    </xf>
    <xf numFmtId="171" fontId="98" fillId="26" borderId="0" xfId="29" applyNumberFormat="1" applyFont="1" applyFill="1" applyBorder="1" applyAlignment="1">
      <alignment horizontal="center" textRotation="90" wrapText="1"/>
    </xf>
    <xf numFmtId="9" fontId="89" fillId="0" borderId="0" xfId="11" applyNumberFormat="1" applyFont="1" applyAlignment="1">
      <alignment horizontal="center" vertical="center"/>
    </xf>
    <xf numFmtId="164" fontId="101" fillId="0" borderId="0" xfId="2255" applyFont="1" applyFill="1" applyBorder="1" applyAlignment="1">
      <alignment horizontal="center" vertical="center" wrapText="1"/>
    </xf>
    <xf numFmtId="164" fontId="101" fillId="0" borderId="0" xfId="11" applyNumberFormat="1" applyFont="1" applyAlignment="1">
      <alignment horizontal="center" vertical="center" wrapText="1"/>
    </xf>
    <xf numFmtId="43" fontId="101" fillId="0" borderId="0" xfId="29" applyFont="1" applyFill="1" applyBorder="1" applyAlignment="1">
      <alignment horizontal="left" vertical="center" wrapText="1"/>
    </xf>
    <xf numFmtId="43" fontId="101" fillId="0" borderId="0" xfId="29" applyFont="1" applyFill="1" applyBorder="1" applyAlignment="1">
      <alignment horizontal="center" vertical="center" wrapText="1"/>
    </xf>
    <xf numFmtId="9" fontId="101" fillId="0" borderId="0" xfId="11" applyNumberFormat="1" applyFont="1" applyAlignment="1">
      <alignment horizontal="left" vertical="center" wrapText="1"/>
    </xf>
    <xf numFmtId="9" fontId="101" fillId="0" borderId="0" xfId="11" applyNumberFormat="1" applyFont="1" applyAlignment="1">
      <alignment horizontal="center" vertical="center" wrapText="1"/>
    </xf>
    <xf numFmtId="171" fontId="98" fillId="0" borderId="0" xfId="29" applyNumberFormat="1" applyFont="1" applyFill="1" applyBorder="1" applyAlignment="1">
      <alignment horizontal="center" textRotation="90" wrapText="1"/>
    </xf>
    <xf numFmtId="43" fontId="102" fillId="23" borderId="0" xfId="29" applyFont="1" applyFill="1" applyBorder="1" applyAlignment="1">
      <alignment horizontal="center" vertical="center" wrapText="1"/>
    </xf>
    <xf numFmtId="2" fontId="103" fillId="0" borderId="0" xfId="11" applyNumberFormat="1" applyFont="1" applyAlignment="1">
      <alignment horizontal="center" vertical="center" wrapText="1"/>
    </xf>
    <xf numFmtId="2" fontId="8" fillId="0" borderId="0" xfId="11" applyNumberFormat="1" applyAlignment="1">
      <alignment horizontal="center" vertical="center"/>
    </xf>
    <xf numFmtId="2" fontId="102" fillId="23" borderId="0" xfId="29" applyNumberFormat="1" applyFont="1" applyFill="1" applyBorder="1" applyAlignment="1">
      <alignment horizontal="center" vertical="center" wrapText="1"/>
    </xf>
    <xf numFmtId="2" fontId="6" fillId="0" borderId="0" xfId="11" applyNumberFormat="1" applyFont="1" applyAlignment="1">
      <alignment vertical="center" wrapText="1"/>
    </xf>
    <xf numFmtId="2" fontId="89" fillId="0" borderId="0" xfId="11" applyNumberFormat="1" applyFont="1" applyAlignment="1">
      <alignment horizontal="center" vertical="center"/>
    </xf>
    <xf numFmtId="2" fontId="75" fillId="0" borderId="0" xfId="0" applyNumberFormat="1" applyFont="1" applyAlignment="1">
      <alignment horizontal="center" vertical="center"/>
    </xf>
    <xf numFmtId="43" fontId="102" fillId="2" borderId="0" xfId="29" applyFont="1" applyFill="1" applyBorder="1" applyAlignment="1">
      <alignment horizontal="center" vertical="center"/>
    </xf>
    <xf numFmtId="2" fontId="89" fillId="0" borderId="0" xfId="29" applyNumberFormat="1" applyFont="1" applyBorder="1" applyAlignment="1">
      <alignment horizontal="center" vertical="center"/>
    </xf>
    <xf numFmtId="2" fontId="6" fillId="0" borderId="0" xfId="29" applyNumberFormat="1" applyFont="1" applyBorder="1" applyAlignment="1">
      <alignment vertical="center" wrapText="1"/>
    </xf>
    <xf numFmtId="2" fontId="6" fillId="0" borderId="0" xfId="29" applyNumberFormat="1" applyFont="1" applyBorder="1" applyAlignment="1">
      <alignment horizontal="center" vertical="center" wrapText="1"/>
    </xf>
    <xf numFmtId="2" fontId="7" fillId="0" borderId="0" xfId="0" applyNumberFormat="1" applyFont="1" applyAlignment="1">
      <alignment horizontal="center" vertical="center"/>
    </xf>
    <xf numFmtId="0" fontId="75" fillId="0" borderId="0" xfId="0" applyFont="1" applyAlignment="1">
      <alignment vertical="center" wrapText="1"/>
    </xf>
    <xf numFmtId="0" fontId="75" fillId="0" borderId="0" xfId="0" applyFont="1" applyAlignment="1">
      <alignment vertical="center"/>
    </xf>
    <xf numFmtId="171" fontId="9" fillId="0" borderId="0" xfId="29" applyNumberFormat="1" applyFont="1" applyFill="1" applyBorder="1" applyAlignment="1">
      <alignment horizontal="center" vertical="center"/>
    </xf>
    <xf numFmtId="43" fontId="102" fillId="0" borderId="0" xfId="29" applyFont="1" applyFill="1" applyBorder="1" applyAlignment="1">
      <alignment horizontal="center" vertical="center"/>
    </xf>
    <xf numFmtId="171" fontId="9" fillId="0" borderId="0" xfId="11" applyNumberFormat="1" applyFont="1" applyAlignment="1">
      <alignment horizontal="center" vertical="center"/>
    </xf>
    <xf numFmtId="171" fontId="73" fillId="0" borderId="0" xfId="11" applyNumberFormat="1" applyFont="1" applyAlignment="1">
      <alignment horizontal="center" vertical="center"/>
    </xf>
    <xf numFmtId="168" fontId="75" fillId="0" borderId="0" xfId="0" applyNumberFormat="1" applyFont="1" applyAlignment="1">
      <alignment vertical="center"/>
    </xf>
    <xf numFmtId="0" fontId="73" fillId="3" borderId="0" xfId="0" applyFont="1" applyFill="1" applyAlignment="1">
      <alignment horizontal="right" vertical="center"/>
    </xf>
    <xf numFmtId="0" fontId="75" fillId="3" borderId="0" xfId="0" applyFont="1" applyFill="1" applyAlignment="1">
      <alignment vertical="center" wrapText="1"/>
    </xf>
    <xf numFmtId="0" fontId="75" fillId="3" borderId="0" xfId="0" applyFont="1" applyFill="1" applyAlignment="1">
      <alignment vertical="center"/>
    </xf>
    <xf numFmtId="171" fontId="14" fillId="3" borderId="0" xfId="29" applyNumberFormat="1" applyFont="1" applyFill="1" applyBorder="1" applyAlignment="1">
      <alignment horizontal="center" vertical="center"/>
    </xf>
    <xf numFmtId="43" fontId="103" fillId="3" borderId="0" xfId="29" applyFont="1" applyFill="1" applyBorder="1" applyAlignment="1">
      <alignment horizontal="center" vertical="center"/>
    </xf>
    <xf numFmtId="171" fontId="14" fillId="3" borderId="0" xfId="0" applyNumberFormat="1" applyFont="1" applyFill="1" applyAlignment="1">
      <alignment horizontal="center" vertical="center"/>
    </xf>
    <xf numFmtId="171" fontId="7" fillId="3" borderId="0" xfId="0" applyNumberFormat="1" applyFont="1" applyFill="1" applyAlignment="1">
      <alignment horizontal="center" vertical="center"/>
    </xf>
    <xf numFmtId="168" fontId="7" fillId="3" borderId="0" xfId="0" applyNumberFormat="1" applyFont="1" applyFill="1" applyAlignment="1">
      <alignment horizontal="center" vertical="center"/>
    </xf>
    <xf numFmtId="171" fontId="9" fillId="0" borderId="0" xfId="12" applyNumberFormat="1" applyFont="1" applyFill="1" applyBorder="1" applyAlignment="1">
      <alignment vertical="center"/>
    </xf>
    <xf numFmtId="171" fontId="73" fillId="0" borderId="0" xfId="12" applyNumberFormat="1" applyFont="1" applyFill="1" applyBorder="1" applyAlignment="1">
      <alignment vertical="center"/>
    </xf>
    <xf numFmtId="168" fontId="14" fillId="0" borderId="0" xfId="0" applyNumberFormat="1" applyFont="1" applyAlignment="1">
      <alignment horizontal="center" vertical="center"/>
    </xf>
    <xf numFmtId="43" fontId="102" fillId="0" borderId="0" xfId="29" applyFont="1" applyBorder="1" applyAlignment="1">
      <alignment horizontal="center" vertical="center"/>
    </xf>
    <xf numFmtId="171" fontId="86" fillId="0" borderId="0" xfId="29" applyNumberFormat="1" applyFont="1" applyBorder="1" applyAlignment="1">
      <alignment horizontal="center" vertical="center"/>
    </xf>
    <xf numFmtId="168" fontId="86" fillId="0" borderId="0" xfId="0" applyNumberFormat="1" applyFont="1" applyAlignment="1">
      <alignment horizontal="center" vertical="center"/>
    </xf>
    <xf numFmtId="168" fontId="87" fillId="0" borderId="0" xfId="0" applyNumberFormat="1" applyFont="1" applyAlignment="1">
      <alignment vertical="center"/>
    </xf>
    <xf numFmtId="43" fontId="86" fillId="0" borderId="0" xfId="12" applyFont="1" applyFill="1" applyBorder="1" applyAlignment="1">
      <alignment vertical="center"/>
    </xf>
    <xf numFmtId="1" fontId="86" fillId="0" borderId="0" xfId="12" applyNumberFormat="1" applyFont="1" applyFill="1" applyBorder="1" applyAlignment="1">
      <alignment vertical="center"/>
    </xf>
    <xf numFmtId="168" fontId="86" fillId="0" borderId="0" xfId="1" applyNumberFormat="1" applyFont="1" applyFill="1" applyBorder="1" applyAlignment="1">
      <alignment horizontal="center" vertical="center"/>
    </xf>
    <xf numFmtId="9" fontId="86" fillId="0" borderId="0" xfId="1" applyFont="1" applyFill="1" applyBorder="1" applyAlignment="1">
      <alignment horizontal="center" vertical="center"/>
    </xf>
    <xf numFmtId="176" fontId="86" fillId="0" borderId="0" xfId="12" applyNumberFormat="1" applyFont="1" applyFill="1" applyBorder="1" applyAlignment="1">
      <alignment vertical="center"/>
    </xf>
    <xf numFmtId="176" fontId="86" fillId="20" borderId="0" xfId="12" applyNumberFormat="1" applyFont="1" applyFill="1" applyBorder="1" applyAlignment="1">
      <alignment vertical="center"/>
    </xf>
    <xf numFmtId="176" fontId="86" fillId="0" borderId="0" xfId="29" applyNumberFormat="1" applyFont="1" applyBorder="1" applyAlignment="1">
      <alignment horizontal="center" vertical="center"/>
    </xf>
    <xf numFmtId="9" fontId="86" fillId="0" borderId="0" xfId="1" applyFont="1" applyFill="1" applyBorder="1" applyAlignment="1">
      <alignment vertical="center"/>
    </xf>
    <xf numFmtId="171" fontId="79" fillId="0" borderId="0" xfId="29" applyNumberFormat="1" applyFont="1" applyBorder="1" applyAlignment="1">
      <alignment horizontal="center" vertical="center"/>
    </xf>
    <xf numFmtId="9" fontId="79" fillId="0" borderId="0" xfId="1" applyFont="1" applyBorder="1" applyAlignment="1">
      <alignment horizontal="center" vertical="center"/>
    </xf>
    <xf numFmtId="168" fontId="83" fillId="0" borderId="0" xfId="0" applyNumberFormat="1" applyFont="1" applyAlignment="1">
      <alignment vertical="center"/>
    </xf>
    <xf numFmtId="43" fontId="14" fillId="0" borderId="0" xfId="12" applyFont="1" applyFill="1" applyBorder="1" applyAlignment="1">
      <alignment vertical="center"/>
    </xf>
    <xf numFmtId="1" fontId="14" fillId="0" borderId="0" xfId="12" applyNumberFormat="1" applyFont="1" applyFill="1" applyBorder="1" applyAlignment="1">
      <alignment vertical="center"/>
    </xf>
    <xf numFmtId="168" fontId="14" fillId="0" borderId="0" xfId="1" applyNumberFormat="1" applyFont="1" applyFill="1" applyBorder="1" applyAlignment="1">
      <alignment horizontal="center" vertical="center"/>
    </xf>
    <xf numFmtId="168" fontId="36" fillId="0" borderId="0" xfId="0" applyNumberFormat="1" applyFont="1" applyAlignment="1">
      <alignment vertical="center"/>
    </xf>
    <xf numFmtId="171" fontId="9" fillId="0" borderId="0" xfId="29" applyNumberFormat="1" applyFont="1" applyFill="1" applyBorder="1" applyAlignment="1">
      <alignment vertical="center"/>
    </xf>
    <xf numFmtId="9" fontId="14" fillId="0" borderId="0" xfId="1" applyFont="1" applyFill="1" applyBorder="1" applyAlignment="1">
      <alignment horizontal="center" vertical="center"/>
    </xf>
    <xf numFmtId="176" fontId="14" fillId="0" borderId="0" xfId="12" applyNumberFormat="1" applyFont="1" applyFill="1" applyBorder="1" applyAlignment="1">
      <alignment vertical="center"/>
    </xf>
    <xf numFmtId="176" fontId="9" fillId="0" borderId="0" xfId="12" applyNumberFormat="1" applyFont="1" applyFill="1" applyBorder="1" applyAlignment="1">
      <alignment vertical="center"/>
    </xf>
    <xf numFmtId="9" fontId="14" fillId="0" borderId="0" xfId="1" applyFont="1" applyFill="1" applyBorder="1" applyAlignment="1">
      <alignment vertical="center"/>
    </xf>
    <xf numFmtId="9" fontId="7" fillId="0" borderId="0" xfId="1" applyFont="1" applyFill="1" applyBorder="1" applyAlignment="1">
      <alignment vertical="center"/>
    </xf>
    <xf numFmtId="43" fontId="7" fillId="0" borderId="0" xfId="12" applyFont="1" applyFill="1" applyBorder="1" applyAlignment="1">
      <alignment vertical="center"/>
    </xf>
    <xf numFmtId="1" fontId="7" fillId="0" borderId="0" xfId="12" applyNumberFormat="1" applyFont="1" applyFill="1" applyBorder="1" applyAlignment="1">
      <alignment vertical="center"/>
    </xf>
    <xf numFmtId="0" fontId="73" fillId="4" borderId="0" xfId="0" applyFont="1" applyFill="1" applyAlignment="1">
      <alignment horizontal="center" vertical="center"/>
    </xf>
    <xf numFmtId="0" fontId="6" fillId="4" borderId="0" xfId="0" applyFont="1" applyFill="1" applyAlignment="1">
      <alignment vertical="center"/>
    </xf>
    <xf numFmtId="0" fontId="7" fillId="4" borderId="0" xfId="0" applyFont="1" applyFill="1" applyAlignment="1">
      <alignment vertical="center"/>
    </xf>
    <xf numFmtId="43" fontId="102" fillId="4" borderId="0" xfId="29" applyFont="1" applyFill="1" applyBorder="1" applyAlignment="1">
      <alignment horizontal="center" vertical="center"/>
    </xf>
    <xf numFmtId="43" fontId="102" fillId="4" borderId="0" xfId="29" applyFont="1" applyFill="1" applyBorder="1" applyAlignment="1">
      <alignment vertical="center"/>
    </xf>
    <xf numFmtId="171" fontId="9" fillId="4" borderId="0" xfId="12" applyNumberFormat="1" applyFont="1" applyFill="1" applyBorder="1" applyAlignment="1">
      <alignment vertical="center"/>
    </xf>
    <xf numFmtId="168" fontId="9" fillId="4" borderId="0" xfId="0" applyNumberFormat="1" applyFont="1" applyFill="1" applyAlignment="1">
      <alignment horizontal="center" vertical="center"/>
    </xf>
    <xf numFmtId="9" fontId="9" fillId="4" borderId="0" xfId="14" applyFont="1" applyFill="1" applyBorder="1" applyAlignment="1">
      <alignment vertical="center"/>
    </xf>
    <xf numFmtId="165" fontId="9" fillId="4" borderId="0" xfId="0" applyNumberFormat="1" applyFont="1" applyFill="1" applyAlignment="1">
      <alignment horizontal="center" vertical="center"/>
    </xf>
    <xf numFmtId="1" fontId="9" fillId="4" borderId="0" xfId="11" applyNumberFormat="1" applyFont="1" applyFill="1" applyAlignment="1">
      <alignment vertical="center"/>
    </xf>
    <xf numFmtId="1" fontId="9" fillId="4" borderId="0" xfId="12" applyNumberFormat="1" applyFont="1" applyFill="1" applyBorder="1" applyAlignment="1">
      <alignment vertical="center"/>
    </xf>
    <xf numFmtId="9" fontId="9" fillId="4" borderId="0" xfId="1" applyFont="1" applyFill="1" applyBorder="1" applyAlignment="1">
      <alignment horizontal="center" vertical="center"/>
    </xf>
    <xf numFmtId="176" fontId="9" fillId="4" borderId="0" xfId="11" applyNumberFormat="1" applyFont="1" applyFill="1" applyAlignment="1">
      <alignment vertical="center"/>
    </xf>
    <xf numFmtId="176" fontId="9" fillId="4" borderId="0" xfId="12" applyNumberFormat="1" applyFont="1" applyFill="1" applyBorder="1" applyAlignment="1">
      <alignment vertical="center"/>
    </xf>
    <xf numFmtId="171" fontId="9" fillId="4" borderId="0" xfId="29" applyNumberFormat="1" applyFont="1" applyFill="1" applyBorder="1" applyAlignment="1">
      <alignment vertical="center"/>
    </xf>
    <xf numFmtId="9" fontId="9" fillId="4" borderId="0" xfId="1" applyFont="1" applyFill="1" applyBorder="1" applyAlignment="1">
      <alignment vertical="center"/>
    </xf>
    <xf numFmtId="171" fontId="73" fillId="4" borderId="0" xfId="29" applyNumberFormat="1" applyFont="1" applyFill="1" applyBorder="1" applyAlignment="1">
      <alignment vertical="center"/>
    </xf>
    <xf numFmtId="171" fontId="73" fillId="4" borderId="0" xfId="12" applyNumberFormat="1" applyFont="1" applyFill="1" applyBorder="1" applyAlignment="1">
      <alignment vertical="center"/>
    </xf>
    <xf numFmtId="9" fontId="7" fillId="4" borderId="0" xfId="1" applyFont="1" applyFill="1" applyBorder="1" applyAlignment="1">
      <alignment vertical="center"/>
    </xf>
    <xf numFmtId="165" fontId="7" fillId="4" borderId="0" xfId="0" applyNumberFormat="1" applyFont="1" applyFill="1" applyAlignment="1">
      <alignment horizontal="center" vertical="center"/>
    </xf>
    <xf numFmtId="1" fontId="7" fillId="4" borderId="0" xfId="12" applyNumberFormat="1" applyFont="1" applyFill="1" applyBorder="1" applyAlignment="1">
      <alignment vertical="center"/>
    </xf>
    <xf numFmtId="0" fontId="7" fillId="0" borderId="0" xfId="0" applyFont="1" applyAlignment="1">
      <alignment horizontal="right" vertical="center"/>
    </xf>
    <xf numFmtId="171" fontId="14" fillId="0" borderId="0" xfId="29" applyNumberFormat="1" applyFont="1" applyFill="1" applyBorder="1" applyAlignment="1">
      <alignment horizontal="center" vertical="center"/>
    </xf>
    <xf numFmtId="43" fontId="103" fillId="0" borderId="0" xfId="29" applyFont="1" applyFill="1" applyBorder="1" applyAlignment="1">
      <alignment horizontal="center" vertical="center"/>
    </xf>
    <xf numFmtId="171" fontId="14" fillId="0" borderId="0" xfId="12" applyNumberFormat="1" applyFont="1" applyBorder="1" applyAlignment="1">
      <alignment vertical="center"/>
    </xf>
    <xf numFmtId="168" fontId="84" fillId="0" borderId="0" xfId="0" applyNumberFormat="1" applyFont="1" applyAlignment="1">
      <alignment horizontal="center" vertical="center"/>
    </xf>
    <xf numFmtId="168" fontId="84" fillId="0" borderId="0" xfId="0" applyNumberFormat="1" applyFont="1" applyAlignment="1">
      <alignment vertical="center"/>
    </xf>
    <xf numFmtId="9" fontId="14" fillId="0" borderId="0" xfId="14" applyFont="1" applyBorder="1" applyAlignment="1">
      <alignment vertical="center"/>
    </xf>
    <xf numFmtId="165" fontId="14" fillId="0" borderId="0" xfId="0" applyNumberFormat="1" applyFont="1" applyAlignment="1">
      <alignment horizontal="center" vertical="center"/>
    </xf>
    <xf numFmtId="43" fontId="103" fillId="0" borderId="0" xfId="29" applyFont="1" applyFill="1" applyBorder="1" applyAlignment="1">
      <alignment vertical="center"/>
    </xf>
    <xf numFmtId="168" fontId="14" fillId="0" borderId="0" xfId="1" applyNumberFormat="1" applyFont="1" applyBorder="1" applyAlignment="1">
      <alignment horizontal="center" vertical="center"/>
    </xf>
    <xf numFmtId="168" fontId="14" fillId="0" borderId="0" xfId="0" applyNumberFormat="1" applyFont="1" applyAlignment="1">
      <alignment vertical="center"/>
    </xf>
    <xf numFmtId="171" fontId="14" fillId="0" borderId="0" xfId="29" applyNumberFormat="1" applyFont="1" applyFill="1" applyBorder="1" applyAlignment="1">
      <alignment vertical="center"/>
    </xf>
    <xf numFmtId="43" fontId="103" fillId="0" borderId="0" xfId="29" applyFont="1" applyBorder="1" applyAlignment="1">
      <alignment horizontal="center" vertical="center"/>
    </xf>
    <xf numFmtId="9" fontId="14" fillId="0" borderId="0" xfId="1" applyFont="1" applyBorder="1" applyAlignment="1">
      <alignment horizontal="center" vertical="center"/>
    </xf>
    <xf numFmtId="176" fontId="14" fillId="0" borderId="0" xfId="12" applyNumberFormat="1" applyFont="1" applyBorder="1" applyAlignment="1">
      <alignment vertical="center"/>
    </xf>
    <xf numFmtId="9" fontId="14" fillId="0" borderId="0" xfId="1" applyFont="1" applyBorder="1" applyAlignment="1">
      <alignment vertical="center"/>
    </xf>
    <xf numFmtId="43" fontId="103" fillId="0" borderId="0" xfId="29" applyFont="1" applyBorder="1" applyAlignment="1">
      <alignment vertical="center"/>
    </xf>
    <xf numFmtId="171" fontId="7" fillId="0" borderId="0" xfId="12" applyNumberFormat="1" applyFont="1" applyBorder="1" applyAlignment="1">
      <alignment vertical="center"/>
    </xf>
    <xf numFmtId="165" fontId="7" fillId="0" borderId="0" xfId="0" applyNumberFormat="1" applyFont="1" applyAlignment="1">
      <alignment horizontal="center" vertical="center"/>
    </xf>
    <xf numFmtId="0" fontId="5" fillId="0" borderId="0" xfId="0" applyFont="1" applyAlignment="1">
      <alignment vertical="center" wrapText="1"/>
    </xf>
    <xf numFmtId="9" fontId="14" fillId="0" borderId="0" xfId="0" applyNumberFormat="1" applyFont="1" applyAlignment="1">
      <alignment horizontal="center" vertical="center"/>
    </xf>
    <xf numFmtId="0" fontId="14" fillId="0" borderId="0" xfId="11" applyFont="1" applyAlignment="1">
      <alignment vertical="center"/>
    </xf>
    <xf numFmtId="9" fontId="9" fillId="0" borderId="0" xfId="0" applyNumberFormat="1" applyFont="1" applyAlignment="1">
      <alignment horizontal="center" vertical="center"/>
    </xf>
    <xf numFmtId="43" fontId="14" fillId="0" borderId="0" xfId="29" applyFont="1" applyFill="1" applyBorder="1" applyAlignment="1">
      <alignment vertical="center"/>
    </xf>
    <xf numFmtId="171" fontId="9" fillId="0" borderId="0" xfId="29" applyNumberFormat="1" applyFont="1" applyBorder="1" applyAlignment="1">
      <alignment horizontal="center" vertical="center"/>
    </xf>
    <xf numFmtId="9" fontId="73" fillId="0" borderId="0" xfId="0" applyNumberFormat="1" applyFont="1" applyAlignment="1">
      <alignment horizontal="center" vertical="center"/>
    </xf>
    <xf numFmtId="9" fontId="7" fillId="4" borderId="0" xfId="0" applyNumberFormat="1" applyFont="1" applyFill="1" applyAlignment="1">
      <alignment horizontal="center" vertical="center"/>
    </xf>
    <xf numFmtId="0" fontId="92" fillId="0" borderId="0" xfId="0" applyFont="1" applyAlignment="1">
      <alignment vertical="center"/>
    </xf>
    <xf numFmtId="0" fontId="76" fillId="0" borderId="0" xfId="0" applyFont="1" applyAlignment="1">
      <alignment vertical="center"/>
    </xf>
    <xf numFmtId="168" fontId="84" fillId="0" borderId="0" xfId="1" applyNumberFormat="1" applyFont="1" applyBorder="1" applyAlignment="1">
      <alignment horizontal="center" vertical="center"/>
    </xf>
    <xf numFmtId="168" fontId="88" fillId="0" borderId="0" xfId="0" applyNumberFormat="1" applyFont="1" applyAlignment="1">
      <alignment vertical="center"/>
    </xf>
    <xf numFmtId="168" fontId="91" fillId="0" borderId="0" xfId="0" applyNumberFormat="1" applyFont="1" applyAlignment="1">
      <alignment vertical="center"/>
    </xf>
    <xf numFmtId="171" fontId="14" fillId="0" borderId="0" xfId="12" applyNumberFormat="1" applyFont="1" applyFill="1" applyBorder="1" applyAlignment="1">
      <alignment vertical="center"/>
    </xf>
    <xf numFmtId="9" fontId="14" fillId="0" borderId="0" xfId="14" applyFont="1" applyFill="1" applyBorder="1" applyAlignment="1">
      <alignment vertical="center"/>
    </xf>
    <xf numFmtId="1" fontId="14" fillId="0" borderId="0" xfId="13" applyNumberFormat="1" applyFont="1" applyFill="1" applyBorder="1" applyAlignment="1">
      <alignment vertical="center"/>
    </xf>
    <xf numFmtId="171" fontId="7" fillId="0" borderId="0" xfId="12" applyNumberFormat="1" applyFont="1" applyFill="1" applyBorder="1" applyAlignment="1">
      <alignment vertical="center"/>
    </xf>
    <xf numFmtId="168" fontId="86" fillId="4" borderId="0" xfId="0" applyNumberFormat="1" applyFont="1" applyFill="1" applyAlignment="1">
      <alignment horizontal="center" vertical="center"/>
    </xf>
    <xf numFmtId="168" fontId="82" fillId="4" borderId="0" xfId="0" applyNumberFormat="1" applyFont="1" applyFill="1" applyAlignment="1">
      <alignment horizontal="center" vertical="center"/>
    </xf>
    <xf numFmtId="43" fontId="103" fillId="4" borderId="0" xfId="29" applyFont="1" applyFill="1" applyBorder="1" applyAlignment="1">
      <alignment vertical="center"/>
    </xf>
    <xf numFmtId="171" fontId="14" fillId="4" borderId="0" xfId="12" applyNumberFormat="1" applyFont="1" applyFill="1" applyBorder="1" applyAlignment="1">
      <alignment vertical="center"/>
    </xf>
    <xf numFmtId="9" fontId="14" fillId="4" borderId="0" xfId="14" applyFont="1" applyFill="1" applyBorder="1" applyAlignment="1">
      <alignment vertical="center"/>
    </xf>
    <xf numFmtId="165" fontId="14" fillId="4" borderId="0" xfId="0" applyNumberFormat="1" applyFont="1" applyFill="1" applyAlignment="1">
      <alignment horizontal="center" vertical="center"/>
    </xf>
    <xf numFmtId="1" fontId="14" fillId="4" borderId="0" xfId="11" applyNumberFormat="1" applyFont="1" applyFill="1" applyAlignment="1">
      <alignment vertical="center"/>
    </xf>
    <xf numFmtId="1" fontId="14" fillId="4" borderId="0" xfId="12" applyNumberFormat="1" applyFont="1" applyFill="1" applyBorder="1" applyAlignment="1">
      <alignment vertical="center"/>
    </xf>
    <xf numFmtId="168" fontId="14" fillId="4" borderId="0" xfId="0" applyNumberFormat="1" applyFont="1" applyFill="1" applyAlignment="1">
      <alignment horizontal="center" vertical="center"/>
    </xf>
    <xf numFmtId="9" fontId="14" fillId="4" borderId="0" xfId="1" applyFont="1" applyFill="1" applyBorder="1" applyAlignment="1">
      <alignment horizontal="center" vertical="center"/>
    </xf>
    <xf numFmtId="176" fontId="14" fillId="4" borderId="0" xfId="11" applyNumberFormat="1" applyFont="1" applyFill="1" applyAlignment="1">
      <alignment vertical="center"/>
    </xf>
    <xf numFmtId="176" fontId="14" fillId="4" borderId="0" xfId="12" applyNumberFormat="1" applyFont="1" applyFill="1" applyBorder="1" applyAlignment="1">
      <alignment vertical="center"/>
    </xf>
    <xf numFmtId="9" fontId="14" fillId="4" borderId="0" xfId="1" applyFont="1" applyFill="1" applyBorder="1" applyAlignment="1">
      <alignment vertical="center"/>
    </xf>
    <xf numFmtId="171" fontId="9" fillId="0" borderId="0" xfId="12" applyNumberFormat="1" applyFont="1" applyBorder="1" applyAlignment="1">
      <alignment vertical="center"/>
    </xf>
    <xf numFmtId="176" fontId="14" fillId="20" borderId="0" xfId="12" applyNumberFormat="1" applyFont="1" applyFill="1" applyBorder="1" applyAlignment="1">
      <alignment vertical="center"/>
    </xf>
    <xf numFmtId="171" fontId="14" fillId="0" borderId="0" xfId="29" applyNumberFormat="1" applyFont="1" applyBorder="1" applyAlignment="1">
      <alignment horizontal="center" vertical="center"/>
    </xf>
    <xf numFmtId="169" fontId="14" fillId="0" borderId="0" xfId="1" applyNumberFormat="1" applyFont="1" applyBorder="1" applyAlignment="1">
      <alignment horizontal="center" vertical="center"/>
    </xf>
    <xf numFmtId="1" fontId="14" fillId="0" borderId="0" xfId="11" applyNumberFormat="1" applyFont="1" applyAlignment="1">
      <alignment vertical="center"/>
    </xf>
    <xf numFmtId="176" fontId="14" fillId="0" borderId="0" xfId="11" applyNumberFormat="1" applyFont="1" applyAlignment="1">
      <alignment vertical="center"/>
    </xf>
    <xf numFmtId="171" fontId="14" fillId="4" borderId="0" xfId="29" applyNumberFormat="1" applyFont="1" applyFill="1" applyBorder="1" applyAlignment="1">
      <alignment vertical="center"/>
    </xf>
    <xf numFmtId="1" fontId="7" fillId="4" borderId="0" xfId="11" applyNumberFormat="1" applyFont="1" applyFill="1" applyAlignment="1">
      <alignment vertical="center"/>
    </xf>
    <xf numFmtId="9" fontId="86" fillId="0" borderId="0" xfId="1" applyFont="1" applyBorder="1" applyAlignment="1">
      <alignment horizontal="center" vertical="center"/>
    </xf>
    <xf numFmtId="43" fontId="102" fillId="0" borderId="0" xfId="29" applyFont="1" applyFill="1" applyBorder="1" applyAlignment="1">
      <alignment vertical="center"/>
    </xf>
    <xf numFmtId="171" fontId="86" fillId="0" borderId="0" xfId="29" applyNumberFormat="1" applyFont="1" applyFill="1" applyBorder="1" applyAlignment="1">
      <alignment vertical="center"/>
    </xf>
    <xf numFmtId="43" fontId="79" fillId="0" borderId="0" xfId="29" applyFont="1" applyBorder="1" applyAlignment="1">
      <alignment horizontal="center" vertical="center"/>
    </xf>
    <xf numFmtId="0" fontId="9" fillId="4" borderId="0" xfId="0" applyFont="1" applyFill="1" applyAlignment="1">
      <alignment horizontal="center" vertical="center"/>
    </xf>
    <xf numFmtId="0" fontId="97" fillId="4" borderId="0" xfId="0" applyFont="1" applyFill="1" applyAlignment="1">
      <alignment vertical="center"/>
    </xf>
    <xf numFmtId="9" fontId="102" fillId="4" borderId="0" xfId="1" applyFont="1" applyFill="1" applyBorder="1" applyAlignment="1">
      <alignment horizontal="center" vertical="center"/>
    </xf>
    <xf numFmtId="171" fontId="82" fillId="4" borderId="0" xfId="29" applyNumberFormat="1" applyFont="1" applyFill="1" applyBorder="1" applyAlignment="1">
      <alignment vertical="center"/>
    </xf>
    <xf numFmtId="9" fontId="82" fillId="4" borderId="0" xfId="1" applyFont="1" applyFill="1" applyBorder="1" applyAlignment="1">
      <alignment vertical="center"/>
    </xf>
    <xf numFmtId="1" fontId="7" fillId="0" borderId="0" xfId="0" applyNumberFormat="1" applyFont="1" applyAlignment="1">
      <alignment horizontal="right" vertical="center"/>
    </xf>
    <xf numFmtId="1" fontId="14" fillId="0" borderId="0" xfId="0" applyNumberFormat="1" applyFont="1" applyAlignment="1">
      <alignment horizontal="right" vertical="center"/>
    </xf>
    <xf numFmtId="0" fontId="97" fillId="0" borderId="0" xfId="0" applyFont="1" applyAlignment="1">
      <alignment vertical="center"/>
    </xf>
    <xf numFmtId="43" fontId="107" fillId="0" borderId="0" xfId="29" applyFont="1" applyBorder="1" applyAlignment="1">
      <alignment vertical="center"/>
    </xf>
    <xf numFmtId="171" fontId="22" fillId="0" borderId="0" xfId="12" applyNumberFormat="1" applyFont="1" applyBorder="1" applyAlignment="1">
      <alignment vertical="center"/>
    </xf>
    <xf numFmtId="9" fontId="84" fillId="0" borderId="0" xfId="1" applyFont="1" applyBorder="1" applyAlignment="1">
      <alignment horizontal="center" vertical="center"/>
    </xf>
    <xf numFmtId="9" fontId="103" fillId="0" borderId="0" xfId="1" applyFont="1" applyBorder="1" applyAlignment="1">
      <alignment vertical="center"/>
    </xf>
    <xf numFmtId="9" fontId="103" fillId="0" borderId="0" xfId="1" applyFont="1" applyBorder="1" applyAlignment="1">
      <alignment horizontal="center" vertical="center"/>
    </xf>
    <xf numFmtId="43" fontId="103" fillId="20" borderId="0" xfId="29" applyFont="1" applyFill="1" applyBorder="1" applyAlignment="1">
      <alignment vertical="center"/>
    </xf>
    <xf numFmtId="9" fontId="0" fillId="0" borderId="0" xfId="1" applyFont="1" applyBorder="1" applyAlignment="1">
      <alignment horizontal="center" vertical="center"/>
    </xf>
    <xf numFmtId="171" fontId="33" fillId="0" borderId="0" xfId="12" applyNumberFormat="1" applyFont="1" applyBorder="1" applyAlignment="1">
      <alignment vertical="center"/>
    </xf>
    <xf numFmtId="9" fontId="33" fillId="0" borderId="0" xfId="1" applyFont="1" applyBorder="1" applyAlignment="1">
      <alignment vertical="center"/>
    </xf>
    <xf numFmtId="43" fontId="113" fillId="0" borderId="0" xfId="29" applyFont="1" applyBorder="1" applyAlignment="1">
      <alignment vertical="center"/>
    </xf>
    <xf numFmtId="171" fontId="7" fillId="0" borderId="0" xfId="11" applyNumberFormat="1" applyFont="1" applyAlignment="1">
      <alignment vertical="center"/>
    </xf>
    <xf numFmtId="9" fontId="103" fillId="0" borderId="0" xfId="1" applyFont="1" applyFill="1" applyBorder="1" applyAlignment="1">
      <alignment vertical="center"/>
    </xf>
    <xf numFmtId="1" fontId="22" fillId="0" borderId="0" xfId="0" applyNumberFormat="1" applyFont="1" applyAlignment="1">
      <alignment horizontal="right" vertical="center"/>
    </xf>
    <xf numFmtId="0" fontId="99" fillId="0" borderId="0" xfId="0" applyFont="1" applyAlignment="1">
      <alignment vertical="center"/>
    </xf>
    <xf numFmtId="43" fontId="107" fillId="0" borderId="0" xfId="29" applyFont="1" applyFill="1" applyBorder="1" applyAlignment="1">
      <alignment horizontal="center" vertical="center"/>
    </xf>
    <xf numFmtId="43" fontId="107" fillId="0" borderId="0" xfId="29" applyFont="1" applyFill="1" applyBorder="1" applyAlignment="1">
      <alignment vertical="center"/>
    </xf>
    <xf numFmtId="9" fontId="85" fillId="0" borderId="0" xfId="1" applyFont="1" applyBorder="1" applyAlignment="1">
      <alignment horizontal="center" vertical="center"/>
    </xf>
    <xf numFmtId="168" fontId="85" fillId="0" borderId="0" xfId="0" applyNumberFormat="1" applyFont="1" applyAlignment="1">
      <alignment vertical="center"/>
    </xf>
    <xf numFmtId="9" fontId="107" fillId="0" borderId="0" xfId="1" applyFont="1" applyBorder="1" applyAlignment="1">
      <alignment vertical="center"/>
    </xf>
    <xf numFmtId="165" fontId="22" fillId="0" borderId="0" xfId="0" applyNumberFormat="1" applyFont="1" applyAlignment="1">
      <alignment horizontal="center" vertical="center"/>
    </xf>
    <xf numFmtId="1" fontId="22" fillId="0" borderId="0" xfId="12" applyNumberFormat="1" applyFont="1" applyFill="1" applyBorder="1" applyAlignment="1">
      <alignment vertical="center"/>
    </xf>
    <xf numFmtId="168" fontId="22" fillId="0" borderId="0" xfId="0" applyNumberFormat="1" applyFont="1" applyAlignment="1">
      <alignment vertical="center"/>
    </xf>
    <xf numFmtId="43" fontId="107" fillId="0" borderId="0" xfId="29" applyFont="1" applyBorder="1" applyAlignment="1">
      <alignment horizontal="center" vertical="center"/>
    </xf>
    <xf numFmtId="43" fontId="107" fillId="20" borderId="0" xfId="29" applyFont="1" applyFill="1" applyBorder="1" applyAlignment="1">
      <alignment vertical="center"/>
    </xf>
    <xf numFmtId="176" fontId="22" fillId="0" borderId="0" xfId="12" applyNumberFormat="1" applyFont="1" applyFill="1" applyBorder="1" applyAlignment="1">
      <alignment vertical="center"/>
    </xf>
    <xf numFmtId="9" fontId="22" fillId="0" borderId="0" xfId="1" applyFont="1" applyBorder="1" applyAlignment="1">
      <alignment horizontal="center" vertical="center"/>
    </xf>
    <xf numFmtId="165" fontId="33" fillId="0" borderId="0" xfId="0" applyNumberFormat="1" applyFont="1" applyAlignment="1">
      <alignment horizontal="center" vertical="center"/>
    </xf>
    <xf numFmtId="2" fontId="73" fillId="0" borderId="0" xfId="0" applyNumberFormat="1" applyFont="1" applyAlignment="1">
      <alignment horizontal="right" vertical="center"/>
    </xf>
    <xf numFmtId="2" fontId="9" fillId="0" borderId="0" xfId="0" applyNumberFormat="1" applyFont="1" applyAlignment="1">
      <alignment horizontal="right" vertical="center"/>
    </xf>
    <xf numFmtId="9" fontId="9" fillId="0" borderId="0" xfId="1" applyFont="1" applyBorder="1" applyAlignment="1">
      <alignment horizontal="center" vertical="center"/>
    </xf>
    <xf numFmtId="168" fontId="9" fillId="0" borderId="0" xfId="0" applyNumberFormat="1" applyFont="1" applyAlignment="1">
      <alignment horizontal="center" vertical="center"/>
    </xf>
    <xf numFmtId="171" fontId="0" fillId="0" borderId="0" xfId="29" applyNumberFormat="1" applyFont="1" applyBorder="1" applyAlignment="1">
      <alignment horizontal="center" vertical="center"/>
    </xf>
    <xf numFmtId="1" fontId="22" fillId="0" borderId="0" xfId="11" applyNumberFormat="1" applyFont="1" applyAlignment="1">
      <alignment vertical="center"/>
    </xf>
    <xf numFmtId="9" fontId="26" fillId="0" borderId="0" xfId="0" applyNumberFormat="1" applyFont="1" applyAlignment="1">
      <alignment horizontal="center" vertical="center"/>
    </xf>
    <xf numFmtId="171" fontId="77" fillId="0" borderId="0" xfId="12" applyNumberFormat="1" applyFont="1" applyFill="1" applyBorder="1" applyAlignment="1">
      <alignment vertical="center"/>
    </xf>
    <xf numFmtId="9" fontId="77" fillId="0" borderId="0" xfId="0" applyNumberFormat="1" applyFont="1" applyAlignment="1">
      <alignment horizontal="center" vertical="center"/>
    </xf>
    <xf numFmtId="43" fontId="108" fillId="27" borderId="0" xfId="29" applyFont="1" applyFill="1" applyBorder="1" applyAlignment="1">
      <alignment vertical="center"/>
    </xf>
    <xf numFmtId="1" fontId="33" fillId="0" borderId="0" xfId="0" applyNumberFormat="1" applyFont="1" applyAlignment="1">
      <alignment horizontal="right" vertical="center"/>
    </xf>
    <xf numFmtId="9" fontId="22" fillId="0" borderId="0" xfId="0" applyNumberFormat="1" applyFont="1" applyAlignment="1">
      <alignment horizontal="center" vertical="center"/>
    </xf>
    <xf numFmtId="9" fontId="33" fillId="0" borderId="0" xfId="0" applyNumberFormat="1" applyFont="1" applyAlignment="1">
      <alignment horizontal="center" vertical="center"/>
    </xf>
    <xf numFmtId="9" fontId="22" fillId="0" borderId="0" xfId="1" applyFont="1" applyFill="1" applyBorder="1" applyAlignment="1">
      <alignment horizontal="center" vertical="center"/>
    </xf>
    <xf numFmtId="176" fontId="14" fillId="20" borderId="0" xfId="11" applyNumberFormat="1" applyFont="1" applyFill="1" applyAlignment="1">
      <alignment vertical="center"/>
    </xf>
    <xf numFmtId="43" fontId="84" fillId="0" borderId="0" xfId="29" applyFont="1" applyBorder="1" applyAlignment="1">
      <alignment horizontal="center" vertical="center"/>
    </xf>
    <xf numFmtId="171" fontId="86" fillId="4" borderId="0" xfId="29" applyNumberFormat="1" applyFont="1" applyFill="1" applyBorder="1" applyAlignment="1">
      <alignment vertical="center"/>
    </xf>
    <xf numFmtId="9" fontId="86" fillId="4" borderId="0" xfId="1" applyFont="1" applyFill="1" applyBorder="1" applyAlignment="1">
      <alignment vertical="center"/>
    </xf>
    <xf numFmtId="9" fontId="102" fillId="4" borderId="0" xfId="1" applyFont="1" applyFill="1" applyBorder="1" applyAlignment="1">
      <alignment vertical="center"/>
    </xf>
    <xf numFmtId="9" fontId="107" fillId="0" borderId="0" xfId="1" applyFont="1" applyFill="1" applyBorder="1" applyAlignment="1">
      <alignment vertical="center"/>
    </xf>
    <xf numFmtId="171" fontId="22" fillId="0" borderId="0" xfId="12" applyNumberFormat="1" applyFont="1" applyFill="1" applyBorder="1" applyAlignment="1">
      <alignment vertical="center"/>
    </xf>
    <xf numFmtId="171" fontId="14" fillId="0" borderId="0" xfId="11" applyNumberFormat="1" applyFont="1" applyAlignment="1">
      <alignment vertical="center"/>
    </xf>
    <xf numFmtId="9" fontId="73" fillId="4" borderId="0" xfId="1" applyFont="1" applyFill="1" applyBorder="1" applyAlignment="1">
      <alignment vertical="center"/>
    </xf>
    <xf numFmtId="171" fontId="22" fillId="0" borderId="0" xfId="29" applyNumberFormat="1" applyFont="1" applyFill="1" applyBorder="1" applyAlignment="1">
      <alignment vertical="center"/>
    </xf>
    <xf numFmtId="176" fontId="22" fillId="0" borderId="0" xfId="11" applyNumberFormat="1" applyFont="1" applyAlignment="1">
      <alignment vertical="center"/>
    </xf>
    <xf numFmtId="176" fontId="22" fillId="20" borderId="0" xfId="12" applyNumberFormat="1" applyFont="1" applyFill="1" applyBorder="1" applyAlignment="1">
      <alignment vertical="center"/>
    </xf>
    <xf numFmtId="176" fontId="22" fillId="0" borderId="0" xfId="12" applyNumberFormat="1" applyFont="1" applyBorder="1" applyAlignment="1">
      <alignment vertical="center"/>
    </xf>
    <xf numFmtId="166" fontId="73" fillId="0" borderId="0" xfId="0" applyNumberFormat="1" applyFont="1" applyAlignment="1">
      <alignment horizontal="right" vertical="center"/>
    </xf>
    <xf numFmtId="166" fontId="9" fillId="0" borderId="0" xfId="0" applyNumberFormat="1" applyFont="1" applyAlignment="1">
      <alignment horizontal="right" vertical="center"/>
    </xf>
    <xf numFmtId="0" fontId="97" fillId="0" borderId="0" xfId="0" applyFont="1" applyAlignment="1">
      <alignment horizontal="left" vertical="center"/>
    </xf>
    <xf numFmtId="171" fontId="14" fillId="0" borderId="0" xfId="16" applyNumberFormat="1" applyFont="1" applyFill="1" applyBorder="1" applyAlignment="1">
      <alignment vertical="center"/>
    </xf>
    <xf numFmtId="1" fontId="14" fillId="0" borderId="0" xfId="16" applyNumberFormat="1" applyFont="1" applyFill="1" applyBorder="1" applyAlignment="1">
      <alignment vertical="center"/>
    </xf>
    <xf numFmtId="176" fontId="14" fillId="0" borderId="0" xfId="16" applyNumberFormat="1" applyFont="1" applyFill="1" applyBorder="1" applyAlignment="1">
      <alignment vertical="center"/>
    </xf>
    <xf numFmtId="176" fontId="14" fillId="20" borderId="0" xfId="16" applyNumberFormat="1" applyFont="1" applyFill="1" applyBorder="1" applyAlignment="1">
      <alignment vertical="center"/>
    </xf>
    <xf numFmtId="171" fontId="7" fillId="0" borderId="0" xfId="16" applyNumberFormat="1" applyFont="1" applyFill="1" applyBorder="1" applyAlignment="1">
      <alignment vertical="center"/>
    </xf>
    <xf numFmtId="1" fontId="7" fillId="0" borderId="0" xfId="16" applyNumberFormat="1" applyFont="1" applyFill="1" applyBorder="1" applyAlignment="1">
      <alignment vertical="center"/>
    </xf>
    <xf numFmtId="43" fontId="102" fillId="0" borderId="0" xfId="29" applyFont="1" applyBorder="1" applyAlignment="1">
      <alignment vertical="center"/>
    </xf>
    <xf numFmtId="0" fontId="9" fillId="0" borderId="0" xfId="0" applyFont="1" applyAlignment="1">
      <alignment horizontal="right" vertical="center"/>
    </xf>
    <xf numFmtId="177" fontId="103" fillId="0" borderId="0" xfId="29" applyNumberFormat="1" applyFont="1" applyFill="1" applyBorder="1" applyAlignment="1">
      <alignment vertical="center"/>
    </xf>
    <xf numFmtId="171" fontId="9" fillId="4" borderId="0" xfId="29" applyNumberFormat="1" applyFont="1" applyFill="1" applyBorder="1" applyAlignment="1">
      <alignment horizontal="center" vertical="center"/>
    </xf>
    <xf numFmtId="171" fontId="102" fillId="4" borderId="0" xfId="12" applyNumberFormat="1" applyFont="1" applyFill="1" applyBorder="1" applyAlignment="1">
      <alignment vertical="center"/>
    </xf>
    <xf numFmtId="9" fontId="102" fillId="4" borderId="0" xfId="29" applyNumberFormat="1" applyFont="1" applyFill="1" applyBorder="1" applyAlignment="1">
      <alignment horizontal="center" vertical="center"/>
    </xf>
    <xf numFmtId="171" fontId="22" fillId="0" borderId="0" xfId="11" applyNumberFormat="1" applyFont="1" applyAlignment="1">
      <alignment vertical="center"/>
    </xf>
    <xf numFmtId="176" fontId="22" fillId="20" borderId="0" xfId="11" applyNumberFormat="1" applyFont="1" applyFill="1" applyAlignment="1">
      <alignment vertical="center"/>
    </xf>
    <xf numFmtId="168" fontId="22" fillId="0" borderId="0" xfId="1" applyNumberFormat="1" applyFont="1" applyFill="1" applyBorder="1" applyAlignment="1">
      <alignment horizontal="center" vertical="center"/>
    </xf>
    <xf numFmtId="171" fontId="86" fillId="0" borderId="0" xfId="12" applyNumberFormat="1" applyFont="1" applyBorder="1" applyAlignment="1">
      <alignment vertical="center"/>
    </xf>
    <xf numFmtId="171" fontId="86" fillId="0" borderId="0" xfId="12" applyNumberFormat="1" applyFont="1" applyFill="1" applyBorder="1" applyAlignment="1">
      <alignment vertical="center"/>
    </xf>
    <xf numFmtId="171" fontId="74" fillId="0" borderId="0" xfId="29" applyNumberFormat="1" applyFont="1" applyBorder="1" applyAlignment="1">
      <alignment horizontal="center" vertical="center"/>
    </xf>
    <xf numFmtId="168" fontId="84" fillId="0" borderId="0" xfId="0" applyNumberFormat="1" applyFont="1" applyAlignment="1">
      <alignment vertical="center" wrapText="1"/>
    </xf>
    <xf numFmtId="171" fontId="78" fillId="0" borderId="0" xfId="12" applyNumberFormat="1" applyFont="1" applyFill="1" applyBorder="1" applyAlignment="1">
      <alignment vertical="center"/>
    </xf>
    <xf numFmtId="43" fontId="7" fillId="4" borderId="0" xfId="29" applyFont="1" applyFill="1" applyBorder="1" applyAlignment="1">
      <alignment vertical="center"/>
    </xf>
    <xf numFmtId="43" fontId="9" fillId="4" borderId="0" xfId="29" applyFont="1" applyFill="1" applyBorder="1" applyAlignment="1">
      <alignment horizontal="center" vertical="center"/>
    </xf>
    <xf numFmtId="43" fontId="9" fillId="4" borderId="0" xfId="29" applyFont="1" applyFill="1" applyBorder="1" applyAlignment="1">
      <alignment vertical="center"/>
    </xf>
    <xf numFmtId="43" fontId="82" fillId="4" borderId="0" xfId="29" applyFont="1" applyFill="1" applyBorder="1" applyAlignment="1">
      <alignment vertical="center"/>
    </xf>
    <xf numFmtId="43" fontId="7" fillId="0" borderId="0" xfId="29" applyFont="1" applyBorder="1" applyAlignment="1">
      <alignment vertical="center"/>
    </xf>
    <xf numFmtId="43" fontId="14" fillId="0" borderId="0" xfId="29" applyFont="1" applyBorder="1" applyAlignment="1">
      <alignment horizontal="right" vertical="center"/>
    </xf>
    <xf numFmtId="43" fontId="84" fillId="0" borderId="0" xfId="29" applyFont="1" applyBorder="1" applyAlignment="1">
      <alignment vertical="center"/>
    </xf>
    <xf numFmtId="43" fontId="14" fillId="0" borderId="0" xfId="29" applyFont="1" applyFill="1" applyBorder="1" applyAlignment="1">
      <alignment horizontal="center" vertical="center"/>
    </xf>
    <xf numFmtId="43" fontId="14" fillId="0" borderId="0" xfId="29" applyFont="1" applyBorder="1" applyAlignment="1">
      <alignment vertical="center"/>
    </xf>
    <xf numFmtId="43" fontId="22" fillId="0" borderId="0" xfId="29" applyFont="1" applyBorder="1" applyAlignment="1">
      <alignment vertical="center"/>
    </xf>
    <xf numFmtId="43" fontId="14" fillId="0" borderId="0" xfId="29" applyFont="1" applyBorder="1" applyAlignment="1">
      <alignment horizontal="center" vertical="center"/>
    </xf>
    <xf numFmtId="43" fontId="0" fillId="0" borderId="0" xfId="29" applyFont="1" applyBorder="1" applyAlignment="1">
      <alignment horizontal="center" vertical="center"/>
    </xf>
    <xf numFmtId="43" fontId="33" fillId="0" borderId="0" xfId="29" applyFont="1" applyBorder="1" applyAlignment="1">
      <alignment vertical="center"/>
    </xf>
    <xf numFmtId="9" fontId="106" fillId="0" borderId="0" xfId="1" applyFont="1" applyBorder="1" applyAlignment="1">
      <alignment vertical="center"/>
    </xf>
    <xf numFmtId="43" fontId="7" fillId="0" borderId="0" xfId="29" applyFont="1" applyBorder="1" applyAlignment="1">
      <alignment horizontal="center" vertical="center"/>
    </xf>
    <xf numFmtId="43" fontId="7" fillId="0" borderId="0" xfId="29" applyFont="1" applyFill="1" applyBorder="1" applyAlignment="1">
      <alignment vertical="center"/>
    </xf>
    <xf numFmtId="9" fontId="105" fillId="0" borderId="0" xfId="1" applyFont="1" applyFill="1" applyBorder="1" applyAlignment="1">
      <alignment vertical="center"/>
    </xf>
    <xf numFmtId="9" fontId="84" fillId="0" borderId="0" xfId="29" applyNumberFormat="1" applyFont="1" applyBorder="1" applyAlignment="1">
      <alignment horizontal="center" vertical="center"/>
    </xf>
    <xf numFmtId="43" fontId="9" fillId="0" borderId="0" xfId="29" applyFont="1" applyBorder="1" applyAlignment="1">
      <alignment horizontal="center" vertical="center"/>
    </xf>
    <xf numFmtId="9" fontId="105" fillId="0" borderId="0" xfId="1" applyFont="1" applyBorder="1" applyAlignment="1">
      <alignment vertical="center"/>
    </xf>
    <xf numFmtId="43" fontId="73" fillId="0" borderId="0" xfId="29" applyFont="1" applyBorder="1" applyAlignment="1">
      <alignment horizontal="center" vertical="center"/>
    </xf>
    <xf numFmtId="43" fontId="22" fillId="0" borderId="0" xfId="29" applyFont="1" applyBorder="1" applyAlignment="1">
      <alignment horizontal="right" vertical="center"/>
    </xf>
    <xf numFmtId="43" fontId="85" fillId="0" borderId="0" xfId="29" applyFont="1" applyBorder="1" applyAlignment="1">
      <alignment horizontal="center" vertical="center"/>
    </xf>
    <xf numFmtId="43" fontId="85" fillId="0" borderId="0" xfId="29" applyFont="1" applyBorder="1" applyAlignment="1">
      <alignment vertical="center"/>
    </xf>
    <xf numFmtId="171" fontId="22" fillId="0" borderId="0" xfId="29" applyNumberFormat="1" applyFont="1" applyFill="1" applyBorder="1" applyAlignment="1">
      <alignment horizontal="center" vertical="center"/>
    </xf>
    <xf numFmtId="43" fontId="22" fillId="0" borderId="0" xfId="29" applyFont="1" applyFill="1" applyBorder="1" applyAlignment="1">
      <alignment horizontal="center" vertical="center"/>
    </xf>
    <xf numFmtId="9" fontId="22" fillId="0" borderId="0" xfId="14" applyFont="1" applyBorder="1" applyAlignment="1">
      <alignment vertical="center"/>
    </xf>
    <xf numFmtId="168" fontId="22" fillId="0" borderId="0" xfId="1" applyNumberFormat="1" applyFont="1" applyBorder="1" applyAlignment="1">
      <alignment horizontal="center" vertical="center"/>
    </xf>
    <xf numFmtId="43" fontId="22" fillId="0" borderId="0" xfId="29" applyFont="1" applyBorder="1" applyAlignment="1">
      <alignment horizontal="center" vertical="center"/>
    </xf>
    <xf numFmtId="1" fontId="33" fillId="0" borderId="0" xfId="11" applyNumberFormat="1" applyFont="1" applyAlignment="1">
      <alignment vertical="center"/>
    </xf>
    <xf numFmtId="1" fontId="33" fillId="0" borderId="0" xfId="12" applyNumberFormat="1" applyFont="1" applyFill="1" applyBorder="1" applyAlignment="1">
      <alignment vertical="center"/>
    </xf>
    <xf numFmtId="0" fontId="75" fillId="3" borderId="0" xfId="0" applyFont="1" applyFill="1" applyAlignment="1">
      <alignment horizontal="left" vertical="center" wrapText="1"/>
    </xf>
    <xf numFmtId="0" fontId="75" fillId="3" borderId="0" xfId="0" applyFont="1" applyFill="1" applyAlignment="1">
      <alignment horizontal="left" vertical="center"/>
    </xf>
    <xf numFmtId="171" fontId="75" fillId="3" borderId="0" xfId="29" applyNumberFormat="1" applyFont="1" applyFill="1" applyBorder="1" applyAlignment="1">
      <alignment horizontal="center" vertical="center"/>
    </xf>
    <xf numFmtId="168" fontId="75" fillId="3" borderId="0" xfId="0" applyNumberFormat="1" applyFont="1" applyFill="1" applyAlignment="1">
      <alignment horizontal="left" vertical="center"/>
    </xf>
    <xf numFmtId="171" fontId="75" fillId="3" borderId="0" xfId="29" applyNumberFormat="1" applyFont="1" applyFill="1" applyBorder="1" applyAlignment="1">
      <alignment horizontal="left" vertical="center"/>
    </xf>
    <xf numFmtId="9" fontId="75" fillId="3" borderId="0" xfId="1" applyFont="1" applyFill="1" applyBorder="1" applyAlignment="1">
      <alignment horizontal="center" vertical="center"/>
    </xf>
    <xf numFmtId="176" fontId="75" fillId="3" borderId="0" xfId="0" applyNumberFormat="1" applyFont="1" applyFill="1" applyAlignment="1">
      <alignment horizontal="left" vertical="center"/>
    </xf>
    <xf numFmtId="9" fontId="7" fillId="0" borderId="0" xfId="1" applyFont="1" applyBorder="1" applyAlignment="1">
      <alignment horizontal="center" vertical="center"/>
    </xf>
    <xf numFmtId="176" fontId="7" fillId="0" borderId="0" xfId="11" applyNumberFormat="1" applyFont="1" applyAlignment="1">
      <alignment vertical="center"/>
    </xf>
    <xf numFmtId="176" fontId="7" fillId="20" borderId="0" xfId="11" applyNumberFormat="1" applyFont="1" applyFill="1" applyAlignment="1">
      <alignment vertical="center"/>
    </xf>
    <xf numFmtId="9" fontId="102" fillId="0" borderId="0" xfId="29" applyNumberFormat="1" applyFont="1" applyBorder="1" applyAlignment="1">
      <alignment horizontal="center" vertical="center"/>
    </xf>
    <xf numFmtId="43" fontId="7" fillId="0" borderId="0" xfId="0" applyNumberFormat="1" applyFont="1" applyAlignment="1">
      <alignment vertical="center"/>
    </xf>
    <xf numFmtId="0" fontId="15" fillId="3" borderId="0" xfId="0" applyFont="1" applyFill="1" applyAlignment="1">
      <alignment horizontal="center" vertical="center" wrapText="1"/>
    </xf>
    <xf numFmtId="0" fontId="111" fillId="3" borderId="0" xfId="0" applyFont="1" applyFill="1" applyAlignment="1">
      <alignment horizontal="right" vertical="center" wrapText="1"/>
    </xf>
    <xf numFmtId="2" fontId="89" fillId="0" borderId="0" xfId="11" applyNumberFormat="1" applyFont="1" applyAlignment="1">
      <alignment horizontal="center" vertical="center" wrapText="1"/>
    </xf>
    <xf numFmtId="0" fontId="15" fillId="5" borderId="0" xfId="0" applyFont="1" applyFill="1" applyAlignment="1">
      <alignment horizontal="left" vertical="center" wrapText="1"/>
    </xf>
    <xf numFmtId="0" fontId="109" fillId="3" borderId="0" xfId="0" applyFont="1" applyFill="1" applyAlignment="1">
      <alignment horizontal="center" vertical="center" wrapText="1"/>
    </xf>
    <xf numFmtId="0" fontId="15" fillId="5" borderId="0" xfId="0" applyFont="1" applyFill="1" applyAlignment="1">
      <alignment horizontal="left" vertical="center"/>
    </xf>
    <xf numFmtId="0" fontId="100" fillId="3" borderId="16" xfId="0" applyFont="1" applyFill="1" applyBorder="1" applyAlignment="1">
      <alignment horizontal="left" vertical="center" wrapText="1"/>
    </xf>
    <xf numFmtId="0" fontId="15" fillId="3" borderId="16" xfId="0" applyFont="1" applyFill="1" applyBorder="1" applyAlignment="1">
      <alignment horizontal="left" vertical="center" wrapText="1"/>
    </xf>
    <xf numFmtId="0" fontId="15" fillId="5" borderId="16" xfId="0" applyFont="1" applyFill="1" applyBorder="1" applyAlignment="1">
      <alignment horizontal="left" vertical="center"/>
    </xf>
    <xf numFmtId="0" fontId="15" fillId="5" borderId="16" xfId="0" applyFont="1" applyFill="1" applyBorder="1" applyAlignment="1">
      <alignment horizontal="left" vertical="center" wrapText="1"/>
    </xf>
    <xf numFmtId="1" fontId="13" fillId="21" borderId="15" xfId="10" applyNumberFormat="1" applyFont="1" applyFill="1" applyBorder="1" applyAlignment="1">
      <alignment horizontal="center" vertical="center" wrapText="1"/>
    </xf>
    <xf numFmtId="0" fontId="13" fillId="0" borderId="15" xfId="5" applyFont="1" applyBorder="1" applyAlignment="1">
      <alignment horizontal="center" vertical="center"/>
    </xf>
    <xf numFmtId="166" fontId="13" fillId="0" borderId="15" xfId="5" applyNumberFormat="1" applyFont="1" applyBorder="1" applyAlignment="1">
      <alignment horizontal="center" vertical="center"/>
    </xf>
    <xf numFmtId="1" fontId="13" fillId="0" borderId="0" xfId="10" applyNumberFormat="1" applyFont="1" applyAlignment="1">
      <alignment horizontal="center" vertical="center" wrapText="1"/>
    </xf>
    <xf numFmtId="0" fontId="13" fillId="0" borderId="0" xfId="5" applyFont="1" applyAlignment="1">
      <alignment horizontal="center" vertical="center"/>
    </xf>
    <xf numFmtId="1" fontId="13" fillId="0" borderId="0" xfId="5" applyNumberFormat="1" applyFont="1" applyAlignment="1">
      <alignment horizontal="center" vertical="center"/>
    </xf>
    <xf numFmtId="1" fontId="13" fillId="0" borderId="2" xfId="10" applyNumberFormat="1" applyFont="1" applyBorder="1" applyAlignment="1">
      <alignment horizontal="center" vertical="center" wrapText="1"/>
    </xf>
    <xf numFmtId="1" fontId="13" fillId="0" borderId="3" xfId="10" applyNumberFormat="1" applyFont="1" applyBorder="1" applyAlignment="1">
      <alignment horizontal="center" vertical="center" wrapText="1"/>
    </xf>
    <xf numFmtId="1" fontId="13" fillId="0" borderId="4" xfId="10" applyNumberFormat="1" applyFont="1" applyBorder="1" applyAlignment="1">
      <alignment horizontal="center" vertical="center" wrapText="1"/>
    </xf>
    <xf numFmtId="0" fontId="13" fillId="0" borderId="1" xfId="5" applyFont="1" applyBorder="1" applyAlignment="1">
      <alignment horizontal="center" vertical="center"/>
    </xf>
    <xf numFmtId="1" fontId="13" fillId="0" borderId="1" xfId="5" applyNumberFormat="1" applyFont="1" applyBorder="1" applyAlignment="1">
      <alignment horizontal="center" vertical="center"/>
    </xf>
    <xf numFmtId="1" fontId="13" fillId="0" borderId="1" xfId="10" applyNumberFormat="1" applyFont="1" applyBorder="1" applyAlignment="1">
      <alignment horizontal="center" vertical="center" wrapText="1"/>
    </xf>
  </cellXfs>
  <cellStyles count="2256">
    <cellStyle name="20% - Accent1 2" xfId="131" xr:uid="{00000000-0005-0000-0000-000000000000}"/>
    <cellStyle name="20% - Accent2 2" xfId="132" xr:uid="{00000000-0005-0000-0000-000001000000}"/>
    <cellStyle name="20% - Accent3 2" xfId="133" xr:uid="{00000000-0005-0000-0000-000002000000}"/>
    <cellStyle name="20% - Accent4 2" xfId="134" xr:uid="{00000000-0005-0000-0000-000003000000}"/>
    <cellStyle name="20% - Accent5 2" xfId="135" xr:uid="{00000000-0005-0000-0000-000004000000}"/>
    <cellStyle name="20% - Accent6 2" xfId="136" xr:uid="{00000000-0005-0000-0000-000005000000}"/>
    <cellStyle name="40% - Accent1 2" xfId="137" xr:uid="{00000000-0005-0000-0000-000006000000}"/>
    <cellStyle name="40% - Accent2 2" xfId="138" xr:uid="{00000000-0005-0000-0000-000007000000}"/>
    <cellStyle name="40% - Accent3 2" xfId="139" xr:uid="{00000000-0005-0000-0000-000008000000}"/>
    <cellStyle name="40% - Accent4 2" xfId="140" xr:uid="{00000000-0005-0000-0000-000009000000}"/>
    <cellStyle name="40% - Accent5 2" xfId="141" xr:uid="{00000000-0005-0000-0000-00000A000000}"/>
    <cellStyle name="40% - Accent6 2" xfId="142" xr:uid="{00000000-0005-0000-0000-00000B000000}"/>
    <cellStyle name="60% - Accent1 2" xfId="143" xr:uid="{00000000-0005-0000-0000-00000C000000}"/>
    <cellStyle name="60% - Accent2 2" xfId="144" xr:uid="{00000000-0005-0000-0000-00000D000000}"/>
    <cellStyle name="60% - Accent3 2" xfId="145" xr:uid="{00000000-0005-0000-0000-00000E000000}"/>
    <cellStyle name="60% - Accent4 2" xfId="146" xr:uid="{00000000-0005-0000-0000-00000F000000}"/>
    <cellStyle name="60% - Accent5 2" xfId="147" xr:uid="{00000000-0005-0000-0000-000010000000}"/>
    <cellStyle name="60% - Accent6 2" xfId="148" xr:uid="{00000000-0005-0000-0000-000011000000}"/>
    <cellStyle name="Accent1 2" xfId="149" xr:uid="{00000000-0005-0000-0000-000012000000}"/>
    <cellStyle name="Accent2 2" xfId="150" xr:uid="{00000000-0005-0000-0000-000013000000}"/>
    <cellStyle name="Accent3 2" xfId="151" xr:uid="{00000000-0005-0000-0000-000014000000}"/>
    <cellStyle name="Accent4 2" xfId="152" xr:uid="{00000000-0005-0000-0000-000015000000}"/>
    <cellStyle name="Accent5 2" xfId="153" xr:uid="{00000000-0005-0000-0000-000016000000}"/>
    <cellStyle name="Accent6 2" xfId="154" xr:uid="{00000000-0005-0000-0000-000017000000}"/>
    <cellStyle name="Bad 2" xfId="155" xr:uid="{00000000-0005-0000-0000-000018000000}"/>
    <cellStyle name="Body" xfId="7" xr:uid="{00000000-0005-0000-0000-000019000000}"/>
    <cellStyle name="Calculation 2" xfId="156" xr:uid="{00000000-0005-0000-0000-00001A000000}"/>
    <cellStyle name="Check Cell 2" xfId="157" xr:uid="{00000000-0005-0000-0000-00001B000000}"/>
    <cellStyle name="Comma" xfId="29" builtinId="3"/>
    <cellStyle name="Comma 10" xfId="12" xr:uid="{00000000-0005-0000-0000-00001D000000}"/>
    <cellStyle name="Comma 10 10" xfId="109" xr:uid="{00000000-0005-0000-0000-00001E000000}"/>
    <cellStyle name="Comma 10 16" xfId="34" xr:uid="{00000000-0005-0000-0000-00001F000000}"/>
    <cellStyle name="Comma 10 2" xfId="2236" xr:uid="{00000000-0005-0000-0000-000020000000}"/>
    <cellStyle name="Comma 10 3" xfId="48" xr:uid="{00000000-0005-0000-0000-000021000000}"/>
    <cellStyle name="Comma 11" xfId="158" xr:uid="{00000000-0005-0000-0000-000022000000}"/>
    <cellStyle name="Comma 12 2" xfId="38" xr:uid="{00000000-0005-0000-0000-000023000000}"/>
    <cellStyle name="Comma 12 2 2 2" xfId="111" xr:uid="{00000000-0005-0000-0000-000024000000}"/>
    <cellStyle name="Comma 13" xfId="47" xr:uid="{00000000-0005-0000-0000-000025000000}"/>
    <cellStyle name="Comma 14 2" xfId="51" xr:uid="{00000000-0005-0000-0000-000026000000}"/>
    <cellStyle name="Comma 14 4" xfId="53" xr:uid="{00000000-0005-0000-0000-000027000000}"/>
    <cellStyle name="Comma 18 3" xfId="18" xr:uid="{00000000-0005-0000-0000-000028000000}"/>
    <cellStyle name="Comma 18 3 2" xfId="39" xr:uid="{00000000-0005-0000-0000-000029000000}"/>
    <cellStyle name="Comma 2" xfId="106" xr:uid="{00000000-0005-0000-0000-00002A000000}"/>
    <cellStyle name="Comma 2 10" xfId="13" xr:uid="{00000000-0005-0000-0000-00002B000000}"/>
    <cellStyle name="Comma 2 10 2" xfId="2237" xr:uid="{00000000-0005-0000-0000-00002C000000}"/>
    <cellStyle name="Comma 2 12" xfId="124" xr:uid="{00000000-0005-0000-0000-00002D000000}"/>
    <cellStyle name="Comma 2 2" xfId="117" xr:uid="{00000000-0005-0000-0000-00002E000000}"/>
    <cellStyle name="Comma 2 2 2" xfId="45" xr:uid="{00000000-0005-0000-0000-00002F000000}"/>
    <cellStyle name="Comma 2 2 2 2" xfId="161" xr:uid="{00000000-0005-0000-0000-000030000000}"/>
    <cellStyle name="Comma 2 2 2 3" xfId="64" xr:uid="{00000000-0005-0000-0000-000031000000}"/>
    <cellStyle name="Comma 2 2 3" xfId="162" xr:uid="{00000000-0005-0000-0000-000032000000}"/>
    <cellStyle name="Comma 2 2 4" xfId="163" xr:uid="{00000000-0005-0000-0000-000033000000}"/>
    <cellStyle name="Comma 2 2 5" xfId="160" xr:uid="{00000000-0005-0000-0000-000034000000}"/>
    <cellStyle name="Comma 2 2 5 3" xfId="69" xr:uid="{00000000-0005-0000-0000-000035000000}"/>
    <cellStyle name="Comma 2 3" xfId="159" xr:uid="{00000000-0005-0000-0000-000036000000}"/>
    <cellStyle name="Comma 2 57" xfId="43" xr:uid="{00000000-0005-0000-0000-000037000000}"/>
    <cellStyle name="Comma 2 59" xfId="105" xr:uid="{00000000-0005-0000-0000-000038000000}"/>
    <cellStyle name="Comma 2 8 2" xfId="72" xr:uid="{00000000-0005-0000-0000-000039000000}"/>
    <cellStyle name="Comma 24 3" xfId="83" xr:uid="{00000000-0005-0000-0000-00003A000000}"/>
    <cellStyle name="Comma 3" xfId="122" xr:uid="{00000000-0005-0000-0000-00003B000000}"/>
    <cellStyle name="Comma 3 2" xfId="164" xr:uid="{00000000-0005-0000-0000-00003C000000}"/>
    <cellStyle name="Comma 31" xfId="110" xr:uid="{00000000-0005-0000-0000-00003D000000}"/>
    <cellStyle name="Comma 4" xfId="118" xr:uid="{00000000-0005-0000-0000-00003E000000}"/>
    <cellStyle name="Comma 4 2" xfId="165" xr:uid="{00000000-0005-0000-0000-00003F000000}"/>
    <cellStyle name="Comma 42 4" xfId="103" xr:uid="{00000000-0005-0000-0000-000040000000}"/>
    <cellStyle name="Comma 43 3" xfId="102" xr:uid="{00000000-0005-0000-0000-000041000000}"/>
    <cellStyle name="Comma 45" xfId="36" xr:uid="{00000000-0005-0000-0000-000042000000}"/>
    <cellStyle name="Comma 46 2 2" xfId="54" xr:uid="{00000000-0005-0000-0000-000043000000}"/>
    <cellStyle name="Comma 46 2 2 2" xfId="58" xr:uid="{00000000-0005-0000-0000-000044000000}"/>
    <cellStyle name="Comma 47" xfId="2255" xr:uid="{F02640E5-68B4-4439-B22E-D35136B79C59}"/>
    <cellStyle name="Comma 47 2 2 2 2 2 2 2 2 2 2 2 2" xfId="42" xr:uid="{00000000-0005-0000-0000-000045000000}"/>
    <cellStyle name="Comma 48 3" xfId="101" xr:uid="{00000000-0005-0000-0000-000046000000}"/>
    <cellStyle name="Comma 5" xfId="126" xr:uid="{00000000-0005-0000-0000-000047000000}"/>
    <cellStyle name="Comma 5 2" xfId="166" xr:uid="{00000000-0005-0000-0000-000048000000}"/>
    <cellStyle name="Comma 50" xfId="104" xr:uid="{00000000-0005-0000-0000-000049000000}"/>
    <cellStyle name="Comma 53 2" xfId="100" xr:uid="{00000000-0005-0000-0000-00004A000000}"/>
    <cellStyle name="Comma 6" xfId="167" xr:uid="{00000000-0005-0000-0000-00004B000000}"/>
    <cellStyle name="Comma 68" xfId="98" xr:uid="{00000000-0005-0000-0000-00004C000000}"/>
    <cellStyle name="Comma 7" xfId="2232" xr:uid="{00000000-0005-0000-0000-00004D000000}"/>
    <cellStyle name="Comma 79" xfId="2228" xr:uid="{00000000-0005-0000-0000-00004E000000}"/>
    <cellStyle name="Comma 8" xfId="31" xr:uid="{00000000-0005-0000-0000-00004F000000}"/>
    <cellStyle name="Comma 8 3 4" xfId="80" xr:uid="{00000000-0005-0000-0000-000050000000}"/>
    <cellStyle name="Comma 83" xfId="114" xr:uid="{00000000-0005-0000-0000-000051000000}"/>
    <cellStyle name="Comma 9" xfId="2245" xr:uid="{00000000-0005-0000-0000-000052000000}"/>
    <cellStyle name="Excel Built-in Normal" xfId="8" xr:uid="{00000000-0005-0000-0000-000053000000}"/>
    <cellStyle name="Excel Built-in Normal 1" xfId="5" xr:uid="{00000000-0005-0000-0000-000054000000}"/>
    <cellStyle name="Excel Built-in Normal 1 2" xfId="169" xr:uid="{00000000-0005-0000-0000-000055000000}"/>
    <cellStyle name="Excel Built-in Normal 1 5" xfId="65" xr:uid="{00000000-0005-0000-0000-000056000000}"/>
    <cellStyle name="Excel Built-in Normal 10" xfId="75" xr:uid="{00000000-0005-0000-0000-000057000000}"/>
    <cellStyle name="Excel Built-in Normal 2" xfId="26" xr:uid="{00000000-0005-0000-0000-000058000000}"/>
    <cellStyle name="Excel Built-in Normal 2 2" xfId="171" xr:uid="{00000000-0005-0000-0000-000059000000}"/>
    <cellStyle name="Excel Built-in Normal 2 3" xfId="172" xr:uid="{00000000-0005-0000-0000-00005A000000}"/>
    <cellStyle name="Excel Built-in Normal 2 4" xfId="170" xr:uid="{00000000-0005-0000-0000-00005B000000}"/>
    <cellStyle name="Excel Built-in Normal 2 5" xfId="2251" xr:uid="{00000000-0005-0000-0000-00005C000000}"/>
    <cellStyle name="Excel Built-in Normal 3" xfId="130" xr:uid="{00000000-0005-0000-0000-00005D000000}"/>
    <cellStyle name="Excel Built-in Normal 3 2" xfId="173" xr:uid="{00000000-0005-0000-0000-00005E000000}"/>
    <cellStyle name="Excel Built-in Normal 3 3" xfId="174" xr:uid="{00000000-0005-0000-0000-00005F000000}"/>
    <cellStyle name="Excel Built-in Normal 3 4" xfId="84" xr:uid="{00000000-0005-0000-0000-000060000000}"/>
    <cellStyle name="Excel Built-in Normal 3 5" xfId="79" xr:uid="{00000000-0005-0000-0000-000061000000}"/>
    <cellStyle name="Excel Built-in Normal 3 6" xfId="87" xr:uid="{00000000-0005-0000-0000-000062000000}"/>
    <cellStyle name="Excel Built-in Normal 3 6 2" xfId="108" xr:uid="{00000000-0005-0000-0000-000063000000}"/>
    <cellStyle name="Excel Built-in Normal 4" xfId="127" xr:uid="{00000000-0005-0000-0000-000064000000}"/>
    <cellStyle name="Excel Built-in Normal 4 4" xfId="2233" xr:uid="{00000000-0005-0000-0000-000065000000}"/>
    <cellStyle name="Excel Built-in Normal 5" xfId="175" xr:uid="{00000000-0005-0000-0000-000066000000}"/>
    <cellStyle name="Excel Built-in Normal 6" xfId="176" xr:uid="{00000000-0005-0000-0000-000067000000}"/>
    <cellStyle name="Excel Built-in Normal 7" xfId="168" xr:uid="{00000000-0005-0000-0000-000068000000}"/>
    <cellStyle name="Excel Built-in Normal_PnS" xfId="177" xr:uid="{00000000-0005-0000-0000-000069000000}"/>
    <cellStyle name="Explanatory Text 2" xfId="178" xr:uid="{00000000-0005-0000-0000-00006A000000}"/>
    <cellStyle name="Good 2" xfId="179" xr:uid="{00000000-0005-0000-0000-00006B000000}"/>
    <cellStyle name="Heading 1 2" xfId="180" xr:uid="{00000000-0005-0000-0000-00006C000000}"/>
    <cellStyle name="Heading 2 2" xfId="181" xr:uid="{00000000-0005-0000-0000-00006D000000}"/>
    <cellStyle name="Heading 3 2" xfId="182" xr:uid="{00000000-0005-0000-0000-00006E000000}"/>
    <cellStyle name="Heading 4 2" xfId="183" xr:uid="{00000000-0005-0000-0000-00006F000000}"/>
    <cellStyle name="Input 2" xfId="184" xr:uid="{00000000-0005-0000-0000-000070000000}"/>
    <cellStyle name="Linked Cell 2" xfId="185" xr:uid="{00000000-0005-0000-0000-000071000000}"/>
    <cellStyle name="Neutral 2" xfId="186" xr:uid="{00000000-0005-0000-0000-000072000000}"/>
    <cellStyle name="Normal" xfId="0" builtinId="0"/>
    <cellStyle name="Normal 1" xfId="37" xr:uid="{00000000-0005-0000-0000-000074000000}"/>
    <cellStyle name="Normal 1 2" xfId="116" xr:uid="{00000000-0005-0000-0000-000075000000}"/>
    <cellStyle name="Normal 1 2 2" xfId="120" xr:uid="{00000000-0005-0000-0000-000076000000}"/>
    <cellStyle name="Normal 1 2 3" xfId="187" xr:uid="{00000000-0005-0000-0000-000077000000}"/>
    <cellStyle name="Normal 1 4" xfId="50" xr:uid="{00000000-0005-0000-0000-000078000000}"/>
    <cellStyle name="Normal 10" xfId="119" xr:uid="{00000000-0005-0000-0000-000079000000}"/>
    <cellStyle name="Normal 10 2" xfId="189" xr:uid="{00000000-0005-0000-0000-00007A000000}"/>
    <cellStyle name="Normal 10 2 2" xfId="190" xr:uid="{00000000-0005-0000-0000-00007B000000}"/>
    <cellStyle name="Normal 10 2 3" xfId="191" xr:uid="{00000000-0005-0000-0000-00007C000000}"/>
    <cellStyle name="Normal 10 2 4" xfId="192" xr:uid="{00000000-0005-0000-0000-00007D000000}"/>
    <cellStyle name="Normal 10 3" xfId="193" xr:uid="{00000000-0005-0000-0000-00007E000000}"/>
    <cellStyle name="Normal 10 3 2" xfId="194" xr:uid="{00000000-0005-0000-0000-00007F000000}"/>
    <cellStyle name="Normal 10 3 2 2" xfId="195" xr:uid="{00000000-0005-0000-0000-000080000000}"/>
    <cellStyle name="Normal 10 3 2 3" xfId="196" xr:uid="{00000000-0005-0000-0000-000081000000}"/>
    <cellStyle name="Normal 10 3 2 4" xfId="197" xr:uid="{00000000-0005-0000-0000-000082000000}"/>
    <cellStyle name="Normal 10 3 3" xfId="198" xr:uid="{00000000-0005-0000-0000-000083000000}"/>
    <cellStyle name="Normal 10 3 4" xfId="199" xr:uid="{00000000-0005-0000-0000-000084000000}"/>
    <cellStyle name="Normal 10 3 5" xfId="200" xr:uid="{00000000-0005-0000-0000-000085000000}"/>
    <cellStyle name="Normal 10 4" xfId="201" xr:uid="{00000000-0005-0000-0000-000086000000}"/>
    <cellStyle name="Normal 10 5" xfId="202" xr:uid="{00000000-0005-0000-0000-000087000000}"/>
    <cellStyle name="Normal 10 6" xfId="203" xr:uid="{00000000-0005-0000-0000-000088000000}"/>
    <cellStyle name="Normal 10 7" xfId="204" xr:uid="{00000000-0005-0000-0000-000089000000}"/>
    <cellStyle name="Normal 10 8" xfId="188" xr:uid="{00000000-0005-0000-0000-00008A000000}"/>
    <cellStyle name="Normal 11" xfId="205" xr:uid="{00000000-0005-0000-0000-00008B000000}"/>
    <cellStyle name="Normal 11 2" xfId="206" xr:uid="{00000000-0005-0000-0000-00008C000000}"/>
    <cellStyle name="Normal 11 2 2" xfId="207" xr:uid="{00000000-0005-0000-0000-00008D000000}"/>
    <cellStyle name="Normal 11 2 3" xfId="208" xr:uid="{00000000-0005-0000-0000-00008E000000}"/>
    <cellStyle name="Normal 11 2 4" xfId="209" xr:uid="{00000000-0005-0000-0000-00008F000000}"/>
    <cellStyle name="Normal 11 3" xfId="210" xr:uid="{00000000-0005-0000-0000-000090000000}"/>
    <cellStyle name="Normal 11 3 2" xfId="211" xr:uid="{00000000-0005-0000-0000-000091000000}"/>
    <cellStyle name="Normal 11 3 2 2" xfId="212" xr:uid="{00000000-0005-0000-0000-000092000000}"/>
    <cellStyle name="Normal 11 3 2 3" xfId="213" xr:uid="{00000000-0005-0000-0000-000093000000}"/>
    <cellStyle name="Normal 11 3 2 4" xfId="214" xr:uid="{00000000-0005-0000-0000-000094000000}"/>
    <cellStyle name="Normal 11 3 3" xfId="215" xr:uid="{00000000-0005-0000-0000-000095000000}"/>
    <cellStyle name="Normal 11 3 4" xfId="216" xr:uid="{00000000-0005-0000-0000-000096000000}"/>
    <cellStyle name="Normal 11 3 5" xfId="217" xr:uid="{00000000-0005-0000-0000-000097000000}"/>
    <cellStyle name="Normal 11 4" xfId="218" xr:uid="{00000000-0005-0000-0000-000098000000}"/>
    <cellStyle name="Normal 11 5" xfId="219" xr:uid="{00000000-0005-0000-0000-000099000000}"/>
    <cellStyle name="Normal 11 6" xfId="220" xr:uid="{00000000-0005-0000-0000-00009A000000}"/>
    <cellStyle name="Normal 12" xfId="221" xr:uid="{00000000-0005-0000-0000-00009B000000}"/>
    <cellStyle name="Normal 12 2" xfId="17" xr:uid="{00000000-0005-0000-0000-00009C000000}"/>
    <cellStyle name="Normal 12 2 2" xfId="71" xr:uid="{00000000-0005-0000-0000-00009D000000}"/>
    <cellStyle name="Normal 13" xfId="222" xr:uid="{00000000-0005-0000-0000-00009E000000}"/>
    <cellStyle name="Normal 13 2" xfId="223" xr:uid="{00000000-0005-0000-0000-00009F000000}"/>
    <cellStyle name="Normal 13 2 2" xfId="224" xr:uid="{00000000-0005-0000-0000-0000A0000000}"/>
    <cellStyle name="Normal 13 2 3" xfId="225" xr:uid="{00000000-0005-0000-0000-0000A1000000}"/>
    <cellStyle name="Normal 13 2 4" xfId="226" xr:uid="{00000000-0005-0000-0000-0000A2000000}"/>
    <cellStyle name="Normal 13 3" xfId="227" xr:uid="{00000000-0005-0000-0000-0000A3000000}"/>
    <cellStyle name="Normal 13 3 2" xfId="228" xr:uid="{00000000-0005-0000-0000-0000A4000000}"/>
    <cellStyle name="Normal 13 3 2 2" xfId="229" xr:uid="{00000000-0005-0000-0000-0000A5000000}"/>
    <cellStyle name="Normal 13 3 2 3" xfId="230" xr:uid="{00000000-0005-0000-0000-0000A6000000}"/>
    <cellStyle name="Normal 13 3 2 4" xfId="231" xr:uid="{00000000-0005-0000-0000-0000A7000000}"/>
    <cellStyle name="Normal 13 3 3" xfId="232" xr:uid="{00000000-0005-0000-0000-0000A8000000}"/>
    <cellStyle name="Normal 13 3 4" xfId="233" xr:uid="{00000000-0005-0000-0000-0000A9000000}"/>
    <cellStyle name="Normal 13 3 5" xfId="234" xr:uid="{00000000-0005-0000-0000-0000AA000000}"/>
    <cellStyle name="Normal 13 4" xfId="235" xr:uid="{00000000-0005-0000-0000-0000AB000000}"/>
    <cellStyle name="Normal 13 5" xfId="236" xr:uid="{00000000-0005-0000-0000-0000AC000000}"/>
    <cellStyle name="Normal 13 6" xfId="237" xr:uid="{00000000-0005-0000-0000-0000AD000000}"/>
    <cellStyle name="Normal 14" xfId="238" xr:uid="{00000000-0005-0000-0000-0000AE000000}"/>
    <cellStyle name="Normal 14 2" xfId="239" xr:uid="{00000000-0005-0000-0000-0000AF000000}"/>
    <cellStyle name="Normal 14 2 2" xfId="240" xr:uid="{00000000-0005-0000-0000-0000B0000000}"/>
    <cellStyle name="Normal 14 2 3" xfId="241" xr:uid="{00000000-0005-0000-0000-0000B1000000}"/>
    <cellStyle name="Normal 14 2 4" xfId="242" xr:uid="{00000000-0005-0000-0000-0000B2000000}"/>
    <cellStyle name="Normal 14 3" xfId="243" xr:uid="{00000000-0005-0000-0000-0000B3000000}"/>
    <cellStyle name="Normal 14 3 2" xfId="244" xr:uid="{00000000-0005-0000-0000-0000B4000000}"/>
    <cellStyle name="Normal 14 3 2 2" xfId="245" xr:uid="{00000000-0005-0000-0000-0000B5000000}"/>
    <cellStyle name="Normal 14 3 2 3" xfId="246" xr:uid="{00000000-0005-0000-0000-0000B6000000}"/>
    <cellStyle name="Normal 14 3 2 4" xfId="247" xr:uid="{00000000-0005-0000-0000-0000B7000000}"/>
    <cellStyle name="Normal 14 3 3" xfId="248" xr:uid="{00000000-0005-0000-0000-0000B8000000}"/>
    <cellStyle name="Normal 14 3 4" xfId="249" xr:uid="{00000000-0005-0000-0000-0000B9000000}"/>
    <cellStyle name="Normal 14 3 5" xfId="250" xr:uid="{00000000-0005-0000-0000-0000BA000000}"/>
    <cellStyle name="Normal 14 4" xfId="251" xr:uid="{00000000-0005-0000-0000-0000BB000000}"/>
    <cellStyle name="Normal 14 5" xfId="252" xr:uid="{00000000-0005-0000-0000-0000BC000000}"/>
    <cellStyle name="Normal 14 6" xfId="253" xr:uid="{00000000-0005-0000-0000-0000BD000000}"/>
    <cellStyle name="Normal 15" xfId="254" xr:uid="{00000000-0005-0000-0000-0000BE000000}"/>
    <cellStyle name="Normal 15 2" xfId="255" xr:uid="{00000000-0005-0000-0000-0000BF000000}"/>
    <cellStyle name="Normal 15 2 2" xfId="256" xr:uid="{00000000-0005-0000-0000-0000C0000000}"/>
    <cellStyle name="Normal 15 2 3" xfId="257" xr:uid="{00000000-0005-0000-0000-0000C1000000}"/>
    <cellStyle name="Normal 15 2 4" xfId="258" xr:uid="{00000000-0005-0000-0000-0000C2000000}"/>
    <cellStyle name="Normal 15 3" xfId="259" xr:uid="{00000000-0005-0000-0000-0000C3000000}"/>
    <cellStyle name="Normal 15 3 2" xfId="260" xr:uid="{00000000-0005-0000-0000-0000C4000000}"/>
    <cellStyle name="Normal 15 3 2 2" xfId="261" xr:uid="{00000000-0005-0000-0000-0000C5000000}"/>
    <cellStyle name="Normal 15 3 2 3" xfId="262" xr:uid="{00000000-0005-0000-0000-0000C6000000}"/>
    <cellStyle name="Normal 15 3 2 4" xfId="263" xr:uid="{00000000-0005-0000-0000-0000C7000000}"/>
    <cellStyle name="Normal 15 3 3" xfId="264" xr:uid="{00000000-0005-0000-0000-0000C8000000}"/>
    <cellStyle name="Normal 15 3 4" xfId="265" xr:uid="{00000000-0005-0000-0000-0000C9000000}"/>
    <cellStyle name="Normal 15 3 5" xfId="266" xr:uid="{00000000-0005-0000-0000-0000CA000000}"/>
    <cellStyle name="Normal 15 4" xfId="267" xr:uid="{00000000-0005-0000-0000-0000CB000000}"/>
    <cellStyle name="Normal 15 5" xfId="268" xr:uid="{00000000-0005-0000-0000-0000CC000000}"/>
    <cellStyle name="Normal 15 6" xfId="269" xr:uid="{00000000-0005-0000-0000-0000CD000000}"/>
    <cellStyle name="Normal 15 7" xfId="270" xr:uid="{00000000-0005-0000-0000-0000CE000000}"/>
    <cellStyle name="Normal 159" xfId="44" xr:uid="{00000000-0005-0000-0000-0000CF000000}"/>
    <cellStyle name="Normal 16" xfId="271" xr:uid="{00000000-0005-0000-0000-0000D0000000}"/>
    <cellStyle name="Normal 16 2" xfId="272" xr:uid="{00000000-0005-0000-0000-0000D1000000}"/>
    <cellStyle name="Normal 162" xfId="95" xr:uid="{00000000-0005-0000-0000-0000D2000000}"/>
    <cellStyle name="Normal 163" xfId="89" xr:uid="{00000000-0005-0000-0000-0000D3000000}"/>
    <cellStyle name="Normal 164" xfId="90" xr:uid="{00000000-0005-0000-0000-0000D4000000}"/>
    <cellStyle name="Normal 165" xfId="91" xr:uid="{00000000-0005-0000-0000-0000D5000000}"/>
    <cellStyle name="Normal 166" xfId="88" xr:uid="{00000000-0005-0000-0000-0000D6000000}"/>
    <cellStyle name="Normal 167" xfId="93" xr:uid="{00000000-0005-0000-0000-0000D7000000}"/>
    <cellStyle name="Normal 168" xfId="94" xr:uid="{00000000-0005-0000-0000-0000D8000000}"/>
    <cellStyle name="Normal 17" xfId="273" xr:uid="{00000000-0005-0000-0000-0000D9000000}"/>
    <cellStyle name="Normal 17 2" xfId="274" xr:uid="{00000000-0005-0000-0000-0000DA000000}"/>
    <cellStyle name="Normal 17 2 2" xfId="275" xr:uid="{00000000-0005-0000-0000-0000DB000000}"/>
    <cellStyle name="Normal 17 2 3" xfId="276" xr:uid="{00000000-0005-0000-0000-0000DC000000}"/>
    <cellStyle name="Normal 17 2 4" xfId="277" xr:uid="{00000000-0005-0000-0000-0000DD000000}"/>
    <cellStyle name="Normal 17 3" xfId="278" xr:uid="{00000000-0005-0000-0000-0000DE000000}"/>
    <cellStyle name="Normal 17 3 2" xfId="279" xr:uid="{00000000-0005-0000-0000-0000DF000000}"/>
    <cellStyle name="Normal 17 3 2 2" xfId="280" xr:uid="{00000000-0005-0000-0000-0000E0000000}"/>
    <cellStyle name="Normal 17 3 2 3" xfId="281" xr:uid="{00000000-0005-0000-0000-0000E1000000}"/>
    <cellStyle name="Normal 17 3 2 4" xfId="282" xr:uid="{00000000-0005-0000-0000-0000E2000000}"/>
    <cellStyle name="Normal 17 3 3" xfId="283" xr:uid="{00000000-0005-0000-0000-0000E3000000}"/>
    <cellStyle name="Normal 17 3 4" xfId="284" xr:uid="{00000000-0005-0000-0000-0000E4000000}"/>
    <cellStyle name="Normal 17 3 5" xfId="285" xr:uid="{00000000-0005-0000-0000-0000E5000000}"/>
    <cellStyle name="Normal 17 4" xfId="286" xr:uid="{00000000-0005-0000-0000-0000E6000000}"/>
    <cellStyle name="Normal 17 5" xfId="287" xr:uid="{00000000-0005-0000-0000-0000E7000000}"/>
    <cellStyle name="Normal 17 6" xfId="288" xr:uid="{00000000-0005-0000-0000-0000E8000000}"/>
    <cellStyle name="Normal 170" xfId="92" xr:uid="{00000000-0005-0000-0000-0000E9000000}"/>
    <cellStyle name="Normal 170 2 2" xfId="22" xr:uid="{00000000-0005-0000-0000-0000EA000000}"/>
    <cellStyle name="Normal 175" xfId="96" xr:uid="{00000000-0005-0000-0000-0000EB000000}"/>
    <cellStyle name="Normal 18" xfId="289" xr:uid="{00000000-0005-0000-0000-0000EC000000}"/>
    <cellStyle name="Normal 18 2" xfId="290" xr:uid="{00000000-0005-0000-0000-0000ED000000}"/>
    <cellStyle name="Normal 18 2 2" xfId="291" xr:uid="{00000000-0005-0000-0000-0000EE000000}"/>
    <cellStyle name="Normal 18 2 3" xfId="292" xr:uid="{00000000-0005-0000-0000-0000EF000000}"/>
    <cellStyle name="Normal 18 2 4" xfId="293" xr:uid="{00000000-0005-0000-0000-0000F0000000}"/>
    <cellStyle name="Normal 18 3" xfId="294" xr:uid="{00000000-0005-0000-0000-0000F1000000}"/>
    <cellStyle name="Normal 18 3 2" xfId="295" xr:uid="{00000000-0005-0000-0000-0000F2000000}"/>
    <cellStyle name="Normal 18 3 2 2" xfId="296" xr:uid="{00000000-0005-0000-0000-0000F3000000}"/>
    <cellStyle name="Normal 18 3 2 3" xfId="297" xr:uid="{00000000-0005-0000-0000-0000F4000000}"/>
    <cellStyle name="Normal 18 3 2 4" xfId="298" xr:uid="{00000000-0005-0000-0000-0000F5000000}"/>
    <cellStyle name="Normal 18 3 3" xfId="299" xr:uid="{00000000-0005-0000-0000-0000F6000000}"/>
    <cellStyle name="Normal 18 3 4" xfId="300" xr:uid="{00000000-0005-0000-0000-0000F7000000}"/>
    <cellStyle name="Normal 18 3 5" xfId="301" xr:uid="{00000000-0005-0000-0000-0000F8000000}"/>
    <cellStyle name="Normal 18 4" xfId="302" xr:uid="{00000000-0005-0000-0000-0000F9000000}"/>
    <cellStyle name="Normal 18 5" xfId="303" xr:uid="{00000000-0005-0000-0000-0000FA000000}"/>
    <cellStyle name="Normal 18 6" xfId="304" xr:uid="{00000000-0005-0000-0000-0000FB000000}"/>
    <cellStyle name="Normal 188" xfId="2227" xr:uid="{00000000-0005-0000-0000-0000FC000000}"/>
    <cellStyle name="Normal 19" xfId="305" xr:uid="{00000000-0005-0000-0000-0000FD000000}"/>
    <cellStyle name="Normal 192" xfId="113" xr:uid="{00000000-0005-0000-0000-0000FE000000}"/>
    <cellStyle name="Normal 193" xfId="2229" xr:uid="{00000000-0005-0000-0000-0000FF000000}"/>
    <cellStyle name="Normal 2" xfId="3" xr:uid="{00000000-0005-0000-0000-000000010000}"/>
    <cellStyle name="Normal 2 10" xfId="307" xr:uid="{00000000-0005-0000-0000-000001010000}"/>
    <cellStyle name="Normal 2 10 2" xfId="308" xr:uid="{00000000-0005-0000-0000-000002010000}"/>
    <cellStyle name="Normal 2 10 3" xfId="309" xr:uid="{00000000-0005-0000-0000-000003010000}"/>
    <cellStyle name="Normal 2 10 4" xfId="310" xr:uid="{00000000-0005-0000-0000-000004010000}"/>
    <cellStyle name="Normal 2 11" xfId="311" xr:uid="{00000000-0005-0000-0000-000005010000}"/>
    <cellStyle name="Normal 2 11 2" xfId="312" xr:uid="{00000000-0005-0000-0000-000006010000}"/>
    <cellStyle name="Normal 2 11 3" xfId="313" xr:uid="{00000000-0005-0000-0000-000007010000}"/>
    <cellStyle name="Normal 2 11 4" xfId="314" xr:uid="{00000000-0005-0000-0000-000008010000}"/>
    <cellStyle name="Normal 2 12" xfId="315" xr:uid="{00000000-0005-0000-0000-000009010000}"/>
    <cellStyle name="Normal 2 12 2" xfId="316" xr:uid="{00000000-0005-0000-0000-00000A010000}"/>
    <cellStyle name="Normal 2 12 3" xfId="317" xr:uid="{00000000-0005-0000-0000-00000B010000}"/>
    <cellStyle name="Normal 2 12 4" xfId="318" xr:uid="{00000000-0005-0000-0000-00000C010000}"/>
    <cellStyle name="Normal 2 13" xfId="319" xr:uid="{00000000-0005-0000-0000-00000D010000}"/>
    <cellStyle name="Normal 2 13 2" xfId="320" xr:uid="{00000000-0005-0000-0000-00000E010000}"/>
    <cellStyle name="Normal 2 13 3" xfId="321" xr:uid="{00000000-0005-0000-0000-00000F010000}"/>
    <cellStyle name="Normal 2 13 4" xfId="322" xr:uid="{00000000-0005-0000-0000-000010010000}"/>
    <cellStyle name="Normal 2 139" xfId="62" xr:uid="{00000000-0005-0000-0000-000011010000}"/>
    <cellStyle name="Normal 2 14" xfId="323" xr:uid="{00000000-0005-0000-0000-000012010000}"/>
    <cellStyle name="Normal 2 14 2" xfId="324" xr:uid="{00000000-0005-0000-0000-000013010000}"/>
    <cellStyle name="Normal 2 14 3" xfId="325" xr:uid="{00000000-0005-0000-0000-000014010000}"/>
    <cellStyle name="Normal 2 14 4" xfId="326" xr:uid="{00000000-0005-0000-0000-000015010000}"/>
    <cellStyle name="Normal 2 15" xfId="327" xr:uid="{00000000-0005-0000-0000-000016010000}"/>
    <cellStyle name="Normal 2 15 2" xfId="328" xr:uid="{00000000-0005-0000-0000-000017010000}"/>
    <cellStyle name="Normal 2 15 3" xfId="329" xr:uid="{00000000-0005-0000-0000-000018010000}"/>
    <cellStyle name="Normal 2 15 4" xfId="330" xr:uid="{00000000-0005-0000-0000-000019010000}"/>
    <cellStyle name="Normal 2 16" xfId="331" xr:uid="{00000000-0005-0000-0000-00001A010000}"/>
    <cellStyle name="Normal 2 16 2" xfId="332" xr:uid="{00000000-0005-0000-0000-00001B010000}"/>
    <cellStyle name="Normal 2 16 3" xfId="333" xr:uid="{00000000-0005-0000-0000-00001C010000}"/>
    <cellStyle name="Normal 2 16 4" xfId="334" xr:uid="{00000000-0005-0000-0000-00001D010000}"/>
    <cellStyle name="Normal 2 17" xfId="335" xr:uid="{00000000-0005-0000-0000-00001E010000}"/>
    <cellStyle name="Normal 2 17 2" xfId="336" xr:uid="{00000000-0005-0000-0000-00001F010000}"/>
    <cellStyle name="Normal 2 17 3" xfId="337" xr:uid="{00000000-0005-0000-0000-000020010000}"/>
    <cellStyle name="Normal 2 17 4" xfId="338" xr:uid="{00000000-0005-0000-0000-000021010000}"/>
    <cellStyle name="Normal 2 18" xfId="339" xr:uid="{00000000-0005-0000-0000-000022010000}"/>
    <cellStyle name="Normal 2 18 2" xfId="340" xr:uid="{00000000-0005-0000-0000-000023010000}"/>
    <cellStyle name="Normal 2 18 3" xfId="341" xr:uid="{00000000-0005-0000-0000-000024010000}"/>
    <cellStyle name="Normal 2 18 4" xfId="342" xr:uid="{00000000-0005-0000-0000-000025010000}"/>
    <cellStyle name="Normal 2 19" xfId="343" xr:uid="{00000000-0005-0000-0000-000026010000}"/>
    <cellStyle name="Normal 2 19 2" xfId="344" xr:uid="{00000000-0005-0000-0000-000027010000}"/>
    <cellStyle name="Normal 2 19 3" xfId="345" xr:uid="{00000000-0005-0000-0000-000028010000}"/>
    <cellStyle name="Normal 2 19 4" xfId="346" xr:uid="{00000000-0005-0000-0000-000029010000}"/>
    <cellStyle name="Normal 2 2" xfId="41" xr:uid="{00000000-0005-0000-0000-00002A010000}"/>
    <cellStyle name="Normal 2 2 10" xfId="347" xr:uid="{00000000-0005-0000-0000-00002B010000}"/>
    <cellStyle name="Normal 2 2 10 2" xfId="348" xr:uid="{00000000-0005-0000-0000-00002C010000}"/>
    <cellStyle name="Normal 2 2 10 3" xfId="349" xr:uid="{00000000-0005-0000-0000-00002D010000}"/>
    <cellStyle name="Normal 2 2 10 4" xfId="350" xr:uid="{00000000-0005-0000-0000-00002E010000}"/>
    <cellStyle name="Normal 2 2 11" xfId="351" xr:uid="{00000000-0005-0000-0000-00002F010000}"/>
    <cellStyle name="Normal 2 2 11 2" xfId="352" xr:uid="{00000000-0005-0000-0000-000030010000}"/>
    <cellStyle name="Normal 2 2 11 3" xfId="353" xr:uid="{00000000-0005-0000-0000-000031010000}"/>
    <cellStyle name="Normal 2 2 11 4" xfId="354" xr:uid="{00000000-0005-0000-0000-000032010000}"/>
    <cellStyle name="Normal 2 2 12" xfId="355" xr:uid="{00000000-0005-0000-0000-000033010000}"/>
    <cellStyle name="Normal 2 2 12 2" xfId="356" xr:uid="{00000000-0005-0000-0000-000034010000}"/>
    <cellStyle name="Normal 2 2 12 3" xfId="357" xr:uid="{00000000-0005-0000-0000-000035010000}"/>
    <cellStyle name="Normal 2 2 12 4" xfId="358" xr:uid="{00000000-0005-0000-0000-000036010000}"/>
    <cellStyle name="Normal 2 2 13" xfId="359" xr:uid="{00000000-0005-0000-0000-000037010000}"/>
    <cellStyle name="Normal 2 2 13 2" xfId="360" xr:uid="{00000000-0005-0000-0000-000038010000}"/>
    <cellStyle name="Normal 2 2 13 3" xfId="361" xr:uid="{00000000-0005-0000-0000-000039010000}"/>
    <cellStyle name="Normal 2 2 13 4" xfId="362" xr:uid="{00000000-0005-0000-0000-00003A010000}"/>
    <cellStyle name="Normal 2 2 14" xfId="363" xr:uid="{00000000-0005-0000-0000-00003B010000}"/>
    <cellStyle name="Normal 2 2 14 2" xfId="364" xr:uid="{00000000-0005-0000-0000-00003C010000}"/>
    <cellStyle name="Normal 2 2 14 3" xfId="365" xr:uid="{00000000-0005-0000-0000-00003D010000}"/>
    <cellStyle name="Normal 2 2 14 4" xfId="366" xr:uid="{00000000-0005-0000-0000-00003E010000}"/>
    <cellStyle name="Normal 2 2 15" xfId="367" xr:uid="{00000000-0005-0000-0000-00003F010000}"/>
    <cellStyle name="Normal 2 2 15 2" xfId="368" xr:uid="{00000000-0005-0000-0000-000040010000}"/>
    <cellStyle name="Normal 2 2 15 3" xfId="369" xr:uid="{00000000-0005-0000-0000-000041010000}"/>
    <cellStyle name="Normal 2 2 15 4" xfId="370" xr:uid="{00000000-0005-0000-0000-000042010000}"/>
    <cellStyle name="Normal 2 2 16" xfId="371" xr:uid="{00000000-0005-0000-0000-000043010000}"/>
    <cellStyle name="Normal 2 2 16 2" xfId="372" xr:uid="{00000000-0005-0000-0000-000044010000}"/>
    <cellStyle name="Normal 2 2 16 3" xfId="373" xr:uid="{00000000-0005-0000-0000-000045010000}"/>
    <cellStyle name="Normal 2 2 16 4" xfId="374" xr:uid="{00000000-0005-0000-0000-000046010000}"/>
    <cellStyle name="Normal 2 2 17" xfId="375" xr:uid="{00000000-0005-0000-0000-000047010000}"/>
    <cellStyle name="Normal 2 2 17 2" xfId="376" xr:uid="{00000000-0005-0000-0000-000048010000}"/>
    <cellStyle name="Normal 2 2 17 3" xfId="377" xr:uid="{00000000-0005-0000-0000-000049010000}"/>
    <cellStyle name="Normal 2 2 17 4" xfId="378" xr:uid="{00000000-0005-0000-0000-00004A010000}"/>
    <cellStyle name="Normal 2 2 18" xfId="379" xr:uid="{00000000-0005-0000-0000-00004B010000}"/>
    <cellStyle name="Normal 2 2 18 2" xfId="380" xr:uid="{00000000-0005-0000-0000-00004C010000}"/>
    <cellStyle name="Normal 2 2 18 3" xfId="381" xr:uid="{00000000-0005-0000-0000-00004D010000}"/>
    <cellStyle name="Normal 2 2 18 4" xfId="382" xr:uid="{00000000-0005-0000-0000-00004E010000}"/>
    <cellStyle name="Normal 2 2 19" xfId="383" xr:uid="{00000000-0005-0000-0000-00004F010000}"/>
    <cellStyle name="Normal 2 2 19 2" xfId="384" xr:uid="{00000000-0005-0000-0000-000050010000}"/>
    <cellStyle name="Normal 2 2 19 3" xfId="385" xr:uid="{00000000-0005-0000-0000-000051010000}"/>
    <cellStyle name="Normal 2 2 19 4" xfId="386" xr:uid="{00000000-0005-0000-0000-000052010000}"/>
    <cellStyle name="Normal 2 2 2" xfId="387" xr:uid="{00000000-0005-0000-0000-000053010000}"/>
    <cellStyle name="Normal 2 2 2 2" xfId="388" xr:uid="{00000000-0005-0000-0000-000054010000}"/>
    <cellStyle name="Normal 2 2 2 3" xfId="389" xr:uid="{00000000-0005-0000-0000-000055010000}"/>
    <cellStyle name="Normal 2 2 2 4" xfId="390" xr:uid="{00000000-0005-0000-0000-000056010000}"/>
    <cellStyle name="Normal 2 2 2 5" xfId="2254" xr:uid="{00000000-0005-0000-0000-000057010000}"/>
    <cellStyle name="Normal 2 2 20" xfId="391" xr:uid="{00000000-0005-0000-0000-000058010000}"/>
    <cellStyle name="Normal 2 2 20 2" xfId="392" xr:uid="{00000000-0005-0000-0000-000059010000}"/>
    <cellStyle name="Normal 2 2 20 3" xfId="393" xr:uid="{00000000-0005-0000-0000-00005A010000}"/>
    <cellStyle name="Normal 2 2 20 4" xfId="394" xr:uid="{00000000-0005-0000-0000-00005B010000}"/>
    <cellStyle name="Normal 2 2 21" xfId="395" xr:uid="{00000000-0005-0000-0000-00005C010000}"/>
    <cellStyle name="Normal 2 2 21 2" xfId="396" xr:uid="{00000000-0005-0000-0000-00005D010000}"/>
    <cellStyle name="Normal 2 2 21 3" xfId="397" xr:uid="{00000000-0005-0000-0000-00005E010000}"/>
    <cellStyle name="Normal 2 2 21 4" xfId="398" xr:uid="{00000000-0005-0000-0000-00005F010000}"/>
    <cellStyle name="Normal 2 2 22" xfId="399" xr:uid="{00000000-0005-0000-0000-000060010000}"/>
    <cellStyle name="Normal 2 2 22 2" xfId="400" xr:uid="{00000000-0005-0000-0000-000061010000}"/>
    <cellStyle name="Normal 2 2 22 3" xfId="401" xr:uid="{00000000-0005-0000-0000-000062010000}"/>
    <cellStyle name="Normal 2 2 22 4" xfId="402" xr:uid="{00000000-0005-0000-0000-000063010000}"/>
    <cellStyle name="Normal 2 2 23" xfId="403" xr:uid="{00000000-0005-0000-0000-000064010000}"/>
    <cellStyle name="Normal 2 2 23 2" xfId="404" xr:uid="{00000000-0005-0000-0000-000065010000}"/>
    <cellStyle name="Normal 2 2 23 3" xfId="405" xr:uid="{00000000-0005-0000-0000-000066010000}"/>
    <cellStyle name="Normal 2 2 23 4" xfId="406" xr:uid="{00000000-0005-0000-0000-000067010000}"/>
    <cellStyle name="Normal 2 2 24" xfId="407" xr:uid="{00000000-0005-0000-0000-000068010000}"/>
    <cellStyle name="Normal 2 2 24 2" xfId="408" xr:uid="{00000000-0005-0000-0000-000069010000}"/>
    <cellStyle name="Normal 2 2 24 3" xfId="409" xr:uid="{00000000-0005-0000-0000-00006A010000}"/>
    <cellStyle name="Normal 2 2 24 4" xfId="410" xr:uid="{00000000-0005-0000-0000-00006B010000}"/>
    <cellStyle name="Normal 2 2 25" xfId="411" xr:uid="{00000000-0005-0000-0000-00006C010000}"/>
    <cellStyle name="Normal 2 2 25 2" xfId="412" xr:uid="{00000000-0005-0000-0000-00006D010000}"/>
    <cellStyle name="Normal 2 2 25 3" xfId="413" xr:uid="{00000000-0005-0000-0000-00006E010000}"/>
    <cellStyle name="Normal 2 2 25 4" xfId="414" xr:uid="{00000000-0005-0000-0000-00006F010000}"/>
    <cellStyle name="Normal 2 2 26" xfId="415" xr:uid="{00000000-0005-0000-0000-000070010000}"/>
    <cellStyle name="Normal 2 2 26 2" xfId="416" xr:uid="{00000000-0005-0000-0000-000071010000}"/>
    <cellStyle name="Normal 2 2 26 3" xfId="417" xr:uid="{00000000-0005-0000-0000-000072010000}"/>
    <cellStyle name="Normal 2 2 26 4" xfId="418" xr:uid="{00000000-0005-0000-0000-000073010000}"/>
    <cellStyle name="Normal 2 2 27" xfId="419" xr:uid="{00000000-0005-0000-0000-000074010000}"/>
    <cellStyle name="Normal 2 2 27 2" xfId="420" xr:uid="{00000000-0005-0000-0000-000075010000}"/>
    <cellStyle name="Normal 2 2 27 3" xfId="421" xr:uid="{00000000-0005-0000-0000-000076010000}"/>
    <cellStyle name="Normal 2 2 27 4" xfId="422" xr:uid="{00000000-0005-0000-0000-000077010000}"/>
    <cellStyle name="Normal 2 2 28" xfId="423" xr:uid="{00000000-0005-0000-0000-000078010000}"/>
    <cellStyle name="Normal 2 2 28 2" xfId="424" xr:uid="{00000000-0005-0000-0000-000079010000}"/>
    <cellStyle name="Normal 2 2 28 3" xfId="425" xr:uid="{00000000-0005-0000-0000-00007A010000}"/>
    <cellStyle name="Normal 2 2 28 4" xfId="426" xr:uid="{00000000-0005-0000-0000-00007B010000}"/>
    <cellStyle name="Normal 2 2 29" xfId="427" xr:uid="{00000000-0005-0000-0000-00007C010000}"/>
    <cellStyle name="Normal 2 2 29 2" xfId="428" xr:uid="{00000000-0005-0000-0000-00007D010000}"/>
    <cellStyle name="Normal 2 2 29 3" xfId="429" xr:uid="{00000000-0005-0000-0000-00007E010000}"/>
    <cellStyle name="Normal 2 2 29 4" xfId="430" xr:uid="{00000000-0005-0000-0000-00007F010000}"/>
    <cellStyle name="Normal 2 2 3" xfId="28" xr:uid="{00000000-0005-0000-0000-000080010000}"/>
    <cellStyle name="Normal 2 2 3 2" xfId="432" xr:uid="{00000000-0005-0000-0000-000081010000}"/>
    <cellStyle name="Normal 2 2 3 3" xfId="433" xr:uid="{00000000-0005-0000-0000-000082010000}"/>
    <cellStyle name="Normal 2 2 3 4" xfId="434" xr:uid="{00000000-0005-0000-0000-000083010000}"/>
    <cellStyle name="Normal 2 2 3 5" xfId="431" xr:uid="{00000000-0005-0000-0000-000084010000}"/>
    <cellStyle name="Normal 2 2 3 6" xfId="2253" xr:uid="{00000000-0005-0000-0000-000085010000}"/>
    <cellStyle name="Normal 2 2 30" xfId="435" xr:uid="{00000000-0005-0000-0000-000086010000}"/>
    <cellStyle name="Normal 2 2 30 2" xfId="436" xr:uid="{00000000-0005-0000-0000-000087010000}"/>
    <cellStyle name="Normal 2 2 30 3" xfId="437" xr:uid="{00000000-0005-0000-0000-000088010000}"/>
    <cellStyle name="Normal 2 2 30 4" xfId="438" xr:uid="{00000000-0005-0000-0000-000089010000}"/>
    <cellStyle name="Normal 2 2 31" xfId="439" xr:uid="{00000000-0005-0000-0000-00008A010000}"/>
    <cellStyle name="Normal 2 2 31 2" xfId="440" xr:uid="{00000000-0005-0000-0000-00008B010000}"/>
    <cellStyle name="Normal 2 2 31 3" xfId="441" xr:uid="{00000000-0005-0000-0000-00008C010000}"/>
    <cellStyle name="Normal 2 2 31 4" xfId="442" xr:uid="{00000000-0005-0000-0000-00008D010000}"/>
    <cellStyle name="Normal 2 2 32" xfId="443" xr:uid="{00000000-0005-0000-0000-00008E010000}"/>
    <cellStyle name="Normal 2 2 32 2" xfId="444" xr:uid="{00000000-0005-0000-0000-00008F010000}"/>
    <cellStyle name="Normal 2 2 32 3" xfId="445" xr:uid="{00000000-0005-0000-0000-000090010000}"/>
    <cellStyle name="Normal 2 2 32 4" xfId="446" xr:uid="{00000000-0005-0000-0000-000091010000}"/>
    <cellStyle name="Normal 2 2 33" xfId="447" xr:uid="{00000000-0005-0000-0000-000092010000}"/>
    <cellStyle name="Normal 2 2 33 2" xfId="448" xr:uid="{00000000-0005-0000-0000-000093010000}"/>
    <cellStyle name="Normal 2 2 33 3" xfId="449" xr:uid="{00000000-0005-0000-0000-000094010000}"/>
    <cellStyle name="Normal 2 2 33 4" xfId="450" xr:uid="{00000000-0005-0000-0000-000095010000}"/>
    <cellStyle name="Normal 2 2 34" xfId="451" xr:uid="{00000000-0005-0000-0000-000096010000}"/>
    <cellStyle name="Normal 2 2 34 2" xfId="452" xr:uid="{00000000-0005-0000-0000-000097010000}"/>
    <cellStyle name="Normal 2 2 34 3" xfId="453" xr:uid="{00000000-0005-0000-0000-000098010000}"/>
    <cellStyle name="Normal 2 2 34 4" xfId="454" xr:uid="{00000000-0005-0000-0000-000099010000}"/>
    <cellStyle name="Normal 2 2 35" xfId="455" xr:uid="{00000000-0005-0000-0000-00009A010000}"/>
    <cellStyle name="Normal 2 2 35 2" xfId="456" xr:uid="{00000000-0005-0000-0000-00009B010000}"/>
    <cellStyle name="Normal 2 2 35 3" xfId="457" xr:uid="{00000000-0005-0000-0000-00009C010000}"/>
    <cellStyle name="Normal 2 2 35 4" xfId="458" xr:uid="{00000000-0005-0000-0000-00009D010000}"/>
    <cellStyle name="Normal 2 2 36" xfId="459" xr:uid="{00000000-0005-0000-0000-00009E010000}"/>
    <cellStyle name="Normal 2 2 36 2" xfId="460" xr:uid="{00000000-0005-0000-0000-00009F010000}"/>
    <cellStyle name="Normal 2 2 36 3" xfId="461" xr:uid="{00000000-0005-0000-0000-0000A0010000}"/>
    <cellStyle name="Normal 2 2 36 4" xfId="462" xr:uid="{00000000-0005-0000-0000-0000A1010000}"/>
    <cellStyle name="Normal 2 2 37" xfId="463" xr:uid="{00000000-0005-0000-0000-0000A2010000}"/>
    <cellStyle name="Normal 2 2 37 2" xfId="464" xr:uid="{00000000-0005-0000-0000-0000A3010000}"/>
    <cellStyle name="Normal 2 2 37 3" xfId="465" xr:uid="{00000000-0005-0000-0000-0000A4010000}"/>
    <cellStyle name="Normal 2 2 37 4" xfId="466" xr:uid="{00000000-0005-0000-0000-0000A5010000}"/>
    <cellStyle name="Normal 2 2 38" xfId="467" xr:uid="{00000000-0005-0000-0000-0000A6010000}"/>
    <cellStyle name="Normal 2 2 38 2" xfId="468" xr:uid="{00000000-0005-0000-0000-0000A7010000}"/>
    <cellStyle name="Normal 2 2 38 3" xfId="469" xr:uid="{00000000-0005-0000-0000-0000A8010000}"/>
    <cellStyle name="Normal 2 2 38 4" xfId="470" xr:uid="{00000000-0005-0000-0000-0000A9010000}"/>
    <cellStyle name="Normal 2 2 39" xfId="471" xr:uid="{00000000-0005-0000-0000-0000AA010000}"/>
    <cellStyle name="Normal 2 2 39 2" xfId="472" xr:uid="{00000000-0005-0000-0000-0000AB010000}"/>
    <cellStyle name="Normal 2 2 39 3" xfId="473" xr:uid="{00000000-0005-0000-0000-0000AC010000}"/>
    <cellStyle name="Normal 2 2 39 4" xfId="474" xr:uid="{00000000-0005-0000-0000-0000AD010000}"/>
    <cellStyle name="Normal 2 2 4" xfId="475" xr:uid="{00000000-0005-0000-0000-0000AE010000}"/>
    <cellStyle name="Normal 2 2 4 2" xfId="476" xr:uid="{00000000-0005-0000-0000-0000AF010000}"/>
    <cellStyle name="Normal 2 2 4 3" xfId="477" xr:uid="{00000000-0005-0000-0000-0000B0010000}"/>
    <cellStyle name="Normal 2 2 4 4" xfId="478" xr:uid="{00000000-0005-0000-0000-0000B1010000}"/>
    <cellStyle name="Normal 2 2 40" xfId="479" xr:uid="{00000000-0005-0000-0000-0000B2010000}"/>
    <cellStyle name="Normal 2 2 40 2" xfId="480" xr:uid="{00000000-0005-0000-0000-0000B3010000}"/>
    <cellStyle name="Normal 2 2 40 3" xfId="481" xr:uid="{00000000-0005-0000-0000-0000B4010000}"/>
    <cellStyle name="Normal 2 2 40 4" xfId="482" xr:uid="{00000000-0005-0000-0000-0000B5010000}"/>
    <cellStyle name="Normal 2 2 41" xfId="483" xr:uid="{00000000-0005-0000-0000-0000B6010000}"/>
    <cellStyle name="Normal 2 2 41 2" xfId="484" xr:uid="{00000000-0005-0000-0000-0000B7010000}"/>
    <cellStyle name="Normal 2 2 41 3" xfId="485" xr:uid="{00000000-0005-0000-0000-0000B8010000}"/>
    <cellStyle name="Normal 2 2 41 4" xfId="486" xr:uid="{00000000-0005-0000-0000-0000B9010000}"/>
    <cellStyle name="Normal 2 2 42" xfId="487" xr:uid="{00000000-0005-0000-0000-0000BA010000}"/>
    <cellStyle name="Normal 2 2 42 2" xfId="488" xr:uid="{00000000-0005-0000-0000-0000BB010000}"/>
    <cellStyle name="Normal 2 2 42 3" xfId="489" xr:uid="{00000000-0005-0000-0000-0000BC010000}"/>
    <cellStyle name="Normal 2 2 42 4" xfId="490" xr:uid="{00000000-0005-0000-0000-0000BD010000}"/>
    <cellStyle name="Normal 2 2 43" xfId="491" xr:uid="{00000000-0005-0000-0000-0000BE010000}"/>
    <cellStyle name="Normal 2 2 43 2" xfId="492" xr:uid="{00000000-0005-0000-0000-0000BF010000}"/>
    <cellStyle name="Normal 2 2 43 3" xfId="493" xr:uid="{00000000-0005-0000-0000-0000C0010000}"/>
    <cellStyle name="Normal 2 2 43 4" xfId="494" xr:uid="{00000000-0005-0000-0000-0000C1010000}"/>
    <cellStyle name="Normal 2 2 44" xfId="495" xr:uid="{00000000-0005-0000-0000-0000C2010000}"/>
    <cellStyle name="Normal 2 2 44 2" xfId="496" xr:uid="{00000000-0005-0000-0000-0000C3010000}"/>
    <cellStyle name="Normal 2 2 44 3" xfId="497" xr:uid="{00000000-0005-0000-0000-0000C4010000}"/>
    <cellStyle name="Normal 2 2 44 4" xfId="498" xr:uid="{00000000-0005-0000-0000-0000C5010000}"/>
    <cellStyle name="Normal 2 2 45" xfId="499" xr:uid="{00000000-0005-0000-0000-0000C6010000}"/>
    <cellStyle name="Normal 2 2 45 2" xfId="500" xr:uid="{00000000-0005-0000-0000-0000C7010000}"/>
    <cellStyle name="Normal 2 2 45 3" xfId="501" xr:uid="{00000000-0005-0000-0000-0000C8010000}"/>
    <cellStyle name="Normal 2 2 45 4" xfId="502" xr:uid="{00000000-0005-0000-0000-0000C9010000}"/>
    <cellStyle name="Normal 2 2 46" xfId="503" xr:uid="{00000000-0005-0000-0000-0000CA010000}"/>
    <cellStyle name="Normal 2 2 46 2" xfId="504" xr:uid="{00000000-0005-0000-0000-0000CB010000}"/>
    <cellStyle name="Normal 2 2 46 3" xfId="505" xr:uid="{00000000-0005-0000-0000-0000CC010000}"/>
    <cellStyle name="Normal 2 2 46 4" xfId="506" xr:uid="{00000000-0005-0000-0000-0000CD010000}"/>
    <cellStyle name="Normal 2 2 47" xfId="507" xr:uid="{00000000-0005-0000-0000-0000CE010000}"/>
    <cellStyle name="Normal 2 2 47 2" xfId="508" xr:uid="{00000000-0005-0000-0000-0000CF010000}"/>
    <cellStyle name="Normal 2 2 47 3" xfId="509" xr:uid="{00000000-0005-0000-0000-0000D0010000}"/>
    <cellStyle name="Normal 2 2 47 4" xfId="510" xr:uid="{00000000-0005-0000-0000-0000D1010000}"/>
    <cellStyle name="Normal 2 2 48" xfId="511" xr:uid="{00000000-0005-0000-0000-0000D2010000}"/>
    <cellStyle name="Normal 2 2 48 2" xfId="512" xr:uid="{00000000-0005-0000-0000-0000D3010000}"/>
    <cellStyle name="Normal 2 2 48 3" xfId="513" xr:uid="{00000000-0005-0000-0000-0000D4010000}"/>
    <cellStyle name="Normal 2 2 48 3 3" xfId="85" xr:uid="{00000000-0005-0000-0000-0000D5010000}"/>
    <cellStyle name="Normal 2 2 48 5" xfId="2231" xr:uid="{00000000-0005-0000-0000-0000D6010000}"/>
    <cellStyle name="Normal 2 2 49" xfId="514" xr:uid="{00000000-0005-0000-0000-0000D7010000}"/>
    <cellStyle name="Normal 2 2 5" xfId="515" xr:uid="{00000000-0005-0000-0000-0000D8010000}"/>
    <cellStyle name="Normal 2 2 5 2" xfId="516" xr:uid="{00000000-0005-0000-0000-0000D9010000}"/>
    <cellStyle name="Normal 2 2 5 3" xfId="517" xr:uid="{00000000-0005-0000-0000-0000DA010000}"/>
    <cellStyle name="Normal 2 2 5 4" xfId="518" xr:uid="{00000000-0005-0000-0000-0000DB010000}"/>
    <cellStyle name="Normal 2 2 50" xfId="519" xr:uid="{00000000-0005-0000-0000-0000DC010000}"/>
    <cellStyle name="Normal 2 2 51" xfId="520" xr:uid="{00000000-0005-0000-0000-0000DD010000}"/>
    <cellStyle name="Normal 2 2 52" xfId="40" xr:uid="{00000000-0005-0000-0000-0000DE010000}"/>
    <cellStyle name="Normal 2 2 52 3" xfId="81" xr:uid="{00000000-0005-0000-0000-0000DF010000}"/>
    <cellStyle name="Normal 2 2 53" xfId="2246" xr:uid="{00000000-0005-0000-0000-0000E0010000}"/>
    <cellStyle name="Normal 2 2 6" xfId="521" xr:uid="{00000000-0005-0000-0000-0000E1010000}"/>
    <cellStyle name="Normal 2 2 6 2" xfId="522" xr:uid="{00000000-0005-0000-0000-0000E2010000}"/>
    <cellStyle name="Normal 2 2 6 3" xfId="523" xr:uid="{00000000-0005-0000-0000-0000E3010000}"/>
    <cellStyle name="Normal 2 2 6 4" xfId="524" xr:uid="{00000000-0005-0000-0000-0000E4010000}"/>
    <cellStyle name="Normal 2 2 7" xfId="525" xr:uid="{00000000-0005-0000-0000-0000E5010000}"/>
    <cellStyle name="Normal 2 2 7 2" xfId="526" xr:uid="{00000000-0005-0000-0000-0000E6010000}"/>
    <cellStyle name="Normal 2 2 7 3" xfId="527" xr:uid="{00000000-0005-0000-0000-0000E7010000}"/>
    <cellStyle name="Normal 2 2 7 4" xfId="528" xr:uid="{00000000-0005-0000-0000-0000E8010000}"/>
    <cellStyle name="Normal 2 2 8" xfId="529" xr:uid="{00000000-0005-0000-0000-0000E9010000}"/>
    <cellStyle name="Normal 2 2 8 2" xfId="530" xr:uid="{00000000-0005-0000-0000-0000EA010000}"/>
    <cellStyle name="Normal 2 2 8 3" xfId="531" xr:uid="{00000000-0005-0000-0000-0000EB010000}"/>
    <cellStyle name="Normal 2 2 8 4" xfId="532" xr:uid="{00000000-0005-0000-0000-0000EC010000}"/>
    <cellStyle name="Normal 2 2 9" xfId="533" xr:uid="{00000000-0005-0000-0000-0000ED010000}"/>
    <cellStyle name="Normal 2 2 9 2" xfId="534" xr:uid="{00000000-0005-0000-0000-0000EE010000}"/>
    <cellStyle name="Normal 2 2 9 3" xfId="535" xr:uid="{00000000-0005-0000-0000-0000EF010000}"/>
    <cellStyle name="Normal 2 2 9 4" xfId="536" xr:uid="{00000000-0005-0000-0000-0000F0010000}"/>
    <cellStyle name="Normal 2 20" xfId="537" xr:uid="{00000000-0005-0000-0000-0000F1010000}"/>
    <cellStyle name="Normal 2 20 2" xfId="538" xr:uid="{00000000-0005-0000-0000-0000F2010000}"/>
    <cellStyle name="Normal 2 20 3" xfId="539" xr:uid="{00000000-0005-0000-0000-0000F3010000}"/>
    <cellStyle name="Normal 2 20 4" xfId="540" xr:uid="{00000000-0005-0000-0000-0000F4010000}"/>
    <cellStyle name="Normal 2 21" xfId="541" xr:uid="{00000000-0005-0000-0000-0000F5010000}"/>
    <cellStyle name="Normal 2 21 2" xfId="542" xr:uid="{00000000-0005-0000-0000-0000F6010000}"/>
    <cellStyle name="Normal 2 21 3" xfId="543" xr:uid="{00000000-0005-0000-0000-0000F7010000}"/>
    <cellStyle name="Normal 2 21 4" xfId="544" xr:uid="{00000000-0005-0000-0000-0000F8010000}"/>
    <cellStyle name="Normal 2 22" xfId="545" xr:uid="{00000000-0005-0000-0000-0000F9010000}"/>
    <cellStyle name="Normal 2 22 2" xfId="546" xr:uid="{00000000-0005-0000-0000-0000FA010000}"/>
    <cellStyle name="Normal 2 22 3" xfId="547" xr:uid="{00000000-0005-0000-0000-0000FB010000}"/>
    <cellStyle name="Normal 2 22 4" xfId="548" xr:uid="{00000000-0005-0000-0000-0000FC010000}"/>
    <cellStyle name="Normal 2 23" xfId="549" xr:uid="{00000000-0005-0000-0000-0000FD010000}"/>
    <cellStyle name="Normal 2 23 2" xfId="550" xr:uid="{00000000-0005-0000-0000-0000FE010000}"/>
    <cellStyle name="Normal 2 23 3" xfId="551" xr:uid="{00000000-0005-0000-0000-0000FF010000}"/>
    <cellStyle name="Normal 2 23 4" xfId="552" xr:uid="{00000000-0005-0000-0000-000000020000}"/>
    <cellStyle name="Normal 2 24" xfId="553" xr:uid="{00000000-0005-0000-0000-000001020000}"/>
    <cellStyle name="Normal 2 24 2" xfId="554" xr:uid="{00000000-0005-0000-0000-000002020000}"/>
    <cellStyle name="Normal 2 24 3" xfId="555" xr:uid="{00000000-0005-0000-0000-000003020000}"/>
    <cellStyle name="Normal 2 24 4" xfId="556" xr:uid="{00000000-0005-0000-0000-000004020000}"/>
    <cellStyle name="Normal 2 25" xfId="557" xr:uid="{00000000-0005-0000-0000-000005020000}"/>
    <cellStyle name="Normal 2 25 2" xfId="558" xr:uid="{00000000-0005-0000-0000-000006020000}"/>
    <cellStyle name="Normal 2 25 3" xfId="559" xr:uid="{00000000-0005-0000-0000-000007020000}"/>
    <cellStyle name="Normal 2 25 4" xfId="560" xr:uid="{00000000-0005-0000-0000-000008020000}"/>
    <cellStyle name="Normal 2 26" xfId="561" xr:uid="{00000000-0005-0000-0000-000009020000}"/>
    <cellStyle name="Normal 2 26 2" xfId="562" xr:uid="{00000000-0005-0000-0000-00000A020000}"/>
    <cellStyle name="Normal 2 26 3" xfId="563" xr:uid="{00000000-0005-0000-0000-00000B020000}"/>
    <cellStyle name="Normal 2 26 4" xfId="564" xr:uid="{00000000-0005-0000-0000-00000C020000}"/>
    <cellStyle name="Normal 2 27" xfId="565" xr:uid="{00000000-0005-0000-0000-00000D020000}"/>
    <cellStyle name="Normal 2 27 2" xfId="566" xr:uid="{00000000-0005-0000-0000-00000E020000}"/>
    <cellStyle name="Normal 2 27 3" xfId="567" xr:uid="{00000000-0005-0000-0000-00000F020000}"/>
    <cellStyle name="Normal 2 27 4" xfId="568" xr:uid="{00000000-0005-0000-0000-000010020000}"/>
    <cellStyle name="Normal 2 28" xfId="569" xr:uid="{00000000-0005-0000-0000-000011020000}"/>
    <cellStyle name="Normal 2 28 2" xfId="570" xr:uid="{00000000-0005-0000-0000-000012020000}"/>
    <cellStyle name="Normal 2 28 3" xfId="571" xr:uid="{00000000-0005-0000-0000-000013020000}"/>
    <cellStyle name="Normal 2 28 4" xfId="572" xr:uid="{00000000-0005-0000-0000-000014020000}"/>
    <cellStyle name="Normal 2 29" xfId="573" xr:uid="{00000000-0005-0000-0000-000015020000}"/>
    <cellStyle name="Normal 2 29 2" xfId="574" xr:uid="{00000000-0005-0000-0000-000016020000}"/>
    <cellStyle name="Normal 2 29 3" xfId="575" xr:uid="{00000000-0005-0000-0000-000017020000}"/>
    <cellStyle name="Normal 2 29 4" xfId="576" xr:uid="{00000000-0005-0000-0000-000018020000}"/>
    <cellStyle name="Normal 2 3" xfId="577" xr:uid="{00000000-0005-0000-0000-000019020000}"/>
    <cellStyle name="Normal 2 3 10" xfId="578" xr:uid="{00000000-0005-0000-0000-00001A020000}"/>
    <cellStyle name="Normal 2 3 10 2" xfId="579" xr:uid="{00000000-0005-0000-0000-00001B020000}"/>
    <cellStyle name="Normal 2 3 10 3" xfId="580" xr:uid="{00000000-0005-0000-0000-00001C020000}"/>
    <cellStyle name="Normal 2 3 10 4" xfId="581" xr:uid="{00000000-0005-0000-0000-00001D020000}"/>
    <cellStyle name="Normal 2 3 11" xfId="582" xr:uid="{00000000-0005-0000-0000-00001E020000}"/>
    <cellStyle name="Normal 2 3 11 2" xfId="583" xr:uid="{00000000-0005-0000-0000-00001F020000}"/>
    <cellStyle name="Normal 2 3 11 3" xfId="584" xr:uid="{00000000-0005-0000-0000-000020020000}"/>
    <cellStyle name="Normal 2 3 11 4" xfId="585" xr:uid="{00000000-0005-0000-0000-000021020000}"/>
    <cellStyle name="Normal 2 3 12" xfId="586" xr:uid="{00000000-0005-0000-0000-000022020000}"/>
    <cellStyle name="Normal 2 3 12 2" xfId="587" xr:uid="{00000000-0005-0000-0000-000023020000}"/>
    <cellStyle name="Normal 2 3 12 3" xfId="588" xr:uid="{00000000-0005-0000-0000-000024020000}"/>
    <cellStyle name="Normal 2 3 12 4" xfId="589" xr:uid="{00000000-0005-0000-0000-000025020000}"/>
    <cellStyle name="Normal 2 3 13" xfId="590" xr:uid="{00000000-0005-0000-0000-000026020000}"/>
    <cellStyle name="Normal 2 3 13 2" xfId="591" xr:uid="{00000000-0005-0000-0000-000027020000}"/>
    <cellStyle name="Normal 2 3 13 3" xfId="592" xr:uid="{00000000-0005-0000-0000-000028020000}"/>
    <cellStyle name="Normal 2 3 13 4" xfId="593" xr:uid="{00000000-0005-0000-0000-000029020000}"/>
    <cellStyle name="Normal 2 3 14" xfId="594" xr:uid="{00000000-0005-0000-0000-00002A020000}"/>
    <cellStyle name="Normal 2 3 14 2" xfId="595" xr:uid="{00000000-0005-0000-0000-00002B020000}"/>
    <cellStyle name="Normal 2 3 14 3" xfId="596" xr:uid="{00000000-0005-0000-0000-00002C020000}"/>
    <cellStyle name="Normal 2 3 14 4" xfId="597" xr:uid="{00000000-0005-0000-0000-00002D020000}"/>
    <cellStyle name="Normal 2 3 15" xfId="598" xr:uid="{00000000-0005-0000-0000-00002E020000}"/>
    <cellStyle name="Normal 2 3 15 2" xfId="599" xr:uid="{00000000-0005-0000-0000-00002F020000}"/>
    <cellStyle name="Normal 2 3 15 3" xfId="600" xr:uid="{00000000-0005-0000-0000-000030020000}"/>
    <cellStyle name="Normal 2 3 15 4" xfId="601" xr:uid="{00000000-0005-0000-0000-000031020000}"/>
    <cellStyle name="Normal 2 3 16" xfId="602" xr:uid="{00000000-0005-0000-0000-000032020000}"/>
    <cellStyle name="Normal 2 3 16 2" xfId="603" xr:uid="{00000000-0005-0000-0000-000033020000}"/>
    <cellStyle name="Normal 2 3 16 3" xfId="604" xr:uid="{00000000-0005-0000-0000-000034020000}"/>
    <cellStyle name="Normal 2 3 16 4" xfId="605" xr:uid="{00000000-0005-0000-0000-000035020000}"/>
    <cellStyle name="Normal 2 3 17" xfId="606" xr:uid="{00000000-0005-0000-0000-000036020000}"/>
    <cellStyle name="Normal 2 3 17 2" xfId="607" xr:uid="{00000000-0005-0000-0000-000037020000}"/>
    <cellStyle name="Normal 2 3 17 3" xfId="608" xr:uid="{00000000-0005-0000-0000-000038020000}"/>
    <cellStyle name="Normal 2 3 17 4" xfId="609" xr:uid="{00000000-0005-0000-0000-000039020000}"/>
    <cellStyle name="Normal 2 3 18" xfId="610" xr:uid="{00000000-0005-0000-0000-00003A020000}"/>
    <cellStyle name="Normal 2 3 18 2" xfId="611" xr:uid="{00000000-0005-0000-0000-00003B020000}"/>
    <cellStyle name="Normal 2 3 18 3" xfId="612" xr:uid="{00000000-0005-0000-0000-00003C020000}"/>
    <cellStyle name="Normal 2 3 18 4" xfId="613" xr:uid="{00000000-0005-0000-0000-00003D020000}"/>
    <cellStyle name="Normal 2 3 19" xfId="614" xr:uid="{00000000-0005-0000-0000-00003E020000}"/>
    <cellStyle name="Normal 2 3 19 2" xfId="615" xr:uid="{00000000-0005-0000-0000-00003F020000}"/>
    <cellStyle name="Normal 2 3 19 3" xfId="616" xr:uid="{00000000-0005-0000-0000-000040020000}"/>
    <cellStyle name="Normal 2 3 19 4" xfId="617" xr:uid="{00000000-0005-0000-0000-000041020000}"/>
    <cellStyle name="Normal 2 3 2" xfId="618" xr:uid="{00000000-0005-0000-0000-000042020000}"/>
    <cellStyle name="Normal 2 3 2 2" xfId="619" xr:uid="{00000000-0005-0000-0000-000043020000}"/>
    <cellStyle name="Normal 2 3 2 2 2" xfId="68" xr:uid="{00000000-0005-0000-0000-000044020000}"/>
    <cellStyle name="Normal 2 3 2 3" xfId="620" xr:uid="{00000000-0005-0000-0000-000045020000}"/>
    <cellStyle name="Normal 2 3 2 4" xfId="621" xr:uid="{00000000-0005-0000-0000-000046020000}"/>
    <cellStyle name="Normal 2 3 20" xfId="622" xr:uid="{00000000-0005-0000-0000-000047020000}"/>
    <cellStyle name="Normal 2 3 20 2" xfId="623" xr:uid="{00000000-0005-0000-0000-000048020000}"/>
    <cellStyle name="Normal 2 3 20 3" xfId="624" xr:uid="{00000000-0005-0000-0000-000049020000}"/>
    <cellStyle name="Normal 2 3 20 4" xfId="625" xr:uid="{00000000-0005-0000-0000-00004A020000}"/>
    <cellStyle name="Normal 2 3 21" xfId="626" xr:uid="{00000000-0005-0000-0000-00004B020000}"/>
    <cellStyle name="Normal 2 3 21 2" xfId="627" xr:uid="{00000000-0005-0000-0000-00004C020000}"/>
    <cellStyle name="Normal 2 3 21 3" xfId="628" xr:uid="{00000000-0005-0000-0000-00004D020000}"/>
    <cellStyle name="Normal 2 3 21 4" xfId="629" xr:uid="{00000000-0005-0000-0000-00004E020000}"/>
    <cellStyle name="Normal 2 3 22" xfId="630" xr:uid="{00000000-0005-0000-0000-00004F020000}"/>
    <cellStyle name="Normal 2 3 22 2" xfId="631" xr:uid="{00000000-0005-0000-0000-000050020000}"/>
    <cellStyle name="Normal 2 3 22 3" xfId="632" xr:uid="{00000000-0005-0000-0000-000051020000}"/>
    <cellStyle name="Normal 2 3 22 4" xfId="633" xr:uid="{00000000-0005-0000-0000-000052020000}"/>
    <cellStyle name="Normal 2 3 23" xfId="634" xr:uid="{00000000-0005-0000-0000-000053020000}"/>
    <cellStyle name="Normal 2 3 23 2" xfId="635" xr:uid="{00000000-0005-0000-0000-000054020000}"/>
    <cellStyle name="Normal 2 3 23 3" xfId="636" xr:uid="{00000000-0005-0000-0000-000055020000}"/>
    <cellStyle name="Normal 2 3 23 4" xfId="637" xr:uid="{00000000-0005-0000-0000-000056020000}"/>
    <cellStyle name="Normal 2 3 24" xfId="638" xr:uid="{00000000-0005-0000-0000-000057020000}"/>
    <cellStyle name="Normal 2 3 24 2" xfId="639" xr:uid="{00000000-0005-0000-0000-000058020000}"/>
    <cellStyle name="Normal 2 3 24 3" xfId="640" xr:uid="{00000000-0005-0000-0000-000059020000}"/>
    <cellStyle name="Normal 2 3 24 4" xfId="641" xr:uid="{00000000-0005-0000-0000-00005A020000}"/>
    <cellStyle name="Normal 2 3 25" xfId="642" xr:uid="{00000000-0005-0000-0000-00005B020000}"/>
    <cellStyle name="Normal 2 3 25 2" xfId="643" xr:uid="{00000000-0005-0000-0000-00005C020000}"/>
    <cellStyle name="Normal 2 3 25 3" xfId="644" xr:uid="{00000000-0005-0000-0000-00005D020000}"/>
    <cellStyle name="Normal 2 3 25 4" xfId="645" xr:uid="{00000000-0005-0000-0000-00005E020000}"/>
    <cellStyle name="Normal 2 3 26" xfId="646" xr:uid="{00000000-0005-0000-0000-00005F020000}"/>
    <cellStyle name="Normal 2 3 26 2" xfId="647" xr:uid="{00000000-0005-0000-0000-000060020000}"/>
    <cellStyle name="Normal 2 3 26 3" xfId="648" xr:uid="{00000000-0005-0000-0000-000061020000}"/>
    <cellStyle name="Normal 2 3 26 4" xfId="649" xr:uid="{00000000-0005-0000-0000-000062020000}"/>
    <cellStyle name="Normal 2 3 27" xfId="650" xr:uid="{00000000-0005-0000-0000-000063020000}"/>
    <cellStyle name="Normal 2 3 27 2" xfId="651" xr:uid="{00000000-0005-0000-0000-000064020000}"/>
    <cellStyle name="Normal 2 3 27 3" xfId="652" xr:uid="{00000000-0005-0000-0000-000065020000}"/>
    <cellStyle name="Normal 2 3 27 4" xfId="653" xr:uid="{00000000-0005-0000-0000-000066020000}"/>
    <cellStyle name="Normal 2 3 28" xfId="654" xr:uid="{00000000-0005-0000-0000-000067020000}"/>
    <cellStyle name="Normal 2 3 28 2" xfId="655" xr:uid="{00000000-0005-0000-0000-000068020000}"/>
    <cellStyle name="Normal 2 3 28 3" xfId="656" xr:uid="{00000000-0005-0000-0000-000069020000}"/>
    <cellStyle name="Normal 2 3 28 4" xfId="657" xr:uid="{00000000-0005-0000-0000-00006A020000}"/>
    <cellStyle name="Normal 2 3 29" xfId="658" xr:uid="{00000000-0005-0000-0000-00006B020000}"/>
    <cellStyle name="Normal 2 3 29 2" xfId="659" xr:uid="{00000000-0005-0000-0000-00006C020000}"/>
    <cellStyle name="Normal 2 3 29 3" xfId="660" xr:uid="{00000000-0005-0000-0000-00006D020000}"/>
    <cellStyle name="Normal 2 3 29 4" xfId="661" xr:uid="{00000000-0005-0000-0000-00006E020000}"/>
    <cellStyle name="Normal 2 3 3" xfId="662" xr:uid="{00000000-0005-0000-0000-00006F020000}"/>
    <cellStyle name="Normal 2 3 3 2" xfId="663" xr:uid="{00000000-0005-0000-0000-000070020000}"/>
    <cellStyle name="Normal 2 3 3 3" xfId="664" xr:uid="{00000000-0005-0000-0000-000071020000}"/>
    <cellStyle name="Normal 2 3 3 4" xfId="665" xr:uid="{00000000-0005-0000-0000-000072020000}"/>
    <cellStyle name="Normal 2 3 30" xfId="666" xr:uid="{00000000-0005-0000-0000-000073020000}"/>
    <cellStyle name="Normal 2 3 30 2" xfId="667" xr:uid="{00000000-0005-0000-0000-000074020000}"/>
    <cellStyle name="Normal 2 3 30 3" xfId="668" xr:uid="{00000000-0005-0000-0000-000075020000}"/>
    <cellStyle name="Normal 2 3 30 4" xfId="669" xr:uid="{00000000-0005-0000-0000-000076020000}"/>
    <cellStyle name="Normal 2 3 31" xfId="670" xr:uid="{00000000-0005-0000-0000-000077020000}"/>
    <cellStyle name="Normal 2 3 31 2" xfId="671" xr:uid="{00000000-0005-0000-0000-000078020000}"/>
    <cellStyle name="Normal 2 3 31 3" xfId="672" xr:uid="{00000000-0005-0000-0000-000079020000}"/>
    <cellStyle name="Normal 2 3 31 4" xfId="673" xr:uid="{00000000-0005-0000-0000-00007A020000}"/>
    <cellStyle name="Normal 2 3 32" xfId="674" xr:uid="{00000000-0005-0000-0000-00007B020000}"/>
    <cellStyle name="Normal 2 3 32 2" xfId="675" xr:uid="{00000000-0005-0000-0000-00007C020000}"/>
    <cellStyle name="Normal 2 3 32 3" xfId="676" xr:uid="{00000000-0005-0000-0000-00007D020000}"/>
    <cellStyle name="Normal 2 3 32 4" xfId="677" xr:uid="{00000000-0005-0000-0000-00007E020000}"/>
    <cellStyle name="Normal 2 3 33" xfId="678" xr:uid="{00000000-0005-0000-0000-00007F020000}"/>
    <cellStyle name="Normal 2 3 33 2" xfId="679" xr:uid="{00000000-0005-0000-0000-000080020000}"/>
    <cellStyle name="Normal 2 3 33 3" xfId="680" xr:uid="{00000000-0005-0000-0000-000081020000}"/>
    <cellStyle name="Normal 2 3 33 4" xfId="681" xr:uid="{00000000-0005-0000-0000-000082020000}"/>
    <cellStyle name="Normal 2 3 34" xfId="682" xr:uid="{00000000-0005-0000-0000-000083020000}"/>
    <cellStyle name="Normal 2 3 34 2" xfId="683" xr:uid="{00000000-0005-0000-0000-000084020000}"/>
    <cellStyle name="Normal 2 3 34 3" xfId="684" xr:uid="{00000000-0005-0000-0000-000085020000}"/>
    <cellStyle name="Normal 2 3 34 4" xfId="685" xr:uid="{00000000-0005-0000-0000-000086020000}"/>
    <cellStyle name="Normal 2 3 35" xfId="686" xr:uid="{00000000-0005-0000-0000-000087020000}"/>
    <cellStyle name="Normal 2 3 35 2" xfId="687" xr:uid="{00000000-0005-0000-0000-000088020000}"/>
    <cellStyle name="Normal 2 3 35 3" xfId="688" xr:uid="{00000000-0005-0000-0000-000089020000}"/>
    <cellStyle name="Normal 2 3 35 4" xfId="689" xr:uid="{00000000-0005-0000-0000-00008A020000}"/>
    <cellStyle name="Normal 2 3 36" xfId="690" xr:uid="{00000000-0005-0000-0000-00008B020000}"/>
    <cellStyle name="Normal 2 3 36 2" xfId="691" xr:uid="{00000000-0005-0000-0000-00008C020000}"/>
    <cellStyle name="Normal 2 3 36 3" xfId="692" xr:uid="{00000000-0005-0000-0000-00008D020000}"/>
    <cellStyle name="Normal 2 3 36 4" xfId="693" xr:uid="{00000000-0005-0000-0000-00008E020000}"/>
    <cellStyle name="Normal 2 3 37" xfId="694" xr:uid="{00000000-0005-0000-0000-00008F020000}"/>
    <cellStyle name="Normal 2 3 37 2" xfId="695" xr:uid="{00000000-0005-0000-0000-000090020000}"/>
    <cellStyle name="Normal 2 3 37 3" xfId="696" xr:uid="{00000000-0005-0000-0000-000091020000}"/>
    <cellStyle name="Normal 2 3 37 4" xfId="697" xr:uid="{00000000-0005-0000-0000-000092020000}"/>
    <cellStyle name="Normal 2 3 38" xfId="698" xr:uid="{00000000-0005-0000-0000-000093020000}"/>
    <cellStyle name="Normal 2 3 38 2" xfId="699" xr:uid="{00000000-0005-0000-0000-000094020000}"/>
    <cellStyle name="Normal 2 3 38 3" xfId="700" xr:uid="{00000000-0005-0000-0000-000095020000}"/>
    <cellStyle name="Normal 2 3 38 4" xfId="701" xr:uid="{00000000-0005-0000-0000-000096020000}"/>
    <cellStyle name="Normal 2 3 39" xfId="702" xr:uid="{00000000-0005-0000-0000-000097020000}"/>
    <cellStyle name="Normal 2 3 39 2" xfId="703" xr:uid="{00000000-0005-0000-0000-000098020000}"/>
    <cellStyle name="Normal 2 3 39 3" xfId="704" xr:uid="{00000000-0005-0000-0000-000099020000}"/>
    <cellStyle name="Normal 2 3 39 4" xfId="705" xr:uid="{00000000-0005-0000-0000-00009A020000}"/>
    <cellStyle name="Normal 2 3 4" xfId="706" xr:uid="{00000000-0005-0000-0000-00009B020000}"/>
    <cellStyle name="Normal 2 3 4 2" xfId="707" xr:uid="{00000000-0005-0000-0000-00009C020000}"/>
    <cellStyle name="Normal 2 3 4 3" xfId="708" xr:uid="{00000000-0005-0000-0000-00009D020000}"/>
    <cellStyle name="Normal 2 3 4 4" xfId="709" xr:uid="{00000000-0005-0000-0000-00009E020000}"/>
    <cellStyle name="Normal 2 3 40" xfId="710" xr:uid="{00000000-0005-0000-0000-00009F020000}"/>
    <cellStyle name="Normal 2 3 40 2" xfId="711" xr:uid="{00000000-0005-0000-0000-0000A0020000}"/>
    <cellStyle name="Normal 2 3 40 3" xfId="712" xr:uid="{00000000-0005-0000-0000-0000A1020000}"/>
    <cellStyle name="Normal 2 3 40 4" xfId="713" xr:uid="{00000000-0005-0000-0000-0000A2020000}"/>
    <cellStyle name="Normal 2 3 41" xfId="714" xr:uid="{00000000-0005-0000-0000-0000A3020000}"/>
    <cellStyle name="Normal 2 3 41 2" xfId="715" xr:uid="{00000000-0005-0000-0000-0000A4020000}"/>
    <cellStyle name="Normal 2 3 41 3" xfId="716" xr:uid="{00000000-0005-0000-0000-0000A5020000}"/>
    <cellStyle name="Normal 2 3 41 4" xfId="717" xr:uid="{00000000-0005-0000-0000-0000A6020000}"/>
    <cellStyle name="Normal 2 3 42" xfId="718" xr:uid="{00000000-0005-0000-0000-0000A7020000}"/>
    <cellStyle name="Normal 2 3 42 2" xfId="719" xr:uid="{00000000-0005-0000-0000-0000A8020000}"/>
    <cellStyle name="Normal 2 3 42 3" xfId="720" xr:uid="{00000000-0005-0000-0000-0000A9020000}"/>
    <cellStyle name="Normal 2 3 42 4" xfId="721" xr:uid="{00000000-0005-0000-0000-0000AA020000}"/>
    <cellStyle name="Normal 2 3 43" xfId="722" xr:uid="{00000000-0005-0000-0000-0000AB020000}"/>
    <cellStyle name="Normal 2 3 43 2" xfId="723" xr:uid="{00000000-0005-0000-0000-0000AC020000}"/>
    <cellStyle name="Normal 2 3 43 3" xfId="724" xr:uid="{00000000-0005-0000-0000-0000AD020000}"/>
    <cellStyle name="Normal 2 3 43 4" xfId="725" xr:uid="{00000000-0005-0000-0000-0000AE020000}"/>
    <cellStyle name="Normal 2 3 44" xfId="726" xr:uid="{00000000-0005-0000-0000-0000AF020000}"/>
    <cellStyle name="Normal 2 3 44 2" xfId="727" xr:uid="{00000000-0005-0000-0000-0000B0020000}"/>
    <cellStyle name="Normal 2 3 44 3" xfId="728" xr:uid="{00000000-0005-0000-0000-0000B1020000}"/>
    <cellStyle name="Normal 2 3 44 4" xfId="729" xr:uid="{00000000-0005-0000-0000-0000B2020000}"/>
    <cellStyle name="Normal 2 3 45" xfId="730" xr:uid="{00000000-0005-0000-0000-0000B3020000}"/>
    <cellStyle name="Normal 2 3 45 2" xfId="731" xr:uid="{00000000-0005-0000-0000-0000B4020000}"/>
    <cellStyle name="Normal 2 3 45 3" xfId="732" xr:uid="{00000000-0005-0000-0000-0000B5020000}"/>
    <cellStyle name="Normal 2 3 45 4" xfId="733" xr:uid="{00000000-0005-0000-0000-0000B6020000}"/>
    <cellStyle name="Normal 2 3 46" xfId="734" xr:uid="{00000000-0005-0000-0000-0000B7020000}"/>
    <cellStyle name="Normal 2 3 46 2" xfId="735" xr:uid="{00000000-0005-0000-0000-0000B8020000}"/>
    <cellStyle name="Normal 2 3 46 3" xfId="736" xr:uid="{00000000-0005-0000-0000-0000B9020000}"/>
    <cellStyle name="Normal 2 3 46 4" xfId="737" xr:uid="{00000000-0005-0000-0000-0000BA020000}"/>
    <cellStyle name="Normal 2 3 47" xfId="738" xr:uid="{00000000-0005-0000-0000-0000BB020000}"/>
    <cellStyle name="Normal 2 3 47 2" xfId="739" xr:uid="{00000000-0005-0000-0000-0000BC020000}"/>
    <cellStyle name="Normal 2 3 47 3" xfId="740" xr:uid="{00000000-0005-0000-0000-0000BD020000}"/>
    <cellStyle name="Normal 2 3 47 4" xfId="741" xr:uid="{00000000-0005-0000-0000-0000BE020000}"/>
    <cellStyle name="Normal 2 3 48" xfId="742" xr:uid="{00000000-0005-0000-0000-0000BF020000}"/>
    <cellStyle name="Normal 2 3 48 8" xfId="70" xr:uid="{00000000-0005-0000-0000-0000C0020000}"/>
    <cellStyle name="Normal 2 3 49" xfId="743" xr:uid="{00000000-0005-0000-0000-0000C1020000}"/>
    <cellStyle name="Normal 2 3 5" xfId="744" xr:uid="{00000000-0005-0000-0000-0000C2020000}"/>
    <cellStyle name="Normal 2 3 5 2" xfId="745" xr:uid="{00000000-0005-0000-0000-0000C3020000}"/>
    <cellStyle name="Normal 2 3 5 3" xfId="746" xr:uid="{00000000-0005-0000-0000-0000C4020000}"/>
    <cellStyle name="Normal 2 3 5 4" xfId="747" xr:uid="{00000000-0005-0000-0000-0000C5020000}"/>
    <cellStyle name="Normal 2 3 50" xfId="2247" xr:uid="{00000000-0005-0000-0000-0000C6020000}"/>
    <cellStyle name="Normal 2 3 6" xfId="748" xr:uid="{00000000-0005-0000-0000-0000C7020000}"/>
    <cellStyle name="Normal 2 3 6 2" xfId="749" xr:uid="{00000000-0005-0000-0000-0000C8020000}"/>
    <cellStyle name="Normal 2 3 6 3" xfId="750" xr:uid="{00000000-0005-0000-0000-0000C9020000}"/>
    <cellStyle name="Normal 2 3 6 4" xfId="751" xr:uid="{00000000-0005-0000-0000-0000CA020000}"/>
    <cellStyle name="Normal 2 3 7" xfId="752" xr:uid="{00000000-0005-0000-0000-0000CB020000}"/>
    <cellStyle name="Normal 2 3 7 2" xfId="753" xr:uid="{00000000-0005-0000-0000-0000CC020000}"/>
    <cellStyle name="Normal 2 3 7 3" xfId="754" xr:uid="{00000000-0005-0000-0000-0000CD020000}"/>
    <cellStyle name="Normal 2 3 7 4" xfId="755" xr:uid="{00000000-0005-0000-0000-0000CE020000}"/>
    <cellStyle name="Normal 2 3 8" xfId="756" xr:uid="{00000000-0005-0000-0000-0000CF020000}"/>
    <cellStyle name="Normal 2 3 8 2" xfId="757" xr:uid="{00000000-0005-0000-0000-0000D0020000}"/>
    <cellStyle name="Normal 2 3 8 3" xfId="758" xr:uid="{00000000-0005-0000-0000-0000D1020000}"/>
    <cellStyle name="Normal 2 3 8 4" xfId="759" xr:uid="{00000000-0005-0000-0000-0000D2020000}"/>
    <cellStyle name="Normal 2 3 9" xfId="760" xr:uid="{00000000-0005-0000-0000-0000D3020000}"/>
    <cellStyle name="Normal 2 3 9 2" xfId="761" xr:uid="{00000000-0005-0000-0000-0000D4020000}"/>
    <cellStyle name="Normal 2 3 9 3" xfId="762" xr:uid="{00000000-0005-0000-0000-0000D5020000}"/>
    <cellStyle name="Normal 2 3 9 4" xfId="763" xr:uid="{00000000-0005-0000-0000-0000D6020000}"/>
    <cellStyle name="Normal 2 30" xfId="764" xr:uid="{00000000-0005-0000-0000-0000D7020000}"/>
    <cellStyle name="Normal 2 30 2" xfId="765" xr:uid="{00000000-0005-0000-0000-0000D8020000}"/>
    <cellStyle name="Normal 2 30 3" xfId="766" xr:uid="{00000000-0005-0000-0000-0000D9020000}"/>
    <cellStyle name="Normal 2 30 4" xfId="767" xr:uid="{00000000-0005-0000-0000-0000DA020000}"/>
    <cellStyle name="Normal 2 31" xfId="768" xr:uid="{00000000-0005-0000-0000-0000DB020000}"/>
    <cellStyle name="Normal 2 31 2" xfId="769" xr:uid="{00000000-0005-0000-0000-0000DC020000}"/>
    <cellStyle name="Normal 2 31 3" xfId="770" xr:uid="{00000000-0005-0000-0000-0000DD020000}"/>
    <cellStyle name="Normal 2 31 4" xfId="771" xr:uid="{00000000-0005-0000-0000-0000DE020000}"/>
    <cellStyle name="Normal 2 32" xfId="772" xr:uid="{00000000-0005-0000-0000-0000DF020000}"/>
    <cellStyle name="Normal 2 32 2" xfId="773" xr:uid="{00000000-0005-0000-0000-0000E0020000}"/>
    <cellStyle name="Normal 2 32 3" xfId="774" xr:uid="{00000000-0005-0000-0000-0000E1020000}"/>
    <cellStyle name="Normal 2 32 4" xfId="775" xr:uid="{00000000-0005-0000-0000-0000E2020000}"/>
    <cellStyle name="Normal 2 33" xfId="776" xr:uid="{00000000-0005-0000-0000-0000E3020000}"/>
    <cellStyle name="Normal 2 33 2" xfId="777" xr:uid="{00000000-0005-0000-0000-0000E4020000}"/>
    <cellStyle name="Normal 2 33 3" xfId="778" xr:uid="{00000000-0005-0000-0000-0000E5020000}"/>
    <cellStyle name="Normal 2 33 4" xfId="779" xr:uid="{00000000-0005-0000-0000-0000E6020000}"/>
    <cellStyle name="Normal 2 34" xfId="780" xr:uid="{00000000-0005-0000-0000-0000E7020000}"/>
    <cellStyle name="Normal 2 34 2" xfId="781" xr:uid="{00000000-0005-0000-0000-0000E8020000}"/>
    <cellStyle name="Normal 2 34 3" xfId="782" xr:uid="{00000000-0005-0000-0000-0000E9020000}"/>
    <cellStyle name="Normal 2 34 4" xfId="783" xr:uid="{00000000-0005-0000-0000-0000EA020000}"/>
    <cellStyle name="Normal 2 35" xfId="784" xr:uid="{00000000-0005-0000-0000-0000EB020000}"/>
    <cellStyle name="Normal 2 35 2" xfId="785" xr:uid="{00000000-0005-0000-0000-0000EC020000}"/>
    <cellStyle name="Normal 2 35 3" xfId="786" xr:uid="{00000000-0005-0000-0000-0000ED020000}"/>
    <cellStyle name="Normal 2 35 4" xfId="787" xr:uid="{00000000-0005-0000-0000-0000EE020000}"/>
    <cellStyle name="Normal 2 36" xfId="788" xr:uid="{00000000-0005-0000-0000-0000EF020000}"/>
    <cellStyle name="Normal 2 36 2" xfId="789" xr:uid="{00000000-0005-0000-0000-0000F0020000}"/>
    <cellStyle name="Normal 2 36 3" xfId="790" xr:uid="{00000000-0005-0000-0000-0000F1020000}"/>
    <cellStyle name="Normal 2 36 4" xfId="791" xr:uid="{00000000-0005-0000-0000-0000F2020000}"/>
    <cellStyle name="Normal 2 37" xfId="792" xr:uid="{00000000-0005-0000-0000-0000F3020000}"/>
    <cellStyle name="Normal 2 37 2" xfId="793" xr:uid="{00000000-0005-0000-0000-0000F4020000}"/>
    <cellStyle name="Normal 2 37 3" xfId="794" xr:uid="{00000000-0005-0000-0000-0000F5020000}"/>
    <cellStyle name="Normal 2 37 4" xfId="795" xr:uid="{00000000-0005-0000-0000-0000F6020000}"/>
    <cellStyle name="Normal 2 38" xfId="796" xr:uid="{00000000-0005-0000-0000-0000F7020000}"/>
    <cellStyle name="Normal 2 38 2" xfId="797" xr:uid="{00000000-0005-0000-0000-0000F8020000}"/>
    <cellStyle name="Normal 2 38 3" xfId="798" xr:uid="{00000000-0005-0000-0000-0000F9020000}"/>
    <cellStyle name="Normal 2 38 4" xfId="799" xr:uid="{00000000-0005-0000-0000-0000FA020000}"/>
    <cellStyle name="Normal 2 39" xfId="800" xr:uid="{00000000-0005-0000-0000-0000FB020000}"/>
    <cellStyle name="Normal 2 39 2" xfId="801" xr:uid="{00000000-0005-0000-0000-0000FC020000}"/>
    <cellStyle name="Normal 2 39 3" xfId="802" xr:uid="{00000000-0005-0000-0000-0000FD020000}"/>
    <cellStyle name="Normal 2 39 4" xfId="803" xr:uid="{00000000-0005-0000-0000-0000FE020000}"/>
    <cellStyle name="Normal 2 4" xfId="27" xr:uid="{00000000-0005-0000-0000-0000FF020000}"/>
    <cellStyle name="Normal 2 4 2" xfId="805" xr:uid="{00000000-0005-0000-0000-000000030000}"/>
    <cellStyle name="Normal 2 4 2 2" xfId="806" xr:uid="{00000000-0005-0000-0000-000001030000}"/>
    <cellStyle name="Normal 2 4 2 3" xfId="807" xr:uid="{00000000-0005-0000-0000-000002030000}"/>
    <cellStyle name="Normal 2 4 2 4" xfId="808" xr:uid="{00000000-0005-0000-0000-000003030000}"/>
    <cellStyle name="Normal 2 4 3" xfId="809" xr:uid="{00000000-0005-0000-0000-000004030000}"/>
    <cellStyle name="Normal 2 4 4" xfId="810" xr:uid="{00000000-0005-0000-0000-000005030000}"/>
    <cellStyle name="Normal 2 4 5" xfId="811" xr:uid="{00000000-0005-0000-0000-000006030000}"/>
    <cellStyle name="Normal 2 4 6" xfId="804" xr:uid="{00000000-0005-0000-0000-000007030000}"/>
    <cellStyle name="Normal 2 40" xfId="812" xr:uid="{00000000-0005-0000-0000-000008030000}"/>
    <cellStyle name="Normal 2 40 2" xfId="813" xr:uid="{00000000-0005-0000-0000-000009030000}"/>
    <cellStyle name="Normal 2 40 3" xfId="814" xr:uid="{00000000-0005-0000-0000-00000A030000}"/>
    <cellStyle name="Normal 2 40 4" xfId="815" xr:uid="{00000000-0005-0000-0000-00000B030000}"/>
    <cellStyle name="Normal 2 41" xfId="816" xr:uid="{00000000-0005-0000-0000-00000C030000}"/>
    <cellStyle name="Normal 2 41 2" xfId="817" xr:uid="{00000000-0005-0000-0000-00000D030000}"/>
    <cellStyle name="Normal 2 41 3" xfId="818" xr:uid="{00000000-0005-0000-0000-00000E030000}"/>
    <cellStyle name="Normal 2 41 4" xfId="819" xr:uid="{00000000-0005-0000-0000-00000F030000}"/>
    <cellStyle name="Normal 2 42" xfId="820" xr:uid="{00000000-0005-0000-0000-000010030000}"/>
    <cellStyle name="Normal 2 42 2" xfId="821" xr:uid="{00000000-0005-0000-0000-000011030000}"/>
    <cellStyle name="Normal 2 42 3" xfId="822" xr:uid="{00000000-0005-0000-0000-000012030000}"/>
    <cellStyle name="Normal 2 42 4" xfId="823" xr:uid="{00000000-0005-0000-0000-000013030000}"/>
    <cellStyle name="Normal 2 43" xfId="824" xr:uid="{00000000-0005-0000-0000-000014030000}"/>
    <cellStyle name="Normal 2 43 2" xfId="825" xr:uid="{00000000-0005-0000-0000-000015030000}"/>
    <cellStyle name="Normal 2 43 3" xfId="826" xr:uid="{00000000-0005-0000-0000-000016030000}"/>
    <cellStyle name="Normal 2 43 4" xfId="827" xr:uid="{00000000-0005-0000-0000-000017030000}"/>
    <cellStyle name="Normal 2 44" xfId="828" xr:uid="{00000000-0005-0000-0000-000018030000}"/>
    <cellStyle name="Normal 2 44 2" xfId="829" xr:uid="{00000000-0005-0000-0000-000019030000}"/>
    <cellStyle name="Normal 2 44 3" xfId="830" xr:uid="{00000000-0005-0000-0000-00001A030000}"/>
    <cellStyle name="Normal 2 44 4" xfId="831" xr:uid="{00000000-0005-0000-0000-00001B030000}"/>
    <cellStyle name="Normal 2 45" xfId="832" xr:uid="{00000000-0005-0000-0000-00001C030000}"/>
    <cellStyle name="Normal 2 45 2" xfId="833" xr:uid="{00000000-0005-0000-0000-00001D030000}"/>
    <cellStyle name="Normal 2 45 3" xfId="834" xr:uid="{00000000-0005-0000-0000-00001E030000}"/>
    <cellStyle name="Normal 2 45 4" xfId="835" xr:uid="{00000000-0005-0000-0000-00001F030000}"/>
    <cellStyle name="Normal 2 46" xfId="836" xr:uid="{00000000-0005-0000-0000-000020030000}"/>
    <cellStyle name="Normal 2 46 2" xfId="837" xr:uid="{00000000-0005-0000-0000-000021030000}"/>
    <cellStyle name="Normal 2 46 3" xfId="838" xr:uid="{00000000-0005-0000-0000-000022030000}"/>
    <cellStyle name="Normal 2 46 4" xfId="839" xr:uid="{00000000-0005-0000-0000-000023030000}"/>
    <cellStyle name="Normal 2 47" xfId="840" xr:uid="{00000000-0005-0000-0000-000024030000}"/>
    <cellStyle name="Normal 2 47 2" xfId="841" xr:uid="{00000000-0005-0000-0000-000025030000}"/>
    <cellStyle name="Normal 2 47 3" xfId="842" xr:uid="{00000000-0005-0000-0000-000026030000}"/>
    <cellStyle name="Normal 2 47 4" xfId="843" xr:uid="{00000000-0005-0000-0000-000027030000}"/>
    <cellStyle name="Normal 2 48" xfId="844" xr:uid="{00000000-0005-0000-0000-000028030000}"/>
    <cellStyle name="Normal 2 48 2" xfId="845" xr:uid="{00000000-0005-0000-0000-000029030000}"/>
    <cellStyle name="Normal 2 48 3" xfId="846" xr:uid="{00000000-0005-0000-0000-00002A030000}"/>
    <cellStyle name="Normal 2 48 4" xfId="847" xr:uid="{00000000-0005-0000-0000-00002B030000}"/>
    <cellStyle name="Normal 2 49" xfId="848" xr:uid="{00000000-0005-0000-0000-00002C030000}"/>
    <cellStyle name="Normal 2 49 2" xfId="849" xr:uid="{00000000-0005-0000-0000-00002D030000}"/>
    <cellStyle name="Normal 2 49 3" xfId="850" xr:uid="{00000000-0005-0000-0000-00002E030000}"/>
    <cellStyle name="Normal 2 49 4" xfId="851" xr:uid="{00000000-0005-0000-0000-00002F030000}"/>
    <cellStyle name="Normal 2 5" xfId="852" xr:uid="{00000000-0005-0000-0000-000030030000}"/>
    <cellStyle name="Normal 2 5 2" xfId="853" xr:uid="{00000000-0005-0000-0000-000031030000}"/>
    <cellStyle name="Normal 2 5 3" xfId="854" xr:uid="{00000000-0005-0000-0000-000032030000}"/>
    <cellStyle name="Normal 2 5 4" xfId="855" xr:uid="{00000000-0005-0000-0000-000033030000}"/>
    <cellStyle name="Normal 2 50" xfId="856" xr:uid="{00000000-0005-0000-0000-000034030000}"/>
    <cellStyle name="Normal 2 50 2" xfId="857" xr:uid="{00000000-0005-0000-0000-000035030000}"/>
    <cellStyle name="Normal 2 50 2 2" xfId="858" xr:uid="{00000000-0005-0000-0000-000036030000}"/>
    <cellStyle name="Normal 2 50 2 3" xfId="859" xr:uid="{00000000-0005-0000-0000-000037030000}"/>
    <cellStyle name="Normal 2 50 3" xfId="860" xr:uid="{00000000-0005-0000-0000-000038030000}"/>
    <cellStyle name="Normal 2 50 4" xfId="861" xr:uid="{00000000-0005-0000-0000-000039030000}"/>
    <cellStyle name="Normal 2 50 5" xfId="862" xr:uid="{00000000-0005-0000-0000-00003A030000}"/>
    <cellStyle name="Normal 2 51" xfId="863" xr:uid="{00000000-0005-0000-0000-00003B030000}"/>
    <cellStyle name="Normal 2 51 2" xfId="864" xr:uid="{00000000-0005-0000-0000-00003C030000}"/>
    <cellStyle name="Normal 2 51 2 2" xfId="865" xr:uid="{00000000-0005-0000-0000-00003D030000}"/>
    <cellStyle name="Normal 2 51 3" xfId="866" xr:uid="{00000000-0005-0000-0000-00003E030000}"/>
    <cellStyle name="Normal 2 51 4" xfId="867" xr:uid="{00000000-0005-0000-0000-00003F030000}"/>
    <cellStyle name="Normal 2 51 5" xfId="868" xr:uid="{00000000-0005-0000-0000-000040030000}"/>
    <cellStyle name="Normal 2 52" xfId="869" xr:uid="{00000000-0005-0000-0000-000041030000}"/>
    <cellStyle name="Normal 2 53" xfId="870" xr:uid="{00000000-0005-0000-0000-000042030000}"/>
    <cellStyle name="Normal 2 54" xfId="871" xr:uid="{00000000-0005-0000-0000-000043030000}"/>
    <cellStyle name="Normal 2 55" xfId="306" xr:uid="{00000000-0005-0000-0000-000044030000}"/>
    <cellStyle name="Normal 2 56" xfId="125" xr:uid="{00000000-0005-0000-0000-000045030000}"/>
    <cellStyle name="Normal 2 6" xfId="872" xr:uid="{00000000-0005-0000-0000-000046030000}"/>
    <cellStyle name="Normal 2 6 2" xfId="873" xr:uid="{00000000-0005-0000-0000-000047030000}"/>
    <cellStyle name="Normal 2 6 3" xfId="874" xr:uid="{00000000-0005-0000-0000-000048030000}"/>
    <cellStyle name="Normal 2 6 4" xfId="875" xr:uid="{00000000-0005-0000-0000-000049030000}"/>
    <cellStyle name="Normal 2 7" xfId="876" xr:uid="{00000000-0005-0000-0000-00004A030000}"/>
    <cellStyle name="Normal 2 7 2" xfId="877" xr:uid="{00000000-0005-0000-0000-00004B030000}"/>
    <cellStyle name="Normal 2 7 3" xfId="878" xr:uid="{00000000-0005-0000-0000-00004C030000}"/>
    <cellStyle name="Normal 2 7 4" xfId="879" xr:uid="{00000000-0005-0000-0000-00004D030000}"/>
    <cellStyle name="Normal 2 78" xfId="33" xr:uid="{00000000-0005-0000-0000-00004E030000}"/>
    <cellStyle name="Normal 2 8" xfId="880" xr:uid="{00000000-0005-0000-0000-00004F030000}"/>
    <cellStyle name="Normal 2 8 2" xfId="881" xr:uid="{00000000-0005-0000-0000-000050030000}"/>
    <cellStyle name="Normal 2 8 3" xfId="882" xr:uid="{00000000-0005-0000-0000-000051030000}"/>
    <cellStyle name="Normal 2 8 4" xfId="883" xr:uid="{00000000-0005-0000-0000-000052030000}"/>
    <cellStyle name="Normal 2 9" xfId="884" xr:uid="{00000000-0005-0000-0000-000053030000}"/>
    <cellStyle name="Normal 2 9 2" xfId="885" xr:uid="{00000000-0005-0000-0000-000054030000}"/>
    <cellStyle name="Normal 2 9 3" xfId="886" xr:uid="{00000000-0005-0000-0000-000055030000}"/>
    <cellStyle name="Normal 2 9 4" xfId="887" xr:uid="{00000000-0005-0000-0000-000056030000}"/>
    <cellStyle name="Normal 20" xfId="888" xr:uid="{00000000-0005-0000-0000-000057030000}"/>
    <cellStyle name="Normal 21" xfId="889" xr:uid="{00000000-0005-0000-0000-000058030000}"/>
    <cellStyle name="Normal 21 2" xfId="890" xr:uid="{00000000-0005-0000-0000-000059030000}"/>
    <cellStyle name="Normal 21 2 2" xfId="891" xr:uid="{00000000-0005-0000-0000-00005A030000}"/>
    <cellStyle name="Normal 21 2 3" xfId="892" xr:uid="{00000000-0005-0000-0000-00005B030000}"/>
    <cellStyle name="Normal 21 2 4" xfId="893" xr:uid="{00000000-0005-0000-0000-00005C030000}"/>
    <cellStyle name="Normal 21 3" xfId="894" xr:uid="{00000000-0005-0000-0000-00005D030000}"/>
    <cellStyle name="Normal 21 3 2" xfId="895" xr:uid="{00000000-0005-0000-0000-00005E030000}"/>
    <cellStyle name="Normal 21 3 2 2" xfId="896" xr:uid="{00000000-0005-0000-0000-00005F030000}"/>
    <cellStyle name="Normal 21 3 2 3" xfId="897" xr:uid="{00000000-0005-0000-0000-000060030000}"/>
    <cellStyle name="Normal 21 3 2 4" xfId="898" xr:uid="{00000000-0005-0000-0000-000061030000}"/>
    <cellStyle name="Normal 21 3 3" xfId="899" xr:uid="{00000000-0005-0000-0000-000062030000}"/>
    <cellStyle name="Normal 21 3 4" xfId="900" xr:uid="{00000000-0005-0000-0000-000063030000}"/>
    <cellStyle name="Normal 21 3 5" xfId="901" xr:uid="{00000000-0005-0000-0000-000064030000}"/>
    <cellStyle name="Normal 21 4" xfId="902" xr:uid="{00000000-0005-0000-0000-000065030000}"/>
    <cellStyle name="Normal 21 5" xfId="903" xr:uid="{00000000-0005-0000-0000-000066030000}"/>
    <cellStyle name="Normal 21 6" xfId="904" xr:uid="{00000000-0005-0000-0000-000067030000}"/>
    <cellStyle name="Normal 22" xfId="30" xr:uid="{00000000-0005-0000-0000-000068030000}"/>
    <cellStyle name="Normal 23" xfId="905" xr:uid="{00000000-0005-0000-0000-000069030000}"/>
    <cellStyle name="Normal 23 2" xfId="906" xr:uid="{00000000-0005-0000-0000-00006A030000}"/>
    <cellStyle name="Normal 23 3" xfId="907" xr:uid="{00000000-0005-0000-0000-00006B030000}"/>
    <cellStyle name="Normal 23 4" xfId="908" xr:uid="{00000000-0005-0000-0000-00006C030000}"/>
    <cellStyle name="Normal 23 5" xfId="909" xr:uid="{00000000-0005-0000-0000-00006D030000}"/>
    <cellStyle name="Normal 24" xfId="910" xr:uid="{00000000-0005-0000-0000-00006E030000}"/>
    <cellStyle name="Normal 24 2" xfId="911" xr:uid="{00000000-0005-0000-0000-00006F030000}"/>
    <cellStyle name="Normal 24 2 2" xfId="912" xr:uid="{00000000-0005-0000-0000-000070030000}"/>
    <cellStyle name="Normal 24 2 3" xfId="913" xr:uid="{00000000-0005-0000-0000-000071030000}"/>
    <cellStyle name="Normal 24 2 4" xfId="914" xr:uid="{00000000-0005-0000-0000-000072030000}"/>
    <cellStyle name="Normal 24 3" xfId="915" xr:uid="{00000000-0005-0000-0000-000073030000}"/>
    <cellStyle name="Normal 24 3 2" xfId="916" xr:uid="{00000000-0005-0000-0000-000074030000}"/>
    <cellStyle name="Normal 24 3 2 2" xfId="917" xr:uid="{00000000-0005-0000-0000-000075030000}"/>
    <cellStyle name="Normal 24 3 2 3" xfId="918" xr:uid="{00000000-0005-0000-0000-000076030000}"/>
    <cellStyle name="Normal 24 3 2 4" xfId="919" xr:uid="{00000000-0005-0000-0000-000077030000}"/>
    <cellStyle name="Normal 24 3 3" xfId="920" xr:uid="{00000000-0005-0000-0000-000078030000}"/>
    <cellStyle name="Normal 24 3 4" xfId="921" xr:uid="{00000000-0005-0000-0000-000079030000}"/>
    <cellStyle name="Normal 24 3 5" xfId="922" xr:uid="{00000000-0005-0000-0000-00007A030000}"/>
    <cellStyle name="Normal 24 4" xfId="923" xr:uid="{00000000-0005-0000-0000-00007B030000}"/>
    <cellStyle name="Normal 24 5" xfId="924" xr:uid="{00000000-0005-0000-0000-00007C030000}"/>
    <cellStyle name="Normal 24 6" xfId="925" xr:uid="{00000000-0005-0000-0000-00007D030000}"/>
    <cellStyle name="Normal 25" xfId="926" xr:uid="{00000000-0005-0000-0000-00007E030000}"/>
    <cellStyle name="Normal 25 2" xfId="927" xr:uid="{00000000-0005-0000-0000-00007F030000}"/>
    <cellStyle name="Normal 25 2 2" xfId="928" xr:uid="{00000000-0005-0000-0000-000080030000}"/>
    <cellStyle name="Normal 25 2 3" xfId="929" xr:uid="{00000000-0005-0000-0000-000081030000}"/>
    <cellStyle name="Normal 25 2 4" xfId="930" xr:uid="{00000000-0005-0000-0000-000082030000}"/>
    <cellStyle name="Normal 25 3" xfId="931" xr:uid="{00000000-0005-0000-0000-000083030000}"/>
    <cellStyle name="Normal 25 3 2" xfId="932" xr:uid="{00000000-0005-0000-0000-000084030000}"/>
    <cellStyle name="Normal 25 3 2 2" xfId="933" xr:uid="{00000000-0005-0000-0000-000085030000}"/>
    <cellStyle name="Normal 25 3 2 3" xfId="934" xr:uid="{00000000-0005-0000-0000-000086030000}"/>
    <cellStyle name="Normal 25 3 2 4" xfId="935" xr:uid="{00000000-0005-0000-0000-000087030000}"/>
    <cellStyle name="Normal 25 3 3" xfId="936" xr:uid="{00000000-0005-0000-0000-000088030000}"/>
    <cellStyle name="Normal 25 3 4" xfId="937" xr:uid="{00000000-0005-0000-0000-000089030000}"/>
    <cellStyle name="Normal 25 3 5" xfId="938" xr:uid="{00000000-0005-0000-0000-00008A030000}"/>
    <cellStyle name="Normal 25 4" xfId="939" xr:uid="{00000000-0005-0000-0000-00008B030000}"/>
    <cellStyle name="Normal 25 5" xfId="940" xr:uid="{00000000-0005-0000-0000-00008C030000}"/>
    <cellStyle name="Normal 25 6" xfId="941" xr:uid="{00000000-0005-0000-0000-00008D030000}"/>
    <cellStyle name="Normal 25 6 2" xfId="56" xr:uid="{00000000-0005-0000-0000-00008E030000}"/>
    <cellStyle name="Normal 25 6 2 2" xfId="57" xr:uid="{00000000-0005-0000-0000-00008F030000}"/>
    <cellStyle name="Normal 26" xfId="942" xr:uid="{00000000-0005-0000-0000-000090030000}"/>
    <cellStyle name="Normal 26 2" xfId="943" xr:uid="{00000000-0005-0000-0000-000091030000}"/>
    <cellStyle name="Normal 26 2 2" xfId="944" xr:uid="{00000000-0005-0000-0000-000092030000}"/>
    <cellStyle name="Normal 26 3" xfId="945" xr:uid="{00000000-0005-0000-0000-000093030000}"/>
    <cellStyle name="Normal 26 4" xfId="946" xr:uid="{00000000-0005-0000-0000-000094030000}"/>
    <cellStyle name="Normal 26 5" xfId="947" xr:uid="{00000000-0005-0000-0000-000095030000}"/>
    <cellStyle name="Normal 27" xfId="948" xr:uid="{00000000-0005-0000-0000-000096030000}"/>
    <cellStyle name="Normal 27 2" xfId="949" xr:uid="{00000000-0005-0000-0000-000097030000}"/>
    <cellStyle name="Normal 27 2 2" xfId="950" xr:uid="{00000000-0005-0000-0000-000098030000}"/>
    <cellStyle name="Normal 27 2 3" xfId="951" xr:uid="{00000000-0005-0000-0000-000099030000}"/>
    <cellStyle name="Normal 27 2 4" xfId="952" xr:uid="{00000000-0005-0000-0000-00009A030000}"/>
    <cellStyle name="Normal 27 3" xfId="953" xr:uid="{00000000-0005-0000-0000-00009B030000}"/>
    <cellStyle name="Normal 27 3 2" xfId="954" xr:uid="{00000000-0005-0000-0000-00009C030000}"/>
    <cellStyle name="Normal 27 3 2 2" xfId="955" xr:uid="{00000000-0005-0000-0000-00009D030000}"/>
    <cellStyle name="Normal 27 3 2 3" xfId="956" xr:uid="{00000000-0005-0000-0000-00009E030000}"/>
    <cellStyle name="Normal 27 3 2 4" xfId="957" xr:uid="{00000000-0005-0000-0000-00009F030000}"/>
    <cellStyle name="Normal 27 3 3" xfId="958" xr:uid="{00000000-0005-0000-0000-0000A0030000}"/>
    <cellStyle name="Normal 27 3 4" xfId="959" xr:uid="{00000000-0005-0000-0000-0000A1030000}"/>
    <cellStyle name="Normal 27 3 5" xfId="960" xr:uid="{00000000-0005-0000-0000-0000A2030000}"/>
    <cellStyle name="Normal 27 4" xfId="961" xr:uid="{00000000-0005-0000-0000-0000A3030000}"/>
    <cellStyle name="Normal 27 5" xfId="962" xr:uid="{00000000-0005-0000-0000-0000A4030000}"/>
    <cellStyle name="Normal 27 6" xfId="963" xr:uid="{00000000-0005-0000-0000-0000A5030000}"/>
    <cellStyle name="Normal 29" xfId="964" xr:uid="{00000000-0005-0000-0000-0000A6030000}"/>
    <cellStyle name="Normal 29 2" xfId="965" xr:uid="{00000000-0005-0000-0000-0000A7030000}"/>
    <cellStyle name="Normal 29 2 2" xfId="966" xr:uid="{00000000-0005-0000-0000-0000A8030000}"/>
    <cellStyle name="Normal 29 2 3" xfId="967" xr:uid="{00000000-0005-0000-0000-0000A9030000}"/>
    <cellStyle name="Normal 29 2 4" xfId="968" xr:uid="{00000000-0005-0000-0000-0000AA030000}"/>
    <cellStyle name="Normal 29 3" xfId="969" xr:uid="{00000000-0005-0000-0000-0000AB030000}"/>
    <cellStyle name="Normal 29 3 2" xfId="970" xr:uid="{00000000-0005-0000-0000-0000AC030000}"/>
    <cellStyle name="Normal 29 3 2 2" xfId="971" xr:uid="{00000000-0005-0000-0000-0000AD030000}"/>
    <cellStyle name="Normal 29 3 2 3" xfId="972" xr:uid="{00000000-0005-0000-0000-0000AE030000}"/>
    <cellStyle name="Normal 29 3 2 4" xfId="973" xr:uid="{00000000-0005-0000-0000-0000AF030000}"/>
    <cellStyle name="Normal 29 3 3" xfId="974" xr:uid="{00000000-0005-0000-0000-0000B0030000}"/>
    <cellStyle name="Normal 29 3 4" xfId="975" xr:uid="{00000000-0005-0000-0000-0000B1030000}"/>
    <cellStyle name="Normal 29 3 5" xfId="976" xr:uid="{00000000-0005-0000-0000-0000B2030000}"/>
    <cellStyle name="Normal 29 4" xfId="977" xr:uid="{00000000-0005-0000-0000-0000B3030000}"/>
    <cellStyle name="Normal 29 5" xfId="978" xr:uid="{00000000-0005-0000-0000-0000B4030000}"/>
    <cellStyle name="Normal 29 6" xfId="979" xr:uid="{00000000-0005-0000-0000-0000B5030000}"/>
    <cellStyle name="Normal 3" xfId="2" xr:uid="{00000000-0005-0000-0000-0000B6030000}"/>
    <cellStyle name="Normal 3 10" xfId="980" xr:uid="{00000000-0005-0000-0000-0000B7030000}"/>
    <cellStyle name="Normal 3 10 2" xfId="981" xr:uid="{00000000-0005-0000-0000-0000B8030000}"/>
    <cellStyle name="Normal 3 10 3" xfId="982" xr:uid="{00000000-0005-0000-0000-0000B9030000}"/>
    <cellStyle name="Normal 3 10 4" xfId="983" xr:uid="{00000000-0005-0000-0000-0000BA030000}"/>
    <cellStyle name="Normal 3 11" xfId="984" xr:uid="{00000000-0005-0000-0000-0000BB030000}"/>
    <cellStyle name="Normal 3 11 2" xfId="985" xr:uid="{00000000-0005-0000-0000-0000BC030000}"/>
    <cellStyle name="Normal 3 11 3" xfId="986" xr:uid="{00000000-0005-0000-0000-0000BD030000}"/>
    <cellStyle name="Normal 3 11 4" xfId="987" xr:uid="{00000000-0005-0000-0000-0000BE030000}"/>
    <cellStyle name="Normal 3 12" xfId="988" xr:uid="{00000000-0005-0000-0000-0000BF030000}"/>
    <cellStyle name="Normal 3 12 2" xfId="989" xr:uid="{00000000-0005-0000-0000-0000C0030000}"/>
    <cellStyle name="Normal 3 12 3" xfId="990" xr:uid="{00000000-0005-0000-0000-0000C1030000}"/>
    <cellStyle name="Normal 3 12 4" xfId="991" xr:uid="{00000000-0005-0000-0000-0000C2030000}"/>
    <cellStyle name="Normal 3 13" xfId="992" xr:uid="{00000000-0005-0000-0000-0000C3030000}"/>
    <cellStyle name="Normal 3 13 2" xfId="993" xr:uid="{00000000-0005-0000-0000-0000C4030000}"/>
    <cellStyle name="Normal 3 13 3" xfId="994" xr:uid="{00000000-0005-0000-0000-0000C5030000}"/>
    <cellStyle name="Normal 3 13 4" xfId="995" xr:uid="{00000000-0005-0000-0000-0000C6030000}"/>
    <cellStyle name="Normal 3 14" xfId="996" xr:uid="{00000000-0005-0000-0000-0000C7030000}"/>
    <cellStyle name="Normal 3 14 2" xfId="997" xr:uid="{00000000-0005-0000-0000-0000C8030000}"/>
    <cellStyle name="Normal 3 14 3" xfId="998" xr:uid="{00000000-0005-0000-0000-0000C9030000}"/>
    <cellStyle name="Normal 3 14 4" xfId="999" xr:uid="{00000000-0005-0000-0000-0000CA030000}"/>
    <cellStyle name="Normal 3 15" xfId="1000" xr:uid="{00000000-0005-0000-0000-0000CB030000}"/>
    <cellStyle name="Normal 3 15 2" xfId="1001" xr:uid="{00000000-0005-0000-0000-0000CC030000}"/>
    <cellStyle name="Normal 3 15 3" xfId="1002" xr:uid="{00000000-0005-0000-0000-0000CD030000}"/>
    <cellStyle name="Normal 3 15 4" xfId="1003" xr:uid="{00000000-0005-0000-0000-0000CE030000}"/>
    <cellStyle name="Normal 3 16" xfId="1004" xr:uid="{00000000-0005-0000-0000-0000CF030000}"/>
    <cellStyle name="Normal 3 16 2" xfId="1005" xr:uid="{00000000-0005-0000-0000-0000D0030000}"/>
    <cellStyle name="Normal 3 16 3" xfId="1006" xr:uid="{00000000-0005-0000-0000-0000D1030000}"/>
    <cellStyle name="Normal 3 16 4" xfId="1007" xr:uid="{00000000-0005-0000-0000-0000D2030000}"/>
    <cellStyle name="Normal 3 17" xfId="1008" xr:uid="{00000000-0005-0000-0000-0000D3030000}"/>
    <cellStyle name="Normal 3 17 2" xfId="1009" xr:uid="{00000000-0005-0000-0000-0000D4030000}"/>
    <cellStyle name="Normal 3 17 3" xfId="1010" xr:uid="{00000000-0005-0000-0000-0000D5030000}"/>
    <cellStyle name="Normal 3 17 4" xfId="1011" xr:uid="{00000000-0005-0000-0000-0000D6030000}"/>
    <cellStyle name="Normal 3 18" xfId="1012" xr:uid="{00000000-0005-0000-0000-0000D7030000}"/>
    <cellStyle name="Normal 3 18 2" xfId="1013" xr:uid="{00000000-0005-0000-0000-0000D8030000}"/>
    <cellStyle name="Normal 3 18 3" xfId="1014" xr:uid="{00000000-0005-0000-0000-0000D9030000}"/>
    <cellStyle name="Normal 3 18 4" xfId="1015" xr:uid="{00000000-0005-0000-0000-0000DA030000}"/>
    <cellStyle name="Normal 3 19" xfId="1016" xr:uid="{00000000-0005-0000-0000-0000DB030000}"/>
    <cellStyle name="Normal 3 19 2" xfId="1017" xr:uid="{00000000-0005-0000-0000-0000DC030000}"/>
    <cellStyle name="Normal 3 19 3" xfId="1018" xr:uid="{00000000-0005-0000-0000-0000DD030000}"/>
    <cellStyle name="Normal 3 19 4" xfId="1019" xr:uid="{00000000-0005-0000-0000-0000DE030000}"/>
    <cellStyle name="Normal 3 2" xfId="128" xr:uid="{00000000-0005-0000-0000-0000DF030000}"/>
    <cellStyle name="Normal 3 2 10" xfId="1021" xr:uid="{00000000-0005-0000-0000-0000E0030000}"/>
    <cellStyle name="Normal 3 2 10 2" xfId="1022" xr:uid="{00000000-0005-0000-0000-0000E1030000}"/>
    <cellStyle name="Normal 3 2 10 3" xfId="1023" xr:uid="{00000000-0005-0000-0000-0000E2030000}"/>
    <cellStyle name="Normal 3 2 11" xfId="1024" xr:uid="{00000000-0005-0000-0000-0000E3030000}"/>
    <cellStyle name="Normal 3 2 11 2" xfId="1025" xr:uid="{00000000-0005-0000-0000-0000E4030000}"/>
    <cellStyle name="Normal 3 2 11 3" xfId="1026" xr:uid="{00000000-0005-0000-0000-0000E5030000}"/>
    <cellStyle name="Normal 3 2 12" xfId="1027" xr:uid="{00000000-0005-0000-0000-0000E6030000}"/>
    <cellStyle name="Normal 3 2 12 2" xfId="1028" xr:uid="{00000000-0005-0000-0000-0000E7030000}"/>
    <cellStyle name="Normal 3 2 12 3" xfId="1029" xr:uid="{00000000-0005-0000-0000-0000E8030000}"/>
    <cellStyle name="Normal 3 2 13" xfId="1030" xr:uid="{00000000-0005-0000-0000-0000E9030000}"/>
    <cellStyle name="Normal 3 2 13 2" xfId="1031" xr:uid="{00000000-0005-0000-0000-0000EA030000}"/>
    <cellStyle name="Normal 3 2 13 3" xfId="1032" xr:uid="{00000000-0005-0000-0000-0000EB030000}"/>
    <cellStyle name="Normal 3 2 14" xfId="1033" xr:uid="{00000000-0005-0000-0000-0000EC030000}"/>
    <cellStyle name="Normal 3 2 14 2" xfId="1034" xr:uid="{00000000-0005-0000-0000-0000ED030000}"/>
    <cellStyle name="Normal 3 2 14 3" xfId="1035" xr:uid="{00000000-0005-0000-0000-0000EE030000}"/>
    <cellStyle name="Normal 3 2 15" xfId="1036" xr:uid="{00000000-0005-0000-0000-0000EF030000}"/>
    <cellStyle name="Normal 3 2 15 2" xfId="1037" xr:uid="{00000000-0005-0000-0000-0000F0030000}"/>
    <cellStyle name="Normal 3 2 15 3" xfId="1038" xr:uid="{00000000-0005-0000-0000-0000F1030000}"/>
    <cellStyle name="Normal 3 2 16" xfId="1039" xr:uid="{00000000-0005-0000-0000-0000F2030000}"/>
    <cellStyle name="Normal 3 2 16 2" xfId="1040" xr:uid="{00000000-0005-0000-0000-0000F3030000}"/>
    <cellStyle name="Normal 3 2 16 3" xfId="1041" xr:uid="{00000000-0005-0000-0000-0000F4030000}"/>
    <cellStyle name="Normal 3 2 17" xfId="1042" xr:uid="{00000000-0005-0000-0000-0000F5030000}"/>
    <cellStyle name="Normal 3 2 17 2" xfId="1043" xr:uid="{00000000-0005-0000-0000-0000F6030000}"/>
    <cellStyle name="Normal 3 2 17 3" xfId="1044" xr:uid="{00000000-0005-0000-0000-0000F7030000}"/>
    <cellStyle name="Normal 3 2 18" xfId="1045" xr:uid="{00000000-0005-0000-0000-0000F8030000}"/>
    <cellStyle name="Normal 3 2 18 2" xfId="1046" xr:uid="{00000000-0005-0000-0000-0000F9030000}"/>
    <cellStyle name="Normal 3 2 18 3" xfId="1047" xr:uid="{00000000-0005-0000-0000-0000FA030000}"/>
    <cellStyle name="Normal 3 2 19" xfId="1048" xr:uid="{00000000-0005-0000-0000-0000FB030000}"/>
    <cellStyle name="Normal 3 2 19 2" xfId="1049" xr:uid="{00000000-0005-0000-0000-0000FC030000}"/>
    <cellStyle name="Normal 3 2 19 3" xfId="1050" xr:uid="{00000000-0005-0000-0000-0000FD030000}"/>
    <cellStyle name="Normal 3 2 2" xfId="10" xr:uid="{00000000-0005-0000-0000-0000FE030000}"/>
    <cellStyle name="Normal 3 2 2 10" xfId="1052" xr:uid="{00000000-0005-0000-0000-0000FF030000}"/>
    <cellStyle name="Normal 3 2 2 10 2" xfId="1053" xr:uid="{00000000-0005-0000-0000-000000040000}"/>
    <cellStyle name="Normal 3 2 2 10 3" xfId="1054" xr:uid="{00000000-0005-0000-0000-000001040000}"/>
    <cellStyle name="Normal 3 2 2 10 4" xfId="1055" xr:uid="{00000000-0005-0000-0000-000002040000}"/>
    <cellStyle name="Normal 3 2 2 11" xfId="1056" xr:uid="{00000000-0005-0000-0000-000003040000}"/>
    <cellStyle name="Normal 3 2 2 11 2" xfId="1057" xr:uid="{00000000-0005-0000-0000-000004040000}"/>
    <cellStyle name="Normal 3 2 2 11 3" xfId="1058" xr:uid="{00000000-0005-0000-0000-000005040000}"/>
    <cellStyle name="Normal 3 2 2 11 4" xfId="1059" xr:uid="{00000000-0005-0000-0000-000006040000}"/>
    <cellStyle name="Normal 3 2 2 12" xfId="1060" xr:uid="{00000000-0005-0000-0000-000007040000}"/>
    <cellStyle name="Normal 3 2 2 12 2" xfId="1061" xr:uid="{00000000-0005-0000-0000-000008040000}"/>
    <cellStyle name="Normal 3 2 2 12 3" xfId="1062" xr:uid="{00000000-0005-0000-0000-000009040000}"/>
    <cellStyle name="Normal 3 2 2 12 4" xfId="1063" xr:uid="{00000000-0005-0000-0000-00000A040000}"/>
    <cellStyle name="Normal 3 2 2 13" xfId="1064" xr:uid="{00000000-0005-0000-0000-00000B040000}"/>
    <cellStyle name="Normal 3 2 2 13 2" xfId="1065" xr:uid="{00000000-0005-0000-0000-00000C040000}"/>
    <cellStyle name="Normal 3 2 2 13 3" xfId="1066" xr:uid="{00000000-0005-0000-0000-00000D040000}"/>
    <cellStyle name="Normal 3 2 2 13 4" xfId="1067" xr:uid="{00000000-0005-0000-0000-00000E040000}"/>
    <cellStyle name="Normal 3 2 2 14" xfId="1068" xr:uid="{00000000-0005-0000-0000-00000F040000}"/>
    <cellStyle name="Normal 3 2 2 14 2" xfId="1069" xr:uid="{00000000-0005-0000-0000-000010040000}"/>
    <cellStyle name="Normal 3 2 2 14 3" xfId="1070" xr:uid="{00000000-0005-0000-0000-000011040000}"/>
    <cellStyle name="Normal 3 2 2 14 4" xfId="1071" xr:uid="{00000000-0005-0000-0000-000012040000}"/>
    <cellStyle name="Normal 3 2 2 15" xfId="1072" xr:uid="{00000000-0005-0000-0000-000013040000}"/>
    <cellStyle name="Normal 3 2 2 15 2" xfId="1073" xr:uid="{00000000-0005-0000-0000-000014040000}"/>
    <cellStyle name="Normal 3 2 2 15 3" xfId="1074" xr:uid="{00000000-0005-0000-0000-000015040000}"/>
    <cellStyle name="Normal 3 2 2 15 4" xfId="1075" xr:uid="{00000000-0005-0000-0000-000016040000}"/>
    <cellStyle name="Normal 3 2 2 16" xfId="1076" xr:uid="{00000000-0005-0000-0000-000017040000}"/>
    <cellStyle name="Normal 3 2 2 16 2" xfId="1077" xr:uid="{00000000-0005-0000-0000-000018040000}"/>
    <cellStyle name="Normal 3 2 2 16 3" xfId="1078" xr:uid="{00000000-0005-0000-0000-000019040000}"/>
    <cellStyle name="Normal 3 2 2 16 4" xfId="1079" xr:uid="{00000000-0005-0000-0000-00001A040000}"/>
    <cellStyle name="Normal 3 2 2 17" xfId="1080" xr:uid="{00000000-0005-0000-0000-00001B040000}"/>
    <cellStyle name="Normal 3 2 2 17 2" xfId="1081" xr:uid="{00000000-0005-0000-0000-00001C040000}"/>
    <cellStyle name="Normal 3 2 2 17 3" xfId="1082" xr:uid="{00000000-0005-0000-0000-00001D040000}"/>
    <cellStyle name="Normal 3 2 2 17 4" xfId="1083" xr:uid="{00000000-0005-0000-0000-00001E040000}"/>
    <cellStyle name="Normal 3 2 2 18" xfId="1084" xr:uid="{00000000-0005-0000-0000-00001F040000}"/>
    <cellStyle name="Normal 3 2 2 18 2" xfId="1085" xr:uid="{00000000-0005-0000-0000-000020040000}"/>
    <cellStyle name="Normal 3 2 2 18 3" xfId="1086" xr:uid="{00000000-0005-0000-0000-000021040000}"/>
    <cellStyle name="Normal 3 2 2 18 4" xfId="1087" xr:uid="{00000000-0005-0000-0000-000022040000}"/>
    <cellStyle name="Normal 3 2 2 19" xfId="1088" xr:uid="{00000000-0005-0000-0000-000023040000}"/>
    <cellStyle name="Normal 3 2 2 19 2" xfId="1089" xr:uid="{00000000-0005-0000-0000-000024040000}"/>
    <cellStyle name="Normal 3 2 2 19 3" xfId="1090" xr:uid="{00000000-0005-0000-0000-000025040000}"/>
    <cellStyle name="Normal 3 2 2 19 4" xfId="1091" xr:uid="{00000000-0005-0000-0000-000026040000}"/>
    <cellStyle name="Normal 3 2 2 2" xfId="21" xr:uid="{00000000-0005-0000-0000-000027040000}"/>
    <cellStyle name="Normal 3 2 2 2 2" xfId="1093" xr:uid="{00000000-0005-0000-0000-000028040000}"/>
    <cellStyle name="Normal 3 2 2 2 3" xfId="1094" xr:uid="{00000000-0005-0000-0000-000029040000}"/>
    <cellStyle name="Normal 3 2 2 2 4" xfId="1095" xr:uid="{00000000-0005-0000-0000-00002A040000}"/>
    <cellStyle name="Normal 3 2 2 2 5" xfId="1092" xr:uid="{00000000-0005-0000-0000-00002B040000}"/>
    <cellStyle name="Normal 3 2 2 2 6" xfId="2241" xr:uid="{00000000-0005-0000-0000-00002C040000}"/>
    <cellStyle name="Normal 3 2 2 20" xfId="1096" xr:uid="{00000000-0005-0000-0000-00002D040000}"/>
    <cellStyle name="Normal 3 2 2 20 2" xfId="1097" xr:uid="{00000000-0005-0000-0000-00002E040000}"/>
    <cellStyle name="Normal 3 2 2 20 3" xfId="1098" xr:uid="{00000000-0005-0000-0000-00002F040000}"/>
    <cellStyle name="Normal 3 2 2 20 4" xfId="1099" xr:uid="{00000000-0005-0000-0000-000030040000}"/>
    <cellStyle name="Normal 3 2 2 21" xfId="1100" xr:uid="{00000000-0005-0000-0000-000031040000}"/>
    <cellStyle name="Normal 3 2 2 21 2" xfId="1101" xr:uid="{00000000-0005-0000-0000-000032040000}"/>
    <cellStyle name="Normal 3 2 2 21 3" xfId="1102" xr:uid="{00000000-0005-0000-0000-000033040000}"/>
    <cellStyle name="Normal 3 2 2 21 4" xfId="1103" xr:uid="{00000000-0005-0000-0000-000034040000}"/>
    <cellStyle name="Normal 3 2 2 22" xfId="1104" xr:uid="{00000000-0005-0000-0000-000035040000}"/>
    <cellStyle name="Normal 3 2 2 22 2" xfId="1105" xr:uid="{00000000-0005-0000-0000-000036040000}"/>
    <cellStyle name="Normal 3 2 2 22 3" xfId="1106" xr:uid="{00000000-0005-0000-0000-000037040000}"/>
    <cellStyle name="Normal 3 2 2 22 4" xfId="1107" xr:uid="{00000000-0005-0000-0000-000038040000}"/>
    <cellStyle name="Normal 3 2 2 23" xfId="1108" xr:uid="{00000000-0005-0000-0000-000039040000}"/>
    <cellStyle name="Normal 3 2 2 23 2" xfId="1109" xr:uid="{00000000-0005-0000-0000-00003A040000}"/>
    <cellStyle name="Normal 3 2 2 23 3" xfId="1110" xr:uid="{00000000-0005-0000-0000-00003B040000}"/>
    <cellStyle name="Normal 3 2 2 23 4" xfId="1111" xr:uid="{00000000-0005-0000-0000-00003C040000}"/>
    <cellStyle name="Normal 3 2 2 24" xfId="1112" xr:uid="{00000000-0005-0000-0000-00003D040000}"/>
    <cellStyle name="Normal 3 2 2 24 2" xfId="1113" xr:uid="{00000000-0005-0000-0000-00003E040000}"/>
    <cellStyle name="Normal 3 2 2 24 3" xfId="1114" xr:uid="{00000000-0005-0000-0000-00003F040000}"/>
    <cellStyle name="Normal 3 2 2 24 4" xfId="1115" xr:uid="{00000000-0005-0000-0000-000040040000}"/>
    <cellStyle name="Normal 3 2 2 25" xfId="1116" xr:uid="{00000000-0005-0000-0000-000041040000}"/>
    <cellStyle name="Normal 3 2 2 25 2" xfId="1117" xr:uid="{00000000-0005-0000-0000-000042040000}"/>
    <cellStyle name="Normal 3 2 2 25 3" xfId="1118" xr:uid="{00000000-0005-0000-0000-000043040000}"/>
    <cellStyle name="Normal 3 2 2 25 4" xfId="1119" xr:uid="{00000000-0005-0000-0000-000044040000}"/>
    <cellStyle name="Normal 3 2 2 26" xfId="1120" xr:uid="{00000000-0005-0000-0000-000045040000}"/>
    <cellStyle name="Normal 3 2 2 26 2" xfId="1121" xr:uid="{00000000-0005-0000-0000-000046040000}"/>
    <cellStyle name="Normal 3 2 2 26 3" xfId="1122" xr:uid="{00000000-0005-0000-0000-000047040000}"/>
    <cellStyle name="Normal 3 2 2 26 4" xfId="1123" xr:uid="{00000000-0005-0000-0000-000048040000}"/>
    <cellStyle name="Normal 3 2 2 27" xfId="1124" xr:uid="{00000000-0005-0000-0000-000049040000}"/>
    <cellStyle name="Normal 3 2 2 27 2" xfId="1125" xr:uid="{00000000-0005-0000-0000-00004A040000}"/>
    <cellStyle name="Normal 3 2 2 27 3" xfId="1126" xr:uid="{00000000-0005-0000-0000-00004B040000}"/>
    <cellStyle name="Normal 3 2 2 27 4" xfId="1127" xr:uid="{00000000-0005-0000-0000-00004C040000}"/>
    <cellStyle name="Normal 3 2 2 28" xfId="1128" xr:uid="{00000000-0005-0000-0000-00004D040000}"/>
    <cellStyle name="Normal 3 2 2 28 2" xfId="1129" xr:uid="{00000000-0005-0000-0000-00004E040000}"/>
    <cellStyle name="Normal 3 2 2 28 3" xfId="1130" xr:uid="{00000000-0005-0000-0000-00004F040000}"/>
    <cellStyle name="Normal 3 2 2 28 4" xfId="1131" xr:uid="{00000000-0005-0000-0000-000050040000}"/>
    <cellStyle name="Normal 3 2 2 29" xfId="1132" xr:uid="{00000000-0005-0000-0000-000051040000}"/>
    <cellStyle name="Normal 3 2 2 29 2" xfId="1133" xr:uid="{00000000-0005-0000-0000-000052040000}"/>
    <cellStyle name="Normal 3 2 2 29 3" xfId="1134" xr:uid="{00000000-0005-0000-0000-000053040000}"/>
    <cellStyle name="Normal 3 2 2 29 4" xfId="1135" xr:uid="{00000000-0005-0000-0000-000054040000}"/>
    <cellStyle name="Normal 3 2 2 3" xfId="24" xr:uid="{00000000-0005-0000-0000-000055040000}"/>
    <cellStyle name="Normal 3 2 2 3 2" xfId="1137" xr:uid="{00000000-0005-0000-0000-000056040000}"/>
    <cellStyle name="Normal 3 2 2 3 3" xfId="1138" xr:uid="{00000000-0005-0000-0000-000057040000}"/>
    <cellStyle name="Normal 3 2 2 3 4" xfId="1139" xr:uid="{00000000-0005-0000-0000-000058040000}"/>
    <cellStyle name="Normal 3 2 2 3 5" xfId="1136" xr:uid="{00000000-0005-0000-0000-000059040000}"/>
    <cellStyle name="Normal 3 2 2 3 6" xfId="2243" xr:uid="{00000000-0005-0000-0000-00005A040000}"/>
    <cellStyle name="Normal 3 2 2 30" xfId="1140" xr:uid="{00000000-0005-0000-0000-00005B040000}"/>
    <cellStyle name="Normal 3 2 2 30 2" xfId="1141" xr:uid="{00000000-0005-0000-0000-00005C040000}"/>
    <cellStyle name="Normal 3 2 2 30 3" xfId="1142" xr:uid="{00000000-0005-0000-0000-00005D040000}"/>
    <cellStyle name="Normal 3 2 2 30 4" xfId="1143" xr:uid="{00000000-0005-0000-0000-00005E040000}"/>
    <cellStyle name="Normal 3 2 2 31" xfId="1144" xr:uid="{00000000-0005-0000-0000-00005F040000}"/>
    <cellStyle name="Normal 3 2 2 31 2" xfId="1145" xr:uid="{00000000-0005-0000-0000-000060040000}"/>
    <cellStyle name="Normal 3 2 2 31 3" xfId="1146" xr:uid="{00000000-0005-0000-0000-000061040000}"/>
    <cellStyle name="Normal 3 2 2 31 4" xfId="1147" xr:uid="{00000000-0005-0000-0000-000062040000}"/>
    <cellStyle name="Normal 3 2 2 32" xfId="1148" xr:uid="{00000000-0005-0000-0000-000063040000}"/>
    <cellStyle name="Normal 3 2 2 32 2" xfId="1149" xr:uid="{00000000-0005-0000-0000-000064040000}"/>
    <cellStyle name="Normal 3 2 2 32 3" xfId="1150" xr:uid="{00000000-0005-0000-0000-000065040000}"/>
    <cellStyle name="Normal 3 2 2 32 4" xfId="1151" xr:uid="{00000000-0005-0000-0000-000066040000}"/>
    <cellStyle name="Normal 3 2 2 33" xfId="1152" xr:uid="{00000000-0005-0000-0000-000067040000}"/>
    <cellStyle name="Normal 3 2 2 33 2" xfId="1153" xr:uid="{00000000-0005-0000-0000-000068040000}"/>
    <cellStyle name="Normal 3 2 2 33 3" xfId="1154" xr:uid="{00000000-0005-0000-0000-000069040000}"/>
    <cellStyle name="Normal 3 2 2 33 4" xfId="1155" xr:uid="{00000000-0005-0000-0000-00006A040000}"/>
    <cellStyle name="Normal 3 2 2 34" xfId="1156" xr:uid="{00000000-0005-0000-0000-00006B040000}"/>
    <cellStyle name="Normal 3 2 2 34 2" xfId="1157" xr:uid="{00000000-0005-0000-0000-00006C040000}"/>
    <cellStyle name="Normal 3 2 2 34 3" xfId="1158" xr:uid="{00000000-0005-0000-0000-00006D040000}"/>
    <cellStyle name="Normal 3 2 2 34 4" xfId="1159" xr:uid="{00000000-0005-0000-0000-00006E040000}"/>
    <cellStyle name="Normal 3 2 2 35" xfId="1160" xr:uid="{00000000-0005-0000-0000-00006F040000}"/>
    <cellStyle name="Normal 3 2 2 35 2" xfId="1161" xr:uid="{00000000-0005-0000-0000-000070040000}"/>
    <cellStyle name="Normal 3 2 2 35 3" xfId="1162" xr:uid="{00000000-0005-0000-0000-000071040000}"/>
    <cellStyle name="Normal 3 2 2 35 4" xfId="1163" xr:uid="{00000000-0005-0000-0000-000072040000}"/>
    <cellStyle name="Normal 3 2 2 36" xfId="1164" xr:uid="{00000000-0005-0000-0000-000073040000}"/>
    <cellStyle name="Normal 3 2 2 36 2" xfId="1165" xr:uid="{00000000-0005-0000-0000-000074040000}"/>
    <cellStyle name="Normal 3 2 2 36 3" xfId="1166" xr:uid="{00000000-0005-0000-0000-000075040000}"/>
    <cellStyle name="Normal 3 2 2 36 4" xfId="1167" xr:uid="{00000000-0005-0000-0000-000076040000}"/>
    <cellStyle name="Normal 3 2 2 37" xfId="1168" xr:uid="{00000000-0005-0000-0000-000077040000}"/>
    <cellStyle name="Normal 3 2 2 37 2" xfId="1169" xr:uid="{00000000-0005-0000-0000-000078040000}"/>
    <cellStyle name="Normal 3 2 2 37 3" xfId="1170" xr:uid="{00000000-0005-0000-0000-000079040000}"/>
    <cellStyle name="Normal 3 2 2 37 4" xfId="1171" xr:uid="{00000000-0005-0000-0000-00007A040000}"/>
    <cellStyle name="Normal 3 2 2 38" xfId="1172" xr:uid="{00000000-0005-0000-0000-00007B040000}"/>
    <cellStyle name="Normal 3 2 2 38 2" xfId="1173" xr:uid="{00000000-0005-0000-0000-00007C040000}"/>
    <cellStyle name="Normal 3 2 2 38 3" xfId="1174" xr:uid="{00000000-0005-0000-0000-00007D040000}"/>
    <cellStyle name="Normal 3 2 2 38 4" xfId="1175" xr:uid="{00000000-0005-0000-0000-00007E040000}"/>
    <cellStyle name="Normal 3 2 2 39" xfId="1176" xr:uid="{00000000-0005-0000-0000-00007F040000}"/>
    <cellStyle name="Normal 3 2 2 39 2" xfId="1177" xr:uid="{00000000-0005-0000-0000-000080040000}"/>
    <cellStyle name="Normal 3 2 2 39 3" xfId="1178" xr:uid="{00000000-0005-0000-0000-000081040000}"/>
    <cellStyle name="Normal 3 2 2 39 4" xfId="1179" xr:uid="{00000000-0005-0000-0000-000082040000}"/>
    <cellStyle name="Normal 3 2 2 4" xfId="1180" xr:uid="{00000000-0005-0000-0000-000083040000}"/>
    <cellStyle name="Normal 3 2 2 4 2" xfId="1181" xr:uid="{00000000-0005-0000-0000-000084040000}"/>
    <cellStyle name="Normal 3 2 2 4 3" xfId="1182" xr:uid="{00000000-0005-0000-0000-000085040000}"/>
    <cellStyle name="Normal 3 2 2 4 4" xfId="1183" xr:uid="{00000000-0005-0000-0000-000086040000}"/>
    <cellStyle name="Normal 3 2 2 40" xfId="1184" xr:uid="{00000000-0005-0000-0000-000087040000}"/>
    <cellStyle name="Normal 3 2 2 40 2" xfId="1185" xr:uid="{00000000-0005-0000-0000-000088040000}"/>
    <cellStyle name="Normal 3 2 2 40 3" xfId="1186" xr:uid="{00000000-0005-0000-0000-000089040000}"/>
    <cellStyle name="Normal 3 2 2 40 4" xfId="1187" xr:uid="{00000000-0005-0000-0000-00008A040000}"/>
    <cellStyle name="Normal 3 2 2 41" xfId="1188" xr:uid="{00000000-0005-0000-0000-00008B040000}"/>
    <cellStyle name="Normal 3 2 2 41 2" xfId="1189" xr:uid="{00000000-0005-0000-0000-00008C040000}"/>
    <cellStyle name="Normal 3 2 2 41 3" xfId="1190" xr:uid="{00000000-0005-0000-0000-00008D040000}"/>
    <cellStyle name="Normal 3 2 2 41 4" xfId="1191" xr:uid="{00000000-0005-0000-0000-00008E040000}"/>
    <cellStyle name="Normal 3 2 2 42" xfId="1192" xr:uid="{00000000-0005-0000-0000-00008F040000}"/>
    <cellStyle name="Normal 3 2 2 42 2" xfId="1193" xr:uid="{00000000-0005-0000-0000-000090040000}"/>
    <cellStyle name="Normal 3 2 2 42 3" xfId="1194" xr:uid="{00000000-0005-0000-0000-000091040000}"/>
    <cellStyle name="Normal 3 2 2 42 4" xfId="1195" xr:uid="{00000000-0005-0000-0000-000092040000}"/>
    <cellStyle name="Normal 3 2 2 43" xfId="1196" xr:uid="{00000000-0005-0000-0000-000093040000}"/>
    <cellStyle name="Normal 3 2 2 43 2" xfId="1197" xr:uid="{00000000-0005-0000-0000-000094040000}"/>
    <cellStyle name="Normal 3 2 2 43 3" xfId="1198" xr:uid="{00000000-0005-0000-0000-000095040000}"/>
    <cellStyle name="Normal 3 2 2 43 4" xfId="1199" xr:uid="{00000000-0005-0000-0000-000096040000}"/>
    <cellStyle name="Normal 3 2 2 44" xfId="1200" xr:uid="{00000000-0005-0000-0000-000097040000}"/>
    <cellStyle name="Normal 3 2 2 44 2" xfId="1201" xr:uid="{00000000-0005-0000-0000-000098040000}"/>
    <cellStyle name="Normal 3 2 2 44 3" xfId="1202" xr:uid="{00000000-0005-0000-0000-000099040000}"/>
    <cellStyle name="Normal 3 2 2 44 4" xfId="1203" xr:uid="{00000000-0005-0000-0000-00009A040000}"/>
    <cellStyle name="Normal 3 2 2 45" xfId="1204" xr:uid="{00000000-0005-0000-0000-00009B040000}"/>
    <cellStyle name="Normal 3 2 2 45 2" xfId="1205" xr:uid="{00000000-0005-0000-0000-00009C040000}"/>
    <cellStyle name="Normal 3 2 2 45 3" xfId="1206" xr:uid="{00000000-0005-0000-0000-00009D040000}"/>
    <cellStyle name="Normal 3 2 2 45 4" xfId="1207" xr:uid="{00000000-0005-0000-0000-00009E040000}"/>
    <cellStyle name="Normal 3 2 2 46" xfId="1208" xr:uid="{00000000-0005-0000-0000-00009F040000}"/>
    <cellStyle name="Normal 3 2 2 46 2" xfId="1209" xr:uid="{00000000-0005-0000-0000-0000A0040000}"/>
    <cellStyle name="Normal 3 2 2 46 3" xfId="1210" xr:uid="{00000000-0005-0000-0000-0000A1040000}"/>
    <cellStyle name="Normal 3 2 2 46 4" xfId="1211" xr:uid="{00000000-0005-0000-0000-0000A2040000}"/>
    <cellStyle name="Normal 3 2 2 47" xfId="1212" xr:uid="{00000000-0005-0000-0000-0000A3040000}"/>
    <cellStyle name="Normal 3 2 2 47 2" xfId="1213" xr:uid="{00000000-0005-0000-0000-0000A4040000}"/>
    <cellStyle name="Normal 3 2 2 47 3" xfId="1214" xr:uid="{00000000-0005-0000-0000-0000A5040000}"/>
    <cellStyle name="Normal 3 2 2 47 4" xfId="1215" xr:uid="{00000000-0005-0000-0000-0000A6040000}"/>
    <cellStyle name="Normal 3 2 2 48" xfId="1216" xr:uid="{00000000-0005-0000-0000-0000A7040000}"/>
    <cellStyle name="Normal 3 2 2 49" xfId="1217" xr:uid="{00000000-0005-0000-0000-0000A8040000}"/>
    <cellStyle name="Normal 3 2 2 5" xfId="1218" xr:uid="{00000000-0005-0000-0000-0000A9040000}"/>
    <cellStyle name="Normal 3 2 2 5 2" xfId="1219" xr:uid="{00000000-0005-0000-0000-0000AA040000}"/>
    <cellStyle name="Normal 3 2 2 5 3" xfId="1220" xr:uid="{00000000-0005-0000-0000-0000AB040000}"/>
    <cellStyle name="Normal 3 2 2 5 4" xfId="1221" xr:uid="{00000000-0005-0000-0000-0000AC040000}"/>
    <cellStyle name="Normal 3 2 2 50" xfId="1051" xr:uid="{00000000-0005-0000-0000-0000AD040000}"/>
    <cellStyle name="Normal 3 2 2 51" xfId="2235" xr:uid="{00000000-0005-0000-0000-0000AE040000}"/>
    <cellStyle name="Normal 3 2 2 6" xfId="1222" xr:uid="{00000000-0005-0000-0000-0000AF040000}"/>
    <cellStyle name="Normal 3 2 2 6 2" xfId="1223" xr:uid="{00000000-0005-0000-0000-0000B0040000}"/>
    <cellStyle name="Normal 3 2 2 6 3" xfId="1224" xr:uid="{00000000-0005-0000-0000-0000B1040000}"/>
    <cellStyle name="Normal 3 2 2 6 4" xfId="1225" xr:uid="{00000000-0005-0000-0000-0000B2040000}"/>
    <cellStyle name="Normal 3 2 2 7" xfId="1226" xr:uid="{00000000-0005-0000-0000-0000B3040000}"/>
    <cellStyle name="Normal 3 2 2 7 2" xfId="1227" xr:uid="{00000000-0005-0000-0000-0000B4040000}"/>
    <cellStyle name="Normal 3 2 2 7 3" xfId="1228" xr:uid="{00000000-0005-0000-0000-0000B5040000}"/>
    <cellStyle name="Normal 3 2 2 7 4" xfId="1229" xr:uid="{00000000-0005-0000-0000-0000B6040000}"/>
    <cellStyle name="Normal 3 2 2 8" xfId="1230" xr:uid="{00000000-0005-0000-0000-0000B7040000}"/>
    <cellStyle name="Normal 3 2 2 8 2" xfId="1231" xr:uid="{00000000-0005-0000-0000-0000B8040000}"/>
    <cellStyle name="Normal 3 2 2 8 3" xfId="1232" xr:uid="{00000000-0005-0000-0000-0000B9040000}"/>
    <cellStyle name="Normal 3 2 2 8 4" xfId="1233" xr:uid="{00000000-0005-0000-0000-0000BA040000}"/>
    <cellStyle name="Normal 3 2 2 9" xfId="1234" xr:uid="{00000000-0005-0000-0000-0000BB040000}"/>
    <cellStyle name="Normal 3 2 2 9 2" xfId="1235" xr:uid="{00000000-0005-0000-0000-0000BC040000}"/>
    <cellStyle name="Normal 3 2 2 9 3" xfId="1236" xr:uid="{00000000-0005-0000-0000-0000BD040000}"/>
    <cellStyle name="Normal 3 2 2 9 4" xfId="1237" xr:uid="{00000000-0005-0000-0000-0000BE040000}"/>
    <cellStyle name="Normal 3 2 20" xfId="1238" xr:uid="{00000000-0005-0000-0000-0000BF040000}"/>
    <cellStyle name="Normal 3 2 20 2" xfId="1239" xr:uid="{00000000-0005-0000-0000-0000C0040000}"/>
    <cellStyle name="Normal 3 2 20 3" xfId="1240" xr:uid="{00000000-0005-0000-0000-0000C1040000}"/>
    <cellStyle name="Normal 3 2 21" xfId="1241" xr:uid="{00000000-0005-0000-0000-0000C2040000}"/>
    <cellStyle name="Normal 3 2 21 2" xfId="1242" xr:uid="{00000000-0005-0000-0000-0000C3040000}"/>
    <cellStyle name="Normal 3 2 21 3" xfId="1243" xr:uid="{00000000-0005-0000-0000-0000C4040000}"/>
    <cellStyle name="Normal 3 2 22" xfId="1244" xr:uid="{00000000-0005-0000-0000-0000C5040000}"/>
    <cellStyle name="Normal 3 2 22 2" xfId="1245" xr:uid="{00000000-0005-0000-0000-0000C6040000}"/>
    <cellStyle name="Normal 3 2 22 3" xfId="1246" xr:uid="{00000000-0005-0000-0000-0000C7040000}"/>
    <cellStyle name="Normal 3 2 23" xfId="1247" xr:uid="{00000000-0005-0000-0000-0000C8040000}"/>
    <cellStyle name="Normal 3 2 23 2" xfId="1248" xr:uid="{00000000-0005-0000-0000-0000C9040000}"/>
    <cellStyle name="Normal 3 2 23 3" xfId="1249" xr:uid="{00000000-0005-0000-0000-0000CA040000}"/>
    <cellStyle name="Normal 3 2 24" xfId="1250" xr:uid="{00000000-0005-0000-0000-0000CB040000}"/>
    <cellStyle name="Normal 3 2 24 2" xfId="1251" xr:uid="{00000000-0005-0000-0000-0000CC040000}"/>
    <cellStyle name="Normal 3 2 24 3" xfId="1252" xr:uid="{00000000-0005-0000-0000-0000CD040000}"/>
    <cellStyle name="Normal 3 2 25" xfId="1253" xr:uid="{00000000-0005-0000-0000-0000CE040000}"/>
    <cellStyle name="Normal 3 2 25 2" xfId="1254" xr:uid="{00000000-0005-0000-0000-0000CF040000}"/>
    <cellStyle name="Normal 3 2 25 3" xfId="1255" xr:uid="{00000000-0005-0000-0000-0000D0040000}"/>
    <cellStyle name="Normal 3 2 26" xfId="1256" xr:uid="{00000000-0005-0000-0000-0000D1040000}"/>
    <cellStyle name="Normal 3 2 26 2" xfId="1257" xr:uid="{00000000-0005-0000-0000-0000D2040000}"/>
    <cellStyle name="Normal 3 2 26 3" xfId="1258" xr:uid="{00000000-0005-0000-0000-0000D3040000}"/>
    <cellStyle name="Normal 3 2 27" xfId="1259" xr:uid="{00000000-0005-0000-0000-0000D4040000}"/>
    <cellStyle name="Normal 3 2 27 2" xfId="1260" xr:uid="{00000000-0005-0000-0000-0000D5040000}"/>
    <cellStyle name="Normal 3 2 27 3" xfId="1261" xr:uid="{00000000-0005-0000-0000-0000D6040000}"/>
    <cellStyle name="Normal 3 2 28" xfId="1262" xr:uid="{00000000-0005-0000-0000-0000D7040000}"/>
    <cellStyle name="Normal 3 2 28 2" xfId="1263" xr:uid="{00000000-0005-0000-0000-0000D8040000}"/>
    <cellStyle name="Normal 3 2 28 3" xfId="1264" xr:uid="{00000000-0005-0000-0000-0000D9040000}"/>
    <cellStyle name="Normal 3 2 29" xfId="1265" xr:uid="{00000000-0005-0000-0000-0000DA040000}"/>
    <cellStyle name="Normal 3 2 29 2" xfId="1266" xr:uid="{00000000-0005-0000-0000-0000DB040000}"/>
    <cellStyle name="Normal 3 2 29 3" xfId="1267" xr:uid="{00000000-0005-0000-0000-0000DC040000}"/>
    <cellStyle name="Normal 3 2 3" xfId="1268" xr:uid="{00000000-0005-0000-0000-0000DD040000}"/>
    <cellStyle name="Normal 3 2 3 2" xfId="1269" xr:uid="{00000000-0005-0000-0000-0000DE040000}"/>
    <cellStyle name="Normal 3 2 3 3" xfId="1270" xr:uid="{00000000-0005-0000-0000-0000DF040000}"/>
    <cellStyle name="Normal 3 2 30" xfId="1271" xr:uid="{00000000-0005-0000-0000-0000E0040000}"/>
    <cellStyle name="Normal 3 2 30 2" xfId="1272" xr:uid="{00000000-0005-0000-0000-0000E1040000}"/>
    <cellStyle name="Normal 3 2 30 3" xfId="1273" xr:uid="{00000000-0005-0000-0000-0000E2040000}"/>
    <cellStyle name="Normal 3 2 31" xfId="1274" xr:uid="{00000000-0005-0000-0000-0000E3040000}"/>
    <cellStyle name="Normal 3 2 31 2" xfId="1275" xr:uid="{00000000-0005-0000-0000-0000E4040000}"/>
    <cellStyle name="Normal 3 2 31 3" xfId="1276" xr:uid="{00000000-0005-0000-0000-0000E5040000}"/>
    <cellStyle name="Normal 3 2 32" xfId="1277" xr:uid="{00000000-0005-0000-0000-0000E6040000}"/>
    <cellStyle name="Normal 3 2 32 2" xfId="1278" xr:uid="{00000000-0005-0000-0000-0000E7040000}"/>
    <cellStyle name="Normal 3 2 32 3" xfId="1279" xr:uid="{00000000-0005-0000-0000-0000E8040000}"/>
    <cellStyle name="Normal 3 2 33" xfId="1280" xr:uid="{00000000-0005-0000-0000-0000E9040000}"/>
    <cellStyle name="Normal 3 2 33 2" xfId="1281" xr:uid="{00000000-0005-0000-0000-0000EA040000}"/>
    <cellStyle name="Normal 3 2 33 3" xfId="1282" xr:uid="{00000000-0005-0000-0000-0000EB040000}"/>
    <cellStyle name="Normal 3 2 34" xfId="1283" xr:uid="{00000000-0005-0000-0000-0000EC040000}"/>
    <cellStyle name="Normal 3 2 34 2" xfId="1284" xr:uid="{00000000-0005-0000-0000-0000ED040000}"/>
    <cellStyle name="Normal 3 2 34 3" xfId="1285" xr:uid="{00000000-0005-0000-0000-0000EE040000}"/>
    <cellStyle name="Normal 3 2 35" xfId="1286" xr:uid="{00000000-0005-0000-0000-0000EF040000}"/>
    <cellStyle name="Normal 3 2 35 2" xfId="1287" xr:uid="{00000000-0005-0000-0000-0000F0040000}"/>
    <cellStyle name="Normal 3 2 35 3" xfId="1288" xr:uid="{00000000-0005-0000-0000-0000F1040000}"/>
    <cellStyle name="Normal 3 2 36" xfId="1289" xr:uid="{00000000-0005-0000-0000-0000F2040000}"/>
    <cellStyle name="Normal 3 2 36 2" xfId="1290" xr:uid="{00000000-0005-0000-0000-0000F3040000}"/>
    <cellStyle name="Normal 3 2 36 3" xfId="1291" xr:uid="{00000000-0005-0000-0000-0000F4040000}"/>
    <cellStyle name="Normal 3 2 37" xfId="1292" xr:uid="{00000000-0005-0000-0000-0000F5040000}"/>
    <cellStyle name="Normal 3 2 37 2" xfId="1293" xr:uid="{00000000-0005-0000-0000-0000F6040000}"/>
    <cellStyle name="Normal 3 2 37 3" xfId="1294" xr:uid="{00000000-0005-0000-0000-0000F7040000}"/>
    <cellStyle name="Normal 3 2 38" xfId="1295" xr:uid="{00000000-0005-0000-0000-0000F8040000}"/>
    <cellStyle name="Normal 3 2 38 2" xfId="1296" xr:uid="{00000000-0005-0000-0000-0000F9040000}"/>
    <cellStyle name="Normal 3 2 38 3" xfId="1297" xr:uid="{00000000-0005-0000-0000-0000FA040000}"/>
    <cellStyle name="Normal 3 2 39" xfId="1298" xr:uid="{00000000-0005-0000-0000-0000FB040000}"/>
    <cellStyle name="Normal 3 2 39 2" xfId="1299" xr:uid="{00000000-0005-0000-0000-0000FC040000}"/>
    <cellStyle name="Normal 3 2 39 3" xfId="1300" xr:uid="{00000000-0005-0000-0000-0000FD040000}"/>
    <cellStyle name="Normal 3 2 4" xfId="1301" xr:uid="{00000000-0005-0000-0000-0000FE040000}"/>
    <cellStyle name="Normal 3 2 4 2" xfId="1302" xr:uid="{00000000-0005-0000-0000-0000FF040000}"/>
    <cellStyle name="Normal 3 2 4 3" xfId="1303" xr:uid="{00000000-0005-0000-0000-000000050000}"/>
    <cellStyle name="Normal 3 2 40" xfId="1304" xr:uid="{00000000-0005-0000-0000-000001050000}"/>
    <cellStyle name="Normal 3 2 40 2" xfId="1305" xr:uid="{00000000-0005-0000-0000-000002050000}"/>
    <cellStyle name="Normal 3 2 40 3" xfId="1306" xr:uid="{00000000-0005-0000-0000-000003050000}"/>
    <cellStyle name="Normal 3 2 41" xfId="1307" xr:uid="{00000000-0005-0000-0000-000004050000}"/>
    <cellStyle name="Normal 3 2 41 2" xfId="1308" xr:uid="{00000000-0005-0000-0000-000005050000}"/>
    <cellStyle name="Normal 3 2 41 3" xfId="1309" xr:uid="{00000000-0005-0000-0000-000006050000}"/>
    <cellStyle name="Normal 3 2 42" xfId="1310" xr:uid="{00000000-0005-0000-0000-000007050000}"/>
    <cellStyle name="Normal 3 2 42 2" xfId="1311" xr:uid="{00000000-0005-0000-0000-000008050000}"/>
    <cellStyle name="Normal 3 2 42 3" xfId="1312" xr:uid="{00000000-0005-0000-0000-000009050000}"/>
    <cellStyle name="Normal 3 2 43" xfId="1313" xr:uid="{00000000-0005-0000-0000-00000A050000}"/>
    <cellStyle name="Normal 3 2 43 2" xfId="1314" xr:uid="{00000000-0005-0000-0000-00000B050000}"/>
    <cellStyle name="Normal 3 2 43 3" xfId="1315" xr:uid="{00000000-0005-0000-0000-00000C050000}"/>
    <cellStyle name="Normal 3 2 44" xfId="1316" xr:uid="{00000000-0005-0000-0000-00000D050000}"/>
    <cellStyle name="Normal 3 2 44 2" xfId="1317" xr:uid="{00000000-0005-0000-0000-00000E050000}"/>
    <cellStyle name="Normal 3 2 44 3" xfId="1318" xr:uid="{00000000-0005-0000-0000-00000F050000}"/>
    <cellStyle name="Normal 3 2 45" xfId="1319" xr:uid="{00000000-0005-0000-0000-000010050000}"/>
    <cellStyle name="Normal 3 2 45 2" xfId="1320" xr:uid="{00000000-0005-0000-0000-000011050000}"/>
    <cellStyle name="Normal 3 2 45 3" xfId="1321" xr:uid="{00000000-0005-0000-0000-000012050000}"/>
    <cellStyle name="Normal 3 2 46" xfId="1322" xr:uid="{00000000-0005-0000-0000-000013050000}"/>
    <cellStyle name="Normal 3 2 46 2" xfId="1323" xr:uid="{00000000-0005-0000-0000-000014050000}"/>
    <cellStyle name="Normal 3 2 46 3" xfId="1324" xr:uid="{00000000-0005-0000-0000-000015050000}"/>
    <cellStyle name="Normal 3 2 47" xfId="1325" xr:uid="{00000000-0005-0000-0000-000016050000}"/>
    <cellStyle name="Normal 3 2 47 2" xfId="1326" xr:uid="{00000000-0005-0000-0000-000017050000}"/>
    <cellStyle name="Normal 3 2 47 3" xfId="1327" xr:uid="{00000000-0005-0000-0000-000018050000}"/>
    <cellStyle name="Normal 3 2 48" xfId="1328" xr:uid="{00000000-0005-0000-0000-000019050000}"/>
    <cellStyle name="Normal 3 2 48 3 4" xfId="97" xr:uid="{00000000-0005-0000-0000-00001A050000}"/>
    <cellStyle name="Normal 3 2 49" xfId="1329" xr:uid="{00000000-0005-0000-0000-00001B050000}"/>
    <cellStyle name="Normal 3 2 5" xfId="1330" xr:uid="{00000000-0005-0000-0000-00001C050000}"/>
    <cellStyle name="Normal 3 2 5 2" xfId="1331" xr:uid="{00000000-0005-0000-0000-00001D050000}"/>
    <cellStyle name="Normal 3 2 5 3" xfId="1332" xr:uid="{00000000-0005-0000-0000-00001E050000}"/>
    <cellStyle name="Normal 3 2 50" xfId="1333" xr:uid="{00000000-0005-0000-0000-00001F050000}"/>
    <cellStyle name="Normal 3 2 51" xfId="1020" xr:uid="{00000000-0005-0000-0000-000020050000}"/>
    <cellStyle name="Normal 3 2 51 4" xfId="99" xr:uid="{00000000-0005-0000-0000-000021050000}"/>
    <cellStyle name="Normal 3 2 52" xfId="2252" xr:uid="{00000000-0005-0000-0000-000022050000}"/>
    <cellStyle name="Normal 3 2 6" xfId="1334" xr:uid="{00000000-0005-0000-0000-000023050000}"/>
    <cellStyle name="Normal 3 2 6 2" xfId="1335" xr:uid="{00000000-0005-0000-0000-000024050000}"/>
    <cellStyle name="Normal 3 2 6 3" xfId="1336" xr:uid="{00000000-0005-0000-0000-000025050000}"/>
    <cellStyle name="Normal 3 2 7" xfId="1337" xr:uid="{00000000-0005-0000-0000-000026050000}"/>
    <cellStyle name="Normal 3 2 7 2" xfId="1338" xr:uid="{00000000-0005-0000-0000-000027050000}"/>
    <cellStyle name="Normal 3 2 7 3" xfId="1339" xr:uid="{00000000-0005-0000-0000-000028050000}"/>
    <cellStyle name="Normal 3 2 8" xfId="1340" xr:uid="{00000000-0005-0000-0000-000029050000}"/>
    <cellStyle name="Normal 3 2 8 2" xfId="1341" xr:uid="{00000000-0005-0000-0000-00002A050000}"/>
    <cellStyle name="Normal 3 2 8 3" xfId="1342" xr:uid="{00000000-0005-0000-0000-00002B050000}"/>
    <cellStyle name="Normal 3 2 9" xfId="1343" xr:uid="{00000000-0005-0000-0000-00002C050000}"/>
    <cellStyle name="Normal 3 2 9 2" xfId="1344" xr:uid="{00000000-0005-0000-0000-00002D050000}"/>
    <cellStyle name="Normal 3 2 9 3" xfId="1345" xr:uid="{00000000-0005-0000-0000-00002E050000}"/>
    <cellStyle name="Normal 3 20" xfId="1346" xr:uid="{00000000-0005-0000-0000-00002F050000}"/>
    <cellStyle name="Normal 3 20 2" xfId="1347" xr:uid="{00000000-0005-0000-0000-000030050000}"/>
    <cellStyle name="Normal 3 20 3" xfId="1348" xr:uid="{00000000-0005-0000-0000-000031050000}"/>
    <cellStyle name="Normal 3 20 4" xfId="1349" xr:uid="{00000000-0005-0000-0000-000032050000}"/>
    <cellStyle name="Normal 3 21" xfId="1350" xr:uid="{00000000-0005-0000-0000-000033050000}"/>
    <cellStyle name="Normal 3 21 2" xfId="1351" xr:uid="{00000000-0005-0000-0000-000034050000}"/>
    <cellStyle name="Normal 3 21 3" xfId="1352" xr:uid="{00000000-0005-0000-0000-000035050000}"/>
    <cellStyle name="Normal 3 21 4" xfId="1353" xr:uid="{00000000-0005-0000-0000-000036050000}"/>
    <cellStyle name="Normal 3 22" xfId="1354" xr:uid="{00000000-0005-0000-0000-000037050000}"/>
    <cellStyle name="Normal 3 22 2" xfId="1355" xr:uid="{00000000-0005-0000-0000-000038050000}"/>
    <cellStyle name="Normal 3 22 3" xfId="1356" xr:uid="{00000000-0005-0000-0000-000039050000}"/>
    <cellStyle name="Normal 3 22 4" xfId="1357" xr:uid="{00000000-0005-0000-0000-00003A050000}"/>
    <cellStyle name="Normal 3 23" xfId="1358" xr:uid="{00000000-0005-0000-0000-00003B050000}"/>
    <cellStyle name="Normal 3 23 2" xfId="1359" xr:uid="{00000000-0005-0000-0000-00003C050000}"/>
    <cellStyle name="Normal 3 23 3" xfId="1360" xr:uid="{00000000-0005-0000-0000-00003D050000}"/>
    <cellStyle name="Normal 3 23 4" xfId="1361" xr:uid="{00000000-0005-0000-0000-00003E050000}"/>
    <cellStyle name="Normal 3 24" xfId="1362" xr:uid="{00000000-0005-0000-0000-00003F050000}"/>
    <cellStyle name="Normal 3 24 2" xfId="1363" xr:uid="{00000000-0005-0000-0000-000040050000}"/>
    <cellStyle name="Normal 3 24 3" xfId="1364" xr:uid="{00000000-0005-0000-0000-000041050000}"/>
    <cellStyle name="Normal 3 24 4" xfId="1365" xr:uid="{00000000-0005-0000-0000-000042050000}"/>
    <cellStyle name="Normal 3 25" xfId="1366" xr:uid="{00000000-0005-0000-0000-000043050000}"/>
    <cellStyle name="Normal 3 25 2" xfId="1367" xr:uid="{00000000-0005-0000-0000-000044050000}"/>
    <cellStyle name="Normal 3 25 3" xfId="1368" xr:uid="{00000000-0005-0000-0000-000045050000}"/>
    <cellStyle name="Normal 3 25 4" xfId="1369" xr:uid="{00000000-0005-0000-0000-000046050000}"/>
    <cellStyle name="Normal 3 26" xfId="1370" xr:uid="{00000000-0005-0000-0000-000047050000}"/>
    <cellStyle name="Normal 3 26 2" xfId="1371" xr:uid="{00000000-0005-0000-0000-000048050000}"/>
    <cellStyle name="Normal 3 26 3" xfId="1372" xr:uid="{00000000-0005-0000-0000-000049050000}"/>
    <cellStyle name="Normal 3 26 4" xfId="1373" xr:uid="{00000000-0005-0000-0000-00004A050000}"/>
    <cellStyle name="Normal 3 27" xfId="1374" xr:uid="{00000000-0005-0000-0000-00004B050000}"/>
    <cellStyle name="Normal 3 27 2" xfId="1375" xr:uid="{00000000-0005-0000-0000-00004C050000}"/>
    <cellStyle name="Normal 3 27 3" xfId="1376" xr:uid="{00000000-0005-0000-0000-00004D050000}"/>
    <cellStyle name="Normal 3 27 4" xfId="1377" xr:uid="{00000000-0005-0000-0000-00004E050000}"/>
    <cellStyle name="Normal 3 28" xfId="1378" xr:uid="{00000000-0005-0000-0000-00004F050000}"/>
    <cellStyle name="Normal 3 28 2" xfId="1379" xr:uid="{00000000-0005-0000-0000-000050050000}"/>
    <cellStyle name="Normal 3 28 3" xfId="1380" xr:uid="{00000000-0005-0000-0000-000051050000}"/>
    <cellStyle name="Normal 3 28 4" xfId="1381" xr:uid="{00000000-0005-0000-0000-000052050000}"/>
    <cellStyle name="Normal 3 29" xfId="1382" xr:uid="{00000000-0005-0000-0000-000053050000}"/>
    <cellStyle name="Normal 3 29 2" xfId="1383" xr:uid="{00000000-0005-0000-0000-000054050000}"/>
    <cellStyle name="Normal 3 29 3" xfId="1384" xr:uid="{00000000-0005-0000-0000-000055050000}"/>
    <cellStyle name="Normal 3 29 4" xfId="1385" xr:uid="{00000000-0005-0000-0000-000056050000}"/>
    <cellStyle name="Normal 3 3" xfId="1386" xr:uid="{00000000-0005-0000-0000-000057050000}"/>
    <cellStyle name="Normal 3 3 2" xfId="1387" xr:uid="{00000000-0005-0000-0000-000058050000}"/>
    <cellStyle name="Normal 3 3 3" xfId="1388" xr:uid="{00000000-0005-0000-0000-000059050000}"/>
    <cellStyle name="Normal 3 3 4" xfId="1389" xr:uid="{00000000-0005-0000-0000-00005A050000}"/>
    <cellStyle name="Normal 3 3 5" xfId="2250" xr:uid="{00000000-0005-0000-0000-00005B050000}"/>
    <cellStyle name="Normal 3 30" xfId="1390" xr:uid="{00000000-0005-0000-0000-00005C050000}"/>
    <cellStyle name="Normal 3 30 2" xfId="1391" xr:uid="{00000000-0005-0000-0000-00005D050000}"/>
    <cellStyle name="Normal 3 30 3" xfId="1392" xr:uid="{00000000-0005-0000-0000-00005E050000}"/>
    <cellStyle name="Normal 3 30 4" xfId="1393" xr:uid="{00000000-0005-0000-0000-00005F050000}"/>
    <cellStyle name="Normal 3 31" xfId="1394" xr:uid="{00000000-0005-0000-0000-000060050000}"/>
    <cellStyle name="Normal 3 31 2" xfId="1395" xr:uid="{00000000-0005-0000-0000-000061050000}"/>
    <cellStyle name="Normal 3 31 3" xfId="1396" xr:uid="{00000000-0005-0000-0000-000062050000}"/>
    <cellStyle name="Normal 3 31 4" xfId="1397" xr:uid="{00000000-0005-0000-0000-000063050000}"/>
    <cellStyle name="Normal 3 32" xfId="1398" xr:uid="{00000000-0005-0000-0000-000064050000}"/>
    <cellStyle name="Normal 3 32 2" xfId="1399" xr:uid="{00000000-0005-0000-0000-000065050000}"/>
    <cellStyle name="Normal 3 32 3" xfId="1400" xr:uid="{00000000-0005-0000-0000-000066050000}"/>
    <cellStyle name="Normal 3 32 4" xfId="1401" xr:uid="{00000000-0005-0000-0000-000067050000}"/>
    <cellStyle name="Normal 3 33" xfId="1402" xr:uid="{00000000-0005-0000-0000-000068050000}"/>
    <cellStyle name="Normal 3 33 2" xfId="1403" xr:uid="{00000000-0005-0000-0000-000069050000}"/>
    <cellStyle name="Normal 3 33 3" xfId="1404" xr:uid="{00000000-0005-0000-0000-00006A050000}"/>
    <cellStyle name="Normal 3 33 4" xfId="1405" xr:uid="{00000000-0005-0000-0000-00006B050000}"/>
    <cellStyle name="Normal 3 34" xfId="1406" xr:uid="{00000000-0005-0000-0000-00006C050000}"/>
    <cellStyle name="Normal 3 34 2" xfId="1407" xr:uid="{00000000-0005-0000-0000-00006D050000}"/>
    <cellStyle name="Normal 3 34 3" xfId="1408" xr:uid="{00000000-0005-0000-0000-00006E050000}"/>
    <cellStyle name="Normal 3 34 4" xfId="1409" xr:uid="{00000000-0005-0000-0000-00006F050000}"/>
    <cellStyle name="Normal 3 35" xfId="11" xr:uid="{00000000-0005-0000-0000-000070050000}"/>
    <cellStyle name="Normal 3 35 2" xfId="1411" xr:uid="{00000000-0005-0000-0000-000071050000}"/>
    <cellStyle name="Normal 3 35 3" xfId="1412" xr:uid="{00000000-0005-0000-0000-000072050000}"/>
    <cellStyle name="Normal 3 35 4" xfId="1413" xr:uid="{00000000-0005-0000-0000-000073050000}"/>
    <cellStyle name="Normal 3 35 5" xfId="1410" xr:uid="{00000000-0005-0000-0000-000074050000}"/>
    <cellStyle name="Normal 3 36" xfId="1414" xr:uid="{00000000-0005-0000-0000-000075050000}"/>
    <cellStyle name="Normal 3 36 2" xfId="1415" xr:uid="{00000000-0005-0000-0000-000076050000}"/>
    <cellStyle name="Normal 3 36 3" xfId="1416" xr:uid="{00000000-0005-0000-0000-000077050000}"/>
    <cellStyle name="Normal 3 36 4" xfId="1417" xr:uid="{00000000-0005-0000-0000-000078050000}"/>
    <cellStyle name="Normal 3 37" xfId="1418" xr:uid="{00000000-0005-0000-0000-000079050000}"/>
    <cellStyle name="Normal 3 37 2" xfId="1419" xr:uid="{00000000-0005-0000-0000-00007A050000}"/>
    <cellStyle name="Normal 3 37 3" xfId="1420" xr:uid="{00000000-0005-0000-0000-00007B050000}"/>
    <cellStyle name="Normal 3 37 4" xfId="1421" xr:uid="{00000000-0005-0000-0000-00007C050000}"/>
    <cellStyle name="Normal 3 38" xfId="1422" xr:uid="{00000000-0005-0000-0000-00007D050000}"/>
    <cellStyle name="Normal 3 38 2" xfId="1423" xr:uid="{00000000-0005-0000-0000-00007E050000}"/>
    <cellStyle name="Normal 3 38 3" xfId="1424" xr:uid="{00000000-0005-0000-0000-00007F050000}"/>
    <cellStyle name="Normal 3 38 4" xfId="1425" xr:uid="{00000000-0005-0000-0000-000080050000}"/>
    <cellStyle name="Normal 3 39" xfId="1426" xr:uid="{00000000-0005-0000-0000-000081050000}"/>
    <cellStyle name="Normal 3 39 2" xfId="1427" xr:uid="{00000000-0005-0000-0000-000082050000}"/>
    <cellStyle name="Normal 3 39 3" xfId="1428" xr:uid="{00000000-0005-0000-0000-000083050000}"/>
    <cellStyle name="Normal 3 39 4" xfId="1429" xr:uid="{00000000-0005-0000-0000-000084050000}"/>
    <cellStyle name="Normal 3 4" xfId="1430" xr:uid="{00000000-0005-0000-0000-000085050000}"/>
    <cellStyle name="Normal 3 4 2" xfId="1431" xr:uid="{00000000-0005-0000-0000-000086050000}"/>
    <cellStyle name="Normal 3 4 3" xfId="1432" xr:uid="{00000000-0005-0000-0000-000087050000}"/>
    <cellStyle name="Normal 3 4 4" xfId="1433" xr:uid="{00000000-0005-0000-0000-000088050000}"/>
    <cellStyle name="Normal 3 40" xfId="1434" xr:uid="{00000000-0005-0000-0000-000089050000}"/>
    <cellStyle name="Normal 3 40 2" xfId="1435" xr:uid="{00000000-0005-0000-0000-00008A050000}"/>
    <cellStyle name="Normal 3 40 3" xfId="1436" xr:uid="{00000000-0005-0000-0000-00008B050000}"/>
    <cellStyle name="Normal 3 40 4" xfId="1437" xr:uid="{00000000-0005-0000-0000-00008C050000}"/>
    <cellStyle name="Normal 3 41" xfId="1438" xr:uid="{00000000-0005-0000-0000-00008D050000}"/>
    <cellStyle name="Normal 3 41 2" xfId="1439" xr:uid="{00000000-0005-0000-0000-00008E050000}"/>
    <cellStyle name="Normal 3 41 3" xfId="1440" xr:uid="{00000000-0005-0000-0000-00008F050000}"/>
    <cellStyle name="Normal 3 41 4" xfId="1441" xr:uid="{00000000-0005-0000-0000-000090050000}"/>
    <cellStyle name="Normal 3 42" xfId="1442" xr:uid="{00000000-0005-0000-0000-000091050000}"/>
    <cellStyle name="Normal 3 42 2" xfId="1443" xr:uid="{00000000-0005-0000-0000-000092050000}"/>
    <cellStyle name="Normal 3 42 3" xfId="1444" xr:uid="{00000000-0005-0000-0000-000093050000}"/>
    <cellStyle name="Normal 3 42 4" xfId="1445" xr:uid="{00000000-0005-0000-0000-000094050000}"/>
    <cellStyle name="Normal 3 43" xfId="1446" xr:uid="{00000000-0005-0000-0000-000095050000}"/>
    <cellStyle name="Normal 3 43 2" xfId="1447" xr:uid="{00000000-0005-0000-0000-000096050000}"/>
    <cellStyle name="Normal 3 43 3" xfId="1448" xr:uid="{00000000-0005-0000-0000-000097050000}"/>
    <cellStyle name="Normal 3 43 4" xfId="1449" xr:uid="{00000000-0005-0000-0000-000098050000}"/>
    <cellStyle name="Normal 3 44" xfId="1450" xr:uid="{00000000-0005-0000-0000-000099050000}"/>
    <cellStyle name="Normal 3 44 2" xfId="1451" xr:uid="{00000000-0005-0000-0000-00009A050000}"/>
    <cellStyle name="Normal 3 44 3" xfId="1452" xr:uid="{00000000-0005-0000-0000-00009B050000}"/>
    <cellStyle name="Normal 3 44 4" xfId="1453" xr:uid="{00000000-0005-0000-0000-00009C050000}"/>
    <cellStyle name="Normal 3 45" xfId="1454" xr:uid="{00000000-0005-0000-0000-00009D050000}"/>
    <cellStyle name="Normal 3 45 2" xfId="1455" xr:uid="{00000000-0005-0000-0000-00009E050000}"/>
    <cellStyle name="Normal 3 45 3" xfId="1456" xr:uid="{00000000-0005-0000-0000-00009F050000}"/>
    <cellStyle name="Normal 3 45 4" xfId="1457" xr:uid="{00000000-0005-0000-0000-0000A0050000}"/>
    <cellStyle name="Normal 3 46" xfId="1458" xr:uid="{00000000-0005-0000-0000-0000A1050000}"/>
    <cellStyle name="Normal 3 46 2" xfId="1459" xr:uid="{00000000-0005-0000-0000-0000A2050000}"/>
    <cellStyle name="Normal 3 46 3" xfId="1460" xr:uid="{00000000-0005-0000-0000-0000A3050000}"/>
    <cellStyle name="Normal 3 46 4" xfId="1461" xr:uid="{00000000-0005-0000-0000-0000A4050000}"/>
    <cellStyle name="Normal 3 47" xfId="1462" xr:uid="{00000000-0005-0000-0000-0000A5050000}"/>
    <cellStyle name="Normal 3 47 2" xfId="1463" xr:uid="{00000000-0005-0000-0000-0000A6050000}"/>
    <cellStyle name="Normal 3 47 3" xfId="1464" xr:uid="{00000000-0005-0000-0000-0000A7050000}"/>
    <cellStyle name="Normal 3 47 4" xfId="1465" xr:uid="{00000000-0005-0000-0000-0000A8050000}"/>
    <cellStyle name="Normal 3 48" xfId="1466" xr:uid="{00000000-0005-0000-0000-0000A9050000}"/>
    <cellStyle name="Normal 3 48 2" xfId="1467" xr:uid="{00000000-0005-0000-0000-0000AA050000}"/>
    <cellStyle name="Normal 3 48 2 2" xfId="2234" xr:uid="{00000000-0005-0000-0000-0000AB050000}"/>
    <cellStyle name="Normal 3 48 3" xfId="1468" xr:uid="{00000000-0005-0000-0000-0000AC050000}"/>
    <cellStyle name="Normal 3 48 4" xfId="1469" xr:uid="{00000000-0005-0000-0000-0000AD050000}"/>
    <cellStyle name="Normal 3 48 5" xfId="74" xr:uid="{00000000-0005-0000-0000-0000AE050000}"/>
    <cellStyle name="Normal 3 49" xfId="1470" xr:uid="{00000000-0005-0000-0000-0000AF050000}"/>
    <cellStyle name="Normal 3 5" xfId="1471" xr:uid="{00000000-0005-0000-0000-0000B0050000}"/>
    <cellStyle name="Normal 3 5 2" xfId="1472" xr:uid="{00000000-0005-0000-0000-0000B1050000}"/>
    <cellStyle name="Normal 3 5 2 2" xfId="82" xr:uid="{00000000-0005-0000-0000-0000B2050000}"/>
    <cellStyle name="Normal 3 5 3" xfId="1473" xr:uid="{00000000-0005-0000-0000-0000B3050000}"/>
    <cellStyle name="Normal 3 5 4" xfId="1474" xr:uid="{00000000-0005-0000-0000-0000B4050000}"/>
    <cellStyle name="Normal 3 50" xfId="1475" xr:uid="{00000000-0005-0000-0000-0000B5050000}"/>
    <cellStyle name="Normal 3 51" xfId="1476" xr:uid="{00000000-0005-0000-0000-0000B6050000}"/>
    <cellStyle name="Normal 3 52" xfId="1477" xr:uid="{00000000-0005-0000-0000-0000B7050000}"/>
    <cellStyle name="Normal 3 53" xfId="107" xr:uid="{00000000-0005-0000-0000-0000B8050000}"/>
    <cellStyle name="Normal 3 54" xfId="2248" xr:uid="{00000000-0005-0000-0000-0000B9050000}"/>
    <cellStyle name="Normal 3 56" xfId="123" xr:uid="{00000000-0005-0000-0000-0000BA050000}"/>
    <cellStyle name="Normal 3 6" xfId="1478" xr:uid="{00000000-0005-0000-0000-0000BB050000}"/>
    <cellStyle name="Normal 3 6 2" xfId="1479" xr:uid="{00000000-0005-0000-0000-0000BC050000}"/>
    <cellStyle name="Normal 3 6 3" xfId="1480" xr:uid="{00000000-0005-0000-0000-0000BD050000}"/>
    <cellStyle name="Normal 3 6 4" xfId="1481" xr:uid="{00000000-0005-0000-0000-0000BE050000}"/>
    <cellStyle name="Normal 3 7" xfId="1482" xr:uid="{00000000-0005-0000-0000-0000BF050000}"/>
    <cellStyle name="Normal 3 7 2" xfId="1483" xr:uid="{00000000-0005-0000-0000-0000C0050000}"/>
    <cellStyle name="Normal 3 7 3" xfId="1484" xr:uid="{00000000-0005-0000-0000-0000C1050000}"/>
    <cellStyle name="Normal 3 7 4" xfId="1485" xr:uid="{00000000-0005-0000-0000-0000C2050000}"/>
    <cellStyle name="Normal 3 8" xfId="1486" xr:uid="{00000000-0005-0000-0000-0000C3050000}"/>
    <cellStyle name="Normal 3 8 2" xfId="1487" xr:uid="{00000000-0005-0000-0000-0000C4050000}"/>
    <cellStyle name="Normal 3 8 3" xfId="1488" xr:uid="{00000000-0005-0000-0000-0000C5050000}"/>
    <cellStyle name="Normal 3 8 4" xfId="1489" xr:uid="{00000000-0005-0000-0000-0000C6050000}"/>
    <cellStyle name="Normal 3 9" xfId="1490" xr:uid="{00000000-0005-0000-0000-0000C7050000}"/>
    <cellStyle name="Normal 3 9 2" xfId="1491" xr:uid="{00000000-0005-0000-0000-0000C8050000}"/>
    <cellStyle name="Normal 3 9 3" xfId="1492" xr:uid="{00000000-0005-0000-0000-0000C9050000}"/>
    <cellStyle name="Normal 3 9 4" xfId="1493" xr:uid="{00000000-0005-0000-0000-0000CA050000}"/>
    <cellStyle name="Normal 31" xfId="1494" xr:uid="{00000000-0005-0000-0000-0000CB050000}"/>
    <cellStyle name="Normal 31 2" xfId="1495" xr:uid="{00000000-0005-0000-0000-0000CC050000}"/>
    <cellStyle name="Normal 31 2 2" xfId="1496" xr:uid="{00000000-0005-0000-0000-0000CD050000}"/>
    <cellStyle name="Normal 31 2 3" xfId="1497" xr:uid="{00000000-0005-0000-0000-0000CE050000}"/>
    <cellStyle name="Normal 31 2 4" xfId="1498" xr:uid="{00000000-0005-0000-0000-0000CF050000}"/>
    <cellStyle name="Normal 31 3" xfId="1499" xr:uid="{00000000-0005-0000-0000-0000D0050000}"/>
    <cellStyle name="Normal 31 3 2" xfId="1500" xr:uid="{00000000-0005-0000-0000-0000D1050000}"/>
    <cellStyle name="Normal 31 3 2 2" xfId="1501" xr:uid="{00000000-0005-0000-0000-0000D2050000}"/>
    <cellStyle name="Normal 31 3 2 3" xfId="1502" xr:uid="{00000000-0005-0000-0000-0000D3050000}"/>
    <cellStyle name="Normal 31 3 2 4" xfId="1503" xr:uid="{00000000-0005-0000-0000-0000D4050000}"/>
    <cellStyle name="Normal 31 3 3" xfId="1504" xr:uid="{00000000-0005-0000-0000-0000D5050000}"/>
    <cellStyle name="Normal 31 3 4" xfId="1505" xr:uid="{00000000-0005-0000-0000-0000D6050000}"/>
    <cellStyle name="Normal 31 3 5" xfId="1506" xr:uid="{00000000-0005-0000-0000-0000D7050000}"/>
    <cellStyle name="Normal 31 4" xfId="1507" xr:uid="{00000000-0005-0000-0000-0000D8050000}"/>
    <cellStyle name="Normal 31 5" xfId="1508" xr:uid="{00000000-0005-0000-0000-0000D9050000}"/>
    <cellStyle name="Normal 31 6" xfId="1509" xr:uid="{00000000-0005-0000-0000-0000DA050000}"/>
    <cellStyle name="Normal 33" xfId="1510" xr:uid="{00000000-0005-0000-0000-0000DB050000}"/>
    <cellStyle name="Normal 33 2" xfId="1511" xr:uid="{00000000-0005-0000-0000-0000DC050000}"/>
    <cellStyle name="Normal 33 2 2" xfId="1512" xr:uid="{00000000-0005-0000-0000-0000DD050000}"/>
    <cellStyle name="Normal 33 2 3" xfId="1513" xr:uid="{00000000-0005-0000-0000-0000DE050000}"/>
    <cellStyle name="Normal 33 2 4" xfId="1514" xr:uid="{00000000-0005-0000-0000-0000DF050000}"/>
    <cellStyle name="Normal 33 3" xfId="1515" xr:uid="{00000000-0005-0000-0000-0000E0050000}"/>
    <cellStyle name="Normal 33 3 2" xfId="1516" xr:uid="{00000000-0005-0000-0000-0000E1050000}"/>
    <cellStyle name="Normal 33 3 2 2" xfId="1517" xr:uid="{00000000-0005-0000-0000-0000E2050000}"/>
    <cellStyle name="Normal 33 3 2 3" xfId="1518" xr:uid="{00000000-0005-0000-0000-0000E3050000}"/>
    <cellStyle name="Normal 33 3 2 4" xfId="1519" xr:uid="{00000000-0005-0000-0000-0000E4050000}"/>
    <cellStyle name="Normal 33 3 3" xfId="1520" xr:uid="{00000000-0005-0000-0000-0000E5050000}"/>
    <cellStyle name="Normal 33 3 4" xfId="1521" xr:uid="{00000000-0005-0000-0000-0000E6050000}"/>
    <cellStyle name="Normal 33 3 5" xfId="1522" xr:uid="{00000000-0005-0000-0000-0000E7050000}"/>
    <cellStyle name="Normal 33 4" xfId="1523" xr:uid="{00000000-0005-0000-0000-0000E8050000}"/>
    <cellStyle name="Normal 33 5" xfId="1524" xr:uid="{00000000-0005-0000-0000-0000E9050000}"/>
    <cellStyle name="Normal 33 6" xfId="1525" xr:uid="{00000000-0005-0000-0000-0000EA050000}"/>
    <cellStyle name="Normal 35" xfId="1526" xr:uid="{00000000-0005-0000-0000-0000EB050000}"/>
    <cellStyle name="Normal 35 2" xfId="1527" xr:uid="{00000000-0005-0000-0000-0000EC050000}"/>
    <cellStyle name="Normal 35 2 2" xfId="1528" xr:uid="{00000000-0005-0000-0000-0000ED050000}"/>
    <cellStyle name="Normal 35 2 3" xfId="1529" xr:uid="{00000000-0005-0000-0000-0000EE050000}"/>
    <cellStyle name="Normal 35 2 4" xfId="1530" xr:uid="{00000000-0005-0000-0000-0000EF050000}"/>
    <cellStyle name="Normal 35 3" xfId="1531" xr:uid="{00000000-0005-0000-0000-0000F0050000}"/>
    <cellStyle name="Normal 35 3 2" xfId="1532" xr:uid="{00000000-0005-0000-0000-0000F1050000}"/>
    <cellStyle name="Normal 35 3 2 2" xfId="1533" xr:uid="{00000000-0005-0000-0000-0000F2050000}"/>
    <cellStyle name="Normal 35 3 2 3" xfId="1534" xr:uid="{00000000-0005-0000-0000-0000F3050000}"/>
    <cellStyle name="Normal 35 3 2 4" xfId="1535" xr:uid="{00000000-0005-0000-0000-0000F4050000}"/>
    <cellStyle name="Normal 35 3 3" xfId="1536" xr:uid="{00000000-0005-0000-0000-0000F5050000}"/>
    <cellStyle name="Normal 35 3 4" xfId="1537" xr:uid="{00000000-0005-0000-0000-0000F6050000}"/>
    <cellStyle name="Normal 35 3 5" xfId="1538" xr:uid="{00000000-0005-0000-0000-0000F7050000}"/>
    <cellStyle name="Normal 35 4" xfId="1539" xr:uid="{00000000-0005-0000-0000-0000F8050000}"/>
    <cellStyle name="Normal 35 5" xfId="1540" xr:uid="{00000000-0005-0000-0000-0000F9050000}"/>
    <cellStyle name="Normal 35 6" xfId="1541" xr:uid="{00000000-0005-0000-0000-0000FA050000}"/>
    <cellStyle name="Normal 36" xfId="1542" xr:uid="{00000000-0005-0000-0000-0000FB050000}"/>
    <cellStyle name="Normal 36 2" xfId="1543" xr:uid="{00000000-0005-0000-0000-0000FC050000}"/>
    <cellStyle name="Normal 36 2 2" xfId="1544" xr:uid="{00000000-0005-0000-0000-0000FD050000}"/>
    <cellStyle name="Normal 36 2 3" xfId="1545" xr:uid="{00000000-0005-0000-0000-0000FE050000}"/>
    <cellStyle name="Normal 36 2 4" xfId="1546" xr:uid="{00000000-0005-0000-0000-0000FF050000}"/>
    <cellStyle name="Normal 36 3" xfId="1547" xr:uid="{00000000-0005-0000-0000-000000060000}"/>
    <cellStyle name="Normal 36 3 2" xfId="1548" xr:uid="{00000000-0005-0000-0000-000001060000}"/>
    <cellStyle name="Normal 36 3 2 2" xfId="1549" xr:uid="{00000000-0005-0000-0000-000002060000}"/>
    <cellStyle name="Normal 36 3 2 3" xfId="1550" xr:uid="{00000000-0005-0000-0000-000003060000}"/>
    <cellStyle name="Normal 36 3 2 4" xfId="1551" xr:uid="{00000000-0005-0000-0000-000004060000}"/>
    <cellStyle name="Normal 36 3 3" xfId="1552" xr:uid="{00000000-0005-0000-0000-000005060000}"/>
    <cellStyle name="Normal 36 3 4" xfId="1553" xr:uid="{00000000-0005-0000-0000-000006060000}"/>
    <cellStyle name="Normal 36 3 5" xfId="1554" xr:uid="{00000000-0005-0000-0000-000007060000}"/>
    <cellStyle name="Normal 36 4" xfId="1555" xr:uid="{00000000-0005-0000-0000-000008060000}"/>
    <cellStyle name="Normal 36 5" xfId="1556" xr:uid="{00000000-0005-0000-0000-000009060000}"/>
    <cellStyle name="Normal 36 6" xfId="1557" xr:uid="{00000000-0005-0000-0000-00000A060000}"/>
    <cellStyle name="Normal 38" xfId="1558" xr:uid="{00000000-0005-0000-0000-00000B060000}"/>
    <cellStyle name="Normal 38 2" xfId="1559" xr:uid="{00000000-0005-0000-0000-00000C060000}"/>
    <cellStyle name="Normal 38 2 2" xfId="1560" xr:uid="{00000000-0005-0000-0000-00000D060000}"/>
    <cellStyle name="Normal 38 2 3" xfId="1561" xr:uid="{00000000-0005-0000-0000-00000E060000}"/>
    <cellStyle name="Normal 38 2 4" xfId="1562" xr:uid="{00000000-0005-0000-0000-00000F060000}"/>
    <cellStyle name="Normal 38 3" xfId="1563" xr:uid="{00000000-0005-0000-0000-000010060000}"/>
    <cellStyle name="Normal 38 3 2" xfId="1564" xr:uid="{00000000-0005-0000-0000-000011060000}"/>
    <cellStyle name="Normal 38 3 2 2" xfId="1565" xr:uid="{00000000-0005-0000-0000-000012060000}"/>
    <cellStyle name="Normal 38 3 2 3" xfId="1566" xr:uid="{00000000-0005-0000-0000-000013060000}"/>
    <cellStyle name="Normal 38 3 2 4" xfId="1567" xr:uid="{00000000-0005-0000-0000-000014060000}"/>
    <cellStyle name="Normal 38 3 3" xfId="1568" xr:uid="{00000000-0005-0000-0000-000015060000}"/>
    <cellStyle name="Normal 38 3 4" xfId="1569" xr:uid="{00000000-0005-0000-0000-000016060000}"/>
    <cellStyle name="Normal 38 3 5" xfId="1570" xr:uid="{00000000-0005-0000-0000-000017060000}"/>
    <cellStyle name="Normal 38 4" xfId="1571" xr:uid="{00000000-0005-0000-0000-000018060000}"/>
    <cellStyle name="Normal 38 5" xfId="1572" xr:uid="{00000000-0005-0000-0000-000019060000}"/>
    <cellStyle name="Normal 38 6" xfId="1573" xr:uid="{00000000-0005-0000-0000-00001A060000}"/>
    <cellStyle name="Normal 4" xfId="4" xr:uid="{00000000-0005-0000-0000-00001B060000}"/>
    <cellStyle name="Normal 4 10" xfId="1575" xr:uid="{00000000-0005-0000-0000-00001C060000}"/>
    <cellStyle name="Normal 4 10 2" xfId="1576" xr:uid="{00000000-0005-0000-0000-00001D060000}"/>
    <cellStyle name="Normal 4 10 3" xfId="1577" xr:uid="{00000000-0005-0000-0000-00001E060000}"/>
    <cellStyle name="Normal 4 10 4" xfId="1578" xr:uid="{00000000-0005-0000-0000-00001F060000}"/>
    <cellStyle name="Normal 4 11" xfId="1579" xr:uid="{00000000-0005-0000-0000-000020060000}"/>
    <cellStyle name="Normal 4 11 2" xfId="1580" xr:uid="{00000000-0005-0000-0000-000021060000}"/>
    <cellStyle name="Normal 4 11 3" xfId="1581" xr:uid="{00000000-0005-0000-0000-000022060000}"/>
    <cellStyle name="Normal 4 11 4" xfId="1582" xr:uid="{00000000-0005-0000-0000-000023060000}"/>
    <cellStyle name="Normal 4 12" xfId="1583" xr:uid="{00000000-0005-0000-0000-000024060000}"/>
    <cellStyle name="Normal 4 12 2" xfId="1584" xr:uid="{00000000-0005-0000-0000-000025060000}"/>
    <cellStyle name="Normal 4 12 3" xfId="1585" xr:uid="{00000000-0005-0000-0000-000026060000}"/>
    <cellStyle name="Normal 4 12 4" xfId="1586" xr:uid="{00000000-0005-0000-0000-000027060000}"/>
    <cellStyle name="Normal 4 13" xfId="1587" xr:uid="{00000000-0005-0000-0000-000028060000}"/>
    <cellStyle name="Normal 4 13 2" xfId="1588" xr:uid="{00000000-0005-0000-0000-000029060000}"/>
    <cellStyle name="Normal 4 13 3" xfId="1589" xr:uid="{00000000-0005-0000-0000-00002A060000}"/>
    <cellStyle name="Normal 4 13 4" xfId="1590" xr:uid="{00000000-0005-0000-0000-00002B060000}"/>
    <cellStyle name="Normal 4 14" xfId="1591" xr:uid="{00000000-0005-0000-0000-00002C060000}"/>
    <cellStyle name="Normal 4 14 2" xfId="1592" xr:uid="{00000000-0005-0000-0000-00002D060000}"/>
    <cellStyle name="Normal 4 14 3" xfId="1593" xr:uid="{00000000-0005-0000-0000-00002E060000}"/>
    <cellStyle name="Normal 4 14 4" xfId="1594" xr:uid="{00000000-0005-0000-0000-00002F060000}"/>
    <cellStyle name="Normal 4 15" xfId="1595" xr:uid="{00000000-0005-0000-0000-000030060000}"/>
    <cellStyle name="Normal 4 15 2" xfId="1596" xr:uid="{00000000-0005-0000-0000-000031060000}"/>
    <cellStyle name="Normal 4 15 3" xfId="1597" xr:uid="{00000000-0005-0000-0000-000032060000}"/>
    <cellStyle name="Normal 4 15 4" xfId="1598" xr:uid="{00000000-0005-0000-0000-000033060000}"/>
    <cellStyle name="Normal 4 16" xfId="1599" xr:uid="{00000000-0005-0000-0000-000034060000}"/>
    <cellStyle name="Normal 4 16 2" xfId="1600" xr:uid="{00000000-0005-0000-0000-000035060000}"/>
    <cellStyle name="Normal 4 16 3" xfId="1601" xr:uid="{00000000-0005-0000-0000-000036060000}"/>
    <cellStyle name="Normal 4 16 4" xfId="1602" xr:uid="{00000000-0005-0000-0000-000037060000}"/>
    <cellStyle name="Normal 4 17" xfId="1603" xr:uid="{00000000-0005-0000-0000-000038060000}"/>
    <cellStyle name="Normal 4 17 2" xfId="1604" xr:uid="{00000000-0005-0000-0000-000039060000}"/>
    <cellStyle name="Normal 4 17 3" xfId="1605" xr:uid="{00000000-0005-0000-0000-00003A060000}"/>
    <cellStyle name="Normal 4 17 4" xfId="1606" xr:uid="{00000000-0005-0000-0000-00003B060000}"/>
    <cellStyle name="Normal 4 18" xfId="1607" xr:uid="{00000000-0005-0000-0000-00003C060000}"/>
    <cellStyle name="Normal 4 18 2" xfId="1608" xr:uid="{00000000-0005-0000-0000-00003D060000}"/>
    <cellStyle name="Normal 4 18 3" xfId="1609" xr:uid="{00000000-0005-0000-0000-00003E060000}"/>
    <cellStyle name="Normal 4 18 4" xfId="1610" xr:uid="{00000000-0005-0000-0000-00003F060000}"/>
    <cellStyle name="Normal 4 19" xfId="1611" xr:uid="{00000000-0005-0000-0000-000040060000}"/>
    <cellStyle name="Normal 4 19 2" xfId="1612" xr:uid="{00000000-0005-0000-0000-000041060000}"/>
    <cellStyle name="Normal 4 19 3" xfId="1613" xr:uid="{00000000-0005-0000-0000-000042060000}"/>
    <cellStyle name="Normal 4 19 4" xfId="1614" xr:uid="{00000000-0005-0000-0000-000043060000}"/>
    <cellStyle name="Normal 4 2" xfId="1615" xr:uid="{00000000-0005-0000-0000-000044060000}"/>
    <cellStyle name="Normal 4 2 2" xfId="1616" xr:uid="{00000000-0005-0000-0000-000045060000}"/>
    <cellStyle name="Normal 4 2 3" xfId="1617" xr:uid="{00000000-0005-0000-0000-000046060000}"/>
    <cellStyle name="Normal 4 2 4" xfId="1618" xr:uid="{00000000-0005-0000-0000-000047060000}"/>
    <cellStyle name="Normal 4 20" xfId="1619" xr:uid="{00000000-0005-0000-0000-000048060000}"/>
    <cellStyle name="Normal 4 20 2" xfId="1620" xr:uid="{00000000-0005-0000-0000-000049060000}"/>
    <cellStyle name="Normal 4 20 3" xfId="1621" xr:uid="{00000000-0005-0000-0000-00004A060000}"/>
    <cellStyle name="Normal 4 20 4" xfId="1622" xr:uid="{00000000-0005-0000-0000-00004B060000}"/>
    <cellStyle name="Normal 4 21" xfId="1623" xr:uid="{00000000-0005-0000-0000-00004C060000}"/>
    <cellStyle name="Normal 4 21 2" xfId="1624" xr:uid="{00000000-0005-0000-0000-00004D060000}"/>
    <cellStyle name="Normal 4 21 3" xfId="1625" xr:uid="{00000000-0005-0000-0000-00004E060000}"/>
    <cellStyle name="Normal 4 21 4" xfId="1626" xr:uid="{00000000-0005-0000-0000-00004F060000}"/>
    <cellStyle name="Normal 4 22" xfId="1627" xr:uid="{00000000-0005-0000-0000-000050060000}"/>
    <cellStyle name="Normal 4 22 2" xfId="1628" xr:uid="{00000000-0005-0000-0000-000051060000}"/>
    <cellStyle name="Normal 4 22 3" xfId="1629" xr:uid="{00000000-0005-0000-0000-000052060000}"/>
    <cellStyle name="Normal 4 22 4" xfId="1630" xr:uid="{00000000-0005-0000-0000-000053060000}"/>
    <cellStyle name="Normal 4 23" xfId="1631" xr:uid="{00000000-0005-0000-0000-000054060000}"/>
    <cellStyle name="Normal 4 23 2" xfId="1632" xr:uid="{00000000-0005-0000-0000-000055060000}"/>
    <cellStyle name="Normal 4 23 3" xfId="1633" xr:uid="{00000000-0005-0000-0000-000056060000}"/>
    <cellStyle name="Normal 4 23 4" xfId="1634" xr:uid="{00000000-0005-0000-0000-000057060000}"/>
    <cellStyle name="Normal 4 24" xfId="1635" xr:uid="{00000000-0005-0000-0000-000058060000}"/>
    <cellStyle name="Normal 4 24 2" xfId="1636" xr:uid="{00000000-0005-0000-0000-000059060000}"/>
    <cellStyle name="Normal 4 24 3" xfId="1637" xr:uid="{00000000-0005-0000-0000-00005A060000}"/>
    <cellStyle name="Normal 4 24 4" xfId="1638" xr:uid="{00000000-0005-0000-0000-00005B060000}"/>
    <cellStyle name="Normal 4 25" xfId="1639" xr:uid="{00000000-0005-0000-0000-00005C060000}"/>
    <cellStyle name="Normal 4 25 2" xfId="1640" xr:uid="{00000000-0005-0000-0000-00005D060000}"/>
    <cellStyle name="Normal 4 25 3" xfId="1641" xr:uid="{00000000-0005-0000-0000-00005E060000}"/>
    <cellStyle name="Normal 4 25 4" xfId="1642" xr:uid="{00000000-0005-0000-0000-00005F060000}"/>
    <cellStyle name="Normal 4 26" xfId="1643" xr:uid="{00000000-0005-0000-0000-000060060000}"/>
    <cellStyle name="Normal 4 26 2" xfId="1644" xr:uid="{00000000-0005-0000-0000-000061060000}"/>
    <cellStyle name="Normal 4 26 3" xfId="1645" xr:uid="{00000000-0005-0000-0000-000062060000}"/>
    <cellStyle name="Normal 4 26 4" xfId="1646" xr:uid="{00000000-0005-0000-0000-000063060000}"/>
    <cellStyle name="Normal 4 27" xfId="1647" xr:uid="{00000000-0005-0000-0000-000064060000}"/>
    <cellStyle name="Normal 4 27 2" xfId="1648" xr:uid="{00000000-0005-0000-0000-000065060000}"/>
    <cellStyle name="Normal 4 27 3" xfId="1649" xr:uid="{00000000-0005-0000-0000-000066060000}"/>
    <cellStyle name="Normal 4 27 4" xfId="1650" xr:uid="{00000000-0005-0000-0000-000067060000}"/>
    <cellStyle name="Normal 4 28" xfId="1651" xr:uid="{00000000-0005-0000-0000-000068060000}"/>
    <cellStyle name="Normal 4 28 2" xfId="1652" xr:uid="{00000000-0005-0000-0000-000069060000}"/>
    <cellStyle name="Normal 4 28 3" xfId="1653" xr:uid="{00000000-0005-0000-0000-00006A060000}"/>
    <cellStyle name="Normal 4 28 4" xfId="1654" xr:uid="{00000000-0005-0000-0000-00006B060000}"/>
    <cellStyle name="Normal 4 29" xfId="1655" xr:uid="{00000000-0005-0000-0000-00006C060000}"/>
    <cellStyle name="Normal 4 29 2" xfId="1656" xr:uid="{00000000-0005-0000-0000-00006D060000}"/>
    <cellStyle name="Normal 4 29 3" xfId="1657" xr:uid="{00000000-0005-0000-0000-00006E060000}"/>
    <cellStyle name="Normal 4 29 4" xfId="1658" xr:uid="{00000000-0005-0000-0000-00006F060000}"/>
    <cellStyle name="Normal 4 3" xfId="1659" xr:uid="{00000000-0005-0000-0000-000070060000}"/>
    <cellStyle name="Normal 4 3 2" xfId="1660" xr:uid="{00000000-0005-0000-0000-000071060000}"/>
    <cellStyle name="Normal 4 3 3" xfId="1661" xr:uid="{00000000-0005-0000-0000-000072060000}"/>
    <cellStyle name="Normal 4 3 4" xfId="1662" xr:uid="{00000000-0005-0000-0000-000073060000}"/>
    <cellStyle name="Normal 4 30" xfId="1663" xr:uid="{00000000-0005-0000-0000-000074060000}"/>
    <cellStyle name="Normal 4 30 2" xfId="1664" xr:uid="{00000000-0005-0000-0000-000075060000}"/>
    <cellStyle name="Normal 4 30 3" xfId="1665" xr:uid="{00000000-0005-0000-0000-000076060000}"/>
    <cellStyle name="Normal 4 30 4" xfId="1666" xr:uid="{00000000-0005-0000-0000-000077060000}"/>
    <cellStyle name="Normal 4 31" xfId="1667" xr:uid="{00000000-0005-0000-0000-000078060000}"/>
    <cellStyle name="Normal 4 31 2" xfId="1668" xr:uid="{00000000-0005-0000-0000-000079060000}"/>
    <cellStyle name="Normal 4 31 3" xfId="1669" xr:uid="{00000000-0005-0000-0000-00007A060000}"/>
    <cellStyle name="Normal 4 31 4" xfId="1670" xr:uid="{00000000-0005-0000-0000-00007B060000}"/>
    <cellStyle name="Normal 4 32" xfId="1671" xr:uid="{00000000-0005-0000-0000-00007C060000}"/>
    <cellStyle name="Normal 4 32 2" xfId="1672" xr:uid="{00000000-0005-0000-0000-00007D060000}"/>
    <cellStyle name="Normal 4 32 3" xfId="1673" xr:uid="{00000000-0005-0000-0000-00007E060000}"/>
    <cellStyle name="Normal 4 32 4" xfId="1674" xr:uid="{00000000-0005-0000-0000-00007F060000}"/>
    <cellStyle name="Normal 4 33" xfId="1675" xr:uid="{00000000-0005-0000-0000-000080060000}"/>
    <cellStyle name="Normal 4 33 2" xfId="1676" xr:uid="{00000000-0005-0000-0000-000081060000}"/>
    <cellStyle name="Normal 4 33 3" xfId="1677" xr:uid="{00000000-0005-0000-0000-000082060000}"/>
    <cellStyle name="Normal 4 33 4" xfId="1678" xr:uid="{00000000-0005-0000-0000-000083060000}"/>
    <cellStyle name="Normal 4 34" xfId="1679" xr:uid="{00000000-0005-0000-0000-000084060000}"/>
    <cellStyle name="Normal 4 34 2" xfId="1680" xr:uid="{00000000-0005-0000-0000-000085060000}"/>
    <cellStyle name="Normal 4 34 3" xfId="1681" xr:uid="{00000000-0005-0000-0000-000086060000}"/>
    <cellStyle name="Normal 4 34 4" xfId="1682" xr:uid="{00000000-0005-0000-0000-000087060000}"/>
    <cellStyle name="Normal 4 35" xfId="1683" xr:uid="{00000000-0005-0000-0000-000088060000}"/>
    <cellStyle name="Normal 4 35 2" xfId="1684" xr:uid="{00000000-0005-0000-0000-000089060000}"/>
    <cellStyle name="Normal 4 35 3" xfId="1685" xr:uid="{00000000-0005-0000-0000-00008A060000}"/>
    <cellStyle name="Normal 4 35 4" xfId="1686" xr:uid="{00000000-0005-0000-0000-00008B060000}"/>
    <cellStyle name="Normal 4 36" xfId="1687" xr:uid="{00000000-0005-0000-0000-00008C060000}"/>
    <cellStyle name="Normal 4 36 2" xfId="1688" xr:uid="{00000000-0005-0000-0000-00008D060000}"/>
    <cellStyle name="Normal 4 36 3" xfId="1689" xr:uid="{00000000-0005-0000-0000-00008E060000}"/>
    <cellStyle name="Normal 4 36 4" xfId="1690" xr:uid="{00000000-0005-0000-0000-00008F060000}"/>
    <cellStyle name="Normal 4 37" xfId="1691" xr:uid="{00000000-0005-0000-0000-000090060000}"/>
    <cellStyle name="Normal 4 37 2" xfId="1692" xr:uid="{00000000-0005-0000-0000-000091060000}"/>
    <cellStyle name="Normal 4 37 3" xfId="1693" xr:uid="{00000000-0005-0000-0000-000092060000}"/>
    <cellStyle name="Normal 4 37 4" xfId="1694" xr:uid="{00000000-0005-0000-0000-000093060000}"/>
    <cellStyle name="Normal 4 38" xfId="1695" xr:uid="{00000000-0005-0000-0000-000094060000}"/>
    <cellStyle name="Normal 4 38 2" xfId="1696" xr:uid="{00000000-0005-0000-0000-000095060000}"/>
    <cellStyle name="Normal 4 38 3" xfId="1697" xr:uid="{00000000-0005-0000-0000-000096060000}"/>
    <cellStyle name="Normal 4 38 4" xfId="1698" xr:uid="{00000000-0005-0000-0000-000097060000}"/>
    <cellStyle name="Normal 4 39" xfId="1699" xr:uid="{00000000-0005-0000-0000-000098060000}"/>
    <cellStyle name="Normal 4 39 2" xfId="1700" xr:uid="{00000000-0005-0000-0000-000099060000}"/>
    <cellStyle name="Normal 4 39 3" xfId="1701" xr:uid="{00000000-0005-0000-0000-00009A060000}"/>
    <cellStyle name="Normal 4 39 4" xfId="1702" xr:uid="{00000000-0005-0000-0000-00009B060000}"/>
    <cellStyle name="Normal 4 4" xfId="1703" xr:uid="{00000000-0005-0000-0000-00009C060000}"/>
    <cellStyle name="Normal 4 4 2" xfId="1704" xr:uid="{00000000-0005-0000-0000-00009D060000}"/>
    <cellStyle name="Normal 4 4 3" xfId="1705" xr:uid="{00000000-0005-0000-0000-00009E060000}"/>
    <cellStyle name="Normal 4 4 4" xfId="1706" xr:uid="{00000000-0005-0000-0000-00009F060000}"/>
    <cellStyle name="Normal 4 40" xfId="1707" xr:uid="{00000000-0005-0000-0000-0000A0060000}"/>
    <cellStyle name="Normal 4 40 2" xfId="1708" xr:uid="{00000000-0005-0000-0000-0000A1060000}"/>
    <cellStyle name="Normal 4 40 3" xfId="1709" xr:uid="{00000000-0005-0000-0000-0000A2060000}"/>
    <cellStyle name="Normal 4 40 4" xfId="1710" xr:uid="{00000000-0005-0000-0000-0000A3060000}"/>
    <cellStyle name="Normal 4 41" xfId="1711" xr:uid="{00000000-0005-0000-0000-0000A4060000}"/>
    <cellStyle name="Normal 4 41 2" xfId="1712" xr:uid="{00000000-0005-0000-0000-0000A5060000}"/>
    <cellStyle name="Normal 4 41 3" xfId="1713" xr:uid="{00000000-0005-0000-0000-0000A6060000}"/>
    <cellStyle name="Normal 4 41 4" xfId="1714" xr:uid="{00000000-0005-0000-0000-0000A7060000}"/>
    <cellStyle name="Normal 4 42" xfId="1715" xr:uid="{00000000-0005-0000-0000-0000A8060000}"/>
    <cellStyle name="Normal 4 42 2" xfId="1716" xr:uid="{00000000-0005-0000-0000-0000A9060000}"/>
    <cellStyle name="Normal 4 42 3" xfId="1717" xr:uid="{00000000-0005-0000-0000-0000AA060000}"/>
    <cellStyle name="Normal 4 42 4" xfId="1718" xr:uid="{00000000-0005-0000-0000-0000AB060000}"/>
    <cellStyle name="Normal 4 43" xfId="1719" xr:uid="{00000000-0005-0000-0000-0000AC060000}"/>
    <cellStyle name="Normal 4 43 2" xfId="1720" xr:uid="{00000000-0005-0000-0000-0000AD060000}"/>
    <cellStyle name="Normal 4 43 3" xfId="1721" xr:uid="{00000000-0005-0000-0000-0000AE060000}"/>
    <cellStyle name="Normal 4 43 4" xfId="1722" xr:uid="{00000000-0005-0000-0000-0000AF060000}"/>
    <cellStyle name="Normal 4 44" xfId="1723" xr:uid="{00000000-0005-0000-0000-0000B0060000}"/>
    <cellStyle name="Normal 4 44 2" xfId="1724" xr:uid="{00000000-0005-0000-0000-0000B1060000}"/>
    <cellStyle name="Normal 4 44 3" xfId="1725" xr:uid="{00000000-0005-0000-0000-0000B2060000}"/>
    <cellStyle name="Normal 4 44 4" xfId="1726" xr:uid="{00000000-0005-0000-0000-0000B3060000}"/>
    <cellStyle name="Normal 4 45" xfId="1727" xr:uid="{00000000-0005-0000-0000-0000B4060000}"/>
    <cellStyle name="Normal 4 45 2" xfId="1728" xr:uid="{00000000-0005-0000-0000-0000B5060000}"/>
    <cellStyle name="Normal 4 45 3" xfId="1729" xr:uid="{00000000-0005-0000-0000-0000B6060000}"/>
    <cellStyle name="Normal 4 45 4" xfId="1730" xr:uid="{00000000-0005-0000-0000-0000B7060000}"/>
    <cellStyle name="Normal 4 46" xfId="1731" xr:uid="{00000000-0005-0000-0000-0000B8060000}"/>
    <cellStyle name="Normal 4 46 2" xfId="1732" xr:uid="{00000000-0005-0000-0000-0000B9060000}"/>
    <cellStyle name="Normal 4 46 3" xfId="1733" xr:uid="{00000000-0005-0000-0000-0000BA060000}"/>
    <cellStyle name="Normal 4 46 4" xfId="1734" xr:uid="{00000000-0005-0000-0000-0000BB060000}"/>
    <cellStyle name="Normal 4 47" xfId="1735" xr:uid="{00000000-0005-0000-0000-0000BC060000}"/>
    <cellStyle name="Normal 4 47 2" xfId="1736" xr:uid="{00000000-0005-0000-0000-0000BD060000}"/>
    <cellStyle name="Normal 4 47 3" xfId="1737" xr:uid="{00000000-0005-0000-0000-0000BE060000}"/>
    <cellStyle name="Normal 4 47 4" xfId="1738" xr:uid="{00000000-0005-0000-0000-0000BF060000}"/>
    <cellStyle name="Normal 4 48" xfId="1739" xr:uid="{00000000-0005-0000-0000-0000C0060000}"/>
    <cellStyle name="Normal 4 49" xfId="1740" xr:uid="{00000000-0005-0000-0000-0000C1060000}"/>
    <cellStyle name="Normal 4 5" xfId="1741" xr:uid="{00000000-0005-0000-0000-0000C2060000}"/>
    <cellStyle name="Normal 4 5 2" xfId="1742" xr:uid="{00000000-0005-0000-0000-0000C3060000}"/>
    <cellStyle name="Normal 4 5 3" xfId="1743" xr:uid="{00000000-0005-0000-0000-0000C4060000}"/>
    <cellStyle name="Normal 4 5 4" xfId="1744" xr:uid="{00000000-0005-0000-0000-0000C5060000}"/>
    <cellStyle name="Normal 4 50" xfId="1745" xr:uid="{00000000-0005-0000-0000-0000C6060000}"/>
    <cellStyle name="Normal 4 51" xfId="1746" xr:uid="{00000000-0005-0000-0000-0000C7060000}"/>
    <cellStyle name="Normal 4 52" xfId="1574" xr:uid="{00000000-0005-0000-0000-0000C8060000}"/>
    <cellStyle name="Normal 4 53" xfId="2249" xr:uid="{00000000-0005-0000-0000-0000C9060000}"/>
    <cellStyle name="Normal 4 6" xfId="1747" xr:uid="{00000000-0005-0000-0000-0000CA060000}"/>
    <cellStyle name="Normal 4 6 2" xfId="1748" xr:uid="{00000000-0005-0000-0000-0000CB060000}"/>
    <cellStyle name="Normal 4 6 3" xfId="1749" xr:uid="{00000000-0005-0000-0000-0000CC060000}"/>
    <cellStyle name="Normal 4 6 4" xfId="1750" xr:uid="{00000000-0005-0000-0000-0000CD060000}"/>
    <cellStyle name="Normal 4 7" xfId="1751" xr:uid="{00000000-0005-0000-0000-0000CE060000}"/>
    <cellStyle name="Normal 4 7 2" xfId="1752" xr:uid="{00000000-0005-0000-0000-0000CF060000}"/>
    <cellStyle name="Normal 4 7 3" xfId="1753" xr:uid="{00000000-0005-0000-0000-0000D0060000}"/>
    <cellStyle name="Normal 4 7 4" xfId="1754" xr:uid="{00000000-0005-0000-0000-0000D1060000}"/>
    <cellStyle name="Normal 4 8" xfId="1755" xr:uid="{00000000-0005-0000-0000-0000D2060000}"/>
    <cellStyle name="Normal 4 8 2" xfId="1756" xr:uid="{00000000-0005-0000-0000-0000D3060000}"/>
    <cellStyle name="Normal 4 8 3" xfId="1757" xr:uid="{00000000-0005-0000-0000-0000D4060000}"/>
    <cellStyle name="Normal 4 8 4" xfId="1758" xr:uid="{00000000-0005-0000-0000-0000D5060000}"/>
    <cellStyle name="Normal 4 9" xfId="1759" xr:uid="{00000000-0005-0000-0000-0000D6060000}"/>
    <cellStyle name="Normal 4 9 2" xfId="1760" xr:uid="{00000000-0005-0000-0000-0000D7060000}"/>
    <cellStyle name="Normal 4 9 3" xfId="1761" xr:uid="{00000000-0005-0000-0000-0000D8060000}"/>
    <cellStyle name="Normal 4 9 4" xfId="1762" xr:uid="{00000000-0005-0000-0000-0000D9060000}"/>
    <cellStyle name="Normal 40" xfId="1763" xr:uid="{00000000-0005-0000-0000-0000DA060000}"/>
    <cellStyle name="Normal 40 2" xfId="1764" xr:uid="{00000000-0005-0000-0000-0000DB060000}"/>
    <cellStyle name="Normal 40 2 2" xfId="1765" xr:uid="{00000000-0005-0000-0000-0000DC060000}"/>
    <cellStyle name="Normal 40 2 3" xfId="1766" xr:uid="{00000000-0005-0000-0000-0000DD060000}"/>
    <cellStyle name="Normal 40 2 4" xfId="1767" xr:uid="{00000000-0005-0000-0000-0000DE060000}"/>
    <cellStyle name="Normal 40 3" xfId="1768" xr:uid="{00000000-0005-0000-0000-0000DF060000}"/>
    <cellStyle name="Normal 40 3 2" xfId="1769" xr:uid="{00000000-0005-0000-0000-0000E0060000}"/>
    <cellStyle name="Normal 40 3 2 2" xfId="1770" xr:uid="{00000000-0005-0000-0000-0000E1060000}"/>
    <cellStyle name="Normal 40 3 2 3" xfId="1771" xr:uid="{00000000-0005-0000-0000-0000E2060000}"/>
    <cellStyle name="Normal 40 3 2 4" xfId="1772" xr:uid="{00000000-0005-0000-0000-0000E3060000}"/>
    <cellStyle name="Normal 40 3 3" xfId="1773" xr:uid="{00000000-0005-0000-0000-0000E4060000}"/>
    <cellStyle name="Normal 40 3 4" xfId="1774" xr:uid="{00000000-0005-0000-0000-0000E5060000}"/>
    <cellStyle name="Normal 40 3 5" xfId="1775" xr:uid="{00000000-0005-0000-0000-0000E6060000}"/>
    <cellStyle name="Normal 40 4" xfId="1776" xr:uid="{00000000-0005-0000-0000-0000E7060000}"/>
    <cellStyle name="Normal 40 5" xfId="1777" xr:uid="{00000000-0005-0000-0000-0000E8060000}"/>
    <cellStyle name="Normal 40 6" xfId="1778" xr:uid="{00000000-0005-0000-0000-0000E9060000}"/>
    <cellStyle name="Normal 42" xfId="1779" xr:uid="{00000000-0005-0000-0000-0000EA060000}"/>
    <cellStyle name="Normal 42 2" xfId="1780" xr:uid="{00000000-0005-0000-0000-0000EB060000}"/>
    <cellStyle name="Normal 42 2 2" xfId="1781" xr:uid="{00000000-0005-0000-0000-0000EC060000}"/>
    <cellStyle name="Normal 42 2 3" xfId="1782" xr:uid="{00000000-0005-0000-0000-0000ED060000}"/>
    <cellStyle name="Normal 42 2 4" xfId="1783" xr:uid="{00000000-0005-0000-0000-0000EE060000}"/>
    <cellStyle name="Normal 42 3" xfId="1784" xr:uid="{00000000-0005-0000-0000-0000EF060000}"/>
    <cellStyle name="Normal 42 3 2" xfId="1785" xr:uid="{00000000-0005-0000-0000-0000F0060000}"/>
    <cellStyle name="Normal 42 3 2 2" xfId="1786" xr:uid="{00000000-0005-0000-0000-0000F1060000}"/>
    <cellStyle name="Normal 42 3 2 3" xfId="1787" xr:uid="{00000000-0005-0000-0000-0000F2060000}"/>
    <cellStyle name="Normal 42 3 2 4" xfId="1788" xr:uid="{00000000-0005-0000-0000-0000F3060000}"/>
    <cellStyle name="Normal 42 3 3" xfId="1789" xr:uid="{00000000-0005-0000-0000-0000F4060000}"/>
    <cellStyle name="Normal 42 3 4" xfId="1790" xr:uid="{00000000-0005-0000-0000-0000F5060000}"/>
    <cellStyle name="Normal 42 3 5" xfId="1791" xr:uid="{00000000-0005-0000-0000-0000F6060000}"/>
    <cellStyle name="Normal 42 4" xfId="1792" xr:uid="{00000000-0005-0000-0000-0000F7060000}"/>
    <cellStyle name="Normal 42 5" xfId="1793" xr:uid="{00000000-0005-0000-0000-0000F8060000}"/>
    <cellStyle name="Normal 42 6" xfId="1794" xr:uid="{00000000-0005-0000-0000-0000F9060000}"/>
    <cellStyle name="Normal 43" xfId="1795" xr:uid="{00000000-0005-0000-0000-0000FA060000}"/>
    <cellStyle name="Normal 43 2" xfId="1796" xr:uid="{00000000-0005-0000-0000-0000FB060000}"/>
    <cellStyle name="Normal 43 2 2" xfId="1797" xr:uid="{00000000-0005-0000-0000-0000FC060000}"/>
    <cellStyle name="Normal 43 2 3" xfId="1798" xr:uid="{00000000-0005-0000-0000-0000FD060000}"/>
    <cellStyle name="Normal 43 2 4" xfId="1799" xr:uid="{00000000-0005-0000-0000-0000FE060000}"/>
    <cellStyle name="Normal 43 3" xfId="1800" xr:uid="{00000000-0005-0000-0000-0000FF060000}"/>
    <cellStyle name="Normal 43 3 2" xfId="1801" xr:uid="{00000000-0005-0000-0000-000000070000}"/>
    <cellStyle name="Normal 43 3 2 2" xfId="1802" xr:uid="{00000000-0005-0000-0000-000001070000}"/>
    <cellStyle name="Normal 43 3 2 3" xfId="1803" xr:uid="{00000000-0005-0000-0000-000002070000}"/>
    <cellStyle name="Normal 43 3 2 4" xfId="1804" xr:uid="{00000000-0005-0000-0000-000003070000}"/>
    <cellStyle name="Normal 43 3 3" xfId="1805" xr:uid="{00000000-0005-0000-0000-000004070000}"/>
    <cellStyle name="Normal 43 3 4" xfId="1806" xr:uid="{00000000-0005-0000-0000-000005070000}"/>
    <cellStyle name="Normal 43 3 5" xfId="1807" xr:uid="{00000000-0005-0000-0000-000006070000}"/>
    <cellStyle name="Normal 43 4" xfId="1808" xr:uid="{00000000-0005-0000-0000-000007070000}"/>
    <cellStyle name="Normal 43 5" xfId="1809" xr:uid="{00000000-0005-0000-0000-000008070000}"/>
    <cellStyle name="Normal 43 6" xfId="1810" xr:uid="{00000000-0005-0000-0000-000009070000}"/>
    <cellStyle name="Normal 45" xfId="1811" xr:uid="{00000000-0005-0000-0000-00000A070000}"/>
    <cellStyle name="Normal 45 2" xfId="1812" xr:uid="{00000000-0005-0000-0000-00000B070000}"/>
    <cellStyle name="Normal 45 3" xfId="1813" xr:uid="{00000000-0005-0000-0000-00000C070000}"/>
    <cellStyle name="Normal 45 4" xfId="1814" xr:uid="{00000000-0005-0000-0000-00000D070000}"/>
    <cellStyle name="Normal 47" xfId="1815" xr:uid="{00000000-0005-0000-0000-00000E070000}"/>
    <cellStyle name="Normal 47 2" xfId="1816" xr:uid="{00000000-0005-0000-0000-00000F070000}"/>
    <cellStyle name="Normal 47 3" xfId="1817" xr:uid="{00000000-0005-0000-0000-000010070000}"/>
    <cellStyle name="Normal 47 4" xfId="1818" xr:uid="{00000000-0005-0000-0000-000011070000}"/>
    <cellStyle name="Normal 49" xfId="1819" xr:uid="{00000000-0005-0000-0000-000012070000}"/>
    <cellStyle name="Normal 49 2" xfId="1820" xr:uid="{00000000-0005-0000-0000-000013070000}"/>
    <cellStyle name="Normal 49 3" xfId="1821" xr:uid="{00000000-0005-0000-0000-000014070000}"/>
    <cellStyle name="Normal 49 4" xfId="1822" xr:uid="{00000000-0005-0000-0000-000015070000}"/>
    <cellStyle name="Normal 5" xfId="15" xr:uid="{00000000-0005-0000-0000-000016070000}"/>
    <cellStyle name="Normal 5 2" xfId="9" xr:uid="{00000000-0005-0000-0000-000017070000}"/>
    <cellStyle name="Normal 5 2 13" xfId="112" xr:uid="{00000000-0005-0000-0000-000018070000}"/>
    <cellStyle name="Normal 5 2 2" xfId="46" xr:uid="{00000000-0005-0000-0000-000019070000}"/>
    <cellStyle name="Normal 5 2 2 2" xfId="121" xr:uid="{00000000-0005-0000-0000-00001A070000}"/>
    <cellStyle name="Normal 5 2 3" xfId="115" xr:uid="{00000000-0005-0000-0000-00001B070000}"/>
    <cellStyle name="Normal 5 2 4" xfId="49" xr:uid="{00000000-0005-0000-0000-00001C070000}"/>
    <cellStyle name="Normal 5 2 5" xfId="1824" xr:uid="{00000000-0005-0000-0000-00001D070000}"/>
    <cellStyle name="Normal 5 3" xfId="20" xr:uid="{00000000-0005-0000-0000-00001E070000}"/>
    <cellStyle name="Normal 5 3 2" xfId="1825" xr:uid="{00000000-0005-0000-0000-00001F070000}"/>
    <cellStyle name="Normal 5 3 3" xfId="2240" xr:uid="{00000000-0005-0000-0000-000020070000}"/>
    <cellStyle name="Normal 5 4" xfId="25" xr:uid="{00000000-0005-0000-0000-000021070000}"/>
    <cellStyle name="Normal 5 4 2" xfId="1826" xr:uid="{00000000-0005-0000-0000-000022070000}"/>
    <cellStyle name="Normal 5 4 3" xfId="2244" xr:uid="{00000000-0005-0000-0000-000023070000}"/>
    <cellStyle name="Normal 5 5" xfId="1827" xr:uid="{00000000-0005-0000-0000-000024070000}"/>
    <cellStyle name="Normal 5 6" xfId="1823" xr:uid="{00000000-0005-0000-0000-000025070000}"/>
    <cellStyle name="Normal 5 7" xfId="2238" xr:uid="{00000000-0005-0000-0000-000026070000}"/>
    <cellStyle name="Normal 6" xfId="19" xr:uid="{00000000-0005-0000-0000-000027070000}"/>
    <cellStyle name="Normal 6 10" xfId="1829" xr:uid="{00000000-0005-0000-0000-000028070000}"/>
    <cellStyle name="Normal 6 10 2" xfId="1830" xr:uid="{00000000-0005-0000-0000-000029070000}"/>
    <cellStyle name="Normal 6 10 3" xfId="1831" xr:uid="{00000000-0005-0000-0000-00002A070000}"/>
    <cellStyle name="Normal 6 10 4" xfId="1832" xr:uid="{00000000-0005-0000-0000-00002B070000}"/>
    <cellStyle name="Normal 6 11" xfId="1833" xr:uid="{00000000-0005-0000-0000-00002C070000}"/>
    <cellStyle name="Normal 6 11 2" xfId="1834" xr:uid="{00000000-0005-0000-0000-00002D070000}"/>
    <cellStyle name="Normal 6 11 3" xfId="1835" xr:uid="{00000000-0005-0000-0000-00002E070000}"/>
    <cellStyle name="Normal 6 11 4" xfId="1836" xr:uid="{00000000-0005-0000-0000-00002F070000}"/>
    <cellStyle name="Normal 6 12" xfId="1837" xr:uid="{00000000-0005-0000-0000-000030070000}"/>
    <cellStyle name="Normal 6 12 2" xfId="1838" xr:uid="{00000000-0005-0000-0000-000031070000}"/>
    <cellStyle name="Normal 6 12 3" xfId="1839" xr:uid="{00000000-0005-0000-0000-000032070000}"/>
    <cellStyle name="Normal 6 12 4" xfId="1840" xr:uid="{00000000-0005-0000-0000-000033070000}"/>
    <cellStyle name="Normal 6 13" xfId="1841" xr:uid="{00000000-0005-0000-0000-000034070000}"/>
    <cellStyle name="Normal 6 13 2" xfId="1842" xr:uid="{00000000-0005-0000-0000-000035070000}"/>
    <cellStyle name="Normal 6 13 3" xfId="1843" xr:uid="{00000000-0005-0000-0000-000036070000}"/>
    <cellStyle name="Normal 6 13 4" xfId="1844" xr:uid="{00000000-0005-0000-0000-000037070000}"/>
    <cellStyle name="Normal 6 14" xfId="1845" xr:uid="{00000000-0005-0000-0000-000038070000}"/>
    <cellStyle name="Normal 6 14 2" xfId="1846" xr:uid="{00000000-0005-0000-0000-000039070000}"/>
    <cellStyle name="Normal 6 14 3" xfId="1847" xr:uid="{00000000-0005-0000-0000-00003A070000}"/>
    <cellStyle name="Normal 6 14 4" xfId="1848" xr:uid="{00000000-0005-0000-0000-00003B070000}"/>
    <cellStyle name="Normal 6 15" xfId="1849" xr:uid="{00000000-0005-0000-0000-00003C070000}"/>
    <cellStyle name="Normal 6 15 2" xfId="1850" xr:uid="{00000000-0005-0000-0000-00003D070000}"/>
    <cellStyle name="Normal 6 15 3" xfId="1851" xr:uid="{00000000-0005-0000-0000-00003E070000}"/>
    <cellStyle name="Normal 6 15 4" xfId="1852" xr:uid="{00000000-0005-0000-0000-00003F070000}"/>
    <cellStyle name="Normal 6 16" xfId="1853" xr:uid="{00000000-0005-0000-0000-000040070000}"/>
    <cellStyle name="Normal 6 16 2" xfId="1854" xr:uid="{00000000-0005-0000-0000-000041070000}"/>
    <cellStyle name="Normal 6 16 3" xfId="1855" xr:uid="{00000000-0005-0000-0000-000042070000}"/>
    <cellStyle name="Normal 6 16 4" xfId="1856" xr:uid="{00000000-0005-0000-0000-000043070000}"/>
    <cellStyle name="Normal 6 17" xfId="1857" xr:uid="{00000000-0005-0000-0000-000044070000}"/>
    <cellStyle name="Normal 6 17 2" xfId="1858" xr:uid="{00000000-0005-0000-0000-000045070000}"/>
    <cellStyle name="Normal 6 17 3" xfId="1859" xr:uid="{00000000-0005-0000-0000-000046070000}"/>
    <cellStyle name="Normal 6 17 4" xfId="1860" xr:uid="{00000000-0005-0000-0000-000047070000}"/>
    <cellStyle name="Normal 6 18" xfId="1861" xr:uid="{00000000-0005-0000-0000-000048070000}"/>
    <cellStyle name="Normal 6 18 2" xfId="1862" xr:uid="{00000000-0005-0000-0000-000049070000}"/>
    <cellStyle name="Normal 6 18 3" xfId="1863" xr:uid="{00000000-0005-0000-0000-00004A070000}"/>
    <cellStyle name="Normal 6 18 4" xfId="1864" xr:uid="{00000000-0005-0000-0000-00004B070000}"/>
    <cellStyle name="Normal 6 19" xfId="1865" xr:uid="{00000000-0005-0000-0000-00004C070000}"/>
    <cellStyle name="Normal 6 19 2" xfId="1866" xr:uid="{00000000-0005-0000-0000-00004D070000}"/>
    <cellStyle name="Normal 6 19 3" xfId="1867" xr:uid="{00000000-0005-0000-0000-00004E070000}"/>
    <cellStyle name="Normal 6 19 4" xfId="1868" xr:uid="{00000000-0005-0000-0000-00004F070000}"/>
    <cellStyle name="Normal 6 2" xfId="1869" xr:uid="{00000000-0005-0000-0000-000050070000}"/>
    <cellStyle name="Normal 6 2 2" xfId="1870" xr:uid="{00000000-0005-0000-0000-000051070000}"/>
    <cellStyle name="Normal 6 2 3" xfId="1871" xr:uid="{00000000-0005-0000-0000-000052070000}"/>
    <cellStyle name="Normal 6 2 4" xfId="1872" xr:uid="{00000000-0005-0000-0000-000053070000}"/>
    <cellStyle name="Normal 6 2 5" xfId="1873" xr:uid="{00000000-0005-0000-0000-000054070000}"/>
    <cellStyle name="Normal 6 20" xfId="1874" xr:uid="{00000000-0005-0000-0000-000055070000}"/>
    <cellStyle name="Normal 6 20 2" xfId="1875" xr:uid="{00000000-0005-0000-0000-000056070000}"/>
    <cellStyle name="Normal 6 20 3" xfId="1876" xr:uid="{00000000-0005-0000-0000-000057070000}"/>
    <cellStyle name="Normal 6 20 4" xfId="1877" xr:uid="{00000000-0005-0000-0000-000058070000}"/>
    <cellStyle name="Normal 6 21" xfId="1878" xr:uid="{00000000-0005-0000-0000-000059070000}"/>
    <cellStyle name="Normal 6 21 2" xfId="1879" xr:uid="{00000000-0005-0000-0000-00005A070000}"/>
    <cellStyle name="Normal 6 21 3" xfId="1880" xr:uid="{00000000-0005-0000-0000-00005B070000}"/>
    <cellStyle name="Normal 6 21 4" xfId="1881" xr:uid="{00000000-0005-0000-0000-00005C070000}"/>
    <cellStyle name="Normal 6 22" xfId="1882" xr:uid="{00000000-0005-0000-0000-00005D070000}"/>
    <cellStyle name="Normal 6 22 2" xfId="1883" xr:uid="{00000000-0005-0000-0000-00005E070000}"/>
    <cellStyle name="Normal 6 22 3" xfId="1884" xr:uid="{00000000-0005-0000-0000-00005F070000}"/>
    <cellStyle name="Normal 6 22 4" xfId="1885" xr:uid="{00000000-0005-0000-0000-000060070000}"/>
    <cellStyle name="Normal 6 23" xfId="1886" xr:uid="{00000000-0005-0000-0000-000061070000}"/>
    <cellStyle name="Normal 6 23 2" xfId="1887" xr:uid="{00000000-0005-0000-0000-000062070000}"/>
    <cellStyle name="Normal 6 23 3" xfId="1888" xr:uid="{00000000-0005-0000-0000-000063070000}"/>
    <cellStyle name="Normal 6 23 4" xfId="1889" xr:uid="{00000000-0005-0000-0000-000064070000}"/>
    <cellStyle name="Normal 6 24" xfId="1890" xr:uid="{00000000-0005-0000-0000-000065070000}"/>
    <cellStyle name="Normal 6 24 2" xfId="1891" xr:uid="{00000000-0005-0000-0000-000066070000}"/>
    <cellStyle name="Normal 6 24 3" xfId="1892" xr:uid="{00000000-0005-0000-0000-000067070000}"/>
    <cellStyle name="Normal 6 24 4" xfId="1893" xr:uid="{00000000-0005-0000-0000-000068070000}"/>
    <cellStyle name="Normal 6 25" xfId="1894" xr:uid="{00000000-0005-0000-0000-000069070000}"/>
    <cellStyle name="Normal 6 25 2" xfId="1895" xr:uid="{00000000-0005-0000-0000-00006A070000}"/>
    <cellStyle name="Normal 6 25 3" xfId="1896" xr:uid="{00000000-0005-0000-0000-00006B070000}"/>
    <cellStyle name="Normal 6 25 4" xfId="1897" xr:uid="{00000000-0005-0000-0000-00006C070000}"/>
    <cellStyle name="Normal 6 26" xfId="1898" xr:uid="{00000000-0005-0000-0000-00006D070000}"/>
    <cellStyle name="Normal 6 26 2" xfId="1899" xr:uid="{00000000-0005-0000-0000-00006E070000}"/>
    <cellStyle name="Normal 6 26 3" xfId="1900" xr:uid="{00000000-0005-0000-0000-00006F070000}"/>
    <cellStyle name="Normal 6 26 4" xfId="1901" xr:uid="{00000000-0005-0000-0000-000070070000}"/>
    <cellStyle name="Normal 6 27" xfId="1902" xr:uid="{00000000-0005-0000-0000-000071070000}"/>
    <cellStyle name="Normal 6 27 2" xfId="1903" xr:uid="{00000000-0005-0000-0000-000072070000}"/>
    <cellStyle name="Normal 6 27 3" xfId="1904" xr:uid="{00000000-0005-0000-0000-000073070000}"/>
    <cellStyle name="Normal 6 27 4" xfId="1905" xr:uid="{00000000-0005-0000-0000-000074070000}"/>
    <cellStyle name="Normal 6 28" xfId="1906" xr:uid="{00000000-0005-0000-0000-000075070000}"/>
    <cellStyle name="Normal 6 28 2" xfId="1907" xr:uid="{00000000-0005-0000-0000-000076070000}"/>
    <cellStyle name="Normal 6 28 3" xfId="1908" xr:uid="{00000000-0005-0000-0000-000077070000}"/>
    <cellStyle name="Normal 6 28 4" xfId="1909" xr:uid="{00000000-0005-0000-0000-000078070000}"/>
    <cellStyle name="Normal 6 29" xfId="1910" xr:uid="{00000000-0005-0000-0000-000079070000}"/>
    <cellStyle name="Normal 6 29 2" xfId="1911" xr:uid="{00000000-0005-0000-0000-00007A070000}"/>
    <cellStyle name="Normal 6 29 3" xfId="1912" xr:uid="{00000000-0005-0000-0000-00007B070000}"/>
    <cellStyle name="Normal 6 29 4" xfId="1913" xr:uid="{00000000-0005-0000-0000-00007C070000}"/>
    <cellStyle name="Normal 6 3" xfId="1914" xr:uid="{00000000-0005-0000-0000-00007D070000}"/>
    <cellStyle name="Normal 6 3 2" xfId="1915" xr:uid="{00000000-0005-0000-0000-00007E070000}"/>
    <cellStyle name="Normal 6 3 3" xfId="1916" xr:uid="{00000000-0005-0000-0000-00007F070000}"/>
    <cellStyle name="Normal 6 3 4" xfId="1917" xr:uid="{00000000-0005-0000-0000-000080070000}"/>
    <cellStyle name="Normal 6 30" xfId="1918" xr:uid="{00000000-0005-0000-0000-000081070000}"/>
    <cellStyle name="Normal 6 30 2" xfId="1919" xr:uid="{00000000-0005-0000-0000-000082070000}"/>
    <cellStyle name="Normal 6 30 3" xfId="1920" xr:uid="{00000000-0005-0000-0000-000083070000}"/>
    <cellStyle name="Normal 6 30 4" xfId="1921" xr:uid="{00000000-0005-0000-0000-000084070000}"/>
    <cellStyle name="Normal 6 31" xfId="1922" xr:uid="{00000000-0005-0000-0000-000085070000}"/>
    <cellStyle name="Normal 6 31 2" xfId="1923" xr:uid="{00000000-0005-0000-0000-000086070000}"/>
    <cellStyle name="Normal 6 31 3" xfId="1924" xr:uid="{00000000-0005-0000-0000-000087070000}"/>
    <cellStyle name="Normal 6 31 4" xfId="1925" xr:uid="{00000000-0005-0000-0000-000088070000}"/>
    <cellStyle name="Normal 6 32" xfId="1926" xr:uid="{00000000-0005-0000-0000-000089070000}"/>
    <cellStyle name="Normal 6 32 2" xfId="1927" xr:uid="{00000000-0005-0000-0000-00008A070000}"/>
    <cellStyle name="Normal 6 32 3" xfId="1928" xr:uid="{00000000-0005-0000-0000-00008B070000}"/>
    <cellStyle name="Normal 6 32 4" xfId="1929" xr:uid="{00000000-0005-0000-0000-00008C070000}"/>
    <cellStyle name="Normal 6 33" xfId="1930" xr:uid="{00000000-0005-0000-0000-00008D070000}"/>
    <cellStyle name="Normal 6 33 2" xfId="1931" xr:uid="{00000000-0005-0000-0000-00008E070000}"/>
    <cellStyle name="Normal 6 33 3" xfId="1932" xr:uid="{00000000-0005-0000-0000-00008F070000}"/>
    <cellStyle name="Normal 6 33 4" xfId="1933" xr:uid="{00000000-0005-0000-0000-000090070000}"/>
    <cellStyle name="Normal 6 34" xfId="1934" xr:uid="{00000000-0005-0000-0000-000091070000}"/>
    <cellStyle name="Normal 6 34 2" xfId="1935" xr:uid="{00000000-0005-0000-0000-000092070000}"/>
    <cellStyle name="Normal 6 34 3" xfId="1936" xr:uid="{00000000-0005-0000-0000-000093070000}"/>
    <cellStyle name="Normal 6 34 4" xfId="1937" xr:uid="{00000000-0005-0000-0000-000094070000}"/>
    <cellStyle name="Normal 6 35" xfId="1938" xr:uid="{00000000-0005-0000-0000-000095070000}"/>
    <cellStyle name="Normal 6 35 2" xfId="1939" xr:uid="{00000000-0005-0000-0000-000096070000}"/>
    <cellStyle name="Normal 6 35 3" xfId="1940" xr:uid="{00000000-0005-0000-0000-000097070000}"/>
    <cellStyle name="Normal 6 35 4" xfId="1941" xr:uid="{00000000-0005-0000-0000-000098070000}"/>
    <cellStyle name="Normal 6 36" xfId="1942" xr:uid="{00000000-0005-0000-0000-000099070000}"/>
    <cellStyle name="Normal 6 36 2" xfId="1943" xr:uid="{00000000-0005-0000-0000-00009A070000}"/>
    <cellStyle name="Normal 6 36 3" xfId="1944" xr:uid="{00000000-0005-0000-0000-00009B070000}"/>
    <cellStyle name="Normal 6 36 4" xfId="1945" xr:uid="{00000000-0005-0000-0000-00009C070000}"/>
    <cellStyle name="Normal 6 37" xfId="1946" xr:uid="{00000000-0005-0000-0000-00009D070000}"/>
    <cellStyle name="Normal 6 37 2" xfId="1947" xr:uid="{00000000-0005-0000-0000-00009E070000}"/>
    <cellStyle name="Normal 6 37 3" xfId="1948" xr:uid="{00000000-0005-0000-0000-00009F070000}"/>
    <cellStyle name="Normal 6 37 4" xfId="1949" xr:uid="{00000000-0005-0000-0000-0000A0070000}"/>
    <cellStyle name="Normal 6 38" xfId="1950" xr:uid="{00000000-0005-0000-0000-0000A1070000}"/>
    <cellStyle name="Normal 6 38 2" xfId="1951" xr:uid="{00000000-0005-0000-0000-0000A2070000}"/>
    <cellStyle name="Normal 6 38 3" xfId="1952" xr:uid="{00000000-0005-0000-0000-0000A3070000}"/>
    <cellStyle name="Normal 6 38 4" xfId="1953" xr:uid="{00000000-0005-0000-0000-0000A4070000}"/>
    <cellStyle name="Normal 6 39" xfId="1954" xr:uid="{00000000-0005-0000-0000-0000A5070000}"/>
    <cellStyle name="Normal 6 39 2" xfId="1955" xr:uid="{00000000-0005-0000-0000-0000A6070000}"/>
    <cellStyle name="Normal 6 39 3" xfId="1956" xr:uid="{00000000-0005-0000-0000-0000A7070000}"/>
    <cellStyle name="Normal 6 39 4" xfId="1957" xr:uid="{00000000-0005-0000-0000-0000A8070000}"/>
    <cellStyle name="Normal 6 4" xfId="1958" xr:uid="{00000000-0005-0000-0000-0000A9070000}"/>
    <cellStyle name="Normal 6 4 2" xfId="1959" xr:uid="{00000000-0005-0000-0000-0000AA070000}"/>
    <cellStyle name="Normal 6 4 3" xfId="1960" xr:uid="{00000000-0005-0000-0000-0000AB070000}"/>
    <cellStyle name="Normal 6 4 4" xfId="1961" xr:uid="{00000000-0005-0000-0000-0000AC070000}"/>
    <cellStyle name="Normal 6 4 5" xfId="1962" xr:uid="{00000000-0005-0000-0000-0000AD070000}"/>
    <cellStyle name="Normal 6 40" xfId="1963" xr:uid="{00000000-0005-0000-0000-0000AE070000}"/>
    <cellStyle name="Normal 6 40 2" xfId="1964" xr:uid="{00000000-0005-0000-0000-0000AF070000}"/>
    <cellStyle name="Normal 6 40 3" xfId="1965" xr:uid="{00000000-0005-0000-0000-0000B0070000}"/>
    <cellStyle name="Normal 6 40 4" xfId="1966" xr:uid="{00000000-0005-0000-0000-0000B1070000}"/>
    <cellStyle name="Normal 6 41" xfId="1967" xr:uid="{00000000-0005-0000-0000-0000B2070000}"/>
    <cellStyle name="Normal 6 41 2" xfId="1968" xr:uid="{00000000-0005-0000-0000-0000B3070000}"/>
    <cellStyle name="Normal 6 41 3" xfId="1969" xr:uid="{00000000-0005-0000-0000-0000B4070000}"/>
    <cellStyle name="Normal 6 41 4" xfId="1970" xr:uid="{00000000-0005-0000-0000-0000B5070000}"/>
    <cellStyle name="Normal 6 42" xfId="1971" xr:uid="{00000000-0005-0000-0000-0000B6070000}"/>
    <cellStyle name="Normal 6 42 2" xfId="1972" xr:uid="{00000000-0005-0000-0000-0000B7070000}"/>
    <cellStyle name="Normal 6 42 3" xfId="1973" xr:uid="{00000000-0005-0000-0000-0000B8070000}"/>
    <cellStyle name="Normal 6 42 4" xfId="1974" xr:uid="{00000000-0005-0000-0000-0000B9070000}"/>
    <cellStyle name="Normal 6 43" xfId="1975" xr:uid="{00000000-0005-0000-0000-0000BA070000}"/>
    <cellStyle name="Normal 6 43 2" xfId="1976" xr:uid="{00000000-0005-0000-0000-0000BB070000}"/>
    <cellStyle name="Normal 6 43 3" xfId="1977" xr:uid="{00000000-0005-0000-0000-0000BC070000}"/>
    <cellStyle name="Normal 6 43 4" xfId="1978" xr:uid="{00000000-0005-0000-0000-0000BD070000}"/>
    <cellStyle name="Normal 6 44" xfId="1979" xr:uid="{00000000-0005-0000-0000-0000BE070000}"/>
    <cellStyle name="Normal 6 44 2" xfId="1980" xr:uid="{00000000-0005-0000-0000-0000BF070000}"/>
    <cellStyle name="Normal 6 44 3" xfId="1981" xr:uid="{00000000-0005-0000-0000-0000C0070000}"/>
    <cellStyle name="Normal 6 44 4" xfId="1982" xr:uid="{00000000-0005-0000-0000-0000C1070000}"/>
    <cellStyle name="Normal 6 45" xfId="1983" xr:uid="{00000000-0005-0000-0000-0000C2070000}"/>
    <cellStyle name="Normal 6 45 2" xfId="1984" xr:uid="{00000000-0005-0000-0000-0000C3070000}"/>
    <cellStyle name="Normal 6 45 3" xfId="1985" xr:uid="{00000000-0005-0000-0000-0000C4070000}"/>
    <cellStyle name="Normal 6 45 4" xfId="1986" xr:uid="{00000000-0005-0000-0000-0000C5070000}"/>
    <cellStyle name="Normal 6 46" xfId="1828" xr:uid="{00000000-0005-0000-0000-0000C6070000}"/>
    <cellStyle name="Normal 6 47" xfId="2239" xr:uid="{00000000-0005-0000-0000-0000C7070000}"/>
    <cellStyle name="Normal 6 5" xfId="1987" xr:uid="{00000000-0005-0000-0000-0000C8070000}"/>
    <cellStyle name="Normal 6 5 2" xfId="1988" xr:uid="{00000000-0005-0000-0000-0000C9070000}"/>
    <cellStyle name="Normal 6 5 3" xfId="1989" xr:uid="{00000000-0005-0000-0000-0000CA070000}"/>
    <cellStyle name="Normal 6 5 4" xfId="1990" xr:uid="{00000000-0005-0000-0000-0000CB070000}"/>
    <cellStyle name="Normal 6 50 2" xfId="76" xr:uid="{00000000-0005-0000-0000-0000CC070000}"/>
    <cellStyle name="Normal 6 6" xfId="1991" xr:uid="{00000000-0005-0000-0000-0000CD070000}"/>
    <cellStyle name="Normal 6 6 2" xfId="1992" xr:uid="{00000000-0005-0000-0000-0000CE070000}"/>
    <cellStyle name="Normal 6 6 3" xfId="1993" xr:uid="{00000000-0005-0000-0000-0000CF070000}"/>
    <cellStyle name="Normal 6 6 4" xfId="1994" xr:uid="{00000000-0005-0000-0000-0000D0070000}"/>
    <cellStyle name="Normal 6 7" xfId="1995" xr:uid="{00000000-0005-0000-0000-0000D1070000}"/>
    <cellStyle name="Normal 6 7 2" xfId="1996" xr:uid="{00000000-0005-0000-0000-0000D2070000}"/>
    <cellStyle name="Normal 6 7 3" xfId="1997" xr:uid="{00000000-0005-0000-0000-0000D3070000}"/>
    <cellStyle name="Normal 6 7 4" xfId="1998" xr:uid="{00000000-0005-0000-0000-0000D4070000}"/>
    <cellStyle name="Normal 6 8" xfId="1999" xr:uid="{00000000-0005-0000-0000-0000D5070000}"/>
    <cellStyle name="Normal 6 8 2" xfId="2000" xr:uid="{00000000-0005-0000-0000-0000D6070000}"/>
    <cellStyle name="Normal 6 8 3" xfId="2001" xr:uid="{00000000-0005-0000-0000-0000D7070000}"/>
    <cellStyle name="Normal 6 8 4" xfId="2002" xr:uid="{00000000-0005-0000-0000-0000D8070000}"/>
    <cellStyle name="Normal 6 9" xfId="2003" xr:uid="{00000000-0005-0000-0000-0000D9070000}"/>
    <cellStyle name="Normal 6 9 2" xfId="2004" xr:uid="{00000000-0005-0000-0000-0000DA070000}"/>
    <cellStyle name="Normal 6 9 3" xfId="2005" xr:uid="{00000000-0005-0000-0000-0000DB070000}"/>
    <cellStyle name="Normal 6 9 4" xfId="2006" xr:uid="{00000000-0005-0000-0000-0000DC070000}"/>
    <cellStyle name="Normal 60 2" xfId="67" xr:uid="{00000000-0005-0000-0000-0000DD070000}"/>
    <cellStyle name="Normal 62" xfId="63" xr:uid="{00000000-0005-0000-0000-0000DE070000}"/>
    <cellStyle name="Normal 62 2" xfId="61" xr:uid="{00000000-0005-0000-0000-0000DF070000}"/>
    <cellStyle name="Normal 7" xfId="23" xr:uid="{00000000-0005-0000-0000-0000E0070000}"/>
    <cellStyle name="Normal 7 10" xfId="2008" xr:uid="{00000000-0005-0000-0000-0000E1070000}"/>
    <cellStyle name="Normal 7 10 2" xfId="2009" xr:uid="{00000000-0005-0000-0000-0000E2070000}"/>
    <cellStyle name="Normal 7 10 3" xfId="2010" xr:uid="{00000000-0005-0000-0000-0000E3070000}"/>
    <cellStyle name="Normal 7 10 4" xfId="2011" xr:uid="{00000000-0005-0000-0000-0000E4070000}"/>
    <cellStyle name="Normal 7 11" xfId="2012" xr:uid="{00000000-0005-0000-0000-0000E5070000}"/>
    <cellStyle name="Normal 7 11 2" xfId="2013" xr:uid="{00000000-0005-0000-0000-0000E6070000}"/>
    <cellStyle name="Normal 7 11 3" xfId="2014" xr:uid="{00000000-0005-0000-0000-0000E7070000}"/>
    <cellStyle name="Normal 7 11 4" xfId="2015" xr:uid="{00000000-0005-0000-0000-0000E8070000}"/>
    <cellStyle name="Normal 7 12" xfId="2016" xr:uid="{00000000-0005-0000-0000-0000E9070000}"/>
    <cellStyle name="Normal 7 12 2" xfId="2017" xr:uid="{00000000-0005-0000-0000-0000EA070000}"/>
    <cellStyle name="Normal 7 12 3" xfId="2018" xr:uid="{00000000-0005-0000-0000-0000EB070000}"/>
    <cellStyle name="Normal 7 12 4" xfId="2019" xr:uid="{00000000-0005-0000-0000-0000EC070000}"/>
    <cellStyle name="Normal 7 13" xfId="2020" xr:uid="{00000000-0005-0000-0000-0000ED070000}"/>
    <cellStyle name="Normal 7 13 2" xfId="2021" xr:uid="{00000000-0005-0000-0000-0000EE070000}"/>
    <cellStyle name="Normal 7 13 3" xfId="2022" xr:uid="{00000000-0005-0000-0000-0000EF070000}"/>
    <cellStyle name="Normal 7 13 4" xfId="2023" xr:uid="{00000000-0005-0000-0000-0000F0070000}"/>
    <cellStyle name="Normal 7 14" xfId="2024" xr:uid="{00000000-0005-0000-0000-0000F1070000}"/>
    <cellStyle name="Normal 7 14 2" xfId="2025" xr:uid="{00000000-0005-0000-0000-0000F2070000}"/>
    <cellStyle name="Normal 7 14 3" xfId="2026" xr:uid="{00000000-0005-0000-0000-0000F3070000}"/>
    <cellStyle name="Normal 7 14 4" xfId="2027" xr:uid="{00000000-0005-0000-0000-0000F4070000}"/>
    <cellStyle name="Normal 7 15" xfId="2028" xr:uid="{00000000-0005-0000-0000-0000F5070000}"/>
    <cellStyle name="Normal 7 15 2" xfId="2029" xr:uid="{00000000-0005-0000-0000-0000F6070000}"/>
    <cellStyle name="Normal 7 15 3" xfId="2030" xr:uid="{00000000-0005-0000-0000-0000F7070000}"/>
    <cellStyle name="Normal 7 15 4" xfId="2031" xr:uid="{00000000-0005-0000-0000-0000F8070000}"/>
    <cellStyle name="Normal 7 16" xfId="2032" xr:uid="{00000000-0005-0000-0000-0000F9070000}"/>
    <cellStyle name="Normal 7 16 2" xfId="2033" xr:uid="{00000000-0005-0000-0000-0000FA070000}"/>
    <cellStyle name="Normal 7 16 3" xfId="2034" xr:uid="{00000000-0005-0000-0000-0000FB070000}"/>
    <cellStyle name="Normal 7 16 4" xfId="2035" xr:uid="{00000000-0005-0000-0000-0000FC070000}"/>
    <cellStyle name="Normal 7 17" xfId="2036" xr:uid="{00000000-0005-0000-0000-0000FD070000}"/>
    <cellStyle name="Normal 7 17 2" xfId="2037" xr:uid="{00000000-0005-0000-0000-0000FE070000}"/>
    <cellStyle name="Normal 7 17 3" xfId="2038" xr:uid="{00000000-0005-0000-0000-0000FF070000}"/>
    <cellStyle name="Normal 7 17 4" xfId="2039" xr:uid="{00000000-0005-0000-0000-000000080000}"/>
    <cellStyle name="Normal 7 18" xfId="2040" xr:uid="{00000000-0005-0000-0000-000001080000}"/>
    <cellStyle name="Normal 7 18 2" xfId="2041" xr:uid="{00000000-0005-0000-0000-000002080000}"/>
    <cellStyle name="Normal 7 18 3" xfId="2042" xr:uid="{00000000-0005-0000-0000-000003080000}"/>
    <cellStyle name="Normal 7 18 4" xfId="2043" xr:uid="{00000000-0005-0000-0000-000004080000}"/>
    <cellStyle name="Normal 7 19" xfId="2044" xr:uid="{00000000-0005-0000-0000-000005080000}"/>
    <cellStyle name="Normal 7 19 2" xfId="2045" xr:uid="{00000000-0005-0000-0000-000006080000}"/>
    <cellStyle name="Normal 7 19 3" xfId="2046" xr:uid="{00000000-0005-0000-0000-000007080000}"/>
    <cellStyle name="Normal 7 19 4" xfId="2047" xr:uid="{00000000-0005-0000-0000-000008080000}"/>
    <cellStyle name="Normal 7 2" xfId="2048" xr:uid="{00000000-0005-0000-0000-000009080000}"/>
    <cellStyle name="Normal 7 2 2" xfId="2049" xr:uid="{00000000-0005-0000-0000-00000A080000}"/>
    <cellStyle name="Normal 7 2 3" xfId="2050" xr:uid="{00000000-0005-0000-0000-00000B080000}"/>
    <cellStyle name="Normal 7 2 4" xfId="2051" xr:uid="{00000000-0005-0000-0000-00000C080000}"/>
    <cellStyle name="Normal 7 20" xfId="2052" xr:uid="{00000000-0005-0000-0000-00000D080000}"/>
    <cellStyle name="Normal 7 20 2" xfId="2053" xr:uid="{00000000-0005-0000-0000-00000E080000}"/>
    <cellStyle name="Normal 7 20 3" xfId="2054" xr:uid="{00000000-0005-0000-0000-00000F080000}"/>
    <cellStyle name="Normal 7 20 4" xfId="2055" xr:uid="{00000000-0005-0000-0000-000010080000}"/>
    <cellStyle name="Normal 7 21" xfId="2056" xr:uid="{00000000-0005-0000-0000-000011080000}"/>
    <cellStyle name="Normal 7 21 2" xfId="2057" xr:uid="{00000000-0005-0000-0000-000012080000}"/>
    <cellStyle name="Normal 7 21 3" xfId="2058" xr:uid="{00000000-0005-0000-0000-000013080000}"/>
    <cellStyle name="Normal 7 21 4" xfId="2059" xr:uid="{00000000-0005-0000-0000-000014080000}"/>
    <cellStyle name="Normal 7 22" xfId="2060" xr:uid="{00000000-0005-0000-0000-000015080000}"/>
    <cellStyle name="Normal 7 22 2" xfId="2061" xr:uid="{00000000-0005-0000-0000-000016080000}"/>
    <cellStyle name="Normal 7 22 3" xfId="2062" xr:uid="{00000000-0005-0000-0000-000017080000}"/>
    <cellStyle name="Normal 7 22 4" xfId="2063" xr:uid="{00000000-0005-0000-0000-000018080000}"/>
    <cellStyle name="Normal 7 23" xfId="2064" xr:uid="{00000000-0005-0000-0000-000019080000}"/>
    <cellStyle name="Normal 7 23 2" xfId="2065" xr:uid="{00000000-0005-0000-0000-00001A080000}"/>
    <cellStyle name="Normal 7 23 3" xfId="2066" xr:uid="{00000000-0005-0000-0000-00001B080000}"/>
    <cellStyle name="Normal 7 23 4" xfId="2067" xr:uid="{00000000-0005-0000-0000-00001C080000}"/>
    <cellStyle name="Normal 7 24" xfId="2068" xr:uid="{00000000-0005-0000-0000-00001D080000}"/>
    <cellStyle name="Normal 7 24 2" xfId="2069" xr:uid="{00000000-0005-0000-0000-00001E080000}"/>
    <cellStyle name="Normal 7 24 3" xfId="2070" xr:uid="{00000000-0005-0000-0000-00001F080000}"/>
    <cellStyle name="Normal 7 24 4" xfId="2071" xr:uid="{00000000-0005-0000-0000-000020080000}"/>
    <cellStyle name="Normal 7 25" xfId="2072" xr:uid="{00000000-0005-0000-0000-000021080000}"/>
    <cellStyle name="Normal 7 25 2" xfId="2073" xr:uid="{00000000-0005-0000-0000-000022080000}"/>
    <cellStyle name="Normal 7 25 3" xfId="2074" xr:uid="{00000000-0005-0000-0000-000023080000}"/>
    <cellStyle name="Normal 7 25 4" xfId="2075" xr:uid="{00000000-0005-0000-0000-000024080000}"/>
    <cellStyle name="Normal 7 26" xfId="2076" xr:uid="{00000000-0005-0000-0000-000025080000}"/>
    <cellStyle name="Normal 7 26 2" xfId="2077" xr:uid="{00000000-0005-0000-0000-000026080000}"/>
    <cellStyle name="Normal 7 26 3" xfId="2078" xr:uid="{00000000-0005-0000-0000-000027080000}"/>
    <cellStyle name="Normal 7 26 4" xfId="2079" xr:uid="{00000000-0005-0000-0000-000028080000}"/>
    <cellStyle name="Normal 7 27" xfId="2080" xr:uid="{00000000-0005-0000-0000-000029080000}"/>
    <cellStyle name="Normal 7 27 2" xfId="2081" xr:uid="{00000000-0005-0000-0000-00002A080000}"/>
    <cellStyle name="Normal 7 27 3" xfId="2082" xr:uid="{00000000-0005-0000-0000-00002B080000}"/>
    <cellStyle name="Normal 7 27 4" xfId="2083" xr:uid="{00000000-0005-0000-0000-00002C080000}"/>
    <cellStyle name="Normal 7 28" xfId="2084" xr:uid="{00000000-0005-0000-0000-00002D080000}"/>
    <cellStyle name="Normal 7 28 2" xfId="2085" xr:uid="{00000000-0005-0000-0000-00002E080000}"/>
    <cellStyle name="Normal 7 28 3" xfId="2086" xr:uid="{00000000-0005-0000-0000-00002F080000}"/>
    <cellStyle name="Normal 7 28 4" xfId="2087" xr:uid="{00000000-0005-0000-0000-000030080000}"/>
    <cellStyle name="Normal 7 29" xfId="2088" xr:uid="{00000000-0005-0000-0000-000031080000}"/>
    <cellStyle name="Normal 7 29 2" xfId="2089" xr:uid="{00000000-0005-0000-0000-000032080000}"/>
    <cellStyle name="Normal 7 29 3" xfId="2090" xr:uid="{00000000-0005-0000-0000-000033080000}"/>
    <cellStyle name="Normal 7 29 4" xfId="2091" xr:uid="{00000000-0005-0000-0000-000034080000}"/>
    <cellStyle name="Normal 7 3" xfId="2092" xr:uid="{00000000-0005-0000-0000-000035080000}"/>
    <cellStyle name="Normal 7 3 2" xfId="2093" xr:uid="{00000000-0005-0000-0000-000036080000}"/>
    <cellStyle name="Normal 7 3 3" xfId="2094" xr:uid="{00000000-0005-0000-0000-000037080000}"/>
    <cellStyle name="Normal 7 3 4" xfId="2095" xr:uid="{00000000-0005-0000-0000-000038080000}"/>
    <cellStyle name="Normal 7 30" xfId="2096" xr:uid="{00000000-0005-0000-0000-000039080000}"/>
    <cellStyle name="Normal 7 30 2" xfId="2097" xr:uid="{00000000-0005-0000-0000-00003A080000}"/>
    <cellStyle name="Normal 7 30 3" xfId="2098" xr:uid="{00000000-0005-0000-0000-00003B080000}"/>
    <cellStyle name="Normal 7 30 4" xfId="2099" xr:uid="{00000000-0005-0000-0000-00003C080000}"/>
    <cellStyle name="Normal 7 31" xfId="2100" xr:uid="{00000000-0005-0000-0000-00003D080000}"/>
    <cellStyle name="Normal 7 31 2" xfId="2101" xr:uid="{00000000-0005-0000-0000-00003E080000}"/>
    <cellStyle name="Normal 7 31 3" xfId="2102" xr:uid="{00000000-0005-0000-0000-00003F080000}"/>
    <cellStyle name="Normal 7 31 4" xfId="2103" xr:uid="{00000000-0005-0000-0000-000040080000}"/>
    <cellStyle name="Normal 7 32" xfId="2104" xr:uid="{00000000-0005-0000-0000-000041080000}"/>
    <cellStyle name="Normal 7 32 2" xfId="2105" xr:uid="{00000000-0005-0000-0000-000042080000}"/>
    <cellStyle name="Normal 7 32 3" xfId="2106" xr:uid="{00000000-0005-0000-0000-000043080000}"/>
    <cellStyle name="Normal 7 32 4" xfId="2107" xr:uid="{00000000-0005-0000-0000-000044080000}"/>
    <cellStyle name="Normal 7 33" xfId="2108" xr:uid="{00000000-0005-0000-0000-000045080000}"/>
    <cellStyle name="Normal 7 33 2" xfId="2109" xr:uid="{00000000-0005-0000-0000-000046080000}"/>
    <cellStyle name="Normal 7 33 3" xfId="2110" xr:uid="{00000000-0005-0000-0000-000047080000}"/>
    <cellStyle name="Normal 7 33 4" xfId="2111" xr:uid="{00000000-0005-0000-0000-000048080000}"/>
    <cellStyle name="Normal 7 34" xfId="2112" xr:uid="{00000000-0005-0000-0000-000049080000}"/>
    <cellStyle name="Normal 7 34 2" xfId="2113" xr:uid="{00000000-0005-0000-0000-00004A080000}"/>
    <cellStyle name="Normal 7 34 3" xfId="2114" xr:uid="{00000000-0005-0000-0000-00004B080000}"/>
    <cellStyle name="Normal 7 34 4" xfId="2115" xr:uid="{00000000-0005-0000-0000-00004C080000}"/>
    <cellStyle name="Normal 7 35" xfId="2116" xr:uid="{00000000-0005-0000-0000-00004D080000}"/>
    <cellStyle name="Normal 7 35 2" xfId="2117" xr:uid="{00000000-0005-0000-0000-00004E080000}"/>
    <cellStyle name="Normal 7 35 3" xfId="2118" xr:uid="{00000000-0005-0000-0000-00004F080000}"/>
    <cellStyle name="Normal 7 35 4" xfId="2119" xr:uid="{00000000-0005-0000-0000-000050080000}"/>
    <cellStyle name="Normal 7 36" xfId="2120" xr:uid="{00000000-0005-0000-0000-000051080000}"/>
    <cellStyle name="Normal 7 36 2" xfId="2121" xr:uid="{00000000-0005-0000-0000-000052080000}"/>
    <cellStyle name="Normal 7 36 3" xfId="2122" xr:uid="{00000000-0005-0000-0000-000053080000}"/>
    <cellStyle name="Normal 7 36 4" xfId="2123" xr:uid="{00000000-0005-0000-0000-000054080000}"/>
    <cellStyle name="Normal 7 37" xfId="2124" xr:uid="{00000000-0005-0000-0000-000055080000}"/>
    <cellStyle name="Normal 7 37 2" xfId="2125" xr:uid="{00000000-0005-0000-0000-000056080000}"/>
    <cellStyle name="Normal 7 37 3" xfId="2126" xr:uid="{00000000-0005-0000-0000-000057080000}"/>
    <cellStyle name="Normal 7 37 4" xfId="2127" xr:uid="{00000000-0005-0000-0000-000058080000}"/>
    <cellStyle name="Normal 7 38" xfId="2128" xr:uid="{00000000-0005-0000-0000-000059080000}"/>
    <cellStyle name="Normal 7 38 2" xfId="2129" xr:uid="{00000000-0005-0000-0000-00005A080000}"/>
    <cellStyle name="Normal 7 38 3" xfId="2130" xr:uid="{00000000-0005-0000-0000-00005B080000}"/>
    <cellStyle name="Normal 7 38 4" xfId="2131" xr:uid="{00000000-0005-0000-0000-00005C080000}"/>
    <cellStyle name="Normal 7 39" xfId="2132" xr:uid="{00000000-0005-0000-0000-00005D080000}"/>
    <cellStyle name="Normal 7 39 2" xfId="2133" xr:uid="{00000000-0005-0000-0000-00005E080000}"/>
    <cellStyle name="Normal 7 39 3" xfId="2134" xr:uid="{00000000-0005-0000-0000-00005F080000}"/>
    <cellStyle name="Normal 7 39 4" xfId="2135" xr:uid="{00000000-0005-0000-0000-000060080000}"/>
    <cellStyle name="Normal 7 4" xfId="2136" xr:uid="{00000000-0005-0000-0000-000061080000}"/>
    <cellStyle name="Normal 7 4 2" xfId="2137" xr:uid="{00000000-0005-0000-0000-000062080000}"/>
    <cellStyle name="Normal 7 4 3" xfId="2138" xr:uid="{00000000-0005-0000-0000-000063080000}"/>
    <cellStyle name="Normal 7 4 4" xfId="2139" xr:uid="{00000000-0005-0000-0000-000064080000}"/>
    <cellStyle name="Normal 7 40" xfId="2140" xr:uid="{00000000-0005-0000-0000-000065080000}"/>
    <cellStyle name="Normal 7 40 2" xfId="2141" xr:uid="{00000000-0005-0000-0000-000066080000}"/>
    <cellStyle name="Normal 7 40 3" xfId="2142" xr:uid="{00000000-0005-0000-0000-000067080000}"/>
    <cellStyle name="Normal 7 40 4" xfId="2143" xr:uid="{00000000-0005-0000-0000-000068080000}"/>
    <cellStyle name="Normal 7 41" xfId="2144" xr:uid="{00000000-0005-0000-0000-000069080000}"/>
    <cellStyle name="Normal 7 41 2" xfId="2145" xr:uid="{00000000-0005-0000-0000-00006A080000}"/>
    <cellStyle name="Normal 7 41 3" xfId="2146" xr:uid="{00000000-0005-0000-0000-00006B080000}"/>
    <cellStyle name="Normal 7 41 4" xfId="2147" xr:uid="{00000000-0005-0000-0000-00006C080000}"/>
    <cellStyle name="Normal 7 42" xfId="2148" xr:uid="{00000000-0005-0000-0000-00006D080000}"/>
    <cellStyle name="Normal 7 42 2" xfId="2149" xr:uid="{00000000-0005-0000-0000-00006E080000}"/>
    <cellStyle name="Normal 7 42 3" xfId="2150" xr:uid="{00000000-0005-0000-0000-00006F080000}"/>
    <cellStyle name="Normal 7 42 4" xfId="2151" xr:uid="{00000000-0005-0000-0000-000070080000}"/>
    <cellStyle name="Normal 7 43" xfId="2152" xr:uid="{00000000-0005-0000-0000-000071080000}"/>
    <cellStyle name="Normal 7 43 2" xfId="2153" xr:uid="{00000000-0005-0000-0000-000072080000}"/>
    <cellStyle name="Normal 7 43 3" xfId="2154" xr:uid="{00000000-0005-0000-0000-000073080000}"/>
    <cellStyle name="Normal 7 43 4" xfId="2155" xr:uid="{00000000-0005-0000-0000-000074080000}"/>
    <cellStyle name="Normal 7 44" xfId="2156" xr:uid="{00000000-0005-0000-0000-000075080000}"/>
    <cellStyle name="Normal 7 44 2" xfId="2157" xr:uid="{00000000-0005-0000-0000-000076080000}"/>
    <cellStyle name="Normal 7 44 3" xfId="2158" xr:uid="{00000000-0005-0000-0000-000077080000}"/>
    <cellStyle name="Normal 7 44 4" xfId="2159" xr:uid="{00000000-0005-0000-0000-000078080000}"/>
    <cellStyle name="Normal 7 45" xfId="2160" xr:uid="{00000000-0005-0000-0000-000079080000}"/>
    <cellStyle name="Normal 7 45 2" xfId="2161" xr:uid="{00000000-0005-0000-0000-00007A080000}"/>
    <cellStyle name="Normal 7 45 3" xfId="2162" xr:uid="{00000000-0005-0000-0000-00007B080000}"/>
    <cellStyle name="Normal 7 45 4" xfId="2163" xr:uid="{00000000-0005-0000-0000-00007C080000}"/>
    <cellStyle name="Normal 7 46" xfId="2164" xr:uid="{00000000-0005-0000-0000-00007D080000}"/>
    <cellStyle name="Normal 7 46 2" xfId="2165" xr:uid="{00000000-0005-0000-0000-00007E080000}"/>
    <cellStyle name="Normal 7 46 2 2" xfId="2166" xr:uid="{00000000-0005-0000-0000-00007F080000}"/>
    <cellStyle name="Normal 7 46 2 3" xfId="2167" xr:uid="{00000000-0005-0000-0000-000080080000}"/>
    <cellStyle name="Normal 7 46 2 4" xfId="2168" xr:uid="{00000000-0005-0000-0000-000081080000}"/>
    <cellStyle name="Normal 7 46 3" xfId="2169" xr:uid="{00000000-0005-0000-0000-000082080000}"/>
    <cellStyle name="Normal 7 46 4" xfId="2170" xr:uid="{00000000-0005-0000-0000-000083080000}"/>
    <cellStyle name="Normal 7 46 5" xfId="2171" xr:uid="{00000000-0005-0000-0000-000084080000}"/>
    <cellStyle name="Normal 7 47" xfId="2172" xr:uid="{00000000-0005-0000-0000-000085080000}"/>
    <cellStyle name="Normal 7 47 2" xfId="2173" xr:uid="{00000000-0005-0000-0000-000086080000}"/>
    <cellStyle name="Normal 7 47 2 2" xfId="2174" xr:uid="{00000000-0005-0000-0000-000087080000}"/>
    <cellStyle name="Normal 7 47 2 3" xfId="2175" xr:uid="{00000000-0005-0000-0000-000088080000}"/>
    <cellStyle name="Normal 7 47 2 4" xfId="2176" xr:uid="{00000000-0005-0000-0000-000089080000}"/>
    <cellStyle name="Normal 7 47 3" xfId="2177" xr:uid="{00000000-0005-0000-0000-00008A080000}"/>
    <cellStyle name="Normal 7 47 4" xfId="2178" xr:uid="{00000000-0005-0000-0000-00008B080000}"/>
    <cellStyle name="Normal 7 47 5" xfId="2179" xr:uid="{00000000-0005-0000-0000-00008C080000}"/>
    <cellStyle name="Normal 7 48" xfId="2180" xr:uid="{00000000-0005-0000-0000-00008D080000}"/>
    <cellStyle name="Normal 7 49" xfId="2181" xr:uid="{00000000-0005-0000-0000-00008E080000}"/>
    <cellStyle name="Normal 7 5" xfId="2182" xr:uid="{00000000-0005-0000-0000-00008F080000}"/>
    <cellStyle name="Normal 7 5 2" xfId="2183" xr:uid="{00000000-0005-0000-0000-000090080000}"/>
    <cellStyle name="Normal 7 5 3" xfId="2184" xr:uid="{00000000-0005-0000-0000-000091080000}"/>
    <cellStyle name="Normal 7 5 4" xfId="2185" xr:uid="{00000000-0005-0000-0000-000092080000}"/>
    <cellStyle name="Normal 7 50" xfId="2186" xr:uid="{00000000-0005-0000-0000-000093080000}"/>
    <cellStyle name="Normal 7 51" xfId="2187" xr:uid="{00000000-0005-0000-0000-000094080000}"/>
    <cellStyle name="Normal 7 52" xfId="2007" xr:uid="{00000000-0005-0000-0000-000095080000}"/>
    <cellStyle name="Normal 7 53" xfId="2242" xr:uid="{00000000-0005-0000-0000-000096080000}"/>
    <cellStyle name="Normal 7 6" xfId="2188" xr:uid="{00000000-0005-0000-0000-000097080000}"/>
    <cellStyle name="Normal 7 6 2" xfId="2189" xr:uid="{00000000-0005-0000-0000-000098080000}"/>
    <cellStyle name="Normal 7 6 3" xfId="2190" xr:uid="{00000000-0005-0000-0000-000099080000}"/>
    <cellStyle name="Normal 7 6 4" xfId="2191" xr:uid="{00000000-0005-0000-0000-00009A080000}"/>
    <cellStyle name="Normal 7 7" xfId="2192" xr:uid="{00000000-0005-0000-0000-00009B080000}"/>
    <cellStyle name="Normal 7 7 2" xfId="2193" xr:uid="{00000000-0005-0000-0000-00009C080000}"/>
    <cellStyle name="Normal 7 7 3" xfId="2194" xr:uid="{00000000-0005-0000-0000-00009D080000}"/>
    <cellStyle name="Normal 7 7 4" xfId="2195" xr:uid="{00000000-0005-0000-0000-00009E080000}"/>
    <cellStyle name="Normal 7 8" xfId="2196" xr:uid="{00000000-0005-0000-0000-00009F080000}"/>
    <cellStyle name="Normal 7 8 2" xfId="2197" xr:uid="{00000000-0005-0000-0000-0000A0080000}"/>
    <cellStyle name="Normal 7 8 3" xfId="2198" xr:uid="{00000000-0005-0000-0000-0000A1080000}"/>
    <cellStyle name="Normal 7 8 4" xfId="2199" xr:uid="{00000000-0005-0000-0000-0000A2080000}"/>
    <cellStyle name="Normal 7 9" xfId="2200" xr:uid="{00000000-0005-0000-0000-0000A3080000}"/>
    <cellStyle name="Normal 7 9 13" xfId="78" xr:uid="{00000000-0005-0000-0000-0000A4080000}"/>
    <cellStyle name="Normal 7 9 2" xfId="2201" xr:uid="{00000000-0005-0000-0000-0000A5080000}"/>
    <cellStyle name="Normal 7 9 3" xfId="2202" xr:uid="{00000000-0005-0000-0000-0000A6080000}"/>
    <cellStyle name="Normal 7 9 4" xfId="2203" xr:uid="{00000000-0005-0000-0000-0000A7080000}"/>
    <cellStyle name="Normal 71" xfId="66" xr:uid="{00000000-0005-0000-0000-0000A8080000}"/>
    <cellStyle name="Normal 72 2" xfId="60" xr:uid="{00000000-0005-0000-0000-0000A9080000}"/>
    <cellStyle name="Normal 8" xfId="2204" xr:uid="{00000000-0005-0000-0000-0000AA080000}"/>
    <cellStyle name="Normal 8 2" xfId="2205" xr:uid="{00000000-0005-0000-0000-0000AB080000}"/>
    <cellStyle name="Normal 8 2 2" xfId="2206" xr:uid="{00000000-0005-0000-0000-0000AC080000}"/>
    <cellStyle name="Normal 8 2 3" xfId="2207" xr:uid="{00000000-0005-0000-0000-0000AD080000}"/>
    <cellStyle name="Normal 8 2 4" xfId="2208" xr:uid="{00000000-0005-0000-0000-0000AE080000}"/>
    <cellStyle name="Normal 8 3" xfId="2209" xr:uid="{00000000-0005-0000-0000-0000AF080000}"/>
    <cellStyle name="Normal 8 3 2" xfId="2210" xr:uid="{00000000-0005-0000-0000-0000B0080000}"/>
    <cellStyle name="Normal 8 3 2 2" xfId="2211" xr:uid="{00000000-0005-0000-0000-0000B1080000}"/>
    <cellStyle name="Normal 8 3 2 3" xfId="2212" xr:uid="{00000000-0005-0000-0000-0000B2080000}"/>
    <cellStyle name="Normal 8 3 2 4" xfId="2213" xr:uid="{00000000-0005-0000-0000-0000B3080000}"/>
    <cellStyle name="Normal 8 3 3" xfId="2214" xr:uid="{00000000-0005-0000-0000-0000B4080000}"/>
    <cellStyle name="Normal 8 3 4" xfId="2215" xr:uid="{00000000-0005-0000-0000-0000B5080000}"/>
    <cellStyle name="Normal 8 3 5" xfId="2216" xr:uid="{00000000-0005-0000-0000-0000B6080000}"/>
    <cellStyle name="Normal 8 4" xfId="2217" xr:uid="{00000000-0005-0000-0000-0000B7080000}"/>
    <cellStyle name="Normal 8 5" xfId="2218" xr:uid="{00000000-0005-0000-0000-0000B8080000}"/>
    <cellStyle name="Normal 8 6" xfId="2219" xr:uid="{00000000-0005-0000-0000-0000B9080000}"/>
    <cellStyle name="Normal 87" xfId="59" xr:uid="{00000000-0005-0000-0000-0000BA080000}"/>
    <cellStyle name="Normal 9" xfId="129" xr:uid="{00000000-0005-0000-0000-0000BB080000}"/>
    <cellStyle name="Normal 9 10 2" xfId="73" xr:uid="{00000000-0005-0000-0000-0000BC080000}"/>
    <cellStyle name="Normal 9 11 2" xfId="77" xr:uid="{00000000-0005-0000-0000-0000BD080000}"/>
    <cellStyle name="Normal 9 4" xfId="86" xr:uid="{00000000-0005-0000-0000-0000BE080000}"/>
    <cellStyle name="Normal 9 4 2" xfId="2230" xr:uid="{00000000-0005-0000-0000-0000BF080000}"/>
    <cellStyle name="Note 2" xfId="2220" xr:uid="{00000000-0005-0000-0000-0000C0080000}"/>
    <cellStyle name="Output 2" xfId="2221" xr:uid="{00000000-0005-0000-0000-0000C1080000}"/>
    <cellStyle name="Percent" xfId="1" builtinId="5"/>
    <cellStyle name="Percent 10" xfId="14" xr:uid="{00000000-0005-0000-0000-0000C3080000}"/>
    <cellStyle name="Percent 12" xfId="35" xr:uid="{00000000-0005-0000-0000-0000C4080000}"/>
    <cellStyle name="Percent 13" xfId="55" xr:uid="{00000000-0005-0000-0000-0000C5080000}"/>
    <cellStyle name="Percent 16" xfId="52" xr:uid="{00000000-0005-0000-0000-0000C6080000}"/>
    <cellStyle name="Percent 2" xfId="32" xr:uid="{00000000-0005-0000-0000-0000C7080000}"/>
    <cellStyle name="Percent 2 60" xfId="16" xr:uid="{00000000-0005-0000-0000-0000C8080000}"/>
    <cellStyle name="Style 1" xfId="2222" xr:uid="{00000000-0005-0000-0000-0000C9080000}"/>
    <cellStyle name="Style 2" xfId="2223" xr:uid="{00000000-0005-0000-0000-0000CA080000}"/>
    <cellStyle name="SUB HEADING" xfId="6" xr:uid="{00000000-0005-0000-0000-0000CB080000}"/>
    <cellStyle name="Title 2" xfId="2224" xr:uid="{00000000-0005-0000-0000-0000CC080000}"/>
    <cellStyle name="Total 2" xfId="2225" xr:uid="{00000000-0005-0000-0000-0000CD080000}"/>
    <cellStyle name="Warning Text 2" xfId="2226" xr:uid="{00000000-0005-0000-0000-0000CE080000}"/>
  </cellStyles>
  <dxfs count="119">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gradientFill type="path" left="0.5" right="0.5" top="0.5" bottom="0.5">
          <stop position="0">
            <color theme="0"/>
          </stop>
          <stop position="1">
            <color theme="4"/>
          </stop>
        </gradient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ill>
        <gradientFill type="path" left="0.5" right="0.5" top="0.5" bottom="0.5">
          <stop position="0">
            <color theme="0"/>
          </stop>
          <stop position="1">
            <color theme="4"/>
          </stop>
        </gradient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ill>
        <patternFill>
          <bgColor theme="7" tint="0.79998168889431442"/>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9" tint="0.79998168889431442"/>
        </patternFill>
      </fill>
    </dxf>
    <dxf>
      <fill>
        <patternFill>
          <bgColor theme="5" tint="0.79998168889431442"/>
        </patternFill>
      </fill>
    </dxf>
  </dxfs>
  <tableStyles count="0" defaultTableStyle="TableStyleMedium2" defaultPivotStyle="PivotStyleLight16"/>
  <colors>
    <mruColors>
      <color rgb="FF96363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ocumenttasks/documenttask1.xml><?xml version="1.0" encoding="utf-8"?>
<Tasks xmlns="http://schemas.microsoft.com/office/tasks/2019/documenttasks">
  <Task id="{7BE80657-A6F6-4043-AC1B-0DEC5AD8DA81}">
    <Anchor>
      <Comment id="{FE7003D4-0922-4D54-BF98-907E4E4C9DDD}"/>
    </Anchor>
    <History>
      <Event time="2023-03-12T10:41:50.07" id="{10DA624B-3B2F-4140-8C96-618EDF063C5B}">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FE7003D4-0922-4D54-BF98-907E4E4C9DDD}"/>
        </Anchor>
        <Create/>
      </Event>
      <Event time="2023-03-12T10:41:50.07" id="{E16F8B44-4089-435A-B936-EFF4291ABB47}">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FE7003D4-0922-4D54-BF98-907E4E4C9DDD}"/>
        </Anchor>
        <Assign userId="COUNT(_{r0})" userName="IF(_{r11}&gt;0,2,&quot;-&quot;)" userProvider="IF(_{r17}&gt;0,2,&quot;-&quot;)"/>
      </Event>
      <Event time="2023-03-12T10:41:50.07" id="{92DF80E2-72B4-40E3-B8AC-C078D584385C}">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FE7003D4-0922-4D54-BF98-907E4E4C9DDD}"/>
        </Anchor>
        <SetTitle title="@Vinod Soudi Please check why this is not loaded ???"/>
      </Event>
      <Event time="2023-03-13T04:04:35.36" id="{6C478326-E222-4C77-8D9B-857D1520913B}">
        <Attribution userId="COUNT(_{r0})" userName="IF(_{r11}&gt;0,2,&quot;-&quot;)" userProvider="IF(_{r17}&gt;0,2,&quot;-&quot;)"/>
        <Progress percentComplete="100"/>
      </Event>
    </History>
  </Task>
  <Task id="{F7213D76-DC7E-4730-AF56-210F9899C530}">
    <Anchor>
      <Comment id="{003155F1-8E7C-4757-863F-A70E6D2B638A}"/>
    </Anchor>
    <History>
      <Event time="2023-03-12T10:41:50.07" id="{10DA624B-3B2F-4140-8C96-618EDF063C5B}">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003155F1-8E7C-4757-863F-A70E6D2B638A}"/>
        </Anchor>
        <Create/>
      </Event>
      <Event time="2023-03-12T10:41:50.07" id="{E16F8B44-4089-435A-B936-EFF4291ABB47}">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003155F1-8E7C-4757-863F-A70E6D2B638A}"/>
        </Anchor>
        <Assign userId="COUNT(_{r0})" userName="IF(_{r11}&gt;0,2,&quot;-&quot;)" userProvider="IF(_{r17}&gt;0,2,&quot;-&quot;)"/>
      </Event>
      <Event time="2023-03-12T10:41:50.07" id="{92DF80E2-72B4-40E3-B8AC-C078D584385C}">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003155F1-8E7C-4757-863F-A70E6D2B638A}"/>
        </Anchor>
        <SetTitle title="@Vinod Soudi Please check why this is not loaded ???"/>
      </Event>
      <Event time="2023-03-13T04:04:35.36" id="{6C478326-E222-4C77-8D9B-857D1520913B}">
        <Attribution userId="COUNT(_{r0})" userName="IF(_{r11}&gt;0,2,&quot;-&quot;)" userProvider="IF(_{r17}&gt;0,2,&quot;-&quot;)"/>
        <Progress percentComplete="100"/>
      </Event>
    </History>
  </Task>
  <Task id="{8DF4D992-4B06-4E5D-B6BB-08B51772DFB7}">
    <Anchor>
      <Comment id="{19BB1253-43DB-4296-A183-397F4B153831}"/>
    </Anchor>
    <History>
      <Event time="2023-03-12T10:41:50.07" id="{10DA624B-3B2F-4140-8C96-618EDF063C5B}">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19BB1253-43DB-4296-A183-397F4B153831}"/>
        </Anchor>
        <Create/>
      </Event>
      <Event time="2023-03-12T10:41:50.07" id="{E16F8B44-4089-435A-B936-EFF4291ABB47}">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19BB1253-43DB-4296-A183-397F4B153831}"/>
        </Anchor>
        <Assign userId="COUNT(_{r0})" userName="IF(_{r11}&gt;0,2,&quot;-&quot;)" userProvider="IF(_{r17}&gt;0,2,&quot;-&quot;)"/>
      </Event>
      <Event time="2023-03-12T10:41:50.07" id="{92DF80E2-72B4-40E3-B8AC-C078D584385C}">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19BB1253-43DB-4296-A183-397F4B153831}"/>
        </Anchor>
        <SetTitle title="@Vinod Soudi Please check why this is not loaded ???"/>
      </Event>
      <Event time="2023-03-13T04:04:35.36" id="{6C478326-E222-4C77-8D9B-857D1520913B}">
        <Attribution userId="COUNT(_{r0})" userName="IF(_{r11}&gt;0,2,&quot;-&quot;)" userProvider="IF(_{r17}&gt;0,2,&quot;-&quot;)"/>
        <Progress percentComplete="100"/>
      </Event>
    </History>
  </Task>
  <Task id="{6518EDAA-B157-4B3C-BA41-786CADCC297E}">
    <Anchor>
      <Comment id="{DCD7DA0E-0BB3-4768-9640-0395EEAAA930}"/>
    </Anchor>
    <History>
      <Event time="2023-03-12T10:41:50.07" id="{10DA624B-3B2F-4140-8C96-618EDF063C5B}">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DCD7DA0E-0BB3-4768-9640-0395EEAAA930}"/>
        </Anchor>
        <Create/>
      </Event>
      <Event time="2023-03-12T10:41:50.07" id="{E16F8B44-4089-435A-B936-EFF4291ABB47}">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DCD7DA0E-0BB3-4768-9640-0395EEAAA930}"/>
        </Anchor>
        <Assign userId="COUNT(_{r0})" userName="IF(_{r11}&gt;0,2,&quot;-&quot;)" userProvider="IF(_{r17}&gt;0,2,&quot;-&quot;)"/>
      </Event>
      <Event time="2023-03-12T10:41:50.07" id="{92DF80E2-72B4-40E3-B8AC-C078D584385C}">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DCD7DA0E-0BB3-4768-9640-0395EEAAA930}"/>
        </Anchor>
        <SetTitle title="@Vinod Soudi Please check why this is not loaded ???"/>
      </Event>
      <Event time="2023-03-13T04:04:35.36" id="{6C478326-E222-4C77-8D9B-857D1520913B}">
        <Attribution userId="COUNT(_{r0})" userName="IF(_{r11}&gt;0,2,&quot;-&quot;)" userProvider="IF(_{r17}&gt;0,2,&quot;-&quot;)"/>
        <Progress percentComplete="100"/>
      </Event>
    </History>
  </Task>
  <Task id="{E2ADD4EB-343A-4FBD-BF4D-96868AB20E81}">
    <Anchor>
      <Comment id="{5776E866-BA41-44B4-876F-8CB4620EB153}"/>
    </Anchor>
    <History>
      <Event time="2023-03-12T10:46:06.01" id="{21D8224E-7078-4752-9671-7D1B30BDC971}">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5776E866-BA41-44B4-876F-8CB4620EB153}"/>
        </Anchor>
        <Create/>
      </Event>
      <Event time="2023-03-12T10:46:06.01" id="{8D89A772-41EF-4E92-B3F4-BDFDB9D0782E}">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5776E866-BA41-44B4-876F-8CB4620EB153}"/>
        </Anchor>
        <Assign userId="COUNT(_{r0})" userName="IF(_{r11}&gt;0,2,&quot;-&quot;)" userProvider="IF(_{r17}&gt;0,2,&quot;-&quot;)"/>
      </Event>
      <Event time="2023-03-12T10:46:06.01" id="{5E5C5BE8-1FB7-4311-8BDB-7CE43215BDF1}">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5776E866-BA41-44B4-876F-8CB4620EB153}"/>
        </Anchor>
        <SetTitle title="@Vinod Soudi This has been issued, Check and confirm"/>
      </Event>
      <Event time="2023-03-13T04:29:08.85" id="{460D922F-AB8B-4881-8381-276A9BAF986C}">
        <Attribution userId="COUNT(_{r0})" userName="IF(_{r11}&gt;0,2,&quot;-&quot;)" userProvider="IF(_{r17}&gt;0,2,&quot;-&quot;)"/>
        <Progress percentComplete="100"/>
      </Event>
    </History>
  </Task>
</Tasks>
</file>

<file path=xl/persons/person.xml><?xml version="1.0" encoding="utf-8"?>
<personList xmlns="http://schemas.microsoft.com/office/spreadsheetml/2018/threadedcomments" xmlns:x="http://schemas.openxmlformats.org/spreadsheetml/2006/main">
  <person displayName="Vinod Soudi" id="{35780349-E3B4-41A1-86D1-431A50DBE5E6}" userId="vinod.soudi@total-environment.com" providerId="PeoplePicker"/>
  <person displayName="Suchita Sharma" id="{1864233B-6AE8-4B57-977D-20A19E73A274}" userId="suchita.sharma@total-environment.com" providerId="PeoplePicker"/>
  <person displayName="Vinod Appanna Soudi" id="{2BCB4966-638C-4494-AA75-651C31C43E0F}" userId="S::vinod.soudi@total-environment.com::3569dcb6-9f9e-4c42-a951-14bb20890f34" providerId="AD"/>
  <person displayName="Suchita Sharma" id="{07BA70FA-1805-40A0-95A4-0BB9DE543C58}" userId="S::suchita.sharma@total-environment.com::22e1a589-456e-45f3-adac-be6829c8087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128" dT="2023-03-12T10:41:50.08" personId="{07BA70FA-1805-40A0-95A4-0BB9DE543C58}" id="{19BB1253-43DB-4296-A183-397F4B153831}" done="1">
    <text>@Vinod Soudi Please check why this is not loaded ???</text>
    <mentions>
      <mention mentionpersonId="{35780349-E3B4-41A1-86D1-431A50DBE5E6}" mentionId="{3720E13C-4489-4759-B9F8-F1809EB9BD1B}" startIndex="0" length="12"/>
    </mentions>
  </threadedComment>
  <threadedComment ref="AB128" dT="2023-03-12T10:41:50.08" personId="{07BA70FA-1805-40A0-95A4-0BB9DE543C58}" id="{FE7003D4-0922-4D54-BF98-907E4E4C9DDD}" done="1">
    <text>@Vinod Soudi Please check why this is not loaded ???</text>
    <mentions>
      <mention mentionpersonId="{35780349-E3B4-41A1-86D1-431A50DBE5E6}" mentionId="{B089B789-9B60-453D-B096-5E5DA0874557}" startIndex="0" length="12"/>
    </mentions>
  </threadedComment>
  <threadedComment ref="AS128" dT="2023-03-12T10:41:50.08" personId="{07BA70FA-1805-40A0-95A4-0BB9DE543C58}" id="{DCD7DA0E-0BB3-4768-9640-0395EEAAA930}" done="1">
    <text>@Vinod Soudi Please check why this is not loaded ???</text>
    <mentions>
      <mention mentionpersonId="{35780349-E3B4-41A1-86D1-431A50DBE5E6}" mentionId="{19217F6B-C8A3-4DBF-8213-E783126A37C3}" startIndex="0" length="12"/>
    </mentions>
  </threadedComment>
  <threadedComment ref="BJ128" dT="2023-03-12T10:41:50.08" personId="{07BA70FA-1805-40A0-95A4-0BB9DE543C58}" id="{003155F1-8E7C-4757-863F-A70E6D2B638A}" done="1">
    <text>@Vinod Soudi Please check why this is not loaded ???</text>
    <mentions>
      <mention mentionpersonId="{35780349-E3B4-41A1-86D1-431A50DBE5E6}" mentionId="{2D146184-CCA4-4279-AF0D-3278699C9E09}" startIndex="0" length="12"/>
    </mentions>
  </threadedComment>
  <threadedComment ref="D207" dT="2023-03-12T10:46:06.01" personId="{07BA70FA-1805-40A0-95A4-0BB9DE543C58}" id="{5776E866-BA41-44B4-876F-8CB4620EB153}" done="1">
    <text>@Vinod Soudi  This has been issued, Check and confirm</text>
    <mentions>
      <mention mentionpersonId="{35780349-E3B4-41A1-86D1-431A50DBE5E6}" mentionId="{7A9B255C-EB3B-424A-9D87-271E009CD3FE}" startIndex="0" length="12"/>
    </mentions>
  </threadedComment>
  <threadedComment ref="O219" dT="2023-03-12T10:49:24.77" personId="{07BA70FA-1805-40A0-95A4-0BB9DE543C58}" id="{A99B1133-7F04-4F38-800C-67F2EDE242B0}">
    <text xml:space="preserve">@Vinod Soudi Data is wrong </text>
    <mentions>
      <mention mentionpersonId="{35780349-E3B4-41A1-86D1-431A50DBE5E6}" mentionId="{DBC0F0C8-C81F-43A5-8140-95AEC05AD5D8}" startIndex="0" length="12"/>
    </mentions>
  </threadedComment>
  <threadedComment ref="O219" dT="2023-03-13T04:03:22.04" personId="{2BCB4966-638C-4494-AA75-651C31C43E0F}" id="{1D49A100-EF5F-45D3-A823-DB71FE88FFA5}" parentId="{A99B1133-7F04-4F38-800C-67F2EDE242B0}">
    <text>@Suchita Sharma The column issued till dec'22 had got deleted. Hence the values were not appearing</text>
    <mentions>
      <mention mentionpersonId="{1864233B-6AE8-4B57-977D-20A19E73A274}" mentionId="{2BAAD08B-512A-4599-A88B-27E6E4F98C4A}" startIndex="0" length="15"/>
    </mentions>
  </threadedComment>
</ThreadedComments>
</file>

<file path=xl/threadedComments/threadedComment2.xml><?xml version="1.0" encoding="utf-8"?>
<ThreadedComments xmlns="http://schemas.microsoft.com/office/spreadsheetml/2018/threadedcomments" xmlns:x="http://schemas.openxmlformats.org/spreadsheetml/2006/main">
  <threadedComment ref="Y221" dT="2023-03-12T10:49:24.77" personId="{07BA70FA-1805-40A0-95A4-0BB9DE543C58}" id="{3FC84205-7DE1-4005-952E-8DA3BE8A6848}">
    <text xml:space="preserve">@Vinod Soudi Data is wrong </text>
    <mentions>
      <mention mentionpersonId="{35780349-E3B4-41A1-86D1-431A50DBE5E6}" mentionId="{CB7771D8-E708-442F-9FDE-B23B4CF9C87B}" startIndex="0" length="12"/>
    </mentions>
  </threadedComment>
  <threadedComment ref="Y221" dT="2023-03-13T04:03:22.04" personId="{2BCB4966-638C-4494-AA75-651C31C43E0F}" id="{4653B1F4-E519-4B54-97A6-D8B36744876D}" parentId="{3FC84205-7DE1-4005-952E-8DA3BE8A6848}">
    <text>@Suchita Sharma The column issued till dec'22 had got deleted. Hence the values were not appearing</text>
    <mentions>
      <mention mentionpersonId="{1864233B-6AE8-4B57-977D-20A19E73A274}" mentionId="{1D8852E6-AD7C-4360-B618-090A64CF6DFC}" startIndex="0" length="15"/>
    </mentions>
  </threadedComment>
</ThreadedComments>
</file>

<file path=xl/threadedComments/threadedComment3.xml><?xml version="1.0" encoding="utf-8"?>
<ThreadedComments xmlns="http://schemas.microsoft.com/office/spreadsheetml/2018/threadedcomments" xmlns:x="http://schemas.openxmlformats.org/spreadsheetml/2006/main">
  <threadedComment ref="R156" dT="2024-06-25T06:14:35.08" personId="{2BCB4966-638C-4494-AA75-651C31C43E0F}" id="{538C18C4-9F7C-47A1-9EAB-6C9C8D38F7B4}">
    <text>T301</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9/04/relationships/documenttask" Target="../documenttasks/documenttask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5E5CE-F89E-49B4-8F2E-DFCFFEA624F9}">
  <sheetPr codeName="Sheet8">
    <outlinePr summaryBelow="0" summaryRight="0"/>
    <pageSetUpPr fitToPage="1"/>
  </sheetPr>
  <dimension ref="A1:CN248"/>
  <sheetViews>
    <sheetView zoomScale="85" zoomScaleNormal="85" zoomScaleSheetLayoutView="35" workbookViewId="0">
      <pane xSplit="5" ySplit="6" topLeftCell="AM131" activePane="bottomRight" state="frozen"/>
      <selection pane="bottomRight" activeCell="AM146" sqref="AM146"/>
      <selection pane="bottomLeft" activeCell="A7" sqref="A7"/>
      <selection pane="topRight" activeCell="F1" sqref="F1"/>
    </sheetView>
  </sheetViews>
  <sheetFormatPr defaultColWidth="11.42578125" defaultRowHeight="11.85" customHeight="1" outlineLevelRow="3" outlineLevelCol="1"/>
  <cols>
    <col min="1" max="1" width="0.5703125" style="48" customWidth="1"/>
    <col min="2" max="2" width="8.5703125" style="53" customWidth="1"/>
    <col min="3" max="3" width="5.42578125" style="53" bestFit="1" customWidth="1"/>
    <col min="4" max="4" width="69.42578125" style="50" bestFit="1" customWidth="1"/>
    <col min="5" max="5" width="0.42578125" style="48" customWidth="1"/>
    <col min="6" max="6" width="11.7109375" style="56" customWidth="1"/>
    <col min="7" max="8" width="11.7109375" style="57" customWidth="1" outlineLevel="1"/>
    <col min="9" max="9" width="11.28515625" style="57" customWidth="1" outlineLevel="1"/>
    <col min="10" max="10" width="0.5703125" style="58" customWidth="1"/>
    <col min="11" max="11" width="7.5703125" style="54" customWidth="1"/>
    <col min="12" max="12" width="0.42578125" style="55" customWidth="1"/>
    <col min="13" max="14" width="11.7109375" style="56" customWidth="1"/>
    <col min="15" max="15" width="11.28515625" style="57" customWidth="1" outlineLevel="1" collapsed="1"/>
    <col min="16" max="20" width="10.28515625" style="57" customWidth="1" outlineLevel="1"/>
    <col min="21" max="21" width="0.5703125" style="58" customWidth="1" outlineLevel="1"/>
    <col min="22" max="26" width="15.5703125" style="57" customWidth="1" outlineLevel="1"/>
    <col min="27" max="27" width="0.5703125" style="58" customWidth="1"/>
    <col min="28" max="28" width="6.42578125" style="59" customWidth="1"/>
    <col min="29" max="29" width="0.5703125" style="55" customWidth="1"/>
    <col min="30" max="31" width="11.7109375" style="56" customWidth="1"/>
    <col min="32" max="32" width="11.42578125" style="57" customWidth="1" outlineLevel="1" collapsed="1"/>
    <col min="33" max="33" width="11.42578125" style="57" customWidth="1" outlineLevel="1"/>
    <col min="34" max="34" width="6.42578125" style="57" customWidth="1" outlineLevel="1"/>
    <col min="35" max="36" width="5.7109375" style="57" customWidth="1" outlineLevel="1"/>
    <col min="37" max="37" width="7.7109375" style="57" customWidth="1" outlineLevel="1"/>
    <col min="38" max="38" width="0.5703125" style="55" customWidth="1" outlineLevel="1"/>
    <col min="39" max="39" width="11.42578125" style="57" customWidth="1" outlineLevel="1"/>
    <col min="40" max="41" width="5.28515625" style="57" customWidth="1" outlineLevel="1"/>
    <col min="42" max="42" width="5.7109375" style="57" customWidth="1" outlineLevel="1"/>
    <col min="43" max="43" width="5.28515625" style="57" customWidth="1" outlineLevel="1"/>
    <col min="44" max="44" width="0.5703125" style="55" customWidth="1"/>
    <col min="45" max="45" width="6.42578125" style="59" customWidth="1"/>
    <col min="46" max="46" width="0.5703125" style="55" customWidth="1"/>
    <col min="47" max="48" width="11.7109375" style="56" customWidth="1"/>
    <col min="49" max="49" width="10.42578125" style="57" customWidth="1" outlineLevel="1" collapsed="1"/>
    <col min="50" max="50" width="10.42578125" style="57" customWidth="1" outlineLevel="1"/>
    <col min="51" max="52" width="5.7109375" style="57" customWidth="1" outlineLevel="1"/>
    <col min="53" max="53" width="6.85546875" style="57" customWidth="1" outlineLevel="1"/>
    <col min="54" max="54" width="5.7109375" style="57" customWidth="1" outlineLevel="1"/>
    <col min="55" max="55" width="0.5703125" style="55" customWidth="1" outlineLevel="1"/>
    <col min="56" max="56" width="10.42578125" style="57" customWidth="1" outlineLevel="1"/>
    <col min="57" max="57" width="5.85546875" style="57" customWidth="1" outlineLevel="1"/>
    <col min="58" max="58" width="5.7109375" style="57" customWidth="1" outlineLevel="1"/>
    <col min="59" max="59" width="5.85546875" style="57" customWidth="1" outlineLevel="1"/>
    <col min="60" max="60" width="5.7109375" style="57" customWidth="1" outlineLevel="1"/>
    <col min="61" max="61" width="0.5703125" style="55" customWidth="1"/>
    <col min="62" max="62" width="6.42578125" style="54" bestFit="1" customWidth="1"/>
    <col min="63" max="63" width="0.5703125" style="55" customWidth="1"/>
    <col min="64" max="65" width="11.7109375" style="56" customWidth="1"/>
    <col min="66" max="66" width="10.42578125" style="57" customWidth="1" outlineLevel="1" collapsed="1"/>
    <col min="67" max="67" width="10.42578125" style="57" customWidth="1" outlineLevel="1"/>
    <col min="68" max="71" width="5.7109375" style="57" customWidth="1" outlineLevel="1"/>
    <col min="72" max="72" width="0.5703125" style="48" customWidth="1" outlineLevel="1"/>
    <col min="73" max="73" width="10.42578125" style="57" customWidth="1" outlineLevel="1"/>
    <col min="74" max="74" width="5.85546875" style="57" customWidth="1" outlineLevel="1"/>
    <col min="75" max="75" width="5.7109375" style="57" customWidth="1" outlineLevel="1"/>
    <col min="76" max="76" width="5.85546875" style="57" customWidth="1" outlineLevel="1"/>
    <col min="77" max="77" width="5.7109375" style="57" customWidth="1" outlineLevel="1"/>
    <col min="78" max="78" width="0.5703125" style="48" customWidth="1"/>
    <col min="79" max="16384" width="11.42578125" style="48"/>
  </cols>
  <sheetData>
    <row r="1" spans="1:78" ht="3" customHeight="1">
      <c r="A1" s="137"/>
      <c r="B1" s="138"/>
      <c r="C1" s="138"/>
      <c r="D1" s="139"/>
      <c r="E1" s="137"/>
      <c r="F1" s="142"/>
      <c r="G1" s="143"/>
      <c r="H1" s="143"/>
      <c r="I1" s="143"/>
      <c r="J1" s="144"/>
      <c r="K1" s="140"/>
      <c r="L1" s="141"/>
      <c r="M1" s="142"/>
      <c r="N1" s="142"/>
      <c r="O1" s="143"/>
      <c r="P1" s="143"/>
      <c r="Q1" s="143"/>
      <c r="R1" s="143"/>
      <c r="S1" s="143"/>
      <c r="T1" s="143"/>
      <c r="U1" s="144"/>
      <c r="V1" s="143"/>
      <c r="W1" s="143"/>
      <c r="X1" s="143"/>
      <c r="Y1" s="143"/>
      <c r="Z1" s="143"/>
      <c r="AA1" s="144"/>
      <c r="AB1" s="145"/>
      <c r="AC1" s="141"/>
      <c r="AD1" s="142"/>
      <c r="AE1" s="142"/>
      <c r="AF1" s="143"/>
      <c r="AG1" s="143"/>
      <c r="AH1" s="143"/>
      <c r="AI1" s="143"/>
      <c r="AJ1" s="143"/>
      <c r="AK1" s="143"/>
      <c r="AL1" s="141"/>
      <c r="AM1" s="143"/>
      <c r="AN1" s="143"/>
      <c r="AO1" s="143"/>
      <c r="AP1" s="143"/>
      <c r="AQ1" s="143"/>
      <c r="AR1" s="141"/>
      <c r="AS1" s="145"/>
      <c r="AT1" s="141"/>
      <c r="AU1" s="142"/>
      <c r="AV1" s="142"/>
      <c r="AW1" s="143"/>
      <c r="AX1" s="143"/>
      <c r="AY1" s="143"/>
      <c r="AZ1" s="143"/>
      <c r="BA1" s="143"/>
      <c r="BB1" s="143"/>
      <c r="BC1" s="141"/>
      <c r="BD1" s="143"/>
      <c r="BE1" s="143"/>
      <c r="BF1" s="143"/>
      <c r="BG1" s="143"/>
      <c r="BH1" s="143"/>
      <c r="BI1" s="141"/>
      <c r="BJ1" s="140"/>
      <c r="BK1" s="141"/>
      <c r="BL1" s="142"/>
      <c r="BM1" s="142"/>
      <c r="BN1" s="143"/>
      <c r="BO1" s="143"/>
      <c r="BP1" s="143"/>
      <c r="BQ1" s="143"/>
      <c r="BR1" s="143"/>
      <c r="BS1" s="143"/>
      <c r="BT1" s="137"/>
      <c r="BU1" s="143"/>
      <c r="BV1" s="143"/>
      <c r="BW1" s="143"/>
      <c r="BX1" s="143"/>
      <c r="BY1" s="143"/>
      <c r="BZ1" s="137"/>
    </row>
    <row r="2" spans="1:78" s="49" customFormat="1" ht="48.6" customHeight="1">
      <c r="A2" s="152"/>
      <c r="B2" s="152"/>
      <c r="C2" s="693" t="s">
        <v>0</v>
      </c>
      <c r="D2" s="694"/>
      <c r="E2" s="153"/>
      <c r="F2" s="156" t="s">
        <v>1</v>
      </c>
      <c r="G2" s="156" t="s">
        <v>2</v>
      </c>
      <c r="H2" s="156" t="s">
        <v>3</v>
      </c>
      <c r="I2" s="156" t="s">
        <v>4</v>
      </c>
      <c r="J2" s="157"/>
      <c r="K2" s="154" t="s">
        <v>5</v>
      </c>
      <c r="L2" s="155"/>
      <c r="M2" s="156" t="s">
        <v>1</v>
      </c>
      <c r="N2" s="156" t="s">
        <v>2</v>
      </c>
      <c r="O2" s="156" t="s">
        <v>3</v>
      </c>
      <c r="P2" s="156" t="s">
        <v>6</v>
      </c>
      <c r="Q2" s="156" t="s">
        <v>7</v>
      </c>
      <c r="R2" s="156" t="s">
        <v>8</v>
      </c>
      <c r="S2" s="156" t="s">
        <v>9</v>
      </c>
      <c r="T2" s="156" t="s">
        <v>10</v>
      </c>
      <c r="U2" s="157"/>
      <c r="V2" s="156" t="s">
        <v>11</v>
      </c>
      <c r="W2" s="156" t="s">
        <v>7</v>
      </c>
      <c r="X2" s="156" t="s">
        <v>8</v>
      </c>
      <c r="Y2" s="156" t="s">
        <v>9</v>
      </c>
      <c r="Z2" s="156" t="s">
        <v>10</v>
      </c>
      <c r="AA2" s="157"/>
      <c r="AB2" s="154" t="s">
        <v>12</v>
      </c>
      <c r="AC2" s="155"/>
      <c r="AD2" s="156" t="s">
        <v>1</v>
      </c>
      <c r="AE2" s="156" t="s">
        <v>13</v>
      </c>
      <c r="AF2" s="156" t="s">
        <v>14</v>
      </c>
      <c r="AG2" s="156" t="s">
        <v>15</v>
      </c>
      <c r="AH2" s="156" t="s">
        <v>7</v>
      </c>
      <c r="AI2" s="156" t="s">
        <v>8</v>
      </c>
      <c r="AJ2" s="156" t="s">
        <v>9</v>
      </c>
      <c r="AK2" s="156" t="s">
        <v>10</v>
      </c>
      <c r="AL2" s="158"/>
      <c r="AM2" s="156" t="s">
        <v>16</v>
      </c>
      <c r="AN2" s="156" t="s">
        <v>7</v>
      </c>
      <c r="AO2" s="156" t="s">
        <v>8</v>
      </c>
      <c r="AP2" s="156" t="s">
        <v>9</v>
      </c>
      <c r="AQ2" s="156" t="s">
        <v>10</v>
      </c>
      <c r="AR2" s="158"/>
      <c r="AS2" s="154" t="s">
        <v>17</v>
      </c>
      <c r="AT2" s="155"/>
      <c r="AU2" s="156" t="s">
        <v>1</v>
      </c>
      <c r="AV2" s="156" t="s">
        <v>18</v>
      </c>
      <c r="AW2" s="251" t="s">
        <v>14</v>
      </c>
      <c r="AX2" s="156" t="s">
        <v>15</v>
      </c>
      <c r="AY2" s="156" t="s">
        <v>7</v>
      </c>
      <c r="AZ2" s="156" t="s">
        <v>8</v>
      </c>
      <c r="BA2" s="156" t="s">
        <v>9</v>
      </c>
      <c r="BB2" s="156" t="s">
        <v>10</v>
      </c>
      <c r="BC2" s="158"/>
      <c r="BD2" s="156" t="s">
        <v>16</v>
      </c>
      <c r="BE2" s="156" t="s">
        <v>7</v>
      </c>
      <c r="BF2" s="156" t="s">
        <v>8</v>
      </c>
      <c r="BG2" s="156" t="s">
        <v>9</v>
      </c>
      <c r="BH2" s="156" t="s">
        <v>10</v>
      </c>
      <c r="BI2" s="158"/>
      <c r="BJ2" s="154" t="s">
        <v>19</v>
      </c>
      <c r="BK2" s="155"/>
      <c r="BL2" s="156" t="s">
        <v>1</v>
      </c>
      <c r="BM2" s="156" t="s">
        <v>18</v>
      </c>
      <c r="BN2" s="251" t="s">
        <v>14</v>
      </c>
      <c r="BO2" s="156" t="s">
        <v>15</v>
      </c>
      <c r="BP2" s="156" t="s">
        <v>7</v>
      </c>
      <c r="BQ2" s="156" t="s">
        <v>8</v>
      </c>
      <c r="BR2" s="156" t="s">
        <v>9</v>
      </c>
      <c r="BS2" s="156" t="s">
        <v>10</v>
      </c>
      <c r="BT2" s="158"/>
      <c r="BU2" s="156" t="s">
        <v>16</v>
      </c>
      <c r="BV2" s="156" t="s">
        <v>7</v>
      </c>
      <c r="BW2" s="156" t="s">
        <v>8</v>
      </c>
      <c r="BX2" s="156" t="s">
        <v>9</v>
      </c>
      <c r="BY2" s="156" t="s">
        <v>10</v>
      </c>
      <c r="BZ2" s="137"/>
    </row>
    <row r="3" spans="1:78" s="108" customFormat="1" ht="15">
      <c r="A3" s="146"/>
      <c r="B3" s="147"/>
      <c r="C3" s="147"/>
      <c r="D3" s="148"/>
      <c r="E3" s="146"/>
      <c r="F3" s="149">
        <f>M3+AD3+AU3+BL3</f>
        <v>293</v>
      </c>
      <c r="G3" s="149">
        <f t="shared" ref="G3:I3" si="0">N3+AE3+AV3+BM3</f>
        <v>274</v>
      </c>
      <c r="H3" s="149">
        <f t="shared" si="0"/>
        <v>267</v>
      </c>
      <c r="I3" s="149">
        <f t="shared" si="0"/>
        <v>26</v>
      </c>
      <c r="J3" s="150"/>
      <c r="K3" s="146"/>
      <c r="L3" s="146"/>
      <c r="M3" s="149">
        <f t="shared" ref="M3:T3" si="1">COUNTIF(M62:M71,"=✔")+COUNTIF(M74:M82,"=✔")+COUNTIF(M85:M94,"=✔")+COUNTIF(M50:M59,"=✔")+COUNTIF(M97:M105,"=✔")+COUNTIF(M108:M117,"=✔")+COUNTIF(M120:M128,"=✔")+COUNTIF(M131:M140,"=✔")+COUNTIF(M143:M146,"=✔")+COUNTIF(M149:M150,"=✔")+COUNTIF(M157:M158,"=✔")+COUNTIF(M161:M162,"=✔")+COUNTIF(M165:M166,"=✔")+COUNTIF(M169:M170,"=✔")+COUNTIF(M173:M174,"=✔")+COUNTIF(M181:M182,"=✔")+COUNTIF(M153:M154,"=✔")+COUNTIF(M185:M186,"=✔")+COUNTIF(M202:M204,"=✔")+COUNTIF(M177:M178,"=✔")+COUNTIF(M207:M216,"=✔")+COUNTIF(M219:M222,"=✔")+COUNTIF(M225:M229,"=✔")+COUNTIF(M197:M199,"=✔")+COUNTIF(M234,"=✔")+COUNTIF(M9,"=✔")+COUNTIF(M15,"=✔")+COUNTIF(M21,"=✔")+COUNTIF(M28,"=✔")+COUNTIF(M37,"=✔")+COUNTIF(M193:M194,"=✔")+COUNTIF(M189:M190,"=✔")</f>
        <v>108</v>
      </c>
      <c r="N3" s="149">
        <f t="shared" si="1"/>
        <v>99</v>
      </c>
      <c r="O3" s="149">
        <f t="shared" si="1"/>
        <v>96</v>
      </c>
      <c r="P3" s="149">
        <f t="shared" si="1"/>
        <v>12</v>
      </c>
      <c r="Q3" s="149">
        <f t="shared" si="1"/>
        <v>11</v>
      </c>
      <c r="R3" s="149">
        <f t="shared" si="1"/>
        <v>1</v>
      </c>
      <c r="S3" s="149">
        <f t="shared" si="1"/>
        <v>0</v>
      </c>
      <c r="T3" s="149">
        <f t="shared" si="1"/>
        <v>0</v>
      </c>
      <c r="U3" s="150"/>
      <c r="V3" s="149">
        <f>COUNTIF(V62:V71,"=✔")+COUNTIF(V74:V82,"=✔")+COUNTIF(V85:V94,"=✔")+COUNTIF(V50:V59,"=✔")+COUNTIF(V97:V105,"=✔")+COUNTIF(V108:V117,"=✔")+COUNTIF(V120:V128,"=✔")+COUNTIF(V131:V140,"=✔")+COUNTIF(V143:V146,"=✔")+COUNTIF(V149:V150,"=✔")+COUNTIF(V157:V158,"=✔")+COUNTIF(V161:V162,"=✔")+COUNTIF(V165:V166,"=✔")+COUNTIF(V169:V170,"=✔")+COUNTIF(V173:V174,"=✔")+COUNTIF(V181:V182,"=✔")+COUNTIF(V153:V154,"=✔")+COUNTIF(V185:V186,"=✔")+COUNTIF(V202:V204,"=✔")+COUNTIF(V177:V178,"=✔")+COUNTIF(V207:V216,"=✔")+COUNTIF(V219:V222,"=✔")+COUNTIF(V225:V229,"=✔")+COUNTIF(V197:V199,"=✔")+COUNTIF(V234,"=✔")+COUNTIF(V9,"=✔")+COUNTIF(V15,"=✔")+COUNTIF(V21,"=✔")+COUNTIF(V28,"=✔")+COUNTIF(V37,"=✔")+COUNTIF(V193:V194,"=✔")+COUNTIF(V189:V190,"=✔")</f>
        <v>3</v>
      </c>
      <c r="W3" s="149">
        <f>COUNTIF(W62:W71,"=✔")+COUNTIF(W74:W82,"=✔")+COUNTIF(W85:W94,"=✔")+COUNTIF(W50:W59,"=✔")+COUNTIF(W97:W105,"=✔")+COUNTIF(W108:W117,"=✔")+COUNTIF(W120:W128,"=✔")+COUNTIF(W131:W140,"=✔")+COUNTIF(W143:W146,"=✔")+COUNTIF(W149:W150,"=✔")+COUNTIF(W157:W158,"=✔")+COUNTIF(W161:W162,"=✔")+COUNTIF(W165:W166,"=✔")+COUNTIF(W169:W170,"=✔")+COUNTIF(W173:W174,"=✔")+COUNTIF(W181:W182,"=✔")+COUNTIF(W153:W154,"=✔")+COUNTIF(W185:W186,"=✔")+COUNTIF(W202:W204,"=✔")+COUNTIF(W177:W178,"=✔")+COUNTIF(W207:W216,"=✔")+COUNTIF(W219:W222,"=✔")+COUNTIF(W225:W229,"=✔")+COUNTIF(W197:W199,"=✔")+COUNTIF(W234,"=✔")+COUNTIF(W9,"=✔")+COUNTIF(W15,"=✔")+COUNTIF(W21,"=✔")+COUNTIF(W28,"=✔")+COUNTIF(W37,"=✔")+COUNTIF(W193:W194,"=✔")+COUNTIF(W189:W190,"=✔")</f>
        <v>3</v>
      </c>
      <c r="X3" s="149">
        <f>COUNTIF(X62:X71,"=✔")+COUNTIF(X74:X82,"=✔")+COUNTIF(X85:X94,"=✔")+COUNTIF(X50:X59,"=✔")+COUNTIF(X97:X105,"=✔")+COUNTIF(X108:X117,"=✔")+COUNTIF(X120:X128,"=✔")+COUNTIF(X131:X140,"=✔")+COUNTIF(X143:X146,"=✔")+COUNTIF(X149:X150,"=✔")+COUNTIF(X157:X158,"=✔")+COUNTIF(X161:X162,"=✔")+COUNTIF(X165:X166,"=✔")+COUNTIF(X169:X170,"=✔")+COUNTIF(X173:X174,"=✔")+COUNTIF(X181:X182,"=✔")+COUNTIF(X153:X154,"=✔")+COUNTIF(X185:X186,"=✔")+COUNTIF(X202:X204,"=✔")+COUNTIF(X177:X178,"=✔")+COUNTIF(X207:X216,"=✔")+COUNTIF(X219:X222,"=✔")+COUNTIF(X225:X229,"=✔")+COUNTIF(X197:X199,"=✔")+COUNTIF(X234,"=✔")+COUNTIF(X9,"=✔")+COUNTIF(X15,"=✔")+COUNTIF(X21,"=✔")+COUNTIF(X28,"=✔")+COUNTIF(X37,"=✔")+COUNTIF(X193:X194,"=✔")+COUNTIF(X189:X190,"=✔")</f>
        <v>0</v>
      </c>
      <c r="Y3" s="149">
        <f>COUNTIF(Y62:Y71,"=✔")+COUNTIF(Y74:Y82,"=✔")+COUNTIF(Y85:Y94,"=✔")+COUNTIF(Y50:Y59,"=✔")+COUNTIF(Y97:Y105,"=✔")+COUNTIF(Y108:Y117,"=✔")+COUNTIF(Y120:Y128,"=✔")+COUNTIF(Y131:Y140,"=✔")+COUNTIF(Y143:Y146,"=✔")+COUNTIF(Y149:Y150,"=✔")+COUNTIF(Y157:Y158,"=✔")+COUNTIF(Y161:Y162,"=✔")+COUNTIF(Y165:Y166,"=✔")+COUNTIF(Y169:Y170,"=✔")+COUNTIF(Y173:Y174,"=✔")+COUNTIF(Y181:Y182,"=✔")+COUNTIF(Y153:Y154,"=✔")+COUNTIF(Y185:Y186,"=✔")+COUNTIF(Y202:Y204,"=✔")+COUNTIF(Y177:Y178,"=✔")+COUNTIF(Y207:Y216,"=✔")+COUNTIF(Y219:Y222,"=✔")+COUNTIF(Y225:Y229,"=✔")+COUNTIF(Y197:Y199,"=✔")+COUNTIF(Y234,"=✔")+COUNTIF(Y9,"=✔")+COUNTIF(Y15,"=✔")+COUNTIF(Y21,"=✔")+COUNTIF(Y28,"=✔")+COUNTIF(Y37,"=✔")+COUNTIF(Y193:Y194,"=✔")+COUNTIF(Y189:Y190,"=✔")</f>
        <v>0</v>
      </c>
      <c r="Z3" s="149">
        <f>COUNTIF(Z62:Z71,"=✔")+COUNTIF(Z74:Z82,"=✔")+COUNTIF(Z85:Z94,"=✔")+COUNTIF(Z50:Z59,"=✔")+COUNTIF(Z97:Z105,"=✔")+COUNTIF(Z108:Z117,"=✔")+COUNTIF(Z120:Z128,"=✔")+COUNTIF(Z131:Z140,"=✔")+COUNTIF(Z143:Z146,"=✔")+COUNTIF(Z149:Z150,"=✔")+COUNTIF(Z157:Z158,"=✔")+COUNTIF(Z161:Z162,"=✔")+COUNTIF(Z165:Z166,"=✔")+COUNTIF(Z169:Z170,"=✔")+COUNTIF(Z173:Z174,"=✔")+COUNTIF(Z181:Z182,"=✔")+COUNTIF(Z153:Z154,"=✔")+COUNTIF(Z185:Z186,"=✔")+COUNTIF(Z202:Z204,"=✔")+COUNTIF(Z177:Z178,"=✔")+COUNTIF(Z207:Z216,"=✔")+COUNTIF(Z219:Z222,"=✔")+COUNTIF(Z225:Z229,"=✔")+COUNTIF(Z197:Z199,"=✔")+COUNTIF(Z234,"=✔")+COUNTIF(Z9,"=✔")+COUNTIF(Z15,"=✔")+COUNTIF(Z21,"=✔")+COUNTIF(Z28,"=✔")+COUNTIF(Z37,"=✔")+COUNTIF(Z193:Z194,"=✔")+COUNTIF(Z189:Z190,"=✔")</f>
        <v>0</v>
      </c>
      <c r="AA3" s="150"/>
      <c r="AB3" s="146"/>
      <c r="AC3" s="146"/>
      <c r="AD3" s="149">
        <f t="shared" ref="AD3:AK3" si="2">COUNTIF(AD62:AD71,"=✔")+COUNTIF(AD74:AD82,"=✔")+COUNTIF(AD85:AD94,"=✔")+COUNTIF(AD50:AD59,"=✔")+COUNTIF(AD97:AD105,"=✔")+COUNTIF(AD108:AD117,"=✔")+COUNTIF(AD120:AD128,"=✔")+COUNTIF(AD131:AD140,"=✔")+COUNTIF(AD143:AD146,"=✔")+COUNTIF(AD149:AD150,"=✔")+COUNTIF(AD157:AD158,"=✔")+COUNTIF(AD161:AD162,"=✔")+COUNTIF(AD165:AD166,"=✔")+COUNTIF(AD169:AD170,"=✔")+COUNTIF(AD173:AD174,"=✔")+COUNTIF(AD181:AD182,"=✔")+COUNTIF(AD153:AD154,"=✔")+COUNTIF(AD185:AD186,"=✔")+COUNTIF(AD202:AD204,"=✔")+COUNTIF(AD177:AD178,"=✔")+COUNTIF(AD207:AD216,"=✔")+COUNTIF(AD219:AD222,"=✔")+COUNTIF(AD225:AD229,"=✔")+COUNTIF(AD197:AD199,"=✔")+COUNTIF(AD234,"=✔")+COUNTIF(AD9,"=✔")+COUNTIF(AD15,"=✔")+COUNTIF(AD21,"=✔")+COUNTIF(AD28,"=✔")+COUNTIF(AD37,"=✔")+COUNTIF(AD193:AD194,"=✔")+COUNTIF(AD189:AD190,"=✔")</f>
        <v>91</v>
      </c>
      <c r="AE3" s="149">
        <f t="shared" si="2"/>
        <v>87</v>
      </c>
      <c r="AF3" s="149">
        <f t="shared" si="2"/>
        <v>85</v>
      </c>
      <c r="AG3" s="149">
        <f t="shared" si="2"/>
        <v>6</v>
      </c>
      <c r="AH3" s="149">
        <f t="shared" si="2"/>
        <v>5</v>
      </c>
      <c r="AI3" s="149">
        <f t="shared" si="2"/>
        <v>1</v>
      </c>
      <c r="AJ3" s="149">
        <f t="shared" si="2"/>
        <v>0</v>
      </c>
      <c r="AK3" s="149">
        <f t="shared" si="2"/>
        <v>0</v>
      </c>
      <c r="AL3" s="151"/>
      <c r="AM3" s="149">
        <f>COUNTIF(AM62:AM71,"=✔")+COUNTIF(AM74:AM82,"=✔")+COUNTIF(AM85:AM94,"=✔")+COUNTIF(AM50:AM59,"=✔")+COUNTIF(AM97:AM105,"=✔")+COUNTIF(AM108:AM117,"=✔")+COUNTIF(AM120:AM128,"=✔")+COUNTIF(AM131:AM140,"=✔")+COUNTIF(AM143:AM146,"=✔")+COUNTIF(AM149:AM150,"=✔")+COUNTIF(AM157:AM158,"=✔")+COUNTIF(AM161:AM162,"=✔")+COUNTIF(AM165:AM166,"=✔")+COUNTIF(AM169:AM170,"=✔")+COUNTIF(AM173:AM174,"=✔")+COUNTIF(AM181:AM182,"=✔")+COUNTIF(AM153:AM154,"=✔")+COUNTIF(AM185:AM186,"=✔")+COUNTIF(AM202:AM204,"=✔")+COUNTIF(AM177:AM178,"=✔")+COUNTIF(AM207:AM216,"=✔")+COUNTIF(AM219:AM222,"=✔")+COUNTIF(AM225:AM229,"=✔")+COUNTIF(AM197:AM199,"=✔")+COUNTIF(AM234,"=✔")+COUNTIF(AM9,"=✔")+COUNTIF(AM15,"=✔")+COUNTIF(AM21,"=✔")+COUNTIF(AM28,"=✔")+COUNTIF(AM37,"=✔")+COUNTIF(AM193:AM194,"=✔")+COUNTIF(AM189:AM190,"=✔")</f>
        <v>2</v>
      </c>
      <c r="AN3" s="149">
        <f>COUNTIF(AN62:AN71,"=✔")+COUNTIF(AN74:AN82,"=✔")+COUNTIF(AN85:AN94,"=✔")+COUNTIF(AN50:AN59,"=✔")+COUNTIF(AN97:AN105,"=✔")+COUNTIF(AN108:AN117,"=✔")+COUNTIF(AN120:AN128,"=✔")+COUNTIF(AN131:AN140,"=✔")+COUNTIF(AN143:AN146,"=✔")+COUNTIF(AN149:AN150,"=✔")+COUNTIF(AN157:AN158,"=✔")+COUNTIF(AN161:AN162,"=✔")+COUNTIF(AN165:AN166,"=✔")+COUNTIF(AN169:AN170,"=✔")+COUNTIF(AN173:AN174,"=✔")+COUNTIF(AN181:AN182,"=✔")+COUNTIF(AN153:AN154,"=✔")+COUNTIF(AN185:AN186,"=✔")+COUNTIF(AN202:AN204,"=✔")+COUNTIF(AN177:AN178,"=✔")+COUNTIF(AN207:AN216,"=✔")+COUNTIF(AN219:AN222,"=✔")+COUNTIF(AN225:AN229,"=✔")+COUNTIF(AN197:AN199,"=✔")+COUNTIF(AN234,"=✔")+COUNTIF(AN9,"=✔")+COUNTIF(AN15,"=✔")+COUNTIF(AN21,"=✔")+COUNTIF(AN28,"=✔")+COUNTIF(AN37,"=✔")+COUNTIF(AN193:AN194,"=✔")+COUNTIF(AN189:AN190,"=✔")</f>
        <v>2</v>
      </c>
      <c r="AO3" s="149">
        <f>COUNTIF(AO62:AO71,"=✔")+COUNTIF(AO74:AO82,"=✔")+COUNTIF(AO85:AO94,"=✔")+COUNTIF(AO50:AO59,"=✔")+COUNTIF(AO97:AO105,"=✔")+COUNTIF(AO108:AO117,"=✔")+COUNTIF(AO120:AO128,"=✔")+COUNTIF(AO131:AO140,"=✔")+COUNTIF(AO143:AO146,"=✔")+COUNTIF(AO149:AO150,"=✔")+COUNTIF(AO157:AO158,"=✔")+COUNTIF(AO161:AO162,"=✔")+COUNTIF(AO165:AO166,"=✔")+COUNTIF(AO169:AO170,"=✔")+COUNTIF(AO173:AO174,"=✔")+COUNTIF(AO181:AO182,"=✔")+COUNTIF(AO153:AO154,"=✔")+COUNTIF(AO185:AO186,"=✔")+COUNTIF(AO202:AO204,"=✔")+COUNTIF(AO177:AO178,"=✔")+COUNTIF(AO207:AO216,"=✔")+COUNTIF(AO219:AO222,"=✔")+COUNTIF(AO225:AO229,"=✔")+COUNTIF(AO197:AO199,"=✔")+COUNTIF(AO234,"=✔")+COUNTIF(AO9,"=✔")+COUNTIF(AO15,"=✔")+COUNTIF(AO21,"=✔")+COUNTIF(AO28,"=✔")+COUNTIF(AO37,"=✔")+COUNTIF(AO193:AO194,"=✔")+COUNTIF(AO189:AO190,"=✔")</f>
        <v>0</v>
      </c>
      <c r="AP3" s="149">
        <f>COUNTIF(AP62:AP71,"=✔")+COUNTIF(AP74:AP82,"=✔")+COUNTIF(AP85:AP94,"=✔")+COUNTIF(AP50:AP59,"=✔")+COUNTIF(AP97:AP105,"=✔")+COUNTIF(AP108:AP117,"=✔")+COUNTIF(AP120:AP128,"=✔")+COUNTIF(AP131:AP140,"=✔")+COUNTIF(AP143:AP146,"=✔")+COUNTIF(AP149:AP150,"=✔")+COUNTIF(AP157:AP158,"=✔")+COUNTIF(AP161:AP162,"=✔")+COUNTIF(AP165:AP166,"=✔")+COUNTIF(AP169:AP170,"=✔")+COUNTIF(AP173:AP174,"=✔")+COUNTIF(AP181:AP182,"=✔")+COUNTIF(AP153:AP154,"=✔")+COUNTIF(AP185:AP186,"=✔")+COUNTIF(AP202:AP204,"=✔")+COUNTIF(AP177:AP178,"=✔")+COUNTIF(AP207:AP216,"=✔")+COUNTIF(AP219:AP222,"=✔")+COUNTIF(AP225:AP229,"=✔")+COUNTIF(AP197:AP199,"=✔")+COUNTIF(AP234,"=✔")+COUNTIF(AP9,"=✔")+COUNTIF(AP15,"=✔")+COUNTIF(AP21,"=✔")+COUNTIF(AP28,"=✔")+COUNTIF(AP37,"=✔")+COUNTIF(AP193:AP194,"=✔")+COUNTIF(AP189:AP190,"=✔")</f>
        <v>0</v>
      </c>
      <c r="AQ3" s="149">
        <f>COUNTIF(AQ62:AQ71,"=✔")+COUNTIF(AQ74:AQ82,"=✔")+COUNTIF(AQ85:AQ94,"=✔")+COUNTIF(AQ50:AQ59,"=✔")+COUNTIF(AQ97:AQ105,"=✔")+COUNTIF(AQ108:AQ117,"=✔")+COUNTIF(AQ120:AQ128,"=✔")+COUNTIF(AQ131:AQ140,"=✔")+COUNTIF(AQ143:AQ146,"=✔")+COUNTIF(AQ149:AQ150,"=✔")+COUNTIF(AQ157:AQ158,"=✔")+COUNTIF(AQ161:AQ162,"=✔")+COUNTIF(AQ165:AQ166,"=✔")+COUNTIF(AQ169:AQ170,"=✔")+COUNTIF(AQ173:AQ174,"=✔")+COUNTIF(AQ181:AQ182,"=✔")+COUNTIF(AQ153:AQ154,"=✔")+COUNTIF(AQ185:AQ186,"=✔")+COUNTIF(AQ202:AQ204,"=✔")+COUNTIF(AQ177:AQ178,"=✔")+COUNTIF(AQ207:AQ216,"=✔")+COUNTIF(AQ219:AQ222,"=✔")+COUNTIF(AQ225:AQ229,"=✔")+COUNTIF(AQ197:AQ199,"=✔")+COUNTIF(AQ234,"=✔")+COUNTIF(AQ9,"=✔")+COUNTIF(AQ15,"=✔")+COUNTIF(AQ21,"=✔")+COUNTIF(AQ28,"=✔")+COUNTIF(AQ37,"=✔")+COUNTIF(AQ193:AQ194,"=✔")+COUNTIF(AQ189:AQ190,"=✔")</f>
        <v>0</v>
      </c>
      <c r="AR3" s="151"/>
      <c r="AS3" s="146"/>
      <c r="AT3" s="146"/>
      <c r="AU3" s="149">
        <f t="shared" ref="AU3:BB3" si="3">COUNTIF(AU62:AU71,"=✔")+COUNTIF(AU74:AU82,"=✔")+COUNTIF(AU85:AU94,"=✔")+COUNTIF(AU50:AU59,"=✔")+COUNTIF(AU97:AU105,"=✔")+COUNTIF(AU108:AU117,"=✔")+COUNTIF(AU120:AU128,"=✔")+COUNTIF(AU131:AU140,"=✔")+COUNTIF(AU143:AU146,"=✔")+COUNTIF(AU149:AU150,"=✔")+COUNTIF(AU157:AU158,"=✔")+COUNTIF(AU161:AU162,"=✔")+COUNTIF(AU165:AU166,"=✔")+COUNTIF(AU169:AU170,"=✔")+COUNTIF(AU173:AU174,"=✔")+COUNTIF(AU181:AU182,"=✔")+COUNTIF(AU153:AU154,"=✔")+COUNTIF(AU185:AU186,"=✔")+COUNTIF(AU202:AU204,"=✔")+COUNTIF(AU177:AU178,"=✔")+COUNTIF(AU207:AU216,"=✔")+COUNTIF(AU219:AU222,"=✔")+COUNTIF(AU225:AU229,"=✔")+COUNTIF(AU197:AU199,"=✔")+COUNTIF(AU234,"=✔")+COUNTIF(AU9,"=✔")+COUNTIF(AU15,"=✔")+COUNTIF(AU21,"=✔")+COUNTIF(AU28,"=✔")+COUNTIF(AU37,"=✔")+COUNTIF(AU193:AU194,"=✔")+COUNTIF(AU189:AU190,"=✔")</f>
        <v>66</v>
      </c>
      <c r="AV3" s="149">
        <f t="shared" si="3"/>
        <v>62</v>
      </c>
      <c r="AW3" s="149">
        <f t="shared" si="3"/>
        <v>60</v>
      </c>
      <c r="AX3" s="149">
        <f t="shared" si="3"/>
        <v>6</v>
      </c>
      <c r="AY3" s="149">
        <f t="shared" si="3"/>
        <v>5</v>
      </c>
      <c r="AZ3" s="149">
        <f t="shared" si="3"/>
        <v>1</v>
      </c>
      <c r="BA3" s="149">
        <f t="shared" si="3"/>
        <v>0</v>
      </c>
      <c r="BB3" s="149">
        <f t="shared" si="3"/>
        <v>0</v>
      </c>
      <c r="BC3" s="151"/>
      <c r="BD3" s="149">
        <f>COUNTIF(BD62:BD71,"=✔")+COUNTIF(BD74:BD82,"=✔")+COUNTIF(BD85:BD94,"=✔")+COUNTIF(BD50:BD59,"=✔")+COUNTIF(BD97:BD105,"=✔")+COUNTIF(BD108:BD117,"=✔")+COUNTIF(BD120:BD128,"=✔")+COUNTIF(BD131:BD140,"=✔")+COUNTIF(BD143:BD146,"=✔")+COUNTIF(BD149:BD150,"=✔")+COUNTIF(BD157:BD158,"=✔")+COUNTIF(BD161:BD162,"=✔")+COUNTIF(BD165:BD166,"=✔")+COUNTIF(BD169:BD170,"=✔")+COUNTIF(BD173:BD174,"=✔")+COUNTIF(BD181:BD182,"=✔")+COUNTIF(BD153:BD154,"=✔")+COUNTIF(BD185:BD186,"=✔")+COUNTIF(BD202:BD204,"=✔")+COUNTIF(BD177:BD178,"=✔")+COUNTIF(BD207:BD216,"=✔")+COUNTIF(BD219:BD222,"=✔")+COUNTIF(BD225:BD229,"=✔")+COUNTIF(BD197:BD199,"=✔")+COUNTIF(BD234,"=✔")+COUNTIF(BD9,"=✔")+COUNTIF(BD15,"=✔")+COUNTIF(BD21,"=✔")+COUNTIF(BD28,"=✔")+COUNTIF(BD37,"=✔")+COUNTIF(BD193:BD194,"=✔")+COUNTIF(BD189:BD190,"=✔")</f>
        <v>2</v>
      </c>
      <c r="BE3" s="149">
        <f>COUNTIF(BE62:BE71,"=✔")+COUNTIF(BE74:BE82,"=✔")+COUNTIF(BE85:BE94,"=✔")+COUNTIF(BE50:BE59,"=✔")+COUNTIF(BE97:BE105,"=✔")+COUNTIF(BE108:BE117,"=✔")+COUNTIF(BE120:BE128,"=✔")+COUNTIF(BE131:BE140,"=✔")+COUNTIF(BE143:BE146,"=✔")+COUNTIF(BE149:BE150,"=✔")+COUNTIF(BE157:BE158,"=✔")+COUNTIF(BE161:BE162,"=✔")+COUNTIF(BE165:BE166,"=✔")+COUNTIF(BE169:BE170,"=✔")+COUNTIF(BE173:BE174,"=✔")+COUNTIF(BE181:BE182,"=✔")+COUNTIF(BE153:BE154,"=✔")+COUNTIF(BE185:BE186,"=✔")+COUNTIF(BE202:BE204,"=✔")+COUNTIF(BE177:BE178,"=✔")+COUNTIF(BE207:BE216,"=✔")+COUNTIF(BE219:BE222,"=✔")+COUNTIF(BE225:BE229,"=✔")+COUNTIF(BE197:BE199,"=✔")+COUNTIF(BE234,"=✔")+COUNTIF(BE9,"=✔")+COUNTIF(BE15,"=✔")+COUNTIF(BE21,"=✔")+COUNTIF(BE28,"=✔")+COUNTIF(BE37,"=✔")+COUNTIF(BE193:BE194,"=✔")+COUNTIF(BE189:BE190,"=✔")</f>
        <v>0</v>
      </c>
      <c r="BF3" s="149">
        <f>COUNTIF(BF62:BF71,"=✔")+COUNTIF(BF74:BF82,"=✔")+COUNTIF(BF85:BF94,"=✔")+COUNTIF(BF50:BF59,"=✔")+COUNTIF(BF97:BF105,"=✔")+COUNTIF(BF108:BF117,"=✔")+COUNTIF(BF120:BF128,"=✔")+COUNTIF(BF131:BF140,"=✔")+COUNTIF(BF143:BF146,"=✔")+COUNTIF(BF149:BF150,"=✔")+COUNTIF(BF157:BF158,"=✔")+COUNTIF(BF161:BF162,"=✔")+COUNTIF(BF165:BF166,"=✔")+COUNTIF(BF169:BF170,"=✔")+COUNTIF(BF173:BF174,"=✔")+COUNTIF(BF181:BF182,"=✔")+COUNTIF(BF153:BF154,"=✔")+COUNTIF(BF185:BF186,"=✔")+COUNTIF(BF202:BF204,"=✔")+COUNTIF(BF177:BF178,"=✔")+COUNTIF(BF207:BF216,"=✔")+COUNTIF(BF219:BF222,"=✔")+COUNTIF(BF225:BF229,"=✔")+COUNTIF(BF197:BF199,"=✔")+COUNTIF(BF234,"=✔")+COUNTIF(BF9,"=✔")+COUNTIF(BF15,"=✔")+COUNTIF(BF21,"=✔")+COUNTIF(BF28,"=✔")+COUNTIF(BF37,"=✔")+COUNTIF(BF193:BF194,"=✔")+COUNTIF(BF189:BF190,"=✔")</f>
        <v>1</v>
      </c>
      <c r="BG3" s="149">
        <f>COUNTIF(BG62:BG71,"=✔")+COUNTIF(BG74:BG82,"=✔")+COUNTIF(BG85:BG94,"=✔")+COUNTIF(BG50:BG59,"=✔")+COUNTIF(BG97:BG105,"=✔")+COUNTIF(BG108:BG117,"=✔")+COUNTIF(BG120:BG128,"=✔")+COUNTIF(BG131:BG140,"=✔")+COUNTIF(BG143:BG146,"=✔")+COUNTIF(BG149:BG150,"=✔")+COUNTIF(BG157:BG158,"=✔")+COUNTIF(BG161:BG162,"=✔")+COUNTIF(BG165:BG166,"=✔")+COUNTIF(BG169:BG170,"=✔")+COUNTIF(BG173:BG174,"=✔")+COUNTIF(BG181:BG182,"=✔")+COUNTIF(BG153:BG154,"=✔")+COUNTIF(BG185:BG186,"=✔")+COUNTIF(BG202:BG204,"=✔")+COUNTIF(BG177:BG178,"=✔")+COUNTIF(BG207:BG216,"=✔")+COUNTIF(BG219:BG222,"=✔")+COUNTIF(BG225:BG229,"=✔")+COUNTIF(BG197:BG199,"=✔")+COUNTIF(BG234,"=✔")+COUNTIF(BG9,"=✔")+COUNTIF(BG15,"=✔")+COUNTIF(BG21,"=✔")+COUNTIF(BG28,"=✔")+COUNTIF(BG37,"=✔")+COUNTIF(BG193:BG194,"=✔")+COUNTIF(BG189:BG190,"=✔")</f>
        <v>1</v>
      </c>
      <c r="BH3" s="149">
        <f>COUNTIF(BH62:BH71,"=✔")+COUNTIF(BH74:BH82,"=✔")+COUNTIF(BH85:BH94,"=✔")+COUNTIF(BH50:BH59,"=✔")+COUNTIF(BH97:BH105,"=✔")+COUNTIF(BH108:BH117,"=✔")+COUNTIF(BH120:BH128,"=✔")+COUNTIF(BH131:BH140,"=✔")+COUNTIF(BH143:BH146,"=✔")+COUNTIF(BH149:BH150,"=✔")+COUNTIF(BH157:BH158,"=✔")+COUNTIF(BH161:BH162,"=✔")+COUNTIF(BH165:BH166,"=✔")+COUNTIF(BH169:BH170,"=✔")+COUNTIF(BH173:BH174,"=✔")+COUNTIF(BH181:BH182,"=✔")+COUNTIF(BH153:BH154,"=✔")+COUNTIF(BH185:BH186,"=✔")+COUNTIF(BH202:BH204,"=✔")+COUNTIF(BH177:BH178,"=✔")+COUNTIF(BH207:BH216,"=✔")+COUNTIF(BH219:BH222,"=✔")+COUNTIF(BH225:BH229,"=✔")+COUNTIF(BH197:BH199,"=✔")+COUNTIF(BH234,"=✔")+COUNTIF(BH9,"=✔")+COUNTIF(BH15,"=✔")+COUNTIF(BH21,"=✔")+COUNTIF(BH28,"=✔")+COUNTIF(BH37,"=✔")+COUNTIF(BH193:BH194,"=✔")+COUNTIF(BH189:BH190,"=✔")</f>
        <v>0</v>
      </c>
      <c r="BI3" s="151"/>
      <c r="BJ3" s="146"/>
      <c r="BK3" s="146"/>
      <c r="BL3" s="149">
        <f t="shared" ref="BL3:BS3" si="4">COUNTIF(BL62:BL71,"=✔")+COUNTIF(BL74:BL82,"=✔")+COUNTIF(BL85:BL94,"=✔")+COUNTIF(BL50:BL59,"=✔")+COUNTIF(BL97:BL105,"=✔")+COUNTIF(BL108:BL117,"=✔")+COUNTIF(BL120:BL128,"=✔")+COUNTIF(BL131:BL140,"=✔")+COUNTIF(BL143:BL146,"=✔")+COUNTIF(BL149:BL150,"=✔")+COUNTIF(BL157:BL158,"=✔")+COUNTIF(BL161:BL162,"=✔")+COUNTIF(BL165:BL166,"=✔")+COUNTIF(BL169:BL170,"=✔")+COUNTIF(BL173:BL174,"=✔")+COUNTIF(BL181:BL182,"=✔")+COUNTIF(BL153:BL154,"=✔")+COUNTIF(BL185:BL186,"=✔")+COUNTIF(BL202:BL204,"=✔")+COUNTIF(BL177:BL178,"=✔")+COUNTIF(BL207:BL216,"=✔")+COUNTIF(BL219:BL222,"=✔")+COUNTIF(BL225:BL229,"=✔")+COUNTIF(BL197:BL199,"=✔")+COUNTIF(BL234,"=✔")+COUNTIF(BL9,"=✔")+COUNTIF(BL15,"=✔")+COUNTIF(BL21,"=✔")+COUNTIF(BL28,"=✔")+COUNTIF(BL37,"=✔")+COUNTIF(BL193:BL194,"=✔")+COUNTIF(BL189:BL190,"=✔")</f>
        <v>28</v>
      </c>
      <c r="BM3" s="149">
        <f t="shared" si="4"/>
        <v>26</v>
      </c>
      <c r="BN3" s="149">
        <f t="shared" si="4"/>
        <v>26</v>
      </c>
      <c r="BO3" s="149">
        <f>COUNTIF(BO62:BO71,"=✔")+COUNTIF(BO74:BO82,"=✔")+COUNTIF(BO85:BO94,"=✔")+COUNTIF(BO50:BO59,"=✔")+COUNTIF(BO97:BO105,"=✔")+COUNTIF(BO108:BO117,"=✔")+COUNTIF(BO120:BO128,"=✔")+COUNTIF(BO131:BO140,"=✔")+COUNTIF(BO143:BO146,"=✔")+COUNTIF(BO149:BO150,"=✔")+COUNTIF(BO157:BO158,"=✔")+COUNTIF(BO161:BO162,"=✔")+COUNTIF(BO165:BO166,"=✔")+COUNTIF(BO169:BO170,"=✔")+COUNTIF(BO173:BO174,"=✔")+COUNTIF(BO181:BO182,"=✔")+COUNTIF(BO153:BO154,"=✔")+COUNTIF(BO185:BO186,"=✔")+COUNTIF(BO202:BO204,"=✔")+COUNTIF(BO177:BO178,"=✔")+COUNTIF(BO207:BO216,"=✔")+COUNTIF(BO219:BO222,"=✔")+COUNTIF(BO225:BO229,"=✔")+COUNTIF(BO197:BO199,"=✔")+COUNTIF(BO234,"=✔")+COUNTIF(BO9,"=✔")+COUNTIF(BO15,"=✔")+COUNTIF(BO21,"=✔")+COUNTIF(BO28,"=✔")+COUNTIF(BO37,"=✔")+COUNTIF(BO193:BO194,"=✔")+COUNTIF(BO189:BO190,"=✔")</f>
        <v>2</v>
      </c>
      <c r="BP3" s="149">
        <f t="shared" si="4"/>
        <v>1</v>
      </c>
      <c r="BQ3" s="149">
        <f t="shared" si="4"/>
        <v>1</v>
      </c>
      <c r="BR3" s="149">
        <f t="shared" si="4"/>
        <v>0</v>
      </c>
      <c r="BS3" s="149">
        <f t="shared" si="4"/>
        <v>0</v>
      </c>
      <c r="BT3" s="151"/>
      <c r="BU3" s="149">
        <f>COUNTIF(BU62:BU71,"=✔")+COUNTIF(BU74:BU82,"=✔")+COUNTIF(BU85:BU94,"=✔")+COUNTIF(BU50:BU59,"=✔")+COUNTIF(BU97:BU105,"=✔")+COUNTIF(BU108:BU117,"=✔")+COUNTIF(BU120:BU128,"=✔")+COUNTIF(BU131:BU140,"=✔")+COUNTIF(BU143:BU146,"=✔")+COUNTIF(BU149:BU150,"=✔")+COUNTIF(BU157:BU158,"=✔")+COUNTIF(BU161:BU162,"=✔")+COUNTIF(BU165:BU166,"=✔")+COUNTIF(BU169:BU170,"=✔")+COUNTIF(BU173:BU174,"=✔")+COUNTIF(BU181:BU182,"=✔")+COUNTIF(BU153:BU154,"=✔")+COUNTIF(BU185:BU186,"=✔")+COUNTIF(BU202:BU204,"=✔")+COUNTIF(BU177:BU178,"=✔")+COUNTIF(BU207:BU216,"=✔")+COUNTIF(BU219:BU222,"=✔")+COUNTIF(BU225:BU229,"=✔")+COUNTIF(BU197:BU199,"=✔")+COUNTIF(BU234,"=✔")+COUNTIF(BU9,"=✔")+COUNTIF(BU15,"=✔")+COUNTIF(BU21,"=✔")+COUNTIF(BU28,"=✔")+COUNTIF(BU37,"=✔")+COUNTIF(BU193:BU194,"=✔")+COUNTIF(BU189:BU190,"=✔")</f>
        <v>0</v>
      </c>
      <c r="BV3" s="149">
        <f>COUNTIF(BV62:BV71,"=✔")+COUNTIF(BV74:BV82,"=✔")+COUNTIF(BV85:BV94,"=✔")+COUNTIF(BV50:BV59,"=✔")+COUNTIF(BV97:BV105,"=✔")+COUNTIF(BV108:BV117,"=✔")+COUNTIF(BV120:BV128,"=✔")+COUNTIF(BV131:BV140,"=✔")+COUNTIF(BV143:BV146,"=✔")+COUNTIF(BV149:BV150,"=✔")+COUNTIF(BV157:BV158,"=✔")+COUNTIF(BV161:BV162,"=✔")+COUNTIF(BV165:BV166,"=✔")+COUNTIF(BV169:BV170,"=✔")+COUNTIF(BV173:BV174,"=✔")+COUNTIF(BV181:BV182,"=✔")+COUNTIF(BV153:BV154,"=✔")+COUNTIF(BV185:BV186,"=✔")+COUNTIF(BV202:BV204,"=✔")+COUNTIF(BV177:BV178,"=✔")+COUNTIF(BV207:BV216,"=✔")+COUNTIF(BV219:BV222,"=✔")+COUNTIF(BV225:BV229,"=✔")+COUNTIF(BV197:BV199,"=✔")+COUNTIF(BV234,"=✔")+COUNTIF(BV9,"=✔")+COUNTIF(BV15,"=✔")+COUNTIF(BV21,"=✔")+COUNTIF(BV28,"=✔")+COUNTIF(BV37,"=✔")+COUNTIF(BV193:BV194,"=✔")+COUNTIF(BV189:BV190,"=✔")</f>
        <v>0</v>
      </c>
      <c r="BW3" s="149">
        <f>COUNTIF(BW62:BW71,"=✔")+COUNTIF(BW74:BW82,"=✔")+COUNTIF(BW85:BW94,"=✔")+COUNTIF(BW50:BW59,"=✔")+COUNTIF(BW97:BW105,"=✔")+COUNTIF(BW108:BW117,"=✔")+COUNTIF(BW120:BW128,"=✔")+COUNTIF(BW131:BW140,"=✔")+COUNTIF(BW143:BW146,"=✔")+COUNTIF(BW149:BW150,"=✔")+COUNTIF(BW157:BW158,"=✔")+COUNTIF(BW161:BW162,"=✔")+COUNTIF(BW165:BW166,"=✔")+COUNTIF(BW169:BW170,"=✔")+COUNTIF(BW173:BW174,"=✔")+COUNTIF(BW181:BW182,"=✔")+COUNTIF(BW153:BW154,"=✔")+COUNTIF(BW185:BW186,"=✔")+COUNTIF(BW202:BW204,"=✔")+COUNTIF(BW177:BW178,"=✔")+COUNTIF(BW207:BW216,"=✔")+COUNTIF(BW219:BW222,"=✔")+COUNTIF(BW225:BW229,"=✔")+COUNTIF(BW197:BW199,"=✔")+COUNTIF(BW234,"=✔")+COUNTIF(BW9,"=✔")+COUNTIF(BW15,"=✔")+COUNTIF(BW21,"=✔")+COUNTIF(BW28,"=✔")+COUNTIF(BW37,"=✔")+COUNTIF(BW193:BW194,"=✔")+COUNTIF(BW189:BW190,"=✔")</f>
        <v>0</v>
      </c>
      <c r="BX3" s="149">
        <f>COUNTIF(BX62:BX71,"=✔")+COUNTIF(BX74:BX82,"=✔")+COUNTIF(BX85:BX94,"=✔")+COUNTIF(BX50:BX59,"=✔")+COUNTIF(BX97:BX105,"=✔")+COUNTIF(BX108:BX117,"=✔")+COUNTIF(BX120:BX128,"=✔")+COUNTIF(BX131:BX140,"=✔")+COUNTIF(BX143:BX146,"=✔")+COUNTIF(BX149:BX150,"=✔")+COUNTIF(BX157:BX158,"=✔")+COUNTIF(BX161:BX162,"=✔")+COUNTIF(BX165:BX166,"=✔")+COUNTIF(BX169:BX170,"=✔")+COUNTIF(BX173:BX174,"=✔")+COUNTIF(BX181:BX182,"=✔")+COUNTIF(BX153:BX154,"=✔")+COUNTIF(BX185:BX186,"=✔")+COUNTIF(BX202:BX204,"=✔")+COUNTIF(BX177:BX178,"=✔")+COUNTIF(BX207:BX216,"=✔")+COUNTIF(BX219:BX222,"=✔")+COUNTIF(BX225:BX229,"=✔")+COUNTIF(BX197:BX199,"=✔")+COUNTIF(BX234,"=✔")+COUNTIF(BX9,"=✔")+COUNTIF(BX15,"=✔")+COUNTIF(BX21,"=✔")+COUNTIF(BX28,"=✔")+COUNTIF(BX37,"=✔")+COUNTIF(BX193:BX194,"=✔")+COUNTIF(BX189:BX190,"=✔")</f>
        <v>0</v>
      </c>
      <c r="BY3" s="149">
        <f>COUNTIF(BY62:BY71,"=✔")+COUNTIF(BY74:BY82,"=✔")+COUNTIF(BY85:BY94,"=✔")+COUNTIF(BY50:BY59,"=✔")+COUNTIF(BY97:BY105,"=✔")+COUNTIF(BY108:BY117,"=✔")+COUNTIF(BY120:BY128,"=✔")+COUNTIF(BY131:BY140,"=✔")+COUNTIF(BY143:BY146,"=✔")+COUNTIF(BY149:BY150,"=✔")+COUNTIF(BY157:BY158,"=✔")+COUNTIF(BY161:BY162,"=✔")+COUNTIF(BY165:BY166,"=✔")+COUNTIF(BY169:BY170,"=✔")+COUNTIF(BY173:BY174,"=✔")+COUNTIF(BY181:BY182,"=✔")+COUNTIF(BY153:BY154,"=✔")+COUNTIF(BY185:BY186,"=✔")+COUNTIF(BY202:BY204,"=✔")+COUNTIF(BY177:BY178,"=✔")+COUNTIF(BY207:BY216,"=✔")+COUNTIF(BY219:BY222,"=✔")+COUNTIF(BY225:BY229,"=✔")+COUNTIF(BY197:BY199,"=✔")+COUNTIF(BY234,"=✔")+COUNTIF(BY9,"=✔")+COUNTIF(BY15,"=✔")+COUNTIF(BY21,"=✔")+COUNTIF(BY28,"=✔")+COUNTIF(BY37,"=✔")+COUNTIF(BY193:BY194,"=✔")+COUNTIF(BY189:BY190,"=✔")</f>
        <v>0</v>
      </c>
      <c r="BZ3" s="137"/>
    </row>
    <row r="4" spans="1:78" ht="3" customHeight="1">
      <c r="A4" s="137"/>
      <c r="B4" s="138"/>
      <c r="C4" s="138"/>
      <c r="D4" s="159"/>
      <c r="E4" s="160"/>
      <c r="F4" s="162"/>
      <c r="G4" s="163"/>
      <c r="H4" s="163"/>
      <c r="I4" s="163"/>
      <c r="J4" s="165"/>
      <c r="K4" s="140"/>
      <c r="L4" s="161"/>
      <c r="M4" s="162"/>
      <c r="N4" s="162"/>
      <c r="O4" s="163"/>
      <c r="P4" s="163"/>
      <c r="Q4" s="163"/>
      <c r="R4" s="163"/>
      <c r="S4" s="163"/>
      <c r="T4" s="164"/>
      <c r="U4" s="165"/>
      <c r="V4" s="163"/>
      <c r="W4" s="163"/>
      <c r="X4" s="163"/>
      <c r="Y4" s="163"/>
      <c r="Z4" s="164"/>
      <c r="AA4" s="165"/>
      <c r="AB4" s="140"/>
      <c r="AC4" s="161"/>
      <c r="AD4" s="162"/>
      <c r="AE4" s="162"/>
      <c r="AF4" s="163"/>
      <c r="AG4" s="163"/>
      <c r="AH4" s="163"/>
      <c r="AI4" s="163"/>
      <c r="AJ4" s="163"/>
      <c r="AK4" s="164"/>
      <c r="AL4" s="161"/>
      <c r="AM4" s="163"/>
      <c r="AN4" s="163"/>
      <c r="AO4" s="163"/>
      <c r="AP4" s="163"/>
      <c r="AQ4" s="164"/>
      <c r="AR4" s="161"/>
      <c r="AS4" s="140"/>
      <c r="AT4" s="161"/>
      <c r="AU4" s="162"/>
      <c r="AV4" s="162"/>
      <c r="AW4" s="163"/>
      <c r="AX4" s="163"/>
      <c r="AY4" s="163"/>
      <c r="AZ4" s="163"/>
      <c r="BA4" s="163"/>
      <c r="BB4" s="164"/>
      <c r="BC4" s="161"/>
      <c r="BD4" s="163"/>
      <c r="BE4" s="163"/>
      <c r="BF4" s="163"/>
      <c r="BG4" s="163"/>
      <c r="BH4" s="164"/>
      <c r="BI4" s="161"/>
      <c r="BJ4" s="140"/>
      <c r="BK4" s="161"/>
      <c r="BL4" s="162"/>
      <c r="BM4" s="162"/>
      <c r="BN4" s="163"/>
      <c r="BO4" s="163"/>
      <c r="BP4" s="163"/>
      <c r="BQ4" s="163"/>
      <c r="BR4" s="163"/>
      <c r="BS4" s="164"/>
      <c r="BT4" s="160"/>
      <c r="BU4" s="163"/>
      <c r="BV4" s="163"/>
      <c r="BW4" s="163"/>
      <c r="BX4" s="163"/>
      <c r="BY4" s="164"/>
      <c r="BZ4" s="137"/>
    </row>
    <row r="5" spans="1:78" ht="3" customHeight="1">
      <c r="A5" s="137"/>
      <c r="B5" s="166"/>
      <c r="C5" s="166"/>
      <c r="D5" s="167"/>
      <c r="E5" s="168"/>
      <c r="F5" s="170"/>
      <c r="G5" s="171"/>
      <c r="H5" s="171"/>
      <c r="I5" s="171"/>
      <c r="J5" s="169"/>
      <c r="K5" s="169"/>
      <c r="L5" s="169"/>
      <c r="M5" s="170"/>
      <c r="N5" s="170"/>
      <c r="O5" s="171"/>
      <c r="P5" s="171"/>
      <c r="Q5" s="171"/>
      <c r="R5" s="171"/>
      <c r="S5" s="171"/>
      <c r="T5" s="172"/>
      <c r="U5" s="169"/>
      <c r="V5" s="171"/>
      <c r="W5" s="171"/>
      <c r="X5" s="171"/>
      <c r="Y5" s="171"/>
      <c r="Z5" s="172"/>
      <c r="AA5" s="169"/>
      <c r="AB5" s="169"/>
      <c r="AC5" s="169"/>
      <c r="AD5" s="170"/>
      <c r="AE5" s="170"/>
      <c r="AF5" s="171"/>
      <c r="AG5" s="171"/>
      <c r="AH5" s="171"/>
      <c r="AI5" s="171"/>
      <c r="AJ5" s="171"/>
      <c r="AK5" s="172"/>
      <c r="AL5" s="173"/>
      <c r="AM5" s="171"/>
      <c r="AN5" s="171"/>
      <c r="AO5" s="171"/>
      <c r="AP5" s="171"/>
      <c r="AQ5" s="172"/>
      <c r="AR5" s="173"/>
      <c r="AS5" s="169"/>
      <c r="AT5" s="169"/>
      <c r="AU5" s="170"/>
      <c r="AV5" s="170"/>
      <c r="AW5" s="171"/>
      <c r="AX5" s="171"/>
      <c r="AY5" s="171"/>
      <c r="AZ5" s="171"/>
      <c r="BA5" s="171"/>
      <c r="BB5" s="172"/>
      <c r="BC5" s="173"/>
      <c r="BD5" s="171"/>
      <c r="BE5" s="171"/>
      <c r="BF5" s="171"/>
      <c r="BG5" s="171"/>
      <c r="BH5" s="172"/>
      <c r="BI5" s="173"/>
      <c r="BJ5" s="169"/>
      <c r="BK5" s="169"/>
      <c r="BL5" s="170"/>
      <c r="BM5" s="170"/>
      <c r="BN5" s="171"/>
      <c r="BO5" s="171"/>
      <c r="BP5" s="171"/>
      <c r="BQ5" s="171"/>
      <c r="BR5" s="171"/>
      <c r="BS5" s="172"/>
      <c r="BT5" s="169"/>
      <c r="BU5" s="171"/>
      <c r="BV5" s="171"/>
      <c r="BW5" s="171"/>
      <c r="BX5" s="171"/>
      <c r="BY5" s="172"/>
      <c r="BZ5" s="137"/>
    </row>
    <row r="6" spans="1:78" ht="3.6" customHeight="1">
      <c r="A6" s="137"/>
      <c r="B6" s="138"/>
      <c r="C6" s="138"/>
      <c r="D6" s="159"/>
      <c r="E6" s="160"/>
      <c r="F6" s="162"/>
      <c r="G6" s="175"/>
      <c r="H6" s="175"/>
      <c r="I6" s="175"/>
      <c r="J6" s="177"/>
      <c r="K6" s="174"/>
      <c r="L6" s="161"/>
      <c r="M6" s="162"/>
      <c r="N6" s="162"/>
      <c r="O6" s="175"/>
      <c r="P6" s="175"/>
      <c r="Q6" s="175"/>
      <c r="R6" s="175"/>
      <c r="S6" s="175"/>
      <c r="T6" s="176"/>
      <c r="U6" s="177"/>
      <c r="V6" s="175"/>
      <c r="W6" s="175"/>
      <c r="X6" s="175"/>
      <c r="Y6" s="175"/>
      <c r="Z6" s="176"/>
      <c r="AA6" s="177"/>
      <c r="AB6" s="174"/>
      <c r="AC6" s="161"/>
      <c r="AD6" s="162"/>
      <c r="AE6" s="162"/>
      <c r="AF6" s="175"/>
      <c r="AG6" s="175"/>
      <c r="AH6" s="175"/>
      <c r="AI6" s="175"/>
      <c r="AJ6" s="175"/>
      <c r="AK6" s="176"/>
      <c r="AL6" s="161"/>
      <c r="AM6" s="175"/>
      <c r="AN6" s="175"/>
      <c r="AO6" s="175"/>
      <c r="AP6" s="175"/>
      <c r="AQ6" s="176"/>
      <c r="AR6" s="161"/>
      <c r="AS6" s="174"/>
      <c r="AT6" s="161"/>
      <c r="AU6" s="162"/>
      <c r="AV6" s="162"/>
      <c r="AW6" s="175"/>
      <c r="AX6" s="175"/>
      <c r="AY6" s="175"/>
      <c r="AZ6" s="175"/>
      <c r="BA6" s="175"/>
      <c r="BB6" s="176"/>
      <c r="BC6" s="161"/>
      <c r="BD6" s="175"/>
      <c r="BE6" s="175"/>
      <c r="BF6" s="175"/>
      <c r="BG6" s="175"/>
      <c r="BH6" s="176"/>
      <c r="BI6" s="161"/>
      <c r="BJ6" s="174"/>
      <c r="BK6" s="161"/>
      <c r="BL6" s="162"/>
      <c r="BM6" s="162"/>
      <c r="BN6" s="175"/>
      <c r="BO6" s="175"/>
      <c r="BP6" s="175"/>
      <c r="BQ6" s="175"/>
      <c r="BR6" s="175"/>
      <c r="BS6" s="176"/>
      <c r="BT6" s="160"/>
      <c r="BU6" s="175"/>
      <c r="BV6" s="175"/>
      <c r="BW6" s="175"/>
      <c r="BX6" s="175"/>
      <c r="BY6" s="176"/>
      <c r="BZ6" s="137"/>
    </row>
    <row r="7" spans="1:78" ht="18" collapsed="1">
      <c r="A7" s="137"/>
      <c r="B7" s="137"/>
      <c r="C7" s="695" t="s">
        <v>20</v>
      </c>
      <c r="D7" s="695"/>
      <c r="E7" s="160"/>
      <c r="F7" s="180"/>
      <c r="G7" s="180"/>
      <c r="H7" s="180"/>
      <c r="I7" s="180"/>
      <c r="J7" s="181"/>
      <c r="K7" s="178"/>
      <c r="L7" s="179"/>
      <c r="M7" s="180"/>
      <c r="N7" s="180"/>
      <c r="O7" s="180"/>
      <c r="P7" s="180"/>
      <c r="Q7" s="180"/>
      <c r="R7" s="180"/>
      <c r="S7" s="180"/>
      <c r="T7" s="180"/>
      <c r="U7" s="181"/>
      <c r="V7" s="180"/>
      <c r="W7" s="180"/>
      <c r="X7" s="180"/>
      <c r="Y7" s="180"/>
      <c r="Z7" s="180"/>
      <c r="AA7" s="181"/>
      <c r="AB7" s="178"/>
      <c r="AC7" s="179"/>
      <c r="AD7" s="180"/>
      <c r="AE7" s="180"/>
      <c r="AF7" s="180"/>
      <c r="AG7" s="180"/>
      <c r="AH7" s="180"/>
      <c r="AI7" s="180"/>
      <c r="AJ7" s="180"/>
      <c r="AK7" s="180"/>
      <c r="AL7" s="179"/>
      <c r="AM7" s="180"/>
      <c r="AN7" s="180"/>
      <c r="AO7" s="180"/>
      <c r="AP7" s="180"/>
      <c r="AQ7" s="180"/>
      <c r="AR7" s="179"/>
      <c r="AS7" s="178"/>
      <c r="AT7" s="179"/>
      <c r="AU7" s="180"/>
      <c r="AV7" s="180"/>
      <c r="AW7" s="180"/>
      <c r="AX7" s="180"/>
      <c r="AY7" s="180"/>
      <c r="AZ7" s="180"/>
      <c r="BA7" s="180"/>
      <c r="BB7" s="180"/>
      <c r="BC7" s="179"/>
      <c r="BD7" s="180"/>
      <c r="BE7" s="180"/>
      <c r="BF7" s="180"/>
      <c r="BG7" s="180"/>
      <c r="BH7" s="180"/>
      <c r="BI7" s="179"/>
      <c r="BJ7" s="178"/>
      <c r="BK7" s="179"/>
      <c r="BL7" s="180"/>
      <c r="BM7" s="180"/>
      <c r="BN7" s="180"/>
      <c r="BO7" s="180"/>
      <c r="BP7" s="180"/>
      <c r="BQ7" s="180"/>
      <c r="BR7" s="180"/>
      <c r="BS7" s="180"/>
      <c r="BT7" s="182"/>
      <c r="BU7" s="180"/>
      <c r="BV7" s="180"/>
      <c r="BW7" s="180"/>
      <c r="BX7" s="180"/>
      <c r="BY7" s="180"/>
      <c r="BZ7" s="137"/>
    </row>
    <row r="8" spans="1:78" ht="3" hidden="1" customHeight="1" outlineLevel="1">
      <c r="A8" s="137"/>
      <c r="B8" s="138"/>
      <c r="C8" s="138"/>
      <c r="D8" s="160"/>
      <c r="E8" s="160"/>
      <c r="F8" s="162"/>
      <c r="G8" s="175"/>
      <c r="H8" s="175"/>
      <c r="I8" s="175"/>
      <c r="J8" s="184"/>
      <c r="K8" s="174"/>
      <c r="L8" s="183"/>
      <c r="M8" s="162"/>
      <c r="N8" s="162"/>
      <c r="O8" s="175"/>
      <c r="P8" s="175"/>
      <c r="Q8" s="175"/>
      <c r="R8" s="175"/>
      <c r="S8" s="175"/>
      <c r="T8" s="175"/>
      <c r="U8" s="184"/>
      <c r="V8" s="175"/>
      <c r="W8" s="175"/>
      <c r="X8" s="175"/>
      <c r="Y8" s="175"/>
      <c r="Z8" s="175"/>
      <c r="AA8" s="184"/>
      <c r="AB8" s="174"/>
      <c r="AC8" s="183"/>
      <c r="AD8" s="162"/>
      <c r="AE8" s="162"/>
      <c r="AF8" s="175"/>
      <c r="AG8" s="175"/>
      <c r="AH8" s="175"/>
      <c r="AI8" s="175"/>
      <c r="AJ8" s="175"/>
      <c r="AK8" s="175"/>
      <c r="AL8" s="175"/>
      <c r="AM8" s="175"/>
      <c r="AN8" s="175"/>
      <c r="AO8" s="175"/>
      <c r="AP8" s="175"/>
      <c r="AQ8" s="175"/>
      <c r="AR8" s="175"/>
      <c r="AS8" s="175"/>
      <c r="AT8" s="175"/>
      <c r="AU8" s="162"/>
      <c r="AV8" s="162"/>
      <c r="AW8" s="175"/>
      <c r="AX8" s="175"/>
      <c r="AY8" s="175"/>
      <c r="AZ8" s="175"/>
      <c r="BA8" s="175"/>
      <c r="BB8" s="175"/>
      <c r="BC8" s="175"/>
      <c r="BD8" s="175"/>
      <c r="BE8" s="175"/>
      <c r="BF8" s="175"/>
      <c r="BG8" s="175"/>
      <c r="BH8" s="175"/>
      <c r="BI8" s="175"/>
      <c r="BJ8" s="175"/>
      <c r="BK8" s="175"/>
      <c r="BL8" s="162"/>
      <c r="BM8" s="162"/>
      <c r="BN8" s="175"/>
      <c r="BO8" s="175"/>
      <c r="BP8" s="175"/>
      <c r="BQ8" s="175"/>
      <c r="BR8" s="175"/>
      <c r="BS8" s="175"/>
      <c r="BT8" s="160"/>
      <c r="BU8" s="175"/>
      <c r="BV8" s="175"/>
      <c r="BW8" s="175"/>
      <c r="BX8" s="175"/>
      <c r="BY8" s="175"/>
      <c r="BZ8" s="137"/>
    </row>
    <row r="9" spans="1:78" ht="12.75" hidden="1" outlineLevel="1">
      <c r="A9" s="137"/>
      <c r="B9" s="185">
        <v>1</v>
      </c>
      <c r="C9" s="186">
        <v>1</v>
      </c>
      <c r="D9" s="187" t="s">
        <v>21</v>
      </c>
      <c r="E9" s="188"/>
      <c r="F9" s="190">
        <f>COUNTIF(M9,"✔")+COUNTIF(AD9,"✔")+COUNTIF(BL9,"✔")+COUNTIF(AU9,"✔")</f>
        <v>1</v>
      </c>
      <c r="G9" s="190">
        <f>COUNTIF(N9,"✔")+COUNTIF(AE9,"✔")+COUNTIF(BM9,"✔")+COUNTIF(AV9,"✔")</f>
        <v>1</v>
      </c>
      <c r="H9" s="190">
        <f>COUNTIF(O9,"✔")+COUNTIF(AF9,"✔")+COUNTIF(BN9,"✔")+COUNTIF(AW9,"✔")</f>
        <v>1</v>
      </c>
      <c r="I9" s="191">
        <f>F9-G9</f>
        <v>0</v>
      </c>
      <c r="J9" s="192"/>
      <c r="K9" s="190"/>
      <c r="L9" s="189"/>
      <c r="M9" s="190" t="str">
        <f>IF('Design Fee'!W11&gt;0,"✔","-")</f>
        <v>✔</v>
      </c>
      <c r="N9" s="190" t="str">
        <f>IF('Design Fee'!X11&gt;0,"✔","-")</f>
        <v>✔</v>
      </c>
      <c r="O9" s="191" t="str">
        <f>IF('Design Fee'!Y11&gt;0,"✔","-")</f>
        <v>✔</v>
      </c>
      <c r="P9" s="191" t="str">
        <f>IF('Design Fee'!Z11&gt;0,"✔","-")</f>
        <v>-</v>
      </c>
      <c r="Q9" s="191" t="str">
        <f>IF('Design Fee'!AA11&gt;0,"✔","-")</f>
        <v>-</v>
      </c>
      <c r="R9" s="191" t="str">
        <f>IF('Design Fee'!AB11&gt;0,"✔","-")</f>
        <v>-</v>
      </c>
      <c r="S9" s="191" t="str">
        <f>IF('Design Fee'!AC11&gt;0,"✔","-")</f>
        <v>-</v>
      </c>
      <c r="T9" s="191" t="str">
        <f>IF('Design Fee'!AD11&gt;0,"✔","-")</f>
        <v>-</v>
      </c>
      <c r="U9" s="192"/>
      <c r="V9" s="191" t="str">
        <f>IF('Design Fee'!AF11&gt;0,"✔","-")</f>
        <v>-</v>
      </c>
      <c r="W9" s="191" t="str">
        <f>IF('Design Fee'!AG11&gt;0,"✔","-")</f>
        <v>-</v>
      </c>
      <c r="X9" s="191" t="str">
        <f>IF('Design Fee'!AH11&gt;0,"✔","-")</f>
        <v>-</v>
      </c>
      <c r="Y9" s="191" t="str">
        <f>IF('Design Fee'!AI11&gt;0,"✔","-")</f>
        <v>-</v>
      </c>
      <c r="Z9" s="191" t="str">
        <f>IF('Design Fee'!AJ11&gt;0,"✔","-")</f>
        <v>-</v>
      </c>
      <c r="AA9" s="192"/>
      <c r="AB9" s="190" t="str">
        <f>AD9</f>
        <v>-</v>
      </c>
      <c r="AC9" s="189"/>
      <c r="AD9" s="190" t="str">
        <f>IF('Design Fee'!BG11&gt;0,"✔","-")</f>
        <v>-</v>
      </c>
      <c r="AE9" s="190" t="str">
        <f>IF('Design Fee'!BH11&gt;0,"✔","-")</f>
        <v>-</v>
      </c>
      <c r="AF9" s="191" t="str">
        <f>IF('Design Fee'!BI11&gt;0,"✔","-")</f>
        <v>-</v>
      </c>
      <c r="AG9" s="191" t="str">
        <f>IF('Design Fee'!BJ11&gt;0,"✔","-")</f>
        <v>-</v>
      </c>
      <c r="AH9" s="191" t="str">
        <f>IF('Design Fee'!BK11&gt;0,"✔","-")</f>
        <v>-</v>
      </c>
      <c r="AI9" s="191" t="str">
        <f>IF('Design Fee'!BL11&gt;0,"✔","-")</f>
        <v>-</v>
      </c>
      <c r="AJ9" s="191" t="str">
        <f>IF('Design Fee'!BM11&gt;0,"✔","-")</f>
        <v>-</v>
      </c>
      <c r="AK9" s="191" t="str">
        <f>IF('Design Fee'!BN11&gt;0,"✔","-")</f>
        <v>-</v>
      </c>
      <c r="AL9" s="189"/>
      <c r="AM9" s="191" t="str">
        <f>IF('Design Fee'!BP11&gt;0,"✔","-")</f>
        <v>-</v>
      </c>
      <c r="AN9" s="191" t="str">
        <f>IF('Design Fee'!BQ11&gt;0,"✔","-")</f>
        <v>-</v>
      </c>
      <c r="AO9" s="191" t="str">
        <f>IF('Design Fee'!BR11&gt;0,"✔","-")</f>
        <v>-</v>
      </c>
      <c r="AP9" s="191" t="str">
        <f>IF('Design Fee'!BS11&gt;0,"✔","-")</f>
        <v>-</v>
      </c>
      <c r="AQ9" s="191" t="str">
        <f>IF('Design Fee'!BT11&gt;0,"✔","-")</f>
        <v>-</v>
      </c>
      <c r="AR9" s="189"/>
      <c r="AS9" s="190" t="str">
        <f>AU9</f>
        <v>-</v>
      </c>
      <c r="AT9" s="189"/>
      <c r="AU9" s="190" t="str">
        <f>IF('Design Fee'!CQ11&gt;0,"✔","-")</f>
        <v>-</v>
      </c>
      <c r="AV9" s="190" t="str">
        <f>IF('Design Fee'!CR11&gt;0,"✔","-")</f>
        <v>-</v>
      </c>
      <c r="AW9" s="191" t="str">
        <f>IF('Design Fee'!CS11&gt;0,"✔","-")</f>
        <v>-</v>
      </c>
      <c r="AX9" s="191" t="str">
        <f>IF('Design Fee'!CT11&gt;0,"✔","-")</f>
        <v>-</v>
      </c>
      <c r="AY9" s="191" t="str">
        <f>IF('Design Fee'!CU11&gt;0,"✔","-")</f>
        <v>-</v>
      </c>
      <c r="AZ9" s="191" t="str">
        <f>IF('Design Fee'!CV11&gt;0,"✔","-")</f>
        <v>-</v>
      </c>
      <c r="BA9" s="191" t="str">
        <f>IF('Design Fee'!CW11&gt;0,"✔","-")</f>
        <v>-</v>
      </c>
      <c r="BB9" s="191" t="str">
        <f>IF('Design Fee'!CX11&gt;0,"✔","-")</f>
        <v>-</v>
      </c>
      <c r="BC9" s="189"/>
      <c r="BD9" s="191" t="str">
        <f>IF('Design Fee'!CZ11&gt;0,"✔","-")</f>
        <v>-</v>
      </c>
      <c r="BE9" s="191" t="str">
        <f>IF('Design Fee'!DA11&gt;0,"✔","-")</f>
        <v>-</v>
      </c>
      <c r="BF9" s="191" t="str">
        <f>IF('Design Fee'!DB11&gt;0,"✔","-")</f>
        <v>-</v>
      </c>
      <c r="BG9" s="191" t="str">
        <f>IF('Design Fee'!DC11&gt;0,"✔","-")</f>
        <v>-</v>
      </c>
      <c r="BH9" s="191" t="str">
        <f>IF('Design Fee'!DD11&gt;0,"✔","-")</f>
        <v>-</v>
      </c>
      <c r="BI9" s="189"/>
      <c r="BJ9" s="190" t="str">
        <f>BL9</f>
        <v>-</v>
      </c>
      <c r="BK9" s="189"/>
      <c r="BL9" s="190" t="str">
        <f>IF('Design Fee'!EA11&gt;0,"✔","-")</f>
        <v>-</v>
      </c>
      <c r="BM9" s="190" t="str">
        <f>IF('Design Fee'!EB11&gt;0,"✔","-")</f>
        <v>-</v>
      </c>
      <c r="BN9" s="191" t="str">
        <f>IF('Design Fee'!EC11&gt;0,"✔","-")</f>
        <v>-</v>
      </c>
      <c r="BO9" s="191" t="str">
        <f>IF('Design Fee'!ED11&gt;0,"✔","-")</f>
        <v>-</v>
      </c>
      <c r="BP9" s="191" t="str">
        <f>IF('Design Fee'!EE11&gt;0,"✔","-")</f>
        <v>-</v>
      </c>
      <c r="BQ9" s="191" t="str">
        <f>IF('Design Fee'!EF11&gt;0,"✔","-")</f>
        <v>-</v>
      </c>
      <c r="BR9" s="191" t="str">
        <f>IF('Design Fee'!EG11&gt;0,"✔","-")</f>
        <v>-</v>
      </c>
      <c r="BS9" s="191" t="str">
        <f>IF('Design Fee'!EH11&gt;0,"✔","-")</f>
        <v>-</v>
      </c>
      <c r="BT9" s="137"/>
      <c r="BU9" s="191" t="str">
        <f>IF('Design Fee'!EJ11&gt;0,"✔","-")</f>
        <v>-</v>
      </c>
      <c r="BV9" s="191" t="str">
        <f>IF('Design Fee'!EK11&gt;0,"✔","-")</f>
        <v>-</v>
      </c>
      <c r="BW9" s="191" t="str">
        <f>IF('Design Fee'!EL11&gt;0,"✔","-")</f>
        <v>-</v>
      </c>
      <c r="BX9" s="191" t="str">
        <f>IF('Design Fee'!EM11&gt;0,"✔","-")</f>
        <v>-</v>
      </c>
      <c r="BY9" s="191" t="str">
        <f>IF('Design Fee'!EN11&gt;0,"✔","-")</f>
        <v>-</v>
      </c>
      <c r="BZ9" s="137"/>
    </row>
    <row r="10" spans="1:78" ht="13.35" hidden="1" customHeight="1" outlineLevel="2">
      <c r="A10" s="137"/>
      <c r="B10" s="193"/>
      <c r="C10" s="193">
        <v>1</v>
      </c>
      <c r="D10" s="194" t="s">
        <v>22</v>
      </c>
      <c r="E10" s="137"/>
      <c r="F10" s="197"/>
      <c r="G10" s="198"/>
      <c r="H10" s="198"/>
      <c r="I10" s="198"/>
      <c r="J10" s="184"/>
      <c r="K10" s="195"/>
      <c r="L10" s="196"/>
      <c r="M10" s="197" t="str">
        <f>IF('Design Fee'!W12&gt;0,"✔","-")</f>
        <v>-</v>
      </c>
      <c r="N10" s="197" t="str">
        <f>IF('Design Fee'!X12&gt;0,"✔","-")</f>
        <v>-</v>
      </c>
      <c r="O10" s="198" t="str">
        <f>IF('Design Fee'!Y12&gt;0,"✔","-")</f>
        <v>-</v>
      </c>
      <c r="P10" s="198" t="str">
        <f>IF('Design Fee'!Z12&gt;0,"✔","-")</f>
        <v>-</v>
      </c>
      <c r="Q10" s="198" t="str">
        <f>IF('Design Fee'!AA12&gt;0,"✔","-")</f>
        <v>-</v>
      </c>
      <c r="R10" s="198" t="str">
        <f>IF('Design Fee'!AB12&gt;0,"✔","-")</f>
        <v>-</v>
      </c>
      <c r="S10" s="198" t="str">
        <f>IF('Design Fee'!AC12&gt;0,"✔","-")</f>
        <v>-</v>
      </c>
      <c r="T10" s="198" t="str">
        <f>IF('Design Fee'!AD12&gt;0,"✔","-")</f>
        <v>-</v>
      </c>
      <c r="U10" s="184"/>
      <c r="V10" s="198" t="str">
        <f>IF('Design Fee'!AF12&gt;0,"✔","-")</f>
        <v>-</v>
      </c>
      <c r="W10" s="198" t="str">
        <f>IF('Design Fee'!AG12&gt;0,"✔","-")</f>
        <v>-</v>
      </c>
      <c r="X10" s="198" t="str">
        <f>IF('Design Fee'!AH12&gt;0,"✔","-")</f>
        <v>-</v>
      </c>
      <c r="Y10" s="198" t="str">
        <f>IF('Design Fee'!AI12&gt;0,"✔","-")</f>
        <v>-</v>
      </c>
      <c r="Z10" s="198" t="str">
        <f>IF('Design Fee'!AJ12&gt;0,"✔","-")</f>
        <v>-</v>
      </c>
      <c r="AA10" s="184"/>
      <c r="AB10" s="195"/>
      <c r="AC10" s="196"/>
      <c r="AD10" s="197" t="str">
        <f>IF('Design Fee'!BG12&gt;0,"✔","-")</f>
        <v>-</v>
      </c>
      <c r="AE10" s="197" t="str">
        <f>IF('Design Fee'!BH12&gt;0,"✔","-")</f>
        <v>-</v>
      </c>
      <c r="AF10" s="198" t="str">
        <f>IF('Design Fee'!BI12&gt;0,"✔","-")</f>
        <v>-</v>
      </c>
      <c r="AG10" s="198" t="str">
        <f>IF('Design Fee'!BJ12&gt;0,"✔","-")</f>
        <v>-</v>
      </c>
      <c r="AH10" s="198" t="str">
        <f>IF('Design Fee'!BK12&gt;0,"✔","-")</f>
        <v>-</v>
      </c>
      <c r="AI10" s="198" t="str">
        <f>IF('Design Fee'!BL12&gt;0,"✔","-")</f>
        <v>-</v>
      </c>
      <c r="AJ10" s="198" t="str">
        <f>IF('Design Fee'!BM12&gt;0,"✔","-")</f>
        <v>-</v>
      </c>
      <c r="AK10" s="198" t="str">
        <f>IF('Design Fee'!BN12&gt;0,"✔","-")</f>
        <v>-</v>
      </c>
      <c r="AL10" s="199"/>
      <c r="AM10" s="198" t="str">
        <f>IF('Design Fee'!BP12&gt;0,"✔","-")</f>
        <v>-</v>
      </c>
      <c r="AN10" s="198" t="str">
        <f>IF('Design Fee'!BQ12&gt;0,"✔","-")</f>
        <v>-</v>
      </c>
      <c r="AO10" s="198" t="str">
        <f>IF('Design Fee'!BR12&gt;0,"✔","-")</f>
        <v>-</v>
      </c>
      <c r="AP10" s="198" t="str">
        <f>IF('Design Fee'!BS12&gt;0,"✔","-")</f>
        <v>-</v>
      </c>
      <c r="AQ10" s="198" t="str">
        <f>IF('Design Fee'!BT12&gt;0,"✔","-")</f>
        <v>-</v>
      </c>
      <c r="AR10" s="199"/>
      <c r="AS10" s="195"/>
      <c r="AT10" s="196"/>
      <c r="AU10" s="197" t="str">
        <f>IF('Design Fee'!CQ12&gt;0,"✔","-")</f>
        <v>-</v>
      </c>
      <c r="AV10" s="197" t="str">
        <f>IF('Design Fee'!CR12&gt;0,"✔","-")</f>
        <v>-</v>
      </c>
      <c r="AW10" s="198" t="str">
        <f>IF('Design Fee'!CS12&gt;0,"✔","-")</f>
        <v>-</v>
      </c>
      <c r="AX10" s="198" t="str">
        <f>IF('Design Fee'!CT12&gt;0,"✔","-")</f>
        <v>-</v>
      </c>
      <c r="AY10" s="198" t="str">
        <f>IF('Design Fee'!CU12&gt;0,"✔","-")</f>
        <v>-</v>
      </c>
      <c r="AZ10" s="198" t="str">
        <f>IF('Design Fee'!CV12&gt;0,"✔","-")</f>
        <v>-</v>
      </c>
      <c r="BA10" s="198" t="str">
        <f>IF('Design Fee'!CW12&gt;0,"✔","-")</f>
        <v>-</v>
      </c>
      <c r="BB10" s="198" t="str">
        <f>IF('Design Fee'!CX12&gt;0,"✔","-")</f>
        <v>-</v>
      </c>
      <c r="BC10" s="199"/>
      <c r="BD10" s="198" t="str">
        <f>IF('Design Fee'!CZ12&gt;0,"✔","-")</f>
        <v>-</v>
      </c>
      <c r="BE10" s="198" t="str">
        <f>IF('Design Fee'!DA12&gt;0,"✔","-")</f>
        <v>-</v>
      </c>
      <c r="BF10" s="198" t="str">
        <f>IF('Design Fee'!DB12&gt;0,"✔","-")</f>
        <v>-</v>
      </c>
      <c r="BG10" s="198" t="str">
        <f>IF('Design Fee'!DC12&gt;0,"✔","-")</f>
        <v>-</v>
      </c>
      <c r="BH10" s="198" t="str">
        <f>IF('Design Fee'!DD12&gt;0,"✔","-")</f>
        <v>-</v>
      </c>
      <c r="BI10" s="199"/>
      <c r="BJ10" s="195"/>
      <c r="BK10" s="196"/>
      <c r="BL10" s="197" t="str">
        <f>IF('Design Fee'!EA12&gt;0,"✔","-")</f>
        <v>-</v>
      </c>
      <c r="BM10" s="197" t="str">
        <f>IF('Design Fee'!EB12&gt;0,"✔","-")</f>
        <v>-</v>
      </c>
      <c r="BN10" s="198" t="str">
        <f>IF('Design Fee'!EC12&gt;0,"✔","-")</f>
        <v>-</v>
      </c>
      <c r="BO10" s="198" t="str">
        <f>IF('Design Fee'!ED12&gt;0,"✔","-")</f>
        <v>-</v>
      </c>
      <c r="BP10" s="198" t="str">
        <f>IF('Design Fee'!EE12&gt;0,"✔","-")</f>
        <v>-</v>
      </c>
      <c r="BQ10" s="198" t="str">
        <f>IF('Design Fee'!EF12&gt;0,"✔","-")</f>
        <v>-</v>
      </c>
      <c r="BR10" s="198" t="str">
        <f>IF('Design Fee'!EG12&gt;0,"✔","-")</f>
        <v>-</v>
      </c>
      <c r="BS10" s="198" t="str">
        <f>IF('Design Fee'!EH12&gt;0,"✔","-")</f>
        <v>-</v>
      </c>
      <c r="BT10" s="137"/>
      <c r="BU10" s="198" t="str">
        <f>IF('Design Fee'!EJ12&gt;0,"✔","-")</f>
        <v>-</v>
      </c>
      <c r="BV10" s="198" t="str">
        <f>IF('Design Fee'!EK12&gt;0,"✔","-")</f>
        <v>-</v>
      </c>
      <c r="BW10" s="198" t="str">
        <f>IF('Design Fee'!EL12&gt;0,"✔","-")</f>
        <v>-</v>
      </c>
      <c r="BX10" s="198" t="str">
        <f>IF('Design Fee'!EM12&gt;0,"✔","-")</f>
        <v>-</v>
      </c>
      <c r="BY10" s="198" t="str">
        <f>IF('Design Fee'!EN12&gt;0,"✔","-")</f>
        <v>-</v>
      </c>
      <c r="BZ10" s="137"/>
    </row>
    <row r="11" spans="1:78" ht="15" hidden="1" customHeight="1" outlineLevel="2">
      <c r="A11" s="137"/>
      <c r="B11" s="193"/>
      <c r="C11" s="193">
        <v>2</v>
      </c>
      <c r="D11" s="200" t="s">
        <v>23</v>
      </c>
      <c r="E11" s="137"/>
      <c r="F11" s="197"/>
      <c r="G11" s="198"/>
      <c r="H11" s="198"/>
      <c r="I11" s="198"/>
      <c r="J11" s="184"/>
      <c r="K11" s="195"/>
      <c r="L11" s="196"/>
      <c r="M11" s="197" t="str">
        <f>IF('Design Fee'!W13&gt;0,"✔","-")</f>
        <v>-</v>
      </c>
      <c r="N11" s="197" t="str">
        <f>IF('Design Fee'!X13&gt;0,"✔","-")</f>
        <v>-</v>
      </c>
      <c r="O11" s="198" t="str">
        <f>IF('Design Fee'!Y13&gt;0,"✔","-")</f>
        <v>-</v>
      </c>
      <c r="P11" s="198" t="str">
        <f>IF('Design Fee'!Z13&gt;0,"✔","-")</f>
        <v>-</v>
      </c>
      <c r="Q11" s="198" t="str">
        <f>IF('Design Fee'!AA13&gt;0,"✔","-")</f>
        <v>-</v>
      </c>
      <c r="R11" s="198" t="str">
        <f>IF('Design Fee'!AB13&gt;0,"✔","-")</f>
        <v>-</v>
      </c>
      <c r="S11" s="198" t="str">
        <f>IF('Design Fee'!AC13&gt;0,"✔","-")</f>
        <v>-</v>
      </c>
      <c r="T11" s="198" t="str">
        <f>IF('Design Fee'!AD13&gt;0,"✔","-")</f>
        <v>-</v>
      </c>
      <c r="U11" s="184"/>
      <c r="V11" s="198" t="str">
        <f>IF('Design Fee'!AF13&gt;0,"✔","-")</f>
        <v>-</v>
      </c>
      <c r="W11" s="198" t="str">
        <f>IF('Design Fee'!AG13&gt;0,"✔","-")</f>
        <v>-</v>
      </c>
      <c r="X11" s="198" t="str">
        <f>IF('Design Fee'!AH13&gt;0,"✔","-")</f>
        <v>-</v>
      </c>
      <c r="Y11" s="198" t="str">
        <f>IF('Design Fee'!AI13&gt;0,"✔","-")</f>
        <v>-</v>
      </c>
      <c r="Z11" s="198" t="str">
        <f>IF('Design Fee'!AJ13&gt;0,"✔","-")</f>
        <v>-</v>
      </c>
      <c r="AA11" s="184"/>
      <c r="AB11" s="195"/>
      <c r="AC11" s="196"/>
      <c r="AD11" s="197" t="str">
        <f>IF('Design Fee'!BG13&gt;0,"✔","-")</f>
        <v>-</v>
      </c>
      <c r="AE11" s="197" t="str">
        <f>IF('Design Fee'!BH13&gt;0,"✔","-")</f>
        <v>-</v>
      </c>
      <c r="AF11" s="198" t="str">
        <f>IF('Design Fee'!BI13&gt;0,"✔","-")</f>
        <v>-</v>
      </c>
      <c r="AG11" s="198" t="str">
        <f>IF('Design Fee'!BJ13&gt;0,"✔","-")</f>
        <v>-</v>
      </c>
      <c r="AH11" s="198" t="str">
        <f>IF('Design Fee'!BK13&gt;0,"✔","-")</f>
        <v>-</v>
      </c>
      <c r="AI11" s="198" t="str">
        <f>IF('Design Fee'!BL13&gt;0,"✔","-")</f>
        <v>-</v>
      </c>
      <c r="AJ11" s="198" t="str">
        <f>IF('Design Fee'!BM13&gt;0,"✔","-")</f>
        <v>-</v>
      </c>
      <c r="AK11" s="198" t="str">
        <f>IF('Design Fee'!BN13&gt;0,"✔","-")</f>
        <v>-</v>
      </c>
      <c r="AL11" s="199"/>
      <c r="AM11" s="198" t="str">
        <f>IF('Design Fee'!BP13&gt;0,"✔","-")</f>
        <v>-</v>
      </c>
      <c r="AN11" s="198" t="str">
        <f>IF('Design Fee'!BQ13&gt;0,"✔","-")</f>
        <v>-</v>
      </c>
      <c r="AO11" s="198" t="str">
        <f>IF('Design Fee'!BR13&gt;0,"✔","-")</f>
        <v>-</v>
      </c>
      <c r="AP11" s="198" t="str">
        <f>IF('Design Fee'!BS13&gt;0,"✔","-")</f>
        <v>-</v>
      </c>
      <c r="AQ11" s="198" t="str">
        <f>IF('Design Fee'!BT13&gt;0,"✔","-")</f>
        <v>-</v>
      </c>
      <c r="AR11" s="199"/>
      <c r="AS11" s="195"/>
      <c r="AT11" s="196"/>
      <c r="AU11" s="197" t="str">
        <f>IF('Design Fee'!CQ13&gt;0,"✔","-")</f>
        <v>-</v>
      </c>
      <c r="AV11" s="197" t="str">
        <f>IF('Design Fee'!CR13&gt;0,"✔","-")</f>
        <v>-</v>
      </c>
      <c r="AW11" s="198" t="str">
        <f>IF('Design Fee'!CS13&gt;0,"✔","-")</f>
        <v>-</v>
      </c>
      <c r="AX11" s="198" t="str">
        <f>IF('Design Fee'!CT13&gt;0,"✔","-")</f>
        <v>-</v>
      </c>
      <c r="AY11" s="198" t="str">
        <f>IF('Design Fee'!CU13&gt;0,"✔","-")</f>
        <v>-</v>
      </c>
      <c r="AZ11" s="198" t="str">
        <f>IF('Design Fee'!CV13&gt;0,"✔","-")</f>
        <v>-</v>
      </c>
      <c r="BA11" s="198" t="str">
        <f>IF('Design Fee'!CW13&gt;0,"✔","-")</f>
        <v>-</v>
      </c>
      <c r="BB11" s="198" t="str">
        <f>IF('Design Fee'!CX13&gt;0,"✔","-")</f>
        <v>-</v>
      </c>
      <c r="BC11" s="199"/>
      <c r="BD11" s="198" t="str">
        <f>IF('Design Fee'!CZ13&gt;0,"✔","-")</f>
        <v>-</v>
      </c>
      <c r="BE11" s="198" t="str">
        <f>IF('Design Fee'!DA13&gt;0,"✔","-")</f>
        <v>-</v>
      </c>
      <c r="BF11" s="198" t="str">
        <f>IF('Design Fee'!DB13&gt;0,"✔","-")</f>
        <v>-</v>
      </c>
      <c r="BG11" s="198" t="str">
        <f>IF('Design Fee'!DC13&gt;0,"✔","-")</f>
        <v>-</v>
      </c>
      <c r="BH11" s="198" t="str">
        <f>IF('Design Fee'!DD13&gt;0,"✔","-")</f>
        <v>-</v>
      </c>
      <c r="BI11" s="199"/>
      <c r="BJ11" s="195"/>
      <c r="BK11" s="196"/>
      <c r="BL11" s="197" t="str">
        <f>IF('Design Fee'!EA13&gt;0,"✔","-")</f>
        <v>-</v>
      </c>
      <c r="BM11" s="197" t="str">
        <f>IF('Design Fee'!EB13&gt;0,"✔","-")</f>
        <v>-</v>
      </c>
      <c r="BN11" s="198" t="str">
        <f>IF('Design Fee'!EC13&gt;0,"✔","-")</f>
        <v>-</v>
      </c>
      <c r="BO11" s="198" t="str">
        <f>IF('Design Fee'!ED13&gt;0,"✔","-")</f>
        <v>-</v>
      </c>
      <c r="BP11" s="198" t="str">
        <f>IF('Design Fee'!EE13&gt;0,"✔","-")</f>
        <v>-</v>
      </c>
      <c r="BQ11" s="198" t="str">
        <f>IF('Design Fee'!EF13&gt;0,"✔","-")</f>
        <v>-</v>
      </c>
      <c r="BR11" s="198" t="str">
        <f>IF('Design Fee'!EG13&gt;0,"✔","-")</f>
        <v>-</v>
      </c>
      <c r="BS11" s="198" t="str">
        <f>IF('Design Fee'!EH13&gt;0,"✔","-")</f>
        <v>-</v>
      </c>
      <c r="BT11" s="137"/>
      <c r="BU11" s="198" t="str">
        <f>IF('Design Fee'!EJ13&gt;0,"✔","-")</f>
        <v>-</v>
      </c>
      <c r="BV11" s="198" t="str">
        <f>IF('Design Fee'!EK13&gt;0,"✔","-")</f>
        <v>-</v>
      </c>
      <c r="BW11" s="198" t="str">
        <f>IF('Design Fee'!EL13&gt;0,"✔","-")</f>
        <v>-</v>
      </c>
      <c r="BX11" s="198" t="str">
        <f>IF('Design Fee'!EM13&gt;0,"✔","-")</f>
        <v>-</v>
      </c>
      <c r="BY11" s="198" t="str">
        <f>IF('Design Fee'!EN13&gt;0,"✔","-")</f>
        <v>-</v>
      </c>
      <c r="BZ11" s="137"/>
    </row>
    <row r="12" spans="1:78" ht="13.35" hidden="1" customHeight="1" outlineLevel="2">
      <c r="A12" s="137"/>
      <c r="B12" s="193"/>
      <c r="C12" s="193">
        <v>3</v>
      </c>
      <c r="D12" s="194" t="s">
        <v>24</v>
      </c>
      <c r="E12" s="137"/>
      <c r="F12" s="197"/>
      <c r="G12" s="198"/>
      <c r="H12" s="198"/>
      <c r="I12" s="198"/>
      <c r="J12" s="184"/>
      <c r="K12" s="195"/>
      <c r="L12" s="196"/>
      <c r="M12" s="197" t="str">
        <f>IF('Design Fee'!W14&gt;0,"✔","-")</f>
        <v>-</v>
      </c>
      <c r="N12" s="197" t="str">
        <f>IF('Design Fee'!X14&gt;0,"✔","-")</f>
        <v>-</v>
      </c>
      <c r="O12" s="198" t="str">
        <f>IF('Design Fee'!Y14&gt;0,"✔","-")</f>
        <v>-</v>
      </c>
      <c r="P12" s="198" t="str">
        <f>IF('Design Fee'!Z14&gt;0,"✔","-")</f>
        <v>-</v>
      </c>
      <c r="Q12" s="198" t="str">
        <f>IF('Design Fee'!AA14&gt;0,"✔","-")</f>
        <v>-</v>
      </c>
      <c r="R12" s="198" t="str">
        <f>IF('Design Fee'!AB14&gt;0,"✔","-")</f>
        <v>-</v>
      </c>
      <c r="S12" s="198" t="str">
        <f>IF('Design Fee'!AC14&gt;0,"✔","-")</f>
        <v>-</v>
      </c>
      <c r="T12" s="198" t="str">
        <f>IF('Design Fee'!AD14&gt;0,"✔","-")</f>
        <v>-</v>
      </c>
      <c r="U12" s="184"/>
      <c r="V12" s="198" t="str">
        <f>IF('Design Fee'!AF14&gt;0,"✔","-")</f>
        <v>-</v>
      </c>
      <c r="W12" s="198" t="str">
        <f>IF('Design Fee'!AG14&gt;0,"✔","-")</f>
        <v>-</v>
      </c>
      <c r="X12" s="198" t="str">
        <f>IF('Design Fee'!AH14&gt;0,"✔","-")</f>
        <v>-</v>
      </c>
      <c r="Y12" s="198" t="str">
        <f>IF('Design Fee'!AI14&gt;0,"✔","-")</f>
        <v>-</v>
      </c>
      <c r="Z12" s="198" t="str">
        <f>IF('Design Fee'!AJ14&gt;0,"✔","-")</f>
        <v>-</v>
      </c>
      <c r="AA12" s="184"/>
      <c r="AB12" s="195"/>
      <c r="AC12" s="196"/>
      <c r="AD12" s="197" t="str">
        <f>IF('Design Fee'!BG14&gt;0,"✔","-")</f>
        <v>-</v>
      </c>
      <c r="AE12" s="197" t="str">
        <f>IF('Design Fee'!BH14&gt;0,"✔","-")</f>
        <v>-</v>
      </c>
      <c r="AF12" s="198" t="str">
        <f>IF('Design Fee'!BI14&gt;0,"✔","-")</f>
        <v>-</v>
      </c>
      <c r="AG12" s="198" t="str">
        <f>IF('Design Fee'!BJ14&gt;0,"✔","-")</f>
        <v>-</v>
      </c>
      <c r="AH12" s="198" t="str">
        <f>IF('Design Fee'!BK14&gt;0,"✔","-")</f>
        <v>-</v>
      </c>
      <c r="AI12" s="198" t="str">
        <f>IF('Design Fee'!BL14&gt;0,"✔","-")</f>
        <v>-</v>
      </c>
      <c r="AJ12" s="198" t="str">
        <f>IF('Design Fee'!BM14&gt;0,"✔","-")</f>
        <v>-</v>
      </c>
      <c r="AK12" s="198" t="str">
        <f>IF('Design Fee'!BN14&gt;0,"✔","-")</f>
        <v>-</v>
      </c>
      <c r="AL12" s="199"/>
      <c r="AM12" s="198" t="str">
        <f>IF('Design Fee'!BP14&gt;0,"✔","-")</f>
        <v>-</v>
      </c>
      <c r="AN12" s="198" t="str">
        <f>IF('Design Fee'!BQ14&gt;0,"✔","-")</f>
        <v>-</v>
      </c>
      <c r="AO12" s="198" t="str">
        <f>IF('Design Fee'!BR14&gt;0,"✔","-")</f>
        <v>-</v>
      </c>
      <c r="AP12" s="198" t="str">
        <f>IF('Design Fee'!BS14&gt;0,"✔","-")</f>
        <v>-</v>
      </c>
      <c r="AQ12" s="198" t="str">
        <f>IF('Design Fee'!BT14&gt;0,"✔","-")</f>
        <v>-</v>
      </c>
      <c r="AR12" s="199"/>
      <c r="AS12" s="195"/>
      <c r="AT12" s="196"/>
      <c r="AU12" s="197" t="str">
        <f>IF('Design Fee'!CQ14&gt;0,"✔","-")</f>
        <v>-</v>
      </c>
      <c r="AV12" s="197" t="str">
        <f>IF('Design Fee'!CR14&gt;0,"✔","-")</f>
        <v>-</v>
      </c>
      <c r="AW12" s="198" t="str">
        <f>IF('Design Fee'!CS14&gt;0,"✔","-")</f>
        <v>-</v>
      </c>
      <c r="AX12" s="198" t="str">
        <f>IF('Design Fee'!CT14&gt;0,"✔","-")</f>
        <v>-</v>
      </c>
      <c r="AY12" s="198" t="str">
        <f>IF('Design Fee'!CU14&gt;0,"✔","-")</f>
        <v>-</v>
      </c>
      <c r="AZ12" s="198" t="str">
        <f>IF('Design Fee'!CV14&gt;0,"✔","-")</f>
        <v>-</v>
      </c>
      <c r="BA12" s="198" t="str">
        <f>IF('Design Fee'!CW14&gt;0,"✔","-")</f>
        <v>-</v>
      </c>
      <c r="BB12" s="198" t="str">
        <f>IF('Design Fee'!CX14&gt;0,"✔","-")</f>
        <v>-</v>
      </c>
      <c r="BC12" s="199"/>
      <c r="BD12" s="198" t="str">
        <f>IF('Design Fee'!CZ14&gt;0,"✔","-")</f>
        <v>-</v>
      </c>
      <c r="BE12" s="198" t="str">
        <f>IF('Design Fee'!DA14&gt;0,"✔","-")</f>
        <v>-</v>
      </c>
      <c r="BF12" s="198" t="str">
        <f>IF('Design Fee'!DB14&gt;0,"✔","-")</f>
        <v>-</v>
      </c>
      <c r="BG12" s="198" t="str">
        <f>IF('Design Fee'!DC14&gt;0,"✔","-")</f>
        <v>-</v>
      </c>
      <c r="BH12" s="198" t="str">
        <f>IF('Design Fee'!DD14&gt;0,"✔","-")</f>
        <v>-</v>
      </c>
      <c r="BI12" s="199"/>
      <c r="BJ12" s="195"/>
      <c r="BK12" s="196"/>
      <c r="BL12" s="197" t="str">
        <f>IF('Design Fee'!EA14&gt;0,"✔","-")</f>
        <v>-</v>
      </c>
      <c r="BM12" s="197" t="str">
        <f>IF('Design Fee'!EB14&gt;0,"✔","-")</f>
        <v>-</v>
      </c>
      <c r="BN12" s="198" t="str">
        <f>IF('Design Fee'!EC14&gt;0,"✔","-")</f>
        <v>-</v>
      </c>
      <c r="BO12" s="198" t="str">
        <f>IF('Design Fee'!ED14&gt;0,"✔","-")</f>
        <v>-</v>
      </c>
      <c r="BP12" s="198" t="str">
        <f>IF('Design Fee'!EE14&gt;0,"✔","-")</f>
        <v>-</v>
      </c>
      <c r="BQ12" s="198" t="str">
        <f>IF('Design Fee'!EF14&gt;0,"✔","-")</f>
        <v>-</v>
      </c>
      <c r="BR12" s="198" t="str">
        <f>IF('Design Fee'!EG14&gt;0,"✔","-")</f>
        <v>-</v>
      </c>
      <c r="BS12" s="198" t="str">
        <f>IF('Design Fee'!EH14&gt;0,"✔","-")</f>
        <v>-</v>
      </c>
      <c r="BT12" s="137"/>
      <c r="BU12" s="198" t="str">
        <f>IF('Design Fee'!EJ14&gt;0,"✔","-")</f>
        <v>-</v>
      </c>
      <c r="BV12" s="198" t="str">
        <f>IF('Design Fee'!EK14&gt;0,"✔","-")</f>
        <v>-</v>
      </c>
      <c r="BW12" s="198" t="str">
        <f>IF('Design Fee'!EL14&gt;0,"✔","-")</f>
        <v>-</v>
      </c>
      <c r="BX12" s="198" t="str">
        <f>IF('Design Fee'!EM14&gt;0,"✔","-")</f>
        <v>-</v>
      </c>
      <c r="BY12" s="198" t="str">
        <f>IF('Design Fee'!EN14&gt;0,"✔","-")</f>
        <v>-</v>
      </c>
      <c r="BZ12" s="137"/>
    </row>
    <row r="13" spans="1:78" ht="13.35" hidden="1" customHeight="1" outlineLevel="2">
      <c r="A13" s="137"/>
      <c r="B13" s="193"/>
      <c r="C13" s="193">
        <v>4</v>
      </c>
      <c r="D13" s="194" t="s">
        <v>25</v>
      </c>
      <c r="E13" s="137"/>
      <c r="F13" s="197"/>
      <c r="G13" s="198"/>
      <c r="H13" s="198"/>
      <c r="I13" s="198"/>
      <c r="J13" s="184"/>
      <c r="K13" s="195"/>
      <c r="L13" s="196"/>
      <c r="M13" s="197" t="str">
        <f>IF('Design Fee'!W15&gt;0,"✔","-")</f>
        <v>-</v>
      </c>
      <c r="N13" s="197" t="str">
        <f>IF('Design Fee'!X15&gt;0,"✔","-")</f>
        <v>-</v>
      </c>
      <c r="O13" s="198" t="str">
        <f>IF('Design Fee'!Y15&gt;0,"✔","-")</f>
        <v>-</v>
      </c>
      <c r="P13" s="198" t="str">
        <f>IF('Design Fee'!Z15&gt;0,"✔","-")</f>
        <v>-</v>
      </c>
      <c r="Q13" s="198" t="str">
        <f>IF('Design Fee'!AA15&gt;0,"✔","-")</f>
        <v>-</v>
      </c>
      <c r="R13" s="198" t="str">
        <f>IF('Design Fee'!AB15&gt;0,"✔","-")</f>
        <v>-</v>
      </c>
      <c r="S13" s="198" t="str">
        <f>IF('Design Fee'!AC15&gt;0,"✔","-")</f>
        <v>-</v>
      </c>
      <c r="T13" s="198" t="str">
        <f>IF('Design Fee'!AD15&gt;0,"✔","-")</f>
        <v>-</v>
      </c>
      <c r="U13" s="184"/>
      <c r="V13" s="198" t="str">
        <f>IF('Design Fee'!AF15&gt;0,"✔","-")</f>
        <v>-</v>
      </c>
      <c r="W13" s="198" t="str">
        <f>IF('Design Fee'!AG15&gt;0,"✔","-")</f>
        <v>-</v>
      </c>
      <c r="X13" s="198" t="str">
        <f>IF('Design Fee'!AH15&gt;0,"✔","-")</f>
        <v>-</v>
      </c>
      <c r="Y13" s="198" t="str">
        <f>IF('Design Fee'!AI15&gt;0,"✔","-")</f>
        <v>-</v>
      </c>
      <c r="Z13" s="198" t="str">
        <f>IF('Design Fee'!AJ15&gt;0,"✔","-")</f>
        <v>-</v>
      </c>
      <c r="AA13" s="184"/>
      <c r="AB13" s="195"/>
      <c r="AC13" s="196"/>
      <c r="AD13" s="197" t="str">
        <f>IF('Design Fee'!BG15&gt;0,"✔","-")</f>
        <v>-</v>
      </c>
      <c r="AE13" s="197" t="str">
        <f>IF('Design Fee'!BH15&gt;0,"✔","-")</f>
        <v>-</v>
      </c>
      <c r="AF13" s="198" t="str">
        <f>IF('Design Fee'!BI15&gt;0,"✔","-")</f>
        <v>-</v>
      </c>
      <c r="AG13" s="198" t="str">
        <f>IF('Design Fee'!BJ15&gt;0,"✔","-")</f>
        <v>-</v>
      </c>
      <c r="AH13" s="198" t="str">
        <f>IF('Design Fee'!BK15&gt;0,"✔","-")</f>
        <v>-</v>
      </c>
      <c r="AI13" s="198" t="str">
        <f>IF('Design Fee'!BL15&gt;0,"✔","-")</f>
        <v>-</v>
      </c>
      <c r="AJ13" s="198" t="str">
        <f>IF('Design Fee'!BM15&gt;0,"✔","-")</f>
        <v>-</v>
      </c>
      <c r="AK13" s="198" t="str">
        <f>IF('Design Fee'!BN15&gt;0,"✔","-")</f>
        <v>-</v>
      </c>
      <c r="AL13" s="199"/>
      <c r="AM13" s="198" t="str">
        <f>IF('Design Fee'!BP15&gt;0,"✔","-")</f>
        <v>-</v>
      </c>
      <c r="AN13" s="198" t="str">
        <f>IF('Design Fee'!BQ15&gt;0,"✔","-")</f>
        <v>-</v>
      </c>
      <c r="AO13" s="198" t="str">
        <f>IF('Design Fee'!BR15&gt;0,"✔","-")</f>
        <v>-</v>
      </c>
      <c r="AP13" s="198" t="str">
        <f>IF('Design Fee'!BS15&gt;0,"✔","-")</f>
        <v>-</v>
      </c>
      <c r="AQ13" s="198" t="str">
        <f>IF('Design Fee'!BT15&gt;0,"✔","-")</f>
        <v>-</v>
      </c>
      <c r="AR13" s="199"/>
      <c r="AS13" s="195"/>
      <c r="AT13" s="196"/>
      <c r="AU13" s="197" t="str">
        <f>IF('Design Fee'!CQ15&gt;0,"✔","-")</f>
        <v>-</v>
      </c>
      <c r="AV13" s="197" t="str">
        <f>IF('Design Fee'!CR15&gt;0,"✔","-")</f>
        <v>-</v>
      </c>
      <c r="AW13" s="198" t="str">
        <f>IF('Design Fee'!CS15&gt;0,"✔","-")</f>
        <v>-</v>
      </c>
      <c r="AX13" s="198" t="str">
        <f>IF('Design Fee'!CT15&gt;0,"✔","-")</f>
        <v>-</v>
      </c>
      <c r="AY13" s="198" t="str">
        <f>IF('Design Fee'!CU15&gt;0,"✔","-")</f>
        <v>-</v>
      </c>
      <c r="AZ13" s="198" t="str">
        <f>IF('Design Fee'!CV15&gt;0,"✔","-")</f>
        <v>-</v>
      </c>
      <c r="BA13" s="198" t="str">
        <f>IF('Design Fee'!CW15&gt;0,"✔","-")</f>
        <v>-</v>
      </c>
      <c r="BB13" s="198" t="str">
        <f>IF('Design Fee'!CX15&gt;0,"✔","-")</f>
        <v>-</v>
      </c>
      <c r="BC13" s="199"/>
      <c r="BD13" s="198" t="str">
        <f>IF('Design Fee'!CZ15&gt;0,"✔","-")</f>
        <v>-</v>
      </c>
      <c r="BE13" s="198" t="str">
        <f>IF('Design Fee'!DA15&gt;0,"✔","-")</f>
        <v>-</v>
      </c>
      <c r="BF13" s="198" t="str">
        <f>IF('Design Fee'!DB15&gt;0,"✔","-")</f>
        <v>-</v>
      </c>
      <c r="BG13" s="198" t="str">
        <f>IF('Design Fee'!DC15&gt;0,"✔","-")</f>
        <v>-</v>
      </c>
      <c r="BH13" s="198" t="str">
        <f>IF('Design Fee'!DD15&gt;0,"✔","-")</f>
        <v>-</v>
      </c>
      <c r="BI13" s="199"/>
      <c r="BJ13" s="195"/>
      <c r="BK13" s="196"/>
      <c r="BL13" s="197" t="str">
        <f>IF('Design Fee'!EA15&gt;0,"✔","-")</f>
        <v>-</v>
      </c>
      <c r="BM13" s="197" t="str">
        <f>IF('Design Fee'!EB15&gt;0,"✔","-")</f>
        <v>-</v>
      </c>
      <c r="BN13" s="198" t="str">
        <f>IF('Design Fee'!EC15&gt;0,"✔","-")</f>
        <v>-</v>
      </c>
      <c r="BO13" s="198" t="str">
        <f>IF('Design Fee'!ED15&gt;0,"✔","-")</f>
        <v>-</v>
      </c>
      <c r="BP13" s="198" t="str">
        <f>IF('Design Fee'!EE15&gt;0,"✔","-")</f>
        <v>-</v>
      </c>
      <c r="BQ13" s="198" t="str">
        <f>IF('Design Fee'!EF15&gt;0,"✔","-")</f>
        <v>-</v>
      </c>
      <c r="BR13" s="198" t="str">
        <f>IF('Design Fee'!EG15&gt;0,"✔","-")</f>
        <v>-</v>
      </c>
      <c r="BS13" s="198" t="str">
        <f>IF('Design Fee'!EH15&gt;0,"✔","-")</f>
        <v>-</v>
      </c>
      <c r="BT13" s="137"/>
      <c r="BU13" s="198" t="str">
        <f>IF('Design Fee'!EJ15&gt;0,"✔","-")</f>
        <v>-</v>
      </c>
      <c r="BV13" s="198" t="str">
        <f>IF('Design Fee'!EK15&gt;0,"✔","-")</f>
        <v>-</v>
      </c>
      <c r="BW13" s="198" t="str">
        <f>IF('Design Fee'!EL15&gt;0,"✔","-")</f>
        <v>-</v>
      </c>
      <c r="BX13" s="198" t="str">
        <f>IF('Design Fee'!EM15&gt;0,"✔","-")</f>
        <v>-</v>
      </c>
      <c r="BY13" s="198" t="str">
        <f>IF('Design Fee'!EN15&gt;0,"✔","-")</f>
        <v>-</v>
      </c>
      <c r="BZ13" s="137"/>
    </row>
    <row r="14" spans="1:78" ht="3" hidden="1" customHeight="1" outlineLevel="1">
      <c r="A14" s="137"/>
      <c r="B14" s="138"/>
      <c r="C14" s="138"/>
      <c r="D14" s="137"/>
      <c r="E14" s="137"/>
      <c r="F14" s="162"/>
      <c r="G14" s="175"/>
      <c r="H14" s="175"/>
      <c r="I14" s="175"/>
      <c r="J14" s="184"/>
      <c r="K14" s="195"/>
      <c r="L14" s="196"/>
      <c r="M14" s="162"/>
      <c r="N14" s="162"/>
      <c r="O14" s="175"/>
      <c r="P14" s="175"/>
      <c r="Q14" s="175"/>
      <c r="R14" s="175"/>
      <c r="S14" s="175"/>
      <c r="T14" s="175"/>
      <c r="U14" s="184"/>
      <c r="V14" s="175"/>
      <c r="W14" s="175"/>
      <c r="X14" s="175"/>
      <c r="Y14" s="175"/>
      <c r="Z14" s="175"/>
      <c r="AA14" s="184"/>
      <c r="AB14" s="195"/>
      <c r="AC14" s="196"/>
      <c r="AD14" s="162"/>
      <c r="AE14" s="162"/>
      <c r="AF14" s="175"/>
      <c r="AG14" s="175"/>
      <c r="AH14" s="175"/>
      <c r="AI14" s="175"/>
      <c r="AJ14" s="175"/>
      <c r="AK14" s="175"/>
      <c r="AL14" s="175"/>
      <c r="AM14" s="175"/>
      <c r="AN14" s="175"/>
      <c r="AO14" s="175"/>
      <c r="AP14" s="175"/>
      <c r="AQ14" s="175"/>
      <c r="AR14" s="175"/>
      <c r="AS14" s="195"/>
      <c r="AT14" s="175"/>
      <c r="AU14" s="162"/>
      <c r="AV14" s="162"/>
      <c r="AW14" s="175"/>
      <c r="AX14" s="175"/>
      <c r="AY14" s="175"/>
      <c r="AZ14" s="175"/>
      <c r="BA14" s="175"/>
      <c r="BB14" s="175"/>
      <c r="BC14" s="175"/>
      <c r="BD14" s="175"/>
      <c r="BE14" s="175"/>
      <c r="BF14" s="175"/>
      <c r="BG14" s="175"/>
      <c r="BH14" s="175"/>
      <c r="BI14" s="175"/>
      <c r="BJ14" s="195"/>
      <c r="BK14" s="175"/>
      <c r="BL14" s="162"/>
      <c r="BM14" s="162"/>
      <c r="BN14" s="175"/>
      <c r="BO14" s="175"/>
      <c r="BP14" s="175"/>
      <c r="BQ14" s="175"/>
      <c r="BR14" s="175"/>
      <c r="BS14" s="175"/>
      <c r="BT14" s="137"/>
      <c r="BU14" s="175"/>
      <c r="BV14" s="175"/>
      <c r="BW14" s="175"/>
      <c r="BX14" s="175"/>
      <c r="BY14" s="175"/>
      <c r="BZ14" s="137"/>
    </row>
    <row r="15" spans="1:78" ht="12.75" hidden="1" outlineLevel="1">
      <c r="A15" s="137"/>
      <c r="B15" s="185">
        <v>2</v>
      </c>
      <c r="C15" s="186">
        <v>2</v>
      </c>
      <c r="D15" s="187" t="s">
        <v>26</v>
      </c>
      <c r="E15" s="188"/>
      <c r="F15" s="190">
        <f>COUNTIF(M15,"✔")+COUNTIF(AD15,"✔")+COUNTIF(BL15,"✔")+COUNTIF(AU15,"✔")</f>
        <v>4</v>
      </c>
      <c r="G15" s="190">
        <f>COUNTIF(N15,"✔")+COUNTIF(AE15,"✔")+COUNTIF(BM15,"✔")+COUNTIF(AV15,"✔")</f>
        <v>4</v>
      </c>
      <c r="H15" s="190">
        <f>COUNTIF(O15,"✔")+COUNTIF(AF15,"✔")+COUNTIF(BN15,"✔")+COUNTIF(AW15,"✔")</f>
        <v>4</v>
      </c>
      <c r="I15" s="191">
        <f>F15-G15</f>
        <v>0</v>
      </c>
      <c r="J15" s="192"/>
      <c r="K15" s="190"/>
      <c r="L15" s="189"/>
      <c r="M15" s="190" t="str">
        <f>IF('Design Fee'!W17&gt;0,"✔","-")</f>
        <v>✔</v>
      </c>
      <c r="N15" s="190" t="str">
        <f>IF('Design Fee'!X17&gt;0,"✔","-")</f>
        <v>✔</v>
      </c>
      <c r="O15" s="190" t="str">
        <f>IF('Design Fee'!Y17&gt;0,"✔","-")</f>
        <v>✔</v>
      </c>
      <c r="P15" s="191" t="str">
        <f>IF('Design Fee'!Z17&gt;0,"✔","-")</f>
        <v>-</v>
      </c>
      <c r="Q15" s="191" t="str">
        <f>IF('Design Fee'!AA17&gt;0,"✔","-")</f>
        <v>-</v>
      </c>
      <c r="R15" s="191" t="str">
        <f>IF('Design Fee'!AB17&gt;0,"✔","-")</f>
        <v>-</v>
      </c>
      <c r="S15" s="191" t="str">
        <f>IF('Design Fee'!AC17&gt;0,"✔","-")</f>
        <v>-</v>
      </c>
      <c r="T15" s="191" t="str">
        <f>IF('Design Fee'!AD17&gt;0,"✔","-")</f>
        <v>-</v>
      </c>
      <c r="U15" s="192"/>
      <c r="V15" s="191" t="str">
        <f>IF('Design Fee'!AF17&gt;0,"✔","-")</f>
        <v>-</v>
      </c>
      <c r="W15" s="191" t="str">
        <f>IF('Design Fee'!AG17&gt;0,"✔","-")</f>
        <v>-</v>
      </c>
      <c r="X15" s="191" t="str">
        <f>IF('Design Fee'!AH17&gt;0,"✔","-")</f>
        <v>-</v>
      </c>
      <c r="Y15" s="191" t="str">
        <f>IF('Design Fee'!AI17&gt;0,"✔","-")</f>
        <v>-</v>
      </c>
      <c r="Z15" s="191" t="str">
        <f>IF('Design Fee'!AJ17&gt;0,"✔","-")</f>
        <v>-</v>
      </c>
      <c r="AA15" s="192"/>
      <c r="AB15" s="190" t="str">
        <f>AD15</f>
        <v>✔</v>
      </c>
      <c r="AC15" s="189"/>
      <c r="AD15" s="190" t="str">
        <f>IF('Design Fee'!BG17&gt;0,"✔","-")</f>
        <v>✔</v>
      </c>
      <c r="AE15" s="190" t="str">
        <f>IF('Design Fee'!BH17&gt;0,"✔","-")</f>
        <v>✔</v>
      </c>
      <c r="AF15" s="190" t="str">
        <f>IF('Design Fee'!BI17&gt;0,"✔","-")</f>
        <v>✔</v>
      </c>
      <c r="AG15" s="191" t="str">
        <f>IF('Design Fee'!BJ17&gt;0,"✔","-")</f>
        <v>-</v>
      </c>
      <c r="AH15" s="191" t="str">
        <f>IF('Design Fee'!BK17&gt;0,"✔","-")</f>
        <v>-</v>
      </c>
      <c r="AI15" s="191" t="str">
        <f>IF('Design Fee'!BL17&gt;0,"✔","-")</f>
        <v>-</v>
      </c>
      <c r="AJ15" s="191" t="str">
        <f>IF('Design Fee'!BM17&gt;0,"✔","-")</f>
        <v>-</v>
      </c>
      <c r="AK15" s="191" t="str">
        <f>IF('Design Fee'!BN17&gt;0,"✔","-")</f>
        <v>-</v>
      </c>
      <c r="AL15" s="189"/>
      <c r="AM15" s="191" t="str">
        <f>IF('Design Fee'!BP17&gt;0,"✔","-")</f>
        <v>-</v>
      </c>
      <c r="AN15" s="191" t="str">
        <f>IF('Design Fee'!BQ17&gt;0,"✔","-")</f>
        <v>-</v>
      </c>
      <c r="AO15" s="191" t="str">
        <f>IF('Design Fee'!BR17&gt;0,"✔","-")</f>
        <v>-</v>
      </c>
      <c r="AP15" s="191" t="str">
        <f>IF('Design Fee'!BS17&gt;0,"✔","-")</f>
        <v>-</v>
      </c>
      <c r="AQ15" s="191" t="str">
        <f>IF('Design Fee'!BT17&gt;0,"✔","-")</f>
        <v>-</v>
      </c>
      <c r="AR15" s="189"/>
      <c r="AS15" s="190" t="str">
        <f>AU15</f>
        <v>✔</v>
      </c>
      <c r="AT15" s="189"/>
      <c r="AU15" s="190" t="str">
        <f>IF('Design Fee'!CQ17&gt;0,"✔","-")</f>
        <v>✔</v>
      </c>
      <c r="AV15" s="190" t="str">
        <f>IF('Design Fee'!CR17&gt;0,"✔","-")</f>
        <v>✔</v>
      </c>
      <c r="AW15" s="190" t="str">
        <f>IF('Design Fee'!CS17&gt;0,"✔","-")</f>
        <v>✔</v>
      </c>
      <c r="AX15" s="191" t="str">
        <f>IF('Design Fee'!CT17&gt;0,"✔","-")</f>
        <v>-</v>
      </c>
      <c r="AY15" s="191" t="str">
        <f>IF('Design Fee'!CU17&gt;0,"✔","-")</f>
        <v>-</v>
      </c>
      <c r="AZ15" s="191" t="str">
        <f>IF('Design Fee'!CV17&gt;0,"✔","-")</f>
        <v>-</v>
      </c>
      <c r="BA15" s="191" t="str">
        <f>IF('Design Fee'!CW17&gt;0,"✔","-")</f>
        <v>-</v>
      </c>
      <c r="BB15" s="191" t="str">
        <f>IF('Design Fee'!CX17&gt;0,"✔","-")</f>
        <v>-</v>
      </c>
      <c r="BC15" s="189"/>
      <c r="BD15" s="191" t="str">
        <f>IF('Design Fee'!CZ17&gt;0,"✔","-")</f>
        <v>-</v>
      </c>
      <c r="BE15" s="191" t="str">
        <f>IF('Design Fee'!DA17&gt;0,"✔","-")</f>
        <v>-</v>
      </c>
      <c r="BF15" s="191" t="str">
        <f>IF('Design Fee'!DB17&gt;0,"✔","-")</f>
        <v>-</v>
      </c>
      <c r="BG15" s="191" t="str">
        <f>IF('Design Fee'!DC17&gt;0,"✔","-")</f>
        <v>-</v>
      </c>
      <c r="BH15" s="191" t="str">
        <f>IF('Design Fee'!DD17&gt;0,"✔","-")</f>
        <v>-</v>
      </c>
      <c r="BI15" s="189"/>
      <c r="BJ15" s="190" t="str">
        <f>BL15</f>
        <v>✔</v>
      </c>
      <c r="BK15" s="189"/>
      <c r="BL15" s="190" t="str">
        <f>IF('Design Fee'!EA17&gt;0,"✔","-")</f>
        <v>✔</v>
      </c>
      <c r="BM15" s="190" t="str">
        <f>IF('Design Fee'!EB17&gt;0,"✔","-")</f>
        <v>✔</v>
      </c>
      <c r="BN15" s="190" t="str">
        <f>IF('Design Fee'!EC17&gt;0,"✔","-")</f>
        <v>✔</v>
      </c>
      <c r="BO15" s="191" t="str">
        <f>IF('Design Fee'!ED17&gt;0,"✔","-")</f>
        <v>-</v>
      </c>
      <c r="BP15" s="191" t="str">
        <f>IF('Design Fee'!EE17&gt;0,"✔","-")</f>
        <v>-</v>
      </c>
      <c r="BQ15" s="191" t="str">
        <f>IF('Design Fee'!EF17&gt;0,"✔","-")</f>
        <v>-</v>
      </c>
      <c r="BR15" s="191" t="str">
        <f>IF('Design Fee'!EG17&gt;0,"✔","-")</f>
        <v>-</v>
      </c>
      <c r="BS15" s="191" t="str">
        <f>IF('Design Fee'!EH17&gt;0,"✔","-")</f>
        <v>-</v>
      </c>
      <c r="BT15" s="137"/>
      <c r="BU15" s="191" t="str">
        <f>IF('Design Fee'!EJ17&gt;0,"✔","-")</f>
        <v>-</v>
      </c>
      <c r="BV15" s="191" t="str">
        <f>IF('Design Fee'!EK17&gt;0,"✔","-")</f>
        <v>-</v>
      </c>
      <c r="BW15" s="191" t="str">
        <f>IF('Design Fee'!EL17&gt;0,"✔","-")</f>
        <v>-</v>
      </c>
      <c r="BX15" s="191" t="str">
        <f>IF('Design Fee'!EM17&gt;0,"✔","-")</f>
        <v>-</v>
      </c>
      <c r="BY15" s="191" t="str">
        <f>IF('Design Fee'!EN17&gt;0,"✔","-")</f>
        <v>-</v>
      </c>
      <c r="BZ15" s="137"/>
    </row>
    <row r="16" spans="1:78" ht="13.35" hidden="1" customHeight="1" outlineLevel="2">
      <c r="A16" s="137"/>
      <c r="B16" s="193"/>
      <c r="C16" s="193">
        <v>1</v>
      </c>
      <c r="D16" s="201" t="s">
        <v>27</v>
      </c>
      <c r="E16" s="202"/>
      <c r="F16" s="197"/>
      <c r="G16" s="198"/>
      <c r="H16" s="198"/>
      <c r="I16" s="198"/>
      <c r="J16" s="184"/>
      <c r="K16" s="203"/>
      <c r="L16" s="204"/>
      <c r="M16" s="197" t="str">
        <f>IF('Design Fee'!W18&gt;0,"✔","-")</f>
        <v>-</v>
      </c>
      <c r="N16" s="197" t="str">
        <f>IF('Design Fee'!X18&gt;0,"✔","-")</f>
        <v>-</v>
      </c>
      <c r="O16" s="198" t="str">
        <f>IF('Design Fee'!Y18&gt;0,"✔","-")</f>
        <v>-</v>
      </c>
      <c r="P16" s="198" t="str">
        <f>IF('Design Fee'!Z18&gt;0,"✔","-")</f>
        <v>-</v>
      </c>
      <c r="Q16" s="198" t="str">
        <f>IF('Design Fee'!AA18&gt;0,"✔","-")</f>
        <v>-</v>
      </c>
      <c r="R16" s="198" t="str">
        <f>IF('Design Fee'!AB18&gt;0,"✔","-")</f>
        <v>-</v>
      </c>
      <c r="S16" s="198" t="str">
        <f>IF('Design Fee'!AC18&gt;0,"✔","-")</f>
        <v>-</v>
      </c>
      <c r="T16" s="198" t="str">
        <f>IF('Design Fee'!AD18&gt;0,"✔","-")</f>
        <v>-</v>
      </c>
      <c r="U16" s="184"/>
      <c r="V16" s="198" t="str">
        <f>IF('Design Fee'!AF18&gt;0,"✔","-")</f>
        <v>-</v>
      </c>
      <c r="W16" s="198" t="str">
        <f>IF('Design Fee'!AG18&gt;0,"✔","-")</f>
        <v>-</v>
      </c>
      <c r="X16" s="198" t="str">
        <f>IF('Design Fee'!AH18&gt;0,"✔","-")</f>
        <v>-</v>
      </c>
      <c r="Y16" s="198" t="str">
        <f>IF('Design Fee'!AI18&gt;0,"✔","-")</f>
        <v>-</v>
      </c>
      <c r="Z16" s="198" t="str">
        <f>IF('Design Fee'!AJ18&gt;0,"✔","-")</f>
        <v>-</v>
      </c>
      <c r="AA16" s="184"/>
      <c r="AB16" s="203"/>
      <c r="AC16" s="204"/>
      <c r="AD16" s="197" t="str">
        <f>IF('Design Fee'!BG18&gt;0,"✔","-")</f>
        <v>-</v>
      </c>
      <c r="AE16" s="197" t="str">
        <f>IF('Design Fee'!BH18&gt;0,"✔","-")</f>
        <v>-</v>
      </c>
      <c r="AF16" s="198" t="str">
        <f>IF('Design Fee'!BI18&gt;0,"✔","-")</f>
        <v>-</v>
      </c>
      <c r="AG16" s="198" t="str">
        <f>IF('Design Fee'!BJ18&gt;0,"✔","-")</f>
        <v>-</v>
      </c>
      <c r="AH16" s="198" t="str">
        <f>IF('Design Fee'!BK18&gt;0,"✔","-")</f>
        <v>-</v>
      </c>
      <c r="AI16" s="198" t="str">
        <f>IF('Design Fee'!BL18&gt;0,"✔","-")</f>
        <v>-</v>
      </c>
      <c r="AJ16" s="198" t="str">
        <f>IF('Design Fee'!BM18&gt;0,"✔","-")</f>
        <v>-</v>
      </c>
      <c r="AK16" s="198" t="str">
        <f>IF('Design Fee'!BN18&gt;0,"✔","-")</f>
        <v>-</v>
      </c>
      <c r="AL16" s="205"/>
      <c r="AM16" s="198" t="str">
        <f>IF('Design Fee'!BP18&gt;0,"✔","-")</f>
        <v>-</v>
      </c>
      <c r="AN16" s="198" t="str">
        <f>IF('Design Fee'!BQ18&gt;0,"✔","-")</f>
        <v>-</v>
      </c>
      <c r="AO16" s="198" t="str">
        <f>IF('Design Fee'!BR18&gt;0,"✔","-")</f>
        <v>-</v>
      </c>
      <c r="AP16" s="198" t="str">
        <f>IF('Design Fee'!BS18&gt;0,"✔","-")</f>
        <v>-</v>
      </c>
      <c r="AQ16" s="198" t="str">
        <f>IF('Design Fee'!BT18&gt;0,"✔","-")</f>
        <v>-</v>
      </c>
      <c r="AR16" s="205"/>
      <c r="AS16" s="203"/>
      <c r="AT16" s="204"/>
      <c r="AU16" s="197" t="str">
        <f>IF('Design Fee'!CQ18&gt;0,"✔","-")</f>
        <v>-</v>
      </c>
      <c r="AV16" s="197" t="str">
        <f>IF('Design Fee'!CR18&gt;0,"✔","-")</f>
        <v>-</v>
      </c>
      <c r="AW16" s="198" t="str">
        <f>IF('Design Fee'!CS18&gt;0,"✔","-")</f>
        <v>-</v>
      </c>
      <c r="AX16" s="198" t="str">
        <f>IF('Design Fee'!CT18&gt;0,"✔","-")</f>
        <v>-</v>
      </c>
      <c r="AY16" s="198" t="str">
        <f>IF('Design Fee'!CU18&gt;0,"✔","-")</f>
        <v>-</v>
      </c>
      <c r="AZ16" s="198" t="str">
        <f>IF('Design Fee'!CV18&gt;0,"✔","-")</f>
        <v>-</v>
      </c>
      <c r="BA16" s="198" t="str">
        <f>IF('Design Fee'!CW18&gt;0,"✔","-")</f>
        <v>-</v>
      </c>
      <c r="BB16" s="198" t="str">
        <f>IF('Design Fee'!CX18&gt;0,"✔","-")</f>
        <v>-</v>
      </c>
      <c r="BC16" s="205"/>
      <c r="BD16" s="198" t="str">
        <f>IF('Design Fee'!CZ18&gt;0,"✔","-")</f>
        <v>-</v>
      </c>
      <c r="BE16" s="198" t="str">
        <f>IF('Design Fee'!DA18&gt;0,"✔","-")</f>
        <v>-</v>
      </c>
      <c r="BF16" s="198" t="str">
        <f>IF('Design Fee'!DB18&gt;0,"✔","-")</f>
        <v>-</v>
      </c>
      <c r="BG16" s="198" t="str">
        <f>IF('Design Fee'!DC18&gt;0,"✔","-")</f>
        <v>-</v>
      </c>
      <c r="BH16" s="198" t="str">
        <f>IF('Design Fee'!DD18&gt;0,"✔","-")</f>
        <v>-</v>
      </c>
      <c r="BI16" s="205"/>
      <c r="BJ16" s="203"/>
      <c r="BK16" s="204"/>
      <c r="BL16" s="197" t="str">
        <f>IF('Design Fee'!EA18&gt;0,"✔","-")</f>
        <v>-</v>
      </c>
      <c r="BM16" s="197" t="str">
        <f>IF('Design Fee'!EB18&gt;0,"✔","-")</f>
        <v>-</v>
      </c>
      <c r="BN16" s="198" t="str">
        <f>IF('Design Fee'!EC18&gt;0,"✔","-")</f>
        <v>-</v>
      </c>
      <c r="BO16" s="198" t="str">
        <f>IF('Design Fee'!ED18&gt;0,"✔","-")</f>
        <v>-</v>
      </c>
      <c r="BP16" s="198" t="str">
        <f>IF('Design Fee'!EE18&gt;0,"✔","-")</f>
        <v>-</v>
      </c>
      <c r="BQ16" s="198" t="str">
        <f>IF('Design Fee'!EF18&gt;0,"✔","-")</f>
        <v>-</v>
      </c>
      <c r="BR16" s="198" t="str">
        <f>IF('Design Fee'!EG18&gt;0,"✔","-")</f>
        <v>-</v>
      </c>
      <c r="BS16" s="198" t="str">
        <f>IF('Design Fee'!EH18&gt;0,"✔","-")</f>
        <v>-</v>
      </c>
      <c r="BT16" s="202"/>
      <c r="BU16" s="198" t="str">
        <f>IF('Design Fee'!EJ18&gt;0,"✔","-")</f>
        <v>-</v>
      </c>
      <c r="BV16" s="198" t="str">
        <f>IF('Design Fee'!EK18&gt;0,"✔","-")</f>
        <v>-</v>
      </c>
      <c r="BW16" s="198" t="str">
        <f>IF('Design Fee'!EL18&gt;0,"✔","-")</f>
        <v>-</v>
      </c>
      <c r="BX16" s="198" t="str">
        <f>IF('Design Fee'!EM18&gt;0,"✔","-")</f>
        <v>-</v>
      </c>
      <c r="BY16" s="198" t="str">
        <f>IF('Design Fee'!EN18&gt;0,"✔","-")</f>
        <v>-</v>
      </c>
      <c r="BZ16" s="137"/>
    </row>
    <row r="17" spans="2:78" ht="13.35" hidden="1" customHeight="1" outlineLevel="2">
      <c r="B17" s="193"/>
      <c r="C17" s="193">
        <v>2</v>
      </c>
      <c r="D17" s="201" t="s">
        <v>28</v>
      </c>
      <c r="E17" s="202"/>
      <c r="F17" s="197"/>
      <c r="G17" s="198"/>
      <c r="H17" s="198"/>
      <c r="I17" s="198"/>
      <c r="J17" s="184"/>
      <c r="K17" s="203"/>
      <c r="L17" s="204"/>
      <c r="M17" s="197" t="str">
        <f>IF('Design Fee'!W19&gt;0,"✔","-")</f>
        <v>-</v>
      </c>
      <c r="N17" s="197" t="str">
        <f>IF('Design Fee'!X19&gt;0,"✔","-")</f>
        <v>-</v>
      </c>
      <c r="O17" s="198" t="str">
        <f>IF('Design Fee'!Y19&gt;0,"✔","-")</f>
        <v>-</v>
      </c>
      <c r="P17" s="198" t="str">
        <f>IF('Design Fee'!Z19&gt;0,"✔","-")</f>
        <v>-</v>
      </c>
      <c r="Q17" s="198" t="str">
        <f>IF('Design Fee'!AA19&gt;0,"✔","-")</f>
        <v>-</v>
      </c>
      <c r="R17" s="198" t="str">
        <f>IF('Design Fee'!AB19&gt;0,"✔","-")</f>
        <v>-</v>
      </c>
      <c r="S17" s="198" t="str">
        <f>IF('Design Fee'!AC19&gt;0,"✔","-")</f>
        <v>-</v>
      </c>
      <c r="T17" s="198" t="str">
        <f>IF('Design Fee'!AD19&gt;0,"✔","-")</f>
        <v>-</v>
      </c>
      <c r="U17" s="184"/>
      <c r="V17" s="198" t="str">
        <f>IF('Design Fee'!AF19&gt;0,"✔","-")</f>
        <v>-</v>
      </c>
      <c r="W17" s="198" t="str">
        <f>IF('Design Fee'!AG19&gt;0,"✔","-")</f>
        <v>-</v>
      </c>
      <c r="X17" s="198" t="str">
        <f>IF('Design Fee'!AH19&gt;0,"✔","-")</f>
        <v>-</v>
      </c>
      <c r="Y17" s="198" t="str">
        <f>IF('Design Fee'!AI19&gt;0,"✔","-")</f>
        <v>-</v>
      </c>
      <c r="Z17" s="198" t="str">
        <f>IF('Design Fee'!AJ19&gt;0,"✔","-")</f>
        <v>-</v>
      </c>
      <c r="AA17" s="184"/>
      <c r="AB17" s="203"/>
      <c r="AC17" s="204"/>
      <c r="AD17" s="197" t="str">
        <f>IF('Design Fee'!BG19&gt;0,"✔","-")</f>
        <v>-</v>
      </c>
      <c r="AE17" s="197" t="str">
        <f>IF('Design Fee'!BH19&gt;0,"✔","-")</f>
        <v>-</v>
      </c>
      <c r="AF17" s="198" t="str">
        <f>IF('Design Fee'!BI19&gt;0,"✔","-")</f>
        <v>-</v>
      </c>
      <c r="AG17" s="198" t="str">
        <f>IF('Design Fee'!BJ19&gt;0,"✔","-")</f>
        <v>-</v>
      </c>
      <c r="AH17" s="198" t="str">
        <f>IF('Design Fee'!BK19&gt;0,"✔","-")</f>
        <v>-</v>
      </c>
      <c r="AI17" s="198" t="str">
        <f>IF('Design Fee'!BL19&gt;0,"✔","-")</f>
        <v>-</v>
      </c>
      <c r="AJ17" s="198" t="str">
        <f>IF('Design Fee'!BM19&gt;0,"✔","-")</f>
        <v>-</v>
      </c>
      <c r="AK17" s="198" t="str">
        <f>IF('Design Fee'!BN19&gt;0,"✔","-")</f>
        <v>-</v>
      </c>
      <c r="AL17" s="205"/>
      <c r="AM17" s="198" t="str">
        <f>IF('Design Fee'!BP19&gt;0,"✔","-")</f>
        <v>-</v>
      </c>
      <c r="AN17" s="198" t="str">
        <f>IF('Design Fee'!BQ19&gt;0,"✔","-")</f>
        <v>-</v>
      </c>
      <c r="AO17" s="198" t="str">
        <f>IF('Design Fee'!BR19&gt;0,"✔","-")</f>
        <v>-</v>
      </c>
      <c r="AP17" s="198" t="str">
        <f>IF('Design Fee'!BS19&gt;0,"✔","-")</f>
        <v>-</v>
      </c>
      <c r="AQ17" s="198" t="str">
        <f>IF('Design Fee'!BT19&gt;0,"✔","-")</f>
        <v>-</v>
      </c>
      <c r="AR17" s="205"/>
      <c r="AS17" s="203"/>
      <c r="AT17" s="204"/>
      <c r="AU17" s="197" t="str">
        <f>IF('Design Fee'!CQ19&gt;0,"✔","-")</f>
        <v>-</v>
      </c>
      <c r="AV17" s="197" t="str">
        <f>IF('Design Fee'!CR19&gt;0,"✔","-")</f>
        <v>-</v>
      </c>
      <c r="AW17" s="198" t="str">
        <f>IF('Design Fee'!CS19&gt;0,"✔","-")</f>
        <v>-</v>
      </c>
      <c r="AX17" s="198" t="str">
        <f>IF('Design Fee'!CT19&gt;0,"✔","-")</f>
        <v>-</v>
      </c>
      <c r="AY17" s="198" t="str">
        <f>IF('Design Fee'!CU19&gt;0,"✔","-")</f>
        <v>-</v>
      </c>
      <c r="AZ17" s="198" t="str">
        <f>IF('Design Fee'!CV19&gt;0,"✔","-")</f>
        <v>-</v>
      </c>
      <c r="BA17" s="198" t="str">
        <f>IF('Design Fee'!CW19&gt;0,"✔","-")</f>
        <v>-</v>
      </c>
      <c r="BB17" s="198" t="str">
        <f>IF('Design Fee'!CX19&gt;0,"✔","-")</f>
        <v>-</v>
      </c>
      <c r="BC17" s="205"/>
      <c r="BD17" s="198" t="str">
        <f>IF('Design Fee'!CZ19&gt;0,"✔","-")</f>
        <v>-</v>
      </c>
      <c r="BE17" s="198" t="str">
        <f>IF('Design Fee'!DA19&gt;0,"✔","-")</f>
        <v>-</v>
      </c>
      <c r="BF17" s="198" t="str">
        <f>IF('Design Fee'!DB19&gt;0,"✔","-")</f>
        <v>-</v>
      </c>
      <c r="BG17" s="198" t="str">
        <f>IF('Design Fee'!DC19&gt;0,"✔","-")</f>
        <v>-</v>
      </c>
      <c r="BH17" s="198" t="str">
        <f>IF('Design Fee'!DD19&gt;0,"✔","-")</f>
        <v>-</v>
      </c>
      <c r="BI17" s="205"/>
      <c r="BJ17" s="203"/>
      <c r="BK17" s="204"/>
      <c r="BL17" s="197" t="str">
        <f>IF('Design Fee'!EA19&gt;0,"✔","-")</f>
        <v>-</v>
      </c>
      <c r="BM17" s="197" t="str">
        <f>IF('Design Fee'!EB19&gt;0,"✔","-")</f>
        <v>-</v>
      </c>
      <c r="BN17" s="198" t="str">
        <f>IF('Design Fee'!EC19&gt;0,"✔","-")</f>
        <v>-</v>
      </c>
      <c r="BO17" s="198" t="str">
        <f>IF('Design Fee'!ED19&gt;0,"✔","-")</f>
        <v>-</v>
      </c>
      <c r="BP17" s="198" t="str">
        <f>IF('Design Fee'!EE19&gt;0,"✔","-")</f>
        <v>-</v>
      </c>
      <c r="BQ17" s="198" t="str">
        <f>IF('Design Fee'!EF19&gt;0,"✔","-")</f>
        <v>-</v>
      </c>
      <c r="BR17" s="198" t="str">
        <f>IF('Design Fee'!EG19&gt;0,"✔","-")</f>
        <v>-</v>
      </c>
      <c r="BS17" s="198" t="str">
        <f>IF('Design Fee'!EH19&gt;0,"✔","-")</f>
        <v>-</v>
      </c>
      <c r="BT17" s="202"/>
      <c r="BU17" s="198" t="str">
        <f>IF('Design Fee'!EJ19&gt;0,"✔","-")</f>
        <v>-</v>
      </c>
      <c r="BV17" s="198" t="str">
        <f>IF('Design Fee'!EK19&gt;0,"✔","-")</f>
        <v>-</v>
      </c>
      <c r="BW17" s="198" t="str">
        <f>IF('Design Fee'!EL19&gt;0,"✔","-")</f>
        <v>-</v>
      </c>
      <c r="BX17" s="198" t="str">
        <f>IF('Design Fee'!EM19&gt;0,"✔","-")</f>
        <v>-</v>
      </c>
      <c r="BY17" s="198" t="str">
        <f>IF('Design Fee'!EN19&gt;0,"✔","-")</f>
        <v>-</v>
      </c>
      <c r="BZ17" s="137"/>
    </row>
    <row r="18" spans="2:78" ht="13.35" hidden="1" customHeight="1" outlineLevel="2">
      <c r="B18" s="193"/>
      <c r="C18" s="193">
        <v>3</v>
      </c>
      <c r="D18" s="201" t="s">
        <v>29</v>
      </c>
      <c r="E18" s="202"/>
      <c r="F18" s="197"/>
      <c r="G18" s="198"/>
      <c r="H18" s="198"/>
      <c r="I18" s="198"/>
      <c r="J18" s="184"/>
      <c r="K18" s="203"/>
      <c r="L18" s="204"/>
      <c r="M18" s="197" t="str">
        <f>IF('Design Fee'!W20&gt;0,"✔","-")</f>
        <v>-</v>
      </c>
      <c r="N18" s="197" t="str">
        <f>IF('Design Fee'!X20&gt;0,"✔","-")</f>
        <v>-</v>
      </c>
      <c r="O18" s="198" t="str">
        <f>IF('Design Fee'!Y20&gt;0,"✔","-")</f>
        <v>-</v>
      </c>
      <c r="P18" s="198" t="str">
        <f>IF('Design Fee'!Z20&gt;0,"✔","-")</f>
        <v>-</v>
      </c>
      <c r="Q18" s="198" t="str">
        <f>IF('Design Fee'!AA20&gt;0,"✔","-")</f>
        <v>-</v>
      </c>
      <c r="R18" s="198" t="str">
        <f>IF('Design Fee'!AB20&gt;0,"✔","-")</f>
        <v>-</v>
      </c>
      <c r="S18" s="198" t="str">
        <f>IF('Design Fee'!AC20&gt;0,"✔","-")</f>
        <v>-</v>
      </c>
      <c r="T18" s="198" t="str">
        <f>IF('Design Fee'!AD20&gt;0,"✔","-")</f>
        <v>-</v>
      </c>
      <c r="U18" s="184"/>
      <c r="V18" s="198" t="str">
        <f>IF('Design Fee'!AF20&gt;0,"✔","-")</f>
        <v>-</v>
      </c>
      <c r="W18" s="198" t="str">
        <f>IF('Design Fee'!AG20&gt;0,"✔","-")</f>
        <v>-</v>
      </c>
      <c r="X18" s="198" t="str">
        <f>IF('Design Fee'!AH20&gt;0,"✔","-")</f>
        <v>-</v>
      </c>
      <c r="Y18" s="198" t="str">
        <f>IF('Design Fee'!AI20&gt;0,"✔","-")</f>
        <v>-</v>
      </c>
      <c r="Z18" s="198" t="str">
        <f>IF('Design Fee'!AJ20&gt;0,"✔","-")</f>
        <v>-</v>
      </c>
      <c r="AA18" s="184"/>
      <c r="AB18" s="203"/>
      <c r="AC18" s="204"/>
      <c r="AD18" s="197" t="str">
        <f>IF('Design Fee'!BG20&gt;0,"✔","-")</f>
        <v>-</v>
      </c>
      <c r="AE18" s="197" t="str">
        <f>IF('Design Fee'!BH20&gt;0,"✔","-")</f>
        <v>-</v>
      </c>
      <c r="AF18" s="198" t="str">
        <f>IF('Design Fee'!BI20&gt;0,"✔","-")</f>
        <v>-</v>
      </c>
      <c r="AG18" s="198" t="str">
        <f>IF('Design Fee'!BJ20&gt;0,"✔","-")</f>
        <v>-</v>
      </c>
      <c r="AH18" s="198" t="str">
        <f>IF('Design Fee'!BK20&gt;0,"✔","-")</f>
        <v>-</v>
      </c>
      <c r="AI18" s="198" t="str">
        <f>IF('Design Fee'!BL20&gt;0,"✔","-")</f>
        <v>-</v>
      </c>
      <c r="AJ18" s="198" t="str">
        <f>IF('Design Fee'!BM20&gt;0,"✔","-")</f>
        <v>-</v>
      </c>
      <c r="AK18" s="198" t="str">
        <f>IF('Design Fee'!BN20&gt;0,"✔","-")</f>
        <v>-</v>
      </c>
      <c r="AL18" s="205"/>
      <c r="AM18" s="198" t="str">
        <f>IF('Design Fee'!BP20&gt;0,"✔","-")</f>
        <v>-</v>
      </c>
      <c r="AN18" s="198" t="str">
        <f>IF('Design Fee'!BQ20&gt;0,"✔","-")</f>
        <v>-</v>
      </c>
      <c r="AO18" s="198" t="str">
        <f>IF('Design Fee'!BR20&gt;0,"✔","-")</f>
        <v>-</v>
      </c>
      <c r="AP18" s="198" t="str">
        <f>IF('Design Fee'!BS20&gt;0,"✔","-")</f>
        <v>-</v>
      </c>
      <c r="AQ18" s="198" t="str">
        <f>IF('Design Fee'!BT20&gt;0,"✔","-")</f>
        <v>-</v>
      </c>
      <c r="AR18" s="205"/>
      <c r="AS18" s="203"/>
      <c r="AT18" s="204"/>
      <c r="AU18" s="197" t="str">
        <f>IF('Design Fee'!CQ20&gt;0,"✔","-")</f>
        <v>-</v>
      </c>
      <c r="AV18" s="197" t="str">
        <f>IF('Design Fee'!CR20&gt;0,"✔","-")</f>
        <v>-</v>
      </c>
      <c r="AW18" s="198" t="str">
        <f>IF('Design Fee'!CS20&gt;0,"✔","-")</f>
        <v>-</v>
      </c>
      <c r="AX18" s="198" t="str">
        <f>IF('Design Fee'!CT20&gt;0,"✔","-")</f>
        <v>-</v>
      </c>
      <c r="AY18" s="198" t="str">
        <f>IF('Design Fee'!CU20&gt;0,"✔","-")</f>
        <v>-</v>
      </c>
      <c r="AZ18" s="198" t="str">
        <f>IF('Design Fee'!CV20&gt;0,"✔","-")</f>
        <v>-</v>
      </c>
      <c r="BA18" s="198" t="str">
        <f>IF('Design Fee'!CW20&gt;0,"✔","-")</f>
        <v>-</v>
      </c>
      <c r="BB18" s="198" t="str">
        <f>IF('Design Fee'!CX20&gt;0,"✔","-")</f>
        <v>-</v>
      </c>
      <c r="BC18" s="205"/>
      <c r="BD18" s="198" t="str">
        <f>IF('Design Fee'!CZ20&gt;0,"✔","-")</f>
        <v>-</v>
      </c>
      <c r="BE18" s="198" t="str">
        <f>IF('Design Fee'!DA20&gt;0,"✔","-")</f>
        <v>-</v>
      </c>
      <c r="BF18" s="198" t="str">
        <f>IF('Design Fee'!DB20&gt;0,"✔","-")</f>
        <v>-</v>
      </c>
      <c r="BG18" s="198" t="str">
        <f>IF('Design Fee'!DC20&gt;0,"✔","-")</f>
        <v>-</v>
      </c>
      <c r="BH18" s="198" t="str">
        <f>IF('Design Fee'!DD20&gt;0,"✔","-")</f>
        <v>-</v>
      </c>
      <c r="BI18" s="205"/>
      <c r="BJ18" s="203"/>
      <c r="BK18" s="204"/>
      <c r="BL18" s="197" t="str">
        <f>IF('Design Fee'!EA20&gt;0,"✔","-")</f>
        <v>-</v>
      </c>
      <c r="BM18" s="197" t="str">
        <f>IF('Design Fee'!EB20&gt;0,"✔","-")</f>
        <v>-</v>
      </c>
      <c r="BN18" s="198" t="str">
        <f>IF('Design Fee'!EC20&gt;0,"✔","-")</f>
        <v>-</v>
      </c>
      <c r="BO18" s="198" t="str">
        <f>IF('Design Fee'!ED20&gt;0,"✔","-")</f>
        <v>-</v>
      </c>
      <c r="BP18" s="198" t="str">
        <f>IF('Design Fee'!EE20&gt;0,"✔","-")</f>
        <v>-</v>
      </c>
      <c r="BQ18" s="198" t="str">
        <f>IF('Design Fee'!EF20&gt;0,"✔","-")</f>
        <v>-</v>
      </c>
      <c r="BR18" s="198" t="str">
        <f>IF('Design Fee'!EG20&gt;0,"✔","-")</f>
        <v>-</v>
      </c>
      <c r="BS18" s="198" t="str">
        <f>IF('Design Fee'!EH20&gt;0,"✔","-")</f>
        <v>-</v>
      </c>
      <c r="BT18" s="202"/>
      <c r="BU18" s="198" t="str">
        <f>IF('Design Fee'!EJ20&gt;0,"✔","-")</f>
        <v>-</v>
      </c>
      <c r="BV18" s="198" t="str">
        <f>IF('Design Fee'!EK20&gt;0,"✔","-")</f>
        <v>-</v>
      </c>
      <c r="BW18" s="198" t="str">
        <f>IF('Design Fee'!EL20&gt;0,"✔","-")</f>
        <v>-</v>
      </c>
      <c r="BX18" s="198" t="str">
        <f>IF('Design Fee'!EM20&gt;0,"✔","-")</f>
        <v>-</v>
      </c>
      <c r="BY18" s="198" t="str">
        <f>IF('Design Fee'!EN20&gt;0,"✔","-")</f>
        <v>-</v>
      </c>
      <c r="BZ18" s="137"/>
    </row>
    <row r="19" spans="2:78" ht="13.35" hidden="1" customHeight="1" outlineLevel="2">
      <c r="B19" s="193"/>
      <c r="C19" s="193">
        <v>4</v>
      </c>
      <c r="D19" s="201" t="s">
        <v>30</v>
      </c>
      <c r="E19" s="202"/>
      <c r="F19" s="197"/>
      <c r="G19" s="198"/>
      <c r="H19" s="198"/>
      <c r="I19" s="198"/>
      <c r="J19" s="184"/>
      <c r="K19" s="203"/>
      <c r="L19" s="204"/>
      <c r="M19" s="197" t="str">
        <f>IF('Design Fee'!W21&gt;0,"✔","-")</f>
        <v>-</v>
      </c>
      <c r="N19" s="197" t="str">
        <f>IF('Design Fee'!X21&gt;0,"✔","-")</f>
        <v>-</v>
      </c>
      <c r="O19" s="198" t="str">
        <f>IF('Design Fee'!Y21&gt;0,"✔","-")</f>
        <v>-</v>
      </c>
      <c r="P19" s="198" t="str">
        <f>IF('Design Fee'!Z21&gt;0,"✔","-")</f>
        <v>-</v>
      </c>
      <c r="Q19" s="198" t="str">
        <f>IF('Design Fee'!AA21&gt;0,"✔","-")</f>
        <v>-</v>
      </c>
      <c r="R19" s="198" t="str">
        <f>IF('Design Fee'!AB21&gt;0,"✔","-")</f>
        <v>-</v>
      </c>
      <c r="S19" s="198" t="str">
        <f>IF('Design Fee'!AC21&gt;0,"✔","-")</f>
        <v>-</v>
      </c>
      <c r="T19" s="198" t="str">
        <f>IF('Design Fee'!AD21&gt;0,"✔","-")</f>
        <v>-</v>
      </c>
      <c r="U19" s="184"/>
      <c r="V19" s="198" t="str">
        <f>IF('Design Fee'!AF21&gt;0,"✔","-")</f>
        <v>-</v>
      </c>
      <c r="W19" s="198" t="str">
        <f>IF('Design Fee'!AG21&gt;0,"✔","-")</f>
        <v>-</v>
      </c>
      <c r="X19" s="198" t="str">
        <f>IF('Design Fee'!AH21&gt;0,"✔","-")</f>
        <v>-</v>
      </c>
      <c r="Y19" s="198" t="str">
        <f>IF('Design Fee'!AI21&gt;0,"✔","-")</f>
        <v>-</v>
      </c>
      <c r="Z19" s="198" t="str">
        <f>IF('Design Fee'!AJ21&gt;0,"✔","-")</f>
        <v>-</v>
      </c>
      <c r="AA19" s="184"/>
      <c r="AB19" s="203"/>
      <c r="AC19" s="204"/>
      <c r="AD19" s="197" t="str">
        <f>IF('Design Fee'!BG21&gt;0,"✔","-")</f>
        <v>-</v>
      </c>
      <c r="AE19" s="197" t="str">
        <f>IF('Design Fee'!BH21&gt;0,"✔","-")</f>
        <v>-</v>
      </c>
      <c r="AF19" s="198" t="str">
        <f>IF('Design Fee'!BI21&gt;0,"✔","-")</f>
        <v>-</v>
      </c>
      <c r="AG19" s="198" t="str">
        <f>IF('Design Fee'!BJ21&gt;0,"✔","-")</f>
        <v>-</v>
      </c>
      <c r="AH19" s="198" t="str">
        <f>IF('Design Fee'!BK21&gt;0,"✔","-")</f>
        <v>-</v>
      </c>
      <c r="AI19" s="198" t="str">
        <f>IF('Design Fee'!BL21&gt;0,"✔","-")</f>
        <v>-</v>
      </c>
      <c r="AJ19" s="198" t="str">
        <f>IF('Design Fee'!BM21&gt;0,"✔","-")</f>
        <v>-</v>
      </c>
      <c r="AK19" s="198" t="str">
        <f>IF('Design Fee'!BN21&gt;0,"✔","-")</f>
        <v>-</v>
      </c>
      <c r="AL19" s="205"/>
      <c r="AM19" s="198" t="str">
        <f>IF('Design Fee'!BP21&gt;0,"✔","-")</f>
        <v>-</v>
      </c>
      <c r="AN19" s="198" t="str">
        <f>IF('Design Fee'!BQ21&gt;0,"✔","-")</f>
        <v>-</v>
      </c>
      <c r="AO19" s="198" t="str">
        <f>IF('Design Fee'!BR21&gt;0,"✔","-")</f>
        <v>-</v>
      </c>
      <c r="AP19" s="198" t="str">
        <f>IF('Design Fee'!BS21&gt;0,"✔","-")</f>
        <v>-</v>
      </c>
      <c r="AQ19" s="198" t="str">
        <f>IF('Design Fee'!BT21&gt;0,"✔","-")</f>
        <v>-</v>
      </c>
      <c r="AR19" s="205"/>
      <c r="AS19" s="203"/>
      <c r="AT19" s="204"/>
      <c r="AU19" s="197" t="str">
        <f>IF('Design Fee'!CQ21&gt;0,"✔","-")</f>
        <v>-</v>
      </c>
      <c r="AV19" s="197" t="str">
        <f>IF('Design Fee'!CR21&gt;0,"✔","-")</f>
        <v>-</v>
      </c>
      <c r="AW19" s="198" t="str">
        <f>IF('Design Fee'!CS21&gt;0,"✔","-")</f>
        <v>-</v>
      </c>
      <c r="AX19" s="198" t="str">
        <f>IF('Design Fee'!CT21&gt;0,"✔","-")</f>
        <v>-</v>
      </c>
      <c r="AY19" s="198" t="str">
        <f>IF('Design Fee'!CU21&gt;0,"✔","-")</f>
        <v>-</v>
      </c>
      <c r="AZ19" s="198" t="str">
        <f>IF('Design Fee'!CV21&gt;0,"✔","-")</f>
        <v>-</v>
      </c>
      <c r="BA19" s="198" t="str">
        <f>IF('Design Fee'!CW21&gt;0,"✔","-")</f>
        <v>-</v>
      </c>
      <c r="BB19" s="198" t="str">
        <f>IF('Design Fee'!CX21&gt;0,"✔","-")</f>
        <v>-</v>
      </c>
      <c r="BC19" s="205"/>
      <c r="BD19" s="198" t="str">
        <f>IF('Design Fee'!CZ21&gt;0,"✔","-")</f>
        <v>-</v>
      </c>
      <c r="BE19" s="198" t="str">
        <f>IF('Design Fee'!DA21&gt;0,"✔","-")</f>
        <v>-</v>
      </c>
      <c r="BF19" s="198" t="str">
        <f>IF('Design Fee'!DB21&gt;0,"✔","-")</f>
        <v>-</v>
      </c>
      <c r="BG19" s="198" t="str">
        <f>IF('Design Fee'!DC21&gt;0,"✔","-")</f>
        <v>-</v>
      </c>
      <c r="BH19" s="198" t="str">
        <f>IF('Design Fee'!DD21&gt;0,"✔","-")</f>
        <v>-</v>
      </c>
      <c r="BI19" s="205"/>
      <c r="BJ19" s="203"/>
      <c r="BK19" s="204"/>
      <c r="BL19" s="197" t="str">
        <f>IF('Design Fee'!EA21&gt;0,"✔","-")</f>
        <v>-</v>
      </c>
      <c r="BM19" s="197" t="str">
        <f>IF('Design Fee'!EB21&gt;0,"✔","-")</f>
        <v>-</v>
      </c>
      <c r="BN19" s="198" t="str">
        <f>IF('Design Fee'!EC21&gt;0,"✔","-")</f>
        <v>-</v>
      </c>
      <c r="BO19" s="198" t="str">
        <f>IF('Design Fee'!ED21&gt;0,"✔","-")</f>
        <v>-</v>
      </c>
      <c r="BP19" s="198" t="str">
        <f>IF('Design Fee'!EE21&gt;0,"✔","-")</f>
        <v>-</v>
      </c>
      <c r="BQ19" s="198" t="str">
        <f>IF('Design Fee'!EF21&gt;0,"✔","-")</f>
        <v>-</v>
      </c>
      <c r="BR19" s="198" t="str">
        <f>IF('Design Fee'!EG21&gt;0,"✔","-")</f>
        <v>-</v>
      </c>
      <c r="BS19" s="198" t="str">
        <f>IF('Design Fee'!EH21&gt;0,"✔","-")</f>
        <v>-</v>
      </c>
      <c r="BT19" s="202"/>
      <c r="BU19" s="198" t="str">
        <f>IF('Design Fee'!EJ21&gt;0,"✔","-")</f>
        <v>-</v>
      </c>
      <c r="BV19" s="198" t="str">
        <f>IF('Design Fee'!EK21&gt;0,"✔","-")</f>
        <v>-</v>
      </c>
      <c r="BW19" s="198" t="str">
        <f>IF('Design Fee'!EL21&gt;0,"✔","-")</f>
        <v>-</v>
      </c>
      <c r="BX19" s="198" t="str">
        <f>IF('Design Fee'!EM21&gt;0,"✔","-")</f>
        <v>-</v>
      </c>
      <c r="BY19" s="198" t="str">
        <f>IF('Design Fee'!EN21&gt;0,"✔","-")</f>
        <v>-</v>
      </c>
      <c r="BZ19" s="137"/>
    </row>
    <row r="20" spans="2:78" ht="3" hidden="1" customHeight="1" outlineLevel="1">
      <c r="B20" s="138"/>
      <c r="C20" s="138"/>
      <c r="D20" s="137"/>
      <c r="E20" s="137"/>
      <c r="F20" s="162"/>
      <c r="G20" s="175"/>
      <c r="H20" s="175"/>
      <c r="I20" s="175"/>
      <c r="J20" s="207"/>
      <c r="K20" s="195"/>
      <c r="L20" s="196"/>
      <c r="M20" s="197"/>
      <c r="N20" s="197"/>
      <c r="O20" s="206"/>
      <c r="P20" s="206"/>
      <c r="Q20" s="206"/>
      <c r="R20" s="206"/>
      <c r="S20" s="206"/>
      <c r="T20" s="206"/>
      <c r="U20" s="207"/>
      <c r="V20" s="206"/>
      <c r="W20" s="206"/>
      <c r="X20" s="206"/>
      <c r="Y20" s="206"/>
      <c r="Z20" s="206"/>
      <c r="AA20" s="207"/>
      <c r="AB20" s="195"/>
      <c r="AC20" s="196"/>
      <c r="AD20" s="197"/>
      <c r="AE20" s="197"/>
      <c r="AF20" s="175"/>
      <c r="AG20" s="175"/>
      <c r="AH20" s="175"/>
      <c r="AI20" s="175"/>
      <c r="AJ20" s="175"/>
      <c r="AK20" s="175"/>
      <c r="AL20" s="175"/>
      <c r="AM20" s="175"/>
      <c r="AN20" s="175"/>
      <c r="AO20" s="175"/>
      <c r="AP20" s="175"/>
      <c r="AQ20" s="175"/>
      <c r="AR20" s="175"/>
      <c r="AS20" s="195"/>
      <c r="AT20" s="175"/>
      <c r="AU20" s="197"/>
      <c r="AV20" s="197"/>
      <c r="AW20" s="175"/>
      <c r="AX20" s="175"/>
      <c r="AY20" s="175"/>
      <c r="AZ20" s="175"/>
      <c r="BA20" s="175"/>
      <c r="BB20" s="175"/>
      <c r="BC20" s="175"/>
      <c r="BD20" s="175"/>
      <c r="BE20" s="175"/>
      <c r="BF20" s="175"/>
      <c r="BG20" s="175"/>
      <c r="BH20" s="175"/>
      <c r="BI20" s="175"/>
      <c r="BJ20" s="195"/>
      <c r="BK20" s="175"/>
      <c r="BL20" s="197"/>
      <c r="BM20" s="197"/>
      <c r="BN20" s="175"/>
      <c r="BO20" s="175"/>
      <c r="BP20" s="175"/>
      <c r="BQ20" s="175"/>
      <c r="BR20" s="175"/>
      <c r="BS20" s="175"/>
      <c r="BT20" s="137"/>
      <c r="BU20" s="175"/>
      <c r="BV20" s="175"/>
      <c r="BW20" s="175"/>
      <c r="BX20" s="175"/>
      <c r="BY20" s="175"/>
      <c r="BZ20" s="137"/>
    </row>
    <row r="21" spans="2:78" ht="14.25" hidden="1" outlineLevel="1">
      <c r="B21" s="185">
        <v>2</v>
      </c>
      <c r="C21" s="186">
        <v>3</v>
      </c>
      <c r="D21" s="187" t="s">
        <v>31</v>
      </c>
      <c r="E21" s="188"/>
      <c r="F21" s="190">
        <f>COUNTIF(M21,"✔")+COUNTIF(AD21,"✔")+COUNTIF(BL21,"✔")+COUNTIF(AU21,"✔")</f>
        <v>4</v>
      </c>
      <c r="G21" s="190">
        <f>COUNTIF(N21,"✔")+COUNTIF(AE21,"✔")+COUNTIF(BM21,"✔")+COUNTIF(AV21,"✔")</f>
        <v>4</v>
      </c>
      <c r="H21" s="190">
        <f>COUNTIF(O21,"✔")+COUNTIF(AF21,"✔")+COUNTIF(BN21,"✔")+COUNTIF(AW21,"✔")</f>
        <v>4</v>
      </c>
      <c r="I21" s="191">
        <f>F21-G21</f>
        <v>0</v>
      </c>
      <c r="J21" s="210"/>
      <c r="K21" s="190"/>
      <c r="L21" s="208"/>
      <c r="M21" s="190" t="str">
        <f>IF('Design Fee'!W23&gt;0,"✔","-")</f>
        <v>✔</v>
      </c>
      <c r="N21" s="190" t="str">
        <f>IF('Design Fee'!X23&gt;0,"✔","-")</f>
        <v>✔</v>
      </c>
      <c r="O21" s="191" t="str">
        <f>IF('Design Fee'!Y23&gt;0,"✔","-")</f>
        <v>✔</v>
      </c>
      <c r="P21" s="209" t="str">
        <f>IF('Design Fee'!Z23&gt;0,"✔","-")</f>
        <v>-</v>
      </c>
      <c r="Q21" s="209" t="str">
        <f>IF('Design Fee'!AA23&gt;0,"✔","-")</f>
        <v>-</v>
      </c>
      <c r="R21" s="209" t="str">
        <f>IF('Design Fee'!AB23&gt;0,"✔","-")</f>
        <v>-</v>
      </c>
      <c r="S21" s="209" t="str">
        <f>IF('Design Fee'!AC23&gt;0,"✔","-")</f>
        <v>-</v>
      </c>
      <c r="T21" s="209" t="str">
        <f>IF('Design Fee'!AD23&gt;0,"✔","-")</f>
        <v>-</v>
      </c>
      <c r="U21" s="210"/>
      <c r="V21" s="209" t="str">
        <f>IF('Design Fee'!AF23&gt;0,"✔","-")</f>
        <v>-</v>
      </c>
      <c r="W21" s="209" t="str">
        <f>IF('Design Fee'!AG23&gt;0,"✔","-")</f>
        <v>-</v>
      </c>
      <c r="X21" s="209" t="str">
        <f>IF('Design Fee'!AH23&gt;0,"✔","-")</f>
        <v>-</v>
      </c>
      <c r="Y21" s="209" t="str">
        <f>IF('Design Fee'!AI23&gt;0,"✔","-")</f>
        <v>-</v>
      </c>
      <c r="Z21" s="209" t="str">
        <f>IF('Design Fee'!AJ23&gt;0,"✔","-")</f>
        <v>-</v>
      </c>
      <c r="AA21" s="210"/>
      <c r="AB21" s="190" t="str">
        <f>AD21</f>
        <v>✔</v>
      </c>
      <c r="AC21" s="208"/>
      <c r="AD21" s="190" t="str">
        <f>IF('Design Fee'!BG23&gt;0,"✔","-")</f>
        <v>✔</v>
      </c>
      <c r="AE21" s="190" t="str">
        <f>IF('Design Fee'!BH23&gt;0,"✔","-")</f>
        <v>✔</v>
      </c>
      <c r="AF21" s="191" t="str">
        <f>IF('Design Fee'!BI23&gt;0,"✔","-")</f>
        <v>✔</v>
      </c>
      <c r="AG21" s="209" t="str">
        <f>IF('Design Fee'!BJ23&gt;0,"✔","-")</f>
        <v>-</v>
      </c>
      <c r="AH21" s="209" t="str">
        <f>IF('Design Fee'!BK23&gt;0,"✔","-")</f>
        <v>-</v>
      </c>
      <c r="AI21" s="209" t="str">
        <f>IF('Design Fee'!BL23&gt;0,"✔","-")</f>
        <v>-</v>
      </c>
      <c r="AJ21" s="209" t="str">
        <f>IF('Design Fee'!BM23&gt;0,"✔","-")</f>
        <v>-</v>
      </c>
      <c r="AK21" s="209" t="str">
        <f>IF('Design Fee'!BN23&gt;0,"✔","-")</f>
        <v>-</v>
      </c>
      <c r="AL21" s="211"/>
      <c r="AM21" s="209" t="str">
        <f>IF('Design Fee'!BP23&gt;0,"✔","-")</f>
        <v>-</v>
      </c>
      <c r="AN21" s="209" t="str">
        <f>IF('Design Fee'!BQ23&gt;0,"✔","-")</f>
        <v>-</v>
      </c>
      <c r="AO21" s="209" t="str">
        <f>IF('Design Fee'!BR23&gt;0,"✔","-")</f>
        <v>-</v>
      </c>
      <c r="AP21" s="209" t="str">
        <f>IF('Design Fee'!BS23&gt;0,"✔","-")</f>
        <v>-</v>
      </c>
      <c r="AQ21" s="209" t="str">
        <f>IF('Design Fee'!BT23&gt;0,"✔","-")</f>
        <v>-</v>
      </c>
      <c r="AR21" s="211"/>
      <c r="AS21" s="190" t="str">
        <f>AU21</f>
        <v>✔</v>
      </c>
      <c r="AT21" s="208"/>
      <c r="AU21" s="190" t="str">
        <f>IF('Design Fee'!CQ23&gt;0,"✔","-")</f>
        <v>✔</v>
      </c>
      <c r="AV21" s="190" t="str">
        <f>IF('Design Fee'!CR23&gt;0,"✔","-")</f>
        <v>✔</v>
      </c>
      <c r="AW21" s="191" t="str">
        <f>IF('Design Fee'!CS23&gt;0,"✔","-")</f>
        <v>✔</v>
      </c>
      <c r="AX21" s="209" t="str">
        <f>IF('Design Fee'!CT23&gt;0,"✔","-")</f>
        <v>-</v>
      </c>
      <c r="AY21" s="209" t="str">
        <f>IF('Design Fee'!CU23&gt;0,"✔","-")</f>
        <v>-</v>
      </c>
      <c r="AZ21" s="209" t="str">
        <f>IF('Design Fee'!CV23&gt;0,"✔","-")</f>
        <v>-</v>
      </c>
      <c r="BA21" s="209" t="str">
        <f>IF('Design Fee'!CW23&gt;0,"✔","-")</f>
        <v>-</v>
      </c>
      <c r="BB21" s="209" t="str">
        <f>IF('Design Fee'!CX23&gt;0,"✔","-")</f>
        <v>-</v>
      </c>
      <c r="BC21" s="211"/>
      <c r="BD21" s="209" t="str">
        <f>IF('Design Fee'!CZ23&gt;0,"✔","-")</f>
        <v>-</v>
      </c>
      <c r="BE21" s="209" t="str">
        <f>IF('Design Fee'!DA23&gt;0,"✔","-")</f>
        <v>-</v>
      </c>
      <c r="BF21" s="209" t="str">
        <f>IF('Design Fee'!DB23&gt;0,"✔","-")</f>
        <v>-</v>
      </c>
      <c r="BG21" s="209" t="str">
        <f>IF('Design Fee'!DC23&gt;0,"✔","-")</f>
        <v>-</v>
      </c>
      <c r="BH21" s="209" t="str">
        <f>IF('Design Fee'!DD23&gt;0,"✔","-")</f>
        <v>-</v>
      </c>
      <c r="BI21" s="211"/>
      <c r="BJ21" s="190" t="str">
        <f>BL21</f>
        <v>✔</v>
      </c>
      <c r="BK21" s="208"/>
      <c r="BL21" s="190" t="str">
        <f>IF('Design Fee'!EA23&gt;0,"✔","-")</f>
        <v>✔</v>
      </c>
      <c r="BM21" s="190" t="str">
        <f>IF('Design Fee'!EB23&gt;0,"✔","-")</f>
        <v>✔</v>
      </c>
      <c r="BN21" s="191" t="str">
        <f>IF('Design Fee'!EC23&gt;0,"✔","-")</f>
        <v>✔</v>
      </c>
      <c r="BO21" s="209" t="str">
        <f>IF('Design Fee'!ED23&gt;0,"✔","-")</f>
        <v>-</v>
      </c>
      <c r="BP21" s="209" t="str">
        <f>IF('Design Fee'!EE23&gt;0,"✔","-")</f>
        <v>-</v>
      </c>
      <c r="BQ21" s="209" t="str">
        <f>IF('Design Fee'!EF23&gt;0,"✔","-")</f>
        <v>-</v>
      </c>
      <c r="BR21" s="209" t="str">
        <f>IF('Design Fee'!EG23&gt;0,"✔","-")</f>
        <v>-</v>
      </c>
      <c r="BS21" s="209" t="str">
        <f>IF('Design Fee'!EH23&gt;0,"✔","-")</f>
        <v>-</v>
      </c>
      <c r="BT21" s="137"/>
      <c r="BU21" s="209" t="str">
        <f>IF('Design Fee'!EJ23&gt;0,"✔","-")</f>
        <v>-</v>
      </c>
      <c r="BV21" s="209" t="str">
        <f>IF('Design Fee'!EK23&gt;0,"✔","-")</f>
        <v>-</v>
      </c>
      <c r="BW21" s="209" t="str">
        <f>IF('Design Fee'!EL23&gt;0,"✔","-")</f>
        <v>-</v>
      </c>
      <c r="BX21" s="209" t="str">
        <f>IF('Design Fee'!EM23&gt;0,"✔","-")</f>
        <v>-</v>
      </c>
      <c r="BY21" s="209" t="str">
        <f>IF('Design Fee'!EN23&gt;0,"✔","-")</f>
        <v>-</v>
      </c>
      <c r="BZ21" s="137"/>
    </row>
    <row r="22" spans="2:78" ht="13.35" hidden="1" customHeight="1" outlineLevel="2">
      <c r="B22" s="193"/>
      <c r="C22" s="193">
        <v>1</v>
      </c>
      <c r="D22" s="201" t="s">
        <v>27</v>
      </c>
      <c r="E22" s="137"/>
      <c r="F22" s="197"/>
      <c r="G22" s="212"/>
      <c r="H22" s="212"/>
      <c r="I22" s="198"/>
      <c r="J22" s="184"/>
      <c r="K22" s="195"/>
      <c r="L22" s="196"/>
      <c r="M22" s="197" t="str">
        <f>IF('Design Fee'!W24&gt;0,"✔","-")</f>
        <v>-</v>
      </c>
      <c r="N22" s="197" t="str">
        <f>IF('Design Fee'!X24&gt;0,"✔","-")</f>
        <v>-</v>
      </c>
      <c r="O22" s="212" t="str">
        <f>IF('Design Fee'!Y24&gt;0,"✔","-")</f>
        <v>-</v>
      </c>
      <c r="P22" s="198" t="str">
        <f>IF('Design Fee'!Z24&gt;0,"✔","-")</f>
        <v>-</v>
      </c>
      <c r="Q22" s="198" t="str">
        <f>IF('Design Fee'!AA24&gt;0,"✔","-")</f>
        <v>-</v>
      </c>
      <c r="R22" s="198" t="str">
        <f>IF('Design Fee'!AB24&gt;0,"✔","-")</f>
        <v>-</v>
      </c>
      <c r="S22" s="198" t="str">
        <f>IF('Design Fee'!AC24&gt;0,"✔","-")</f>
        <v>-</v>
      </c>
      <c r="T22" s="198" t="str">
        <f>IF('Design Fee'!AD24&gt;0,"✔","-")</f>
        <v>-</v>
      </c>
      <c r="U22" s="184"/>
      <c r="V22" s="198" t="str">
        <f>IF('Design Fee'!AF24&gt;0,"✔","-")</f>
        <v>-</v>
      </c>
      <c r="W22" s="198" t="str">
        <f>IF('Design Fee'!AG24&gt;0,"✔","-")</f>
        <v>-</v>
      </c>
      <c r="X22" s="198" t="str">
        <f>IF('Design Fee'!AH24&gt;0,"✔","-")</f>
        <v>-</v>
      </c>
      <c r="Y22" s="198" t="str">
        <f>IF('Design Fee'!AI24&gt;0,"✔","-")</f>
        <v>-</v>
      </c>
      <c r="Z22" s="198" t="str">
        <f>IF('Design Fee'!AJ24&gt;0,"✔","-")</f>
        <v>-</v>
      </c>
      <c r="AA22" s="184"/>
      <c r="AB22" s="195"/>
      <c r="AC22" s="196"/>
      <c r="AD22" s="197" t="str">
        <f>IF('Design Fee'!BG24&gt;0,"✔","-")</f>
        <v>-</v>
      </c>
      <c r="AE22" s="197" t="str">
        <f>IF('Design Fee'!BH24&gt;0,"✔","-")</f>
        <v>-</v>
      </c>
      <c r="AF22" s="212" t="str">
        <f>IF('Design Fee'!BI24&gt;0,"✔","-")</f>
        <v>-</v>
      </c>
      <c r="AG22" s="198" t="str">
        <f>IF('Design Fee'!BJ24&gt;0,"✔","-")</f>
        <v>-</v>
      </c>
      <c r="AH22" s="198" t="str">
        <f>IF('Design Fee'!BK24&gt;0,"✔","-")</f>
        <v>-</v>
      </c>
      <c r="AI22" s="198" t="str">
        <f>IF('Design Fee'!BL24&gt;0,"✔","-")</f>
        <v>-</v>
      </c>
      <c r="AJ22" s="198" t="str">
        <f>IF('Design Fee'!BM24&gt;0,"✔","-")</f>
        <v>-</v>
      </c>
      <c r="AK22" s="198" t="str">
        <f>IF('Design Fee'!BN24&gt;0,"✔","-")</f>
        <v>-</v>
      </c>
      <c r="AL22" s="199"/>
      <c r="AM22" s="198" t="str">
        <f>IF('Design Fee'!BP24&gt;0,"✔","-")</f>
        <v>-</v>
      </c>
      <c r="AN22" s="198" t="str">
        <f>IF('Design Fee'!BQ24&gt;0,"✔","-")</f>
        <v>-</v>
      </c>
      <c r="AO22" s="198" t="str">
        <f>IF('Design Fee'!BR24&gt;0,"✔","-")</f>
        <v>-</v>
      </c>
      <c r="AP22" s="198" t="str">
        <f>IF('Design Fee'!BS24&gt;0,"✔","-")</f>
        <v>-</v>
      </c>
      <c r="AQ22" s="198" t="str">
        <f>IF('Design Fee'!BT24&gt;0,"✔","-")</f>
        <v>-</v>
      </c>
      <c r="AR22" s="199"/>
      <c r="AS22" s="195"/>
      <c r="AT22" s="196"/>
      <c r="AU22" s="197" t="str">
        <f>IF('Design Fee'!CQ24&gt;0,"✔","-")</f>
        <v>-</v>
      </c>
      <c r="AV22" s="197" t="str">
        <f>IF('Design Fee'!CR24&gt;0,"✔","-")</f>
        <v>-</v>
      </c>
      <c r="AW22" s="212" t="str">
        <f>IF('Design Fee'!CS24&gt;0,"✔","-")</f>
        <v>-</v>
      </c>
      <c r="AX22" s="198" t="str">
        <f>IF('Design Fee'!CT24&gt;0,"✔","-")</f>
        <v>-</v>
      </c>
      <c r="AY22" s="198" t="str">
        <f>IF('Design Fee'!CU24&gt;0,"✔","-")</f>
        <v>-</v>
      </c>
      <c r="AZ22" s="198" t="str">
        <f>IF('Design Fee'!CV24&gt;0,"✔","-")</f>
        <v>-</v>
      </c>
      <c r="BA22" s="198" t="str">
        <f>IF('Design Fee'!CW24&gt;0,"✔","-")</f>
        <v>-</v>
      </c>
      <c r="BB22" s="198" t="str">
        <f>IF('Design Fee'!CX24&gt;0,"✔","-")</f>
        <v>-</v>
      </c>
      <c r="BC22" s="199"/>
      <c r="BD22" s="198" t="str">
        <f>IF('Design Fee'!CZ24&gt;0,"✔","-")</f>
        <v>-</v>
      </c>
      <c r="BE22" s="198" t="str">
        <f>IF('Design Fee'!DA24&gt;0,"✔","-")</f>
        <v>-</v>
      </c>
      <c r="BF22" s="198" t="str">
        <f>IF('Design Fee'!DB24&gt;0,"✔","-")</f>
        <v>-</v>
      </c>
      <c r="BG22" s="198" t="str">
        <f>IF('Design Fee'!DC24&gt;0,"✔","-")</f>
        <v>-</v>
      </c>
      <c r="BH22" s="198" t="str">
        <f>IF('Design Fee'!DD24&gt;0,"✔","-")</f>
        <v>-</v>
      </c>
      <c r="BI22" s="199"/>
      <c r="BJ22" s="195"/>
      <c r="BK22" s="196"/>
      <c r="BL22" s="197" t="str">
        <f>IF('Design Fee'!EA24&gt;0,"✔","-")</f>
        <v>-</v>
      </c>
      <c r="BM22" s="197" t="str">
        <f>IF('Design Fee'!EB24&gt;0,"✔","-")</f>
        <v>-</v>
      </c>
      <c r="BN22" s="212" t="str">
        <f>IF('Design Fee'!EC24&gt;0,"✔","-")</f>
        <v>-</v>
      </c>
      <c r="BO22" s="198" t="str">
        <f>IF('Design Fee'!ED24&gt;0,"✔","-")</f>
        <v>-</v>
      </c>
      <c r="BP22" s="198" t="str">
        <f>IF('Design Fee'!EE24&gt;0,"✔","-")</f>
        <v>-</v>
      </c>
      <c r="BQ22" s="198" t="str">
        <f>IF('Design Fee'!EF24&gt;0,"✔","-")</f>
        <v>-</v>
      </c>
      <c r="BR22" s="198" t="str">
        <f>IF('Design Fee'!EG24&gt;0,"✔","-")</f>
        <v>-</v>
      </c>
      <c r="BS22" s="198" t="str">
        <f>IF('Design Fee'!EH24&gt;0,"✔","-")</f>
        <v>-</v>
      </c>
      <c r="BT22" s="137"/>
      <c r="BU22" s="198" t="str">
        <f>IF('Design Fee'!EJ24&gt;0,"✔","-")</f>
        <v>-</v>
      </c>
      <c r="BV22" s="198" t="str">
        <f>IF('Design Fee'!EK24&gt;0,"✔","-")</f>
        <v>-</v>
      </c>
      <c r="BW22" s="198" t="str">
        <f>IF('Design Fee'!EL24&gt;0,"✔","-")</f>
        <v>-</v>
      </c>
      <c r="BX22" s="198" t="str">
        <f>IF('Design Fee'!EM24&gt;0,"✔","-")</f>
        <v>-</v>
      </c>
      <c r="BY22" s="198" t="str">
        <f>IF('Design Fee'!EN24&gt;0,"✔","-")</f>
        <v>-</v>
      </c>
      <c r="BZ22" s="137"/>
    </row>
    <row r="23" spans="2:78" ht="13.35" hidden="1" customHeight="1" outlineLevel="2">
      <c r="B23" s="193"/>
      <c r="C23" s="193">
        <v>2</v>
      </c>
      <c r="D23" s="201" t="s">
        <v>32</v>
      </c>
      <c r="E23" s="137"/>
      <c r="F23" s="197"/>
      <c r="G23" s="212"/>
      <c r="H23" s="212"/>
      <c r="I23" s="198"/>
      <c r="J23" s="184"/>
      <c r="K23" s="195"/>
      <c r="L23" s="196"/>
      <c r="M23" s="197" t="str">
        <f>IF('Design Fee'!W25&gt;0,"✔","-")</f>
        <v>-</v>
      </c>
      <c r="N23" s="197" t="str">
        <f>IF('Design Fee'!X25&gt;0,"✔","-")</f>
        <v>-</v>
      </c>
      <c r="O23" s="212" t="str">
        <f>IF('Design Fee'!Y25&gt;0,"✔","-")</f>
        <v>-</v>
      </c>
      <c r="P23" s="198" t="str">
        <f>IF('Design Fee'!Z25&gt;0,"✔","-")</f>
        <v>-</v>
      </c>
      <c r="Q23" s="198" t="str">
        <f>IF('Design Fee'!AA25&gt;0,"✔","-")</f>
        <v>-</v>
      </c>
      <c r="R23" s="198" t="str">
        <f>IF('Design Fee'!AB25&gt;0,"✔","-")</f>
        <v>-</v>
      </c>
      <c r="S23" s="198" t="str">
        <f>IF('Design Fee'!AC25&gt;0,"✔","-")</f>
        <v>-</v>
      </c>
      <c r="T23" s="198" t="str">
        <f>IF('Design Fee'!AD25&gt;0,"✔","-")</f>
        <v>-</v>
      </c>
      <c r="U23" s="184"/>
      <c r="V23" s="198" t="str">
        <f>IF('Design Fee'!AF25&gt;0,"✔","-")</f>
        <v>-</v>
      </c>
      <c r="W23" s="198" t="str">
        <f>IF('Design Fee'!AG25&gt;0,"✔","-")</f>
        <v>-</v>
      </c>
      <c r="X23" s="198" t="str">
        <f>IF('Design Fee'!AH25&gt;0,"✔","-")</f>
        <v>-</v>
      </c>
      <c r="Y23" s="198" t="str">
        <f>IF('Design Fee'!AI25&gt;0,"✔","-")</f>
        <v>-</v>
      </c>
      <c r="Z23" s="198" t="str">
        <f>IF('Design Fee'!AJ25&gt;0,"✔","-")</f>
        <v>-</v>
      </c>
      <c r="AA23" s="184"/>
      <c r="AB23" s="195"/>
      <c r="AC23" s="196"/>
      <c r="AD23" s="197" t="str">
        <f>IF('Design Fee'!BG25&gt;0,"✔","-")</f>
        <v>-</v>
      </c>
      <c r="AE23" s="197" t="str">
        <f>IF('Design Fee'!BH25&gt;0,"✔","-")</f>
        <v>-</v>
      </c>
      <c r="AF23" s="212" t="str">
        <f>IF('Design Fee'!BI25&gt;0,"✔","-")</f>
        <v>-</v>
      </c>
      <c r="AG23" s="198" t="str">
        <f>IF('Design Fee'!BJ25&gt;0,"✔","-")</f>
        <v>-</v>
      </c>
      <c r="AH23" s="198" t="str">
        <f>IF('Design Fee'!BK25&gt;0,"✔","-")</f>
        <v>-</v>
      </c>
      <c r="AI23" s="198" t="str">
        <f>IF('Design Fee'!BL25&gt;0,"✔","-")</f>
        <v>-</v>
      </c>
      <c r="AJ23" s="198" t="str">
        <f>IF('Design Fee'!BM25&gt;0,"✔","-")</f>
        <v>-</v>
      </c>
      <c r="AK23" s="198" t="str">
        <f>IF('Design Fee'!BN25&gt;0,"✔","-")</f>
        <v>-</v>
      </c>
      <c r="AL23" s="199"/>
      <c r="AM23" s="198" t="str">
        <f>IF('Design Fee'!BP25&gt;0,"✔","-")</f>
        <v>-</v>
      </c>
      <c r="AN23" s="198" t="str">
        <f>IF('Design Fee'!BQ25&gt;0,"✔","-")</f>
        <v>-</v>
      </c>
      <c r="AO23" s="198" t="str">
        <f>IF('Design Fee'!BR25&gt;0,"✔","-")</f>
        <v>-</v>
      </c>
      <c r="AP23" s="198" t="str">
        <f>IF('Design Fee'!BS25&gt;0,"✔","-")</f>
        <v>-</v>
      </c>
      <c r="AQ23" s="198" t="str">
        <f>IF('Design Fee'!BT25&gt;0,"✔","-")</f>
        <v>-</v>
      </c>
      <c r="AR23" s="199"/>
      <c r="AS23" s="195"/>
      <c r="AT23" s="196"/>
      <c r="AU23" s="197" t="str">
        <f>IF('Design Fee'!CQ25&gt;0,"✔","-")</f>
        <v>-</v>
      </c>
      <c r="AV23" s="197" t="str">
        <f>IF('Design Fee'!CR25&gt;0,"✔","-")</f>
        <v>-</v>
      </c>
      <c r="AW23" s="212" t="str">
        <f>IF('Design Fee'!CS25&gt;0,"✔","-")</f>
        <v>-</v>
      </c>
      <c r="AX23" s="198" t="str">
        <f>IF('Design Fee'!CT25&gt;0,"✔","-")</f>
        <v>-</v>
      </c>
      <c r="AY23" s="198" t="str">
        <f>IF('Design Fee'!CU25&gt;0,"✔","-")</f>
        <v>-</v>
      </c>
      <c r="AZ23" s="198" t="str">
        <f>IF('Design Fee'!CV25&gt;0,"✔","-")</f>
        <v>-</v>
      </c>
      <c r="BA23" s="198" t="str">
        <f>IF('Design Fee'!CW25&gt;0,"✔","-")</f>
        <v>-</v>
      </c>
      <c r="BB23" s="198" t="str">
        <f>IF('Design Fee'!CX25&gt;0,"✔","-")</f>
        <v>-</v>
      </c>
      <c r="BC23" s="199"/>
      <c r="BD23" s="198" t="str">
        <f>IF('Design Fee'!CZ25&gt;0,"✔","-")</f>
        <v>-</v>
      </c>
      <c r="BE23" s="198" t="str">
        <f>IF('Design Fee'!DA25&gt;0,"✔","-")</f>
        <v>-</v>
      </c>
      <c r="BF23" s="198" t="str">
        <f>IF('Design Fee'!DB25&gt;0,"✔","-")</f>
        <v>-</v>
      </c>
      <c r="BG23" s="198" t="str">
        <f>IF('Design Fee'!DC25&gt;0,"✔","-")</f>
        <v>-</v>
      </c>
      <c r="BH23" s="198" t="str">
        <f>IF('Design Fee'!DD25&gt;0,"✔","-")</f>
        <v>-</v>
      </c>
      <c r="BI23" s="199"/>
      <c r="BJ23" s="195"/>
      <c r="BK23" s="196"/>
      <c r="BL23" s="197" t="str">
        <f>IF('Design Fee'!EA25&gt;0,"✔","-")</f>
        <v>-</v>
      </c>
      <c r="BM23" s="197" t="str">
        <f>IF('Design Fee'!EB25&gt;0,"✔","-")</f>
        <v>-</v>
      </c>
      <c r="BN23" s="212" t="str">
        <f>IF('Design Fee'!EC25&gt;0,"✔","-")</f>
        <v>-</v>
      </c>
      <c r="BO23" s="198" t="str">
        <f>IF('Design Fee'!ED25&gt;0,"✔","-")</f>
        <v>-</v>
      </c>
      <c r="BP23" s="198" t="str">
        <f>IF('Design Fee'!EE25&gt;0,"✔","-")</f>
        <v>-</v>
      </c>
      <c r="BQ23" s="198" t="str">
        <f>IF('Design Fee'!EF25&gt;0,"✔","-")</f>
        <v>-</v>
      </c>
      <c r="BR23" s="198" t="str">
        <f>IF('Design Fee'!EG25&gt;0,"✔","-")</f>
        <v>-</v>
      </c>
      <c r="BS23" s="198" t="str">
        <f>IF('Design Fee'!EH25&gt;0,"✔","-")</f>
        <v>-</v>
      </c>
      <c r="BT23" s="137"/>
      <c r="BU23" s="198" t="str">
        <f>IF('Design Fee'!EJ25&gt;0,"✔","-")</f>
        <v>-</v>
      </c>
      <c r="BV23" s="198" t="str">
        <f>IF('Design Fee'!EK25&gt;0,"✔","-")</f>
        <v>-</v>
      </c>
      <c r="BW23" s="198" t="str">
        <f>IF('Design Fee'!EL25&gt;0,"✔","-")</f>
        <v>-</v>
      </c>
      <c r="BX23" s="198" t="str">
        <f>IF('Design Fee'!EM25&gt;0,"✔","-")</f>
        <v>-</v>
      </c>
      <c r="BY23" s="198" t="str">
        <f>IF('Design Fee'!EN25&gt;0,"✔","-")</f>
        <v>-</v>
      </c>
      <c r="BZ23" s="137"/>
    </row>
    <row r="24" spans="2:78" ht="13.35" hidden="1" customHeight="1" outlineLevel="2">
      <c r="B24" s="193"/>
      <c r="C24" s="193">
        <v>3</v>
      </c>
      <c r="D24" s="201" t="s">
        <v>33</v>
      </c>
      <c r="E24" s="137"/>
      <c r="F24" s="197"/>
      <c r="G24" s="212"/>
      <c r="H24" s="212"/>
      <c r="I24" s="198"/>
      <c r="J24" s="184"/>
      <c r="K24" s="195"/>
      <c r="L24" s="196"/>
      <c r="M24" s="197" t="str">
        <f>IF('Design Fee'!W26&gt;0,"✔","-")</f>
        <v>-</v>
      </c>
      <c r="N24" s="197" t="str">
        <f>IF('Design Fee'!X26&gt;0,"✔","-")</f>
        <v>-</v>
      </c>
      <c r="O24" s="212" t="str">
        <f>IF('Design Fee'!Y26&gt;0,"✔","-")</f>
        <v>-</v>
      </c>
      <c r="P24" s="198" t="str">
        <f>IF('Design Fee'!Z26&gt;0,"✔","-")</f>
        <v>-</v>
      </c>
      <c r="Q24" s="198" t="str">
        <f>IF('Design Fee'!AA26&gt;0,"✔","-")</f>
        <v>-</v>
      </c>
      <c r="R24" s="198" t="str">
        <f>IF('Design Fee'!AB26&gt;0,"✔","-")</f>
        <v>-</v>
      </c>
      <c r="S24" s="198" t="str">
        <f>IF('Design Fee'!AC26&gt;0,"✔","-")</f>
        <v>-</v>
      </c>
      <c r="T24" s="198" t="str">
        <f>IF('Design Fee'!AD26&gt;0,"✔","-")</f>
        <v>-</v>
      </c>
      <c r="U24" s="184"/>
      <c r="V24" s="198" t="str">
        <f>IF('Design Fee'!AF26&gt;0,"✔","-")</f>
        <v>-</v>
      </c>
      <c r="W24" s="198" t="str">
        <f>IF('Design Fee'!AG26&gt;0,"✔","-")</f>
        <v>-</v>
      </c>
      <c r="X24" s="198" t="str">
        <f>IF('Design Fee'!AH26&gt;0,"✔","-")</f>
        <v>-</v>
      </c>
      <c r="Y24" s="198" t="str">
        <f>IF('Design Fee'!AI26&gt;0,"✔","-")</f>
        <v>-</v>
      </c>
      <c r="Z24" s="198" t="str">
        <f>IF('Design Fee'!AJ26&gt;0,"✔","-")</f>
        <v>-</v>
      </c>
      <c r="AA24" s="184"/>
      <c r="AB24" s="195"/>
      <c r="AC24" s="196"/>
      <c r="AD24" s="197" t="str">
        <f>IF('Design Fee'!BG26&gt;0,"✔","-")</f>
        <v>-</v>
      </c>
      <c r="AE24" s="197" t="str">
        <f>IF('Design Fee'!BH26&gt;0,"✔","-")</f>
        <v>-</v>
      </c>
      <c r="AF24" s="212" t="str">
        <f>IF('Design Fee'!BI26&gt;0,"✔","-")</f>
        <v>-</v>
      </c>
      <c r="AG24" s="198" t="str">
        <f>IF('Design Fee'!BJ26&gt;0,"✔","-")</f>
        <v>-</v>
      </c>
      <c r="AH24" s="198" t="str">
        <f>IF('Design Fee'!BK26&gt;0,"✔","-")</f>
        <v>-</v>
      </c>
      <c r="AI24" s="198" t="str">
        <f>IF('Design Fee'!BL26&gt;0,"✔","-")</f>
        <v>-</v>
      </c>
      <c r="AJ24" s="198" t="str">
        <f>IF('Design Fee'!BM26&gt;0,"✔","-")</f>
        <v>-</v>
      </c>
      <c r="AK24" s="198" t="str">
        <f>IF('Design Fee'!BN26&gt;0,"✔","-")</f>
        <v>-</v>
      </c>
      <c r="AL24" s="199"/>
      <c r="AM24" s="198" t="str">
        <f>IF('Design Fee'!BP26&gt;0,"✔","-")</f>
        <v>-</v>
      </c>
      <c r="AN24" s="198" t="str">
        <f>IF('Design Fee'!BQ26&gt;0,"✔","-")</f>
        <v>-</v>
      </c>
      <c r="AO24" s="198" t="str">
        <f>IF('Design Fee'!BR26&gt;0,"✔","-")</f>
        <v>-</v>
      </c>
      <c r="AP24" s="198" t="str">
        <f>IF('Design Fee'!BS26&gt;0,"✔","-")</f>
        <v>-</v>
      </c>
      <c r="AQ24" s="198" t="str">
        <f>IF('Design Fee'!BT26&gt;0,"✔","-")</f>
        <v>-</v>
      </c>
      <c r="AR24" s="199"/>
      <c r="AS24" s="195"/>
      <c r="AT24" s="196"/>
      <c r="AU24" s="197" t="str">
        <f>IF('Design Fee'!CQ26&gt;0,"✔","-")</f>
        <v>-</v>
      </c>
      <c r="AV24" s="197" t="str">
        <f>IF('Design Fee'!CR26&gt;0,"✔","-")</f>
        <v>-</v>
      </c>
      <c r="AW24" s="212" t="str">
        <f>IF('Design Fee'!CS26&gt;0,"✔","-")</f>
        <v>-</v>
      </c>
      <c r="AX24" s="198" t="str">
        <f>IF('Design Fee'!CT26&gt;0,"✔","-")</f>
        <v>-</v>
      </c>
      <c r="AY24" s="198" t="str">
        <f>IF('Design Fee'!CU26&gt;0,"✔","-")</f>
        <v>-</v>
      </c>
      <c r="AZ24" s="198" t="str">
        <f>IF('Design Fee'!CV26&gt;0,"✔","-")</f>
        <v>-</v>
      </c>
      <c r="BA24" s="198" t="str">
        <f>IF('Design Fee'!CW26&gt;0,"✔","-")</f>
        <v>-</v>
      </c>
      <c r="BB24" s="198" t="str">
        <f>IF('Design Fee'!CX26&gt;0,"✔","-")</f>
        <v>-</v>
      </c>
      <c r="BC24" s="199"/>
      <c r="BD24" s="198" t="str">
        <f>IF('Design Fee'!CZ26&gt;0,"✔","-")</f>
        <v>-</v>
      </c>
      <c r="BE24" s="198" t="str">
        <f>IF('Design Fee'!DA26&gt;0,"✔","-")</f>
        <v>-</v>
      </c>
      <c r="BF24" s="198" t="str">
        <f>IF('Design Fee'!DB26&gt;0,"✔","-")</f>
        <v>-</v>
      </c>
      <c r="BG24" s="198" t="str">
        <f>IF('Design Fee'!DC26&gt;0,"✔","-")</f>
        <v>-</v>
      </c>
      <c r="BH24" s="198" t="str">
        <f>IF('Design Fee'!DD26&gt;0,"✔","-")</f>
        <v>-</v>
      </c>
      <c r="BI24" s="199"/>
      <c r="BJ24" s="195"/>
      <c r="BK24" s="196"/>
      <c r="BL24" s="197" t="str">
        <f>IF('Design Fee'!EA26&gt;0,"✔","-")</f>
        <v>-</v>
      </c>
      <c r="BM24" s="197" t="str">
        <f>IF('Design Fee'!EB26&gt;0,"✔","-")</f>
        <v>-</v>
      </c>
      <c r="BN24" s="212" t="str">
        <f>IF('Design Fee'!EC26&gt;0,"✔","-")</f>
        <v>-</v>
      </c>
      <c r="BO24" s="198" t="str">
        <f>IF('Design Fee'!ED26&gt;0,"✔","-")</f>
        <v>-</v>
      </c>
      <c r="BP24" s="198" t="str">
        <f>IF('Design Fee'!EE26&gt;0,"✔","-")</f>
        <v>-</v>
      </c>
      <c r="BQ24" s="198" t="str">
        <f>IF('Design Fee'!EF26&gt;0,"✔","-")</f>
        <v>-</v>
      </c>
      <c r="BR24" s="198" t="str">
        <f>IF('Design Fee'!EG26&gt;0,"✔","-")</f>
        <v>-</v>
      </c>
      <c r="BS24" s="198" t="str">
        <f>IF('Design Fee'!EH26&gt;0,"✔","-")</f>
        <v>-</v>
      </c>
      <c r="BT24" s="137"/>
      <c r="BU24" s="198" t="str">
        <f>IF('Design Fee'!EJ26&gt;0,"✔","-")</f>
        <v>-</v>
      </c>
      <c r="BV24" s="198" t="str">
        <f>IF('Design Fee'!EK26&gt;0,"✔","-")</f>
        <v>-</v>
      </c>
      <c r="BW24" s="198" t="str">
        <f>IF('Design Fee'!EL26&gt;0,"✔","-")</f>
        <v>-</v>
      </c>
      <c r="BX24" s="198" t="str">
        <f>IF('Design Fee'!EM26&gt;0,"✔","-")</f>
        <v>-</v>
      </c>
      <c r="BY24" s="198" t="str">
        <f>IF('Design Fee'!EN26&gt;0,"✔","-")</f>
        <v>-</v>
      </c>
      <c r="BZ24" s="137"/>
    </row>
    <row r="25" spans="2:78" ht="13.35" hidden="1" customHeight="1" outlineLevel="2">
      <c r="B25" s="193"/>
      <c r="C25" s="193">
        <v>4</v>
      </c>
      <c r="D25" s="201" t="s">
        <v>29</v>
      </c>
      <c r="E25" s="137"/>
      <c r="F25" s="197"/>
      <c r="G25" s="212"/>
      <c r="H25" s="212"/>
      <c r="I25" s="198"/>
      <c r="J25" s="184"/>
      <c r="K25" s="195"/>
      <c r="L25" s="196"/>
      <c r="M25" s="197" t="str">
        <f>IF('Design Fee'!W27&gt;0,"✔","-")</f>
        <v>-</v>
      </c>
      <c r="N25" s="197" t="str">
        <f>IF('Design Fee'!X27&gt;0,"✔","-")</f>
        <v>-</v>
      </c>
      <c r="O25" s="212" t="str">
        <f>IF('Design Fee'!Y27&gt;0,"✔","-")</f>
        <v>-</v>
      </c>
      <c r="P25" s="198" t="str">
        <f>IF('Design Fee'!Z27&gt;0,"✔","-")</f>
        <v>-</v>
      </c>
      <c r="Q25" s="198" t="str">
        <f>IF('Design Fee'!AA27&gt;0,"✔","-")</f>
        <v>-</v>
      </c>
      <c r="R25" s="198" t="str">
        <f>IF('Design Fee'!AB27&gt;0,"✔","-")</f>
        <v>-</v>
      </c>
      <c r="S25" s="198" t="str">
        <f>IF('Design Fee'!AC27&gt;0,"✔","-")</f>
        <v>-</v>
      </c>
      <c r="T25" s="198" t="str">
        <f>IF('Design Fee'!AD27&gt;0,"✔","-")</f>
        <v>-</v>
      </c>
      <c r="U25" s="184"/>
      <c r="V25" s="198" t="str">
        <f>IF('Design Fee'!AF27&gt;0,"✔","-")</f>
        <v>-</v>
      </c>
      <c r="W25" s="198" t="str">
        <f>IF('Design Fee'!AG27&gt;0,"✔","-")</f>
        <v>-</v>
      </c>
      <c r="X25" s="198" t="str">
        <f>IF('Design Fee'!AH27&gt;0,"✔","-")</f>
        <v>-</v>
      </c>
      <c r="Y25" s="198" t="str">
        <f>IF('Design Fee'!AI27&gt;0,"✔","-")</f>
        <v>-</v>
      </c>
      <c r="Z25" s="198" t="str">
        <f>IF('Design Fee'!AJ27&gt;0,"✔","-")</f>
        <v>-</v>
      </c>
      <c r="AA25" s="184"/>
      <c r="AB25" s="195"/>
      <c r="AC25" s="196"/>
      <c r="AD25" s="197" t="str">
        <f>IF('Design Fee'!BG27&gt;0,"✔","-")</f>
        <v>-</v>
      </c>
      <c r="AE25" s="197" t="str">
        <f>IF('Design Fee'!BH27&gt;0,"✔","-")</f>
        <v>-</v>
      </c>
      <c r="AF25" s="212" t="str">
        <f>IF('Design Fee'!BI27&gt;0,"✔","-")</f>
        <v>-</v>
      </c>
      <c r="AG25" s="198" t="str">
        <f>IF('Design Fee'!BJ27&gt;0,"✔","-")</f>
        <v>-</v>
      </c>
      <c r="AH25" s="198" t="str">
        <f>IF('Design Fee'!BK27&gt;0,"✔","-")</f>
        <v>-</v>
      </c>
      <c r="AI25" s="198" t="str">
        <f>IF('Design Fee'!BL27&gt;0,"✔","-")</f>
        <v>-</v>
      </c>
      <c r="AJ25" s="198" t="str">
        <f>IF('Design Fee'!BM27&gt;0,"✔","-")</f>
        <v>-</v>
      </c>
      <c r="AK25" s="198" t="str">
        <f>IF('Design Fee'!BN27&gt;0,"✔","-")</f>
        <v>-</v>
      </c>
      <c r="AL25" s="199"/>
      <c r="AM25" s="198" t="str">
        <f>IF('Design Fee'!BP27&gt;0,"✔","-")</f>
        <v>-</v>
      </c>
      <c r="AN25" s="198" t="str">
        <f>IF('Design Fee'!BQ27&gt;0,"✔","-")</f>
        <v>-</v>
      </c>
      <c r="AO25" s="198" t="str">
        <f>IF('Design Fee'!BR27&gt;0,"✔","-")</f>
        <v>-</v>
      </c>
      <c r="AP25" s="198" t="str">
        <f>IF('Design Fee'!BS27&gt;0,"✔","-")</f>
        <v>-</v>
      </c>
      <c r="AQ25" s="198" t="str">
        <f>IF('Design Fee'!BT27&gt;0,"✔","-")</f>
        <v>-</v>
      </c>
      <c r="AR25" s="199"/>
      <c r="AS25" s="195"/>
      <c r="AT25" s="196"/>
      <c r="AU25" s="197" t="str">
        <f>IF('Design Fee'!CQ27&gt;0,"✔","-")</f>
        <v>-</v>
      </c>
      <c r="AV25" s="197" t="str">
        <f>IF('Design Fee'!CR27&gt;0,"✔","-")</f>
        <v>-</v>
      </c>
      <c r="AW25" s="212" t="str">
        <f>IF('Design Fee'!CS27&gt;0,"✔","-")</f>
        <v>-</v>
      </c>
      <c r="AX25" s="198" t="str">
        <f>IF('Design Fee'!CT27&gt;0,"✔","-")</f>
        <v>-</v>
      </c>
      <c r="AY25" s="198" t="str">
        <f>IF('Design Fee'!CU27&gt;0,"✔","-")</f>
        <v>-</v>
      </c>
      <c r="AZ25" s="198" t="str">
        <f>IF('Design Fee'!CV27&gt;0,"✔","-")</f>
        <v>-</v>
      </c>
      <c r="BA25" s="198" t="str">
        <f>IF('Design Fee'!CW27&gt;0,"✔","-")</f>
        <v>-</v>
      </c>
      <c r="BB25" s="198" t="str">
        <f>IF('Design Fee'!CX27&gt;0,"✔","-")</f>
        <v>-</v>
      </c>
      <c r="BC25" s="199"/>
      <c r="BD25" s="198" t="str">
        <f>IF('Design Fee'!CZ27&gt;0,"✔","-")</f>
        <v>-</v>
      </c>
      <c r="BE25" s="198" t="str">
        <f>IF('Design Fee'!DA27&gt;0,"✔","-")</f>
        <v>-</v>
      </c>
      <c r="BF25" s="198" t="str">
        <f>IF('Design Fee'!DB27&gt;0,"✔","-")</f>
        <v>-</v>
      </c>
      <c r="BG25" s="198" t="str">
        <f>IF('Design Fee'!DC27&gt;0,"✔","-")</f>
        <v>-</v>
      </c>
      <c r="BH25" s="198" t="str">
        <f>IF('Design Fee'!DD27&gt;0,"✔","-")</f>
        <v>-</v>
      </c>
      <c r="BI25" s="199"/>
      <c r="BJ25" s="195"/>
      <c r="BK25" s="196"/>
      <c r="BL25" s="197" t="str">
        <f>IF('Design Fee'!EA27&gt;0,"✔","-")</f>
        <v>-</v>
      </c>
      <c r="BM25" s="197" t="str">
        <f>IF('Design Fee'!EB27&gt;0,"✔","-")</f>
        <v>-</v>
      </c>
      <c r="BN25" s="212" t="str">
        <f>IF('Design Fee'!EC27&gt;0,"✔","-")</f>
        <v>-</v>
      </c>
      <c r="BO25" s="198" t="str">
        <f>IF('Design Fee'!ED27&gt;0,"✔","-")</f>
        <v>-</v>
      </c>
      <c r="BP25" s="198" t="str">
        <f>IF('Design Fee'!EE27&gt;0,"✔","-")</f>
        <v>-</v>
      </c>
      <c r="BQ25" s="198" t="str">
        <f>IF('Design Fee'!EF27&gt;0,"✔","-")</f>
        <v>-</v>
      </c>
      <c r="BR25" s="198" t="str">
        <f>IF('Design Fee'!EG27&gt;0,"✔","-")</f>
        <v>-</v>
      </c>
      <c r="BS25" s="198" t="str">
        <f>IF('Design Fee'!EH27&gt;0,"✔","-")</f>
        <v>-</v>
      </c>
      <c r="BT25" s="137"/>
      <c r="BU25" s="198" t="str">
        <f>IF('Design Fee'!EJ27&gt;0,"✔","-")</f>
        <v>-</v>
      </c>
      <c r="BV25" s="198" t="str">
        <f>IF('Design Fee'!EK27&gt;0,"✔","-")</f>
        <v>-</v>
      </c>
      <c r="BW25" s="198" t="str">
        <f>IF('Design Fee'!EL27&gt;0,"✔","-")</f>
        <v>-</v>
      </c>
      <c r="BX25" s="198" t="str">
        <f>IF('Design Fee'!EM27&gt;0,"✔","-")</f>
        <v>-</v>
      </c>
      <c r="BY25" s="198" t="str">
        <f>IF('Design Fee'!EN27&gt;0,"✔","-")</f>
        <v>-</v>
      </c>
      <c r="BZ25" s="137"/>
    </row>
    <row r="26" spans="2:78" ht="13.35" hidden="1" customHeight="1" outlineLevel="2">
      <c r="B26" s="193"/>
      <c r="C26" s="193">
        <v>5</v>
      </c>
      <c r="D26" s="201" t="s">
        <v>30</v>
      </c>
      <c r="E26" s="202"/>
      <c r="F26" s="197"/>
      <c r="G26" s="212"/>
      <c r="H26" s="212"/>
      <c r="I26" s="198"/>
      <c r="J26" s="184"/>
      <c r="K26" s="203"/>
      <c r="L26" s="204"/>
      <c r="M26" s="197" t="str">
        <f>IF('Design Fee'!W28&gt;0,"✔","-")</f>
        <v>-</v>
      </c>
      <c r="N26" s="197" t="str">
        <f>IF('Design Fee'!X28&gt;0,"✔","-")</f>
        <v>-</v>
      </c>
      <c r="O26" s="212" t="str">
        <f>IF('Design Fee'!Y28&gt;0,"✔","-")</f>
        <v>-</v>
      </c>
      <c r="P26" s="198" t="str">
        <f>IF('Design Fee'!Z28&gt;0,"✔","-")</f>
        <v>-</v>
      </c>
      <c r="Q26" s="198" t="str">
        <f>IF('Design Fee'!AA28&gt;0,"✔","-")</f>
        <v>-</v>
      </c>
      <c r="R26" s="198" t="str">
        <f>IF('Design Fee'!AB28&gt;0,"✔","-")</f>
        <v>-</v>
      </c>
      <c r="S26" s="198" t="str">
        <f>IF('Design Fee'!AC28&gt;0,"✔","-")</f>
        <v>-</v>
      </c>
      <c r="T26" s="198" t="str">
        <f>IF('Design Fee'!AD28&gt;0,"✔","-")</f>
        <v>-</v>
      </c>
      <c r="U26" s="184"/>
      <c r="V26" s="198" t="str">
        <f>IF('Design Fee'!AF28&gt;0,"✔","-")</f>
        <v>-</v>
      </c>
      <c r="W26" s="198" t="str">
        <f>IF('Design Fee'!AG28&gt;0,"✔","-")</f>
        <v>-</v>
      </c>
      <c r="X26" s="198" t="str">
        <f>IF('Design Fee'!AH28&gt;0,"✔","-")</f>
        <v>-</v>
      </c>
      <c r="Y26" s="198" t="str">
        <f>IF('Design Fee'!AI28&gt;0,"✔","-")</f>
        <v>-</v>
      </c>
      <c r="Z26" s="198" t="str">
        <f>IF('Design Fee'!AJ28&gt;0,"✔","-")</f>
        <v>-</v>
      </c>
      <c r="AA26" s="184"/>
      <c r="AB26" s="203"/>
      <c r="AC26" s="204"/>
      <c r="AD26" s="197" t="str">
        <f>IF('Design Fee'!BG28&gt;0,"✔","-")</f>
        <v>-</v>
      </c>
      <c r="AE26" s="197" t="str">
        <f>IF('Design Fee'!BH28&gt;0,"✔","-")</f>
        <v>-</v>
      </c>
      <c r="AF26" s="212" t="str">
        <f>IF('Design Fee'!BI28&gt;0,"✔","-")</f>
        <v>-</v>
      </c>
      <c r="AG26" s="198" t="str">
        <f>IF('Design Fee'!BJ28&gt;0,"✔","-")</f>
        <v>-</v>
      </c>
      <c r="AH26" s="198" t="str">
        <f>IF('Design Fee'!BK28&gt;0,"✔","-")</f>
        <v>-</v>
      </c>
      <c r="AI26" s="198" t="str">
        <f>IF('Design Fee'!BL28&gt;0,"✔","-")</f>
        <v>-</v>
      </c>
      <c r="AJ26" s="198" t="str">
        <f>IF('Design Fee'!BM28&gt;0,"✔","-")</f>
        <v>-</v>
      </c>
      <c r="AK26" s="198" t="str">
        <f>IF('Design Fee'!BN28&gt;0,"✔","-")</f>
        <v>-</v>
      </c>
      <c r="AL26" s="205"/>
      <c r="AM26" s="198" t="str">
        <f>IF('Design Fee'!BP28&gt;0,"✔","-")</f>
        <v>-</v>
      </c>
      <c r="AN26" s="198" t="str">
        <f>IF('Design Fee'!BQ28&gt;0,"✔","-")</f>
        <v>-</v>
      </c>
      <c r="AO26" s="198" t="str">
        <f>IF('Design Fee'!BR28&gt;0,"✔","-")</f>
        <v>-</v>
      </c>
      <c r="AP26" s="198" t="str">
        <f>IF('Design Fee'!BS28&gt;0,"✔","-")</f>
        <v>-</v>
      </c>
      <c r="AQ26" s="198" t="str">
        <f>IF('Design Fee'!BT28&gt;0,"✔","-")</f>
        <v>-</v>
      </c>
      <c r="AR26" s="205"/>
      <c r="AS26" s="203"/>
      <c r="AT26" s="204"/>
      <c r="AU26" s="197" t="str">
        <f>IF('Design Fee'!CQ28&gt;0,"✔","-")</f>
        <v>-</v>
      </c>
      <c r="AV26" s="197" t="str">
        <f>IF('Design Fee'!CR28&gt;0,"✔","-")</f>
        <v>-</v>
      </c>
      <c r="AW26" s="212" t="str">
        <f>IF('Design Fee'!CS28&gt;0,"✔","-")</f>
        <v>-</v>
      </c>
      <c r="AX26" s="198" t="str">
        <f>IF('Design Fee'!CT28&gt;0,"✔","-")</f>
        <v>-</v>
      </c>
      <c r="AY26" s="198" t="str">
        <f>IF('Design Fee'!CU28&gt;0,"✔","-")</f>
        <v>-</v>
      </c>
      <c r="AZ26" s="198" t="str">
        <f>IF('Design Fee'!CV28&gt;0,"✔","-")</f>
        <v>-</v>
      </c>
      <c r="BA26" s="198" t="str">
        <f>IF('Design Fee'!CW28&gt;0,"✔","-")</f>
        <v>-</v>
      </c>
      <c r="BB26" s="198" t="str">
        <f>IF('Design Fee'!CX28&gt;0,"✔","-")</f>
        <v>-</v>
      </c>
      <c r="BC26" s="205"/>
      <c r="BD26" s="198" t="str">
        <f>IF('Design Fee'!CZ28&gt;0,"✔","-")</f>
        <v>-</v>
      </c>
      <c r="BE26" s="198" t="str">
        <f>IF('Design Fee'!DA28&gt;0,"✔","-")</f>
        <v>-</v>
      </c>
      <c r="BF26" s="198" t="str">
        <f>IF('Design Fee'!DB28&gt;0,"✔","-")</f>
        <v>-</v>
      </c>
      <c r="BG26" s="198" t="str">
        <f>IF('Design Fee'!DC28&gt;0,"✔","-")</f>
        <v>-</v>
      </c>
      <c r="BH26" s="198" t="str">
        <f>IF('Design Fee'!DD28&gt;0,"✔","-")</f>
        <v>-</v>
      </c>
      <c r="BI26" s="205"/>
      <c r="BJ26" s="203"/>
      <c r="BK26" s="204"/>
      <c r="BL26" s="197" t="str">
        <f>IF('Design Fee'!EA28&gt;0,"✔","-")</f>
        <v>-</v>
      </c>
      <c r="BM26" s="197" t="str">
        <f>IF('Design Fee'!EB28&gt;0,"✔","-")</f>
        <v>-</v>
      </c>
      <c r="BN26" s="212" t="str">
        <f>IF('Design Fee'!EC28&gt;0,"✔","-")</f>
        <v>-</v>
      </c>
      <c r="BO26" s="198" t="str">
        <f>IF('Design Fee'!ED28&gt;0,"✔","-")</f>
        <v>-</v>
      </c>
      <c r="BP26" s="198" t="str">
        <f>IF('Design Fee'!EE28&gt;0,"✔","-")</f>
        <v>-</v>
      </c>
      <c r="BQ26" s="198" t="str">
        <f>IF('Design Fee'!EF28&gt;0,"✔","-")</f>
        <v>-</v>
      </c>
      <c r="BR26" s="198" t="str">
        <f>IF('Design Fee'!EG28&gt;0,"✔","-")</f>
        <v>-</v>
      </c>
      <c r="BS26" s="198" t="str">
        <f>IF('Design Fee'!EH28&gt;0,"✔","-")</f>
        <v>-</v>
      </c>
      <c r="BT26" s="202"/>
      <c r="BU26" s="198" t="str">
        <f>IF('Design Fee'!EJ28&gt;0,"✔","-")</f>
        <v>-</v>
      </c>
      <c r="BV26" s="198" t="str">
        <f>IF('Design Fee'!EK28&gt;0,"✔","-")</f>
        <v>-</v>
      </c>
      <c r="BW26" s="198" t="str">
        <f>IF('Design Fee'!EL28&gt;0,"✔","-")</f>
        <v>-</v>
      </c>
      <c r="BX26" s="198" t="str">
        <f>IF('Design Fee'!EM28&gt;0,"✔","-")</f>
        <v>-</v>
      </c>
      <c r="BY26" s="198" t="str">
        <f>IF('Design Fee'!EN28&gt;0,"✔","-")</f>
        <v>-</v>
      </c>
      <c r="BZ26" s="137"/>
    </row>
    <row r="27" spans="2:78" ht="3" hidden="1" customHeight="1" outlineLevel="1">
      <c r="B27" s="138"/>
      <c r="C27" s="138"/>
      <c r="D27" s="137"/>
      <c r="E27" s="137"/>
      <c r="F27" s="162"/>
      <c r="G27" s="175"/>
      <c r="H27" s="175"/>
      <c r="I27" s="175"/>
      <c r="J27" s="207"/>
      <c r="K27" s="195"/>
      <c r="L27" s="196"/>
      <c r="M27" s="197"/>
      <c r="N27" s="197"/>
      <c r="O27" s="175"/>
      <c r="P27" s="206"/>
      <c r="Q27" s="206"/>
      <c r="R27" s="206"/>
      <c r="S27" s="206"/>
      <c r="T27" s="206"/>
      <c r="U27" s="207"/>
      <c r="V27" s="206"/>
      <c r="W27" s="206"/>
      <c r="X27" s="206"/>
      <c r="Y27" s="206"/>
      <c r="Z27" s="206"/>
      <c r="AA27" s="207"/>
      <c r="AB27" s="195"/>
      <c r="AC27" s="196"/>
      <c r="AD27" s="197"/>
      <c r="AE27" s="197"/>
      <c r="AF27" s="175"/>
      <c r="AG27" s="175"/>
      <c r="AH27" s="175"/>
      <c r="AI27" s="175"/>
      <c r="AJ27" s="175"/>
      <c r="AK27" s="175"/>
      <c r="AL27" s="175"/>
      <c r="AM27" s="175"/>
      <c r="AN27" s="175"/>
      <c r="AO27" s="175"/>
      <c r="AP27" s="175"/>
      <c r="AQ27" s="175"/>
      <c r="AR27" s="175"/>
      <c r="AS27" s="195"/>
      <c r="AT27" s="175"/>
      <c r="AU27" s="197"/>
      <c r="AV27" s="197"/>
      <c r="AW27" s="175"/>
      <c r="AX27" s="175"/>
      <c r="AY27" s="175"/>
      <c r="AZ27" s="175"/>
      <c r="BA27" s="175"/>
      <c r="BB27" s="175"/>
      <c r="BC27" s="175"/>
      <c r="BD27" s="175"/>
      <c r="BE27" s="175"/>
      <c r="BF27" s="175"/>
      <c r="BG27" s="175"/>
      <c r="BH27" s="175"/>
      <c r="BI27" s="175"/>
      <c r="BJ27" s="195"/>
      <c r="BK27" s="175"/>
      <c r="BL27" s="197"/>
      <c r="BM27" s="197"/>
      <c r="BN27" s="175"/>
      <c r="BO27" s="175"/>
      <c r="BP27" s="175"/>
      <c r="BQ27" s="175"/>
      <c r="BR27" s="175"/>
      <c r="BS27" s="175"/>
      <c r="BT27" s="137"/>
      <c r="BU27" s="175"/>
      <c r="BV27" s="175"/>
      <c r="BW27" s="175"/>
      <c r="BX27" s="175"/>
      <c r="BY27" s="175"/>
      <c r="BZ27" s="137"/>
    </row>
    <row r="28" spans="2:78" ht="14.25" hidden="1" outlineLevel="1">
      <c r="B28" s="185">
        <v>3</v>
      </c>
      <c r="C28" s="186">
        <v>4</v>
      </c>
      <c r="D28" s="187" t="s">
        <v>34</v>
      </c>
      <c r="E28" s="188"/>
      <c r="F28" s="190">
        <f>COUNTIF(M28,"✔")+COUNTIF(AD28,"✔")+COUNTIF(BL28,"✔")+COUNTIF(AU28,"✔")</f>
        <v>3</v>
      </c>
      <c r="G28" s="190">
        <f>COUNTIF(N28,"✔")+COUNTIF(AE28,"✔")+COUNTIF(BM28,"✔")+COUNTIF(AV28,"✔")</f>
        <v>3</v>
      </c>
      <c r="H28" s="190">
        <f>COUNTIF(O28,"✔")+COUNTIF(AF28,"✔")+COUNTIF(BN28,"✔")+COUNTIF(AW28,"✔")</f>
        <v>3</v>
      </c>
      <c r="I28" s="191">
        <f>F28-G28</f>
        <v>0</v>
      </c>
      <c r="J28" s="210"/>
      <c r="K28" s="190"/>
      <c r="L28" s="208"/>
      <c r="M28" s="190" t="str">
        <f>IF('Design Fee'!W30&gt;0,"✔","-")</f>
        <v>✔</v>
      </c>
      <c r="N28" s="190" t="str">
        <f>IF('Design Fee'!X30&gt;0,"✔","-")</f>
        <v>✔</v>
      </c>
      <c r="O28" s="191" t="str">
        <f>IF('Design Fee'!Y30&gt;0,"✔","-")</f>
        <v>✔</v>
      </c>
      <c r="P28" s="209" t="str">
        <f>IF('Design Fee'!Z30&gt;0,"✔","-")</f>
        <v>-</v>
      </c>
      <c r="Q28" s="209" t="str">
        <f>IF('Design Fee'!AA30&gt;0,"✔","-")</f>
        <v>-</v>
      </c>
      <c r="R28" s="209" t="str">
        <f>IF('Design Fee'!AB30&gt;0,"✔","-")</f>
        <v>-</v>
      </c>
      <c r="S28" s="209" t="str">
        <f>IF('Design Fee'!AC30&gt;0,"✔","-")</f>
        <v>-</v>
      </c>
      <c r="T28" s="209" t="str">
        <f>IF('Design Fee'!AD30&gt;0,"✔","-")</f>
        <v>-</v>
      </c>
      <c r="U28" s="210"/>
      <c r="V28" s="209" t="str">
        <f>IF('Design Fee'!AF30&gt;0,"✔","-")</f>
        <v>-</v>
      </c>
      <c r="W28" s="209" t="str">
        <f>IF('Design Fee'!AG30&gt;0,"✔","-")</f>
        <v>-</v>
      </c>
      <c r="X28" s="209" t="str">
        <f>IF('Design Fee'!AH30&gt;0,"✔","-")</f>
        <v>-</v>
      </c>
      <c r="Y28" s="209" t="str">
        <f>IF('Design Fee'!AI30&gt;0,"✔","-")</f>
        <v>-</v>
      </c>
      <c r="Z28" s="209" t="str">
        <f>IF('Design Fee'!AJ30&gt;0,"✔","-")</f>
        <v>-</v>
      </c>
      <c r="AA28" s="210"/>
      <c r="AB28" s="190" t="str">
        <f>AD28</f>
        <v>-</v>
      </c>
      <c r="AC28" s="208"/>
      <c r="AD28" s="190" t="str">
        <f>IF('Design Fee'!BG30&gt;0,"✔","-")</f>
        <v>-</v>
      </c>
      <c r="AE28" s="190" t="str">
        <f>IF('Design Fee'!BH30&gt;0,"✔","-")</f>
        <v>-</v>
      </c>
      <c r="AF28" s="191" t="str">
        <f>IF('Design Fee'!BI30&gt;0,"✔","-")</f>
        <v>-</v>
      </c>
      <c r="AG28" s="209" t="str">
        <f>IF('Design Fee'!BJ30&gt;0,"✔","-")</f>
        <v>-</v>
      </c>
      <c r="AH28" s="209" t="str">
        <f>IF('Design Fee'!BK30&gt;0,"✔","-")</f>
        <v>-</v>
      </c>
      <c r="AI28" s="209" t="str">
        <f>IF('Design Fee'!BL30&gt;0,"✔","-")</f>
        <v>-</v>
      </c>
      <c r="AJ28" s="209" t="str">
        <f>IF('Design Fee'!BM30&gt;0,"✔","-")</f>
        <v>-</v>
      </c>
      <c r="AK28" s="209" t="str">
        <f>IF('Design Fee'!BN30&gt;0,"✔","-")</f>
        <v>-</v>
      </c>
      <c r="AL28" s="211"/>
      <c r="AM28" s="209" t="str">
        <f>IF('Design Fee'!BP30&gt;0,"✔","-")</f>
        <v>-</v>
      </c>
      <c r="AN28" s="209" t="str">
        <f>IF('Design Fee'!BQ30&gt;0,"✔","-")</f>
        <v>-</v>
      </c>
      <c r="AO28" s="209" t="str">
        <f>IF('Design Fee'!BR30&gt;0,"✔","-")</f>
        <v>-</v>
      </c>
      <c r="AP28" s="209" t="str">
        <f>IF('Design Fee'!BS30&gt;0,"✔","-")</f>
        <v>-</v>
      </c>
      <c r="AQ28" s="209" t="str">
        <f>IF('Design Fee'!BT30&gt;0,"✔","-")</f>
        <v>-</v>
      </c>
      <c r="AR28" s="211"/>
      <c r="AS28" s="190" t="str">
        <f>AU28</f>
        <v>✔</v>
      </c>
      <c r="AT28" s="208"/>
      <c r="AU28" s="190" t="str">
        <f>IF('Design Fee'!CQ30&gt;0,"✔","-")</f>
        <v>✔</v>
      </c>
      <c r="AV28" s="190" t="str">
        <f>IF('Design Fee'!CR30&gt;0,"✔","-")</f>
        <v>✔</v>
      </c>
      <c r="AW28" s="191" t="str">
        <f>IF('Design Fee'!CS30&gt;0,"✔","-")</f>
        <v>✔</v>
      </c>
      <c r="AX28" s="209" t="str">
        <f>IF('Design Fee'!CT30&gt;0,"✔","-")</f>
        <v>-</v>
      </c>
      <c r="AY28" s="209" t="str">
        <f>IF('Design Fee'!CU30&gt;0,"✔","-")</f>
        <v>-</v>
      </c>
      <c r="AZ28" s="209" t="str">
        <f>IF('Design Fee'!CV30&gt;0,"✔","-")</f>
        <v>-</v>
      </c>
      <c r="BA28" s="209" t="str">
        <f>IF('Design Fee'!CW30&gt;0,"✔","-")</f>
        <v>-</v>
      </c>
      <c r="BB28" s="209" t="str">
        <f>IF('Design Fee'!CX30&gt;0,"✔","-")</f>
        <v>-</v>
      </c>
      <c r="BC28" s="211"/>
      <c r="BD28" s="209" t="str">
        <f>IF('Design Fee'!CZ30&gt;0,"✔","-")</f>
        <v>-</v>
      </c>
      <c r="BE28" s="209" t="str">
        <f>IF('Design Fee'!DA30&gt;0,"✔","-")</f>
        <v>-</v>
      </c>
      <c r="BF28" s="209" t="str">
        <f>IF('Design Fee'!DB30&gt;0,"✔","-")</f>
        <v>-</v>
      </c>
      <c r="BG28" s="209" t="str">
        <f>IF('Design Fee'!DC30&gt;0,"✔","-")</f>
        <v>-</v>
      </c>
      <c r="BH28" s="209" t="str">
        <f>IF('Design Fee'!DD30&gt;0,"✔","-")</f>
        <v>-</v>
      </c>
      <c r="BI28" s="211"/>
      <c r="BJ28" s="190" t="str">
        <f>BL28</f>
        <v>✔</v>
      </c>
      <c r="BK28" s="208"/>
      <c r="BL28" s="190" t="str">
        <f>IF('Design Fee'!EA30&gt;0,"✔","-")</f>
        <v>✔</v>
      </c>
      <c r="BM28" s="190" t="str">
        <f>IF('Design Fee'!EB30&gt;0,"✔","-")</f>
        <v>✔</v>
      </c>
      <c r="BN28" s="191" t="str">
        <f>IF('Design Fee'!EC30&gt;0,"✔","-")</f>
        <v>✔</v>
      </c>
      <c r="BO28" s="209" t="str">
        <f>IF('Design Fee'!ED30&gt;0,"✔","-")</f>
        <v>-</v>
      </c>
      <c r="BP28" s="209" t="str">
        <f>IF('Design Fee'!EE30&gt;0,"✔","-")</f>
        <v>-</v>
      </c>
      <c r="BQ28" s="209" t="str">
        <f>IF('Design Fee'!EF30&gt;0,"✔","-")</f>
        <v>-</v>
      </c>
      <c r="BR28" s="209" t="str">
        <f>IF('Design Fee'!EG30&gt;0,"✔","-")</f>
        <v>-</v>
      </c>
      <c r="BS28" s="209" t="str">
        <f>IF('Design Fee'!EH30&gt;0,"✔","-")</f>
        <v>-</v>
      </c>
      <c r="BT28" s="137"/>
      <c r="BU28" s="209" t="str">
        <f>IF('Design Fee'!EJ30&gt;0,"✔","-")</f>
        <v>-</v>
      </c>
      <c r="BV28" s="209" t="str">
        <f>IF('Design Fee'!EK30&gt;0,"✔","-")</f>
        <v>-</v>
      </c>
      <c r="BW28" s="209" t="str">
        <f>IF('Design Fee'!EL30&gt;0,"✔","-")</f>
        <v>-</v>
      </c>
      <c r="BX28" s="209" t="str">
        <f>IF('Design Fee'!EM30&gt;0,"✔","-")</f>
        <v>-</v>
      </c>
      <c r="BY28" s="209" t="str">
        <f>IF('Design Fee'!EN30&gt;0,"✔","-")</f>
        <v>-</v>
      </c>
      <c r="BZ28" s="137"/>
    </row>
    <row r="29" spans="2:78" ht="13.35" hidden="1" customHeight="1" outlineLevel="2">
      <c r="B29" s="193"/>
      <c r="C29" s="193">
        <v>1</v>
      </c>
      <c r="D29" s="194" t="s">
        <v>35</v>
      </c>
      <c r="E29" s="137"/>
      <c r="F29" s="197"/>
      <c r="G29" s="212"/>
      <c r="H29" s="212"/>
      <c r="I29" s="198"/>
      <c r="J29" s="184"/>
      <c r="K29" s="195"/>
      <c r="L29" s="196"/>
      <c r="M29" s="197" t="str">
        <f>IF('Design Fee'!W31&gt;0,"✔","-")</f>
        <v>-</v>
      </c>
      <c r="N29" s="197" t="str">
        <f>IF('Design Fee'!X31&gt;0,"✔","-")</f>
        <v>-</v>
      </c>
      <c r="O29" s="212" t="str">
        <f>IF('Design Fee'!Y31&gt;0,"✔","-")</f>
        <v>-</v>
      </c>
      <c r="P29" s="198" t="str">
        <f>IF('Design Fee'!Z31&gt;0,"✔","-")</f>
        <v>-</v>
      </c>
      <c r="Q29" s="198" t="str">
        <f>IF('Design Fee'!AA31&gt;0,"✔","-")</f>
        <v>-</v>
      </c>
      <c r="R29" s="198" t="str">
        <f>IF('Design Fee'!AB31&gt;0,"✔","-")</f>
        <v>-</v>
      </c>
      <c r="S29" s="198" t="str">
        <f>IF('Design Fee'!AC31&gt;0,"✔","-")</f>
        <v>-</v>
      </c>
      <c r="T29" s="198" t="str">
        <f>IF('Design Fee'!AD31&gt;0,"✔","-")</f>
        <v>-</v>
      </c>
      <c r="U29" s="184"/>
      <c r="V29" s="198" t="str">
        <f>IF('Design Fee'!AF31&gt;0,"✔","-")</f>
        <v>-</v>
      </c>
      <c r="W29" s="198" t="str">
        <f>IF('Design Fee'!AG31&gt;0,"✔","-")</f>
        <v>-</v>
      </c>
      <c r="X29" s="198" t="str">
        <f>IF('Design Fee'!AH31&gt;0,"✔","-")</f>
        <v>-</v>
      </c>
      <c r="Y29" s="198" t="str">
        <f>IF('Design Fee'!AI31&gt;0,"✔","-")</f>
        <v>-</v>
      </c>
      <c r="Z29" s="198" t="str">
        <f>IF('Design Fee'!AJ31&gt;0,"✔","-")</f>
        <v>-</v>
      </c>
      <c r="AA29" s="184"/>
      <c r="AB29" s="195"/>
      <c r="AC29" s="196"/>
      <c r="AD29" s="197" t="str">
        <f>IF('Design Fee'!BG31&gt;0,"✔","-")</f>
        <v>-</v>
      </c>
      <c r="AE29" s="197" t="str">
        <f>IF('Design Fee'!BH31&gt;0,"✔","-")</f>
        <v>-</v>
      </c>
      <c r="AF29" s="212" t="str">
        <f>IF('Design Fee'!BI31&gt;0,"✔","-")</f>
        <v>-</v>
      </c>
      <c r="AG29" s="198" t="str">
        <f>IF('Design Fee'!BJ31&gt;0,"✔","-")</f>
        <v>-</v>
      </c>
      <c r="AH29" s="198" t="str">
        <f>IF('Design Fee'!BK31&gt;0,"✔","-")</f>
        <v>-</v>
      </c>
      <c r="AI29" s="198" t="str">
        <f>IF('Design Fee'!BL31&gt;0,"✔","-")</f>
        <v>-</v>
      </c>
      <c r="AJ29" s="198" t="str">
        <f>IF('Design Fee'!BM31&gt;0,"✔","-")</f>
        <v>-</v>
      </c>
      <c r="AK29" s="198" t="str">
        <f>IF('Design Fee'!BN31&gt;0,"✔","-")</f>
        <v>-</v>
      </c>
      <c r="AL29" s="199"/>
      <c r="AM29" s="198" t="str">
        <f>IF('Design Fee'!BP31&gt;0,"✔","-")</f>
        <v>-</v>
      </c>
      <c r="AN29" s="198" t="str">
        <f>IF('Design Fee'!BQ31&gt;0,"✔","-")</f>
        <v>-</v>
      </c>
      <c r="AO29" s="198" t="str">
        <f>IF('Design Fee'!BR31&gt;0,"✔","-")</f>
        <v>-</v>
      </c>
      <c r="AP29" s="198" t="str">
        <f>IF('Design Fee'!BS31&gt;0,"✔","-")</f>
        <v>-</v>
      </c>
      <c r="AQ29" s="198" t="str">
        <f>IF('Design Fee'!BT31&gt;0,"✔","-")</f>
        <v>-</v>
      </c>
      <c r="AR29" s="199"/>
      <c r="AS29" s="195"/>
      <c r="AT29" s="196"/>
      <c r="AU29" s="197" t="str">
        <f>IF('Design Fee'!CQ31&gt;0,"✔","-")</f>
        <v>-</v>
      </c>
      <c r="AV29" s="197" t="str">
        <f>IF('Design Fee'!CR31&gt;0,"✔","-")</f>
        <v>-</v>
      </c>
      <c r="AW29" s="212" t="str">
        <f>IF('Design Fee'!CS31&gt;0,"✔","-")</f>
        <v>-</v>
      </c>
      <c r="AX29" s="198" t="str">
        <f>IF('Design Fee'!CT31&gt;0,"✔","-")</f>
        <v>-</v>
      </c>
      <c r="AY29" s="198" t="str">
        <f>IF('Design Fee'!CU31&gt;0,"✔","-")</f>
        <v>-</v>
      </c>
      <c r="AZ29" s="198" t="str">
        <f>IF('Design Fee'!CV31&gt;0,"✔","-")</f>
        <v>-</v>
      </c>
      <c r="BA29" s="198" t="str">
        <f>IF('Design Fee'!CW31&gt;0,"✔","-")</f>
        <v>-</v>
      </c>
      <c r="BB29" s="198" t="str">
        <f>IF('Design Fee'!CX31&gt;0,"✔","-")</f>
        <v>-</v>
      </c>
      <c r="BC29" s="199"/>
      <c r="BD29" s="198" t="str">
        <f>IF('Design Fee'!CZ31&gt;0,"✔","-")</f>
        <v>-</v>
      </c>
      <c r="BE29" s="198" t="str">
        <f>IF('Design Fee'!DA31&gt;0,"✔","-")</f>
        <v>-</v>
      </c>
      <c r="BF29" s="198" t="str">
        <f>IF('Design Fee'!DB31&gt;0,"✔","-")</f>
        <v>-</v>
      </c>
      <c r="BG29" s="198" t="str">
        <f>IF('Design Fee'!DC31&gt;0,"✔","-")</f>
        <v>-</v>
      </c>
      <c r="BH29" s="198" t="str">
        <f>IF('Design Fee'!DD31&gt;0,"✔","-")</f>
        <v>-</v>
      </c>
      <c r="BI29" s="199"/>
      <c r="BJ29" s="195"/>
      <c r="BK29" s="196"/>
      <c r="BL29" s="197" t="str">
        <f>IF('Design Fee'!EA31&gt;0,"✔","-")</f>
        <v>-</v>
      </c>
      <c r="BM29" s="197" t="str">
        <f>IF('Design Fee'!EB31&gt;0,"✔","-")</f>
        <v>-</v>
      </c>
      <c r="BN29" s="212" t="str">
        <f>IF('Design Fee'!EC31&gt;0,"✔","-")</f>
        <v>-</v>
      </c>
      <c r="BO29" s="198" t="str">
        <f>IF('Design Fee'!ED31&gt;0,"✔","-")</f>
        <v>-</v>
      </c>
      <c r="BP29" s="198" t="str">
        <f>IF('Design Fee'!EE31&gt;0,"✔","-")</f>
        <v>-</v>
      </c>
      <c r="BQ29" s="198" t="str">
        <f>IF('Design Fee'!EF31&gt;0,"✔","-")</f>
        <v>-</v>
      </c>
      <c r="BR29" s="198" t="str">
        <f>IF('Design Fee'!EG31&gt;0,"✔","-")</f>
        <v>-</v>
      </c>
      <c r="BS29" s="198" t="str">
        <f>IF('Design Fee'!EH31&gt;0,"✔","-")</f>
        <v>-</v>
      </c>
      <c r="BT29" s="137"/>
      <c r="BU29" s="198" t="str">
        <f>IF('Design Fee'!EJ31&gt;0,"✔","-")</f>
        <v>-</v>
      </c>
      <c r="BV29" s="198" t="str">
        <f>IF('Design Fee'!EK31&gt;0,"✔","-")</f>
        <v>-</v>
      </c>
      <c r="BW29" s="198" t="str">
        <f>IF('Design Fee'!EL31&gt;0,"✔","-")</f>
        <v>-</v>
      </c>
      <c r="BX29" s="198" t="str">
        <f>IF('Design Fee'!EM31&gt;0,"✔","-")</f>
        <v>-</v>
      </c>
      <c r="BY29" s="198" t="str">
        <f>IF('Design Fee'!EN31&gt;0,"✔","-")</f>
        <v>-</v>
      </c>
      <c r="BZ29" s="137"/>
    </row>
    <row r="30" spans="2:78" ht="13.35" hidden="1" customHeight="1" outlineLevel="2">
      <c r="B30" s="193"/>
      <c r="C30" s="193">
        <v>2</v>
      </c>
      <c r="D30" s="194" t="s">
        <v>36</v>
      </c>
      <c r="E30" s="137"/>
      <c r="F30" s="197"/>
      <c r="G30" s="212"/>
      <c r="H30" s="212"/>
      <c r="I30" s="198"/>
      <c r="J30" s="184"/>
      <c r="K30" s="195"/>
      <c r="L30" s="196"/>
      <c r="M30" s="197" t="str">
        <f>IF('Design Fee'!W32&gt;0,"✔","-")</f>
        <v>-</v>
      </c>
      <c r="N30" s="197" t="str">
        <f>IF('Design Fee'!X32&gt;0,"✔","-")</f>
        <v>-</v>
      </c>
      <c r="O30" s="212" t="str">
        <f>IF('Design Fee'!Y32&gt;0,"✔","-")</f>
        <v>-</v>
      </c>
      <c r="P30" s="198" t="str">
        <f>IF('Design Fee'!Z32&gt;0,"✔","-")</f>
        <v>-</v>
      </c>
      <c r="Q30" s="198" t="str">
        <f>IF('Design Fee'!AA32&gt;0,"✔","-")</f>
        <v>-</v>
      </c>
      <c r="R30" s="198" t="str">
        <f>IF('Design Fee'!AB32&gt;0,"✔","-")</f>
        <v>-</v>
      </c>
      <c r="S30" s="198" t="str">
        <f>IF('Design Fee'!AC32&gt;0,"✔","-")</f>
        <v>-</v>
      </c>
      <c r="T30" s="198" t="str">
        <f>IF('Design Fee'!AD32&gt;0,"✔","-")</f>
        <v>-</v>
      </c>
      <c r="U30" s="184"/>
      <c r="V30" s="198" t="str">
        <f>IF('Design Fee'!AF32&gt;0,"✔","-")</f>
        <v>-</v>
      </c>
      <c r="W30" s="198" t="str">
        <f>IF('Design Fee'!AG32&gt;0,"✔","-")</f>
        <v>-</v>
      </c>
      <c r="X30" s="198" t="str">
        <f>IF('Design Fee'!AH32&gt;0,"✔","-")</f>
        <v>-</v>
      </c>
      <c r="Y30" s="198" t="str">
        <f>IF('Design Fee'!AI32&gt;0,"✔","-")</f>
        <v>-</v>
      </c>
      <c r="Z30" s="198" t="str">
        <f>IF('Design Fee'!AJ32&gt;0,"✔","-")</f>
        <v>-</v>
      </c>
      <c r="AA30" s="184"/>
      <c r="AB30" s="195"/>
      <c r="AC30" s="196"/>
      <c r="AD30" s="197" t="str">
        <f>IF('Design Fee'!BG32&gt;0,"✔","-")</f>
        <v>-</v>
      </c>
      <c r="AE30" s="197" t="str">
        <f>IF('Design Fee'!BH32&gt;0,"✔","-")</f>
        <v>-</v>
      </c>
      <c r="AF30" s="212" t="str">
        <f>IF('Design Fee'!BI32&gt;0,"✔","-")</f>
        <v>-</v>
      </c>
      <c r="AG30" s="198" t="str">
        <f>IF('Design Fee'!BJ32&gt;0,"✔","-")</f>
        <v>-</v>
      </c>
      <c r="AH30" s="198" t="str">
        <f>IF('Design Fee'!BK32&gt;0,"✔","-")</f>
        <v>-</v>
      </c>
      <c r="AI30" s="198" t="str">
        <f>IF('Design Fee'!BL32&gt;0,"✔","-")</f>
        <v>-</v>
      </c>
      <c r="AJ30" s="198" t="str">
        <f>IF('Design Fee'!BM32&gt;0,"✔","-")</f>
        <v>-</v>
      </c>
      <c r="AK30" s="198" t="str">
        <f>IF('Design Fee'!BN32&gt;0,"✔","-")</f>
        <v>-</v>
      </c>
      <c r="AL30" s="199"/>
      <c r="AM30" s="198" t="str">
        <f>IF('Design Fee'!BP32&gt;0,"✔","-")</f>
        <v>-</v>
      </c>
      <c r="AN30" s="198" t="str">
        <f>IF('Design Fee'!BQ32&gt;0,"✔","-")</f>
        <v>-</v>
      </c>
      <c r="AO30" s="198" t="str">
        <f>IF('Design Fee'!BR32&gt;0,"✔","-")</f>
        <v>-</v>
      </c>
      <c r="AP30" s="198" t="str">
        <f>IF('Design Fee'!BS32&gt;0,"✔","-")</f>
        <v>-</v>
      </c>
      <c r="AQ30" s="198" t="str">
        <f>IF('Design Fee'!BT32&gt;0,"✔","-")</f>
        <v>-</v>
      </c>
      <c r="AR30" s="199"/>
      <c r="AS30" s="195"/>
      <c r="AT30" s="196"/>
      <c r="AU30" s="197" t="str">
        <f>IF('Design Fee'!CQ32&gt;0,"✔","-")</f>
        <v>-</v>
      </c>
      <c r="AV30" s="197" t="str">
        <f>IF('Design Fee'!CR32&gt;0,"✔","-")</f>
        <v>-</v>
      </c>
      <c r="AW30" s="212" t="str">
        <f>IF('Design Fee'!CS32&gt;0,"✔","-")</f>
        <v>-</v>
      </c>
      <c r="AX30" s="198" t="str">
        <f>IF('Design Fee'!CT32&gt;0,"✔","-")</f>
        <v>-</v>
      </c>
      <c r="AY30" s="198" t="str">
        <f>IF('Design Fee'!CU32&gt;0,"✔","-")</f>
        <v>-</v>
      </c>
      <c r="AZ30" s="198" t="str">
        <f>IF('Design Fee'!CV32&gt;0,"✔","-")</f>
        <v>-</v>
      </c>
      <c r="BA30" s="198" t="str">
        <f>IF('Design Fee'!CW32&gt;0,"✔","-")</f>
        <v>-</v>
      </c>
      <c r="BB30" s="198" t="str">
        <f>IF('Design Fee'!CX32&gt;0,"✔","-")</f>
        <v>-</v>
      </c>
      <c r="BC30" s="199"/>
      <c r="BD30" s="198" t="str">
        <f>IF('Design Fee'!CZ32&gt;0,"✔","-")</f>
        <v>-</v>
      </c>
      <c r="BE30" s="198" t="str">
        <f>IF('Design Fee'!DA32&gt;0,"✔","-")</f>
        <v>-</v>
      </c>
      <c r="BF30" s="198" t="str">
        <f>IF('Design Fee'!DB32&gt;0,"✔","-")</f>
        <v>-</v>
      </c>
      <c r="BG30" s="198" t="str">
        <f>IF('Design Fee'!DC32&gt;0,"✔","-")</f>
        <v>-</v>
      </c>
      <c r="BH30" s="198" t="str">
        <f>IF('Design Fee'!DD32&gt;0,"✔","-")</f>
        <v>-</v>
      </c>
      <c r="BI30" s="199"/>
      <c r="BJ30" s="195"/>
      <c r="BK30" s="196"/>
      <c r="BL30" s="197" t="str">
        <f>IF('Design Fee'!EA32&gt;0,"✔","-")</f>
        <v>-</v>
      </c>
      <c r="BM30" s="197" t="str">
        <f>IF('Design Fee'!EB32&gt;0,"✔","-")</f>
        <v>-</v>
      </c>
      <c r="BN30" s="212" t="str">
        <f>IF('Design Fee'!EC32&gt;0,"✔","-")</f>
        <v>-</v>
      </c>
      <c r="BO30" s="198" t="str">
        <f>IF('Design Fee'!ED32&gt;0,"✔","-")</f>
        <v>-</v>
      </c>
      <c r="BP30" s="198" t="str">
        <f>IF('Design Fee'!EE32&gt;0,"✔","-")</f>
        <v>-</v>
      </c>
      <c r="BQ30" s="198" t="str">
        <f>IF('Design Fee'!EF32&gt;0,"✔","-")</f>
        <v>-</v>
      </c>
      <c r="BR30" s="198" t="str">
        <f>IF('Design Fee'!EG32&gt;0,"✔","-")</f>
        <v>-</v>
      </c>
      <c r="BS30" s="198" t="str">
        <f>IF('Design Fee'!EH32&gt;0,"✔","-")</f>
        <v>-</v>
      </c>
      <c r="BT30" s="137"/>
      <c r="BU30" s="198" t="str">
        <f>IF('Design Fee'!EJ32&gt;0,"✔","-")</f>
        <v>-</v>
      </c>
      <c r="BV30" s="198" t="str">
        <f>IF('Design Fee'!EK32&gt;0,"✔","-")</f>
        <v>-</v>
      </c>
      <c r="BW30" s="198" t="str">
        <f>IF('Design Fee'!EL32&gt;0,"✔","-")</f>
        <v>-</v>
      </c>
      <c r="BX30" s="198" t="str">
        <f>IF('Design Fee'!EM32&gt;0,"✔","-")</f>
        <v>-</v>
      </c>
      <c r="BY30" s="198" t="str">
        <f>IF('Design Fee'!EN32&gt;0,"✔","-")</f>
        <v>-</v>
      </c>
      <c r="BZ30" s="137"/>
    </row>
    <row r="31" spans="2:78" ht="13.35" hidden="1" customHeight="1" outlineLevel="2">
      <c r="B31" s="193"/>
      <c r="C31" s="193">
        <v>3</v>
      </c>
      <c r="D31" s="194" t="s">
        <v>37</v>
      </c>
      <c r="E31" s="137"/>
      <c r="F31" s="197"/>
      <c r="G31" s="212"/>
      <c r="H31" s="212"/>
      <c r="I31" s="198"/>
      <c r="J31" s="207"/>
      <c r="K31" s="195"/>
      <c r="L31" s="196"/>
      <c r="M31" s="197" t="str">
        <f>IF('Design Fee'!W33&gt;0,"✔","-")</f>
        <v>-</v>
      </c>
      <c r="N31" s="197" t="str">
        <f>IF('Design Fee'!X33&gt;0,"✔","-")</f>
        <v>-</v>
      </c>
      <c r="O31" s="212" t="str">
        <f>IF('Design Fee'!Y33&gt;0,"✔","-")</f>
        <v>-</v>
      </c>
      <c r="P31" s="198" t="str">
        <f>IF('Design Fee'!Z33&gt;0,"✔","-")</f>
        <v>-</v>
      </c>
      <c r="Q31" s="198" t="str">
        <f>IF('Design Fee'!AA33&gt;0,"✔","-")</f>
        <v>-</v>
      </c>
      <c r="R31" s="198" t="str">
        <f>IF('Design Fee'!AB33&gt;0,"✔","-")</f>
        <v>-</v>
      </c>
      <c r="S31" s="198" t="str">
        <f>IF('Design Fee'!AC33&gt;0,"✔","-")</f>
        <v>-</v>
      </c>
      <c r="T31" s="198" t="str">
        <f>IF('Design Fee'!AD33&gt;0,"✔","-")</f>
        <v>-</v>
      </c>
      <c r="U31" s="207"/>
      <c r="V31" s="198" t="str">
        <f>IF('Design Fee'!AF33&gt;0,"✔","-")</f>
        <v>-</v>
      </c>
      <c r="W31" s="198" t="str">
        <f>IF('Design Fee'!AG33&gt;0,"✔","-")</f>
        <v>-</v>
      </c>
      <c r="X31" s="198" t="str">
        <f>IF('Design Fee'!AH33&gt;0,"✔","-")</f>
        <v>-</v>
      </c>
      <c r="Y31" s="198" t="str">
        <f>IF('Design Fee'!AI33&gt;0,"✔","-")</f>
        <v>-</v>
      </c>
      <c r="Z31" s="198" t="str">
        <f>IF('Design Fee'!AJ33&gt;0,"✔","-")</f>
        <v>-</v>
      </c>
      <c r="AA31" s="207"/>
      <c r="AB31" s="195"/>
      <c r="AC31" s="196"/>
      <c r="AD31" s="197" t="str">
        <f>IF('Design Fee'!BG33&gt;0,"✔","-")</f>
        <v>-</v>
      </c>
      <c r="AE31" s="197" t="str">
        <f>IF('Design Fee'!BH33&gt;0,"✔","-")</f>
        <v>-</v>
      </c>
      <c r="AF31" s="212" t="str">
        <f>IF('Design Fee'!BI33&gt;0,"✔","-")</f>
        <v>-</v>
      </c>
      <c r="AG31" s="198" t="str">
        <f>IF('Design Fee'!BJ33&gt;0,"✔","-")</f>
        <v>-</v>
      </c>
      <c r="AH31" s="198" t="str">
        <f>IF('Design Fee'!BK33&gt;0,"✔","-")</f>
        <v>-</v>
      </c>
      <c r="AI31" s="198" t="str">
        <f>IF('Design Fee'!BL33&gt;0,"✔","-")</f>
        <v>-</v>
      </c>
      <c r="AJ31" s="198" t="str">
        <f>IF('Design Fee'!BM33&gt;0,"✔","-")</f>
        <v>-</v>
      </c>
      <c r="AK31" s="198" t="str">
        <f>IF('Design Fee'!BN33&gt;0,"✔","-")</f>
        <v>-</v>
      </c>
      <c r="AL31" s="199"/>
      <c r="AM31" s="198" t="str">
        <f>IF('Design Fee'!BP33&gt;0,"✔","-")</f>
        <v>-</v>
      </c>
      <c r="AN31" s="198" t="str">
        <f>IF('Design Fee'!BQ33&gt;0,"✔","-")</f>
        <v>-</v>
      </c>
      <c r="AO31" s="198" t="str">
        <f>IF('Design Fee'!BR33&gt;0,"✔","-")</f>
        <v>-</v>
      </c>
      <c r="AP31" s="198" t="str">
        <f>IF('Design Fee'!BS33&gt;0,"✔","-")</f>
        <v>-</v>
      </c>
      <c r="AQ31" s="198" t="str">
        <f>IF('Design Fee'!BT33&gt;0,"✔","-")</f>
        <v>-</v>
      </c>
      <c r="AR31" s="199"/>
      <c r="AS31" s="195"/>
      <c r="AT31" s="196"/>
      <c r="AU31" s="197" t="str">
        <f>IF('Design Fee'!CQ33&gt;0,"✔","-")</f>
        <v>-</v>
      </c>
      <c r="AV31" s="197" t="str">
        <f>IF('Design Fee'!CR33&gt;0,"✔","-")</f>
        <v>-</v>
      </c>
      <c r="AW31" s="212" t="str">
        <f>IF('Design Fee'!CS33&gt;0,"✔","-")</f>
        <v>-</v>
      </c>
      <c r="AX31" s="198" t="str">
        <f>IF('Design Fee'!CT33&gt;0,"✔","-")</f>
        <v>-</v>
      </c>
      <c r="AY31" s="198" t="str">
        <f>IF('Design Fee'!CU33&gt;0,"✔","-")</f>
        <v>-</v>
      </c>
      <c r="AZ31" s="198" t="str">
        <f>IF('Design Fee'!CV33&gt;0,"✔","-")</f>
        <v>-</v>
      </c>
      <c r="BA31" s="198" t="str">
        <f>IF('Design Fee'!CW33&gt;0,"✔","-")</f>
        <v>-</v>
      </c>
      <c r="BB31" s="198" t="str">
        <f>IF('Design Fee'!CX33&gt;0,"✔","-")</f>
        <v>-</v>
      </c>
      <c r="BC31" s="199"/>
      <c r="BD31" s="198" t="str">
        <f>IF('Design Fee'!CZ33&gt;0,"✔","-")</f>
        <v>-</v>
      </c>
      <c r="BE31" s="198" t="str">
        <f>IF('Design Fee'!DA33&gt;0,"✔","-")</f>
        <v>-</v>
      </c>
      <c r="BF31" s="198" t="str">
        <f>IF('Design Fee'!DB33&gt;0,"✔","-")</f>
        <v>-</v>
      </c>
      <c r="BG31" s="198" t="str">
        <f>IF('Design Fee'!DC33&gt;0,"✔","-")</f>
        <v>-</v>
      </c>
      <c r="BH31" s="198" t="str">
        <f>IF('Design Fee'!DD33&gt;0,"✔","-")</f>
        <v>-</v>
      </c>
      <c r="BI31" s="199"/>
      <c r="BJ31" s="195"/>
      <c r="BK31" s="196"/>
      <c r="BL31" s="197" t="str">
        <f>IF('Design Fee'!EA33&gt;0,"✔","-")</f>
        <v>-</v>
      </c>
      <c r="BM31" s="197" t="str">
        <f>IF('Design Fee'!EB33&gt;0,"✔","-")</f>
        <v>-</v>
      </c>
      <c r="BN31" s="212" t="str">
        <f>IF('Design Fee'!EC33&gt;0,"✔","-")</f>
        <v>-</v>
      </c>
      <c r="BO31" s="198" t="str">
        <f>IF('Design Fee'!ED33&gt;0,"✔","-")</f>
        <v>-</v>
      </c>
      <c r="BP31" s="198" t="str">
        <f>IF('Design Fee'!EE33&gt;0,"✔","-")</f>
        <v>-</v>
      </c>
      <c r="BQ31" s="198" t="str">
        <f>IF('Design Fee'!EF33&gt;0,"✔","-")</f>
        <v>-</v>
      </c>
      <c r="BR31" s="198" t="str">
        <f>IF('Design Fee'!EG33&gt;0,"✔","-")</f>
        <v>-</v>
      </c>
      <c r="BS31" s="198" t="str">
        <f>IF('Design Fee'!EH33&gt;0,"✔","-")</f>
        <v>-</v>
      </c>
      <c r="BT31" s="137"/>
      <c r="BU31" s="198" t="str">
        <f>IF('Design Fee'!EJ33&gt;0,"✔","-")</f>
        <v>-</v>
      </c>
      <c r="BV31" s="198" t="str">
        <f>IF('Design Fee'!EK33&gt;0,"✔","-")</f>
        <v>-</v>
      </c>
      <c r="BW31" s="198" t="str">
        <f>IF('Design Fee'!EL33&gt;0,"✔","-")</f>
        <v>-</v>
      </c>
      <c r="BX31" s="198" t="str">
        <f>IF('Design Fee'!EM33&gt;0,"✔","-")</f>
        <v>-</v>
      </c>
      <c r="BY31" s="198" t="str">
        <f>IF('Design Fee'!EN33&gt;0,"✔","-")</f>
        <v>-</v>
      </c>
      <c r="BZ31" s="137"/>
    </row>
    <row r="32" spans="2:78" ht="13.35" hidden="1" customHeight="1" outlineLevel="2">
      <c r="B32" s="193"/>
      <c r="C32" s="193">
        <v>4</v>
      </c>
      <c r="D32" s="194" t="s">
        <v>38</v>
      </c>
      <c r="E32" s="137"/>
      <c r="F32" s="197"/>
      <c r="G32" s="212"/>
      <c r="H32" s="212"/>
      <c r="I32" s="198"/>
      <c r="J32" s="207"/>
      <c r="K32" s="195"/>
      <c r="L32" s="196"/>
      <c r="M32" s="197" t="str">
        <f>IF('Design Fee'!W34&gt;0,"✔","-")</f>
        <v>-</v>
      </c>
      <c r="N32" s="197" t="str">
        <f>IF('Design Fee'!X34&gt;0,"✔","-")</f>
        <v>-</v>
      </c>
      <c r="O32" s="212" t="str">
        <f>IF('Design Fee'!Y34&gt;0,"✔","-")</f>
        <v>-</v>
      </c>
      <c r="P32" s="198" t="str">
        <f>IF('Design Fee'!Z34&gt;0,"✔","-")</f>
        <v>-</v>
      </c>
      <c r="Q32" s="198" t="str">
        <f>IF('Design Fee'!AA34&gt;0,"✔","-")</f>
        <v>-</v>
      </c>
      <c r="R32" s="198" t="str">
        <f>IF('Design Fee'!AB34&gt;0,"✔","-")</f>
        <v>-</v>
      </c>
      <c r="S32" s="198" t="str">
        <f>IF('Design Fee'!AC34&gt;0,"✔","-")</f>
        <v>-</v>
      </c>
      <c r="T32" s="198" t="str">
        <f>IF('Design Fee'!AD34&gt;0,"✔","-")</f>
        <v>-</v>
      </c>
      <c r="U32" s="207"/>
      <c r="V32" s="198" t="str">
        <f>IF('Design Fee'!AF34&gt;0,"✔","-")</f>
        <v>-</v>
      </c>
      <c r="W32" s="198" t="str">
        <f>IF('Design Fee'!AG34&gt;0,"✔","-")</f>
        <v>-</v>
      </c>
      <c r="X32" s="198" t="str">
        <f>IF('Design Fee'!AH34&gt;0,"✔","-")</f>
        <v>-</v>
      </c>
      <c r="Y32" s="198" t="str">
        <f>IF('Design Fee'!AI34&gt;0,"✔","-")</f>
        <v>-</v>
      </c>
      <c r="Z32" s="198" t="str">
        <f>IF('Design Fee'!AJ34&gt;0,"✔","-")</f>
        <v>-</v>
      </c>
      <c r="AA32" s="207"/>
      <c r="AB32" s="195"/>
      <c r="AC32" s="196"/>
      <c r="AD32" s="197" t="str">
        <f>IF('Design Fee'!BG34&gt;0,"✔","-")</f>
        <v>-</v>
      </c>
      <c r="AE32" s="197" t="str">
        <f>IF('Design Fee'!BH34&gt;0,"✔","-")</f>
        <v>-</v>
      </c>
      <c r="AF32" s="212" t="str">
        <f>IF('Design Fee'!BI34&gt;0,"✔","-")</f>
        <v>-</v>
      </c>
      <c r="AG32" s="198" t="str">
        <f>IF('Design Fee'!BJ34&gt;0,"✔","-")</f>
        <v>-</v>
      </c>
      <c r="AH32" s="198" t="str">
        <f>IF('Design Fee'!BK34&gt;0,"✔","-")</f>
        <v>-</v>
      </c>
      <c r="AI32" s="198" t="str">
        <f>IF('Design Fee'!BL34&gt;0,"✔","-")</f>
        <v>-</v>
      </c>
      <c r="AJ32" s="198" t="str">
        <f>IF('Design Fee'!BM34&gt;0,"✔","-")</f>
        <v>-</v>
      </c>
      <c r="AK32" s="198" t="str">
        <f>IF('Design Fee'!BN34&gt;0,"✔","-")</f>
        <v>-</v>
      </c>
      <c r="AL32" s="199"/>
      <c r="AM32" s="198" t="str">
        <f>IF('Design Fee'!BP34&gt;0,"✔","-")</f>
        <v>-</v>
      </c>
      <c r="AN32" s="198" t="str">
        <f>IF('Design Fee'!BQ34&gt;0,"✔","-")</f>
        <v>-</v>
      </c>
      <c r="AO32" s="198" t="str">
        <f>IF('Design Fee'!BR34&gt;0,"✔","-")</f>
        <v>-</v>
      </c>
      <c r="AP32" s="198" t="str">
        <f>IF('Design Fee'!BS34&gt;0,"✔","-")</f>
        <v>-</v>
      </c>
      <c r="AQ32" s="198" t="str">
        <f>IF('Design Fee'!BT34&gt;0,"✔","-")</f>
        <v>-</v>
      </c>
      <c r="AR32" s="199"/>
      <c r="AS32" s="195"/>
      <c r="AT32" s="196"/>
      <c r="AU32" s="197" t="str">
        <f>IF('Design Fee'!CQ34&gt;0,"✔","-")</f>
        <v>-</v>
      </c>
      <c r="AV32" s="197" t="str">
        <f>IF('Design Fee'!CR34&gt;0,"✔","-")</f>
        <v>-</v>
      </c>
      <c r="AW32" s="212" t="str">
        <f>IF('Design Fee'!CS34&gt;0,"✔","-")</f>
        <v>-</v>
      </c>
      <c r="AX32" s="198" t="str">
        <f>IF('Design Fee'!CT34&gt;0,"✔","-")</f>
        <v>-</v>
      </c>
      <c r="AY32" s="198" t="str">
        <f>IF('Design Fee'!CU34&gt;0,"✔","-")</f>
        <v>-</v>
      </c>
      <c r="AZ32" s="198" t="str">
        <f>IF('Design Fee'!CV34&gt;0,"✔","-")</f>
        <v>-</v>
      </c>
      <c r="BA32" s="198" t="str">
        <f>IF('Design Fee'!CW34&gt;0,"✔","-")</f>
        <v>-</v>
      </c>
      <c r="BB32" s="198" t="str">
        <f>IF('Design Fee'!CX34&gt;0,"✔","-")</f>
        <v>-</v>
      </c>
      <c r="BC32" s="199"/>
      <c r="BD32" s="198" t="str">
        <f>IF('Design Fee'!CZ34&gt;0,"✔","-")</f>
        <v>-</v>
      </c>
      <c r="BE32" s="198" t="str">
        <f>IF('Design Fee'!DA34&gt;0,"✔","-")</f>
        <v>-</v>
      </c>
      <c r="BF32" s="198" t="str">
        <f>IF('Design Fee'!DB34&gt;0,"✔","-")</f>
        <v>-</v>
      </c>
      <c r="BG32" s="198" t="str">
        <f>IF('Design Fee'!DC34&gt;0,"✔","-")</f>
        <v>-</v>
      </c>
      <c r="BH32" s="198" t="str">
        <f>IF('Design Fee'!DD34&gt;0,"✔","-")</f>
        <v>-</v>
      </c>
      <c r="BI32" s="199"/>
      <c r="BJ32" s="195"/>
      <c r="BK32" s="196"/>
      <c r="BL32" s="197" t="str">
        <f>IF('Design Fee'!EA34&gt;0,"✔","-")</f>
        <v>-</v>
      </c>
      <c r="BM32" s="197" t="str">
        <f>IF('Design Fee'!EB34&gt;0,"✔","-")</f>
        <v>-</v>
      </c>
      <c r="BN32" s="212" t="str">
        <f>IF('Design Fee'!EC34&gt;0,"✔","-")</f>
        <v>-</v>
      </c>
      <c r="BO32" s="198" t="str">
        <f>IF('Design Fee'!ED34&gt;0,"✔","-")</f>
        <v>-</v>
      </c>
      <c r="BP32" s="198" t="str">
        <f>IF('Design Fee'!EE34&gt;0,"✔","-")</f>
        <v>-</v>
      </c>
      <c r="BQ32" s="198" t="str">
        <f>IF('Design Fee'!EF34&gt;0,"✔","-")</f>
        <v>-</v>
      </c>
      <c r="BR32" s="198" t="str">
        <f>IF('Design Fee'!EG34&gt;0,"✔","-")</f>
        <v>-</v>
      </c>
      <c r="BS32" s="198" t="str">
        <f>IF('Design Fee'!EH34&gt;0,"✔","-")</f>
        <v>-</v>
      </c>
      <c r="BT32" s="137"/>
      <c r="BU32" s="198" t="str">
        <f>IF('Design Fee'!EJ34&gt;0,"✔","-")</f>
        <v>-</v>
      </c>
      <c r="BV32" s="198" t="str">
        <f>IF('Design Fee'!EK34&gt;0,"✔","-")</f>
        <v>-</v>
      </c>
      <c r="BW32" s="198" t="str">
        <f>IF('Design Fee'!EL34&gt;0,"✔","-")</f>
        <v>-</v>
      </c>
      <c r="BX32" s="198" t="str">
        <f>IF('Design Fee'!EM34&gt;0,"✔","-")</f>
        <v>-</v>
      </c>
      <c r="BY32" s="198" t="str">
        <f>IF('Design Fee'!EN34&gt;0,"✔","-")</f>
        <v>-</v>
      </c>
      <c r="BZ32" s="137"/>
    </row>
    <row r="33" spans="2:78" ht="13.35" hidden="1" customHeight="1" outlineLevel="2">
      <c r="B33" s="193"/>
      <c r="C33" s="193">
        <v>5</v>
      </c>
      <c r="D33" s="194" t="s">
        <v>39</v>
      </c>
      <c r="E33" s="137"/>
      <c r="F33" s="197"/>
      <c r="G33" s="212"/>
      <c r="H33" s="212"/>
      <c r="I33" s="198"/>
      <c r="J33" s="207"/>
      <c r="K33" s="195"/>
      <c r="L33" s="196"/>
      <c r="M33" s="197" t="str">
        <f>IF('Design Fee'!W35&gt;0,"✔","-")</f>
        <v>-</v>
      </c>
      <c r="N33" s="197" t="str">
        <f>IF('Design Fee'!X35&gt;0,"✔","-")</f>
        <v>-</v>
      </c>
      <c r="O33" s="212" t="str">
        <f>IF('Design Fee'!Y35&gt;0,"✔","-")</f>
        <v>-</v>
      </c>
      <c r="P33" s="198" t="str">
        <f>IF('Design Fee'!Z35&gt;0,"✔","-")</f>
        <v>-</v>
      </c>
      <c r="Q33" s="198" t="str">
        <f>IF('Design Fee'!AA35&gt;0,"✔","-")</f>
        <v>-</v>
      </c>
      <c r="R33" s="198" t="str">
        <f>IF('Design Fee'!AB35&gt;0,"✔","-")</f>
        <v>-</v>
      </c>
      <c r="S33" s="198" t="str">
        <f>IF('Design Fee'!AC35&gt;0,"✔","-")</f>
        <v>-</v>
      </c>
      <c r="T33" s="198" t="str">
        <f>IF('Design Fee'!AD35&gt;0,"✔","-")</f>
        <v>-</v>
      </c>
      <c r="U33" s="207"/>
      <c r="V33" s="198" t="str">
        <f>IF('Design Fee'!AF35&gt;0,"✔","-")</f>
        <v>-</v>
      </c>
      <c r="W33" s="198" t="str">
        <f>IF('Design Fee'!AG35&gt;0,"✔","-")</f>
        <v>-</v>
      </c>
      <c r="X33" s="198" t="str">
        <f>IF('Design Fee'!AH35&gt;0,"✔","-")</f>
        <v>-</v>
      </c>
      <c r="Y33" s="198" t="str">
        <f>IF('Design Fee'!AI35&gt;0,"✔","-")</f>
        <v>-</v>
      </c>
      <c r="Z33" s="198" t="str">
        <f>IF('Design Fee'!AJ35&gt;0,"✔","-")</f>
        <v>-</v>
      </c>
      <c r="AA33" s="207"/>
      <c r="AB33" s="195"/>
      <c r="AC33" s="196"/>
      <c r="AD33" s="197" t="str">
        <f>IF('Design Fee'!BG35&gt;0,"✔","-")</f>
        <v>-</v>
      </c>
      <c r="AE33" s="197" t="str">
        <f>IF('Design Fee'!BH35&gt;0,"✔","-")</f>
        <v>-</v>
      </c>
      <c r="AF33" s="212" t="str">
        <f>IF('Design Fee'!BI35&gt;0,"✔","-")</f>
        <v>-</v>
      </c>
      <c r="AG33" s="198" t="str">
        <f>IF('Design Fee'!BJ35&gt;0,"✔","-")</f>
        <v>-</v>
      </c>
      <c r="AH33" s="198" t="str">
        <f>IF('Design Fee'!BK35&gt;0,"✔","-")</f>
        <v>-</v>
      </c>
      <c r="AI33" s="198" t="str">
        <f>IF('Design Fee'!BL35&gt;0,"✔","-")</f>
        <v>-</v>
      </c>
      <c r="AJ33" s="198" t="str">
        <f>IF('Design Fee'!BM35&gt;0,"✔","-")</f>
        <v>-</v>
      </c>
      <c r="AK33" s="198" t="str">
        <f>IF('Design Fee'!BN35&gt;0,"✔","-")</f>
        <v>-</v>
      </c>
      <c r="AL33" s="199"/>
      <c r="AM33" s="198" t="str">
        <f>IF('Design Fee'!BP35&gt;0,"✔","-")</f>
        <v>-</v>
      </c>
      <c r="AN33" s="198" t="str">
        <f>IF('Design Fee'!BQ35&gt;0,"✔","-")</f>
        <v>-</v>
      </c>
      <c r="AO33" s="198" t="str">
        <f>IF('Design Fee'!BR35&gt;0,"✔","-")</f>
        <v>-</v>
      </c>
      <c r="AP33" s="198" t="str">
        <f>IF('Design Fee'!BS35&gt;0,"✔","-")</f>
        <v>-</v>
      </c>
      <c r="AQ33" s="198" t="str">
        <f>IF('Design Fee'!BT35&gt;0,"✔","-")</f>
        <v>-</v>
      </c>
      <c r="AR33" s="199"/>
      <c r="AS33" s="195"/>
      <c r="AT33" s="196"/>
      <c r="AU33" s="197" t="str">
        <f>IF('Design Fee'!CQ35&gt;0,"✔","-")</f>
        <v>-</v>
      </c>
      <c r="AV33" s="197" t="str">
        <f>IF('Design Fee'!CR35&gt;0,"✔","-")</f>
        <v>-</v>
      </c>
      <c r="AW33" s="212" t="str">
        <f>IF('Design Fee'!CS35&gt;0,"✔","-")</f>
        <v>-</v>
      </c>
      <c r="AX33" s="198" t="str">
        <f>IF('Design Fee'!CT35&gt;0,"✔","-")</f>
        <v>-</v>
      </c>
      <c r="AY33" s="198" t="str">
        <f>IF('Design Fee'!CU35&gt;0,"✔","-")</f>
        <v>-</v>
      </c>
      <c r="AZ33" s="198" t="str">
        <f>IF('Design Fee'!CV35&gt;0,"✔","-")</f>
        <v>-</v>
      </c>
      <c r="BA33" s="198" t="str">
        <f>IF('Design Fee'!CW35&gt;0,"✔","-")</f>
        <v>-</v>
      </c>
      <c r="BB33" s="198" t="str">
        <f>IF('Design Fee'!CX35&gt;0,"✔","-")</f>
        <v>-</v>
      </c>
      <c r="BC33" s="199"/>
      <c r="BD33" s="198" t="str">
        <f>IF('Design Fee'!CZ35&gt;0,"✔","-")</f>
        <v>-</v>
      </c>
      <c r="BE33" s="198" t="str">
        <f>IF('Design Fee'!DA35&gt;0,"✔","-")</f>
        <v>-</v>
      </c>
      <c r="BF33" s="198" t="str">
        <f>IF('Design Fee'!DB35&gt;0,"✔","-")</f>
        <v>-</v>
      </c>
      <c r="BG33" s="198" t="str">
        <f>IF('Design Fee'!DC35&gt;0,"✔","-")</f>
        <v>-</v>
      </c>
      <c r="BH33" s="198" t="str">
        <f>IF('Design Fee'!DD35&gt;0,"✔","-")</f>
        <v>-</v>
      </c>
      <c r="BI33" s="199"/>
      <c r="BJ33" s="195"/>
      <c r="BK33" s="196"/>
      <c r="BL33" s="197" t="str">
        <f>IF('Design Fee'!EA35&gt;0,"✔","-")</f>
        <v>-</v>
      </c>
      <c r="BM33" s="197" t="str">
        <f>IF('Design Fee'!EB35&gt;0,"✔","-")</f>
        <v>-</v>
      </c>
      <c r="BN33" s="212" t="str">
        <f>IF('Design Fee'!EC35&gt;0,"✔","-")</f>
        <v>-</v>
      </c>
      <c r="BO33" s="198" t="str">
        <f>IF('Design Fee'!ED35&gt;0,"✔","-")</f>
        <v>-</v>
      </c>
      <c r="BP33" s="198" t="str">
        <f>IF('Design Fee'!EE35&gt;0,"✔","-")</f>
        <v>-</v>
      </c>
      <c r="BQ33" s="198" t="str">
        <f>IF('Design Fee'!EF35&gt;0,"✔","-")</f>
        <v>-</v>
      </c>
      <c r="BR33" s="198" t="str">
        <f>IF('Design Fee'!EG35&gt;0,"✔","-")</f>
        <v>-</v>
      </c>
      <c r="BS33" s="198" t="str">
        <f>IF('Design Fee'!EH35&gt;0,"✔","-")</f>
        <v>-</v>
      </c>
      <c r="BT33" s="137"/>
      <c r="BU33" s="198" t="str">
        <f>IF('Design Fee'!EJ35&gt;0,"✔","-")</f>
        <v>-</v>
      </c>
      <c r="BV33" s="198" t="str">
        <f>IF('Design Fee'!EK35&gt;0,"✔","-")</f>
        <v>-</v>
      </c>
      <c r="BW33" s="198" t="str">
        <f>IF('Design Fee'!EL35&gt;0,"✔","-")</f>
        <v>-</v>
      </c>
      <c r="BX33" s="198" t="str">
        <f>IF('Design Fee'!EM35&gt;0,"✔","-")</f>
        <v>-</v>
      </c>
      <c r="BY33" s="198" t="str">
        <f>IF('Design Fee'!EN35&gt;0,"✔","-")</f>
        <v>-</v>
      </c>
      <c r="BZ33" s="137"/>
    </row>
    <row r="34" spans="2:78" ht="13.35" hidden="1" customHeight="1" outlineLevel="2">
      <c r="B34" s="193"/>
      <c r="C34" s="193">
        <v>6</v>
      </c>
      <c r="D34" s="194" t="s">
        <v>40</v>
      </c>
      <c r="E34" s="137"/>
      <c r="F34" s="197"/>
      <c r="G34" s="212"/>
      <c r="H34" s="212"/>
      <c r="I34" s="198"/>
      <c r="J34" s="184"/>
      <c r="K34" s="195"/>
      <c r="L34" s="196"/>
      <c r="M34" s="197" t="str">
        <f>IF('Design Fee'!W36&gt;0,"✔","-")</f>
        <v>-</v>
      </c>
      <c r="N34" s="197" t="str">
        <f>IF('Design Fee'!X36&gt;0,"✔","-")</f>
        <v>-</v>
      </c>
      <c r="O34" s="212" t="str">
        <f>IF('Design Fee'!Y36&gt;0,"✔","-")</f>
        <v>-</v>
      </c>
      <c r="P34" s="198" t="str">
        <f>IF('Design Fee'!Z36&gt;0,"✔","-")</f>
        <v>-</v>
      </c>
      <c r="Q34" s="198" t="str">
        <f>IF('Design Fee'!AA36&gt;0,"✔","-")</f>
        <v>-</v>
      </c>
      <c r="R34" s="198" t="str">
        <f>IF('Design Fee'!AB36&gt;0,"✔","-")</f>
        <v>-</v>
      </c>
      <c r="S34" s="198" t="str">
        <f>IF('Design Fee'!AC36&gt;0,"✔","-")</f>
        <v>-</v>
      </c>
      <c r="T34" s="198" t="str">
        <f>IF('Design Fee'!AD36&gt;0,"✔","-")</f>
        <v>-</v>
      </c>
      <c r="U34" s="184"/>
      <c r="V34" s="198" t="str">
        <f>IF('Design Fee'!AF36&gt;0,"✔","-")</f>
        <v>-</v>
      </c>
      <c r="W34" s="198" t="str">
        <f>IF('Design Fee'!AG36&gt;0,"✔","-")</f>
        <v>-</v>
      </c>
      <c r="X34" s="198" t="str">
        <f>IF('Design Fee'!AH36&gt;0,"✔","-")</f>
        <v>-</v>
      </c>
      <c r="Y34" s="198" t="str">
        <f>IF('Design Fee'!AI36&gt;0,"✔","-")</f>
        <v>-</v>
      </c>
      <c r="Z34" s="198" t="str">
        <f>IF('Design Fee'!AJ36&gt;0,"✔","-")</f>
        <v>-</v>
      </c>
      <c r="AA34" s="184"/>
      <c r="AB34" s="195"/>
      <c r="AC34" s="196"/>
      <c r="AD34" s="197" t="str">
        <f>IF('Design Fee'!BG36&gt;0,"✔","-")</f>
        <v>-</v>
      </c>
      <c r="AE34" s="197" t="str">
        <f>IF('Design Fee'!BH36&gt;0,"✔","-")</f>
        <v>-</v>
      </c>
      <c r="AF34" s="212" t="str">
        <f>IF('Design Fee'!BI36&gt;0,"✔","-")</f>
        <v>-</v>
      </c>
      <c r="AG34" s="198" t="str">
        <f>IF('Design Fee'!BJ36&gt;0,"✔","-")</f>
        <v>-</v>
      </c>
      <c r="AH34" s="198" t="str">
        <f>IF('Design Fee'!BK36&gt;0,"✔","-")</f>
        <v>-</v>
      </c>
      <c r="AI34" s="198" t="str">
        <f>IF('Design Fee'!BL36&gt;0,"✔","-")</f>
        <v>-</v>
      </c>
      <c r="AJ34" s="198" t="str">
        <f>IF('Design Fee'!BM36&gt;0,"✔","-")</f>
        <v>-</v>
      </c>
      <c r="AK34" s="198" t="str">
        <f>IF('Design Fee'!BN36&gt;0,"✔","-")</f>
        <v>-</v>
      </c>
      <c r="AL34" s="199"/>
      <c r="AM34" s="198" t="str">
        <f>IF('Design Fee'!BP36&gt;0,"✔","-")</f>
        <v>-</v>
      </c>
      <c r="AN34" s="198" t="str">
        <f>IF('Design Fee'!BQ36&gt;0,"✔","-")</f>
        <v>-</v>
      </c>
      <c r="AO34" s="198" t="str">
        <f>IF('Design Fee'!BR36&gt;0,"✔","-")</f>
        <v>-</v>
      </c>
      <c r="AP34" s="198" t="str">
        <f>IF('Design Fee'!BS36&gt;0,"✔","-")</f>
        <v>-</v>
      </c>
      <c r="AQ34" s="198" t="str">
        <f>IF('Design Fee'!BT36&gt;0,"✔","-")</f>
        <v>-</v>
      </c>
      <c r="AR34" s="199"/>
      <c r="AS34" s="195"/>
      <c r="AT34" s="196"/>
      <c r="AU34" s="197" t="str">
        <f>IF('Design Fee'!CQ36&gt;0,"✔","-")</f>
        <v>-</v>
      </c>
      <c r="AV34" s="197" t="str">
        <f>IF('Design Fee'!CR36&gt;0,"✔","-")</f>
        <v>-</v>
      </c>
      <c r="AW34" s="212" t="str">
        <f>IF('Design Fee'!CS36&gt;0,"✔","-")</f>
        <v>-</v>
      </c>
      <c r="AX34" s="198" t="str">
        <f>IF('Design Fee'!CT36&gt;0,"✔","-")</f>
        <v>-</v>
      </c>
      <c r="AY34" s="198" t="str">
        <f>IF('Design Fee'!CU36&gt;0,"✔","-")</f>
        <v>-</v>
      </c>
      <c r="AZ34" s="198" t="str">
        <f>IF('Design Fee'!CV36&gt;0,"✔","-")</f>
        <v>-</v>
      </c>
      <c r="BA34" s="198" t="str">
        <f>IF('Design Fee'!CW36&gt;0,"✔","-")</f>
        <v>-</v>
      </c>
      <c r="BB34" s="198" t="str">
        <f>IF('Design Fee'!CX36&gt;0,"✔","-")</f>
        <v>-</v>
      </c>
      <c r="BC34" s="199"/>
      <c r="BD34" s="198" t="str">
        <f>IF('Design Fee'!CZ36&gt;0,"✔","-")</f>
        <v>-</v>
      </c>
      <c r="BE34" s="198" t="str">
        <f>IF('Design Fee'!DA36&gt;0,"✔","-")</f>
        <v>-</v>
      </c>
      <c r="BF34" s="198" t="str">
        <f>IF('Design Fee'!DB36&gt;0,"✔","-")</f>
        <v>-</v>
      </c>
      <c r="BG34" s="198" t="str">
        <f>IF('Design Fee'!DC36&gt;0,"✔","-")</f>
        <v>-</v>
      </c>
      <c r="BH34" s="198" t="str">
        <f>IF('Design Fee'!DD36&gt;0,"✔","-")</f>
        <v>-</v>
      </c>
      <c r="BI34" s="199"/>
      <c r="BJ34" s="195"/>
      <c r="BK34" s="196"/>
      <c r="BL34" s="197" t="str">
        <f>IF('Design Fee'!EA36&gt;0,"✔","-")</f>
        <v>-</v>
      </c>
      <c r="BM34" s="197" t="str">
        <f>IF('Design Fee'!EB36&gt;0,"✔","-")</f>
        <v>-</v>
      </c>
      <c r="BN34" s="212" t="str">
        <f>IF('Design Fee'!EC36&gt;0,"✔","-")</f>
        <v>-</v>
      </c>
      <c r="BO34" s="198" t="str">
        <f>IF('Design Fee'!ED36&gt;0,"✔","-")</f>
        <v>-</v>
      </c>
      <c r="BP34" s="198" t="str">
        <f>IF('Design Fee'!EE36&gt;0,"✔","-")</f>
        <v>-</v>
      </c>
      <c r="BQ34" s="198" t="str">
        <f>IF('Design Fee'!EF36&gt;0,"✔","-")</f>
        <v>-</v>
      </c>
      <c r="BR34" s="198" t="str">
        <f>IF('Design Fee'!EG36&gt;0,"✔","-")</f>
        <v>-</v>
      </c>
      <c r="BS34" s="198" t="str">
        <f>IF('Design Fee'!EH36&gt;0,"✔","-")</f>
        <v>-</v>
      </c>
      <c r="BT34" s="137"/>
      <c r="BU34" s="198" t="str">
        <f>IF('Design Fee'!EJ36&gt;0,"✔","-")</f>
        <v>-</v>
      </c>
      <c r="BV34" s="198" t="str">
        <f>IF('Design Fee'!EK36&gt;0,"✔","-")</f>
        <v>-</v>
      </c>
      <c r="BW34" s="198" t="str">
        <f>IF('Design Fee'!EL36&gt;0,"✔","-")</f>
        <v>-</v>
      </c>
      <c r="BX34" s="198" t="str">
        <f>IF('Design Fee'!EM36&gt;0,"✔","-")</f>
        <v>-</v>
      </c>
      <c r="BY34" s="198" t="str">
        <f>IF('Design Fee'!EN36&gt;0,"✔","-")</f>
        <v>-</v>
      </c>
      <c r="BZ34" s="137"/>
    </row>
    <row r="35" spans="2:78" ht="13.35" hidden="1" customHeight="1" outlineLevel="2">
      <c r="B35" s="193"/>
      <c r="C35" s="193">
        <v>7</v>
      </c>
      <c r="D35" s="194" t="s">
        <v>41</v>
      </c>
      <c r="E35" s="137"/>
      <c r="F35" s="197"/>
      <c r="G35" s="212"/>
      <c r="H35" s="212"/>
      <c r="I35" s="198"/>
      <c r="J35" s="184"/>
      <c r="K35" s="195"/>
      <c r="L35" s="196"/>
      <c r="M35" s="197" t="str">
        <f>IF('Design Fee'!W37&gt;0,"✔","-")</f>
        <v>-</v>
      </c>
      <c r="N35" s="197" t="str">
        <f>IF('Design Fee'!X37&gt;0,"✔","-")</f>
        <v>-</v>
      </c>
      <c r="O35" s="212" t="str">
        <f>IF('Design Fee'!Y37&gt;0,"✔","-")</f>
        <v>-</v>
      </c>
      <c r="P35" s="198" t="str">
        <f>IF('Design Fee'!Z37&gt;0,"✔","-")</f>
        <v>-</v>
      </c>
      <c r="Q35" s="198" t="str">
        <f>IF('Design Fee'!AA37&gt;0,"✔","-")</f>
        <v>-</v>
      </c>
      <c r="R35" s="198" t="str">
        <f>IF('Design Fee'!AB37&gt;0,"✔","-")</f>
        <v>-</v>
      </c>
      <c r="S35" s="198" t="str">
        <f>IF('Design Fee'!AC37&gt;0,"✔","-")</f>
        <v>-</v>
      </c>
      <c r="T35" s="198" t="str">
        <f>IF('Design Fee'!AD37&gt;0,"✔","-")</f>
        <v>-</v>
      </c>
      <c r="U35" s="184"/>
      <c r="V35" s="198" t="str">
        <f>IF('Design Fee'!AF37&gt;0,"✔","-")</f>
        <v>-</v>
      </c>
      <c r="W35" s="198" t="str">
        <f>IF('Design Fee'!AG37&gt;0,"✔","-")</f>
        <v>-</v>
      </c>
      <c r="X35" s="198" t="str">
        <f>IF('Design Fee'!AH37&gt;0,"✔","-")</f>
        <v>-</v>
      </c>
      <c r="Y35" s="198" t="str">
        <f>IF('Design Fee'!AI37&gt;0,"✔","-")</f>
        <v>-</v>
      </c>
      <c r="Z35" s="198" t="str">
        <f>IF('Design Fee'!AJ37&gt;0,"✔","-")</f>
        <v>-</v>
      </c>
      <c r="AA35" s="184"/>
      <c r="AB35" s="195"/>
      <c r="AC35" s="196"/>
      <c r="AD35" s="197" t="str">
        <f>IF('Design Fee'!BG37&gt;0,"✔","-")</f>
        <v>-</v>
      </c>
      <c r="AE35" s="197" t="str">
        <f>IF('Design Fee'!BH37&gt;0,"✔","-")</f>
        <v>-</v>
      </c>
      <c r="AF35" s="212" t="str">
        <f>IF('Design Fee'!BI37&gt;0,"✔","-")</f>
        <v>-</v>
      </c>
      <c r="AG35" s="198" t="str">
        <f>IF('Design Fee'!BJ37&gt;0,"✔","-")</f>
        <v>-</v>
      </c>
      <c r="AH35" s="198" t="str">
        <f>IF('Design Fee'!BK37&gt;0,"✔","-")</f>
        <v>-</v>
      </c>
      <c r="AI35" s="198" t="str">
        <f>IF('Design Fee'!BL37&gt;0,"✔","-")</f>
        <v>-</v>
      </c>
      <c r="AJ35" s="198" t="str">
        <f>IF('Design Fee'!BM37&gt;0,"✔","-")</f>
        <v>-</v>
      </c>
      <c r="AK35" s="198" t="str">
        <f>IF('Design Fee'!BN37&gt;0,"✔","-")</f>
        <v>-</v>
      </c>
      <c r="AL35" s="199"/>
      <c r="AM35" s="198" t="str">
        <f>IF('Design Fee'!BP37&gt;0,"✔","-")</f>
        <v>-</v>
      </c>
      <c r="AN35" s="198" t="str">
        <f>IF('Design Fee'!BQ37&gt;0,"✔","-")</f>
        <v>-</v>
      </c>
      <c r="AO35" s="198" t="str">
        <f>IF('Design Fee'!BR37&gt;0,"✔","-")</f>
        <v>-</v>
      </c>
      <c r="AP35" s="198" t="str">
        <f>IF('Design Fee'!BS37&gt;0,"✔","-")</f>
        <v>-</v>
      </c>
      <c r="AQ35" s="198" t="str">
        <f>IF('Design Fee'!BT37&gt;0,"✔","-")</f>
        <v>-</v>
      </c>
      <c r="AR35" s="199"/>
      <c r="AS35" s="195"/>
      <c r="AT35" s="196"/>
      <c r="AU35" s="197" t="str">
        <f>IF('Design Fee'!CQ37&gt;0,"✔","-")</f>
        <v>-</v>
      </c>
      <c r="AV35" s="197" t="str">
        <f>IF('Design Fee'!CR37&gt;0,"✔","-")</f>
        <v>-</v>
      </c>
      <c r="AW35" s="212" t="str">
        <f>IF('Design Fee'!CS37&gt;0,"✔","-")</f>
        <v>-</v>
      </c>
      <c r="AX35" s="198" t="str">
        <f>IF('Design Fee'!CT37&gt;0,"✔","-")</f>
        <v>-</v>
      </c>
      <c r="AY35" s="198" t="str">
        <f>IF('Design Fee'!CU37&gt;0,"✔","-")</f>
        <v>-</v>
      </c>
      <c r="AZ35" s="198" t="str">
        <f>IF('Design Fee'!CV37&gt;0,"✔","-")</f>
        <v>-</v>
      </c>
      <c r="BA35" s="198" t="str">
        <f>IF('Design Fee'!CW37&gt;0,"✔","-")</f>
        <v>-</v>
      </c>
      <c r="BB35" s="198" t="str">
        <f>IF('Design Fee'!CX37&gt;0,"✔","-")</f>
        <v>-</v>
      </c>
      <c r="BC35" s="199"/>
      <c r="BD35" s="198" t="str">
        <f>IF('Design Fee'!CZ37&gt;0,"✔","-")</f>
        <v>-</v>
      </c>
      <c r="BE35" s="198" t="str">
        <f>IF('Design Fee'!DA37&gt;0,"✔","-")</f>
        <v>-</v>
      </c>
      <c r="BF35" s="198" t="str">
        <f>IF('Design Fee'!DB37&gt;0,"✔","-")</f>
        <v>-</v>
      </c>
      <c r="BG35" s="198" t="str">
        <f>IF('Design Fee'!DC37&gt;0,"✔","-")</f>
        <v>-</v>
      </c>
      <c r="BH35" s="198" t="str">
        <f>IF('Design Fee'!DD37&gt;0,"✔","-")</f>
        <v>-</v>
      </c>
      <c r="BI35" s="199"/>
      <c r="BJ35" s="195"/>
      <c r="BK35" s="196"/>
      <c r="BL35" s="197" t="str">
        <f>IF('Design Fee'!EA37&gt;0,"✔","-")</f>
        <v>-</v>
      </c>
      <c r="BM35" s="197" t="str">
        <f>IF('Design Fee'!EB37&gt;0,"✔","-")</f>
        <v>-</v>
      </c>
      <c r="BN35" s="212" t="str">
        <f>IF('Design Fee'!EC37&gt;0,"✔","-")</f>
        <v>-</v>
      </c>
      <c r="BO35" s="198" t="str">
        <f>IF('Design Fee'!ED37&gt;0,"✔","-")</f>
        <v>-</v>
      </c>
      <c r="BP35" s="198" t="str">
        <f>IF('Design Fee'!EE37&gt;0,"✔","-")</f>
        <v>-</v>
      </c>
      <c r="BQ35" s="198" t="str">
        <f>IF('Design Fee'!EF37&gt;0,"✔","-")</f>
        <v>-</v>
      </c>
      <c r="BR35" s="198" t="str">
        <f>IF('Design Fee'!EG37&gt;0,"✔","-")</f>
        <v>-</v>
      </c>
      <c r="BS35" s="198" t="str">
        <f>IF('Design Fee'!EH37&gt;0,"✔","-")</f>
        <v>-</v>
      </c>
      <c r="BT35" s="137"/>
      <c r="BU35" s="198" t="str">
        <f>IF('Design Fee'!EJ37&gt;0,"✔","-")</f>
        <v>-</v>
      </c>
      <c r="BV35" s="198" t="str">
        <f>IF('Design Fee'!EK37&gt;0,"✔","-")</f>
        <v>-</v>
      </c>
      <c r="BW35" s="198" t="str">
        <f>IF('Design Fee'!EL37&gt;0,"✔","-")</f>
        <v>-</v>
      </c>
      <c r="BX35" s="198" t="str">
        <f>IF('Design Fee'!EM37&gt;0,"✔","-")</f>
        <v>-</v>
      </c>
      <c r="BY35" s="198" t="str">
        <f>IF('Design Fee'!EN37&gt;0,"✔","-")</f>
        <v>-</v>
      </c>
      <c r="BZ35" s="137"/>
    </row>
    <row r="36" spans="2:78" ht="3" hidden="1" customHeight="1" outlineLevel="1">
      <c r="B36" s="138"/>
      <c r="C36" s="138"/>
      <c r="D36" s="137"/>
      <c r="E36" s="137"/>
      <c r="F36" s="162"/>
      <c r="G36" s="175"/>
      <c r="H36" s="175"/>
      <c r="I36" s="175"/>
      <c r="J36" s="184"/>
      <c r="K36" s="195"/>
      <c r="L36" s="196"/>
      <c r="M36" s="197"/>
      <c r="N36" s="197"/>
      <c r="O36" s="212"/>
      <c r="P36" s="198"/>
      <c r="Q36" s="198"/>
      <c r="R36" s="198"/>
      <c r="S36" s="198"/>
      <c r="T36" s="198"/>
      <c r="U36" s="184"/>
      <c r="V36" s="198"/>
      <c r="W36" s="198"/>
      <c r="X36" s="198"/>
      <c r="Y36" s="198"/>
      <c r="Z36" s="198"/>
      <c r="AA36" s="184"/>
      <c r="AB36" s="195"/>
      <c r="AC36" s="196"/>
      <c r="AD36" s="197"/>
      <c r="AE36" s="197"/>
      <c r="AF36" s="175"/>
      <c r="AG36" s="175"/>
      <c r="AH36" s="175"/>
      <c r="AI36" s="175"/>
      <c r="AJ36" s="175"/>
      <c r="AK36" s="175"/>
      <c r="AL36" s="175"/>
      <c r="AM36" s="175"/>
      <c r="AN36" s="175"/>
      <c r="AO36" s="175"/>
      <c r="AP36" s="175"/>
      <c r="AQ36" s="175"/>
      <c r="AR36" s="175"/>
      <c r="AS36" s="195"/>
      <c r="AT36" s="175"/>
      <c r="AU36" s="197"/>
      <c r="AV36" s="197"/>
      <c r="AW36" s="175"/>
      <c r="AX36" s="175"/>
      <c r="AY36" s="175"/>
      <c r="AZ36" s="175"/>
      <c r="BA36" s="175"/>
      <c r="BB36" s="175"/>
      <c r="BC36" s="175"/>
      <c r="BD36" s="175"/>
      <c r="BE36" s="175"/>
      <c r="BF36" s="175"/>
      <c r="BG36" s="175"/>
      <c r="BH36" s="175"/>
      <c r="BI36" s="175"/>
      <c r="BJ36" s="195"/>
      <c r="BK36" s="175"/>
      <c r="BL36" s="197"/>
      <c r="BM36" s="197"/>
      <c r="BN36" s="175"/>
      <c r="BO36" s="175"/>
      <c r="BP36" s="175"/>
      <c r="BQ36" s="175"/>
      <c r="BR36" s="175"/>
      <c r="BS36" s="175"/>
      <c r="BT36" s="137"/>
      <c r="BU36" s="175"/>
      <c r="BV36" s="175"/>
      <c r="BW36" s="175"/>
      <c r="BX36" s="175"/>
      <c r="BY36" s="175"/>
      <c r="BZ36" s="137"/>
    </row>
    <row r="37" spans="2:78" ht="14.25" hidden="1" outlineLevel="1">
      <c r="B37" s="185">
        <v>4</v>
      </c>
      <c r="C37" s="186">
        <v>5</v>
      </c>
      <c r="D37" s="187" t="s">
        <v>42</v>
      </c>
      <c r="E37" s="188"/>
      <c r="F37" s="190">
        <f>COUNTIF(M37,"✔")+COUNTIF(AD37,"✔")+COUNTIF(BL37,"✔")+COUNTIF(AU37,"✔")</f>
        <v>2</v>
      </c>
      <c r="G37" s="190">
        <f>COUNTIF(N37,"✔")+COUNTIF(AE37,"✔")+COUNTIF(BM37,"✔")+COUNTIF(AV37,"✔")</f>
        <v>2</v>
      </c>
      <c r="H37" s="190">
        <f>COUNTIF(O37,"✔")+COUNTIF(AF37,"✔")+COUNTIF(BN37,"✔")+COUNTIF(AW37,"✔")</f>
        <v>2</v>
      </c>
      <c r="I37" s="191">
        <f>F37-G37</f>
        <v>0</v>
      </c>
      <c r="J37" s="210"/>
      <c r="K37" s="190"/>
      <c r="L37" s="208"/>
      <c r="M37" s="190" t="str">
        <f>IF('Design Fee'!W39&gt;0,"✔","-")</f>
        <v>✔</v>
      </c>
      <c r="N37" s="190" t="str">
        <f>IF('Design Fee'!X39&gt;0,"✔","-")</f>
        <v>✔</v>
      </c>
      <c r="O37" s="191" t="str">
        <f>IF('Design Fee'!Y39&gt;0,"✔","-")</f>
        <v>✔</v>
      </c>
      <c r="P37" s="209" t="str">
        <f>IF('Design Fee'!Z39&gt;0,"✔","-")</f>
        <v>-</v>
      </c>
      <c r="Q37" s="209" t="str">
        <f>IF('Design Fee'!AA39&gt;0,"✔","-")</f>
        <v>-</v>
      </c>
      <c r="R37" s="209" t="str">
        <f>IF('Design Fee'!AB39&gt;0,"✔","-")</f>
        <v>-</v>
      </c>
      <c r="S37" s="209" t="str">
        <f>IF('Design Fee'!AC39&gt;0,"✔","-")</f>
        <v>-</v>
      </c>
      <c r="T37" s="209" t="str">
        <f>IF('Design Fee'!AD39&gt;0,"✔","-")</f>
        <v>-</v>
      </c>
      <c r="U37" s="210"/>
      <c r="V37" s="209" t="str">
        <f>IF('Design Fee'!AF39&gt;0,"✔","-")</f>
        <v>-</v>
      </c>
      <c r="W37" s="209" t="str">
        <f>IF('Design Fee'!AG39&gt;0,"✔","-")</f>
        <v>-</v>
      </c>
      <c r="X37" s="209" t="str">
        <f>IF('Design Fee'!AH39&gt;0,"✔","-")</f>
        <v>-</v>
      </c>
      <c r="Y37" s="209" t="str">
        <f>IF('Design Fee'!AI39&gt;0,"✔","-")</f>
        <v>-</v>
      </c>
      <c r="Z37" s="209" t="str">
        <f>IF('Design Fee'!AJ39&gt;0,"✔","-")</f>
        <v>-</v>
      </c>
      <c r="AA37" s="210"/>
      <c r="AB37" s="190" t="str">
        <f>AD37</f>
        <v>-</v>
      </c>
      <c r="AC37" s="208"/>
      <c r="AD37" s="190" t="str">
        <f>IF('Design Fee'!BG39&gt;0,"✔","-")</f>
        <v>-</v>
      </c>
      <c r="AE37" s="190" t="str">
        <f>IF('Design Fee'!BH39&gt;0,"✔","-")</f>
        <v>-</v>
      </c>
      <c r="AF37" s="191" t="str">
        <f>IF('Design Fee'!BI39&gt;0,"✔","-")</f>
        <v>-</v>
      </c>
      <c r="AG37" s="209" t="str">
        <f>IF('Design Fee'!BJ39&gt;0,"✔","-")</f>
        <v>-</v>
      </c>
      <c r="AH37" s="209" t="str">
        <f>IF('Design Fee'!BK39&gt;0,"✔","-")</f>
        <v>-</v>
      </c>
      <c r="AI37" s="209" t="str">
        <f>IF('Design Fee'!BL39&gt;0,"✔","-")</f>
        <v>-</v>
      </c>
      <c r="AJ37" s="209" t="str">
        <f>IF('Design Fee'!BM39&gt;0,"✔","-")</f>
        <v>-</v>
      </c>
      <c r="AK37" s="209" t="str">
        <f>IF('Design Fee'!BN39&gt;0,"✔","-")</f>
        <v>-</v>
      </c>
      <c r="AL37" s="211"/>
      <c r="AM37" s="209" t="str">
        <f>IF('Design Fee'!BP39&gt;0,"✔","-")</f>
        <v>-</v>
      </c>
      <c r="AN37" s="209" t="str">
        <f>IF('Design Fee'!BQ39&gt;0,"✔","-")</f>
        <v>-</v>
      </c>
      <c r="AO37" s="209" t="str">
        <f>IF('Design Fee'!BR39&gt;0,"✔","-")</f>
        <v>-</v>
      </c>
      <c r="AP37" s="209" t="str">
        <f>IF('Design Fee'!BS39&gt;0,"✔","-")</f>
        <v>-</v>
      </c>
      <c r="AQ37" s="209" t="str">
        <f>IF('Design Fee'!BT39&gt;0,"✔","-")</f>
        <v>-</v>
      </c>
      <c r="AR37" s="211"/>
      <c r="AS37" s="190" t="str">
        <f>AU37</f>
        <v>-</v>
      </c>
      <c r="AT37" s="208"/>
      <c r="AU37" s="190" t="str">
        <f>IF('Design Fee'!CQ39&gt;0,"✔","-")</f>
        <v>-</v>
      </c>
      <c r="AV37" s="190" t="str">
        <f>IF('Design Fee'!CR39&gt;0,"✔","-")</f>
        <v>-</v>
      </c>
      <c r="AW37" s="191" t="str">
        <f>IF('Design Fee'!CS39&gt;0,"✔","-")</f>
        <v>-</v>
      </c>
      <c r="AX37" s="209" t="str">
        <f>IF('Design Fee'!CT39&gt;0,"✔","-")</f>
        <v>-</v>
      </c>
      <c r="AY37" s="209" t="str">
        <f>IF('Design Fee'!CU39&gt;0,"✔","-")</f>
        <v>-</v>
      </c>
      <c r="AZ37" s="209" t="str">
        <f>IF('Design Fee'!CV39&gt;0,"✔","-")</f>
        <v>-</v>
      </c>
      <c r="BA37" s="209" t="str">
        <f>IF('Design Fee'!CW39&gt;0,"✔","-")</f>
        <v>-</v>
      </c>
      <c r="BB37" s="209" t="str">
        <f>IF('Design Fee'!CX39&gt;0,"✔","-")</f>
        <v>-</v>
      </c>
      <c r="BC37" s="211"/>
      <c r="BD37" s="209" t="str">
        <f>IF('Design Fee'!CZ39&gt;0,"✔","-")</f>
        <v>-</v>
      </c>
      <c r="BE37" s="209" t="str">
        <f>IF('Design Fee'!DA39&gt;0,"✔","-")</f>
        <v>-</v>
      </c>
      <c r="BF37" s="209" t="str">
        <f>IF('Design Fee'!DB39&gt;0,"✔","-")</f>
        <v>-</v>
      </c>
      <c r="BG37" s="209" t="str">
        <f>IF('Design Fee'!DC39&gt;0,"✔","-")</f>
        <v>-</v>
      </c>
      <c r="BH37" s="209" t="str">
        <f>IF('Design Fee'!DD39&gt;0,"✔","-")</f>
        <v>-</v>
      </c>
      <c r="BI37" s="211"/>
      <c r="BJ37" s="190" t="str">
        <f>BL37</f>
        <v>✔</v>
      </c>
      <c r="BK37" s="208"/>
      <c r="BL37" s="190" t="str">
        <f>IF('Design Fee'!EA39&gt;0,"✔","-")</f>
        <v>✔</v>
      </c>
      <c r="BM37" s="190" t="str">
        <f>IF('Design Fee'!EB39&gt;0,"✔","-")</f>
        <v>✔</v>
      </c>
      <c r="BN37" s="191" t="str">
        <f>IF('Design Fee'!EC39&gt;0,"✔","-")</f>
        <v>✔</v>
      </c>
      <c r="BO37" s="209" t="str">
        <f>IF('Design Fee'!ED39&gt;0,"✔","-")</f>
        <v>-</v>
      </c>
      <c r="BP37" s="209" t="str">
        <f>IF('Design Fee'!EE39&gt;0,"✔","-")</f>
        <v>-</v>
      </c>
      <c r="BQ37" s="209" t="str">
        <f>IF('Design Fee'!EF39&gt;0,"✔","-")</f>
        <v>-</v>
      </c>
      <c r="BR37" s="209" t="str">
        <f>IF('Design Fee'!EG39&gt;0,"✔","-")</f>
        <v>-</v>
      </c>
      <c r="BS37" s="209" t="str">
        <f>IF('Design Fee'!EH39&gt;0,"✔","-")</f>
        <v>-</v>
      </c>
      <c r="BT37" s="137"/>
      <c r="BU37" s="209" t="str">
        <f>IF('Design Fee'!EJ39&gt;0,"✔","-")</f>
        <v>-</v>
      </c>
      <c r="BV37" s="209" t="str">
        <f>IF('Design Fee'!EK39&gt;0,"✔","-")</f>
        <v>-</v>
      </c>
      <c r="BW37" s="209" t="str">
        <f>IF('Design Fee'!EL39&gt;0,"✔","-")</f>
        <v>-</v>
      </c>
      <c r="BX37" s="209" t="str">
        <f>IF('Design Fee'!EM39&gt;0,"✔","-")</f>
        <v>-</v>
      </c>
      <c r="BY37" s="209" t="str">
        <f>IF('Design Fee'!EN39&gt;0,"✔","-")</f>
        <v>-</v>
      </c>
      <c r="BZ37" s="137"/>
    </row>
    <row r="38" spans="2:78" ht="13.35" hidden="1" customHeight="1" outlineLevel="2">
      <c r="B38" s="193"/>
      <c r="C38" s="193">
        <v>1</v>
      </c>
      <c r="D38" s="194" t="s">
        <v>43</v>
      </c>
      <c r="E38" s="137"/>
      <c r="F38" s="197"/>
      <c r="G38" s="198"/>
      <c r="H38" s="198"/>
      <c r="I38" s="198"/>
      <c r="J38" s="184"/>
      <c r="K38" s="195"/>
      <c r="L38" s="196"/>
      <c r="M38" s="197" t="str">
        <f>IF('Design Fee'!W40&gt;0,"✔","-")</f>
        <v>-</v>
      </c>
      <c r="N38" s="197" t="str">
        <f>IF('Design Fee'!X40&gt;0,"✔","-")</f>
        <v>-</v>
      </c>
      <c r="O38" s="198" t="str">
        <f>IF('Design Fee'!Y40&gt;0,"✔","-")</f>
        <v>-</v>
      </c>
      <c r="P38" s="198" t="str">
        <f>IF('Design Fee'!Z40&gt;0,"✔","-")</f>
        <v>-</v>
      </c>
      <c r="Q38" s="198" t="str">
        <f>IF('Design Fee'!AA40&gt;0,"✔","-")</f>
        <v>-</v>
      </c>
      <c r="R38" s="198" t="str">
        <f>IF('Design Fee'!AB40&gt;0,"✔","-")</f>
        <v>-</v>
      </c>
      <c r="S38" s="198" t="str">
        <f>IF('Design Fee'!AC40&gt;0,"✔","-")</f>
        <v>-</v>
      </c>
      <c r="T38" s="198" t="str">
        <f>IF('Design Fee'!AD40&gt;0,"✔","-")</f>
        <v>-</v>
      </c>
      <c r="U38" s="184"/>
      <c r="V38" s="198" t="str">
        <f>IF('Design Fee'!AF40&gt;0,"✔","-")</f>
        <v>-</v>
      </c>
      <c r="W38" s="198" t="str">
        <f>IF('Design Fee'!AG40&gt;0,"✔","-")</f>
        <v>-</v>
      </c>
      <c r="X38" s="198" t="str">
        <f>IF('Design Fee'!AH40&gt;0,"✔","-")</f>
        <v>-</v>
      </c>
      <c r="Y38" s="198" t="str">
        <f>IF('Design Fee'!AI40&gt;0,"✔","-")</f>
        <v>-</v>
      </c>
      <c r="Z38" s="198" t="str">
        <f>IF('Design Fee'!AJ40&gt;0,"✔","-")</f>
        <v>-</v>
      </c>
      <c r="AA38" s="184"/>
      <c r="AB38" s="195"/>
      <c r="AC38" s="196"/>
      <c r="AD38" s="197" t="str">
        <f>IF('Design Fee'!BG40&gt;0,"✔","-")</f>
        <v>-</v>
      </c>
      <c r="AE38" s="197" t="str">
        <f>IF('Design Fee'!BH40&gt;0,"✔","-")</f>
        <v>-</v>
      </c>
      <c r="AF38" s="198" t="str">
        <f>IF('Design Fee'!BI40&gt;0,"✔","-")</f>
        <v>-</v>
      </c>
      <c r="AG38" s="198" t="str">
        <f>IF('Design Fee'!BJ40&gt;0,"✔","-")</f>
        <v>-</v>
      </c>
      <c r="AH38" s="198" t="str">
        <f>IF('Design Fee'!BK40&gt;0,"✔","-")</f>
        <v>-</v>
      </c>
      <c r="AI38" s="198" t="str">
        <f>IF('Design Fee'!BL40&gt;0,"✔","-")</f>
        <v>-</v>
      </c>
      <c r="AJ38" s="198" t="str">
        <f>IF('Design Fee'!BM40&gt;0,"✔","-")</f>
        <v>-</v>
      </c>
      <c r="AK38" s="198" t="str">
        <f>IF('Design Fee'!BN40&gt;0,"✔","-")</f>
        <v>-</v>
      </c>
      <c r="AL38" s="199"/>
      <c r="AM38" s="198" t="str">
        <f>IF('Design Fee'!BP40&gt;0,"✔","-")</f>
        <v>-</v>
      </c>
      <c r="AN38" s="198" t="str">
        <f>IF('Design Fee'!BQ40&gt;0,"✔","-")</f>
        <v>-</v>
      </c>
      <c r="AO38" s="198" t="str">
        <f>IF('Design Fee'!BR40&gt;0,"✔","-")</f>
        <v>-</v>
      </c>
      <c r="AP38" s="198" t="str">
        <f>IF('Design Fee'!BS40&gt;0,"✔","-")</f>
        <v>-</v>
      </c>
      <c r="AQ38" s="198" t="str">
        <f>IF('Design Fee'!BT40&gt;0,"✔","-")</f>
        <v>-</v>
      </c>
      <c r="AR38" s="199"/>
      <c r="AS38" s="195"/>
      <c r="AT38" s="196"/>
      <c r="AU38" s="197" t="str">
        <f>IF('Design Fee'!CQ40&gt;0,"✔","-")</f>
        <v>-</v>
      </c>
      <c r="AV38" s="197" t="str">
        <f>IF('Design Fee'!CR40&gt;0,"✔","-")</f>
        <v>-</v>
      </c>
      <c r="AW38" s="198" t="str">
        <f>IF('Design Fee'!CS40&gt;0,"✔","-")</f>
        <v>-</v>
      </c>
      <c r="AX38" s="198" t="str">
        <f>IF('Design Fee'!CT40&gt;0,"✔","-")</f>
        <v>-</v>
      </c>
      <c r="AY38" s="198" t="str">
        <f>IF('Design Fee'!CU40&gt;0,"✔","-")</f>
        <v>-</v>
      </c>
      <c r="AZ38" s="198" t="str">
        <f>IF('Design Fee'!CV40&gt;0,"✔","-")</f>
        <v>-</v>
      </c>
      <c r="BA38" s="198" t="str">
        <f>IF('Design Fee'!CW40&gt;0,"✔","-")</f>
        <v>-</v>
      </c>
      <c r="BB38" s="198" t="str">
        <f>IF('Design Fee'!CX40&gt;0,"✔","-")</f>
        <v>-</v>
      </c>
      <c r="BC38" s="199"/>
      <c r="BD38" s="198" t="str">
        <f>IF('Design Fee'!CZ40&gt;0,"✔","-")</f>
        <v>-</v>
      </c>
      <c r="BE38" s="198" t="str">
        <f>IF('Design Fee'!DA40&gt;0,"✔","-")</f>
        <v>-</v>
      </c>
      <c r="BF38" s="198" t="str">
        <f>IF('Design Fee'!DB40&gt;0,"✔","-")</f>
        <v>-</v>
      </c>
      <c r="BG38" s="198" t="str">
        <f>IF('Design Fee'!DC40&gt;0,"✔","-")</f>
        <v>-</v>
      </c>
      <c r="BH38" s="198" t="str">
        <f>IF('Design Fee'!DD40&gt;0,"✔","-")</f>
        <v>-</v>
      </c>
      <c r="BI38" s="199"/>
      <c r="BJ38" s="195"/>
      <c r="BK38" s="196"/>
      <c r="BL38" s="197" t="str">
        <f>IF('Design Fee'!EA40&gt;0,"✔","-")</f>
        <v>-</v>
      </c>
      <c r="BM38" s="197" t="str">
        <f>IF('Design Fee'!EB40&gt;0,"✔","-")</f>
        <v>-</v>
      </c>
      <c r="BN38" s="198" t="str">
        <f>IF('Design Fee'!EC40&gt;0,"✔","-")</f>
        <v>-</v>
      </c>
      <c r="BO38" s="198" t="str">
        <f>IF('Design Fee'!ED40&gt;0,"✔","-")</f>
        <v>-</v>
      </c>
      <c r="BP38" s="198" t="str">
        <f>IF('Design Fee'!EE40&gt;0,"✔","-")</f>
        <v>-</v>
      </c>
      <c r="BQ38" s="198" t="str">
        <f>IF('Design Fee'!EF40&gt;0,"✔","-")</f>
        <v>-</v>
      </c>
      <c r="BR38" s="198" t="str">
        <f>IF('Design Fee'!EG40&gt;0,"✔","-")</f>
        <v>-</v>
      </c>
      <c r="BS38" s="198" t="str">
        <f>IF('Design Fee'!EH40&gt;0,"✔","-")</f>
        <v>-</v>
      </c>
      <c r="BT38" s="137"/>
      <c r="BU38" s="198" t="str">
        <f>IF('Design Fee'!EJ40&gt;0,"✔","-")</f>
        <v>-</v>
      </c>
      <c r="BV38" s="198" t="str">
        <f>IF('Design Fee'!EK40&gt;0,"✔","-")</f>
        <v>-</v>
      </c>
      <c r="BW38" s="198" t="str">
        <f>IF('Design Fee'!EL40&gt;0,"✔","-")</f>
        <v>-</v>
      </c>
      <c r="BX38" s="198" t="str">
        <f>IF('Design Fee'!EM40&gt;0,"✔","-")</f>
        <v>-</v>
      </c>
      <c r="BY38" s="198" t="str">
        <f>IF('Design Fee'!EN40&gt;0,"✔","-")</f>
        <v>-</v>
      </c>
      <c r="BZ38" s="137"/>
    </row>
    <row r="39" spans="2:78" ht="13.35" hidden="1" customHeight="1" outlineLevel="2">
      <c r="B39" s="193"/>
      <c r="C39" s="193">
        <v>2</v>
      </c>
      <c r="D39" s="194" t="s">
        <v>32</v>
      </c>
      <c r="E39" s="137"/>
      <c r="F39" s="197"/>
      <c r="G39" s="198"/>
      <c r="H39" s="198"/>
      <c r="I39" s="198"/>
      <c r="J39" s="184"/>
      <c r="K39" s="195"/>
      <c r="L39" s="196"/>
      <c r="M39" s="197" t="str">
        <f>IF('Design Fee'!W41&gt;0,"✔","-")</f>
        <v>-</v>
      </c>
      <c r="N39" s="197" t="str">
        <f>IF('Design Fee'!X41&gt;0,"✔","-")</f>
        <v>-</v>
      </c>
      <c r="O39" s="198" t="str">
        <f>IF('Design Fee'!Y41&gt;0,"✔","-")</f>
        <v>-</v>
      </c>
      <c r="P39" s="198" t="str">
        <f>IF('Design Fee'!Z41&gt;0,"✔","-")</f>
        <v>-</v>
      </c>
      <c r="Q39" s="198" t="str">
        <f>IF('Design Fee'!AA41&gt;0,"✔","-")</f>
        <v>-</v>
      </c>
      <c r="R39" s="198" t="str">
        <f>IF('Design Fee'!AB41&gt;0,"✔","-")</f>
        <v>-</v>
      </c>
      <c r="S39" s="198" t="str">
        <f>IF('Design Fee'!AC41&gt;0,"✔","-")</f>
        <v>-</v>
      </c>
      <c r="T39" s="198" t="str">
        <f>IF('Design Fee'!AD41&gt;0,"✔","-")</f>
        <v>-</v>
      </c>
      <c r="U39" s="184"/>
      <c r="V39" s="198" t="str">
        <f>IF('Design Fee'!AF41&gt;0,"✔","-")</f>
        <v>-</v>
      </c>
      <c r="W39" s="198" t="str">
        <f>IF('Design Fee'!AG41&gt;0,"✔","-")</f>
        <v>-</v>
      </c>
      <c r="X39" s="198" t="str">
        <f>IF('Design Fee'!AH41&gt;0,"✔","-")</f>
        <v>-</v>
      </c>
      <c r="Y39" s="198" t="str">
        <f>IF('Design Fee'!AI41&gt;0,"✔","-")</f>
        <v>-</v>
      </c>
      <c r="Z39" s="198" t="str">
        <f>IF('Design Fee'!AJ41&gt;0,"✔","-")</f>
        <v>-</v>
      </c>
      <c r="AA39" s="184"/>
      <c r="AB39" s="195"/>
      <c r="AC39" s="196"/>
      <c r="AD39" s="197" t="str">
        <f>IF('Design Fee'!BG41&gt;0,"✔","-")</f>
        <v>-</v>
      </c>
      <c r="AE39" s="197" t="str">
        <f>IF('Design Fee'!BH41&gt;0,"✔","-")</f>
        <v>-</v>
      </c>
      <c r="AF39" s="198" t="str">
        <f>IF('Design Fee'!BI41&gt;0,"✔","-")</f>
        <v>-</v>
      </c>
      <c r="AG39" s="198" t="str">
        <f>IF('Design Fee'!BJ41&gt;0,"✔","-")</f>
        <v>-</v>
      </c>
      <c r="AH39" s="198" t="str">
        <f>IF('Design Fee'!BK41&gt;0,"✔","-")</f>
        <v>-</v>
      </c>
      <c r="AI39" s="198" t="str">
        <f>IF('Design Fee'!BL41&gt;0,"✔","-")</f>
        <v>-</v>
      </c>
      <c r="AJ39" s="198" t="str">
        <f>IF('Design Fee'!BM41&gt;0,"✔","-")</f>
        <v>-</v>
      </c>
      <c r="AK39" s="198" t="str">
        <f>IF('Design Fee'!BN41&gt;0,"✔","-")</f>
        <v>-</v>
      </c>
      <c r="AL39" s="199"/>
      <c r="AM39" s="198" t="str">
        <f>IF('Design Fee'!BP41&gt;0,"✔","-")</f>
        <v>-</v>
      </c>
      <c r="AN39" s="198" t="str">
        <f>IF('Design Fee'!BQ41&gt;0,"✔","-")</f>
        <v>-</v>
      </c>
      <c r="AO39" s="198" t="str">
        <f>IF('Design Fee'!BR41&gt;0,"✔","-")</f>
        <v>-</v>
      </c>
      <c r="AP39" s="198" t="str">
        <f>IF('Design Fee'!BS41&gt;0,"✔","-")</f>
        <v>-</v>
      </c>
      <c r="AQ39" s="198" t="str">
        <f>IF('Design Fee'!BT41&gt;0,"✔","-")</f>
        <v>-</v>
      </c>
      <c r="AR39" s="199"/>
      <c r="AS39" s="195"/>
      <c r="AT39" s="196"/>
      <c r="AU39" s="197" t="str">
        <f>IF('Design Fee'!CQ41&gt;0,"✔","-")</f>
        <v>-</v>
      </c>
      <c r="AV39" s="197" t="str">
        <f>IF('Design Fee'!CR41&gt;0,"✔","-")</f>
        <v>-</v>
      </c>
      <c r="AW39" s="198" t="str">
        <f>IF('Design Fee'!CS41&gt;0,"✔","-")</f>
        <v>-</v>
      </c>
      <c r="AX39" s="198" t="str">
        <f>IF('Design Fee'!CT41&gt;0,"✔","-")</f>
        <v>-</v>
      </c>
      <c r="AY39" s="198" t="str">
        <f>IF('Design Fee'!CU41&gt;0,"✔","-")</f>
        <v>-</v>
      </c>
      <c r="AZ39" s="198" t="str">
        <f>IF('Design Fee'!CV41&gt;0,"✔","-")</f>
        <v>-</v>
      </c>
      <c r="BA39" s="198" t="str">
        <f>IF('Design Fee'!CW41&gt;0,"✔","-")</f>
        <v>-</v>
      </c>
      <c r="BB39" s="198" t="str">
        <f>IF('Design Fee'!CX41&gt;0,"✔","-")</f>
        <v>-</v>
      </c>
      <c r="BC39" s="199"/>
      <c r="BD39" s="198" t="str">
        <f>IF('Design Fee'!CZ41&gt;0,"✔","-")</f>
        <v>-</v>
      </c>
      <c r="BE39" s="198" t="str">
        <f>IF('Design Fee'!DA41&gt;0,"✔","-")</f>
        <v>-</v>
      </c>
      <c r="BF39" s="198" t="str">
        <f>IF('Design Fee'!DB41&gt;0,"✔","-")</f>
        <v>-</v>
      </c>
      <c r="BG39" s="198" t="str">
        <f>IF('Design Fee'!DC41&gt;0,"✔","-")</f>
        <v>-</v>
      </c>
      <c r="BH39" s="198" t="str">
        <f>IF('Design Fee'!DD41&gt;0,"✔","-")</f>
        <v>-</v>
      </c>
      <c r="BI39" s="199"/>
      <c r="BJ39" s="195"/>
      <c r="BK39" s="196"/>
      <c r="BL39" s="197" t="str">
        <f>IF('Design Fee'!EA41&gt;0,"✔","-")</f>
        <v>-</v>
      </c>
      <c r="BM39" s="197" t="str">
        <f>IF('Design Fee'!EB41&gt;0,"✔","-")</f>
        <v>-</v>
      </c>
      <c r="BN39" s="198" t="str">
        <f>IF('Design Fee'!EC41&gt;0,"✔","-")</f>
        <v>-</v>
      </c>
      <c r="BO39" s="198" t="str">
        <f>IF('Design Fee'!ED41&gt;0,"✔","-")</f>
        <v>-</v>
      </c>
      <c r="BP39" s="198" t="str">
        <f>IF('Design Fee'!EE41&gt;0,"✔","-")</f>
        <v>-</v>
      </c>
      <c r="BQ39" s="198" t="str">
        <f>IF('Design Fee'!EF41&gt;0,"✔","-")</f>
        <v>-</v>
      </c>
      <c r="BR39" s="198" t="str">
        <f>IF('Design Fee'!EG41&gt;0,"✔","-")</f>
        <v>-</v>
      </c>
      <c r="BS39" s="198" t="str">
        <f>IF('Design Fee'!EH41&gt;0,"✔","-")</f>
        <v>-</v>
      </c>
      <c r="BT39" s="137"/>
      <c r="BU39" s="198" t="str">
        <f>IF('Design Fee'!EJ41&gt;0,"✔","-")</f>
        <v>-</v>
      </c>
      <c r="BV39" s="198" t="str">
        <f>IF('Design Fee'!EK41&gt;0,"✔","-")</f>
        <v>-</v>
      </c>
      <c r="BW39" s="198" t="str">
        <f>IF('Design Fee'!EL41&gt;0,"✔","-")</f>
        <v>-</v>
      </c>
      <c r="BX39" s="198" t="str">
        <f>IF('Design Fee'!EM41&gt;0,"✔","-")</f>
        <v>-</v>
      </c>
      <c r="BY39" s="198" t="str">
        <f>IF('Design Fee'!EN41&gt;0,"✔","-")</f>
        <v>-</v>
      </c>
      <c r="BZ39" s="137"/>
    </row>
    <row r="40" spans="2:78" ht="13.35" hidden="1" customHeight="1" outlineLevel="2">
      <c r="B40" s="193"/>
      <c r="C40" s="193">
        <v>3</v>
      </c>
      <c r="D40" s="194" t="s">
        <v>33</v>
      </c>
      <c r="E40" s="137"/>
      <c r="F40" s="197"/>
      <c r="G40" s="198"/>
      <c r="H40" s="198"/>
      <c r="I40" s="198"/>
      <c r="J40" s="184"/>
      <c r="K40" s="195"/>
      <c r="L40" s="196"/>
      <c r="M40" s="197" t="str">
        <f>IF('Design Fee'!W42&gt;0,"✔","-")</f>
        <v>-</v>
      </c>
      <c r="N40" s="197" t="str">
        <f>IF('Design Fee'!X42&gt;0,"✔","-")</f>
        <v>-</v>
      </c>
      <c r="O40" s="198" t="str">
        <f>IF('Design Fee'!Y42&gt;0,"✔","-")</f>
        <v>-</v>
      </c>
      <c r="P40" s="198" t="str">
        <f>IF('Design Fee'!Z42&gt;0,"✔","-")</f>
        <v>-</v>
      </c>
      <c r="Q40" s="198" t="str">
        <f>IF('Design Fee'!AA42&gt;0,"✔","-")</f>
        <v>-</v>
      </c>
      <c r="R40" s="198" t="str">
        <f>IF('Design Fee'!AB42&gt;0,"✔","-")</f>
        <v>-</v>
      </c>
      <c r="S40" s="198" t="str">
        <f>IF('Design Fee'!AC42&gt;0,"✔","-")</f>
        <v>-</v>
      </c>
      <c r="T40" s="198" t="str">
        <f>IF('Design Fee'!AD42&gt;0,"✔","-")</f>
        <v>-</v>
      </c>
      <c r="U40" s="184"/>
      <c r="V40" s="198" t="str">
        <f>IF('Design Fee'!AF42&gt;0,"✔","-")</f>
        <v>-</v>
      </c>
      <c r="W40" s="198" t="str">
        <f>IF('Design Fee'!AG42&gt;0,"✔","-")</f>
        <v>-</v>
      </c>
      <c r="X40" s="198" t="str">
        <f>IF('Design Fee'!AH42&gt;0,"✔","-")</f>
        <v>-</v>
      </c>
      <c r="Y40" s="198" t="str">
        <f>IF('Design Fee'!AI42&gt;0,"✔","-")</f>
        <v>-</v>
      </c>
      <c r="Z40" s="198" t="str">
        <f>IF('Design Fee'!AJ42&gt;0,"✔","-")</f>
        <v>-</v>
      </c>
      <c r="AA40" s="184"/>
      <c r="AB40" s="195"/>
      <c r="AC40" s="196"/>
      <c r="AD40" s="197" t="str">
        <f>IF('Design Fee'!BG42&gt;0,"✔","-")</f>
        <v>-</v>
      </c>
      <c r="AE40" s="197" t="str">
        <f>IF('Design Fee'!BH42&gt;0,"✔","-")</f>
        <v>-</v>
      </c>
      <c r="AF40" s="198" t="str">
        <f>IF('Design Fee'!BI42&gt;0,"✔","-")</f>
        <v>-</v>
      </c>
      <c r="AG40" s="198" t="str">
        <f>IF('Design Fee'!BJ42&gt;0,"✔","-")</f>
        <v>-</v>
      </c>
      <c r="AH40" s="198" t="str">
        <f>IF('Design Fee'!BK42&gt;0,"✔","-")</f>
        <v>-</v>
      </c>
      <c r="AI40" s="198" t="str">
        <f>IF('Design Fee'!BL42&gt;0,"✔","-")</f>
        <v>-</v>
      </c>
      <c r="AJ40" s="198" t="str">
        <f>IF('Design Fee'!BM42&gt;0,"✔","-")</f>
        <v>-</v>
      </c>
      <c r="AK40" s="198" t="str">
        <f>IF('Design Fee'!BN42&gt;0,"✔","-")</f>
        <v>-</v>
      </c>
      <c r="AL40" s="199"/>
      <c r="AM40" s="198" t="str">
        <f>IF('Design Fee'!BP42&gt;0,"✔","-")</f>
        <v>-</v>
      </c>
      <c r="AN40" s="198" t="str">
        <f>IF('Design Fee'!BQ42&gt;0,"✔","-")</f>
        <v>-</v>
      </c>
      <c r="AO40" s="198" t="str">
        <f>IF('Design Fee'!BR42&gt;0,"✔","-")</f>
        <v>-</v>
      </c>
      <c r="AP40" s="198" t="str">
        <f>IF('Design Fee'!BS42&gt;0,"✔","-")</f>
        <v>-</v>
      </c>
      <c r="AQ40" s="198" t="str">
        <f>IF('Design Fee'!BT42&gt;0,"✔","-")</f>
        <v>-</v>
      </c>
      <c r="AR40" s="199"/>
      <c r="AS40" s="195"/>
      <c r="AT40" s="196"/>
      <c r="AU40" s="197" t="str">
        <f>IF('Design Fee'!CQ42&gt;0,"✔","-")</f>
        <v>-</v>
      </c>
      <c r="AV40" s="197" t="str">
        <f>IF('Design Fee'!CR42&gt;0,"✔","-")</f>
        <v>-</v>
      </c>
      <c r="AW40" s="198" t="str">
        <f>IF('Design Fee'!CS42&gt;0,"✔","-")</f>
        <v>-</v>
      </c>
      <c r="AX40" s="198" t="str">
        <f>IF('Design Fee'!CT42&gt;0,"✔","-")</f>
        <v>-</v>
      </c>
      <c r="AY40" s="198" t="str">
        <f>IF('Design Fee'!CU42&gt;0,"✔","-")</f>
        <v>-</v>
      </c>
      <c r="AZ40" s="198" t="str">
        <f>IF('Design Fee'!CV42&gt;0,"✔","-")</f>
        <v>-</v>
      </c>
      <c r="BA40" s="198" t="str">
        <f>IF('Design Fee'!CW42&gt;0,"✔","-")</f>
        <v>-</v>
      </c>
      <c r="BB40" s="198" t="str">
        <f>IF('Design Fee'!CX42&gt;0,"✔","-")</f>
        <v>-</v>
      </c>
      <c r="BC40" s="199"/>
      <c r="BD40" s="198" t="str">
        <f>IF('Design Fee'!CZ42&gt;0,"✔","-")</f>
        <v>-</v>
      </c>
      <c r="BE40" s="198" t="str">
        <f>IF('Design Fee'!DA42&gt;0,"✔","-")</f>
        <v>-</v>
      </c>
      <c r="BF40" s="198" t="str">
        <f>IF('Design Fee'!DB42&gt;0,"✔","-")</f>
        <v>-</v>
      </c>
      <c r="BG40" s="198" t="str">
        <f>IF('Design Fee'!DC42&gt;0,"✔","-")</f>
        <v>-</v>
      </c>
      <c r="BH40" s="198" t="str">
        <f>IF('Design Fee'!DD42&gt;0,"✔","-")</f>
        <v>-</v>
      </c>
      <c r="BI40" s="199"/>
      <c r="BJ40" s="195"/>
      <c r="BK40" s="196"/>
      <c r="BL40" s="197" t="str">
        <f>IF('Design Fee'!EA42&gt;0,"✔","-")</f>
        <v>-</v>
      </c>
      <c r="BM40" s="197" t="str">
        <f>IF('Design Fee'!EB42&gt;0,"✔","-")</f>
        <v>-</v>
      </c>
      <c r="BN40" s="198" t="str">
        <f>IF('Design Fee'!EC42&gt;0,"✔","-")</f>
        <v>-</v>
      </c>
      <c r="BO40" s="198" t="str">
        <f>IF('Design Fee'!ED42&gt;0,"✔","-")</f>
        <v>-</v>
      </c>
      <c r="BP40" s="198" t="str">
        <f>IF('Design Fee'!EE42&gt;0,"✔","-")</f>
        <v>-</v>
      </c>
      <c r="BQ40" s="198" t="str">
        <f>IF('Design Fee'!EF42&gt;0,"✔","-")</f>
        <v>-</v>
      </c>
      <c r="BR40" s="198" t="str">
        <f>IF('Design Fee'!EG42&gt;0,"✔","-")</f>
        <v>-</v>
      </c>
      <c r="BS40" s="198" t="str">
        <f>IF('Design Fee'!EH42&gt;0,"✔","-")</f>
        <v>-</v>
      </c>
      <c r="BT40" s="137"/>
      <c r="BU40" s="198" t="str">
        <f>IF('Design Fee'!EJ42&gt;0,"✔","-")</f>
        <v>-</v>
      </c>
      <c r="BV40" s="198" t="str">
        <f>IF('Design Fee'!EK42&gt;0,"✔","-")</f>
        <v>-</v>
      </c>
      <c r="BW40" s="198" t="str">
        <f>IF('Design Fee'!EL42&gt;0,"✔","-")</f>
        <v>-</v>
      </c>
      <c r="BX40" s="198" t="str">
        <f>IF('Design Fee'!EM42&gt;0,"✔","-")</f>
        <v>-</v>
      </c>
      <c r="BY40" s="198" t="str">
        <f>IF('Design Fee'!EN42&gt;0,"✔","-")</f>
        <v>-</v>
      </c>
      <c r="BZ40" s="137"/>
    </row>
    <row r="41" spans="2:78" ht="13.35" hidden="1" customHeight="1" outlineLevel="2">
      <c r="B41" s="193"/>
      <c r="C41" s="193">
        <v>4</v>
      </c>
      <c r="D41" s="194" t="s">
        <v>44</v>
      </c>
      <c r="E41" s="137"/>
      <c r="F41" s="197"/>
      <c r="G41" s="198"/>
      <c r="H41" s="198"/>
      <c r="I41" s="198"/>
      <c r="J41" s="207"/>
      <c r="K41" s="195"/>
      <c r="L41" s="196"/>
      <c r="M41" s="197" t="str">
        <f>IF('Design Fee'!W43&gt;0,"✔","-")</f>
        <v>-</v>
      </c>
      <c r="N41" s="197" t="str">
        <f>IF('Design Fee'!X43&gt;0,"✔","-")</f>
        <v>-</v>
      </c>
      <c r="O41" s="198" t="str">
        <f>IF('Design Fee'!Y43&gt;0,"✔","-")</f>
        <v>-</v>
      </c>
      <c r="P41" s="198" t="str">
        <f>IF('Design Fee'!Z43&gt;0,"✔","-")</f>
        <v>-</v>
      </c>
      <c r="Q41" s="198" t="str">
        <f>IF('Design Fee'!AA43&gt;0,"✔","-")</f>
        <v>-</v>
      </c>
      <c r="R41" s="198" t="str">
        <f>IF('Design Fee'!AB43&gt;0,"✔","-")</f>
        <v>-</v>
      </c>
      <c r="S41" s="198" t="str">
        <f>IF('Design Fee'!AC43&gt;0,"✔","-")</f>
        <v>-</v>
      </c>
      <c r="T41" s="198" t="str">
        <f>IF('Design Fee'!AD43&gt;0,"✔","-")</f>
        <v>-</v>
      </c>
      <c r="U41" s="207"/>
      <c r="V41" s="198" t="str">
        <f>IF('Design Fee'!AF43&gt;0,"✔","-")</f>
        <v>-</v>
      </c>
      <c r="W41" s="198" t="str">
        <f>IF('Design Fee'!AG43&gt;0,"✔","-")</f>
        <v>-</v>
      </c>
      <c r="X41" s="198" t="str">
        <f>IF('Design Fee'!AH43&gt;0,"✔","-")</f>
        <v>-</v>
      </c>
      <c r="Y41" s="198" t="str">
        <f>IF('Design Fee'!AI43&gt;0,"✔","-")</f>
        <v>-</v>
      </c>
      <c r="Z41" s="198" t="str">
        <f>IF('Design Fee'!AJ43&gt;0,"✔","-")</f>
        <v>-</v>
      </c>
      <c r="AA41" s="207"/>
      <c r="AB41" s="195"/>
      <c r="AC41" s="196"/>
      <c r="AD41" s="197" t="str">
        <f>IF('Design Fee'!BG43&gt;0,"✔","-")</f>
        <v>-</v>
      </c>
      <c r="AE41" s="197" t="str">
        <f>IF('Design Fee'!BH43&gt;0,"✔","-")</f>
        <v>-</v>
      </c>
      <c r="AF41" s="198" t="str">
        <f>IF('Design Fee'!BI43&gt;0,"✔","-")</f>
        <v>-</v>
      </c>
      <c r="AG41" s="198" t="str">
        <f>IF('Design Fee'!BJ43&gt;0,"✔","-")</f>
        <v>-</v>
      </c>
      <c r="AH41" s="198" t="str">
        <f>IF('Design Fee'!BK43&gt;0,"✔","-")</f>
        <v>-</v>
      </c>
      <c r="AI41" s="198" t="str">
        <f>IF('Design Fee'!BL43&gt;0,"✔","-")</f>
        <v>-</v>
      </c>
      <c r="AJ41" s="198" t="str">
        <f>IF('Design Fee'!BM43&gt;0,"✔","-")</f>
        <v>-</v>
      </c>
      <c r="AK41" s="198" t="str">
        <f>IF('Design Fee'!BN43&gt;0,"✔","-")</f>
        <v>-</v>
      </c>
      <c r="AL41" s="199"/>
      <c r="AM41" s="198" t="str">
        <f>IF('Design Fee'!BP43&gt;0,"✔","-")</f>
        <v>-</v>
      </c>
      <c r="AN41" s="198" t="str">
        <f>IF('Design Fee'!BQ43&gt;0,"✔","-")</f>
        <v>-</v>
      </c>
      <c r="AO41" s="198" t="str">
        <f>IF('Design Fee'!BR43&gt;0,"✔","-")</f>
        <v>-</v>
      </c>
      <c r="AP41" s="198" t="str">
        <f>IF('Design Fee'!BS43&gt;0,"✔","-")</f>
        <v>-</v>
      </c>
      <c r="AQ41" s="198" t="str">
        <f>IF('Design Fee'!BT43&gt;0,"✔","-")</f>
        <v>-</v>
      </c>
      <c r="AR41" s="199"/>
      <c r="AS41" s="195"/>
      <c r="AT41" s="196"/>
      <c r="AU41" s="197" t="str">
        <f>IF('Design Fee'!CQ43&gt;0,"✔","-")</f>
        <v>-</v>
      </c>
      <c r="AV41" s="197" t="str">
        <f>IF('Design Fee'!CR43&gt;0,"✔","-")</f>
        <v>-</v>
      </c>
      <c r="AW41" s="198" t="str">
        <f>IF('Design Fee'!CS43&gt;0,"✔","-")</f>
        <v>-</v>
      </c>
      <c r="AX41" s="198" t="str">
        <f>IF('Design Fee'!CT43&gt;0,"✔","-")</f>
        <v>-</v>
      </c>
      <c r="AY41" s="198" t="str">
        <f>IF('Design Fee'!CU43&gt;0,"✔","-")</f>
        <v>-</v>
      </c>
      <c r="AZ41" s="198" t="str">
        <f>IF('Design Fee'!CV43&gt;0,"✔","-")</f>
        <v>-</v>
      </c>
      <c r="BA41" s="198" t="str">
        <f>IF('Design Fee'!CW43&gt;0,"✔","-")</f>
        <v>-</v>
      </c>
      <c r="BB41" s="198" t="str">
        <f>IF('Design Fee'!CX43&gt;0,"✔","-")</f>
        <v>-</v>
      </c>
      <c r="BC41" s="199"/>
      <c r="BD41" s="198" t="str">
        <f>IF('Design Fee'!CZ43&gt;0,"✔","-")</f>
        <v>-</v>
      </c>
      <c r="BE41" s="198" t="str">
        <f>IF('Design Fee'!DA43&gt;0,"✔","-")</f>
        <v>-</v>
      </c>
      <c r="BF41" s="198" t="str">
        <f>IF('Design Fee'!DB43&gt;0,"✔","-")</f>
        <v>-</v>
      </c>
      <c r="BG41" s="198" t="str">
        <f>IF('Design Fee'!DC43&gt;0,"✔","-")</f>
        <v>-</v>
      </c>
      <c r="BH41" s="198" t="str">
        <f>IF('Design Fee'!DD43&gt;0,"✔","-")</f>
        <v>-</v>
      </c>
      <c r="BI41" s="199"/>
      <c r="BJ41" s="195"/>
      <c r="BK41" s="196"/>
      <c r="BL41" s="197" t="str">
        <f>IF('Design Fee'!EA43&gt;0,"✔","-")</f>
        <v>-</v>
      </c>
      <c r="BM41" s="197" t="str">
        <f>IF('Design Fee'!EB43&gt;0,"✔","-")</f>
        <v>-</v>
      </c>
      <c r="BN41" s="198" t="str">
        <f>IF('Design Fee'!EC43&gt;0,"✔","-")</f>
        <v>-</v>
      </c>
      <c r="BO41" s="198" t="str">
        <f>IF('Design Fee'!ED43&gt;0,"✔","-")</f>
        <v>-</v>
      </c>
      <c r="BP41" s="198" t="str">
        <f>IF('Design Fee'!EE43&gt;0,"✔","-")</f>
        <v>-</v>
      </c>
      <c r="BQ41" s="198" t="str">
        <f>IF('Design Fee'!EF43&gt;0,"✔","-")</f>
        <v>-</v>
      </c>
      <c r="BR41" s="198" t="str">
        <f>IF('Design Fee'!EG43&gt;0,"✔","-")</f>
        <v>-</v>
      </c>
      <c r="BS41" s="198" t="str">
        <f>IF('Design Fee'!EH43&gt;0,"✔","-")</f>
        <v>-</v>
      </c>
      <c r="BT41" s="137"/>
      <c r="BU41" s="198" t="str">
        <f>IF('Design Fee'!EJ43&gt;0,"✔","-")</f>
        <v>-</v>
      </c>
      <c r="BV41" s="198" t="str">
        <f>IF('Design Fee'!EK43&gt;0,"✔","-")</f>
        <v>-</v>
      </c>
      <c r="BW41" s="198" t="str">
        <f>IF('Design Fee'!EL43&gt;0,"✔","-")</f>
        <v>-</v>
      </c>
      <c r="BX41" s="198" t="str">
        <f>IF('Design Fee'!EM43&gt;0,"✔","-")</f>
        <v>-</v>
      </c>
      <c r="BY41" s="198" t="str">
        <f>IF('Design Fee'!EN43&gt;0,"✔","-")</f>
        <v>-</v>
      </c>
      <c r="BZ41" s="137"/>
    </row>
    <row r="42" spans="2:78" ht="13.35" hidden="1" customHeight="1" outlineLevel="2">
      <c r="B42" s="193"/>
      <c r="C42" s="193">
        <v>5</v>
      </c>
      <c r="D42" s="194" t="s">
        <v>45</v>
      </c>
      <c r="E42" s="137"/>
      <c r="F42" s="197"/>
      <c r="G42" s="198"/>
      <c r="H42" s="198"/>
      <c r="I42" s="198"/>
      <c r="J42" s="207"/>
      <c r="K42" s="195"/>
      <c r="L42" s="196"/>
      <c r="M42" s="197" t="str">
        <f>IF('Design Fee'!W44&gt;0,"✔","-")</f>
        <v>-</v>
      </c>
      <c r="N42" s="197" t="str">
        <f>IF('Design Fee'!X44&gt;0,"✔","-")</f>
        <v>-</v>
      </c>
      <c r="O42" s="198" t="str">
        <f>IF('Design Fee'!Y44&gt;0,"✔","-")</f>
        <v>-</v>
      </c>
      <c r="P42" s="198" t="str">
        <f>IF('Design Fee'!Z44&gt;0,"✔","-")</f>
        <v>-</v>
      </c>
      <c r="Q42" s="198" t="str">
        <f>IF('Design Fee'!AA44&gt;0,"✔","-")</f>
        <v>-</v>
      </c>
      <c r="R42" s="198" t="str">
        <f>IF('Design Fee'!AB44&gt;0,"✔","-")</f>
        <v>-</v>
      </c>
      <c r="S42" s="198" t="str">
        <f>IF('Design Fee'!AC44&gt;0,"✔","-")</f>
        <v>-</v>
      </c>
      <c r="T42" s="198" t="str">
        <f>IF('Design Fee'!AD44&gt;0,"✔","-")</f>
        <v>-</v>
      </c>
      <c r="U42" s="207"/>
      <c r="V42" s="198" t="str">
        <f>IF('Design Fee'!AF44&gt;0,"✔","-")</f>
        <v>-</v>
      </c>
      <c r="W42" s="198" t="str">
        <f>IF('Design Fee'!AG44&gt;0,"✔","-")</f>
        <v>-</v>
      </c>
      <c r="X42" s="198" t="str">
        <f>IF('Design Fee'!AH44&gt;0,"✔","-")</f>
        <v>-</v>
      </c>
      <c r="Y42" s="198" t="str">
        <f>IF('Design Fee'!AI44&gt;0,"✔","-")</f>
        <v>-</v>
      </c>
      <c r="Z42" s="198" t="str">
        <f>IF('Design Fee'!AJ44&gt;0,"✔","-")</f>
        <v>-</v>
      </c>
      <c r="AA42" s="207"/>
      <c r="AB42" s="195"/>
      <c r="AC42" s="196"/>
      <c r="AD42" s="197" t="str">
        <f>IF('Design Fee'!BG44&gt;0,"✔","-")</f>
        <v>-</v>
      </c>
      <c r="AE42" s="197" t="str">
        <f>IF('Design Fee'!BH44&gt;0,"✔","-")</f>
        <v>-</v>
      </c>
      <c r="AF42" s="198" t="str">
        <f>IF('Design Fee'!BI44&gt;0,"✔","-")</f>
        <v>-</v>
      </c>
      <c r="AG42" s="198" t="str">
        <f>IF('Design Fee'!BJ44&gt;0,"✔","-")</f>
        <v>-</v>
      </c>
      <c r="AH42" s="198" t="str">
        <f>IF('Design Fee'!BK44&gt;0,"✔","-")</f>
        <v>-</v>
      </c>
      <c r="AI42" s="198" t="str">
        <f>IF('Design Fee'!BL44&gt;0,"✔","-")</f>
        <v>-</v>
      </c>
      <c r="AJ42" s="198" t="str">
        <f>IF('Design Fee'!BM44&gt;0,"✔","-")</f>
        <v>-</v>
      </c>
      <c r="AK42" s="198" t="str">
        <f>IF('Design Fee'!BN44&gt;0,"✔","-")</f>
        <v>-</v>
      </c>
      <c r="AL42" s="199"/>
      <c r="AM42" s="198" t="str">
        <f>IF('Design Fee'!BP44&gt;0,"✔","-")</f>
        <v>-</v>
      </c>
      <c r="AN42" s="198" t="str">
        <f>IF('Design Fee'!BQ44&gt;0,"✔","-")</f>
        <v>-</v>
      </c>
      <c r="AO42" s="198" t="str">
        <f>IF('Design Fee'!BR44&gt;0,"✔","-")</f>
        <v>-</v>
      </c>
      <c r="AP42" s="198" t="str">
        <f>IF('Design Fee'!BS44&gt;0,"✔","-")</f>
        <v>-</v>
      </c>
      <c r="AQ42" s="198" t="str">
        <f>IF('Design Fee'!BT44&gt;0,"✔","-")</f>
        <v>-</v>
      </c>
      <c r="AR42" s="199"/>
      <c r="AS42" s="195"/>
      <c r="AT42" s="196"/>
      <c r="AU42" s="197" t="str">
        <f>IF('Design Fee'!CQ44&gt;0,"✔","-")</f>
        <v>-</v>
      </c>
      <c r="AV42" s="197" t="str">
        <f>IF('Design Fee'!CR44&gt;0,"✔","-")</f>
        <v>-</v>
      </c>
      <c r="AW42" s="198" t="str">
        <f>IF('Design Fee'!CS44&gt;0,"✔","-")</f>
        <v>-</v>
      </c>
      <c r="AX42" s="198" t="str">
        <f>IF('Design Fee'!CT44&gt;0,"✔","-")</f>
        <v>-</v>
      </c>
      <c r="AY42" s="198" t="str">
        <f>IF('Design Fee'!CU44&gt;0,"✔","-")</f>
        <v>-</v>
      </c>
      <c r="AZ42" s="198" t="str">
        <f>IF('Design Fee'!CV44&gt;0,"✔","-")</f>
        <v>-</v>
      </c>
      <c r="BA42" s="198" t="str">
        <f>IF('Design Fee'!CW44&gt;0,"✔","-")</f>
        <v>-</v>
      </c>
      <c r="BB42" s="198" t="str">
        <f>IF('Design Fee'!CX44&gt;0,"✔","-")</f>
        <v>-</v>
      </c>
      <c r="BC42" s="199"/>
      <c r="BD42" s="198" t="str">
        <f>IF('Design Fee'!CZ44&gt;0,"✔","-")</f>
        <v>-</v>
      </c>
      <c r="BE42" s="198" t="str">
        <f>IF('Design Fee'!DA44&gt;0,"✔","-")</f>
        <v>-</v>
      </c>
      <c r="BF42" s="198" t="str">
        <f>IF('Design Fee'!DB44&gt;0,"✔","-")</f>
        <v>-</v>
      </c>
      <c r="BG42" s="198" t="str">
        <f>IF('Design Fee'!DC44&gt;0,"✔","-")</f>
        <v>-</v>
      </c>
      <c r="BH42" s="198" t="str">
        <f>IF('Design Fee'!DD44&gt;0,"✔","-")</f>
        <v>-</v>
      </c>
      <c r="BI42" s="199"/>
      <c r="BJ42" s="195"/>
      <c r="BK42" s="196"/>
      <c r="BL42" s="197" t="str">
        <f>IF('Design Fee'!EA44&gt;0,"✔","-")</f>
        <v>-</v>
      </c>
      <c r="BM42" s="197" t="str">
        <f>IF('Design Fee'!EB44&gt;0,"✔","-")</f>
        <v>-</v>
      </c>
      <c r="BN42" s="198" t="str">
        <f>IF('Design Fee'!EC44&gt;0,"✔","-")</f>
        <v>-</v>
      </c>
      <c r="BO42" s="198" t="str">
        <f>IF('Design Fee'!ED44&gt;0,"✔","-")</f>
        <v>-</v>
      </c>
      <c r="BP42" s="198" t="str">
        <f>IF('Design Fee'!EE44&gt;0,"✔","-")</f>
        <v>-</v>
      </c>
      <c r="BQ42" s="198" t="str">
        <f>IF('Design Fee'!EF44&gt;0,"✔","-")</f>
        <v>-</v>
      </c>
      <c r="BR42" s="198" t="str">
        <f>IF('Design Fee'!EG44&gt;0,"✔","-")</f>
        <v>-</v>
      </c>
      <c r="BS42" s="198" t="str">
        <f>IF('Design Fee'!EH44&gt;0,"✔","-")</f>
        <v>-</v>
      </c>
      <c r="BT42" s="137"/>
      <c r="BU42" s="198" t="str">
        <f>IF('Design Fee'!EJ44&gt;0,"✔","-")</f>
        <v>-</v>
      </c>
      <c r="BV42" s="198" t="str">
        <f>IF('Design Fee'!EK44&gt;0,"✔","-")</f>
        <v>-</v>
      </c>
      <c r="BW42" s="198" t="str">
        <f>IF('Design Fee'!EL44&gt;0,"✔","-")</f>
        <v>-</v>
      </c>
      <c r="BX42" s="198" t="str">
        <f>IF('Design Fee'!EM44&gt;0,"✔","-")</f>
        <v>-</v>
      </c>
      <c r="BY42" s="198" t="str">
        <f>IF('Design Fee'!EN44&gt;0,"✔","-")</f>
        <v>-</v>
      </c>
      <c r="BZ42" s="137"/>
    </row>
    <row r="43" spans="2:78" ht="13.35" hidden="1" customHeight="1" outlineLevel="2">
      <c r="B43" s="193"/>
      <c r="C43" s="193">
        <v>6</v>
      </c>
      <c r="D43" s="194" t="s">
        <v>46</v>
      </c>
      <c r="E43" s="137"/>
      <c r="F43" s="197"/>
      <c r="G43" s="198"/>
      <c r="H43" s="198"/>
      <c r="I43" s="198"/>
      <c r="J43" s="207"/>
      <c r="K43" s="203"/>
      <c r="L43" s="196"/>
      <c r="M43" s="197" t="str">
        <f>IF('Design Fee'!W45&gt;0,"✔","-")</f>
        <v>-</v>
      </c>
      <c r="N43" s="197" t="str">
        <f>IF('Design Fee'!X45&gt;0,"✔","-")</f>
        <v>-</v>
      </c>
      <c r="O43" s="198" t="str">
        <f>IF('Design Fee'!Y45&gt;0,"✔","-")</f>
        <v>-</v>
      </c>
      <c r="P43" s="198" t="str">
        <f>IF('Design Fee'!Z45&gt;0,"✔","-")</f>
        <v>-</v>
      </c>
      <c r="Q43" s="198" t="str">
        <f>IF('Design Fee'!AA45&gt;0,"✔","-")</f>
        <v>-</v>
      </c>
      <c r="R43" s="198" t="str">
        <f>IF('Design Fee'!AB45&gt;0,"✔","-")</f>
        <v>-</v>
      </c>
      <c r="S43" s="198" t="str">
        <f>IF('Design Fee'!AC45&gt;0,"✔","-")</f>
        <v>-</v>
      </c>
      <c r="T43" s="198" t="str">
        <f>IF('Design Fee'!AD45&gt;0,"✔","-")</f>
        <v>-</v>
      </c>
      <c r="U43" s="207"/>
      <c r="V43" s="198" t="str">
        <f>IF('Design Fee'!AF45&gt;0,"✔","-")</f>
        <v>-</v>
      </c>
      <c r="W43" s="198" t="str">
        <f>IF('Design Fee'!AG45&gt;0,"✔","-")</f>
        <v>-</v>
      </c>
      <c r="X43" s="198" t="str">
        <f>IF('Design Fee'!AH45&gt;0,"✔","-")</f>
        <v>-</v>
      </c>
      <c r="Y43" s="198" t="str">
        <f>IF('Design Fee'!AI45&gt;0,"✔","-")</f>
        <v>-</v>
      </c>
      <c r="Z43" s="198" t="str">
        <f>IF('Design Fee'!AJ45&gt;0,"✔","-")</f>
        <v>-</v>
      </c>
      <c r="AA43" s="207"/>
      <c r="AB43" s="203"/>
      <c r="AC43" s="196"/>
      <c r="AD43" s="197" t="str">
        <f>IF('Design Fee'!BG45&gt;0,"✔","-")</f>
        <v>-</v>
      </c>
      <c r="AE43" s="197" t="str">
        <f>IF('Design Fee'!BH45&gt;0,"✔","-")</f>
        <v>-</v>
      </c>
      <c r="AF43" s="198" t="str">
        <f>IF('Design Fee'!BI45&gt;0,"✔","-")</f>
        <v>-</v>
      </c>
      <c r="AG43" s="198" t="str">
        <f>IF('Design Fee'!BJ45&gt;0,"✔","-")</f>
        <v>-</v>
      </c>
      <c r="AH43" s="198" t="str">
        <f>IF('Design Fee'!BK45&gt;0,"✔","-")</f>
        <v>-</v>
      </c>
      <c r="AI43" s="198" t="str">
        <f>IF('Design Fee'!BL45&gt;0,"✔","-")</f>
        <v>-</v>
      </c>
      <c r="AJ43" s="198" t="str">
        <f>IF('Design Fee'!BM45&gt;0,"✔","-")</f>
        <v>-</v>
      </c>
      <c r="AK43" s="198" t="str">
        <f>IF('Design Fee'!BN45&gt;0,"✔","-")</f>
        <v>-</v>
      </c>
      <c r="AL43" s="199"/>
      <c r="AM43" s="198" t="str">
        <f>IF('Design Fee'!BP45&gt;0,"✔","-")</f>
        <v>-</v>
      </c>
      <c r="AN43" s="198" t="str">
        <f>IF('Design Fee'!BQ45&gt;0,"✔","-")</f>
        <v>-</v>
      </c>
      <c r="AO43" s="198" t="str">
        <f>IF('Design Fee'!BR45&gt;0,"✔","-")</f>
        <v>-</v>
      </c>
      <c r="AP43" s="198" t="str">
        <f>IF('Design Fee'!BS45&gt;0,"✔","-")</f>
        <v>-</v>
      </c>
      <c r="AQ43" s="198" t="str">
        <f>IF('Design Fee'!BT45&gt;0,"✔","-")</f>
        <v>-</v>
      </c>
      <c r="AR43" s="199"/>
      <c r="AS43" s="203"/>
      <c r="AT43" s="196"/>
      <c r="AU43" s="197" t="str">
        <f>IF('Design Fee'!CQ45&gt;0,"✔","-")</f>
        <v>-</v>
      </c>
      <c r="AV43" s="197" t="str">
        <f>IF('Design Fee'!CR45&gt;0,"✔","-")</f>
        <v>-</v>
      </c>
      <c r="AW43" s="198" t="str">
        <f>IF('Design Fee'!CS45&gt;0,"✔","-")</f>
        <v>-</v>
      </c>
      <c r="AX43" s="198" t="str">
        <f>IF('Design Fee'!CT45&gt;0,"✔","-")</f>
        <v>-</v>
      </c>
      <c r="AY43" s="198" t="str">
        <f>IF('Design Fee'!CU45&gt;0,"✔","-")</f>
        <v>-</v>
      </c>
      <c r="AZ43" s="198" t="str">
        <f>IF('Design Fee'!CV45&gt;0,"✔","-")</f>
        <v>-</v>
      </c>
      <c r="BA43" s="198" t="str">
        <f>IF('Design Fee'!CW45&gt;0,"✔","-")</f>
        <v>-</v>
      </c>
      <c r="BB43" s="198" t="str">
        <f>IF('Design Fee'!CX45&gt;0,"✔","-")</f>
        <v>-</v>
      </c>
      <c r="BC43" s="199"/>
      <c r="BD43" s="198" t="str">
        <f>IF('Design Fee'!CZ45&gt;0,"✔","-")</f>
        <v>-</v>
      </c>
      <c r="BE43" s="198" t="str">
        <f>IF('Design Fee'!DA45&gt;0,"✔","-")</f>
        <v>-</v>
      </c>
      <c r="BF43" s="198" t="str">
        <f>IF('Design Fee'!DB45&gt;0,"✔","-")</f>
        <v>-</v>
      </c>
      <c r="BG43" s="198" t="str">
        <f>IF('Design Fee'!DC45&gt;0,"✔","-")</f>
        <v>-</v>
      </c>
      <c r="BH43" s="198" t="str">
        <f>IF('Design Fee'!DD45&gt;0,"✔","-")</f>
        <v>-</v>
      </c>
      <c r="BI43" s="199"/>
      <c r="BJ43" s="203"/>
      <c r="BK43" s="196"/>
      <c r="BL43" s="197" t="str">
        <f>IF('Design Fee'!EA45&gt;0,"✔","-")</f>
        <v>-</v>
      </c>
      <c r="BM43" s="197" t="str">
        <f>IF('Design Fee'!EB45&gt;0,"✔","-")</f>
        <v>-</v>
      </c>
      <c r="BN43" s="198" t="str">
        <f>IF('Design Fee'!EC45&gt;0,"✔","-")</f>
        <v>-</v>
      </c>
      <c r="BO43" s="198" t="str">
        <f>IF('Design Fee'!ED45&gt;0,"✔","-")</f>
        <v>-</v>
      </c>
      <c r="BP43" s="198" t="str">
        <f>IF('Design Fee'!EE45&gt;0,"✔","-")</f>
        <v>-</v>
      </c>
      <c r="BQ43" s="198" t="str">
        <f>IF('Design Fee'!EF45&gt;0,"✔","-")</f>
        <v>-</v>
      </c>
      <c r="BR43" s="198" t="str">
        <f>IF('Design Fee'!EG45&gt;0,"✔","-")</f>
        <v>-</v>
      </c>
      <c r="BS43" s="198" t="str">
        <f>IF('Design Fee'!EH45&gt;0,"✔","-")</f>
        <v>-</v>
      </c>
      <c r="BT43" s="137"/>
      <c r="BU43" s="198" t="str">
        <f>IF('Design Fee'!EJ45&gt;0,"✔","-")</f>
        <v>-</v>
      </c>
      <c r="BV43" s="198" t="str">
        <f>IF('Design Fee'!EK45&gt;0,"✔","-")</f>
        <v>-</v>
      </c>
      <c r="BW43" s="198" t="str">
        <f>IF('Design Fee'!EL45&gt;0,"✔","-")</f>
        <v>-</v>
      </c>
      <c r="BX43" s="198" t="str">
        <f>IF('Design Fee'!EM45&gt;0,"✔","-")</f>
        <v>-</v>
      </c>
      <c r="BY43" s="198" t="str">
        <f>IF('Design Fee'!EN45&gt;0,"✔","-")</f>
        <v>-</v>
      </c>
      <c r="BZ43" s="137"/>
    </row>
    <row r="44" spans="2:78" ht="13.35" hidden="1" customHeight="1" outlineLevel="2">
      <c r="B44" s="193"/>
      <c r="C44" s="193">
        <v>7</v>
      </c>
      <c r="D44" s="194" t="s">
        <v>47</v>
      </c>
      <c r="E44" s="137"/>
      <c r="F44" s="197"/>
      <c r="G44" s="198"/>
      <c r="H44" s="198"/>
      <c r="I44" s="198"/>
      <c r="J44" s="207"/>
      <c r="K44" s="203"/>
      <c r="L44" s="196"/>
      <c r="M44" s="197" t="str">
        <f>IF('Design Fee'!W46&gt;0,"✔","-")</f>
        <v>-</v>
      </c>
      <c r="N44" s="197" t="str">
        <f>IF('Design Fee'!X46&gt;0,"✔","-")</f>
        <v>-</v>
      </c>
      <c r="O44" s="198" t="str">
        <f>IF('Design Fee'!Y46&gt;0,"✔","-")</f>
        <v>-</v>
      </c>
      <c r="P44" s="198" t="str">
        <f>IF('Design Fee'!Z46&gt;0,"✔","-")</f>
        <v>-</v>
      </c>
      <c r="Q44" s="198" t="str">
        <f>IF('Design Fee'!AA46&gt;0,"✔","-")</f>
        <v>-</v>
      </c>
      <c r="R44" s="198" t="str">
        <f>IF('Design Fee'!AB46&gt;0,"✔","-")</f>
        <v>-</v>
      </c>
      <c r="S44" s="198" t="str">
        <f>IF('Design Fee'!AC46&gt;0,"✔","-")</f>
        <v>-</v>
      </c>
      <c r="T44" s="198" t="str">
        <f>IF('Design Fee'!AD46&gt;0,"✔","-")</f>
        <v>-</v>
      </c>
      <c r="U44" s="207"/>
      <c r="V44" s="198" t="str">
        <f>IF('Design Fee'!AF46&gt;0,"✔","-")</f>
        <v>-</v>
      </c>
      <c r="W44" s="198" t="str">
        <f>IF('Design Fee'!AG46&gt;0,"✔","-")</f>
        <v>-</v>
      </c>
      <c r="X44" s="198" t="str">
        <f>IF('Design Fee'!AH46&gt;0,"✔","-")</f>
        <v>-</v>
      </c>
      <c r="Y44" s="198" t="str">
        <f>IF('Design Fee'!AI46&gt;0,"✔","-")</f>
        <v>-</v>
      </c>
      <c r="Z44" s="198" t="str">
        <f>IF('Design Fee'!AJ46&gt;0,"✔","-")</f>
        <v>-</v>
      </c>
      <c r="AA44" s="207"/>
      <c r="AB44" s="203"/>
      <c r="AC44" s="196"/>
      <c r="AD44" s="197" t="str">
        <f>IF('Design Fee'!BG46&gt;0,"✔","-")</f>
        <v>-</v>
      </c>
      <c r="AE44" s="197" t="str">
        <f>IF('Design Fee'!BH46&gt;0,"✔","-")</f>
        <v>-</v>
      </c>
      <c r="AF44" s="198" t="str">
        <f>IF('Design Fee'!BI46&gt;0,"✔","-")</f>
        <v>-</v>
      </c>
      <c r="AG44" s="198" t="str">
        <f>IF('Design Fee'!BJ46&gt;0,"✔","-")</f>
        <v>-</v>
      </c>
      <c r="AH44" s="198" t="str">
        <f>IF('Design Fee'!BK46&gt;0,"✔","-")</f>
        <v>-</v>
      </c>
      <c r="AI44" s="198" t="str">
        <f>IF('Design Fee'!BL46&gt;0,"✔","-")</f>
        <v>-</v>
      </c>
      <c r="AJ44" s="198" t="str">
        <f>IF('Design Fee'!BM46&gt;0,"✔","-")</f>
        <v>-</v>
      </c>
      <c r="AK44" s="198" t="str">
        <f>IF('Design Fee'!BN46&gt;0,"✔","-")</f>
        <v>-</v>
      </c>
      <c r="AL44" s="199"/>
      <c r="AM44" s="198" t="str">
        <f>IF('Design Fee'!BP46&gt;0,"✔","-")</f>
        <v>-</v>
      </c>
      <c r="AN44" s="198" t="str">
        <f>IF('Design Fee'!BQ46&gt;0,"✔","-")</f>
        <v>-</v>
      </c>
      <c r="AO44" s="198" t="str">
        <f>IF('Design Fee'!BR46&gt;0,"✔","-")</f>
        <v>-</v>
      </c>
      <c r="AP44" s="198" t="str">
        <f>IF('Design Fee'!BS46&gt;0,"✔","-")</f>
        <v>-</v>
      </c>
      <c r="AQ44" s="198" t="str">
        <f>IF('Design Fee'!BT46&gt;0,"✔","-")</f>
        <v>-</v>
      </c>
      <c r="AR44" s="199"/>
      <c r="AS44" s="203"/>
      <c r="AT44" s="196"/>
      <c r="AU44" s="197" t="str">
        <f>IF('Design Fee'!CQ46&gt;0,"✔","-")</f>
        <v>-</v>
      </c>
      <c r="AV44" s="197" t="str">
        <f>IF('Design Fee'!CR46&gt;0,"✔","-")</f>
        <v>-</v>
      </c>
      <c r="AW44" s="198" t="str">
        <f>IF('Design Fee'!CS46&gt;0,"✔","-")</f>
        <v>-</v>
      </c>
      <c r="AX44" s="198" t="str">
        <f>IF('Design Fee'!CT46&gt;0,"✔","-")</f>
        <v>-</v>
      </c>
      <c r="AY44" s="198" t="str">
        <f>IF('Design Fee'!CU46&gt;0,"✔","-")</f>
        <v>-</v>
      </c>
      <c r="AZ44" s="198" t="str">
        <f>IF('Design Fee'!CV46&gt;0,"✔","-")</f>
        <v>-</v>
      </c>
      <c r="BA44" s="198" t="str">
        <f>IF('Design Fee'!CW46&gt;0,"✔","-")</f>
        <v>-</v>
      </c>
      <c r="BB44" s="198" t="str">
        <f>IF('Design Fee'!CX46&gt;0,"✔","-")</f>
        <v>-</v>
      </c>
      <c r="BC44" s="199"/>
      <c r="BD44" s="198" t="str">
        <f>IF('Design Fee'!CZ46&gt;0,"✔","-")</f>
        <v>-</v>
      </c>
      <c r="BE44" s="198" t="str">
        <f>IF('Design Fee'!DA46&gt;0,"✔","-")</f>
        <v>-</v>
      </c>
      <c r="BF44" s="198" t="str">
        <f>IF('Design Fee'!DB46&gt;0,"✔","-")</f>
        <v>-</v>
      </c>
      <c r="BG44" s="198" t="str">
        <f>IF('Design Fee'!DC46&gt;0,"✔","-")</f>
        <v>-</v>
      </c>
      <c r="BH44" s="198" t="str">
        <f>IF('Design Fee'!DD46&gt;0,"✔","-")</f>
        <v>-</v>
      </c>
      <c r="BI44" s="199"/>
      <c r="BJ44" s="203"/>
      <c r="BK44" s="196"/>
      <c r="BL44" s="197" t="str">
        <f>IF('Design Fee'!EA46&gt;0,"✔","-")</f>
        <v>-</v>
      </c>
      <c r="BM44" s="197" t="str">
        <f>IF('Design Fee'!EB46&gt;0,"✔","-")</f>
        <v>-</v>
      </c>
      <c r="BN44" s="198" t="str">
        <f>IF('Design Fee'!EC46&gt;0,"✔","-")</f>
        <v>-</v>
      </c>
      <c r="BO44" s="198" t="str">
        <f>IF('Design Fee'!ED46&gt;0,"✔","-")</f>
        <v>-</v>
      </c>
      <c r="BP44" s="198" t="str">
        <f>IF('Design Fee'!EE46&gt;0,"✔","-")</f>
        <v>-</v>
      </c>
      <c r="BQ44" s="198" t="str">
        <f>IF('Design Fee'!EF46&gt;0,"✔","-")</f>
        <v>-</v>
      </c>
      <c r="BR44" s="198" t="str">
        <f>IF('Design Fee'!EG46&gt;0,"✔","-")</f>
        <v>-</v>
      </c>
      <c r="BS44" s="198" t="str">
        <f>IF('Design Fee'!EH46&gt;0,"✔","-")</f>
        <v>-</v>
      </c>
      <c r="BT44" s="137"/>
      <c r="BU44" s="198" t="str">
        <f>IF('Design Fee'!EJ46&gt;0,"✔","-")</f>
        <v>-</v>
      </c>
      <c r="BV44" s="198" t="str">
        <f>IF('Design Fee'!EK46&gt;0,"✔","-")</f>
        <v>-</v>
      </c>
      <c r="BW44" s="198" t="str">
        <f>IF('Design Fee'!EL46&gt;0,"✔","-")</f>
        <v>-</v>
      </c>
      <c r="BX44" s="198" t="str">
        <f>IF('Design Fee'!EM46&gt;0,"✔","-")</f>
        <v>-</v>
      </c>
      <c r="BY44" s="198" t="str">
        <f>IF('Design Fee'!EN46&gt;0,"✔","-")</f>
        <v>-</v>
      </c>
      <c r="BZ44" s="137"/>
    </row>
    <row r="45" spans="2:78" ht="13.35" hidden="1" customHeight="1" outlineLevel="2">
      <c r="B45" s="193"/>
      <c r="C45" s="193">
        <v>8</v>
      </c>
      <c r="D45" s="194" t="s">
        <v>48</v>
      </c>
      <c r="E45" s="137"/>
      <c r="F45" s="197"/>
      <c r="G45" s="198"/>
      <c r="H45" s="198"/>
      <c r="I45" s="198"/>
      <c r="J45" s="207"/>
      <c r="K45" s="203"/>
      <c r="L45" s="196"/>
      <c r="M45" s="197" t="str">
        <f>IF('Design Fee'!W47&gt;0,"✔","-")</f>
        <v>-</v>
      </c>
      <c r="N45" s="197" t="str">
        <f>IF('Design Fee'!X47&gt;0,"✔","-")</f>
        <v>-</v>
      </c>
      <c r="O45" s="198" t="str">
        <f>IF('Design Fee'!Y47&gt;0,"✔","-")</f>
        <v>-</v>
      </c>
      <c r="P45" s="198" t="str">
        <f>IF('Design Fee'!Z47&gt;0,"✔","-")</f>
        <v>-</v>
      </c>
      <c r="Q45" s="198" t="str">
        <f>IF('Design Fee'!AA47&gt;0,"✔","-")</f>
        <v>-</v>
      </c>
      <c r="R45" s="198" t="str">
        <f>IF('Design Fee'!AB47&gt;0,"✔","-")</f>
        <v>-</v>
      </c>
      <c r="S45" s="198" t="str">
        <f>IF('Design Fee'!AC47&gt;0,"✔","-")</f>
        <v>-</v>
      </c>
      <c r="T45" s="198" t="str">
        <f>IF('Design Fee'!AD47&gt;0,"✔","-")</f>
        <v>-</v>
      </c>
      <c r="U45" s="207"/>
      <c r="V45" s="198" t="str">
        <f>IF('Design Fee'!AF47&gt;0,"✔","-")</f>
        <v>-</v>
      </c>
      <c r="W45" s="198" t="str">
        <f>IF('Design Fee'!AG47&gt;0,"✔","-")</f>
        <v>-</v>
      </c>
      <c r="X45" s="198" t="str">
        <f>IF('Design Fee'!AH47&gt;0,"✔","-")</f>
        <v>-</v>
      </c>
      <c r="Y45" s="198" t="str">
        <f>IF('Design Fee'!AI47&gt;0,"✔","-")</f>
        <v>-</v>
      </c>
      <c r="Z45" s="198" t="str">
        <f>IF('Design Fee'!AJ47&gt;0,"✔","-")</f>
        <v>-</v>
      </c>
      <c r="AA45" s="207"/>
      <c r="AB45" s="203"/>
      <c r="AC45" s="196"/>
      <c r="AD45" s="197" t="str">
        <f>IF('Design Fee'!BG47&gt;0,"✔","-")</f>
        <v>-</v>
      </c>
      <c r="AE45" s="197" t="str">
        <f>IF('Design Fee'!BH47&gt;0,"✔","-")</f>
        <v>-</v>
      </c>
      <c r="AF45" s="198" t="str">
        <f>IF('Design Fee'!BI47&gt;0,"✔","-")</f>
        <v>-</v>
      </c>
      <c r="AG45" s="198" t="str">
        <f>IF('Design Fee'!BJ47&gt;0,"✔","-")</f>
        <v>-</v>
      </c>
      <c r="AH45" s="198" t="str">
        <f>IF('Design Fee'!BK47&gt;0,"✔","-")</f>
        <v>-</v>
      </c>
      <c r="AI45" s="198" t="str">
        <f>IF('Design Fee'!BL47&gt;0,"✔","-")</f>
        <v>-</v>
      </c>
      <c r="AJ45" s="198" t="str">
        <f>IF('Design Fee'!BM47&gt;0,"✔","-")</f>
        <v>-</v>
      </c>
      <c r="AK45" s="198" t="str">
        <f>IF('Design Fee'!BN47&gt;0,"✔","-")</f>
        <v>-</v>
      </c>
      <c r="AL45" s="199"/>
      <c r="AM45" s="198" t="str">
        <f>IF('Design Fee'!BP47&gt;0,"✔","-")</f>
        <v>-</v>
      </c>
      <c r="AN45" s="198" t="str">
        <f>IF('Design Fee'!BQ47&gt;0,"✔","-")</f>
        <v>-</v>
      </c>
      <c r="AO45" s="198" t="str">
        <f>IF('Design Fee'!BR47&gt;0,"✔","-")</f>
        <v>-</v>
      </c>
      <c r="AP45" s="198" t="str">
        <f>IF('Design Fee'!BS47&gt;0,"✔","-")</f>
        <v>-</v>
      </c>
      <c r="AQ45" s="198" t="str">
        <f>IF('Design Fee'!BT47&gt;0,"✔","-")</f>
        <v>-</v>
      </c>
      <c r="AR45" s="199"/>
      <c r="AS45" s="203"/>
      <c r="AT45" s="196"/>
      <c r="AU45" s="197" t="str">
        <f>IF('Design Fee'!CQ47&gt;0,"✔","-")</f>
        <v>-</v>
      </c>
      <c r="AV45" s="197" t="str">
        <f>IF('Design Fee'!CR47&gt;0,"✔","-")</f>
        <v>-</v>
      </c>
      <c r="AW45" s="198" t="str">
        <f>IF('Design Fee'!CS47&gt;0,"✔","-")</f>
        <v>-</v>
      </c>
      <c r="AX45" s="198" t="str">
        <f>IF('Design Fee'!CT47&gt;0,"✔","-")</f>
        <v>-</v>
      </c>
      <c r="AY45" s="198" t="str">
        <f>IF('Design Fee'!CU47&gt;0,"✔","-")</f>
        <v>-</v>
      </c>
      <c r="AZ45" s="198" t="str">
        <f>IF('Design Fee'!CV47&gt;0,"✔","-")</f>
        <v>-</v>
      </c>
      <c r="BA45" s="198" t="str">
        <f>IF('Design Fee'!CW47&gt;0,"✔","-")</f>
        <v>-</v>
      </c>
      <c r="BB45" s="198" t="str">
        <f>IF('Design Fee'!CX47&gt;0,"✔","-")</f>
        <v>-</v>
      </c>
      <c r="BC45" s="199"/>
      <c r="BD45" s="198" t="str">
        <f>IF('Design Fee'!CZ47&gt;0,"✔","-")</f>
        <v>-</v>
      </c>
      <c r="BE45" s="198" t="str">
        <f>IF('Design Fee'!DA47&gt;0,"✔","-")</f>
        <v>-</v>
      </c>
      <c r="BF45" s="198" t="str">
        <f>IF('Design Fee'!DB47&gt;0,"✔","-")</f>
        <v>-</v>
      </c>
      <c r="BG45" s="198" t="str">
        <f>IF('Design Fee'!DC47&gt;0,"✔","-")</f>
        <v>-</v>
      </c>
      <c r="BH45" s="198" t="str">
        <f>IF('Design Fee'!DD47&gt;0,"✔","-")</f>
        <v>-</v>
      </c>
      <c r="BI45" s="199"/>
      <c r="BJ45" s="203"/>
      <c r="BK45" s="196"/>
      <c r="BL45" s="197" t="str">
        <f>IF('Design Fee'!EA47&gt;0,"✔","-")</f>
        <v>-</v>
      </c>
      <c r="BM45" s="197" t="str">
        <f>IF('Design Fee'!EB47&gt;0,"✔","-")</f>
        <v>-</v>
      </c>
      <c r="BN45" s="198" t="str">
        <f>IF('Design Fee'!EC47&gt;0,"✔","-")</f>
        <v>-</v>
      </c>
      <c r="BO45" s="198" t="str">
        <f>IF('Design Fee'!ED47&gt;0,"✔","-")</f>
        <v>-</v>
      </c>
      <c r="BP45" s="198" t="str">
        <f>IF('Design Fee'!EE47&gt;0,"✔","-")</f>
        <v>-</v>
      </c>
      <c r="BQ45" s="198" t="str">
        <f>IF('Design Fee'!EF47&gt;0,"✔","-")</f>
        <v>-</v>
      </c>
      <c r="BR45" s="198" t="str">
        <f>IF('Design Fee'!EG47&gt;0,"✔","-")</f>
        <v>-</v>
      </c>
      <c r="BS45" s="198" t="str">
        <f>IF('Design Fee'!EH47&gt;0,"✔","-")</f>
        <v>-</v>
      </c>
      <c r="BT45" s="137"/>
      <c r="BU45" s="198" t="str">
        <f>IF('Design Fee'!EJ47&gt;0,"✔","-")</f>
        <v>-</v>
      </c>
      <c r="BV45" s="198" t="str">
        <f>IF('Design Fee'!EK47&gt;0,"✔","-")</f>
        <v>-</v>
      </c>
      <c r="BW45" s="198" t="str">
        <f>IF('Design Fee'!EL47&gt;0,"✔","-")</f>
        <v>-</v>
      </c>
      <c r="BX45" s="198" t="str">
        <f>IF('Design Fee'!EM47&gt;0,"✔","-")</f>
        <v>-</v>
      </c>
      <c r="BY45" s="198" t="str">
        <f>IF('Design Fee'!EN47&gt;0,"✔","-")</f>
        <v>-</v>
      </c>
      <c r="BZ45" s="137"/>
    </row>
    <row r="46" spans="2:78" ht="3" customHeight="1">
      <c r="B46" s="138"/>
      <c r="C46" s="193"/>
      <c r="D46" s="137"/>
      <c r="E46" s="137"/>
      <c r="F46" s="162"/>
      <c r="G46" s="175"/>
      <c r="H46" s="175"/>
      <c r="I46" s="175"/>
      <c r="J46" s="184"/>
      <c r="K46" s="195"/>
      <c r="L46" s="196"/>
      <c r="M46" s="197"/>
      <c r="N46" s="197"/>
      <c r="O46" s="198"/>
      <c r="P46" s="198"/>
      <c r="Q46" s="198"/>
      <c r="R46" s="198"/>
      <c r="S46" s="198"/>
      <c r="T46" s="198"/>
      <c r="U46" s="184"/>
      <c r="V46" s="198"/>
      <c r="W46" s="198"/>
      <c r="X46" s="198"/>
      <c r="Y46" s="198"/>
      <c r="Z46" s="198"/>
      <c r="AA46" s="184"/>
      <c r="AB46" s="195"/>
      <c r="AC46" s="196"/>
      <c r="AD46" s="197"/>
      <c r="AE46" s="197"/>
      <c r="AF46" s="175"/>
      <c r="AG46" s="175"/>
      <c r="AH46" s="175"/>
      <c r="AI46" s="175"/>
      <c r="AJ46" s="175"/>
      <c r="AK46" s="175"/>
      <c r="AL46" s="175"/>
      <c r="AM46" s="175"/>
      <c r="AN46" s="175"/>
      <c r="AO46" s="175"/>
      <c r="AP46" s="175"/>
      <c r="AQ46" s="175"/>
      <c r="AR46" s="175"/>
      <c r="AS46" s="195"/>
      <c r="AT46" s="175"/>
      <c r="AU46" s="197"/>
      <c r="AV46" s="197"/>
      <c r="AW46" s="175"/>
      <c r="AX46" s="175"/>
      <c r="AY46" s="175"/>
      <c r="AZ46" s="175"/>
      <c r="BA46" s="175"/>
      <c r="BB46" s="175"/>
      <c r="BC46" s="175"/>
      <c r="BD46" s="175"/>
      <c r="BE46" s="175"/>
      <c r="BF46" s="175"/>
      <c r="BG46" s="175"/>
      <c r="BH46" s="175"/>
      <c r="BI46" s="175"/>
      <c r="BJ46" s="195"/>
      <c r="BK46" s="175"/>
      <c r="BL46" s="197"/>
      <c r="BM46" s="197"/>
      <c r="BN46" s="175"/>
      <c r="BO46" s="175"/>
      <c r="BP46" s="175"/>
      <c r="BQ46" s="175"/>
      <c r="BR46" s="175"/>
      <c r="BS46" s="175"/>
      <c r="BT46" s="137"/>
      <c r="BU46" s="175"/>
      <c r="BV46" s="175"/>
      <c r="BW46" s="175"/>
      <c r="BX46" s="175"/>
      <c r="BY46" s="175"/>
      <c r="BZ46" s="137"/>
    </row>
    <row r="47" spans="2:78" ht="18">
      <c r="B47" s="137"/>
      <c r="C47" s="695" t="s">
        <v>49</v>
      </c>
      <c r="D47" s="695"/>
      <c r="E47" s="160"/>
      <c r="F47" s="180"/>
      <c r="G47" s="180"/>
      <c r="H47" s="180"/>
      <c r="I47" s="180"/>
      <c r="J47" s="181"/>
      <c r="K47" s="178"/>
      <c r="L47" s="179"/>
      <c r="M47" s="180"/>
      <c r="N47" s="180"/>
      <c r="O47" s="180"/>
      <c r="P47" s="180"/>
      <c r="Q47" s="180"/>
      <c r="R47" s="180"/>
      <c r="S47" s="180"/>
      <c r="T47" s="180"/>
      <c r="U47" s="181"/>
      <c r="V47" s="180"/>
      <c r="W47" s="180"/>
      <c r="X47" s="180"/>
      <c r="Y47" s="180"/>
      <c r="Z47" s="180"/>
      <c r="AA47" s="181"/>
      <c r="AB47" s="178"/>
      <c r="AC47" s="179"/>
      <c r="AD47" s="180"/>
      <c r="AE47" s="180"/>
      <c r="AF47" s="180"/>
      <c r="AG47" s="180"/>
      <c r="AH47" s="180"/>
      <c r="AI47" s="180"/>
      <c r="AJ47" s="180"/>
      <c r="AK47" s="180"/>
      <c r="AL47" s="179"/>
      <c r="AM47" s="180"/>
      <c r="AN47" s="180"/>
      <c r="AO47" s="180"/>
      <c r="AP47" s="180"/>
      <c r="AQ47" s="180"/>
      <c r="AR47" s="179"/>
      <c r="AS47" s="178"/>
      <c r="AT47" s="179"/>
      <c r="AU47" s="180"/>
      <c r="AV47" s="180"/>
      <c r="AW47" s="180"/>
      <c r="AX47" s="180"/>
      <c r="AY47" s="180"/>
      <c r="AZ47" s="180"/>
      <c r="BA47" s="180"/>
      <c r="BB47" s="180"/>
      <c r="BC47" s="179"/>
      <c r="BD47" s="180"/>
      <c r="BE47" s="180"/>
      <c r="BF47" s="180"/>
      <c r="BG47" s="180"/>
      <c r="BH47" s="180"/>
      <c r="BI47" s="179"/>
      <c r="BJ47" s="178"/>
      <c r="BK47" s="179"/>
      <c r="BL47" s="180"/>
      <c r="BM47" s="180"/>
      <c r="BN47" s="180"/>
      <c r="BO47" s="180"/>
      <c r="BP47" s="180"/>
      <c r="BQ47" s="180"/>
      <c r="BR47" s="180"/>
      <c r="BS47" s="180"/>
      <c r="BT47" s="160"/>
      <c r="BU47" s="180"/>
      <c r="BV47" s="180"/>
      <c r="BW47" s="180"/>
      <c r="BX47" s="180"/>
      <c r="BY47" s="180"/>
      <c r="BZ47" s="137"/>
    </row>
    <row r="48" spans="2:78" ht="3" customHeight="1" outlineLevel="1">
      <c r="BZ48" s="137"/>
    </row>
    <row r="49" spans="2:92" ht="12.75" outlineLevel="1">
      <c r="B49" s="186">
        <v>4</v>
      </c>
      <c r="C49" s="213">
        <v>1</v>
      </c>
      <c r="D49" s="214" t="s">
        <v>50</v>
      </c>
      <c r="E49" s="188"/>
      <c r="F49" s="215">
        <f>M49+AD49+AU49+BL49</f>
        <v>22</v>
      </c>
      <c r="G49" s="215">
        <f t="shared" ref="G49:I49" si="5">N49+AE49+AV49+BM49</f>
        <v>22</v>
      </c>
      <c r="H49" s="215">
        <f t="shared" si="5"/>
        <v>22</v>
      </c>
      <c r="I49" s="215">
        <f t="shared" si="5"/>
        <v>0</v>
      </c>
      <c r="J49" s="216">
        <f t="shared" ref="J49" si="6">COUNT(J50:J59)</f>
        <v>0</v>
      </c>
      <c r="K49" s="189"/>
      <c r="L49" s="189"/>
      <c r="M49" s="215">
        <f>COUNTIF(M50:M59,"✔")</f>
        <v>10</v>
      </c>
      <c r="N49" s="215">
        <f t="shared" ref="N49:AA49" si="7">COUNTIF(N50:N59,"✔")</f>
        <v>10</v>
      </c>
      <c r="O49" s="215">
        <f t="shared" si="7"/>
        <v>10</v>
      </c>
      <c r="P49" s="215">
        <f t="shared" si="7"/>
        <v>0</v>
      </c>
      <c r="Q49" s="215">
        <f t="shared" si="7"/>
        <v>0</v>
      </c>
      <c r="R49" s="215">
        <f t="shared" si="7"/>
        <v>0</v>
      </c>
      <c r="S49" s="215">
        <f t="shared" si="7"/>
        <v>0</v>
      </c>
      <c r="T49" s="215">
        <f t="shared" si="7"/>
        <v>0</v>
      </c>
      <c r="U49" s="215">
        <f t="shared" si="7"/>
        <v>0</v>
      </c>
      <c r="V49" s="215">
        <f t="shared" si="7"/>
        <v>0</v>
      </c>
      <c r="W49" s="215">
        <f t="shared" si="7"/>
        <v>0</v>
      </c>
      <c r="X49" s="215">
        <f t="shared" si="7"/>
        <v>0</v>
      </c>
      <c r="Y49" s="215">
        <f t="shared" si="7"/>
        <v>0</v>
      </c>
      <c r="Z49" s="215">
        <f t="shared" si="7"/>
        <v>0</v>
      </c>
      <c r="AA49" s="215">
        <f t="shared" si="7"/>
        <v>0</v>
      </c>
      <c r="AB49" s="189"/>
      <c r="AC49" s="215">
        <f t="shared" ref="AC49:AR49" si="8">COUNTIF(AC50:AC59,"✔")</f>
        <v>0</v>
      </c>
      <c r="AD49" s="215">
        <f t="shared" si="8"/>
        <v>7</v>
      </c>
      <c r="AE49" s="215">
        <f t="shared" si="8"/>
        <v>7</v>
      </c>
      <c r="AF49" s="215">
        <f t="shared" si="8"/>
        <v>7</v>
      </c>
      <c r="AG49" s="215">
        <f t="shared" si="8"/>
        <v>0</v>
      </c>
      <c r="AH49" s="215">
        <f t="shared" si="8"/>
        <v>0</v>
      </c>
      <c r="AI49" s="215">
        <f t="shared" si="8"/>
        <v>0</v>
      </c>
      <c r="AJ49" s="215">
        <f t="shared" si="8"/>
        <v>0</v>
      </c>
      <c r="AK49" s="215">
        <f t="shared" si="8"/>
        <v>0</v>
      </c>
      <c r="AL49" s="215">
        <f t="shared" si="8"/>
        <v>0</v>
      </c>
      <c r="AM49" s="215">
        <f t="shared" si="8"/>
        <v>0</v>
      </c>
      <c r="AN49" s="215">
        <f t="shared" si="8"/>
        <v>0</v>
      </c>
      <c r="AO49" s="215">
        <f t="shared" si="8"/>
        <v>0</v>
      </c>
      <c r="AP49" s="215">
        <f t="shared" si="8"/>
        <v>0</v>
      </c>
      <c r="AQ49" s="215">
        <f t="shared" si="8"/>
        <v>0</v>
      </c>
      <c r="AR49" s="215">
        <f t="shared" si="8"/>
        <v>0</v>
      </c>
      <c r="AS49" s="189"/>
      <c r="AT49" s="215">
        <f t="shared" ref="AT49:BI49" si="9">COUNTIF(AT50:AT59,"✔")</f>
        <v>0</v>
      </c>
      <c r="AU49" s="215">
        <f t="shared" si="9"/>
        <v>5</v>
      </c>
      <c r="AV49" s="215">
        <f t="shared" si="9"/>
        <v>5</v>
      </c>
      <c r="AW49" s="215">
        <f t="shared" si="9"/>
        <v>5</v>
      </c>
      <c r="AX49" s="215">
        <f t="shared" si="9"/>
        <v>0</v>
      </c>
      <c r="AY49" s="215">
        <f t="shared" si="9"/>
        <v>0</v>
      </c>
      <c r="AZ49" s="215">
        <f t="shared" si="9"/>
        <v>0</v>
      </c>
      <c r="BA49" s="215">
        <f t="shared" si="9"/>
        <v>0</v>
      </c>
      <c r="BB49" s="215">
        <f t="shared" si="9"/>
        <v>0</v>
      </c>
      <c r="BC49" s="215">
        <f t="shared" si="9"/>
        <v>0</v>
      </c>
      <c r="BD49" s="215">
        <f t="shared" si="9"/>
        <v>0</v>
      </c>
      <c r="BE49" s="215">
        <f t="shared" si="9"/>
        <v>0</v>
      </c>
      <c r="BF49" s="215">
        <f t="shared" si="9"/>
        <v>0</v>
      </c>
      <c r="BG49" s="215">
        <f t="shared" si="9"/>
        <v>0</v>
      </c>
      <c r="BH49" s="215">
        <f t="shared" si="9"/>
        <v>0</v>
      </c>
      <c r="BI49" s="215">
        <f t="shared" si="9"/>
        <v>0</v>
      </c>
      <c r="BJ49" s="189"/>
      <c r="BK49" s="215">
        <f t="shared" ref="BK49:BS49" si="10">COUNTIF(BK50:BK59,"✔")</f>
        <v>0</v>
      </c>
      <c r="BL49" s="215">
        <f t="shared" si="10"/>
        <v>0</v>
      </c>
      <c r="BM49" s="215">
        <f t="shared" si="10"/>
        <v>0</v>
      </c>
      <c r="BN49" s="215">
        <f t="shared" si="10"/>
        <v>0</v>
      </c>
      <c r="BO49" s="215">
        <f t="shared" si="10"/>
        <v>0</v>
      </c>
      <c r="BP49" s="215">
        <f t="shared" si="10"/>
        <v>0</v>
      </c>
      <c r="BQ49" s="215">
        <f t="shared" si="10"/>
        <v>0</v>
      </c>
      <c r="BR49" s="215">
        <f t="shared" si="10"/>
        <v>0</v>
      </c>
      <c r="BS49" s="215">
        <f t="shared" si="10"/>
        <v>0</v>
      </c>
      <c r="BT49" s="137"/>
      <c r="BU49" s="215">
        <f t="shared" ref="BU49:BY49" si="11">COUNTIF(BU50:BU59,"✔")</f>
        <v>0</v>
      </c>
      <c r="BV49" s="215">
        <f t="shared" si="11"/>
        <v>0</v>
      </c>
      <c r="BW49" s="215">
        <f t="shared" si="11"/>
        <v>0</v>
      </c>
      <c r="BX49" s="215">
        <f t="shared" si="11"/>
        <v>0</v>
      </c>
      <c r="BY49" s="215">
        <f t="shared" si="11"/>
        <v>0</v>
      </c>
      <c r="BZ49" s="137"/>
    </row>
    <row r="50" spans="2:92" ht="12.75" outlineLevel="2">
      <c r="B50" s="217" t="s">
        <v>51</v>
      </c>
      <c r="C50" s="218">
        <v>1</v>
      </c>
      <c r="D50" s="219" t="s">
        <v>52</v>
      </c>
      <c r="E50" s="137"/>
      <c r="F50" s="197">
        <f t="shared" ref="F50:F59" si="12">COUNTIF(M50,"✔")+COUNTIF(AD50,"✔")+COUNTIF(BL50,"✔")+COUNTIF(AU50,"✔")</f>
        <v>3</v>
      </c>
      <c r="G50" s="198">
        <f t="shared" ref="G50:H59" si="13">COUNTIF(N50,"✔")+COUNTIF(AE50,"✔")+COUNTIF(BM50,"✔")+COUNTIF(AV50,"✔")</f>
        <v>3</v>
      </c>
      <c r="H50" s="198">
        <f t="shared" si="13"/>
        <v>3</v>
      </c>
      <c r="I50" s="198">
        <f t="shared" ref="I50:I59" si="14">F50-G50</f>
        <v>0</v>
      </c>
      <c r="J50" s="184"/>
      <c r="K50" s="195"/>
      <c r="L50" s="196"/>
      <c r="M50" s="197" t="str">
        <f>IF('Design Fee'!W52&gt;0,"✔","-")</f>
        <v>✔</v>
      </c>
      <c r="N50" s="197" t="str">
        <f>IF('Design Fee'!X52&gt;0,"✔","-")</f>
        <v>✔</v>
      </c>
      <c r="O50" s="198" t="str">
        <f>IF('Design Fee'!Y52&gt;0,"✔","-")</f>
        <v>✔</v>
      </c>
      <c r="P50" s="198" t="str">
        <f>IF('Design Fee'!Z52&gt;0,"✔","-")</f>
        <v>-</v>
      </c>
      <c r="Q50" s="198" t="str">
        <f>IF('Design Fee'!AA52&gt;0,"✔","-")</f>
        <v>-</v>
      </c>
      <c r="R50" s="198" t="str">
        <f>IF('Design Fee'!AB52&gt;0,"✔","-")</f>
        <v>-</v>
      </c>
      <c r="S50" s="198" t="str">
        <f>IF('Design Fee'!AC52&gt;0,"✔","-")</f>
        <v>-</v>
      </c>
      <c r="T50" s="220" t="str">
        <f>IF('Design Fee'!AD52&gt;0,"✔","-")</f>
        <v>-</v>
      </c>
      <c r="U50" s="184"/>
      <c r="V50" s="198" t="str">
        <f>IF('Design Fee'!AF52&gt;0,"✔","-")</f>
        <v>-</v>
      </c>
      <c r="W50" s="198" t="str">
        <f>IF('Design Fee'!AG52&gt;0,"✔","-")</f>
        <v>-</v>
      </c>
      <c r="X50" s="198" t="str">
        <f>IF('Design Fee'!AH52&gt;0,"✔","-")</f>
        <v>-</v>
      </c>
      <c r="Y50" s="198" t="str">
        <f>IF('Design Fee'!AI52&gt;0,"✔","-")</f>
        <v>-</v>
      </c>
      <c r="Z50" s="198" t="str">
        <f>IF('Design Fee'!AJ52&gt;0,"✔","-")</f>
        <v>-</v>
      </c>
      <c r="AA50" s="184"/>
      <c r="AB50" s="195"/>
      <c r="AC50" s="196"/>
      <c r="AD50" s="197" t="str">
        <f>IF('Design Fee'!BG52&gt;0,"✔","-")</f>
        <v>✔</v>
      </c>
      <c r="AE50" s="197" t="str">
        <f>IF('Design Fee'!BH52&gt;0,"✔","-")</f>
        <v>✔</v>
      </c>
      <c r="AF50" s="198" t="str">
        <f>IF('Design Fee'!BI52&gt;0,"✔","-")</f>
        <v>✔</v>
      </c>
      <c r="AG50" s="198" t="str">
        <f>IF('Design Fee'!BJ52&gt;0,"✔","-")</f>
        <v>-</v>
      </c>
      <c r="AH50" s="198" t="str">
        <f>IF('Design Fee'!BK52&gt;0,"✔","-")</f>
        <v>-</v>
      </c>
      <c r="AI50" s="198" t="str">
        <f>IF('Design Fee'!BL52&gt;0,"✔","-")</f>
        <v>-</v>
      </c>
      <c r="AJ50" s="198" t="str">
        <f>IF('Design Fee'!BM52&gt;0,"✔","-")</f>
        <v>-</v>
      </c>
      <c r="AK50" s="220" t="str">
        <f>IF('Design Fee'!BN52&gt;0,"✔","-")</f>
        <v>-</v>
      </c>
      <c r="AL50" s="199"/>
      <c r="AM50" s="198" t="str">
        <f>IF('Design Fee'!BP52&gt;0,"✔","-")</f>
        <v>-</v>
      </c>
      <c r="AN50" s="198" t="str">
        <f>IF('Design Fee'!BQ52&gt;0,"✔","-")</f>
        <v>-</v>
      </c>
      <c r="AO50" s="198" t="str">
        <f>IF('Design Fee'!BR52&gt;0,"✔","-")</f>
        <v>-</v>
      </c>
      <c r="AP50" s="198" t="str">
        <f>IF('Design Fee'!BS52&gt;0,"✔","-")</f>
        <v>-</v>
      </c>
      <c r="AQ50" s="198" t="str">
        <f>IF('Design Fee'!BT52&gt;0,"✔","-")</f>
        <v>-</v>
      </c>
      <c r="AR50" s="199"/>
      <c r="AS50" s="195"/>
      <c r="AT50" s="196"/>
      <c r="AU50" s="197" t="str">
        <f>IF('Design Fee'!CQ52&gt;0,"✔","-")</f>
        <v>✔</v>
      </c>
      <c r="AV50" s="197" t="str">
        <f>IF('Design Fee'!CR52&gt;0,"✔","-")</f>
        <v>✔</v>
      </c>
      <c r="AW50" s="198" t="str">
        <f>IF('Design Fee'!CS52&gt;0,"✔","-")</f>
        <v>✔</v>
      </c>
      <c r="AX50" s="198" t="str">
        <f>IF('Design Fee'!CT52&gt;0,"✔","-")</f>
        <v>-</v>
      </c>
      <c r="AY50" s="198" t="str">
        <f>IF('Design Fee'!CU52&gt;0,"✔","-")</f>
        <v>-</v>
      </c>
      <c r="AZ50" s="198" t="str">
        <f>IF('Design Fee'!CV52&gt;0,"✔","-")</f>
        <v>-</v>
      </c>
      <c r="BA50" s="198" t="str">
        <f>IF('Design Fee'!CW52&gt;0,"✔","-")</f>
        <v>-</v>
      </c>
      <c r="BB50" s="220" t="str">
        <f>IF('Design Fee'!CX52&gt;0,"✔","-")</f>
        <v>-</v>
      </c>
      <c r="BC50" s="199"/>
      <c r="BD50" s="198" t="str">
        <f>IF('Design Fee'!CZ52&gt;0,"✔","-")</f>
        <v>-</v>
      </c>
      <c r="BE50" s="198" t="str">
        <f>IF('Design Fee'!DA52&gt;0,"✔","-")</f>
        <v>-</v>
      </c>
      <c r="BF50" s="198" t="str">
        <f>IF('Design Fee'!DB52&gt;0,"✔","-")</f>
        <v>-</v>
      </c>
      <c r="BG50" s="198" t="str">
        <f>IF('Design Fee'!DC52&gt;0,"✔","-")</f>
        <v>-</v>
      </c>
      <c r="BH50" s="198" t="str">
        <f>IF('Design Fee'!DD52&gt;0,"✔","-")</f>
        <v>-</v>
      </c>
      <c r="BI50" s="199"/>
      <c r="BJ50" s="195"/>
      <c r="BK50" s="196"/>
      <c r="BL50" s="197" t="str">
        <f>IF('Design Fee'!EA52&gt;0,"✔","-")</f>
        <v>-</v>
      </c>
      <c r="BM50" s="197" t="str">
        <f>IF('Design Fee'!EB52&gt;0,"✔","-")</f>
        <v>-</v>
      </c>
      <c r="BN50" s="198" t="str">
        <f>IF('Design Fee'!EC52&gt;0,"✔","-")</f>
        <v>-</v>
      </c>
      <c r="BO50" s="198" t="str">
        <f>IF('Design Fee'!ED52&gt;0,"✔","-")</f>
        <v>-</v>
      </c>
      <c r="BP50" s="198" t="str">
        <f>IF('Design Fee'!EE52&gt;0,"✔","-")</f>
        <v>-</v>
      </c>
      <c r="BQ50" s="198" t="str">
        <f>IF('Design Fee'!EF52&gt;0,"✔","-")</f>
        <v>-</v>
      </c>
      <c r="BR50" s="198" t="str">
        <f>IF('Design Fee'!EG52&gt;0,"✔","-")</f>
        <v>-</v>
      </c>
      <c r="BS50" s="220" t="str">
        <f>IF('Design Fee'!EH52&gt;0,"✔","-")</f>
        <v>-</v>
      </c>
      <c r="BT50" s="137"/>
      <c r="BU50" s="198" t="str">
        <f>IF('Design Fee'!EJ52&gt;0,"✔","-")</f>
        <v>-</v>
      </c>
      <c r="BV50" s="198" t="str">
        <f>IF('Design Fee'!EK52&gt;0,"✔","-")</f>
        <v>-</v>
      </c>
      <c r="BW50" s="198" t="str">
        <f>IF('Design Fee'!EL52&gt;0,"✔","-")</f>
        <v>-</v>
      </c>
      <c r="BX50" s="198" t="str">
        <f>IF('Design Fee'!EM52&gt;0,"✔","-")</f>
        <v>-</v>
      </c>
      <c r="BY50" s="198" t="str">
        <f>IF('Design Fee'!EN52&gt;0,"✔","-")</f>
        <v>-</v>
      </c>
      <c r="BZ50" s="137"/>
    </row>
    <row r="51" spans="2:92" ht="12.75" outlineLevel="2">
      <c r="B51" s="217" t="s">
        <v>53</v>
      </c>
      <c r="C51" s="218">
        <v>2</v>
      </c>
      <c r="D51" s="219" t="s">
        <v>54</v>
      </c>
      <c r="E51" s="137"/>
      <c r="F51" s="197">
        <f t="shared" si="12"/>
        <v>2</v>
      </c>
      <c r="G51" s="198">
        <f t="shared" si="13"/>
        <v>2</v>
      </c>
      <c r="H51" s="198">
        <f t="shared" si="13"/>
        <v>2</v>
      </c>
      <c r="I51" s="198">
        <f t="shared" si="14"/>
        <v>0</v>
      </c>
      <c r="J51" s="221"/>
      <c r="K51" s="195"/>
      <c r="L51" s="196"/>
      <c r="M51" s="197" t="str">
        <f>IF('Design Fee'!W53&gt;0,"✔","-")</f>
        <v>✔</v>
      </c>
      <c r="N51" s="197" t="str">
        <f>IF('Design Fee'!X53&gt;0,"✔","-")</f>
        <v>✔</v>
      </c>
      <c r="O51" s="198" t="str">
        <f>IF('Design Fee'!Y53&gt;0,"✔","-")</f>
        <v>✔</v>
      </c>
      <c r="P51" s="198" t="str">
        <f>IF('Design Fee'!Z53&gt;0,"✔","-")</f>
        <v>-</v>
      </c>
      <c r="Q51" s="198" t="str">
        <f>IF('Design Fee'!AA53&gt;0,"✔","-")</f>
        <v>-</v>
      </c>
      <c r="R51" s="198" t="str">
        <f>IF('Design Fee'!AB53&gt;0,"✔","-")</f>
        <v>-</v>
      </c>
      <c r="S51" s="198" t="str">
        <f>IF('Design Fee'!AC53&gt;0,"✔","-")</f>
        <v>-</v>
      </c>
      <c r="T51" s="220" t="str">
        <f>IF('Design Fee'!AD53&gt;0,"✔","-")</f>
        <v>-</v>
      </c>
      <c r="U51" s="221"/>
      <c r="V51" s="198" t="str">
        <f>IF('Design Fee'!AF53&gt;0,"✔","-")</f>
        <v>-</v>
      </c>
      <c r="W51" s="198" t="str">
        <f>IF('Design Fee'!AG53&gt;0,"✔","-")</f>
        <v>-</v>
      </c>
      <c r="X51" s="198" t="str">
        <f>IF('Design Fee'!AH53&gt;0,"✔","-")</f>
        <v>-</v>
      </c>
      <c r="Y51" s="198" t="str">
        <f>IF('Design Fee'!AI53&gt;0,"✔","-")</f>
        <v>-</v>
      </c>
      <c r="Z51" s="198" t="str">
        <f>IF('Design Fee'!AJ53&gt;0,"✔","-")</f>
        <v>-</v>
      </c>
      <c r="AA51" s="221"/>
      <c r="AB51" s="195"/>
      <c r="AC51" s="196"/>
      <c r="AD51" s="197" t="str">
        <f>IF('Design Fee'!BG53&gt;0,"✔","-")</f>
        <v>✔</v>
      </c>
      <c r="AE51" s="197" t="str">
        <f>IF('Design Fee'!BH53&gt;0,"✔","-")</f>
        <v>✔</v>
      </c>
      <c r="AF51" s="198" t="str">
        <f>IF('Design Fee'!BI53&gt;0,"✔","-")</f>
        <v>✔</v>
      </c>
      <c r="AG51" s="198" t="str">
        <f>IF('Design Fee'!BJ53&gt;0,"✔","-")</f>
        <v>-</v>
      </c>
      <c r="AH51" s="198" t="str">
        <f>IF('Design Fee'!BK53&gt;0,"✔","-")</f>
        <v>-</v>
      </c>
      <c r="AI51" s="198" t="str">
        <f>IF('Design Fee'!BL53&gt;0,"✔","-")</f>
        <v>-</v>
      </c>
      <c r="AJ51" s="198" t="str">
        <f>IF('Design Fee'!BM53&gt;0,"✔","-")</f>
        <v>-</v>
      </c>
      <c r="AK51" s="220" t="str">
        <f>IF('Design Fee'!BN53&gt;0,"✔","-")</f>
        <v>-</v>
      </c>
      <c r="AL51" s="199"/>
      <c r="AM51" s="198" t="str">
        <f>IF('Design Fee'!BP53&gt;0,"✔","-")</f>
        <v>-</v>
      </c>
      <c r="AN51" s="198" t="str">
        <f>IF('Design Fee'!BQ53&gt;0,"✔","-")</f>
        <v>-</v>
      </c>
      <c r="AO51" s="198" t="str">
        <f>IF('Design Fee'!BR53&gt;0,"✔","-")</f>
        <v>-</v>
      </c>
      <c r="AP51" s="198" t="str">
        <f>IF('Design Fee'!BS53&gt;0,"✔","-")</f>
        <v>-</v>
      </c>
      <c r="AQ51" s="198" t="str">
        <f>IF('Design Fee'!BT53&gt;0,"✔","-")</f>
        <v>-</v>
      </c>
      <c r="AR51" s="199"/>
      <c r="AS51" s="195"/>
      <c r="AT51" s="196"/>
      <c r="AU51" s="197" t="str">
        <f>IF('Design Fee'!CQ53&gt;0,"✔","-")</f>
        <v>-</v>
      </c>
      <c r="AV51" s="197" t="str">
        <f>IF('Design Fee'!CR53&gt;0,"✔","-")</f>
        <v>-</v>
      </c>
      <c r="AW51" s="198" t="str">
        <f>IF('Design Fee'!CS53&gt;0,"✔","-")</f>
        <v>-</v>
      </c>
      <c r="AX51" s="198" t="str">
        <f>IF('Design Fee'!CT53&gt;0,"✔","-")</f>
        <v>-</v>
      </c>
      <c r="AY51" s="198" t="str">
        <f>IF('Design Fee'!CU53&gt;0,"✔","-")</f>
        <v>-</v>
      </c>
      <c r="AZ51" s="198" t="str">
        <f>IF('Design Fee'!CV53&gt;0,"✔","-")</f>
        <v>-</v>
      </c>
      <c r="BA51" s="198" t="str">
        <f>IF('Design Fee'!CW53&gt;0,"✔","-")</f>
        <v>-</v>
      </c>
      <c r="BB51" s="220" t="str">
        <f>IF('Design Fee'!CX53&gt;0,"✔","-")</f>
        <v>-</v>
      </c>
      <c r="BC51" s="199"/>
      <c r="BD51" s="198" t="str">
        <f>IF('Design Fee'!CZ53&gt;0,"✔","-")</f>
        <v>-</v>
      </c>
      <c r="BE51" s="198" t="str">
        <f>IF('Design Fee'!DA53&gt;0,"✔","-")</f>
        <v>-</v>
      </c>
      <c r="BF51" s="198" t="str">
        <f>IF('Design Fee'!DB53&gt;0,"✔","-")</f>
        <v>-</v>
      </c>
      <c r="BG51" s="198" t="str">
        <f>IF('Design Fee'!DC53&gt;0,"✔","-")</f>
        <v>-</v>
      </c>
      <c r="BH51" s="198" t="str">
        <f>IF('Design Fee'!DD53&gt;0,"✔","-")</f>
        <v>-</v>
      </c>
      <c r="BI51" s="199"/>
      <c r="BJ51" s="195"/>
      <c r="BK51" s="196"/>
      <c r="BL51" s="197" t="str">
        <f>IF('Design Fee'!EA53&gt;0,"✔","-")</f>
        <v>-</v>
      </c>
      <c r="BM51" s="197" t="str">
        <f>IF('Design Fee'!EB53&gt;0,"✔","-")</f>
        <v>-</v>
      </c>
      <c r="BN51" s="198" t="str">
        <f>IF('Design Fee'!EC53&gt;0,"✔","-")</f>
        <v>-</v>
      </c>
      <c r="BO51" s="198" t="str">
        <f>IF('Design Fee'!ED53&gt;0,"✔","-")</f>
        <v>-</v>
      </c>
      <c r="BP51" s="198" t="str">
        <f>IF('Design Fee'!EE53&gt;0,"✔","-")</f>
        <v>-</v>
      </c>
      <c r="BQ51" s="198" t="str">
        <f>IF('Design Fee'!EF53&gt;0,"✔","-")</f>
        <v>-</v>
      </c>
      <c r="BR51" s="198" t="str">
        <f>IF('Design Fee'!EG53&gt;0,"✔","-")</f>
        <v>-</v>
      </c>
      <c r="BS51" s="220" t="str">
        <f>IF('Design Fee'!EH53&gt;0,"✔","-")</f>
        <v>-</v>
      </c>
      <c r="BT51" s="137"/>
      <c r="BU51" s="198" t="str">
        <f>IF('Design Fee'!EJ53&gt;0,"✔","-")</f>
        <v>-</v>
      </c>
      <c r="BV51" s="198" t="str">
        <f>IF('Design Fee'!EK53&gt;0,"✔","-")</f>
        <v>-</v>
      </c>
      <c r="BW51" s="198" t="str">
        <f>IF('Design Fee'!EL53&gt;0,"✔","-")</f>
        <v>-</v>
      </c>
      <c r="BX51" s="198" t="str">
        <f>IF('Design Fee'!EM53&gt;0,"✔","-")</f>
        <v>-</v>
      </c>
      <c r="BY51" s="198" t="str">
        <f>IF('Design Fee'!EN53&gt;0,"✔","-")</f>
        <v>-</v>
      </c>
      <c r="BZ51" s="137"/>
    </row>
    <row r="52" spans="2:92" ht="12.75" outlineLevel="2">
      <c r="B52" s="217" t="s">
        <v>55</v>
      </c>
      <c r="C52" s="218">
        <v>3</v>
      </c>
      <c r="D52" s="219" t="s">
        <v>56</v>
      </c>
      <c r="E52" s="137"/>
      <c r="F52" s="197">
        <f t="shared" si="12"/>
        <v>1</v>
      </c>
      <c r="G52" s="198">
        <f t="shared" si="13"/>
        <v>1</v>
      </c>
      <c r="H52" s="198">
        <f t="shared" si="13"/>
        <v>1</v>
      </c>
      <c r="I52" s="198">
        <f t="shared" si="14"/>
        <v>0</v>
      </c>
      <c r="J52" s="221"/>
      <c r="K52" s="195"/>
      <c r="L52" s="196"/>
      <c r="M52" s="197" t="str">
        <f>IF('Design Fee'!W54&gt;0,"✔","-")</f>
        <v>✔</v>
      </c>
      <c r="N52" s="197" t="str">
        <f>IF('Design Fee'!X54&gt;0,"✔","-")</f>
        <v>✔</v>
      </c>
      <c r="O52" s="198" t="str">
        <f>IF('Design Fee'!Y54&gt;0,"✔","-")</f>
        <v>✔</v>
      </c>
      <c r="P52" s="198" t="str">
        <f>IF('Design Fee'!Z54&gt;0,"✔","-")</f>
        <v>-</v>
      </c>
      <c r="Q52" s="198" t="str">
        <f>IF('Design Fee'!AA54&gt;0,"✔","-")</f>
        <v>-</v>
      </c>
      <c r="R52" s="198" t="str">
        <f>IF('Design Fee'!AB54&gt;0,"✔","-")</f>
        <v>-</v>
      </c>
      <c r="S52" s="198" t="str">
        <f>IF('Design Fee'!AC54&gt;0,"✔","-")</f>
        <v>-</v>
      </c>
      <c r="T52" s="220" t="str">
        <f>IF('Design Fee'!AD54&gt;0,"✔","-")</f>
        <v>-</v>
      </c>
      <c r="U52" s="221"/>
      <c r="V52" s="198" t="str">
        <f>IF('Design Fee'!AF54&gt;0,"✔","-")</f>
        <v>-</v>
      </c>
      <c r="W52" s="198" t="str">
        <f>IF('Design Fee'!AG54&gt;0,"✔","-")</f>
        <v>-</v>
      </c>
      <c r="X52" s="198" t="str">
        <f>IF('Design Fee'!AH54&gt;0,"✔","-")</f>
        <v>-</v>
      </c>
      <c r="Y52" s="198" t="str">
        <f>IF('Design Fee'!AI54&gt;0,"✔","-")</f>
        <v>-</v>
      </c>
      <c r="Z52" s="198" t="str">
        <f>IF('Design Fee'!AJ54&gt;0,"✔","-")</f>
        <v>-</v>
      </c>
      <c r="AA52" s="221"/>
      <c r="AB52" s="195"/>
      <c r="AC52" s="196"/>
      <c r="AD52" s="197" t="str">
        <f>IF('Design Fee'!BG54&gt;0,"✔","-")</f>
        <v>-</v>
      </c>
      <c r="AE52" s="197" t="str">
        <f>IF('Design Fee'!BH54&gt;0,"✔","-")</f>
        <v>-</v>
      </c>
      <c r="AF52" s="198" t="str">
        <f>IF('Design Fee'!BI54&gt;0,"✔","-")</f>
        <v>-</v>
      </c>
      <c r="AG52" s="198" t="str">
        <f>IF('Design Fee'!BJ54&gt;0,"✔","-")</f>
        <v>-</v>
      </c>
      <c r="AH52" s="198" t="str">
        <f>IF('Design Fee'!BK54&gt;0,"✔","-")</f>
        <v>-</v>
      </c>
      <c r="AI52" s="198" t="str">
        <f>IF('Design Fee'!BL54&gt;0,"✔","-")</f>
        <v>-</v>
      </c>
      <c r="AJ52" s="198" t="str">
        <f>IF('Design Fee'!BM54&gt;0,"✔","-")</f>
        <v>-</v>
      </c>
      <c r="AK52" s="220" t="str">
        <f>IF('Design Fee'!BN54&gt;0,"✔","-")</f>
        <v>-</v>
      </c>
      <c r="AL52" s="199"/>
      <c r="AM52" s="198" t="str">
        <f>IF('Design Fee'!BP54&gt;0,"✔","-")</f>
        <v>-</v>
      </c>
      <c r="AN52" s="198" t="str">
        <f>IF('Design Fee'!BQ54&gt;0,"✔","-")</f>
        <v>-</v>
      </c>
      <c r="AO52" s="198" t="str">
        <f>IF('Design Fee'!BR54&gt;0,"✔","-")</f>
        <v>-</v>
      </c>
      <c r="AP52" s="198" t="str">
        <f>IF('Design Fee'!BS54&gt;0,"✔","-")</f>
        <v>-</v>
      </c>
      <c r="AQ52" s="198" t="str">
        <f>IF('Design Fee'!BT54&gt;0,"✔","-")</f>
        <v>-</v>
      </c>
      <c r="AR52" s="199"/>
      <c r="AS52" s="195"/>
      <c r="AT52" s="196"/>
      <c r="AU52" s="197" t="str">
        <f>IF('Design Fee'!CQ54&gt;0,"✔","-")</f>
        <v>-</v>
      </c>
      <c r="AV52" s="197" t="str">
        <f>IF('Design Fee'!CR54&gt;0,"✔","-")</f>
        <v>-</v>
      </c>
      <c r="AW52" s="198" t="str">
        <f>IF('Design Fee'!CS54&gt;0,"✔","-")</f>
        <v>-</v>
      </c>
      <c r="AX52" s="198" t="str">
        <f>IF('Design Fee'!CT54&gt;0,"✔","-")</f>
        <v>-</v>
      </c>
      <c r="AY52" s="198" t="str">
        <f>IF('Design Fee'!CU54&gt;0,"✔","-")</f>
        <v>-</v>
      </c>
      <c r="AZ52" s="198" t="str">
        <f>IF('Design Fee'!CV54&gt;0,"✔","-")</f>
        <v>-</v>
      </c>
      <c r="BA52" s="198" t="str">
        <f>IF('Design Fee'!CW54&gt;0,"✔","-")</f>
        <v>-</v>
      </c>
      <c r="BB52" s="220" t="str">
        <f>IF('Design Fee'!CX54&gt;0,"✔","-")</f>
        <v>-</v>
      </c>
      <c r="BC52" s="199"/>
      <c r="BD52" s="198" t="str">
        <f>IF('Design Fee'!CZ54&gt;0,"✔","-")</f>
        <v>-</v>
      </c>
      <c r="BE52" s="198" t="str">
        <f>IF('Design Fee'!DA54&gt;0,"✔","-")</f>
        <v>-</v>
      </c>
      <c r="BF52" s="198" t="str">
        <f>IF('Design Fee'!DB54&gt;0,"✔","-")</f>
        <v>-</v>
      </c>
      <c r="BG52" s="198" t="str">
        <f>IF('Design Fee'!DC54&gt;0,"✔","-")</f>
        <v>-</v>
      </c>
      <c r="BH52" s="198" t="str">
        <f>IF('Design Fee'!DD54&gt;0,"✔","-")</f>
        <v>-</v>
      </c>
      <c r="BI52" s="199"/>
      <c r="BJ52" s="195"/>
      <c r="BK52" s="196"/>
      <c r="BL52" s="197" t="str">
        <f>IF('Design Fee'!EA54&gt;0,"✔","-")</f>
        <v>-</v>
      </c>
      <c r="BM52" s="197" t="str">
        <f>IF('Design Fee'!EB54&gt;0,"✔","-")</f>
        <v>-</v>
      </c>
      <c r="BN52" s="198" t="str">
        <f>IF('Design Fee'!EC54&gt;0,"✔","-")</f>
        <v>-</v>
      </c>
      <c r="BO52" s="198" t="str">
        <f>IF('Design Fee'!ED54&gt;0,"✔","-")</f>
        <v>-</v>
      </c>
      <c r="BP52" s="198" t="str">
        <f>IF('Design Fee'!EE54&gt;0,"✔","-")</f>
        <v>-</v>
      </c>
      <c r="BQ52" s="198" t="str">
        <f>IF('Design Fee'!EF54&gt;0,"✔","-")</f>
        <v>-</v>
      </c>
      <c r="BR52" s="198" t="str">
        <f>IF('Design Fee'!EG54&gt;0,"✔","-")</f>
        <v>-</v>
      </c>
      <c r="BS52" s="220" t="str">
        <f>IF('Design Fee'!EH54&gt;0,"✔","-")</f>
        <v>-</v>
      </c>
      <c r="BT52" s="137"/>
      <c r="BU52" s="198" t="str">
        <f>IF('Design Fee'!EJ54&gt;0,"✔","-")</f>
        <v>-</v>
      </c>
      <c r="BV52" s="198" t="str">
        <f>IF('Design Fee'!EK54&gt;0,"✔","-")</f>
        <v>-</v>
      </c>
      <c r="BW52" s="198" t="str">
        <f>IF('Design Fee'!EL54&gt;0,"✔","-")</f>
        <v>-</v>
      </c>
      <c r="BX52" s="198" t="str">
        <f>IF('Design Fee'!EM54&gt;0,"✔","-")</f>
        <v>-</v>
      </c>
      <c r="BY52" s="198" t="str">
        <f>IF('Design Fee'!EN54&gt;0,"✔","-")</f>
        <v>-</v>
      </c>
      <c r="BZ52" s="137"/>
    </row>
    <row r="53" spans="2:92" ht="12.75" outlineLevel="2">
      <c r="B53" s="217" t="s">
        <v>57</v>
      </c>
      <c r="C53" s="218">
        <v>4</v>
      </c>
      <c r="D53" s="219" t="s">
        <v>58</v>
      </c>
      <c r="E53" s="137"/>
      <c r="F53" s="197">
        <f t="shared" si="12"/>
        <v>3</v>
      </c>
      <c r="G53" s="206">
        <f t="shared" si="13"/>
        <v>3</v>
      </c>
      <c r="H53" s="206">
        <f t="shared" si="13"/>
        <v>3</v>
      </c>
      <c r="I53" s="206">
        <f t="shared" si="14"/>
        <v>0</v>
      </c>
      <c r="J53" s="221"/>
      <c r="K53" s="195"/>
      <c r="L53" s="196"/>
      <c r="M53" s="197" t="str">
        <f>IF('Design Fee'!W55&gt;0,"✔","-")</f>
        <v>✔</v>
      </c>
      <c r="N53" s="197" t="str">
        <f>IF('Design Fee'!X55&gt;0,"✔","-")</f>
        <v>✔</v>
      </c>
      <c r="O53" s="206" t="str">
        <f>IF('Design Fee'!Y55&gt;0,"✔","-")</f>
        <v>✔</v>
      </c>
      <c r="P53" s="206" t="str">
        <f>IF('Design Fee'!Z55&gt;0,"✔","-")</f>
        <v>-</v>
      </c>
      <c r="Q53" s="206" t="str">
        <f>IF('Design Fee'!AA55&gt;0,"✔","-")</f>
        <v>-</v>
      </c>
      <c r="R53" s="206" t="str">
        <f>IF('Design Fee'!AB55&gt;0,"✔","-")</f>
        <v>-</v>
      </c>
      <c r="S53" s="206" t="str">
        <f>IF('Design Fee'!AC55&gt;0,"✔","-")</f>
        <v>-</v>
      </c>
      <c r="T53" s="220" t="str">
        <f>IF('Design Fee'!AD55&gt;0,"✔","-")</f>
        <v>-</v>
      </c>
      <c r="U53" s="221"/>
      <c r="V53" s="198" t="str">
        <f>IF('Design Fee'!AF55&gt;0,"✔","-")</f>
        <v>-</v>
      </c>
      <c r="W53" s="198" t="str">
        <f>IF('Design Fee'!AG55&gt;0,"✔","-")</f>
        <v>-</v>
      </c>
      <c r="X53" s="198" t="str">
        <f>IF('Design Fee'!AH55&gt;0,"✔","-")</f>
        <v>-</v>
      </c>
      <c r="Y53" s="198" t="str">
        <f>IF('Design Fee'!AI55&gt;0,"✔","-")</f>
        <v>-</v>
      </c>
      <c r="Z53" s="198" t="str">
        <f>IF('Design Fee'!AJ55&gt;0,"✔","-")</f>
        <v>-</v>
      </c>
      <c r="AA53" s="221"/>
      <c r="AB53" s="195"/>
      <c r="AC53" s="196"/>
      <c r="AD53" s="197" t="str">
        <f>IF('Design Fee'!BG55&gt;0,"✔","-")</f>
        <v>✔</v>
      </c>
      <c r="AE53" s="197" t="str">
        <f>IF('Design Fee'!BH55&gt;0,"✔","-")</f>
        <v>✔</v>
      </c>
      <c r="AF53" s="206" t="str">
        <f>IF('Design Fee'!BI55&gt;0,"✔","-")</f>
        <v>✔</v>
      </c>
      <c r="AG53" s="206" t="str">
        <f>IF('Design Fee'!BJ55&gt;0,"✔","-")</f>
        <v>-</v>
      </c>
      <c r="AH53" s="206" t="str">
        <f>IF('Design Fee'!BK55&gt;0,"✔","-")</f>
        <v>-</v>
      </c>
      <c r="AI53" s="206" t="str">
        <f>IF('Design Fee'!BL55&gt;0,"✔","-")</f>
        <v>-</v>
      </c>
      <c r="AJ53" s="206" t="str">
        <f>IF('Design Fee'!BM55&gt;0,"✔","-")</f>
        <v>-</v>
      </c>
      <c r="AK53" s="220" t="str">
        <f>IF('Design Fee'!BN55&gt;0,"✔","-")</f>
        <v>-</v>
      </c>
      <c r="AL53" s="199"/>
      <c r="AM53" s="198" t="str">
        <f>IF('Design Fee'!BP55&gt;0,"✔","-")</f>
        <v>-</v>
      </c>
      <c r="AN53" s="198" t="str">
        <f>IF('Design Fee'!BQ55&gt;0,"✔","-")</f>
        <v>-</v>
      </c>
      <c r="AO53" s="198" t="str">
        <f>IF('Design Fee'!BR55&gt;0,"✔","-")</f>
        <v>-</v>
      </c>
      <c r="AP53" s="198" t="str">
        <f>IF('Design Fee'!BS55&gt;0,"✔","-")</f>
        <v>-</v>
      </c>
      <c r="AQ53" s="198" t="str">
        <f>IF('Design Fee'!BT55&gt;0,"✔","-")</f>
        <v>-</v>
      </c>
      <c r="AR53" s="199"/>
      <c r="AS53" s="195"/>
      <c r="AT53" s="196"/>
      <c r="AU53" s="197" t="str">
        <f>IF('Design Fee'!CQ55&gt;0,"✔","-")</f>
        <v>✔</v>
      </c>
      <c r="AV53" s="197" t="str">
        <f>IF('Design Fee'!CR55&gt;0,"✔","-")</f>
        <v>✔</v>
      </c>
      <c r="AW53" s="206" t="str">
        <f>IF('Design Fee'!CS55&gt;0,"✔","-")</f>
        <v>✔</v>
      </c>
      <c r="AX53" s="206" t="str">
        <f>IF('Design Fee'!CT55&gt;0,"✔","-")</f>
        <v>-</v>
      </c>
      <c r="AY53" s="206" t="str">
        <f>IF('Design Fee'!CU55&gt;0,"✔","-")</f>
        <v>-</v>
      </c>
      <c r="AZ53" s="206" t="str">
        <f>IF('Design Fee'!CV55&gt;0,"✔","-")</f>
        <v>-</v>
      </c>
      <c r="BA53" s="206" t="str">
        <f>IF('Design Fee'!CW55&gt;0,"✔","-")</f>
        <v>-</v>
      </c>
      <c r="BB53" s="220" t="str">
        <f>IF('Design Fee'!CX55&gt;0,"✔","-")</f>
        <v>-</v>
      </c>
      <c r="BC53" s="199"/>
      <c r="BD53" s="198" t="str">
        <f>IF('Design Fee'!CZ55&gt;0,"✔","-")</f>
        <v>-</v>
      </c>
      <c r="BE53" s="198" t="str">
        <f>IF('Design Fee'!DA55&gt;0,"✔","-")</f>
        <v>-</v>
      </c>
      <c r="BF53" s="198" t="str">
        <f>IF('Design Fee'!DB55&gt;0,"✔","-")</f>
        <v>-</v>
      </c>
      <c r="BG53" s="198" t="str">
        <f>IF('Design Fee'!DC55&gt;0,"✔","-")</f>
        <v>-</v>
      </c>
      <c r="BH53" s="198" t="str">
        <f>IF('Design Fee'!DD55&gt;0,"✔","-")</f>
        <v>-</v>
      </c>
      <c r="BI53" s="199"/>
      <c r="BJ53" s="195"/>
      <c r="BK53" s="196"/>
      <c r="BL53" s="197" t="str">
        <f>IF('Design Fee'!EA55&gt;0,"✔","-")</f>
        <v>-</v>
      </c>
      <c r="BM53" s="197" t="str">
        <f>IF('Design Fee'!EB55&gt;0,"✔","-")</f>
        <v>-</v>
      </c>
      <c r="BN53" s="206" t="str">
        <f>IF('Design Fee'!EC55&gt;0,"✔","-")</f>
        <v>-</v>
      </c>
      <c r="BO53" s="206" t="str">
        <f>IF('Design Fee'!ED55&gt;0,"✔","-")</f>
        <v>-</v>
      </c>
      <c r="BP53" s="206" t="str">
        <f>IF('Design Fee'!EE55&gt;0,"✔","-")</f>
        <v>-</v>
      </c>
      <c r="BQ53" s="206" t="str">
        <f>IF('Design Fee'!EF55&gt;0,"✔","-")</f>
        <v>-</v>
      </c>
      <c r="BR53" s="206" t="str">
        <f>IF('Design Fee'!EG55&gt;0,"✔","-")</f>
        <v>-</v>
      </c>
      <c r="BS53" s="220" t="str">
        <f>IF('Design Fee'!EH55&gt;0,"✔","-")</f>
        <v>-</v>
      </c>
      <c r="BT53" s="137"/>
      <c r="BU53" s="198" t="str">
        <f>IF('Design Fee'!EJ55&gt;0,"✔","-")</f>
        <v>-</v>
      </c>
      <c r="BV53" s="198" t="str">
        <f>IF('Design Fee'!EK55&gt;0,"✔","-")</f>
        <v>-</v>
      </c>
      <c r="BW53" s="198" t="str">
        <f>IF('Design Fee'!EL55&gt;0,"✔","-")</f>
        <v>-</v>
      </c>
      <c r="BX53" s="198" t="str">
        <f>IF('Design Fee'!EM55&gt;0,"✔","-")</f>
        <v>-</v>
      </c>
      <c r="BY53" s="198" t="str">
        <f>IF('Design Fee'!EN55&gt;0,"✔","-")</f>
        <v>-</v>
      </c>
      <c r="BZ53" s="137"/>
    </row>
    <row r="54" spans="2:92" ht="12.75" outlineLevel="2">
      <c r="B54" s="217" t="s">
        <v>59</v>
      </c>
      <c r="C54" s="218">
        <v>5</v>
      </c>
      <c r="D54" s="219" t="s">
        <v>60</v>
      </c>
      <c r="E54" s="137"/>
      <c r="F54" s="197">
        <f t="shared" si="12"/>
        <v>2</v>
      </c>
      <c r="G54" s="206">
        <f t="shared" si="13"/>
        <v>2</v>
      </c>
      <c r="H54" s="206">
        <f t="shared" si="13"/>
        <v>2</v>
      </c>
      <c r="I54" s="206">
        <f t="shared" si="14"/>
        <v>0</v>
      </c>
      <c r="J54" s="184"/>
      <c r="K54" s="195"/>
      <c r="L54" s="196"/>
      <c r="M54" s="197" t="str">
        <f>IF('Design Fee'!W56&gt;0,"✔","-")</f>
        <v>✔</v>
      </c>
      <c r="N54" s="197" t="str">
        <f>IF('Design Fee'!X56&gt;0,"✔","-")</f>
        <v>✔</v>
      </c>
      <c r="O54" s="206" t="str">
        <f>IF('Design Fee'!Y56&gt;0,"✔","-")</f>
        <v>✔</v>
      </c>
      <c r="P54" s="206" t="str">
        <f>IF('Design Fee'!Z56&gt;0,"✔","-")</f>
        <v>-</v>
      </c>
      <c r="Q54" s="206" t="str">
        <f>IF('Design Fee'!AA56&gt;0,"✔","-")</f>
        <v>-</v>
      </c>
      <c r="R54" s="206" t="str">
        <f>IF('Design Fee'!AB56&gt;0,"✔","-")</f>
        <v>-</v>
      </c>
      <c r="S54" s="206" t="str">
        <f>IF('Design Fee'!AC56&gt;0,"✔","-")</f>
        <v>-</v>
      </c>
      <c r="T54" s="220" t="str">
        <f>IF('Design Fee'!AD56&gt;0,"✔","-")</f>
        <v>-</v>
      </c>
      <c r="U54" s="184"/>
      <c r="V54" s="198" t="str">
        <f>IF('Design Fee'!AF56&gt;0,"✔","-")</f>
        <v>-</v>
      </c>
      <c r="W54" s="198" t="str">
        <f>IF('Design Fee'!AG56&gt;0,"✔","-")</f>
        <v>-</v>
      </c>
      <c r="X54" s="198" t="str">
        <f>IF('Design Fee'!AH56&gt;0,"✔","-")</f>
        <v>-</v>
      </c>
      <c r="Y54" s="198" t="str">
        <f>IF('Design Fee'!AI56&gt;0,"✔","-")</f>
        <v>-</v>
      </c>
      <c r="Z54" s="198" t="str">
        <f>IF('Design Fee'!AJ56&gt;0,"✔","-")</f>
        <v>-</v>
      </c>
      <c r="AA54" s="184"/>
      <c r="AB54" s="195"/>
      <c r="AC54" s="196"/>
      <c r="AD54" s="197" t="str">
        <f>IF('Design Fee'!BG56&gt;0,"✔","-")</f>
        <v>✔</v>
      </c>
      <c r="AE54" s="197" t="str">
        <f>IF('Design Fee'!BH56&gt;0,"✔","-")</f>
        <v>✔</v>
      </c>
      <c r="AF54" s="206" t="str">
        <f>IF('Design Fee'!BI56&gt;0,"✔","-")</f>
        <v>✔</v>
      </c>
      <c r="AG54" s="206" t="str">
        <f>IF('Design Fee'!BJ56&gt;0,"✔","-")</f>
        <v>-</v>
      </c>
      <c r="AH54" s="206" t="str">
        <f>IF('Design Fee'!BK56&gt;0,"✔","-")</f>
        <v>-</v>
      </c>
      <c r="AI54" s="206" t="str">
        <f>IF('Design Fee'!BL56&gt;0,"✔","-")</f>
        <v>-</v>
      </c>
      <c r="AJ54" s="206" t="str">
        <f>IF('Design Fee'!BM56&gt;0,"✔","-")</f>
        <v>-</v>
      </c>
      <c r="AK54" s="220" t="str">
        <f>IF('Design Fee'!BN56&gt;0,"✔","-")</f>
        <v>-</v>
      </c>
      <c r="AL54" s="199"/>
      <c r="AM54" s="198" t="str">
        <f>IF('Design Fee'!BP56&gt;0,"✔","-")</f>
        <v>-</v>
      </c>
      <c r="AN54" s="198" t="str">
        <f>IF('Design Fee'!BQ56&gt;0,"✔","-")</f>
        <v>-</v>
      </c>
      <c r="AO54" s="198" t="str">
        <f>IF('Design Fee'!BR56&gt;0,"✔","-")</f>
        <v>-</v>
      </c>
      <c r="AP54" s="198" t="str">
        <f>IF('Design Fee'!BS56&gt;0,"✔","-")</f>
        <v>-</v>
      </c>
      <c r="AQ54" s="198" t="str">
        <f>IF('Design Fee'!BT56&gt;0,"✔","-")</f>
        <v>-</v>
      </c>
      <c r="AR54" s="199"/>
      <c r="AS54" s="195"/>
      <c r="AT54" s="196"/>
      <c r="AU54" s="197" t="str">
        <f>IF('Design Fee'!CQ56&gt;0,"✔","-")</f>
        <v>-</v>
      </c>
      <c r="AV54" s="197" t="str">
        <f>IF('Design Fee'!CR56&gt;0,"✔","-")</f>
        <v>-</v>
      </c>
      <c r="AW54" s="206" t="str">
        <f>IF('Design Fee'!CS56&gt;0,"✔","-")</f>
        <v>-</v>
      </c>
      <c r="AX54" s="206" t="str">
        <f>IF('Design Fee'!CT56&gt;0,"✔","-")</f>
        <v>-</v>
      </c>
      <c r="AY54" s="206" t="str">
        <f>IF('Design Fee'!CU56&gt;0,"✔","-")</f>
        <v>-</v>
      </c>
      <c r="AZ54" s="206" t="str">
        <f>IF('Design Fee'!CV56&gt;0,"✔","-")</f>
        <v>-</v>
      </c>
      <c r="BA54" s="206" t="str">
        <f>IF('Design Fee'!CW56&gt;0,"✔","-")</f>
        <v>-</v>
      </c>
      <c r="BB54" s="220" t="str">
        <f>IF('Design Fee'!CX56&gt;0,"✔","-")</f>
        <v>-</v>
      </c>
      <c r="BC54" s="199"/>
      <c r="BD54" s="198" t="str">
        <f>IF('Design Fee'!CZ56&gt;0,"✔","-")</f>
        <v>-</v>
      </c>
      <c r="BE54" s="198" t="str">
        <f>IF('Design Fee'!DA56&gt;0,"✔","-")</f>
        <v>-</v>
      </c>
      <c r="BF54" s="198" t="str">
        <f>IF('Design Fee'!DB56&gt;0,"✔","-")</f>
        <v>-</v>
      </c>
      <c r="BG54" s="198" t="str">
        <f>IF('Design Fee'!DC56&gt;0,"✔","-")</f>
        <v>-</v>
      </c>
      <c r="BH54" s="198" t="str">
        <f>IF('Design Fee'!DD56&gt;0,"✔","-")</f>
        <v>-</v>
      </c>
      <c r="BI54" s="199"/>
      <c r="BJ54" s="195"/>
      <c r="BK54" s="196"/>
      <c r="BL54" s="197" t="str">
        <f>IF('Design Fee'!EA56&gt;0,"✔","-")</f>
        <v>-</v>
      </c>
      <c r="BM54" s="197" t="str">
        <f>IF('Design Fee'!EB56&gt;0,"✔","-")</f>
        <v>-</v>
      </c>
      <c r="BN54" s="206" t="str">
        <f>IF('Design Fee'!EC56&gt;0,"✔","-")</f>
        <v>-</v>
      </c>
      <c r="BO54" s="206" t="str">
        <f>IF('Design Fee'!ED56&gt;0,"✔","-")</f>
        <v>-</v>
      </c>
      <c r="BP54" s="206" t="str">
        <f>IF('Design Fee'!EE56&gt;0,"✔","-")</f>
        <v>-</v>
      </c>
      <c r="BQ54" s="206" t="str">
        <f>IF('Design Fee'!EF56&gt;0,"✔","-")</f>
        <v>-</v>
      </c>
      <c r="BR54" s="206" t="str">
        <f>IF('Design Fee'!EG56&gt;0,"✔","-")</f>
        <v>-</v>
      </c>
      <c r="BS54" s="220" t="str">
        <f>IF('Design Fee'!EH56&gt;0,"✔","-")</f>
        <v>-</v>
      </c>
      <c r="BT54" s="137"/>
      <c r="BU54" s="198" t="str">
        <f>IF('Design Fee'!EJ56&gt;0,"✔","-")</f>
        <v>-</v>
      </c>
      <c r="BV54" s="198" t="str">
        <f>IF('Design Fee'!EK56&gt;0,"✔","-")</f>
        <v>-</v>
      </c>
      <c r="BW54" s="198" t="str">
        <f>IF('Design Fee'!EL56&gt;0,"✔","-")</f>
        <v>-</v>
      </c>
      <c r="BX54" s="198" t="str">
        <f>IF('Design Fee'!EM56&gt;0,"✔","-")</f>
        <v>-</v>
      </c>
      <c r="BY54" s="198" t="str">
        <f>IF('Design Fee'!EN56&gt;0,"✔","-")</f>
        <v>-</v>
      </c>
      <c r="BZ54" s="137"/>
    </row>
    <row r="55" spans="2:92" ht="12.75" outlineLevel="2">
      <c r="B55" s="217" t="s">
        <v>61</v>
      </c>
      <c r="C55" s="218">
        <v>6</v>
      </c>
      <c r="D55" s="219" t="s">
        <v>62</v>
      </c>
      <c r="E55" s="137"/>
      <c r="F55" s="197">
        <f t="shared" si="12"/>
        <v>2</v>
      </c>
      <c r="G55" s="206">
        <f t="shared" si="13"/>
        <v>2</v>
      </c>
      <c r="H55" s="206">
        <f t="shared" si="13"/>
        <v>2</v>
      </c>
      <c r="I55" s="206">
        <f t="shared" si="14"/>
        <v>0</v>
      </c>
      <c r="J55" s="184"/>
      <c r="K55" s="195"/>
      <c r="L55" s="196"/>
      <c r="M55" s="197" t="str">
        <f>IF('Design Fee'!W57&gt;0,"✔","-")</f>
        <v>✔</v>
      </c>
      <c r="N55" s="197" t="str">
        <f>IF('Design Fee'!X57&gt;0,"✔","-")</f>
        <v>✔</v>
      </c>
      <c r="O55" s="206" t="str">
        <f>IF('Design Fee'!Y57&gt;0,"✔","-")</f>
        <v>✔</v>
      </c>
      <c r="P55" s="206" t="str">
        <f>IF('Design Fee'!Z57&gt;0,"✔","-")</f>
        <v>-</v>
      </c>
      <c r="Q55" s="206" t="str">
        <f>IF('Design Fee'!AA57&gt;0,"✔","-")</f>
        <v>-</v>
      </c>
      <c r="R55" s="206" t="str">
        <f>IF('Design Fee'!AB57&gt;0,"✔","-")</f>
        <v>-</v>
      </c>
      <c r="S55" s="206" t="str">
        <f>IF('Design Fee'!AC57&gt;0,"✔","-")</f>
        <v>-</v>
      </c>
      <c r="T55" s="220" t="str">
        <f>IF('Design Fee'!AD57&gt;0,"✔","-")</f>
        <v>-</v>
      </c>
      <c r="U55" s="184"/>
      <c r="V55" s="198" t="str">
        <f>IF('Design Fee'!AF57&gt;0,"✔","-")</f>
        <v>-</v>
      </c>
      <c r="W55" s="198" t="str">
        <f>IF('Design Fee'!AG57&gt;0,"✔","-")</f>
        <v>-</v>
      </c>
      <c r="X55" s="198" t="str">
        <f>IF('Design Fee'!AH57&gt;0,"✔","-")</f>
        <v>-</v>
      </c>
      <c r="Y55" s="198" t="str">
        <f>IF('Design Fee'!AI57&gt;0,"✔","-")</f>
        <v>-</v>
      </c>
      <c r="Z55" s="198" t="str">
        <f>IF('Design Fee'!AJ57&gt;0,"✔","-")</f>
        <v>-</v>
      </c>
      <c r="AA55" s="184"/>
      <c r="AB55" s="195"/>
      <c r="AC55" s="196"/>
      <c r="AD55" s="197" t="str">
        <f>IF('Design Fee'!BG57&gt;0,"✔","-")</f>
        <v>✔</v>
      </c>
      <c r="AE55" s="197" t="str">
        <f>IF('Design Fee'!BH57&gt;0,"✔","-")</f>
        <v>✔</v>
      </c>
      <c r="AF55" s="206" t="str">
        <f>IF('Design Fee'!BI57&gt;0,"✔","-")</f>
        <v>✔</v>
      </c>
      <c r="AG55" s="206" t="str">
        <f>IF('Design Fee'!BJ57&gt;0,"✔","-")</f>
        <v>-</v>
      </c>
      <c r="AH55" s="206" t="str">
        <f>IF('Design Fee'!BK57&gt;0,"✔","-")</f>
        <v>-</v>
      </c>
      <c r="AI55" s="206" t="str">
        <f>IF('Design Fee'!BL57&gt;0,"✔","-")</f>
        <v>-</v>
      </c>
      <c r="AJ55" s="206" t="str">
        <f>IF('Design Fee'!BM57&gt;0,"✔","-")</f>
        <v>-</v>
      </c>
      <c r="AK55" s="220" t="str">
        <f>IF('Design Fee'!BN57&gt;0,"✔","-")</f>
        <v>-</v>
      </c>
      <c r="AL55" s="199"/>
      <c r="AM55" s="198" t="str">
        <f>IF('Design Fee'!BP57&gt;0,"✔","-")</f>
        <v>-</v>
      </c>
      <c r="AN55" s="198" t="str">
        <f>IF('Design Fee'!BQ57&gt;0,"✔","-")</f>
        <v>-</v>
      </c>
      <c r="AO55" s="198" t="str">
        <f>IF('Design Fee'!BR57&gt;0,"✔","-")</f>
        <v>-</v>
      </c>
      <c r="AP55" s="198" t="str">
        <f>IF('Design Fee'!BS57&gt;0,"✔","-")</f>
        <v>-</v>
      </c>
      <c r="AQ55" s="198" t="str">
        <f>IF('Design Fee'!BT57&gt;0,"✔","-")</f>
        <v>-</v>
      </c>
      <c r="AR55" s="199"/>
      <c r="AS55" s="195"/>
      <c r="AT55" s="196"/>
      <c r="AU55" s="197" t="str">
        <f>IF('Design Fee'!CQ57&gt;0,"✔","-")</f>
        <v>-</v>
      </c>
      <c r="AV55" s="197" t="str">
        <f>IF('Design Fee'!CR57&gt;0,"✔","-")</f>
        <v>-</v>
      </c>
      <c r="AW55" s="206" t="str">
        <f>IF('Design Fee'!CS57&gt;0,"✔","-")</f>
        <v>-</v>
      </c>
      <c r="AX55" s="206" t="str">
        <f>IF('Design Fee'!CT57&gt;0,"✔","-")</f>
        <v>-</v>
      </c>
      <c r="AY55" s="206" t="str">
        <f>IF('Design Fee'!CU57&gt;0,"✔","-")</f>
        <v>-</v>
      </c>
      <c r="AZ55" s="206" t="str">
        <f>IF('Design Fee'!CV57&gt;0,"✔","-")</f>
        <v>-</v>
      </c>
      <c r="BA55" s="206" t="str">
        <f>IF('Design Fee'!CW57&gt;0,"✔","-")</f>
        <v>-</v>
      </c>
      <c r="BB55" s="220" t="str">
        <f>IF('Design Fee'!CX57&gt;0,"✔","-")</f>
        <v>-</v>
      </c>
      <c r="BC55" s="199"/>
      <c r="BD55" s="198" t="str">
        <f>IF('Design Fee'!CZ57&gt;0,"✔","-")</f>
        <v>-</v>
      </c>
      <c r="BE55" s="198" t="str">
        <f>IF('Design Fee'!DA57&gt;0,"✔","-")</f>
        <v>-</v>
      </c>
      <c r="BF55" s="198" t="str">
        <f>IF('Design Fee'!DB57&gt;0,"✔","-")</f>
        <v>-</v>
      </c>
      <c r="BG55" s="198" t="str">
        <f>IF('Design Fee'!DC57&gt;0,"✔","-")</f>
        <v>-</v>
      </c>
      <c r="BH55" s="198" t="str">
        <f>IF('Design Fee'!DD57&gt;0,"✔","-")</f>
        <v>-</v>
      </c>
      <c r="BI55" s="199"/>
      <c r="BJ55" s="195"/>
      <c r="BK55" s="196"/>
      <c r="BL55" s="197" t="str">
        <f>IF('Design Fee'!EA57&gt;0,"✔","-")</f>
        <v>-</v>
      </c>
      <c r="BM55" s="197" t="str">
        <f>IF('Design Fee'!EB57&gt;0,"✔","-")</f>
        <v>-</v>
      </c>
      <c r="BN55" s="206" t="str">
        <f>IF('Design Fee'!EC57&gt;0,"✔","-")</f>
        <v>-</v>
      </c>
      <c r="BO55" s="206" t="str">
        <f>IF('Design Fee'!ED57&gt;0,"✔","-")</f>
        <v>-</v>
      </c>
      <c r="BP55" s="206" t="str">
        <f>IF('Design Fee'!EE57&gt;0,"✔","-")</f>
        <v>-</v>
      </c>
      <c r="BQ55" s="206" t="str">
        <f>IF('Design Fee'!EF57&gt;0,"✔","-")</f>
        <v>-</v>
      </c>
      <c r="BR55" s="206" t="str">
        <f>IF('Design Fee'!EG57&gt;0,"✔","-")</f>
        <v>-</v>
      </c>
      <c r="BS55" s="220" t="str">
        <f>IF('Design Fee'!EH57&gt;0,"✔","-")</f>
        <v>-</v>
      </c>
      <c r="BT55" s="137"/>
      <c r="BU55" s="198" t="str">
        <f>IF('Design Fee'!EJ57&gt;0,"✔","-")</f>
        <v>-</v>
      </c>
      <c r="BV55" s="198" t="str">
        <f>IF('Design Fee'!EK57&gt;0,"✔","-")</f>
        <v>-</v>
      </c>
      <c r="BW55" s="198" t="str">
        <f>IF('Design Fee'!EL57&gt;0,"✔","-")</f>
        <v>-</v>
      </c>
      <c r="BX55" s="198" t="str">
        <f>IF('Design Fee'!EM57&gt;0,"✔","-")</f>
        <v>-</v>
      </c>
      <c r="BY55" s="198" t="str">
        <f>IF('Design Fee'!EN57&gt;0,"✔","-")</f>
        <v>-</v>
      </c>
      <c r="BZ55" s="137"/>
    </row>
    <row r="56" spans="2:92" s="51" customFormat="1" ht="12.75" outlineLevel="2">
      <c r="B56" s="217" t="s">
        <v>63</v>
      </c>
      <c r="C56" s="223">
        <v>7</v>
      </c>
      <c r="D56" s="224" t="s">
        <v>64</v>
      </c>
      <c r="E56" s="222"/>
      <c r="F56" s="227">
        <f t="shared" si="12"/>
        <v>2</v>
      </c>
      <c r="G56" s="220">
        <f t="shared" si="13"/>
        <v>2</v>
      </c>
      <c r="H56" s="220">
        <f t="shared" si="13"/>
        <v>2</v>
      </c>
      <c r="I56" s="220">
        <f t="shared" si="14"/>
        <v>0</v>
      </c>
      <c r="J56" s="229"/>
      <c r="K56" s="225"/>
      <c r="L56" s="226"/>
      <c r="M56" s="197" t="str">
        <f>IF('Design Fee'!W58&gt;0,"✔","-")</f>
        <v>✔</v>
      </c>
      <c r="N56" s="197" t="str">
        <f>IF('Design Fee'!X58&gt;0,"✔","-")</f>
        <v>✔</v>
      </c>
      <c r="O56" s="220" t="str">
        <f>IF('Design Fee'!Y58&gt;0,"✔","-")</f>
        <v>✔</v>
      </c>
      <c r="P56" s="220" t="str">
        <f>IF('Design Fee'!Z58&gt;0,"✔","-")</f>
        <v>-</v>
      </c>
      <c r="Q56" s="228" t="str">
        <f>IF('Design Fee'!AA58&gt;0,"✔","-")</f>
        <v>-</v>
      </c>
      <c r="R56" s="198" t="str">
        <f>IF('Design Fee'!AB58&gt;0,"✔","-")</f>
        <v>-</v>
      </c>
      <c r="S56" s="198" t="str">
        <f>IF('Design Fee'!AC58&gt;0,"✔","-")</f>
        <v>-</v>
      </c>
      <c r="T56" s="220" t="str">
        <f>IF('Design Fee'!AD58&gt;0,"✔","-")</f>
        <v>-</v>
      </c>
      <c r="U56" s="229"/>
      <c r="V56" s="198" t="str">
        <f>IF('Design Fee'!AF58&gt;0,"✔","-")</f>
        <v>-</v>
      </c>
      <c r="W56" s="198" t="str">
        <f>IF('Design Fee'!AG58&gt;0,"✔","-")</f>
        <v>-</v>
      </c>
      <c r="X56" s="198" t="str">
        <f>IF('Design Fee'!AH58&gt;0,"✔","-")</f>
        <v>-</v>
      </c>
      <c r="Y56" s="198" t="str">
        <f>IF('Design Fee'!AI58&gt;0,"✔","-")</f>
        <v>-</v>
      </c>
      <c r="Z56" s="198" t="str">
        <f>IF('Design Fee'!AJ58&gt;0,"✔","-")</f>
        <v>-</v>
      </c>
      <c r="AA56" s="229"/>
      <c r="AB56" s="225"/>
      <c r="AC56" s="226"/>
      <c r="AD56" s="197" t="str">
        <f>IF('Design Fee'!BG58&gt;0,"✔","-")</f>
        <v>-</v>
      </c>
      <c r="AE56" s="197" t="str">
        <f>IF('Design Fee'!BH58&gt;0,"✔","-")</f>
        <v>-</v>
      </c>
      <c r="AF56" s="220" t="str">
        <f>IF('Design Fee'!BI58&gt;0,"✔","-")</f>
        <v>-</v>
      </c>
      <c r="AG56" s="220" t="str">
        <f>IF('Design Fee'!BJ58&gt;0,"✔","-")</f>
        <v>-</v>
      </c>
      <c r="AH56" s="228" t="str">
        <f>IF('Design Fee'!BK58&gt;0,"✔","-")</f>
        <v>-</v>
      </c>
      <c r="AI56" s="198" t="str">
        <f>IF('Design Fee'!BL58&gt;0,"✔","-")</f>
        <v>-</v>
      </c>
      <c r="AJ56" s="198" t="str">
        <f>IF('Design Fee'!BM58&gt;0,"✔","-")</f>
        <v>-</v>
      </c>
      <c r="AK56" s="220" t="str">
        <f>IF('Design Fee'!BN58&gt;0,"✔","-")</f>
        <v>-</v>
      </c>
      <c r="AL56" s="230"/>
      <c r="AM56" s="198" t="str">
        <f>IF('Design Fee'!BP58&gt;0,"✔","-")</f>
        <v>-</v>
      </c>
      <c r="AN56" s="198" t="str">
        <f>IF('Design Fee'!BQ58&gt;0,"✔","-")</f>
        <v>-</v>
      </c>
      <c r="AO56" s="198" t="str">
        <f>IF('Design Fee'!BR58&gt;0,"✔","-")</f>
        <v>-</v>
      </c>
      <c r="AP56" s="198" t="str">
        <f>IF('Design Fee'!BS58&gt;0,"✔","-")</f>
        <v>-</v>
      </c>
      <c r="AQ56" s="198" t="str">
        <f>IF('Design Fee'!BT58&gt;0,"✔","-")</f>
        <v>-</v>
      </c>
      <c r="AR56" s="230"/>
      <c r="AS56" s="225"/>
      <c r="AT56" s="226"/>
      <c r="AU56" s="197" t="str">
        <f>IF('Design Fee'!CQ58&gt;0,"✔","-")</f>
        <v>✔</v>
      </c>
      <c r="AV56" s="197" t="str">
        <f>IF('Design Fee'!CR58&gt;0,"✔","-")</f>
        <v>✔</v>
      </c>
      <c r="AW56" s="220" t="str">
        <f>IF('Design Fee'!CS58&gt;0,"✔","-")</f>
        <v>✔</v>
      </c>
      <c r="AX56" s="220" t="str">
        <f>IF('Design Fee'!CT58&gt;0,"✔","-")</f>
        <v>-</v>
      </c>
      <c r="AY56" s="228" t="str">
        <f>IF('Design Fee'!CU58&gt;0,"✔","-")</f>
        <v>-</v>
      </c>
      <c r="AZ56" s="198" t="str">
        <f>IF('Design Fee'!CV58&gt;0,"✔","-")</f>
        <v>-</v>
      </c>
      <c r="BA56" s="198" t="str">
        <f>IF('Design Fee'!CW58&gt;0,"✔","-")</f>
        <v>-</v>
      </c>
      <c r="BB56" s="220" t="str">
        <f>IF('Design Fee'!CX58&gt;0,"✔","-")</f>
        <v>-</v>
      </c>
      <c r="BC56" s="230"/>
      <c r="BD56" s="198" t="str">
        <f>IF('Design Fee'!CZ58&gt;0,"✔","-")</f>
        <v>-</v>
      </c>
      <c r="BE56" s="198" t="str">
        <f>IF('Design Fee'!DA58&gt;0,"✔","-")</f>
        <v>-</v>
      </c>
      <c r="BF56" s="198" t="str">
        <f>IF('Design Fee'!DB58&gt;0,"✔","-")</f>
        <v>-</v>
      </c>
      <c r="BG56" s="198" t="str">
        <f>IF('Design Fee'!DC58&gt;0,"✔","-")</f>
        <v>-</v>
      </c>
      <c r="BH56" s="198" t="str">
        <f>IF('Design Fee'!DD58&gt;0,"✔","-")</f>
        <v>-</v>
      </c>
      <c r="BI56" s="230"/>
      <c r="BJ56" s="225"/>
      <c r="BK56" s="226"/>
      <c r="BL56" s="197" t="str">
        <f>IF('Design Fee'!EA58&gt;0,"✔","-")</f>
        <v>-</v>
      </c>
      <c r="BM56" s="197" t="str">
        <f>IF('Design Fee'!EB58&gt;0,"✔","-")</f>
        <v>-</v>
      </c>
      <c r="BN56" s="220" t="str">
        <f>IF('Design Fee'!EC58&gt;0,"✔","-")</f>
        <v>-</v>
      </c>
      <c r="BO56" s="220" t="str">
        <f>IF('Design Fee'!ED58&gt;0,"✔","-")</f>
        <v>-</v>
      </c>
      <c r="BP56" s="228" t="str">
        <f>IF('Design Fee'!EE58&gt;0,"✔","-")</f>
        <v>-</v>
      </c>
      <c r="BQ56" s="198" t="str">
        <f>IF('Design Fee'!EF58&gt;0,"✔","-")</f>
        <v>-</v>
      </c>
      <c r="BR56" s="198" t="str">
        <f>IF('Design Fee'!EG58&gt;0,"✔","-")</f>
        <v>-</v>
      </c>
      <c r="BS56" s="220" t="str">
        <f>IF('Design Fee'!EH58&gt;0,"✔","-")</f>
        <v>-</v>
      </c>
      <c r="BT56" s="222"/>
      <c r="BU56" s="198" t="str">
        <f>IF('Design Fee'!EJ58&gt;0,"✔","-")</f>
        <v>-</v>
      </c>
      <c r="BV56" s="198" t="str">
        <f>IF('Design Fee'!EK58&gt;0,"✔","-")</f>
        <v>-</v>
      </c>
      <c r="BW56" s="198" t="str">
        <f>IF('Design Fee'!EL58&gt;0,"✔","-")</f>
        <v>-</v>
      </c>
      <c r="BX56" s="198" t="str">
        <f>IF('Design Fee'!EM58&gt;0,"✔","-")</f>
        <v>-</v>
      </c>
      <c r="BY56" s="198" t="str">
        <f>IF('Design Fee'!EN58&gt;0,"✔","-")</f>
        <v>-</v>
      </c>
      <c r="BZ56" s="137"/>
      <c r="CN56" s="51" t="s">
        <v>65</v>
      </c>
    </row>
    <row r="57" spans="2:92" ht="12.75" outlineLevel="2">
      <c r="B57" s="217" t="s">
        <v>66</v>
      </c>
      <c r="C57" s="218">
        <v>8</v>
      </c>
      <c r="D57" s="219" t="s">
        <v>67</v>
      </c>
      <c r="E57" s="137"/>
      <c r="F57" s="197">
        <f t="shared" si="12"/>
        <v>3</v>
      </c>
      <c r="G57" s="198">
        <f t="shared" si="13"/>
        <v>3</v>
      </c>
      <c r="H57" s="198">
        <f t="shared" si="13"/>
        <v>3</v>
      </c>
      <c r="I57" s="198">
        <f t="shared" si="14"/>
        <v>0</v>
      </c>
      <c r="J57" s="184"/>
      <c r="K57" s="195"/>
      <c r="L57" s="196"/>
      <c r="M57" s="197" t="str">
        <f>IF('Design Fee'!W59&gt;0,"✔","-")</f>
        <v>✔</v>
      </c>
      <c r="N57" s="197" t="str">
        <f>IF('Design Fee'!X59&gt;0,"✔","-")</f>
        <v>✔</v>
      </c>
      <c r="O57" s="198" t="str">
        <f>IF('Design Fee'!Y59&gt;0,"✔","-")</f>
        <v>✔</v>
      </c>
      <c r="P57" s="198" t="str">
        <f>IF('Design Fee'!Z59&gt;0,"✔","-")</f>
        <v>-</v>
      </c>
      <c r="Q57" s="198" t="str">
        <f>IF('Design Fee'!AA59&gt;0,"✔","-")</f>
        <v>-</v>
      </c>
      <c r="R57" s="198" t="str">
        <f>IF('Design Fee'!AB59&gt;0,"✔","-")</f>
        <v>-</v>
      </c>
      <c r="S57" s="198" t="str">
        <f>IF('Design Fee'!AC59&gt;0,"✔","-")</f>
        <v>-</v>
      </c>
      <c r="T57" s="220" t="str">
        <f>IF('Design Fee'!AD59&gt;0,"✔","-")</f>
        <v>-</v>
      </c>
      <c r="U57" s="184"/>
      <c r="V57" s="198" t="str">
        <f>IF('Design Fee'!AF59&gt;0,"✔","-")</f>
        <v>-</v>
      </c>
      <c r="W57" s="198" t="str">
        <f>IF('Design Fee'!AG59&gt;0,"✔","-")</f>
        <v>-</v>
      </c>
      <c r="X57" s="198" t="str">
        <f>IF('Design Fee'!AH59&gt;0,"✔","-")</f>
        <v>-</v>
      </c>
      <c r="Y57" s="198" t="str">
        <f>IF('Design Fee'!AI59&gt;0,"✔","-")</f>
        <v>-</v>
      </c>
      <c r="Z57" s="198" t="str">
        <f>IF('Design Fee'!AJ59&gt;0,"✔","-")</f>
        <v>-</v>
      </c>
      <c r="AA57" s="184"/>
      <c r="AB57" s="195"/>
      <c r="AC57" s="196"/>
      <c r="AD57" s="197" t="str">
        <f>IF('Design Fee'!BG59&gt;0,"✔","-")</f>
        <v>✔</v>
      </c>
      <c r="AE57" s="197" t="str">
        <f>IF('Design Fee'!BH59&gt;0,"✔","-")</f>
        <v>✔</v>
      </c>
      <c r="AF57" s="198" t="str">
        <f>IF('Design Fee'!BI59&gt;0,"✔","-")</f>
        <v>✔</v>
      </c>
      <c r="AG57" s="198" t="str">
        <f>IF('Design Fee'!BJ59&gt;0,"✔","-")</f>
        <v>-</v>
      </c>
      <c r="AH57" s="198" t="str">
        <f>IF('Design Fee'!BK59&gt;0,"✔","-")</f>
        <v>-</v>
      </c>
      <c r="AI57" s="198" t="str">
        <f>IF('Design Fee'!BL59&gt;0,"✔","-")</f>
        <v>-</v>
      </c>
      <c r="AJ57" s="198" t="str">
        <f>IF('Design Fee'!BM59&gt;0,"✔","-")</f>
        <v>-</v>
      </c>
      <c r="AK57" s="220" t="str">
        <f>IF('Design Fee'!BN59&gt;0,"✔","-")</f>
        <v>-</v>
      </c>
      <c r="AL57" s="199"/>
      <c r="AM57" s="198" t="str">
        <f>IF('Design Fee'!BP59&gt;0,"✔","-")</f>
        <v>-</v>
      </c>
      <c r="AN57" s="198" t="str">
        <f>IF('Design Fee'!BQ59&gt;0,"✔","-")</f>
        <v>-</v>
      </c>
      <c r="AO57" s="198" t="str">
        <f>IF('Design Fee'!BR59&gt;0,"✔","-")</f>
        <v>-</v>
      </c>
      <c r="AP57" s="198" t="str">
        <f>IF('Design Fee'!BS59&gt;0,"✔","-")</f>
        <v>-</v>
      </c>
      <c r="AQ57" s="198" t="str">
        <f>IF('Design Fee'!BT59&gt;0,"✔","-")</f>
        <v>-</v>
      </c>
      <c r="AR57" s="199"/>
      <c r="AS57" s="195"/>
      <c r="AT57" s="196"/>
      <c r="AU57" s="197" t="str">
        <f>IF('Design Fee'!CQ59&gt;0,"✔","-")</f>
        <v>✔</v>
      </c>
      <c r="AV57" s="197" t="str">
        <f>IF('Design Fee'!CR59&gt;0,"✔","-")</f>
        <v>✔</v>
      </c>
      <c r="AW57" s="198" t="str">
        <f>IF('Design Fee'!CS59&gt;0,"✔","-")</f>
        <v>✔</v>
      </c>
      <c r="AX57" s="198" t="str">
        <f>IF('Design Fee'!CT59&gt;0,"✔","-")</f>
        <v>-</v>
      </c>
      <c r="AY57" s="198" t="str">
        <f>IF('Design Fee'!CU59&gt;0,"✔","-")</f>
        <v>-</v>
      </c>
      <c r="AZ57" s="198" t="str">
        <f>IF('Design Fee'!CV59&gt;0,"✔","-")</f>
        <v>-</v>
      </c>
      <c r="BA57" s="198" t="str">
        <f>IF('Design Fee'!CW59&gt;0,"✔","-")</f>
        <v>-</v>
      </c>
      <c r="BB57" s="220" t="str">
        <f>IF('Design Fee'!CX59&gt;0,"✔","-")</f>
        <v>-</v>
      </c>
      <c r="BC57" s="199"/>
      <c r="BD57" s="198" t="str">
        <f>IF('Design Fee'!CZ59&gt;0,"✔","-")</f>
        <v>-</v>
      </c>
      <c r="BE57" s="198" t="str">
        <f>IF('Design Fee'!DA59&gt;0,"✔","-")</f>
        <v>-</v>
      </c>
      <c r="BF57" s="198" t="str">
        <f>IF('Design Fee'!DB59&gt;0,"✔","-")</f>
        <v>-</v>
      </c>
      <c r="BG57" s="198" t="str">
        <f>IF('Design Fee'!DC59&gt;0,"✔","-")</f>
        <v>-</v>
      </c>
      <c r="BH57" s="198" t="str">
        <f>IF('Design Fee'!DD59&gt;0,"✔","-")</f>
        <v>-</v>
      </c>
      <c r="BI57" s="199"/>
      <c r="BJ57" s="195"/>
      <c r="BK57" s="196"/>
      <c r="BL57" s="197" t="str">
        <f>IF('Design Fee'!EA59&gt;0,"✔","-")</f>
        <v>-</v>
      </c>
      <c r="BM57" s="197" t="str">
        <f>IF('Design Fee'!EB59&gt;0,"✔","-")</f>
        <v>-</v>
      </c>
      <c r="BN57" s="198" t="str">
        <f>IF('Design Fee'!EC59&gt;0,"✔","-")</f>
        <v>-</v>
      </c>
      <c r="BO57" s="198" t="str">
        <f>IF('Design Fee'!ED59&gt;0,"✔","-")</f>
        <v>-</v>
      </c>
      <c r="BP57" s="198" t="str">
        <f>IF('Design Fee'!EE59&gt;0,"✔","-")</f>
        <v>-</v>
      </c>
      <c r="BQ57" s="198" t="str">
        <f>IF('Design Fee'!EF59&gt;0,"✔","-")</f>
        <v>-</v>
      </c>
      <c r="BR57" s="198" t="str">
        <f>IF('Design Fee'!EG59&gt;0,"✔","-")</f>
        <v>-</v>
      </c>
      <c r="BS57" s="220" t="str">
        <f>IF('Design Fee'!EH59&gt;0,"✔","-")</f>
        <v>-</v>
      </c>
      <c r="BT57" s="137"/>
      <c r="BU57" s="198" t="str">
        <f>IF('Design Fee'!EJ59&gt;0,"✔","-")</f>
        <v>-</v>
      </c>
      <c r="BV57" s="198" t="str">
        <f>IF('Design Fee'!EK59&gt;0,"✔","-")</f>
        <v>-</v>
      </c>
      <c r="BW57" s="198" t="str">
        <f>IF('Design Fee'!EL59&gt;0,"✔","-")</f>
        <v>-</v>
      </c>
      <c r="BX57" s="198" t="str">
        <f>IF('Design Fee'!EM59&gt;0,"✔","-")</f>
        <v>-</v>
      </c>
      <c r="BY57" s="198" t="str">
        <f>IF('Design Fee'!EN59&gt;0,"✔","-")</f>
        <v>-</v>
      </c>
      <c r="BZ57" s="137"/>
    </row>
    <row r="58" spans="2:92" s="51" customFormat="1" ht="12.75" outlineLevel="2">
      <c r="B58" s="217" t="s">
        <v>68</v>
      </c>
      <c r="C58" s="223">
        <v>9</v>
      </c>
      <c r="D58" s="224" t="s">
        <v>69</v>
      </c>
      <c r="E58" s="222"/>
      <c r="F58" s="227">
        <f t="shared" si="12"/>
        <v>3</v>
      </c>
      <c r="G58" s="220">
        <f t="shared" si="13"/>
        <v>3</v>
      </c>
      <c r="H58" s="220">
        <f t="shared" si="13"/>
        <v>3</v>
      </c>
      <c r="I58" s="220">
        <f t="shared" si="14"/>
        <v>0</v>
      </c>
      <c r="J58" s="229"/>
      <c r="K58" s="225"/>
      <c r="L58" s="226"/>
      <c r="M58" s="197" t="str">
        <f>IF('Design Fee'!W60&gt;0,"✔","-")</f>
        <v>✔</v>
      </c>
      <c r="N58" s="197" t="str">
        <f>IF('Design Fee'!X60&gt;0,"✔","-")</f>
        <v>✔</v>
      </c>
      <c r="O58" s="220" t="str">
        <f>IF('Design Fee'!Y60&gt;0,"✔","-")</f>
        <v>✔</v>
      </c>
      <c r="P58" s="220" t="str">
        <f>IF('Design Fee'!Z60&gt;0,"✔","-")</f>
        <v>-</v>
      </c>
      <c r="Q58" s="220" t="str">
        <f>IF('Design Fee'!AA60&gt;0,"✔","-")</f>
        <v>-</v>
      </c>
      <c r="R58" s="198" t="str">
        <f>IF('Design Fee'!AB60&gt;0,"✔","-")</f>
        <v>-</v>
      </c>
      <c r="S58" s="198" t="str">
        <f>IF('Design Fee'!AC60&gt;0,"✔","-")</f>
        <v>-</v>
      </c>
      <c r="T58" s="220" t="str">
        <f>IF('Design Fee'!AD60&gt;0,"✔","-")</f>
        <v>-</v>
      </c>
      <c r="U58" s="229"/>
      <c r="V58" s="198" t="str">
        <f>IF('Design Fee'!AF60&gt;0,"✔","-")</f>
        <v>-</v>
      </c>
      <c r="W58" s="198" t="str">
        <f>IF('Design Fee'!AG60&gt;0,"✔","-")</f>
        <v>-</v>
      </c>
      <c r="X58" s="198" t="str">
        <f>IF('Design Fee'!AH60&gt;0,"✔","-")</f>
        <v>-</v>
      </c>
      <c r="Y58" s="198" t="str">
        <f>IF('Design Fee'!AI60&gt;0,"✔","-")</f>
        <v>-</v>
      </c>
      <c r="Z58" s="198" t="str">
        <f>IF('Design Fee'!AJ60&gt;0,"✔","-")</f>
        <v>-</v>
      </c>
      <c r="AA58" s="229"/>
      <c r="AB58" s="225"/>
      <c r="AC58" s="226"/>
      <c r="AD58" s="197" t="str">
        <f>IF('Design Fee'!BG60&gt;0,"✔","-")</f>
        <v>✔</v>
      </c>
      <c r="AE58" s="197" t="str">
        <f>IF('Design Fee'!BH60&gt;0,"✔","-")</f>
        <v>✔</v>
      </c>
      <c r="AF58" s="220" t="str">
        <f>IF('Design Fee'!BI60&gt;0,"✔","-")</f>
        <v>✔</v>
      </c>
      <c r="AG58" s="220" t="str">
        <f>IF('Design Fee'!BJ60&gt;0,"✔","-")</f>
        <v>-</v>
      </c>
      <c r="AH58" s="220" t="str">
        <f>IF('Design Fee'!BK60&gt;0,"✔","-")</f>
        <v>-</v>
      </c>
      <c r="AI58" s="198" t="str">
        <f>IF('Design Fee'!BL60&gt;0,"✔","-")</f>
        <v>-</v>
      </c>
      <c r="AJ58" s="198" t="str">
        <f>IF('Design Fee'!BM60&gt;0,"✔","-")</f>
        <v>-</v>
      </c>
      <c r="AK58" s="220" t="str">
        <f>IF('Design Fee'!BN60&gt;0,"✔","-")</f>
        <v>-</v>
      </c>
      <c r="AL58" s="230"/>
      <c r="AM58" s="198" t="str">
        <f>IF('Design Fee'!BP60&gt;0,"✔","-")</f>
        <v>-</v>
      </c>
      <c r="AN58" s="198" t="str">
        <f>IF('Design Fee'!BQ60&gt;0,"✔","-")</f>
        <v>-</v>
      </c>
      <c r="AO58" s="198" t="str">
        <f>IF('Design Fee'!BR60&gt;0,"✔","-")</f>
        <v>-</v>
      </c>
      <c r="AP58" s="198" t="str">
        <f>IF('Design Fee'!BS60&gt;0,"✔","-")</f>
        <v>-</v>
      </c>
      <c r="AQ58" s="198" t="str">
        <f>IF('Design Fee'!BT60&gt;0,"✔","-")</f>
        <v>-</v>
      </c>
      <c r="AR58" s="230"/>
      <c r="AS58" s="225"/>
      <c r="AT58" s="226"/>
      <c r="AU58" s="197" t="str">
        <f>IF('Design Fee'!CQ60&gt;0,"✔","-")</f>
        <v>✔</v>
      </c>
      <c r="AV58" s="197" t="str">
        <f>IF('Design Fee'!CR60&gt;0,"✔","-")</f>
        <v>✔</v>
      </c>
      <c r="AW58" s="220" t="str">
        <f>IF('Design Fee'!CS60&gt;0,"✔","-")</f>
        <v>✔</v>
      </c>
      <c r="AX58" s="220" t="str">
        <f>IF('Design Fee'!CT60&gt;0,"✔","-")</f>
        <v>-</v>
      </c>
      <c r="AY58" s="220" t="str">
        <f>IF('Design Fee'!CU60&gt;0,"✔","-")</f>
        <v>-</v>
      </c>
      <c r="AZ58" s="198" t="str">
        <f>IF('Design Fee'!CV60&gt;0,"✔","-")</f>
        <v>-</v>
      </c>
      <c r="BA58" s="198" t="str">
        <f>IF('Design Fee'!CW60&gt;0,"✔","-")</f>
        <v>-</v>
      </c>
      <c r="BB58" s="220" t="str">
        <f>IF('Design Fee'!CX60&gt;0,"✔","-")</f>
        <v>-</v>
      </c>
      <c r="BC58" s="230"/>
      <c r="BD58" s="198" t="str">
        <f>IF('Design Fee'!CZ60&gt;0,"✔","-")</f>
        <v>-</v>
      </c>
      <c r="BE58" s="198" t="str">
        <f>IF('Design Fee'!DA60&gt;0,"✔","-")</f>
        <v>-</v>
      </c>
      <c r="BF58" s="198" t="str">
        <f>IF('Design Fee'!DB60&gt;0,"✔","-")</f>
        <v>-</v>
      </c>
      <c r="BG58" s="198" t="str">
        <f>IF('Design Fee'!DC60&gt;0,"✔","-")</f>
        <v>-</v>
      </c>
      <c r="BH58" s="198" t="str">
        <f>IF('Design Fee'!DD60&gt;0,"✔","-")</f>
        <v>-</v>
      </c>
      <c r="BI58" s="230"/>
      <c r="BJ58" s="225"/>
      <c r="BK58" s="226"/>
      <c r="BL58" s="197" t="str">
        <f>IF('Design Fee'!EA60&gt;0,"✔","-")</f>
        <v>-</v>
      </c>
      <c r="BM58" s="197" t="str">
        <f>IF('Design Fee'!EB60&gt;0,"✔","-")</f>
        <v>-</v>
      </c>
      <c r="BN58" s="220" t="str">
        <f>IF('Design Fee'!EC60&gt;0,"✔","-")</f>
        <v>-</v>
      </c>
      <c r="BO58" s="220" t="str">
        <f>IF('Design Fee'!ED60&gt;0,"✔","-")</f>
        <v>-</v>
      </c>
      <c r="BP58" s="220" t="str">
        <f>IF('Design Fee'!EE60&gt;0,"✔","-")</f>
        <v>-</v>
      </c>
      <c r="BQ58" s="198" t="str">
        <f>IF('Design Fee'!EF60&gt;0,"✔","-")</f>
        <v>-</v>
      </c>
      <c r="BR58" s="198" t="str">
        <f>IF('Design Fee'!EG60&gt;0,"✔","-")</f>
        <v>-</v>
      </c>
      <c r="BS58" s="220" t="str">
        <f>IF('Design Fee'!EH60&gt;0,"✔","-")</f>
        <v>-</v>
      </c>
      <c r="BT58" s="222"/>
      <c r="BU58" s="198" t="str">
        <f>IF('Design Fee'!EJ60&gt;0,"✔","-")</f>
        <v>-</v>
      </c>
      <c r="BV58" s="198" t="str">
        <f>IF('Design Fee'!EK60&gt;0,"✔","-")</f>
        <v>-</v>
      </c>
      <c r="BW58" s="198" t="str">
        <f>IF('Design Fee'!EL60&gt;0,"✔","-")</f>
        <v>-</v>
      </c>
      <c r="BX58" s="198" t="str">
        <f>IF('Design Fee'!EM60&gt;0,"✔","-")</f>
        <v>-</v>
      </c>
      <c r="BY58" s="198" t="str">
        <f>IF('Design Fee'!EN60&gt;0,"✔","-")</f>
        <v>-</v>
      </c>
      <c r="BZ58" s="137"/>
    </row>
    <row r="59" spans="2:92" s="51" customFormat="1" ht="12.75" outlineLevel="2">
      <c r="B59" s="217" t="s">
        <v>70</v>
      </c>
      <c r="C59" s="223">
        <v>10</v>
      </c>
      <c r="D59" s="224" t="s">
        <v>71</v>
      </c>
      <c r="E59" s="222"/>
      <c r="F59" s="227">
        <f t="shared" si="12"/>
        <v>1</v>
      </c>
      <c r="G59" s="220">
        <f t="shared" si="13"/>
        <v>1</v>
      </c>
      <c r="H59" s="220">
        <f t="shared" si="13"/>
        <v>1</v>
      </c>
      <c r="I59" s="220">
        <f t="shared" si="14"/>
        <v>0</v>
      </c>
      <c r="J59" s="229"/>
      <c r="K59" s="225"/>
      <c r="L59" s="226"/>
      <c r="M59" s="197" t="str">
        <f>IF('Design Fee'!W61&gt;0,"✔","-")</f>
        <v>✔</v>
      </c>
      <c r="N59" s="197" t="str">
        <f>IF('Design Fee'!X61&gt;0,"✔","-")</f>
        <v>✔</v>
      </c>
      <c r="O59" s="220" t="str">
        <f>IF('Design Fee'!Y61&gt;0,"✔","-")</f>
        <v>✔</v>
      </c>
      <c r="P59" s="220" t="str">
        <f>IF('Design Fee'!Z61&gt;0,"✔","-")</f>
        <v>-</v>
      </c>
      <c r="Q59" s="220" t="str">
        <f>IF('Design Fee'!AA61&gt;0,"✔","-")</f>
        <v>-</v>
      </c>
      <c r="R59" s="220" t="str">
        <f>IF('Design Fee'!AB61&gt;0,"✔","-")</f>
        <v>-</v>
      </c>
      <c r="S59" s="220" t="str">
        <f>IF('Design Fee'!AC61&gt;0,"✔","-")</f>
        <v>-</v>
      </c>
      <c r="T59" s="220" t="str">
        <f>IF('Design Fee'!AD61&gt;0,"✔","-")</f>
        <v>-</v>
      </c>
      <c r="U59" s="229"/>
      <c r="V59" s="198" t="str">
        <f>IF('Design Fee'!AF61&gt;0,"✔","-")</f>
        <v>-</v>
      </c>
      <c r="W59" s="198" t="str">
        <f>IF('Design Fee'!AG61&gt;0,"✔","-")</f>
        <v>-</v>
      </c>
      <c r="X59" s="198" t="str">
        <f>IF('Design Fee'!AH61&gt;0,"✔","-")</f>
        <v>-</v>
      </c>
      <c r="Y59" s="198" t="str">
        <f>IF('Design Fee'!AI61&gt;0,"✔","-")</f>
        <v>-</v>
      </c>
      <c r="Z59" s="198" t="str">
        <f>IF('Design Fee'!AJ61&gt;0,"✔","-")</f>
        <v>-</v>
      </c>
      <c r="AA59" s="229"/>
      <c r="AB59" s="225"/>
      <c r="AC59" s="226"/>
      <c r="AD59" s="197" t="str">
        <f>IF('Design Fee'!BG61&gt;0,"✔","-")</f>
        <v>-</v>
      </c>
      <c r="AE59" s="197" t="str">
        <f>IF('Design Fee'!BH61&gt;0,"✔","-")</f>
        <v>-</v>
      </c>
      <c r="AF59" s="220" t="str">
        <f>IF('Design Fee'!BI61&gt;0,"✔","-")</f>
        <v>-</v>
      </c>
      <c r="AG59" s="220" t="str">
        <f>IF('Design Fee'!BJ61&gt;0,"✔","-")</f>
        <v>-</v>
      </c>
      <c r="AH59" s="220" t="str">
        <f>IF('Design Fee'!BK61&gt;0,"✔","-")</f>
        <v>-</v>
      </c>
      <c r="AI59" s="220" t="str">
        <f>IF('Design Fee'!BL61&gt;0,"✔","-")</f>
        <v>-</v>
      </c>
      <c r="AJ59" s="220" t="str">
        <f>IF('Design Fee'!BM61&gt;0,"✔","-")</f>
        <v>-</v>
      </c>
      <c r="AK59" s="220" t="str">
        <f>IF('Design Fee'!BN61&gt;0,"✔","-")</f>
        <v>-</v>
      </c>
      <c r="AL59" s="230"/>
      <c r="AM59" s="198" t="str">
        <f>IF('Design Fee'!BP61&gt;0,"✔","-")</f>
        <v>-</v>
      </c>
      <c r="AN59" s="198" t="str">
        <f>IF('Design Fee'!BQ61&gt;0,"✔","-")</f>
        <v>-</v>
      </c>
      <c r="AO59" s="198" t="str">
        <f>IF('Design Fee'!BR61&gt;0,"✔","-")</f>
        <v>-</v>
      </c>
      <c r="AP59" s="198" t="str">
        <f>IF('Design Fee'!BS61&gt;0,"✔","-")</f>
        <v>-</v>
      </c>
      <c r="AQ59" s="198" t="str">
        <f>IF('Design Fee'!BT61&gt;0,"✔","-")</f>
        <v>-</v>
      </c>
      <c r="AR59" s="230"/>
      <c r="AS59" s="225"/>
      <c r="AT59" s="226"/>
      <c r="AU59" s="197" t="str">
        <f>IF('Design Fee'!CQ61&gt;0,"✔","-")</f>
        <v>-</v>
      </c>
      <c r="AV59" s="197" t="str">
        <f>IF('Design Fee'!CR61&gt;0,"✔","-")</f>
        <v>-</v>
      </c>
      <c r="AW59" s="220" t="str">
        <f>IF('Design Fee'!CS61&gt;0,"✔","-")</f>
        <v>-</v>
      </c>
      <c r="AX59" s="220" t="str">
        <f>IF('Design Fee'!CT61&gt;0,"✔","-")</f>
        <v>-</v>
      </c>
      <c r="AY59" s="220" t="str">
        <f>IF('Design Fee'!CU61&gt;0,"✔","-")</f>
        <v>-</v>
      </c>
      <c r="AZ59" s="220" t="str">
        <f>IF('Design Fee'!CV61&gt;0,"✔","-")</f>
        <v>-</v>
      </c>
      <c r="BA59" s="220" t="str">
        <f>IF('Design Fee'!CW61&gt;0,"✔","-")</f>
        <v>-</v>
      </c>
      <c r="BB59" s="220" t="str">
        <f>IF('Design Fee'!CX61&gt;0,"✔","-")</f>
        <v>-</v>
      </c>
      <c r="BC59" s="230"/>
      <c r="BD59" s="198" t="str">
        <f>IF('Design Fee'!CZ61&gt;0,"✔","-")</f>
        <v>-</v>
      </c>
      <c r="BE59" s="198" t="str">
        <f>IF('Design Fee'!DA61&gt;0,"✔","-")</f>
        <v>-</v>
      </c>
      <c r="BF59" s="198" t="str">
        <f>IF('Design Fee'!DB61&gt;0,"✔","-")</f>
        <v>-</v>
      </c>
      <c r="BG59" s="198" t="str">
        <f>IF('Design Fee'!DC61&gt;0,"✔","-")</f>
        <v>-</v>
      </c>
      <c r="BH59" s="198" t="str">
        <f>IF('Design Fee'!DD61&gt;0,"✔","-")</f>
        <v>-</v>
      </c>
      <c r="BI59" s="230"/>
      <c r="BJ59" s="225"/>
      <c r="BK59" s="226"/>
      <c r="BL59" s="197" t="str">
        <f>IF('Design Fee'!EA61&gt;0,"✔","-")</f>
        <v>-</v>
      </c>
      <c r="BM59" s="197" t="str">
        <f>IF('Design Fee'!EB61&gt;0,"✔","-")</f>
        <v>-</v>
      </c>
      <c r="BN59" s="220" t="str">
        <f>IF('Design Fee'!EC61&gt;0,"✔","-")</f>
        <v>-</v>
      </c>
      <c r="BO59" s="220" t="str">
        <f>IF('Design Fee'!ED61&gt;0,"✔","-")</f>
        <v>-</v>
      </c>
      <c r="BP59" s="220" t="str">
        <f>IF('Design Fee'!EE61&gt;0,"✔","-")</f>
        <v>-</v>
      </c>
      <c r="BQ59" s="220" t="str">
        <f>IF('Design Fee'!EF61&gt;0,"✔","-")</f>
        <v>-</v>
      </c>
      <c r="BR59" s="220" t="str">
        <f>IF('Design Fee'!EG61&gt;0,"✔","-")</f>
        <v>-</v>
      </c>
      <c r="BS59" s="220" t="str">
        <f>IF('Design Fee'!EH61&gt;0,"✔","-")</f>
        <v>-</v>
      </c>
      <c r="BT59" s="222"/>
      <c r="BU59" s="198" t="str">
        <f>IF('Design Fee'!EJ61&gt;0,"✔","-")</f>
        <v>-</v>
      </c>
      <c r="BV59" s="198" t="str">
        <f>IF('Design Fee'!EK61&gt;0,"✔","-")</f>
        <v>-</v>
      </c>
      <c r="BW59" s="198" t="str">
        <f>IF('Design Fee'!EL61&gt;0,"✔","-")</f>
        <v>-</v>
      </c>
      <c r="BX59" s="198" t="str">
        <f>IF('Design Fee'!EM61&gt;0,"✔","-")</f>
        <v>-</v>
      </c>
      <c r="BY59" s="198" t="str">
        <f>IF('Design Fee'!EN61&gt;0,"✔","-")</f>
        <v>-</v>
      </c>
      <c r="BZ59" s="137"/>
    </row>
    <row r="60" spans="2:92" ht="3" customHeight="1" outlineLevel="1">
      <c r="B60" s="231"/>
      <c r="C60" s="232"/>
      <c r="D60" s="219"/>
      <c r="E60" s="137"/>
      <c r="F60" s="162"/>
      <c r="G60" s="175"/>
      <c r="H60" s="175"/>
      <c r="I60" s="175"/>
      <c r="J60" s="184"/>
      <c r="K60" s="233"/>
      <c r="L60" s="233"/>
      <c r="M60" s="197"/>
      <c r="N60" s="197"/>
      <c r="O60" s="198"/>
      <c r="P60" s="198"/>
      <c r="Q60" s="198"/>
      <c r="R60" s="198"/>
      <c r="S60" s="198"/>
      <c r="T60" s="198"/>
      <c r="U60" s="184"/>
      <c r="V60" s="198"/>
      <c r="W60" s="198"/>
      <c r="X60" s="198"/>
      <c r="Y60" s="198"/>
      <c r="Z60" s="198"/>
      <c r="AA60" s="184"/>
      <c r="AB60" s="233"/>
      <c r="AC60" s="233"/>
      <c r="AD60" s="197"/>
      <c r="AE60" s="197"/>
      <c r="AF60" s="175"/>
      <c r="AG60" s="175"/>
      <c r="AH60" s="175"/>
      <c r="AI60" s="175"/>
      <c r="AJ60" s="175"/>
      <c r="AK60" s="175"/>
      <c r="AL60" s="175"/>
      <c r="AM60" s="175"/>
      <c r="AN60" s="175"/>
      <c r="AO60" s="175"/>
      <c r="AP60" s="175"/>
      <c r="AQ60" s="175"/>
      <c r="AR60" s="175"/>
      <c r="AS60" s="233"/>
      <c r="AT60" s="175"/>
      <c r="AU60" s="197"/>
      <c r="AV60" s="197"/>
      <c r="AW60" s="175"/>
      <c r="AX60" s="175"/>
      <c r="AY60" s="175"/>
      <c r="AZ60" s="175"/>
      <c r="BA60" s="175"/>
      <c r="BB60" s="175"/>
      <c r="BC60" s="175"/>
      <c r="BD60" s="175"/>
      <c r="BE60" s="175"/>
      <c r="BF60" s="175"/>
      <c r="BG60" s="175"/>
      <c r="BH60" s="175"/>
      <c r="BI60" s="175"/>
      <c r="BJ60" s="233"/>
      <c r="BK60" s="175"/>
      <c r="BL60" s="197"/>
      <c r="BM60" s="197"/>
      <c r="BN60" s="175"/>
      <c r="BO60" s="175"/>
      <c r="BP60" s="175"/>
      <c r="BQ60" s="175"/>
      <c r="BR60" s="175"/>
      <c r="BS60" s="175"/>
      <c r="BT60" s="137"/>
      <c r="BU60" s="175"/>
      <c r="BV60" s="175"/>
      <c r="BW60" s="175"/>
      <c r="BX60" s="175"/>
      <c r="BY60" s="175"/>
      <c r="BZ60" s="137"/>
    </row>
    <row r="61" spans="2:92" ht="12.75" outlineLevel="1">
      <c r="B61" s="186">
        <v>5</v>
      </c>
      <c r="C61" s="213">
        <v>2</v>
      </c>
      <c r="D61" s="214" t="s">
        <v>72</v>
      </c>
      <c r="E61" s="188"/>
      <c r="F61" s="215">
        <f>M61+AD61+AU61+BL61</f>
        <v>21</v>
      </c>
      <c r="G61" s="215">
        <f t="shared" ref="G61:I61" si="15">N61+AE61+AV61+BM61</f>
        <v>21</v>
      </c>
      <c r="H61" s="215">
        <f t="shared" si="15"/>
        <v>21</v>
      </c>
      <c r="I61" s="215">
        <f t="shared" si="15"/>
        <v>0</v>
      </c>
      <c r="J61" s="192">
        <f t="shared" ref="J61" si="16">COUNT(J62:J71)</f>
        <v>0</v>
      </c>
      <c r="K61" s="189"/>
      <c r="L61" s="189"/>
      <c r="M61" s="215">
        <f>COUNTIF(M62:M71,"✔")</f>
        <v>10</v>
      </c>
      <c r="N61" s="215">
        <f t="shared" ref="N61" si="17">COUNTIF(N62:N71,"✔")</f>
        <v>10</v>
      </c>
      <c r="O61" s="215">
        <f t="shared" ref="O61" si="18">COUNTIF(O62:O71,"✔")</f>
        <v>10</v>
      </c>
      <c r="P61" s="215">
        <f t="shared" ref="P61" si="19">COUNTIF(P62:P71,"✔")</f>
        <v>0</v>
      </c>
      <c r="Q61" s="215">
        <f t="shared" ref="Q61" si="20">COUNTIF(Q62:Q71,"✔")</f>
        <v>0</v>
      </c>
      <c r="R61" s="215">
        <f t="shared" ref="R61" si="21">COUNTIF(R62:R71,"✔")</f>
        <v>0</v>
      </c>
      <c r="S61" s="215">
        <f t="shared" ref="S61" si="22">COUNTIF(S62:S71,"✔")</f>
        <v>0</v>
      </c>
      <c r="T61" s="215">
        <f t="shared" ref="T61" si="23">COUNTIF(T62:T71,"✔")</f>
        <v>0</v>
      </c>
      <c r="U61" s="215">
        <f t="shared" ref="U61" si="24">COUNTIF(U62:U71,"✔")</f>
        <v>0</v>
      </c>
      <c r="V61" s="215">
        <f t="shared" ref="V61" si="25">COUNTIF(V62:V71,"✔")</f>
        <v>0</v>
      </c>
      <c r="W61" s="215">
        <f t="shared" ref="W61" si="26">COUNTIF(W62:W71,"✔")</f>
        <v>0</v>
      </c>
      <c r="X61" s="215">
        <f t="shared" ref="X61" si="27">COUNTIF(X62:X71,"✔")</f>
        <v>0</v>
      </c>
      <c r="Y61" s="215">
        <f t="shared" ref="Y61" si="28">COUNTIF(Y62:Y71,"✔")</f>
        <v>0</v>
      </c>
      <c r="Z61" s="215">
        <f t="shared" ref="Z61" si="29">COUNTIF(Z62:Z71,"✔")</f>
        <v>0</v>
      </c>
      <c r="AA61" s="215">
        <f t="shared" ref="AA61" si="30">COUNTIF(AA62:AA71,"✔")</f>
        <v>0</v>
      </c>
      <c r="AB61" s="189"/>
      <c r="AC61" s="215">
        <f t="shared" ref="AC61" si="31">COUNTIF(AC62:AC71,"✔")</f>
        <v>0</v>
      </c>
      <c r="AD61" s="215">
        <f t="shared" ref="AD61" si="32">COUNTIF(AD62:AD71,"✔")</f>
        <v>7</v>
      </c>
      <c r="AE61" s="215">
        <f t="shared" ref="AE61" si="33">COUNTIF(AE62:AE71,"✔")</f>
        <v>7</v>
      </c>
      <c r="AF61" s="215">
        <f t="shared" ref="AF61" si="34">COUNTIF(AF62:AF71,"✔")</f>
        <v>7</v>
      </c>
      <c r="AG61" s="215">
        <f t="shared" ref="AG61" si="35">COUNTIF(AG62:AG71,"✔")</f>
        <v>0</v>
      </c>
      <c r="AH61" s="215">
        <f t="shared" ref="AH61" si="36">COUNTIF(AH62:AH71,"✔")</f>
        <v>0</v>
      </c>
      <c r="AI61" s="215">
        <f t="shared" ref="AI61" si="37">COUNTIF(AI62:AI71,"✔")</f>
        <v>0</v>
      </c>
      <c r="AJ61" s="215">
        <f t="shared" ref="AJ61" si="38">COUNTIF(AJ62:AJ71,"✔")</f>
        <v>0</v>
      </c>
      <c r="AK61" s="215">
        <f t="shared" ref="AK61" si="39">COUNTIF(AK62:AK71,"✔")</f>
        <v>0</v>
      </c>
      <c r="AL61" s="215">
        <f t="shared" ref="AL61" si="40">COUNTIF(AL62:AL71,"✔")</f>
        <v>0</v>
      </c>
      <c r="AM61" s="215">
        <f t="shared" ref="AM61" si="41">COUNTIF(AM62:AM71,"✔")</f>
        <v>0</v>
      </c>
      <c r="AN61" s="215">
        <f t="shared" ref="AN61" si="42">COUNTIF(AN62:AN71,"✔")</f>
        <v>0</v>
      </c>
      <c r="AO61" s="215">
        <f t="shared" ref="AO61" si="43">COUNTIF(AO62:AO71,"✔")</f>
        <v>0</v>
      </c>
      <c r="AP61" s="215">
        <f t="shared" ref="AP61" si="44">COUNTIF(AP62:AP71,"✔")</f>
        <v>0</v>
      </c>
      <c r="AQ61" s="215">
        <f t="shared" ref="AQ61" si="45">COUNTIF(AQ62:AQ71,"✔")</f>
        <v>0</v>
      </c>
      <c r="AR61" s="215">
        <f t="shared" ref="AR61" si="46">COUNTIF(AR62:AR71,"✔")</f>
        <v>0</v>
      </c>
      <c r="AS61" s="189"/>
      <c r="AT61" s="215">
        <f t="shared" ref="AT61" si="47">COUNTIF(AT62:AT71,"✔")</f>
        <v>0</v>
      </c>
      <c r="AU61" s="215">
        <f t="shared" ref="AU61" si="48">COUNTIF(AU62:AU71,"✔")</f>
        <v>4</v>
      </c>
      <c r="AV61" s="215">
        <f t="shared" ref="AV61" si="49">COUNTIF(AV62:AV71,"✔")</f>
        <v>4</v>
      </c>
      <c r="AW61" s="215">
        <f t="shared" ref="AW61" si="50">COUNTIF(AW62:AW71,"✔")</f>
        <v>4</v>
      </c>
      <c r="AX61" s="215">
        <f t="shared" ref="AX61" si="51">COUNTIF(AX62:AX71,"✔")</f>
        <v>0</v>
      </c>
      <c r="AY61" s="215">
        <f t="shared" ref="AY61" si="52">COUNTIF(AY62:AY71,"✔")</f>
        <v>0</v>
      </c>
      <c r="AZ61" s="215">
        <f t="shared" ref="AZ61" si="53">COUNTIF(AZ62:AZ71,"✔")</f>
        <v>0</v>
      </c>
      <c r="BA61" s="215">
        <f t="shared" ref="BA61" si="54">COUNTIF(BA62:BA71,"✔")</f>
        <v>0</v>
      </c>
      <c r="BB61" s="215">
        <f t="shared" ref="BB61" si="55">COUNTIF(BB62:BB71,"✔")</f>
        <v>0</v>
      </c>
      <c r="BC61" s="215">
        <f t="shared" ref="BC61" si="56">COUNTIF(BC62:BC71,"✔")</f>
        <v>0</v>
      </c>
      <c r="BD61" s="215">
        <f t="shared" ref="BD61" si="57">COUNTIF(BD62:BD71,"✔")</f>
        <v>0</v>
      </c>
      <c r="BE61" s="215">
        <f t="shared" ref="BE61" si="58">COUNTIF(BE62:BE71,"✔")</f>
        <v>0</v>
      </c>
      <c r="BF61" s="215">
        <f t="shared" ref="BF61" si="59">COUNTIF(BF62:BF71,"✔")</f>
        <v>0</v>
      </c>
      <c r="BG61" s="215">
        <f t="shared" ref="BG61" si="60">COUNTIF(BG62:BG71,"✔")</f>
        <v>0</v>
      </c>
      <c r="BH61" s="215">
        <f t="shared" ref="BH61" si="61">COUNTIF(BH62:BH71,"✔")</f>
        <v>0</v>
      </c>
      <c r="BI61" s="215">
        <f t="shared" ref="BI61" si="62">COUNTIF(BI62:BI71,"✔")</f>
        <v>0</v>
      </c>
      <c r="BJ61" s="189"/>
      <c r="BK61" s="215">
        <f t="shared" ref="BK61" si="63">COUNTIF(BK62:BK71,"✔")</f>
        <v>0</v>
      </c>
      <c r="BL61" s="215">
        <f t="shared" ref="BL61" si="64">COUNTIF(BL62:BL71,"✔")</f>
        <v>0</v>
      </c>
      <c r="BM61" s="215">
        <f t="shared" ref="BM61" si="65">COUNTIF(BM62:BM71,"✔")</f>
        <v>0</v>
      </c>
      <c r="BN61" s="215">
        <f t="shared" ref="BN61" si="66">COUNTIF(BN62:BN71,"✔")</f>
        <v>0</v>
      </c>
      <c r="BO61" s="215">
        <f t="shared" ref="BO61" si="67">COUNTIF(BO62:BO71,"✔")</f>
        <v>0</v>
      </c>
      <c r="BP61" s="215">
        <f t="shared" ref="BP61" si="68">COUNTIF(BP62:BP71,"✔")</f>
        <v>0</v>
      </c>
      <c r="BQ61" s="215">
        <f t="shared" ref="BQ61" si="69">COUNTIF(BQ62:BQ71,"✔")</f>
        <v>0</v>
      </c>
      <c r="BR61" s="215">
        <f t="shared" ref="BR61" si="70">COUNTIF(BR62:BR71,"✔")</f>
        <v>0</v>
      </c>
      <c r="BS61" s="215">
        <f t="shared" ref="BS61" si="71">COUNTIF(BS62:BS71,"✔")</f>
        <v>0</v>
      </c>
      <c r="BT61" s="137"/>
      <c r="BU61" s="215">
        <f t="shared" ref="BU61" si="72">COUNTIF(BU62:BU71,"✔")</f>
        <v>0</v>
      </c>
      <c r="BV61" s="215">
        <f t="shared" ref="BV61" si="73">COUNTIF(BV62:BV71,"✔")</f>
        <v>0</v>
      </c>
      <c r="BW61" s="215">
        <f t="shared" ref="BW61" si="74">COUNTIF(BW62:BW71,"✔")</f>
        <v>0</v>
      </c>
      <c r="BX61" s="215">
        <f t="shared" ref="BX61" si="75">COUNTIF(BX62:BX71,"✔")</f>
        <v>0</v>
      </c>
      <c r="BY61" s="215">
        <f t="shared" ref="BY61" si="76">COUNTIF(BY62:BY71,"✔")</f>
        <v>0</v>
      </c>
      <c r="BZ61" s="137"/>
    </row>
    <row r="62" spans="2:92" ht="12.75" outlineLevel="2">
      <c r="B62" s="217" t="s">
        <v>73</v>
      </c>
      <c r="C62" s="218">
        <v>1</v>
      </c>
      <c r="D62" s="219" t="s">
        <v>52</v>
      </c>
      <c r="E62" s="137"/>
      <c r="F62" s="197">
        <f t="shared" ref="F62:F71" si="77">COUNTIF(M62,"✔")+COUNTIF(AD62,"✔")+COUNTIF(BL62,"✔")+COUNTIF(AU62,"✔")</f>
        <v>3</v>
      </c>
      <c r="G62" s="198">
        <f t="shared" ref="G62:H71" si="78">COUNTIF(N62,"✔")+COUNTIF(AE62,"✔")+COUNTIF(BM62,"✔")+COUNTIF(AV62,"✔")</f>
        <v>3</v>
      </c>
      <c r="H62" s="198">
        <f t="shared" si="78"/>
        <v>3</v>
      </c>
      <c r="I62" s="198">
        <f t="shared" ref="I62:I71" si="79">F62-G62</f>
        <v>0</v>
      </c>
      <c r="J62" s="184"/>
      <c r="K62" s="195"/>
      <c r="L62" s="196"/>
      <c r="M62" s="197" t="str">
        <f>IF('Design Fee'!W64&gt;0,"✔","-")</f>
        <v>✔</v>
      </c>
      <c r="N62" s="197" t="str">
        <f>IF('Design Fee'!X64&gt;0,"✔","-")</f>
        <v>✔</v>
      </c>
      <c r="O62" s="198" t="str">
        <f>IF('Design Fee'!Y64&gt;0,"✔","-")</f>
        <v>✔</v>
      </c>
      <c r="P62" s="198" t="str">
        <f>IF('Design Fee'!Z64&gt;0,"✔","-")</f>
        <v>-</v>
      </c>
      <c r="Q62" s="198" t="str">
        <f>IF('Design Fee'!AA64&gt;0,"✔","-")</f>
        <v>-</v>
      </c>
      <c r="R62" s="198" t="str">
        <f>IF('Design Fee'!AB64&gt;0,"✔","-")</f>
        <v>-</v>
      </c>
      <c r="S62" s="198" t="str">
        <f>IF('Design Fee'!AC64&gt;0,"✔","-")</f>
        <v>-</v>
      </c>
      <c r="T62" s="220" t="str">
        <f>IF('Design Fee'!AD64&gt;0,"✔","-")</f>
        <v>-</v>
      </c>
      <c r="U62" s="184"/>
      <c r="V62" s="198" t="str">
        <f>IF('Design Fee'!AF64&gt;0,"✔","-")</f>
        <v>-</v>
      </c>
      <c r="W62" s="198" t="str">
        <f>IF('Design Fee'!AG64&gt;0,"✔","-")</f>
        <v>-</v>
      </c>
      <c r="X62" s="198" t="str">
        <f>IF('Design Fee'!AH64&gt;0,"✔","-")</f>
        <v>-</v>
      </c>
      <c r="Y62" s="198" t="str">
        <f>IF('Design Fee'!AI64&gt;0,"✔","-")</f>
        <v>-</v>
      </c>
      <c r="Z62" s="198" t="str">
        <f>IF('Design Fee'!AJ64&gt;0,"✔","-")</f>
        <v>-</v>
      </c>
      <c r="AA62" s="184"/>
      <c r="AB62" s="195"/>
      <c r="AC62" s="196"/>
      <c r="AD62" s="197" t="str">
        <f>IF('Design Fee'!BG64&gt;0,"✔","-")</f>
        <v>✔</v>
      </c>
      <c r="AE62" s="197" t="str">
        <f>IF('Design Fee'!BH64&gt;0,"✔","-")</f>
        <v>✔</v>
      </c>
      <c r="AF62" s="198" t="str">
        <f>IF('Design Fee'!BI64&gt;0,"✔","-")</f>
        <v>✔</v>
      </c>
      <c r="AG62" s="198" t="str">
        <f>IF('Design Fee'!BJ64&gt;0,"✔","-")</f>
        <v>-</v>
      </c>
      <c r="AH62" s="198" t="str">
        <f>IF('Design Fee'!BK64&gt;0,"✔","-")</f>
        <v>-</v>
      </c>
      <c r="AI62" s="198" t="str">
        <f>IF('Design Fee'!BL64&gt;0,"✔","-")</f>
        <v>-</v>
      </c>
      <c r="AJ62" s="198" t="str">
        <f>IF('Design Fee'!BM64&gt;0,"✔","-")</f>
        <v>-</v>
      </c>
      <c r="AK62" s="220" t="str">
        <f>IF('Design Fee'!BN64&gt;0,"✔","-")</f>
        <v>-</v>
      </c>
      <c r="AL62" s="199"/>
      <c r="AM62" s="198" t="str">
        <f>IF('Design Fee'!BP64&gt;0,"✔","-")</f>
        <v>-</v>
      </c>
      <c r="AN62" s="198" t="str">
        <f>IF('Design Fee'!BQ64&gt;0,"✔","-")</f>
        <v>-</v>
      </c>
      <c r="AO62" s="198" t="str">
        <f>IF('Design Fee'!BR64&gt;0,"✔","-")</f>
        <v>-</v>
      </c>
      <c r="AP62" s="198" t="str">
        <f>IF('Design Fee'!BS64&gt;0,"✔","-")</f>
        <v>-</v>
      </c>
      <c r="AQ62" s="198" t="str">
        <f>IF('Design Fee'!BT64&gt;0,"✔","-")</f>
        <v>-</v>
      </c>
      <c r="AR62" s="199"/>
      <c r="AS62" s="195"/>
      <c r="AT62" s="196"/>
      <c r="AU62" s="197" t="str">
        <f>IF('Design Fee'!CQ64&gt;0,"✔","-")</f>
        <v>✔</v>
      </c>
      <c r="AV62" s="197" t="str">
        <f>IF('Design Fee'!CR64&gt;0,"✔","-")</f>
        <v>✔</v>
      </c>
      <c r="AW62" s="198" t="str">
        <f>IF('Design Fee'!CS64&gt;0,"✔","-")</f>
        <v>✔</v>
      </c>
      <c r="AX62" s="198" t="str">
        <f>IF('Design Fee'!CT64&gt;0,"✔","-")</f>
        <v>-</v>
      </c>
      <c r="AY62" s="198" t="str">
        <f>IF('Design Fee'!CU64&gt;0,"✔","-")</f>
        <v>-</v>
      </c>
      <c r="AZ62" s="198" t="str">
        <f>IF('Design Fee'!CV64&gt;0,"✔","-")</f>
        <v>-</v>
      </c>
      <c r="BA62" s="198" t="str">
        <f>IF('Design Fee'!CW64&gt;0,"✔","-")</f>
        <v>-</v>
      </c>
      <c r="BB62" s="220" t="str">
        <f>IF('Design Fee'!CX64&gt;0,"✔","-")</f>
        <v>-</v>
      </c>
      <c r="BC62" s="199"/>
      <c r="BD62" s="198" t="str">
        <f>IF('Design Fee'!CZ64&gt;0,"✔","-")</f>
        <v>-</v>
      </c>
      <c r="BE62" s="198" t="str">
        <f>IF('Design Fee'!DA64&gt;0,"✔","-")</f>
        <v>-</v>
      </c>
      <c r="BF62" s="198" t="str">
        <f>IF('Design Fee'!DB64&gt;0,"✔","-")</f>
        <v>-</v>
      </c>
      <c r="BG62" s="198" t="str">
        <f>IF('Design Fee'!DC64&gt;0,"✔","-")</f>
        <v>-</v>
      </c>
      <c r="BH62" s="198" t="str">
        <f>IF('Design Fee'!DD64&gt;0,"✔","-")</f>
        <v>-</v>
      </c>
      <c r="BI62" s="199"/>
      <c r="BJ62" s="195"/>
      <c r="BK62" s="196"/>
      <c r="BL62" s="197" t="str">
        <f>IF('Design Fee'!EA64&gt;0,"✔","-")</f>
        <v>-</v>
      </c>
      <c r="BM62" s="197" t="str">
        <f>IF('Design Fee'!EB64&gt;0,"✔","-")</f>
        <v>-</v>
      </c>
      <c r="BN62" s="198" t="str">
        <f>IF('Design Fee'!EC64&gt;0,"✔","-")</f>
        <v>-</v>
      </c>
      <c r="BO62" s="198" t="str">
        <f>IF('Design Fee'!ED64&gt;0,"✔","-")</f>
        <v>-</v>
      </c>
      <c r="BP62" s="198" t="str">
        <f>IF('Design Fee'!EE64&gt;0,"✔","-")</f>
        <v>-</v>
      </c>
      <c r="BQ62" s="198" t="str">
        <f>IF('Design Fee'!EF64&gt;0,"✔","-")</f>
        <v>-</v>
      </c>
      <c r="BR62" s="198" t="str">
        <f>IF('Design Fee'!EG64&gt;0,"✔","-")</f>
        <v>-</v>
      </c>
      <c r="BS62" s="220" t="str">
        <f>IF('Design Fee'!EH64&gt;0,"✔","-")</f>
        <v>-</v>
      </c>
      <c r="BT62" s="137"/>
      <c r="BU62" s="198" t="str">
        <f>IF('Design Fee'!EJ64&gt;0,"✔","-")</f>
        <v>-</v>
      </c>
      <c r="BV62" s="198" t="str">
        <f>IF('Design Fee'!EK64&gt;0,"✔","-")</f>
        <v>-</v>
      </c>
      <c r="BW62" s="198" t="str">
        <f>IF('Design Fee'!EL64&gt;0,"✔","-")</f>
        <v>-</v>
      </c>
      <c r="BX62" s="198" t="str">
        <f>IF('Design Fee'!EM64&gt;0,"✔","-")</f>
        <v>-</v>
      </c>
      <c r="BY62" s="198" t="str">
        <f>IF('Design Fee'!EN64&gt;0,"✔","-")</f>
        <v>-</v>
      </c>
      <c r="BZ62" s="137"/>
    </row>
    <row r="63" spans="2:92" ht="12.75" outlineLevel="2">
      <c r="B63" s="217" t="s">
        <v>74</v>
      </c>
      <c r="C63" s="218">
        <v>2</v>
      </c>
      <c r="D63" s="219" t="s">
        <v>54</v>
      </c>
      <c r="E63" s="137"/>
      <c r="F63" s="197">
        <f t="shared" si="77"/>
        <v>2</v>
      </c>
      <c r="G63" s="198">
        <f t="shared" si="78"/>
        <v>2</v>
      </c>
      <c r="H63" s="198">
        <f t="shared" si="78"/>
        <v>2</v>
      </c>
      <c r="I63" s="198">
        <f t="shared" si="79"/>
        <v>0</v>
      </c>
      <c r="J63" s="221"/>
      <c r="K63" s="195"/>
      <c r="L63" s="196"/>
      <c r="M63" s="197" t="str">
        <f>IF('Design Fee'!W65&gt;0,"✔","-")</f>
        <v>✔</v>
      </c>
      <c r="N63" s="197" t="str">
        <f>IF('Design Fee'!X65&gt;0,"✔","-")</f>
        <v>✔</v>
      </c>
      <c r="O63" s="198" t="str">
        <f>IF('Design Fee'!Y65&gt;0,"✔","-")</f>
        <v>✔</v>
      </c>
      <c r="P63" s="198" t="str">
        <f>IF('Design Fee'!Z65&gt;0,"✔","-")</f>
        <v>-</v>
      </c>
      <c r="Q63" s="198" t="str">
        <f>IF('Design Fee'!AA65&gt;0,"✔","-")</f>
        <v>-</v>
      </c>
      <c r="R63" s="198" t="str">
        <f>IF('Design Fee'!AB65&gt;0,"✔","-")</f>
        <v>-</v>
      </c>
      <c r="S63" s="198" t="str">
        <f>IF('Design Fee'!AC65&gt;0,"✔","-")</f>
        <v>-</v>
      </c>
      <c r="T63" s="220" t="str">
        <f>IF('Design Fee'!AD65&gt;0,"✔","-")</f>
        <v>-</v>
      </c>
      <c r="U63" s="221"/>
      <c r="V63" s="198" t="str">
        <f>IF('Design Fee'!AF65&gt;0,"✔","-")</f>
        <v>-</v>
      </c>
      <c r="W63" s="198" t="str">
        <f>IF('Design Fee'!AG65&gt;0,"✔","-")</f>
        <v>-</v>
      </c>
      <c r="X63" s="198" t="str">
        <f>IF('Design Fee'!AH65&gt;0,"✔","-")</f>
        <v>-</v>
      </c>
      <c r="Y63" s="198" t="str">
        <f>IF('Design Fee'!AI65&gt;0,"✔","-")</f>
        <v>-</v>
      </c>
      <c r="Z63" s="198" t="str">
        <f>IF('Design Fee'!AJ65&gt;0,"✔","-")</f>
        <v>-</v>
      </c>
      <c r="AA63" s="221"/>
      <c r="AB63" s="195"/>
      <c r="AC63" s="196"/>
      <c r="AD63" s="197" t="str">
        <f>IF('Design Fee'!BG65&gt;0,"✔","-")</f>
        <v>✔</v>
      </c>
      <c r="AE63" s="197" t="str">
        <f>IF('Design Fee'!BH65&gt;0,"✔","-")</f>
        <v>✔</v>
      </c>
      <c r="AF63" s="198" t="str">
        <f>IF('Design Fee'!BI65&gt;0,"✔","-")</f>
        <v>✔</v>
      </c>
      <c r="AG63" s="198" t="str">
        <f>IF('Design Fee'!BJ65&gt;0,"✔","-")</f>
        <v>-</v>
      </c>
      <c r="AH63" s="198" t="str">
        <f>IF('Design Fee'!BK65&gt;0,"✔","-")</f>
        <v>-</v>
      </c>
      <c r="AI63" s="198" t="str">
        <f>IF('Design Fee'!BL65&gt;0,"✔","-")</f>
        <v>-</v>
      </c>
      <c r="AJ63" s="198" t="str">
        <f>IF('Design Fee'!BM65&gt;0,"✔","-")</f>
        <v>-</v>
      </c>
      <c r="AK63" s="220" t="str">
        <f>IF('Design Fee'!BN65&gt;0,"✔","-")</f>
        <v>-</v>
      </c>
      <c r="AL63" s="199"/>
      <c r="AM63" s="198" t="str">
        <f>IF('Design Fee'!BP65&gt;0,"✔","-")</f>
        <v>-</v>
      </c>
      <c r="AN63" s="198" t="str">
        <f>IF('Design Fee'!BQ65&gt;0,"✔","-")</f>
        <v>-</v>
      </c>
      <c r="AO63" s="198" t="str">
        <f>IF('Design Fee'!BR65&gt;0,"✔","-")</f>
        <v>-</v>
      </c>
      <c r="AP63" s="198" t="str">
        <f>IF('Design Fee'!BS65&gt;0,"✔","-")</f>
        <v>-</v>
      </c>
      <c r="AQ63" s="198" t="str">
        <f>IF('Design Fee'!BT65&gt;0,"✔","-")</f>
        <v>-</v>
      </c>
      <c r="AR63" s="199"/>
      <c r="AS63" s="195"/>
      <c r="AT63" s="196"/>
      <c r="AU63" s="197" t="str">
        <f>IF('Design Fee'!CQ65&gt;0,"✔","-")</f>
        <v>-</v>
      </c>
      <c r="AV63" s="197" t="str">
        <f>IF('Design Fee'!CR65&gt;0,"✔","-")</f>
        <v>-</v>
      </c>
      <c r="AW63" s="198" t="str">
        <f>IF('Design Fee'!CS65&gt;0,"✔","-")</f>
        <v>-</v>
      </c>
      <c r="AX63" s="198" t="str">
        <f>IF('Design Fee'!CT65&gt;0,"✔","-")</f>
        <v>-</v>
      </c>
      <c r="AY63" s="198" t="str">
        <f>IF('Design Fee'!CU65&gt;0,"✔","-")</f>
        <v>-</v>
      </c>
      <c r="AZ63" s="198" t="str">
        <f>IF('Design Fee'!CV65&gt;0,"✔","-")</f>
        <v>-</v>
      </c>
      <c r="BA63" s="198" t="str">
        <f>IF('Design Fee'!CW65&gt;0,"✔","-")</f>
        <v>-</v>
      </c>
      <c r="BB63" s="220" t="str">
        <f>IF('Design Fee'!CX65&gt;0,"✔","-")</f>
        <v>-</v>
      </c>
      <c r="BC63" s="199"/>
      <c r="BD63" s="198" t="str">
        <f>IF('Design Fee'!CZ65&gt;0,"✔","-")</f>
        <v>-</v>
      </c>
      <c r="BE63" s="198" t="str">
        <f>IF('Design Fee'!DA65&gt;0,"✔","-")</f>
        <v>-</v>
      </c>
      <c r="BF63" s="198" t="str">
        <f>IF('Design Fee'!DB65&gt;0,"✔","-")</f>
        <v>-</v>
      </c>
      <c r="BG63" s="198" t="str">
        <f>IF('Design Fee'!DC65&gt;0,"✔","-")</f>
        <v>-</v>
      </c>
      <c r="BH63" s="198" t="str">
        <f>IF('Design Fee'!DD65&gt;0,"✔","-")</f>
        <v>-</v>
      </c>
      <c r="BI63" s="199"/>
      <c r="BJ63" s="195"/>
      <c r="BK63" s="196"/>
      <c r="BL63" s="197" t="str">
        <f>IF('Design Fee'!EA65&gt;0,"✔","-")</f>
        <v>-</v>
      </c>
      <c r="BM63" s="197" t="str">
        <f>IF('Design Fee'!EB65&gt;0,"✔","-")</f>
        <v>-</v>
      </c>
      <c r="BN63" s="198" t="str">
        <f>IF('Design Fee'!EC65&gt;0,"✔","-")</f>
        <v>-</v>
      </c>
      <c r="BO63" s="198" t="str">
        <f>IF('Design Fee'!ED65&gt;0,"✔","-")</f>
        <v>-</v>
      </c>
      <c r="BP63" s="198" t="str">
        <f>IF('Design Fee'!EE65&gt;0,"✔","-")</f>
        <v>-</v>
      </c>
      <c r="BQ63" s="198" t="str">
        <f>IF('Design Fee'!EF65&gt;0,"✔","-")</f>
        <v>-</v>
      </c>
      <c r="BR63" s="198" t="str">
        <f>IF('Design Fee'!EG65&gt;0,"✔","-")</f>
        <v>-</v>
      </c>
      <c r="BS63" s="220" t="str">
        <f>IF('Design Fee'!EH65&gt;0,"✔","-")</f>
        <v>-</v>
      </c>
      <c r="BT63" s="137"/>
      <c r="BU63" s="198" t="str">
        <f>IF('Design Fee'!EJ65&gt;0,"✔","-")</f>
        <v>-</v>
      </c>
      <c r="BV63" s="198" t="str">
        <f>IF('Design Fee'!EK65&gt;0,"✔","-")</f>
        <v>-</v>
      </c>
      <c r="BW63" s="198" t="str">
        <f>IF('Design Fee'!EL65&gt;0,"✔","-")</f>
        <v>-</v>
      </c>
      <c r="BX63" s="198" t="str">
        <f>IF('Design Fee'!EM65&gt;0,"✔","-")</f>
        <v>-</v>
      </c>
      <c r="BY63" s="198" t="str">
        <f>IF('Design Fee'!EN65&gt;0,"✔","-")</f>
        <v>-</v>
      </c>
      <c r="BZ63" s="137"/>
    </row>
    <row r="64" spans="2:92" s="51" customFormat="1" ht="12.75" outlineLevel="2">
      <c r="B64" s="217" t="s">
        <v>75</v>
      </c>
      <c r="C64" s="223">
        <v>3</v>
      </c>
      <c r="D64" s="224" t="s">
        <v>56</v>
      </c>
      <c r="E64" s="222"/>
      <c r="F64" s="227">
        <f t="shared" si="77"/>
        <v>1</v>
      </c>
      <c r="G64" s="220">
        <f t="shared" si="78"/>
        <v>1</v>
      </c>
      <c r="H64" s="220">
        <f t="shared" si="78"/>
        <v>1</v>
      </c>
      <c r="I64" s="220">
        <f t="shared" si="79"/>
        <v>0</v>
      </c>
      <c r="J64" s="234"/>
      <c r="K64" s="225"/>
      <c r="L64" s="226"/>
      <c r="M64" s="197" t="str">
        <f>IF('Design Fee'!W66&gt;0,"✔","-")</f>
        <v>✔</v>
      </c>
      <c r="N64" s="197" t="str">
        <f>IF('Design Fee'!X66&gt;0,"✔","-")</f>
        <v>✔</v>
      </c>
      <c r="O64" s="220" t="str">
        <f>IF('Design Fee'!Y66&gt;0,"✔","-")</f>
        <v>✔</v>
      </c>
      <c r="P64" s="220" t="str">
        <f>IF('Design Fee'!Z66&gt;0,"✔","-")</f>
        <v>-</v>
      </c>
      <c r="Q64" s="220" t="str">
        <f>IF('Design Fee'!AA66&gt;0,"✔","-")</f>
        <v>-</v>
      </c>
      <c r="R64" s="220" t="str">
        <f>IF('Design Fee'!AB66&gt;0,"✔","-")</f>
        <v>-</v>
      </c>
      <c r="S64" s="220" t="str">
        <f>IF('Design Fee'!AC66&gt;0,"✔","-")</f>
        <v>-</v>
      </c>
      <c r="T64" s="220" t="str">
        <f>IF('Design Fee'!AD66&gt;0,"✔","-")</f>
        <v>-</v>
      </c>
      <c r="U64" s="234"/>
      <c r="V64" s="198" t="str">
        <f>IF('Design Fee'!AF66&gt;0,"✔","-")</f>
        <v>-</v>
      </c>
      <c r="W64" s="198" t="str">
        <f>IF('Design Fee'!AG66&gt;0,"✔","-")</f>
        <v>-</v>
      </c>
      <c r="X64" s="198" t="str">
        <f>IF('Design Fee'!AH66&gt;0,"✔","-")</f>
        <v>-</v>
      </c>
      <c r="Y64" s="198" t="str">
        <f>IF('Design Fee'!AI66&gt;0,"✔","-")</f>
        <v>-</v>
      </c>
      <c r="Z64" s="198" t="str">
        <f>IF('Design Fee'!AJ66&gt;0,"✔","-")</f>
        <v>-</v>
      </c>
      <c r="AA64" s="234"/>
      <c r="AB64" s="225"/>
      <c r="AC64" s="226"/>
      <c r="AD64" s="197" t="str">
        <f>IF('Design Fee'!BG66&gt;0,"✔","-")</f>
        <v>-</v>
      </c>
      <c r="AE64" s="197" t="str">
        <f>IF('Design Fee'!BH66&gt;0,"✔","-")</f>
        <v>-</v>
      </c>
      <c r="AF64" s="220" t="str">
        <f>IF('Design Fee'!BI66&gt;0,"✔","-")</f>
        <v>-</v>
      </c>
      <c r="AG64" s="220" t="str">
        <f>IF('Design Fee'!BJ66&gt;0,"✔","-")</f>
        <v>-</v>
      </c>
      <c r="AH64" s="220" t="str">
        <f>IF('Design Fee'!BK66&gt;0,"✔","-")</f>
        <v>-</v>
      </c>
      <c r="AI64" s="220" t="str">
        <f>IF('Design Fee'!BL66&gt;0,"✔","-")</f>
        <v>-</v>
      </c>
      <c r="AJ64" s="220" t="str">
        <f>IF('Design Fee'!BM66&gt;0,"✔","-")</f>
        <v>-</v>
      </c>
      <c r="AK64" s="220" t="str">
        <f>IF('Design Fee'!BN66&gt;0,"✔","-")</f>
        <v>-</v>
      </c>
      <c r="AL64" s="230"/>
      <c r="AM64" s="198" t="str">
        <f>IF('Design Fee'!BP66&gt;0,"✔","-")</f>
        <v>-</v>
      </c>
      <c r="AN64" s="198" t="str">
        <f>IF('Design Fee'!BQ66&gt;0,"✔","-")</f>
        <v>-</v>
      </c>
      <c r="AO64" s="198" t="str">
        <f>IF('Design Fee'!BR66&gt;0,"✔","-")</f>
        <v>-</v>
      </c>
      <c r="AP64" s="198" t="str">
        <f>IF('Design Fee'!BS66&gt;0,"✔","-")</f>
        <v>-</v>
      </c>
      <c r="AQ64" s="198" t="str">
        <f>IF('Design Fee'!BT66&gt;0,"✔","-")</f>
        <v>-</v>
      </c>
      <c r="AR64" s="230"/>
      <c r="AS64" s="225"/>
      <c r="AT64" s="226"/>
      <c r="AU64" s="197" t="str">
        <f>IF('Design Fee'!CQ66&gt;0,"✔","-")</f>
        <v>-</v>
      </c>
      <c r="AV64" s="197" t="str">
        <f>IF('Design Fee'!CR66&gt;0,"✔","-")</f>
        <v>-</v>
      </c>
      <c r="AW64" s="220" t="str">
        <f>IF('Design Fee'!CS66&gt;0,"✔","-")</f>
        <v>-</v>
      </c>
      <c r="AX64" s="220" t="str">
        <f>IF('Design Fee'!CT66&gt;0,"✔","-")</f>
        <v>-</v>
      </c>
      <c r="AY64" s="220" t="str">
        <f>IF('Design Fee'!CU66&gt;0,"✔","-")</f>
        <v>-</v>
      </c>
      <c r="AZ64" s="220" t="str">
        <f>IF('Design Fee'!CV66&gt;0,"✔","-")</f>
        <v>-</v>
      </c>
      <c r="BA64" s="220" t="str">
        <f>IF('Design Fee'!CW66&gt;0,"✔","-")</f>
        <v>-</v>
      </c>
      <c r="BB64" s="220" t="str">
        <f>IF('Design Fee'!CX66&gt;0,"✔","-")</f>
        <v>-</v>
      </c>
      <c r="BC64" s="230"/>
      <c r="BD64" s="198" t="str">
        <f>IF('Design Fee'!CZ66&gt;0,"✔","-")</f>
        <v>-</v>
      </c>
      <c r="BE64" s="198" t="str">
        <f>IF('Design Fee'!DA66&gt;0,"✔","-")</f>
        <v>-</v>
      </c>
      <c r="BF64" s="198" t="str">
        <f>IF('Design Fee'!DB66&gt;0,"✔","-")</f>
        <v>-</v>
      </c>
      <c r="BG64" s="198" t="str">
        <f>IF('Design Fee'!DC66&gt;0,"✔","-")</f>
        <v>-</v>
      </c>
      <c r="BH64" s="198" t="str">
        <f>IF('Design Fee'!DD66&gt;0,"✔","-")</f>
        <v>-</v>
      </c>
      <c r="BI64" s="230"/>
      <c r="BJ64" s="225"/>
      <c r="BK64" s="226"/>
      <c r="BL64" s="197" t="str">
        <f>IF('Design Fee'!EA66&gt;0,"✔","-")</f>
        <v>-</v>
      </c>
      <c r="BM64" s="197" t="str">
        <f>IF('Design Fee'!EB66&gt;0,"✔","-")</f>
        <v>-</v>
      </c>
      <c r="BN64" s="220" t="str">
        <f>IF('Design Fee'!EC66&gt;0,"✔","-")</f>
        <v>-</v>
      </c>
      <c r="BO64" s="220" t="str">
        <f>IF('Design Fee'!ED66&gt;0,"✔","-")</f>
        <v>-</v>
      </c>
      <c r="BP64" s="220" t="str">
        <f>IF('Design Fee'!EE66&gt;0,"✔","-")</f>
        <v>-</v>
      </c>
      <c r="BQ64" s="220" t="str">
        <f>IF('Design Fee'!EF66&gt;0,"✔","-")</f>
        <v>-</v>
      </c>
      <c r="BR64" s="220" t="str">
        <f>IF('Design Fee'!EG66&gt;0,"✔","-")</f>
        <v>-</v>
      </c>
      <c r="BS64" s="220" t="str">
        <f>IF('Design Fee'!EH66&gt;0,"✔","-")</f>
        <v>-</v>
      </c>
      <c r="BT64" s="222"/>
      <c r="BU64" s="198" t="str">
        <f>IF('Design Fee'!EJ66&gt;0,"✔","-")</f>
        <v>-</v>
      </c>
      <c r="BV64" s="198" t="str">
        <f>IF('Design Fee'!EK66&gt;0,"✔","-")</f>
        <v>-</v>
      </c>
      <c r="BW64" s="198" t="str">
        <f>IF('Design Fee'!EL66&gt;0,"✔","-")</f>
        <v>-</v>
      </c>
      <c r="BX64" s="198" t="str">
        <f>IF('Design Fee'!EM66&gt;0,"✔","-")</f>
        <v>-</v>
      </c>
      <c r="BY64" s="198" t="str">
        <f>IF('Design Fee'!EN66&gt;0,"✔","-")</f>
        <v>-</v>
      </c>
      <c r="BZ64" s="137"/>
    </row>
    <row r="65" spans="2:78" ht="12.75" outlineLevel="2">
      <c r="B65" s="217" t="s">
        <v>76</v>
      </c>
      <c r="C65" s="218">
        <v>4</v>
      </c>
      <c r="D65" s="219" t="s">
        <v>58</v>
      </c>
      <c r="E65" s="137"/>
      <c r="F65" s="197">
        <f t="shared" si="77"/>
        <v>3</v>
      </c>
      <c r="G65" s="206">
        <f t="shared" si="78"/>
        <v>3</v>
      </c>
      <c r="H65" s="206">
        <f t="shared" si="78"/>
        <v>3</v>
      </c>
      <c r="I65" s="206">
        <f t="shared" si="79"/>
        <v>0</v>
      </c>
      <c r="J65" s="221"/>
      <c r="K65" s="195"/>
      <c r="L65" s="196"/>
      <c r="M65" s="197" t="str">
        <f>IF('Design Fee'!W67&gt;0,"✔","-")</f>
        <v>✔</v>
      </c>
      <c r="N65" s="197" t="str">
        <f>IF('Design Fee'!X67&gt;0,"✔","-")</f>
        <v>✔</v>
      </c>
      <c r="O65" s="206" t="str">
        <f>IF('Design Fee'!Y67&gt;0,"✔","-")</f>
        <v>✔</v>
      </c>
      <c r="P65" s="206" t="str">
        <f>IF('Design Fee'!Z67&gt;0,"✔","-")</f>
        <v>-</v>
      </c>
      <c r="Q65" s="206" t="str">
        <f>IF('Design Fee'!AA67&gt;0,"✔","-")</f>
        <v>-</v>
      </c>
      <c r="R65" s="206" t="str">
        <f>IF('Design Fee'!AB67&gt;0,"✔","-")</f>
        <v>-</v>
      </c>
      <c r="S65" s="206" t="str">
        <f>IF('Design Fee'!AC67&gt;0,"✔","-")</f>
        <v>-</v>
      </c>
      <c r="T65" s="220" t="str">
        <f>IF('Design Fee'!AD67&gt;0,"✔","-")</f>
        <v>-</v>
      </c>
      <c r="U65" s="221"/>
      <c r="V65" s="198" t="str">
        <f>IF('Design Fee'!AF67&gt;0,"✔","-")</f>
        <v>-</v>
      </c>
      <c r="W65" s="198" t="str">
        <f>IF('Design Fee'!AG67&gt;0,"✔","-")</f>
        <v>-</v>
      </c>
      <c r="X65" s="198" t="str">
        <f>IF('Design Fee'!AH67&gt;0,"✔","-")</f>
        <v>-</v>
      </c>
      <c r="Y65" s="198" t="str">
        <f>IF('Design Fee'!AI67&gt;0,"✔","-")</f>
        <v>-</v>
      </c>
      <c r="Z65" s="198" t="str">
        <f>IF('Design Fee'!AJ67&gt;0,"✔","-")</f>
        <v>-</v>
      </c>
      <c r="AA65" s="221"/>
      <c r="AB65" s="195"/>
      <c r="AC65" s="196"/>
      <c r="AD65" s="197" t="str">
        <f>IF('Design Fee'!BG67&gt;0,"✔","-")</f>
        <v>✔</v>
      </c>
      <c r="AE65" s="197" t="str">
        <f>IF('Design Fee'!BH67&gt;0,"✔","-")</f>
        <v>✔</v>
      </c>
      <c r="AF65" s="206" t="str">
        <f>IF('Design Fee'!BI67&gt;0,"✔","-")</f>
        <v>✔</v>
      </c>
      <c r="AG65" s="206" t="str">
        <f>IF('Design Fee'!BJ67&gt;0,"✔","-")</f>
        <v>-</v>
      </c>
      <c r="AH65" s="206" t="str">
        <f>IF('Design Fee'!BK67&gt;0,"✔","-")</f>
        <v>-</v>
      </c>
      <c r="AI65" s="206" t="str">
        <f>IF('Design Fee'!BL67&gt;0,"✔","-")</f>
        <v>-</v>
      </c>
      <c r="AJ65" s="206" t="str">
        <f>IF('Design Fee'!BM67&gt;0,"✔","-")</f>
        <v>-</v>
      </c>
      <c r="AK65" s="220" t="str">
        <f>IF('Design Fee'!BN67&gt;0,"✔","-")</f>
        <v>-</v>
      </c>
      <c r="AL65" s="199"/>
      <c r="AM65" s="198" t="str">
        <f>IF('Design Fee'!BP67&gt;0,"✔","-")</f>
        <v>-</v>
      </c>
      <c r="AN65" s="198" t="str">
        <f>IF('Design Fee'!BQ67&gt;0,"✔","-")</f>
        <v>-</v>
      </c>
      <c r="AO65" s="198" t="str">
        <f>IF('Design Fee'!BR67&gt;0,"✔","-")</f>
        <v>-</v>
      </c>
      <c r="AP65" s="198" t="str">
        <f>IF('Design Fee'!BS67&gt;0,"✔","-")</f>
        <v>-</v>
      </c>
      <c r="AQ65" s="198" t="str">
        <f>IF('Design Fee'!BT67&gt;0,"✔","-")</f>
        <v>-</v>
      </c>
      <c r="AR65" s="199"/>
      <c r="AS65" s="195"/>
      <c r="AT65" s="196"/>
      <c r="AU65" s="197" t="str">
        <f>IF('Design Fee'!CQ67&gt;0,"✔","-")</f>
        <v>✔</v>
      </c>
      <c r="AV65" s="197" t="str">
        <f>IF('Design Fee'!CR67&gt;0,"✔","-")</f>
        <v>✔</v>
      </c>
      <c r="AW65" s="206" t="str">
        <f>IF('Design Fee'!CS67&gt;0,"✔","-")</f>
        <v>✔</v>
      </c>
      <c r="AX65" s="206" t="str">
        <f>IF('Design Fee'!CT67&gt;0,"✔","-")</f>
        <v>-</v>
      </c>
      <c r="AY65" s="206" t="str">
        <f>IF('Design Fee'!CU67&gt;0,"✔","-")</f>
        <v>-</v>
      </c>
      <c r="AZ65" s="206" t="str">
        <f>IF('Design Fee'!CV67&gt;0,"✔","-")</f>
        <v>-</v>
      </c>
      <c r="BA65" s="206" t="str">
        <f>IF('Design Fee'!CW67&gt;0,"✔","-")</f>
        <v>-</v>
      </c>
      <c r="BB65" s="220" t="str">
        <f>IF('Design Fee'!CX67&gt;0,"✔","-")</f>
        <v>-</v>
      </c>
      <c r="BC65" s="199"/>
      <c r="BD65" s="198" t="str">
        <f>IF('Design Fee'!CZ67&gt;0,"✔","-")</f>
        <v>-</v>
      </c>
      <c r="BE65" s="198" t="str">
        <f>IF('Design Fee'!DA67&gt;0,"✔","-")</f>
        <v>-</v>
      </c>
      <c r="BF65" s="198" t="str">
        <f>IF('Design Fee'!DB67&gt;0,"✔","-")</f>
        <v>-</v>
      </c>
      <c r="BG65" s="198" t="str">
        <f>IF('Design Fee'!DC67&gt;0,"✔","-")</f>
        <v>-</v>
      </c>
      <c r="BH65" s="198" t="str">
        <f>IF('Design Fee'!DD67&gt;0,"✔","-")</f>
        <v>-</v>
      </c>
      <c r="BI65" s="199"/>
      <c r="BJ65" s="195"/>
      <c r="BK65" s="196"/>
      <c r="BL65" s="197" t="str">
        <f>IF('Design Fee'!EA67&gt;0,"✔","-")</f>
        <v>-</v>
      </c>
      <c r="BM65" s="197" t="str">
        <f>IF('Design Fee'!EB67&gt;0,"✔","-")</f>
        <v>-</v>
      </c>
      <c r="BN65" s="206" t="str">
        <f>IF('Design Fee'!EC67&gt;0,"✔","-")</f>
        <v>-</v>
      </c>
      <c r="BO65" s="206" t="str">
        <f>IF('Design Fee'!ED67&gt;0,"✔","-")</f>
        <v>-</v>
      </c>
      <c r="BP65" s="206" t="str">
        <f>IF('Design Fee'!EE67&gt;0,"✔","-")</f>
        <v>-</v>
      </c>
      <c r="BQ65" s="206" t="str">
        <f>IF('Design Fee'!EF67&gt;0,"✔","-")</f>
        <v>-</v>
      </c>
      <c r="BR65" s="206" t="str">
        <f>IF('Design Fee'!EG67&gt;0,"✔","-")</f>
        <v>-</v>
      </c>
      <c r="BS65" s="220" t="str">
        <f>IF('Design Fee'!EH67&gt;0,"✔","-")</f>
        <v>-</v>
      </c>
      <c r="BT65" s="137"/>
      <c r="BU65" s="198" t="str">
        <f>IF('Design Fee'!EJ67&gt;0,"✔","-")</f>
        <v>-</v>
      </c>
      <c r="BV65" s="198" t="str">
        <f>IF('Design Fee'!EK67&gt;0,"✔","-")</f>
        <v>-</v>
      </c>
      <c r="BW65" s="198" t="str">
        <f>IF('Design Fee'!EL67&gt;0,"✔","-")</f>
        <v>-</v>
      </c>
      <c r="BX65" s="198" t="str">
        <f>IF('Design Fee'!EM67&gt;0,"✔","-")</f>
        <v>-</v>
      </c>
      <c r="BY65" s="198" t="str">
        <f>IF('Design Fee'!EN67&gt;0,"✔","-")</f>
        <v>-</v>
      </c>
      <c r="BZ65" s="137"/>
    </row>
    <row r="66" spans="2:78" ht="12.75" outlineLevel="2">
      <c r="B66" s="217" t="s">
        <v>77</v>
      </c>
      <c r="C66" s="218">
        <v>5</v>
      </c>
      <c r="D66" s="219" t="s">
        <v>60</v>
      </c>
      <c r="E66" s="137"/>
      <c r="F66" s="197">
        <f t="shared" si="77"/>
        <v>2</v>
      </c>
      <c r="G66" s="206">
        <f t="shared" si="78"/>
        <v>2</v>
      </c>
      <c r="H66" s="206">
        <f t="shared" si="78"/>
        <v>2</v>
      </c>
      <c r="I66" s="206">
        <f t="shared" si="79"/>
        <v>0</v>
      </c>
      <c r="J66" s="184"/>
      <c r="K66" s="195"/>
      <c r="L66" s="196"/>
      <c r="M66" s="197" t="str">
        <f>IF('Design Fee'!W68&gt;0,"✔","-")</f>
        <v>✔</v>
      </c>
      <c r="N66" s="197" t="str">
        <f>IF('Design Fee'!X68&gt;0,"✔","-")</f>
        <v>✔</v>
      </c>
      <c r="O66" s="206" t="str">
        <f>IF('Design Fee'!Y68&gt;0,"✔","-")</f>
        <v>✔</v>
      </c>
      <c r="P66" s="206" t="str">
        <f>IF('Design Fee'!Z68&gt;0,"✔","-")</f>
        <v>-</v>
      </c>
      <c r="Q66" s="206" t="str">
        <f>IF('Design Fee'!AA68&gt;0,"✔","-")</f>
        <v>-</v>
      </c>
      <c r="R66" s="206" t="str">
        <f>IF('Design Fee'!AB68&gt;0,"✔","-")</f>
        <v>-</v>
      </c>
      <c r="S66" s="206" t="str">
        <f>IF('Design Fee'!AC68&gt;0,"✔","-")</f>
        <v>-</v>
      </c>
      <c r="T66" s="220" t="str">
        <f>IF('Design Fee'!AD68&gt;0,"✔","-")</f>
        <v>-</v>
      </c>
      <c r="U66" s="184"/>
      <c r="V66" s="198" t="str">
        <f>IF('Design Fee'!AF68&gt;0,"✔","-")</f>
        <v>-</v>
      </c>
      <c r="W66" s="198" t="str">
        <f>IF('Design Fee'!AG68&gt;0,"✔","-")</f>
        <v>-</v>
      </c>
      <c r="X66" s="198" t="str">
        <f>IF('Design Fee'!AH68&gt;0,"✔","-")</f>
        <v>-</v>
      </c>
      <c r="Y66" s="198" t="str">
        <f>IF('Design Fee'!AI68&gt;0,"✔","-")</f>
        <v>-</v>
      </c>
      <c r="Z66" s="198" t="str">
        <f>IF('Design Fee'!AJ68&gt;0,"✔","-")</f>
        <v>-</v>
      </c>
      <c r="AA66" s="184"/>
      <c r="AB66" s="195"/>
      <c r="AC66" s="196"/>
      <c r="AD66" s="197" t="str">
        <f>IF('Design Fee'!BG68&gt;0,"✔","-")</f>
        <v>✔</v>
      </c>
      <c r="AE66" s="197" t="str">
        <f>IF('Design Fee'!BH68&gt;0,"✔","-")</f>
        <v>✔</v>
      </c>
      <c r="AF66" s="206" t="str">
        <f>IF('Design Fee'!BI68&gt;0,"✔","-")</f>
        <v>✔</v>
      </c>
      <c r="AG66" s="206" t="str">
        <f>IF('Design Fee'!BJ68&gt;0,"✔","-")</f>
        <v>-</v>
      </c>
      <c r="AH66" s="206" t="str">
        <f>IF('Design Fee'!BK68&gt;0,"✔","-")</f>
        <v>-</v>
      </c>
      <c r="AI66" s="206" t="str">
        <f>IF('Design Fee'!BL68&gt;0,"✔","-")</f>
        <v>-</v>
      </c>
      <c r="AJ66" s="206" t="str">
        <f>IF('Design Fee'!BM68&gt;0,"✔","-")</f>
        <v>-</v>
      </c>
      <c r="AK66" s="220" t="str">
        <f>IF('Design Fee'!BN68&gt;0,"✔","-")</f>
        <v>-</v>
      </c>
      <c r="AL66" s="199"/>
      <c r="AM66" s="198" t="str">
        <f>IF('Design Fee'!BP68&gt;0,"✔","-")</f>
        <v>-</v>
      </c>
      <c r="AN66" s="198" t="str">
        <f>IF('Design Fee'!BQ68&gt;0,"✔","-")</f>
        <v>-</v>
      </c>
      <c r="AO66" s="198" t="str">
        <f>IF('Design Fee'!BR68&gt;0,"✔","-")</f>
        <v>-</v>
      </c>
      <c r="AP66" s="198" t="str">
        <f>IF('Design Fee'!BS68&gt;0,"✔","-")</f>
        <v>-</v>
      </c>
      <c r="AQ66" s="198" t="str">
        <f>IF('Design Fee'!BT68&gt;0,"✔","-")</f>
        <v>-</v>
      </c>
      <c r="AR66" s="199"/>
      <c r="AS66" s="195"/>
      <c r="AT66" s="196"/>
      <c r="AU66" s="197" t="str">
        <f>IF('Design Fee'!CQ68&gt;0,"✔","-")</f>
        <v>-</v>
      </c>
      <c r="AV66" s="197" t="str">
        <f>IF('Design Fee'!CR68&gt;0,"✔","-")</f>
        <v>-</v>
      </c>
      <c r="AW66" s="206" t="str">
        <f>IF('Design Fee'!CS68&gt;0,"✔","-")</f>
        <v>-</v>
      </c>
      <c r="AX66" s="206" t="str">
        <f>IF('Design Fee'!CT68&gt;0,"✔","-")</f>
        <v>-</v>
      </c>
      <c r="AY66" s="206" t="str">
        <f>IF('Design Fee'!CU68&gt;0,"✔","-")</f>
        <v>-</v>
      </c>
      <c r="AZ66" s="206" t="str">
        <f>IF('Design Fee'!CV68&gt;0,"✔","-")</f>
        <v>-</v>
      </c>
      <c r="BA66" s="206" t="str">
        <f>IF('Design Fee'!CW68&gt;0,"✔","-")</f>
        <v>-</v>
      </c>
      <c r="BB66" s="220" t="str">
        <f>IF('Design Fee'!CX68&gt;0,"✔","-")</f>
        <v>-</v>
      </c>
      <c r="BC66" s="199"/>
      <c r="BD66" s="198" t="str">
        <f>IF('Design Fee'!CZ68&gt;0,"✔","-")</f>
        <v>-</v>
      </c>
      <c r="BE66" s="198" t="str">
        <f>IF('Design Fee'!DA68&gt;0,"✔","-")</f>
        <v>-</v>
      </c>
      <c r="BF66" s="198" t="str">
        <f>IF('Design Fee'!DB68&gt;0,"✔","-")</f>
        <v>-</v>
      </c>
      <c r="BG66" s="198" t="str">
        <f>IF('Design Fee'!DC68&gt;0,"✔","-")</f>
        <v>-</v>
      </c>
      <c r="BH66" s="198" t="str">
        <f>IF('Design Fee'!DD68&gt;0,"✔","-")</f>
        <v>-</v>
      </c>
      <c r="BI66" s="199"/>
      <c r="BJ66" s="195"/>
      <c r="BK66" s="196"/>
      <c r="BL66" s="197" t="str">
        <f>IF('Design Fee'!EA68&gt;0,"✔","-")</f>
        <v>-</v>
      </c>
      <c r="BM66" s="197" t="str">
        <f>IF('Design Fee'!EB68&gt;0,"✔","-")</f>
        <v>-</v>
      </c>
      <c r="BN66" s="206" t="str">
        <f>IF('Design Fee'!EC68&gt;0,"✔","-")</f>
        <v>-</v>
      </c>
      <c r="BO66" s="206" t="str">
        <f>IF('Design Fee'!ED68&gt;0,"✔","-")</f>
        <v>-</v>
      </c>
      <c r="BP66" s="206" t="str">
        <f>IF('Design Fee'!EE68&gt;0,"✔","-")</f>
        <v>-</v>
      </c>
      <c r="BQ66" s="206" t="str">
        <f>IF('Design Fee'!EF68&gt;0,"✔","-")</f>
        <v>-</v>
      </c>
      <c r="BR66" s="206" t="str">
        <f>IF('Design Fee'!EG68&gt;0,"✔","-")</f>
        <v>-</v>
      </c>
      <c r="BS66" s="220" t="str">
        <f>IF('Design Fee'!EH68&gt;0,"✔","-")</f>
        <v>-</v>
      </c>
      <c r="BT66" s="137"/>
      <c r="BU66" s="198" t="str">
        <f>IF('Design Fee'!EJ68&gt;0,"✔","-")</f>
        <v>-</v>
      </c>
      <c r="BV66" s="198" t="str">
        <f>IF('Design Fee'!EK68&gt;0,"✔","-")</f>
        <v>-</v>
      </c>
      <c r="BW66" s="198" t="str">
        <f>IF('Design Fee'!EL68&gt;0,"✔","-")</f>
        <v>-</v>
      </c>
      <c r="BX66" s="198" t="str">
        <f>IF('Design Fee'!EM68&gt;0,"✔","-")</f>
        <v>-</v>
      </c>
      <c r="BY66" s="198" t="str">
        <f>IF('Design Fee'!EN68&gt;0,"✔","-")</f>
        <v>-</v>
      </c>
      <c r="BZ66" s="137"/>
    </row>
    <row r="67" spans="2:78" ht="12.75" outlineLevel="2">
      <c r="B67" s="217" t="s">
        <v>78</v>
      </c>
      <c r="C67" s="218">
        <v>6</v>
      </c>
      <c r="D67" s="219" t="s">
        <v>62</v>
      </c>
      <c r="E67" s="137"/>
      <c r="F67" s="197">
        <f t="shared" si="77"/>
        <v>2</v>
      </c>
      <c r="G67" s="206">
        <f t="shared" si="78"/>
        <v>2</v>
      </c>
      <c r="H67" s="206">
        <f t="shared" si="78"/>
        <v>2</v>
      </c>
      <c r="I67" s="206">
        <f t="shared" si="79"/>
        <v>0</v>
      </c>
      <c r="J67" s="184"/>
      <c r="K67" s="195"/>
      <c r="L67" s="196"/>
      <c r="M67" s="197" t="str">
        <f>IF('Design Fee'!W69&gt;0,"✔","-")</f>
        <v>✔</v>
      </c>
      <c r="N67" s="197" t="str">
        <f>IF('Design Fee'!X69&gt;0,"✔","-")</f>
        <v>✔</v>
      </c>
      <c r="O67" s="206" t="str">
        <f>IF('Design Fee'!Y69&gt;0,"✔","-")</f>
        <v>✔</v>
      </c>
      <c r="P67" s="206" t="str">
        <f>IF('Design Fee'!Z69&gt;0,"✔","-")</f>
        <v>-</v>
      </c>
      <c r="Q67" s="206" t="str">
        <f>IF('Design Fee'!AA69&gt;0,"✔","-")</f>
        <v>-</v>
      </c>
      <c r="R67" s="206" t="str">
        <f>IF('Design Fee'!AB69&gt;0,"✔","-")</f>
        <v>-</v>
      </c>
      <c r="S67" s="206" t="str">
        <f>IF('Design Fee'!AC69&gt;0,"✔","-")</f>
        <v>-</v>
      </c>
      <c r="T67" s="220" t="str">
        <f>IF('Design Fee'!AD69&gt;0,"✔","-")</f>
        <v>-</v>
      </c>
      <c r="U67" s="184"/>
      <c r="V67" s="198" t="str">
        <f>IF('Design Fee'!AF69&gt;0,"✔","-")</f>
        <v>-</v>
      </c>
      <c r="W67" s="198" t="str">
        <f>IF('Design Fee'!AG69&gt;0,"✔","-")</f>
        <v>-</v>
      </c>
      <c r="X67" s="198" t="str">
        <f>IF('Design Fee'!AH69&gt;0,"✔","-")</f>
        <v>-</v>
      </c>
      <c r="Y67" s="198" t="str">
        <f>IF('Design Fee'!AI69&gt;0,"✔","-")</f>
        <v>-</v>
      </c>
      <c r="Z67" s="198" t="str">
        <f>IF('Design Fee'!AJ69&gt;0,"✔","-")</f>
        <v>-</v>
      </c>
      <c r="AA67" s="184"/>
      <c r="AB67" s="195"/>
      <c r="AC67" s="196"/>
      <c r="AD67" s="197" t="str">
        <f>IF('Design Fee'!BG69&gt;0,"✔","-")</f>
        <v>✔</v>
      </c>
      <c r="AE67" s="197" t="str">
        <f>IF('Design Fee'!BH69&gt;0,"✔","-")</f>
        <v>✔</v>
      </c>
      <c r="AF67" s="206" t="str">
        <f>IF('Design Fee'!BI69&gt;0,"✔","-")</f>
        <v>✔</v>
      </c>
      <c r="AG67" s="206" t="str">
        <f>IF('Design Fee'!BJ69&gt;0,"✔","-")</f>
        <v>-</v>
      </c>
      <c r="AH67" s="206" t="str">
        <f>IF('Design Fee'!BK69&gt;0,"✔","-")</f>
        <v>-</v>
      </c>
      <c r="AI67" s="206" t="str">
        <f>IF('Design Fee'!BL69&gt;0,"✔","-")</f>
        <v>-</v>
      </c>
      <c r="AJ67" s="206" t="str">
        <f>IF('Design Fee'!BM69&gt;0,"✔","-")</f>
        <v>-</v>
      </c>
      <c r="AK67" s="220" t="str">
        <f>IF('Design Fee'!BN69&gt;0,"✔","-")</f>
        <v>-</v>
      </c>
      <c r="AL67" s="199"/>
      <c r="AM67" s="198" t="str">
        <f>IF('Design Fee'!BP69&gt;0,"✔","-")</f>
        <v>-</v>
      </c>
      <c r="AN67" s="198" t="str">
        <f>IF('Design Fee'!BQ69&gt;0,"✔","-")</f>
        <v>-</v>
      </c>
      <c r="AO67" s="198" t="str">
        <f>IF('Design Fee'!BR69&gt;0,"✔","-")</f>
        <v>-</v>
      </c>
      <c r="AP67" s="198" t="str">
        <f>IF('Design Fee'!BS69&gt;0,"✔","-")</f>
        <v>-</v>
      </c>
      <c r="AQ67" s="198" t="str">
        <f>IF('Design Fee'!BT69&gt;0,"✔","-")</f>
        <v>-</v>
      </c>
      <c r="AR67" s="199"/>
      <c r="AS67" s="195"/>
      <c r="AT67" s="196"/>
      <c r="AU67" s="197" t="str">
        <f>IF('Design Fee'!CQ69&gt;0,"✔","-")</f>
        <v>-</v>
      </c>
      <c r="AV67" s="197" t="str">
        <f>IF('Design Fee'!CR69&gt;0,"✔","-")</f>
        <v>-</v>
      </c>
      <c r="AW67" s="206" t="str">
        <f>IF('Design Fee'!CS69&gt;0,"✔","-")</f>
        <v>-</v>
      </c>
      <c r="AX67" s="206" t="str">
        <f>IF('Design Fee'!CT69&gt;0,"✔","-")</f>
        <v>-</v>
      </c>
      <c r="AY67" s="206" t="str">
        <f>IF('Design Fee'!CU69&gt;0,"✔","-")</f>
        <v>-</v>
      </c>
      <c r="AZ67" s="206" t="str">
        <f>IF('Design Fee'!CV69&gt;0,"✔","-")</f>
        <v>-</v>
      </c>
      <c r="BA67" s="206" t="str">
        <f>IF('Design Fee'!CW69&gt;0,"✔","-")</f>
        <v>-</v>
      </c>
      <c r="BB67" s="220" t="str">
        <f>IF('Design Fee'!CX69&gt;0,"✔","-")</f>
        <v>-</v>
      </c>
      <c r="BC67" s="199"/>
      <c r="BD67" s="198" t="str">
        <f>IF('Design Fee'!CZ69&gt;0,"✔","-")</f>
        <v>-</v>
      </c>
      <c r="BE67" s="198" t="str">
        <f>IF('Design Fee'!DA69&gt;0,"✔","-")</f>
        <v>-</v>
      </c>
      <c r="BF67" s="198" t="str">
        <f>IF('Design Fee'!DB69&gt;0,"✔","-")</f>
        <v>-</v>
      </c>
      <c r="BG67" s="198" t="str">
        <f>IF('Design Fee'!DC69&gt;0,"✔","-")</f>
        <v>-</v>
      </c>
      <c r="BH67" s="198" t="str">
        <f>IF('Design Fee'!DD69&gt;0,"✔","-")</f>
        <v>-</v>
      </c>
      <c r="BI67" s="199"/>
      <c r="BJ67" s="195"/>
      <c r="BK67" s="196"/>
      <c r="BL67" s="197" t="str">
        <f>IF('Design Fee'!EA69&gt;0,"✔","-")</f>
        <v>-</v>
      </c>
      <c r="BM67" s="197" t="str">
        <f>IF('Design Fee'!EB69&gt;0,"✔","-")</f>
        <v>-</v>
      </c>
      <c r="BN67" s="206" t="str">
        <f>IF('Design Fee'!EC69&gt;0,"✔","-")</f>
        <v>-</v>
      </c>
      <c r="BO67" s="206" t="str">
        <f>IF('Design Fee'!ED69&gt;0,"✔","-")</f>
        <v>-</v>
      </c>
      <c r="BP67" s="206" t="str">
        <f>IF('Design Fee'!EE69&gt;0,"✔","-")</f>
        <v>-</v>
      </c>
      <c r="BQ67" s="206" t="str">
        <f>IF('Design Fee'!EF69&gt;0,"✔","-")</f>
        <v>-</v>
      </c>
      <c r="BR67" s="206" t="str">
        <f>IF('Design Fee'!EG69&gt;0,"✔","-")</f>
        <v>-</v>
      </c>
      <c r="BS67" s="220" t="str">
        <f>IF('Design Fee'!EH69&gt;0,"✔","-")</f>
        <v>-</v>
      </c>
      <c r="BT67" s="137"/>
      <c r="BU67" s="198" t="str">
        <f>IF('Design Fee'!EJ69&gt;0,"✔","-")</f>
        <v>-</v>
      </c>
      <c r="BV67" s="198" t="str">
        <f>IF('Design Fee'!EK69&gt;0,"✔","-")</f>
        <v>-</v>
      </c>
      <c r="BW67" s="198" t="str">
        <f>IF('Design Fee'!EL69&gt;0,"✔","-")</f>
        <v>-</v>
      </c>
      <c r="BX67" s="198" t="str">
        <f>IF('Design Fee'!EM69&gt;0,"✔","-")</f>
        <v>-</v>
      </c>
      <c r="BY67" s="198" t="str">
        <f>IF('Design Fee'!EN69&gt;0,"✔","-")</f>
        <v>-</v>
      </c>
      <c r="BZ67" s="137"/>
    </row>
    <row r="68" spans="2:78" s="51" customFormat="1" ht="12.75" outlineLevel="2">
      <c r="B68" s="217" t="s">
        <v>79</v>
      </c>
      <c r="C68" s="223">
        <v>7</v>
      </c>
      <c r="D68" s="224" t="s">
        <v>64</v>
      </c>
      <c r="E68" s="222"/>
      <c r="F68" s="227">
        <f t="shared" si="77"/>
        <v>2</v>
      </c>
      <c r="G68" s="220">
        <f t="shared" si="78"/>
        <v>2</v>
      </c>
      <c r="H68" s="220">
        <f t="shared" si="78"/>
        <v>2</v>
      </c>
      <c r="I68" s="220">
        <f t="shared" si="79"/>
        <v>0</v>
      </c>
      <c r="J68" s="229"/>
      <c r="K68" s="225"/>
      <c r="L68" s="226"/>
      <c r="M68" s="197" t="str">
        <f>IF('Design Fee'!W70&gt;0,"✔","-")</f>
        <v>✔</v>
      </c>
      <c r="N68" s="197" t="str">
        <f>IF('Design Fee'!X70&gt;0,"✔","-")</f>
        <v>✔</v>
      </c>
      <c r="O68" s="220" t="str">
        <f>IF('Design Fee'!Y70&gt;0,"✔","-")</f>
        <v>✔</v>
      </c>
      <c r="P68" s="220" t="str">
        <f>IF('Design Fee'!Z70&gt;0,"✔","-")</f>
        <v>-</v>
      </c>
      <c r="Q68" s="220" t="str">
        <f>IF('Design Fee'!AA70&gt;0,"✔","-")</f>
        <v>-</v>
      </c>
      <c r="R68" s="220" t="str">
        <f>IF('Design Fee'!AB70&gt;0,"✔","-")</f>
        <v>-</v>
      </c>
      <c r="S68" s="220" t="str">
        <f>IF('Design Fee'!AC70&gt;0,"✔","-")</f>
        <v>-</v>
      </c>
      <c r="T68" s="220" t="str">
        <f>IF('Design Fee'!AD70&gt;0,"✔","-")</f>
        <v>-</v>
      </c>
      <c r="U68" s="229"/>
      <c r="V68" s="198" t="str">
        <f>IF('Design Fee'!AF70&gt;0,"✔","-")</f>
        <v>-</v>
      </c>
      <c r="W68" s="198" t="str">
        <f>IF('Design Fee'!AG70&gt;0,"✔","-")</f>
        <v>-</v>
      </c>
      <c r="X68" s="198" t="str">
        <f>IF('Design Fee'!AH70&gt;0,"✔","-")</f>
        <v>-</v>
      </c>
      <c r="Y68" s="198" t="str">
        <f>IF('Design Fee'!AI70&gt;0,"✔","-")</f>
        <v>-</v>
      </c>
      <c r="Z68" s="198" t="str">
        <f>IF('Design Fee'!AJ70&gt;0,"✔","-")</f>
        <v>-</v>
      </c>
      <c r="AA68" s="229"/>
      <c r="AB68" s="225"/>
      <c r="AC68" s="226"/>
      <c r="AD68" s="197" t="str">
        <f>IF('Design Fee'!BG70&gt;0,"✔","-")</f>
        <v>-</v>
      </c>
      <c r="AE68" s="197" t="str">
        <f>IF('Design Fee'!BH70&gt;0,"✔","-")</f>
        <v>-</v>
      </c>
      <c r="AF68" s="220" t="str">
        <f>IF('Design Fee'!BI70&gt;0,"✔","-")</f>
        <v>-</v>
      </c>
      <c r="AG68" s="220" t="str">
        <f>IF('Design Fee'!BJ70&gt;0,"✔","-")</f>
        <v>-</v>
      </c>
      <c r="AH68" s="220" t="str">
        <f>IF('Design Fee'!BK70&gt;0,"✔","-")</f>
        <v>-</v>
      </c>
      <c r="AI68" s="220" t="str">
        <f>IF('Design Fee'!BL70&gt;0,"✔","-")</f>
        <v>-</v>
      </c>
      <c r="AJ68" s="220" t="str">
        <f>IF('Design Fee'!BM70&gt;0,"✔","-")</f>
        <v>-</v>
      </c>
      <c r="AK68" s="220" t="str">
        <f>IF('Design Fee'!BN70&gt;0,"✔","-")</f>
        <v>-</v>
      </c>
      <c r="AL68" s="230"/>
      <c r="AM68" s="198" t="str">
        <f>IF('Design Fee'!BP70&gt;0,"✔","-")</f>
        <v>-</v>
      </c>
      <c r="AN68" s="198" t="str">
        <f>IF('Design Fee'!BQ70&gt;0,"✔","-")</f>
        <v>-</v>
      </c>
      <c r="AO68" s="198" t="str">
        <f>IF('Design Fee'!BR70&gt;0,"✔","-")</f>
        <v>-</v>
      </c>
      <c r="AP68" s="198" t="str">
        <f>IF('Design Fee'!BS70&gt;0,"✔","-")</f>
        <v>-</v>
      </c>
      <c r="AQ68" s="198" t="str">
        <f>IF('Design Fee'!BT70&gt;0,"✔","-")</f>
        <v>-</v>
      </c>
      <c r="AR68" s="230"/>
      <c r="AS68" s="225"/>
      <c r="AT68" s="226"/>
      <c r="AU68" s="197" t="str">
        <f>IF('Design Fee'!CQ70&gt;0,"✔","-")</f>
        <v>✔</v>
      </c>
      <c r="AV68" s="197" t="str">
        <f>IF('Design Fee'!CR70&gt;0,"✔","-")</f>
        <v>✔</v>
      </c>
      <c r="AW68" s="220" t="str">
        <f>IF('Design Fee'!CS70&gt;0,"✔","-")</f>
        <v>✔</v>
      </c>
      <c r="AX68" s="220" t="str">
        <f>IF('Design Fee'!CT70&gt;0,"✔","-")</f>
        <v>-</v>
      </c>
      <c r="AY68" s="220" t="str">
        <f>IF('Design Fee'!CU70&gt;0,"✔","-")</f>
        <v>-</v>
      </c>
      <c r="AZ68" s="220" t="str">
        <f>IF('Design Fee'!CV70&gt;0,"✔","-")</f>
        <v>-</v>
      </c>
      <c r="BA68" s="220" t="str">
        <f>IF('Design Fee'!CW70&gt;0,"✔","-")</f>
        <v>-</v>
      </c>
      <c r="BB68" s="220" t="str">
        <f>IF('Design Fee'!CX70&gt;0,"✔","-")</f>
        <v>-</v>
      </c>
      <c r="BC68" s="230"/>
      <c r="BD68" s="198" t="str">
        <f>IF('Design Fee'!CZ70&gt;0,"✔","-")</f>
        <v>-</v>
      </c>
      <c r="BE68" s="198" t="str">
        <f>IF('Design Fee'!DA70&gt;0,"✔","-")</f>
        <v>-</v>
      </c>
      <c r="BF68" s="198" t="str">
        <f>IF('Design Fee'!DB70&gt;0,"✔","-")</f>
        <v>-</v>
      </c>
      <c r="BG68" s="198" t="str">
        <f>IF('Design Fee'!DC70&gt;0,"✔","-")</f>
        <v>-</v>
      </c>
      <c r="BH68" s="198" t="str">
        <f>IF('Design Fee'!DD70&gt;0,"✔","-")</f>
        <v>-</v>
      </c>
      <c r="BI68" s="230"/>
      <c r="BJ68" s="225"/>
      <c r="BK68" s="226"/>
      <c r="BL68" s="197" t="str">
        <f>IF('Design Fee'!EA70&gt;0,"✔","-")</f>
        <v>-</v>
      </c>
      <c r="BM68" s="197" t="str">
        <f>IF('Design Fee'!EB70&gt;0,"✔","-")</f>
        <v>-</v>
      </c>
      <c r="BN68" s="220" t="str">
        <f>IF('Design Fee'!EC70&gt;0,"✔","-")</f>
        <v>-</v>
      </c>
      <c r="BO68" s="220" t="str">
        <f>IF('Design Fee'!ED70&gt;0,"✔","-")</f>
        <v>-</v>
      </c>
      <c r="BP68" s="220" t="str">
        <f>IF('Design Fee'!EE70&gt;0,"✔","-")</f>
        <v>-</v>
      </c>
      <c r="BQ68" s="220" t="str">
        <f>IF('Design Fee'!EF70&gt;0,"✔","-")</f>
        <v>-</v>
      </c>
      <c r="BR68" s="220" t="str">
        <f>IF('Design Fee'!EG70&gt;0,"✔","-")</f>
        <v>-</v>
      </c>
      <c r="BS68" s="220" t="str">
        <f>IF('Design Fee'!EH70&gt;0,"✔","-")</f>
        <v>-</v>
      </c>
      <c r="BT68" s="222"/>
      <c r="BU68" s="198" t="str">
        <f>IF('Design Fee'!EJ70&gt;0,"✔","-")</f>
        <v>-</v>
      </c>
      <c r="BV68" s="198" t="str">
        <f>IF('Design Fee'!EK70&gt;0,"✔","-")</f>
        <v>-</v>
      </c>
      <c r="BW68" s="198" t="str">
        <f>IF('Design Fee'!EL70&gt;0,"✔","-")</f>
        <v>-</v>
      </c>
      <c r="BX68" s="198" t="str">
        <f>IF('Design Fee'!EM70&gt;0,"✔","-")</f>
        <v>-</v>
      </c>
      <c r="BY68" s="198" t="str">
        <f>IF('Design Fee'!EN70&gt;0,"✔","-")</f>
        <v>-</v>
      </c>
      <c r="BZ68" s="137"/>
    </row>
    <row r="69" spans="2:78" ht="12.75" outlineLevel="2">
      <c r="B69" s="217" t="s">
        <v>80</v>
      </c>
      <c r="C69" s="218">
        <v>8</v>
      </c>
      <c r="D69" s="219" t="s">
        <v>67</v>
      </c>
      <c r="E69" s="137"/>
      <c r="F69" s="197">
        <f t="shared" si="77"/>
        <v>2</v>
      </c>
      <c r="G69" s="198">
        <f t="shared" si="78"/>
        <v>2</v>
      </c>
      <c r="H69" s="198">
        <f t="shared" si="78"/>
        <v>2</v>
      </c>
      <c r="I69" s="198">
        <f t="shared" si="79"/>
        <v>0</v>
      </c>
      <c r="J69" s="184"/>
      <c r="K69" s="195"/>
      <c r="L69" s="196"/>
      <c r="M69" s="197" t="str">
        <f>IF('Design Fee'!W71&gt;0,"✔","-")</f>
        <v>✔</v>
      </c>
      <c r="N69" s="197" t="str">
        <f>IF('Design Fee'!X71&gt;0,"✔","-")</f>
        <v>✔</v>
      </c>
      <c r="O69" s="198" t="str">
        <f>IF('Design Fee'!Y71&gt;0,"✔","-")</f>
        <v>✔</v>
      </c>
      <c r="P69" s="198" t="str">
        <f>IF('Design Fee'!Z71&gt;0,"✔","-")</f>
        <v>-</v>
      </c>
      <c r="Q69" s="198" t="str">
        <f>IF('Design Fee'!AA71&gt;0,"✔","-")</f>
        <v>-</v>
      </c>
      <c r="R69" s="198" t="str">
        <f>IF('Design Fee'!AB71&gt;0,"✔","-")</f>
        <v>-</v>
      </c>
      <c r="S69" s="198" t="str">
        <f>IF('Design Fee'!AC71&gt;0,"✔","-")</f>
        <v>-</v>
      </c>
      <c r="T69" s="220" t="str">
        <f>IF('Design Fee'!AD71&gt;0,"✔","-")</f>
        <v>-</v>
      </c>
      <c r="U69" s="184"/>
      <c r="V69" s="198" t="str">
        <f>IF('Design Fee'!AF71&gt;0,"✔","-")</f>
        <v>-</v>
      </c>
      <c r="W69" s="198" t="str">
        <f>IF('Design Fee'!AG71&gt;0,"✔","-")</f>
        <v>-</v>
      </c>
      <c r="X69" s="198" t="str">
        <f>IF('Design Fee'!AH71&gt;0,"✔","-")</f>
        <v>-</v>
      </c>
      <c r="Y69" s="198" t="str">
        <f>IF('Design Fee'!AI71&gt;0,"✔","-")</f>
        <v>-</v>
      </c>
      <c r="Z69" s="198" t="str">
        <f>IF('Design Fee'!AJ71&gt;0,"✔","-")</f>
        <v>-</v>
      </c>
      <c r="AA69" s="184"/>
      <c r="AB69" s="195"/>
      <c r="AC69" s="196"/>
      <c r="AD69" s="197" t="str">
        <f>IF('Design Fee'!BG71&gt;0,"✔","-")</f>
        <v>✔</v>
      </c>
      <c r="AE69" s="197" t="str">
        <f>IF('Design Fee'!BH71&gt;0,"✔","-")</f>
        <v>✔</v>
      </c>
      <c r="AF69" s="198" t="str">
        <f>IF('Design Fee'!BI71&gt;0,"✔","-")</f>
        <v>✔</v>
      </c>
      <c r="AG69" s="198" t="str">
        <f>IF('Design Fee'!BJ71&gt;0,"✔","-")</f>
        <v>-</v>
      </c>
      <c r="AH69" s="198" t="str">
        <f>IF('Design Fee'!BK71&gt;0,"✔","-")</f>
        <v>-</v>
      </c>
      <c r="AI69" s="198" t="str">
        <f>IF('Design Fee'!BL71&gt;0,"✔","-")</f>
        <v>-</v>
      </c>
      <c r="AJ69" s="198" t="str">
        <f>IF('Design Fee'!BM71&gt;0,"✔","-")</f>
        <v>-</v>
      </c>
      <c r="AK69" s="220" t="str">
        <f>IF('Design Fee'!BN71&gt;0,"✔","-")</f>
        <v>-</v>
      </c>
      <c r="AL69" s="199"/>
      <c r="AM69" s="198" t="str">
        <f>IF('Design Fee'!BP71&gt;0,"✔","-")</f>
        <v>-</v>
      </c>
      <c r="AN69" s="198" t="str">
        <f>IF('Design Fee'!BQ71&gt;0,"✔","-")</f>
        <v>-</v>
      </c>
      <c r="AO69" s="198" t="str">
        <f>IF('Design Fee'!BR71&gt;0,"✔","-")</f>
        <v>-</v>
      </c>
      <c r="AP69" s="198" t="str">
        <f>IF('Design Fee'!BS71&gt;0,"✔","-")</f>
        <v>-</v>
      </c>
      <c r="AQ69" s="198" t="str">
        <f>IF('Design Fee'!BT71&gt;0,"✔","-")</f>
        <v>-</v>
      </c>
      <c r="AR69" s="199"/>
      <c r="AS69" s="195"/>
      <c r="AT69" s="196"/>
      <c r="AU69" s="197" t="str">
        <f>IF('Design Fee'!CQ71&gt;0,"✔","-")</f>
        <v>-</v>
      </c>
      <c r="AV69" s="197" t="str">
        <f>IF('Design Fee'!CR71&gt;0,"✔","-")</f>
        <v>-</v>
      </c>
      <c r="AW69" s="198" t="str">
        <f>IF('Design Fee'!CS71&gt;0,"✔","-")</f>
        <v>-</v>
      </c>
      <c r="AX69" s="198" t="str">
        <f>IF('Design Fee'!CT71&gt;0,"✔","-")</f>
        <v>-</v>
      </c>
      <c r="AY69" s="198" t="str">
        <f>IF('Design Fee'!CU71&gt;0,"✔","-")</f>
        <v>-</v>
      </c>
      <c r="AZ69" s="198" t="str">
        <f>IF('Design Fee'!CV71&gt;0,"✔","-")</f>
        <v>-</v>
      </c>
      <c r="BA69" s="198" t="str">
        <f>IF('Design Fee'!CW71&gt;0,"✔","-")</f>
        <v>-</v>
      </c>
      <c r="BB69" s="220" t="str">
        <f>IF('Design Fee'!CX71&gt;0,"✔","-")</f>
        <v>-</v>
      </c>
      <c r="BC69" s="199"/>
      <c r="BD69" s="198" t="str">
        <f>IF('Design Fee'!CZ71&gt;0,"✔","-")</f>
        <v>-</v>
      </c>
      <c r="BE69" s="198" t="str">
        <f>IF('Design Fee'!DA71&gt;0,"✔","-")</f>
        <v>-</v>
      </c>
      <c r="BF69" s="198" t="str">
        <f>IF('Design Fee'!DB71&gt;0,"✔","-")</f>
        <v>-</v>
      </c>
      <c r="BG69" s="198" t="str">
        <f>IF('Design Fee'!DC71&gt;0,"✔","-")</f>
        <v>-</v>
      </c>
      <c r="BH69" s="198" t="str">
        <f>IF('Design Fee'!DD71&gt;0,"✔","-")</f>
        <v>-</v>
      </c>
      <c r="BI69" s="199"/>
      <c r="BJ69" s="195"/>
      <c r="BK69" s="196"/>
      <c r="BL69" s="197" t="str">
        <f>IF('Design Fee'!EA71&gt;0,"✔","-")</f>
        <v>-</v>
      </c>
      <c r="BM69" s="197" t="str">
        <f>IF('Design Fee'!EB71&gt;0,"✔","-")</f>
        <v>-</v>
      </c>
      <c r="BN69" s="198" t="str">
        <f>IF('Design Fee'!EC71&gt;0,"✔","-")</f>
        <v>-</v>
      </c>
      <c r="BO69" s="198" t="str">
        <f>IF('Design Fee'!ED71&gt;0,"✔","-")</f>
        <v>-</v>
      </c>
      <c r="BP69" s="198" t="str">
        <f>IF('Design Fee'!EE71&gt;0,"✔","-")</f>
        <v>-</v>
      </c>
      <c r="BQ69" s="198" t="str">
        <f>IF('Design Fee'!EF71&gt;0,"✔","-")</f>
        <v>-</v>
      </c>
      <c r="BR69" s="198" t="str">
        <f>IF('Design Fee'!EG71&gt;0,"✔","-")</f>
        <v>-</v>
      </c>
      <c r="BS69" s="220" t="str">
        <f>IF('Design Fee'!EH71&gt;0,"✔","-")</f>
        <v>-</v>
      </c>
      <c r="BT69" s="137"/>
      <c r="BU69" s="198" t="str">
        <f>IF('Design Fee'!EJ71&gt;0,"✔","-")</f>
        <v>-</v>
      </c>
      <c r="BV69" s="198" t="str">
        <f>IF('Design Fee'!EK71&gt;0,"✔","-")</f>
        <v>-</v>
      </c>
      <c r="BW69" s="198" t="str">
        <f>IF('Design Fee'!EL71&gt;0,"✔","-")</f>
        <v>-</v>
      </c>
      <c r="BX69" s="198" t="str">
        <f>IF('Design Fee'!EM71&gt;0,"✔","-")</f>
        <v>-</v>
      </c>
      <c r="BY69" s="198" t="str">
        <f>IF('Design Fee'!EN71&gt;0,"✔","-")</f>
        <v>-</v>
      </c>
      <c r="BZ69" s="137"/>
    </row>
    <row r="70" spans="2:78" ht="12.75" outlineLevel="2">
      <c r="B70" s="217" t="s">
        <v>81</v>
      </c>
      <c r="C70" s="218">
        <v>9</v>
      </c>
      <c r="D70" s="224" t="s">
        <v>69</v>
      </c>
      <c r="E70" s="137"/>
      <c r="F70" s="197">
        <f t="shared" si="77"/>
        <v>3</v>
      </c>
      <c r="G70" s="198">
        <f t="shared" si="78"/>
        <v>3</v>
      </c>
      <c r="H70" s="198">
        <f t="shared" si="78"/>
        <v>3</v>
      </c>
      <c r="I70" s="198">
        <f t="shared" si="79"/>
        <v>0</v>
      </c>
      <c r="J70" s="184"/>
      <c r="K70" s="195"/>
      <c r="L70" s="196"/>
      <c r="M70" s="197" t="str">
        <f>IF('Design Fee'!W72&gt;0,"✔","-")</f>
        <v>✔</v>
      </c>
      <c r="N70" s="197" t="str">
        <f>IF('Design Fee'!X72&gt;0,"✔","-")</f>
        <v>✔</v>
      </c>
      <c r="O70" s="198" t="str">
        <f>IF('Design Fee'!Y72&gt;0,"✔","-")</f>
        <v>✔</v>
      </c>
      <c r="P70" s="198" t="str">
        <f>IF('Design Fee'!Z72&gt;0,"✔","-")</f>
        <v>-</v>
      </c>
      <c r="Q70" s="198" t="str">
        <f>IF('Design Fee'!AA72&gt;0,"✔","-")</f>
        <v>-</v>
      </c>
      <c r="R70" s="198" t="str">
        <f>IF('Design Fee'!AB72&gt;0,"✔","-")</f>
        <v>-</v>
      </c>
      <c r="S70" s="198" t="str">
        <f>IF('Design Fee'!AC72&gt;0,"✔","-")</f>
        <v>-</v>
      </c>
      <c r="T70" s="220" t="str">
        <f>IF('Design Fee'!AD72&gt;0,"✔","-")</f>
        <v>-</v>
      </c>
      <c r="U70" s="184"/>
      <c r="V70" s="198" t="str">
        <f>IF('Design Fee'!AF72&gt;0,"✔","-")</f>
        <v>-</v>
      </c>
      <c r="W70" s="198" t="str">
        <f>IF('Design Fee'!AG72&gt;0,"✔","-")</f>
        <v>-</v>
      </c>
      <c r="X70" s="198" t="str">
        <f>IF('Design Fee'!AH72&gt;0,"✔","-")</f>
        <v>-</v>
      </c>
      <c r="Y70" s="198" t="str">
        <f>IF('Design Fee'!AI72&gt;0,"✔","-")</f>
        <v>-</v>
      </c>
      <c r="Z70" s="198" t="str">
        <f>IF('Design Fee'!AJ72&gt;0,"✔","-")</f>
        <v>-</v>
      </c>
      <c r="AA70" s="184"/>
      <c r="AB70" s="195"/>
      <c r="AC70" s="196"/>
      <c r="AD70" s="197" t="str">
        <f>IF('Design Fee'!BG72&gt;0,"✔","-")</f>
        <v>✔</v>
      </c>
      <c r="AE70" s="197" t="str">
        <f>IF('Design Fee'!BH72&gt;0,"✔","-")</f>
        <v>✔</v>
      </c>
      <c r="AF70" s="198" t="str">
        <f>IF('Design Fee'!BI72&gt;0,"✔","-")</f>
        <v>✔</v>
      </c>
      <c r="AG70" s="198" t="str">
        <f>IF('Design Fee'!BJ72&gt;0,"✔","-")</f>
        <v>-</v>
      </c>
      <c r="AH70" s="198" t="str">
        <f>IF('Design Fee'!BK72&gt;0,"✔","-")</f>
        <v>-</v>
      </c>
      <c r="AI70" s="198" t="str">
        <f>IF('Design Fee'!BL72&gt;0,"✔","-")</f>
        <v>-</v>
      </c>
      <c r="AJ70" s="198" t="str">
        <f>IF('Design Fee'!BM72&gt;0,"✔","-")</f>
        <v>-</v>
      </c>
      <c r="AK70" s="220" t="str">
        <f>IF('Design Fee'!BN72&gt;0,"✔","-")</f>
        <v>-</v>
      </c>
      <c r="AL70" s="199"/>
      <c r="AM70" s="198" t="str">
        <f>IF('Design Fee'!BP72&gt;0,"✔","-")</f>
        <v>-</v>
      </c>
      <c r="AN70" s="198" t="str">
        <f>IF('Design Fee'!BQ72&gt;0,"✔","-")</f>
        <v>-</v>
      </c>
      <c r="AO70" s="198" t="str">
        <f>IF('Design Fee'!BR72&gt;0,"✔","-")</f>
        <v>-</v>
      </c>
      <c r="AP70" s="198" t="str">
        <f>IF('Design Fee'!BS72&gt;0,"✔","-")</f>
        <v>-</v>
      </c>
      <c r="AQ70" s="198" t="str">
        <f>IF('Design Fee'!BT72&gt;0,"✔","-")</f>
        <v>-</v>
      </c>
      <c r="AR70" s="199"/>
      <c r="AS70" s="195"/>
      <c r="AT70" s="196"/>
      <c r="AU70" s="197" t="str">
        <f>IF('Design Fee'!CQ72&gt;0,"✔","-")</f>
        <v>✔</v>
      </c>
      <c r="AV70" s="197" t="str">
        <f>IF('Design Fee'!CR72&gt;0,"✔","-")</f>
        <v>✔</v>
      </c>
      <c r="AW70" s="198" t="str">
        <f>IF('Design Fee'!CS72&gt;0,"✔","-")</f>
        <v>✔</v>
      </c>
      <c r="AX70" s="198" t="str">
        <f>IF('Design Fee'!CT72&gt;0,"✔","-")</f>
        <v>-</v>
      </c>
      <c r="AY70" s="198" t="str">
        <f>IF('Design Fee'!CU72&gt;0,"✔","-")</f>
        <v>-</v>
      </c>
      <c r="AZ70" s="198" t="str">
        <f>IF('Design Fee'!CV72&gt;0,"✔","-")</f>
        <v>-</v>
      </c>
      <c r="BA70" s="198" t="str">
        <f>IF('Design Fee'!CW72&gt;0,"✔","-")</f>
        <v>-</v>
      </c>
      <c r="BB70" s="220" t="str">
        <f>IF('Design Fee'!CX72&gt;0,"✔","-")</f>
        <v>-</v>
      </c>
      <c r="BC70" s="199"/>
      <c r="BD70" s="198" t="str">
        <f>IF('Design Fee'!CZ72&gt;0,"✔","-")</f>
        <v>-</v>
      </c>
      <c r="BE70" s="198" t="str">
        <f>IF('Design Fee'!DA72&gt;0,"✔","-")</f>
        <v>-</v>
      </c>
      <c r="BF70" s="198" t="str">
        <f>IF('Design Fee'!DB72&gt;0,"✔","-")</f>
        <v>-</v>
      </c>
      <c r="BG70" s="198" t="str">
        <f>IF('Design Fee'!DC72&gt;0,"✔","-")</f>
        <v>-</v>
      </c>
      <c r="BH70" s="198" t="str">
        <f>IF('Design Fee'!DD72&gt;0,"✔","-")</f>
        <v>-</v>
      </c>
      <c r="BI70" s="199"/>
      <c r="BJ70" s="195"/>
      <c r="BK70" s="196"/>
      <c r="BL70" s="197" t="str">
        <f>IF('Design Fee'!EA72&gt;0,"✔","-")</f>
        <v>-</v>
      </c>
      <c r="BM70" s="197" t="str">
        <f>IF('Design Fee'!EB72&gt;0,"✔","-")</f>
        <v>-</v>
      </c>
      <c r="BN70" s="198" t="str">
        <f>IF('Design Fee'!EC72&gt;0,"✔","-")</f>
        <v>-</v>
      </c>
      <c r="BO70" s="198" t="str">
        <f>IF('Design Fee'!ED72&gt;0,"✔","-")</f>
        <v>-</v>
      </c>
      <c r="BP70" s="198" t="str">
        <f>IF('Design Fee'!EE72&gt;0,"✔","-")</f>
        <v>-</v>
      </c>
      <c r="BQ70" s="198" t="str">
        <f>IF('Design Fee'!EF72&gt;0,"✔","-")</f>
        <v>-</v>
      </c>
      <c r="BR70" s="198" t="str">
        <f>IF('Design Fee'!EG72&gt;0,"✔","-")</f>
        <v>-</v>
      </c>
      <c r="BS70" s="220" t="str">
        <f>IF('Design Fee'!EH72&gt;0,"✔","-")</f>
        <v>-</v>
      </c>
      <c r="BT70" s="137"/>
      <c r="BU70" s="198" t="str">
        <f>IF('Design Fee'!EJ72&gt;0,"✔","-")</f>
        <v>-</v>
      </c>
      <c r="BV70" s="198" t="str">
        <f>IF('Design Fee'!EK72&gt;0,"✔","-")</f>
        <v>-</v>
      </c>
      <c r="BW70" s="198" t="str">
        <f>IF('Design Fee'!EL72&gt;0,"✔","-")</f>
        <v>-</v>
      </c>
      <c r="BX70" s="198" t="str">
        <f>IF('Design Fee'!EM72&gt;0,"✔","-")</f>
        <v>-</v>
      </c>
      <c r="BY70" s="198" t="str">
        <f>IF('Design Fee'!EN72&gt;0,"✔","-")</f>
        <v>-</v>
      </c>
      <c r="BZ70" s="137"/>
    </row>
    <row r="71" spans="2:78" ht="12.75" outlineLevel="2">
      <c r="B71" s="217" t="s">
        <v>82</v>
      </c>
      <c r="C71" s="218">
        <v>10</v>
      </c>
      <c r="D71" s="219" t="s">
        <v>71</v>
      </c>
      <c r="E71" s="137"/>
      <c r="F71" s="197">
        <f t="shared" si="77"/>
        <v>1</v>
      </c>
      <c r="G71" s="198">
        <f t="shared" si="78"/>
        <v>1</v>
      </c>
      <c r="H71" s="198">
        <f t="shared" si="78"/>
        <v>1</v>
      </c>
      <c r="I71" s="198">
        <f t="shared" si="79"/>
        <v>0</v>
      </c>
      <c r="J71" s="184"/>
      <c r="K71" s="195"/>
      <c r="L71" s="196"/>
      <c r="M71" s="197" t="str">
        <f>IF('Design Fee'!W73&gt;0,"✔","-")</f>
        <v>✔</v>
      </c>
      <c r="N71" s="197" t="str">
        <f>IF('Design Fee'!X73&gt;0,"✔","-")</f>
        <v>✔</v>
      </c>
      <c r="O71" s="198" t="str">
        <f>IF('Design Fee'!Y73&gt;0,"✔","-")</f>
        <v>✔</v>
      </c>
      <c r="P71" s="198" t="str">
        <f>IF('Design Fee'!Z73&gt;0,"✔","-")</f>
        <v>-</v>
      </c>
      <c r="Q71" s="198" t="str">
        <f>IF('Design Fee'!AA73&gt;0,"✔","-")</f>
        <v>-</v>
      </c>
      <c r="R71" s="198" t="str">
        <f>IF('Design Fee'!AB73&gt;0,"✔","-")</f>
        <v>-</v>
      </c>
      <c r="S71" s="198" t="str">
        <f>IF('Design Fee'!AC73&gt;0,"✔","-")</f>
        <v>-</v>
      </c>
      <c r="T71" s="220" t="str">
        <f>IF('Design Fee'!AD73&gt;0,"✔","-")</f>
        <v>-</v>
      </c>
      <c r="U71" s="184"/>
      <c r="V71" s="198" t="str">
        <f>IF('Design Fee'!AF73&gt;0,"✔","-")</f>
        <v>-</v>
      </c>
      <c r="W71" s="198" t="str">
        <f>IF('Design Fee'!AG73&gt;0,"✔","-")</f>
        <v>-</v>
      </c>
      <c r="X71" s="198" t="str">
        <f>IF('Design Fee'!AH73&gt;0,"✔","-")</f>
        <v>-</v>
      </c>
      <c r="Y71" s="198" t="str">
        <f>IF('Design Fee'!AI73&gt;0,"✔","-")</f>
        <v>-</v>
      </c>
      <c r="Z71" s="198" t="str">
        <f>IF('Design Fee'!AJ73&gt;0,"✔","-")</f>
        <v>-</v>
      </c>
      <c r="AA71" s="184"/>
      <c r="AB71" s="195"/>
      <c r="AC71" s="196"/>
      <c r="AD71" s="197" t="str">
        <f>IF('Design Fee'!BG73&gt;0,"✔","-")</f>
        <v>-</v>
      </c>
      <c r="AE71" s="197" t="str">
        <f>IF('Design Fee'!BH73&gt;0,"✔","-")</f>
        <v>-</v>
      </c>
      <c r="AF71" s="198" t="str">
        <f>IF('Design Fee'!BI73&gt;0,"✔","-")</f>
        <v>-</v>
      </c>
      <c r="AG71" s="198" t="str">
        <f>IF('Design Fee'!BJ73&gt;0,"✔","-")</f>
        <v>-</v>
      </c>
      <c r="AH71" s="198" t="str">
        <f>IF('Design Fee'!BK73&gt;0,"✔","-")</f>
        <v>-</v>
      </c>
      <c r="AI71" s="198" t="str">
        <f>IF('Design Fee'!BL73&gt;0,"✔","-")</f>
        <v>-</v>
      </c>
      <c r="AJ71" s="198" t="str">
        <f>IF('Design Fee'!BM73&gt;0,"✔","-")</f>
        <v>-</v>
      </c>
      <c r="AK71" s="220" t="str">
        <f>IF('Design Fee'!BN73&gt;0,"✔","-")</f>
        <v>-</v>
      </c>
      <c r="AL71" s="199"/>
      <c r="AM71" s="198" t="str">
        <f>IF('Design Fee'!BP73&gt;0,"✔","-")</f>
        <v>-</v>
      </c>
      <c r="AN71" s="198" t="str">
        <f>IF('Design Fee'!BQ73&gt;0,"✔","-")</f>
        <v>-</v>
      </c>
      <c r="AO71" s="198" t="str">
        <f>IF('Design Fee'!BR73&gt;0,"✔","-")</f>
        <v>-</v>
      </c>
      <c r="AP71" s="198" t="str">
        <f>IF('Design Fee'!BS73&gt;0,"✔","-")</f>
        <v>-</v>
      </c>
      <c r="AQ71" s="198" t="str">
        <f>IF('Design Fee'!BT73&gt;0,"✔","-")</f>
        <v>-</v>
      </c>
      <c r="AR71" s="199"/>
      <c r="AS71" s="195"/>
      <c r="AT71" s="196"/>
      <c r="AU71" s="197" t="str">
        <f>IF('Design Fee'!CQ73&gt;0,"✔","-")</f>
        <v>-</v>
      </c>
      <c r="AV71" s="197" t="str">
        <f>IF('Design Fee'!CR73&gt;0,"✔","-")</f>
        <v>-</v>
      </c>
      <c r="AW71" s="198" t="str">
        <f>IF('Design Fee'!CS73&gt;0,"✔","-")</f>
        <v>-</v>
      </c>
      <c r="AX71" s="198" t="str">
        <f>IF('Design Fee'!CT73&gt;0,"✔","-")</f>
        <v>-</v>
      </c>
      <c r="AY71" s="198" t="str">
        <f>IF('Design Fee'!CU73&gt;0,"✔","-")</f>
        <v>-</v>
      </c>
      <c r="AZ71" s="198" t="str">
        <f>IF('Design Fee'!CV73&gt;0,"✔","-")</f>
        <v>-</v>
      </c>
      <c r="BA71" s="198" t="str">
        <f>IF('Design Fee'!CW73&gt;0,"✔","-")</f>
        <v>-</v>
      </c>
      <c r="BB71" s="220" t="str">
        <f>IF('Design Fee'!CX73&gt;0,"✔","-")</f>
        <v>-</v>
      </c>
      <c r="BC71" s="199"/>
      <c r="BD71" s="198" t="str">
        <f>IF('Design Fee'!CZ73&gt;0,"✔","-")</f>
        <v>-</v>
      </c>
      <c r="BE71" s="198" t="str">
        <f>IF('Design Fee'!DA73&gt;0,"✔","-")</f>
        <v>-</v>
      </c>
      <c r="BF71" s="198" t="str">
        <f>IF('Design Fee'!DB73&gt;0,"✔","-")</f>
        <v>-</v>
      </c>
      <c r="BG71" s="198" t="str">
        <f>IF('Design Fee'!DC73&gt;0,"✔","-")</f>
        <v>-</v>
      </c>
      <c r="BH71" s="198" t="str">
        <f>IF('Design Fee'!DD73&gt;0,"✔","-")</f>
        <v>-</v>
      </c>
      <c r="BI71" s="199"/>
      <c r="BJ71" s="195"/>
      <c r="BK71" s="196"/>
      <c r="BL71" s="197" t="str">
        <f>IF('Design Fee'!EA73&gt;0,"✔","-")</f>
        <v>-</v>
      </c>
      <c r="BM71" s="197" t="str">
        <f>IF('Design Fee'!EB73&gt;0,"✔","-")</f>
        <v>-</v>
      </c>
      <c r="BN71" s="198" t="str">
        <f>IF('Design Fee'!EC73&gt;0,"✔","-")</f>
        <v>-</v>
      </c>
      <c r="BO71" s="198" t="str">
        <f>IF('Design Fee'!ED73&gt;0,"✔","-")</f>
        <v>-</v>
      </c>
      <c r="BP71" s="198" t="str">
        <f>IF('Design Fee'!EE73&gt;0,"✔","-")</f>
        <v>-</v>
      </c>
      <c r="BQ71" s="198" t="str">
        <f>IF('Design Fee'!EF73&gt;0,"✔","-")</f>
        <v>-</v>
      </c>
      <c r="BR71" s="198" t="str">
        <f>IF('Design Fee'!EG73&gt;0,"✔","-")</f>
        <v>-</v>
      </c>
      <c r="BS71" s="220" t="str">
        <f>IF('Design Fee'!EH73&gt;0,"✔","-")</f>
        <v>-</v>
      </c>
      <c r="BT71" s="137"/>
      <c r="BU71" s="198" t="str">
        <f>IF('Design Fee'!EJ73&gt;0,"✔","-")</f>
        <v>-</v>
      </c>
      <c r="BV71" s="198" t="str">
        <f>IF('Design Fee'!EK73&gt;0,"✔","-")</f>
        <v>-</v>
      </c>
      <c r="BW71" s="198" t="str">
        <f>IF('Design Fee'!EL73&gt;0,"✔","-")</f>
        <v>-</v>
      </c>
      <c r="BX71" s="198" t="str">
        <f>IF('Design Fee'!EM73&gt;0,"✔","-")</f>
        <v>-</v>
      </c>
      <c r="BY71" s="198" t="str">
        <f>IF('Design Fee'!EN73&gt;0,"✔","-")</f>
        <v>-</v>
      </c>
      <c r="BZ71" s="137"/>
    </row>
    <row r="72" spans="2:78" ht="3" customHeight="1" outlineLevel="1">
      <c r="B72" s="231"/>
      <c r="C72" s="232"/>
      <c r="D72" s="219"/>
      <c r="E72" s="137"/>
      <c r="F72" s="162"/>
      <c r="G72" s="175"/>
      <c r="H72" s="175"/>
      <c r="I72" s="175"/>
      <c r="J72" s="184"/>
      <c r="K72" s="195"/>
      <c r="L72" s="196"/>
      <c r="M72" s="197"/>
      <c r="N72" s="197"/>
      <c r="O72" s="198"/>
      <c r="P72" s="198"/>
      <c r="Q72" s="198"/>
      <c r="R72" s="198"/>
      <c r="S72" s="198"/>
      <c r="T72" s="198"/>
      <c r="U72" s="184"/>
      <c r="V72" s="198"/>
      <c r="W72" s="198"/>
      <c r="X72" s="198"/>
      <c r="Y72" s="198"/>
      <c r="Z72" s="198"/>
      <c r="AA72" s="184"/>
      <c r="AB72" s="195"/>
      <c r="AC72" s="196"/>
      <c r="AD72" s="197"/>
      <c r="AE72" s="197"/>
      <c r="AF72" s="175"/>
      <c r="AG72" s="175"/>
      <c r="AH72" s="175"/>
      <c r="AI72" s="175"/>
      <c r="AJ72" s="175"/>
      <c r="AK72" s="175"/>
      <c r="AL72" s="175"/>
      <c r="AM72" s="175"/>
      <c r="AN72" s="175"/>
      <c r="AO72" s="175"/>
      <c r="AP72" s="175"/>
      <c r="AQ72" s="175"/>
      <c r="AR72" s="175"/>
      <c r="AS72" s="195"/>
      <c r="AT72" s="175"/>
      <c r="AU72" s="197"/>
      <c r="AV72" s="197"/>
      <c r="AW72" s="175"/>
      <c r="AX72" s="175"/>
      <c r="AY72" s="175"/>
      <c r="AZ72" s="175"/>
      <c r="BA72" s="175"/>
      <c r="BB72" s="175"/>
      <c r="BC72" s="175"/>
      <c r="BD72" s="175"/>
      <c r="BE72" s="175"/>
      <c r="BF72" s="175"/>
      <c r="BG72" s="175"/>
      <c r="BH72" s="175"/>
      <c r="BI72" s="175"/>
      <c r="BJ72" s="195"/>
      <c r="BK72" s="175"/>
      <c r="BL72" s="197"/>
      <c r="BM72" s="197"/>
      <c r="BN72" s="175"/>
      <c r="BO72" s="175"/>
      <c r="BP72" s="175"/>
      <c r="BQ72" s="175"/>
      <c r="BR72" s="175"/>
      <c r="BS72" s="175"/>
      <c r="BT72" s="137"/>
      <c r="BU72" s="175"/>
      <c r="BV72" s="175"/>
      <c r="BW72" s="175"/>
      <c r="BX72" s="175"/>
      <c r="BY72" s="175"/>
      <c r="BZ72" s="137"/>
    </row>
    <row r="73" spans="2:78" ht="12.75" outlineLevel="1">
      <c r="B73" s="186">
        <v>6</v>
      </c>
      <c r="C73" s="213">
        <v>3</v>
      </c>
      <c r="D73" s="214" t="s">
        <v>83</v>
      </c>
      <c r="E73" s="188"/>
      <c r="F73" s="215">
        <f>M73+AD73+AU73+BL73</f>
        <v>21</v>
      </c>
      <c r="G73" s="215">
        <f t="shared" ref="G73:I73" si="80">N73+AE73+AV73+BM73</f>
        <v>21</v>
      </c>
      <c r="H73" s="215">
        <f t="shared" si="80"/>
        <v>21</v>
      </c>
      <c r="I73" s="215">
        <f t="shared" si="80"/>
        <v>0</v>
      </c>
      <c r="J73" s="192">
        <f t="shared" ref="J73" si="81">COUNT(J74:J83)</f>
        <v>0</v>
      </c>
      <c r="K73" s="189"/>
      <c r="L73" s="189"/>
      <c r="M73" s="215">
        <f>COUNTIF(M74:M83,"✔")</f>
        <v>8</v>
      </c>
      <c r="N73" s="215">
        <f t="shared" ref="N73" si="82">COUNTIF(N74:N83,"✔")</f>
        <v>8</v>
      </c>
      <c r="O73" s="215">
        <f t="shared" ref="O73" si="83">COUNTIF(O74:O83,"✔")</f>
        <v>8</v>
      </c>
      <c r="P73" s="215">
        <f t="shared" ref="P73" si="84">COUNTIF(P74:P83,"✔")</f>
        <v>0</v>
      </c>
      <c r="Q73" s="215">
        <f t="shared" ref="Q73" si="85">COUNTIF(Q74:Q83,"✔")</f>
        <v>0</v>
      </c>
      <c r="R73" s="215">
        <f t="shared" ref="R73" si="86">COUNTIF(R74:R83,"✔")</f>
        <v>0</v>
      </c>
      <c r="S73" s="215">
        <f t="shared" ref="S73" si="87">COUNTIF(S74:S83,"✔")</f>
        <v>0</v>
      </c>
      <c r="T73" s="215">
        <f t="shared" ref="T73" si="88">COUNTIF(T74:T83,"✔")</f>
        <v>0</v>
      </c>
      <c r="U73" s="215">
        <f t="shared" ref="U73" si="89">COUNTIF(U74:U83,"✔")</f>
        <v>0</v>
      </c>
      <c r="V73" s="215">
        <f t="shared" ref="V73" si="90">COUNTIF(V74:V83,"✔")</f>
        <v>0</v>
      </c>
      <c r="W73" s="215">
        <f t="shared" ref="W73" si="91">COUNTIF(W74:W83,"✔")</f>
        <v>0</v>
      </c>
      <c r="X73" s="215">
        <f t="shared" ref="X73" si="92">COUNTIF(X74:X83,"✔")</f>
        <v>0</v>
      </c>
      <c r="Y73" s="215">
        <f t="shared" ref="Y73" si="93">COUNTIF(Y74:Y83,"✔")</f>
        <v>0</v>
      </c>
      <c r="Z73" s="215">
        <f t="shared" ref="Z73" si="94">COUNTIF(Z74:Z83,"✔")</f>
        <v>0</v>
      </c>
      <c r="AA73" s="215">
        <f t="shared" ref="AA73" si="95">COUNTIF(AA74:AA83,"✔")</f>
        <v>0</v>
      </c>
      <c r="AB73" s="189"/>
      <c r="AC73" s="215">
        <f t="shared" ref="AC73" si="96">COUNTIF(AC74:AC83,"✔")</f>
        <v>0</v>
      </c>
      <c r="AD73" s="215">
        <f t="shared" ref="AD73" si="97">COUNTIF(AD74:AD83,"✔")</f>
        <v>6</v>
      </c>
      <c r="AE73" s="215">
        <f t="shared" ref="AE73" si="98">COUNTIF(AE74:AE83,"✔")</f>
        <v>6</v>
      </c>
      <c r="AF73" s="215">
        <f t="shared" ref="AF73" si="99">COUNTIF(AF74:AF83,"✔")</f>
        <v>6</v>
      </c>
      <c r="AG73" s="215">
        <f t="shared" ref="AG73" si="100">COUNTIF(AG74:AG83,"✔")</f>
        <v>0</v>
      </c>
      <c r="AH73" s="215">
        <f t="shared" ref="AH73" si="101">COUNTIF(AH74:AH83,"✔")</f>
        <v>0</v>
      </c>
      <c r="AI73" s="215">
        <f t="shared" ref="AI73" si="102">COUNTIF(AI74:AI83,"✔")</f>
        <v>0</v>
      </c>
      <c r="AJ73" s="215">
        <f t="shared" ref="AJ73" si="103">COUNTIF(AJ74:AJ83,"✔")</f>
        <v>0</v>
      </c>
      <c r="AK73" s="215">
        <f t="shared" ref="AK73" si="104">COUNTIF(AK74:AK83,"✔")</f>
        <v>0</v>
      </c>
      <c r="AL73" s="215">
        <f t="shared" ref="AL73" si="105">COUNTIF(AL74:AL83,"✔")</f>
        <v>0</v>
      </c>
      <c r="AM73" s="215">
        <f t="shared" ref="AM73" si="106">COUNTIF(AM74:AM83,"✔")</f>
        <v>0</v>
      </c>
      <c r="AN73" s="215">
        <f t="shared" ref="AN73" si="107">COUNTIF(AN74:AN83,"✔")</f>
        <v>0</v>
      </c>
      <c r="AO73" s="215">
        <f t="shared" ref="AO73" si="108">COUNTIF(AO74:AO83,"✔")</f>
        <v>0</v>
      </c>
      <c r="AP73" s="215">
        <f t="shared" ref="AP73" si="109">COUNTIF(AP74:AP83,"✔")</f>
        <v>0</v>
      </c>
      <c r="AQ73" s="215">
        <f t="shared" ref="AQ73" si="110">COUNTIF(AQ74:AQ83,"✔")</f>
        <v>0</v>
      </c>
      <c r="AR73" s="215">
        <f t="shared" ref="AR73" si="111">COUNTIF(AR74:AR83,"✔")</f>
        <v>0</v>
      </c>
      <c r="AS73" s="189"/>
      <c r="AT73" s="215">
        <f t="shared" ref="AT73" si="112">COUNTIF(AT74:AT83,"✔")</f>
        <v>0</v>
      </c>
      <c r="AU73" s="215">
        <f t="shared" ref="AU73" si="113">COUNTIF(AU74:AU83,"✔")</f>
        <v>5</v>
      </c>
      <c r="AV73" s="215">
        <f t="shared" ref="AV73" si="114">COUNTIF(AV74:AV83,"✔")</f>
        <v>5</v>
      </c>
      <c r="AW73" s="215">
        <f t="shared" ref="AW73" si="115">COUNTIF(AW74:AW83,"✔")</f>
        <v>5</v>
      </c>
      <c r="AX73" s="215">
        <f t="shared" ref="AX73" si="116">COUNTIF(AX74:AX83,"✔")</f>
        <v>0</v>
      </c>
      <c r="AY73" s="215">
        <f t="shared" ref="AY73" si="117">COUNTIF(AY74:AY83,"✔")</f>
        <v>0</v>
      </c>
      <c r="AZ73" s="215">
        <f t="shared" ref="AZ73" si="118">COUNTIF(AZ74:AZ83,"✔")</f>
        <v>0</v>
      </c>
      <c r="BA73" s="215">
        <f t="shared" ref="BA73" si="119">COUNTIF(BA74:BA83,"✔")</f>
        <v>0</v>
      </c>
      <c r="BB73" s="215">
        <f t="shared" ref="BB73" si="120">COUNTIF(BB74:BB83,"✔")</f>
        <v>0</v>
      </c>
      <c r="BC73" s="215">
        <f t="shared" ref="BC73" si="121">COUNTIF(BC74:BC83,"✔")</f>
        <v>0</v>
      </c>
      <c r="BD73" s="215">
        <f t="shared" ref="BD73" si="122">COUNTIF(BD74:BD83,"✔")</f>
        <v>0</v>
      </c>
      <c r="BE73" s="215">
        <f t="shared" ref="BE73" si="123">COUNTIF(BE74:BE83,"✔")</f>
        <v>0</v>
      </c>
      <c r="BF73" s="215">
        <f t="shared" ref="BF73" si="124">COUNTIF(BF74:BF83,"✔")</f>
        <v>0</v>
      </c>
      <c r="BG73" s="215">
        <f t="shared" ref="BG73" si="125">COUNTIF(BG74:BG83,"✔")</f>
        <v>0</v>
      </c>
      <c r="BH73" s="215">
        <f t="shared" ref="BH73" si="126">COUNTIF(BH74:BH83,"✔")</f>
        <v>0</v>
      </c>
      <c r="BI73" s="215">
        <f t="shared" ref="BI73" si="127">COUNTIF(BI74:BI83,"✔")</f>
        <v>0</v>
      </c>
      <c r="BJ73" s="189"/>
      <c r="BK73" s="215">
        <f t="shared" ref="BK73" si="128">COUNTIF(BK74:BK83,"✔")</f>
        <v>0</v>
      </c>
      <c r="BL73" s="215">
        <f t="shared" ref="BL73" si="129">COUNTIF(BL74:BL83,"✔")</f>
        <v>2</v>
      </c>
      <c r="BM73" s="215">
        <f t="shared" ref="BM73" si="130">COUNTIF(BM74:BM83,"✔")</f>
        <v>2</v>
      </c>
      <c r="BN73" s="215">
        <f t="shared" ref="BN73" si="131">COUNTIF(BN74:BN83,"✔")</f>
        <v>2</v>
      </c>
      <c r="BO73" s="215">
        <f t="shared" ref="BO73" si="132">COUNTIF(BO74:BO83,"✔")</f>
        <v>0</v>
      </c>
      <c r="BP73" s="215">
        <f t="shared" ref="BP73" si="133">COUNTIF(BP74:BP83,"✔")</f>
        <v>0</v>
      </c>
      <c r="BQ73" s="215">
        <f t="shared" ref="BQ73" si="134">COUNTIF(BQ74:BQ83,"✔")</f>
        <v>0</v>
      </c>
      <c r="BR73" s="215">
        <f t="shared" ref="BR73" si="135">COUNTIF(BR74:BR83,"✔")</f>
        <v>0</v>
      </c>
      <c r="BS73" s="215">
        <f t="shared" ref="BS73" si="136">COUNTIF(BS74:BS83,"✔")</f>
        <v>0</v>
      </c>
      <c r="BT73" s="137"/>
      <c r="BU73" s="215">
        <f t="shared" ref="BU73" si="137">COUNTIF(BU74:BU83,"✔")</f>
        <v>0</v>
      </c>
      <c r="BV73" s="215">
        <f t="shared" ref="BV73" si="138">COUNTIF(BV74:BV83,"✔")</f>
        <v>0</v>
      </c>
      <c r="BW73" s="215">
        <f t="shared" ref="BW73" si="139">COUNTIF(BW74:BW83,"✔")</f>
        <v>0</v>
      </c>
      <c r="BX73" s="215">
        <f t="shared" ref="BX73" si="140">COUNTIF(BX74:BX83,"✔")</f>
        <v>0</v>
      </c>
      <c r="BY73" s="215">
        <f t="shared" ref="BY73" si="141">COUNTIF(BY74:BY83,"✔")</f>
        <v>0</v>
      </c>
      <c r="BZ73" s="137"/>
    </row>
    <row r="74" spans="2:78" s="51" customFormat="1" ht="12.75" outlineLevel="2">
      <c r="B74" s="235" t="s">
        <v>84</v>
      </c>
      <c r="C74" s="223">
        <v>1</v>
      </c>
      <c r="D74" s="224" t="s">
        <v>52</v>
      </c>
      <c r="E74" s="222"/>
      <c r="F74" s="197">
        <f t="shared" ref="F74:F82" si="142">COUNTIF(M74,"✔")+COUNTIF(AD74,"✔")+COUNTIF(BL74,"✔")+COUNTIF(AU74,"✔")</f>
        <v>3</v>
      </c>
      <c r="G74" s="198">
        <f t="shared" ref="G74:H82" si="143">COUNTIF(N74,"✔")+COUNTIF(AE74,"✔")+COUNTIF(BM74,"✔")+COUNTIF(AV74,"✔")</f>
        <v>3</v>
      </c>
      <c r="H74" s="198">
        <f t="shared" si="143"/>
        <v>3</v>
      </c>
      <c r="I74" s="198">
        <f t="shared" ref="I74:I82" si="144">F74-G74</f>
        <v>0</v>
      </c>
      <c r="J74" s="229"/>
      <c r="K74" s="225"/>
      <c r="L74" s="226"/>
      <c r="M74" s="197" t="str">
        <f>IF('Design Fee'!W76&gt;0,"✔","-")</f>
        <v>✔</v>
      </c>
      <c r="N74" s="197" t="str">
        <f>IF('Design Fee'!X76&gt;0,"✔","-")</f>
        <v>✔</v>
      </c>
      <c r="O74" s="220" t="str">
        <f>IF('Design Fee'!Y76&gt;0,"✔","-")</f>
        <v>✔</v>
      </c>
      <c r="P74" s="220" t="str">
        <f>IF('Design Fee'!Z76&gt;0,"✔","-")</f>
        <v>-</v>
      </c>
      <c r="Q74" s="220" t="str">
        <f>IF('Design Fee'!AA76&gt;0,"✔","-")</f>
        <v>-</v>
      </c>
      <c r="R74" s="198" t="str">
        <f>IF('Design Fee'!AB76&gt;0,"✔","-")</f>
        <v>-</v>
      </c>
      <c r="S74" s="198" t="str">
        <f>IF('Design Fee'!AC76&gt;0,"✔","-")</f>
        <v>-</v>
      </c>
      <c r="T74" s="220" t="str">
        <f>IF('Design Fee'!AD76&gt;0,"✔","-")</f>
        <v>-</v>
      </c>
      <c r="U74" s="229"/>
      <c r="V74" s="198" t="str">
        <f>IF('Design Fee'!AF76&gt;0,"✔","-")</f>
        <v>-</v>
      </c>
      <c r="W74" s="198" t="str">
        <f>IF('Design Fee'!AG76&gt;0,"✔","-")</f>
        <v>-</v>
      </c>
      <c r="X74" s="198" t="str">
        <f>IF('Design Fee'!AH76&gt;0,"✔","-")</f>
        <v>-</v>
      </c>
      <c r="Y74" s="198" t="str">
        <f>IF('Design Fee'!AI76&gt;0,"✔","-")</f>
        <v>-</v>
      </c>
      <c r="Z74" s="198" t="str">
        <f>IF('Design Fee'!AJ76&gt;0,"✔","-")</f>
        <v>-</v>
      </c>
      <c r="AA74" s="229"/>
      <c r="AB74" s="225"/>
      <c r="AC74" s="226"/>
      <c r="AD74" s="197" t="str">
        <f>IF('Design Fee'!BG76&gt;0,"✔","-")</f>
        <v>✔</v>
      </c>
      <c r="AE74" s="197" t="str">
        <f>IF('Design Fee'!BH76&gt;0,"✔","-")</f>
        <v>✔</v>
      </c>
      <c r="AF74" s="220" t="str">
        <f>IF('Design Fee'!BI76&gt;0,"✔","-")</f>
        <v>✔</v>
      </c>
      <c r="AG74" s="220" t="str">
        <f>IF('Design Fee'!BJ76&gt;0,"✔","-")</f>
        <v>-</v>
      </c>
      <c r="AH74" s="220" t="str">
        <f>IF('Design Fee'!BK76&gt;0,"✔","-")</f>
        <v>-</v>
      </c>
      <c r="AI74" s="198" t="str">
        <f>IF('Design Fee'!BL76&gt;0,"✔","-")</f>
        <v>-</v>
      </c>
      <c r="AJ74" s="198" t="str">
        <f>IF('Design Fee'!BM76&gt;0,"✔","-")</f>
        <v>-</v>
      </c>
      <c r="AK74" s="220" t="str">
        <f>IF('Design Fee'!BN76&gt;0,"✔","-")</f>
        <v>-</v>
      </c>
      <c r="AL74" s="230"/>
      <c r="AM74" s="198" t="str">
        <f>IF('Design Fee'!BP76&gt;0,"✔","-")</f>
        <v>-</v>
      </c>
      <c r="AN74" s="198" t="str">
        <f>IF('Design Fee'!BQ76&gt;0,"✔","-")</f>
        <v>-</v>
      </c>
      <c r="AO74" s="198" t="str">
        <f>IF('Design Fee'!BR76&gt;0,"✔","-")</f>
        <v>-</v>
      </c>
      <c r="AP74" s="198" t="str">
        <f>IF('Design Fee'!BS76&gt;0,"✔","-")</f>
        <v>-</v>
      </c>
      <c r="AQ74" s="198" t="str">
        <f>IF('Design Fee'!BT76&gt;0,"✔","-")</f>
        <v>-</v>
      </c>
      <c r="AR74" s="230"/>
      <c r="AS74" s="225"/>
      <c r="AT74" s="226"/>
      <c r="AU74" s="197" t="str">
        <f>IF('Design Fee'!CQ76&gt;0,"✔","-")</f>
        <v>✔</v>
      </c>
      <c r="AV74" s="197" t="str">
        <f>IF('Design Fee'!CR76&gt;0,"✔","-")</f>
        <v>✔</v>
      </c>
      <c r="AW74" s="220" t="str">
        <f>IF('Design Fee'!CS76&gt;0,"✔","-")</f>
        <v>✔</v>
      </c>
      <c r="AX74" s="220" t="str">
        <f>IF('Design Fee'!CT76&gt;0,"✔","-")</f>
        <v>-</v>
      </c>
      <c r="AY74" s="220" t="str">
        <f>IF('Design Fee'!CU76&gt;0,"✔","-")</f>
        <v>-</v>
      </c>
      <c r="AZ74" s="198" t="str">
        <f>IF('Design Fee'!CV76&gt;0,"✔","-")</f>
        <v>-</v>
      </c>
      <c r="BA74" s="198" t="str">
        <f>IF('Design Fee'!CW76&gt;0,"✔","-")</f>
        <v>-</v>
      </c>
      <c r="BB74" s="220" t="str">
        <f>IF('Design Fee'!CX76&gt;0,"✔","-")</f>
        <v>-</v>
      </c>
      <c r="BC74" s="230"/>
      <c r="BD74" s="198" t="str">
        <f>IF('Design Fee'!CZ76&gt;0,"✔","-")</f>
        <v>-</v>
      </c>
      <c r="BE74" s="198" t="str">
        <f>IF('Design Fee'!DA76&gt;0,"✔","-")</f>
        <v>-</v>
      </c>
      <c r="BF74" s="198" t="str">
        <f>IF('Design Fee'!DB76&gt;0,"✔","-")</f>
        <v>-</v>
      </c>
      <c r="BG74" s="198" t="str">
        <f>IF('Design Fee'!DC76&gt;0,"✔","-")</f>
        <v>-</v>
      </c>
      <c r="BH74" s="198" t="str">
        <f>IF('Design Fee'!DD76&gt;0,"✔","-")</f>
        <v>-</v>
      </c>
      <c r="BI74" s="230"/>
      <c r="BJ74" s="225"/>
      <c r="BK74" s="226"/>
      <c r="BL74" s="197" t="str">
        <f>IF('Design Fee'!EA76&gt;0,"✔","-")</f>
        <v>-</v>
      </c>
      <c r="BM74" s="197" t="str">
        <f>IF('Design Fee'!EB76&gt;0,"✔","-")</f>
        <v>-</v>
      </c>
      <c r="BN74" s="220" t="str">
        <f>IF('Design Fee'!EC76&gt;0,"✔","-")</f>
        <v>-</v>
      </c>
      <c r="BO74" s="220" t="str">
        <f>IF('Design Fee'!ED76&gt;0,"✔","-")</f>
        <v>-</v>
      </c>
      <c r="BP74" s="220" t="str">
        <f>IF('Design Fee'!EE76&gt;0,"✔","-")</f>
        <v>-</v>
      </c>
      <c r="BQ74" s="198" t="str">
        <f>IF('Design Fee'!EF76&gt;0,"✔","-")</f>
        <v>-</v>
      </c>
      <c r="BR74" s="198" t="str">
        <f>IF('Design Fee'!EG76&gt;0,"✔","-")</f>
        <v>-</v>
      </c>
      <c r="BS74" s="220" t="str">
        <f>IF('Design Fee'!EH76&gt;0,"✔","-")</f>
        <v>-</v>
      </c>
      <c r="BT74" s="222"/>
      <c r="BU74" s="198" t="str">
        <f>IF('Design Fee'!EJ76&gt;0,"✔","-")</f>
        <v>-</v>
      </c>
      <c r="BV74" s="198" t="str">
        <f>IF('Design Fee'!EK76&gt;0,"✔","-")</f>
        <v>-</v>
      </c>
      <c r="BW74" s="198" t="str">
        <f>IF('Design Fee'!EL76&gt;0,"✔","-")</f>
        <v>-</v>
      </c>
      <c r="BX74" s="198" t="str">
        <f>IF('Design Fee'!EM76&gt;0,"✔","-")</f>
        <v>-</v>
      </c>
      <c r="BY74" s="198" t="str">
        <f>IF('Design Fee'!EN76&gt;0,"✔","-")</f>
        <v>-</v>
      </c>
      <c r="BZ74" s="137"/>
    </row>
    <row r="75" spans="2:78" ht="12.75" outlineLevel="2">
      <c r="B75" s="235" t="s">
        <v>85</v>
      </c>
      <c r="C75" s="218">
        <v>2</v>
      </c>
      <c r="D75" s="219" t="s">
        <v>54</v>
      </c>
      <c r="E75" s="137"/>
      <c r="F75" s="197">
        <f t="shared" si="142"/>
        <v>1</v>
      </c>
      <c r="G75" s="198">
        <f t="shared" si="143"/>
        <v>1</v>
      </c>
      <c r="H75" s="198">
        <f t="shared" si="143"/>
        <v>1</v>
      </c>
      <c r="I75" s="198">
        <f t="shared" si="144"/>
        <v>0</v>
      </c>
      <c r="J75" s="221"/>
      <c r="K75" s="195"/>
      <c r="L75" s="196"/>
      <c r="M75" s="197" t="str">
        <f>IF('Design Fee'!W77&gt;0,"✔","-")</f>
        <v>-</v>
      </c>
      <c r="N75" s="197" t="str">
        <f>IF('Design Fee'!X77&gt;0,"✔","-")</f>
        <v>-</v>
      </c>
      <c r="O75" s="206" t="str">
        <f>IF('Design Fee'!Y77&gt;0,"✔","-")</f>
        <v>-</v>
      </c>
      <c r="P75" s="206" t="str">
        <f>IF('Design Fee'!Z77&gt;0,"✔","-")</f>
        <v>-</v>
      </c>
      <c r="Q75" s="198" t="str">
        <f>IF('Design Fee'!AA77&gt;0,"✔","-")</f>
        <v>-</v>
      </c>
      <c r="R75" s="198" t="str">
        <f>IF('Design Fee'!AB77&gt;0,"✔","-")</f>
        <v>-</v>
      </c>
      <c r="S75" s="198" t="str">
        <f>IF('Design Fee'!AC77&gt;0,"✔","-")</f>
        <v>-</v>
      </c>
      <c r="T75" s="220" t="str">
        <f>IF('Design Fee'!AD77&gt;0,"✔","-")</f>
        <v>-</v>
      </c>
      <c r="U75" s="221"/>
      <c r="V75" s="198" t="str">
        <f>IF('Design Fee'!AF77&gt;0,"✔","-")</f>
        <v>-</v>
      </c>
      <c r="W75" s="198" t="str">
        <f>IF('Design Fee'!AG77&gt;0,"✔","-")</f>
        <v>-</v>
      </c>
      <c r="X75" s="198" t="str">
        <f>IF('Design Fee'!AH77&gt;0,"✔","-")</f>
        <v>-</v>
      </c>
      <c r="Y75" s="198" t="str">
        <f>IF('Design Fee'!AI77&gt;0,"✔","-")</f>
        <v>-</v>
      </c>
      <c r="Z75" s="198" t="str">
        <f>IF('Design Fee'!AJ77&gt;0,"✔","-")</f>
        <v>-</v>
      </c>
      <c r="AA75" s="221"/>
      <c r="AB75" s="195"/>
      <c r="AC75" s="196"/>
      <c r="AD75" s="197" t="str">
        <f>IF('Design Fee'!BG77&gt;0,"✔","-")</f>
        <v>✔</v>
      </c>
      <c r="AE75" s="197" t="str">
        <f>IF('Design Fee'!BH77&gt;0,"✔","-")</f>
        <v>✔</v>
      </c>
      <c r="AF75" s="206" t="str">
        <f>IF('Design Fee'!BI77&gt;0,"✔","-")</f>
        <v>✔</v>
      </c>
      <c r="AG75" s="206" t="str">
        <f>IF('Design Fee'!BJ77&gt;0,"✔","-")</f>
        <v>-</v>
      </c>
      <c r="AH75" s="198" t="str">
        <f>IF('Design Fee'!BK77&gt;0,"✔","-")</f>
        <v>-</v>
      </c>
      <c r="AI75" s="198" t="str">
        <f>IF('Design Fee'!BL77&gt;0,"✔","-")</f>
        <v>-</v>
      </c>
      <c r="AJ75" s="198" t="str">
        <f>IF('Design Fee'!BM77&gt;0,"✔","-")</f>
        <v>-</v>
      </c>
      <c r="AK75" s="220" t="str">
        <f>IF('Design Fee'!BN77&gt;0,"✔","-")</f>
        <v>-</v>
      </c>
      <c r="AL75" s="199"/>
      <c r="AM75" s="198" t="str">
        <f>IF('Design Fee'!BP77&gt;0,"✔","-")</f>
        <v>-</v>
      </c>
      <c r="AN75" s="198" t="str">
        <f>IF('Design Fee'!BQ77&gt;0,"✔","-")</f>
        <v>-</v>
      </c>
      <c r="AO75" s="198" t="str">
        <f>IF('Design Fee'!BR77&gt;0,"✔","-")</f>
        <v>-</v>
      </c>
      <c r="AP75" s="198" t="str">
        <f>IF('Design Fee'!BS77&gt;0,"✔","-")</f>
        <v>-</v>
      </c>
      <c r="AQ75" s="198" t="str">
        <f>IF('Design Fee'!BT77&gt;0,"✔","-")</f>
        <v>-</v>
      </c>
      <c r="AR75" s="199"/>
      <c r="AS75" s="195"/>
      <c r="AT75" s="196"/>
      <c r="AU75" s="197" t="str">
        <f>IF('Design Fee'!CQ77&gt;0,"✔","-")</f>
        <v>-</v>
      </c>
      <c r="AV75" s="197" t="str">
        <f>IF('Design Fee'!CR77&gt;0,"✔","-")</f>
        <v>-</v>
      </c>
      <c r="AW75" s="206" t="str">
        <f>IF('Design Fee'!CS77&gt;0,"✔","-")</f>
        <v>-</v>
      </c>
      <c r="AX75" s="206" t="str">
        <f>IF('Design Fee'!CT77&gt;0,"✔","-")</f>
        <v>-</v>
      </c>
      <c r="AY75" s="198" t="str">
        <f>IF('Design Fee'!CU77&gt;0,"✔","-")</f>
        <v>-</v>
      </c>
      <c r="AZ75" s="198" t="str">
        <f>IF('Design Fee'!CV77&gt;0,"✔","-")</f>
        <v>-</v>
      </c>
      <c r="BA75" s="198" t="str">
        <f>IF('Design Fee'!CW77&gt;0,"✔","-")</f>
        <v>-</v>
      </c>
      <c r="BB75" s="220" t="str">
        <f>IF('Design Fee'!CX77&gt;0,"✔","-")</f>
        <v>-</v>
      </c>
      <c r="BC75" s="199"/>
      <c r="BD75" s="198" t="str">
        <f>IF('Design Fee'!CZ77&gt;0,"✔","-")</f>
        <v>-</v>
      </c>
      <c r="BE75" s="198" t="str">
        <f>IF('Design Fee'!DA77&gt;0,"✔","-")</f>
        <v>-</v>
      </c>
      <c r="BF75" s="198" t="str">
        <f>IF('Design Fee'!DB77&gt;0,"✔","-")</f>
        <v>-</v>
      </c>
      <c r="BG75" s="198" t="str">
        <f>IF('Design Fee'!DC77&gt;0,"✔","-")</f>
        <v>-</v>
      </c>
      <c r="BH75" s="198" t="str">
        <f>IF('Design Fee'!DD77&gt;0,"✔","-")</f>
        <v>-</v>
      </c>
      <c r="BI75" s="199"/>
      <c r="BJ75" s="195"/>
      <c r="BK75" s="196"/>
      <c r="BL75" s="197" t="str">
        <f>IF('Design Fee'!EA77&gt;0,"✔","-")</f>
        <v>-</v>
      </c>
      <c r="BM75" s="197" t="str">
        <f>IF('Design Fee'!EB77&gt;0,"✔","-")</f>
        <v>-</v>
      </c>
      <c r="BN75" s="206" t="str">
        <f>IF('Design Fee'!EC77&gt;0,"✔","-")</f>
        <v>-</v>
      </c>
      <c r="BO75" s="206" t="str">
        <f>IF('Design Fee'!ED77&gt;0,"✔","-")</f>
        <v>-</v>
      </c>
      <c r="BP75" s="198" t="str">
        <f>IF('Design Fee'!EE77&gt;0,"✔","-")</f>
        <v>-</v>
      </c>
      <c r="BQ75" s="198" t="str">
        <f>IF('Design Fee'!EF77&gt;0,"✔","-")</f>
        <v>-</v>
      </c>
      <c r="BR75" s="198" t="str">
        <f>IF('Design Fee'!EG77&gt;0,"✔","-")</f>
        <v>-</v>
      </c>
      <c r="BS75" s="220" t="str">
        <f>IF('Design Fee'!EH77&gt;0,"✔","-")</f>
        <v>-</v>
      </c>
      <c r="BT75" s="137"/>
      <c r="BU75" s="198" t="str">
        <f>IF('Design Fee'!EJ77&gt;0,"✔","-")</f>
        <v>-</v>
      </c>
      <c r="BV75" s="198" t="str">
        <f>IF('Design Fee'!EK77&gt;0,"✔","-")</f>
        <v>-</v>
      </c>
      <c r="BW75" s="198" t="str">
        <f>IF('Design Fee'!EL77&gt;0,"✔","-")</f>
        <v>-</v>
      </c>
      <c r="BX75" s="198" t="str">
        <f>IF('Design Fee'!EM77&gt;0,"✔","-")</f>
        <v>-</v>
      </c>
      <c r="BY75" s="198" t="str">
        <f>IF('Design Fee'!EN77&gt;0,"✔","-")</f>
        <v>-</v>
      </c>
      <c r="BZ75" s="137"/>
    </row>
    <row r="76" spans="2:78" ht="12.75" outlineLevel="2">
      <c r="B76" s="235" t="s">
        <v>86</v>
      </c>
      <c r="C76" s="218">
        <v>3</v>
      </c>
      <c r="D76" s="219" t="s">
        <v>56</v>
      </c>
      <c r="E76" s="137"/>
      <c r="F76" s="197">
        <f t="shared" si="142"/>
        <v>1</v>
      </c>
      <c r="G76" s="198">
        <f t="shared" si="143"/>
        <v>1</v>
      </c>
      <c r="H76" s="198">
        <f t="shared" si="143"/>
        <v>1</v>
      </c>
      <c r="I76" s="198">
        <f t="shared" si="144"/>
        <v>0</v>
      </c>
      <c r="J76" s="221"/>
      <c r="K76" s="195"/>
      <c r="L76" s="196"/>
      <c r="M76" s="197" t="str">
        <f>IF('Design Fee'!W78&gt;0,"✔","-")</f>
        <v>✔</v>
      </c>
      <c r="N76" s="197" t="str">
        <f>IF('Design Fee'!X78&gt;0,"✔","-")</f>
        <v>✔</v>
      </c>
      <c r="O76" s="198" t="str">
        <f>IF('Design Fee'!Y78&gt;0,"✔","-")</f>
        <v>✔</v>
      </c>
      <c r="P76" s="198" t="str">
        <f>IF('Design Fee'!Z78&gt;0,"✔","-")</f>
        <v>-</v>
      </c>
      <c r="Q76" s="198" t="str">
        <f>IF('Design Fee'!AA78&gt;0,"✔","-")</f>
        <v>-</v>
      </c>
      <c r="R76" s="198" t="str">
        <f>IF('Design Fee'!AB78&gt;0,"✔","-")</f>
        <v>-</v>
      </c>
      <c r="S76" s="198" t="str">
        <f>IF('Design Fee'!AC78&gt;0,"✔","-")</f>
        <v>-</v>
      </c>
      <c r="T76" s="220" t="str">
        <f>IF('Design Fee'!AD78&gt;0,"✔","-")</f>
        <v>-</v>
      </c>
      <c r="U76" s="221"/>
      <c r="V76" s="198" t="str">
        <f>IF('Design Fee'!AF78&gt;0,"✔","-")</f>
        <v>-</v>
      </c>
      <c r="W76" s="198" t="str">
        <f>IF('Design Fee'!AG78&gt;0,"✔","-")</f>
        <v>-</v>
      </c>
      <c r="X76" s="198" t="str">
        <f>IF('Design Fee'!AH78&gt;0,"✔","-")</f>
        <v>-</v>
      </c>
      <c r="Y76" s="198" t="str">
        <f>IF('Design Fee'!AI78&gt;0,"✔","-")</f>
        <v>-</v>
      </c>
      <c r="Z76" s="198" t="str">
        <f>IF('Design Fee'!AJ78&gt;0,"✔","-")</f>
        <v>-</v>
      </c>
      <c r="AA76" s="221"/>
      <c r="AB76" s="195"/>
      <c r="AC76" s="196"/>
      <c r="AD76" s="197" t="str">
        <f>IF('Design Fee'!BG78&gt;0,"✔","-")</f>
        <v>-</v>
      </c>
      <c r="AE76" s="197" t="str">
        <f>IF('Design Fee'!BH78&gt;0,"✔","-")</f>
        <v>-</v>
      </c>
      <c r="AF76" s="198" t="str">
        <f>IF('Design Fee'!BI78&gt;0,"✔","-")</f>
        <v>-</v>
      </c>
      <c r="AG76" s="198" t="str">
        <f>IF('Design Fee'!BJ78&gt;0,"✔","-")</f>
        <v>-</v>
      </c>
      <c r="AH76" s="198" t="str">
        <f>IF('Design Fee'!BK78&gt;0,"✔","-")</f>
        <v>-</v>
      </c>
      <c r="AI76" s="198" t="str">
        <f>IF('Design Fee'!BL78&gt;0,"✔","-")</f>
        <v>-</v>
      </c>
      <c r="AJ76" s="198" t="str">
        <f>IF('Design Fee'!BM78&gt;0,"✔","-")</f>
        <v>-</v>
      </c>
      <c r="AK76" s="220" t="str">
        <f>IF('Design Fee'!BN78&gt;0,"✔","-")</f>
        <v>-</v>
      </c>
      <c r="AL76" s="199"/>
      <c r="AM76" s="198" t="str">
        <f>IF('Design Fee'!BP78&gt;0,"✔","-")</f>
        <v>-</v>
      </c>
      <c r="AN76" s="198" t="str">
        <f>IF('Design Fee'!BQ78&gt;0,"✔","-")</f>
        <v>-</v>
      </c>
      <c r="AO76" s="198" t="str">
        <f>IF('Design Fee'!BR78&gt;0,"✔","-")</f>
        <v>-</v>
      </c>
      <c r="AP76" s="198" t="str">
        <f>IF('Design Fee'!BS78&gt;0,"✔","-")</f>
        <v>-</v>
      </c>
      <c r="AQ76" s="198" t="str">
        <f>IF('Design Fee'!BT78&gt;0,"✔","-")</f>
        <v>-</v>
      </c>
      <c r="AR76" s="199"/>
      <c r="AS76" s="195"/>
      <c r="AT76" s="196"/>
      <c r="AU76" s="197" t="str">
        <f>IF('Design Fee'!CQ78&gt;0,"✔","-")</f>
        <v>-</v>
      </c>
      <c r="AV76" s="197" t="str">
        <f>IF('Design Fee'!CR78&gt;0,"✔","-")</f>
        <v>-</v>
      </c>
      <c r="AW76" s="198" t="str">
        <f>IF('Design Fee'!CS78&gt;0,"✔","-")</f>
        <v>-</v>
      </c>
      <c r="AX76" s="198" t="str">
        <f>IF('Design Fee'!CT78&gt;0,"✔","-")</f>
        <v>-</v>
      </c>
      <c r="AY76" s="198" t="str">
        <f>IF('Design Fee'!CU78&gt;0,"✔","-")</f>
        <v>-</v>
      </c>
      <c r="AZ76" s="198" t="str">
        <f>IF('Design Fee'!CV78&gt;0,"✔","-")</f>
        <v>-</v>
      </c>
      <c r="BA76" s="198" t="str">
        <f>IF('Design Fee'!CW78&gt;0,"✔","-")</f>
        <v>-</v>
      </c>
      <c r="BB76" s="220" t="str">
        <f>IF('Design Fee'!CX78&gt;0,"✔","-")</f>
        <v>-</v>
      </c>
      <c r="BC76" s="199"/>
      <c r="BD76" s="198" t="str">
        <f>IF('Design Fee'!CZ78&gt;0,"✔","-")</f>
        <v>-</v>
      </c>
      <c r="BE76" s="198" t="str">
        <f>IF('Design Fee'!DA78&gt;0,"✔","-")</f>
        <v>-</v>
      </c>
      <c r="BF76" s="198" t="str">
        <f>IF('Design Fee'!DB78&gt;0,"✔","-")</f>
        <v>-</v>
      </c>
      <c r="BG76" s="198" t="str">
        <f>IF('Design Fee'!DC78&gt;0,"✔","-")</f>
        <v>-</v>
      </c>
      <c r="BH76" s="198" t="str">
        <f>IF('Design Fee'!DD78&gt;0,"✔","-")</f>
        <v>-</v>
      </c>
      <c r="BI76" s="199"/>
      <c r="BJ76" s="195"/>
      <c r="BK76" s="196"/>
      <c r="BL76" s="197" t="str">
        <f>IF('Design Fee'!EA78&gt;0,"✔","-")</f>
        <v>-</v>
      </c>
      <c r="BM76" s="197" t="str">
        <f>IF('Design Fee'!EB78&gt;0,"✔","-")</f>
        <v>-</v>
      </c>
      <c r="BN76" s="198" t="str">
        <f>IF('Design Fee'!EC78&gt;0,"✔","-")</f>
        <v>-</v>
      </c>
      <c r="BO76" s="198" t="str">
        <f>IF('Design Fee'!ED78&gt;0,"✔","-")</f>
        <v>-</v>
      </c>
      <c r="BP76" s="198" t="str">
        <f>IF('Design Fee'!EE78&gt;0,"✔","-")</f>
        <v>-</v>
      </c>
      <c r="BQ76" s="198" t="str">
        <f>IF('Design Fee'!EF78&gt;0,"✔","-")</f>
        <v>-</v>
      </c>
      <c r="BR76" s="198" t="str">
        <f>IF('Design Fee'!EG78&gt;0,"✔","-")</f>
        <v>-</v>
      </c>
      <c r="BS76" s="220" t="str">
        <f>IF('Design Fee'!EH78&gt;0,"✔","-")</f>
        <v>-</v>
      </c>
      <c r="BT76" s="137"/>
      <c r="BU76" s="198" t="str">
        <f>IF('Design Fee'!EJ78&gt;0,"✔","-")</f>
        <v>-</v>
      </c>
      <c r="BV76" s="198" t="str">
        <f>IF('Design Fee'!EK78&gt;0,"✔","-")</f>
        <v>-</v>
      </c>
      <c r="BW76" s="198" t="str">
        <f>IF('Design Fee'!EL78&gt;0,"✔","-")</f>
        <v>-</v>
      </c>
      <c r="BX76" s="198" t="str">
        <f>IF('Design Fee'!EM78&gt;0,"✔","-")</f>
        <v>-</v>
      </c>
      <c r="BY76" s="198" t="str">
        <f>IF('Design Fee'!EN78&gt;0,"✔","-")</f>
        <v>-</v>
      </c>
      <c r="BZ76" s="137"/>
    </row>
    <row r="77" spans="2:78" ht="12.75" outlineLevel="2">
      <c r="B77" s="235" t="s">
        <v>87</v>
      </c>
      <c r="C77" s="223">
        <v>4</v>
      </c>
      <c r="D77" s="224" t="s">
        <v>88</v>
      </c>
      <c r="E77" s="137"/>
      <c r="F77" s="197">
        <f t="shared" si="142"/>
        <v>3</v>
      </c>
      <c r="G77" s="198">
        <f t="shared" si="143"/>
        <v>3</v>
      </c>
      <c r="H77" s="198">
        <f t="shared" si="143"/>
        <v>3</v>
      </c>
      <c r="I77" s="198">
        <f t="shared" si="144"/>
        <v>0</v>
      </c>
      <c r="J77" s="221"/>
      <c r="K77" s="195"/>
      <c r="L77" s="196"/>
      <c r="M77" s="197" t="str">
        <f>IF('Design Fee'!W79&gt;0,"✔","-")</f>
        <v>✔</v>
      </c>
      <c r="N77" s="197" t="str">
        <f>IF('Design Fee'!X79&gt;0,"✔","-")</f>
        <v>✔</v>
      </c>
      <c r="O77" s="198" t="str">
        <f>IF('Design Fee'!Y79&gt;0,"✔","-")</f>
        <v>✔</v>
      </c>
      <c r="P77" s="198" t="str">
        <f>IF('Design Fee'!Z79&gt;0,"✔","-")</f>
        <v>-</v>
      </c>
      <c r="Q77" s="198" t="str">
        <f>IF('Design Fee'!AA79&gt;0,"✔","-")</f>
        <v>-</v>
      </c>
      <c r="R77" s="198" t="str">
        <f>IF('Design Fee'!AB79&gt;0,"✔","-")</f>
        <v>-</v>
      </c>
      <c r="S77" s="198" t="str">
        <f>IF('Design Fee'!AC79&gt;0,"✔","-")</f>
        <v>-</v>
      </c>
      <c r="T77" s="220" t="str">
        <f>IF('Design Fee'!AD79&gt;0,"✔","-")</f>
        <v>-</v>
      </c>
      <c r="U77" s="221"/>
      <c r="V77" s="198" t="str">
        <f>IF('Design Fee'!AF79&gt;0,"✔","-")</f>
        <v>-</v>
      </c>
      <c r="W77" s="198" t="str">
        <f>IF('Design Fee'!AG79&gt;0,"✔","-")</f>
        <v>-</v>
      </c>
      <c r="X77" s="198" t="str">
        <f>IF('Design Fee'!AH79&gt;0,"✔","-")</f>
        <v>-</v>
      </c>
      <c r="Y77" s="198" t="str">
        <f>IF('Design Fee'!AI79&gt;0,"✔","-")</f>
        <v>-</v>
      </c>
      <c r="Z77" s="198" t="str">
        <f>IF('Design Fee'!AJ79&gt;0,"✔","-")</f>
        <v>-</v>
      </c>
      <c r="AA77" s="221"/>
      <c r="AB77" s="195"/>
      <c r="AC77" s="196"/>
      <c r="AD77" s="197" t="str">
        <f>IF('Design Fee'!BG79&gt;0,"✔","-")</f>
        <v>✔</v>
      </c>
      <c r="AE77" s="197" t="str">
        <f>IF('Design Fee'!BH79&gt;0,"✔","-")</f>
        <v>✔</v>
      </c>
      <c r="AF77" s="198" t="str">
        <f>IF('Design Fee'!BI79&gt;0,"✔","-")</f>
        <v>✔</v>
      </c>
      <c r="AG77" s="198" t="str">
        <f>IF('Design Fee'!BJ79&gt;0,"✔","-")</f>
        <v>-</v>
      </c>
      <c r="AH77" s="198" t="str">
        <f>IF('Design Fee'!BK79&gt;0,"✔","-")</f>
        <v>-</v>
      </c>
      <c r="AI77" s="198" t="str">
        <f>IF('Design Fee'!BL79&gt;0,"✔","-")</f>
        <v>-</v>
      </c>
      <c r="AJ77" s="198" t="str">
        <f>IF('Design Fee'!BM79&gt;0,"✔","-")</f>
        <v>-</v>
      </c>
      <c r="AK77" s="220" t="str">
        <f>IF('Design Fee'!BN79&gt;0,"✔","-")</f>
        <v>-</v>
      </c>
      <c r="AL77" s="199"/>
      <c r="AM77" s="198" t="str">
        <f>IF('Design Fee'!BP79&gt;0,"✔","-")</f>
        <v>-</v>
      </c>
      <c r="AN77" s="198" t="str">
        <f>IF('Design Fee'!BQ79&gt;0,"✔","-")</f>
        <v>-</v>
      </c>
      <c r="AO77" s="198" t="str">
        <f>IF('Design Fee'!BR79&gt;0,"✔","-")</f>
        <v>-</v>
      </c>
      <c r="AP77" s="198" t="str">
        <f>IF('Design Fee'!BS79&gt;0,"✔","-")</f>
        <v>-</v>
      </c>
      <c r="AQ77" s="198" t="str">
        <f>IF('Design Fee'!BT79&gt;0,"✔","-")</f>
        <v>-</v>
      </c>
      <c r="AR77" s="199"/>
      <c r="AS77" s="195"/>
      <c r="AT77" s="196"/>
      <c r="AU77" s="197" t="str">
        <f>IF('Design Fee'!CQ79&gt;0,"✔","-")</f>
        <v>✔</v>
      </c>
      <c r="AV77" s="197" t="str">
        <f>IF('Design Fee'!CR79&gt;0,"✔","-")</f>
        <v>✔</v>
      </c>
      <c r="AW77" s="198" t="str">
        <f>IF('Design Fee'!CS79&gt;0,"✔","-")</f>
        <v>✔</v>
      </c>
      <c r="AX77" s="198" t="str">
        <f>IF('Design Fee'!CT79&gt;0,"✔","-")</f>
        <v>-</v>
      </c>
      <c r="AY77" s="198" t="str">
        <f>IF('Design Fee'!CU79&gt;0,"✔","-")</f>
        <v>-</v>
      </c>
      <c r="AZ77" s="198" t="str">
        <f>IF('Design Fee'!CV79&gt;0,"✔","-")</f>
        <v>-</v>
      </c>
      <c r="BA77" s="198" t="str">
        <f>IF('Design Fee'!CW79&gt;0,"✔","-")</f>
        <v>-</v>
      </c>
      <c r="BB77" s="220" t="str">
        <f>IF('Design Fee'!CX79&gt;0,"✔","-")</f>
        <v>-</v>
      </c>
      <c r="BC77" s="199"/>
      <c r="BD77" s="198" t="str">
        <f>IF('Design Fee'!CZ79&gt;0,"✔","-")</f>
        <v>-</v>
      </c>
      <c r="BE77" s="198" t="str">
        <f>IF('Design Fee'!DA79&gt;0,"✔","-")</f>
        <v>-</v>
      </c>
      <c r="BF77" s="198" t="str">
        <f>IF('Design Fee'!DB79&gt;0,"✔","-")</f>
        <v>-</v>
      </c>
      <c r="BG77" s="198" t="str">
        <f>IF('Design Fee'!DC79&gt;0,"✔","-")</f>
        <v>-</v>
      </c>
      <c r="BH77" s="198" t="str">
        <f>IF('Design Fee'!DD79&gt;0,"✔","-")</f>
        <v>-</v>
      </c>
      <c r="BI77" s="199"/>
      <c r="BJ77" s="195"/>
      <c r="BK77" s="196"/>
      <c r="BL77" s="197" t="str">
        <f>IF('Design Fee'!EA79&gt;0,"✔","-")</f>
        <v>-</v>
      </c>
      <c r="BM77" s="197" t="str">
        <f>IF('Design Fee'!EB79&gt;0,"✔","-")</f>
        <v>-</v>
      </c>
      <c r="BN77" s="198" t="str">
        <f>IF('Design Fee'!EC79&gt;0,"✔","-")</f>
        <v>-</v>
      </c>
      <c r="BO77" s="198" t="str">
        <f>IF('Design Fee'!ED79&gt;0,"✔","-")</f>
        <v>-</v>
      </c>
      <c r="BP77" s="198" t="str">
        <f>IF('Design Fee'!EE79&gt;0,"✔","-")</f>
        <v>-</v>
      </c>
      <c r="BQ77" s="198" t="str">
        <f>IF('Design Fee'!EF79&gt;0,"✔","-")</f>
        <v>-</v>
      </c>
      <c r="BR77" s="198" t="str">
        <f>IF('Design Fee'!EG79&gt;0,"✔","-")</f>
        <v>-</v>
      </c>
      <c r="BS77" s="220" t="str">
        <f>IF('Design Fee'!EH79&gt;0,"✔","-")</f>
        <v>-</v>
      </c>
      <c r="BT77" s="137"/>
      <c r="BU77" s="198" t="str">
        <f>IF('Design Fee'!EJ79&gt;0,"✔","-")</f>
        <v>-</v>
      </c>
      <c r="BV77" s="198" t="str">
        <f>IF('Design Fee'!EK79&gt;0,"✔","-")</f>
        <v>-</v>
      </c>
      <c r="BW77" s="198" t="str">
        <f>IF('Design Fee'!EL79&gt;0,"✔","-")</f>
        <v>-</v>
      </c>
      <c r="BX77" s="198" t="str">
        <f>IF('Design Fee'!EM79&gt;0,"✔","-")</f>
        <v>-</v>
      </c>
      <c r="BY77" s="198" t="str">
        <f>IF('Design Fee'!EN79&gt;0,"✔","-")</f>
        <v>-</v>
      </c>
      <c r="BZ77" s="137"/>
    </row>
    <row r="78" spans="2:78" s="51" customFormat="1" ht="12.75" outlineLevel="2">
      <c r="B78" s="235" t="s">
        <v>89</v>
      </c>
      <c r="C78" s="223">
        <v>5</v>
      </c>
      <c r="D78" s="224" t="s">
        <v>90</v>
      </c>
      <c r="E78" s="222"/>
      <c r="F78" s="197">
        <f t="shared" si="142"/>
        <v>2</v>
      </c>
      <c r="G78" s="198">
        <f t="shared" si="143"/>
        <v>2</v>
      </c>
      <c r="H78" s="198">
        <f t="shared" si="143"/>
        <v>2</v>
      </c>
      <c r="I78" s="198">
        <f t="shared" si="144"/>
        <v>0</v>
      </c>
      <c r="J78" s="229"/>
      <c r="K78" s="225"/>
      <c r="L78" s="226"/>
      <c r="M78" s="197" t="str">
        <f>IF('Design Fee'!W80&gt;0,"✔","-")</f>
        <v>✔</v>
      </c>
      <c r="N78" s="197" t="str">
        <f>IF('Design Fee'!X80&gt;0,"✔","-")</f>
        <v>✔</v>
      </c>
      <c r="O78" s="220" t="str">
        <f>IF('Design Fee'!Y80&gt;0,"✔","-")</f>
        <v>✔</v>
      </c>
      <c r="P78" s="220" t="str">
        <f>IF('Design Fee'!Z80&gt;0,"✔","-")</f>
        <v>-</v>
      </c>
      <c r="Q78" s="220" t="str">
        <f>IF('Design Fee'!AA80&gt;0,"✔","-")</f>
        <v>-</v>
      </c>
      <c r="R78" s="220" t="str">
        <f>IF('Design Fee'!AB80&gt;0,"✔","-")</f>
        <v>-</v>
      </c>
      <c r="S78" s="220" t="str">
        <f>IF('Design Fee'!AC80&gt;0,"✔","-")</f>
        <v>-</v>
      </c>
      <c r="T78" s="220" t="str">
        <f>IF('Design Fee'!AD80&gt;0,"✔","-")</f>
        <v>-</v>
      </c>
      <c r="U78" s="229"/>
      <c r="V78" s="198" t="str">
        <f>IF('Design Fee'!AF80&gt;0,"✔","-")</f>
        <v>-</v>
      </c>
      <c r="W78" s="198" t="str">
        <f>IF('Design Fee'!AG80&gt;0,"✔","-")</f>
        <v>-</v>
      </c>
      <c r="X78" s="198" t="str">
        <f>IF('Design Fee'!AH80&gt;0,"✔","-")</f>
        <v>-</v>
      </c>
      <c r="Y78" s="198" t="str">
        <f>IF('Design Fee'!AI80&gt;0,"✔","-")</f>
        <v>-</v>
      </c>
      <c r="Z78" s="198" t="str">
        <f>IF('Design Fee'!AJ80&gt;0,"✔","-")</f>
        <v>-</v>
      </c>
      <c r="AA78" s="229"/>
      <c r="AB78" s="225"/>
      <c r="AC78" s="226"/>
      <c r="AD78" s="197" t="str">
        <f>IF('Design Fee'!BG80&gt;0,"✔","-")</f>
        <v>✔</v>
      </c>
      <c r="AE78" s="197" t="str">
        <f>IF('Design Fee'!BH80&gt;0,"✔","-")</f>
        <v>✔</v>
      </c>
      <c r="AF78" s="220" t="str">
        <f>IF('Design Fee'!BI80&gt;0,"✔","-")</f>
        <v>✔</v>
      </c>
      <c r="AG78" s="220" t="str">
        <f>IF('Design Fee'!BJ80&gt;0,"✔","-")</f>
        <v>-</v>
      </c>
      <c r="AH78" s="220" t="str">
        <f>IF('Design Fee'!BK80&gt;0,"✔","-")</f>
        <v>-</v>
      </c>
      <c r="AI78" s="220" t="str">
        <f>IF('Design Fee'!BL80&gt;0,"✔","-")</f>
        <v>-</v>
      </c>
      <c r="AJ78" s="220" t="str">
        <f>IF('Design Fee'!BM80&gt;0,"✔","-")</f>
        <v>-</v>
      </c>
      <c r="AK78" s="220" t="str">
        <f>IF('Design Fee'!BN80&gt;0,"✔","-")</f>
        <v>-</v>
      </c>
      <c r="AL78" s="230"/>
      <c r="AM78" s="198" t="str">
        <f>IF('Design Fee'!BP80&gt;0,"✔","-")</f>
        <v>-</v>
      </c>
      <c r="AN78" s="198" t="str">
        <f>IF('Design Fee'!BQ80&gt;0,"✔","-")</f>
        <v>-</v>
      </c>
      <c r="AO78" s="198" t="str">
        <f>IF('Design Fee'!BR80&gt;0,"✔","-")</f>
        <v>-</v>
      </c>
      <c r="AP78" s="198" t="str">
        <f>IF('Design Fee'!BS80&gt;0,"✔","-")</f>
        <v>-</v>
      </c>
      <c r="AQ78" s="198" t="str">
        <f>IF('Design Fee'!BT80&gt;0,"✔","-")</f>
        <v>-</v>
      </c>
      <c r="AR78" s="230"/>
      <c r="AS78" s="225"/>
      <c r="AT78" s="226"/>
      <c r="AU78" s="197" t="str">
        <f>IF('Design Fee'!CQ80&gt;0,"✔","-")</f>
        <v>-</v>
      </c>
      <c r="AV78" s="197" t="str">
        <f>IF('Design Fee'!CR80&gt;0,"✔","-")</f>
        <v>-</v>
      </c>
      <c r="AW78" s="220" t="str">
        <f>IF('Design Fee'!CS80&gt;0,"✔","-")</f>
        <v>-</v>
      </c>
      <c r="AX78" s="220" t="str">
        <f>IF('Design Fee'!CT80&gt;0,"✔","-")</f>
        <v>-</v>
      </c>
      <c r="AY78" s="220" t="str">
        <f>IF('Design Fee'!CU80&gt;0,"✔","-")</f>
        <v>-</v>
      </c>
      <c r="AZ78" s="220" t="str">
        <f>IF('Design Fee'!CV80&gt;0,"✔","-")</f>
        <v>-</v>
      </c>
      <c r="BA78" s="220" t="str">
        <f>IF('Design Fee'!CW80&gt;0,"✔","-")</f>
        <v>-</v>
      </c>
      <c r="BB78" s="220" t="str">
        <f>IF('Design Fee'!CX80&gt;0,"✔","-")</f>
        <v>-</v>
      </c>
      <c r="BC78" s="230"/>
      <c r="BD78" s="198" t="str">
        <f>IF('Design Fee'!CZ80&gt;0,"✔","-")</f>
        <v>-</v>
      </c>
      <c r="BE78" s="198" t="str">
        <f>IF('Design Fee'!DA80&gt;0,"✔","-")</f>
        <v>-</v>
      </c>
      <c r="BF78" s="198" t="str">
        <f>IF('Design Fee'!DB80&gt;0,"✔","-")</f>
        <v>-</v>
      </c>
      <c r="BG78" s="198" t="str">
        <f>IF('Design Fee'!DC80&gt;0,"✔","-")</f>
        <v>-</v>
      </c>
      <c r="BH78" s="198" t="str">
        <f>IF('Design Fee'!DD80&gt;0,"✔","-")</f>
        <v>-</v>
      </c>
      <c r="BI78" s="230"/>
      <c r="BJ78" s="225"/>
      <c r="BK78" s="226"/>
      <c r="BL78" s="197" t="str">
        <f>IF('Design Fee'!EA80&gt;0,"✔","-")</f>
        <v>-</v>
      </c>
      <c r="BM78" s="197" t="str">
        <f>IF('Design Fee'!EB80&gt;0,"✔","-")</f>
        <v>-</v>
      </c>
      <c r="BN78" s="220" t="str">
        <f>IF('Design Fee'!EC80&gt;0,"✔","-")</f>
        <v>-</v>
      </c>
      <c r="BO78" s="220" t="str">
        <f>IF('Design Fee'!ED80&gt;0,"✔","-")</f>
        <v>-</v>
      </c>
      <c r="BP78" s="220" t="str">
        <f>IF('Design Fee'!EE80&gt;0,"✔","-")</f>
        <v>-</v>
      </c>
      <c r="BQ78" s="220" t="str">
        <f>IF('Design Fee'!EF80&gt;0,"✔","-")</f>
        <v>-</v>
      </c>
      <c r="BR78" s="220" t="str">
        <f>IF('Design Fee'!EG80&gt;0,"✔","-")</f>
        <v>-</v>
      </c>
      <c r="BS78" s="220" t="str">
        <f>IF('Design Fee'!EH80&gt;0,"✔","-")</f>
        <v>-</v>
      </c>
      <c r="BT78" s="222"/>
      <c r="BU78" s="198" t="str">
        <f>IF('Design Fee'!EJ80&gt;0,"✔","-")</f>
        <v>-</v>
      </c>
      <c r="BV78" s="198" t="str">
        <f>IF('Design Fee'!EK80&gt;0,"✔","-")</f>
        <v>-</v>
      </c>
      <c r="BW78" s="198" t="str">
        <f>IF('Design Fee'!EL80&gt;0,"✔","-")</f>
        <v>-</v>
      </c>
      <c r="BX78" s="198" t="str">
        <f>IF('Design Fee'!EM80&gt;0,"✔","-")</f>
        <v>-</v>
      </c>
      <c r="BY78" s="198" t="str">
        <f>IF('Design Fee'!EN80&gt;0,"✔","-")</f>
        <v>-</v>
      </c>
      <c r="BZ78" s="137"/>
    </row>
    <row r="79" spans="2:78" ht="12.75" outlineLevel="2">
      <c r="B79" s="235" t="s">
        <v>91</v>
      </c>
      <c r="C79" s="223">
        <v>6</v>
      </c>
      <c r="D79" s="219" t="s">
        <v>64</v>
      </c>
      <c r="E79" s="137"/>
      <c r="F79" s="197">
        <f t="shared" si="142"/>
        <v>3</v>
      </c>
      <c r="G79" s="198">
        <f t="shared" si="143"/>
        <v>3</v>
      </c>
      <c r="H79" s="198">
        <f t="shared" si="143"/>
        <v>3</v>
      </c>
      <c r="I79" s="198">
        <f t="shared" si="144"/>
        <v>0</v>
      </c>
      <c r="J79" s="184"/>
      <c r="K79" s="195"/>
      <c r="L79" s="196"/>
      <c r="M79" s="197" t="str">
        <f>IF('Design Fee'!W81&gt;0,"✔","-")</f>
        <v>✔</v>
      </c>
      <c r="N79" s="197" t="str">
        <f>IF('Design Fee'!X81&gt;0,"✔","-")</f>
        <v>✔</v>
      </c>
      <c r="O79" s="206" t="str">
        <f>IF('Design Fee'!Y81&gt;0,"✔","-")</f>
        <v>✔</v>
      </c>
      <c r="P79" s="206" t="str">
        <f>IF('Design Fee'!Z81&gt;0,"✔","-")</f>
        <v>-</v>
      </c>
      <c r="Q79" s="206" t="str">
        <f>IF('Design Fee'!AA81&gt;0,"✔","-")</f>
        <v>-</v>
      </c>
      <c r="R79" s="206" t="str">
        <f>IF('Design Fee'!AB81&gt;0,"✔","-")</f>
        <v>-</v>
      </c>
      <c r="S79" s="206" t="str">
        <f>IF('Design Fee'!AC81&gt;0,"✔","-")</f>
        <v>-</v>
      </c>
      <c r="T79" s="220" t="str">
        <f>IF('Design Fee'!AD81&gt;0,"✔","-")</f>
        <v>-</v>
      </c>
      <c r="U79" s="184"/>
      <c r="V79" s="198" t="str">
        <f>IF('Design Fee'!AF81&gt;0,"✔","-")</f>
        <v>-</v>
      </c>
      <c r="W79" s="198" t="str">
        <f>IF('Design Fee'!AG81&gt;0,"✔","-")</f>
        <v>-</v>
      </c>
      <c r="X79" s="198" t="str">
        <f>IF('Design Fee'!AH81&gt;0,"✔","-")</f>
        <v>-</v>
      </c>
      <c r="Y79" s="198" t="str">
        <f>IF('Design Fee'!AI81&gt;0,"✔","-")</f>
        <v>-</v>
      </c>
      <c r="Z79" s="198" t="str">
        <f>IF('Design Fee'!AJ81&gt;0,"✔","-")</f>
        <v>-</v>
      </c>
      <c r="AA79" s="184"/>
      <c r="AB79" s="195"/>
      <c r="AC79" s="196"/>
      <c r="AD79" s="197" t="str">
        <f>IF('Design Fee'!BG81&gt;0,"✔","-")</f>
        <v>-</v>
      </c>
      <c r="AE79" s="197" t="str">
        <f>IF('Design Fee'!BH81&gt;0,"✔","-")</f>
        <v>-</v>
      </c>
      <c r="AF79" s="206" t="str">
        <f>IF('Design Fee'!BI81&gt;0,"✔","-")</f>
        <v>-</v>
      </c>
      <c r="AG79" s="206" t="str">
        <f>IF('Design Fee'!BJ81&gt;0,"✔","-")</f>
        <v>-</v>
      </c>
      <c r="AH79" s="206" t="str">
        <f>IF('Design Fee'!BK81&gt;0,"✔","-")</f>
        <v>-</v>
      </c>
      <c r="AI79" s="206" t="str">
        <f>IF('Design Fee'!BL81&gt;0,"✔","-")</f>
        <v>-</v>
      </c>
      <c r="AJ79" s="206" t="str">
        <f>IF('Design Fee'!BM81&gt;0,"✔","-")</f>
        <v>-</v>
      </c>
      <c r="AK79" s="220" t="str">
        <f>IF('Design Fee'!BN81&gt;0,"✔","-")</f>
        <v>-</v>
      </c>
      <c r="AL79" s="199"/>
      <c r="AM79" s="198" t="str">
        <f>IF('Design Fee'!BP81&gt;0,"✔","-")</f>
        <v>-</v>
      </c>
      <c r="AN79" s="198" t="str">
        <f>IF('Design Fee'!BQ81&gt;0,"✔","-")</f>
        <v>-</v>
      </c>
      <c r="AO79" s="198" t="str">
        <f>IF('Design Fee'!BR81&gt;0,"✔","-")</f>
        <v>-</v>
      </c>
      <c r="AP79" s="198" t="str">
        <f>IF('Design Fee'!BS81&gt;0,"✔","-")</f>
        <v>-</v>
      </c>
      <c r="AQ79" s="198" t="str">
        <f>IF('Design Fee'!BT81&gt;0,"✔","-")</f>
        <v>-</v>
      </c>
      <c r="AR79" s="199"/>
      <c r="AS79" s="195"/>
      <c r="AT79" s="196"/>
      <c r="AU79" s="197" t="str">
        <f>IF('Design Fee'!CQ81&gt;0,"✔","-")</f>
        <v>✔</v>
      </c>
      <c r="AV79" s="197" t="str">
        <f>IF('Design Fee'!CR81&gt;0,"✔","-")</f>
        <v>✔</v>
      </c>
      <c r="AW79" s="206" t="str">
        <f>IF('Design Fee'!CS81&gt;0,"✔","-")</f>
        <v>✔</v>
      </c>
      <c r="AX79" s="206" t="str">
        <f>IF('Design Fee'!CT81&gt;0,"✔","-")</f>
        <v>-</v>
      </c>
      <c r="AY79" s="206" t="str">
        <f>IF('Design Fee'!CU81&gt;0,"✔","-")</f>
        <v>-</v>
      </c>
      <c r="AZ79" s="206" t="str">
        <f>IF('Design Fee'!CV81&gt;0,"✔","-")</f>
        <v>-</v>
      </c>
      <c r="BA79" s="206" t="str">
        <f>IF('Design Fee'!CW81&gt;0,"✔","-")</f>
        <v>-</v>
      </c>
      <c r="BB79" s="220" t="str">
        <f>IF('Design Fee'!CX81&gt;0,"✔","-")</f>
        <v>-</v>
      </c>
      <c r="BC79" s="199"/>
      <c r="BD79" s="198" t="str">
        <f>IF('Design Fee'!CZ81&gt;0,"✔","-")</f>
        <v>-</v>
      </c>
      <c r="BE79" s="198" t="str">
        <f>IF('Design Fee'!DA81&gt;0,"✔","-")</f>
        <v>-</v>
      </c>
      <c r="BF79" s="198" t="str">
        <f>IF('Design Fee'!DB81&gt;0,"✔","-")</f>
        <v>-</v>
      </c>
      <c r="BG79" s="198" t="str">
        <f>IF('Design Fee'!DC81&gt;0,"✔","-")</f>
        <v>-</v>
      </c>
      <c r="BH79" s="198" t="str">
        <f>IF('Design Fee'!DD81&gt;0,"✔","-")</f>
        <v>-</v>
      </c>
      <c r="BI79" s="199"/>
      <c r="BJ79" s="195"/>
      <c r="BK79" s="196"/>
      <c r="BL79" s="197" t="str">
        <f>IF('Design Fee'!EA81&gt;0,"✔","-")</f>
        <v>✔</v>
      </c>
      <c r="BM79" s="197" t="str">
        <f>IF('Design Fee'!EB81&gt;0,"✔","-")</f>
        <v>✔</v>
      </c>
      <c r="BN79" s="206" t="str">
        <f>IF('Design Fee'!EC81&gt;0,"✔","-")</f>
        <v>✔</v>
      </c>
      <c r="BO79" s="206" t="str">
        <f>IF('Design Fee'!ED81&gt;0,"✔","-")</f>
        <v>-</v>
      </c>
      <c r="BP79" s="206" t="str">
        <f>IF('Design Fee'!EE81&gt;0,"✔","-")</f>
        <v>-</v>
      </c>
      <c r="BQ79" s="206" t="str">
        <f>IF('Design Fee'!EF81&gt;0,"✔","-")</f>
        <v>-</v>
      </c>
      <c r="BR79" s="206" t="str">
        <f>IF('Design Fee'!EG81&gt;0,"✔","-")</f>
        <v>-</v>
      </c>
      <c r="BS79" s="220" t="str">
        <f>IF('Design Fee'!EH81&gt;0,"✔","-")</f>
        <v>-</v>
      </c>
      <c r="BT79" s="137"/>
      <c r="BU79" s="198" t="str">
        <f>IF('Design Fee'!EJ81&gt;0,"✔","-")</f>
        <v>-</v>
      </c>
      <c r="BV79" s="198" t="str">
        <f>IF('Design Fee'!EK81&gt;0,"✔","-")</f>
        <v>-</v>
      </c>
      <c r="BW79" s="198" t="str">
        <f>IF('Design Fee'!EL81&gt;0,"✔","-")</f>
        <v>-</v>
      </c>
      <c r="BX79" s="198" t="str">
        <f>IF('Design Fee'!EM81&gt;0,"✔","-")</f>
        <v>-</v>
      </c>
      <c r="BY79" s="198" t="str">
        <f>IF('Design Fee'!EN81&gt;0,"✔","-")</f>
        <v>-</v>
      </c>
      <c r="BZ79" s="137"/>
    </row>
    <row r="80" spans="2:78" ht="12.75" outlineLevel="2">
      <c r="B80" s="235" t="s">
        <v>92</v>
      </c>
      <c r="C80" s="223">
        <v>7</v>
      </c>
      <c r="D80" s="224" t="s">
        <v>67</v>
      </c>
      <c r="E80" s="137"/>
      <c r="F80" s="197">
        <f t="shared" si="142"/>
        <v>3</v>
      </c>
      <c r="G80" s="198">
        <f t="shared" si="143"/>
        <v>3</v>
      </c>
      <c r="H80" s="198">
        <f t="shared" si="143"/>
        <v>3</v>
      </c>
      <c r="I80" s="198">
        <f t="shared" si="144"/>
        <v>0</v>
      </c>
      <c r="J80" s="184"/>
      <c r="K80" s="195"/>
      <c r="L80" s="196"/>
      <c r="M80" s="197" t="str">
        <f>IF('Design Fee'!W82&gt;0,"✔","-")</f>
        <v>✔</v>
      </c>
      <c r="N80" s="197" t="str">
        <f>IF('Design Fee'!X82&gt;0,"✔","-")</f>
        <v>✔</v>
      </c>
      <c r="O80" s="206" t="str">
        <f>IF('Design Fee'!Y82&gt;0,"✔","-")</f>
        <v>✔</v>
      </c>
      <c r="P80" s="206" t="str">
        <f>IF('Design Fee'!Z82&gt;0,"✔","-")</f>
        <v>-</v>
      </c>
      <c r="Q80" s="206" t="str">
        <f>IF('Design Fee'!AA82&gt;0,"✔","-")</f>
        <v>-</v>
      </c>
      <c r="R80" s="206" t="str">
        <f>IF('Design Fee'!AB82&gt;0,"✔","-")</f>
        <v>-</v>
      </c>
      <c r="S80" s="206" t="str">
        <f>IF('Design Fee'!AC82&gt;0,"✔","-")</f>
        <v>-</v>
      </c>
      <c r="T80" s="220" t="str">
        <f>IF('Design Fee'!AD82&gt;0,"✔","-")</f>
        <v>-</v>
      </c>
      <c r="U80" s="184"/>
      <c r="V80" s="198" t="str">
        <f>IF('Design Fee'!AF82&gt;0,"✔","-")</f>
        <v>-</v>
      </c>
      <c r="W80" s="198" t="str">
        <f>IF('Design Fee'!AG82&gt;0,"✔","-")</f>
        <v>-</v>
      </c>
      <c r="X80" s="198" t="str">
        <f>IF('Design Fee'!AH82&gt;0,"✔","-")</f>
        <v>-</v>
      </c>
      <c r="Y80" s="198" t="str">
        <f>IF('Design Fee'!AI82&gt;0,"✔","-")</f>
        <v>-</v>
      </c>
      <c r="Z80" s="198" t="str">
        <f>IF('Design Fee'!AJ82&gt;0,"✔","-")</f>
        <v>-</v>
      </c>
      <c r="AA80" s="184"/>
      <c r="AB80" s="195"/>
      <c r="AC80" s="196"/>
      <c r="AD80" s="197" t="str">
        <f>IF('Design Fee'!BG82&gt;0,"✔","-")</f>
        <v>✔</v>
      </c>
      <c r="AE80" s="197" t="str">
        <f>IF('Design Fee'!BH82&gt;0,"✔","-")</f>
        <v>✔</v>
      </c>
      <c r="AF80" s="206" t="str">
        <f>IF('Design Fee'!BI82&gt;0,"✔","-")</f>
        <v>✔</v>
      </c>
      <c r="AG80" s="206" t="str">
        <f>IF('Design Fee'!BJ82&gt;0,"✔","-")</f>
        <v>-</v>
      </c>
      <c r="AH80" s="206" t="str">
        <f>IF('Design Fee'!BK82&gt;0,"✔","-")</f>
        <v>-</v>
      </c>
      <c r="AI80" s="206" t="str">
        <f>IF('Design Fee'!BL82&gt;0,"✔","-")</f>
        <v>-</v>
      </c>
      <c r="AJ80" s="206" t="str">
        <f>IF('Design Fee'!BM82&gt;0,"✔","-")</f>
        <v>-</v>
      </c>
      <c r="AK80" s="220" t="str">
        <f>IF('Design Fee'!BN82&gt;0,"✔","-")</f>
        <v>-</v>
      </c>
      <c r="AL80" s="199"/>
      <c r="AM80" s="198" t="str">
        <f>IF('Design Fee'!BP82&gt;0,"✔","-")</f>
        <v>-</v>
      </c>
      <c r="AN80" s="198" t="str">
        <f>IF('Design Fee'!BQ82&gt;0,"✔","-")</f>
        <v>-</v>
      </c>
      <c r="AO80" s="198" t="str">
        <f>IF('Design Fee'!BR82&gt;0,"✔","-")</f>
        <v>-</v>
      </c>
      <c r="AP80" s="198" t="str">
        <f>IF('Design Fee'!BS82&gt;0,"✔","-")</f>
        <v>-</v>
      </c>
      <c r="AQ80" s="198" t="str">
        <f>IF('Design Fee'!BT82&gt;0,"✔","-")</f>
        <v>-</v>
      </c>
      <c r="AR80" s="199"/>
      <c r="AS80" s="195"/>
      <c r="AT80" s="196"/>
      <c r="AU80" s="197" t="str">
        <f>IF('Design Fee'!CQ82&gt;0,"✔","-")</f>
        <v>✔</v>
      </c>
      <c r="AV80" s="197" t="str">
        <f>IF('Design Fee'!CR82&gt;0,"✔","-")</f>
        <v>✔</v>
      </c>
      <c r="AW80" s="206" t="str">
        <f>IF('Design Fee'!CS82&gt;0,"✔","-")</f>
        <v>✔</v>
      </c>
      <c r="AX80" s="206" t="str">
        <f>IF('Design Fee'!CT82&gt;0,"✔","-")</f>
        <v>-</v>
      </c>
      <c r="AY80" s="206" t="str">
        <f>IF('Design Fee'!CU82&gt;0,"✔","-")</f>
        <v>-</v>
      </c>
      <c r="AZ80" s="206" t="str">
        <f>IF('Design Fee'!CV82&gt;0,"✔","-")</f>
        <v>-</v>
      </c>
      <c r="BA80" s="206" t="str">
        <f>IF('Design Fee'!CW82&gt;0,"✔","-")</f>
        <v>-</v>
      </c>
      <c r="BB80" s="220" t="str">
        <f>IF('Design Fee'!CX82&gt;0,"✔","-")</f>
        <v>-</v>
      </c>
      <c r="BC80" s="199"/>
      <c r="BD80" s="198" t="str">
        <f>IF('Design Fee'!CZ82&gt;0,"✔","-")</f>
        <v>-</v>
      </c>
      <c r="BE80" s="198" t="str">
        <f>IF('Design Fee'!DA82&gt;0,"✔","-")</f>
        <v>-</v>
      </c>
      <c r="BF80" s="198" t="str">
        <f>IF('Design Fee'!DB82&gt;0,"✔","-")</f>
        <v>-</v>
      </c>
      <c r="BG80" s="198" t="str">
        <f>IF('Design Fee'!DC82&gt;0,"✔","-")</f>
        <v>-</v>
      </c>
      <c r="BH80" s="198" t="str">
        <f>IF('Design Fee'!DD82&gt;0,"✔","-")</f>
        <v>-</v>
      </c>
      <c r="BI80" s="199"/>
      <c r="BJ80" s="195"/>
      <c r="BK80" s="196"/>
      <c r="BL80" s="197" t="str">
        <f>IF('Design Fee'!EA82&gt;0,"✔","-")</f>
        <v>-</v>
      </c>
      <c r="BM80" s="197" t="str">
        <f>IF('Design Fee'!EB82&gt;0,"✔","-")</f>
        <v>-</v>
      </c>
      <c r="BN80" s="206" t="str">
        <f>IF('Design Fee'!EC82&gt;0,"✔","-")</f>
        <v>-</v>
      </c>
      <c r="BO80" s="206" t="str">
        <f>IF('Design Fee'!ED82&gt;0,"✔","-")</f>
        <v>-</v>
      </c>
      <c r="BP80" s="206" t="str">
        <f>IF('Design Fee'!EE82&gt;0,"✔","-")</f>
        <v>-</v>
      </c>
      <c r="BQ80" s="206" t="str">
        <f>IF('Design Fee'!EF82&gt;0,"✔","-")</f>
        <v>-</v>
      </c>
      <c r="BR80" s="206" t="str">
        <f>IF('Design Fee'!EG82&gt;0,"✔","-")</f>
        <v>-</v>
      </c>
      <c r="BS80" s="220" t="str">
        <f>IF('Design Fee'!EH82&gt;0,"✔","-")</f>
        <v>-</v>
      </c>
      <c r="BT80" s="137"/>
      <c r="BU80" s="198" t="str">
        <f>IF('Design Fee'!EJ82&gt;0,"✔","-")</f>
        <v>-</v>
      </c>
      <c r="BV80" s="198" t="str">
        <f>IF('Design Fee'!EK82&gt;0,"✔","-")</f>
        <v>-</v>
      </c>
      <c r="BW80" s="198" t="str">
        <f>IF('Design Fee'!EL82&gt;0,"✔","-")</f>
        <v>-</v>
      </c>
      <c r="BX80" s="198" t="str">
        <f>IF('Design Fee'!EM82&gt;0,"✔","-")</f>
        <v>-</v>
      </c>
      <c r="BY80" s="198" t="str">
        <f>IF('Design Fee'!EN82&gt;0,"✔","-")</f>
        <v>-</v>
      </c>
      <c r="BZ80" s="137"/>
    </row>
    <row r="81" spans="2:78" ht="12.75" outlineLevel="2">
      <c r="B81" s="235" t="s">
        <v>93</v>
      </c>
      <c r="C81" s="223">
        <v>8</v>
      </c>
      <c r="D81" s="224" t="s">
        <v>69</v>
      </c>
      <c r="E81" s="137"/>
      <c r="F81" s="197">
        <f t="shared" si="142"/>
        <v>3</v>
      </c>
      <c r="G81" s="198">
        <f t="shared" si="143"/>
        <v>3</v>
      </c>
      <c r="H81" s="198">
        <f t="shared" si="143"/>
        <v>3</v>
      </c>
      <c r="I81" s="198">
        <f t="shared" si="144"/>
        <v>0</v>
      </c>
      <c r="J81" s="221"/>
      <c r="K81" s="195"/>
      <c r="L81" s="196"/>
      <c r="M81" s="197" t="str">
        <f>IF('Design Fee'!W83&gt;0,"✔","-")</f>
        <v>✔</v>
      </c>
      <c r="N81" s="197" t="str">
        <f>IF('Design Fee'!X83&gt;0,"✔","-")</f>
        <v>✔</v>
      </c>
      <c r="O81" s="206" t="str">
        <f>IF('Design Fee'!Y83&gt;0,"✔","-")</f>
        <v>✔</v>
      </c>
      <c r="P81" s="206" t="str">
        <f>IF('Design Fee'!Z83&gt;0,"✔","-")</f>
        <v>-</v>
      </c>
      <c r="Q81" s="206" t="str">
        <f>IF('Design Fee'!AA83&gt;0,"✔","-")</f>
        <v>-</v>
      </c>
      <c r="R81" s="206" t="str">
        <f>IF('Design Fee'!AB83&gt;0,"✔","-")</f>
        <v>-</v>
      </c>
      <c r="S81" s="206" t="str">
        <f>IF('Design Fee'!AC83&gt;0,"✔","-")</f>
        <v>-</v>
      </c>
      <c r="T81" s="220" t="str">
        <f>IF('Design Fee'!AD83&gt;0,"✔","-")</f>
        <v>-</v>
      </c>
      <c r="U81" s="221"/>
      <c r="V81" s="198" t="str">
        <f>IF('Design Fee'!AF83&gt;0,"✔","-")</f>
        <v>-</v>
      </c>
      <c r="W81" s="198" t="str">
        <f>IF('Design Fee'!AG83&gt;0,"✔","-")</f>
        <v>-</v>
      </c>
      <c r="X81" s="198" t="str">
        <f>IF('Design Fee'!AH83&gt;0,"✔","-")</f>
        <v>-</v>
      </c>
      <c r="Y81" s="198" t="str">
        <f>IF('Design Fee'!AI83&gt;0,"✔","-")</f>
        <v>-</v>
      </c>
      <c r="Z81" s="198" t="str">
        <f>IF('Design Fee'!AJ83&gt;0,"✔","-")</f>
        <v>-</v>
      </c>
      <c r="AA81" s="221"/>
      <c r="AB81" s="195"/>
      <c r="AC81" s="196"/>
      <c r="AD81" s="197" t="str">
        <f>IF('Design Fee'!BG83&gt;0,"✔","-")</f>
        <v>✔</v>
      </c>
      <c r="AE81" s="197" t="str">
        <f>IF('Design Fee'!BH83&gt;0,"✔","-")</f>
        <v>✔</v>
      </c>
      <c r="AF81" s="206" t="str">
        <f>IF('Design Fee'!BI83&gt;0,"✔","-")</f>
        <v>✔</v>
      </c>
      <c r="AG81" s="206" t="str">
        <f>IF('Design Fee'!BJ83&gt;0,"✔","-")</f>
        <v>-</v>
      </c>
      <c r="AH81" s="206" t="str">
        <f>IF('Design Fee'!BK83&gt;0,"✔","-")</f>
        <v>-</v>
      </c>
      <c r="AI81" s="206" t="str">
        <f>IF('Design Fee'!BL83&gt;0,"✔","-")</f>
        <v>-</v>
      </c>
      <c r="AJ81" s="206" t="str">
        <f>IF('Design Fee'!BM83&gt;0,"✔","-")</f>
        <v>-</v>
      </c>
      <c r="AK81" s="220" t="str">
        <f>IF('Design Fee'!BN83&gt;0,"✔","-")</f>
        <v>-</v>
      </c>
      <c r="AL81" s="199"/>
      <c r="AM81" s="198" t="str">
        <f>IF('Design Fee'!BP83&gt;0,"✔","-")</f>
        <v>-</v>
      </c>
      <c r="AN81" s="198" t="str">
        <f>IF('Design Fee'!BQ83&gt;0,"✔","-")</f>
        <v>-</v>
      </c>
      <c r="AO81" s="198" t="str">
        <f>IF('Design Fee'!BR83&gt;0,"✔","-")</f>
        <v>-</v>
      </c>
      <c r="AP81" s="198" t="str">
        <f>IF('Design Fee'!BS83&gt;0,"✔","-")</f>
        <v>-</v>
      </c>
      <c r="AQ81" s="198" t="str">
        <f>IF('Design Fee'!BT83&gt;0,"✔","-")</f>
        <v>-</v>
      </c>
      <c r="AR81" s="199"/>
      <c r="AS81" s="195"/>
      <c r="AT81" s="196"/>
      <c r="AU81" s="197" t="str">
        <f>IF('Design Fee'!CQ83&gt;0,"✔","-")</f>
        <v>✔</v>
      </c>
      <c r="AV81" s="197" t="str">
        <f>IF('Design Fee'!CR83&gt;0,"✔","-")</f>
        <v>✔</v>
      </c>
      <c r="AW81" s="206" t="str">
        <f>IF('Design Fee'!CS83&gt;0,"✔","-")</f>
        <v>✔</v>
      </c>
      <c r="AX81" s="206" t="str">
        <f>IF('Design Fee'!CT83&gt;0,"✔","-")</f>
        <v>-</v>
      </c>
      <c r="AY81" s="206" t="str">
        <f>IF('Design Fee'!CU83&gt;0,"✔","-")</f>
        <v>-</v>
      </c>
      <c r="AZ81" s="206" t="str">
        <f>IF('Design Fee'!CV83&gt;0,"✔","-")</f>
        <v>-</v>
      </c>
      <c r="BA81" s="206" t="str">
        <f>IF('Design Fee'!CW83&gt;0,"✔","-")</f>
        <v>-</v>
      </c>
      <c r="BB81" s="220" t="str">
        <f>IF('Design Fee'!CX83&gt;0,"✔","-")</f>
        <v>-</v>
      </c>
      <c r="BC81" s="199"/>
      <c r="BD81" s="198" t="str">
        <f>IF('Design Fee'!CZ83&gt;0,"✔","-")</f>
        <v>-</v>
      </c>
      <c r="BE81" s="198" t="str">
        <f>IF('Design Fee'!DA83&gt;0,"✔","-")</f>
        <v>-</v>
      </c>
      <c r="BF81" s="198" t="str">
        <f>IF('Design Fee'!DB83&gt;0,"✔","-")</f>
        <v>-</v>
      </c>
      <c r="BG81" s="198" t="str">
        <f>IF('Design Fee'!DC83&gt;0,"✔","-")</f>
        <v>-</v>
      </c>
      <c r="BH81" s="198" t="str">
        <f>IF('Design Fee'!DD83&gt;0,"✔","-")</f>
        <v>-</v>
      </c>
      <c r="BI81" s="199"/>
      <c r="BJ81" s="195"/>
      <c r="BK81" s="196"/>
      <c r="BL81" s="197" t="str">
        <f>IF('Design Fee'!EA83&gt;0,"✔","-")</f>
        <v>-</v>
      </c>
      <c r="BM81" s="197" t="str">
        <f>IF('Design Fee'!EB83&gt;0,"✔","-")</f>
        <v>-</v>
      </c>
      <c r="BN81" s="206" t="str">
        <f>IF('Design Fee'!EC83&gt;0,"✔","-")</f>
        <v>-</v>
      </c>
      <c r="BO81" s="206" t="str">
        <f>IF('Design Fee'!ED83&gt;0,"✔","-")</f>
        <v>-</v>
      </c>
      <c r="BP81" s="206" t="str">
        <f>IF('Design Fee'!EE83&gt;0,"✔","-")</f>
        <v>-</v>
      </c>
      <c r="BQ81" s="206" t="str">
        <f>IF('Design Fee'!EF83&gt;0,"✔","-")</f>
        <v>-</v>
      </c>
      <c r="BR81" s="206" t="str">
        <f>IF('Design Fee'!EG83&gt;0,"✔","-")</f>
        <v>-</v>
      </c>
      <c r="BS81" s="220" t="str">
        <f>IF('Design Fee'!EH83&gt;0,"✔","-")</f>
        <v>-</v>
      </c>
      <c r="BT81" s="137"/>
      <c r="BU81" s="198" t="str">
        <f>IF('Design Fee'!EJ83&gt;0,"✔","-")</f>
        <v>-</v>
      </c>
      <c r="BV81" s="198" t="str">
        <f>IF('Design Fee'!EK83&gt;0,"✔","-")</f>
        <v>-</v>
      </c>
      <c r="BW81" s="198" t="str">
        <f>IF('Design Fee'!EL83&gt;0,"✔","-")</f>
        <v>-</v>
      </c>
      <c r="BX81" s="198" t="str">
        <f>IF('Design Fee'!EM83&gt;0,"✔","-")</f>
        <v>-</v>
      </c>
      <c r="BY81" s="198" t="str">
        <f>IF('Design Fee'!EN83&gt;0,"✔","-")</f>
        <v>-</v>
      </c>
      <c r="BZ81" s="137"/>
    </row>
    <row r="82" spans="2:78" ht="12.75" outlineLevel="2">
      <c r="B82" s="235" t="s">
        <v>94</v>
      </c>
      <c r="C82" s="223">
        <v>9</v>
      </c>
      <c r="D82" s="219" t="s">
        <v>71</v>
      </c>
      <c r="E82" s="137"/>
      <c r="F82" s="197">
        <f t="shared" si="142"/>
        <v>2</v>
      </c>
      <c r="G82" s="198">
        <f t="shared" si="143"/>
        <v>2</v>
      </c>
      <c r="H82" s="198">
        <f t="shared" si="143"/>
        <v>2</v>
      </c>
      <c r="I82" s="198">
        <f t="shared" si="144"/>
        <v>0</v>
      </c>
      <c r="J82" s="221"/>
      <c r="K82" s="195"/>
      <c r="L82" s="196"/>
      <c r="M82" s="197" t="str">
        <f>IF('Design Fee'!W84&gt;0,"✔","-")</f>
        <v>✔</v>
      </c>
      <c r="N82" s="197" t="str">
        <f>IF('Design Fee'!X84&gt;0,"✔","-")</f>
        <v>✔</v>
      </c>
      <c r="O82" s="206" t="str">
        <f>IF('Design Fee'!Y84&gt;0,"✔","-")</f>
        <v>✔</v>
      </c>
      <c r="P82" s="206" t="str">
        <f>IF('Design Fee'!Z84&gt;0,"✔","-")</f>
        <v>-</v>
      </c>
      <c r="Q82" s="206" t="str">
        <f>IF('Design Fee'!AA84&gt;0,"✔","-")</f>
        <v>-</v>
      </c>
      <c r="R82" s="206" t="str">
        <f>IF('Design Fee'!AB84&gt;0,"✔","-")</f>
        <v>-</v>
      </c>
      <c r="S82" s="206" t="str">
        <f>IF('Design Fee'!AC84&gt;0,"✔","-")</f>
        <v>-</v>
      </c>
      <c r="T82" s="220" t="str">
        <f>IF('Design Fee'!AD84&gt;0,"✔","-")</f>
        <v>-</v>
      </c>
      <c r="U82" s="221"/>
      <c r="V82" s="198" t="str">
        <f>IF('Design Fee'!AF84&gt;0,"✔","-")</f>
        <v>-</v>
      </c>
      <c r="W82" s="198" t="str">
        <f>IF('Design Fee'!AG84&gt;0,"✔","-")</f>
        <v>-</v>
      </c>
      <c r="X82" s="198" t="str">
        <f>IF('Design Fee'!AH84&gt;0,"✔","-")</f>
        <v>-</v>
      </c>
      <c r="Y82" s="198" t="str">
        <f>IF('Design Fee'!AI84&gt;0,"✔","-")</f>
        <v>-</v>
      </c>
      <c r="Z82" s="198" t="str">
        <f>IF('Design Fee'!AJ84&gt;0,"✔","-")</f>
        <v>-</v>
      </c>
      <c r="AA82" s="221"/>
      <c r="AB82" s="195"/>
      <c r="AC82" s="196"/>
      <c r="AD82" s="197" t="str">
        <f>IF('Design Fee'!BG84&gt;0,"✔","-")</f>
        <v>-</v>
      </c>
      <c r="AE82" s="197" t="str">
        <f>IF('Design Fee'!BH84&gt;0,"✔","-")</f>
        <v>-</v>
      </c>
      <c r="AF82" s="206" t="str">
        <f>IF('Design Fee'!BI84&gt;0,"✔","-")</f>
        <v>-</v>
      </c>
      <c r="AG82" s="206" t="str">
        <f>IF('Design Fee'!BJ84&gt;0,"✔","-")</f>
        <v>-</v>
      </c>
      <c r="AH82" s="206" t="str">
        <f>IF('Design Fee'!BK84&gt;0,"✔","-")</f>
        <v>-</v>
      </c>
      <c r="AI82" s="206" t="str">
        <f>IF('Design Fee'!BL84&gt;0,"✔","-")</f>
        <v>-</v>
      </c>
      <c r="AJ82" s="206" t="str">
        <f>IF('Design Fee'!BM84&gt;0,"✔","-")</f>
        <v>-</v>
      </c>
      <c r="AK82" s="220" t="str">
        <f>IF('Design Fee'!BN84&gt;0,"✔","-")</f>
        <v>-</v>
      </c>
      <c r="AL82" s="199"/>
      <c r="AM82" s="198" t="str">
        <f>IF('Design Fee'!BP84&gt;0,"✔","-")</f>
        <v>-</v>
      </c>
      <c r="AN82" s="198" t="str">
        <f>IF('Design Fee'!BQ84&gt;0,"✔","-")</f>
        <v>-</v>
      </c>
      <c r="AO82" s="198" t="str">
        <f>IF('Design Fee'!BR84&gt;0,"✔","-")</f>
        <v>-</v>
      </c>
      <c r="AP82" s="198" t="str">
        <f>IF('Design Fee'!BS84&gt;0,"✔","-")</f>
        <v>-</v>
      </c>
      <c r="AQ82" s="198" t="str">
        <f>IF('Design Fee'!BT84&gt;0,"✔","-")</f>
        <v>-</v>
      </c>
      <c r="AR82" s="199"/>
      <c r="AS82" s="195"/>
      <c r="AT82" s="196"/>
      <c r="AU82" s="197" t="str">
        <f>IF('Design Fee'!CQ84&gt;0,"✔","-")</f>
        <v>-</v>
      </c>
      <c r="AV82" s="197" t="str">
        <f>IF('Design Fee'!CR84&gt;0,"✔","-")</f>
        <v>-</v>
      </c>
      <c r="AW82" s="206" t="str">
        <f>IF('Design Fee'!CS84&gt;0,"✔","-")</f>
        <v>-</v>
      </c>
      <c r="AX82" s="206" t="str">
        <f>IF('Design Fee'!CT84&gt;0,"✔","-")</f>
        <v>-</v>
      </c>
      <c r="AY82" s="206" t="str">
        <f>IF('Design Fee'!CU84&gt;0,"✔","-")</f>
        <v>-</v>
      </c>
      <c r="AZ82" s="206" t="str">
        <f>IF('Design Fee'!CV84&gt;0,"✔","-")</f>
        <v>-</v>
      </c>
      <c r="BA82" s="206" t="str">
        <f>IF('Design Fee'!CW84&gt;0,"✔","-")</f>
        <v>-</v>
      </c>
      <c r="BB82" s="220" t="str">
        <f>IF('Design Fee'!CX84&gt;0,"✔","-")</f>
        <v>-</v>
      </c>
      <c r="BC82" s="199"/>
      <c r="BD82" s="198" t="str">
        <f>IF('Design Fee'!CZ84&gt;0,"✔","-")</f>
        <v>-</v>
      </c>
      <c r="BE82" s="198" t="str">
        <f>IF('Design Fee'!DA84&gt;0,"✔","-")</f>
        <v>-</v>
      </c>
      <c r="BF82" s="198" t="str">
        <f>IF('Design Fee'!DB84&gt;0,"✔","-")</f>
        <v>-</v>
      </c>
      <c r="BG82" s="198" t="str">
        <f>IF('Design Fee'!DC84&gt;0,"✔","-")</f>
        <v>-</v>
      </c>
      <c r="BH82" s="198" t="str">
        <f>IF('Design Fee'!DD84&gt;0,"✔","-")</f>
        <v>-</v>
      </c>
      <c r="BI82" s="199"/>
      <c r="BJ82" s="195"/>
      <c r="BK82" s="196"/>
      <c r="BL82" s="197" t="str">
        <f>IF('Design Fee'!EA84&gt;0,"✔","-")</f>
        <v>✔</v>
      </c>
      <c r="BM82" s="197" t="str">
        <f>IF('Design Fee'!EB84&gt;0,"✔","-")</f>
        <v>✔</v>
      </c>
      <c r="BN82" s="206" t="str">
        <f>IF('Design Fee'!EC84&gt;0,"✔","-")</f>
        <v>✔</v>
      </c>
      <c r="BO82" s="206" t="str">
        <f>IF('Design Fee'!ED84&gt;0,"✔","-")</f>
        <v>-</v>
      </c>
      <c r="BP82" s="206" t="str">
        <f>IF('Design Fee'!EE84&gt;0,"✔","-")</f>
        <v>-</v>
      </c>
      <c r="BQ82" s="206" t="str">
        <f>IF('Design Fee'!EF84&gt;0,"✔","-")</f>
        <v>-</v>
      </c>
      <c r="BR82" s="206" t="str">
        <f>IF('Design Fee'!EG84&gt;0,"✔","-")</f>
        <v>-</v>
      </c>
      <c r="BS82" s="220" t="str">
        <f>IF('Design Fee'!EH84&gt;0,"✔","-")</f>
        <v>-</v>
      </c>
      <c r="BT82" s="137"/>
      <c r="BU82" s="198" t="str">
        <f>IF('Design Fee'!EJ84&gt;0,"✔","-")</f>
        <v>-</v>
      </c>
      <c r="BV82" s="198" t="str">
        <f>IF('Design Fee'!EK84&gt;0,"✔","-")</f>
        <v>-</v>
      </c>
      <c r="BW82" s="198" t="str">
        <f>IF('Design Fee'!EL84&gt;0,"✔","-")</f>
        <v>-</v>
      </c>
      <c r="BX82" s="198" t="str">
        <f>IF('Design Fee'!EM84&gt;0,"✔","-")</f>
        <v>-</v>
      </c>
      <c r="BY82" s="198" t="str">
        <f>IF('Design Fee'!EN84&gt;0,"✔","-")</f>
        <v>-</v>
      </c>
      <c r="BZ82" s="137"/>
    </row>
    <row r="83" spans="2:78" ht="3" customHeight="1" outlineLevel="1">
      <c r="B83" s="231"/>
      <c r="C83" s="232"/>
      <c r="D83" s="219"/>
      <c r="E83" s="137"/>
      <c r="F83" s="162"/>
      <c r="G83" s="175"/>
      <c r="H83" s="175"/>
      <c r="I83" s="175"/>
      <c r="J83" s="221"/>
      <c r="K83" s="195"/>
      <c r="L83" s="196"/>
      <c r="M83" s="197"/>
      <c r="N83" s="197"/>
      <c r="O83" s="198"/>
      <c r="P83" s="198"/>
      <c r="Q83" s="198"/>
      <c r="R83" s="198"/>
      <c r="S83" s="198"/>
      <c r="T83" s="198"/>
      <c r="U83" s="221"/>
      <c r="V83" s="198"/>
      <c r="W83" s="198"/>
      <c r="X83" s="198"/>
      <c r="Y83" s="198"/>
      <c r="Z83" s="198"/>
      <c r="AA83" s="221"/>
      <c r="AB83" s="195"/>
      <c r="AC83" s="196"/>
      <c r="AD83" s="197"/>
      <c r="AE83" s="197"/>
      <c r="AF83" s="175"/>
      <c r="AG83" s="175"/>
      <c r="AH83" s="175"/>
      <c r="AI83" s="175"/>
      <c r="AJ83" s="175"/>
      <c r="AK83" s="175"/>
      <c r="AL83" s="175"/>
      <c r="AM83" s="175"/>
      <c r="AN83" s="175"/>
      <c r="AO83" s="175"/>
      <c r="AP83" s="175"/>
      <c r="AQ83" s="175"/>
      <c r="AR83" s="175"/>
      <c r="AS83" s="195"/>
      <c r="AT83" s="175"/>
      <c r="AU83" s="197"/>
      <c r="AV83" s="197"/>
      <c r="AW83" s="175"/>
      <c r="AX83" s="175"/>
      <c r="AY83" s="175"/>
      <c r="AZ83" s="175"/>
      <c r="BA83" s="175"/>
      <c r="BB83" s="175"/>
      <c r="BC83" s="175"/>
      <c r="BD83" s="175"/>
      <c r="BE83" s="175"/>
      <c r="BF83" s="175"/>
      <c r="BG83" s="175"/>
      <c r="BH83" s="175"/>
      <c r="BI83" s="175"/>
      <c r="BJ83" s="195"/>
      <c r="BK83" s="175"/>
      <c r="BL83" s="197"/>
      <c r="BM83" s="197"/>
      <c r="BN83" s="175"/>
      <c r="BO83" s="175"/>
      <c r="BP83" s="175"/>
      <c r="BQ83" s="175"/>
      <c r="BR83" s="175"/>
      <c r="BS83" s="175"/>
      <c r="BT83" s="137"/>
      <c r="BU83" s="175"/>
      <c r="BV83" s="175"/>
      <c r="BW83" s="175"/>
      <c r="BX83" s="175"/>
      <c r="BY83" s="175"/>
      <c r="BZ83" s="137"/>
    </row>
    <row r="84" spans="2:78" ht="12.75" outlineLevel="1">
      <c r="B84" s="186">
        <v>7</v>
      </c>
      <c r="C84" s="213">
        <v>4</v>
      </c>
      <c r="D84" s="214" t="s">
        <v>95</v>
      </c>
      <c r="E84" s="188"/>
      <c r="F84" s="215">
        <f>M84+AD84+AU84+BL84</f>
        <v>21</v>
      </c>
      <c r="G84" s="215">
        <f t="shared" ref="G84:I84" si="145">N84+AE84+AV84+BM84</f>
        <v>21</v>
      </c>
      <c r="H84" s="215">
        <f t="shared" si="145"/>
        <v>21</v>
      </c>
      <c r="I84" s="215">
        <f t="shared" si="145"/>
        <v>0</v>
      </c>
      <c r="J84" s="192">
        <f t="shared" ref="J84" si="146">COUNT(J85:J94)</f>
        <v>0</v>
      </c>
      <c r="K84" s="189"/>
      <c r="L84" s="189"/>
      <c r="M84" s="215">
        <f>COUNTIF(M85:M94,"✔")</f>
        <v>10</v>
      </c>
      <c r="N84" s="215">
        <f t="shared" ref="N84" si="147">COUNTIF(N85:N94,"✔")</f>
        <v>10</v>
      </c>
      <c r="O84" s="215">
        <f t="shared" ref="O84" si="148">COUNTIF(O85:O94,"✔")</f>
        <v>10</v>
      </c>
      <c r="P84" s="215">
        <f t="shared" ref="P84" si="149">COUNTIF(P85:P94,"✔")</f>
        <v>0</v>
      </c>
      <c r="Q84" s="215">
        <f t="shared" ref="Q84" si="150">COUNTIF(Q85:Q94,"✔")</f>
        <v>0</v>
      </c>
      <c r="R84" s="215">
        <f t="shared" ref="R84" si="151">COUNTIF(R85:R94,"✔")</f>
        <v>0</v>
      </c>
      <c r="S84" s="215">
        <f t="shared" ref="S84" si="152">COUNTIF(S85:S94,"✔")</f>
        <v>0</v>
      </c>
      <c r="T84" s="215">
        <f t="shared" ref="T84" si="153">COUNTIF(T85:T94,"✔")</f>
        <v>0</v>
      </c>
      <c r="U84" s="215">
        <f t="shared" ref="U84" si="154">COUNTIF(U85:U94,"✔")</f>
        <v>0</v>
      </c>
      <c r="V84" s="215">
        <f t="shared" ref="V84" si="155">COUNTIF(V85:V94,"✔")</f>
        <v>0</v>
      </c>
      <c r="W84" s="215">
        <f t="shared" ref="W84" si="156">COUNTIF(W85:W94,"✔")</f>
        <v>0</v>
      </c>
      <c r="X84" s="215">
        <f t="shared" ref="X84" si="157">COUNTIF(X85:X94,"✔")</f>
        <v>0</v>
      </c>
      <c r="Y84" s="215">
        <f t="shared" ref="Y84" si="158">COUNTIF(Y85:Y94,"✔")</f>
        <v>0</v>
      </c>
      <c r="Z84" s="215">
        <f t="shared" ref="Z84" si="159">COUNTIF(Z85:Z94,"✔")</f>
        <v>0</v>
      </c>
      <c r="AA84" s="215">
        <f t="shared" ref="AA84" si="160">COUNTIF(AA85:AA94,"✔")</f>
        <v>0</v>
      </c>
      <c r="AB84" s="189"/>
      <c r="AC84" s="215">
        <f t="shared" ref="AC84" si="161">COUNTIF(AC85:AC94,"✔")</f>
        <v>0</v>
      </c>
      <c r="AD84" s="215">
        <f t="shared" ref="AD84" si="162">COUNTIF(AD85:AD94,"✔")</f>
        <v>7</v>
      </c>
      <c r="AE84" s="215">
        <f t="shared" ref="AE84" si="163">COUNTIF(AE85:AE94,"✔")</f>
        <v>7</v>
      </c>
      <c r="AF84" s="215">
        <f t="shared" ref="AF84" si="164">COUNTIF(AF85:AF94,"✔")</f>
        <v>7</v>
      </c>
      <c r="AG84" s="215">
        <f t="shared" ref="AG84" si="165">COUNTIF(AG85:AG94,"✔")</f>
        <v>0</v>
      </c>
      <c r="AH84" s="215">
        <f t="shared" ref="AH84" si="166">COUNTIF(AH85:AH94,"✔")</f>
        <v>0</v>
      </c>
      <c r="AI84" s="215">
        <f t="shared" ref="AI84" si="167">COUNTIF(AI85:AI94,"✔")</f>
        <v>0</v>
      </c>
      <c r="AJ84" s="215">
        <f t="shared" ref="AJ84" si="168">COUNTIF(AJ85:AJ94,"✔")</f>
        <v>0</v>
      </c>
      <c r="AK84" s="215">
        <f t="shared" ref="AK84" si="169">COUNTIF(AK85:AK94,"✔")</f>
        <v>0</v>
      </c>
      <c r="AL84" s="215">
        <f t="shared" ref="AL84" si="170">COUNTIF(AL85:AL94,"✔")</f>
        <v>0</v>
      </c>
      <c r="AM84" s="215">
        <f t="shared" ref="AM84" si="171">COUNTIF(AM85:AM94,"✔")</f>
        <v>0</v>
      </c>
      <c r="AN84" s="215">
        <f t="shared" ref="AN84" si="172">COUNTIF(AN85:AN94,"✔")</f>
        <v>0</v>
      </c>
      <c r="AO84" s="215">
        <f t="shared" ref="AO84" si="173">COUNTIF(AO85:AO94,"✔")</f>
        <v>0</v>
      </c>
      <c r="AP84" s="215">
        <f t="shared" ref="AP84" si="174">COUNTIF(AP85:AP94,"✔")</f>
        <v>0</v>
      </c>
      <c r="AQ84" s="215">
        <f t="shared" ref="AQ84" si="175">COUNTIF(AQ85:AQ94,"✔")</f>
        <v>0</v>
      </c>
      <c r="AR84" s="215">
        <f t="shared" ref="AR84" si="176">COUNTIF(AR85:AR94,"✔")</f>
        <v>0</v>
      </c>
      <c r="AS84" s="189"/>
      <c r="AT84" s="215">
        <f t="shared" ref="AT84" si="177">COUNTIF(AT85:AT94,"✔")</f>
        <v>0</v>
      </c>
      <c r="AU84" s="215">
        <f t="shared" ref="AU84" si="178">COUNTIF(AU85:AU94,"✔")</f>
        <v>4</v>
      </c>
      <c r="AV84" s="215">
        <f t="shared" ref="AV84" si="179">COUNTIF(AV85:AV94,"✔")</f>
        <v>4</v>
      </c>
      <c r="AW84" s="215">
        <f t="shared" ref="AW84" si="180">COUNTIF(AW85:AW94,"✔")</f>
        <v>4</v>
      </c>
      <c r="AX84" s="215">
        <f t="shared" ref="AX84" si="181">COUNTIF(AX85:AX94,"✔")</f>
        <v>0</v>
      </c>
      <c r="AY84" s="215">
        <f t="shared" ref="AY84" si="182">COUNTIF(AY85:AY94,"✔")</f>
        <v>0</v>
      </c>
      <c r="AZ84" s="215">
        <f t="shared" ref="AZ84" si="183">COUNTIF(AZ85:AZ94,"✔")</f>
        <v>0</v>
      </c>
      <c r="BA84" s="215">
        <f t="shared" ref="BA84" si="184">COUNTIF(BA85:BA94,"✔")</f>
        <v>0</v>
      </c>
      <c r="BB84" s="215">
        <f t="shared" ref="BB84" si="185">COUNTIF(BB85:BB94,"✔")</f>
        <v>0</v>
      </c>
      <c r="BC84" s="215">
        <f t="shared" ref="BC84" si="186">COUNTIF(BC85:BC94,"✔")</f>
        <v>0</v>
      </c>
      <c r="BD84" s="215">
        <f t="shared" ref="BD84" si="187">COUNTIF(BD85:BD94,"✔")</f>
        <v>0</v>
      </c>
      <c r="BE84" s="215">
        <f t="shared" ref="BE84" si="188">COUNTIF(BE85:BE94,"✔")</f>
        <v>0</v>
      </c>
      <c r="BF84" s="215">
        <f t="shared" ref="BF84" si="189">COUNTIF(BF85:BF94,"✔")</f>
        <v>0</v>
      </c>
      <c r="BG84" s="215">
        <f t="shared" ref="BG84" si="190">COUNTIF(BG85:BG94,"✔")</f>
        <v>0</v>
      </c>
      <c r="BH84" s="215">
        <f t="shared" ref="BH84" si="191">COUNTIF(BH85:BH94,"✔")</f>
        <v>0</v>
      </c>
      <c r="BI84" s="215">
        <f t="shared" ref="BI84" si="192">COUNTIF(BI85:BI94,"✔")</f>
        <v>0</v>
      </c>
      <c r="BJ84" s="189"/>
      <c r="BK84" s="215">
        <f t="shared" ref="BK84" si="193">COUNTIF(BK85:BK94,"✔")</f>
        <v>0</v>
      </c>
      <c r="BL84" s="215">
        <f t="shared" ref="BL84" si="194">COUNTIF(BL85:BL94,"✔")</f>
        <v>0</v>
      </c>
      <c r="BM84" s="215">
        <f t="shared" ref="BM84" si="195">COUNTIF(BM85:BM94,"✔")</f>
        <v>0</v>
      </c>
      <c r="BN84" s="215">
        <f t="shared" ref="BN84" si="196">COUNTIF(BN85:BN94,"✔")</f>
        <v>0</v>
      </c>
      <c r="BO84" s="215">
        <f t="shared" ref="BO84" si="197">COUNTIF(BO85:BO94,"✔")</f>
        <v>0</v>
      </c>
      <c r="BP84" s="215">
        <f t="shared" ref="BP84" si="198">COUNTIF(BP85:BP94,"✔")</f>
        <v>0</v>
      </c>
      <c r="BQ84" s="215">
        <f t="shared" ref="BQ84" si="199">COUNTIF(BQ85:BQ94,"✔")</f>
        <v>0</v>
      </c>
      <c r="BR84" s="215">
        <f t="shared" ref="BR84" si="200">COUNTIF(BR85:BR94,"✔")</f>
        <v>0</v>
      </c>
      <c r="BS84" s="215">
        <f t="shared" ref="BS84" si="201">COUNTIF(BS85:BS94,"✔")</f>
        <v>0</v>
      </c>
      <c r="BT84" s="137"/>
      <c r="BU84" s="215">
        <f t="shared" ref="BU84" si="202">COUNTIF(BU85:BU94,"✔")</f>
        <v>0</v>
      </c>
      <c r="BV84" s="215">
        <f t="shared" ref="BV84" si="203">COUNTIF(BV85:BV94,"✔")</f>
        <v>0</v>
      </c>
      <c r="BW84" s="215">
        <f t="shared" ref="BW84" si="204">COUNTIF(BW85:BW94,"✔")</f>
        <v>0</v>
      </c>
      <c r="BX84" s="215">
        <f t="shared" ref="BX84" si="205">COUNTIF(BX85:BX94,"✔")</f>
        <v>0</v>
      </c>
      <c r="BY84" s="215">
        <f t="shared" ref="BY84" si="206">COUNTIF(BY85:BY94,"✔")</f>
        <v>0</v>
      </c>
      <c r="BZ84" s="137"/>
    </row>
    <row r="85" spans="2:78" ht="12.75" outlineLevel="2">
      <c r="B85" s="217" t="s">
        <v>96</v>
      </c>
      <c r="C85" s="218">
        <v>1</v>
      </c>
      <c r="D85" s="219" t="s">
        <v>52</v>
      </c>
      <c r="E85" s="137"/>
      <c r="F85" s="197">
        <f t="shared" ref="F85:F94" si="207">COUNTIF(M85,"✔")+COUNTIF(AD85,"✔")+COUNTIF(BL85,"✔")+COUNTIF(AU85,"✔")</f>
        <v>3</v>
      </c>
      <c r="G85" s="198">
        <f t="shared" ref="G85:H94" si="208">COUNTIF(N85,"✔")+COUNTIF(AE85,"✔")+COUNTIF(BM85,"✔")+COUNTIF(AV85,"✔")</f>
        <v>3</v>
      </c>
      <c r="H85" s="198">
        <f t="shared" si="208"/>
        <v>3</v>
      </c>
      <c r="I85" s="198">
        <f t="shared" ref="I85:I94" si="209">F85-G85</f>
        <v>0</v>
      </c>
      <c r="J85" s="184"/>
      <c r="K85" s="195"/>
      <c r="L85" s="196"/>
      <c r="M85" s="197" t="str">
        <f>IF('Design Fee'!W87&gt;0,"✔","-")</f>
        <v>✔</v>
      </c>
      <c r="N85" s="197" t="str">
        <f>IF('Design Fee'!X87&gt;0,"✔","-")</f>
        <v>✔</v>
      </c>
      <c r="O85" s="198" t="str">
        <f>IF('Design Fee'!Y87&gt;0,"✔","-")</f>
        <v>✔</v>
      </c>
      <c r="P85" s="198" t="str">
        <f>IF('Design Fee'!Z87&gt;0,"✔","-")</f>
        <v>-</v>
      </c>
      <c r="Q85" s="198" t="str">
        <f>IF('Design Fee'!AA87&gt;0,"✔","-")</f>
        <v>-</v>
      </c>
      <c r="R85" s="198" t="str">
        <f>IF('Design Fee'!AB87&gt;0,"✔","-")</f>
        <v>-</v>
      </c>
      <c r="S85" s="198" t="str">
        <f>IF('Design Fee'!AC87&gt;0,"✔","-")</f>
        <v>-</v>
      </c>
      <c r="T85" s="220" t="str">
        <f>IF('Design Fee'!AD87&gt;0,"✔","-")</f>
        <v>-</v>
      </c>
      <c r="U85" s="184"/>
      <c r="V85" s="198" t="str">
        <f>IF('Design Fee'!AF87&gt;0,"✔","-")</f>
        <v>-</v>
      </c>
      <c r="W85" s="198" t="str">
        <f>IF('Design Fee'!AG87&gt;0,"✔","-")</f>
        <v>-</v>
      </c>
      <c r="X85" s="198" t="str">
        <f>IF('Design Fee'!AH87&gt;0,"✔","-")</f>
        <v>-</v>
      </c>
      <c r="Y85" s="198" t="str">
        <f>IF('Design Fee'!AI87&gt;0,"✔","-")</f>
        <v>-</v>
      </c>
      <c r="Z85" s="198" t="str">
        <f>IF('Design Fee'!AJ87&gt;0,"✔","-")</f>
        <v>-</v>
      </c>
      <c r="AA85" s="184"/>
      <c r="AB85" s="195"/>
      <c r="AC85" s="196"/>
      <c r="AD85" s="197" t="str">
        <f>IF('Design Fee'!BG87&gt;0,"✔","-")</f>
        <v>✔</v>
      </c>
      <c r="AE85" s="197" t="str">
        <f>IF('Design Fee'!BH87&gt;0,"✔","-")</f>
        <v>✔</v>
      </c>
      <c r="AF85" s="198" t="str">
        <f>IF('Design Fee'!BI87&gt;0,"✔","-")</f>
        <v>✔</v>
      </c>
      <c r="AG85" s="198" t="str">
        <f>IF('Design Fee'!BJ87&gt;0,"✔","-")</f>
        <v>-</v>
      </c>
      <c r="AH85" s="198" t="str">
        <f>IF('Design Fee'!BK87&gt;0,"✔","-")</f>
        <v>-</v>
      </c>
      <c r="AI85" s="198" t="str">
        <f>IF('Design Fee'!BL87&gt;0,"✔","-")</f>
        <v>-</v>
      </c>
      <c r="AJ85" s="198" t="str">
        <f>IF('Design Fee'!BM87&gt;0,"✔","-")</f>
        <v>-</v>
      </c>
      <c r="AK85" s="220" t="str">
        <f>IF('Design Fee'!BN87&gt;0,"✔","-")</f>
        <v>-</v>
      </c>
      <c r="AL85" s="199"/>
      <c r="AM85" s="198" t="str">
        <f>IF('Design Fee'!BP87&gt;0,"✔","-")</f>
        <v>-</v>
      </c>
      <c r="AN85" s="198" t="str">
        <f>IF('Design Fee'!BQ87&gt;0,"✔","-")</f>
        <v>-</v>
      </c>
      <c r="AO85" s="198" t="str">
        <f>IF('Design Fee'!BR87&gt;0,"✔","-")</f>
        <v>-</v>
      </c>
      <c r="AP85" s="198" t="str">
        <f>IF('Design Fee'!BS87&gt;0,"✔","-")</f>
        <v>-</v>
      </c>
      <c r="AQ85" s="198" t="str">
        <f>IF('Design Fee'!BT87&gt;0,"✔","-")</f>
        <v>-</v>
      </c>
      <c r="AR85" s="199"/>
      <c r="AS85" s="195"/>
      <c r="AT85" s="196"/>
      <c r="AU85" s="197" t="str">
        <f>IF('Design Fee'!CQ87&gt;0,"✔","-")</f>
        <v>✔</v>
      </c>
      <c r="AV85" s="197" t="str">
        <f>IF('Design Fee'!CR87&gt;0,"✔","-")</f>
        <v>✔</v>
      </c>
      <c r="AW85" s="198" t="str">
        <f>IF('Design Fee'!CS87&gt;0,"✔","-")</f>
        <v>✔</v>
      </c>
      <c r="AX85" s="198" t="str">
        <f>IF('Design Fee'!CT87&gt;0,"✔","-")</f>
        <v>-</v>
      </c>
      <c r="AY85" s="198" t="str">
        <f>IF('Design Fee'!CU87&gt;0,"✔","-")</f>
        <v>-</v>
      </c>
      <c r="AZ85" s="198" t="str">
        <f>IF('Design Fee'!CV87&gt;0,"✔","-")</f>
        <v>-</v>
      </c>
      <c r="BA85" s="198" t="str">
        <f>IF('Design Fee'!CW87&gt;0,"✔","-")</f>
        <v>-</v>
      </c>
      <c r="BB85" s="220" t="str">
        <f>IF('Design Fee'!CX87&gt;0,"✔","-")</f>
        <v>-</v>
      </c>
      <c r="BC85" s="199"/>
      <c r="BD85" s="198" t="str">
        <f>IF('Design Fee'!CZ87&gt;0,"✔","-")</f>
        <v>-</v>
      </c>
      <c r="BE85" s="198" t="str">
        <f>IF('Design Fee'!DA87&gt;0,"✔","-")</f>
        <v>-</v>
      </c>
      <c r="BF85" s="198" t="str">
        <f>IF('Design Fee'!DB87&gt;0,"✔","-")</f>
        <v>-</v>
      </c>
      <c r="BG85" s="198" t="str">
        <f>IF('Design Fee'!DC87&gt;0,"✔","-")</f>
        <v>-</v>
      </c>
      <c r="BH85" s="198" t="str">
        <f>IF('Design Fee'!DD87&gt;0,"✔","-")</f>
        <v>-</v>
      </c>
      <c r="BI85" s="199"/>
      <c r="BJ85" s="195"/>
      <c r="BK85" s="196"/>
      <c r="BL85" s="197" t="str">
        <f>IF('Design Fee'!EA87&gt;0,"✔","-")</f>
        <v>-</v>
      </c>
      <c r="BM85" s="197" t="str">
        <f>IF('Design Fee'!EB87&gt;0,"✔","-")</f>
        <v>-</v>
      </c>
      <c r="BN85" s="198" t="str">
        <f>IF('Design Fee'!EC87&gt;0,"✔","-")</f>
        <v>-</v>
      </c>
      <c r="BO85" s="198" t="str">
        <f>IF('Design Fee'!ED87&gt;0,"✔","-")</f>
        <v>-</v>
      </c>
      <c r="BP85" s="198" t="str">
        <f>IF('Design Fee'!EE87&gt;0,"✔","-")</f>
        <v>-</v>
      </c>
      <c r="BQ85" s="198" t="str">
        <f>IF('Design Fee'!EF87&gt;0,"✔","-")</f>
        <v>-</v>
      </c>
      <c r="BR85" s="198" t="str">
        <f>IF('Design Fee'!EG87&gt;0,"✔","-")</f>
        <v>-</v>
      </c>
      <c r="BS85" s="220" t="str">
        <f>IF('Design Fee'!EH87&gt;0,"✔","-")</f>
        <v>-</v>
      </c>
      <c r="BT85" s="137"/>
      <c r="BU85" s="198" t="str">
        <f>IF('Design Fee'!EJ87&gt;0,"✔","-")</f>
        <v>-</v>
      </c>
      <c r="BV85" s="198" t="str">
        <f>IF('Design Fee'!EK87&gt;0,"✔","-")</f>
        <v>-</v>
      </c>
      <c r="BW85" s="198" t="str">
        <f>IF('Design Fee'!EL87&gt;0,"✔","-")</f>
        <v>-</v>
      </c>
      <c r="BX85" s="198" t="str">
        <f>IF('Design Fee'!EM87&gt;0,"✔","-")</f>
        <v>-</v>
      </c>
      <c r="BY85" s="198" t="str">
        <f>IF('Design Fee'!EN87&gt;0,"✔","-")</f>
        <v>-</v>
      </c>
      <c r="BZ85" s="137"/>
    </row>
    <row r="86" spans="2:78" ht="12.75" outlineLevel="2">
      <c r="B86" s="217" t="s">
        <v>97</v>
      </c>
      <c r="C86" s="218">
        <v>2</v>
      </c>
      <c r="D86" s="219" t="s">
        <v>54</v>
      </c>
      <c r="E86" s="137"/>
      <c r="F86" s="197">
        <f t="shared" si="207"/>
        <v>2</v>
      </c>
      <c r="G86" s="198">
        <f t="shared" si="208"/>
        <v>2</v>
      </c>
      <c r="H86" s="198">
        <f t="shared" si="208"/>
        <v>2</v>
      </c>
      <c r="I86" s="198">
        <f t="shared" si="209"/>
        <v>0</v>
      </c>
      <c r="J86" s="221"/>
      <c r="K86" s="195"/>
      <c r="L86" s="196"/>
      <c r="M86" s="197" t="str">
        <f>IF('Design Fee'!W88&gt;0,"✔","-")</f>
        <v>✔</v>
      </c>
      <c r="N86" s="197" t="str">
        <f>IF('Design Fee'!X88&gt;0,"✔","-")</f>
        <v>✔</v>
      </c>
      <c r="O86" s="198" t="str">
        <f>IF('Design Fee'!Y88&gt;0,"✔","-")</f>
        <v>✔</v>
      </c>
      <c r="P86" s="198" t="str">
        <f>IF('Design Fee'!Z88&gt;0,"✔","-")</f>
        <v>-</v>
      </c>
      <c r="Q86" s="198" t="str">
        <f>IF('Design Fee'!AA88&gt;0,"✔","-")</f>
        <v>-</v>
      </c>
      <c r="R86" s="198" t="str">
        <f>IF('Design Fee'!AB88&gt;0,"✔","-")</f>
        <v>-</v>
      </c>
      <c r="S86" s="198" t="str">
        <f>IF('Design Fee'!AC88&gt;0,"✔","-")</f>
        <v>-</v>
      </c>
      <c r="T86" s="220" t="str">
        <f>IF('Design Fee'!AD88&gt;0,"✔","-")</f>
        <v>-</v>
      </c>
      <c r="U86" s="221"/>
      <c r="V86" s="198" t="str">
        <f>IF('Design Fee'!AF88&gt;0,"✔","-")</f>
        <v>-</v>
      </c>
      <c r="W86" s="198" t="str">
        <f>IF('Design Fee'!AG88&gt;0,"✔","-")</f>
        <v>-</v>
      </c>
      <c r="X86" s="198" t="str">
        <f>IF('Design Fee'!AH88&gt;0,"✔","-")</f>
        <v>-</v>
      </c>
      <c r="Y86" s="198" t="str">
        <f>IF('Design Fee'!AI88&gt;0,"✔","-")</f>
        <v>-</v>
      </c>
      <c r="Z86" s="198" t="str">
        <f>IF('Design Fee'!AJ88&gt;0,"✔","-")</f>
        <v>-</v>
      </c>
      <c r="AA86" s="221"/>
      <c r="AB86" s="195"/>
      <c r="AC86" s="196"/>
      <c r="AD86" s="197" t="str">
        <f>IF('Design Fee'!BG88&gt;0,"✔","-")</f>
        <v>✔</v>
      </c>
      <c r="AE86" s="197" t="str">
        <f>IF('Design Fee'!BH88&gt;0,"✔","-")</f>
        <v>✔</v>
      </c>
      <c r="AF86" s="198" t="str">
        <f>IF('Design Fee'!BI88&gt;0,"✔","-")</f>
        <v>✔</v>
      </c>
      <c r="AG86" s="198" t="str">
        <f>IF('Design Fee'!BJ88&gt;0,"✔","-")</f>
        <v>-</v>
      </c>
      <c r="AH86" s="198" t="str">
        <f>IF('Design Fee'!BK88&gt;0,"✔","-")</f>
        <v>-</v>
      </c>
      <c r="AI86" s="198" t="str">
        <f>IF('Design Fee'!BL88&gt;0,"✔","-")</f>
        <v>-</v>
      </c>
      <c r="AJ86" s="198" t="str">
        <f>IF('Design Fee'!BM88&gt;0,"✔","-")</f>
        <v>-</v>
      </c>
      <c r="AK86" s="220" t="str">
        <f>IF('Design Fee'!BN88&gt;0,"✔","-")</f>
        <v>-</v>
      </c>
      <c r="AL86" s="199"/>
      <c r="AM86" s="198" t="str">
        <f>IF('Design Fee'!BP88&gt;0,"✔","-")</f>
        <v>-</v>
      </c>
      <c r="AN86" s="198" t="str">
        <f>IF('Design Fee'!BQ88&gt;0,"✔","-")</f>
        <v>-</v>
      </c>
      <c r="AO86" s="198" t="str">
        <f>IF('Design Fee'!BR88&gt;0,"✔","-")</f>
        <v>-</v>
      </c>
      <c r="AP86" s="198" t="str">
        <f>IF('Design Fee'!BS88&gt;0,"✔","-")</f>
        <v>-</v>
      </c>
      <c r="AQ86" s="198" t="str">
        <f>IF('Design Fee'!BT88&gt;0,"✔","-")</f>
        <v>-</v>
      </c>
      <c r="AR86" s="199"/>
      <c r="AS86" s="195"/>
      <c r="AT86" s="196"/>
      <c r="AU86" s="197" t="str">
        <f>IF('Design Fee'!CQ88&gt;0,"✔","-")</f>
        <v>-</v>
      </c>
      <c r="AV86" s="197" t="str">
        <f>IF('Design Fee'!CR88&gt;0,"✔","-")</f>
        <v>-</v>
      </c>
      <c r="AW86" s="198" t="str">
        <f>IF('Design Fee'!CS88&gt;0,"✔","-")</f>
        <v>-</v>
      </c>
      <c r="AX86" s="198" t="str">
        <f>IF('Design Fee'!CT88&gt;0,"✔","-")</f>
        <v>-</v>
      </c>
      <c r="AY86" s="198" t="str">
        <f>IF('Design Fee'!CU88&gt;0,"✔","-")</f>
        <v>-</v>
      </c>
      <c r="AZ86" s="198" t="str">
        <f>IF('Design Fee'!CV88&gt;0,"✔","-")</f>
        <v>-</v>
      </c>
      <c r="BA86" s="198" t="str">
        <f>IF('Design Fee'!CW88&gt;0,"✔","-")</f>
        <v>-</v>
      </c>
      <c r="BB86" s="220" t="str">
        <f>IF('Design Fee'!CX88&gt;0,"✔","-")</f>
        <v>-</v>
      </c>
      <c r="BC86" s="199"/>
      <c r="BD86" s="198" t="str">
        <f>IF('Design Fee'!CZ88&gt;0,"✔","-")</f>
        <v>-</v>
      </c>
      <c r="BE86" s="198" t="str">
        <f>IF('Design Fee'!DA88&gt;0,"✔","-")</f>
        <v>-</v>
      </c>
      <c r="BF86" s="198" t="str">
        <f>IF('Design Fee'!DB88&gt;0,"✔","-")</f>
        <v>-</v>
      </c>
      <c r="BG86" s="198" t="str">
        <f>IF('Design Fee'!DC88&gt;0,"✔","-")</f>
        <v>-</v>
      </c>
      <c r="BH86" s="198" t="str">
        <f>IF('Design Fee'!DD88&gt;0,"✔","-")</f>
        <v>-</v>
      </c>
      <c r="BI86" s="199"/>
      <c r="BJ86" s="195"/>
      <c r="BK86" s="196"/>
      <c r="BL86" s="197" t="str">
        <f>IF('Design Fee'!EA88&gt;0,"✔","-")</f>
        <v>-</v>
      </c>
      <c r="BM86" s="197" t="str">
        <f>IF('Design Fee'!EB88&gt;0,"✔","-")</f>
        <v>-</v>
      </c>
      <c r="BN86" s="198" t="str">
        <f>IF('Design Fee'!EC88&gt;0,"✔","-")</f>
        <v>-</v>
      </c>
      <c r="BO86" s="198" t="str">
        <f>IF('Design Fee'!ED88&gt;0,"✔","-")</f>
        <v>-</v>
      </c>
      <c r="BP86" s="198" t="str">
        <f>IF('Design Fee'!EE88&gt;0,"✔","-")</f>
        <v>-</v>
      </c>
      <c r="BQ86" s="198" t="str">
        <f>IF('Design Fee'!EF88&gt;0,"✔","-")</f>
        <v>-</v>
      </c>
      <c r="BR86" s="198" t="str">
        <f>IF('Design Fee'!EG88&gt;0,"✔","-")</f>
        <v>-</v>
      </c>
      <c r="BS86" s="220" t="str">
        <f>IF('Design Fee'!EH88&gt;0,"✔","-")</f>
        <v>-</v>
      </c>
      <c r="BT86" s="137"/>
      <c r="BU86" s="198" t="str">
        <f>IF('Design Fee'!EJ88&gt;0,"✔","-")</f>
        <v>-</v>
      </c>
      <c r="BV86" s="198" t="str">
        <f>IF('Design Fee'!EK88&gt;0,"✔","-")</f>
        <v>-</v>
      </c>
      <c r="BW86" s="198" t="str">
        <f>IF('Design Fee'!EL88&gt;0,"✔","-")</f>
        <v>-</v>
      </c>
      <c r="BX86" s="198" t="str">
        <f>IF('Design Fee'!EM88&gt;0,"✔","-")</f>
        <v>-</v>
      </c>
      <c r="BY86" s="198" t="str">
        <f>IF('Design Fee'!EN88&gt;0,"✔","-")</f>
        <v>-</v>
      </c>
      <c r="BZ86" s="137"/>
    </row>
    <row r="87" spans="2:78" ht="12.75" outlineLevel="2">
      <c r="B87" s="217" t="s">
        <v>98</v>
      </c>
      <c r="C87" s="218">
        <v>3</v>
      </c>
      <c r="D87" s="219" t="s">
        <v>56</v>
      </c>
      <c r="E87" s="137"/>
      <c r="F87" s="197">
        <f t="shared" si="207"/>
        <v>1</v>
      </c>
      <c r="G87" s="198">
        <f t="shared" si="208"/>
        <v>1</v>
      </c>
      <c r="H87" s="198">
        <f t="shared" si="208"/>
        <v>1</v>
      </c>
      <c r="I87" s="198">
        <f t="shared" si="209"/>
        <v>0</v>
      </c>
      <c r="J87" s="221"/>
      <c r="K87" s="195"/>
      <c r="L87" s="196"/>
      <c r="M87" s="197" t="str">
        <f>IF('Design Fee'!W89&gt;0,"✔","-")</f>
        <v>✔</v>
      </c>
      <c r="N87" s="197" t="str">
        <f>IF('Design Fee'!X89&gt;0,"✔","-")</f>
        <v>✔</v>
      </c>
      <c r="O87" s="198" t="str">
        <f>IF('Design Fee'!Y89&gt;0,"✔","-")</f>
        <v>✔</v>
      </c>
      <c r="P87" s="198" t="str">
        <f>IF('Design Fee'!Z89&gt;0,"✔","-")</f>
        <v>-</v>
      </c>
      <c r="Q87" s="198" t="str">
        <f>IF('Design Fee'!AA89&gt;0,"✔","-")</f>
        <v>-</v>
      </c>
      <c r="R87" s="198" t="str">
        <f>IF('Design Fee'!AB89&gt;0,"✔","-")</f>
        <v>-</v>
      </c>
      <c r="S87" s="198" t="str">
        <f>IF('Design Fee'!AC89&gt;0,"✔","-")</f>
        <v>-</v>
      </c>
      <c r="T87" s="220" t="str">
        <f>IF('Design Fee'!AD89&gt;0,"✔","-")</f>
        <v>-</v>
      </c>
      <c r="U87" s="221"/>
      <c r="V87" s="198" t="str">
        <f>IF('Design Fee'!AF89&gt;0,"✔","-")</f>
        <v>-</v>
      </c>
      <c r="W87" s="198" t="str">
        <f>IF('Design Fee'!AG89&gt;0,"✔","-")</f>
        <v>-</v>
      </c>
      <c r="X87" s="198" t="str">
        <f>IF('Design Fee'!AH89&gt;0,"✔","-")</f>
        <v>-</v>
      </c>
      <c r="Y87" s="198" t="str">
        <f>IF('Design Fee'!AI89&gt;0,"✔","-")</f>
        <v>-</v>
      </c>
      <c r="Z87" s="198" t="str">
        <f>IF('Design Fee'!AJ89&gt;0,"✔","-")</f>
        <v>-</v>
      </c>
      <c r="AA87" s="221"/>
      <c r="AB87" s="195"/>
      <c r="AC87" s="196"/>
      <c r="AD87" s="197" t="str">
        <f>IF('Design Fee'!BG89&gt;0,"✔","-")</f>
        <v>-</v>
      </c>
      <c r="AE87" s="197" t="str">
        <f>IF('Design Fee'!BH89&gt;0,"✔","-")</f>
        <v>-</v>
      </c>
      <c r="AF87" s="198" t="str">
        <f>IF('Design Fee'!BI89&gt;0,"✔","-")</f>
        <v>-</v>
      </c>
      <c r="AG87" s="198" t="str">
        <f>IF('Design Fee'!BJ89&gt;0,"✔","-")</f>
        <v>-</v>
      </c>
      <c r="AH87" s="198" t="str">
        <f>IF('Design Fee'!BK89&gt;0,"✔","-")</f>
        <v>-</v>
      </c>
      <c r="AI87" s="198" t="str">
        <f>IF('Design Fee'!BL89&gt;0,"✔","-")</f>
        <v>-</v>
      </c>
      <c r="AJ87" s="198" t="str">
        <f>IF('Design Fee'!BM89&gt;0,"✔","-")</f>
        <v>-</v>
      </c>
      <c r="AK87" s="220" t="str">
        <f>IF('Design Fee'!BN89&gt;0,"✔","-")</f>
        <v>-</v>
      </c>
      <c r="AL87" s="199"/>
      <c r="AM87" s="198" t="str">
        <f>IF('Design Fee'!BP89&gt;0,"✔","-")</f>
        <v>-</v>
      </c>
      <c r="AN87" s="198" t="str">
        <f>IF('Design Fee'!BQ89&gt;0,"✔","-")</f>
        <v>-</v>
      </c>
      <c r="AO87" s="198" t="str">
        <f>IF('Design Fee'!BR89&gt;0,"✔","-")</f>
        <v>-</v>
      </c>
      <c r="AP87" s="198" t="str">
        <f>IF('Design Fee'!BS89&gt;0,"✔","-")</f>
        <v>-</v>
      </c>
      <c r="AQ87" s="198" t="str">
        <f>IF('Design Fee'!BT89&gt;0,"✔","-")</f>
        <v>-</v>
      </c>
      <c r="AR87" s="199"/>
      <c r="AS87" s="195"/>
      <c r="AT87" s="196"/>
      <c r="AU87" s="197" t="str">
        <f>IF('Design Fee'!CQ89&gt;0,"✔","-")</f>
        <v>-</v>
      </c>
      <c r="AV87" s="197" t="str">
        <f>IF('Design Fee'!CR89&gt;0,"✔","-")</f>
        <v>-</v>
      </c>
      <c r="AW87" s="198" t="str">
        <f>IF('Design Fee'!CS89&gt;0,"✔","-")</f>
        <v>-</v>
      </c>
      <c r="AX87" s="198" t="str">
        <f>IF('Design Fee'!CT89&gt;0,"✔","-")</f>
        <v>-</v>
      </c>
      <c r="AY87" s="198" t="str">
        <f>IF('Design Fee'!CU89&gt;0,"✔","-")</f>
        <v>-</v>
      </c>
      <c r="AZ87" s="198" t="str">
        <f>IF('Design Fee'!CV89&gt;0,"✔","-")</f>
        <v>-</v>
      </c>
      <c r="BA87" s="198" t="str">
        <f>IF('Design Fee'!CW89&gt;0,"✔","-")</f>
        <v>-</v>
      </c>
      <c r="BB87" s="220" t="str">
        <f>IF('Design Fee'!CX89&gt;0,"✔","-")</f>
        <v>-</v>
      </c>
      <c r="BC87" s="199"/>
      <c r="BD87" s="198" t="str">
        <f>IF('Design Fee'!CZ89&gt;0,"✔","-")</f>
        <v>-</v>
      </c>
      <c r="BE87" s="198" t="str">
        <f>IF('Design Fee'!DA89&gt;0,"✔","-")</f>
        <v>-</v>
      </c>
      <c r="BF87" s="198" t="str">
        <f>IF('Design Fee'!DB89&gt;0,"✔","-")</f>
        <v>-</v>
      </c>
      <c r="BG87" s="198" t="str">
        <f>IF('Design Fee'!DC89&gt;0,"✔","-")</f>
        <v>-</v>
      </c>
      <c r="BH87" s="198" t="str">
        <f>IF('Design Fee'!DD89&gt;0,"✔","-")</f>
        <v>-</v>
      </c>
      <c r="BI87" s="199"/>
      <c r="BJ87" s="195"/>
      <c r="BK87" s="196"/>
      <c r="BL87" s="197" t="str">
        <f>IF('Design Fee'!EA89&gt;0,"✔","-")</f>
        <v>-</v>
      </c>
      <c r="BM87" s="197" t="str">
        <f>IF('Design Fee'!EB89&gt;0,"✔","-")</f>
        <v>-</v>
      </c>
      <c r="BN87" s="198" t="str">
        <f>IF('Design Fee'!EC89&gt;0,"✔","-")</f>
        <v>-</v>
      </c>
      <c r="BO87" s="198" t="str">
        <f>IF('Design Fee'!ED89&gt;0,"✔","-")</f>
        <v>-</v>
      </c>
      <c r="BP87" s="198" t="str">
        <f>IF('Design Fee'!EE89&gt;0,"✔","-")</f>
        <v>-</v>
      </c>
      <c r="BQ87" s="198" t="str">
        <f>IF('Design Fee'!EF89&gt;0,"✔","-")</f>
        <v>-</v>
      </c>
      <c r="BR87" s="198" t="str">
        <f>IF('Design Fee'!EG89&gt;0,"✔","-")</f>
        <v>-</v>
      </c>
      <c r="BS87" s="220" t="str">
        <f>IF('Design Fee'!EH89&gt;0,"✔","-")</f>
        <v>-</v>
      </c>
      <c r="BT87" s="137"/>
      <c r="BU87" s="198" t="str">
        <f>IF('Design Fee'!EJ89&gt;0,"✔","-")</f>
        <v>-</v>
      </c>
      <c r="BV87" s="198" t="str">
        <f>IF('Design Fee'!EK89&gt;0,"✔","-")</f>
        <v>-</v>
      </c>
      <c r="BW87" s="198" t="str">
        <f>IF('Design Fee'!EL89&gt;0,"✔","-")</f>
        <v>-</v>
      </c>
      <c r="BX87" s="198" t="str">
        <f>IF('Design Fee'!EM89&gt;0,"✔","-")</f>
        <v>-</v>
      </c>
      <c r="BY87" s="198" t="str">
        <f>IF('Design Fee'!EN89&gt;0,"✔","-")</f>
        <v>-</v>
      </c>
      <c r="BZ87" s="137"/>
    </row>
    <row r="88" spans="2:78" ht="12.75" outlineLevel="2">
      <c r="B88" s="217" t="s">
        <v>99</v>
      </c>
      <c r="C88" s="218">
        <v>4</v>
      </c>
      <c r="D88" s="219" t="s">
        <v>58</v>
      </c>
      <c r="E88" s="137"/>
      <c r="F88" s="197">
        <f t="shared" si="207"/>
        <v>3</v>
      </c>
      <c r="G88" s="198">
        <f t="shared" si="208"/>
        <v>3</v>
      </c>
      <c r="H88" s="198">
        <f t="shared" si="208"/>
        <v>3</v>
      </c>
      <c r="I88" s="198">
        <f t="shared" si="209"/>
        <v>0</v>
      </c>
      <c r="J88" s="221"/>
      <c r="K88" s="195"/>
      <c r="L88" s="196"/>
      <c r="M88" s="197" t="str">
        <f>IF('Design Fee'!W90&gt;0,"✔","-")</f>
        <v>✔</v>
      </c>
      <c r="N88" s="197" t="str">
        <f>IF('Design Fee'!X90&gt;0,"✔","-")</f>
        <v>✔</v>
      </c>
      <c r="O88" s="198" t="str">
        <f>IF('Design Fee'!Y90&gt;0,"✔","-")</f>
        <v>✔</v>
      </c>
      <c r="P88" s="198" t="str">
        <f>IF('Design Fee'!Z90&gt;0,"✔","-")</f>
        <v>-</v>
      </c>
      <c r="Q88" s="198" t="str">
        <f>IF('Design Fee'!AA90&gt;0,"✔","-")</f>
        <v>-</v>
      </c>
      <c r="R88" s="198" t="str">
        <f>IF('Design Fee'!AB90&gt;0,"✔","-")</f>
        <v>-</v>
      </c>
      <c r="S88" s="198" t="str">
        <f>IF('Design Fee'!AC90&gt;0,"✔","-")</f>
        <v>-</v>
      </c>
      <c r="T88" s="220" t="str">
        <f>IF('Design Fee'!AD90&gt;0,"✔","-")</f>
        <v>-</v>
      </c>
      <c r="U88" s="221"/>
      <c r="V88" s="198" t="str">
        <f>IF('Design Fee'!AF90&gt;0,"✔","-")</f>
        <v>-</v>
      </c>
      <c r="W88" s="198" t="str">
        <f>IF('Design Fee'!AG90&gt;0,"✔","-")</f>
        <v>-</v>
      </c>
      <c r="X88" s="198" t="str">
        <f>IF('Design Fee'!AH90&gt;0,"✔","-")</f>
        <v>-</v>
      </c>
      <c r="Y88" s="198" t="str">
        <f>IF('Design Fee'!AI90&gt;0,"✔","-")</f>
        <v>-</v>
      </c>
      <c r="Z88" s="198" t="str">
        <f>IF('Design Fee'!AJ90&gt;0,"✔","-")</f>
        <v>-</v>
      </c>
      <c r="AA88" s="221"/>
      <c r="AB88" s="195"/>
      <c r="AC88" s="196"/>
      <c r="AD88" s="197" t="str">
        <f>IF('Design Fee'!BG90&gt;0,"✔","-")</f>
        <v>✔</v>
      </c>
      <c r="AE88" s="197" t="str">
        <f>IF('Design Fee'!BH90&gt;0,"✔","-")</f>
        <v>✔</v>
      </c>
      <c r="AF88" s="198" t="str">
        <f>IF('Design Fee'!BI90&gt;0,"✔","-")</f>
        <v>✔</v>
      </c>
      <c r="AG88" s="198" t="str">
        <f>IF('Design Fee'!BJ90&gt;0,"✔","-")</f>
        <v>-</v>
      </c>
      <c r="AH88" s="198" t="str">
        <f>IF('Design Fee'!BK90&gt;0,"✔","-")</f>
        <v>-</v>
      </c>
      <c r="AI88" s="198" t="str">
        <f>IF('Design Fee'!BL90&gt;0,"✔","-")</f>
        <v>-</v>
      </c>
      <c r="AJ88" s="198" t="str">
        <f>IF('Design Fee'!BM90&gt;0,"✔","-")</f>
        <v>-</v>
      </c>
      <c r="AK88" s="220" t="str">
        <f>IF('Design Fee'!BN90&gt;0,"✔","-")</f>
        <v>-</v>
      </c>
      <c r="AL88" s="199"/>
      <c r="AM88" s="198" t="str">
        <f>IF('Design Fee'!BP90&gt;0,"✔","-")</f>
        <v>-</v>
      </c>
      <c r="AN88" s="198" t="str">
        <f>IF('Design Fee'!BQ90&gt;0,"✔","-")</f>
        <v>-</v>
      </c>
      <c r="AO88" s="198" t="str">
        <f>IF('Design Fee'!BR90&gt;0,"✔","-")</f>
        <v>-</v>
      </c>
      <c r="AP88" s="198" t="str">
        <f>IF('Design Fee'!BS90&gt;0,"✔","-")</f>
        <v>-</v>
      </c>
      <c r="AQ88" s="198" t="str">
        <f>IF('Design Fee'!BT90&gt;0,"✔","-")</f>
        <v>-</v>
      </c>
      <c r="AR88" s="199"/>
      <c r="AS88" s="195"/>
      <c r="AT88" s="196"/>
      <c r="AU88" s="197" t="str">
        <f>IF('Design Fee'!CQ90&gt;0,"✔","-")</f>
        <v>✔</v>
      </c>
      <c r="AV88" s="197" t="str">
        <f>IF('Design Fee'!CR90&gt;0,"✔","-")</f>
        <v>✔</v>
      </c>
      <c r="AW88" s="198" t="str">
        <f>IF('Design Fee'!CS90&gt;0,"✔","-")</f>
        <v>✔</v>
      </c>
      <c r="AX88" s="198" t="str">
        <f>IF('Design Fee'!CT90&gt;0,"✔","-")</f>
        <v>-</v>
      </c>
      <c r="AY88" s="198" t="str">
        <f>IF('Design Fee'!CU90&gt;0,"✔","-")</f>
        <v>-</v>
      </c>
      <c r="AZ88" s="198" t="str">
        <f>IF('Design Fee'!CV90&gt;0,"✔","-")</f>
        <v>-</v>
      </c>
      <c r="BA88" s="198" t="str">
        <f>IF('Design Fee'!CW90&gt;0,"✔","-")</f>
        <v>-</v>
      </c>
      <c r="BB88" s="220" t="str">
        <f>IF('Design Fee'!CX90&gt;0,"✔","-")</f>
        <v>-</v>
      </c>
      <c r="BC88" s="199"/>
      <c r="BD88" s="198" t="str">
        <f>IF('Design Fee'!CZ90&gt;0,"✔","-")</f>
        <v>-</v>
      </c>
      <c r="BE88" s="198" t="str">
        <f>IF('Design Fee'!DA90&gt;0,"✔","-")</f>
        <v>-</v>
      </c>
      <c r="BF88" s="198" t="str">
        <f>IF('Design Fee'!DB90&gt;0,"✔","-")</f>
        <v>-</v>
      </c>
      <c r="BG88" s="198" t="str">
        <f>IF('Design Fee'!DC90&gt;0,"✔","-")</f>
        <v>-</v>
      </c>
      <c r="BH88" s="198" t="str">
        <f>IF('Design Fee'!DD90&gt;0,"✔","-")</f>
        <v>-</v>
      </c>
      <c r="BI88" s="199"/>
      <c r="BJ88" s="195"/>
      <c r="BK88" s="196"/>
      <c r="BL88" s="197" t="str">
        <f>IF('Design Fee'!EA90&gt;0,"✔","-")</f>
        <v>-</v>
      </c>
      <c r="BM88" s="197" t="str">
        <f>IF('Design Fee'!EB90&gt;0,"✔","-")</f>
        <v>-</v>
      </c>
      <c r="BN88" s="198" t="str">
        <f>IF('Design Fee'!EC90&gt;0,"✔","-")</f>
        <v>-</v>
      </c>
      <c r="BO88" s="198" t="str">
        <f>IF('Design Fee'!ED90&gt;0,"✔","-")</f>
        <v>-</v>
      </c>
      <c r="BP88" s="198" t="str">
        <f>IF('Design Fee'!EE90&gt;0,"✔","-")</f>
        <v>-</v>
      </c>
      <c r="BQ88" s="198" t="str">
        <f>IF('Design Fee'!EF90&gt;0,"✔","-")</f>
        <v>-</v>
      </c>
      <c r="BR88" s="198" t="str">
        <f>IF('Design Fee'!EG90&gt;0,"✔","-")</f>
        <v>-</v>
      </c>
      <c r="BS88" s="220" t="str">
        <f>IF('Design Fee'!EH90&gt;0,"✔","-")</f>
        <v>-</v>
      </c>
      <c r="BT88" s="137"/>
      <c r="BU88" s="198" t="str">
        <f>IF('Design Fee'!EJ90&gt;0,"✔","-")</f>
        <v>-</v>
      </c>
      <c r="BV88" s="198" t="str">
        <f>IF('Design Fee'!EK90&gt;0,"✔","-")</f>
        <v>-</v>
      </c>
      <c r="BW88" s="198" t="str">
        <f>IF('Design Fee'!EL90&gt;0,"✔","-")</f>
        <v>-</v>
      </c>
      <c r="BX88" s="198" t="str">
        <f>IF('Design Fee'!EM90&gt;0,"✔","-")</f>
        <v>-</v>
      </c>
      <c r="BY88" s="198" t="str">
        <f>IF('Design Fee'!EN90&gt;0,"✔","-")</f>
        <v>-</v>
      </c>
      <c r="BZ88" s="137"/>
    </row>
    <row r="89" spans="2:78" ht="12.75" outlineLevel="2">
      <c r="B89" s="217" t="s">
        <v>100</v>
      </c>
      <c r="C89" s="218">
        <v>5</v>
      </c>
      <c r="D89" s="224" t="s">
        <v>60</v>
      </c>
      <c r="E89" s="137"/>
      <c r="F89" s="197">
        <f t="shared" si="207"/>
        <v>2</v>
      </c>
      <c r="G89" s="198">
        <f t="shared" si="208"/>
        <v>2</v>
      </c>
      <c r="H89" s="198">
        <f t="shared" si="208"/>
        <v>2</v>
      </c>
      <c r="I89" s="198">
        <f t="shared" si="209"/>
        <v>0</v>
      </c>
      <c r="J89" s="184"/>
      <c r="K89" s="195"/>
      <c r="L89" s="196"/>
      <c r="M89" s="197" t="str">
        <f>IF('Design Fee'!W91&gt;0,"✔","-")</f>
        <v>✔</v>
      </c>
      <c r="N89" s="197" t="str">
        <f>IF('Design Fee'!X91&gt;0,"✔","-")</f>
        <v>✔</v>
      </c>
      <c r="O89" s="198" t="str">
        <f>IF('Design Fee'!Y91&gt;0,"✔","-")</f>
        <v>✔</v>
      </c>
      <c r="P89" s="198" t="str">
        <f>IF('Design Fee'!Z91&gt;0,"✔","-")</f>
        <v>-</v>
      </c>
      <c r="Q89" s="198" t="str">
        <f>IF('Design Fee'!AA91&gt;0,"✔","-")</f>
        <v>-</v>
      </c>
      <c r="R89" s="198" t="str">
        <f>IF('Design Fee'!AB91&gt;0,"✔","-")</f>
        <v>-</v>
      </c>
      <c r="S89" s="198" t="str">
        <f>IF('Design Fee'!AC91&gt;0,"✔","-")</f>
        <v>-</v>
      </c>
      <c r="T89" s="220" t="str">
        <f>IF('Design Fee'!AD91&gt;0,"✔","-")</f>
        <v>-</v>
      </c>
      <c r="U89" s="184"/>
      <c r="V89" s="198" t="str">
        <f>IF('Design Fee'!AF91&gt;0,"✔","-")</f>
        <v>-</v>
      </c>
      <c r="W89" s="198" t="str">
        <f>IF('Design Fee'!AG91&gt;0,"✔","-")</f>
        <v>-</v>
      </c>
      <c r="X89" s="198" t="str">
        <f>IF('Design Fee'!AH91&gt;0,"✔","-")</f>
        <v>-</v>
      </c>
      <c r="Y89" s="198" t="str">
        <f>IF('Design Fee'!AI91&gt;0,"✔","-")</f>
        <v>-</v>
      </c>
      <c r="Z89" s="198" t="str">
        <f>IF('Design Fee'!AJ91&gt;0,"✔","-")</f>
        <v>-</v>
      </c>
      <c r="AA89" s="184"/>
      <c r="AB89" s="195"/>
      <c r="AC89" s="196"/>
      <c r="AD89" s="197" t="str">
        <f>IF('Design Fee'!BG91&gt;0,"✔","-")</f>
        <v>✔</v>
      </c>
      <c r="AE89" s="197" t="str">
        <f>IF('Design Fee'!BH91&gt;0,"✔","-")</f>
        <v>✔</v>
      </c>
      <c r="AF89" s="198" t="str">
        <f>IF('Design Fee'!BI91&gt;0,"✔","-")</f>
        <v>✔</v>
      </c>
      <c r="AG89" s="198" t="str">
        <f>IF('Design Fee'!BJ91&gt;0,"✔","-")</f>
        <v>-</v>
      </c>
      <c r="AH89" s="198" t="str">
        <f>IF('Design Fee'!BK91&gt;0,"✔","-")</f>
        <v>-</v>
      </c>
      <c r="AI89" s="198" t="str">
        <f>IF('Design Fee'!BL91&gt;0,"✔","-")</f>
        <v>-</v>
      </c>
      <c r="AJ89" s="198" t="str">
        <f>IF('Design Fee'!BM91&gt;0,"✔","-")</f>
        <v>-</v>
      </c>
      <c r="AK89" s="220" t="str">
        <f>IF('Design Fee'!BN91&gt;0,"✔","-")</f>
        <v>-</v>
      </c>
      <c r="AL89" s="199"/>
      <c r="AM89" s="198" t="str">
        <f>IF('Design Fee'!BP91&gt;0,"✔","-")</f>
        <v>-</v>
      </c>
      <c r="AN89" s="198" t="str">
        <f>IF('Design Fee'!BQ91&gt;0,"✔","-")</f>
        <v>-</v>
      </c>
      <c r="AO89" s="198" t="str">
        <f>IF('Design Fee'!BR91&gt;0,"✔","-")</f>
        <v>-</v>
      </c>
      <c r="AP89" s="198" t="str">
        <f>IF('Design Fee'!BS91&gt;0,"✔","-")</f>
        <v>-</v>
      </c>
      <c r="AQ89" s="198" t="str">
        <f>IF('Design Fee'!BT91&gt;0,"✔","-")</f>
        <v>-</v>
      </c>
      <c r="AR89" s="199"/>
      <c r="AS89" s="195"/>
      <c r="AT89" s="196"/>
      <c r="AU89" s="197" t="str">
        <f>IF('Design Fee'!CQ91&gt;0,"✔","-")</f>
        <v>-</v>
      </c>
      <c r="AV89" s="197" t="str">
        <f>IF('Design Fee'!CR91&gt;0,"✔","-")</f>
        <v>-</v>
      </c>
      <c r="AW89" s="198" t="str">
        <f>IF('Design Fee'!CS91&gt;0,"✔","-")</f>
        <v>-</v>
      </c>
      <c r="AX89" s="198" t="str">
        <f>IF('Design Fee'!CT91&gt;0,"✔","-")</f>
        <v>-</v>
      </c>
      <c r="AY89" s="198" t="str">
        <f>IF('Design Fee'!CU91&gt;0,"✔","-")</f>
        <v>-</v>
      </c>
      <c r="AZ89" s="198" t="str">
        <f>IF('Design Fee'!CV91&gt;0,"✔","-")</f>
        <v>-</v>
      </c>
      <c r="BA89" s="198" t="str">
        <f>IF('Design Fee'!CW91&gt;0,"✔","-")</f>
        <v>-</v>
      </c>
      <c r="BB89" s="220" t="str">
        <f>IF('Design Fee'!CX91&gt;0,"✔","-")</f>
        <v>-</v>
      </c>
      <c r="BC89" s="199"/>
      <c r="BD89" s="198" t="str">
        <f>IF('Design Fee'!CZ91&gt;0,"✔","-")</f>
        <v>-</v>
      </c>
      <c r="BE89" s="198" t="str">
        <f>IF('Design Fee'!DA91&gt;0,"✔","-")</f>
        <v>-</v>
      </c>
      <c r="BF89" s="198" t="str">
        <f>IF('Design Fee'!DB91&gt;0,"✔","-")</f>
        <v>-</v>
      </c>
      <c r="BG89" s="198" t="str">
        <f>IF('Design Fee'!DC91&gt;0,"✔","-")</f>
        <v>-</v>
      </c>
      <c r="BH89" s="198" t="str">
        <f>IF('Design Fee'!DD91&gt;0,"✔","-")</f>
        <v>-</v>
      </c>
      <c r="BI89" s="199"/>
      <c r="BJ89" s="195"/>
      <c r="BK89" s="196"/>
      <c r="BL89" s="197" t="str">
        <f>IF('Design Fee'!EA91&gt;0,"✔","-")</f>
        <v>-</v>
      </c>
      <c r="BM89" s="197" t="str">
        <f>IF('Design Fee'!EB91&gt;0,"✔","-")</f>
        <v>-</v>
      </c>
      <c r="BN89" s="198" t="str">
        <f>IF('Design Fee'!EC91&gt;0,"✔","-")</f>
        <v>-</v>
      </c>
      <c r="BO89" s="198" t="str">
        <f>IF('Design Fee'!ED91&gt;0,"✔","-")</f>
        <v>-</v>
      </c>
      <c r="BP89" s="198" t="str">
        <f>IF('Design Fee'!EE91&gt;0,"✔","-")</f>
        <v>-</v>
      </c>
      <c r="BQ89" s="198" t="str">
        <f>IF('Design Fee'!EF91&gt;0,"✔","-")</f>
        <v>-</v>
      </c>
      <c r="BR89" s="198" t="str">
        <f>IF('Design Fee'!EG91&gt;0,"✔","-")</f>
        <v>-</v>
      </c>
      <c r="BS89" s="220" t="str">
        <f>IF('Design Fee'!EH91&gt;0,"✔","-")</f>
        <v>-</v>
      </c>
      <c r="BT89" s="137"/>
      <c r="BU89" s="198" t="str">
        <f>IF('Design Fee'!EJ91&gt;0,"✔","-")</f>
        <v>-</v>
      </c>
      <c r="BV89" s="198" t="str">
        <f>IF('Design Fee'!EK91&gt;0,"✔","-")</f>
        <v>-</v>
      </c>
      <c r="BW89" s="198" t="str">
        <f>IF('Design Fee'!EL91&gt;0,"✔","-")</f>
        <v>-</v>
      </c>
      <c r="BX89" s="198" t="str">
        <f>IF('Design Fee'!EM91&gt;0,"✔","-")</f>
        <v>-</v>
      </c>
      <c r="BY89" s="198" t="str">
        <f>IF('Design Fee'!EN91&gt;0,"✔","-")</f>
        <v>-</v>
      </c>
      <c r="BZ89" s="137"/>
    </row>
    <row r="90" spans="2:78" s="51" customFormat="1" ht="12.75" outlineLevel="2">
      <c r="B90" s="217" t="s">
        <v>101</v>
      </c>
      <c r="C90" s="223">
        <v>6</v>
      </c>
      <c r="D90" s="224" t="s">
        <v>62</v>
      </c>
      <c r="E90" s="222"/>
      <c r="F90" s="197">
        <f t="shared" si="207"/>
        <v>2</v>
      </c>
      <c r="G90" s="198">
        <f t="shared" si="208"/>
        <v>2</v>
      </c>
      <c r="H90" s="198">
        <f t="shared" si="208"/>
        <v>2</v>
      </c>
      <c r="I90" s="198">
        <f t="shared" si="209"/>
        <v>0</v>
      </c>
      <c r="J90" s="229"/>
      <c r="K90" s="225"/>
      <c r="L90" s="226"/>
      <c r="M90" s="197" t="str">
        <f>IF('Design Fee'!W92&gt;0,"✔","-")</f>
        <v>✔</v>
      </c>
      <c r="N90" s="197" t="str">
        <f>IF('Design Fee'!X92&gt;0,"✔","-")</f>
        <v>✔</v>
      </c>
      <c r="O90" s="220" t="str">
        <f>IF('Design Fee'!Y92&gt;0,"✔","-")</f>
        <v>✔</v>
      </c>
      <c r="P90" s="220" t="str">
        <f>IF('Design Fee'!Z92&gt;0,"✔","-")</f>
        <v>-</v>
      </c>
      <c r="Q90" s="220" t="str">
        <f>IF('Design Fee'!AA92&gt;0,"✔","-")</f>
        <v>-</v>
      </c>
      <c r="R90" s="220" t="str">
        <f>IF('Design Fee'!AB92&gt;0,"✔","-")</f>
        <v>-</v>
      </c>
      <c r="S90" s="220" t="str">
        <f>IF('Design Fee'!AC92&gt;0,"✔","-")</f>
        <v>-</v>
      </c>
      <c r="T90" s="220" t="str">
        <f>IF('Design Fee'!AD92&gt;0,"✔","-")</f>
        <v>-</v>
      </c>
      <c r="U90" s="229"/>
      <c r="V90" s="198" t="str">
        <f>IF('Design Fee'!AF92&gt;0,"✔","-")</f>
        <v>-</v>
      </c>
      <c r="W90" s="198" t="str">
        <f>IF('Design Fee'!AG92&gt;0,"✔","-")</f>
        <v>-</v>
      </c>
      <c r="X90" s="198" t="str">
        <f>IF('Design Fee'!AH92&gt;0,"✔","-")</f>
        <v>-</v>
      </c>
      <c r="Y90" s="198" t="str">
        <f>IF('Design Fee'!AI92&gt;0,"✔","-")</f>
        <v>-</v>
      </c>
      <c r="Z90" s="198" t="str">
        <f>IF('Design Fee'!AJ92&gt;0,"✔","-")</f>
        <v>-</v>
      </c>
      <c r="AA90" s="229"/>
      <c r="AB90" s="225"/>
      <c r="AC90" s="226"/>
      <c r="AD90" s="197" t="str">
        <f>IF('Design Fee'!BG92&gt;0,"✔","-")</f>
        <v>✔</v>
      </c>
      <c r="AE90" s="197" t="str">
        <f>IF('Design Fee'!BH92&gt;0,"✔","-")</f>
        <v>✔</v>
      </c>
      <c r="AF90" s="220" t="str">
        <f>IF('Design Fee'!BI92&gt;0,"✔","-")</f>
        <v>✔</v>
      </c>
      <c r="AG90" s="220" t="str">
        <f>IF('Design Fee'!BJ92&gt;0,"✔","-")</f>
        <v>-</v>
      </c>
      <c r="AH90" s="220" t="str">
        <f>IF('Design Fee'!BK92&gt;0,"✔","-")</f>
        <v>-</v>
      </c>
      <c r="AI90" s="220" t="str">
        <f>IF('Design Fee'!BL92&gt;0,"✔","-")</f>
        <v>-</v>
      </c>
      <c r="AJ90" s="220" t="str">
        <f>IF('Design Fee'!BM92&gt;0,"✔","-")</f>
        <v>-</v>
      </c>
      <c r="AK90" s="220" t="str">
        <f>IF('Design Fee'!BN92&gt;0,"✔","-")</f>
        <v>-</v>
      </c>
      <c r="AL90" s="230"/>
      <c r="AM90" s="198" t="str">
        <f>IF('Design Fee'!BP92&gt;0,"✔","-")</f>
        <v>-</v>
      </c>
      <c r="AN90" s="198" t="str">
        <f>IF('Design Fee'!BQ92&gt;0,"✔","-")</f>
        <v>-</v>
      </c>
      <c r="AO90" s="198" t="str">
        <f>IF('Design Fee'!BR92&gt;0,"✔","-")</f>
        <v>-</v>
      </c>
      <c r="AP90" s="198" t="str">
        <f>IF('Design Fee'!BS92&gt;0,"✔","-")</f>
        <v>-</v>
      </c>
      <c r="AQ90" s="198" t="str">
        <f>IF('Design Fee'!BT92&gt;0,"✔","-")</f>
        <v>-</v>
      </c>
      <c r="AR90" s="230"/>
      <c r="AS90" s="225"/>
      <c r="AT90" s="226"/>
      <c r="AU90" s="197" t="str">
        <f>IF('Design Fee'!CQ92&gt;0,"✔","-")</f>
        <v>-</v>
      </c>
      <c r="AV90" s="197" t="str">
        <f>IF('Design Fee'!CR92&gt;0,"✔","-")</f>
        <v>-</v>
      </c>
      <c r="AW90" s="220" t="str">
        <f>IF('Design Fee'!CS92&gt;0,"✔","-")</f>
        <v>-</v>
      </c>
      <c r="AX90" s="220" t="str">
        <f>IF('Design Fee'!CT92&gt;0,"✔","-")</f>
        <v>-</v>
      </c>
      <c r="AY90" s="220" t="str">
        <f>IF('Design Fee'!CU92&gt;0,"✔","-")</f>
        <v>-</v>
      </c>
      <c r="AZ90" s="220" t="str">
        <f>IF('Design Fee'!CV92&gt;0,"✔","-")</f>
        <v>-</v>
      </c>
      <c r="BA90" s="220" t="str">
        <f>IF('Design Fee'!CW92&gt;0,"✔","-")</f>
        <v>-</v>
      </c>
      <c r="BB90" s="220" t="str">
        <f>IF('Design Fee'!CX92&gt;0,"✔","-")</f>
        <v>-</v>
      </c>
      <c r="BC90" s="230"/>
      <c r="BD90" s="198" t="str">
        <f>IF('Design Fee'!CZ92&gt;0,"✔","-")</f>
        <v>-</v>
      </c>
      <c r="BE90" s="198" t="str">
        <f>IF('Design Fee'!DA92&gt;0,"✔","-")</f>
        <v>-</v>
      </c>
      <c r="BF90" s="198" t="str">
        <f>IF('Design Fee'!DB92&gt;0,"✔","-")</f>
        <v>-</v>
      </c>
      <c r="BG90" s="198" t="str">
        <f>IF('Design Fee'!DC92&gt;0,"✔","-")</f>
        <v>-</v>
      </c>
      <c r="BH90" s="198" t="str">
        <f>IF('Design Fee'!DD92&gt;0,"✔","-")</f>
        <v>-</v>
      </c>
      <c r="BI90" s="230"/>
      <c r="BJ90" s="225"/>
      <c r="BK90" s="226"/>
      <c r="BL90" s="197" t="str">
        <f>IF('Design Fee'!EA92&gt;0,"✔","-")</f>
        <v>-</v>
      </c>
      <c r="BM90" s="197" t="str">
        <f>IF('Design Fee'!EB92&gt;0,"✔","-")</f>
        <v>-</v>
      </c>
      <c r="BN90" s="220" t="str">
        <f>IF('Design Fee'!EC92&gt;0,"✔","-")</f>
        <v>-</v>
      </c>
      <c r="BO90" s="220" t="str">
        <f>IF('Design Fee'!ED92&gt;0,"✔","-")</f>
        <v>-</v>
      </c>
      <c r="BP90" s="220" t="str">
        <f>IF('Design Fee'!EE92&gt;0,"✔","-")</f>
        <v>-</v>
      </c>
      <c r="BQ90" s="220" t="str">
        <f>IF('Design Fee'!EF92&gt;0,"✔","-")</f>
        <v>-</v>
      </c>
      <c r="BR90" s="220" t="str">
        <f>IF('Design Fee'!EG92&gt;0,"✔","-")</f>
        <v>-</v>
      </c>
      <c r="BS90" s="220" t="str">
        <f>IF('Design Fee'!EH92&gt;0,"✔","-")</f>
        <v>-</v>
      </c>
      <c r="BT90" s="222"/>
      <c r="BU90" s="198" t="str">
        <f>IF('Design Fee'!EJ92&gt;0,"✔","-")</f>
        <v>-</v>
      </c>
      <c r="BV90" s="198" t="str">
        <f>IF('Design Fee'!EK92&gt;0,"✔","-")</f>
        <v>-</v>
      </c>
      <c r="BW90" s="198" t="str">
        <f>IF('Design Fee'!EL92&gt;0,"✔","-")</f>
        <v>-</v>
      </c>
      <c r="BX90" s="198" t="str">
        <f>IF('Design Fee'!EM92&gt;0,"✔","-")</f>
        <v>-</v>
      </c>
      <c r="BY90" s="198" t="str">
        <f>IF('Design Fee'!EN92&gt;0,"✔","-")</f>
        <v>-</v>
      </c>
      <c r="BZ90" s="137"/>
    </row>
    <row r="91" spans="2:78" ht="12.75" outlineLevel="2">
      <c r="B91" s="217" t="s">
        <v>102</v>
      </c>
      <c r="C91" s="218">
        <v>7</v>
      </c>
      <c r="D91" s="219" t="s">
        <v>64</v>
      </c>
      <c r="E91" s="137"/>
      <c r="F91" s="197">
        <f t="shared" si="207"/>
        <v>2</v>
      </c>
      <c r="G91" s="198">
        <f t="shared" si="208"/>
        <v>2</v>
      </c>
      <c r="H91" s="198">
        <f t="shared" si="208"/>
        <v>2</v>
      </c>
      <c r="I91" s="198">
        <f t="shared" si="209"/>
        <v>0</v>
      </c>
      <c r="J91" s="184"/>
      <c r="K91" s="195"/>
      <c r="L91" s="196"/>
      <c r="M91" s="197" t="str">
        <f>IF('Design Fee'!W93&gt;0,"✔","-")</f>
        <v>✔</v>
      </c>
      <c r="N91" s="197" t="str">
        <f>IF('Design Fee'!X93&gt;0,"✔","-")</f>
        <v>✔</v>
      </c>
      <c r="O91" s="198" t="str">
        <f>IF('Design Fee'!Y93&gt;0,"✔","-")</f>
        <v>✔</v>
      </c>
      <c r="P91" s="198" t="str">
        <f>IF('Design Fee'!Z93&gt;0,"✔","-")</f>
        <v>-</v>
      </c>
      <c r="Q91" s="198" t="str">
        <f>IF('Design Fee'!AA93&gt;0,"✔","-")</f>
        <v>-</v>
      </c>
      <c r="R91" s="198" t="str">
        <f>IF('Design Fee'!AB93&gt;0,"✔","-")</f>
        <v>-</v>
      </c>
      <c r="S91" s="198" t="str">
        <f>IF('Design Fee'!AC93&gt;0,"✔","-")</f>
        <v>-</v>
      </c>
      <c r="T91" s="220" t="str">
        <f>IF('Design Fee'!AD93&gt;0,"✔","-")</f>
        <v>-</v>
      </c>
      <c r="U91" s="184"/>
      <c r="V91" s="198" t="str">
        <f>IF('Design Fee'!AF93&gt;0,"✔","-")</f>
        <v>-</v>
      </c>
      <c r="W91" s="198" t="str">
        <f>IF('Design Fee'!AG93&gt;0,"✔","-")</f>
        <v>-</v>
      </c>
      <c r="X91" s="198" t="str">
        <f>IF('Design Fee'!AH93&gt;0,"✔","-")</f>
        <v>-</v>
      </c>
      <c r="Y91" s="198" t="str">
        <f>IF('Design Fee'!AI93&gt;0,"✔","-")</f>
        <v>-</v>
      </c>
      <c r="Z91" s="198" t="str">
        <f>IF('Design Fee'!AJ93&gt;0,"✔","-")</f>
        <v>-</v>
      </c>
      <c r="AA91" s="184"/>
      <c r="AB91" s="195"/>
      <c r="AC91" s="196"/>
      <c r="AD91" s="197" t="str">
        <f>IF('Design Fee'!BG93&gt;0,"✔","-")</f>
        <v>-</v>
      </c>
      <c r="AE91" s="197" t="str">
        <f>IF('Design Fee'!BH93&gt;0,"✔","-")</f>
        <v>-</v>
      </c>
      <c r="AF91" s="198" t="str">
        <f>IF('Design Fee'!BI93&gt;0,"✔","-")</f>
        <v>-</v>
      </c>
      <c r="AG91" s="198" t="str">
        <f>IF('Design Fee'!BJ93&gt;0,"✔","-")</f>
        <v>-</v>
      </c>
      <c r="AH91" s="198" t="str">
        <f>IF('Design Fee'!BK93&gt;0,"✔","-")</f>
        <v>-</v>
      </c>
      <c r="AI91" s="198" t="str">
        <f>IF('Design Fee'!BL93&gt;0,"✔","-")</f>
        <v>-</v>
      </c>
      <c r="AJ91" s="198" t="str">
        <f>IF('Design Fee'!BM93&gt;0,"✔","-")</f>
        <v>-</v>
      </c>
      <c r="AK91" s="220" t="str">
        <f>IF('Design Fee'!BN93&gt;0,"✔","-")</f>
        <v>-</v>
      </c>
      <c r="AL91" s="199"/>
      <c r="AM91" s="198" t="str">
        <f>IF('Design Fee'!BP93&gt;0,"✔","-")</f>
        <v>-</v>
      </c>
      <c r="AN91" s="198" t="str">
        <f>IF('Design Fee'!BQ93&gt;0,"✔","-")</f>
        <v>-</v>
      </c>
      <c r="AO91" s="198" t="str">
        <f>IF('Design Fee'!BR93&gt;0,"✔","-")</f>
        <v>-</v>
      </c>
      <c r="AP91" s="198" t="str">
        <f>IF('Design Fee'!BS93&gt;0,"✔","-")</f>
        <v>-</v>
      </c>
      <c r="AQ91" s="198" t="str">
        <f>IF('Design Fee'!BT93&gt;0,"✔","-")</f>
        <v>-</v>
      </c>
      <c r="AR91" s="199"/>
      <c r="AS91" s="195"/>
      <c r="AT91" s="196"/>
      <c r="AU91" s="197" t="str">
        <f>IF('Design Fee'!CQ93&gt;0,"✔","-")</f>
        <v>✔</v>
      </c>
      <c r="AV91" s="197" t="str">
        <f>IF('Design Fee'!CR93&gt;0,"✔","-")</f>
        <v>✔</v>
      </c>
      <c r="AW91" s="198" t="str">
        <f>IF('Design Fee'!CS93&gt;0,"✔","-")</f>
        <v>✔</v>
      </c>
      <c r="AX91" s="198" t="str">
        <f>IF('Design Fee'!CT93&gt;0,"✔","-")</f>
        <v>-</v>
      </c>
      <c r="AY91" s="198" t="str">
        <f>IF('Design Fee'!CU93&gt;0,"✔","-")</f>
        <v>-</v>
      </c>
      <c r="AZ91" s="198" t="str">
        <f>IF('Design Fee'!CV93&gt;0,"✔","-")</f>
        <v>-</v>
      </c>
      <c r="BA91" s="198" t="str">
        <f>IF('Design Fee'!CW93&gt;0,"✔","-")</f>
        <v>-</v>
      </c>
      <c r="BB91" s="220" t="str">
        <f>IF('Design Fee'!CX93&gt;0,"✔","-")</f>
        <v>-</v>
      </c>
      <c r="BC91" s="199"/>
      <c r="BD91" s="198" t="str">
        <f>IF('Design Fee'!CZ93&gt;0,"✔","-")</f>
        <v>-</v>
      </c>
      <c r="BE91" s="198" t="str">
        <f>IF('Design Fee'!DA93&gt;0,"✔","-")</f>
        <v>-</v>
      </c>
      <c r="BF91" s="198" t="str">
        <f>IF('Design Fee'!DB93&gt;0,"✔","-")</f>
        <v>-</v>
      </c>
      <c r="BG91" s="198" t="str">
        <f>IF('Design Fee'!DC93&gt;0,"✔","-")</f>
        <v>-</v>
      </c>
      <c r="BH91" s="198" t="str">
        <f>IF('Design Fee'!DD93&gt;0,"✔","-")</f>
        <v>-</v>
      </c>
      <c r="BI91" s="199"/>
      <c r="BJ91" s="195"/>
      <c r="BK91" s="196"/>
      <c r="BL91" s="197" t="str">
        <f>IF('Design Fee'!EA93&gt;0,"✔","-")</f>
        <v>-</v>
      </c>
      <c r="BM91" s="197" t="str">
        <f>IF('Design Fee'!EB93&gt;0,"✔","-")</f>
        <v>-</v>
      </c>
      <c r="BN91" s="198" t="str">
        <f>IF('Design Fee'!EC93&gt;0,"✔","-")</f>
        <v>-</v>
      </c>
      <c r="BO91" s="198" t="str">
        <f>IF('Design Fee'!ED93&gt;0,"✔","-")</f>
        <v>-</v>
      </c>
      <c r="BP91" s="198" t="str">
        <f>IF('Design Fee'!EE93&gt;0,"✔","-")</f>
        <v>-</v>
      </c>
      <c r="BQ91" s="198" t="str">
        <f>IF('Design Fee'!EF93&gt;0,"✔","-")</f>
        <v>-</v>
      </c>
      <c r="BR91" s="198" t="str">
        <f>IF('Design Fee'!EG93&gt;0,"✔","-")</f>
        <v>-</v>
      </c>
      <c r="BS91" s="220" t="str">
        <f>IF('Design Fee'!EH93&gt;0,"✔","-")</f>
        <v>-</v>
      </c>
      <c r="BT91" s="137"/>
      <c r="BU91" s="198" t="str">
        <f>IF('Design Fee'!EJ93&gt;0,"✔","-")</f>
        <v>-</v>
      </c>
      <c r="BV91" s="198" t="str">
        <f>IF('Design Fee'!EK93&gt;0,"✔","-")</f>
        <v>-</v>
      </c>
      <c r="BW91" s="198" t="str">
        <f>IF('Design Fee'!EL93&gt;0,"✔","-")</f>
        <v>-</v>
      </c>
      <c r="BX91" s="198" t="str">
        <f>IF('Design Fee'!EM93&gt;0,"✔","-")</f>
        <v>-</v>
      </c>
      <c r="BY91" s="198" t="str">
        <f>IF('Design Fee'!EN93&gt;0,"✔","-")</f>
        <v>-</v>
      </c>
      <c r="BZ91" s="137"/>
    </row>
    <row r="92" spans="2:78" ht="12.75" outlineLevel="2">
      <c r="B92" s="217" t="s">
        <v>103</v>
      </c>
      <c r="C92" s="218">
        <v>8</v>
      </c>
      <c r="D92" s="219" t="s">
        <v>67</v>
      </c>
      <c r="E92" s="137"/>
      <c r="F92" s="197">
        <f t="shared" si="207"/>
        <v>2</v>
      </c>
      <c r="G92" s="198">
        <f t="shared" si="208"/>
        <v>2</v>
      </c>
      <c r="H92" s="198">
        <f t="shared" si="208"/>
        <v>2</v>
      </c>
      <c r="I92" s="198">
        <f t="shared" si="209"/>
        <v>0</v>
      </c>
      <c r="J92" s="184"/>
      <c r="K92" s="195"/>
      <c r="L92" s="196"/>
      <c r="M92" s="197" t="str">
        <f>IF('Design Fee'!W94&gt;0,"✔","-")</f>
        <v>✔</v>
      </c>
      <c r="N92" s="197" t="str">
        <f>IF('Design Fee'!X94&gt;0,"✔","-")</f>
        <v>✔</v>
      </c>
      <c r="O92" s="198" t="str">
        <f>IF('Design Fee'!Y94&gt;0,"✔","-")</f>
        <v>✔</v>
      </c>
      <c r="P92" s="198" t="str">
        <f>IF('Design Fee'!Z94&gt;0,"✔","-")</f>
        <v>-</v>
      </c>
      <c r="Q92" s="198" t="str">
        <f>IF('Design Fee'!AA94&gt;0,"✔","-")</f>
        <v>-</v>
      </c>
      <c r="R92" s="198" t="str">
        <f>IF('Design Fee'!AB94&gt;0,"✔","-")</f>
        <v>-</v>
      </c>
      <c r="S92" s="198" t="str">
        <f>IF('Design Fee'!AC94&gt;0,"✔","-")</f>
        <v>-</v>
      </c>
      <c r="T92" s="220" t="str">
        <f>IF('Design Fee'!AD94&gt;0,"✔","-")</f>
        <v>-</v>
      </c>
      <c r="U92" s="184"/>
      <c r="V92" s="198" t="str">
        <f>IF('Design Fee'!AF94&gt;0,"✔","-")</f>
        <v>-</v>
      </c>
      <c r="W92" s="198" t="str">
        <f>IF('Design Fee'!AG94&gt;0,"✔","-")</f>
        <v>-</v>
      </c>
      <c r="X92" s="198" t="str">
        <f>IF('Design Fee'!AH94&gt;0,"✔","-")</f>
        <v>-</v>
      </c>
      <c r="Y92" s="198" t="str">
        <f>IF('Design Fee'!AI94&gt;0,"✔","-")</f>
        <v>-</v>
      </c>
      <c r="Z92" s="198" t="str">
        <f>IF('Design Fee'!AJ94&gt;0,"✔","-")</f>
        <v>-</v>
      </c>
      <c r="AA92" s="184"/>
      <c r="AB92" s="195"/>
      <c r="AC92" s="196"/>
      <c r="AD92" s="197" t="str">
        <f>IF('Design Fee'!BG94&gt;0,"✔","-")</f>
        <v>✔</v>
      </c>
      <c r="AE92" s="197" t="str">
        <f>IF('Design Fee'!BH94&gt;0,"✔","-")</f>
        <v>✔</v>
      </c>
      <c r="AF92" s="198" t="str">
        <f>IF('Design Fee'!BI94&gt;0,"✔","-")</f>
        <v>✔</v>
      </c>
      <c r="AG92" s="198" t="str">
        <f>IF('Design Fee'!BJ94&gt;0,"✔","-")</f>
        <v>-</v>
      </c>
      <c r="AH92" s="198" t="str">
        <f>IF('Design Fee'!BK94&gt;0,"✔","-")</f>
        <v>-</v>
      </c>
      <c r="AI92" s="198" t="str">
        <f>IF('Design Fee'!BL94&gt;0,"✔","-")</f>
        <v>-</v>
      </c>
      <c r="AJ92" s="198" t="str">
        <f>IF('Design Fee'!BM94&gt;0,"✔","-")</f>
        <v>-</v>
      </c>
      <c r="AK92" s="220" t="str">
        <f>IF('Design Fee'!BN94&gt;0,"✔","-")</f>
        <v>-</v>
      </c>
      <c r="AL92" s="199"/>
      <c r="AM92" s="198" t="str">
        <f>IF('Design Fee'!BP94&gt;0,"✔","-")</f>
        <v>-</v>
      </c>
      <c r="AN92" s="198" t="str">
        <f>IF('Design Fee'!BQ94&gt;0,"✔","-")</f>
        <v>-</v>
      </c>
      <c r="AO92" s="198" t="str">
        <f>IF('Design Fee'!BR94&gt;0,"✔","-")</f>
        <v>-</v>
      </c>
      <c r="AP92" s="198" t="str">
        <f>IF('Design Fee'!BS94&gt;0,"✔","-")</f>
        <v>-</v>
      </c>
      <c r="AQ92" s="198" t="str">
        <f>IF('Design Fee'!BT94&gt;0,"✔","-")</f>
        <v>-</v>
      </c>
      <c r="AR92" s="199"/>
      <c r="AS92" s="195"/>
      <c r="AT92" s="196"/>
      <c r="AU92" s="197" t="str">
        <f>IF('Design Fee'!CQ94&gt;0,"✔","-")</f>
        <v>-</v>
      </c>
      <c r="AV92" s="197" t="str">
        <f>IF('Design Fee'!CR94&gt;0,"✔","-")</f>
        <v>-</v>
      </c>
      <c r="AW92" s="198" t="str">
        <f>IF('Design Fee'!CS94&gt;0,"✔","-")</f>
        <v>-</v>
      </c>
      <c r="AX92" s="198" t="str">
        <f>IF('Design Fee'!CT94&gt;0,"✔","-")</f>
        <v>-</v>
      </c>
      <c r="AY92" s="198" t="str">
        <f>IF('Design Fee'!CU94&gt;0,"✔","-")</f>
        <v>-</v>
      </c>
      <c r="AZ92" s="198" t="str">
        <f>IF('Design Fee'!CV94&gt;0,"✔","-")</f>
        <v>-</v>
      </c>
      <c r="BA92" s="198" t="str">
        <f>IF('Design Fee'!CW94&gt;0,"✔","-")</f>
        <v>-</v>
      </c>
      <c r="BB92" s="220" t="str">
        <f>IF('Design Fee'!CX94&gt;0,"✔","-")</f>
        <v>-</v>
      </c>
      <c r="BC92" s="199"/>
      <c r="BD92" s="198" t="str">
        <f>IF('Design Fee'!CZ94&gt;0,"✔","-")</f>
        <v>-</v>
      </c>
      <c r="BE92" s="198" t="str">
        <f>IF('Design Fee'!DA94&gt;0,"✔","-")</f>
        <v>-</v>
      </c>
      <c r="BF92" s="198" t="str">
        <f>IF('Design Fee'!DB94&gt;0,"✔","-")</f>
        <v>-</v>
      </c>
      <c r="BG92" s="198" t="str">
        <f>IF('Design Fee'!DC94&gt;0,"✔","-")</f>
        <v>-</v>
      </c>
      <c r="BH92" s="198" t="str">
        <f>IF('Design Fee'!DD94&gt;0,"✔","-")</f>
        <v>-</v>
      </c>
      <c r="BI92" s="199"/>
      <c r="BJ92" s="195"/>
      <c r="BK92" s="196"/>
      <c r="BL92" s="197" t="str">
        <f>IF('Design Fee'!EA94&gt;0,"✔","-")</f>
        <v>-</v>
      </c>
      <c r="BM92" s="197" t="str">
        <f>IF('Design Fee'!EB94&gt;0,"✔","-")</f>
        <v>-</v>
      </c>
      <c r="BN92" s="198" t="str">
        <f>IF('Design Fee'!EC94&gt;0,"✔","-")</f>
        <v>-</v>
      </c>
      <c r="BO92" s="198" t="str">
        <f>IF('Design Fee'!ED94&gt;0,"✔","-")</f>
        <v>-</v>
      </c>
      <c r="BP92" s="198" t="str">
        <f>IF('Design Fee'!EE94&gt;0,"✔","-")</f>
        <v>-</v>
      </c>
      <c r="BQ92" s="198" t="str">
        <f>IF('Design Fee'!EF94&gt;0,"✔","-")</f>
        <v>-</v>
      </c>
      <c r="BR92" s="198" t="str">
        <f>IF('Design Fee'!EG94&gt;0,"✔","-")</f>
        <v>-</v>
      </c>
      <c r="BS92" s="220" t="str">
        <f>IF('Design Fee'!EH94&gt;0,"✔","-")</f>
        <v>-</v>
      </c>
      <c r="BT92" s="137"/>
      <c r="BU92" s="198" t="str">
        <f>IF('Design Fee'!EJ94&gt;0,"✔","-")</f>
        <v>-</v>
      </c>
      <c r="BV92" s="198" t="str">
        <f>IF('Design Fee'!EK94&gt;0,"✔","-")</f>
        <v>-</v>
      </c>
      <c r="BW92" s="198" t="str">
        <f>IF('Design Fee'!EL94&gt;0,"✔","-")</f>
        <v>-</v>
      </c>
      <c r="BX92" s="198" t="str">
        <f>IF('Design Fee'!EM94&gt;0,"✔","-")</f>
        <v>-</v>
      </c>
      <c r="BY92" s="198" t="str">
        <f>IF('Design Fee'!EN94&gt;0,"✔","-")</f>
        <v>-</v>
      </c>
      <c r="BZ92" s="137"/>
    </row>
    <row r="93" spans="2:78" ht="12.75" outlineLevel="2">
      <c r="B93" s="217" t="s">
        <v>104</v>
      </c>
      <c r="C93" s="218">
        <v>9</v>
      </c>
      <c r="D93" s="219" t="s">
        <v>69</v>
      </c>
      <c r="E93" s="137"/>
      <c r="F93" s="197">
        <f t="shared" si="207"/>
        <v>3</v>
      </c>
      <c r="G93" s="198">
        <f t="shared" si="208"/>
        <v>3</v>
      </c>
      <c r="H93" s="198">
        <f t="shared" si="208"/>
        <v>3</v>
      </c>
      <c r="I93" s="198">
        <f t="shared" si="209"/>
        <v>0</v>
      </c>
      <c r="J93" s="184"/>
      <c r="K93" s="195"/>
      <c r="L93" s="196"/>
      <c r="M93" s="197" t="str">
        <f>IF('Design Fee'!W95&gt;0,"✔","-")</f>
        <v>✔</v>
      </c>
      <c r="N93" s="197" t="str">
        <f>IF('Design Fee'!X95&gt;0,"✔","-")</f>
        <v>✔</v>
      </c>
      <c r="O93" s="198" t="str">
        <f>IF('Design Fee'!Y95&gt;0,"✔","-")</f>
        <v>✔</v>
      </c>
      <c r="P93" s="198" t="str">
        <f>IF('Design Fee'!Z95&gt;0,"✔","-")</f>
        <v>-</v>
      </c>
      <c r="Q93" s="198" t="str">
        <f>IF('Design Fee'!AA95&gt;0,"✔","-")</f>
        <v>-</v>
      </c>
      <c r="R93" s="198" t="str">
        <f>IF('Design Fee'!AB95&gt;0,"✔","-")</f>
        <v>-</v>
      </c>
      <c r="S93" s="198" t="str">
        <f>IF('Design Fee'!AC95&gt;0,"✔","-")</f>
        <v>-</v>
      </c>
      <c r="T93" s="220" t="str">
        <f>IF('Design Fee'!AD95&gt;0,"✔","-")</f>
        <v>-</v>
      </c>
      <c r="U93" s="184"/>
      <c r="V93" s="198" t="str">
        <f>IF('Design Fee'!AF95&gt;0,"✔","-")</f>
        <v>-</v>
      </c>
      <c r="W93" s="198" t="str">
        <f>IF('Design Fee'!AG95&gt;0,"✔","-")</f>
        <v>-</v>
      </c>
      <c r="X93" s="198" t="str">
        <f>IF('Design Fee'!AH95&gt;0,"✔","-")</f>
        <v>-</v>
      </c>
      <c r="Y93" s="198" t="str">
        <f>IF('Design Fee'!AI95&gt;0,"✔","-")</f>
        <v>-</v>
      </c>
      <c r="Z93" s="198" t="str">
        <f>IF('Design Fee'!AJ95&gt;0,"✔","-")</f>
        <v>-</v>
      </c>
      <c r="AA93" s="184"/>
      <c r="AB93" s="195"/>
      <c r="AC93" s="196"/>
      <c r="AD93" s="197" t="str">
        <f>IF('Design Fee'!BG95&gt;0,"✔","-")</f>
        <v>✔</v>
      </c>
      <c r="AE93" s="197" t="str">
        <f>IF('Design Fee'!BH95&gt;0,"✔","-")</f>
        <v>✔</v>
      </c>
      <c r="AF93" s="198" t="str">
        <f>IF('Design Fee'!BI95&gt;0,"✔","-")</f>
        <v>✔</v>
      </c>
      <c r="AG93" s="198" t="str">
        <f>IF('Design Fee'!BJ95&gt;0,"✔","-")</f>
        <v>-</v>
      </c>
      <c r="AH93" s="198" t="str">
        <f>IF('Design Fee'!BK95&gt;0,"✔","-")</f>
        <v>-</v>
      </c>
      <c r="AI93" s="198" t="str">
        <f>IF('Design Fee'!BL95&gt;0,"✔","-")</f>
        <v>-</v>
      </c>
      <c r="AJ93" s="198" t="str">
        <f>IF('Design Fee'!BM95&gt;0,"✔","-")</f>
        <v>-</v>
      </c>
      <c r="AK93" s="220" t="str">
        <f>IF('Design Fee'!BN95&gt;0,"✔","-")</f>
        <v>-</v>
      </c>
      <c r="AL93" s="199"/>
      <c r="AM93" s="198" t="str">
        <f>IF('Design Fee'!BP95&gt;0,"✔","-")</f>
        <v>-</v>
      </c>
      <c r="AN93" s="198" t="str">
        <f>IF('Design Fee'!BQ95&gt;0,"✔","-")</f>
        <v>-</v>
      </c>
      <c r="AO93" s="198" t="str">
        <f>IF('Design Fee'!BR95&gt;0,"✔","-")</f>
        <v>-</v>
      </c>
      <c r="AP93" s="198" t="str">
        <f>IF('Design Fee'!BS95&gt;0,"✔","-")</f>
        <v>-</v>
      </c>
      <c r="AQ93" s="198" t="str">
        <f>IF('Design Fee'!BT95&gt;0,"✔","-")</f>
        <v>-</v>
      </c>
      <c r="AR93" s="199"/>
      <c r="AS93" s="195"/>
      <c r="AT93" s="196"/>
      <c r="AU93" s="197" t="str">
        <f>IF('Design Fee'!CQ95&gt;0,"✔","-")</f>
        <v>✔</v>
      </c>
      <c r="AV93" s="197" t="str">
        <f>IF('Design Fee'!CR95&gt;0,"✔","-")</f>
        <v>✔</v>
      </c>
      <c r="AW93" s="198" t="str">
        <f>IF('Design Fee'!CS95&gt;0,"✔","-")</f>
        <v>✔</v>
      </c>
      <c r="AX93" s="198" t="str">
        <f>IF('Design Fee'!CT95&gt;0,"✔","-")</f>
        <v>-</v>
      </c>
      <c r="AY93" s="198" t="str">
        <f>IF('Design Fee'!CU95&gt;0,"✔","-")</f>
        <v>-</v>
      </c>
      <c r="AZ93" s="198" t="str">
        <f>IF('Design Fee'!CV95&gt;0,"✔","-")</f>
        <v>-</v>
      </c>
      <c r="BA93" s="198" t="str">
        <f>IF('Design Fee'!CW95&gt;0,"✔","-")</f>
        <v>-</v>
      </c>
      <c r="BB93" s="220" t="str">
        <f>IF('Design Fee'!CX95&gt;0,"✔","-")</f>
        <v>-</v>
      </c>
      <c r="BC93" s="199"/>
      <c r="BD93" s="198" t="str">
        <f>IF('Design Fee'!CZ95&gt;0,"✔","-")</f>
        <v>-</v>
      </c>
      <c r="BE93" s="198" t="str">
        <f>IF('Design Fee'!DA95&gt;0,"✔","-")</f>
        <v>-</v>
      </c>
      <c r="BF93" s="198" t="str">
        <f>IF('Design Fee'!DB95&gt;0,"✔","-")</f>
        <v>-</v>
      </c>
      <c r="BG93" s="198" t="str">
        <f>IF('Design Fee'!DC95&gt;0,"✔","-")</f>
        <v>-</v>
      </c>
      <c r="BH93" s="198" t="str">
        <f>IF('Design Fee'!DD95&gt;0,"✔","-")</f>
        <v>-</v>
      </c>
      <c r="BI93" s="199"/>
      <c r="BJ93" s="195"/>
      <c r="BK93" s="196"/>
      <c r="BL93" s="197" t="str">
        <f>IF('Design Fee'!EA95&gt;0,"✔","-")</f>
        <v>-</v>
      </c>
      <c r="BM93" s="197" t="str">
        <f>IF('Design Fee'!EB95&gt;0,"✔","-")</f>
        <v>-</v>
      </c>
      <c r="BN93" s="198" t="str">
        <f>IF('Design Fee'!EC95&gt;0,"✔","-")</f>
        <v>-</v>
      </c>
      <c r="BO93" s="198" t="str">
        <f>IF('Design Fee'!ED95&gt;0,"✔","-")</f>
        <v>-</v>
      </c>
      <c r="BP93" s="198" t="str">
        <f>IF('Design Fee'!EE95&gt;0,"✔","-")</f>
        <v>-</v>
      </c>
      <c r="BQ93" s="198" t="str">
        <f>IF('Design Fee'!EF95&gt;0,"✔","-")</f>
        <v>-</v>
      </c>
      <c r="BR93" s="198" t="str">
        <f>IF('Design Fee'!EG95&gt;0,"✔","-")</f>
        <v>-</v>
      </c>
      <c r="BS93" s="220" t="str">
        <f>IF('Design Fee'!EH95&gt;0,"✔","-")</f>
        <v>-</v>
      </c>
      <c r="BT93" s="137"/>
      <c r="BU93" s="198" t="str">
        <f>IF('Design Fee'!EJ95&gt;0,"✔","-")</f>
        <v>-</v>
      </c>
      <c r="BV93" s="198" t="str">
        <f>IF('Design Fee'!EK95&gt;0,"✔","-")</f>
        <v>-</v>
      </c>
      <c r="BW93" s="198" t="str">
        <f>IF('Design Fee'!EL95&gt;0,"✔","-")</f>
        <v>-</v>
      </c>
      <c r="BX93" s="198" t="str">
        <f>IF('Design Fee'!EM95&gt;0,"✔","-")</f>
        <v>-</v>
      </c>
      <c r="BY93" s="198" t="str">
        <f>IF('Design Fee'!EN95&gt;0,"✔","-")</f>
        <v>-</v>
      </c>
      <c r="BZ93" s="137"/>
    </row>
    <row r="94" spans="2:78" ht="12.75" outlineLevel="2">
      <c r="B94" s="217" t="s">
        <v>105</v>
      </c>
      <c r="C94" s="218">
        <v>10</v>
      </c>
      <c r="D94" s="219" t="s">
        <v>71</v>
      </c>
      <c r="E94" s="137"/>
      <c r="F94" s="197">
        <f t="shared" si="207"/>
        <v>1</v>
      </c>
      <c r="G94" s="198">
        <f t="shared" si="208"/>
        <v>1</v>
      </c>
      <c r="H94" s="198">
        <f t="shared" si="208"/>
        <v>1</v>
      </c>
      <c r="I94" s="198">
        <f t="shared" si="209"/>
        <v>0</v>
      </c>
      <c r="J94" s="184"/>
      <c r="K94" s="195"/>
      <c r="L94" s="196"/>
      <c r="M94" s="197" t="str">
        <f>IF('Design Fee'!W96&gt;0,"✔","-")</f>
        <v>✔</v>
      </c>
      <c r="N94" s="197" t="str">
        <f>IF('Design Fee'!X96&gt;0,"✔","-")</f>
        <v>✔</v>
      </c>
      <c r="O94" s="198" t="str">
        <f>IF('Design Fee'!Y96&gt;0,"✔","-")</f>
        <v>✔</v>
      </c>
      <c r="P94" s="198" t="str">
        <f>IF('Design Fee'!Z96&gt;0,"✔","-")</f>
        <v>-</v>
      </c>
      <c r="Q94" s="198" t="str">
        <f>IF('Design Fee'!AA96&gt;0,"✔","-")</f>
        <v>-</v>
      </c>
      <c r="R94" s="198" t="str">
        <f>IF('Design Fee'!AB96&gt;0,"✔","-")</f>
        <v>-</v>
      </c>
      <c r="S94" s="198" t="str">
        <f>IF('Design Fee'!AC96&gt;0,"✔","-")</f>
        <v>-</v>
      </c>
      <c r="T94" s="220" t="str">
        <f>IF('Design Fee'!AD96&gt;0,"✔","-")</f>
        <v>-</v>
      </c>
      <c r="U94" s="184"/>
      <c r="V94" s="198" t="str">
        <f>IF('Design Fee'!AF96&gt;0,"✔","-")</f>
        <v>-</v>
      </c>
      <c r="W94" s="198" t="str">
        <f>IF('Design Fee'!AG96&gt;0,"✔","-")</f>
        <v>-</v>
      </c>
      <c r="X94" s="198" t="str">
        <f>IF('Design Fee'!AH96&gt;0,"✔","-")</f>
        <v>-</v>
      </c>
      <c r="Y94" s="198" t="str">
        <f>IF('Design Fee'!AI96&gt;0,"✔","-")</f>
        <v>-</v>
      </c>
      <c r="Z94" s="198" t="str">
        <f>IF('Design Fee'!AJ96&gt;0,"✔","-")</f>
        <v>-</v>
      </c>
      <c r="AA94" s="184"/>
      <c r="AB94" s="195"/>
      <c r="AC94" s="196"/>
      <c r="AD94" s="197" t="str">
        <f>IF('Design Fee'!BG96&gt;0,"✔","-")</f>
        <v>-</v>
      </c>
      <c r="AE94" s="197" t="str">
        <f>IF('Design Fee'!BH96&gt;0,"✔","-")</f>
        <v>-</v>
      </c>
      <c r="AF94" s="198" t="str">
        <f>IF('Design Fee'!BI96&gt;0,"✔","-")</f>
        <v>-</v>
      </c>
      <c r="AG94" s="198" t="str">
        <f>IF('Design Fee'!BJ96&gt;0,"✔","-")</f>
        <v>-</v>
      </c>
      <c r="AH94" s="198" t="str">
        <f>IF('Design Fee'!BK96&gt;0,"✔","-")</f>
        <v>-</v>
      </c>
      <c r="AI94" s="198" t="str">
        <f>IF('Design Fee'!BL96&gt;0,"✔","-")</f>
        <v>-</v>
      </c>
      <c r="AJ94" s="198" t="str">
        <f>IF('Design Fee'!BM96&gt;0,"✔","-")</f>
        <v>-</v>
      </c>
      <c r="AK94" s="220" t="str">
        <f>IF('Design Fee'!BN96&gt;0,"✔","-")</f>
        <v>-</v>
      </c>
      <c r="AL94" s="199"/>
      <c r="AM94" s="198" t="str">
        <f>IF('Design Fee'!BP96&gt;0,"✔","-")</f>
        <v>-</v>
      </c>
      <c r="AN94" s="198" t="str">
        <f>IF('Design Fee'!BQ96&gt;0,"✔","-")</f>
        <v>-</v>
      </c>
      <c r="AO94" s="198" t="str">
        <f>IF('Design Fee'!BR96&gt;0,"✔","-")</f>
        <v>-</v>
      </c>
      <c r="AP94" s="198" t="str">
        <f>IF('Design Fee'!BS96&gt;0,"✔","-")</f>
        <v>-</v>
      </c>
      <c r="AQ94" s="198" t="str">
        <f>IF('Design Fee'!BT96&gt;0,"✔","-")</f>
        <v>-</v>
      </c>
      <c r="AR94" s="199"/>
      <c r="AS94" s="195"/>
      <c r="AT94" s="196"/>
      <c r="AU94" s="197" t="str">
        <f>IF('Design Fee'!CQ96&gt;0,"✔","-")</f>
        <v>-</v>
      </c>
      <c r="AV94" s="197" t="str">
        <f>IF('Design Fee'!CR96&gt;0,"✔","-")</f>
        <v>-</v>
      </c>
      <c r="AW94" s="198" t="str">
        <f>IF('Design Fee'!CS96&gt;0,"✔","-")</f>
        <v>-</v>
      </c>
      <c r="AX94" s="198" t="str">
        <f>IF('Design Fee'!CT96&gt;0,"✔","-")</f>
        <v>-</v>
      </c>
      <c r="AY94" s="198" t="str">
        <f>IF('Design Fee'!CU96&gt;0,"✔","-")</f>
        <v>-</v>
      </c>
      <c r="AZ94" s="198" t="str">
        <f>IF('Design Fee'!CV96&gt;0,"✔","-")</f>
        <v>-</v>
      </c>
      <c r="BA94" s="198" t="str">
        <f>IF('Design Fee'!CW96&gt;0,"✔","-")</f>
        <v>-</v>
      </c>
      <c r="BB94" s="220" t="str">
        <f>IF('Design Fee'!CX96&gt;0,"✔","-")</f>
        <v>-</v>
      </c>
      <c r="BC94" s="199"/>
      <c r="BD94" s="198" t="str">
        <f>IF('Design Fee'!CZ96&gt;0,"✔","-")</f>
        <v>-</v>
      </c>
      <c r="BE94" s="198" t="str">
        <f>IF('Design Fee'!DA96&gt;0,"✔","-")</f>
        <v>-</v>
      </c>
      <c r="BF94" s="198" t="str">
        <f>IF('Design Fee'!DB96&gt;0,"✔","-")</f>
        <v>-</v>
      </c>
      <c r="BG94" s="198" t="str">
        <f>IF('Design Fee'!DC96&gt;0,"✔","-")</f>
        <v>-</v>
      </c>
      <c r="BH94" s="198" t="str">
        <f>IF('Design Fee'!DD96&gt;0,"✔","-")</f>
        <v>-</v>
      </c>
      <c r="BI94" s="199"/>
      <c r="BJ94" s="195"/>
      <c r="BK94" s="196"/>
      <c r="BL94" s="197" t="str">
        <f>IF('Design Fee'!EA96&gt;0,"✔","-")</f>
        <v>-</v>
      </c>
      <c r="BM94" s="197" t="str">
        <f>IF('Design Fee'!EB96&gt;0,"✔","-")</f>
        <v>-</v>
      </c>
      <c r="BN94" s="198" t="str">
        <f>IF('Design Fee'!EC96&gt;0,"✔","-")</f>
        <v>-</v>
      </c>
      <c r="BO94" s="198" t="str">
        <f>IF('Design Fee'!ED96&gt;0,"✔","-")</f>
        <v>-</v>
      </c>
      <c r="BP94" s="198" t="str">
        <f>IF('Design Fee'!EE96&gt;0,"✔","-")</f>
        <v>-</v>
      </c>
      <c r="BQ94" s="198" t="str">
        <f>IF('Design Fee'!EF96&gt;0,"✔","-")</f>
        <v>-</v>
      </c>
      <c r="BR94" s="198" t="str">
        <f>IF('Design Fee'!EG96&gt;0,"✔","-")</f>
        <v>-</v>
      </c>
      <c r="BS94" s="220" t="str">
        <f>IF('Design Fee'!EH96&gt;0,"✔","-")</f>
        <v>-</v>
      </c>
      <c r="BT94" s="137"/>
      <c r="BU94" s="198" t="str">
        <f>IF('Design Fee'!EJ96&gt;0,"✔","-")</f>
        <v>-</v>
      </c>
      <c r="BV94" s="198" t="str">
        <f>IF('Design Fee'!EK96&gt;0,"✔","-")</f>
        <v>-</v>
      </c>
      <c r="BW94" s="198" t="str">
        <f>IF('Design Fee'!EL96&gt;0,"✔","-")</f>
        <v>-</v>
      </c>
      <c r="BX94" s="198" t="str">
        <f>IF('Design Fee'!EM96&gt;0,"✔","-")</f>
        <v>-</v>
      </c>
      <c r="BY94" s="198" t="str">
        <f>IF('Design Fee'!EN96&gt;0,"✔","-")</f>
        <v>-</v>
      </c>
      <c r="BZ94" s="137"/>
    </row>
    <row r="95" spans="2:78" ht="3" customHeight="1" outlineLevel="1">
      <c r="B95" s="231"/>
      <c r="C95" s="232"/>
      <c r="D95" s="219"/>
      <c r="E95" s="137"/>
      <c r="F95" s="162"/>
      <c r="G95" s="175"/>
      <c r="H95" s="175"/>
      <c r="I95" s="175"/>
      <c r="J95" s="184"/>
      <c r="K95" s="195"/>
      <c r="L95" s="196"/>
      <c r="M95" s="197"/>
      <c r="N95" s="197"/>
      <c r="O95" s="198"/>
      <c r="P95" s="198"/>
      <c r="Q95" s="198"/>
      <c r="R95" s="198"/>
      <c r="S95" s="198"/>
      <c r="T95" s="198"/>
      <c r="U95" s="184"/>
      <c r="V95" s="198"/>
      <c r="W95" s="198"/>
      <c r="X95" s="198"/>
      <c r="Y95" s="198"/>
      <c r="Z95" s="198"/>
      <c r="AA95" s="184"/>
      <c r="AB95" s="195"/>
      <c r="AC95" s="196"/>
      <c r="AD95" s="197"/>
      <c r="AE95" s="197"/>
      <c r="AF95" s="175"/>
      <c r="AG95" s="175"/>
      <c r="AH95" s="175"/>
      <c r="AI95" s="175"/>
      <c r="AJ95" s="175"/>
      <c r="AK95" s="175"/>
      <c r="AL95" s="175"/>
      <c r="AM95" s="175"/>
      <c r="AN95" s="175"/>
      <c r="AO95" s="175"/>
      <c r="AP95" s="175"/>
      <c r="AQ95" s="175"/>
      <c r="AR95" s="175"/>
      <c r="AS95" s="195"/>
      <c r="AT95" s="175"/>
      <c r="AU95" s="197"/>
      <c r="AV95" s="197"/>
      <c r="AW95" s="175"/>
      <c r="AX95" s="175"/>
      <c r="AY95" s="175"/>
      <c r="AZ95" s="175"/>
      <c r="BA95" s="175"/>
      <c r="BB95" s="175"/>
      <c r="BC95" s="175"/>
      <c r="BD95" s="175"/>
      <c r="BE95" s="175"/>
      <c r="BF95" s="175"/>
      <c r="BG95" s="175"/>
      <c r="BH95" s="175"/>
      <c r="BI95" s="175"/>
      <c r="BJ95" s="195"/>
      <c r="BK95" s="175"/>
      <c r="BL95" s="197"/>
      <c r="BM95" s="197"/>
      <c r="BN95" s="175"/>
      <c r="BO95" s="175"/>
      <c r="BP95" s="175"/>
      <c r="BQ95" s="175"/>
      <c r="BR95" s="175"/>
      <c r="BS95" s="175"/>
      <c r="BT95" s="137"/>
      <c r="BU95" s="175"/>
      <c r="BV95" s="175"/>
      <c r="BW95" s="175"/>
      <c r="BX95" s="175"/>
      <c r="BY95" s="175"/>
      <c r="BZ95" s="137"/>
    </row>
    <row r="96" spans="2:78" ht="12.75" outlineLevel="1">
      <c r="B96" s="186">
        <v>8</v>
      </c>
      <c r="C96" s="213">
        <v>5</v>
      </c>
      <c r="D96" s="214" t="s">
        <v>106</v>
      </c>
      <c r="E96" s="188"/>
      <c r="F96" s="215">
        <f>M96+AD96+AU96+BL96</f>
        <v>21</v>
      </c>
      <c r="G96" s="215">
        <f t="shared" ref="G96:I96" si="210">N96+AE96+AV96+BM96</f>
        <v>21</v>
      </c>
      <c r="H96" s="215">
        <f t="shared" si="210"/>
        <v>21</v>
      </c>
      <c r="I96" s="215">
        <f t="shared" si="210"/>
        <v>0</v>
      </c>
      <c r="J96" s="192">
        <f t="shared" ref="J96" si="211">COUNT(J97:J106)</f>
        <v>0</v>
      </c>
      <c r="K96" s="189"/>
      <c r="L96" s="189"/>
      <c r="M96" s="215">
        <f>COUNTIF(M97:M106,"✔")</f>
        <v>8</v>
      </c>
      <c r="N96" s="215">
        <f t="shared" ref="N96" si="212">COUNTIF(N97:N106,"✔")</f>
        <v>8</v>
      </c>
      <c r="O96" s="215">
        <f t="shared" ref="O96" si="213">COUNTIF(O97:O106,"✔")</f>
        <v>8</v>
      </c>
      <c r="P96" s="215">
        <f t="shared" ref="P96" si="214">COUNTIF(P97:P106,"✔")</f>
        <v>0</v>
      </c>
      <c r="Q96" s="215">
        <f t="shared" ref="Q96" si="215">COUNTIF(Q97:Q106,"✔")</f>
        <v>0</v>
      </c>
      <c r="R96" s="215">
        <f t="shared" ref="R96" si="216">COUNTIF(R97:R106,"✔")</f>
        <v>0</v>
      </c>
      <c r="S96" s="215">
        <f t="shared" ref="S96" si="217">COUNTIF(S97:S106,"✔")</f>
        <v>0</v>
      </c>
      <c r="T96" s="215">
        <f t="shared" ref="T96" si="218">COUNTIF(T97:T106,"✔")</f>
        <v>0</v>
      </c>
      <c r="U96" s="215">
        <f t="shared" ref="U96" si="219">COUNTIF(U97:U106,"✔")</f>
        <v>0</v>
      </c>
      <c r="V96" s="215">
        <f t="shared" ref="V96" si="220">COUNTIF(V97:V106,"✔")</f>
        <v>0</v>
      </c>
      <c r="W96" s="215">
        <f t="shared" ref="W96" si="221">COUNTIF(W97:W106,"✔")</f>
        <v>0</v>
      </c>
      <c r="X96" s="215">
        <f t="shared" ref="X96" si="222">COUNTIF(X97:X106,"✔")</f>
        <v>0</v>
      </c>
      <c r="Y96" s="215">
        <f t="shared" ref="Y96" si="223">COUNTIF(Y97:Y106,"✔")</f>
        <v>0</v>
      </c>
      <c r="Z96" s="215">
        <f t="shared" ref="Z96" si="224">COUNTIF(Z97:Z106,"✔")</f>
        <v>0</v>
      </c>
      <c r="AA96" s="215">
        <f t="shared" ref="AA96" si="225">COUNTIF(AA97:AA106,"✔")</f>
        <v>0</v>
      </c>
      <c r="AB96" s="189"/>
      <c r="AC96" s="215">
        <f t="shared" ref="AC96" si="226">COUNTIF(AC97:AC106,"✔")</f>
        <v>0</v>
      </c>
      <c r="AD96" s="215">
        <f t="shared" ref="AD96" si="227">COUNTIF(AD97:AD106,"✔")</f>
        <v>6</v>
      </c>
      <c r="AE96" s="215">
        <f t="shared" ref="AE96" si="228">COUNTIF(AE97:AE106,"✔")</f>
        <v>6</v>
      </c>
      <c r="AF96" s="215">
        <f t="shared" ref="AF96" si="229">COUNTIF(AF97:AF106,"✔")</f>
        <v>6</v>
      </c>
      <c r="AG96" s="215">
        <f t="shared" ref="AG96" si="230">COUNTIF(AG97:AG106,"✔")</f>
        <v>0</v>
      </c>
      <c r="AH96" s="215">
        <f t="shared" ref="AH96" si="231">COUNTIF(AH97:AH106,"✔")</f>
        <v>0</v>
      </c>
      <c r="AI96" s="215">
        <f t="shared" ref="AI96" si="232">COUNTIF(AI97:AI106,"✔")</f>
        <v>0</v>
      </c>
      <c r="AJ96" s="215">
        <f t="shared" ref="AJ96" si="233">COUNTIF(AJ97:AJ106,"✔")</f>
        <v>0</v>
      </c>
      <c r="AK96" s="215">
        <f t="shared" ref="AK96" si="234">COUNTIF(AK97:AK106,"✔")</f>
        <v>0</v>
      </c>
      <c r="AL96" s="215">
        <f t="shared" ref="AL96" si="235">COUNTIF(AL97:AL106,"✔")</f>
        <v>0</v>
      </c>
      <c r="AM96" s="215">
        <f t="shared" ref="AM96" si="236">COUNTIF(AM97:AM106,"✔")</f>
        <v>0</v>
      </c>
      <c r="AN96" s="215">
        <f t="shared" ref="AN96" si="237">COUNTIF(AN97:AN106,"✔")</f>
        <v>0</v>
      </c>
      <c r="AO96" s="215">
        <f t="shared" ref="AO96" si="238">COUNTIF(AO97:AO106,"✔")</f>
        <v>0</v>
      </c>
      <c r="AP96" s="215">
        <f t="shared" ref="AP96" si="239">COUNTIF(AP97:AP106,"✔")</f>
        <v>0</v>
      </c>
      <c r="AQ96" s="215">
        <f t="shared" ref="AQ96" si="240">COUNTIF(AQ97:AQ106,"✔")</f>
        <v>0</v>
      </c>
      <c r="AR96" s="215">
        <f t="shared" ref="AR96" si="241">COUNTIF(AR97:AR106,"✔")</f>
        <v>0</v>
      </c>
      <c r="AS96" s="189"/>
      <c r="AT96" s="215">
        <f t="shared" ref="AT96" si="242">COUNTIF(AT97:AT106,"✔")</f>
        <v>0</v>
      </c>
      <c r="AU96" s="215">
        <f t="shared" ref="AU96" si="243">COUNTIF(AU97:AU106,"✔")</f>
        <v>5</v>
      </c>
      <c r="AV96" s="215">
        <f t="shared" ref="AV96" si="244">COUNTIF(AV97:AV106,"✔")</f>
        <v>5</v>
      </c>
      <c r="AW96" s="215">
        <f t="shared" ref="AW96" si="245">COUNTIF(AW97:AW106,"✔")</f>
        <v>5</v>
      </c>
      <c r="AX96" s="215">
        <f t="shared" ref="AX96" si="246">COUNTIF(AX97:AX106,"✔")</f>
        <v>0</v>
      </c>
      <c r="AY96" s="215">
        <f t="shared" ref="AY96" si="247">COUNTIF(AY97:AY106,"✔")</f>
        <v>0</v>
      </c>
      <c r="AZ96" s="215">
        <f t="shared" ref="AZ96" si="248">COUNTIF(AZ97:AZ106,"✔")</f>
        <v>0</v>
      </c>
      <c r="BA96" s="215">
        <f t="shared" ref="BA96" si="249">COUNTIF(BA97:BA106,"✔")</f>
        <v>0</v>
      </c>
      <c r="BB96" s="215">
        <f t="shared" ref="BB96" si="250">COUNTIF(BB97:BB106,"✔")</f>
        <v>0</v>
      </c>
      <c r="BC96" s="215">
        <f t="shared" ref="BC96" si="251">COUNTIF(BC97:BC106,"✔")</f>
        <v>0</v>
      </c>
      <c r="BD96" s="215">
        <f t="shared" ref="BD96" si="252">COUNTIF(BD97:BD106,"✔")</f>
        <v>0</v>
      </c>
      <c r="BE96" s="215">
        <f t="shared" ref="BE96" si="253">COUNTIF(BE97:BE106,"✔")</f>
        <v>0</v>
      </c>
      <c r="BF96" s="215">
        <f t="shared" ref="BF96" si="254">COUNTIF(BF97:BF106,"✔")</f>
        <v>0</v>
      </c>
      <c r="BG96" s="215">
        <f t="shared" ref="BG96" si="255">COUNTIF(BG97:BG106,"✔")</f>
        <v>0</v>
      </c>
      <c r="BH96" s="215">
        <f t="shared" ref="BH96" si="256">COUNTIF(BH97:BH106,"✔")</f>
        <v>0</v>
      </c>
      <c r="BI96" s="215">
        <f t="shared" ref="BI96" si="257">COUNTIF(BI97:BI106,"✔")</f>
        <v>0</v>
      </c>
      <c r="BJ96" s="189"/>
      <c r="BK96" s="215">
        <f t="shared" ref="BK96" si="258">COUNTIF(BK97:BK106,"✔")</f>
        <v>0</v>
      </c>
      <c r="BL96" s="215">
        <f t="shared" ref="BL96" si="259">COUNTIF(BL97:BL106,"✔")</f>
        <v>2</v>
      </c>
      <c r="BM96" s="215">
        <f t="shared" ref="BM96" si="260">COUNTIF(BM97:BM106,"✔")</f>
        <v>2</v>
      </c>
      <c r="BN96" s="215">
        <f t="shared" ref="BN96" si="261">COUNTIF(BN97:BN106,"✔")</f>
        <v>2</v>
      </c>
      <c r="BO96" s="215">
        <f t="shared" ref="BO96" si="262">COUNTIF(BO97:BO106,"✔")</f>
        <v>0</v>
      </c>
      <c r="BP96" s="215">
        <f t="shared" ref="BP96" si="263">COUNTIF(BP97:BP106,"✔")</f>
        <v>0</v>
      </c>
      <c r="BQ96" s="215">
        <f t="shared" ref="BQ96" si="264">COUNTIF(BQ97:BQ106,"✔")</f>
        <v>0</v>
      </c>
      <c r="BR96" s="215">
        <f t="shared" ref="BR96" si="265">COUNTIF(BR97:BR106,"✔")</f>
        <v>0</v>
      </c>
      <c r="BS96" s="215">
        <f t="shared" ref="BS96" si="266">COUNTIF(BS97:BS106,"✔")</f>
        <v>0</v>
      </c>
      <c r="BT96" s="137"/>
      <c r="BU96" s="215">
        <f t="shared" ref="BU96" si="267">COUNTIF(BU97:BU106,"✔")</f>
        <v>0</v>
      </c>
      <c r="BV96" s="215">
        <f t="shared" ref="BV96" si="268">COUNTIF(BV97:BV106,"✔")</f>
        <v>0</v>
      </c>
      <c r="BW96" s="215">
        <f t="shared" ref="BW96" si="269">COUNTIF(BW97:BW106,"✔")</f>
        <v>0</v>
      </c>
      <c r="BX96" s="215">
        <f t="shared" ref="BX96" si="270">COUNTIF(BX97:BX106,"✔")</f>
        <v>0</v>
      </c>
      <c r="BY96" s="215">
        <f t="shared" ref="BY96" si="271">COUNTIF(BY97:BY106,"✔")</f>
        <v>0</v>
      </c>
      <c r="BZ96" s="137"/>
    </row>
    <row r="97" spans="2:78" ht="12.75" outlineLevel="2">
      <c r="B97" s="217" t="s">
        <v>107</v>
      </c>
      <c r="C97" s="218">
        <v>1</v>
      </c>
      <c r="D97" s="219" t="s">
        <v>52</v>
      </c>
      <c r="E97" s="137"/>
      <c r="F97" s="197">
        <f t="shared" ref="F97:F105" si="272">COUNTIF(M97,"✔")+COUNTIF(AD97,"✔")+COUNTIF(BL97,"✔")+COUNTIF(AU97,"✔")</f>
        <v>3</v>
      </c>
      <c r="G97" s="198">
        <f t="shared" ref="G97:H105" si="273">COUNTIF(N97,"✔")+COUNTIF(AE97,"✔")+COUNTIF(BM97,"✔")+COUNTIF(AV97,"✔")</f>
        <v>3</v>
      </c>
      <c r="H97" s="198">
        <f t="shared" si="273"/>
        <v>3</v>
      </c>
      <c r="I97" s="198">
        <f t="shared" ref="I97:I105" si="274">F97-G97</f>
        <v>0</v>
      </c>
      <c r="J97" s="184"/>
      <c r="K97" s="225"/>
      <c r="L97" s="196"/>
      <c r="M97" s="197" t="str">
        <f>IF('Design Fee'!W99&gt;0,"✔","-")</f>
        <v>✔</v>
      </c>
      <c r="N97" s="197" t="str">
        <f>IF('Design Fee'!X99&gt;0,"✔","-")</f>
        <v>✔</v>
      </c>
      <c r="O97" s="198" t="str">
        <f>IF('Design Fee'!Y99&gt;0,"✔","-")</f>
        <v>✔</v>
      </c>
      <c r="P97" s="198" t="str">
        <f>IF('Design Fee'!Z99&gt;0,"✔","-")</f>
        <v>-</v>
      </c>
      <c r="Q97" s="198" t="str">
        <f>IF('Design Fee'!AA99&gt;0,"✔","-")</f>
        <v>-</v>
      </c>
      <c r="R97" s="198" t="str">
        <f>IF('Design Fee'!AB99&gt;0,"✔","-")</f>
        <v>-</v>
      </c>
      <c r="S97" s="198" t="str">
        <f>IF('Design Fee'!AC99&gt;0,"✔","-")</f>
        <v>-</v>
      </c>
      <c r="T97" s="220" t="str">
        <f>IF('Design Fee'!AD99&gt;0,"✔","-")</f>
        <v>-</v>
      </c>
      <c r="U97" s="184"/>
      <c r="V97" s="198" t="str">
        <f>IF('Design Fee'!AF99&gt;0,"✔","-")</f>
        <v>-</v>
      </c>
      <c r="W97" s="198" t="str">
        <f>IF('Design Fee'!AG99&gt;0,"✔","-")</f>
        <v>-</v>
      </c>
      <c r="X97" s="198" t="str">
        <f>IF('Design Fee'!AH99&gt;0,"✔","-")</f>
        <v>-</v>
      </c>
      <c r="Y97" s="198" t="str">
        <f>IF('Design Fee'!AI99&gt;0,"✔","-")</f>
        <v>-</v>
      </c>
      <c r="Z97" s="198" t="str">
        <f>IF('Design Fee'!AJ99&gt;0,"✔","-")</f>
        <v>-</v>
      </c>
      <c r="AA97" s="184"/>
      <c r="AB97" s="225"/>
      <c r="AC97" s="196"/>
      <c r="AD97" s="197" t="str">
        <f>IF('Design Fee'!BG99&gt;0,"✔","-")</f>
        <v>✔</v>
      </c>
      <c r="AE97" s="197" t="str">
        <f>IF('Design Fee'!BH99&gt;0,"✔","-")</f>
        <v>✔</v>
      </c>
      <c r="AF97" s="198" t="str">
        <f>IF('Design Fee'!BI99&gt;0,"✔","-")</f>
        <v>✔</v>
      </c>
      <c r="AG97" s="198" t="str">
        <f>IF('Design Fee'!BJ99&gt;0,"✔","-")</f>
        <v>-</v>
      </c>
      <c r="AH97" s="198" t="str">
        <f>IF('Design Fee'!BK99&gt;0,"✔","-")</f>
        <v>-</v>
      </c>
      <c r="AI97" s="198" t="str">
        <f>IF('Design Fee'!BL99&gt;0,"✔","-")</f>
        <v>-</v>
      </c>
      <c r="AJ97" s="198" t="str">
        <f>IF('Design Fee'!BM99&gt;0,"✔","-")</f>
        <v>-</v>
      </c>
      <c r="AK97" s="220" t="str">
        <f>IF('Design Fee'!BN99&gt;0,"✔","-")</f>
        <v>-</v>
      </c>
      <c r="AL97" s="199"/>
      <c r="AM97" s="198" t="str">
        <f>IF('Design Fee'!BP99&gt;0,"✔","-")</f>
        <v>-</v>
      </c>
      <c r="AN97" s="198" t="str">
        <f>IF('Design Fee'!BQ99&gt;0,"✔","-")</f>
        <v>-</v>
      </c>
      <c r="AO97" s="198" t="str">
        <f>IF('Design Fee'!BR99&gt;0,"✔","-")</f>
        <v>-</v>
      </c>
      <c r="AP97" s="198" t="str">
        <f>IF('Design Fee'!BS99&gt;0,"✔","-")</f>
        <v>-</v>
      </c>
      <c r="AQ97" s="198" t="str">
        <f>IF('Design Fee'!BT99&gt;0,"✔","-")</f>
        <v>-</v>
      </c>
      <c r="AR97" s="199"/>
      <c r="AS97" s="225"/>
      <c r="AT97" s="196"/>
      <c r="AU97" s="197" t="str">
        <f>IF('Design Fee'!CQ99&gt;0,"✔","-")</f>
        <v>✔</v>
      </c>
      <c r="AV97" s="197" t="str">
        <f>IF('Design Fee'!CR99&gt;0,"✔","-")</f>
        <v>✔</v>
      </c>
      <c r="AW97" s="198" t="str">
        <f>IF('Design Fee'!CS99&gt;0,"✔","-")</f>
        <v>✔</v>
      </c>
      <c r="AX97" s="198" t="str">
        <f>IF('Design Fee'!CT99&gt;0,"✔","-")</f>
        <v>-</v>
      </c>
      <c r="AY97" s="198" t="str">
        <f>IF('Design Fee'!CU99&gt;0,"✔","-")</f>
        <v>-</v>
      </c>
      <c r="AZ97" s="198" t="str">
        <f>IF('Design Fee'!CV99&gt;0,"✔","-")</f>
        <v>-</v>
      </c>
      <c r="BA97" s="198" t="str">
        <f>IF('Design Fee'!CW99&gt;0,"✔","-")</f>
        <v>-</v>
      </c>
      <c r="BB97" s="220" t="str">
        <f>IF('Design Fee'!CX99&gt;0,"✔","-")</f>
        <v>-</v>
      </c>
      <c r="BC97" s="199"/>
      <c r="BD97" s="198" t="str">
        <f>IF('Design Fee'!CZ99&gt;0,"✔","-")</f>
        <v>-</v>
      </c>
      <c r="BE97" s="198" t="str">
        <f>IF('Design Fee'!DA99&gt;0,"✔","-")</f>
        <v>-</v>
      </c>
      <c r="BF97" s="198" t="str">
        <f>IF('Design Fee'!DB99&gt;0,"✔","-")</f>
        <v>-</v>
      </c>
      <c r="BG97" s="198" t="str">
        <f>IF('Design Fee'!DC99&gt;0,"✔","-")</f>
        <v>-</v>
      </c>
      <c r="BH97" s="198" t="str">
        <f>IF('Design Fee'!DD99&gt;0,"✔","-")</f>
        <v>-</v>
      </c>
      <c r="BI97" s="199"/>
      <c r="BJ97" s="225"/>
      <c r="BK97" s="196"/>
      <c r="BL97" s="197" t="str">
        <f>IF('Design Fee'!EA99&gt;0,"✔","-")</f>
        <v>-</v>
      </c>
      <c r="BM97" s="197" t="str">
        <f>IF('Design Fee'!EB99&gt;0,"✔","-")</f>
        <v>-</v>
      </c>
      <c r="BN97" s="198" t="str">
        <f>IF('Design Fee'!EC99&gt;0,"✔","-")</f>
        <v>-</v>
      </c>
      <c r="BO97" s="198" t="str">
        <f>IF('Design Fee'!ED99&gt;0,"✔","-")</f>
        <v>-</v>
      </c>
      <c r="BP97" s="198" t="str">
        <f>IF('Design Fee'!EE99&gt;0,"✔","-")</f>
        <v>-</v>
      </c>
      <c r="BQ97" s="198" t="str">
        <f>IF('Design Fee'!EF99&gt;0,"✔","-")</f>
        <v>-</v>
      </c>
      <c r="BR97" s="198" t="str">
        <f>IF('Design Fee'!EG99&gt;0,"✔","-")</f>
        <v>-</v>
      </c>
      <c r="BS97" s="220" t="str">
        <f>IF('Design Fee'!EH99&gt;0,"✔","-")</f>
        <v>-</v>
      </c>
      <c r="BT97" s="137"/>
      <c r="BU97" s="198" t="str">
        <f>IF('Design Fee'!EJ99&gt;0,"✔","-")</f>
        <v>-</v>
      </c>
      <c r="BV97" s="198" t="str">
        <f>IF('Design Fee'!EK99&gt;0,"✔","-")</f>
        <v>-</v>
      </c>
      <c r="BW97" s="198" t="str">
        <f>IF('Design Fee'!EL99&gt;0,"✔","-")</f>
        <v>-</v>
      </c>
      <c r="BX97" s="198" t="str">
        <f>IF('Design Fee'!EM99&gt;0,"✔","-")</f>
        <v>-</v>
      </c>
      <c r="BY97" s="198" t="str">
        <f>IF('Design Fee'!EN99&gt;0,"✔","-")</f>
        <v>-</v>
      </c>
      <c r="BZ97" s="137"/>
    </row>
    <row r="98" spans="2:78" ht="12.75" outlineLevel="2">
      <c r="B98" s="217" t="s">
        <v>108</v>
      </c>
      <c r="C98" s="218">
        <v>2</v>
      </c>
      <c r="D98" s="219" t="s">
        <v>54</v>
      </c>
      <c r="E98" s="137"/>
      <c r="F98" s="197">
        <f t="shared" si="272"/>
        <v>1</v>
      </c>
      <c r="G98" s="198">
        <f t="shared" si="273"/>
        <v>1</v>
      </c>
      <c r="H98" s="198">
        <f t="shared" si="273"/>
        <v>1</v>
      </c>
      <c r="I98" s="198">
        <f t="shared" si="274"/>
        <v>0</v>
      </c>
      <c r="J98" s="221"/>
      <c r="K98" s="195"/>
      <c r="L98" s="196"/>
      <c r="M98" s="197" t="str">
        <f>IF('Design Fee'!W100&gt;0,"✔","-")</f>
        <v>-</v>
      </c>
      <c r="N98" s="197" t="str">
        <f>IF('Design Fee'!X100&gt;0,"✔","-")</f>
        <v>-</v>
      </c>
      <c r="O98" s="198" t="str">
        <f>IF('Design Fee'!Y100&gt;0,"✔","-")</f>
        <v>-</v>
      </c>
      <c r="P98" s="198" t="str">
        <f>IF('Design Fee'!Z100&gt;0,"✔","-")</f>
        <v>-</v>
      </c>
      <c r="Q98" s="198" t="str">
        <f>IF('Design Fee'!AA100&gt;0,"✔","-")</f>
        <v>-</v>
      </c>
      <c r="R98" s="198" t="str">
        <f>IF('Design Fee'!AB100&gt;0,"✔","-")</f>
        <v>-</v>
      </c>
      <c r="S98" s="198" t="str">
        <f>IF('Design Fee'!AC100&gt;0,"✔","-")</f>
        <v>-</v>
      </c>
      <c r="T98" s="220" t="str">
        <f>IF('Design Fee'!AD100&gt;0,"✔","-")</f>
        <v>-</v>
      </c>
      <c r="U98" s="221"/>
      <c r="V98" s="198" t="str">
        <f>IF('Design Fee'!AF100&gt;0,"✔","-")</f>
        <v>-</v>
      </c>
      <c r="W98" s="198" t="str">
        <f>IF('Design Fee'!AG100&gt;0,"✔","-")</f>
        <v>-</v>
      </c>
      <c r="X98" s="198" t="str">
        <f>IF('Design Fee'!AH100&gt;0,"✔","-")</f>
        <v>-</v>
      </c>
      <c r="Y98" s="198" t="str">
        <f>IF('Design Fee'!AI100&gt;0,"✔","-")</f>
        <v>-</v>
      </c>
      <c r="Z98" s="198" t="str">
        <f>IF('Design Fee'!AJ100&gt;0,"✔","-")</f>
        <v>-</v>
      </c>
      <c r="AA98" s="221"/>
      <c r="AB98" s="195"/>
      <c r="AC98" s="196"/>
      <c r="AD98" s="197" t="str">
        <f>IF('Design Fee'!BG100&gt;0,"✔","-")</f>
        <v>✔</v>
      </c>
      <c r="AE98" s="197" t="str">
        <f>IF('Design Fee'!BH100&gt;0,"✔","-")</f>
        <v>✔</v>
      </c>
      <c r="AF98" s="198" t="str">
        <f>IF('Design Fee'!BI100&gt;0,"✔","-")</f>
        <v>✔</v>
      </c>
      <c r="AG98" s="198" t="str">
        <f>IF('Design Fee'!BJ100&gt;0,"✔","-")</f>
        <v>-</v>
      </c>
      <c r="AH98" s="198" t="str">
        <f>IF('Design Fee'!BK100&gt;0,"✔","-")</f>
        <v>-</v>
      </c>
      <c r="AI98" s="198" t="str">
        <f>IF('Design Fee'!BL100&gt;0,"✔","-")</f>
        <v>-</v>
      </c>
      <c r="AJ98" s="198" t="str">
        <f>IF('Design Fee'!BM100&gt;0,"✔","-")</f>
        <v>-</v>
      </c>
      <c r="AK98" s="220" t="str">
        <f>IF('Design Fee'!BN100&gt;0,"✔","-")</f>
        <v>-</v>
      </c>
      <c r="AL98" s="199"/>
      <c r="AM98" s="198" t="str">
        <f>IF('Design Fee'!BP100&gt;0,"✔","-")</f>
        <v>-</v>
      </c>
      <c r="AN98" s="198" t="str">
        <f>IF('Design Fee'!BQ100&gt;0,"✔","-")</f>
        <v>-</v>
      </c>
      <c r="AO98" s="198" t="str">
        <f>IF('Design Fee'!BR100&gt;0,"✔","-")</f>
        <v>-</v>
      </c>
      <c r="AP98" s="198" t="str">
        <f>IF('Design Fee'!BS100&gt;0,"✔","-")</f>
        <v>-</v>
      </c>
      <c r="AQ98" s="198" t="str">
        <f>IF('Design Fee'!BT100&gt;0,"✔","-")</f>
        <v>-</v>
      </c>
      <c r="AR98" s="199"/>
      <c r="AS98" s="195"/>
      <c r="AT98" s="196"/>
      <c r="AU98" s="197" t="str">
        <f>IF('Design Fee'!CQ100&gt;0,"✔","-")</f>
        <v>-</v>
      </c>
      <c r="AV98" s="197" t="str">
        <f>IF('Design Fee'!CR100&gt;0,"✔","-")</f>
        <v>-</v>
      </c>
      <c r="AW98" s="198" t="str">
        <f>IF('Design Fee'!CS100&gt;0,"✔","-")</f>
        <v>-</v>
      </c>
      <c r="AX98" s="198" t="str">
        <f>IF('Design Fee'!CT100&gt;0,"✔","-")</f>
        <v>-</v>
      </c>
      <c r="AY98" s="198" t="str">
        <f>IF('Design Fee'!CU100&gt;0,"✔","-")</f>
        <v>-</v>
      </c>
      <c r="AZ98" s="198" t="str">
        <f>IF('Design Fee'!CV100&gt;0,"✔","-")</f>
        <v>-</v>
      </c>
      <c r="BA98" s="198" t="str">
        <f>IF('Design Fee'!CW100&gt;0,"✔","-")</f>
        <v>-</v>
      </c>
      <c r="BB98" s="220" t="str">
        <f>IF('Design Fee'!CX100&gt;0,"✔","-")</f>
        <v>-</v>
      </c>
      <c r="BC98" s="199"/>
      <c r="BD98" s="198" t="str">
        <f>IF('Design Fee'!CZ100&gt;0,"✔","-")</f>
        <v>-</v>
      </c>
      <c r="BE98" s="198" t="str">
        <f>IF('Design Fee'!DA100&gt;0,"✔","-")</f>
        <v>-</v>
      </c>
      <c r="BF98" s="198" t="str">
        <f>IF('Design Fee'!DB100&gt;0,"✔","-")</f>
        <v>-</v>
      </c>
      <c r="BG98" s="198" t="str">
        <f>IF('Design Fee'!DC100&gt;0,"✔","-")</f>
        <v>-</v>
      </c>
      <c r="BH98" s="198" t="str">
        <f>IF('Design Fee'!DD100&gt;0,"✔","-")</f>
        <v>-</v>
      </c>
      <c r="BI98" s="199"/>
      <c r="BJ98" s="195"/>
      <c r="BK98" s="196"/>
      <c r="BL98" s="197" t="str">
        <f>IF('Design Fee'!EA100&gt;0,"✔","-")</f>
        <v>-</v>
      </c>
      <c r="BM98" s="197" t="str">
        <f>IF('Design Fee'!EB100&gt;0,"✔","-")</f>
        <v>-</v>
      </c>
      <c r="BN98" s="198" t="str">
        <f>IF('Design Fee'!EC100&gt;0,"✔","-")</f>
        <v>-</v>
      </c>
      <c r="BO98" s="198" t="str">
        <f>IF('Design Fee'!ED100&gt;0,"✔","-")</f>
        <v>-</v>
      </c>
      <c r="BP98" s="198" t="str">
        <f>IF('Design Fee'!EE100&gt;0,"✔","-")</f>
        <v>-</v>
      </c>
      <c r="BQ98" s="198" t="str">
        <f>IF('Design Fee'!EF100&gt;0,"✔","-")</f>
        <v>-</v>
      </c>
      <c r="BR98" s="198" t="str">
        <f>IF('Design Fee'!EG100&gt;0,"✔","-")</f>
        <v>-</v>
      </c>
      <c r="BS98" s="220" t="str">
        <f>IF('Design Fee'!EH100&gt;0,"✔","-")</f>
        <v>-</v>
      </c>
      <c r="BT98" s="137"/>
      <c r="BU98" s="198" t="str">
        <f>IF('Design Fee'!EJ100&gt;0,"✔","-")</f>
        <v>-</v>
      </c>
      <c r="BV98" s="198" t="str">
        <f>IF('Design Fee'!EK100&gt;0,"✔","-")</f>
        <v>-</v>
      </c>
      <c r="BW98" s="198" t="str">
        <f>IF('Design Fee'!EL100&gt;0,"✔","-")</f>
        <v>-</v>
      </c>
      <c r="BX98" s="198" t="str">
        <f>IF('Design Fee'!EM100&gt;0,"✔","-")</f>
        <v>-</v>
      </c>
      <c r="BY98" s="198" t="str">
        <f>IF('Design Fee'!EN100&gt;0,"✔","-")</f>
        <v>-</v>
      </c>
      <c r="BZ98" s="137"/>
    </row>
    <row r="99" spans="2:78" ht="12.75" outlineLevel="2">
      <c r="B99" s="217" t="s">
        <v>109</v>
      </c>
      <c r="C99" s="218">
        <v>3</v>
      </c>
      <c r="D99" s="219" t="s">
        <v>56</v>
      </c>
      <c r="E99" s="137"/>
      <c r="F99" s="197">
        <f t="shared" si="272"/>
        <v>1</v>
      </c>
      <c r="G99" s="198">
        <f t="shared" si="273"/>
        <v>1</v>
      </c>
      <c r="H99" s="198">
        <f t="shared" si="273"/>
        <v>1</v>
      </c>
      <c r="I99" s="198">
        <f t="shared" si="274"/>
        <v>0</v>
      </c>
      <c r="J99" s="221"/>
      <c r="K99" s="195"/>
      <c r="L99" s="196"/>
      <c r="M99" s="197" t="str">
        <f>IF('Design Fee'!W101&gt;0,"✔","-")</f>
        <v>✔</v>
      </c>
      <c r="N99" s="197" t="str">
        <f>IF('Design Fee'!X101&gt;0,"✔","-")</f>
        <v>✔</v>
      </c>
      <c r="O99" s="198" t="str">
        <f>IF('Design Fee'!Y101&gt;0,"✔","-")</f>
        <v>✔</v>
      </c>
      <c r="P99" s="198" t="str">
        <f>IF('Design Fee'!Z101&gt;0,"✔","-")</f>
        <v>-</v>
      </c>
      <c r="Q99" s="198" t="str">
        <f>IF('Design Fee'!AA101&gt;0,"✔","-")</f>
        <v>-</v>
      </c>
      <c r="R99" s="198" t="str">
        <f>IF('Design Fee'!AB101&gt;0,"✔","-")</f>
        <v>-</v>
      </c>
      <c r="S99" s="198" t="str">
        <f>IF('Design Fee'!AC101&gt;0,"✔","-")</f>
        <v>-</v>
      </c>
      <c r="T99" s="220" t="str">
        <f>IF('Design Fee'!AD101&gt;0,"✔","-")</f>
        <v>-</v>
      </c>
      <c r="U99" s="221"/>
      <c r="V99" s="198" t="str">
        <f>IF('Design Fee'!AF101&gt;0,"✔","-")</f>
        <v>-</v>
      </c>
      <c r="W99" s="198" t="str">
        <f>IF('Design Fee'!AG101&gt;0,"✔","-")</f>
        <v>-</v>
      </c>
      <c r="X99" s="198" t="str">
        <f>IF('Design Fee'!AH101&gt;0,"✔","-")</f>
        <v>-</v>
      </c>
      <c r="Y99" s="198" t="str">
        <f>IF('Design Fee'!AI101&gt;0,"✔","-")</f>
        <v>-</v>
      </c>
      <c r="Z99" s="198" t="str">
        <f>IF('Design Fee'!AJ101&gt;0,"✔","-")</f>
        <v>-</v>
      </c>
      <c r="AA99" s="221"/>
      <c r="AB99" s="195"/>
      <c r="AC99" s="196"/>
      <c r="AD99" s="197" t="str">
        <f>IF('Design Fee'!BG101&gt;0,"✔","-")</f>
        <v>-</v>
      </c>
      <c r="AE99" s="197" t="str">
        <f>IF('Design Fee'!BH101&gt;0,"✔","-")</f>
        <v>-</v>
      </c>
      <c r="AF99" s="198" t="str">
        <f>IF('Design Fee'!BI101&gt;0,"✔","-")</f>
        <v>-</v>
      </c>
      <c r="AG99" s="198" t="str">
        <f>IF('Design Fee'!BJ101&gt;0,"✔","-")</f>
        <v>-</v>
      </c>
      <c r="AH99" s="198" t="str">
        <f>IF('Design Fee'!BK101&gt;0,"✔","-")</f>
        <v>-</v>
      </c>
      <c r="AI99" s="198" t="str">
        <f>IF('Design Fee'!BL101&gt;0,"✔","-")</f>
        <v>-</v>
      </c>
      <c r="AJ99" s="198" t="str">
        <f>IF('Design Fee'!BM101&gt;0,"✔","-")</f>
        <v>-</v>
      </c>
      <c r="AK99" s="220" t="str">
        <f>IF('Design Fee'!BN101&gt;0,"✔","-")</f>
        <v>-</v>
      </c>
      <c r="AL99" s="199"/>
      <c r="AM99" s="198" t="str">
        <f>IF('Design Fee'!BP101&gt;0,"✔","-")</f>
        <v>-</v>
      </c>
      <c r="AN99" s="198" t="str">
        <f>IF('Design Fee'!BQ101&gt;0,"✔","-")</f>
        <v>-</v>
      </c>
      <c r="AO99" s="198" t="str">
        <f>IF('Design Fee'!BR101&gt;0,"✔","-")</f>
        <v>-</v>
      </c>
      <c r="AP99" s="198" t="str">
        <f>IF('Design Fee'!BS101&gt;0,"✔","-")</f>
        <v>-</v>
      </c>
      <c r="AQ99" s="198" t="str">
        <f>IF('Design Fee'!BT101&gt;0,"✔","-")</f>
        <v>-</v>
      </c>
      <c r="AR99" s="199"/>
      <c r="AS99" s="195"/>
      <c r="AT99" s="196"/>
      <c r="AU99" s="197" t="str">
        <f>IF('Design Fee'!CQ101&gt;0,"✔","-")</f>
        <v>-</v>
      </c>
      <c r="AV99" s="197" t="str">
        <f>IF('Design Fee'!CR101&gt;0,"✔","-")</f>
        <v>-</v>
      </c>
      <c r="AW99" s="198" t="str">
        <f>IF('Design Fee'!CS101&gt;0,"✔","-")</f>
        <v>-</v>
      </c>
      <c r="AX99" s="198" t="str">
        <f>IF('Design Fee'!CT101&gt;0,"✔","-")</f>
        <v>-</v>
      </c>
      <c r="AY99" s="198" t="str">
        <f>IF('Design Fee'!CU101&gt;0,"✔","-")</f>
        <v>-</v>
      </c>
      <c r="AZ99" s="198" t="str">
        <f>IF('Design Fee'!CV101&gt;0,"✔","-")</f>
        <v>-</v>
      </c>
      <c r="BA99" s="198" t="str">
        <f>IF('Design Fee'!CW101&gt;0,"✔","-")</f>
        <v>-</v>
      </c>
      <c r="BB99" s="220" t="str">
        <f>IF('Design Fee'!CX101&gt;0,"✔","-")</f>
        <v>-</v>
      </c>
      <c r="BC99" s="199"/>
      <c r="BD99" s="198" t="str">
        <f>IF('Design Fee'!CZ101&gt;0,"✔","-")</f>
        <v>-</v>
      </c>
      <c r="BE99" s="198" t="str">
        <f>IF('Design Fee'!DA101&gt;0,"✔","-")</f>
        <v>-</v>
      </c>
      <c r="BF99" s="198" t="str">
        <f>IF('Design Fee'!DB101&gt;0,"✔","-")</f>
        <v>-</v>
      </c>
      <c r="BG99" s="198" t="str">
        <f>IF('Design Fee'!DC101&gt;0,"✔","-")</f>
        <v>-</v>
      </c>
      <c r="BH99" s="198" t="str">
        <f>IF('Design Fee'!DD101&gt;0,"✔","-")</f>
        <v>-</v>
      </c>
      <c r="BI99" s="199"/>
      <c r="BJ99" s="195"/>
      <c r="BK99" s="196"/>
      <c r="BL99" s="197" t="str">
        <f>IF('Design Fee'!EA101&gt;0,"✔","-")</f>
        <v>-</v>
      </c>
      <c r="BM99" s="197" t="str">
        <f>IF('Design Fee'!EB101&gt;0,"✔","-")</f>
        <v>-</v>
      </c>
      <c r="BN99" s="198" t="str">
        <f>IF('Design Fee'!EC101&gt;0,"✔","-")</f>
        <v>-</v>
      </c>
      <c r="BO99" s="198" t="str">
        <f>IF('Design Fee'!ED101&gt;0,"✔","-")</f>
        <v>-</v>
      </c>
      <c r="BP99" s="198" t="str">
        <f>IF('Design Fee'!EE101&gt;0,"✔","-")</f>
        <v>-</v>
      </c>
      <c r="BQ99" s="198" t="str">
        <f>IF('Design Fee'!EF101&gt;0,"✔","-")</f>
        <v>-</v>
      </c>
      <c r="BR99" s="198" t="str">
        <f>IF('Design Fee'!EG101&gt;0,"✔","-")</f>
        <v>-</v>
      </c>
      <c r="BS99" s="220" t="str">
        <f>IF('Design Fee'!EH101&gt;0,"✔","-")</f>
        <v>-</v>
      </c>
      <c r="BT99" s="137"/>
      <c r="BU99" s="198" t="str">
        <f>IF('Design Fee'!EJ101&gt;0,"✔","-")</f>
        <v>-</v>
      </c>
      <c r="BV99" s="198" t="str">
        <f>IF('Design Fee'!EK101&gt;0,"✔","-")</f>
        <v>-</v>
      </c>
      <c r="BW99" s="198" t="str">
        <f>IF('Design Fee'!EL101&gt;0,"✔","-")</f>
        <v>-</v>
      </c>
      <c r="BX99" s="198" t="str">
        <f>IF('Design Fee'!EM101&gt;0,"✔","-")</f>
        <v>-</v>
      </c>
      <c r="BY99" s="198" t="str">
        <f>IF('Design Fee'!EN101&gt;0,"✔","-")</f>
        <v>-</v>
      </c>
      <c r="BZ99" s="137"/>
    </row>
    <row r="100" spans="2:78" ht="12.75" outlineLevel="2">
      <c r="B100" s="217" t="s">
        <v>110</v>
      </c>
      <c r="C100" s="218">
        <v>4</v>
      </c>
      <c r="D100" s="219" t="s">
        <v>88</v>
      </c>
      <c r="E100" s="137"/>
      <c r="F100" s="197">
        <f t="shared" si="272"/>
        <v>3</v>
      </c>
      <c r="G100" s="198">
        <f t="shared" si="273"/>
        <v>3</v>
      </c>
      <c r="H100" s="198">
        <f t="shared" si="273"/>
        <v>3</v>
      </c>
      <c r="I100" s="198">
        <f t="shared" si="274"/>
        <v>0</v>
      </c>
      <c r="J100" s="184"/>
      <c r="K100" s="195"/>
      <c r="L100" s="196"/>
      <c r="M100" s="197" t="str">
        <f>IF('Design Fee'!W102&gt;0,"✔","-")</f>
        <v>✔</v>
      </c>
      <c r="N100" s="197" t="str">
        <f>IF('Design Fee'!X102&gt;0,"✔","-")</f>
        <v>✔</v>
      </c>
      <c r="O100" s="206" t="str">
        <f>IF('Design Fee'!Y102&gt;0,"✔","-")</f>
        <v>✔</v>
      </c>
      <c r="P100" s="206" t="str">
        <f>IF('Design Fee'!Z102&gt;0,"✔","-")</f>
        <v>-</v>
      </c>
      <c r="Q100" s="206" t="str">
        <f>IF('Design Fee'!AA102&gt;0,"✔","-")</f>
        <v>-</v>
      </c>
      <c r="R100" s="206" t="str">
        <f>IF('Design Fee'!AB102&gt;0,"✔","-")</f>
        <v>-</v>
      </c>
      <c r="S100" s="206" t="str">
        <f>IF('Design Fee'!AC102&gt;0,"✔","-")</f>
        <v>-</v>
      </c>
      <c r="T100" s="220" t="str">
        <f>IF('Design Fee'!AD102&gt;0,"✔","-")</f>
        <v>-</v>
      </c>
      <c r="U100" s="184"/>
      <c r="V100" s="198" t="str">
        <f>IF('Design Fee'!AF102&gt;0,"✔","-")</f>
        <v>-</v>
      </c>
      <c r="W100" s="198" t="str">
        <f>IF('Design Fee'!AG102&gt;0,"✔","-")</f>
        <v>-</v>
      </c>
      <c r="X100" s="198" t="str">
        <f>IF('Design Fee'!AH102&gt;0,"✔","-")</f>
        <v>-</v>
      </c>
      <c r="Y100" s="198" t="str">
        <f>IF('Design Fee'!AI102&gt;0,"✔","-")</f>
        <v>-</v>
      </c>
      <c r="Z100" s="198" t="str">
        <f>IF('Design Fee'!AJ102&gt;0,"✔","-")</f>
        <v>-</v>
      </c>
      <c r="AA100" s="184"/>
      <c r="AB100" s="195"/>
      <c r="AC100" s="196"/>
      <c r="AD100" s="197" t="str">
        <f>IF('Design Fee'!BG102&gt;0,"✔","-")</f>
        <v>✔</v>
      </c>
      <c r="AE100" s="197" t="str">
        <f>IF('Design Fee'!BH102&gt;0,"✔","-")</f>
        <v>✔</v>
      </c>
      <c r="AF100" s="206" t="str">
        <f>IF('Design Fee'!BI102&gt;0,"✔","-")</f>
        <v>✔</v>
      </c>
      <c r="AG100" s="206" t="str">
        <f>IF('Design Fee'!BJ102&gt;0,"✔","-")</f>
        <v>-</v>
      </c>
      <c r="AH100" s="206" t="str">
        <f>IF('Design Fee'!BK102&gt;0,"✔","-")</f>
        <v>-</v>
      </c>
      <c r="AI100" s="206" t="str">
        <f>IF('Design Fee'!BL102&gt;0,"✔","-")</f>
        <v>-</v>
      </c>
      <c r="AJ100" s="206" t="str">
        <f>IF('Design Fee'!BM102&gt;0,"✔","-")</f>
        <v>-</v>
      </c>
      <c r="AK100" s="220" t="str">
        <f>IF('Design Fee'!BN102&gt;0,"✔","-")</f>
        <v>-</v>
      </c>
      <c r="AL100" s="199"/>
      <c r="AM100" s="198" t="str">
        <f>IF('Design Fee'!BP102&gt;0,"✔","-")</f>
        <v>-</v>
      </c>
      <c r="AN100" s="198" t="str">
        <f>IF('Design Fee'!BQ102&gt;0,"✔","-")</f>
        <v>-</v>
      </c>
      <c r="AO100" s="198" t="str">
        <f>IF('Design Fee'!BR102&gt;0,"✔","-")</f>
        <v>-</v>
      </c>
      <c r="AP100" s="198" t="str">
        <f>IF('Design Fee'!BS102&gt;0,"✔","-")</f>
        <v>-</v>
      </c>
      <c r="AQ100" s="198" t="str">
        <f>IF('Design Fee'!BT102&gt;0,"✔","-")</f>
        <v>-</v>
      </c>
      <c r="AR100" s="199"/>
      <c r="AS100" s="195"/>
      <c r="AT100" s="196"/>
      <c r="AU100" s="197" t="str">
        <f>IF('Design Fee'!CQ102&gt;0,"✔","-")</f>
        <v>✔</v>
      </c>
      <c r="AV100" s="197" t="str">
        <f>IF('Design Fee'!CR102&gt;0,"✔","-")</f>
        <v>✔</v>
      </c>
      <c r="AW100" s="206" t="str">
        <f>IF('Design Fee'!CS102&gt;0,"✔","-")</f>
        <v>✔</v>
      </c>
      <c r="AX100" s="206" t="str">
        <f>IF('Design Fee'!CT102&gt;0,"✔","-")</f>
        <v>-</v>
      </c>
      <c r="AY100" s="206" t="str">
        <f>IF('Design Fee'!CU102&gt;0,"✔","-")</f>
        <v>-</v>
      </c>
      <c r="AZ100" s="206" t="str">
        <f>IF('Design Fee'!CV102&gt;0,"✔","-")</f>
        <v>-</v>
      </c>
      <c r="BA100" s="206" t="str">
        <f>IF('Design Fee'!CW102&gt;0,"✔","-")</f>
        <v>-</v>
      </c>
      <c r="BB100" s="220" t="str">
        <f>IF('Design Fee'!CX102&gt;0,"✔","-")</f>
        <v>-</v>
      </c>
      <c r="BC100" s="199"/>
      <c r="BD100" s="198" t="str">
        <f>IF('Design Fee'!CZ102&gt;0,"✔","-")</f>
        <v>-</v>
      </c>
      <c r="BE100" s="198" t="str">
        <f>IF('Design Fee'!DA102&gt;0,"✔","-")</f>
        <v>-</v>
      </c>
      <c r="BF100" s="198" t="str">
        <f>IF('Design Fee'!DB102&gt;0,"✔","-")</f>
        <v>-</v>
      </c>
      <c r="BG100" s="198" t="str">
        <f>IF('Design Fee'!DC102&gt;0,"✔","-")</f>
        <v>-</v>
      </c>
      <c r="BH100" s="198" t="str">
        <f>IF('Design Fee'!DD102&gt;0,"✔","-")</f>
        <v>-</v>
      </c>
      <c r="BI100" s="199"/>
      <c r="BJ100" s="195"/>
      <c r="BK100" s="196"/>
      <c r="BL100" s="197" t="str">
        <f>IF('Design Fee'!EA102&gt;0,"✔","-")</f>
        <v>-</v>
      </c>
      <c r="BM100" s="197" t="str">
        <f>IF('Design Fee'!EB102&gt;0,"✔","-")</f>
        <v>-</v>
      </c>
      <c r="BN100" s="206" t="str">
        <f>IF('Design Fee'!EC102&gt;0,"✔","-")</f>
        <v>-</v>
      </c>
      <c r="BO100" s="206" t="str">
        <f>IF('Design Fee'!ED102&gt;0,"✔","-")</f>
        <v>-</v>
      </c>
      <c r="BP100" s="206" t="str">
        <f>IF('Design Fee'!EE102&gt;0,"✔","-")</f>
        <v>-</v>
      </c>
      <c r="BQ100" s="206" t="str">
        <f>IF('Design Fee'!EF102&gt;0,"✔","-")</f>
        <v>-</v>
      </c>
      <c r="BR100" s="206" t="str">
        <f>IF('Design Fee'!EG102&gt;0,"✔","-")</f>
        <v>-</v>
      </c>
      <c r="BS100" s="220" t="str">
        <f>IF('Design Fee'!EH102&gt;0,"✔","-")</f>
        <v>-</v>
      </c>
      <c r="BT100" s="137"/>
      <c r="BU100" s="198" t="str">
        <f>IF('Design Fee'!EJ102&gt;0,"✔","-")</f>
        <v>-</v>
      </c>
      <c r="BV100" s="198" t="str">
        <f>IF('Design Fee'!EK102&gt;0,"✔","-")</f>
        <v>-</v>
      </c>
      <c r="BW100" s="198" t="str">
        <f>IF('Design Fee'!EL102&gt;0,"✔","-")</f>
        <v>-</v>
      </c>
      <c r="BX100" s="198" t="str">
        <f>IF('Design Fee'!EM102&gt;0,"✔","-")</f>
        <v>-</v>
      </c>
      <c r="BY100" s="198" t="str">
        <f>IF('Design Fee'!EN102&gt;0,"✔","-")</f>
        <v>-</v>
      </c>
      <c r="BZ100" s="137"/>
    </row>
    <row r="101" spans="2:78" ht="12.75" outlineLevel="2">
      <c r="B101" s="217" t="s">
        <v>111</v>
      </c>
      <c r="C101" s="218">
        <v>5</v>
      </c>
      <c r="D101" s="219" t="s">
        <v>90</v>
      </c>
      <c r="E101" s="137"/>
      <c r="F101" s="197">
        <f t="shared" si="272"/>
        <v>2</v>
      </c>
      <c r="G101" s="198">
        <f t="shared" si="273"/>
        <v>2</v>
      </c>
      <c r="H101" s="198">
        <f t="shared" si="273"/>
        <v>2</v>
      </c>
      <c r="I101" s="198">
        <f t="shared" si="274"/>
        <v>0</v>
      </c>
      <c r="J101" s="184"/>
      <c r="K101" s="225"/>
      <c r="L101" s="196"/>
      <c r="M101" s="197" t="str">
        <f>IF('Design Fee'!W103&gt;0,"✔","-")</f>
        <v>✔</v>
      </c>
      <c r="N101" s="197" t="str">
        <f>IF('Design Fee'!X103&gt;0,"✔","-")</f>
        <v>✔</v>
      </c>
      <c r="O101" s="206" t="str">
        <f>IF('Design Fee'!Y103&gt;0,"✔","-")</f>
        <v>✔</v>
      </c>
      <c r="P101" s="206" t="str">
        <f>IF('Design Fee'!Z103&gt;0,"✔","-")</f>
        <v>-</v>
      </c>
      <c r="Q101" s="206" t="str">
        <f>IF('Design Fee'!AA103&gt;0,"✔","-")</f>
        <v>-</v>
      </c>
      <c r="R101" s="206" t="str">
        <f>IF('Design Fee'!AB103&gt;0,"✔","-")</f>
        <v>-</v>
      </c>
      <c r="S101" s="206" t="str">
        <f>IF('Design Fee'!AC103&gt;0,"✔","-")</f>
        <v>-</v>
      </c>
      <c r="T101" s="220" t="str">
        <f>IF('Design Fee'!AD103&gt;0,"✔","-")</f>
        <v>-</v>
      </c>
      <c r="U101" s="184"/>
      <c r="V101" s="198" t="str">
        <f>IF('Design Fee'!AF103&gt;0,"✔","-")</f>
        <v>-</v>
      </c>
      <c r="W101" s="198" t="str">
        <f>IF('Design Fee'!AG103&gt;0,"✔","-")</f>
        <v>-</v>
      </c>
      <c r="X101" s="198" t="str">
        <f>IF('Design Fee'!AH103&gt;0,"✔","-")</f>
        <v>-</v>
      </c>
      <c r="Y101" s="198" t="str">
        <f>IF('Design Fee'!AI103&gt;0,"✔","-")</f>
        <v>-</v>
      </c>
      <c r="Z101" s="198" t="str">
        <f>IF('Design Fee'!AJ103&gt;0,"✔","-")</f>
        <v>-</v>
      </c>
      <c r="AA101" s="184"/>
      <c r="AB101" s="225"/>
      <c r="AC101" s="196"/>
      <c r="AD101" s="197" t="str">
        <f>IF('Design Fee'!BG103&gt;0,"✔","-")</f>
        <v>✔</v>
      </c>
      <c r="AE101" s="197" t="str">
        <f>IF('Design Fee'!BH103&gt;0,"✔","-")</f>
        <v>✔</v>
      </c>
      <c r="AF101" s="206" t="str">
        <f>IF('Design Fee'!BI103&gt;0,"✔","-")</f>
        <v>✔</v>
      </c>
      <c r="AG101" s="206" t="str">
        <f>IF('Design Fee'!BJ103&gt;0,"✔","-")</f>
        <v>-</v>
      </c>
      <c r="AH101" s="206" t="str">
        <f>IF('Design Fee'!BK103&gt;0,"✔","-")</f>
        <v>-</v>
      </c>
      <c r="AI101" s="206" t="str">
        <f>IF('Design Fee'!BL103&gt;0,"✔","-")</f>
        <v>-</v>
      </c>
      <c r="AJ101" s="206" t="str">
        <f>IF('Design Fee'!BM103&gt;0,"✔","-")</f>
        <v>-</v>
      </c>
      <c r="AK101" s="220" t="str">
        <f>IF('Design Fee'!BN103&gt;0,"✔","-")</f>
        <v>-</v>
      </c>
      <c r="AL101" s="199"/>
      <c r="AM101" s="198" t="str">
        <f>IF('Design Fee'!BP103&gt;0,"✔","-")</f>
        <v>-</v>
      </c>
      <c r="AN101" s="198" t="str">
        <f>IF('Design Fee'!BQ103&gt;0,"✔","-")</f>
        <v>-</v>
      </c>
      <c r="AO101" s="198" t="str">
        <f>IF('Design Fee'!BR103&gt;0,"✔","-")</f>
        <v>-</v>
      </c>
      <c r="AP101" s="198" t="str">
        <f>IF('Design Fee'!BS103&gt;0,"✔","-")</f>
        <v>-</v>
      </c>
      <c r="AQ101" s="198" t="str">
        <f>IF('Design Fee'!BT103&gt;0,"✔","-")</f>
        <v>-</v>
      </c>
      <c r="AR101" s="199"/>
      <c r="AS101" s="225"/>
      <c r="AT101" s="196"/>
      <c r="AU101" s="197" t="str">
        <f>IF('Design Fee'!CQ103&gt;0,"✔","-")</f>
        <v>-</v>
      </c>
      <c r="AV101" s="197" t="str">
        <f>IF('Design Fee'!CR103&gt;0,"✔","-")</f>
        <v>-</v>
      </c>
      <c r="AW101" s="206" t="str">
        <f>IF('Design Fee'!CS103&gt;0,"✔","-")</f>
        <v>-</v>
      </c>
      <c r="AX101" s="206" t="str">
        <f>IF('Design Fee'!CT103&gt;0,"✔","-")</f>
        <v>-</v>
      </c>
      <c r="AY101" s="206" t="str">
        <f>IF('Design Fee'!CU103&gt;0,"✔","-")</f>
        <v>-</v>
      </c>
      <c r="AZ101" s="206" t="str">
        <f>IF('Design Fee'!CV103&gt;0,"✔","-")</f>
        <v>-</v>
      </c>
      <c r="BA101" s="206" t="str">
        <f>IF('Design Fee'!CW103&gt;0,"✔","-")</f>
        <v>-</v>
      </c>
      <c r="BB101" s="220" t="str">
        <f>IF('Design Fee'!CX103&gt;0,"✔","-")</f>
        <v>-</v>
      </c>
      <c r="BC101" s="199"/>
      <c r="BD101" s="198" t="str">
        <f>IF('Design Fee'!CZ103&gt;0,"✔","-")</f>
        <v>-</v>
      </c>
      <c r="BE101" s="198" t="str">
        <f>IF('Design Fee'!DA103&gt;0,"✔","-")</f>
        <v>-</v>
      </c>
      <c r="BF101" s="198" t="str">
        <f>IF('Design Fee'!DB103&gt;0,"✔","-")</f>
        <v>-</v>
      </c>
      <c r="BG101" s="198" t="str">
        <f>IF('Design Fee'!DC103&gt;0,"✔","-")</f>
        <v>-</v>
      </c>
      <c r="BH101" s="198" t="str">
        <f>IF('Design Fee'!DD103&gt;0,"✔","-")</f>
        <v>-</v>
      </c>
      <c r="BI101" s="199"/>
      <c r="BJ101" s="225"/>
      <c r="BK101" s="196"/>
      <c r="BL101" s="197" t="str">
        <f>IF('Design Fee'!EA103&gt;0,"✔","-")</f>
        <v>-</v>
      </c>
      <c r="BM101" s="197" t="str">
        <f>IF('Design Fee'!EB103&gt;0,"✔","-")</f>
        <v>-</v>
      </c>
      <c r="BN101" s="206" t="str">
        <f>IF('Design Fee'!EC103&gt;0,"✔","-")</f>
        <v>-</v>
      </c>
      <c r="BO101" s="206" t="str">
        <f>IF('Design Fee'!ED103&gt;0,"✔","-")</f>
        <v>-</v>
      </c>
      <c r="BP101" s="206" t="str">
        <f>IF('Design Fee'!EE103&gt;0,"✔","-")</f>
        <v>-</v>
      </c>
      <c r="BQ101" s="206" t="str">
        <f>IF('Design Fee'!EF103&gt;0,"✔","-")</f>
        <v>-</v>
      </c>
      <c r="BR101" s="206" t="str">
        <f>IF('Design Fee'!EG103&gt;0,"✔","-")</f>
        <v>-</v>
      </c>
      <c r="BS101" s="220" t="str">
        <f>IF('Design Fee'!EH103&gt;0,"✔","-")</f>
        <v>-</v>
      </c>
      <c r="BT101" s="137"/>
      <c r="BU101" s="198" t="str">
        <f>IF('Design Fee'!EJ103&gt;0,"✔","-")</f>
        <v>-</v>
      </c>
      <c r="BV101" s="198" t="str">
        <f>IF('Design Fee'!EK103&gt;0,"✔","-")</f>
        <v>-</v>
      </c>
      <c r="BW101" s="198" t="str">
        <f>IF('Design Fee'!EL103&gt;0,"✔","-")</f>
        <v>-</v>
      </c>
      <c r="BX101" s="198" t="str">
        <f>IF('Design Fee'!EM103&gt;0,"✔","-")</f>
        <v>-</v>
      </c>
      <c r="BY101" s="198" t="str">
        <f>IF('Design Fee'!EN103&gt;0,"✔","-")</f>
        <v>-</v>
      </c>
      <c r="BZ101" s="137"/>
    </row>
    <row r="102" spans="2:78" ht="12.75" outlineLevel="2">
      <c r="B102" s="217" t="s">
        <v>112</v>
      </c>
      <c r="C102" s="218">
        <v>6</v>
      </c>
      <c r="D102" s="219" t="s">
        <v>64</v>
      </c>
      <c r="E102" s="137"/>
      <c r="F102" s="197">
        <f t="shared" si="272"/>
        <v>3</v>
      </c>
      <c r="G102" s="198">
        <f t="shared" si="273"/>
        <v>3</v>
      </c>
      <c r="H102" s="198">
        <f t="shared" si="273"/>
        <v>3</v>
      </c>
      <c r="I102" s="198">
        <f t="shared" si="274"/>
        <v>0</v>
      </c>
      <c r="J102" s="184"/>
      <c r="K102" s="195"/>
      <c r="L102" s="196"/>
      <c r="M102" s="197" t="str">
        <f>IF('Design Fee'!W104&gt;0,"✔","-")</f>
        <v>✔</v>
      </c>
      <c r="N102" s="197" t="str">
        <f>IF('Design Fee'!X104&gt;0,"✔","-")</f>
        <v>✔</v>
      </c>
      <c r="O102" s="206" t="str">
        <f>IF('Design Fee'!Y104&gt;0,"✔","-")</f>
        <v>✔</v>
      </c>
      <c r="P102" s="206" t="str">
        <f>IF('Design Fee'!Z104&gt;0,"✔","-")</f>
        <v>-</v>
      </c>
      <c r="Q102" s="206" t="str">
        <f>IF('Design Fee'!AA104&gt;0,"✔","-")</f>
        <v>-</v>
      </c>
      <c r="R102" s="206" t="str">
        <f>IF('Design Fee'!AB104&gt;0,"✔","-")</f>
        <v>-</v>
      </c>
      <c r="S102" s="206" t="str">
        <f>IF('Design Fee'!AC104&gt;0,"✔","-")</f>
        <v>-</v>
      </c>
      <c r="T102" s="220" t="str">
        <f>IF('Design Fee'!AD104&gt;0,"✔","-")</f>
        <v>-</v>
      </c>
      <c r="U102" s="184"/>
      <c r="V102" s="198" t="str">
        <f>IF('Design Fee'!AF104&gt;0,"✔","-")</f>
        <v>-</v>
      </c>
      <c r="W102" s="198" t="str">
        <f>IF('Design Fee'!AG104&gt;0,"✔","-")</f>
        <v>-</v>
      </c>
      <c r="X102" s="198" t="str">
        <f>IF('Design Fee'!AH104&gt;0,"✔","-")</f>
        <v>-</v>
      </c>
      <c r="Y102" s="198" t="str">
        <f>IF('Design Fee'!AI104&gt;0,"✔","-")</f>
        <v>-</v>
      </c>
      <c r="Z102" s="198" t="str">
        <f>IF('Design Fee'!AJ104&gt;0,"✔","-")</f>
        <v>-</v>
      </c>
      <c r="AA102" s="184"/>
      <c r="AB102" s="195"/>
      <c r="AC102" s="196"/>
      <c r="AD102" s="197" t="str">
        <f>IF('Design Fee'!BG104&gt;0,"✔","-")</f>
        <v>-</v>
      </c>
      <c r="AE102" s="197" t="str">
        <f>IF('Design Fee'!BH104&gt;0,"✔","-")</f>
        <v>-</v>
      </c>
      <c r="AF102" s="206" t="str">
        <f>IF('Design Fee'!BI104&gt;0,"✔","-")</f>
        <v>-</v>
      </c>
      <c r="AG102" s="206" t="str">
        <f>IF('Design Fee'!BJ104&gt;0,"✔","-")</f>
        <v>-</v>
      </c>
      <c r="AH102" s="206" t="str">
        <f>IF('Design Fee'!BK104&gt;0,"✔","-")</f>
        <v>-</v>
      </c>
      <c r="AI102" s="206" t="str">
        <f>IF('Design Fee'!BL104&gt;0,"✔","-")</f>
        <v>-</v>
      </c>
      <c r="AJ102" s="206" t="str">
        <f>IF('Design Fee'!BM104&gt;0,"✔","-")</f>
        <v>-</v>
      </c>
      <c r="AK102" s="220" t="str">
        <f>IF('Design Fee'!BN104&gt;0,"✔","-")</f>
        <v>-</v>
      </c>
      <c r="AL102" s="199"/>
      <c r="AM102" s="198" t="str">
        <f>IF('Design Fee'!BP104&gt;0,"✔","-")</f>
        <v>-</v>
      </c>
      <c r="AN102" s="198" t="str">
        <f>IF('Design Fee'!BQ104&gt;0,"✔","-")</f>
        <v>-</v>
      </c>
      <c r="AO102" s="198" t="str">
        <f>IF('Design Fee'!BR104&gt;0,"✔","-")</f>
        <v>-</v>
      </c>
      <c r="AP102" s="198" t="str">
        <f>IF('Design Fee'!BS104&gt;0,"✔","-")</f>
        <v>-</v>
      </c>
      <c r="AQ102" s="198" t="str">
        <f>IF('Design Fee'!BT104&gt;0,"✔","-")</f>
        <v>-</v>
      </c>
      <c r="AR102" s="199"/>
      <c r="AS102" s="195"/>
      <c r="AT102" s="196"/>
      <c r="AU102" s="197" t="str">
        <f>IF('Design Fee'!CQ104&gt;0,"✔","-")</f>
        <v>✔</v>
      </c>
      <c r="AV102" s="197" t="str">
        <f>IF('Design Fee'!CR104&gt;0,"✔","-")</f>
        <v>✔</v>
      </c>
      <c r="AW102" s="206" t="str">
        <f>IF('Design Fee'!CS104&gt;0,"✔","-")</f>
        <v>✔</v>
      </c>
      <c r="AX102" s="206" t="str">
        <f>IF('Design Fee'!CT104&gt;0,"✔","-")</f>
        <v>-</v>
      </c>
      <c r="AY102" s="206" t="str">
        <f>IF('Design Fee'!CU104&gt;0,"✔","-")</f>
        <v>-</v>
      </c>
      <c r="AZ102" s="206" t="str">
        <f>IF('Design Fee'!CV104&gt;0,"✔","-")</f>
        <v>-</v>
      </c>
      <c r="BA102" s="206" t="str">
        <f>IF('Design Fee'!CW104&gt;0,"✔","-")</f>
        <v>-</v>
      </c>
      <c r="BB102" s="220" t="str">
        <f>IF('Design Fee'!CX104&gt;0,"✔","-")</f>
        <v>-</v>
      </c>
      <c r="BC102" s="199"/>
      <c r="BD102" s="198" t="str">
        <f>IF('Design Fee'!CZ104&gt;0,"✔","-")</f>
        <v>-</v>
      </c>
      <c r="BE102" s="198" t="str">
        <f>IF('Design Fee'!DA104&gt;0,"✔","-")</f>
        <v>-</v>
      </c>
      <c r="BF102" s="198" t="str">
        <f>IF('Design Fee'!DB104&gt;0,"✔","-")</f>
        <v>-</v>
      </c>
      <c r="BG102" s="198" t="str">
        <f>IF('Design Fee'!DC104&gt;0,"✔","-")</f>
        <v>-</v>
      </c>
      <c r="BH102" s="198" t="str">
        <f>IF('Design Fee'!DD104&gt;0,"✔","-")</f>
        <v>-</v>
      </c>
      <c r="BI102" s="199"/>
      <c r="BJ102" s="195"/>
      <c r="BK102" s="196"/>
      <c r="BL102" s="197" t="str">
        <f>IF('Design Fee'!EA104&gt;0,"✔","-")</f>
        <v>✔</v>
      </c>
      <c r="BM102" s="197" t="str">
        <f>IF('Design Fee'!EB104&gt;0,"✔","-")</f>
        <v>✔</v>
      </c>
      <c r="BN102" s="206" t="str">
        <f>IF('Design Fee'!EC104&gt;0,"✔","-")</f>
        <v>✔</v>
      </c>
      <c r="BO102" s="206" t="str">
        <f>IF('Design Fee'!ED104&gt;0,"✔","-")</f>
        <v>-</v>
      </c>
      <c r="BP102" s="206" t="str">
        <f>IF('Design Fee'!EE104&gt;0,"✔","-")</f>
        <v>-</v>
      </c>
      <c r="BQ102" s="206" t="str">
        <f>IF('Design Fee'!EF104&gt;0,"✔","-")</f>
        <v>-</v>
      </c>
      <c r="BR102" s="206" t="str">
        <f>IF('Design Fee'!EG104&gt;0,"✔","-")</f>
        <v>-</v>
      </c>
      <c r="BS102" s="220" t="str">
        <f>IF('Design Fee'!EH104&gt;0,"✔","-")</f>
        <v>-</v>
      </c>
      <c r="BT102" s="137"/>
      <c r="BU102" s="198" t="str">
        <f>IF('Design Fee'!EJ104&gt;0,"✔","-")</f>
        <v>-</v>
      </c>
      <c r="BV102" s="198" t="str">
        <f>IF('Design Fee'!EK104&gt;0,"✔","-")</f>
        <v>-</v>
      </c>
      <c r="BW102" s="198" t="str">
        <f>IF('Design Fee'!EL104&gt;0,"✔","-")</f>
        <v>-</v>
      </c>
      <c r="BX102" s="198" t="str">
        <f>IF('Design Fee'!EM104&gt;0,"✔","-")</f>
        <v>-</v>
      </c>
      <c r="BY102" s="198" t="str">
        <f>IF('Design Fee'!EN104&gt;0,"✔","-")</f>
        <v>-</v>
      </c>
      <c r="BZ102" s="137"/>
    </row>
    <row r="103" spans="2:78" ht="12.75" outlineLevel="2">
      <c r="B103" s="217" t="s">
        <v>113</v>
      </c>
      <c r="C103" s="218">
        <v>7</v>
      </c>
      <c r="D103" s="219" t="s">
        <v>67</v>
      </c>
      <c r="E103" s="137"/>
      <c r="F103" s="197">
        <f t="shared" si="272"/>
        <v>3</v>
      </c>
      <c r="G103" s="198">
        <f t="shared" si="273"/>
        <v>3</v>
      </c>
      <c r="H103" s="198">
        <f t="shared" si="273"/>
        <v>3</v>
      </c>
      <c r="I103" s="198">
        <f t="shared" si="274"/>
        <v>0</v>
      </c>
      <c r="J103" s="184"/>
      <c r="K103" s="195"/>
      <c r="L103" s="196"/>
      <c r="M103" s="197" t="str">
        <f>IF('Design Fee'!W105&gt;0,"✔","-")</f>
        <v>✔</v>
      </c>
      <c r="N103" s="197" t="str">
        <f>IF('Design Fee'!X105&gt;0,"✔","-")</f>
        <v>✔</v>
      </c>
      <c r="O103" s="206" t="str">
        <f>IF('Design Fee'!Y105&gt;0,"✔","-")</f>
        <v>✔</v>
      </c>
      <c r="P103" s="206" t="str">
        <f>IF('Design Fee'!Z105&gt;0,"✔","-")</f>
        <v>-</v>
      </c>
      <c r="Q103" s="206" t="str">
        <f>IF('Design Fee'!AA105&gt;0,"✔","-")</f>
        <v>-</v>
      </c>
      <c r="R103" s="206" t="str">
        <f>IF('Design Fee'!AB105&gt;0,"✔","-")</f>
        <v>-</v>
      </c>
      <c r="S103" s="206" t="str">
        <f>IF('Design Fee'!AC105&gt;0,"✔","-")</f>
        <v>-</v>
      </c>
      <c r="T103" s="220" t="str">
        <f>IF('Design Fee'!AD105&gt;0,"✔","-")</f>
        <v>-</v>
      </c>
      <c r="U103" s="184"/>
      <c r="V103" s="198" t="str">
        <f>IF('Design Fee'!AF105&gt;0,"✔","-")</f>
        <v>-</v>
      </c>
      <c r="W103" s="198" t="str">
        <f>IF('Design Fee'!AG105&gt;0,"✔","-")</f>
        <v>-</v>
      </c>
      <c r="X103" s="198" t="str">
        <f>IF('Design Fee'!AH105&gt;0,"✔","-")</f>
        <v>-</v>
      </c>
      <c r="Y103" s="198" t="str">
        <f>IF('Design Fee'!AI105&gt;0,"✔","-")</f>
        <v>-</v>
      </c>
      <c r="Z103" s="198" t="str">
        <f>IF('Design Fee'!AJ105&gt;0,"✔","-")</f>
        <v>-</v>
      </c>
      <c r="AA103" s="184"/>
      <c r="AB103" s="195"/>
      <c r="AC103" s="196"/>
      <c r="AD103" s="197" t="str">
        <f>IF('Design Fee'!BG105&gt;0,"✔","-")</f>
        <v>✔</v>
      </c>
      <c r="AE103" s="197" t="str">
        <f>IF('Design Fee'!BH105&gt;0,"✔","-")</f>
        <v>✔</v>
      </c>
      <c r="AF103" s="206" t="str">
        <f>IF('Design Fee'!BI105&gt;0,"✔","-")</f>
        <v>✔</v>
      </c>
      <c r="AG103" s="206" t="str">
        <f>IF('Design Fee'!BJ105&gt;0,"✔","-")</f>
        <v>-</v>
      </c>
      <c r="AH103" s="206" t="str">
        <f>IF('Design Fee'!BK105&gt;0,"✔","-")</f>
        <v>-</v>
      </c>
      <c r="AI103" s="206" t="str">
        <f>IF('Design Fee'!BL105&gt;0,"✔","-")</f>
        <v>-</v>
      </c>
      <c r="AJ103" s="206" t="str">
        <f>IF('Design Fee'!BM105&gt;0,"✔","-")</f>
        <v>-</v>
      </c>
      <c r="AK103" s="220" t="str">
        <f>IF('Design Fee'!BN105&gt;0,"✔","-")</f>
        <v>-</v>
      </c>
      <c r="AL103" s="199"/>
      <c r="AM103" s="198" t="str">
        <f>IF('Design Fee'!BP105&gt;0,"✔","-")</f>
        <v>-</v>
      </c>
      <c r="AN103" s="198" t="str">
        <f>IF('Design Fee'!BQ105&gt;0,"✔","-")</f>
        <v>-</v>
      </c>
      <c r="AO103" s="198" t="str">
        <f>IF('Design Fee'!BR105&gt;0,"✔","-")</f>
        <v>-</v>
      </c>
      <c r="AP103" s="198" t="str">
        <f>IF('Design Fee'!BS105&gt;0,"✔","-")</f>
        <v>-</v>
      </c>
      <c r="AQ103" s="198" t="str">
        <f>IF('Design Fee'!BT105&gt;0,"✔","-")</f>
        <v>-</v>
      </c>
      <c r="AR103" s="199"/>
      <c r="AS103" s="195"/>
      <c r="AT103" s="196"/>
      <c r="AU103" s="197" t="str">
        <f>IF('Design Fee'!CQ105&gt;0,"✔","-")</f>
        <v>✔</v>
      </c>
      <c r="AV103" s="197" t="str">
        <f>IF('Design Fee'!CR105&gt;0,"✔","-")</f>
        <v>✔</v>
      </c>
      <c r="AW103" s="206" t="str">
        <f>IF('Design Fee'!CS105&gt;0,"✔","-")</f>
        <v>✔</v>
      </c>
      <c r="AX103" s="206" t="str">
        <f>IF('Design Fee'!CT105&gt;0,"✔","-")</f>
        <v>-</v>
      </c>
      <c r="AY103" s="206" t="str">
        <f>IF('Design Fee'!CU105&gt;0,"✔","-")</f>
        <v>-</v>
      </c>
      <c r="AZ103" s="206" t="str">
        <f>IF('Design Fee'!CV105&gt;0,"✔","-")</f>
        <v>-</v>
      </c>
      <c r="BA103" s="206" t="str">
        <f>IF('Design Fee'!CW105&gt;0,"✔","-")</f>
        <v>-</v>
      </c>
      <c r="BB103" s="220" t="str">
        <f>IF('Design Fee'!CX105&gt;0,"✔","-")</f>
        <v>-</v>
      </c>
      <c r="BC103" s="199"/>
      <c r="BD103" s="198" t="str">
        <f>IF('Design Fee'!CZ105&gt;0,"✔","-")</f>
        <v>-</v>
      </c>
      <c r="BE103" s="198" t="str">
        <f>IF('Design Fee'!DA105&gt;0,"✔","-")</f>
        <v>-</v>
      </c>
      <c r="BF103" s="198" t="str">
        <f>IF('Design Fee'!DB105&gt;0,"✔","-")</f>
        <v>-</v>
      </c>
      <c r="BG103" s="198" t="str">
        <f>IF('Design Fee'!DC105&gt;0,"✔","-")</f>
        <v>-</v>
      </c>
      <c r="BH103" s="198" t="str">
        <f>IF('Design Fee'!DD105&gt;0,"✔","-")</f>
        <v>-</v>
      </c>
      <c r="BI103" s="199"/>
      <c r="BJ103" s="195"/>
      <c r="BK103" s="196"/>
      <c r="BL103" s="197" t="str">
        <f>IF('Design Fee'!EA105&gt;0,"✔","-")</f>
        <v>-</v>
      </c>
      <c r="BM103" s="197" t="str">
        <f>IF('Design Fee'!EB105&gt;0,"✔","-")</f>
        <v>-</v>
      </c>
      <c r="BN103" s="206" t="str">
        <f>IF('Design Fee'!EC105&gt;0,"✔","-")</f>
        <v>-</v>
      </c>
      <c r="BO103" s="206" t="str">
        <f>IF('Design Fee'!ED105&gt;0,"✔","-")</f>
        <v>-</v>
      </c>
      <c r="BP103" s="206" t="str">
        <f>IF('Design Fee'!EE105&gt;0,"✔","-")</f>
        <v>-</v>
      </c>
      <c r="BQ103" s="206" t="str">
        <f>IF('Design Fee'!EF105&gt;0,"✔","-")</f>
        <v>-</v>
      </c>
      <c r="BR103" s="206" t="str">
        <f>IF('Design Fee'!EG105&gt;0,"✔","-")</f>
        <v>-</v>
      </c>
      <c r="BS103" s="220" t="str">
        <f>IF('Design Fee'!EH105&gt;0,"✔","-")</f>
        <v>-</v>
      </c>
      <c r="BT103" s="137"/>
      <c r="BU103" s="198" t="str">
        <f>IF('Design Fee'!EJ105&gt;0,"✔","-")</f>
        <v>-</v>
      </c>
      <c r="BV103" s="198" t="str">
        <f>IF('Design Fee'!EK105&gt;0,"✔","-")</f>
        <v>-</v>
      </c>
      <c r="BW103" s="198" t="str">
        <f>IF('Design Fee'!EL105&gt;0,"✔","-")</f>
        <v>-</v>
      </c>
      <c r="BX103" s="198" t="str">
        <f>IF('Design Fee'!EM105&gt;0,"✔","-")</f>
        <v>-</v>
      </c>
      <c r="BY103" s="198" t="str">
        <f>IF('Design Fee'!EN105&gt;0,"✔","-")</f>
        <v>-</v>
      </c>
      <c r="BZ103" s="137"/>
    </row>
    <row r="104" spans="2:78" ht="12.75" outlineLevel="2">
      <c r="B104" s="217" t="s">
        <v>114</v>
      </c>
      <c r="C104" s="218">
        <v>8</v>
      </c>
      <c r="D104" s="219" t="s">
        <v>69</v>
      </c>
      <c r="E104" s="137"/>
      <c r="F104" s="197">
        <f t="shared" si="272"/>
        <v>3</v>
      </c>
      <c r="G104" s="198">
        <f t="shared" si="273"/>
        <v>3</v>
      </c>
      <c r="H104" s="198">
        <f t="shared" si="273"/>
        <v>3</v>
      </c>
      <c r="I104" s="198">
        <f t="shared" si="274"/>
        <v>0</v>
      </c>
      <c r="J104" s="221"/>
      <c r="K104" s="195"/>
      <c r="L104" s="196"/>
      <c r="M104" s="197" t="str">
        <f>IF('Design Fee'!W106&gt;0,"✔","-")</f>
        <v>✔</v>
      </c>
      <c r="N104" s="197" t="str">
        <f>IF('Design Fee'!X106&gt;0,"✔","-")</f>
        <v>✔</v>
      </c>
      <c r="O104" s="206" t="str">
        <f>IF('Design Fee'!Y106&gt;0,"✔","-")</f>
        <v>✔</v>
      </c>
      <c r="P104" s="206" t="str">
        <f>IF('Design Fee'!Z106&gt;0,"✔","-")</f>
        <v>-</v>
      </c>
      <c r="Q104" s="206" t="str">
        <f>IF('Design Fee'!AA106&gt;0,"✔","-")</f>
        <v>-</v>
      </c>
      <c r="R104" s="206" t="str">
        <f>IF('Design Fee'!AB106&gt;0,"✔","-")</f>
        <v>-</v>
      </c>
      <c r="S104" s="206" t="str">
        <f>IF('Design Fee'!AC106&gt;0,"✔","-")</f>
        <v>-</v>
      </c>
      <c r="T104" s="220" t="str">
        <f>IF('Design Fee'!AD106&gt;0,"✔","-")</f>
        <v>-</v>
      </c>
      <c r="U104" s="221"/>
      <c r="V104" s="198" t="str">
        <f>IF('Design Fee'!AF106&gt;0,"✔","-")</f>
        <v>-</v>
      </c>
      <c r="W104" s="198" t="str">
        <f>IF('Design Fee'!AG106&gt;0,"✔","-")</f>
        <v>-</v>
      </c>
      <c r="X104" s="198" t="str">
        <f>IF('Design Fee'!AH106&gt;0,"✔","-")</f>
        <v>-</v>
      </c>
      <c r="Y104" s="198" t="str">
        <f>IF('Design Fee'!AI106&gt;0,"✔","-")</f>
        <v>-</v>
      </c>
      <c r="Z104" s="198" t="str">
        <f>IF('Design Fee'!AJ106&gt;0,"✔","-")</f>
        <v>-</v>
      </c>
      <c r="AA104" s="221"/>
      <c r="AB104" s="195"/>
      <c r="AC104" s="196"/>
      <c r="AD104" s="197" t="str">
        <f>IF('Design Fee'!BG106&gt;0,"✔","-")</f>
        <v>✔</v>
      </c>
      <c r="AE104" s="197" t="str">
        <f>IF('Design Fee'!BH106&gt;0,"✔","-")</f>
        <v>✔</v>
      </c>
      <c r="AF104" s="206" t="str">
        <f>IF('Design Fee'!BI106&gt;0,"✔","-")</f>
        <v>✔</v>
      </c>
      <c r="AG104" s="206" t="str">
        <f>IF('Design Fee'!BJ106&gt;0,"✔","-")</f>
        <v>-</v>
      </c>
      <c r="AH104" s="206" t="str">
        <f>IF('Design Fee'!BK106&gt;0,"✔","-")</f>
        <v>-</v>
      </c>
      <c r="AI104" s="206" t="str">
        <f>IF('Design Fee'!BL106&gt;0,"✔","-")</f>
        <v>-</v>
      </c>
      <c r="AJ104" s="206" t="str">
        <f>IF('Design Fee'!BM106&gt;0,"✔","-")</f>
        <v>-</v>
      </c>
      <c r="AK104" s="220" t="str">
        <f>IF('Design Fee'!BN106&gt;0,"✔","-")</f>
        <v>-</v>
      </c>
      <c r="AL104" s="199"/>
      <c r="AM104" s="198" t="str">
        <f>IF('Design Fee'!BP106&gt;0,"✔","-")</f>
        <v>-</v>
      </c>
      <c r="AN104" s="198" t="str">
        <f>IF('Design Fee'!BQ106&gt;0,"✔","-")</f>
        <v>-</v>
      </c>
      <c r="AO104" s="198" t="str">
        <f>IF('Design Fee'!BR106&gt;0,"✔","-")</f>
        <v>-</v>
      </c>
      <c r="AP104" s="198" t="str">
        <f>IF('Design Fee'!BS106&gt;0,"✔","-")</f>
        <v>-</v>
      </c>
      <c r="AQ104" s="198" t="str">
        <f>IF('Design Fee'!BT106&gt;0,"✔","-")</f>
        <v>-</v>
      </c>
      <c r="AR104" s="199"/>
      <c r="AS104" s="195"/>
      <c r="AT104" s="196"/>
      <c r="AU104" s="197" t="str">
        <f>IF('Design Fee'!CQ106&gt;0,"✔","-")</f>
        <v>✔</v>
      </c>
      <c r="AV104" s="197" t="str">
        <f>IF('Design Fee'!CR106&gt;0,"✔","-")</f>
        <v>✔</v>
      </c>
      <c r="AW104" s="206" t="str">
        <f>IF('Design Fee'!CS106&gt;0,"✔","-")</f>
        <v>✔</v>
      </c>
      <c r="AX104" s="206" t="str">
        <f>IF('Design Fee'!CT106&gt;0,"✔","-")</f>
        <v>-</v>
      </c>
      <c r="AY104" s="206" t="str">
        <f>IF('Design Fee'!CU106&gt;0,"✔","-")</f>
        <v>-</v>
      </c>
      <c r="AZ104" s="206" t="str">
        <f>IF('Design Fee'!CV106&gt;0,"✔","-")</f>
        <v>-</v>
      </c>
      <c r="BA104" s="206" t="str">
        <f>IF('Design Fee'!CW106&gt;0,"✔","-")</f>
        <v>-</v>
      </c>
      <c r="BB104" s="220" t="str">
        <f>IF('Design Fee'!CX106&gt;0,"✔","-")</f>
        <v>-</v>
      </c>
      <c r="BC104" s="199"/>
      <c r="BD104" s="198" t="str">
        <f>IF('Design Fee'!CZ106&gt;0,"✔","-")</f>
        <v>-</v>
      </c>
      <c r="BE104" s="198" t="str">
        <f>IF('Design Fee'!DA106&gt;0,"✔","-")</f>
        <v>-</v>
      </c>
      <c r="BF104" s="198" t="str">
        <f>IF('Design Fee'!DB106&gt;0,"✔","-")</f>
        <v>-</v>
      </c>
      <c r="BG104" s="198" t="str">
        <f>IF('Design Fee'!DC106&gt;0,"✔","-")</f>
        <v>-</v>
      </c>
      <c r="BH104" s="198" t="str">
        <f>IF('Design Fee'!DD106&gt;0,"✔","-")</f>
        <v>-</v>
      </c>
      <c r="BI104" s="199"/>
      <c r="BJ104" s="195"/>
      <c r="BK104" s="196"/>
      <c r="BL104" s="197" t="str">
        <f>IF('Design Fee'!EA106&gt;0,"✔","-")</f>
        <v>-</v>
      </c>
      <c r="BM104" s="197" t="str">
        <f>IF('Design Fee'!EB106&gt;0,"✔","-")</f>
        <v>-</v>
      </c>
      <c r="BN104" s="206" t="str">
        <f>IF('Design Fee'!EC106&gt;0,"✔","-")</f>
        <v>-</v>
      </c>
      <c r="BO104" s="206" t="str">
        <f>IF('Design Fee'!ED106&gt;0,"✔","-")</f>
        <v>-</v>
      </c>
      <c r="BP104" s="206" t="str">
        <f>IF('Design Fee'!EE106&gt;0,"✔","-")</f>
        <v>-</v>
      </c>
      <c r="BQ104" s="206" t="str">
        <f>IF('Design Fee'!EF106&gt;0,"✔","-")</f>
        <v>-</v>
      </c>
      <c r="BR104" s="206" t="str">
        <f>IF('Design Fee'!EG106&gt;0,"✔","-")</f>
        <v>-</v>
      </c>
      <c r="BS104" s="220" t="str">
        <f>IF('Design Fee'!EH106&gt;0,"✔","-")</f>
        <v>-</v>
      </c>
      <c r="BT104" s="137"/>
      <c r="BU104" s="198" t="str">
        <f>IF('Design Fee'!EJ106&gt;0,"✔","-")</f>
        <v>-</v>
      </c>
      <c r="BV104" s="198" t="str">
        <f>IF('Design Fee'!EK106&gt;0,"✔","-")</f>
        <v>-</v>
      </c>
      <c r="BW104" s="198" t="str">
        <f>IF('Design Fee'!EL106&gt;0,"✔","-")</f>
        <v>-</v>
      </c>
      <c r="BX104" s="198" t="str">
        <f>IF('Design Fee'!EM106&gt;0,"✔","-")</f>
        <v>-</v>
      </c>
      <c r="BY104" s="198" t="str">
        <f>IF('Design Fee'!EN106&gt;0,"✔","-")</f>
        <v>-</v>
      </c>
      <c r="BZ104" s="137"/>
    </row>
    <row r="105" spans="2:78" ht="12.75" outlineLevel="2">
      <c r="B105" s="217" t="s">
        <v>115</v>
      </c>
      <c r="C105" s="218">
        <v>9</v>
      </c>
      <c r="D105" s="219" t="s">
        <v>71</v>
      </c>
      <c r="E105" s="137"/>
      <c r="F105" s="197">
        <f t="shared" si="272"/>
        <v>2</v>
      </c>
      <c r="G105" s="198">
        <f t="shared" si="273"/>
        <v>2</v>
      </c>
      <c r="H105" s="198">
        <f t="shared" si="273"/>
        <v>2</v>
      </c>
      <c r="I105" s="198">
        <f t="shared" si="274"/>
        <v>0</v>
      </c>
      <c r="J105" s="221"/>
      <c r="K105" s="195"/>
      <c r="L105" s="196"/>
      <c r="M105" s="197" t="str">
        <f>IF('Design Fee'!W107&gt;0,"✔","-")</f>
        <v>✔</v>
      </c>
      <c r="N105" s="197" t="str">
        <f>IF('Design Fee'!X107&gt;0,"✔","-")</f>
        <v>✔</v>
      </c>
      <c r="O105" s="206" t="str">
        <f>IF('Design Fee'!Y107&gt;0,"✔","-")</f>
        <v>✔</v>
      </c>
      <c r="P105" s="206" t="str">
        <f>IF('Design Fee'!Z107&gt;0,"✔","-")</f>
        <v>-</v>
      </c>
      <c r="Q105" s="206" t="str">
        <f>IF('Design Fee'!AA107&gt;0,"✔","-")</f>
        <v>-</v>
      </c>
      <c r="R105" s="206" t="str">
        <f>IF('Design Fee'!AB107&gt;0,"✔","-")</f>
        <v>-</v>
      </c>
      <c r="S105" s="206" t="str">
        <f>IF('Design Fee'!AC107&gt;0,"✔","-")</f>
        <v>-</v>
      </c>
      <c r="T105" s="220" t="str">
        <f>IF('Design Fee'!AD107&gt;0,"✔","-")</f>
        <v>-</v>
      </c>
      <c r="U105" s="221"/>
      <c r="V105" s="198" t="str">
        <f>IF('Design Fee'!AF107&gt;0,"✔","-")</f>
        <v>-</v>
      </c>
      <c r="W105" s="198" t="str">
        <f>IF('Design Fee'!AG107&gt;0,"✔","-")</f>
        <v>-</v>
      </c>
      <c r="X105" s="198" t="str">
        <f>IF('Design Fee'!AH107&gt;0,"✔","-")</f>
        <v>-</v>
      </c>
      <c r="Y105" s="198" t="str">
        <f>IF('Design Fee'!AI107&gt;0,"✔","-")</f>
        <v>-</v>
      </c>
      <c r="Z105" s="198" t="str">
        <f>IF('Design Fee'!AJ107&gt;0,"✔","-")</f>
        <v>-</v>
      </c>
      <c r="AA105" s="221"/>
      <c r="AB105" s="195"/>
      <c r="AC105" s="196"/>
      <c r="AD105" s="197" t="str">
        <f>IF('Design Fee'!BG107&gt;0,"✔","-")</f>
        <v>-</v>
      </c>
      <c r="AE105" s="197" t="str">
        <f>IF('Design Fee'!BH107&gt;0,"✔","-")</f>
        <v>-</v>
      </c>
      <c r="AF105" s="206" t="str">
        <f>IF('Design Fee'!BI107&gt;0,"✔","-")</f>
        <v>-</v>
      </c>
      <c r="AG105" s="206" t="str">
        <f>IF('Design Fee'!BJ107&gt;0,"✔","-")</f>
        <v>-</v>
      </c>
      <c r="AH105" s="206" t="str">
        <f>IF('Design Fee'!BK107&gt;0,"✔","-")</f>
        <v>-</v>
      </c>
      <c r="AI105" s="206" t="str">
        <f>IF('Design Fee'!BL107&gt;0,"✔","-")</f>
        <v>-</v>
      </c>
      <c r="AJ105" s="206" t="str">
        <f>IF('Design Fee'!BM107&gt;0,"✔","-")</f>
        <v>-</v>
      </c>
      <c r="AK105" s="220" t="str">
        <f>IF('Design Fee'!BN107&gt;0,"✔","-")</f>
        <v>-</v>
      </c>
      <c r="AL105" s="199"/>
      <c r="AM105" s="198" t="str">
        <f>IF('Design Fee'!BP107&gt;0,"✔","-")</f>
        <v>-</v>
      </c>
      <c r="AN105" s="198" t="str">
        <f>IF('Design Fee'!BQ107&gt;0,"✔","-")</f>
        <v>-</v>
      </c>
      <c r="AO105" s="198" t="str">
        <f>IF('Design Fee'!BR107&gt;0,"✔","-")</f>
        <v>-</v>
      </c>
      <c r="AP105" s="198" t="str">
        <f>IF('Design Fee'!BS107&gt;0,"✔","-")</f>
        <v>-</v>
      </c>
      <c r="AQ105" s="198" t="str">
        <f>IF('Design Fee'!BT107&gt;0,"✔","-")</f>
        <v>-</v>
      </c>
      <c r="AR105" s="199"/>
      <c r="AS105" s="195"/>
      <c r="AT105" s="196"/>
      <c r="AU105" s="197" t="str">
        <f>IF('Design Fee'!CQ107&gt;0,"✔","-")</f>
        <v>-</v>
      </c>
      <c r="AV105" s="197" t="str">
        <f>IF('Design Fee'!CR107&gt;0,"✔","-")</f>
        <v>-</v>
      </c>
      <c r="AW105" s="206" t="str">
        <f>IF('Design Fee'!CS107&gt;0,"✔","-")</f>
        <v>-</v>
      </c>
      <c r="AX105" s="206" t="str">
        <f>IF('Design Fee'!CT107&gt;0,"✔","-")</f>
        <v>-</v>
      </c>
      <c r="AY105" s="206" t="str">
        <f>IF('Design Fee'!CU107&gt;0,"✔","-")</f>
        <v>-</v>
      </c>
      <c r="AZ105" s="206" t="str">
        <f>IF('Design Fee'!CV107&gt;0,"✔","-")</f>
        <v>-</v>
      </c>
      <c r="BA105" s="206" t="str">
        <f>IF('Design Fee'!CW107&gt;0,"✔","-")</f>
        <v>-</v>
      </c>
      <c r="BB105" s="220" t="str">
        <f>IF('Design Fee'!CX107&gt;0,"✔","-")</f>
        <v>-</v>
      </c>
      <c r="BC105" s="199"/>
      <c r="BD105" s="198" t="str">
        <f>IF('Design Fee'!CZ107&gt;0,"✔","-")</f>
        <v>-</v>
      </c>
      <c r="BE105" s="198" t="str">
        <f>IF('Design Fee'!DA107&gt;0,"✔","-")</f>
        <v>-</v>
      </c>
      <c r="BF105" s="198" t="str">
        <f>IF('Design Fee'!DB107&gt;0,"✔","-")</f>
        <v>-</v>
      </c>
      <c r="BG105" s="198" t="str">
        <f>IF('Design Fee'!DC107&gt;0,"✔","-")</f>
        <v>-</v>
      </c>
      <c r="BH105" s="198" t="str">
        <f>IF('Design Fee'!DD107&gt;0,"✔","-")</f>
        <v>-</v>
      </c>
      <c r="BI105" s="199"/>
      <c r="BJ105" s="195"/>
      <c r="BK105" s="196"/>
      <c r="BL105" s="197" t="str">
        <f>IF('Design Fee'!EA107&gt;0,"✔","-")</f>
        <v>✔</v>
      </c>
      <c r="BM105" s="197" t="str">
        <f>IF('Design Fee'!EB107&gt;0,"✔","-")</f>
        <v>✔</v>
      </c>
      <c r="BN105" s="206" t="str">
        <f>IF('Design Fee'!EC107&gt;0,"✔","-")</f>
        <v>✔</v>
      </c>
      <c r="BO105" s="206" t="str">
        <f>IF('Design Fee'!ED107&gt;0,"✔","-")</f>
        <v>-</v>
      </c>
      <c r="BP105" s="206" t="str">
        <f>IF('Design Fee'!EE107&gt;0,"✔","-")</f>
        <v>-</v>
      </c>
      <c r="BQ105" s="206" t="str">
        <f>IF('Design Fee'!EF107&gt;0,"✔","-")</f>
        <v>-</v>
      </c>
      <c r="BR105" s="206" t="str">
        <f>IF('Design Fee'!EG107&gt;0,"✔","-")</f>
        <v>-</v>
      </c>
      <c r="BS105" s="220" t="str">
        <f>IF('Design Fee'!EH107&gt;0,"✔","-")</f>
        <v>-</v>
      </c>
      <c r="BT105" s="137"/>
      <c r="BU105" s="198" t="str">
        <f>IF('Design Fee'!EJ107&gt;0,"✔","-")</f>
        <v>-</v>
      </c>
      <c r="BV105" s="198" t="str">
        <f>IF('Design Fee'!EK107&gt;0,"✔","-")</f>
        <v>-</v>
      </c>
      <c r="BW105" s="198" t="str">
        <f>IF('Design Fee'!EL107&gt;0,"✔","-")</f>
        <v>-</v>
      </c>
      <c r="BX105" s="198" t="str">
        <f>IF('Design Fee'!EM107&gt;0,"✔","-")</f>
        <v>-</v>
      </c>
      <c r="BY105" s="198" t="str">
        <f>IF('Design Fee'!EN107&gt;0,"✔","-")</f>
        <v>-</v>
      </c>
      <c r="BZ105" s="137"/>
    </row>
    <row r="106" spans="2:78" ht="3" customHeight="1" outlineLevel="1">
      <c r="B106" s="231"/>
      <c r="C106" s="232"/>
      <c r="D106" s="219"/>
      <c r="E106" s="137"/>
      <c r="F106" s="162"/>
      <c r="G106" s="175"/>
      <c r="H106" s="175"/>
      <c r="I106" s="175"/>
      <c r="J106" s="221"/>
      <c r="K106" s="195"/>
      <c r="L106" s="196"/>
      <c r="M106" s="197"/>
      <c r="N106" s="197"/>
      <c r="O106" s="198"/>
      <c r="P106" s="198"/>
      <c r="Q106" s="198"/>
      <c r="R106" s="198"/>
      <c r="S106" s="198"/>
      <c r="T106" s="198"/>
      <c r="U106" s="221"/>
      <c r="V106" s="198"/>
      <c r="W106" s="198"/>
      <c r="X106" s="198"/>
      <c r="Y106" s="198"/>
      <c r="Z106" s="198"/>
      <c r="AA106" s="221"/>
      <c r="AB106" s="195"/>
      <c r="AC106" s="196"/>
      <c r="AD106" s="197"/>
      <c r="AE106" s="197"/>
      <c r="AF106" s="175"/>
      <c r="AG106" s="175"/>
      <c r="AH106" s="175"/>
      <c r="AI106" s="175"/>
      <c r="AJ106" s="175"/>
      <c r="AK106" s="175"/>
      <c r="AL106" s="175"/>
      <c r="AM106" s="175"/>
      <c r="AN106" s="175"/>
      <c r="AO106" s="175"/>
      <c r="AP106" s="175"/>
      <c r="AQ106" s="175"/>
      <c r="AR106" s="175"/>
      <c r="AS106" s="195"/>
      <c r="AT106" s="175"/>
      <c r="AU106" s="197"/>
      <c r="AV106" s="197"/>
      <c r="AW106" s="175"/>
      <c r="AX106" s="175"/>
      <c r="AY106" s="175"/>
      <c r="AZ106" s="175"/>
      <c r="BA106" s="175"/>
      <c r="BB106" s="175"/>
      <c r="BC106" s="175"/>
      <c r="BD106" s="175"/>
      <c r="BE106" s="175"/>
      <c r="BF106" s="175"/>
      <c r="BG106" s="175"/>
      <c r="BH106" s="175"/>
      <c r="BI106" s="175"/>
      <c r="BJ106" s="195"/>
      <c r="BK106" s="175"/>
      <c r="BL106" s="197"/>
      <c r="BM106" s="197"/>
      <c r="BN106" s="175"/>
      <c r="BO106" s="175"/>
      <c r="BP106" s="175"/>
      <c r="BQ106" s="175"/>
      <c r="BR106" s="175"/>
      <c r="BS106" s="175"/>
      <c r="BT106" s="137"/>
      <c r="BU106" s="175"/>
      <c r="BV106" s="175"/>
      <c r="BW106" s="175"/>
      <c r="BX106" s="175"/>
      <c r="BY106" s="175"/>
      <c r="BZ106" s="137"/>
    </row>
    <row r="107" spans="2:78" ht="12.75" outlineLevel="1">
      <c r="B107" s="186">
        <v>9</v>
      </c>
      <c r="C107" s="213">
        <v>6</v>
      </c>
      <c r="D107" s="214" t="s">
        <v>116</v>
      </c>
      <c r="E107" s="188"/>
      <c r="F107" s="215">
        <f>M107+AD107+AU107+BL107</f>
        <v>21</v>
      </c>
      <c r="G107" s="215">
        <f t="shared" ref="G107:I107" si="275">N107+AE107+AV107+BM107</f>
        <v>21</v>
      </c>
      <c r="H107" s="215">
        <f t="shared" si="275"/>
        <v>21</v>
      </c>
      <c r="I107" s="215">
        <f t="shared" si="275"/>
        <v>0</v>
      </c>
      <c r="J107" s="192">
        <f t="shared" ref="J107" si="276">COUNT(J108:J117)</f>
        <v>0</v>
      </c>
      <c r="K107" s="189"/>
      <c r="L107" s="189"/>
      <c r="M107" s="215">
        <f>COUNTIF(M108:M117,"✔")</f>
        <v>10</v>
      </c>
      <c r="N107" s="215">
        <f t="shared" ref="N107" si="277">COUNTIF(N108:N117,"✔")</f>
        <v>10</v>
      </c>
      <c r="O107" s="215">
        <f t="shared" ref="O107" si="278">COUNTIF(O108:O117,"✔")</f>
        <v>10</v>
      </c>
      <c r="P107" s="215">
        <f t="shared" ref="P107" si="279">COUNTIF(P108:P117,"✔")</f>
        <v>0</v>
      </c>
      <c r="Q107" s="215">
        <f t="shared" ref="Q107" si="280">COUNTIF(Q108:Q117,"✔")</f>
        <v>0</v>
      </c>
      <c r="R107" s="215">
        <f t="shared" ref="R107" si="281">COUNTIF(R108:R117,"✔")</f>
        <v>0</v>
      </c>
      <c r="S107" s="215">
        <f t="shared" ref="S107" si="282">COUNTIF(S108:S117,"✔")</f>
        <v>0</v>
      </c>
      <c r="T107" s="215">
        <f t="shared" ref="T107" si="283">COUNTIF(T108:T117,"✔")</f>
        <v>0</v>
      </c>
      <c r="U107" s="215">
        <f t="shared" ref="U107" si="284">COUNTIF(U108:U117,"✔")</f>
        <v>0</v>
      </c>
      <c r="V107" s="215">
        <f t="shared" ref="V107" si="285">COUNTIF(V108:V117,"✔")</f>
        <v>0</v>
      </c>
      <c r="W107" s="215">
        <f t="shared" ref="W107" si="286">COUNTIF(W108:W117,"✔")</f>
        <v>0</v>
      </c>
      <c r="X107" s="215">
        <f t="shared" ref="X107" si="287">COUNTIF(X108:X117,"✔")</f>
        <v>0</v>
      </c>
      <c r="Y107" s="215">
        <f t="shared" ref="Y107" si="288">COUNTIF(Y108:Y117,"✔")</f>
        <v>0</v>
      </c>
      <c r="Z107" s="215">
        <f t="shared" ref="Z107" si="289">COUNTIF(Z108:Z117,"✔")</f>
        <v>0</v>
      </c>
      <c r="AA107" s="215">
        <f t="shared" ref="AA107" si="290">COUNTIF(AA108:AA117,"✔")</f>
        <v>0</v>
      </c>
      <c r="AB107" s="189"/>
      <c r="AC107" s="215">
        <f t="shared" ref="AC107" si="291">COUNTIF(AC108:AC117,"✔")</f>
        <v>0</v>
      </c>
      <c r="AD107" s="215">
        <f t="shared" ref="AD107" si="292">COUNTIF(AD108:AD117,"✔")</f>
        <v>7</v>
      </c>
      <c r="AE107" s="215">
        <f t="shared" ref="AE107" si="293">COUNTIF(AE108:AE117,"✔")</f>
        <v>7</v>
      </c>
      <c r="AF107" s="215">
        <f t="shared" ref="AF107" si="294">COUNTIF(AF108:AF117,"✔")</f>
        <v>7</v>
      </c>
      <c r="AG107" s="215">
        <f t="shared" ref="AG107" si="295">COUNTIF(AG108:AG117,"✔")</f>
        <v>0</v>
      </c>
      <c r="AH107" s="215">
        <f t="shared" ref="AH107" si="296">COUNTIF(AH108:AH117,"✔")</f>
        <v>0</v>
      </c>
      <c r="AI107" s="215">
        <f t="shared" ref="AI107" si="297">COUNTIF(AI108:AI117,"✔")</f>
        <v>0</v>
      </c>
      <c r="AJ107" s="215">
        <f t="shared" ref="AJ107" si="298">COUNTIF(AJ108:AJ117,"✔")</f>
        <v>0</v>
      </c>
      <c r="AK107" s="215">
        <f t="shared" ref="AK107" si="299">COUNTIF(AK108:AK117,"✔")</f>
        <v>0</v>
      </c>
      <c r="AL107" s="215">
        <f t="shared" ref="AL107" si="300">COUNTIF(AL108:AL117,"✔")</f>
        <v>0</v>
      </c>
      <c r="AM107" s="215">
        <f t="shared" ref="AM107" si="301">COUNTIF(AM108:AM117,"✔")</f>
        <v>0</v>
      </c>
      <c r="AN107" s="215">
        <f t="shared" ref="AN107" si="302">COUNTIF(AN108:AN117,"✔")</f>
        <v>0</v>
      </c>
      <c r="AO107" s="215">
        <f t="shared" ref="AO107" si="303">COUNTIF(AO108:AO117,"✔")</f>
        <v>0</v>
      </c>
      <c r="AP107" s="215">
        <f t="shared" ref="AP107" si="304">COUNTIF(AP108:AP117,"✔")</f>
        <v>0</v>
      </c>
      <c r="AQ107" s="215">
        <f t="shared" ref="AQ107" si="305">COUNTIF(AQ108:AQ117,"✔")</f>
        <v>0</v>
      </c>
      <c r="AR107" s="215">
        <f t="shared" ref="AR107" si="306">COUNTIF(AR108:AR117,"✔")</f>
        <v>0</v>
      </c>
      <c r="AS107" s="189"/>
      <c r="AT107" s="215">
        <f t="shared" ref="AT107" si="307">COUNTIF(AT108:AT117,"✔")</f>
        <v>0</v>
      </c>
      <c r="AU107" s="215">
        <f t="shared" ref="AU107" si="308">COUNTIF(AU108:AU117,"✔")</f>
        <v>4</v>
      </c>
      <c r="AV107" s="215">
        <f t="shared" ref="AV107" si="309">COUNTIF(AV108:AV117,"✔")</f>
        <v>4</v>
      </c>
      <c r="AW107" s="215">
        <f t="shared" ref="AW107" si="310">COUNTIF(AW108:AW117,"✔")</f>
        <v>4</v>
      </c>
      <c r="AX107" s="215">
        <f t="shared" ref="AX107" si="311">COUNTIF(AX108:AX117,"✔")</f>
        <v>0</v>
      </c>
      <c r="AY107" s="215">
        <f t="shared" ref="AY107" si="312">COUNTIF(AY108:AY117,"✔")</f>
        <v>0</v>
      </c>
      <c r="AZ107" s="215">
        <f t="shared" ref="AZ107" si="313">COUNTIF(AZ108:AZ117,"✔")</f>
        <v>0</v>
      </c>
      <c r="BA107" s="215">
        <f t="shared" ref="BA107" si="314">COUNTIF(BA108:BA117,"✔")</f>
        <v>0</v>
      </c>
      <c r="BB107" s="215">
        <f t="shared" ref="BB107" si="315">COUNTIF(BB108:BB117,"✔")</f>
        <v>0</v>
      </c>
      <c r="BC107" s="215">
        <f t="shared" ref="BC107" si="316">COUNTIF(BC108:BC117,"✔")</f>
        <v>0</v>
      </c>
      <c r="BD107" s="215">
        <f t="shared" ref="BD107" si="317">COUNTIF(BD108:BD117,"✔")</f>
        <v>0</v>
      </c>
      <c r="BE107" s="215">
        <f t="shared" ref="BE107" si="318">COUNTIF(BE108:BE117,"✔")</f>
        <v>0</v>
      </c>
      <c r="BF107" s="215">
        <f t="shared" ref="BF107" si="319">COUNTIF(BF108:BF117,"✔")</f>
        <v>0</v>
      </c>
      <c r="BG107" s="215">
        <f t="shared" ref="BG107" si="320">COUNTIF(BG108:BG117,"✔")</f>
        <v>0</v>
      </c>
      <c r="BH107" s="215">
        <f t="shared" ref="BH107" si="321">COUNTIF(BH108:BH117,"✔")</f>
        <v>0</v>
      </c>
      <c r="BI107" s="215">
        <f t="shared" ref="BI107" si="322">COUNTIF(BI108:BI117,"✔")</f>
        <v>0</v>
      </c>
      <c r="BJ107" s="189"/>
      <c r="BK107" s="215">
        <f t="shared" ref="BK107" si="323">COUNTIF(BK108:BK117,"✔")</f>
        <v>0</v>
      </c>
      <c r="BL107" s="215">
        <f t="shared" ref="BL107" si="324">COUNTIF(BL108:BL117,"✔")</f>
        <v>0</v>
      </c>
      <c r="BM107" s="215">
        <f t="shared" ref="BM107" si="325">COUNTIF(BM108:BM117,"✔")</f>
        <v>0</v>
      </c>
      <c r="BN107" s="215">
        <f t="shared" ref="BN107" si="326">COUNTIF(BN108:BN117,"✔")</f>
        <v>0</v>
      </c>
      <c r="BO107" s="215">
        <f t="shared" ref="BO107" si="327">COUNTIF(BO108:BO117,"✔")</f>
        <v>0</v>
      </c>
      <c r="BP107" s="215">
        <f t="shared" ref="BP107" si="328">COUNTIF(BP108:BP117,"✔")</f>
        <v>0</v>
      </c>
      <c r="BQ107" s="215">
        <f t="shared" ref="BQ107" si="329">COUNTIF(BQ108:BQ117,"✔")</f>
        <v>0</v>
      </c>
      <c r="BR107" s="215">
        <f t="shared" ref="BR107" si="330">COUNTIF(BR108:BR117,"✔")</f>
        <v>0</v>
      </c>
      <c r="BS107" s="215">
        <f t="shared" ref="BS107" si="331">COUNTIF(BS108:BS117,"✔")</f>
        <v>0</v>
      </c>
      <c r="BT107" s="137"/>
      <c r="BU107" s="215">
        <f t="shared" ref="BU107" si="332">COUNTIF(BU108:BU117,"✔")</f>
        <v>0</v>
      </c>
      <c r="BV107" s="215">
        <f t="shared" ref="BV107" si="333">COUNTIF(BV108:BV117,"✔")</f>
        <v>0</v>
      </c>
      <c r="BW107" s="215">
        <f t="shared" ref="BW107" si="334">COUNTIF(BW108:BW117,"✔")</f>
        <v>0</v>
      </c>
      <c r="BX107" s="215">
        <f t="shared" ref="BX107" si="335">COUNTIF(BX108:BX117,"✔")</f>
        <v>0</v>
      </c>
      <c r="BY107" s="215">
        <f t="shared" ref="BY107" si="336">COUNTIF(BY108:BY117,"✔")</f>
        <v>0</v>
      </c>
      <c r="BZ107" s="137"/>
    </row>
    <row r="108" spans="2:78" ht="12.75" outlineLevel="2">
      <c r="B108" s="217" t="s">
        <v>117</v>
      </c>
      <c r="C108" s="218">
        <v>1</v>
      </c>
      <c r="D108" s="219" t="s">
        <v>52</v>
      </c>
      <c r="E108" s="137"/>
      <c r="F108" s="197">
        <f t="shared" ref="F108:F117" si="337">COUNTIF(M108,"✔")+COUNTIF(AD108,"✔")+COUNTIF(BL108,"✔")+COUNTIF(AU108,"✔")</f>
        <v>3</v>
      </c>
      <c r="G108" s="198">
        <f t="shared" ref="G108:H117" si="338">COUNTIF(N108,"✔")+COUNTIF(AE108,"✔")+COUNTIF(BM108,"✔")+COUNTIF(AV108,"✔")</f>
        <v>3</v>
      </c>
      <c r="H108" s="198">
        <f t="shared" si="338"/>
        <v>3</v>
      </c>
      <c r="I108" s="198">
        <f t="shared" ref="I108:I117" si="339">F108-G108</f>
        <v>0</v>
      </c>
      <c r="J108" s="184"/>
      <c r="K108" s="195"/>
      <c r="L108" s="196"/>
      <c r="M108" s="197" t="str">
        <f>IF('Design Fee'!W110&gt;0,"✔","-")</f>
        <v>✔</v>
      </c>
      <c r="N108" s="197" t="str">
        <f>IF('Design Fee'!X110&gt;0,"✔","-")</f>
        <v>✔</v>
      </c>
      <c r="O108" s="198" t="str">
        <f>IF('Design Fee'!Y110&gt;0,"✔","-")</f>
        <v>✔</v>
      </c>
      <c r="P108" s="198" t="str">
        <f>IF('Design Fee'!Z110&gt;0,"✔","-")</f>
        <v>-</v>
      </c>
      <c r="Q108" s="198" t="str">
        <f>IF('Design Fee'!AA110&gt;0,"✔","-")</f>
        <v>-</v>
      </c>
      <c r="R108" s="198" t="str">
        <f>IF('Design Fee'!AB110&gt;0,"✔","-")</f>
        <v>-</v>
      </c>
      <c r="S108" s="198" t="str">
        <f>IF('Design Fee'!AC110&gt;0,"✔","-")</f>
        <v>-</v>
      </c>
      <c r="T108" s="220" t="str">
        <f>IF('Design Fee'!AD110&gt;0,"✔","-")</f>
        <v>-</v>
      </c>
      <c r="U108" s="184"/>
      <c r="V108" s="198" t="str">
        <f>IF('Design Fee'!AF110&gt;0,"✔","-")</f>
        <v>-</v>
      </c>
      <c r="W108" s="198" t="str">
        <f>IF('Design Fee'!AG110&gt;0,"✔","-")</f>
        <v>-</v>
      </c>
      <c r="X108" s="198" t="str">
        <f>IF('Design Fee'!AH110&gt;0,"✔","-")</f>
        <v>-</v>
      </c>
      <c r="Y108" s="198" t="str">
        <f>IF('Design Fee'!AI110&gt;0,"✔","-")</f>
        <v>-</v>
      </c>
      <c r="Z108" s="198" t="str">
        <f>IF('Design Fee'!AJ110&gt;0,"✔","-")</f>
        <v>-</v>
      </c>
      <c r="AA108" s="184"/>
      <c r="AB108" s="195"/>
      <c r="AC108" s="196"/>
      <c r="AD108" s="197" t="str">
        <f>IF('Design Fee'!BG110&gt;0,"✔","-")</f>
        <v>✔</v>
      </c>
      <c r="AE108" s="197" t="str">
        <f>IF('Design Fee'!BH110&gt;0,"✔","-")</f>
        <v>✔</v>
      </c>
      <c r="AF108" s="198" t="str">
        <f>IF('Design Fee'!BI110&gt;0,"✔","-")</f>
        <v>✔</v>
      </c>
      <c r="AG108" s="198" t="str">
        <f>IF('Design Fee'!BJ110&gt;0,"✔","-")</f>
        <v>-</v>
      </c>
      <c r="AH108" s="198" t="str">
        <f>IF('Design Fee'!BK110&gt;0,"✔","-")</f>
        <v>-</v>
      </c>
      <c r="AI108" s="198" t="str">
        <f>IF('Design Fee'!BL110&gt;0,"✔","-")</f>
        <v>-</v>
      </c>
      <c r="AJ108" s="198" t="str">
        <f>IF('Design Fee'!BM110&gt;0,"✔","-")</f>
        <v>-</v>
      </c>
      <c r="AK108" s="220" t="str">
        <f>IF('Design Fee'!BN110&gt;0,"✔","-")</f>
        <v>-</v>
      </c>
      <c r="AL108" s="199"/>
      <c r="AM108" s="198" t="str">
        <f>IF('Design Fee'!BP110&gt;0,"✔","-")</f>
        <v>-</v>
      </c>
      <c r="AN108" s="198" t="str">
        <f>IF('Design Fee'!BQ110&gt;0,"✔","-")</f>
        <v>-</v>
      </c>
      <c r="AO108" s="198" t="str">
        <f>IF('Design Fee'!BR110&gt;0,"✔","-")</f>
        <v>-</v>
      </c>
      <c r="AP108" s="198" t="str">
        <f>IF('Design Fee'!BS110&gt;0,"✔","-")</f>
        <v>-</v>
      </c>
      <c r="AQ108" s="198" t="str">
        <f>IF('Design Fee'!BT110&gt;0,"✔","-")</f>
        <v>-</v>
      </c>
      <c r="AR108" s="199"/>
      <c r="AS108" s="195"/>
      <c r="AT108" s="196"/>
      <c r="AU108" s="197" t="str">
        <f>IF('Design Fee'!CQ110&gt;0,"✔","-")</f>
        <v>✔</v>
      </c>
      <c r="AV108" s="197" t="str">
        <f>IF('Design Fee'!CR110&gt;0,"✔","-")</f>
        <v>✔</v>
      </c>
      <c r="AW108" s="198" t="str">
        <f>IF('Design Fee'!CS110&gt;0,"✔","-")</f>
        <v>✔</v>
      </c>
      <c r="AX108" s="198" t="str">
        <f>IF('Design Fee'!CT110&gt;0,"✔","-")</f>
        <v>-</v>
      </c>
      <c r="AY108" s="198" t="str">
        <f>IF('Design Fee'!CU110&gt;0,"✔","-")</f>
        <v>-</v>
      </c>
      <c r="AZ108" s="198" t="str">
        <f>IF('Design Fee'!CV110&gt;0,"✔","-")</f>
        <v>-</v>
      </c>
      <c r="BA108" s="198" t="str">
        <f>IF('Design Fee'!CW110&gt;0,"✔","-")</f>
        <v>-</v>
      </c>
      <c r="BB108" s="220" t="str">
        <f>IF('Design Fee'!CX110&gt;0,"✔","-")</f>
        <v>-</v>
      </c>
      <c r="BC108" s="199"/>
      <c r="BD108" s="198" t="str">
        <f>IF('Design Fee'!CZ110&gt;0,"✔","-")</f>
        <v>-</v>
      </c>
      <c r="BE108" s="198" t="str">
        <f>IF('Design Fee'!DA110&gt;0,"✔","-")</f>
        <v>-</v>
      </c>
      <c r="BF108" s="198" t="str">
        <f>IF('Design Fee'!DB110&gt;0,"✔","-")</f>
        <v>-</v>
      </c>
      <c r="BG108" s="198" t="str">
        <f>IF('Design Fee'!DC110&gt;0,"✔","-")</f>
        <v>-</v>
      </c>
      <c r="BH108" s="198" t="str">
        <f>IF('Design Fee'!DD110&gt;0,"✔","-")</f>
        <v>-</v>
      </c>
      <c r="BI108" s="199"/>
      <c r="BJ108" s="195"/>
      <c r="BK108" s="196"/>
      <c r="BL108" s="197" t="str">
        <f>IF('Design Fee'!EA110&gt;0,"✔","-")</f>
        <v>-</v>
      </c>
      <c r="BM108" s="197" t="str">
        <f>IF('Design Fee'!EB110&gt;0,"✔","-")</f>
        <v>-</v>
      </c>
      <c r="BN108" s="198" t="str">
        <f>IF('Design Fee'!EC110&gt;0,"✔","-")</f>
        <v>-</v>
      </c>
      <c r="BO108" s="198" t="str">
        <f>IF('Design Fee'!ED110&gt;0,"✔","-")</f>
        <v>-</v>
      </c>
      <c r="BP108" s="198" t="str">
        <f>IF('Design Fee'!EE110&gt;0,"✔","-")</f>
        <v>-</v>
      </c>
      <c r="BQ108" s="198" t="str">
        <f>IF('Design Fee'!EF110&gt;0,"✔","-")</f>
        <v>-</v>
      </c>
      <c r="BR108" s="198" t="str">
        <f>IF('Design Fee'!EG110&gt;0,"✔","-")</f>
        <v>-</v>
      </c>
      <c r="BS108" s="220" t="str">
        <f>IF('Design Fee'!EH110&gt;0,"✔","-")</f>
        <v>-</v>
      </c>
      <c r="BT108" s="137"/>
      <c r="BU108" s="198" t="str">
        <f>IF('Design Fee'!EJ110&gt;0,"✔","-")</f>
        <v>-</v>
      </c>
      <c r="BV108" s="198" t="str">
        <f>IF('Design Fee'!EK110&gt;0,"✔","-")</f>
        <v>-</v>
      </c>
      <c r="BW108" s="198" t="str">
        <f>IF('Design Fee'!EL110&gt;0,"✔","-")</f>
        <v>-</v>
      </c>
      <c r="BX108" s="198" t="str">
        <f>IF('Design Fee'!EM110&gt;0,"✔","-")</f>
        <v>-</v>
      </c>
      <c r="BY108" s="198" t="str">
        <f>IF('Design Fee'!EN110&gt;0,"✔","-")</f>
        <v>-</v>
      </c>
      <c r="BZ108" s="137"/>
    </row>
    <row r="109" spans="2:78" ht="12.75" outlineLevel="2">
      <c r="B109" s="217" t="s">
        <v>118</v>
      </c>
      <c r="C109" s="218">
        <v>2</v>
      </c>
      <c r="D109" s="219" t="s">
        <v>54</v>
      </c>
      <c r="E109" s="137"/>
      <c r="F109" s="197">
        <f t="shared" si="337"/>
        <v>2</v>
      </c>
      <c r="G109" s="198">
        <f t="shared" si="338"/>
        <v>2</v>
      </c>
      <c r="H109" s="198">
        <f t="shared" si="338"/>
        <v>2</v>
      </c>
      <c r="I109" s="198">
        <f t="shared" si="339"/>
        <v>0</v>
      </c>
      <c r="J109" s="184"/>
      <c r="K109" s="195"/>
      <c r="L109" s="196"/>
      <c r="M109" s="197" t="str">
        <f>IF('Design Fee'!W111&gt;0,"✔","-")</f>
        <v>✔</v>
      </c>
      <c r="N109" s="197" t="str">
        <f>IF('Design Fee'!X111&gt;0,"✔","-")</f>
        <v>✔</v>
      </c>
      <c r="O109" s="198" t="str">
        <f>IF('Design Fee'!Y111&gt;0,"✔","-")</f>
        <v>✔</v>
      </c>
      <c r="P109" s="198" t="str">
        <f>IF('Design Fee'!Z111&gt;0,"✔","-")</f>
        <v>-</v>
      </c>
      <c r="Q109" s="198" t="str">
        <f>IF('Design Fee'!AA111&gt;0,"✔","-")</f>
        <v>-</v>
      </c>
      <c r="R109" s="198" t="str">
        <f>IF('Design Fee'!AB111&gt;0,"✔","-")</f>
        <v>-</v>
      </c>
      <c r="S109" s="198" t="str">
        <f>IF('Design Fee'!AC111&gt;0,"✔","-")</f>
        <v>-</v>
      </c>
      <c r="T109" s="220" t="str">
        <f>IF('Design Fee'!AD111&gt;0,"✔","-")</f>
        <v>-</v>
      </c>
      <c r="U109" s="184"/>
      <c r="V109" s="198" t="str">
        <f>IF('Design Fee'!AF111&gt;0,"✔","-")</f>
        <v>-</v>
      </c>
      <c r="W109" s="198" t="str">
        <f>IF('Design Fee'!AG111&gt;0,"✔","-")</f>
        <v>-</v>
      </c>
      <c r="X109" s="198" t="str">
        <f>IF('Design Fee'!AH111&gt;0,"✔","-")</f>
        <v>-</v>
      </c>
      <c r="Y109" s="198" t="str">
        <f>IF('Design Fee'!AI111&gt;0,"✔","-")</f>
        <v>-</v>
      </c>
      <c r="Z109" s="198" t="str">
        <f>IF('Design Fee'!AJ111&gt;0,"✔","-")</f>
        <v>-</v>
      </c>
      <c r="AA109" s="184"/>
      <c r="AB109" s="195"/>
      <c r="AC109" s="196"/>
      <c r="AD109" s="197" t="str">
        <f>IF('Design Fee'!BG111&gt;0,"✔","-")</f>
        <v>✔</v>
      </c>
      <c r="AE109" s="197" t="str">
        <f>IF('Design Fee'!BH111&gt;0,"✔","-")</f>
        <v>✔</v>
      </c>
      <c r="AF109" s="198" t="str">
        <f>IF('Design Fee'!BI111&gt;0,"✔","-")</f>
        <v>✔</v>
      </c>
      <c r="AG109" s="198" t="str">
        <f>IF('Design Fee'!BJ111&gt;0,"✔","-")</f>
        <v>-</v>
      </c>
      <c r="AH109" s="198" t="str">
        <f>IF('Design Fee'!BK111&gt;0,"✔","-")</f>
        <v>-</v>
      </c>
      <c r="AI109" s="198" t="str">
        <f>IF('Design Fee'!BL111&gt;0,"✔","-")</f>
        <v>-</v>
      </c>
      <c r="AJ109" s="198" t="str">
        <f>IF('Design Fee'!BM111&gt;0,"✔","-")</f>
        <v>-</v>
      </c>
      <c r="AK109" s="220" t="str">
        <f>IF('Design Fee'!BN111&gt;0,"✔","-")</f>
        <v>-</v>
      </c>
      <c r="AL109" s="199"/>
      <c r="AM109" s="198" t="str">
        <f>IF('Design Fee'!BP111&gt;0,"✔","-")</f>
        <v>-</v>
      </c>
      <c r="AN109" s="198" t="str">
        <f>IF('Design Fee'!BQ111&gt;0,"✔","-")</f>
        <v>-</v>
      </c>
      <c r="AO109" s="198" t="str">
        <f>IF('Design Fee'!BR111&gt;0,"✔","-")</f>
        <v>-</v>
      </c>
      <c r="AP109" s="198" t="str">
        <f>IF('Design Fee'!BS111&gt;0,"✔","-")</f>
        <v>-</v>
      </c>
      <c r="AQ109" s="198" t="str">
        <f>IF('Design Fee'!BT111&gt;0,"✔","-")</f>
        <v>-</v>
      </c>
      <c r="AR109" s="199"/>
      <c r="AS109" s="195"/>
      <c r="AT109" s="196"/>
      <c r="AU109" s="197" t="str">
        <f>IF('Design Fee'!CQ111&gt;0,"✔","-")</f>
        <v>-</v>
      </c>
      <c r="AV109" s="197" t="str">
        <f>IF('Design Fee'!CR111&gt;0,"✔","-")</f>
        <v>-</v>
      </c>
      <c r="AW109" s="198" t="str">
        <f>IF('Design Fee'!CS111&gt;0,"✔","-")</f>
        <v>-</v>
      </c>
      <c r="AX109" s="198" t="str">
        <f>IF('Design Fee'!CT111&gt;0,"✔","-")</f>
        <v>-</v>
      </c>
      <c r="AY109" s="198" t="str">
        <f>IF('Design Fee'!CU111&gt;0,"✔","-")</f>
        <v>-</v>
      </c>
      <c r="AZ109" s="198" t="str">
        <f>IF('Design Fee'!CV111&gt;0,"✔","-")</f>
        <v>-</v>
      </c>
      <c r="BA109" s="198" t="str">
        <f>IF('Design Fee'!CW111&gt;0,"✔","-")</f>
        <v>-</v>
      </c>
      <c r="BB109" s="220" t="str">
        <f>IF('Design Fee'!CX111&gt;0,"✔","-")</f>
        <v>-</v>
      </c>
      <c r="BC109" s="199"/>
      <c r="BD109" s="198" t="str">
        <f>IF('Design Fee'!CZ111&gt;0,"✔","-")</f>
        <v>-</v>
      </c>
      <c r="BE109" s="198" t="str">
        <f>IF('Design Fee'!DA111&gt;0,"✔","-")</f>
        <v>-</v>
      </c>
      <c r="BF109" s="198" t="str">
        <f>IF('Design Fee'!DB111&gt;0,"✔","-")</f>
        <v>-</v>
      </c>
      <c r="BG109" s="198" t="str">
        <f>IF('Design Fee'!DC111&gt;0,"✔","-")</f>
        <v>-</v>
      </c>
      <c r="BH109" s="198" t="str">
        <f>IF('Design Fee'!DD111&gt;0,"✔","-")</f>
        <v>-</v>
      </c>
      <c r="BI109" s="199"/>
      <c r="BJ109" s="195"/>
      <c r="BK109" s="196"/>
      <c r="BL109" s="197" t="str">
        <f>IF('Design Fee'!EA111&gt;0,"✔","-")</f>
        <v>-</v>
      </c>
      <c r="BM109" s="197" t="str">
        <f>IF('Design Fee'!EB111&gt;0,"✔","-")</f>
        <v>-</v>
      </c>
      <c r="BN109" s="198" t="str">
        <f>IF('Design Fee'!EC111&gt;0,"✔","-")</f>
        <v>-</v>
      </c>
      <c r="BO109" s="198" t="str">
        <f>IF('Design Fee'!ED111&gt;0,"✔","-")</f>
        <v>-</v>
      </c>
      <c r="BP109" s="198" t="str">
        <f>IF('Design Fee'!EE111&gt;0,"✔","-")</f>
        <v>-</v>
      </c>
      <c r="BQ109" s="198" t="str">
        <f>IF('Design Fee'!EF111&gt;0,"✔","-")</f>
        <v>-</v>
      </c>
      <c r="BR109" s="198" t="str">
        <f>IF('Design Fee'!EG111&gt;0,"✔","-")</f>
        <v>-</v>
      </c>
      <c r="BS109" s="220" t="str">
        <f>IF('Design Fee'!EH111&gt;0,"✔","-")</f>
        <v>-</v>
      </c>
      <c r="BT109" s="137"/>
      <c r="BU109" s="198" t="str">
        <f>IF('Design Fee'!EJ111&gt;0,"✔","-")</f>
        <v>-</v>
      </c>
      <c r="BV109" s="198" t="str">
        <f>IF('Design Fee'!EK111&gt;0,"✔","-")</f>
        <v>-</v>
      </c>
      <c r="BW109" s="198" t="str">
        <f>IF('Design Fee'!EL111&gt;0,"✔","-")</f>
        <v>-</v>
      </c>
      <c r="BX109" s="198" t="str">
        <f>IF('Design Fee'!EM111&gt;0,"✔","-")</f>
        <v>-</v>
      </c>
      <c r="BY109" s="198" t="str">
        <f>IF('Design Fee'!EN111&gt;0,"✔","-")</f>
        <v>-</v>
      </c>
      <c r="BZ109" s="137"/>
    </row>
    <row r="110" spans="2:78" ht="12.75" outlineLevel="2">
      <c r="B110" s="217" t="s">
        <v>119</v>
      </c>
      <c r="C110" s="218">
        <v>3</v>
      </c>
      <c r="D110" s="219" t="s">
        <v>56</v>
      </c>
      <c r="E110" s="137"/>
      <c r="F110" s="197">
        <f t="shared" si="337"/>
        <v>1</v>
      </c>
      <c r="G110" s="198">
        <f t="shared" si="338"/>
        <v>1</v>
      </c>
      <c r="H110" s="198">
        <f t="shared" si="338"/>
        <v>1</v>
      </c>
      <c r="I110" s="198">
        <f t="shared" si="339"/>
        <v>0</v>
      </c>
      <c r="J110" s="184"/>
      <c r="K110" s="195"/>
      <c r="L110" s="196"/>
      <c r="M110" s="197" t="str">
        <f>IF('Design Fee'!W112&gt;0,"✔","-")</f>
        <v>✔</v>
      </c>
      <c r="N110" s="197" t="str">
        <f>IF('Design Fee'!X112&gt;0,"✔","-")</f>
        <v>✔</v>
      </c>
      <c r="O110" s="198" t="str">
        <f>IF('Design Fee'!Y112&gt;0,"✔","-")</f>
        <v>✔</v>
      </c>
      <c r="P110" s="198" t="str">
        <f>IF('Design Fee'!Z112&gt;0,"✔","-")</f>
        <v>-</v>
      </c>
      <c r="Q110" s="198" t="str">
        <f>IF('Design Fee'!AA112&gt;0,"✔","-")</f>
        <v>-</v>
      </c>
      <c r="R110" s="198" t="str">
        <f>IF('Design Fee'!AB112&gt;0,"✔","-")</f>
        <v>-</v>
      </c>
      <c r="S110" s="198" t="str">
        <f>IF('Design Fee'!AC112&gt;0,"✔","-")</f>
        <v>-</v>
      </c>
      <c r="T110" s="220" t="str">
        <f>IF('Design Fee'!AD112&gt;0,"✔","-")</f>
        <v>-</v>
      </c>
      <c r="U110" s="184"/>
      <c r="V110" s="198" t="str">
        <f>IF('Design Fee'!AF112&gt;0,"✔","-")</f>
        <v>-</v>
      </c>
      <c r="W110" s="198" t="str">
        <f>IF('Design Fee'!AG112&gt;0,"✔","-")</f>
        <v>-</v>
      </c>
      <c r="X110" s="198" t="str">
        <f>IF('Design Fee'!AH112&gt;0,"✔","-")</f>
        <v>-</v>
      </c>
      <c r="Y110" s="198" t="str">
        <f>IF('Design Fee'!AI112&gt;0,"✔","-")</f>
        <v>-</v>
      </c>
      <c r="Z110" s="198" t="str">
        <f>IF('Design Fee'!AJ112&gt;0,"✔","-")</f>
        <v>-</v>
      </c>
      <c r="AA110" s="184"/>
      <c r="AB110" s="195"/>
      <c r="AC110" s="196"/>
      <c r="AD110" s="197" t="str">
        <f>IF('Design Fee'!BG112&gt;0,"✔","-")</f>
        <v>-</v>
      </c>
      <c r="AE110" s="197" t="str">
        <f>IF('Design Fee'!BH112&gt;0,"✔","-")</f>
        <v>-</v>
      </c>
      <c r="AF110" s="198" t="str">
        <f>IF('Design Fee'!BI112&gt;0,"✔","-")</f>
        <v>-</v>
      </c>
      <c r="AG110" s="198" t="str">
        <f>IF('Design Fee'!BJ112&gt;0,"✔","-")</f>
        <v>-</v>
      </c>
      <c r="AH110" s="198" t="str">
        <f>IF('Design Fee'!BK112&gt;0,"✔","-")</f>
        <v>-</v>
      </c>
      <c r="AI110" s="198" t="str">
        <f>IF('Design Fee'!BL112&gt;0,"✔","-")</f>
        <v>-</v>
      </c>
      <c r="AJ110" s="198" t="str">
        <f>IF('Design Fee'!BM112&gt;0,"✔","-")</f>
        <v>-</v>
      </c>
      <c r="AK110" s="220" t="str">
        <f>IF('Design Fee'!BN112&gt;0,"✔","-")</f>
        <v>-</v>
      </c>
      <c r="AL110" s="199"/>
      <c r="AM110" s="198" t="str">
        <f>IF('Design Fee'!BP112&gt;0,"✔","-")</f>
        <v>-</v>
      </c>
      <c r="AN110" s="198" t="str">
        <f>IF('Design Fee'!BQ112&gt;0,"✔","-")</f>
        <v>-</v>
      </c>
      <c r="AO110" s="198" t="str">
        <f>IF('Design Fee'!BR112&gt;0,"✔","-")</f>
        <v>-</v>
      </c>
      <c r="AP110" s="198" t="str">
        <f>IF('Design Fee'!BS112&gt;0,"✔","-")</f>
        <v>-</v>
      </c>
      <c r="AQ110" s="198" t="str">
        <f>IF('Design Fee'!BT112&gt;0,"✔","-")</f>
        <v>-</v>
      </c>
      <c r="AR110" s="199"/>
      <c r="AS110" s="195"/>
      <c r="AT110" s="196"/>
      <c r="AU110" s="197" t="str">
        <f>IF('Design Fee'!CQ112&gt;0,"✔","-")</f>
        <v>-</v>
      </c>
      <c r="AV110" s="197" t="str">
        <f>IF('Design Fee'!CR112&gt;0,"✔","-")</f>
        <v>-</v>
      </c>
      <c r="AW110" s="198" t="str">
        <f>IF('Design Fee'!CS112&gt;0,"✔","-")</f>
        <v>-</v>
      </c>
      <c r="AX110" s="198" t="str">
        <f>IF('Design Fee'!CT112&gt;0,"✔","-")</f>
        <v>-</v>
      </c>
      <c r="AY110" s="198" t="str">
        <f>IF('Design Fee'!CU112&gt;0,"✔","-")</f>
        <v>-</v>
      </c>
      <c r="AZ110" s="198" t="str">
        <f>IF('Design Fee'!CV112&gt;0,"✔","-")</f>
        <v>-</v>
      </c>
      <c r="BA110" s="198" t="str">
        <f>IF('Design Fee'!CW112&gt;0,"✔","-")</f>
        <v>-</v>
      </c>
      <c r="BB110" s="220" t="str">
        <f>IF('Design Fee'!CX112&gt;0,"✔","-")</f>
        <v>-</v>
      </c>
      <c r="BC110" s="199"/>
      <c r="BD110" s="198" t="str">
        <f>IF('Design Fee'!CZ112&gt;0,"✔","-")</f>
        <v>-</v>
      </c>
      <c r="BE110" s="198" t="str">
        <f>IF('Design Fee'!DA112&gt;0,"✔","-")</f>
        <v>-</v>
      </c>
      <c r="BF110" s="198" t="str">
        <f>IF('Design Fee'!DB112&gt;0,"✔","-")</f>
        <v>-</v>
      </c>
      <c r="BG110" s="198" t="str">
        <f>IF('Design Fee'!DC112&gt;0,"✔","-")</f>
        <v>-</v>
      </c>
      <c r="BH110" s="198" t="str">
        <f>IF('Design Fee'!DD112&gt;0,"✔","-")</f>
        <v>-</v>
      </c>
      <c r="BI110" s="199"/>
      <c r="BJ110" s="195"/>
      <c r="BK110" s="196"/>
      <c r="BL110" s="197" t="str">
        <f>IF('Design Fee'!EA112&gt;0,"✔","-")</f>
        <v>-</v>
      </c>
      <c r="BM110" s="197" t="str">
        <f>IF('Design Fee'!EB112&gt;0,"✔","-")</f>
        <v>-</v>
      </c>
      <c r="BN110" s="198" t="str">
        <f>IF('Design Fee'!EC112&gt;0,"✔","-")</f>
        <v>-</v>
      </c>
      <c r="BO110" s="198" t="str">
        <f>IF('Design Fee'!ED112&gt;0,"✔","-")</f>
        <v>-</v>
      </c>
      <c r="BP110" s="198" t="str">
        <f>IF('Design Fee'!EE112&gt;0,"✔","-")</f>
        <v>-</v>
      </c>
      <c r="BQ110" s="198" t="str">
        <f>IF('Design Fee'!EF112&gt;0,"✔","-")</f>
        <v>-</v>
      </c>
      <c r="BR110" s="198" t="str">
        <f>IF('Design Fee'!EG112&gt;0,"✔","-")</f>
        <v>-</v>
      </c>
      <c r="BS110" s="220" t="str">
        <f>IF('Design Fee'!EH112&gt;0,"✔","-")</f>
        <v>-</v>
      </c>
      <c r="BT110" s="137"/>
      <c r="BU110" s="198" t="str">
        <f>IF('Design Fee'!EJ112&gt;0,"✔","-")</f>
        <v>-</v>
      </c>
      <c r="BV110" s="198" t="str">
        <f>IF('Design Fee'!EK112&gt;0,"✔","-")</f>
        <v>-</v>
      </c>
      <c r="BW110" s="198" t="str">
        <f>IF('Design Fee'!EL112&gt;0,"✔","-")</f>
        <v>-</v>
      </c>
      <c r="BX110" s="198" t="str">
        <f>IF('Design Fee'!EM112&gt;0,"✔","-")</f>
        <v>-</v>
      </c>
      <c r="BY110" s="198" t="str">
        <f>IF('Design Fee'!EN112&gt;0,"✔","-")</f>
        <v>-</v>
      </c>
      <c r="BZ110" s="137"/>
    </row>
    <row r="111" spans="2:78" ht="12.75" outlineLevel="2">
      <c r="B111" s="217" t="s">
        <v>120</v>
      </c>
      <c r="C111" s="218">
        <v>4</v>
      </c>
      <c r="D111" s="219" t="s">
        <v>58</v>
      </c>
      <c r="E111" s="137"/>
      <c r="F111" s="197">
        <f t="shared" si="337"/>
        <v>3</v>
      </c>
      <c r="G111" s="198">
        <f t="shared" si="338"/>
        <v>3</v>
      </c>
      <c r="H111" s="198">
        <f t="shared" si="338"/>
        <v>3</v>
      </c>
      <c r="I111" s="198">
        <f t="shared" si="339"/>
        <v>0</v>
      </c>
      <c r="J111" s="184"/>
      <c r="K111" s="195"/>
      <c r="L111" s="196"/>
      <c r="M111" s="197" t="str">
        <f>IF('Design Fee'!W113&gt;0,"✔","-")</f>
        <v>✔</v>
      </c>
      <c r="N111" s="197" t="str">
        <f>IF('Design Fee'!X113&gt;0,"✔","-")</f>
        <v>✔</v>
      </c>
      <c r="O111" s="198" t="str">
        <f>IF('Design Fee'!Y113&gt;0,"✔","-")</f>
        <v>✔</v>
      </c>
      <c r="P111" s="198" t="str">
        <f>IF('Design Fee'!Z113&gt;0,"✔","-")</f>
        <v>-</v>
      </c>
      <c r="Q111" s="198" t="str">
        <f>IF('Design Fee'!AA113&gt;0,"✔","-")</f>
        <v>-</v>
      </c>
      <c r="R111" s="198" t="str">
        <f>IF('Design Fee'!AB113&gt;0,"✔","-")</f>
        <v>-</v>
      </c>
      <c r="S111" s="198" t="str">
        <f>IF('Design Fee'!AC113&gt;0,"✔","-")</f>
        <v>-</v>
      </c>
      <c r="T111" s="220" t="str">
        <f>IF('Design Fee'!AD113&gt;0,"✔","-")</f>
        <v>-</v>
      </c>
      <c r="U111" s="184"/>
      <c r="V111" s="198" t="str">
        <f>IF('Design Fee'!AF113&gt;0,"✔","-")</f>
        <v>-</v>
      </c>
      <c r="W111" s="198" t="str">
        <f>IF('Design Fee'!AG113&gt;0,"✔","-")</f>
        <v>-</v>
      </c>
      <c r="X111" s="198" t="str">
        <f>IF('Design Fee'!AH113&gt;0,"✔","-")</f>
        <v>-</v>
      </c>
      <c r="Y111" s="198" t="str">
        <f>IF('Design Fee'!AI113&gt;0,"✔","-")</f>
        <v>-</v>
      </c>
      <c r="Z111" s="198" t="str">
        <f>IF('Design Fee'!AJ113&gt;0,"✔","-")</f>
        <v>-</v>
      </c>
      <c r="AA111" s="184"/>
      <c r="AB111" s="195"/>
      <c r="AC111" s="196"/>
      <c r="AD111" s="197" t="str">
        <f>IF('Design Fee'!BG113&gt;0,"✔","-")</f>
        <v>✔</v>
      </c>
      <c r="AE111" s="197" t="str">
        <f>IF('Design Fee'!BH113&gt;0,"✔","-")</f>
        <v>✔</v>
      </c>
      <c r="AF111" s="198" t="str">
        <f>IF('Design Fee'!BI113&gt;0,"✔","-")</f>
        <v>✔</v>
      </c>
      <c r="AG111" s="198" t="str">
        <f>IF('Design Fee'!BJ113&gt;0,"✔","-")</f>
        <v>-</v>
      </c>
      <c r="AH111" s="198" t="str">
        <f>IF('Design Fee'!BK113&gt;0,"✔","-")</f>
        <v>-</v>
      </c>
      <c r="AI111" s="198" t="str">
        <f>IF('Design Fee'!BL113&gt;0,"✔","-")</f>
        <v>-</v>
      </c>
      <c r="AJ111" s="198" t="str">
        <f>IF('Design Fee'!BM113&gt;0,"✔","-")</f>
        <v>-</v>
      </c>
      <c r="AK111" s="220" t="str">
        <f>IF('Design Fee'!BN113&gt;0,"✔","-")</f>
        <v>-</v>
      </c>
      <c r="AL111" s="199"/>
      <c r="AM111" s="198" t="str">
        <f>IF('Design Fee'!BP113&gt;0,"✔","-")</f>
        <v>-</v>
      </c>
      <c r="AN111" s="198" t="str">
        <f>IF('Design Fee'!BQ113&gt;0,"✔","-")</f>
        <v>-</v>
      </c>
      <c r="AO111" s="198" t="str">
        <f>IF('Design Fee'!BR113&gt;0,"✔","-")</f>
        <v>-</v>
      </c>
      <c r="AP111" s="198" t="str">
        <f>IF('Design Fee'!BS113&gt;0,"✔","-")</f>
        <v>-</v>
      </c>
      <c r="AQ111" s="198" t="str">
        <f>IF('Design Fee'!BT113&gt;0,"✔","-")</f>
        <v>-</v>
      </c>
      <c r="AR111" s="199"/>
      <c r="AS111" s="195"/>
      <c r="AT111" s="196"/>
      <c r="AU111" s="197" t="str">
        <f>IF('Design Fee'!CQ113&gt;0,"✔","-")</f>
        <v>✔</v>
      </c>
      <c r="AV111" s="197" t="str">
        <f>IF('Design Fee'!CR113&gt;0,"✔","-")</f>
        <v>✔</v>
      </c>
      <c r="AW111" s="198" t="str">
        <f>IF('Design Fee'!CS113&gt;0,"✔","-")</f>
        <v>✔</v>
      </c>
      <c r="AX111" s="198" t="str">
        <f>IF('Design Fee'!CT113&gt;0,"✔","-")</f>
        <v>-</v>
      </c>
      <c r="AY111" s="198" t="str">
        <f>IF('Design Fee'!CU113&gt;0,"✔","-")</f>
        <v>-</v>
      </c>
      <c r="AZ111" s="198" t="str">
        <f>IF('Design Fee'!CV113&gt;0,"✔","-")</f>
        <v>-</v>
      </c>
      <c r="BA111" s="198" t="str">
        <f>IF('Design Fee'!CW113&gt;0,"✔","-")</f>
        <v>-</v>
      </c>
      <c r="BB111" s="220" t="str">
        <f>IF('Design Fee'!CX113&gt;0,"✔","-")</f>
        <v>-</v>
      </c>
      <c r="BC111" s="199"/>
      <c r="BD111" s="198" t="str">
        <f>IF('Design Fee'!CZ113&gt;0,"✔","-")</f>
        <v>-</v>
      </c>
      <c r="BE111" s="198" t="str">
        <f>IF('Design Fee'!DA113&gt;0,"✔","-")</f>
        <v>-</v>
      </c>
      <c r="BF111" s="198" t="str">
        <f>IF('Design Fee'!DB113&gt;0,"✔","-")</f>
        <v>-</v>
      </c>
      <c r="BG111" s="198" t="str">
        <f>IF('Design Fee'!DC113&gt;0,"✔","-")</f>
        <v>-</v>
      </c>
      <c r="BH111" s="198" t="str">
        <f>IF('Design Fee'!DD113&gt;0,"✔","-")</f>
        <v>-</v>
      </c>
      <c r="BI111" s="199"/>
      <c r="BJ111" s="195"/>
      <c r="BK111" s="196"/>
      <c r="BL111" s="197" t="str">
        <f>IF('Design Fee'!EA113&gt;0,"✔","-")</f>
        <v>-</v>
      </c>
      <c r="BM111" s="197" t="str">
        <f>IF('Design Fee'!EB113&gt;0,"✔","-")</f>
        <v>-</v>
      </c>
      <c r="BN111" s="198" t="str">
        <f>IF('Design Fee'!EC113&gt;0,"✔","-")</f>
        <v>-</v>
      </c>
      <c r="BO111" s="198" t="str">
        <f>IF('Design Fee'!ED113&gt;0,"✔","-")</f>
        <v>-</v>
      </c>
      <c r="BP111" s="198" t="str">
        <f>IF('Design Fee'!EE113&gt;0,"✔","-")</f>
        <v>-</v>
      </c>
      <c r="BQ111" s="198" t="str">
        <f>IF('Design Fee'!EF113&gt;0,"✔","-")</f>
        <v>-</v>
      </c>
      <c r="BR111" s="198" t="str">
        <f>IF('Design Fee'!EG113&gt;0,"✔","-")</f>
        <v>-</v>
      </c>
      <c r="BS111" s="220" t="str">
        <f>IF('Design Fee'!EH113&gt;0,"✔","-")</f>
        <v>-</v>
      </c>
      <c r="BT111" s="137"/>
      <c r="BU111" s="198" t="str">
        <f>IF('Design Fee'!EJ113&gt;0,"✔","-")</f>
        <v>-</v>
      </c>
      <c r="BV111" s="198" t="str">
        <f>IF('Design Fee'!EK113&gt;0,"✔","-")</f>
        <v>-</v>
      </c>
      <c r="BW111" s="198" t="str">
        <f>IF('Design Fee'!EL113&gt;0,"✔","-")</f>
        <v>-</v>
      </c>
      <c r="BX111" s="198" t="str">
        <f>IF('Design Fee'!EM113&gt;0,"✔","-")</f>
        <v>-</v>
      </c>
      <c r="BY111" s="198" t="str">
        <f>IF('Design Fee'!EN113&gt;0,"✔","-")</f>
        <v>-</v>
      </c>
      <c r="BZ111" s="137"/>
    </row>
    <row r="112" spans="2:78" s="51" customFormat="1" ht="12.75" outlineLevel="2">
      <c r="B112" s="217" t="s">
        <v>121</v>
      </c>
      <c r="C112" s="223">
        <v>5</v>
      </c>
      <c r="D112" s="224" t="s">
        <v>60</v>
      </c>
      <c r="E112" s="222"/>
      <c r="F112" s="197">
        <f t="shared" si="337"/>
        <v>2</v>
      </c>
      <c r="G112" s="198">
        <f t="shared" si="338"/>
        <v>2</v>
      </c>
      <c r="H112" s="198">
        <f t="shared" si="338"/>
        <v>2</v>
      </c>
      <c r="I112" s="198">
        <f t="shared" si="339"/>
        <v>0</v>
      </c>
      <c r="J112" s="229"/>
      <c r="K112" s="225"/>
      <c r="L112" s="226"/>
      <c r="M112" s="197" t="str">
        <f>IF('Design Fee'!W114&gt;0,"✔","-")</f>
        <v>✔</v>
      </c>
      <c r="N112" s="197" t="str">
        <f>IF('Design Fee'!X114&gt;0,"✔","-")</f>
        <v>✔</v>
      </c>
      <c r="O112" s="220" t="str">
        <f>IF('Design Fee'!Y114&gt;0,"✔","-")</f>
        <v>✔</v>
      </c>
      <c r="P112" s="220" t="str">
        <f>IF('Design Fee'!Z114&gt;0,"✔","-")</f>
        <v>-</v>
      </c>
      <c r="Q112" s="220" t="str">
        <f>IF('Design Fee'!AA114&gt;0,"✔","-")</f>
        <v>-</v>
      </c>
      <c r="R112" s="220" t="str">
        <f>IF('Design Fee'!AB114&gt;0,"✔","-")</f>
        <v>-</v>
      </c>
      <c r="S112" s="220" t="str">
        <f>IF('Design Fee'!AC114&gt;0,"✔","-")</f>
        <v>-</v>
      </c>
      <c r="T112" s="220" t="str">
        <f>IF('Design Fee'!AD114&gt;0,"✔","-")</f>
        <v>-</v>
      </c>
      <c r="U112" s="229"/>
      <c r="V112" s="198" t="str">
        <f>IF('Design Fee'!AF114&gt;0,"✔","-")</f>
        <v>-</v>
      </c>
      <c r="W112" s="198" t="str">
        <f>IF('Design Fee'!AG114&gt;0,"✔","-")</f>
        <v>-</v>
      </c>
      <c r="X112" s="198" t="str">
        <f>IF('Design Fee'!AH114&gt;0,"✔","-")</f>
        <v>-</v>
      </c>
      <c r="Y112" s="198" t="str">
        <f>IF('Design Fee'!AI114&gt;0,"✔","-")</f>
        <v>-</v>
      </c>
      <c r="Z112" s="198" t="str">
        <f>IF('Design Fee'!AJ114&gt;0,"✔","-")</f>
        <v>-</v>
      </c>
      <c r="AA112" s="229"/>
      <c r="AB112" s="225"/>
      <c r="AC112" s="226"/>
      <c r="AD112" s="197" t="str">
        <f>IF('Design Fee'!BG114&gt;0,"✔","-")</f>
        <v>✔</v>
      </c>
      <c r="AE112" s="197" t="str">
        <f>IF('Design Fee'!BH114&gt;0,"✔","-")</f>
        <v>✔</v>
      </c>
      <c r="AF112" s="220" t="str">
        <f>IF('Design Fee'!BI114&gt;0,"✔","-")</f>
        <v>✔</v>
      </c>
      <c r="AG112" s="220" t="str">
        <f>IF('Design Fee'!BJ114&gt;0,"✔","-")</f>
        <v>-</v>
      </c>
      <c r="AH112" s="220" t="str">
        <f>IF('Design Fee'!BK114&gt;0,"✔","-")</f>
        <v>-</v>
      </c>
      <c r="AI112" s="220" t="str">
        <f>IF('Design Fee'!BL114&gt;0,"✔","-")</f>
        <v>-</v>
      </c>
      <c r="AJ112" s="220" t="str">
        <f>IF('Design Fee'!BM114&gt;0,"✔","-")</f>
        <v>-</v>
      </c>
      <c r="AK112" s="220" t="str">
        <f>IF('Design Fee'!BN114&gt;0,"✔","-")</f>
        <v>-</v>
      </c>
      <c r="AL112" s="230"/>
      <c r="AM112" s="198" t="str">
        <f>IF('Design Fee'!BP114&gt;0,"✔","-")</f>
        <v>-</v>
      </c>
      <c r="AN112" s="198" t="str">
        <f>IF('Design Fee'!BQ114&gt;0,"✔","-")</f>
        <v>-</v>
      </c>
      <c r="AO112" s="198" t="str">
        <f>IF('Design Fee'!BR114&gt;0,"✔","-")</f>
        <v>-</v>
      </c>
      <c r="AP112" s="198" t="str">
        <f>IF('Design Fee'!BS114&gt;0,"✔","-")</f>
        <v>-</v>
      </c>
      <c r="AQ112" s="198" t="str">
        <f>IF('Design Fee'!BT114&gt;0,"✔","-")</f>
        <v>-</v>
      </c>
      <c r="AR112" s="230"/>
      <c r="AS112" s="225"/>
      <c r="AT112" s="226"/>
      <c r="AU112" s="197" t="str">
        <f>IF('Design Fee'!CQ114&gt;0,"✔","-")</f>
        <v>-</v>
      </c>
      <c r="AV112" s="197" t="str">
        <f>IF('Design Fee'!CR114&gt;0,"✔","-")</f>
        <v>-</v>
      </c>
      <c r="AW112" s="220" t="str">
        <f>IF('Design Fee'!CS114&gt;0,"✔","-")</f>
        <v>-</v>
      </c>
      <c r="AX112" s="220" t="str">
        <f>IF('Design Fee'!CT114&gt;0,"✔","-")</f>
        <v>-</v>
      </c>
      <c r="AY112" s="220" t="str">
        <f>IF('Design Fee'!CU114&gt;0,"✔","-")</f>
        <v>-</v>
      </c>
      <c r="AZ112" s="220" t="str">
        <f>IF('Design Fee'!CV114&gt;0,"✔","-")</f>
        <v>-</v>
      </c>
      <c r="BA112" s="220" t="str">
        <f>IF('Design Fee'!CW114&gt;0,"✔","-")</f>
        <v>-</v>
      </c>
      <c r="BB112" s="220" t="str">
        <f>IF('Design Fee'!CX114&gt;0,"✔","-")</f>
        <v>-</v>
      </c>
      <c r="BC112" s="230"/>
      <c r="BD112" s="198" t="str">
        <f>IF('Design Fee'!CZ114&gt;0,"✔","-")</f>
        <v>-</v>
      </c>
      <c r="BE112" s="198" t="str">
        <f>IF('Design Fee'!DA114&gt;0,"✔","-")</f>
        <v>-</v>
      </c>
      <c r="BF112" s="198" t="str">
        <f>IF('Design Fee'!DB114&gt;0,"✔","-")</f>
        <v>-</v>
      </c>
      <c r="BG112" s="198" t="str">
        <f>IF('Design Fee'!DC114&gt;0,"✔","-")</f>
        <v>-</v>
      </c>
      <c r="BH112" s="198" t="str">
        <f>IF('Design Fee'!DD114&gt;0,"✔","-")</f>
        <v>-</v>
      </c>
      <c r="BI112" s="230"/>
      <c r="BJ112" s="225"/>
      <c r="BK112" s="226"/>
      <c r="BL112" s="197" t="str">
        <f>IF('Design Fee'!EA114&gt;0,"✔","-")</f>
        <v>-</v>
      </c>
      <c r="BM112" s="197" t="str">
        <f>IF('Design Fee'!EB114&gt;0,"✔","-")</f>
        <v>-</v>
      </c>
      <c r="BN112" s="220" t="str">
        <f>IF('Design Fee'!EC114&gt;0,"✔","-")</f>
        <v>-</v>
      </c>
      <c r="BO112" s="220" t="str">
        <f>IF('Design Fee'!ED114&gt;0,"✔","-")</f>
        <v>-</v>
      </c>
      <c r="BP112" s="220" t="str">
        <f>IF('Design Fee'!EE114&gt;0,"✔","-")</f>
        <v>-</v>
      </c>
      <c r="BQ112" s="220" t="str">
        <f>IF('Design Fee'!EF114&gt;0,"✔","-")</f>
        <v>-</v>
      </c>
      <c r="BR112" s="220" t="str">
        <f>IF('Design Fee'!EG114&gt;0,"✔","-")</f>
        <v>-</v>
      </c>
      <c r="BS112" s="220" t="str">
        <f>IF('Design Fee'!EH114&gt;0,"✔","-")</f>
        <v>-</v>
      </c>
      <c r="BT112" s="222"/>
      <c r="BU112" s="198" t="str">
        <f>IF('Design Fee'!EJ114&gt;0,"✔","-")</f>
        <v>-</v>
      </c>
      <c r="BV112" s="198" t="str">
        <f>IF('Design Fee'!EK114&gt;0,"✔","-")</f>
        <v>-</v>
      </c>
      <c r="BW112" s="198" t="str">
        <f>IF('Design Fee'!EL114&gt;0,"✔","-")</f>
        <v>-</v>
      </c>
      <c r="BX112" s="198" t="str">
        <f>IF('Design Fee'!EM114&gt;0,"✔","-")</f>
        <v>-</v>
      </c>
      <c r="BY112" s="198" t="str">
        <f>IF('Design Fee'!EN114&gt;0,"✔","-")</f>
        <v>-</v>
      </c>
      <c r="BZ112" s="137"/>
    </row>
    <row r="113" spans="1:78" s="51" customFormat="1" ht="12.75" outlineLevel="2">
      <c r="A113" s="222"/>
      <c r="B113" s="217" t="s">
        <v>122</v>
      </c>
      <c r="C113" s="223">
        <v>6</v>
      </c>
      <c r="D113" s="224" t="s">
        <v>62</v>
      </c>
      <c r="E113" s="222"/>
      <c r="F113" s="197">
        <f t="shared" si="337"/>
        <v>2</v>
      </c>
      <c r="G113" s="198">
        <f t="shared" si="338"/>
        <v>2</v>
      </c>
      <c r="H113" s="198">
        <f t="shared" si="338"/>
        <v>2</v>
      </c>
      <c r="I113" s="198">
        <f t="shared" si="339"/>
        <v>0</v>
      </c>
      <c r="J113" s="234"/>
      <c r="K113" s="225"/>
      <c r="L113" s="226"/>
      <c r="M113" s="197" t="str">
        <f>IF('Design Fee'!W115&gt;0,"✔","-")</f>
        <v>✔</v>
      </c>
      <c r="N113" s="197" t="str">
        <f>IF('Design Fee'!X115&gt;0,"✔","-")</f>
        <v>✔</v>
      </c>
      <c r="O113" s="220" t="str">
        <f>IF('Design Fee'!Y115&gt;0,"✔","-")</f>
        <v>✔</v>
      </c>
      <c r="P113" s="220" t="str">
        <f>IF('Design Fee'!Z115&gt;0,"✔","-")</f>
        <v>-</v>
      </c>
      <c r="Q113" s="220" t="str">
        <f>IF('Design Fee'!AA115&gt;0,"✔","-")</f>
        <v>-</v>
      </c>
      <c r="R113" s="220" t="str">
        <f>IF('Design Fee'!AB115&gt;0,"✔","-")</f>
        <v>-</v>
      </c>
      <c r="S113" s="220" t="str">
        <f>IF('Design Fee'!AC115&gt;0,"✔","-")</f>
        <v>-</v>
      </c>
      <c r="T113" s="220" t="str">
        <f>IF('Design Fee'!AD115&gt;0,"✔","-")</f>
        <v>-</v>
      </c>
      <c r="U113" s="234"/>
      <c r="V113" s="198" t="str">
        <f>IF('Design Fee'!AF115&gt;0,"✔","-")</f>
        <v>-</v>
      </c>
      <c r="W113" s="198" t="str">
        <f>IF('Design Fee'!AG115&gt;0,"✔","-")</f>
        <v>-</v>
      </c>
      <c r="X113" s="198" t="str">
        <f>IF('Design Fee'!AH115&gt;0,"✔","-")</f>
        <v>-</v>
      </c>
      <c r="Y113" s="198" t="str">
        <f>IF('Design Fee'!AI115&gt;0,"✔","-")</f>
        <v>-</v>
      </c>
      <c r="Z113" s="198" t="str">
        <f>IF('Design Fee'!AJ115&gt;0,"✔","-")</f>
        <v>-</v>
      </c>
      <c r="AA113" s="234"/>
      <c r="AB113" s="225"/>
      <c r="AC113" s="226"/>
      <c r="AD113" s="197" t="str">
        <f>IF('Design Fee'!BG115&gt;0,"✔","-")</f>
        <v>✔</v>
      </c>
      <c r="AE113" s="197" t="str">
        <f>IF('Design Fee'!BH115&gt;0,"✔","-")</f>
        <v>✔</v>
      </c>
      <c r="AF113" s="220" t="str">
        <f>IF('Design Fee'!BI115&gt;0,"✔","-")</f>
        <v>✔</v>
      </c>
      <c r="AG113" s="220" t="str">
        <f>IF('Design Fee'!BJ115&gt;0,"✔","-")</f>
        <v>-</v>
      </c>
      <c r="AH113" s="220" t="str">
        <f>IF('Design Fee'!BK115&gt;0,"✔","-")</f>
        <v>-</v>
      </c>
      <c r="AI113" s="220" t="str">
        <f>IF('Design Fee'!BL115&gt;0,"✔","-")</f>
        <v>-</v>
      </c>
      <c r="AJ113" s="220" t="str">
        <f>IF('Design Fee'!BM115&gt;0,"✔","-")</f>
        <v>-</v>
      </c>
      <c r="AK113" s="220" t="str">
        <f>IF('Design Fee'!BN115&gt;0,"✔","-")</f>
        <v>-</v>
      </c>
      <c r="AL113" s="230"/>
      <c r="AM113" s="198" t="str">
        <f>IF('Design Fee'!BP115&gt;0,"✔","-")</f>
        <v>-</v>
      </c>
      <c r="AN113" s="198" t="str">
        <f>IF('Design Fee'!BQ115&gt;0,"✔","-")</f>
        <v>-</v>
      </c>
      <c r="AO113" s="198" t="str">
        <f>IF('Design Fee'!BR115&gt;0,"✔","-")</f>
        <v>-</v>
      </c>
      <c r="AP113" s="198" t="str">
        <f>IF('Design Fee'!BS115&gt;0,"✔","-")</f>
        <v>-</v>
      </c>
      <c r="AQ113" s="198" t="str">
        <f>IF('Design Fee'!BT115&gt;0,"✔","-")</f>
        <v>-</v>
      </c>
      <c r="AR113" s="230"/>
      <c r="AS113" s="225"/>
      <c r="AT113" s="226"/>
      <c r="AU113" s="197" t="str">
        <f>IF('Design Fee'!CQ115&gt;0,"✔","-")</f>
        <v>-</v>
      </c>
      <c r="AV113" s="197" t="str">
        <f>IF('Design Fee'!CR115&gt;0,"✔","-")</f>
        <v>-</v>
      </c>
      <c r="AW113" s="220" t="str">
        <f>IF('Design Fee'!CS115&gt;0,"✔","-")</f>
        <v>-</v>
      </c>
      <c r="AX113" s="220" t="str">
        <f>IF('Design Fee'!CT115&gt;0,"✔","-")</f>
        <v>-</v>
      </c>
      <c r="AY113" s="220" t="str">
        <f>IF('Design Fee'!CU115&gt;0,"✔","-")</f>
        <v>-</v>
      </c>
      <c r="AZ113" s="220" t="str">
        <f>IF('Design Fee'!CV115&gt;0,"✔","-")</f>
        <v>-</v>
      </c>
      <c r="BA113" s="220" t="str">
        <f>IF('Design Fee'!CW115&gt;0,"✔","-")</f>
        <v>-</v>
      </c>
      <c r="BB113" s="220" t="str">
        <f>IF('Design Fee'!CX115&gt;0,"✔","-")</f>
        <v>-</v>
      </c>
      <c r="BC113" s="230"/>
      <c r="BD113" s="198" t="str">
        <f>IF('Design Fee'!CZ115&gt;0,"✔","-")</f>
        <v>-</v>
      </c>
      <c r="BE113" s="198" t="str">
        <f>IF('Design Fee'!DA115&gt;0,"✔","-")</f>
        <v>-</v>
      </c>
      <c r="BF113" s="198" t="str">
        <f>IF('Design Fee'!DB115&gt;0,"✔","-")</f>
        <v>-</v>
      </c>
      <c r="BG113" s="198" t="str">
        <f>IF('Design Fee'!DC115&gt;0,"✔","-")</f>
        <v>-</v>
      </c>
      <c r="BH113" s="198" t="str">
        <f>IF('Design Fee'!DD115&gt;0,"✔","-")</f>
        <v>-</v>
      </c>
      <c r="BI113" s="230"/>
      <c r="BJ113" s="225"/>
      <c r="BK113" s="226"/>
      <c r="BL113" s="197" t="str">
        <f>IF('Design Fee'!EA115&gt;0,"✔","-")</f>
        <v>-</v>
      </c>
      <c r="BM113" s="197" t="str">
        <f>IF('Design Fee'!EB115&gt;0,"✔","-")</f>
        <v>-</v>
      </c>
      <c r="BN113" s="220" t="str">
        <f>IF('Design Fee'!EC115&gt;0,"✔","-")</f>
        <v>-</v>
      </c>
      <c r="BO113" s="220" t="str">
        <f>IF('Design Fee'!ED115&gt;0,"✔","-")</f>
        <v>-</v>
      </c>
      <c r="BP113" s="220" t="str">
        <f>IF('Design Fee'!EE115&gt;0,"✔","-")</f>
        <v>-</v>
      </c>
      <c r="BQ113" s="220" t="str">
        <f>IF('Design Fee'!EF115&gt;0,"✔","-")</f>
        <v>-</v>
      </c>
      <c r="BR113" s="220" t="str">
        <f>IF('Design Fee'!EG115&gt;0,"✔","-")</f>
        <v>-</v>
      </c>
      <c r="BS113" s="220" t="str">
        <f>IF('Design Fee'!EH115&gt;0,"✔","-")</f>
        <v>-</v>
      </c>
      <c r="BT113" s="222"/>
      <c r="BU113" s="198" t="str">
        <f>IF('Design Fee'!EJ115&gt;0,"✔","-")</f>
        <v>-</v>
      </c>
      <c r="BV113" s="198" t="str">
        <f>IF('Design Fee'!EK115&gt;0,"✔","-")</f>
        <v>-</v>
      </c>
      <c r="BW113" s="198" t="str">
        <f>IF('Design Fee'!EL115&gt;0,"✔","-")</f>
        <v>-</v>
      </c>
      <c r="BX113" s="198" t="str">
        <f>IF('Design Fee'!EM115&gt;0,"✔","-")</f>
        <v>-</v>
      </c>
      <c r="BY113" s="198" t="str">
        <f>IF('Design Fee'!EN115&gt;0,"✔","-")</f>
        <v>-</v>
      </c>
      <c r="BZ113" s="137"/>
    </row>
    <row r="114" spans="1:78" ht="12.75" outlineLevel="2">
      <c r="A114" s="137"/>
      <c r="B114" s="217" t="s">
        <v>123</v>
      </c>
      <c r="C114" s="218">
        <v>7</v>
      </c>
      <c r="D114" s="219" t="s">
        <v>64</v>
      </c>
      <c r="E114" s="137"/>
      <c r="F114" s="197">
        <f t="shared" si="337"/>
        <v>2</v>
      </c>
      <c r="G114" s="198">
        <f t="shared" si="338"/>
        <v>2</v>
      </c>
      <c r="H114" s="198">
        <f t="shared" si="338"/>
        <v>2</v>
      </c>
      <c r="I114" s="198">
        <f t="shared" si="339"/>
        <v>0</v>
      </c>
      <c r="J114" s="221"/>
      <c r="K114" s="195"/>
      <c r="L114" s="196"/>
      <c r="M114" s="197" t="str">
        <f>IF('Design Fee'!W116&gt;0,"✔","-")</f>
        <v>✔</v>
      </c>
      <c r="N114" s="197" t="str">
        <f>IF('Design Fee'!X116&gt;0,"✔","-")</f>
        <v>✔</v>
      </c>
      <c r="O114" s="198" t="str">
        <f>IF('Design Fee'!Y116&gt;0,"✔","-")</f>
        <v>✔</v>
      </c>
      <c r="P114" s="220" t="str">
        <f>IF('Design Fee'!Z116&gt;0,"✔","-")</f>
        <v>-</v>
      </c>
      <c r="Q114" s="220" t="str">
        <f>IF('Design Fee'!AA116&gt;0,"✔","-")</f>
        <v>-</v>
      </c>
      <c r="R114" s="198" t="str">
        <f>IF('Design Fee'!AB116&gt;0,"✔","-")</f>
        <v>-</v>
      </c>
      <c r="S114" s="198" t="str">
        <f>IF('Design Fee'!AC116&gt;0,"✔","-")</f>
        <v>-</v>
      </c>
      <c r="T114" s="220" t="str">
        <f>IF('Design Fee'!AD116&gt;0,"✔","-")</f>
        <v>-</v>
      </c>
      <c r="U114" s="221"/>
      <c r="V114" s="198" t="str">
        <f>IF('Design Fee'!AF116&gt;0,"✔","-")</f>
        <v>-</v>
      </c>
      <c r="W114" s="198" t="str">
        <f>IF('Design Fee'!AG116&gt;0,"✔","-")</f>
        <v>-</v>
      </c>
      <c r="X114" s="198" t="str">
        <f>IF('Design Fee'!AH116&gt;0,"✔","-")</f>
        <v>-</v>
      </c>
      <c r="Y114" s="198" t="str">
        <f>IF('Design Fee'!AI116&gt;0,"✔","-")</f>
        <v>-</v>
      </c>
      <c r="Z114" s="198" t="str">
        <f>IF('Design Fee'!AJ116&gt;0,"✔","-")</f>
        <v>-</v>
      </c>
      <c r="AA114" s="221"/>
      <c r="AB114" s="195"/>
      <c r="AC114" s="196"/>
      <c r="AD114" s="197" t="str">
        <f>IF('Design Fee'!BG116&gt;0,"✔","-")</f>
        <v>-</v>
      </c>
      <c r="AE114" s="197" t="str">
        <f>IF('Design Fee'!BH116&gt;0,"✔","-")</f>
        <v>-</v>
      </c>
      <c r="AF114" s="198" t="str">
        <f>IF('Design Fee'!BI116&gt;0,"✔","-")</f>
        <v>-</v>
      </c>
      <c r="AG114" s="220" t="str">
        <f>IF('Design Fee'!BJ116&gt;0,"✔","-")</f>
        <v>-</v>
      </c>
      <c r="AH114" s="220" t="str">
        <f>IF('Design Fee'!BK116&gt;0,"✔","-")</f>
        <v>-</v>
      </c>
      <c r="AI114" s="198" t="str">
        <f>IF('Design Fee'!BL116&gt;0,"✔","-")</f>
        <v>-</v>
      </c>
      <c r="AJ114" s="198" t="str">
        <f>IF('Design Fee'!BM116&gt;0,"✔","-")</f>
        <v>-</v>
      </c>
      <c r="AK114" s="220" t="str">
        <f>IF('Design Fee'!BN116&gt;0,"✔","-")</f>
        <v>-</v>
      </c>
      <c r="AL114" s="199"/>
      <c r="AM114" s="198" t="str">
        <f>IF('Design Fee'!BP116&gt;0,"✔","-")</f>
        <v>-</v>
      </c>
      <c r="AN114" s="198" t="str">
        <f>IF('Design Fee'!BQ116&gt;0,"✔","-")</f>
        <v>-</v>
      </c>
      <c r="AO114" s="198" t="str">
        <f>IF('Design Fee'!BR116&gt;0,"✔","-")</f>
        <v>-</v>
      </c>
      <c r="AP114" s="198" t="str">
        <f>IF('Design Fee'!BS116&gt;0,"✔","-")</f>
        <v>-</v>
      </c>
      <c r="AQ114" s="198" t="str">
        <f>IF('Design Fee'!BT116&gt;0,"✔","-")</f>
        <v>-</v>
      </c>
      <c r="AR114" s="199"/>
      <c r="AS114" s="195"/>
      <c r="AT114" s="196"/>
      <c r="AU114" s="197" t="str">
        <f>IF('Design Fee'!CQ116&gt;0,"✔","-")</f>
        <v>✔</v>
      </c>
      <c r="AV114" s="197" t="str">
        <f>IF('Design Fee'!CR116&gt;0,"✔","-")</f>
        <v>✔</v>
      </c>
      <c r="AW114" s="198" t="str">
        <f>IF('Design Fee'!CS116&gt;0,"✔","-")</f>
        <v>✔</v>
      </c>
      <c r="AX114" s="220" t="str">
        <f>IF('Design Fee'!CT116&gt;0,"✔","-")</f>
        <v>-</v>
      </c>
      <c r="AY114" s="220" t="str">
        <f>IF('Design Fee'!CU116&gt;0,"✔","-")</f>
        <v>-</v>
      </c>
      <c r="AZ114" s="198" t="str">
        <f>IF('Design Fee'!CV116&gt;0,"✔","-")</f>
        <v>-</v>
      </c>
      <c r="BA114" s="198" t="str">
        <f>IF('Design Fee'!CW116&gt;0,"✔","-")</f>
        <v>-</v>
      </c>
      <c r="BB114" s="220" t="str">
        <f>IF('Design Fee'!CX116&gt;0,"✔","-")</f>
        <v>-</v>
      </c>
      <c r="BC114" s="199"/>
      <c r="BD114" s="198" t="str">
        <f>IF('Design Fee'!CZ116&gt;0,"✔","-")</f>
        <v>-</v>
      </c>
      <c r="BE114" s="198" t="str">
        <f>IF('Design Fee'!DA116&gt;0,"✔","-")</f>
        <v>-</v>
      </c>
      <c r="BF114" s="198" t="str">
        <f>IF('Design Fee'!DB116&gt;0,"✔","-")</f>
        <v>-</v>
      </c>
      <c r="BG114" s="198" t="str">
        <f>IF('Design Fee'!DC116&gt;0,"✔","-")</f>
        <v>-</v>
      </c>
      <c r="BH114" s="198" t="str">
        <f>IF('Design Fee'!DD116&gt;0,"✔","-")</f>
        <v>-</v>
      </c>
      <c r="BI114" s="199"/>
      <c r="BJ114" s="195"/>
      <c r="BK114" s="196"/>
      <c r="BL114" s="197" t="str">
        <f>IF('Design Fee'!EA116&gt;0,"✔","-")</f>
        <v>-</v>
      </c>
      <c r="BM114" s="197" t="str">
        <f>IF('Design Fee'!EB116&gt;0,"✔","-")</f>
        <v>-</v>
      </c>
      <c r="BN114" s="198" t="str">
        <f>IF('Design Fee'!EC116&gt;0,"✔","-")</f>
        <v>-</v>
      </c>
      <c r="BO114" s="220" t="str">
        <f>IF('Design Fee'!ED116&gt;0,"✔","-")</f>
        <v>-</v>
      </c>
      <c r="BP114" s="220" t="str">
        <f>IF('Design Fee'!EE116&gt;0,"✔","-")</f>
        <v>-</v>
      </c>
      <c r="BQ114" s="198" t="str">
        <f>IF('Design Fee'!EF116&gt;0,"✔","-")</f>
        <v>-</v>
      </c>
      <c r="BR114" s="198" t="str">
        <f>IF('Design Fee'!EG116&gt;0,"✔","-")</f>
        <v>-</v>
      </c>
      <c r="BS114" s="220" t="str">
        <f>IF('Design Fee'!EH116&gt;0,"✔","-")</f>
        <v>-</v>
      </c>
      <c r="BT114" s="137"/>
      <c r="BU114" s="198" t="str">
        <f>IF('Design Fee'!EJ116&gt;0,"✔","-")</f>
        <v>-</v>
      </c>
      <c r="BV114" s="198" t="str">
        <f>IF('Design Fee'!EK116&gt;0,"✔","-")</f>
        <v>-</v>
      </c>
      <c r="BW114" s="198" t="str">
        <f>IF('Design Fee'!EL116&gt;0,"✔","-")</f>
        <v>-</v>
      </c>
      <c r="BX114" s="198" t="str">
        <f>IF('Design Fee'!EM116&gt;0,"✔","-")</f>
        <v>-</v>
      </c>
      <c r="BY114" s="198" t="str">
        <f>IF('Design Fee'!EN116&gt;0,"✔","-")</f>
        <v>-</v>
      </c>
      <c r="BZ114" s="137"/>
    </row>
    <row r="115" spans="1:78" ht="12.75" outlineLevel="2">
      <c r="A115" s="137"/>
      <c r="B115" s="217" t="s">
        <v>124</v>
      </c>
      <c r="C115" s="218">
        <v>8</v>
      </c>
      <c r="D115" s="219" t="s">
        <v>67</v>
      </c>
      <c r="E115" s="137"/>
      <c r="F115" s="197">
        <f t="shared" si="337"/>
        <v>2</v>
      </c>
      <c r="G115" s="198">
        <f t="shared" si="338"/>
        <v>2</v>
      </c>
      <c r="H115" s="198">
        <f t="shared" si="338"/>
        <v>2</v>
      </c>
      <c r="I115" s="198">
        <f t="shared" si="339"/>
        <v>0</v>
      </c>
      <c r="J115" s="221"/>
      <c r="K115" s="195"/>
      <c r="L115" s="196"/>
      <c r="M115" s="197" t="str">
        <f>IF('Design Fee'!W117&gt;0,"✔","-")</f>
        <v>✔</v>
      </c>
      <c r="N115" s="197" t="str">
        <f>IF('Design Fee'!X117&gt;0,"✔","-")</f>
        <v>✔</v>
      </c>
      <c r="O115" s="198" t="str">
        <f>IF('Design Fee'!Y117&gt;0,"✔","-")</f>
        <v>✔</v>
      </c>
      <c r="P115" s="220" t="str">
        <f>IF('Design Fee'!Z117&gt;0,"✔","-")</f>
        <v>-</v>
      </c>
      <c r="Q115" s="220" t="str">
        <f>IF('Design Fee'!AA117&gt;0,"✔","-")</f>
        <v>-</v>
      </c>
      <c r="R115" s="198" t="str">
        <f>IF('Design Fee'!AB117&gt;0,"✔","-")</f>
        <v>-</v>
      </c>
      <c r="S115" s="198" t="str">
        <f>IF('Design Fee'!AC117&gt;0,"✔","-")</f>
        <v>-</v>
      </c>
      <c r="T115" s="220" t="str">
        <f>IF('Design Fee'!AD117&gt;0,"✔","-")</f>
        <v>-</v>
      </c>
      <c r="U115" s="221"/>
      <c r="V115" s="198" t="str">
        <f>IF('Design Fee'!AF117&gt;0,"✔","-")</f>
        <v>-</v>
      </c>
      <c r="W115" s="198" t="str">
        <f>IF('Design Fee'!AG117&gt;0,"✔","-")</f>
        <v>-</v>
      </c>
      <c r="X115" s="198" t="str">
        <f>IF('Design Fee'!AH117&gt;0,"✔","-")</f>
        <v>-</v>
      </c>
      <c r="Y115" s="198" t="str">
        <f>IF('Design Fee'!AI117&gt;0,"✔","-")</f>
        <v>-</v>
      </c>
      <c r="Z115" s="198" t="str">
        <f>IF('Design Fee'!AJ117&gt;0,"✔","-")</f>
        <v>-</v>
      </c>
      <c r="AA115" s="221"/>
      <c r="AB115" s="195"/>
      <c r="AC115" s="196"/>
      <c r="AD115" s="197" t="str">
        <f>IF('Design Fee'!BG117&gt;0,"✔","-")</f>
        <v>✔</v>
      </c>
      <c r="AE115" s="197" t="str">
        <f>IF('Design Fee'!BH117&gt;0,"✔","-")</f>
        <v>✔</v>
      </c>
      <c r="AF115" s="198" t="str">
        <f>IF('Design Fee'!BI117&gt;0,"✔","-")</f>
        <v>✔</v>
      </c>
      <c r="AG115" s="220" t="str">
        <f>IF('Design Fee'!BJ117&gt;0,"✔","-")</f>
        <v>-</v>
      </c>
      <c r="AH115" s="220" t="str">
        <f>IF('Design Fee'!BK117&gt;0,"✔","-")</f>
        <v>-</v>
      </c>
      <c r="AI115" s="198" t="str">
        <f>IF('Design Fee'!BL117&gt;0,"✔","-")</f>
        <v>-</v>
      </c>
      <c r="AJ115" s="198" t="str">
        <f>IF('Design Fee'!BM117&gt;0,"✔","-")</f>
        <v>-</v>
      </c>
      <c r="AK115" s="220" t="str">
        <f>IF('Design Fee'!BN117&gt;0,"✔","-")</f>
        <v>-</v>
      </c>
      <c r="AL115" s="199"/>
      <c r="AM115" s="198" t="str">
        <f>IF('Design Fee'!BP117&gt;0,"✔","-")</f>
        <v>-</v>
      </c>
      <c r="AN115" s="198" t="str">
        <f>IF('Design Fee'!BQ117&gt;0,"✔","-")</f>
        <v>-</v>
      </c>
      <c r="AO115" s="198" t="str">
        <f>IF('Design Fee'!BR117&gt;0,"✔","-")</f>
        <v>-</v>
      </c>
      <c r="AP115" s="198" t="str">
        <f>IF('Design Fee'!BS117&gt;0,"✔","-")</f>
        <v>-</v>
      </c>
      <c r="AQ115" s="198" t="str">
        <f>IF('Design Fee'!BT117&gt;0,"✔","-")</f>
        <v>-</v>
      </c>
      <c r="AR115" s="199"/>
      <c r="AS115" s="195"/>
      <c r="AT115" s="196"/>
      <c r="AU115" s="197" t="str">
        <f>IF('Design Fee'!CQ117&gt;0,"✔","-")</f>
        <v>-</v>
      </c>
      <c r="AV115" s="197" t="str">
        <f>IF('Design Fee'!CR117&gt;0,"✔","-")</f>
        <v>-</v>
      </c>
      <c r="AW115" s="198" t="str">
        <f>IF('Design Fee'!CS117&gt;0,"✔","-")</f>
        <v>-</v>
      </c>
      <c r="AX115" s="220" t="str">
        <f>IF('Design Fee'!CT117&gt;0,"✔","-")</f>
        <v>-</v>
      </c>
      <c r="AY115" s="220" t="str">
        <f>IF('Design Fee'!CU117&gt;0,"✔","-")</f>
        <v>-</v>
      </c>
      <c r="AZ115" s="198" t="str">
        <f>IF('Design Fee'!CV117&gt;0,"✔","-")</f>
        <v>-</v>
      </c>
      <c r="BA115" s="198" t="str">
        <f>IF('Design Fee'!CW117&gt;0,"✔","-")</f>
        <v>-</v>
      </c>
      <c r="BB115" s="220" t="str">
        <f>IF('Design Fee'!CX117&gt;0,"✔","-")</f>
        <v>-</v>
      </c>
      <c r="BC115" s="199"/>
      <c r="BD115" s="198" t="str">
        <f>IF('Design Fee'!CZ117&gt;0,"✔","-")</f>
        <v>-</v>
      </c>
      <c r="BE115" s="198" t="str">
        <f>IF('Design Fee'!DA117&gt;0,"✔","-")</f>
        <v>-</v>
      </c>
      <c r="BF115" s="198" t="str">
        <f>IF('Design Fee'!DB117&gt;0,"✔","-")</f>
        <v>-</v>
      </c>
      <c r="BG115" s="198" t="str">
        <f>IF('Design Fee'!DC117&gt;0,"✔","-")</f>
        <v>-</v>
      </c>
      <c r="BH115" s="198" t="str">
        <f>IF('Design Fee'!DD117&gt;0,"✔","-")</f>
        <v>-</v>
      </c>
      <c r="BI115" s="199"/>
      <c r="BJ115" s="195"/>
      <c r="BK115" s="196"/>
      <c r="BL115" s="197" t="str">
        <f>IF('Design Fee'!EA117&gt;0,"✔","-")</f>
        <v>-</v>
      </c>
      <c r="BM115" s="197" t="str">
        <f>IF('Design Fee'!EB117&gt;0,"✔","-")</f>
        <v>-</v>
      </c>
      <c r="BN115" s="198" t="str">
        <f>IF('Design Fee'!EC117&gt;0,"✔","-")</f>
        <v>-</v>
      </c>
      <c r="BO115" s="220" t="str">
        <f>IF('Design Fee'!ED117&gt;0,"✔","-")</f>
        <v>-</v>
      </c>
      <c r="BP115" s="220" t="str">
        <f>IF('Design Fee'!EE117&gt;0,"✔","-")</f>
        <v>-</v>
      </c>
      <c r="BQ115" s="198" t="str">
        <f>IF('Design Fee'!EF117&gt;0,"✔","-")</f>
        <v>-</v>
      </c>
      <c r="BR115" s="198" t="str">
        <f>IF('Design Fee'!EG117&gt;0,"✔","-")</f>
        <v>-</v>
      </c>
      <c r="BS115" s="220" t="str">
        <f>IF('Design Fee'!EH117&gt;0,"✔","-")</f>
        <v>-</v>
      </c>
      <c r="BT115" s="137"/>
      <c r="BU115" s="198" t="str">
        <f>IF('Design Fee'!EJ117&gt;0,"✔","-")</f>
        <v>-</v>
      </c>
      <c r="BV115" s="198" t="str">
        <f>IF('Design Fee'!EK117&gt;0,"✔","-")</f>
        <v>-</v>
      </c>
      <c r="BW115" s="198" t="str">
        <f>IF('Design Fee'!EL117&gt;0,"✔","-")</f>
        <v>-</v>
      </c>
      <c r="BX115" s="198" t="str">
        <f>IF('Design Fee'!EM117&gt;0,"✔","-")</f>
        <v>-</v>
      </c>
      <c r="BY115" s="198" t="str">
        <f>IF('Design Fee'!EN117&gt;0,"✔","-")</f>
        <v>-</v>
      </c>
      <c r="BZ115" s="137"/>
    </row>
    <row r="116" spans="1:78" ht="12.75" outlineLevel="2">
      <c r="A116" s="137"/>
      <c r="B116" s="217" t="s">
        <v>125</v>
      </c>
      <c r="C116" s="218">
        <v>9</v>
      </c>
      <c r="D116" s="219" t="s">
        <v>69</v>
      </c>
      <c r="E116" s="137"/>
      <c r="F116" s="197">
        <f t="shared" si="337"/>
        <v>3</v>
      </c>
      <c r="G116" s="198">
        <f t="shared" si="338"/>
        <v>3</v>
      </c>
      <c r="H116" s="198">
        <f t="shared" si="338"/>
        <v>3</v>
      </c>
      <c r="I116" s="198">
        <f t="shared" si="339"/>
        <v>0</v>
      </c>
      <c r="J116" s="184"/>
      <c r="K116" s="195"/>
      <c r="L116" s="196"/>
      <c r="M116" s="197" t="str">
        <f>IF('Design Fee'!W118&gt;0,"✔","-")</f>
        <v>✔</v>
      </c>
      <c r="N116" s="197" t="str">
        <f>IF('Design Fee'!X118&gt;0,"✔","-")</f>
        <v>✔</v>
      </c>
      <c r="O116" s="198" t="str">
        <f>IF('Design Fee'!Y118&gt;0,"✔","-")</f>
        <v>✔</v>
      </c>
      <c r="P116" s="220" t="str">
        <f>IF('Design Fee'!Z118&gt;0,"✔","-")</f>
        <v>-</v>
      </c>
      <c r="Q116" s="220" t="str">
        <f>IF('Design Fee'!AA118&gt;0,"✔","-")</f>
        <v>-</v>
      </c>
      <c r="R116" s="198" t="str">
        <f>IF('Design Fee'!AB118&gt;0,"✔","-")</f>
        <v>-</v>
      </c>
      <c r="S116" s="198" t="str">
        <f>IF('Design Fee'!AC118&gt;0,"✔","-")</f>
        <v>-</v>
      </c>
      <c r="T116" s="220" t="str">
        <f>IF('Design Fee'!AD118&gt;0,"✔","-")</f>
        <v>-</v>
      </c>
      <c r="U116" s="184"/>
      <c r="V116" s="198" t="str">
        <f>IF('Design Fee'!AF118&gt;0,"✔","-")</f>
        <v>-</v>
      </c>
      <c r="W116" s="198" t="str">
        <f>IF('Design Fee'!AG118&gt;0,"✔","-")</f>
        <v>-</v>
      </c>
      <c r="X116" s="198" t="str">
        <f>IF('Design Fee'!AH118&gt;0,"✔","-")</f>
        <v>-</v>
      </c>
      <c r="Y116" s="198" t="str">
        <f>IF('Design Fee'!AI118&gt;0,"✔","-")</f>
        <v>-</v>
      </c>
      <c r="Z116" s="198" t="str">
        <f>IF('Design Fee'!AJ118&gt;0,"✔","-")</f>
        <v>-</v>
      </c>
      <c r="AA116" s="184"/>
      <c r="AB116" s="195"/>
      <c r="AC116" s="196"/>
      <c r="AD116" s="197" t="str">
        <f>IF('Design Fee'!BG118&gt;0,"✔","-")</f>
        <v>✔</v>
      </c>
      <c r="AE116" s="197" t="str">
        <f>IF('Design Fee'!BH118&gt;0,"✔","-")</f>
        <v>✔</v>
      </c>
      <c r="AF116" s="198" t="str">
        <f>IF('Design Fee'!BI118&gt;0,"✔","-")</f>
        <v>✔</v>
      </c>
      <c r="AG116" s="220" t="str">
        <f>IF('Design Fee'!BJ118&gt;0,"✔","-")</f>
        <v>-</v>
      </c>
      <c r="AH116" s="220" t="str">
        <f>IF('Design Fee'!BK118&gt;0,"✔","-")</f>
        <v>-</v>
      </c>
      <c r="AI116" s="198" t="str">
        <f>IF('Design Fee'!BL118&gt;0,"✔","-")</f>
        <v>-</v>
      </c>
      <c r="AJ116" s="198" t="str">
        <f>IF('Design Fee'!BM118&gt;0,"✔","-")</f>
        <v>-</v>
      </c>
      <c r="AK116" s="220" t="str">
        <f>IF('Design Fee'!BN118&gt;0,"✔","-")</f>
        <v>-</v>
      </c>
      <c r="AL116" s="199"/>
      <c r="AM116" s="198" t="str">
        <f>IF('Design Fee'!BP118&gt;0,"✔","-")</f>
        <v>-</v>
      </c>
      <c r="AN116" s="198" t="str">
        <f>IF('Design Fee'!BQ118&gt;0,"✔","-")</f>
        <v>-</v>
      </c>
      <c r="AO116" s="198" t="str">
        <f>IF('Design Fee'!BR118&gt;0,"✔","-")</f>
        <v>-</v>
      </c>
      <c r="AP116" s="198" t="str">
        <f>IF('Design Fee'!BS118&gt;0,"✔","-")</f>
        <v>-</v>
      </c>
      <c r="AQ116" s="198" t="str">
        <f>IF('Design Fee'!BT118&gt;0,"✔","-")</f>
        <v>-</v>
      </c>
      <c r="AR116" s="199"/>
      <c r="AS116" s="195"/>
      <c r="AT116" s="196"/>
      <c r="AU116" s="197" t="str">
        <f>IF('Design Fee'!CQ118&gt;0,"✔","-")</f>
        <v>✔</v>
      </c>
      <c r="AV116" s="197" t="str">
        <f>IF('Design Fee'!CR118&gt;0,"✔","-")</f>
        <v>✔</v>
      </c>
      <c r="AW116" s="198" t="str">
        <f>IF('Design Fee'!CS118&gt;0,"✔","-")</f>
        <v>✔</v>
      </c>
      <c r="AX116" s="220" t="str">
        <f>IF('Design Fee'!CT118&gt;0,"✔","-")</f>
        <v>-</v>
      </c>
      <c r="AY116" s="220" t="str">
        <f>IF('Design Fee'!CU118&gt;0,"✔","-")</f>
        <v>-</v>
      </c>
      <c r="AZ116" s="198" t="str">
        <f>IF('Design Fee'!CV118&gt;0,"✔","-")</f>
        <v>-</v>
      </c>
      <c r="BA116" s="198" t="str">
        <f>IF('Design Fee'!CW118&gt;0,"✔","-")</f>
        <v>-</v>
      </c>
      <c r="BB116" s="220" t="str">
        <f>IF('Design Fee'!CX118&gt;0,"✔","-")</f>
        <v>-</v>
      </c>
      <c r="BC116" s="199"/>
      <c r="BD116" s="198" t="str">
        <f>IF('Design Fee'!CZ118&gt;0,"✔","-")</f>
        <v>-</v>
      </c>
      <c r="BE116" s="198" t="str">
        <f>IF('Design Fee'!DA118&gt;0,"✔","-")</f>
        <v>-</v>
      </c>
      <c r="BF116" s="198" t="str">
        <f>IF('Design Fee'!DB118&gt;0,"✔","-")</f>
        <v>-</v>
      </c>
      <c r="BG116" s="198" t="str">
        <f>IF('Design Fee'!DC118&gt;0,"✔","-")</f>
        <v>-</v>
      </c>
      <c r="BH116" s="198" t="str">
        <f>IF('Design Fee'!DD118&gt;0,"✔","-")</f>
        <v>-</v>
      </c>
      <c r="BI116" s="199"/>
      <c r="BJ116" s="195"/>
      <c r="BK116" s="196"/>
      <c r="BL116" s="197" t="str">
        <f>IF('Design Fee'!EA118&gt;0,"✔","-")</f>
        <v>-</v>
      </c>
      <c r="BM116" s="197" t="str">
        <f>IF('Design Fee'!EB118&gt;0,"✔","-")</f>
        <v>-</v>
      </c>
      <c r="BN116" s="198" t="str">
        <f>IF('Design Fee'!EC118&gt;0,"✔","-")</f>
        <v>-</v>
      </c>
      <c r="BO116" s="220" t="str">
        <f>IF('Design Fee'!ED118&gt;0,"✔","-")</f>
        <v>-</v>
      </c>
      <c r="BP116" s="220" t="str">
        <f>IF('Design Fee'!EE118&gt;0,"✔","-")</f>
        <v>-</v>
      </c>
      <c r="BQ116" s="198" t="str">
        <f>IF('Design Fee'!EF118&gt;0,"✔","-")</f>
        <v>-</v>
      </c>
      <c r="BR116" s="198" t="str">
        <f>IF('Design Fee'!EG118&gt;0,"✔","-")</f>
        <v>-</v>
      </c>
      <c r="BS116" s="220" t="str">
        <f>IF('Design Fee'!EH118&gt;0,"✔","-")</f>
        <v>-</v>
      </c>
      <c r="BT116" s="137"/>
      <c r="BU116" s="198" t="str">
        <f>IF('Design Fee'!EJ118&gt;0,"✔","-")</f>
        <v>-</v>
      </c>
      <c r="BV116" s="198" t="str">
        <f>IF('Design Fee'!EK118&gt;0,"✔","-")</f>
        <v>-</v>
      </c>
      <c r="BW116" s="198" t="str">
        <f>IF('Design Fee'!EL118&gt;0,"✔","-")</f>
        <v>-</v>
      </c>
      <c r="BX116" s="198" t="str">
        <f>IF('Design Fee'!EM118&gt;0,"✔","-")</f>
        <v>-</v>
      </c>
      <c r="BY116" s="198" t="str">
        <f>IF('Design Fee'!EN118&gt;0,"✔","-")</f>
        <v>-</v>
      </c>
      <c r="BZ116" s="137"/>
    </row>
    <row r="117" spans="1:78" ht="12.75" outlineLevel="2">
      <c r="A117" s="137"/>
      <c r="B117" s="217" t="s">
        <v>126</v>
      </c>
      <c r="C117" s="218">
        <v>10</v>
      </c>
      <c r="D117" s="219" t="s">
        <v>71</v>
      </c>
      <c r="E117" s="137"/>
      <c r="F117" s="197">
        <f t="shared" si="337"/>
        <v>1</v>
      </c>
      <c r="G117" s="198">
        <f t="shared" si="338"/>
        <v>1</v>
      </c>
      <c r="H117" s="198">
        <f t="shared" si="338"/>
        <v>1</v>
      </c>
      <c r="I117" s="198">
        <f t="shared" si="339"/>
        <v>0</v>
      </c>
      <c r="J117" s="184"/>
      <c r="K117" s="195"/>
      <c r="L117" s="196"/>
      <c r="M117" s="197" t="str">
        <f>IF('Design Fee'!W119&gt;0,"✔","-")</f>
        <v>✔</v>
      </c>
      <c r="N117" s="197" t="str">
        <f>IF('Design Fee'!X119&gt;0,"✔","-")</f>
        <v>✔</v>
      </c>
      <c r="O117" s="198" t="str">
        <f>IF('Design Fee'!Y119&gt;0,"✔","-")</f>
        <v>✔</v>
      </c>
      <c r="P117" s="220" t="str">
        <f>IF('Design Fee'!Z119&gt;0,"✔","-")</f>
        <v>-</v>
      </c>
      <c r="Q117" s="220" t="str">
        <f>IF('Design Fee'!AA119&gt;0,"✔","-")</f>
        <v>-</v>
      </c>
      <c r="R117" s="198" t="str">
        <f>IF('Design Fee'!AB119&gt;0,"✔","-")</f>
        <v>-</v>
      </c>
      <c r="S117" s="198" t="str">
        <f>IF('Design Fee'!AC119&gt;0,"✔","-")</f>
        <v>-</v>
      </c>
      <c r="T117" s="220" t="str">
        <f>IF('Design Fee'!AD119&gt;0,"✔","-")</f>
        <v>-</v>
      </c>
      <c r="U117" s="184"/>
      <c r="V117" s="198" t="str">
        <f>IF('Design Fee'!AF119&gt;0,"✔","-")</f>
        <v>-</v>
      </c>
      <c r="W117" s="198" t="str">
        <f>IF('Design Fee'!AG119&gt;0,"✔","-")</f>
        <v>-</v>
      </c>
      <c r="X117" s="198" t="str">
        <f>IF('Design Fee'!AH119&gt;0,"✔","-")</f>
        <v>-</v>
      </c>
      <c r="Y117" s="198" t="str">
        <f>IF('Design Fee'!AI119&gt;0,"✔","-")</f>
        <v>-</v>
      </c>
      <c r="Z117" s="198" t="str">
        <f>IF('Design Fee'!AJ119&gt;0,"✔","-")</f>
        <v>-</v>
      </c>
      <c r="AA117" s="184"/>
      <c r="AB117" s="195"/>
      <c r="AC117" s="196"/>
      <c r="AD117" s="197" t="str">
        <f>IF('Design Fee'!BG119&gt;0,"✔","-")</f>
        <v>-</v>
      </c>
      <c r="AE117" s="197" t="str">
        <f>IF('Design Fee'!BH119&gt;0,"✔","-")</f>
        <v>-</v>
      </c>
      <c r="AF117" s="198" t="str">
        <f>IF('Design Fee'!BI119&gt;0,"✔","-")</f>
        <v>-</v>
      </c>
      <c r="AG117" s="220" t="str">
        <f>IF('Design Fee'!BJ119&gt;0,"✔","-")</f>
        <v>-</v>
      </c>
      <c r="AH117" s="220" t="str">
        <f>IF('Design Fee'!BK119&gt;0,"✔","-")</f>
        <v>-</v>
      </c>
      <c r="AI117" s="198" t="str">
        <f>IF('Design Fee'!BL119&gt;0,"✔","-")</f>
        <v>-</v>
      </c>
      <c r="AJ117" s="198" t="str">
        <f>IF('Design Fee'!BM119&gt;0,"✔","-")</f>
        <v>-</v>
      </c>
      <c r="AK117" s="220" t="str">
        <f>IF('Design Fee'!BN119&gt;0,"✔","-")</f>
        <v>-</v>
      </c>
      <c r="AL117" s="199"/>
      <c r="AM117" s="198" t="str">
        <f>IF('Design Fee'!BP119&gt;0,"✔","-")</f>
        <v>-</v>
      </c>
      <c r="AN117" s="198" t="str">
        <f>IF('Design Fee'!BQ119&gt;0,"✔","-")</f>
        <v>-</v>
      </c>
      <c r="AO117" s="198" t="str">
        <f>IF('Design Fee'!BR119&gt;0,"✔","-")</f>
        <v>-</v>
      </c>
      <c r="AP117" s="198" t="str">
        <f>IF('Design Fee'!BS119&gt;0,"✔","-")</f>
        <v>-</v>
      </c>
      <c r="AQ117" s="198" t="str">
        <f>IF('Design Fee'!BT119&gt;0,"✔","-")</f>
        <v>-</v>
      </c>
      <c r="AR117" s="199"/>
      <c r="AS117" s="195"/>
      <c r="AT117" s="196"/>
      <c r="AU117" s="197" t="str">
        <f>IF('Design Fee'!CQ119&gt;0,"✔","-")</f>
        <v>-</v>
      </c>
      <c r="AV117" s="197" t="str">
        <f>IF('Design Fee'!CR119&gt;0,"✔","-")</f>
        <v>-</v>
      </c>
      <c r="AW117" s="198" t="str">
        <f>IF('Design Fee'!CS119&gt;0,"✔","-")</f>
        <v>-</v>
      </c>
      <c r="AX117" s="220" t="str">
        <f>IF('Design Fee'!CT119&gt;0,"✔","-")</f>
        <v>-</v>
      </c>
      <c r="AY117" s="220" t="str">
        <f>IF('Design Fee'!CU119&gt;0,"✔","-")</f>
        <v>-</v>
      </c>
      <c r="AZ117" s="198" t="str">
        <f>IF('Design Fee'!CV119&gt;0,"✔","-")</f>
        <v>-</v>
      </c>
      <c r="BA117" s="198" t="str">
        <f>IF('Design Fee'!CW119&gt;0,"✔","-")</f>
        <v>-</v>
      </c>
      <c r="BB117" s="220" t="str">
        <f>IF('Design Fee'!CX119&gt;0,"✔","-")</f>
        <v>-</v>
      </c>
      <c r="BC117" s="199"/>
      <c r="BD117" s="198" t="str">
        <f>IF('Design Fee'!CZ119&gt;0,"✔","-")</f>
        <v>-</v>
      </c>
      <c r="BE117" s="198" t="str">
        <f>IF('Design Fee'!DA119&gt;0,"✔","-")</f>
        <v>-</v>
      </c>
      <c r="BF117" s="198" t="str">
        <f>IF('Design Fee'!DB119&gt;0,"✔","-")</f>
        <v>-</v>
      </c>
      <c r="BG117" s="198" t="str">
        <f>IF('Design Fee'!DC119&gt;0,"✔","-")</f>
        <v>-</v>
      </c>
      <c r="BH117" s="198" t="str">
        <f>IF('Design Fee'!DD119&gt;0,"✔","-")</f>
        <v>-</v>
      </c>
      <c r="BI117" s="199"/>
      <c r="BJ117" s="195"/>
      <c r="BK117" s="196"/>
      <c r="BL117" s="197" t="str">
        <f>IF('Design Fee'!EA119&gt;0,"✔","-")</f>
        <v>-</v>
      </c>
      <c r="BM117" s="197" t="str">
        <f>IF('Design Fee'!EB119&gt;0,"✔","-")</f>
        <v>-</v>
      </c>
      <c r="BN117" s="198" t="str">
        <f>IF('Design Fee'!EC119&gt;0,"✔","-")</f>
        <v>-</v>
      </c>
      <c r="BO117" s="220" t="str">
        <f>IF('Design Fee'!ED119&gt;0,"✔","-")</f>
        <v>-</v>
      </c>
      <c r="BP117" s="220" t="str">
        <f>IF('Design Fee'!EE119&gt;0,"✔","-")</f>
        <v>-</v>
      </c>
      <c r="BQ117" s="198" t="str">
        <f>IF('Design Fee'!EF119&gt;0,"✔","-")</f>
        <v>-</v>
      </c>
      <c r="BR117" s="198" t="str">
        <f>IF('Design Fee'!EG119&gt;0,"✔","-")</f>
        <v>-</v>
      </c>
      <c r="BS117" s="220" t="str">
        <f>IF('Design Fee'!EH119&gt;0,"✔","-")</f>
        <v>-</v>
      </c>
      <c r="BT117" s="137"/>
      <c r="BU117" s="198" t="str">
        <f>IF('Design Fee'!EJ119&gt;0,"✔","-")</f>
        <v>-</v>
      </c>
      <c r="BV117" s="198" t="str">
        <f>IF('Design Fee'!EK119&gt;0,"✔","-")</f>
        <v>-</v>
      </c>
      <c r="BW117" s="198" t="str">
        <f>IF('Design Fee'!EL119&gt;0,"✔","-")</f>
        <v>-</v>
      </c>
      <c r="BX117" s="198" t="str">
        <f>IF('Design Fee'!EM119&gt;0,"✔","-")</f>
        <v>-</v>
      </c>
      <c r="BY117" s="198" t="str">
        <f>IF('Design Fee'!EN119&gt;0,"✔","-")</f>
        <v>-</v>
      </c>
      <c r="BZ117" s="137"/>
    </row>
    <row r="118" spans="1:78" ht="3" customHeight="1" outlineLevel="1">
      <c r="A118" s="137"/>
      <c r="B118" s="231"/>
      <c r="C118" s="232"/>
      <c r="D118" s="219"/>
      <c r="E118" s="137"/>
      <c r="F118" s="162"/>
      <c r="G118" s="175"/>
      <c r="H118" s="175"/>
      <c r="I118" s="175"/>
      <c r="J118" s="184"/>
      <c r="K118" s="195"/>
      <c r="L118" s="196"/>
      <c r="M118" s="197"/>
      <c r="N118" s="197"/>
      <c r="O118" s="198"/>
      <c r="P118" s="198"/>
      <c r="Q118" s="198"/>
      <c r="R118" s="198"/>
      <c r="S118" s="198"/>
      <c r="T118" s="198"/>
      <c r="U118" s="184"/>
      <c r="V118" s="198"/>
      <c r="W118" s="198"/>
      <c r="X118" s="198"/>
      <c r="Y118" s="198"/>
      <c r="Z118" s="198"/>
      <c r="AA118" s="184"/>
      <c r="AB118" s="195"/>
      <c r="AC118" s="196"/>
      <c r="AD118" s="197"/>
      <c r="AE118" s="197"/>
      <c r="AF118" s="175"/>
      <c r="AG118" s="175"/>
      <c r="AH118" s="175"/>
      <c r="AI118" s="175"/>
      <c r="AJ118" s="175"/>
      <c r="AK118" s="175"/>
      <c r="AL118" s="175"/>
      <c r="AM118" s="175"/>
      <c r="AN118" s="175"/>
      <c r="AO118" s="175"/>
      <c r="AP118" s="175"/>
      <c r="AQ118" s="175"/>
      <c r="AR118" s="175"/>
      <c r="AS118" s="195"/>
      <c r="AT118" s="175"/>
      <c r="AU118" s="197"/>
      <c r="AV118" s="197"/>
      <c r="AW118" s="175"/>
      <c r="AX118" s="175"/>
      <c r="AY118" s="175"/>
      <c r="AZ118" s="175"/>
      <c r="BA118" s="175"/>
      <c r="BB118" s="175"/>
      <c r="BC118" s="175"/>
      <c r="BD118" s="175"/>
      <c r="BE118" s="175"/>
      <c r="BF118" s="175"/>
      <c r="BG118" s="175"/>
      <c r="BH118" s="175"/>
      <c r="BI118" s="175"/>
      <c r="BJ118" s="195"/>
      <c r="BK118" s="175"/>
      <c r="BL118" s="197"/>
      <c r="BM118" s="197"/>
      <c r="BN118" s="175"/>
      <c r="BO118" s="175"/>
      <c r="BP118" s="175"/>
      <c r="BQ118" s="175"/>
      <c r="BR118" s="175"/>
      <c r="BS118" s="175"/>
      <c r="BT118" s="137"/>
      <c r="BU118" s="175"/>
      <c r="BV118" s="175"/>
      <c r="BW118" s="175"/>
      <c r="BX118" s="175"/>
      <c r="BY118" s="175"/>
      <c r="BZ118" s="137"/>
    </row>
    <row r="119" spans="1:78" ht="12.75" outlineLevel="1">
      <c r="A119" s="137"/>
      <c r="B119" s="186">
        <v>10</v>
      </c>
      <c r="C119" s="213">
        <v>7</v>
      </c>
      <c r="D119" s="214" t="s">
        <v>127</v>
      </c>
      <c r="E119" s="188"/>
      <c r="F119" s="215">
        <f>M119+AD119+AU119+BL119</f>
        <v>21</v>
      </c>
      <c r="G119" s="215">
        <f t="shared" ref="G119:I119" si="340">N119+AE119+AV119+BM119</f>
        <v>21</v>
      </c>
      <c r="H119" s="215">
        <f t="shared" si="340"/>
        <v>21</v>
      </c>
      <c r="I119" s="215">
        <f t="shared" si="340"/>
        <v>0</v>
      </c>
      <c r="J119" s="192">
        <f t="shared" ref="J119" si="341">COUNT(J120:J129)</f>
        <v>0</v>
      </c>
      <c r="K119" s="189"/>
      <c r="L119" s="189"/>
      <c r="M119" s="215">
        <f>COUNTIF(M120:M129,"✔")</f>
        <v>8</v>
      </c>
      <c r="N119" s="215">
        <f t="shared" ref="N119" si="342">COUNTIF(N120:N129,"✔")</f>
        <v>8</v>
      </c>
      <c r="O119" s="215">
        <f t="shared" ref="O119" si="343">COUNTIF(O120:O129,"✔")</f>
        <v>8</v>
      </c>
      <c r="P119" s="215">
        <f t="shared" ref="P119" si="344">COUNTIF(P120:P129,"✔")</f>
        <v>0</v>
      </c>
      <c r="Q119" s="215">
        <f t="shared" ref="Q119" si="345">COUNTIF(Q120:Q129,"✔")</f>
        <v>0</v>
      </c>
      <c r="R119" s="215">
        <f t="shared" ref="R119" si="346">COUNTIF(R120:R129,"✔")</f>
        <v>0</v>
      </c>
      <c r="S119" s="215">
        <f t="shared" ref="S119" si="347">COUNTIF(S120:S129,"✔")</f>
        <v>0</v>
      </c>
      <c r="T119" s="215">
        <f t="shared" ref="T119" si="348">COUNTIF(T120:T129,"✔")</f>
        <v>0</v>
      </c>
      <c r="U119" s="215">
        <f t="shared" ref="U119" si="349">COUNTIF(U120:U129,"✔")</f>
        <v>0</v>
      </c>
      <c r="V119" s="215">
        <f t="shared" ref="V119" si="350">COUNTIF(V120:V129,"✔")</f>
        <v>0</v>
      </c>
      <c r="W119" s="215">
        <f t="shared" ref="W119" si="351">COUNTIF(W120:W129,"✔")</f>
        <v>0</v>
      </c>
      <c r="X119" s="215">
        <f t="shared" ref="X119" si="352">COUNTIF(X120:X129,"✔")</f>
        <v>0</v>
      </c>
      <c r="Y119" s="215">
        <f t="shared" ref="Y119" si="353">COUNTIF(Y120:Y129,"✔")</f>
        <v>0</v>
      </c>
      <c r="Z119" s="215">
        <f t="shared" ref="Z119" si="354">COUNTIF(Z120:Z129,"✔")</f>
        <v>0</v>
      </c>
      <c r="AA119" s="215">
        <f t="shared" ref="AA119" si="355">COUNTIF(AA120:AA129,"✔")</f>
        <v>0</v>
      </c>
      <c r="AB119" s="189"/>
      <c r="AC119" s="215">
        <f t="shared" ref="AC119" si="356">COUNTIF(AC120:AC129,"✔")</f>
        <v>0</v>
      </c>
      <c r="AD119" s="215">
        <f t="shared" ref="AD119" si="357">COUNTIF(AD120:AD129,"✔")</f>
        <v>6</v>
      </c>
      <c r="AE119" s="215">
        <f t="shared" ref="AE119" si="358">COUNTIF(AE120:AE129,"✔")</f>
        <v>6</v>
      </c>
      <c r="AF119" s="215">
        <f t="shared" ref="AF119" si="359">COUNTIF(AF120:AF129,"✔")</f>
        <v>6</v>
      </c>
      <c r="AG119" s="215">
        <f t="shared" ref="AG119" si="360">COUNTIF(AG120:AG129,"✔")</f>
        <v>0</v>
      </c>
      <c r="AH119" s="215">
        <f t="shared" ref="AH119" si="361">COUNTIF(AH120:AH129,"✔")</f>
        <v>0</v>
      </c>
      <c r="AI119" s="215">
        <f t="shared" ref="AI119" si="362">COUNTIF(AI120:AI129,"✔")</f>
        <v>0</v>
      </c>
      <c r="AJ119" s="215">
        <f t="shared" ref="AJ119" si="363">COUNTIF(AJ120:AJ129,"✔")</f>
        <v>0</v>
      </c>
      <c r="AK119" s="215">
        <f t="shared" ref="AK119" si="364">COUNTIF(AK120:AK129,"✔")</f>
        <v>0</v>
      </c>
      <c r="AL119" s="215">
        <f t="shared" ref="AL119" si="365">COUNTIF(AL120:AL129,"✔")</f>
        <v>0</v>
      </c>
      <c r="AM119" s="215">
        <f t="shared" ref="AM119" si="366">COUNTIF(AM120:AM129,"✔")</f>
        <v>0</v>
      </c>
      <c r="AN119" s="215">
        <f t="shared" ref="AN119" si="367">COUNTIF(AN120:AN129,"✔")</f>
        <v>0</v>
      </c>
      <c r="AO119" s="215">
        <f t="shared" ref="AO119" si="368">COUNTIF(AO120:AO129,"✔")</f>
        <v>0</v>
      </c>
      <c r="AP119" s="215">
        <f t="shared" ref="AP119" si="369">COUNTIF(AP120:AP129,"✔")</f>
        <v>0</v>
      </c>
      <c r="AQ119" s="215">
        <f t="shared" ref="AQ119" si="370">COUNTIF(AQ120:AQ129,"✔")</f>
        <v>0</v>
      </c>
      <c r="AR119" s="215">
        <f t="shared" ref="AR119" si="371">COUNTIF(AR120:AR129,"✔")</f>
        <v>0</v>
      </c>
      <c r="AS119" s="189"/>
      <c r="AT119" s="215">
        <f t="shared" ref="AT119" si="372">COUNTIF(AT120:AT129,"✔")</f>
        <v>0</v>
      </c>
      <c r="AU119" s="215">
        <f t="shared" ref="AU119" si="373">COUNTIF(AU120:AU129,"✔")</f>
        <v>5</v>
      </c>
      <c r="AV119" s="215">
        <f t="shared" ref="AV119" si="374">COUNTIF(AV120:AV129,"✔")</f>
        <v>5</v>
      </c>
      <c r="AW119" s="215">
        <f t="shared" ref="AW119" si="375">COUNTIF(AW120:AW129,"✔")</f>
        <v>5</v>
      </c>
      <c r="AX119" s="215">
        <f t="shared" ref="AX119" si="376">COUNTIF(AX120:AX129,"✔")</f>
        <v>0</v>
      </c>
      <c r="AY119" s="215">
        <f t="shared" ref="AY119" si="377">COUNTIF(AY120:AY129,"✔")</f>
        <v>0</v>
      </c>
      <c r="AZ119" s="215">
        <f t="shared" ref="AZ119" si="378">COUNTIF(AZ120:AZ129,"✔")</f>
        <v>0</v>
      </c>
      <c r="BA119" s="215">
        <f t="shared" ref="BA119" si="379">COUNTIF(BA120:BA129,"✔")</f>
        <v>0</v>
      </c>
      <c r="BB119" s="215">
        <f t="shared" ref="BB119" si="380">COUNTIF(BB120:BB129,"✔")</f>
        <v>0</v>
      </c>
      <c r="BC119" s="215">
        <f t="shared" ref="BC119" si="381">COUNTIF(BC120:BC129,"✔")</f>
        <v>0</v>
      </c>
      <c r="BD119" s="215">
        <f t="shared" ref="BD119" si="382">COUNTIF(BD120:BD129,"✔")</f>
        <v>0</v>
      </c>
      <c r="BE119" s="215">
        <f t="shared" ref="BE119" si="383">COUNTIF(BE120:BE129,"✔")</f>
        <v>0</v>
      </c>
      <c r="BF119" s="215">
        <f t="shared" ref="BF119" si="384">COUNTIF(BF120:BF129,"✔")</f>
        <v>0</v>
      </c>
      <c r="BG119" s="215">
        <f t="shared" ref="BG119" si="385">COUNTIF(BG120:BG129,"✔")</f>
        <v>0</v>
      </c>
      <c r="BH119" s="215">
        <f t="shared" ref="BH119" si="386">COUNTIF(BH120:BH129,"✔")</f>
        <v>0</v>
      </c>
      <c r="BI119" s="215">
        <f t="shared" ref="BI119" si="387">COUNTIF(BI120:BI129,"✔")</f>
        <v>0</v>
      </c>
      <c r="BJ119" s="189"/>
      <c r="BK119" s="215">
        <f t="shared" ref="BK119" si="388">COUNTIF(BK120:BK129,"✔")</f>
        <v>0</v>
      </c>
      <c r="BL119" s="215">
        <f t="shared" ref="BL119" si="389">COUNTIF(BL120:BL129,"✔")</f>
        <v>2</v>
      </c>
      <c r="BM119" s="215">
        <f t="shared" ref="BM119" si="390">COUNTIF(BM120:BM129,"✔")</f>
        <v>2</v>
      </c>
      <c r="BN119" s="215">
        <f t="shared" ref="BN119" si="391">COUNTIF(BN120:BN129,"✔")</f>
        <v>2</v>
      </c>
      <c r="BO119" s="215">
        <f t="shared" ref="BO119" si="392">COUNTIF(BO120:BO129,"✔")</f>
        <v>0</v>
      </c>
      <c r="BP119" s="215">
        <f t="shared" ref="BP119" si="393">COUNTIF(BP120:BP129,"✔")</f>
        <v>0</v>
      </c>
      <c r="BQ119" s="215">
        <f t="shared" ref="BQ119" si="394">COUNTIF(BQ120:BQ129,"✔")</f>
        <v>0</v>
      </c>
      <c r="BR119" s="215">
        <f t="shared" ref="BR119" si="395">COUNTIF(BR120:BR129,"✔")</f>
        <v>0</v>
      </c>
      <c r="BS119" s="215">
        <f t="shared" ref="BS119" si="396">COUNTIF(BS120:BS129,"✔")</f>
        <v>0</v>
      </c>
      <c r="BT119" s="137"/>
      <c r="BU119" s="215">
        <f t="shared" ref="BU119" si="397">COUNTIF(BU120:BU129,"✔")</f>
        <v>0</v>
      </c>
      <c r="BV119" s="215">
        <f t="shared" ref="BV119" si="398">COUNTIF(BV120:BV129,"✔")</f>
        <v>0</v>
      </c>
      <c r="BW119" s="215">
        <f t="shared" ref="BW119" si="399">COUNTIF(BW120:BW129,"✔")</f>
        <v>0</v>
      </c>
      <c r="BX119" s="215">
        <f t="shared" ref="BX119" si="400">COUNTIF(BX120:BX129,"✔")</f>
        <v>0</v>
      </c>
      <c r="BY119" s="215">
        <f t="shared" ref="BY119" si="401">COUNTIF(BY120:BY129,"✔")</f>
        <v>0</v>
      </c>
      <c r="BZ119" s="137"/>
    </row>
    <row r="120" spans="1:78" s="51" customFormat="1" ht="12.75" outlineLevel="2">
      <c r="A120" s="222" t="str">
        <f>"T06S - "&amp;D120</f>
        <v>T06S - Foundation and Grade Slab</v>
      </c>
      <c r="B120" s="235" t="s">
        <v>128</v>
      </c>
      <c r="C120" s="223">
        <v>1</v>
      </c>
      <c r="D120" s="224" t="s">
        <v>52</v>
      </c>
      <c r="E120" s="222"/>
      <c r="F120" s="197">
        <f t="shared" ref="F120:F128" si="402">COUNTIF(M120,"✔")+COUNTIF(AD120,"✔")+COUNTIF(BL120,"✔")+COUNTIF(AU120,"✔")</f>
        <v>3</v>
      </c>
      <c r="G120" s="198">
        <f t="shared" ref="G120:H128" si="403">COUNTIF(N120,"✔")+COUNTIF(AE120,"✔")+COUNTIF(BM120,"✔")+COUNTIF(AV120,"✔")</f>
        <v>3</v>
      </c>
      <c r="H120" s="198">
        <f t="shared" si="403"/>
        <v>3</v>
      </c>
      <c r="I120" s="198">
        <f t="shared" ref="I120:I128" si="404">F120-G120</f>
        <v>0</v>
      </c>
      <c r="J120" s="229"/>
      <c r="K120" s="195"/>
      <c r="L120" s="226"/>
      <c r="M120" s="197" t="str">
        <f>IF('Design Fee'!W122&gt;0,"✔","-")</f>
        <v>✔</v>
      </c>
      <c r="N120" s="197" t="str">
        <f>IF('Design Fee'!X122&gt;0,"✔","-")</f>
        <v>✔</v>
      </c>
      <c r="O120" s="220" t="str">
        <f>IF('Design Fee'!Y122&gt;0,"✔","-")</f>
        <v>✔</v>
      </c>
      <c r="P120" s="220" t="str">
        <f>IF('Design Fee'!Z122&gt;0,"✔","-")</f>
        <v>-</v>
      </c>
      <c r="Q120" s="220" t="str">
        <f>IF('Design Fee'!AA122&gt;0,"✔","-")</f>
        <v>-</v>
      </c>
      <c r="R120" s="220" t="str">
        <f>IF('Design Fee'!AB122&gt;0,"✔","-")</f>
        <v>-</v>
      </c>
      <c r="S120" s="198" t="str">
        <f>IF('Design Fee'!AC122&gt;0,"✔","-")</f>
        <v>-</v>
      </c>
      <c r="T120" s="220" t="str">
        <f>IF('Design Fee'!AD122&gt;0,"✔","-")</f>
        <v>-</v>
      </c>
      <c r="U120" s="229"/>
      <c r="V120" s="198" t="str">
        <f>IF('Design Fee'!AF122&gt;0,"✔","-")</f>
        <v>-</v>
      </c>
      <c r="W120" s="198" t="str">
        <f>IF('Design Fee'!AG122&gt;0,"✔","-")</f>
        <v>-</v>
      </c>
      <c r="X120" s="198" t="str">
        <f>IF('Design Fee'!AH122&gt;0,"✔","-")</f>
        <v>-</v>
      </c>
      <c r="Y120" s="198" t="str">
        <f>IF('Design Fee'!AI122&gt;0,"✔","-")</f>
        <v>-</v>
      </c>
      <c r="Z120" s="198" t="str">
        <f>IF('Design Fee'!AJ122&gt;0,"✔","-")</f>
        <v>-</v>
      </c>
      <c r="AA120" s="229"/>
      <c r="AB120" s="195"/>
      <c r="AC120" s="226"/>
      <c r="AD120" s="197" t="str">
        <f>IF('Design Fee'!BG122&gt;0,"✔","-")</f>
        <v>✔</v>
      </c>
      <c r="AE120" s="197" t="str">
        <f>IF('Design Fee'!BH122&gt;0,"✔","-")</f>
        <v>✔</v>
      </c>
      <c r="AF120" s="220" t="str">
        <f>IF('Design Fee'!BI122&gt;0,"✔","-")</f>
        <v>✔</v>
      </c>
      <c r="AG120" s="220" t="str">
        <f>IF('Design Fee'!BJ122&gt;0,"✔","-")</f>
        <v>-</v>
      </c>
      <c r="AH120" s="220" t="str">
        <f>IF('Design Fee'!BK122&gt;0,"✔","-")</f>
        <v>-</v>
      </c>
      <c r="AI120" s="220" t="str">
        <f>IF('Design Fee'!BL122&gt;0,"✔","-")</f>
        <v>-</v>
      </c>
      <c r="AJ120" s="198" t="str">
        <f>IF('Design Fee'!BM122&gt;0,"✔","-")</f>
        <v>-</v>
      </c>
      <c r="AK120" s="220" t="str">
        <f>IF('Design Fee'!BN122&gt;0,"✔","-")</f>
        <v>-</v>
      </c>
      <c r="AL120" s="230"/>
      <c r="AM120" s="198" t="str">
        <f>IF('Design Fee'!BP122&gt;0,"✔","-")</f>
        <v>-</v>
      </c>
      <c r="AN120" s="198" t="str">
        <f>IF('Design Fee'!BQ122&gt;0,"✔","-")</f>
        <v>-</v>
      </c>
      <c r="AO120" s="198" t="str">
        <f>IF('Design Fee'!BR122&gt;0,"✔","-")</f>
        <v>-</v>
      </c>
      <c r="AP120" s="198" t="str">
        <f>IF('Design Fee'!BS122&gt;0,"✔","-")</f>
        <v>-</v>
      </c>
      <c r="AQ120" s="198" t="str">
        <f>IF('Design Fee'!BT122&gt;0,"✔","-")</f>
        <v>-</v>
      </c>
      <c r="AR120" s="230"/>
      <c r="AS120" s="195"/>
      <c r="AT120" s="226"/>
      <c r="AU120" s="197" t="str">
        <f>IF('Design Fee'!CQ122&gt;0,"✔","-")</f>
        <v>✔</v>
      </c>
      <c r="AV120" s="197" t="str">
        <f>IF('Design Fee'!CR122&gt;0,"✔","-")</f>
        <v>✔</v>
      </c>
      <c r="AW120" s="220" t="str">
        <f>IF('Design Fee'!CS122&gt;0,"✔","-")</f>
        <v>✔</v>
      </c>
      <c r="AX120" s="220" t="str">
        <f>IF('Design Fee'!CT122&gt;0,"✔","-")</f>
        <v>-</v>
      </c>
      <c r="AY120" s="220" t="str">
        <f>IF('Design Fee'!CU122&gt;0,"✔","-")</f>
        <v>-</v>
      </c>
      <c r="AZ120" s="220" t="str">
        <f>IF('Design Fee'!CV122&gt;0,"✔","-")</f>
        <v>-</v>
      </c>
      <c r="BA120" s="198" t="str">
        <f>IF('Design Fee'!CW122&gt;0,"✔","-")</f>
        <v>-</v>
      </c>
      <c r="BB120" s="220" t="str">
        <f>IF('Design Fee'!CX122&gt;0,"✔","-")</f>
        <v>-</v>
      </c>
      <c r="BC120" s="230"/>
      <c r="BD120" s="198" t="str">
        <f>IF('Design Fee'!CZ122&gt;0,"✔","-")</f>
        <v>-</v>
      </c>
      <c r="BE120" s="198" t="str">
        <f>IF('Design Fee'!DA122&gt;0,"✔","-")</f>
        <v>-</v>
      </c>
      <c r="BF120" s="198" t="str">
        <f>IF('Design Fee'!DB122&gt;0,"✔","-")</f>
        <v>-</v>
      </c>
      <c r="BG120" s="198" t="str">
        <f>IF('Design Fee'!DC122&gt;0,"✔","-")</f>
        <v>-</v>
      </c>
      <c r="BH120" s="198" t="str">
        <f>IF('Design Fee'!DD122&gt;0,"✔","-")</f>
        <v>-</v>
      </c>
      <c r="BI120" s="230"/>
      <c r="BJ120" s="195"/>
      <c r="BK120" s="226"/>
      <c r="BL120" s="197" t="str">
        <f>IF('Design Fee'!EA122&gt;0,"✔","-")</f>
        <v>-</v>
      </c>
      <c r="BM120" s="197" t="str">
        <f>IF('Design Fee'!EB122&gt;0,"✔","-")</f>
        <v>-</v>
      </c>
      <c r="BN120" s="220" t="str">
        <f>IF('Design Fee'!EC122&gt;0,"✔","-")</f>
        <v>-</v>
      </c>
      <c r="BO120" s="220" t="str">
        <f>IF('Design Fee'!ED122&gt;0,"✔","-")</f>
        <v>-</v>
      </c>
      <c r="BP120" s="220" t="str">
        <f>IF('Design Fee'!EE122&gt;0,"✔","-")</f>
        <v>-</v>
      </c>
      <c r="BQ120" s="220" t="str">
        <f>IF('Design Fee'!EF122&gt;0,"✔","-")</f>
        <v>-</v>
      </c>
      <c r="BR120" s="198" t="str">
        <f>IF('Design Fee'!EG122&gt;0,"✔","-")</f>
        <v>-</v>
      </c>
      <c r="BS120" s="220" t="str">
        <f>IF('Design Fee'!EH122&gt;0,"✔","-")</f>
        <v>-</v>
      </c>
      <c r="BT120" s="222"/>
      <c r="BU120" s="198" t="str">
        <f>IF('Design Fee'!EJ122&gt;0,"✔","-")</f>
        <v>-</v>
      </c>
      <c r="BV120" s="198" t="str">
        <f>IF('Design Fee'!EK122&gt;0,"✔","-")</f>
        <v>-</v>
      </c>
      <c r="BW120" s="198" t="str">
        <f>IF('Design Fee'!EL122&gt;0,"✔","-")</f>
        <v>-</v>
      </c>
      <c r="BX120" s="198" t="str">
        <f>IF('Design Fee'!EM122&gt;0,"✔","-")</f>
        <v>-</v>
      </c>
      <c r="BY120" s="198" t="str">
        <f>IF('Design Fee'!EN122&gt;0,"✔","-")</f>
        <v>-</v>
      </c>
      <c r="BZ120" s="137"/>
    </row>
    <row r="121" spans="1:78" ht="12.75" outlineLevel="2">
      <c r="A121" s="222" t="str">
        <f t="shared" ref="A121:A128" si="405">"T06S - "&amp;D121</f>
        <v>T06S - Parking Level-Sub grade</v>
      </c>
      <c r="B121" s="235" t="s">
        <v>129</v>
      </c>
      <c r="C121" s="218">
        <v>2</v>
      </c>
      <c r="D121" s="219" t="s">
        <v>54</v>
      </c>
      <c r="E121" s="137"/>
      <c r="F121" s="197">
        <f t="shared" si="402"/>
        <v>1</v>
      </c>
      <c r="G121" s="198">
        <f t="shared" si="403"/>
        <v>1</v>
      </c>
      <c r="H121" s="198">
        <f t="shared" si="403"/>
        <v>1</v>
      </c>
      <c r="I121" s="198">
        <f t="shared" si="404"/>
        <v>0</v>
      </c>
      <c r="J121" s="184"/>
      <c r="K121" s="195"/>
      <c r="L121" s="196"/>
      <c r="M121" s="197" t="str">
        <f>IF('Design Fee'!W123&gt;0,"✔","-")</f>
        <v>-</v>
      </c>
      <c r="N121" s="197" t="str">
        <f>IF('Design Fee'!X123&gt;0,"✔","-")</f>
        <v>-</v>
      </c>
      <c r="O121" s="198" t="str">
        <f>IF('Design Fee'!Y123&gt;0,"✔","-")</f>
        <v>-</v>
      </c>
      <c r="P121" s="198" t="str">
        <f>IF('Design Fee'!Z123&gt;0,"✔","-")</f>
        <v>-</v>
      </c>
      <c r="Q121" s="198" t="str">
        <f>IF('Design Fee'!AA123&gt;0,"✔","-")</f>
        <v>-</v>
      </c>
      <c r="R121" s="198" t="str">
        <f>IF('Design Fee'!AB123&gt;0,"✔","-")</f>
        <v>-</v>
      </c>
      <c r="S121" s="198" t="str">
        <f>IF('Design Fee'!AC123&gt;0,"✔","-")</f>
        <v>-</v>
      </c>
      <c r="T121" s="220" t="str">
        <f>IF('Design Fee'!AD123&gt;0,"✔","-")</f>
        <v>-</v>
      </c>
      <c r="U121" s="184"/>
      <c r="V121" s="198" t="str">
        <f>IF('Design Fee'!AF123&gt;0,"✔","-")</f>
        <v>-</v>
      </c>
      <c r="W121" s="198" t="str">
        <f>IF('Design Fee'!AG123&gt;0,"✔","-")</f>
        <v>-</v>
      </c>
      <c r="X121" s="198" t="str">
        <f>IF('Design Fee'!AH123&gt;0,"✔","-")</f>
        <v>-</v>
      </c>
      <c r="Y121" s="198" t="str">
        <f>IF('Design Fee'!AI123&gt;0,"✔","-")</f>
        <v>-</v>
      </c>
      <c r="Z121" s="198" t="str">
        <f>IF('Design Fee'!AJ123&gt;0,"✔","-")</f>
        <v>-</v>
      </c>
      <c r="AA121" s="184"/>
      <c r="AB121" s="195"/>
      <c r="AC121" s="196"/>
      <c r="AD121" s="197" t="str">
        <f>IF('Design Fee'!BG123&gt;0,"✔","-")</f>
        <v>✔</v>
      </c>
      <c r="AE121" s="197" t="str">
        <f>IF('Design Fee'!BH123&gt;0,"✔","-")</f>
        <v>✔</v>
      </c>
      <c r="AF121" s="198" t="str">
        <f>IF('Design Fee'!BI123&gt;0,"✔","-")</f>
        <v>✔</v>
      </c>
      <c r="AG121" s="198" t="str">
        <f>IF('Design Fee'!BJ123&gt;0,"✔","-")</f>
        <v>-</v>
      </c>
      <c r="AH121" s="198" t="str">
        <f>IF('Design Fee'!BK123&gt;0,"✔","-")</f>
        <v>-</v>
      </c>
      <c r="AI121" s="198" t="str">
        <f>IF('Design Fee'!BL123&gt;0,"✔","-")</f>
        <v>-</v>
      </c>
      <c r="AJ121" s="198" t="str">
        <f>IF('Design Fee'!BM123&gt;0,"✔","-")</f>
        <v>-</v>
      </c>
      <c r="AK121" s="220" t="str">
        <f>IF('Design Fee'!BN123&gt;0,"✔","-")</f>
        <v>-</v>
      </c>
      <c r="AL121" s="199"/>
      <c r="AM121" s="198" t="str">
        <f>IF('Design Fee'!BP123&gt;0,"✔","-")</f>
        <v>-</v>
      </c>
      <c r="AN121" s="198" t="str">
        <f>IF('Design Fee'!BQ123&gt;0,"✔","-")</f>
        <v>-</v>
      </c>
      <c r="AO121" s="198" t="str">
        <f>IF('Design Fee'!BR123&gt;0,"✔","-")</f>
        <v>-</v>
      </c>
      <c r="AP121" s="198" t="str">
        <f>IF('Design Fee'!BS123&gt;0,"✔","-")</f>
        <v>-</v>
      </c>
      <c r="AQ121" s="198" t="str">
        <f>IF('Design Fee'!BT123&gt;0,"✔","-")</f>
        <v>-</v>
      </c>
      <c r="AR121" s="199"/>
      <c r="AS121" s="195"/>
      <c r="AT121" s="196"/>
      <c r="AU121" s="197" t="str">
        <f>IF('Design Fee'!CQ123&gt;0,"✔","-")</f>
        <v>-</v>
      </c>
      <c r="AV121" s="197" t="str">
        <f>IF('Design Fee'!CR123&gt;0,"✔","-")</f>
        <v>-</v>
      </c>
      <c r="AW121" s="198" t="str">
        <f>IF('Design Fee'!CS123&gt;0,"✔","-")</f>
        <v>-</v>
      </c>
      <c r="AX121" s="198" t="str">
        <f>IF('Design Fee'!CT123&gt;0,"✔","-")</f>
        <v>-</v>
      </c>
      <c r="AY121" s="198" t="str">
        <f>IF('Design Fee'!CU123&gt;0,"✔","-")</f>
        <v>-</v>
      </c>
      <c r="AZ121" s="198" t="str">
        <f>IF('Design Fee'!CV123&gt;0,"✔","-")</f>
        <v>-</v>
      </c>
      <c r="BA121" s="198" t="str">
        <f>IF('Design Fee'!CW123&gt;0,"✔","-")</f>
        <v>-</v>
      </c>
      <c r="BB121" s="220" t="str">
        <f>IF('Design Fee'!CX123&gt;0,"✔","-")</f>
        <v>-</v>
      </c>
      <c r="BC121" s="199"/>
      <c r="BD121" s="198" t="str">
        <f>IF('Design Fee'!CZ123&gt;0,"✔","-")</f>
        <v>-</v>
      </c>
      <c r="BE121" s="198" t="str">
        <f>IF('Design Fee'!DA123&gt;0,"✔","-")</f>
        <v>-</v>
      </c>
      <c r="BF121" s="198" t="str">
        <f>IF('Design Fee'!DB123&gt;0,"✔","-")</f>
        <v>-</v>
      </c>
      <c r="BG121" s="198" t="str">
        <f>IF('Design Fee'!DC123&gt;0,"✔","-")</f>
        <v>-</v>
      </c>
      <c r="BH121" s="198" t="str">
        <f>IF('Design Fee'!DD123&gt;0,"✔","-")</f>
        <v>-</v>
      </c>
      <c r="BI121" s="199"/>
      <c r="BJ121" s="195"/>
      <c r="BK121" s="196"/>
      <c r="BL121" s="197" t="str">
        <f>IF('Design Fee'!EA123&gt;0,"✔","-")</f>
        <v>-</v>
      </c>
      <c r="BM121" s="197" t="str">
        <f>IF('Design Fee'!EB123&gt;0,"✔","-")</f>
        <v>-</v>
      </c>
      <c r="BN121" s="198" t="str">
        <f>IF('Design Fee'!EC123&gt;0,"✔","-")</f>
        <v>-</v>
      </c>
      <c r="BO121" s="198" t="str">
        <f>IF('Design Fee'!ED123&gt;0,"✔","-")</f>
        <v>-</v>
      </c>
      <c r="BP121" s="198" t="str">
        <f>IF('Design Fee'!EE123&gt;0,"✔","-")</f>
        <v>-</v>
      </c>
      <c r="BQ121" s="198" t="str">
        <f>IF('Design Fee'!EF123&gt;0,"✔","-")</f>
        <v>-</v>
      </c>
      <c r="BR121" s="198" t="str">
        <f>IF('Design Fee'!EG123&gt;0,"✔","-")</f>
        <v>-</v>
      </c>
      <c r="BS121" s="220" t="str">
        <f>IF('Design Fee'!EH123&gt;0,"✔","-")</f>
        <v>-</v>
      </c>
      <c r="BT121" s="137"/>
      <c r="BU121" s="198" t="str">
        <f>IF('Design Fee'!EJ123&gt;0,"✔","-")</f>
        <v>-</v>
      </c>
      <c r="BV121" s="198" t="str">
        <f>IF('Design Fee'!EK123&gt;0,"✔","-")</f>
        <v>-</v>
      </c>
      <c r="BW121" s="198" t="str">
        <f>IF('Design Fee'!EL123&gt;0,"✔","-")</f>
        <v>-</v>
      </c>
      <c r="BX121" s="198" t="str">
        <f>IF('Design Fee'!EM123&gt;0,"✔","-")</f>
        <v>-</v>
      </c>
      <c r="BY121" s="198" t="str">
        <f>IF('Design Fee'!EN123&gt;0,"✔","-")</f>
        <v>-</v>
      </c>
      <c r="BZ121" s="137"/>
    </row>
    <row r="122" spans="1:78" ht="12.75" outlineLevel="2">
      <c r="A122" s="222" t="str">
        <f t="shared" si="405"/>
        <v>T06S - Building Envelope and Common Areas [Basement]</v>
      </c>
      <c r="B122" s="235" t="s">
        <v>130</v>
      </c>
      <c r="C122" s="218">
        <v>3</v>
      </c>
      <c r="D122" s="219" t="s">
        <v>56</v>
      </c>
      <c r="E122" s="137"/>
      <c r="F122" s="197">
        <f t="shared" si="402"/>
        <v>1</v>
      </c>
      <c r="G122" s="198">
        <f t="shared" si="403"/>
        <v>1</v>
      </c>
      <c r="H122" s="198">
        <f t="shared" si="403"/>
        <v>1</v>
      </c>
      <c r="I122" s="198">
        <f t="shared" si="404"/>
        <v>0</v>
      </c>
      <c r="J122" s="184"/>
      <c r="K122" s="195"/>
      <c r="L122" s="196"/>
      <c r="M122" s="197" t="str">
        <f>IF('Design Fee'!W124&gt;0,"✔","-")</f>
        <v>✔</v>
      </c>
      <c r="N122" s="197" t="str">
        <f>IF('Design Fee'!X124&gt;0,"✔","-")</f>
        <v>✔</v>
      </c>
      <c r="O122" s="198" t="str">
        <f>IF('Design Fee'!Y124&gt;0,"✔","-")</f>
        <v>✔</v>
      </c>
      <c r="P122" s="198" t="str">
        <f>IF('Design Fee'!Z124&gt;0,"✔","-")</f>
        <v>-</v>
      </c>
      <c r="Q122" s="198" t="str">
        <f>IF('Design Fee'!AA124&gt;0,"✔","-")</f>
        <v>-</v>
      </c>
      <c r="R122" s="198" t="str">
        <f>IF('Design Fee'!AB124&gt;0,"✔","-")</f>
        <v>-</v>
      </c>
      <c r="S122" s="198" t="str">
        <f>IF('Design Fee'!AC124&gt;0,"✔","-")</f>
        <v>-</v>
      </c>
      <c r="T122" s="220" t="str">
        <f>IF('Design Fee'!AD124&gt;0,"✔","-")</f>
        <v>-</v>
      </c>
      <c r="U122" s="184"/>
      <c r="V122" s="198" t="str">
        <f>IF('Design Fee'!AF124&gt;0,"✔","-")</f>
        <v>-</v>
      </c>
      <c r="W122" s="198" t="str">
        <f>IF('Design Fee'!AG124&gt;0,"✔","-")</f>
        <v>-</v>
      </c>
      <c r="X122" s="198" t="str">
        <f>IF('Design Fee'!AH124&gt;0,"✔","-")</f>
        <v>-</v>
      </c>
      <c r="Y122" s="198" t="str">
        <f>IF('Design Fee'!AI124&gt;0,"✔","-")</f>
        <v>-</v>
      </c>
      <c r="Z122" s="198" t="str">
        <f>IF('Design Fee'!AJ124&gt;0,"✔","-")</f>
        <v>-</v>
      </c>
      <c r="AA122" s="184"/>
      <c r="AB122" s="195"/>
      <c r="AC122" s="196"/>
      <c r="AD122" s="197" t="str">
        <f>IF('Design Fee'!BG124&gt;0,"✔","-")</f>
        <v>-</v>
      </c>
      <c r="AE122" s="197" t="str">
        <f>IF('Design Fee'!BH124&gt;0,"✔","-")</f>
        <v>-</v>
      </c>
      <c r="AF122" s="198" t="str">
        <f>IF('Design Fee'!BI124&gt;0,"✔","-")</f>
        <v>-</v>
      </c>
      <c r="AG122" s="198" t="str">
        <f>IF('Design Fee'!BJ124&gt;0,"✔","-")</f>
        <v>-</v>
      </c>
      <c r="AH122" s="198" t="str">
        <f>IF('Design Fee'!BK124&gt;0,"✔","-")</f>
        <v>-</v>
      </c>
      <c r="AI122" s="198" t="str">
        <f>IF('Design Fee'!BL124&gt;0,"✔","-")</f>
        <v>-</v>
      </c>
      <c r="AJ122" s="198" t="str">
        <f>IF('Design Fee'!BM124&gt;0,"✔","-")</f>
        <v>-</v>
      </c>
      <c r="AK122" s="220" t="str">
        <f>IF('Design Fee'!BN124&gt;0,"✔","-")</f>
        <v>-</v>
      </c>
      <c r="AL122" s="199"/>
      <c r="AM122" s="198" t="str">
        <f>IF('Design Fee'!BP124&gt;0,"✔","-")</f>
        <v>-</v>
      </c>
      <c r="AN122" s="198" t="str">
        <f>IF('Design Fee'!BQ124&gt;0,"✔","-")</f>
        <v>-</v>
      </c>
      <c r="AO122" s="198" t="str">
        <f>IF('Design Fee'!BR124&gt;0,"✔","-")</f>
        <v>-</v>
      </c>
      <c r="AP122" s="198" t="str">
        <f>IF('Design Fee'!BS124&gt;0,"✔","-")</f>
        <v>-</v>
      </c>
      <c r="AQ122" s="198" t="str">
        <f>IF('Design Fee'!BT124&gt;0,"✔","-")</f>
        <v>-</v>
      </c>
      <c r="AR122" s="199"/>
      <c r="AS122" s="195"/>
      <c r="AT122" s="196"/>
      <c r="AU122" s="197" t="str">
        <f>IF('Design Fee'!CQ124&gt;0,"✔","-")</f>
        <v>-</v>
      </c>
      <c r="AV122" s="197" t="str">
        <f>IF('Design Fee'!CR124&gt;0,"✔","-")</f>
        <v>-</v>
      </c>
      <c r="AW122" s="198" t="str">
        <f>IF('Design Fee'!CS124&gt;0,"✔","-")</f>
        <v>-</v>
      </c>
      <c r="AX122" s="198" t="str">
        <f>IF('Design Fee'!CT124&gt;0,"✔","-")</f>
        <v>-</v>
      </c>
      <c r="AY122" s="198" t="str">
        <f>IF('Design Fee'!CU124&gt;0,"✔","-")</f>
        <v>-</v>
      </c>
      <c r="AZ122" s="198" t="str">
        <f>IF('Design Fee'!CV124&gt;0,"✔","-")</f>
        <v>-</v>
      </c>
      <c r="BA122" s="198" t="str">
        <f>IF('Design Fee'!CW124&gt;0,"✔","-")</f>
        <v>-</v>
      </c>
      <c r="BB122" s="220" t="str">
        <f>IF('Design Fee'!CX124&gt;0,"✔","-")</f>
        <v>-</v>
      </c>
      <c r="BC122" s="199"/>
      <c r="BD122" s="198" t="str">
        <f>IF('Design Fee'!CZ124&gt;0,"✔","-")</f>
        <v>-</v>
      </c>
      <c r="BE122" s="198" t="str">
        <f>IF('Design Fee'!DA124&gt;0,"✔","-")</f>
        <v>-</v>
      </c>
      <c r="BF122" s="198" t="str">
        <f>IF('Design Fee'!DB124&gt;0,"✔","-")</f>
        <v>-</v>
      </c>
      <c r="BG122" s="198" t="str">
        <f>IF('Design Fee'!DC124&gt;0,"✔","-")</f>
        <v>-</v>
      </c>
      <c r="BH122" s="198" t="str">
        <f>IF('Design Fee'!DD124&gt;0,"✔","-")</f>
        <v>-</v>
      </c>
      <c r="BI122" s="199"/>
      <c r="BJ122" s="195"/>
      <c r="BK122" s="196"/>
      <c r="BL122" s="197" t="str">
        <f>IF('Design Fee'!EA124&gt;0,"✔","-")</f>
        <v>-</v>
      </c>
      <c r="BM122" s="197" t="str">
        <f>IF('Design Fee'!EB124&gt;0,"✔","-")</f>
        <v>-</v>
      </c>
      <c r="BN122" s="198" t="str">
        <f>IF('Design Fee'!EC124&gt;0,"✔","-")</f>
        <v>-</v>
      </c>
      <c r="BO122" s="198" t="str">
        <f>IF('Design Fee'!ED124&gt;0,"✔","-")</f>
        <v>-</v>
      </c>
      <c r="BP122" s="198" t="str">
        <f>IF('Design Fee'!EE124&gt;0,"✔","-")</f>
        <v>-</v>
      </c>
      <c r="BQ122" s="198" t="str">
        <f>IF('Design Fee'!EF124&gt;0,"✔","-")</f>
        <v>-</v>
      </c>
      <c r="BR122" s="198" t="str">
        <f>IF('Design Fee'!EG124&gt;0,"✔","-")</f>
        <v>-</v>
      </c>
      <c r="BS122" s="220" t="str">
        <f>IF('Design Fee'!EH124&gt;0,"✔","-")</f>
        <v>-</v>
      </c>
      <c r="BT122" s="137"/>
      <c r="BU122" s="198" t="str">
        <f>IF('Design Fee'!EJ124&gt;0,"✔","-")</f>
        <v>-</v>
      </c>
      <c r="BV122" s="198" t="str">
        <f>IF('Design Fee'!EK124&gt;0,"✔","-")</f>
        <v>-</v>
      </c>
      <c r="BW122" s="198" t="str">
        <f>IF('Design Fee'!EL124&gt;0,"✔","-")</f>
        <v>-</v>
      </c>
      <c r="BX122" s="198" t="str">
        <f>IF('Design Fee'!EM124&gt;0,"✔","-")</f>
        <v>-</v>
      </c>
      <c r="BY122" s="198" t="str">
        <f>IF('Design Fee'!EN124&gt;0,"✔","-")</f>
        <v>-</v>
      </c>
      <c r="BZ122" s="137"/>
    </row>
    <row r="123" spans="1:78" s="51" customFormat="1" ht="12.75" outlineLevel="2">
      <c r="A123" s="222" t="str">
        <f t="shared" si="405"/>
        <v>T06S - Habitable Level 01 - 02</v>
      </c>
      <c r="B123" s="235" t="s">
        <v>131</v>
      </c>
      <c r="C123" s="223">
        <v>4</v>
      </c>
      <c r="D123" s="224" t="s">
        <v>88</v>
      </c>
      <c r="E123" s="222"/>
      <c r="F123" s="197">
        <f t="shared" si="402"/>
        <v>3</v>
      </c>
      <c r="G123" s="198">
        <f t="shared" si="403"/>
        <v>3</v>
      </c>
      <c r="H123" s="198">
        <f t="shared" si="403"/>
        <v>3</v>
      </c>
      <c r="I123" s="198">
        <f t="shared" si="404"/>
        <v>0</v>
      </c>
      <c r="J123" s="229"/>
      <c r="K123" s="225"/>
      <c r="L123" s="226"/>
      <c r="M123" s="197" t="str">
        <f>IF('Design Fee'!W125&gt;0,"✔","-")</f>
        <v>✔</v>
      </c>
      <c r="N123" s="197" t="str">
        <f>IF('Design Fee'!X125&gt;0,"✔","-")</f>
        <v>✔</v>
      </c>
      <c r="O123" s="220" t="str">
        <f>IF('Design Fee'!Y125&gt;0,"✔","-")</f>
        <v>✔</v>
      </c>
      <c r="P123" s="220" t="str">
        <f>IF('Design Fee'!Z125&gt;0,"✔","-")</f>
        <v>-</v>
      </c>
      <c r="Q123" s="220" t="str">
        <f>IF('Design Fee'!AA125&gt;0,"✔","-")</f>
        <v>-</v>
      </c>
      <c r="R123" s="220" t="str">
        <f>IF('Design Fee'!AB125&gt;0,"✔","-")</f>
        <v>-</v>
      </c>
      <c r="S123" s="220" t="str">
        <f>IF('Design Fee'!AC125&gt;0,"✔","-")</f>
        <v>-</v>
      </c>
      <c r="T123" s="220" t="str">
        <f>IF('Design Fee'!AD125&gt;0,"✔","-")</f>
        <v>-</v>
      </c>
      <c r="U123" s="229"/>
      <c r="V123" s="198" t="str">
        <f>IF('Design Fee'!AF125&gt;0,"✔","-")</f>
        <v>-</v>
      </c>
      <c r="W123" s="198" t="str">
        <f>IF('Design Fee'!AG125&gt;0,"✔","-")</f>
        <v>-</v>
      </c>
      <c r="X123" s="198" t="str">
        <f>IF('Design Fee'!AH125&gt;0,"✔","-")</f>
        <v>-</v>
      </c>
      <c r="Y123" s="198" t="str">
        <f>IF('Design Fee'!AI125&gt;0,"✔","-")</f>
        <v>-</v>
      </c>
      <c r="Z123" s="198" t="str">
        <f>IF('Design Fee'!AJ125&gt;0,"✔","-")</f>
        <v>-</v>
      </c>
      <c r="AA123" s="229"/>
      <c r="AB123" s="225"/>
      <c r="AC123" s="226"/>
      <c r="AD123" s="197" t="str">
        <f>IF('Design Fee'!BG125&gt;0,"✔","-")</f>
        <v>✔</v>
      </c>
      <c r="AE123" s="197" t="str">
        <f>IF('Design Fee'!BH125&gt;0,"✔","-")</f>
        <v>✔</v>
      </c>
      <c r="AF123" s="220" t="str">
        <f>IF('Design Fee'!BI125&gt;0,"✔","-")</f>
        <v>✔</v>
      </c>
      <c r="AG123" s="220" t="str">
        <f>IF('Design Fee'!BJ125&gt;0,"✔","-")</f>
        <v>-</v>
      </c>
      <c r="AH123" s="220" t="str">
        <f>IF('Design Fee'!BK125&gt;0,"✔","-")</f>
        <v>-</v>
      </c>
      <c r="AI123" s="220" t="str">
        <f>IF('Design Fee'!BL125&gt;0,"✔","-")</f>
        <v>-</v>
      </c>
      <c r="AJ123" s="220" t="str">
        <f>IF('Design Fee'!BM125&gt;0,"✔","-")</f>
        <v>-</v>
      </c>
      <c r="AK123" s="220" t="str">
        <f>IF('Design Fee'!BN125&gt;0,"✔","-")</f>
        <v>-</v>
      </c>
      <c r="AL123" s="230"/>
      <c r="AM123" s="198" t="str">
        <f>IF('Design Fee'!BP125&gt;0,"✔","-")</f>
        <v>-</v>
      </c>
      <c r="AN123" s="198" t="str">
        <f>IF('Design Fee'!BQ125&gt;0,"✔","-")</f>
        <v>-</v>
      </c>
      <c r="AO123" s="198" t="str">
        <f>IF('Design Fee'!BR125&gt;0,"✔","-")</f>
        <v>-</v>
      </c>
      <c r="AP123" s="198" t="str">
        <f>IF('Design Fee'!BS125&gt;0,"✔","-")</f>
        <v>-</v>
      </c>
      <c r="AQ123" s="198" t="str">
        <f>IF('Design Fee'!BT125&gt;0,"✔","-")</f>
        <v>-</v>
      </c>
      <c r="AR123" s="230"/>
      <c r="AS123" s="225"/>
      <c r="AT123" s="226"/>
      <c r="AU123" s="197" t="str">
        <f>IF('Design Fee'!CQ125&gt;0,"✔","-")</f>
        <v>✔</v>
      </c>
      <c r="AV123" s="197" t="str">
        <f>IF('Design Fee'!CR125&gt;0,"✔","-")</f>
        <v>✔</v>
      </c>
      <c r="AW123" s="220" t="str">
        <f>IF('Design Fee'!CS125&gt;0,"✔","-")</f>
        <v>✔</v>
      </c>
      <c r="AX123" s="220" t="str">
        <f>IF('Design Fee'!CT125&gt;0,"✔","-")</f>
        <v>-</v>
      </c>
      <c r="AY123" s="220" t="str">
        <f>IF('Design Fee'!CU125&gt;0,"✔","-")</f>
        <v>-</v>
      </c>
      <c r="AZ123" s="220" t="str">
        <f>IF('Design Fee'!CV125&gt;0,"✔","-")</f>
        <v>-</v>
      </c>
      <c r="BA123" s="220" t="str">
        <f>IF('Design Fee'!CW125&gt;0,"✔","-")</f>
        <v>-</v>
      </c>
      <c r="BB123" s="220" t="str">
        <f>IF('Design Fee'!CX125&gt;0,"✔","-")</f>
        <v>-</v>
      </c>
      <c r="BC123" s="230"/>
      <c r="BD123" s="198" t="str">
        <f>IF('Design Fee'!CZ125&gt;0,"✔","-")</f>
        <v>-</v>
      </c>
      <c r="BE123" s="198" t="str">
        <f>IF('Design Fee'!DA125&gt;0,"✔","-")</f>
        <v>-</v>
      </c>
      <c r="BF123" s="198" t="str">
        <f>IF('Design Fee'!DB125&gt;0,"✔","-")</f>
        <v>-</v>
      </c>
      <c r="BG123" s="198" t="str">
        <f>IF('Design Fee'!DC125&gt;0,"✔","-")</f>
        <v>-</v>
      </c>
      <c r="BH123" s="198" t="str">
        <f>IF('Design Fee'!DD125&gt;0,"✔","-")</f>
        <v>-</v>
      </c>
      <c r="BI123" s="230"/>
      <c r="BJ123" s="225"/>
      <c r="BK123" s="226"/>
      <c r="BL123" s="197" t="str">
        <f>IF('Design Fee'!EA125&gt;0,"✔","-")</f>
        <v>-</v>
      </c>
      <c r="BM123" s="197" t="str">
        <f>IF('Design Fee'!EB125&gt;0,"✔","-")</f>
        <v>-</v>
      </c>
      <c r="BN123" s="220" t="str">
        <f>IF('Design Fee'!EC125&gt;0,"✔","-")</f>
        <v>-</v>
      </c>
      <c r="BO123" s="220" t="str">
        <f>IF('Design Fee'!ED125&gt;0,"✔","-")</f>
        <v>-</v>
      </c>
      <c r="BP123" s="220" t="str">
        <f>IF('Design Fee'!EE125&gt;0,"✔","-")</f>
        <v>-</v>
      </c>
      <c r="BQ123" s="220" t="str">
        <f>IF('Design Fee'!EF125&gt;0,"✔","-")</f>
        <v>-</v>
      </c>
      <c r="BR123" s="220" t="str">
        <f>IF('Design Fee'!EG125&gt;0,"✔","-")</f>
        <v>-</v>
      </c>
      <c r="BS123" s="220" t="str">
        <f>IF('Design Fee'!EH125&gt;0,"✔","-")</f>
        <v>-</v>
      </c>
      <c r="BT123" s="222"/>
      <c r="BU123" s="198" t="str">
        <f>IF('Design Fee'!EJ125&gt;0,"✔","-")</f>
        <v>-</v>
      </c>
      <c r="BV123" s="198" t="str">
        <f>IF('Design Fee'!EK125&gt;0,"✔","-")</f>
        <v>-</v>
      </c>
      <c r="BW123" s="198" t="str">
        <f>IF('Design Fee'!EL125&gt;0,"✔","-")</f>
        <v>-</v>
      </c>
      <c r="BX123" s="198" t="str">
        <f>IF('Design Fee'!EM125&gt;0,"✔","-")</f>
        <v>-</v>
      </c>
      <c r="BY123" s="198" t="str">
        <f>IF('Design Fee'!EN125&gt;0,"✔","-")</f>
        <v>-</v>
      </c>
      <c r="BZ123" s="137"/>
    </row>
    <row r="124" spans="1:78" ht="12.75" outlineLevel="2">
      <c r="A124" s="222" t="str">
        <f t="shared" si="405"/>
        <v>T06S - Habitable Level - 03 - 06</v>
      </c>
      <c r="B124" s="235" t="s">
        <v>132</v>
      </c>
      <c r="C124" s="218">
        <v>5</v>
      </c>
      <c r="D124" s="219" t="s">
        <v>90</v>
      </c>
      <c r="E124" s="137"/>
      <c r="F124" s="197">
        <f t="shared" si="402"/>
        <v>2</v>
      </c>
      <c r="G124" s="198">
        <f t="shared" si="403"/>
        <v>2</v>
      </c>
      <c r="H124" s="198">
        <f t="shared" si="403"/>
        <v>2</v>
      </c>
      <c r="I124" s="198">
        <f t="shared" si="404"/>
        <v>0</v>
      </c>
      <c r="J124" s="221"/>
      <c r="K124" s="195"/>
      <c r="L124" s="196"/>
      <c r="M124" s="197" t="str">
        <f>IF('Design Fee'!W126&gt;0,"✔","-")</f>
        <v>✔</v>
      </c>
      <c r="N124" s="197" t="str">
        <f>IF('Design Fee'!X126&gt;0,"✔","-")</f>
        <v>✔</v>
      </c>
      <c r="O124" s="198" t="str">
        <f>IF('Design Fee'!Y126&gt;0,"✔","-")</f>
        <v>✔</v>
      </c>
      <c r="P124" s="198" t="str">
        <f>IF('Design Fee'!Z126&gt;0,"✔","-")</f>
        <v>-</v>
      </c>
      <c r="Q124" s="198" t="str">
        <f>IF('Design Fee'!AA126&gt;0,"✔","-")</f>
        <v>-</v>
      </c>
      <c r="R124" s="198" t="str">
        <f>IF('Design Fee'!AB126&gt;0,"✔","-")</f>
        <v>-</v>
      </c>
      <c r="S124" s="198" t="str">
        <f>IF('Design Fee'!AC126&gt;0,"✔","-")</f>
        <v>-</v>
      </c>
      <c r="T124" s="220" t="str">
        <f>IF('Design Fee'!AD126&gt;0,"✔","-")</f>
        <v>-</v>
      </c>
      <c r="U124" s="221"/>
      <c r="V124" s="198" t="str">
        <f>IF('Design Fee'!AF126&gt;0,"✔","-")</f>
        <v>-</v>
      </c>
      <c r="W124" s="198" t="str">
        <f>IF('Design Fee'!AG126&gt;0,"✔","-")</f>
        <v>-</v>
      </c>
      <c r="X124" s="198" t="str">
        <f>IF('Design Fee'!AH126&gt;0,"✔","-")</f>
        <v>-</v>
      </c>
      <c r="Y124" s="198" t="str">
        <f>IF('Design Fee'!AI126&gt;0,"✔","-")</f>
        <v>-</v>
      </c>
      <c r="Z124" s="198" t="str">
        <f>IF('Design Fee'!AJ126&gt;0,"✔","-")</f>
        <v>-</v>
      </c>
      <c r="AA124" s="221"/>
      <c r="AB124" s="195"/>
      <c r="AC124" s="196"/>
      <c r="AD124" s="197" t="str">
        <f>IF('Design Fee'!BG126&gt;0,"✔","-")</f>
        <v>✔</v>
      </c>
      <c r="AE124" s="197" t="str">
        <f>IF('Design Fee'!BH126&gt;0,"✔","-")</f>
        <v>✔</v>
      </c>
      <c r="AF124" s="198" t="str">
        <f>IF('Design Fee'!BI126&gt;0,"✔","-")</f>
        <v>✔</v>
      </c>
      <c r="AG124" s="198" t="str">
        <f>IF('Design Fee'!BJ126&gt;0,"✔","-")</f>
        <v>-</v>
      </c>
      <c r="AH124" s="198" t="str">
        <f>IF('Design Fee'!BK126&gt;0,"✔","-")</f>
        <v>-</v>
      </c>
      <c r="AI124" s="198" t="str">
        <f>IF('Design Fee'!BL126&gt;0,"✔","-")</f>
        <v>-</v>
      </c>
      <c r="AJ124" s="198" t="str">
        <f>IF('Design Fee'!BM126&gt;0,"✔","-")</f>
        <v>-</v>
      </c>
      <c r="AK124" s="220" t="str">
        <f>IF('Design Fee'!BN126&gt;0,"✔","-")</f>
        <v>-</v>
      </c>
      <c r="AL124" s="199"/>
      <c r="AM124" s="198" t="str">
        <f>IF('Design Fee'!BP126&gt;0,"✔","-")</f>
        <v>-</v>
      </c>
      <c r="AN124" s="198" t="str">
        <f>IF('Design Fee'!BQ126&gt;0,"✔","-")</f>
        <v>-</v>
      </c>
      <c r="AO124" s="198" t="str">
        <f>IF('Design Fee'!BR126&gt;0,"✔","-")</f>
        <v>-</v>
      </c>
      <c r="AP124" s="198" t="str">
        <f>IF('Design Fee'!BS126&gt;0,"✔","-")</f>
        <v>-</v>
      </c>
      <c r="AQ124" s="198" t="str">
        <f>IF('Design Fee'!BT126&gt;0,"✔","-")</f>
        <v>-</v>
      </c>
      <c r="AR124" s="199"/>
      <c r="AS124" s="195"/>
      <c r="AT124" s="196"/>
      <c r="AU124" s="197" t="str">
        <f>IF('Design Fee'!CQ126&gt;0,"✔","-")</f>
        <v>-</v>
      </c>
      <c r="AV124" s="197" t="str">
        <f>IF('Design Fee'!CR126&gt;0,"✔","-")</f>
        <v>-</v>
      </c>
      <c r="AW124" s="198" t="str">
        <f>IF('Design Fee'!CS126&gt;0,"✔","-")</f>
        <v>-</v>
      </c>
      <c r="AX124" s="198" t="str">
        <f>IF('Design Fee'!CT126&gt;0,"✔","-")</f>
        <v>-</v>
      </c>
      <c r="AY124" s="198" t="str">
        <f>IF('Design Fee'!CU126&gt;0,"✔","-")</f>
        <v>-</v>
      </c>
      <c r="AZ124" s="198" t="str">
        <f>IF('Design Fee'!CV126&gt;0,"✔","-")</f>
        <v>-</v>
      </c>
      <c r="BA124" s="198" t="str">
        <f>IF('Design Fee'!CW126&gt;0,"✔","-")</f>
        <v>-</v>
      </c>
      <c r="BB124" s="220" t="str">
        <f>IF('Design Fee'!CX126&gt;0,"✔","-")</f>
        <v>-</v>
      </c>
      <c r="BC124" s="199"/>
      <c r="BD124" s="198" t="str">
        <f>IF('Design Fee'!CZ126&gt;0,"✔","-")</f>
        <v>-</v>
      </c>
      <c r="BE124" s="198" t="str">
        <f>IF('Design Fee'!DA126&gt;0,"✔","-")</f>
        <v>-</v>
      </c>
      <c r="BF124" s="198" t="str">
        <f>IF('Design Fee'!DB126&gt;0,"✔","-")</f>
        <v>-</v>
      </c>
      <c r="BG124" s="198" t="str">
        <f>IF('Design Fee'!DC126&gt;0,"✔","-")</f>
        <v>-</v>
      </c>
      <c r="BH124" s="198" t="str">
        <f>IF('Design Fee'!DD126&gt;0,"✔","-")</f>
        <v>-</v>
      </c>
      <c r="BI124" s="199"/>
      <c r="BJ124" s="195"/>
      <c r="BK124" s="196"/>
      <c r="BL124" s="197" t="str">
        <f>IF('Design Fee'!EA126&gt;0,"✔","-")</f>
        <v>-</v>
      </c>
      <c r="BM124" s="197" t="str">
        <f>IF('Design Fee'!EB126&gt;0,"✔","-")</f>
        <v>-</v>
      </c>
      <c r="BN124" s="198" t="str">
        <f>IF('Design Fee'!EC126&gt;0,"✔","-")</f>
        <v>-</v>
      </c>
      <c r="BO124" s="198" t="str">
        <f>IF('Design Fee'!ED126&gt;0,"✔","-")</f>
        <v>-</v>
      </c>
      <c r="BP124" s="198" t="str">
        <f>IF('Design Fee'!EE126&gt;0,"✔","-")</f>
        <v>-</v>
      </c>
      <c r="BQ124" s="198" t="str">
        <f>IF('Design Fee'!EF126&gt;0,"✔","-")</f>
        <v>-</v>
      </c>
      <c r="BR124" s="198" t="str">
        <f>IF('Design Fee'!EG126&gt;0,"✔","-")</f>
        <v>-</v>
      </c>
      <c r="BS124" s="220" t="str">
        <f>IF('Design Fee'!EH126&gt;0,"✔","-")</f>
        <v>-</v>
      </c>
      <c r="BT124" s="137"/>
      <c r="BU124" s="198" t="str">
        <f>IF('Design Fee'!EJ126&gt;0,"✔","-")</f>
        <v>-</v>
      </c>
      <c r="BV124" s="198" t="str">
        <f>IF('Design Fee'!EK126&gt;0,"✔","-")</f>
        <v>-</v>
      </c>
      <c r="BW124" s="198" t="str">
        <f>IF('Design Fee'!EL126&gt;0,"✔","-")</f>
        <v>-</v>
      </c>
      <c r="BX124" s="198" t="str">
        <f>IF('Design Fee'!EM126&gt;0,"✔","-")</f>
        <v>-</v>
      </c>
      <c r="BY124" s="198" t="str">
        <f>IF('Design Fee'!EN126&gt;0,"✔","-")</f>
        <v>-</v>
      </c>
      <c r="BZ124" s="137"/>
    </row>
    <row r="125" spans="1:78" ht="12.75" outlineLevel="2">
      <c r="A125" s="222" t="str">
        <f t="shared" si="405"/>
        <v>T06S - Building Envelope and Common Areas [Typical Tower Levels]</v>
      </c>
      <c r="B125" s="235" t="s">
        <v>133</v>
      </c>
      <c r="C125" s="218">
        <v>6</v>
      </c>
      <c r="D125" s="219" t="s">
        <v>64</v>
      </c>
      <c r="E125" s="137"/>
      <c r="F125" s="197">
        <f t="shared" si="402"/>
        <v>3</v>
      </c>
      <c r="G125" s="198">
        <f t="shared" si="403"/>
        <v>3</v>
      </c>
      <c r="H125" s="198">
        <f t="shared" si="403"/>
        <v>3</v>
      </c>
      <c r="I125" s="198">
        <f t="shared" si="404"/>
        <v>0</v>
      </c>
      <c r="J125" s="221"/>
      <c r="K125" s="195"/>
      <c r="L125" s="196"/>
      <c r="M125" s="197" t="str">
        <f>IF('Design Fee'!W127&gt;0,"✔","-")</f>
        <v>✔</v>
      </c>
      <c r="N125" s="197" t="str">
        <f>IF('Design Fee'!X127&gt;0,"✔","-")</f>
        <v>✔</v>
      </c>
      <c r="O125" s="206" t="str">
        <f>IF('Design Fee'!Y127&gt;0,"✔","-")</f>
        <v>✔</v>
      </c>
      <c r="P125" s="206" t="str">
        <f>IF('Design Fee'!Z127&gt;0,"✔","-")</f>
        <v>-</v>
      </c>
      <c r="Q125" s="206" t="str">
        <f>IF('Design Fee'!AA127&gt;0,"✔","-")</f>
        <v>-</v>
      </c>
      <c r="R125" s="206" t="str">
        <f>IF('Design Fee'!AB127&gt;0,"✔","-")</f>
        <v>-</v>
      </c>
      <c r="S125" s="206" t="str">
        <f>IF('Design Fee'!AC127&gt;0,"✔","-")</f>
        <v>-</v>
      </c>
      <c r="T125" s="220" t="str">
        <f>IF('Design Fee'!AD127&gt;0,"✔","-")</f>
        <v>-</v>
      </c>
      <c r="U125" s="221"/>
      <c r="V125" s="198" t="str">
        <f>IF('Design Fee'!AF127&gt;0,"✔","-")</f>
        <v>-</v>
      </c>
      <c r="W125" s="198" t="str">
        <f>IF('Design Fee'!AG127&gt;0,"✔","-")</f>
        <v>-</v>
      </c>
      <c r="X125" s="198" t="str">
        <f>IF('Design Fee'!AH127&gt;0,"✔","-")</f>
        <v>-</v>
      </c>
      <c r="Y125" s="198" t="str">
        <f>IF('Design Fee'!AI127&gt;0,"✔","-")</f>
        <v>-</v>
      </c>
      <c r="Z125" s="198" t="str">
        <f>IF('Design Fee'!AJ127&gt;0,"✔","-")</f>
        <v>-</v>
      </c>
      <c r="AA125" s="221"/>
      <c r="AB125" s="195"/>
      <c r="AC125" s="196"/>
      <c r="AD125" s="197" t="str">
        <f>IF('Design Fee'!BG127&gt;0,"✔","-")</f>
        <v>-</v>
      </c>
      <c r="AE125" s="197" t="str">
        <f>IF('Design Fee'!BH127&gt;0,"✔","-")</f>
        <v>-</v>
      </c>
      <c r="AF125" s="206" t="str">
        <f>IF('Design Fee'!BI127&gt;0,"✔","-")</f>
        <v>-</v>
      </c>
      <c r="AG125" s="206" t="str">
        <f>IF('Design Fee'!BJ127&gt;0,"✔","-")</f>
        <v>-</v>
      </c>
      <c r="AH125" s="206" t="str">
        <f>IF('Design Fee'!BK127&gt;0,"✔","-")</f>
        <v>-</v>
      </c>
      <c r="AI125" s="206" t="str">
        <f>IF('Design Fee'!BL127&gt;0,"✔","-")</f>
        <v>-</v>
      </c>
      <c r="AJ125" s="206" t="str">
        <f>IF('Design Fee'!BM127&gt;0,"✔","-")</f>
        <v>-</v>
      </c>
      <c r="AK125" s="220" t="str">
        <f>IF('Design Fee'!BN127&gt;0,"✔","-")</f>
        <v>-</v>
      </c>
      <c r="AL125" s="199"/>
      <c r="AM125" s="198" t="str">
        <f>IF('Design Fee'!BP127&gt;0,"✔","-")</f>
        <v>-</v>
      </c>
      <c r="AN125" s="198" t="str">
        <f>IF('Design Fee'!BQ127&gt;0,"✔","-")</f>
        <v>-</v>
      </c>
      <c r="AO125" s="198" t="str">
        <f>IF('Design Fee'!BR127&gt;0,"✔","-")</f>
        <v>-</v>
      </c>
      <c r="AP125" s="198" t="str">
        <f>IF('Design Fee'!BS127&gt;0,"✔","-")</f>
        <v>-</v>
      </c>
      <c r="AQ125" s="198" t="str">
        <f>IF('Design Fee'!BT127&gt;0,"✔","-")</f>
        <v>-</v>
      </c>
      <c r="AR125" s="199"/>
      <c r="AS125" s="195"/>
      <c r="AT125" s="196"/>
      <c r="AU125" s="197" t="str">
        <f>IF('Design Fee'!CQ127&gt;0,"✔","-")</f>
        <v>✔</v>
      </c>
      <c r="AV125" s="197" t="str">
        <f>IF('Design Fee'!CR127&gt;0,"✔","-")</f>
        <v>✔</v>
      </c>
      <c r="AW125" s="206" t="str">
        <f>IF('Design Fee'!CS127&gt;0,"✔","-")</f>
        <v>✔</v>
      </c>
      <c r="AX125" s="206" t="str">
        <f>IF('Design Fee'!CT127&gt;0,"✔","-")</f>
        <v>-</v>
      </c>
      <c r="AY125" s="206" t="str">
        <f>IF('Design Fee'!CU127&gt;0,"✔","-")</f>
        <v>-</v>
      </c>
      <c r="AZ125" s="206" t="str">
        <f>IF('Design Fee'!CV127&gt;0,"✔","-")</f>
        <v>-</v>
      </c>
      <c r="BA125" s="206" t="str">
        <f>IF('Design Fee'!CW127&gt;0,"✔","-")</f>
        <v>-</v>
      </c>
      <c r="BB125" s="220" t="str">
        <f>IF('Design Fee'!CX127&gt;0,"✔","-")</f>
        <v>-</v>
      </c>
      <c r="BC125" s="199"/>
      <c r="BD125" s="198" t="str">
        <f>IF('Design Fee'!CZ127&gt;0,"✔","-")</f>
        <v>-</v>
      </c>
      <c r="BE125" s="198" t="str">
        <f>IF('Design Fee'!DA127&gt;0,"✔","-")</f>
        <v>-</v>
      </c>
      <c r="BF125" s="198" t="str">
        <f>IF('Design Fee'!DB127&gt;0,"✔","-")</f>
        <v>-</v>
      </c>
      <c r="BG125" s="198" t="str">
        <f>IF('Design Fee'!DC127&gt;0,"✔","-")</f>
        <v>-</v>
      </c>
      <c r="BH125" s="198" t="str">
        <f>IF('Design Fee'!DD127&gt;0,"✔","-")</f>
        <v>-</v>
      </c>
      <c r="BI125" s="199"/>
      <c r="BJ125" s="195"/>
      <c r="BK125" s="196"/>
      <c r="BL125" s="197" t="str">
        <f>IF('Design Fee'!EA127&gt;0,"✔","-")</f>
        <v>✔</v>
      </c>
      <c r="BM125" s="197" t="str">
        <f>IF('Design Fee'!EB127&gt;0,"✔","-")</f>
        <v>✔</v>
      </c>
      <c r="BN125" s="206" t="str">
        <f>IF('Design Fee'!EC127&gt;0,"✔","-")</f>
        <v>✔</v>
      </c>
      <c r="BO125" s="206" t="str">
        <f>IF('Design Fee'!ED127&gt;0,"✔","-")</f>
        <v>-</v>
      </c>
      <c r="BP125" s="206" t="str">
        <f>IF('Design Fee'!EE127&gt;0,"✔","-")</f>
        <v>-</v>
      </c>
      <c r="BQ125" s="206" t="str">
        <f>IF('Design Fee'!EF127&gt;0,"✔","-")</f>
        <v>-</v>
      </c>
      <c r="BR125" s="206" t="str">
        <f>IF('Design Fee'!EG127&gt;0,"✔","-")</f>
        <v>-</v>
      </c>
      <c r="BS125" s="220" t="str">
        <f>IF('Design Fee'!EH127&gt;0,"✔","-")</f>
        <v>-</v>
      </c>
      <c r="BT125" s="137"/>
      <c r="BU125" s="198" t="str">
        <f>IF('Design Fee'!EJ127&gt;0,"✔","-")</f>
        <v>-</v>
      </c>
      <c r="BV125" s="198" t="str">
        <f>IF('Design Fee'!EK127&gt;0,"✔","-")</f>
        <v>-</v>
      </c>
      <c r="BW125" s="198" t="str">
        <f>IF('Design Fee'!EL127&gt;0,"✔","-")</f>
        <v>-</v>
      </c>
      <c r="BX125" s="198" t="str">
        <f>IF('Design Fee'!EM127&gt;0,"✔","-")</f>
        <v>-</v>
      </c>
      <c r="BY125" s="198" t="str">
        <f>IF('Design Fee'!EN127&gt;0,"✔","-")</f>
        <v>-</v>
      </c>
      <c r="BZ125" s="137"/>
    </row>
    <row r="126" spans="1:78" s="51" customFormat="1" ht="12.75" outlineLevel="2">
      <c r="A126" s="222" t="str">
        <f t="shared" si="405"/>
        <v>T06S - Penthouse Levels</v>
      </c>
      <c r="B126" s="235" t="s">
        <v>134</v>
      </c>
      <c r="C126" s="218">
        <v>7</v>
      </c>
      <c r="D126" s="224" t="s">
        <v>67</v>
      </c>
      <c r="E126" s="222"/>
      <c r="F126" s="197">
        <f t="shared" si="402"/>
        <v>3</v>
      </c>
      <c r="G126" s="198">
        <f t="shared" si="403"/>
        <v>3</v>
      </c>
      <c r="H126" s="198">
        <f t="shared" si="403"/>
        <v>3</v>
      </c>
      <c r="I126" s="198">
        <f t="shared" si="404"/>
        <v>0</v>
      </c>
      <c r="J126" s="234"/>
      <c r="K126" s="195"/>
      <c r="L126" s="226"/>
      <c r="M126" s="197" t="str">
        <f>IF('Design Fee'!W128&gt;0,"✔","-")</f>
        <v>✔</v>
      </c>
      <c r="N126" s="197" t="str">
        <f>IF('Design Fee'!X128&gt;0,"✔","-")</f>
        <v>✔</v>
      </c>
      <c r="O126" s="228" t="str">
        <f>IF('Design Fee'!Y128&gt;0,"✔","-")</f>
        <v>✔</v>
      </c>
      <c r="P126" s="228" t="str">
        <f>IF('Design Fee'!Z128&gt;0,"✔","-")</f>
        <v>-</v>
      </c>
      <c r="Q126" s="228" t="str">
        <f>IF('Design Fee'!AA128&gt;0,"✔","-")</f>
        <v>-</v>
      </c>
      <c r="R126" s="228" t="str">
        <f>IF('Design Fee'!AB128&gt;0,"✔","-")</f>
        <v>-</v>
      </c>
      <c r="S126" s="228" t="str">
        <f>IF('Design Fee'!AC128&gt;0,"✔","-")</f>
        <v>-</v>
      </c>
      <c r="T126" s="220" t="str">
        <f>IF('Design Fee'!AD128&gt;0,"✔","-")</f>
        <v>-</v>
      </c>
      <c r="U126" s="234"/>
      <c r="V126" s="198" t="str">
        <f>IF('Design Fee'!AF128&gt;0,"✔","-")</f>
        <v>-</v>
      </c>
      <c r="W126" s="198" t="str">
        <f>IF('Design Fee'!AG128&gt;0,"✔","-")</f>
        <v>-</v>
      </c>
      <c r="X126" s="198" t="str">
        <f>IF('Design Fee'!AH128&gt;0,"✔","-")</f>
        <v>-</v>
      </c>
      <c r="Y126" s="198" t="str">
        <f>IF('Design Fee'!AI128&gt;0,"✔","-")</f>
        <v>-</v>
      </c>
      <c r="Z126" s="198" t="str">
        <f>IF('Design Fee'!AJ128&gt;0,"✔","-")</f>
        <v>-</v>
      </c>
      <c r="AA126" s="234"/>
      <c r="AB126" s="195"/>
      <c r="AC126" s="226"/>
      <c r="AD126" s="197" t="str">
        <f>IF('Design Fee'!BG128&gt;0,"✔","-")</f>
        <v>✔</v>
      </c>
      <c r="AE126" s="197" t="str">
        <f>IF('Design Fee'!BH128&gt;0,"✔","-")</f>
        <v>✔</v>
      </c>
      <c r="AF126" s="228" t="str">
        <f>IF('Design Fee'!BI128&gt;0,"✔","-")</f>
        <v>✔</v>
      </c>
      <c r="AG126" s="228" t="str">
        <f>IF('Design Fee'!BJ128&gt;0,"✔","-")</f>
        <v>-</v>
      </c>
      <c r="AH126" s="228" t="str">
        <f>IF('Design Fee'!BK128&gt;0,"✔","-")</f>
        <v>-</v>
      </c>
      <c r="AI126" s="228" t="str">
        <f>IF('Design Fee'!BL128&gt;0,"✔","-")</f>
        <v>-</v>
      </c>
      <c r="AJ126" s="228" t="str">
        <f>IF('Design Fee'!BM128&gt;0,"✔","-")</f>
        <v>-</v>
      </c>
      <c r="AK126" s="220" t="str">
        <f>IF('Design Fee'!BN128&gt;0,"✔","-")</f>
        <v>-</v>
      </c>
      <c r="AL126" s="230"/>
      <c r="AM126" s="198" t="str">
        <f>IF('Design Fee'!BP128&gt;0,"✔","-")</f>
        <v>-</v>
      </c>
      <c r="AN126" s="198" t="str">
        <f>IF('Design Fee'!BQ128&gt;0,"✔","-")</f>
        <v>-</v>
      </c>
      <c r="AO126" s="198" t="str">
        <f>IF('Design Fee'!BR128&gt;0,"✔","-")</f>
        <v>-</v>
      </c>
      <c r="AP126" s="198" t="str">
        <f>IF('Design Fee'!BS128&gt;0,"✔","-")</f>
        <v>-</v>
      </c>
      <c r="AQ126" s="198" t="str">
        <f>IF('Design Fee'!BT128&gt;0,"✔","-")</f>
        <v>-</v>
      </c>
      <c r="AR126" s="230"/>
      <c r="AS126" s="195"/>
      <c r="AT126" s="226"/>
      <c r="AU126" s="197" t="str">
        <f>IF('Design Fee'!CQ128&gt;0,"✔","-")</f>
        <v>✔</v>
      </c>
      <c r="AV126" s="197" t="str">
        <f>IF('Design Fee'!CR128&gt;0,"✔","-")</f>
        <v>✔</v>
      </c>
      <c r="AW126" s="228" t="str">
        <f>IF('Design Fee'!CS128&gt;0,"✔","-")</f>
        <v>✔</v>
      </c>
      <c r="AX126" s="228" t="str">
        <f>IF('Design Fee'!CT128&gt;0,"✔","-")</f>
        <v>-</v>
      </c>
      <c r="AY126" s="228" t="str">
        <f>IF('Design Fee'!CU128&gt;0,"✔","-")</f>
        <v>-</v>
      </c>
      <c r="AZ126" s="228" t="str">
        <f>IF('Design Fee'!CV128&gt;0,"✔","-")</f>
        <v>-</v>
      </c>
      <c r="BA126" s="228" t="str">
        <f>IF('Design Fee'!CW128&gt;0,"✔","-")</f>
        <v>-</v>
      </c>
      <c r="BB126" s="220" t="str">
        <f>IF('Design Fee'!CX128&gt;0,"✔","-")</f>
        <v>-</v>
      </c>
      <c r="BC126" s="230"/>
      <c r="BD126" s="198" t="str">
        <f>IF('Design Fee'!CZ128&gt;0,"✔","-")</f>
        <v>-</v>
      </c>
      <c r="BE126" s="198" t="str">
        <f>IF('Design Fee'!DA128&gt;0,"✔","-")</f>
        <v>-</v>
      </c>
      <c r="BF126" s="198" t="str">
        <f>IF('Design Fee'!DB128&gt;0,"✔","-")</f>
        <v>-</v>
      </c>
      <c r="BG126" s="198" t="str">
        <f>IF('Design Fee'!DC128&gt;0,"✔","-")</f>
        <v>-</v>
      </c>
      <c r="BH126" s="198" t="str">
        <f>IF('Design Fee'!DD128&gt;0,"✔","-")</f>
        <v>-</v>
      </c>
      <c r="BI126" s="230"/>
      <c r="BJ126" s="195"/>
      <c r="BK126" s="226"/>
      <c r="BL126" s="197" t="str">
        <f>IF('Design Fee'!EA128&gt;0,"✔","-")</f>
        <v>-</v>
      </c>
      <c r="BM126" s="197" t="str">
        <f>IF('Design Fee'!EB128&gt;0,"✔","-")</f>
        <v>-</v>
      </c>
      <c r="BN126" s="228" t="str">
        <f>IF('Design Fee'!EC128&gt;0,"✔","-")</f>
        <v>-</v>
      </c>
      <c r="BO126" s="228" t="str">
        <f>IF('Design Fee'!ED128&gt;0,"✔","-")</f>
        <v>-</v>
      </c>
      <c r="BP126" s="228" t="str">
        <f>IF('Design Fee'!EE128&gt;0,"✔","-")</f>
        <v>-</v>
      </c>
      <c r="BQ126" s="228" t="str">
        <f>IF('Design Fee'!EF128&gt;0,"✔","-")</f>
        <v>-</v>
      </c>
      <c r="BR126" s="228" t="str">
        <f>IF('Design Fee'!EG128&gt;0,"✔","-")</f>
        <v>-</v>
      </c>
      <c r="BS126" s="220" t="str">
        <f>IF('Design Fee'!EH128&gt;0,"✔","-")</f>
        <v>-</v>
      </c>
      <c r="BT126" s="222"/>
      <c r="BU126" s="198" t="str">
        <f>IF('Design Fee'!EJ128&gt;0,"✔","-")</f>
        <v>-</v>
      </c>
      <c r="BV126" s="198" t="str">
        <f>IF('Design Fee'!EK128&gt;0,"✔","-")</f>
        <v>-</v>
      </c>
      <c r="BW126" s="198" t="str">
        <f>IF('Design Fee'!EL128&gt;0,"✔","-")</f>
        <v>-</v>
      </c>
      <c r="BX126" s="198" t="str">
        <f>IF('Design Fee'!EM128&gt;0,"✔","-")</f>
        <v>-</v>
      </c>
      <c r="BY126" s="198" t="str">
        <f>IF('Design Fee'!EN128&gt;0,"✔","-")</f>
        <v>-</v>
      </c>
      <c r="BZ126" s="137"/>
    </row>
    <row r="127" spans="1:78" s="51" customFormat="1" ht="12.75" outlineLevel="2">
      <c r="A127" s="222" t="str">
        <f t="shared" si="405"/>
        <v>T06S - Terrace Level</v>
      </c>
      <c r="B127" s="235" t="s">
        <v>135</v>
      </c>
      <c r="C127" s="218">
        <v>8</v>
      </c>
      <c r="D127" s="224" t="s">
        <v>69</v>
      </c>
      <c r="E127" s="222"/>
      <c r="F127" s="197">
        <f t="shared" si="402"/>
        <v>3</v>
      </c>
      <c r="G127" s="198">
        <f t="shared" si="403"/>
        <v>3</v>
      </c>
      <c r="H127" s="198">
        <f t="shared" si="403"/>
        <v>3</v>
      </c>
      <c r="I127" s="198">
        <f t="shared" si="404"/>
        <v>0</v>
      </c>
      <c r="J127" s="234"/>
      <c r="K127" s="225"/>
      <c r="L127" s="226"/>
      <c r="M127" s="197" t="str">
        <f>IF('Design Fee'!W129&gt;0,"✔","-")</f>
        <v>✔</v>
      </c>
      <c r="N127" s="197" t="str">
        <f>IF('Design Fee'!X129&gt;0,"✔","-")</f>
        <v>✔</v>
      </c>
      <c r="O127" s="228" t="str">
        <f>IF('Design Fee'!Y129&gt;0,"✔","-")</f>
        <v>✔</v>
      </c>
      <c r="P127" s="228" t="str">
        <f>IF('Design Fee'!Z129&gt;0,"✔","-")</f>
        <v>-</v>
      </c>
      <c r="Q127" s="228" t="str">
        <f>IF('Design Fee'!AA129&gt;0,"✔","-")</f>
        <v>-</v>
      </c>
      <c r="R127" s="228" t="str">
        <f>IF('Design Fee'!AB129&gt;0,"✔","-")</f>
        <v>-</v>
      </c>
      <c r="S127" s="228" t="str">
        <f>IF('Design Fee'!AC129&gt;0,"✔","-")</f>
        <v>-</v>
      </c>
      <c r="T127" s="220" t="str">
        <f>IF('Design Fee'!AD129&gt;0,"✔","-")</f>
        <v>-</v>
      </c>
      <c r="U127" s="234"/>
      <c r="V127" s="198" t="str">
        <f>IF('Design Fee'!AF129&gt;0,"✔","-")</f>
        <v>-</v>
      </c>
      <c r="W127" s="198" t="str">
        <f>IF('Design Fee'!AG129&gt;0,"✔","-")</f>
        <v>-</v>
      </c>
      <c r="X127" s="198" t="str">
        <f>IF('Design Fee'!AH129&gt;0,"✔","-")</f>
        <v>-</v>
      </c>
      <c r="Y127" s="198" t="str">
        <f>IF('Design Fee'!AI129&gt;0,"✔","-")</f>
        <v>-</v>
      </c>
      <c r="Z127" s="198" t="str">
        <f>IF('Design Fee'!AJ129&gt;0,"✔","-")</f>
        <v>-</v>
      </c>
      <c r="AA127" s="234"/>
      <c r="AB127" s="225"/>
      <c r="AC127" s="226"/>
      <c r="AD127" s="197" t="str">
        <f>IF('Design Fee'!BG129&gt;0,"✔","-")</f>
        <v>✔</v>
      </c>
      <c r="AE127" s="197" t="str">
        <f>IF('Design Fee'!BH129&gt;0,"✔","-")</f>
        <v>✔</v>
      </c>
      <c r="AF127" s="228" t="str">
        <f>IF('Design Fee'!BI129&gt;0,"✔","-")</f>
        <v>✔</v>
      </c>
      <c r="AG127" s="228" t="str">
        <f>IF('Design Fee'!BJ129&gt;0,"✔","-")</f>
        <v>-</v>
      </c>
      <c r="AH127" s="228" t="str">
        <f>IF('Design Fee'!BK129&gt;0,"✔","-")</f>
        <v>-</v>
      </c>
      <c r="AI127" s="228" t="str">
        <f>IF('Design Fee'!BL129&gt;0,"✔","-")</f>
        <v>-</v>
      </c>
      <c r="AJ127" s="228" t="str">
        <f>IF('Design Fee'!BM129&gt;0,"✔","-")</f>
        <v>-</v>
      </c>
      <c r="AK127" s="220" t="str">
        <f>IF('Design Fee'!BN129&gt;0,"✔","-")</f>
        <v>-</v>
      </c>
      <c r="AL127" s="230"/>
      <c r="AM127" s="198" t="str">
        <f>IF('Design Fee'!BP129&gt;0,"✔","-")</f>
        <v>-</v>
      </c>
      <c r="AN127" s="198" t="str">
        <f>IF('Design Fee'!BQ129&gt;0,"✔","-")</f>
        <v>-</v>
      </c>
      <c r="AO127" s="198" t="str">
        <f>IF('Design Fee'!BR129&gt;0,"✔","-")</f>
        <v>-</v>
      </c>
      <c r="AP127" s="198" t="str">
        <f>IF('Design Fee'!BS129&gt;0,"✔","-")</f>
        <v>-</v>
      </c>
      <c r="AQ127" s="198" t="str">
        <f>IF('Design Fee'!BT129&gt;0,"✔","-")</f>
        <v>-</v>
      </c>
      <c r="AR127" s="230"/>
      <c r="AS127" s="225"/>
      <c r="AT127" s="226"/>
      <c r="AU127" s="197" t="str">
        <f>IF('Design Fee'!CQ129&gt;0,"✔","-")</f>
        <v>✔</v>
      </c>
      <c r="AV127" s="197" t="str">
        <f>IF('Design Fee'!CR129&gt;0,"✔","-")</f>
        <v>✔</v>
      </c>
      <c r="AW127" s="228" t="str">
        <f>IF('Design Fee'!CS129&gt;0,"✔","-")</f>
        <v>✔</v>
      </c>
      <c r="AX127" s="228" t="str">
        <f>IF('Design Fee'!CT129&gt;0,"✔","-")</f>
        <v>-</v>
      </c>
      <c r="AY127" s="228" t="str">
        <f>IF('Design Fee'!CU129&gt;0,"✔","-")</f>
        <v>-</v>
      </c>
      <c r="AZ127" s="228" t="str">
        <f>IF('Design Fee'!CV129&gt;0,"✔","-")</f>
        <v>-</v>
      </c>
      <c r="BA127" s="228" t="str">
        <f>IF('Design Fee'!CW129&gt;0,"✔","-")</f>
        <v>-</v>
      </c>
      <c r="BB127" s="220" t="str">
        <f>IF('Design Fee'!CX129&gt;0,"✔","-")</f>
        <v>-</v>
      </c>
      <c r="BC127" s="230"/>
      <c r="BD127" s="198" t="str">
        <f>IF('Design Fee'!CZ129&gt;0,"✔","-")</f>
        <v>-</v>
      </c>
      <c r="BE127" s="198" t="str">
        <f>IF('Design Fee'!DA129&gt;0,"✔","-")</f>
        <v>-</v>
      </c>
      <c r="BF127" s="198" t="str">
        <f>IF('Design Fee'!DB129&gt;0,"✔","-")</f>
        <v>-</v>
      </c>
      <c r="BG127" s="198" t="str">
        <f>IF('Design Fee'!DC129&gt;0,"✔","-")</f>
        <v>-</v>
      </c>
      <c r="BH127" s="198" t="str">
        <f>IF('Design Fee'!DD129&gt;0,"✔","-")</f>
        <v>-</v>
      </c>
      <c r="BI127" s="230"/>
      <c r="BJ127" s="225"/>
      <c r="BK127" s="226"/>
      <c r="BL127" s="197" t="str">
        <f>IF('Design Fee'!EA129&gt;0,"✔","-")</f>
        <v>-</v>
      </c>
      <c r="BM127" s="197" t="str">
        <f>IF('Design Fee'!EB129&gt;0,"✔","-")</f>
        <v>-</v>
      </c>
      <c r="BN127" s="228" t="str">
        <f>IF('Design Fee'!EC129&gt;0,"✔","-")</f>
        <v>-</v>
      </c>
      <c r="BO127" s="228" t="str">
        <f>IF('Design Fee'!ED129&gt;0,"✔","-")</f>
        <v>-</v>
      </c>
      <c r="BP127" s="228" t="str">
        <f>IF('Design Fee'!EE129&gt;0,"✔","-")</f>
        <v>-</v>
      </c>
      <c r="BQ127" s="228" t="str">
        <f>IF('Design Fee'!EF129&gt;0,"✔","-")</f>
        <v>-</v>
      </c>
      <c r="BR127" s="228" t="str">
        <f>IF('Design Fee'!EG129&gt;0,"✔","-")</f>
        <v>-</v>
      </c>
      <c r="BS127" s="220" t="str">
        <f>IF('Design Fee'!EH129&gt;0,"✔","-")</f>
        <v>-</v>
      </c>
      <c r="BT127" s="222"/>
      <c r="BU127" s="198" t="str">
        <f>IF('Design Fee'!EJ129&gt;0,"✔","-")</f>
        <v>-</v>
      </c>
      <c r="BV127" s="198" t="str">
        <f>IF('Design Fee'!EK129&gt;0,"✔","-")</f>
        <v>-</v>
      </c>
      <c r="BW127" s="198" t="str">
        <f>IF('Design Fee'!EL129&gt;0,"✔","-")</f>
        <v>-</v>
      </c>
      <c r="BX127" s="198" t="str">
        <f>IF('Design Fee'!EM129&gt;0,"✔","-")</f>
        <v>-</v>
      </c>
      <c r="BY127" s="198" t="str">
        <f>IF('Design Fee'!EN129&gt;0,"✔","-")</f>
        <v>-</v>
      </c>
      <c r="BZ127" s="137"/>
    </row>
    <row r="128" spans="1:78" ht="12.75" outlineLevel="2">
      <c r="A128" s="222" t="str">
        <f t="shared" si="405"/>
        <v>T06S - Building Envelope and Common Areas [Penthouse Levels And Terrace Level]</v>
      </c>
      <c r="B128" s="235" t="s">
        <v>136</v>
      </c>
      <c r="C128" s="218">
        <v>9</v>
      </c>
      <c r="D128" s="219" t="s">
        <v>71</v>
      </c>
      <c r="E128" s="137"/>
      <c r="F128" s="197">
        <f t="shared" si="402"/>
        <v>2</v>
      </c>
      <c r="G128" s="198">
        <f t="shared" si="403"/>
        <v>2</v>
      </c>
      <c r="H128" s="198">
        <f t="shared" si="403"/>
        <v>2</v>
      </c>
      <c r="I128" s="198">
        <f t="shared" si="404"/>
        <v>0</v>
      </c>
      <c r="J128" s="221"/>
      <c r="K128" s="225"/>
      <c r="L128" s="196"/>
      <c r="M128" s="197" t="str">
        <f>IF('Design Fee'!W130&gt;0,"✔","-")</f>
        <v>✔</v>
      </c>
      <c r="N128" s="197" t="str">
        <f>IF('Design Fee'!X130&gt;0,"✔","-")</f>
        <v>✔</v>
      </c>
      <c r="O128" s="206" t="str">
        <f>IF('Design Fee'!Y130&gt;0,"✔","-")</f>
        <v>✔</v>
      </c>
      <c r="P128" s="206" t="str">
        <f>IF('Design Fee'!Z130&gt;0,"✔","-")</f>
        <v>-</v>
      </c>
      <c r="Q128" s="206" t="str">
        <f>IF('Design Fee'!AA130&gt;0,"✔","-")</f>
        <v>-</v>
      </c>
      <c r="R128" s="206" t="str">
        <f>IF('Design Fee'!AB130&gt;0,"✔","-")</f>
        <v>-</v>
      </c>
      <c r="S128" s="206" t="str">
        <f>IF('Design Fee'!AC130&gt;0,"✔","-")</f>
        <v>-</v>
      </c>
      <c r="T128" s="220" t="str">
        <f>IF('Design Fee'!AD130&gt;0,"✔","-")</f>
        <v>-</v>
      </c>
      <c r="U128" s="221"/>
      <c r="V128" s="198" t="str">
        <f>IF('Design Fee'!AF130&gt;0,"✔","-")</f>
        <v>-</v>
      </c>
      <c r="W128" s="198" t="str">
        <f>IF('Design Fee'!AG130&gt;0,"✔","-")</f>
        <v>-</v>
      </c>
      <c r="X128" s="198" t="str">
        <f>IF('Design Fee'!AH130&gt;0,"✔","-")</f>
        <v>-</v>
      </c>
      <c r="Y128" s="198" t="str">
        <f>IF('Design Fee'!AI130&gt;0,"✔","-")</f>
        <v>-</v>
      </c>
      <c r="Z128" s="198" t="str">
        <f>IF('Design Fee'!AJ130&gt;0,"✔","-")</f>
        <v>-</v>
      </c>
      <c r="AA128" s="221"/>
      <c r="AB128" s="225"/>
      <c r="AC128" s="196"/>
      <c r="AD128" s="197" t="str">
        <f>IF('Design Fee'!BG130&gt;0,"✔","-")</f>
        <v>-</v>
      </c>
      <c r="AE128" s="197" t="str">
        <f>IF('Design Fee'!BH130&gt;0,"✔","-")</f>
        <v>-</v>
      </c>
      <c r="AF128" s="206" t="str">
        <f>IF('Design Fee'!BI130&gt;0,"✔","-")</f>
        <v>-</v>
      </c>
      <c r="AG128" s="206" t="str">
        <f>IF('Design Fee'!BJ130&gt;0,"✔","-")</f>
        <v>-</v>
      </c>
      <c r="AH128" s="206" t="str">
        <f>IF('Design Fee'!BK130&gt;0,"✔","-")</f>
        <v>-</v>
      </c>
      <c r="AI128" s="206" t="str">
        <f>IF('Design Fee'!BL130&gt;0,"✔","-")</f>
        <v>-</v>
      </c>
      <c r="AJ128" s="206" t="str">
        <f>IF('Design Fee'!BM130&gt;0,"✔","-")</f>
        <v>-</v>
      </c>
      <c r="AK128" s="220" t="str">
        <f>IF('Design Fee'!BN130&gt;0,"✔","-")</f>
        <v>-</v>
      </c>
      <c r="AL128" s="199"/>
      <c r="AM128" s="198" t="str">
        <f>IF('Design Fee'!BP130&gt;0,"✔","-")</f>
        <v>-</v>
      </c>
      <c r="AN128" s="198" t="str">
        <f>IF('Design Fee'!BQ130&gt;0,"✔","-")</f>
        <v>-</v>
      </c>
      <c r="AO128" s="198" t="str">
        <f>IF('Design Fee'!BR130&gt;0,"✔","-")</f>
        <v>-</v>
      </c>
      <c r="AP128" s="198" t="str">
        <f>IF('Design Fee'!BS130&gt;0,"✔","-")</f>
        <v>-</v>
      </c>
      <c r="AQ128" s="198" t="str">
        <f>IF('Design Fee'!BT130&gt;0,"✔","-")</f>
        <v>-</v>
      </c>
      <c r="AR128" s="199"/>
      <c r="AS128" s="225"/>
      <c r="AT128" s="196"/>
      <c r="AU128" s="197" t="str">
        <f>IF('Design Fee'!CQ130&gt;0,"✔","-")</f>
        <v>-</v>
      </c>
      <c r="AV128" s="197" t="str">
        <f>IF('Design Fee'!CR130&gt;0,"✔","-")</f>
        <v>-</v>
      </c>
      <c r="AW128" s="206" t="str">
        <f>IF('Design Fee'!CS130&gt;0,"✔","-")</f>
        <v>-</v>
      </c>
      <c r="AX128" s="206" t="str">
        <f>IF('Design Fee'!CT130&gt;0,"✔","-")</f>
        <v>-</v>
      </c>
      <c r="AY128" s="206" t="str">
        <f>IF('Design Fee'!CU130&gt;0,"✔","-")</f>
        <v>-</v>
      </c>
      <c r="AZ128" s="206" t="str">
        <f>IF('Design Fee'!CV130&gt;0,"✔","-")</f>
        <v>-</v>
      </c>
      <c r="BA128" s="206" t="str">
        <f>IF('Design Fee'!CW130&gt;0,"✔","-")</f>
        <v>-</v>
      </c>
      <c r="BB128" s="220" t="str">
        <f>IF('Design Fee'!CX130&gt;0,"✔","-")</f>
        <v>-</v>
      </c>
      <c r="BC128" s="199"/>
      <c r="BD128" s="198" t="str">
        <f>IF('Design Fee'!CZ130&gt;0,"✔","-")</f>
        <v>-</v>
      </c>
      <c r="BE128" s="198" t="str">
        <f>IF('Design Fee'!DA130&gt;0,"✔","-")</f>
        <v>-</v>
      </c>
      <c r="BF128" s="198" t="str">
        <f>IF('Design Fee'!DB130&gt;0,"✔","-")</f>
        <v>-</v>
      </c>
      <c r="BG128" s="198" t="str">
        <f>IF('Design Fee'!DC130&gt;0,"✔","-")</f>
        <v>-</v>
      </c>
      <c r="BH128" s="198" t="str">
        <f>IF('Design Fee'!DD130&gt;0,"✔","-")</f>
        <v>-</v>
      </c>
      <c r="BI128" s="199"/>
      <c r="BJ128" s="225"/>
      <c r="BK128" s="196"/>
      <c r="BL128" s="197" t="str">
        <f>IF('Design Fee'!EA130&gt;0,"✔","-")</f>
        <v>✔</v>
      </c>
      <c r="BM128" s="197" t="str">
        <f>IF('Design Fee'!EB130&gt;0,"✔","-")</f>
        <v>✔</v>
      </c>
      <c r="BN128" s="206" t="str">
        <f>IF('Design Fee'!EC130&gt;0,"✔","-")</f>
        <v>✔</v>
      </c>
      <c r="BO128" s="206" t="str">
        <f>IF('Design Fee'!ED130&gt;0,"✔","-")</f>
        <v>-</v>
      </c>
      <c r="BP128" s="206" t="str">
        <f>IF('Design Fee'!EE130&gt;0,"✔","-")</f>
        <v>-</v>
      </c>
      <c r="BQ128" s="206" t="str">
        <f>IF('Design Fee'!EF130&gt;0,"✔","-")</f>
        <v>-</v>
      </c>
      <c r="BR128" s="206" t="str">
        <f>IF('Design Fee'!EG130&gt;0,"✔","-")</f>
        <v>-</v>
      </c>
      <c r="BS128" s="220" t="str">
        <f>IF('Design Fee'!EH130&gt;0,"✔","-")</f>
        <v>-</v>
      </c>
      <c r="BT128" s="137"/>
      <c r="BU128" s="198" t="str">
        <f>IF('Design Fee'!EJ130&gt;0,"✔","-")</f>
        <v>-</v>
      </c>
      <c r="BV128" s="198" t="str">
        <f>IF('Design Fee'!EK130&gt;0,"✔","-")</f>
        <v>-</v>
      </c>
      <c r="BW128" s="198" t="str">
        <f>IF('Design Fee'!EL130&gt;0,"✔","-")</f>
        <v>-</v>
      </c>
      <c r="BX128" s="198" t="str">
        <f>IF('Design Fee'!EM130&gt;0,"✔","-")</f>
        <v>-</v>
      </c>
      <c r="BY128" s="198" t="str">
        <f>IF('Design Fee'!EN130&gt;0,"✔","-")</f>
        <v>-</v>
      </c>
      <c r="BZ128" s="137"/>
    </row>
    <row r="129" spans="2:78" ht="3" customHeight="1" outlineLevel="1">
      <c r="BZ129" s="137"/>
    </row>
    <row r="130" spans="2:78" ht="12.75" outlineLevel="1">
      <c r="B130" s="186">
        <v>11</v>
      </c>
      <c r="C130" s="213">
        <v>8</v>
      </c>
      <c r="D130" s="214" t="s">
        <v>137</v>
      </c>
      <c r="E130" s="188"/>
      <c r="F130" s="215">
        <f>M130+AD130+AU130+BL130</f>
        <v>22</v>
      </c>
      <c r="G130" s="215">
        <f t="shared" ref="G130:I130" si="406">N130+AE130+AV130+BM130</f>
        <v>22</v>
      </c>
      <c r="H130" s="215">
        <f t="shared" si="406"/>
        <v>22</v>
      </c>
      <c r="I130" s="215">
        <f t="shared" si="406"/>
        <v>0</v>
      </c>
      <c r="J130" s="192">
        <f t="shared" ref="J130" si="407">COUNT(J131:J140)</f>
        <v>0</v>
      </c>
      <c r="K130" s="189"/>
      <c r="L130" s="189"/>
      <c r="M130" s="215">
        <f>COUNTIF(M131:M140,"✔")</f>
        <v>10</v>
      </c>
      <c r="N130" s="215">
        <f t="shared" ref="N130" si="408">COUNTIF(N131:N140,"✔")</f>
        <v>10</v>
      </c>
      <c r="O130" s="215">
        <f t="shared" ref="O130" si="409">COUNTIF(O131:O140,"✔")</f>
        <v>10</v>
      </c>
      <c r="P130" s="215">
        <f t="shared" ref="P130" si="410">COUNTIF(P131:P140,"✔")</f>
        <v>0</v>
      </c>
      <c r="Q130" s="215">
        <f t="shared" ref="Q130" si="411">COUNTIF(Q131:Q140,"✔")</f>
        <v>0</v>
      </c>
      <c r="R130" s="215">
        <f t="shared" ref="R130" si="412">COUNTIF(R131:R140,"✔")</f>
        <v>0</v>
      </c>
      <c r="S130" s="215">
        <f t="shared" ref="S130" si="413">COUNTIF(S131:S140,"✔")</f>
        <v>0</v>
      </c>
      <c r="T130" s="215">
        <f t="shared" ref="T130" si="414">COUNTIF(T131:T140,"✔")</f>
        <v>0</v>
      </c>
      <c r="U130" s="215">
        <f t="shared" ref="U130" si="415">COUNTIF(U131:U140,"✔")</f>
        <v>0</v>
      </c>
      <c r="V130" s="215">
        <f t="shared" ref="V130" si="416">COUNTIF(V131:V140,"✔")</f>
        <v>0</v>
      </c>
      <c r="W130" s="215">
        <f t="shared" ref="W130" si="417">COUNTIF(W131:W140,"✔")</f>
        <v>0</v>
      </c>
      <c r="X130" s="215">
        <f t="shared" ref="X130" si="418">COUNTIF(X131:X140,"✔")</f>
        <v>0</v>
      </c>
      <c r="Y130" s="215">
        <f t="shared" ref="Y130" si="419">COUNTIF(Y131:Y140,"✔")</f>
        <v>0</v>
      </c>
      <c r="Z130" s="215">
        <f t="shared" ref="Z130" si="420">COUNTIF(Z131:Z140,"✔")</f>
        <v>0</v>
      </c>
      <c r="AA130" s="215">
        <f t="shared" ref="AA130" si="421">COUNTIF(AA131:AA140,"✔")</f>
        <v>0</v>
      </c>
      <c r="AB130" s="189"/>
      <c r="AC130" s="215">
        <f t="shared" ref="AC130" si="422">COUNTIF(AC131:AC140,"✔")</f>
        <v>0</v>
      </c>
      <c r="AD130" s="215">
        <f t="shared" ref="AD130" si="423">COUNTIF(AD131:AD140,"✔")</f>
        <v>7</v>
      </c>
      <c r="AE130" s="215">
        <f t="shared" ref="AE130" si="424">COUNTIF(AE131:AE140,"✔")</f>
        <v>7</v>
      </c>
      <c r="AF130" s="215">
        <f t="shared" ref="AF130" si="425">COUNTIF(AF131:AF140,"✔")</f>
        <v>7</v>
      </c>
      <c r="AG130" s="215">
        <f t="shared" ref="AG130" si="426">COUNTIF(AG131:AG140,"✔")</f>
        <v>0</v>
      </c>
      <c r="AH130" s="215">
        <f t="shared" ref="AH130" si="427">COUNTIF(AH131:AH140,"✔")</f>
        <v>0</v>
      </c>
      <c r="AI130" s="215">
        <f t="shared" ref="AI130" si="428">COUNTIF(AI131:AI140,"✔")</f>
        <v>0</v>
      </c>
      <c r="AJ130" s="215">
        <f t="shared" ref="AJ130" si="429">COUNTIF(AJ131:AJ140,"✔")</f>
        <v>0</v>
      </c>
      <c r="AK130" s="215">
        <f t="shared" ref="AK130" si="430">COUNTIF(AK131:AK140,"✔")</f>
        <v>0</v>
      </c>
      <c r="AL130" s="215">
        <f t="shared" ref="AL130" si="431">COUNTIF(AL131:AL140,"✔")</f>
        <v>0</v>
      </c>
      <c r="AM130" s="215">
        <f t="shared" ref="AM130" si="432">COUNTIF(AM131:AM140,"✔")</f>
        <v>0</v>
      </c>
      <c r="AN130" s="215">
        <f t="shared" ref="AN130" si="433">COUNTIF(AN131:AN140,"✔")</f>
        <v>0</v>
      </c>
      <c r="AO130" s="215">
        <f t="shared" ref="AO130" si="434">COUNTIF(AO131:AO140,"✔")</f>
        <v>0</v>
      </c>
      <c r="AP130" s="215">
        <f t="shared" ref="AP130" si="435">COUNTIF(AP131:AP140,"✔")</f>
        <v>0</v>
      </c>
      <c r="AQ130" s="215">
        <f t="shared" ref="AQ130" si="436">COUNTIF(AQ131:AQ140,"✔")</f>
        <v>0</v>
      </c>
      <c r="AR130" s="215">
        <f t="shared" ref="AR130" si="437">COUNTIF(AR131:AR140,"✔")</f>
        <v>0</v>
      </c>
      <c r="AS130" s="189"/>
      <c r="AT130" s="215">
        <f t="shared" ref="AT130" si="438">COUNTIF(AT131:AT140,"✔")</f>
        <v>0</v>
      </c>
      <c r="AU130" s="215">
        <f t="shared" ref="AU130" si="439">COUNTIF(AU131:AU140,"✔")</f>
        <v>5</v>
      </c>
      <c r="AV130" s="215">
        <f t="shared" ref="AV130" si="440">COUNTIF(AV131:AV140,"✔")</f>
        <v>5</v>
      </c>
      <c r="AW130" s="215">
        <f t="shared" ref="AW130" si="441">COUNTIF(AW131:AW140,"✔")</f>
        <v>5</v>
      </c>
      <c r="AX130" s="215">
        <f t="shared" ref="AX130" si="442">COUNTIF(AX131:AX140,"✔")</f>
        <v>0</v>
      </c>
      <c r="AY130" s="215">
        <f t="shared" ref="AY130" si="443">COUNTIF(AY131:AY140,"✔")</f>
        <v>0</v>
      </c>
      <c r="AZ130" s="215">
        <f t="shared" ref="AZ130" si="444">COUNTIF(AZ131:AZ140,"✔")</f>
        <v>0</v>
      </c>
      <c r="BA130" s="215">
        <f t="shared" ref="BA130" si="445">COUNTIF(BA131:BA140,"✔")</f>
        <v>0</v>
      </c>
      <c r="BB130" s="215">
        <f t="shared" ref="BB130" si="446">COUNTIF(BB131:BB140,"✔")</f>
        <v>0</v>
      </c>
      <c r="BC130" s="215">
        <f t="shared" ref="BC130" si="447">COUNTIF(BC131:BC140,"✔")</f>
        <v>0</v>
      </c>
      <c r="BD130" s="215">
        <f t="shared" ref="BD130" si="448">COUNTIF(BD131:BD140,"✔")</f>
        <v>0</v>
      </c>
      <c r="BE130" s="215">
        <f t="shared" ref="BE130" si="449">COUNTIF(BE131:BE140,"✔")</f>
        <v>0</v>
      </c>
      <c r="BF130" s="215">
        <f t="shared" ref="BF130" si="450">COUNTIF(BF131:BF140,"✔")</f>
        <v>0</v>
      </c>
      <c r="BG130" s="215">
        <f t="shared" ref="BG130" si="451">COUNTIF(BG131:BG140,"✔")</f>
        <v>0</v>
      </c>
      <c r="BH130" s="215">
        <f t="shared" ref="BH130" si="452">COUNTIF(BH131:BH140,"✔")</f>
        <v>0</v>
      </c>
      <c r="BI130" s="215">
        <f t="shared" ref="BI130" si="453">COUNTIF(BI131:BI140,"✔")</f>
        <v>0</v>
      </c>
      <c r="BJ130" s="189"/>
      <c r="BK130" s="215">
        <f t="shared" ref="BK130" si="454">COUNTIF(BK131:BK140,"✔")</f>
        <v>0</v>
      </c>
      <c r="BL130" s="215">
        <f t="shared" ref="BL130" si="455">COUNTIF(BL131:BL140,"✔")</f>
        <v>0</v>
      </c>
      <c r="BM130" s="215">
        <f t="shared" ref="BM130" si="456">COUNTIF(BM131:BM140,"✔")</f>
        <v>0</v>
      </c>
      <c r="BN130" s="215">
        <f t="shared" ref="BN130" si="457">COUNTIF(BN131:BN140,"✔")</f>
        <v>0</v>
      </c>
      <c r="BO130" s="215">
        <f t="shared" ref="BO130" si="458">COUNTIF(BO131:BO140,"✔")</f>
        <v>0</v>
      </c>
      <c r="BP130" s="215">
        <f t="shared" ref="BP130" si="459">COUNTIF(BP131:BP140,"✔")</f>
        <v>0</v>
      </c>
      <c r="BQ130" s="215">
        <f t="shared" ref="BQ130" si="460">COUNTIF(BQ131:BQ140,"✔")</f>
        <v>0</v>
      </c>
      <c r="BR130" s="215">
        <f t="shared" ref="BR130" si="461">COUNTIF(BR131:BR140,"✔")</f>
        <v>0</v>
      </c>
      <c r="BS130" s="215">
        <f t="shared" ref="BS130" si="462">COUNTIF(BS131:BS140,"✔")</f>
        <v>0</v>
      </c>
      <c r="BT130" s="137"/>
      <c r="BU130" s="215">
        <f t="shared" ref="BU130" si="463">COUNTIF(BU131:BU140,"✔")</f>
        <v>0</v>
      </c>
      <c r="BV130" s="215">
        <f t="shared" ref="BV130" si="464">COUNTIF(BV131:BV140,"✔")</f>
        <v>0</v>
      </c>
      <c r="BW130" s="215">
        <f t="shared" ref="BW130" si="465">COUNTIF(BW131:BW140,"✔")</f>
        <v>0</v>
      </c>
      <c r="BX130" s="215">
        <f t="shared" ref="BX130" si="466">COUNTIF(BX131:BX140,"✔")</f>
        <v>0</v>
      </c>
      <c r="BY130" s="215">
        <f t="shared" ref="BY130" si="467">COUNTIF(BY131:BY140,"✔")</f>
        <v>0</v>
      </c>
      <c r="BZ130" s="137"/>
    </row>
    <row r="131" spans="2:78" ht="12.75" outlineLevel="2">
      <c r="B131" s="217" t="s">
        <v>138</v>
      </c>
      <c r="C131" s="218">
        <v>1</v>
      </c>
      <c r="D131" s="219" t="s">
        <v>52</v>
      </c>
      <c r="E131" s="137"/>
      <c r="F131" s="197">
        <f t="shared" ref="F131:F140" si="468">COUNTIF(M131,"✔")+COUNTIF(AD131,"✔")+COUNTIF(BL131,"✔")+COUNTIF(AU131,"✔")</f>
        <v>3</v>
      </c>
      <c r="G131" s="198">
        <f t="shared" ref="G131:H140" si="469">COUNTIF(N131,"✔")+COUNTIF(AE131,"✔")+COUNTIF(BM131,"✔")+COUNTIF(AV131,"✔")</f>
        <v>3</v>
      </c>
      <c r="H131" s="198">
        <f t="shared" si="469"/>
        <v>3</v>
      </c>
      <c r="I131" s="198">
        <f t="shared" ref="I131:I140" si="470">F131-G131</f>
        <v>0</v>
      </c>
      <c r="J131" s="221"/>
      <c r="K131" s="195"/>
      <c r="L131" s="196"/>
      <c r="M131" s="197" t="str">
        <f>IF('Design Fee'!W133&gt;0,"✔","-")</f>
        <v>✔</v>
      </c>
      <c r="N131" s="197" t="str">
        <f>IF('Design Fee'!X133&gt;0,"✔","-")</f>
        <v>✔</v>
      </c>
      <c r="O131" s="198" t="str">
        <f>IF('Design Fee'!Y133&gt;0,"✔","-")</f>
        <v>✔</v>
      </c>
      <c r="P131" s="198" t="str">
        <f>IF('Design Fee'!Z133&gt;0,"✔","-")</f>
        <v>-</v>
      </c>
      <c r="Q131" s="198" t="str">
        <f>IF('Design Fee'!AA133&gt;0,"✔","-")</f>
        <v>-</v>
      </c>
      <c r="R131" s="198" t="str">
        <f>IF('Design Fee'!AB133&gt;0,"✔","-")</f>
        <v>-</v>
      </c>
      <c r="S131" s="198" t="str">
        <f>IF('Design Fee'!AC133&gt;0,"✔","-")</f>
        <v>-</v>
      </c>
      <c r="T131" s="220" t="str">
        <f>IF('Design Fee'!AD133&gt;0,"✔","-")</f>
        <v>-</v>
      </c>
      <c r="U131" s="221"/>
      <c r="V131" s="198" t="str">
        <f>IF('Design Fee'!AF133&gt;0,"✔","-")</f>
        <v>-</v>
      </c>
      <c r="W131" s="198" t="str">
        <f>IF('Design Fee'!AG133&gt;0,"✔","-")</f>
        <v>-</v>
      </c>
      <c r="X131" s="198" t="str">
        <f>IF('Design Fee'!AH133&gt;0,"✔","-")</f>
        <v>-</v>
      </c>
      <c r="Y131" s="198" t="str">
        <f>IF('Design Fee'!AI133&gt;0,"✔","-")</f>
        <v>-</v>
      </c>
      <c r="Z131" s="198" t="str">
        <f>IF('Design Fee'!AJ133&gt;0,"✔","-")</f>
        <v>-</v>
      </c>
      <c r="AA131" s="221"/>
      <c r="AB131" s="195"/>
      <c r="AC131" s="196"/>
      <c r="AD131" s="197" t="str">
        <f>IF('Design Fee'!BG133&gt;0,"✔","-")</f>
        <v>✔</v>
      </c>
      <c r="AE131" s="197" t="str">
        <f>IF('Design Fee'!BH133&gt;0,"✔","-")</f>
        <v>✔</v>
      </c>
      <c r="AF131" s="198" t="str">
        <f>IF('Design Fee'!BI133&gt;0,"✔","-")</f>
        <v>✔</v>
      </c>
      <c r="AG131" s="198" t="str">
        <f>IF('Design Fee'!BJ133&gt;0,"✔","-")</f>
        <v>-</v>
      </c>
      <c r="AH131" s="198" t="str">
        <f>IF('Design Fee'!BK133&gt;0,"✔","-")</f>
        <v>-</v>
      </c>
      <c r="AI131" s="198" t="str">
        <f>IF('Design Fee'!BL133&gt;0,"✔","-")</f>
        <v>-</v>
      </c>
      <c r="AJ131" s="198" t="str">
        <f>IF('Design Fee'!BM133&gt;0,"✔","-")</f>
        <v>-</v>
      </c>
      <c r="AK131" s="220" t="str">
        <f>IF('Design Fee'!BN133&gt;0,"✔","-")</f>
        <v>-</v>
      </c>
      <c r="AL131" s="199"/>
      <c r="AM131" s="198" t="str">
        <f>IF('Design Fee'!BP133&gt;0,"✔","-")</f>
        <v>-</v>
      </c>
      <c r="AN131" s="198" t="str">
        <f>IF('Design Fee'!BQ133&gt;0,"✔","-")</f>
        <v>-</v>
      </c>
      <c r="AO131" s="198" t="str">
        <f>IF('Design Fee'!BR133&gt;0,"✔","-")</f>
        <v>-</v>
      </c>
      <c r="AP131" s="198" t="str">
        <f>IF('Design Fee'!BS133&gt;0,"✔","-")</f>
        <v>-</v>
      </c>
      <c r="AQ131" s="198" t="str">
        <f>IF('Design Fee'!BT133&gt;0,"✔","-")</f>
        <v>-</v>
      </c>
      <c r="AR131" s="199"/>
      <c r="AS131" s="195"/>
      <c r="AT131" s="196"/>
      <c r="AU131" s="197" t="str">
        <f>IF('Design Fee'!CQ133&gt;0,"✔","-")</f>
        <v>✔</v>
      </c>
      <c r="AV131" s="197" t="str">
        <f>IF('Design Fee'!CR133&gt;0,"✔","-")</f>
        <v>✔</v>
      </c>
      <c r="AW131" s="198" t="str">
        <f>IF('Design Fee'!CS133&gt;0,"✔","-")</f>
        <v>✔</v>
      </c>
      <c r="AX131" s="198" t="str">
        <f>IF('Design Fee'!CT133&gt;0,"✔","-")</f>
        <v>-</v>
      </c>
      <c r="AY131" s="198" t="str">
        <f>IF('Design Fee'!CU133&gt;0,"✔","-")</f>
        <v>-</v>
      </c>
      <c r="AZ131" s="198" t="str">
        <f>IF('Design Fee'!CV133&gt;0,"✔","-")</f>
        <v>-</v>
      </c>
      <c r="BA131" s="198" t="str">
        <f>IF('Design Fee'!CW133&gt;0,"✔","-")</f>
        <v>-</v>
      </c>
      <c r="BB131" s="220" t="str">
        <f>IF('Design Fee'!CX133&gt;0,"✔","-")</f>
        <v>-</v>
      </c>
      <c r="BC131" s="199"/>
      <c r="BD131" s="198" t="str">
        <f>IF('Design Fee'!CZ133&gt;0,"✔","-")</f>
        <v>-</v>
      </c>
      <c r="BE131" s="198" t="str">
        <f>IF('Design Fee'!DA133&gt;0,"✔","-")</f>
        <v>-</v>
      </c>
      <c r="BF131" s="198" t="str">
        <f>IF('Design Fee'!DB133&gt;0,"✔","-")</f>
        <v>-</v>
      </c>
      <c r="BG131" s="198" t="str">
        <f>IF('Design Fee'!DC133&gt;0,"✔","-")</f>
        <v>-</v>
      </c>
      <c r="BH131" s="198" t="str">
        <f>IF('Design Fee'!DD133&gt;0,"✔","-")</f>
        <v>-</v>
      </c>
      <c r="BI131" s="199"/>
      <c r="BJ131" s="195"/>
      <c r="BK131" s="196"/>
      <c r="BL131" s="197" t="str">
        <f>IF('Design Fee'!EA133&gt;0,"✔","-")</f>
        <v>-</v>
      </c>
      <c r="BM131" s="197" t="str">
        <f>IF('Design Fee'!EB133&gt;0,"✔","-")</f>
        <v>-</v>
      </c>
      <c r="BN131" s="198" t="str">
        <f>IF('Design Fee'!EC133&gt;0,"✔","-")</f>
        <v>-</v>
      </c>
      <c r="BO131" s="198" t="str">
        <f>IF('Design Fee'!ED133&gt;0,"✔","-")</f>
        <v>-</v>
      </c>
      <c r="BP131" s="198" t="str">
        <f>IF('Design Fee'!EE133&gt;0,"✔","-")</f>
        <v>-</v>
      </c>
      <c r="BQ131" s="198" t="str">
        <f>IF('Design Fee'!EF133&gt;0,"✔","-")</f>
        <v>-</v>
      </c>
      <c r="BR131" s="198" t="str">
        <f>IF('Design Fee'!EG133&gt;0,"✔","-")</f>
        <v>-</v>
      </c>
      <c r="BS131" s="220" t="str">
        <f>IF('Design Fee'!EH133&gt;0,"✔","-")</f>
        <v>-</v>
      </c>
      <c r="BT131" s="137"/>
      <c r="BU131" s="198" t="str">
        <f>IF('Design Fee'!EJ133&gt;0,"✔","-")</f>
        <v>-</v>
      </c>
      <c r="BV131" s="198" t="str">
        <f>IF('Design Fee'!EK133&gt;0,"✔","-")</f>
        <v>-</v>
      </c>
      <c r="BW131" s="198" t="str">
        <f>IF('Design Fee'!EL133&gt;0,"✔","-")</f>
        <v>-</v>
      </c>
      <c r="BX131" s="198" t="str">
        <f>IF('Design Fee'!EM133&gt;0,"✔","-")</f>
        <v>-</v>
      </c>
      <c r="BY131" s="198" t="str">
        <f>IF('Design Fee'!EN133&gt;0,"✔","-")</f>
        <v>-</v>
      </c>
      <c r="BZ131" s="137"/>
    </row>
    <row r="132" spans="2:78" ht="12.75" outlineLevel="2">
      <c r="B132" s="217" t="s">
        <v>139</v>
      </c>
      <c r="C132" s="218">
        <v>2</v>
      </c>
      <c r="D132" s="219" t="s">
        <v>54</v>
      </c>
      <c r="E132" s="137"/>
      <c r="F132" s="197">
        <f t="shared" si="468"/>
        <v>2</v>
      </c>
      <c r="G132" s="198">
        <f t="shared" si="469"/>
        <v>2</v>
      </c>
      <c r="H132" s="198">
        <f t="shared" si="469"/>
        <v>2</v>
      </c>
      <c r="I132" s="198">
        <f t="shared" si="470"/>
        <v>0</v>
      </c>
      <c r="J132" s="221"/>
      <c r="K132" s="195"/>
      <c r="L132" s="196"/>
      <c r="M132" s="197" t="str">
        <f>IF('Design Fee'!W134&gt;0,"✔","-")</f>
        <v>✔</v>
      </c>
      <c r="N132" s="197" t="str">
        <f>IF('Design Fee'!X134&gt;0,"✔","-")</f>
        <v>✔</v>
      </c>
      <c r="O132" s="198" t="str">
        <f>IF('Design Fee'!Y134&gt;0,"✔","-")</f>
        <v>✔</v>
      </c>
      <c r="P132" s="198" t="str">
        <f>IF('Design Fee'!Z134&gt;0,"✔","-")</f>
        <v>-</v>
      </c>
      <c r="Q132" s="198" t="str">
        <f>IF('Design Fee'!AA134&gt;0,"✔","-")</f>
        <v>-</v>
      </c>
      <c r="R132" s="198" t="str">
        <f>IF('Design Fee'!AB134&gt;0,"✔","-")</f>
        <v>-</v>
      </c>
      <c r="S132" s="198" t="str">
        <f>IF('Design Fee'!AC134&gt;0,"✔","-")</f>
        <v>-</v>
      </c>
      <c r="T132" s="220" t="str">
        <f>IF('Design Fee'!AD134&gt;0,"✔","-")</f>
        <v>-</v>
      </c>
      <c r="U132" s="221"/>
      <c r="V132" s="198" t="str">
        <f>IF('Design Fee'!AF134&gt;0,"✔","-")</f>
        <v>-</v>
      </c>
      <c r="W132" s="198" t="str">
        <f>IF('Design Fee'!AG134&gt;0,"✔","-")</f>
        <v>-</v>
      </c>
      <c r="X132" s="198" t="str">
        <f>IF('Design Fee'!AH134&gt;0,"✔","-")</f>
        <v>-</v>
      </c>
      <c r="Y132" s="198" t="str">
        <f>IF('Design Fee'!AI134&gt;0,"✔","-")</f>
        <v>-</v>
      </c>
      <c r="Z132" s="198" t="str">
        <f>IF('Design Fee'!AJ134&gt;0,"✔","-")</f>
        <v>-</v>
      </c>
      <c r="AA132" s="221"/>
      <c r="AB132" s="195"/>
      <c r="AC132" s="196"/>
      <c r="AD132" s="197" t="str">
        <f>IF('Design Fee'!BG134&gt;0,"✔","-")</f>
        <v>✔</v>
      </c>
      <c r="AE132" s="197" t="str">
        <f>IF('Design Fee'!BH134&gt;0,"✔","-")</f>
        <v>✔</v>
      </c>
      <c r="AF132" s="198" t="str">
        <f>IF('Design Fee'!BI134&gt;0,"✔","-")</f>
        <v>✔</v>
      </c>
      <c r="AG132" s="198" t="str">
        <f>IF('Design Fee'!BJ134&gt;0,"✔","-")</f>
        <v>-</v>
      </c>
      <c r="AH132" s="198" t="str">
        <f>IF('Design Fee'!BK134&gt;0,"✔","-")</f>
        <v>-</v>
      </c>
      <c r="AI132" s="198" t="str">
        <f>IF('Design Fee'!BL134&gt;0,"✔","-")</f>
        <v>-</v>
      </c>
      <c r="AJ132" s="198" t="str">
        <f>IF('Design Fee'!BM134&gt;0,"✔","-")</f>
        <v>-</v>
      </c>
      <c r="AK132" s="220" t="str">
        <f>IF('Design Fee'!BN134&gt;0,"✔","-")</f>
        <v>-</v>
      </c>
      <c r="AL132" s="199"/>
      <c r="AM132" s="198" t="str">
        <f>IF('Design Fee'!BP134&gt;0,"✔","-")</f>
        <v>-</v>
      </c>
      <c r="AN132" s="198" t="str">
        <f>IF('Design Fee'!BQ134&gt;0,"✔","-")</f>
        <v>-</v>
      </c>
      <c r="AO132" s="198" t="str">
        <f>IF('Design Fee'!BR134&gt;0,"✔","-")</f>
        <v>-</v>
      </c>
      <c r="AP132" s="198" t="str">
        <f>IF('Design Fee'!BS134&gt;0,"✔","-")</f>
        <v>-</v>
      </c>
      <c r="AQ132" s="198" t="str">
        <f>IF('Design Fee'!BT134&gt;0,"✔","-")</f>
        <v>-</v>
      </c>
      <c r="AR132" s="199"/>
      <c r="AS132" s="195"/>
      <c r="AT132" s="196"/>
      <c r="AU132" s="197" t="str">
        <f>IF('Design Fee'!CQ134&gt;0,"✔","-")</f>
        <v>-</v>
      </c>
      <c r="AV132" s="197" t="str">
        <f>IF('Design Fee'!CR134&gt;0,"✔","-")</f>
        <v>-</v>
      </c>
      <c r="AW132" s="198" t="str">
        <f>IF('Design Fee'!CS134&gt;0,"✔","-")</f>
        <v>-</v>
      </c>
      <c r="AX132" s="198" t="str">
        <f>IF('Design Fee'!CT134&gt;0,"✔","-")</f>
        <v>-</v>
      </c>
      <c r="AY132" s="198" t="str">
        <f>IF('Design Fee'!CU134&gt;0,"✔","-")</f>
        <v>-</v>
      </c>
      <c r="AZ132" s="198" t="str">
        <f>IF('Design Fee'!CV134&gt;0,"✔","-")</f>
        <v>-</v>
      </c>
      <c r="BA132" s="198" t="str">
        <f>IF('Design Fee'!CW134&gt;0,"✔","-")</f>
        <v>-</v>
      </c>
      <c r="BB132" s="220" t="str">
        <f>IF('Design Fee'!CX134&gt;0,"✔","-")</f>
        <v>-</v>
      </c>
      <c r="BC132" s="199"/>
      <c r="BD132" s="198" t="str">
        <f>IF('Design Fee'!CZ134&gt;0,"✔","-")</f>
        <v>-</v>
      </c>
      <c r="BE132" s="198" t="str">
        <f>IF('Design Fee'!DA134&gt;0,"✔","-")</f>
        <v>-</v>
      </c>
      <c r="BF132" s="198" t="str">
        <f>IF('Design Fee'!DB134&gt;0,"✔","-")</f>
        <v>-</v>
      </c>
      <c r="BG132" s="198" t="str">
        <f>IF('Design Fee'!DC134&gt;0,"✔","-")</f>
        <v>-</v>
      </c>
      <c r="BH132" s="198" t="str">
        <f>IF('Design Fee'!DD134&gt;0,"✔","-")</f>
        <v>-</v>
      </c>
      <c r="BI132" s="199"/>
      <c r="BJ132" s="195"/>
      <c r="BK132" s="196"/>
      <c r="BL132" s="197" t="str">
        <f>IF('Design Fee'!EA134&gt;0,"✔","-")</f>
        <v>-</v>
      </c>
      <c r="BM132" s="197" t="str">
        <f>IF('Design Fee'!EB134&gt;0,"✔","-")</f>
        <v>-</v>
      </c>
      <c r="BN132" s="198" t="str">
        <f>IF('Design Fee'!EC134&gt;0,"✔","-")</f>
        <v>-</v>
      </c>
      <c r="BO132" s="198" t="str">
        <f>IF('Design Fee'!ED134&gt;0,"✔","-")</f>
        <v>-</v>
      </c>
      <c r="BP132" s="198" t="str">
        <f>IF('Design Fee'!EE134&gt;0,"✔","-")</f>
        <v>-</v>
      </c>
      <c r="BQ132" s="198" t="str">
        <f>IF('Design Fee'!EF134&gt;0,"✔","-")</f>
        <v>-</v>
      </c>
      <c r="BR132" s="198" t="str">
        <f>IF('Design Fee'!EG134&gt;0,"✔","-")</f>
        <v>-</v>
      </c>
      <c r="BS132" s="220" t="str">
        <f>IF('Design Fee'!EH134&gt;0,"✔","-")</f>
        <v>-</v>
      </c>
      <c r="BT132" s="137"/>
      <c r="BU132" s="198" t="str">
        <f>IF('Design Fee'!EJ134&gt;0,"✔","-")</f>
        <v>-</v>
      </c>
      <c r="BV132" s="198" t="str">
        <f>IF('Design Fee'!EK134&gt;0,"✔","-")</f>
        <v>-</v>
      </c>
      <c r="BW132" s="198" t="str">
        <f>IF('Design Fee'!EL134&gt;0,"✔","-")</f>
        <v>-</v>
      </c>
      <c r="BX132" s="198" t="str">
        <f>IF('Design Fee'!EM134&gt;0,"✔","-")</f>
        <v>-</v>
      </c>
      <c r="BY132" s="198" t="str">
        <f>IF('Design Fee'!EN134&gt;0,"✔","-")</f>
        <v>-</v>
      </c>
      <c r="BZ132" s="137"/>
    </row>
    <row r="133" spans="2:78" ht="12.75" outlineLevel="2">
      <c r="B133" s="217" t="s">
        <v>140</v>
      </c>
      <c r="C133" s="218">
        <v>3</v>
      </c>
      <c r="D133" s="219" t="s">
        <v>56</v>
      </c>
      <c r="E133" s="137"/>
      <c r="F133" s="197">
        <f t="shared" si="468"/>
        <v>1</v>
      </c>
      <c r="G133" s="198">
        <f t="shared" si="469"/>
        <v>1</v>
      </c>
      <c r="H133" s="198">
        <f t="shared" si="469"/>
        <v>1</v>
      </c>
      <c r="I133" s="198">
        <f t="shared" si="470"/>
        <v>0</v>
      </c>
      <c r="J133" s="221"/>
      <c r="K133" s="195"/>
      <c r="L133" s="196"/>
      <c r="M133" s="197" t="str">
        <f>IF('Design Fee'!W135&gt;0,"✔","-")</f>
        <v>✔</v>
      </c>
      <c r="N133" s="197" t="str">
        <f>IF('Design Fee'!X135&gt;0,"✔","-")</f>
        <v>✔</v>
      </c>
      <c r="O133" s="198" t="str">
        <f>IF('Design Fee'!Y135&gt;0,"✔","-")</f>
        <v>✔</v>
      </c>
      <c r="P133" s="198" t="str">
        <f>IF('Design Fee'!Z135&gt;0,"✔","-")</f>
        <v>-</v>
      </c>
      <c r="Q133" s="198" t="str">
        <f>IF('Design Fee'!AA135&gt;0,"✔","-")</f>
        <v>-</v>
      </c>
      <c r="R133" s="198" t="str">
        <f>IF('Design Fee'!AB135&gt;0,"✔","-")</f>
        <v>-</v>
      </c>
      <c r="S133" s="198" t="str">
        <f>IF('Design Fee'!AC135&gt;0,"✔","-")</f>
        <v>-</v>
      </c>
      <c r="T133" s="220" t="str">
        <f>IF('Design Fee'!AD135&gt;0,"✔","-")</f>
        <v>-</v>
      </c>
      <c r="U133" s="221"/>
      <c r="V133" s="198" t="str">
        <f>IF('Design Fee'!AF135&gt;0,"✔","-")</f>
        <v>-</v>
      </c>
      <c r="W133" s="198" t="str">
        <f>IF('Design Fee'!AG135&gt;0,"✔","-")</f>
        <v>-</v>
      </c>
      <c r="X133" s="198" t="str">
        <f>IF('Design Fee'!AH135&gt;0,"✔","-")</f>
        <v>-</v>
      </c>
      <c r="Y133" s="198" t="str">
        <f>IF('Design Fee'!AI135&gt;0,"✔","-")</f>
        <v>-</v>
      </c>
      <c r="Z133" s="198" t="str">
        <f>IF('Design Fee'!AJ135&gt;0,"✔","-")</f>
        <v>-</v>
      </c>
      <c r="AA133" s="221"/>
      <c r="AB133" s="195"/>
      <c r="AC133" s="196"/>
      <c r="AD133" s="197" t="str">
        <f>IF('Design Fee'!BG135&gt;0,"✔","-")</f>
        <v>-</v>
      </c>
      <c r="AE133" s="197" t="str">
        <f>IF('Design Fee'!BH135&gt;0,"✔","-")</f>
        <v>-</v>
      </c>
      <c r="AF133" s="198" t="str">
        <f>IF('Design Fee'!BI135&gt;0,"✔","-")</f>
        <v>-</v>
      </c>
      <c r="AG133" s="198" t="str">
        <f>IF('Design Fee'!BJ135&gt;0,"✔","-")</f>
        <v>-</v>
      </c>
      <c r="AH133" s="198" t="str">
        <f>IF('Design Fee'!BK135&gt;0,"✔","-")</f>
        <v>-</v>
      </c>
      <c r="AI133" s="198" t="str">
        <f>IF('Design Fee'!BL135&gt;0,"✔","-")</f>
        <v>-</v>
      </c>
      <c r="AJ133" s="198" t="str">
        <f>IF('Design Fee'!BM135&gt;0,"✔","-")</f>
        <v>-</v>
      </c>
      <c r="AK133" s="220" t="str">
        <f>IF('Design Fee'!BN135&gt;0,"✔","-")</f>
        <v>-</v>
      </c>
      <c r="AL133" s="199"/>
      <c r="AM133" s="198" t="str">
        <f>IF('Design Fee'!BP135&gt;0,"✔","-")</f>
        <v>-</v>
      </c>
      <c r="AN133" s="198" t="str">
        <f>IF('Design Fee'!BQ135&gt;0,"✔","-")</f>
        <v>-</v>
      </c>
      <c r="AO133" s="198" t="str">
        <f>IF('Design Fee'!BR135&gt;0,"✔","-")</f>
        <v>-</v>
      </c>
      <c r="AP133" s="198" t="str">
        <f>IF('Design Fee'!BS135&gt;0,"✔","-")</f>
        <v>-</v>
      </c>
      <c r="AQ133" s="198" t="str">
        <f>IF('Design Fee'!BT135&gt;0,"✔","-")</f>
        <v>-</v>
      </c>
      <c r="AR133" s="199"/>
      <c r="AS133" s="195"/>
      <c r="AT133" s="196"/>
      <c r="AU133" s="197" t="str">
        <f>IF('Design Fee'!CQ135&gt;0,"✔","-")</f>
        <v>-</v>
      </c>
      <c r="AV133" s="197" t="str">
        <f>IF('Design Fee'!CR135&gt;0,"✔","-")</f>
        <v>-</v>
      </c>
      <c r="AW133" s="198" t="str">
        <f>IF('Design Fee'!CS135&gt;0,"✔","-")</f>
        <v>-</v>
      </c>
      <c r="AX133" s="198" t="str">
        <f>IF('Design Fee'!CT135&gt;0,"✔","-")</f>
        <v>-</v>
      </c>
      <c r="AY133" s="198" t="str">
        <f>IF('Design Fee'!CU135&gt;0,"✔","-")</f>
        <v>-</v>
      </c>
      <c r="AZ133" s="198" t="str">
        <f>IF('Design Fee'!CV135&gt;0,"✔","-")</f>
        <v>-</v>
      </c>
      <c r="BA133" s="198" t="str">
        <f>IF('Design Fee'!CW135&gt;0,"✔","-")</f>
        <v>-</v>
      </c>
      <c r="BB133" s="220" t="str">
        <f>IF('Design Fee'!CX135&gt;0,"✔","-")</f>
        <v>-</v>
      </c>
      <c r="BC133" s="199"/>
      <c r="BD133" s="198" t="str">
        <f>IF('Design Fee'!CZ135&gt;0,"✔","-")</f>
        <v>-</v>
      </c>
      <c r="BE133" s="198" t="str">
        <f>IF('Design Fee'!DA135&gt;0,"✔","-")</f>
        <v>-</v>
      </c>
      <c r="BF133" s="198" t="str">
        <f>IF('Design Fee'!DB135&gt;0,"✔","-")</f>
        <v>-</v>
      </c>
      <c r="BG133" s="198" t="str">
        <f>IF('Design Fee'!DC135&gt;0,"✔","-")</f>
        <v>-</v>
      </c>
      <c r="BH133" s="198" t="str">
        <f>IF('Design Fee'!DD135&gt;0,"✔","-")</f>
        <v>-</v>
      </c>
      <c r="BI133" s="199"/>
      <c r="BJ133" s="195"/>
      <c r="BK133" s="196"/>
      <c r="BL133" s="197" t="str">
        <f>IF('Design Fee'!EA135&gt;0,"✔","-")</f>
        <v>-</v>
      </c>
      <c r="BM133" s="197" t="str">
        <f>IF('Design Fee'!EB135&gt;0,"✔","-")</f>
        <v>-</v>
      </c>
      <c r="BN133" s="198" t="str">
        <f>IF('Design Fee'!EC135&gt;0,"✔","-")</f>
        <v>-</v>
      </c>
      <c r="BO133" s="198" t="str">
        <f>IF('Design Fee'!ED135&gt;0,"✔","-")</f>
        <v>-</v>
      </c>
      <c r="BP133" s="198" t="str">
        <f>IF('Design Fee'!EE135&gt;0,"✔","-")</f>
        <v>-</v>
      </c>
      <c r="BQ133" s="198" t="str">
        <f>IF('Design Fee'!EF135&gt;0,"✔","-")</f>
        <v>-</v>
      </c>
      <c r="BR133" s="198" t="str">
        <f>IF('Design Fee'!EG135&gt;0,"✔","-")</f>
        <v>-</v>
      </c>
      <c r="BS133" s="220" t="str">
        <f>IF('Design Fee'!EH135&gt;0,"✔","-")</f>
        <v>-</v>
      </c>
      <c r="BT133" s="137"/>
      <c r="BU133" s="198" t="str">
        <f>IF('Design Fee'!EJ135&gt;0,"✔","-")</f>
        <v>-</v>
      </c>
      <c r="BV133" s="198" t="str">
        <f>IF('Design Fee'!EK135&gt;0,"✔","-")</f>
        <v>-</v>
      </c>
      <c r="BW133" s="198" t="str">
        <f>IF('Design Fee'!EL135&gt;0,"✔","-")</f>
        <v>-</v>
      </c>
      <c r="BX133" s="198" t="str">
        <f>IF('Design Fee'!EM135&gt;0,"✔","-")</f>
        <v>-</v>
      </c>
      <c r="BY133" s="198" t="str">
        <f>IF('Design Fee'!EN135&gt;0,"✔","-")</f>
        <v>-</v>
      </c>
      <c r="BZ133" s="137"/>
    </row>
    <row r="134" spans="2:78" s="51" customFormat="1" ht="12.75" outlineLevel="2">
      <c r="B134" s="217" t="s">
        <v>141</v>
      </c>
      <c r="C134" s="223">
        <v>4</v>
      </c>
      <c r="D134" s="224" t="s">
        <v>58</v>
      </c>
      <c r="E134" s="222"/>
      <c r="F134" s="197">
        <f t="shared" si="468"/>
        <v>3</v>
      </c>
      <c r="G134" s="198">
        <f t="shared" si="469"/>
        <v>3</v>
      </c>
      <c r="H134" s="198">
        <f t="shared" si="469"/>
        <v>3</v>
      </c>
      <c r="I134" s="198">
        <f t="shared" si="470"/>
        <v>0</v>
      </c>
      <c r="J134" s="234"/>
      <c r="K134" s="225"/>
      <c r="L134" s="226"/>
      <c r="M134" s="197" t="str">
        <f>IF('Design Fee'!W136&gt;0,"✔","-")</f>
        <v>✔</v>
      </c>
      <c r="N134" s="197" t="str">
        <f>IF('Design Fee'!X136&gt;0,"✔","-")</f>
        <v>✔</v>
      </c>
      <c r="O134" s="220" t="str">
        <f>IF('Design Fee'!Y136&gt;0,"✔","-")</f>
        <v>✔</v>
      </c>
      <c r="P134" s="220" t="str">
        <f>IF('Design Fee'!Z136&gt;0,"✔","-")</f>
        <v>-</v>
      </c>
      <c r="Q134" s="220" t="str">
        <f>IF('Design Fee'!AA136&gt;0,"✔","-")</f>
        <v>-</v>
      </c>
      <c r="R134" s="220" t="str">
        <f>IF('Design Fee'!AB136&gt;0,"✔","-")</f>
        <v>-</v>
      </c>
      <c r="S134" s="220" t="str">
        <f>IF('Design Fee'!AC136&gt;0,"✔","-")</f>
        <v>-</v>
      </c>
      <c r="T134" s="220" t="str">
        <f>IF('Design Fee'!AD136&gt;0,"✔","-")</f>
        <v>-</v>
      </c>
      <c r="U134" s="234"/>
      <c r="V134" s="198" t="str">
        <f>IF('Design Fee'!AF136&gt;0,"✔","-")</f>
        <v>-</v>
      </c>
      <c r="W134" s="198" t="str">
        <f>IF('Design Fee'!AG136&gt;0,"✔","-")</f>
        <v>-</v>
      </c>
      <c r="X134" s="198" t="str">
        <f>IF('Design Fee'!AH136&gt;0,"✔","-")</f>
        <v>-</v>
      </c>
      <c r="Y134" s="198" t="str">
        <f>IF('Design Fee'!AI136&gt;0,"✔","-")</f>
        <v>-</v>
      </c>
      <c r="Z134" s="198" t="str">
        <f>IF('Design Fee'!AJ136&gt;0,"✔","-")</f>
        <v>-</v>
      </c>
      <c r="AA134" s="234"/>
      <c r="AB134" s="225"/>
      <c r="AC134" s="226"/>
      <c r="AD134" s="197" t="str">
        <f>IF('Design Fee'!BG136&gt;0,"✔","-")</f>
        <v>✔</v>
      </c>
      <c r="AE134" s="197" t="str">
        <f>IF('Design Fee'!BH136&gt;0,"✔","-")</f>
        <v>✔</v>
      </c>
      <c r="AF134" s="220" t="str">
        <f>IF('Design Fee'!BI136&gt;0,"✔","-")</f>
        <v>✔</v>
      </c>
      <c r="AG134" s="220" t="str">
        <f>IF('Design Fee'!BJ136&gt;0,"✔","-")</f>
        <v>-</v>
      </c>
      <c r="AH134" s="220" t="str">
        <f>IF('Design Fee'!BK136&gt;0,"✔","-")</f>
        <v>-</v>
      </c>
      <c r="AI134" s="220" t="str">
        <f>IF('Design Fee'!BL136&gt;0,"✔","-")</f>
        <v>-</v>
      </c>
      <c r="AJ134" s="220" t="str">
        <f>IF('Design Fee'!BM136&gt;0,"✔","-")</f>
        <v>-</v>
      </c>
      <c r="AK134" s="220" t="str">
        <f>IF('Design Fee'!BN136&gt;0,"✔","-")</f>
        <v>-</v>
      </c>
      <c r="AL134" s="230"/>
      <c r="AM134" s="198" t="str">
        <f>IF('Design Fee'!BP136&gt;0,"✔","-")</f>
        <v>-</v>
      </c>
      <c r="AN134" s="198" t="str">
        <f>IF('Design Fee'!BQ136&gt;0,"✔","-")</f>
        <v>-</v>
      </c>
      <c r="AO134" s="198" t="str">
        <f>IF('Design Fee'!BR136&gt;0,"✔","-")</f>
        <v>-</v>
      </c>
      <c r="AP134" s="198" t="str">
        <f>IF('Design Fee'!BS136&gt;0,"✔","-")</f>
        <v>-</v>
      </c>
      <c r="AQ134" s="198" t="str">
        <f>IF('Design Fee'!BT136&gt;0,"✔","-")</f>
        <v>-</v>
      </c>
      <c r="AR134" s="230"/>
      <c r="AS134" s="225"/>
      <c r="AT134" s="226"/>
      <c r="AU134" s="197" t="str">
        <f>IF('Design Fee'!CQ136&gt;0,"✔","-")</f>
        <v>✔</v>
      </c>
      <c r="AV134" s="197" t="str">
        <f>IF('Design Fee'!CR136&gt;0,"✔","-")</f>
        <v>✔</v>
      </c>
      <c r="AW134" s="220" t="str">
        <f>IF('Design Fee'!CS136&gt;0,"✔","-")</f>
        <v>✔</v>
      </c>
      <c r="AX134" s="220" t="str">
        <f>IF('Design Fee'!CT136&gt;0,"✔","-")</f>
        <v>-</v>
      </c>
      <c r="AY134" s="220" t="str">
        <f>IF('Design Fee'!CU136&gt;0,"✔","-")</f>
        <v>-</v>
      </c>
      <c r="AZ134" s="220" t="str">
        <f>IF('Design Fee'!CV136&gt;0,"✔","-")</f>
        <v>-</v>
      </c>
      <c r="BA134" s="220" t="str">
        <f>IF('Design Fee'!CW136&gt;0,"✔","-")</f>
        <v>-</v>
      </c>
      <c r="BB134" s="220" t="str">
        <f>IF('Design Fee'!CX136&gt;0,"✔","-")</f>
        <v>-</v>
      </c>
      <c r="BC134" s="230"/>
      <c r="BD134" s="198" t="str">
        <f>IF('Design Fee'!CZ136&gt;0,"✔","-")</f>
        <v>-</v>
      </c>
      <c r="BE134" s="198" t="str">
        <f>IF('Design Fee'!DA136&gt;0,"✔","-")</f>
        <v>-</v>
      </c>
      <c r="BF134" s="198" t="str">
        <f>IF('Design Fee'!DB136&gt;0,"✔","-")</f>
        <v>-</v>
      </c>
      <c r="BG134" s="198" t="str">
        <f>IF('Design Fee'!DC136&gt;0,"✔","-")</f>
        <v>-</v>
      </c>
      <c r="BH134" s="198" t="str">
        <f>IF('Design Fee'!DD136&gt;0,"✔","-")</f>
        <v>-</v>
      </c>
      <c r="BI134" s="230"/>
      <c r="BJ134" s="225"/>
      <c r="BK134" s="226"/>
      <c r="BL134" s="197" t="str">
        <f>IF('Design Fee'!EA136&gt;0,"✔","-")</f>
        <v>-</v>
      </c>
      <c r="BM134" s="197" t="str">
        <f>IF('Design Fee'!EB136&gt;0,"✔","-")</f>
        <v>-</v>
      </c>
      <c r="BN134" s="220" t="str">
        <f>IF('Design Fee'!EC136&gt;0,"✔","-")</f>
        <v>-</v>
      </c>
      <c r="BO134" s="220" t="str">
        <f>IF('Design Fee'!ED136&gt;0,"✔","-")</f>
        <v>-</v>
      </c>
      <c r="BP134" s="220" t="str">
        <f>IF('Design Fee'!EE136&gt;0,"✔","-")</f>
        <v>-</v>
      </c>
      <c r="BQ134" s="220" t="str">
        <f>IF('Design Fee'!EF136&gt;0,"✔","-")</f>
        <v>-</v>
      </c>
      <c r="BR134" s="220" t="str">
        <f>IF('Design Fee'!EG136&gt;0,"✔","-")</f>
        <v>-</v>
      </c>
      <c r="BS134" s="220" t="str">
        <f>IF('Design Fee'!EH136&gt;0,"✔","-")</f>
        <v>-</v>
      </c>
      <c r="BT134" s="222"/>
      <c r="BU134" s="198" t="str">
        <f>IF('Design Fee'!EJ136&gt;0,"✔","-")</f>
        <v>-</v>
      </c>
      <c r="BV134" s="198" t="str">
        <f>IF('Design Fee'!EK136&gt;0,"✔","-")</f>
        <v>-</v>
      </c>
      <c r="BW134" s="198" t="str">
        <f>IF('Design Fee'!EL136&gt;0,"✔","-")</f>
        <v>-</v>
      </c>
      <c r="BX134" s="198" t="str">
        <f>IF('Design Fee'!EM136&gt;0,"✔","-")</f>
        <v>-</v>
      </c>
      <c r="BY134" s="198" t="str">
        <f>IF('Design Fee'!EN136&gt;0,"✔","-")</f>
        <v>-</v>
      </c>
      <c r="BZ134" s="137"/>
    </row>
    <row r="135" spans="2:78" s="51" customFormat="1" ht="12.75" outlineLevel="2">
      <c r="B135" s="217" t="s">
        <v>142</v>
      </c>
      <c r="C135" s="223">
        <v>5</v>
      </c>
      <c r="D135" s="224" t="s">
        <v>60</v>
      </c>
      <c r="E135" s="222"/>
      <c r="F135" s="197">
        <f t="shared" si="468"/>
        <v>2</v>
      </c>
      <c r="G135" s="198">
        <f t="shared" si="469"/>
        <v>2</v>
      </c>
      <c r="H135" s="198">
        <f t="shared" si="469"/>
        <v>2</v>
      </c>
      <c r="I135" s="198">
        <f t="shared" si="470"/>
        <v>0</v>
      </c>
      <c r="J135" s="234"/>
      <c r="K135" s="225"/>
      <c r="L135" s="226"/>
      <c r="M135" s="197" t="str">
        <f>IF('Design Fee'!W137&gt;0,"✔","-")</f>
        <v>✔</v>
      </c>
      <c r="N135" s="197" t="str">
        <f>IF('Design Fee'!X137&gt;0,"✔","-")</f>
        <v>✔</v>
      </c>
      <c r="O135" s="220" t="str">
        <f>IF('Design Fee'!Y137&gt;0,"✔","-")</f>
        <v>✔</v>
      </c>
      <c r="P135" s="220" t="str">
        <f>IF('Design Fee'!Z137&gt;0,"✔","-")</f>
        <v>-</v>
      </c>
      <c r="Q135" s="220" t="str">
        <f>IF('Design Fee'!AA137&gt;0,"✔","-")</f>
        <v>-</v>
      </c>
      <c r="R135" s="220" t="str">
        <f>IF('Design Fee'!AB137&gt;0,"✔","-")</f>
        <v>-</v>
      </c>
      <c r="S135" s="220" t="str">
        <f>IF('Design Fee'!AC137&gt;0,"✔","-")</f>
        <v>-</v>
      </c>
      <c r="T135" s="220" t="str">
        <f>IF('Design Fee'!AD137&gt;0,"✔","-")</f>
        <v>-</v>
      </c>
      <c r="U135" s="234"/>
      <c r="V135" s="198" t="str">
        <f>IF('Design Fee'!AF137&gt;0,"✔","-")</f>
        <v>-</v>
      </c>
      <c r="W135" s="198" t="str">
        <f>IF('Design Fee'!AG137&gt;0,"✔","-")</f>
        <v>-</v>
      </c>
      <c r="X135" s="198" t="str">
        <f>IF('Design Fee'!AH137&gt;0,"✔","-")</f>
        <v>-</v>
      </c>
      <c r="Y135" s="198" t="str">
        <f>IF('Design Fee'!AI137&gt;0,"✔","-")</f>
        <v>-</v>
      </c>
      <c r="Z135" s="198" t="str">
        <f>IF('Design Fee'!AJ137&gt;0,"✔","-")</f>
        <v>-</v>
      </c>
      <c r="AA135" s="234"/>
      <c r="AB135" s="225"/>
      <c r="AC135" s="226"/>
      <c r="AD135" s="197" t="str">
        <f>IF('Design Fee'!BG137&gt;0,"✔","-")</f>
        <v>✔</v>
      </c>
      <c r="AE135" s="197" t="str">
        <f>IF('Design Fee'!BH137&gt;0,"✔","-")</f>
        <v>✔</v>
      </c>
      <c r="AF135" s="220" t="str">
        <f>IF('Design Fee'!BI137&gt;0,"✔","-")</f>
        <v>✔</v>
      </c>
      <c r="AG135" s="220" t="str">
        <f>IF('Design Fee'!BJ137&gt;0,"✔","-")</f>
        <v>-</v>
      </c>
      <c r="AH135" s="220" t="str">
        <f>IF('Design Fee'!BK137&gt;0,"✔","-")</f>
        <v>-</v>
      </c>
      <c r="AI135" s="220" t="str">
        <f>IF('Design Fee'!BL137&gt;0,"✔","-")</f>
        <v>-</v>
      </c>
      <c r="AJ135" s="220" t="str">
        <f>IF('Design Fee'!BM137&gt;0,"✔","-")</f>
        <v>-</v>
      </c>
      <c r="AK135" s="220" t="str">
        <f>IF('Design Fee'!BN137&gt;0,"✔","-")</f>
        <v>-</v>
      </c>
      <c r="AL135" s="230"/>
      <c r="AM135" s="198" t="str">
        <f>IF('Design Fee'!BP137&gt;0,"✔","-")</f>
        <v>-</v>
      </c>
      <c r="AN135" s="198" t="str">
        <f>IF('Design Fee'!BQ137&gt;0,"✔","-")</f>
        <v>-</v>
      </c>
      <c r="AO135" s="198" t="str">
        <f>IF('Design Fee'!BR137&gt;0,"✔","-")</f>
        <v>-</v>
      </c>
      <c r="AP135" s="198" t="str">
        <f>IF('Design Fee'!BS137&gt;0,"✔","-")</f>
        <v>-</v>
      </c>
      <c r="AQ135" s="198" t="str">
        <f>IF('Design Fee'!BT137&gt;0,"✔","-")</f>
        <v>-</v>
      </c>
      <c r="AR135" s="230"/>
      <c r="AS135" s="225"/>
      <c r="AT135" s="226"/>
      <c r="AU135" s="197" t="str">
        <f>IF('Design Fee'!CQ137&gt;0,"✔","-")</f>
        <v>-</v>
      </c>
      <c r="AV135" s="197" t="str">
        <f>IF('Design Fee'!CR137&gt;0,"✔","-")</f>
        <v>-</v>
      </c>
      <c r="AW135" s="220" t="str">
        <f>IF('Design Fee'!CS137&gt;0,"✔","-")</f>
        <v>-</v>
      </c>
      <c r="AX135" s="220" t="str">
        <f>IF('Design Fee'!CT137&gt;0,"✔","-")</f>
        <v>-</v>
      </c>
      <c r="AY135" s="220" t="str">
        <f>IF('Design Fee'!CU137&gt;0,"✔","-")</f>
        <v>-</v>
      </c>
      <c r="AZ135" s="220" t="str">
        <f>IF('Design Fee'!CV137&gt;0,"✔","-")</f>
        <v>-</v>
      </c>
      <c r="BA135" s="220" t="str">
        <f>IF('Design Fee'!CW137&gt;0,"✔","-")</f>
        <v>-</v>
      </c>
      <c r="BB135" s="220" t="str">
        <f>IF('Design Fee'!CX137&gt;0,"✔","-")</f>
        <v>-</v>
      </c>
      <c r="BC135" s="230"/>
      <c r="BD135" s="198" t="str">
        <f>IF('Design Fee'!CZ137&gt;0,"✔","-")</f>
        <v>-</v>
      </c>
      <c r="BE135" s="198" t="str">
        <f>IF('Design Fee'!DA137&gt;0,"✔","-")</f>
        <v>-</v>
      </c>
      <c r="BF135" s="198" t="str">
        <f>IF('Design Fee'!DB137&gt;0,"✔","-")</f>
        <v>-</v>
      </c>
      <c r="BG135" s="198" t="str">
        <f>IF('Design Fee'!DC137&gt;0,"✔","-")</f>
        <v>-</v>
      </c>
      <c r="BH135" s="198" t="str">
        <f>IF('Design Fee'!DD137&gt;0,"✔","-")</f>
        <v>-</v>
      </c>
      <c r="BI135" s="230"/>
      <c r="BJ135" s="225"/>
      <c r="BK135" s="226"/>
      <c r="BL135" s="197" t="str">
        <f>IF('Design Fee'!EA137&gt;0,"✔","-")</f>
        <v>-</v>
      </c>
      <c r="BM135" s="197" t="str">
        <f>IF('Design Fee'!EB137&gt;0,"✔","-")</f>
        <v>-</v>
      </c>
      <c r="BN135" s="220" t="str">
        <f>IF('Design Fee'!EC137&gt;0,"✔","-")</f>
        <v>-</v>
      </c>
      <c r="BO135" s="220" t="str">
        <f>IF('Design Fee'!ED137&gt;0,"✔","-")</f>
        <v>-</v>
      </c>
      <c r="BP135" s="220" t="str">
        <f>IF('Design Fee'!EE137&gt;0,"✔","-")</f>
        <v>-</v>
      </c>
      <c r="BQ135" s="220" t="str">
        <f>IF('Design Fee'!EF137&gt;0,"✔","-")</f>
        <v>-</v>
      </c>
      <c r="BR135" s="220" t="str">
        <f>IF('Design Fee'!EG137&gt;0,"✔","-")</f>
        <v>-</v>
      </c>
      <c r="BS135" s="220" t="str">
        <f>IF('Design Fee'!EH137&gt;0,"✔","-")</f>
        <v>-</v>
      </c>
      <c r="BT135" s="222"/>
      <c r="BU135" s="198" t="str">
        <f>IF('Design Fee'!EJ137&gt;0,"✔","-")</f>
        <v>-</v>
      </c>
      <c r="BV135" s="198" t="str">
        <f>IF('Design Fee'!EK137&gt;0,"✔","-")</f>
        <v>-</v>
      </c>
      <c r="BW135" s="198" t="str">
        <f>IF('Design Fee'!EL137&gt;0,"✔","-")</f>
        <v>-</v>
      </c>
      <c r="BX135" s="198" t="str">
        <f>IF('Design Fee'!EM137&gt;0,"✔","-")</f>
        <v>-</v>
      </c>
      <c r="BY135" s="198" t="str">
        <f>IF('Design Fee'!EN137&gt;0,"✔","-")</f>
        <v>-</v>
      </c>
      <c r="BZ135" s="137"/>
    </row>
    <row r="136" spans="2:78" s="51" customFormat="1" ht="12.75" outlineLevel="2">
      <c r="B136" s="217" t="s">
        <v>143</v>
      </c>
      <c r="C136" s="223">
        <v>6</v>
      </c>
      <c r="D136" s="224" t="s">
        <v>62</v>
      </c>
      <c r="E136" s="222"/>
      <c r="F136" s="197">
        <f t="shared" si="468"/>
        <v>2</v>
      </c>
      <c r="G136" s="198">
        <f t="shared" si="469"/>
        <v>2</v>
      </c>
      <c r="H136" s="198">
        <f t="shared" si="469"/>
        <v>2</v>
      </c>
      <c r="I136" s="198">
        <f t="shared" si="470"/>
        <v>0</v>
      </c>
      <c r="J136" s="234"/>
      <c r="K136" s="225"/>
      <c r="L136" s="226"/>
      <c r="M136" s="197" t="str">
        <f>IF('Design Fee'!W138&gt;0,"✔","-")</f>
        <v>✔</v>
      </c>
      <c r="N136" s="197" t="str">
        <f>IF('Design Fee'!X138&gt;0,"✔","-")</f>
        <v>✔</v>
      </c>
      <c r="O136" s="220" t="str">
        <f>IF('Design Fee'!Y138&gt;0,"✔","-")</f>
        <v>✔</v>
      </c>
      <c r="P136" s="220" t="str">
        <f>IF('Design Fee'!Z138&gt;0,"✔","-")</f>
        <v>-</v>
      </c>
      <c r="Q136" s="220" t="str">
        <f>IF('Design Fee'!AA138&gt;0,"✔","-")</f>
        <v>-</v>
      </c>
      <c r="R136" s="220" t="str">
        <f>IF('Design Fee'!AB138&gt;0,"✔","-")</f>
        <v>-</v>
      </c>
      <c r="S136" s="220" t="str">
        <f>IF('Design Fee'!AC138&gt;0,"✔","-")</f>
        <v>-</v>
      </c>
      <c r="T136" s="220" t="str">
        <f>IF('Design Fee'!AD138&gt;0,"✔","-")</f>
        <v>-</v>
      </c>
      <c r="U136" s="234"/>
      <c r="V136" s="198" t="str">
        <f>IF('Design Fee'!AF138&gt;0,"✔","-")</f>
        <v>-</v>
      </c>
      <c r="W136" s="198" t="str">
        <f>IF('Design Fee'!AG138&gt;0,"✔","-")</f>
        <v>-</v>
      </c>
      <c r="X136" s="198" t="str">
        <f>IF('Design Fee'!AH138&gt;0,"✔","-")</f>
        <v>-</v>
      </c>
      <c r="Y136" s="198" t="str">
        <f>IF('Design Fee'!AI138&gt;0,"✔","-")</f>
        <v>-</v>
      </c>
      <c r="Z136" s="198" t="str">
        <f>IF('Design Fee'!AJ138&gt;0,"✔","-")</f>
        <v>-</v>
      </c>
      <c r="AA136" s="234"/>
      <c r="AB136" s="225"/>
      <c r="AC136" s="226"/>
      <c r="AD136" s="197" t="str">
        <f>IF('Design Fee'!BG138&gt;0,"✔","-")</f>
        <v>✔</v>
      </c>
      <c r="AE136" s="197" t="str">
        <f>IF('Design Fee'!BH138&gt;0,"✔","-")</f>
        <v>✔</v>
      </c>
      <c r="AF136" s="220" t="str">
        <f>IF('Design Fee'!BI138&gt;0,"✔","-")</f>
        <v>✔</v>
      </c>
      <c r="AG136" s="220" t="str">
        <f>IF('Design Fee'!BJ138&gt;0,"✔","-")</f>
        <v>-</v>
      </c>
      <c r="AH136" s="220" t="str">
        <f>IF('Design Fee'!BK138&gt;0,"✔","-")</f>
        <v>-</v>
      </c>
      <c r="AI136" s="220" t="str">
        <f>IF('Design Fee'!BL138&gt;0,"✔","-")</f>
        <v>-</v>
      </c>
      <c r="AJ136" s="220" t="str">
        <f>IF('Design Fee'!BM138&gt;0,"✔","-")</f>
        <v>-</v>
      </c>
      <c r="AK136" s="220" t="str">
        <f>IF('Design Fee'!BN138&gt;0,"✔","-")</f>
        <v>-</v>
      </c>
      <c r="AL136" s="230"/>
      <c r="AM136" s="198" t="str">
        <f>IF('Design Fee'!BP138&gt;0,"✔","-")</f>
        <v>-</v>
      </c>
      <c r="AN136" s="198" t="str">
        <f>IF('Design Fee'!BQ138&gt;0,"✔","-")</f>
        <v>-</v>
      </c>
      <c r="AO136" s="198" t="str">
        <f>IF('Design Fee'!BR138&gt;0,"✔","-")</f>
        <v>-</v>
      </c>
      <c r="AP136" s="198" t="str">
        <f>IF('Design Fee'!BS138&gt;0,"✔","-")</f>
        <v>-</v>
      </c>
      <c r="AQ136" s="198" t="str">
        <f>IF('Design Fee'!BT138&gt;0,"✔","-")</f>
        <v>-</v>
      </c>
      <c r="AR136" s="230"/>
      <c r="AS136" s="225"/>
      <c r="AT136" s="226"/>
      <c r="AU136" s="197" t="str">
        <f>IF('Design Fee'!CQ138&gt;0,"✔","-")</f>
        <v>-</v>
      </c>
      <c r="AV136" s="197" t="str">
        <f>IF('Design Fee'!CR138&gt;0,"✔","-")</f>
        <v>-</v>
      </c>
      <c r="AW136" s="220" t="str">
        <f>IF('Design Fee'!CS138&gt;0,"✔","-")</f>
        <v>-</v>
      </c>
      <c r="AX136" s="220" t="str">
        <f>IF('Design Fee'!CT138&gt;0,"✔","-")</f>
        <v>-</v>
      </c>
      <c r="AY136" s="220" t="str">
        <f>IF('Design Fee'!CU138&gt;0,"✔","-")</f>
        <v>-</v>
      </c>
      <c r="AZ136" s="220" t="str">
        <f>IF('Design Fee'!CV138&gt;0,"✔","-")</f>
        <v>-</v>
      </c>
      <c r="BA136" s="220" t="str">
        <f>IF('Design Fee'!CW138&gt;0,"✔","-")</f>
        <v>-</v>
      </c>
      <c r="BB136" s="220" t="str">
        <f>IF('Design Fee'!CX138&gt;0,"✔","-")</f>
        <v>-</v>
      </c>
      <c r="BC136" s="230"/>
      <c r="BD136" s="198" t="str">
        <f>IF('Design Fee'!CZ138&gt;0,"✔","-")</f>
        <v>-</v>
      </c>
      <c r="BE136" s="198" t="str">
        <f>IF('Design Fee'!DA138&gt;0,"✔","-")</f>
        <v>-</v>
      </c>
      <c r="BF136" s="198" t="str">
        <f>IF('Design Fee'!DB138&gt;0,"✔","-")</f>
        <v>-</v>
      </c>
      <c r="BG136" s="198" t="str">
        <f>IF('Design Fee'!DC138&gt;0,"✔","-")</f>
        <v>-</v>
      </c>
      <c r="BH136" s="198" t="str">
        <f>IF('Design Fee'!DD138&gt;0,"✔","-")</f>
        <v>-</v>
      </c>
      <c r="BI136" s="230"/>
      <c r="BJ136" s="225"/>
      <c r="BK136" s="226"/>
      <c r="BL136" s="197" t="str">
        <f>IF('Design Fee'!EA138&gt;0,"✔","-")</f>
        <v>-</v>
      </c>
      <c r="BM136" s="197" t="str">
        <f>IF('Design Fee'!EB138&gt;0,"✔","-")</f>
        <v>-</v>
      </c>
      <c r="BN136" s="220" t="str">
        <f>IF('Design Fee'!EC138&gt;0,"✔","-")</f>
        <v>-</v>
      </c>
      <c r="BO136" s="220" t="str">
        <f>IF('Design Fee'!ED138&gt;0,"✔","-")</f>
        <v>-</v>
      </c>
      <c r="BP136" s="220" t="str">
        <f>IF('Design Fee'!EE138&gt;0,"✔","-")</f>
        <v>-</v>
      </c>
      <c r="BQ136" s="220" t="str">
        <f>IF('Design Fee'!EF138&gt;0,"✔","-")</f>
        <v>-</v>
      </c>
      <c r="BR136" s="220" t="str">
        <f>IF('Design Fee'!EG138&gt;0,"✔","-")</f>
        <v>-</v>
      </c>
      <c r="BS136" s="220" t="str">
        <f>IF('Design Fee'!EH138&gt;0,"✔","-")</f>
        <v>-</v>
      </c>
      <c r="BT136" s="222"/>
      <c r="BU136" s="198" t="str">
        <f>IF('Design Fee'!EJ138&gt;0,"✔","-")</f>
        <v>-</v>
      </c>
      <c r="BV136" s="198" t="str">
        <f>IF('Design Fee'!EK138&gt;0,"✔","-")</f>
        <v>-</v>
      </c>
      <c r="BW136" s="198" t="str">
        <f>IF('Design Fee'!EL138&gt;0,"✔","-")</f>
        <v>-</v>
      </c>
      <c r="BX136" s="198" t="str">
        <f>IF('Design Fee'!EM138&gt;0,"✔","-")</f>
        <v>-</v>
      </c>
      <c r="BY136" s="198" t="str">
        <f>IF('Design Fee'!EN138&gt;0,"✔","-")</f>
        <v>-</v>
      </c>
      <c r="BZ136" s="137"/>
    </row>
    <row r="137" spans="2:78" s="51" customFormat="1" ht="12.75" outlineLevel="2">
      <c r="B137" s="217" t="s">
        <v>144</v>
      </c>
      <c r="C137" s="223">
        <v>7</v>
      </c>
      <c r="D137" s="224" t="s">
        <v>64</v>
      </c>
      <c r="E137" s="222"/>
      <c r="F137" s="197">
        <f t="shared" si="468"/>
        <v>2</v>
      </c>
      <c r="G137" s="198">
        <f t="shared" si="469"/>
        <v>2</v>
      </c>
      <c r="H137" s="198">
        <f t="shared" si="469"/>
        <v>2</v>
      </c>
      <c r="I137" s="198">
        <f t="shared" si="470"/>
        <v>0</v>
      </c>
      <c r="J137" s="234"/>
      <c r="K137" s="225"/>
      <c r="L137" s="226"/>
      <c r="M137" s="197" t="str">
        <f>IF('Design Fee'!W139&gt;0,"✔","-")</f>
        <v>✔</v>
      </c>
      <c r="N137" s="197" t="str">
        <f>IF('Design Fee'!X139&gt;0,"✔","-")</f>
        <v>✔</v>
      </c>
      <c r="O137" s="220" t="str">
        <f>IF('Design Fee'!Y139&gt;0,"✔","-")</f>
        <v>✔</v>
      </c>
      <c r="P137" s="220" t="str">
        <f>IF('Design Fee'!Z139&gt;0,"✔","-")</f>
        <v>-</v>
      </c>
      <c r="Q137" s="220" t="str">
        <f>IF('Design Fee'!AA139&gt;0,"✔","-")</f>
        <v>-</v>
      </c>
      <c r="R137" s="220" t="str">
        <f>IF('Design Fee'!AB139&gt;0,"✔","-")</f>
        <v>-</v>
      </c>
      <c r="S137" s="220" t="str">
        <f>IF('Design Fee'!AC139&gt;0,"✔","-")</f>
        <v>-</v>
      </c>
      <c r="T137" s="220" t="str">
        <f>IF('Design Fee'!AD139&gt;0,"✔","-")</f>
        <v>-</v>
      </c>
      <c r="U137" s="234"/>
      <c r="V137" s="198" t="str">
        <f>IF('Design Fee'!AF139&gt;0,"✔","-")</f>
        <v>-</v>
      </c>
      <c r="W137" s="198" t="str">
        <f>IF('Design Fee'!AG139&gt;0,"✔","-")</f>
        <v>-</v>
      </c>
      <c r="X137" s="198" t="str">
        <f>IF('Design Fee'!AH139&gt;0,"✔","-")</f>
        <v>-</v>
      </c>
      <c r="Y137" s="198" t="str">
        <f>IF('Design Fee'!AI139&gt;0,"✔","-")</f>
        <v>-</v>
      </c>
      <c r="Z137" s="198" t="str">
        <f>IF('Design Fee'!AJ139&gt;0,"✔","-")</f>
        <v>-</v>
      </c>
      <c r="AA137" s="234"/>
      <c r="AB137" s="225"/>
      <c r="AC137" s="226"/>
      <c r="AD137" s="197" t="str">
        <f>IF('Design Fee'!BG139&gt;0,"✔","-")</f>
        <v>-</v>
      </c>
      <c r="AE137" s="197" t="str">
        <f>IF('Design Fee'!BH139&gt;0,"✔","-")</f>
        <v>-</v>
      </c>
      <c r="AF137" s="220" t="str">
        <f>IF('Design Fee'!BI139&gt;0,"✔","-")</f>
        <v>-</v>
      </c>
      <c r="AG137" s="220" t="str">
        <f>IF('Design Fee'!BJ139&gt;0,"✔","-")</f>
        <v>-</v>
      </c>
      <c r="AH137" s="220" t="str">
        <f>IF('Design Fee'!BK139&gt;0,"✔","-")</f>
        <v>-</v>
      </c>
      <c r="AI137" s="220" t="str">
        <f>IF('Design Fee'!BL139&gt;0,"✔","-")</f>
        <v>-</v>
      </c>
      <c r="AJ137" s="220" t="str">
        <f>IF('Design Fee'!BM139&gt;0,"✔","-")</f>
        <v>-</v>
      </c>
      <c r="AK137" s="220" t="str">
        <f>IF('Design Fee'!BN139&gt;0,"✔","-")</f>
        <v>-</v>
      </c>
      <c r="AL137" s="230"/>
      <c r="AM137" s="198" t="str">
        <f>IF('Design Fee'!BP139&gt;0,"✔","-")</f>
        <v>-</v>
      </c>
      <c r="AN137" s="198" t="str">
        <f>IF('Design Fee'!BQ139&gt;0,"✔","-")</f>
        <v>-</v>
      </c>
      <c r="AO137" s="198" t="str">
        <f>IF('Design Fee'!BR139&gt;0,"✔","-")</f>
        <v>-</v>
      </c>
      <c r="AP137" s="198" t="str">
        <f>IF('Design Fee'!BS139&gt;0,"✔","-")</f>
        <v>-</v>
      </c>
      <c r="AQ137" s="198" t="str">
        <f>IF('Design Fee'!BT139&gt;0,"✔","-")</f>
        <v>-</v>
      </c>
      <c r="AR137" s="230"/>
      <c r="AS137" s="225"/>
      <c r="AT137" s="226"/>
      <c r="AU137" s="197" t="str">
        <f>IF('Design Fee'!CQ139&gt;0,"✔","-")</f>
        <v>✔</v>
      </c>
      <c r="AV137" s="197" t="str">
        <f>IF('Design Fee'!CR139&gt;0,"✔","-")</f>
        <v>✔</v>
      </c>
      <c r="AW137" s="220" t="str">
        <f>IF('Design Fee'!CS139&gt;0,"✔","-")</f>
        <v>✔</v>
      </c>
      <c r="AX137" s="220" t="str">
        <f>IF('Design Fee'!CT139&gt;0,"✔","-")</f>
        <v>-</v>
      </c>
      <c r="AY137" s="220" t="str">
        <f>IF('Design Fee'!CU139&gt;0,"✔","-")</f>
        <v>-</v>
      </c>
      <c r="AZ137" s="220" t="str">
        <f>IF('Design Fee'!CV139&gt;0,"✔","-")</f>
        <v>-</v>
      </c>
      <c r="BA137" s="220" t="str">
        <f>IF('Design Fee'!CW139&gt;0,"✔","-")</f>
        <v>-</v>
      </c>
      <c r="BB137" s="220" t="str">
        <f>IF('Design Fee'!CX139&gt;0,"✔","-")</f>
        <v>-</v>
      </c>
      <c r="BC137" s="230"/>
      <c r="BD137" s="198" t="str">
        <f>IF('Design Fee'!CZ139&gt;0,"✔","-")</f>
        <v>-</v>
      </c>
      <c r="BE137" s="198" t="str">
        <f>IF('Design Fee'!DA139&gt;0,"✔","-")</f>
        <v>-</v>
      </c>
      <c r="BF137" s="198" t="str">
        <f>IF('Design Fee'!DB139&gt;0,"✔","-")</f>
        <v>-</v>
      </c>
      <c r="BG137" s="198" t="str">
        <f>IF('Design Fee'!DC139&gt;0,"✔","-")</f>
        <v>-</v>
      </c>
      <c r="BH137" s="198" t="str">
        <f>IF('Design Fee'!DD139&gt;0,"✔","-")</f>
        <v>-</v>
      </c>
      <c r="BI137" s="230"/>
      <c r="BJ137" s="225"/>
      <c r="BK137" s="226"/>
      <c r="BL137" s="197" t="str">
        <f>IF('Design Fee'!EA139&gt;0,"✔","-")</f>
        <v>-</v>
      </c>
      <c r="BM137" s="197" t="str">
        <f>IF('Design Fee'!EB139&gt;0,"✔","-")</f>
        <v>-</v>
      </c>
      <c r="BN137" s="220" t="str">
        <f>IF('Design Fee'!EC139&gt;0,"✔","-")</f>
        <v>-</v>
      </c>
      <c r="BO137" s="220" t="str">
        <f>IF('Design Fee'!ED139&gt;0,"✔","-")</f>
        <v>-</v>
      </c>
      <c r="BP137" s="220" t="str">
        <f>IF('Design Fee'!EE139&gt;0,"✔","-")</f>
        <v>-</v>
      </c>
      <c r="BQ137" s="220" t="str">
        <f>IF('Design Fee'!EF139&gt;0,"✔","-")</f>
        <v>-</v>
      </c>
      <c r="BR137" s="220" t="str">
        <f>IF('Design Fee'!EG139&gt;0,"✔","-")</f>
        <v>-</v>
      </c>
      <c r="BS137" s="220" t="str">
        <f>IF('Design Fee'!EH139&gt;0,"✔","-")</f>
        <v>-</v>
      </c>
      <c r="BT137" s="222"/>
      <c r="BU137" s="198" t="str">
        <f>IF('Design Fee'!EJ139&gt;0,"✔","-")</f>
        <v>-</v>
      </c>
      <c r="BV137" s="198" t="str">
        <f>IF('Design Fee'!EK139&gt;0,"✔","-")</f>
        <v>-</v>
      </c>
      <c r="BW137" s="198" t="str">
        <f>IF('Design Fee'!EL139&gt;0,"✔","-")</f>
        <v>-</v>
      </c>
      <c r="BX137" s="198" t="str">
        <f>IF('Design Fee'!EM139&gt;0,"✔","-")</f>
        <v>-</v>
      </c>
      <c r="BY137" s="198" t="str">
        <f>IF('Design Fee'!EN139&gt;0,"✔","-")</f>
        <v>-</v>
      </c>
      <c r="BZ137" s="137"/>
    </row>
    <row r="138" spans="2:78" ht="12.75" outlineLevel="2">
      <c r="B138" s="217" t="s">
        <v>145</v>
      </c>
      <c r="C138" s="218">
        <v>8</v>
      </c>
      <c r="D138" s="219" t="s">
        <v>67</v>
      </c>
      <c r="E138" s="137"/>
      <c r="F138" s="197">
        <f t="shared" si="468"/>
        <v>3</v>
      </c>
      <c r="G138" s="198">
        <f t="shared" si="469"/>
        <v>3</v>
      </c>
      <c r="H138" s="198">
        <f t="shared" si="469"/>
        <v>3</v>
      </c>
      <c r="I138" s="198">
        <f t="shared" si="470"/>
        <v>0</v>
      </c>
      <c r="J138" s="221"/>
      <c r="K138" s="195"/>
      <c r="L138" s="196"/>
      <c r="M138" s="197" t="str">
        <f>IF('Design Fee'!W140&gt;0,"✔","-")</f>
        <v>✔</v>
      </c>
      <c r="N138" s="197" t="str">
        <f>IF('Design Fee'!X140&gt;0,"✔","-")</f>
        <v>✔</v>
      </c>
      <c r="O138" s="198" t="str">
        <f>IF('Design Fee'!Y140&gt;0,"✔","-")</f>
        <v>✔</v>
      </c>
      <c r="P138" s="198" t="str">
        <f>IF('Design Fee'!Z140&gt;0,"✔","-")</f>
        <v>-</v>
      </c>
      <c r="Q138" s="198" t="str">
        <f>IF('Design Fee'!AA140&gt;0,"✔","-")</f>
        <v>-</v>
      </c>
      <c r="R138" s="198" t="str">
        <f>IF('Design Fee'!AB140&gt;0,"✔","-")</f>
        <v>-</v>
      </c>
      <c r="S138" s="198" t="str">
        <f>IF('Design Fee'!AC140&gt;0,"✔","-")</f>
        <v>-</v>
      </c>
      <c r="T138" s="220" t="str">
        <f>IF('Design Fee'!AD140&gt;0,"✔","-")</f>
        <v>-</v>
      </c>
      <c r="U138" s="221"/>
      <c r="V138" s="198" t="str">
        <f>IF('Design Fee'!AF140&gt;0,"✔","-")</f>
        <v>-</v>
      </c>
      <c r="W138" s="198" t="str">
        <f>IF('Design Fee'!AG140&gt;0,"✔","-")</f>
        <v>-</v>
      </c>
      <c r="X138" s="198" t="str">
        <f>IF('Design Fee'!AH140&gt;0,"✔","-")</f>
        <v>-</v>
      </c>
      <c r="Y138" s="198" t="str">
        <f>IF('Design Fee'!AI140&gt;0,"✔","-")</f>
        <v>-</v>
      </c>
      <c r="Z138" s="198" t="str">
        <f>IF('Design Fee'!AJ140&gt;0,"✔","-")</f>
        <v>-</v>
      </c>
      <c r="AA138" s="221"/>
      <c r="AB138" s="195"/>
      <c r="AC138" s="196"/>
      <c r="AD138" s="197" t="str">
        <f>IF('Design Fee'!BG140&gt;0,"✔","-")</f>
        <v>✔</v>
      </c>
      <c r="AE138" s="197" t="str">
        <f>IF('Design Fee'!BH140&gt;0,"✔","-")</f>
        <v>✔</v>
      </c>
      <c r="AF138" s="198" t="str">
        <f>IF('Design Fee'!BI140&gt;0,"✔","-")</f>
        <v>✔</v>
      </c>
      <c r="AG138" s="198" t="str">
        <f>IF('Design Fee'!BJ140&gt;0,"✔","-")</f>
        <v>-</v>
      </c>
      <c r="AH138" s="198" t="str">
        <f>IF('Design Fee'!BK140&gt;0,"✔","-")</f>
        <v>-</v>
      </c>
      <c r="AI138" s="198" t="str">
        <f>IF('Design Fee'!BL140&gt;0,"✔","-")</f>
        <v>-</v>
      </c>
      <c r="AJ138" s="198" t="str">
        <f>IF('Design Fee'!BM140&gt;0,"✔","-")</f>
        <v>-</v>
      </c>
      <c r="AK138" s="220" t="str">
        <f>IF('Design Fee'!BN140&gt;0,"✔","-")</f>
        <v>-</v>
      </c>
      <c r="AL138" s="199"/>
      <c r="AM138" s="198" t="str">
        <f>IF('Design Fee'!BP140&gt;0,"✔","-")</f>
        <v>-</v>
      </c>
      <c r="AN138" s="198" t="str">
        <f>IF('Design Fee'!BQ140&gt;0,"✔","-")</f>
        <v>-</v>
      </c>
      <c r="AO138" s="198" t="str">
        <f>IF('Design Fee'!BR140&gt;0,"✔","-")</f>
        <v>-</v>
      </c>
      <c r="AP138" s="198" t="str">
        <f>IF('Design Fee'!BS140&gt;0,"✔","-")</f>
        <v>-</v>
      </c>
      <c r="AQ138" s="198" t="str">
        <f>IF('Design Fee'!BT140&gt;0,"✔","-")</f>
        <v>-</v>
      </c>
      <c r="AR138" s="199"/>
      <c r="AS138" s="195"/>
      <c r="AT138" s="196"/>
      <c r="AU138" s="197" t="str">
        <f>IF('Design Fee'!CQ140&gt;0,"✔","-")</f>
        <v>✔</v>
      </c>
      <c r="AV138" s="197" t="str">
        <f>IF('Design Fee'!CR140&gt;0,"✔","-")</f>
        <v>✔</v>
      </c>
      <c r="AW138" s="198" t="str">
        <f>IF('Design Fee'!CS140&gt;0,"✔","-")</f>
        <v>✔</v>
      </c>
      <c r="AX138" s="198" t="str">
        <f>IF('Design Fee'!CT140&gt;0,"✔","-")</f>
        <v>-</v>
      </c>
      <c r="AY138" s="198" t="str">
        <f>IF('Design Fee'!CU140&gt;0,"✔","-")</f>
        <v>-</v>
      </c>
      <c r="AZ138" s="198" t="str">
        <f>IF('Design Fee'!CV140&gt;0,"✔","-")</f>
        <v>-</v>
      </c>
      <c r="BA138" s="198" t="str">
        <f>IF('Design Fee'!CW140&gt;0,"✔","-")</f>
        <v>-</v>
      </c>
      <c r="BB138" s="220" t="str">
        <f>IF('Design Fee'!CX140&gt;0,"✔","-")</f>
        <v>-</v>
      </c>
      <c r="BC138" s="199"/>
      <c r="BD138" s="198" t="str">
        <f>IF('Design Fee'!CZ140&gt;0,"✔","-")</f>
        <v>-</v>
      </c>
      <c r="BE138" s="198" t="str">
        <f>IF('Design Fee'!DA140&gt;0,"✔","-")</f>
        <v>-</v>
      </c>
      <c r="BF138" s="198" t="str">
        <f>IF('Design Fee'!DB140&gt;0,"✔","-")</f>
        <v>-</v>
      </c>
      <c r="BG138" s="198" t="str">
        <f>IF('Design Fee'!DC140&gt;0,"✔","-")</f>
        <v>-</v>
      </c>
      <c r="BH138" s="198" t="str">
        <f>IF('Design Fee'!DD140&gt;0,"✔","-")</f>
        <v>-</v>
      </c>
      <c r="BI138" s="199"/>
      <c r="BJ138" s="195"/>
      <c r="BK138" s="196"/>
      <c r="BL138" s="197" t="str">
        <f>IF('Design Fee'!EA140&gt;0,"✔","-")</f>
        <v>-</v>
      </c>
      <c r="BM138" s="197" t="str">
        <f>IF('Design Fee'!EB140&gt;0,"✔","-")</f>
        <v>-</v>
      </c>
      <c r="BN138" s="198" t="str">
        <f>IF('Design Fee'!EC140&gt;0,"✔","-")</f>
        <v>-</v>
      </c>
      <c r="BO138" s="198" t="str">
        <f>IF('Design Fee'!ED140&gt;0,"✔","-")</f>
        <v>-</v>
      </c>
      <c r="BP138" s="198" t="str">
        <f>IF('Design Fee'!EE140&gt;0,"✔","-")</f>
        <v>-</v>
      </c>
      <c r="BQ138" s="198" t="str">
        <f>IF('Design Fee'!EF140&gt;0,"✔","-")</f>
        <v>-</v>
      </c>
      <c r="BR138" s="198" t="str">
        <f>IF('Design Fee'!EG140&gt;0,"✔","-")</f>
        <v>-</v>
      </c>
      <c r="BS138" s="220" t="str">
        <f>IF('Design Fee'!EH140&gt;0,"✔","-")</f>
        <v>-</v>
      </c>
      <c r="BT138" s="137"/>
      <c r="BU138" s="198" t="str">
        <f>IF('Design Fee'!EJ140&gt;0,"✔","-")</f>
        <v>-</v>
      </c>
      <c r="BV138" s="198" t="str">
        <f>IF('Design Fee'!EK140&gt;0,"✔","-")</f>
        <v>-</v>
      </c>
      <c r="BW138" s="198" t="str">
        <f>IF('Design Fee'!EL140&gt;0,"✔","-")</f>
        <v>-</v>
      </c>
      <c r="BX138" s="198" t="str">
        <f>IF('Design Fee'!EM140&gt;0,"✔","-")</f>
        <v>-</v>
      </c>
      <c r="BY138" s="198" t="str">
        <f>IF('Design Fee'!EN140&gt;0,"✔","-")</f>
        <v>-</v>
      </c>
      <c r="BZ138" s="137"/>
    </row>
    <row r="139" spans="2:78" ht="12.75" outlineLevel="2">
      <c r="B139" s="217" t="s">
        <v>146</v>
      </c>
      <c r="C139" s="218">
        <v>9</v>
      </c>
      <c r="D139" s="219" t="s">
        <v>69</v>
      </c>
      <c r="E139" s="137"/>
      <c r="F139" s="197">
        <f t="shared" si="468"/>
        <v>3</v>
      </c>
      <c r="G139" s="198">
        <f t="shared" si="469"/>
        <v>3</v>
      </c>
      <c r="H139" s="198">
        <f t="shared" si="469"/>
        <v>3</v>
      </c>
      <c r="I139" s="198">
        <f t="shared" si="470"/>
        <v>0</v>
      </c>
      <c r="J139" s="221"/>
      <c r="K139" s="195"/>
      <c r="L139" s="196"/>
      <c r="M139" s="197" t="str">
        <f>IF('Design Fee'!W141&gt;0,"✔","-")</f>
        <v>✔</v>
      </c>
      <c r="N139" s="197" t="str">
        <f>IF('Design Fee'!X141&gt;0,"✔","-")</f>
        <v>✔</v>
      </c>
      <c r="O139" s="198" t="str">
        <f>IF('Design Fee'!Y141&gt;0,"✔","-")</f>
        <v>✔</v>
      </c>
      <c r="P139" s="198" t="str">
        <f>IF('Design Fee'!Z141&gt;0,"✔","-")</f>
        <v>-</v>
      </c>
      <c r="Q139" s="198" t="str">
        <f>IF('Design Fee'!AA141&gt;0,"✔","-")</f>
        <v>-</v>
      </c>
      <c r="R139" s="198" t="str">
        <f>IF('Design Fee'!AB141&gt;0,"✔","-")</f>
        <v>-</v>
      </c>
      <c r="S139" s="198" t="str">
        <f>IF('Design Fee'!AC141&gt;0,"✔","-")</f>
        <v>-</v>
      </c>
      <c r="T139" s="220" t="str">
        <f>IF('Design Fee'!AD141&gt;0,"✔","-")</f>
        <v>-</v>
      </c>
      <c r="U139" s="221"/>
      <c r="V139" s="198" t="str">
        <f>IF('Design Fee'!AF141&gt;0,"✔","-")</f>
        <v>-</v>
      </c>
      <c r="W139" s="198" t="str">
        <f>IF('Design Fee'!AG141&gt;0,"✔","-")</f>
        <v>-</v>
      </c>
      <c r="X139" s="198" t="str">
        <f>IF('Design Fee'!AH141&gt;0,"✔","-")</f>
        <v>-</v>
      </c>
      <c r="Y139" s="198" t="str">
        <f>IF('Design Fee'!AI141&gt;0,"✔","-")</f>
        <v>-</v>
      </c>
      <c r="Z139" s="198" t="str">
        <f>IF('Design Fee'!AJ141&gt;0,"✔","-")</f>
        <v>-</v>
      </c>
      <c r="AA139" s="221"/>
      <c r="AB139" s="195"/>
      <c r="AC139" s="196"/>
      <c r="AD139" s="197" t="str">
        <f>IF('Design Fee'!BG141&gt;0,"✔","-")</f>
        <v>✔</v>
      </c>
      <c r="AE139" s="197" t="str">
        <f>IF('Design Fee'!BH141&gt;0,"✔","-")</f>
        <v>✔</v>
      </c>
      <c r="AF139" s="198" t="str">
        <f>IF('Design Fee'!BI141&gt;0,"✔","-")</f>
        <v>✔</v>
      </c>
      <c r="AG139" s="198" t="str">
        <f>IF('Design Fee'!BJ141&gt;0,"✔","-")</f>
        <v>-</v>
      </c>
      <c r="AH139" s="198" t="str">
        <f>IF('Design Fee'!BK141&gt;0,"✔","-")</f>
        <v>-</v>
      </c>
      <c r="AI139" s="198" t="str">
        <f>IF('Design Fee'!BL141&gt;0,"✔","-")</f>
        <v>-</v>
      </c>
      <c r="AJ139" s="198" t="str">
        <f>IF('Design Fee'!BM141&gt;0,"✔","-")</f>
        <v>-</v>
      </c>
      <c r="AK139" s="220" t="str">
        <f>IF('Design Fee'!BN141&gt;0,"✔","-")</f>
        <v>-</v>
      </c>
      <c r="AL139" s="199"/>
      <c r="AM139" s="198" t="str">
        <f>IF('Design Fee'!BP141&gt;0,"✔","-")</f>
        <v>-</v>
      </c>
      <c r="AN139" s="198" t="str">
        <f>IF('Design Fee'!BQ141&gt;0,"✔","-")</f>
        <v>-</v>
      </c>
      <c r="AO139" s="198" t="str">
        <f>IF('Design Fee'!BR141&gt;0,"✔","-")</f>
        <v>-</v>
      </c>
      <c r="AP139" s="198" t="str">
        <f>IF('Design Fee'!BS141&gt;0,"✔","-")</f>
        <v>-</v>
      </c>
      <c r="AQ139" s="198" t="str">
        <f>IF('Design Fee'!BT141&gt;0,"✔","-")</f>
        <v>-</v>
      </c>
      <c r="AR139" s="199"/>
      <c r="AS139" s="195"/>
      <c r="AT139" s="196"/>
      <c r="AU139" s="197" t="str">
        <f>IF('Design Fee'!CQ141&gt;0,"✔","-")</f>
        <v>✔</v>
      </c>
      <c r="AV139" s="197" t="str">
        <f>IF('Design Fee'!CR141&gt;0,"✔","-")</f>
        <v>✔</v>
      </c>
      <c r="AW139" s="198" t="str">
        <f>IF('Design Fee'!CS141&gt;0,"✔","-")</f>
        <v>✔</v>
      </c>
      <c r="AX139" s="198" t="str">
        <f>IF('Design Fee'!CT141&gt;0,"✔","-")</f>
        <v>-</v>
      </c>
      <c r="AY139" s="198" t="str">
        <f>IF('Design Fee'!CU141&gt;0,"✔","-")</f>
        <v>-</v>
      </c>
      <c r="AZ139" s="198" t="str">
        <f>IF('Design Fee'!CV141&gt;0,"✔","-")</f>
        <v>-</v>
      </c>
      <c r="BA139" s="198" t="str">
        <f>IF('Design Fee'!CW141&gt;0,"✔","-")</f>
        <v>-</v>
      </c>
      <c r="BB139" s="220" t="str">
        <f>IF('Design Fee'!CX141&gt;0,"✔","-")</f>
        <v>-</v>
      </c>
      <c r="BC139" s="199"/>
      <c r="BD139" s="198" t="str">
        <f>IF('Design Fee'!CZ141&gt;0,"✔","-")</f>
        <v>-</v>
      </c>
      <c r="BE139" s="198" t="str">
        <f>IF('Design Fee'!DA141&gt;0,"✔","-")</f>
        <v>-</v>
      </c>
      <c r="BF139" s="198" t="str">
        <f>IF('Design Fee'!DB141&gt;0,"✔","-")</f>
        <v>-</v>
      </c>
      <c r="BG139" s="198" t="str">
        <f>IF('Design Fee'!DC141&gt;0,"✔","-")</f>
        <v>-</v>
      </c>
      <c r="BH139" s="198" t="str">
        <f>IF('Design Fee'!DD141&gt;0,"✔","-")</f>
        <v>-</v>
      </c>
      <c r="BI139" s="199"/>
      <c r="BJ139" s="195"/>
      <c r="BK139" s="196"/>
      <c r="BL139" s="197" t="str">
        <f>IF('Design Fee'!EA141&gt;0,"✔","-")</f>
        <v>-</v>
      </c>
      <c r="BM139" s="197" t="str">
        <f>IF('Design Fee'!EB141&gt;0,"✔","-")</f>
        <v>-</v>
      </c>
      <c r="BN139" s="198" t="str">
        <f>IF('Design Fee'!EC141&gt;0,"✔","-")</f>
        <v>-</v>
      </c>
      <c r="BO139" s="198" t="str">
        <f>IF('Design Fee'!ED141&gt;0,"✔","-")</f>
        <v>-</v>
      </c>
      <c r="BP139" s="198" t="str">
        <f>IF('Design Fee'!EE141&gt;0,"✔","-")</f>
        <v>-</v>
      </c>
      <c r="BQ139" s="198" t="str">
        <f>IF('Design Fee'!EF141&gt;0,"✔","-")</f>
        <v>-</v>
      </c>
      <c r="BR139" s="198" t="str">
        <f>IF('Design Fee'!EG141&gt;0,"✔","-")</f>
        <v>-</v>
      </c>
      <c r="BS139" s="220" t="str">
        <f>IF('Design Fee'!EH141&gt;0,"✔","-")</f>
        <v>-</v>
      </c>
      <c r="BT139" s="137"/>
      <c r="BU139" s="198" t="str">
        <f>IF('Design Fee'!EJ141&gt;0,"✔","-")</f>
        <v>-</v>
      </c>
      <c r="BV139" s="198" t="str">
        <f>IF('Design Fee'!EK141&gt;0,"✔","-")</f>
        <v>-</v>
      </c>
      <c r="BW139" s="198" t="str">
        <f>IF('Design Fee'!EL141&gt;0,"✔","-")</f>
        <v>-</v>
      </c>
      <c r="BX139" s="198" t="str">
        <f>IF('Design Fee'!EM141&gt;0,"✔","-")</f>
        <v>-</v>
      </c>
      <c r="BY139" s="198" t="str">
        <f>IF('Design Fee'!EN141&gt;0,"✔","-")</f>
        <v>-</v>
      </c>
      <c r="BZ139" s="137"/>
    </row>
    <row r="140" spans="2:78" ht="12.75" outlineLevel="2">
      <c r="B140" s="217" t="s">
        <v>147</v>
      </c>
      <c r="C140" s="218">
        <v>10</v>
      </c>
      <c r="D140" s="219" t="s">
        <v>71</v>
      </c>
      <c r="E140" s="137"/>
      <c r="F140" s="197">
        <f t="shared" si="468"/>
        <v>1</v>
      </c>
      <c r="G140" s="198">
        <f t="shared" si="469"/>
        <v>1</v>
      </c>
      <c r="H140" s="198">
        <f t="shared" si="469"/>
        <v>1</v>
      </c>
      <c r="I140" s="198">
        <f t="shared" si="470"/>
        <v>0</v>
      </c>
      <c r="J140" s="221"/>
      <c r="K140" s="195"/>
      <c r="L140" s="196"/>
      <c r="M140" s="197" t="str">
        <f>IF('Design Fee'!W142&gt;0,"✔","-")</f>
        <v>✔</v>
      </c>
      <c r="N140" s="197" t="str">
        <f>IF('Design Fee'!X142&gt;0,"✔","-")</f>
        <v>✔</v>
      </c>
      <c r="O140" s="198" t="str">
        <f>IF('Design Fee'!Y142&gt;0,"✔","-")</f>
        <v>✔</v>
      </c>
      <c r="P140" s="198" t="str">
        <f>IF('Design Fee'!Z142&gt;0,"✔","-")</f>
        <v>-</v>
      </c>
      <c r="Q140" s="198" t="str">
        <f>IF('Design Fee'!AA142&gt;0,"✔","-")</f>
        <v>-</v>
      </c>
      <c r="R140" s="198" t="str">
        <f>IF('Design Fee'!AB142&gt;0,"✔","-")</f>
        <v>-</v>
      </c>
      <c r="S140" s="198" t="str">
        <f>IF('Design Fee'!AC142&gt;0,"✔","-")</f>
        <v>-</v>
      </c>
      <c r="T140" s="220" t="str">
        <f>IF('Design Fee'!AD142&gt;0,"✔","-")</f>
        <v>-</v>
      </c>
      <c r="U140" s="221"/>
      <c r="V140" s="198" t="str">
        <f>IF('Design Fee'!AF142&gt;0,"✔","-")</f>
        <v>-</v>
      </c>
      <c r="W140" s="198" t="str">
        <f>IF('Design Fee'!AG142&gt;0,"✔","-")</f>
        <v>-</v>
      </c>
      <c r="X140" s="198" t="str">
        <f>IF('Design Fee'!AH142&gt;0,"✔","-")</f>
        <v>-</v>
      </c>
      <c r="Y140" s="198" t="str">
        <f>IF('Design Fee'!AI142&gt;0,"✔","-")</f>
        <v>-</v>
      </c>
      <c r="Z140" s="198" t="str">
        <f>IF('Design Fee'!AJ142&gt;0,"✔","-")</f>
        <v>-</v>
      </c>
      <c r="AA140" s="221"/>
      <c r="AB140" s="195"/>
      <c r="AC140" s="196"/>
      <c r="AD140" s="197" t="str">
        <f>IF('Design Fee'!BG142&gt;0,"✔","-")</f>
        <v>-</v>
      </c>
      <c r="AE140" s="197" t="str">
        <f>IF('Design Fee'!BH142&gt;0,"✔","-")</f>
        <v>-</v>
      </c>
      <c r="AF140" s="198" t="str">
        <f>IF('Design Fee'!BI142&gt;0,"✔","-")</f>
        <v>-</v>
      </c>
      <c r="AG140" s="198" t="str">
        <f>IF('Design Fee'!BJ142&gt;0,"✔","-")</f>
        <v>-</v>
      </c>
      <c r="AH140" s="198" t="str">
        <f>IF('Design Fee'!BK142&gt;0,"✔","-")</f>
        <v>-</v>
      </c>
      <c r="AI140" s="198" t="str">
        <f>IF('Design Fee'!BL142&gt;0,"✔","-")</f>
        <v>-</v>
      </c>
      <c r="AJ140" s="198" t="str">
        <f>IF('Design Fee'!BM142&gt;0,"✔","-")</f>
        <v>-</v>
      </c>
      <c r="AK140" s="220" t="str">
        <f>IF('Design Fee'!BN142&gt;0,"✔","-")</f>
        <v>-</v>
      </c>
      <c r="AL140" s="199"/>
      <c r="AM140" s="198" t="str">
        <f>IF('Design Fee'!BP142&gt;0,"✔","-")</f>
        <v>-</v>
      </c>
      <c r="AN140" s="198" t="str">
        <f>IF('Design Fee'!BQ142&gt;0,"✔","-")</f>
        <v>-</v>
      </c>
      <c r="AO140" s="198" t="str">
        <f>IF('Design Fee'!BR142&gt;0,"✔","-")</f>
        <v>-</v>
      </c>
      <c r="AP140" s="198" t="str">
        <f>IF('Design Fee'!BS142&gt;0,"✔","-")</f>
        <v>-</v>
      </c>
      <c r="AQ140" s="198" t="str">
        <f>IF('Design Fee'!BT142&gt;0,"✔","-")</f>
        <v>-</v>
      </c>
      <c r="AR140" s="199"/>
      <c r="AS140" s="195"/>
      <c r="AT140" s="196"/>
      <c r="AU140" s="197" t="str">
        <f>IF('Design Fee'!CQ142&gt;0,"✔","-")</f>
        <v>-</v>
      </c>
      <c r="AV140" s="197" t="str">
        <f>IF('Design Fee'!CR142&gt;0,"✔","-")</f>
        <v>-</v>
      </c>
      <c r="AW140" s="198" t="str">
        <f>IF('Design Fee'!CS142&gt;0,"✔","-")</f>
        <v>-</v>
      </c>
      <c r="AX140" s="198" t="str">
        <f>IF('Design Fee'!CT142&gt;0,"✔","-")</f>
        <v>-</v>
      </c>
      <c r="AY140" s="198" t="str">
        <f>IF('Design Fee'!CU142&gt;0,"✔","-")</f>
        <v>-</v>
      </c>
      <c r="AZ140" s="198" t="str">
        <f>IF('Design Fee'!CV142&gt;0,"✔","-")</f>
        <v>-</v>
      </c>
      <c r="BA140" s="198" t="str">
        <f>IF('Design Fee'!CW142&gt;0,"✔","-")</f>
        <v>-</v>
      </c>
      <c r="BB140" s="220" t="str">
        <f>IF('Design Fee'!CX142&gt;0,"✔","-")</f>
        <v>-</v>
      </c>
      <c r="BC140" s="199"/>
      <c r="BD140" s="198" t="str">
        <f>IF('Design Fee'!CZ142&gt;0,"✔","-")</f>
        <v>-</v>
      </c>
      <c r="BE140" s="198" t="str">
        <f>IF('Design Fee'!DA142&gt;0,"✔","-")</f>
        <v>-</v>
      </c>
      <c r="BF140" s="198" t="str">
        <f>IF('Design Fee'!DB142&gt;0,"✔","-")</f>
        <v>-</v>
      </c>
      <c r="BG140" s="198" t="str">
        <f>IF('Design Fee'!DC142&gt;0,"✔","-")</f>
        <v>-</v>
      </c>
      <c r="BH140" s="198" t="str">
        <f>IF('Design Fee'!DD142&gt;0,"✔","-")</f>
        <v>-</v>
      </c>
      <c r="BI140" s="199"/>
      <c r="BJ140" s="195"/>
      <c r="BK140" s="196"/>
      <c r="BL140" s="197" t="str">
        <f>IF('Design Fee'!EA142&gt;0,"✔","-")</f>
        <v>-</v>
      </c>
      <c r="BM140" s="197" t="str">
        <f>IF('Design Fee'!EB142&gt;0,"✔","-")</f>
        <v>-</v>
      </c>
      <c r="BN140" s="198" t="str">
        <f>IF('Design Fee'!EC142&gt;0,"✔","-")</f>
        <v>-</v>
      </c>
      <c r="BO140" s="198" t="str">
        <f>IF('Design Fee'!ED142&gt;0,"✔","-")</f>
        <v>-</v>
      </c>
      <c r="BP140" s="198" t="str">
        <f>IF('Design Fee'!EE142&gt;0,"✔","-")</f>
        <v>-</v>
      </c>
      <c r="BQ140" s="198" t="str">
        <f>IF('Design Fee'!EF142&gt;0,"✔","-")</f>
        <v>-</v>
      </c>
      <c r="BR140" s="198" t="str">
        <f>IF('Design Fee'!EG142&gt;0,"✔","-")</f>
        <v>-</v>
      </c>
      <c r="BS140" s="220" t="str">
        <f>IF('Design Fee'!EH142&gt;0,"✔","-")</f>
        <v>-</v>
      </c>
      <c r="BT140" s="137"/>
      <c r="BU140" s="198" t="str">
        <f>IF('Design Fee'!EJ142&gt;0,"✔","-")</f>
        <v>-</v>
      </c>
      <c r="BV140" s="198" t="str">
        <f>IF('Design Fee'!EK142&gt;0,"✔","-")</f>
        <v>-</v>
      </c>
      <c r="BW140" s="198" t="str">
        <f>IF('Design Fee'!EL142&gt;0,"✔","-")</f>
        <v>-</v>
      </c>
      <c r="BX140" s="198" t="str">
        <f>IF('Design Fee'!EM142&gt;0,"✔","-")</f>
        <v>-</v>
      </c>
      <c r="BY140" s="198" t="str">
        <f>IF('Design Fee'!EN142&gt;0,"✔","-")</f>
        <v>-</v>
      </c>
      <c r="BZ140" s="137"/>
    </row>
    <row r="141" spans="2:78" ht="3" customHeight="1" outlineLevel="1">
      <c r="B141" s="231"/>
      <c r="C141" s="232"/>
      <c r="D141" s="219"/>
      <c r="E141" s="137"/>
      <c r="F141" s="162"/>
      <c r="G141" s="175"/>
      <c r="H141" s="175"/>
      <c r="I141" s="175"/>
      <c r="J141" s="221"/>
      <c r="K141" s="195"/>
      <c r="L141" s="196"/>
      <c r="M141" s="197"/>
      <c r="N141" s="197"/>
      <c r="O141" s="236"/>
      <c r="P141" s="236"/>
      <c r="Q141" s="236"/>
      <c r="R141" s="236"/>
      <c r="S141" s="236"/>
      <c r="T141" s="236"/>
      <c r="U141" s="221"/>
      <c r="V141" s="236"/>
      <c r="W141" s="236"/>
      <c r="X141" s="236"/>
      <c r="Y141" s="236"/>
      <c r="Z141" s="236"/>
      <c r="AA141" s="221"/>
      <c r="AB141" s="195"/>
      <c r="AC141" s="196"/>
      <c r="AD141" s="197"/>
      <c r="AE141" s="197"/>
      <c r="AF141" s="175"/>
      <c r="AG141" s="175"/>
      <c r="AH141" s="175"/>
      <c r="AI141" s="175"/>
      <c r="AJ141" s="175"/>
      <c r="AK141" s="175"/>
      <c r="AL141" s="175"/>
      <c r="AM141" s="175"/>
      <c r="AN141" s="175"/>
      <c r="AO141" s="175"/>
      <c r="AP141" s="175"/>
      <c r="AQ141" s="175"/>
      <c r="AR141" s="175"/>
      <c r="AS141" s="195"/>
      <c r="AT141" s="175"/>
      <c r="AU141" s="197"/>
      <c r="AV141" s="197"/>
      <c r="AW141" s="175"/>
      <c r="AX141" s="175"/>
      <c r="AY141" s="175"/>
      <c r="AZ141" s="175"/>
      <c r="BA141" s="175"/>
      <c r="BB141" s="175"/>
      <c r="BC141" s="175"/>
      <c r="BD141" s="175"/>
      <c r="BE141" s="175"/>
      <c r="BF141" s="175"/>
      <c r="BG141" s="175"/>
      <c r="BH141" s="175"/>
      <c r="BI141" s="175"/>
      <c r="BJ141" s="195"/>
      <c r="BK141" s="175"/>
      <c r="BL141" s="197"/>
      <c r="BM141" s="197"/>
      <c r="BN141" s="175"/>
      <c r="BO141" s="175"/>
      <c r="BP141" s="175"/>
      <c r="BQ141" s="175"/>
      <c r="BR141" s="175"/>
      <c r="BS141" s="175"/>
      <c r="BT141" s="137"/>
      <c r="BU141" s="175"/>
      <c r="BV141" s="175"/>
      <c r="BW141" s="175"/>
      <c r="BX141" s="175"/>
      <c r="BY141" s="175"/>
      <c r="BZ141" s="137"/>
    </row>
    <row r="142" spans="2:78" ht="12.75" outlineLevel="1">
      <c r="B142" s="186">
        <v>2</v>
      </c>
      <c r="C142" s="213">
        <v>9</v>
      </c>
      <c r="D142" s="214" t="s">
        <v>148</v>
      </c>
      <c r="E142" s="188"/>
      <c r="F142" s="215">
        <f>M142+AD142+AU142+BL142</f>
        <v>9</v>
      </c>
      <c r="G142" s="215">
        <f t="shared" ref="G142:I142" si="471">N142+AE142+AV142+BM142</f>
        <v>8</v>
      </c>
      <c r="H142" s="215">
        <f t="shared" si="471"/>
        <v>7</v>
      </c>
      <c r="I142" s="215">
        <f t="shared" si="471"/>
        <v>2</v>
      </c>
      <c r="J142" s="192">
        <f t="shared" ref="J142" si="472">COUNT(J143:J152)</f>
        <v>0</v>
      </c>
      <c r="K142" s="189"/>
      <c r="L142" s="189"/>
      <c r="M142" s="215">
        <f>COUNTIF(M143:M152,"✔")</f>
        <v>3</v>
      </c>
      <c r="N142" s="215">
        <f t="shared" ref="N142" si="473">COUNTIF(N143:N152,"✔")</f>
        <v>2</v>
      </c>
      <c r="O142" s="215">
        <f t="shared" ref="O142" si="474">COUNTIF(O143:O152,"✔")</f>
        <v>2</v>
      </c>
      <c r="P142" s="215">
        <f t="shared" ref="P142" si="475">COUNTIF(P143:P152,"✔")</f>
        <v>1</v>
      </c>
      <c r="Q142" s="215">
        <f t="shared" ref="Q142" si="476">COUNTIF(Q143:Q152,"✔")</f>
        <v>1</v>
      </c>
      <c r="R142" s="215">
        <f t="shared" ref="R142" si="477">COUNTIF(R143:R152,"✔")</f>
        <v>0</v>
      </c>
      <c r="S142" s="215">
        <f t="shared" ref="S142" si="478">COUNTIF(S143:S152,"✔")</f>
        <v>0</v>
      </c>
      <c r="T142" s="215">
        <f t="shared" ref="T142" si="479">COUNTIF(T143:T152,"✔")</f>
        <v>0</v>
      </c>
      <c r="U142" s="215">
        <f t="shared" ref="U142" si="480">COUNTIF(U143:U152,"✔")</f>
        <v>0</v>
      </c>
      <c r="V142" s="215">
        <f t="shared" ref="V142" si="481">COUNTIF(V143:V152,"✔")</f>
        <v>0</v>
      </c>
      <c r="W142" s="215">
        <f t="shared" ref="W142" si="482">COUNTIF(W143:W152,"✔")</f>
        <v>0</v>
      </c>
      <c r="X142" s="215">
        <f t="shared" ref="X142" si="483">COUNTIF(X143:X152,"✔")</f>
        <v>0</v>
      </c>
      <c r="Y142" s="215">
        <f t="shared" ref="Y142" si="484">COUNTIF(Y143:Y152,"✔")</f>
        <v>0</v>
      </c>
      <c r="Z142" s="215">
        <f t="shared" ref="Z142" si="485">COUNTIF(Z143:Z152,"✔")</f>
        <v>0</v>
      </c>
      <c r="AA142" s="215">
        <f t="shared" ref="AA142" si="486">COUNTIF(AA143:AA152,"✔")</f>
        <v>0</v>
      </c>
      <c r="AB142" s="189"/>
      <c r="AC142" s="215">
        <f t="shared" ref="AC142" si="487">COUNTIF(AC143:AC152,"✔")</f>
        <v>0</v>
      </c>
      <c r="AD142" s="215">
        <f t="shared" ref="AD142" si="488">COUNTIF(AD143:AD152,"✔")</f>
        <v>3</v>
      </c>
      <c r="AE142" s="215">
        <f t="shared" ref="AE142" si="489">COUNTIF(AE143:AE152,"✔")</f>
        <v>3</v>
      </c>
      <c r="AF142" s="215">
        <f t="shared" ref="AF142" si="490">COUNTIF(AF143:AF152,"✔")</f>
        <v>3</v>
      </c>
      <c r="AG142" s="215">
        <f t="shared" ref="AG142" si="491">COUNTIF(AG143:AG152,"✔")</f>
        <v>0</v>
      </c>
      <c r="AH142" s="215">
        <f t="shared" ref="AH142" si="492">COUNTIF(AH143:AH152,"✔")</f>
        <v>0</v>
      </c>
      <c r="AI142" s="215">
        <f t="shared" ref="AI142" si="493">COUNTIF(AI143:AI152,"✔")</f>
        <v>0</v>
      </c>
      <c r="AJ142" s="215">
        <f t="shared" ref="AJ142" si="494">COUNTIF(AJ143:AJ152,"✔")</f>
        <v>0</v>
      </c>
      <c r="AK142" s="215">
        <f t="shared" ref="AK142" si="495">COUNTIF(AK143:AK152,"✔")</f>
        <v>0</v>
      </c>
      <c r="AL142" s="215">
        <f t="shared" ref="AL142" si="496">COUNTIF(AL143:AL152,"✔")</f>
        <v>0</v>
      </c>
      <c r="AM142" s="215">
        <f t="shared" ref="AM142" si="497">COUNTIF(AM143:AM152,"✔")</f>
        <v>0</v>
      </c>
      <c r="AN142" s="215">
        <f t="shared" ref="AN142" si="498">COUNTIF(AN143:AN152,"✔")</f>
        <v>0</v>
      </c>
      <c r="AO142" s="215">
        <f t="shared" ref="AO142" si="499">COUNTIF(AO143:AO152,"✔")</f>
        <v>0</v>
      </c>
      <c r="AP142" s="215">
        <f t="shared" ref="AP142" si="500">COUNTIF(AP143:AP152,"✔")</f>
        <v>0</v>
      </c>
      <c r="AQ142" s="215">
        <f t="shared" ref="AQ142" si="501">COUNTIF(AQ143:AQ152,"✔")</f>
        <v>0</v>
      </c>
      <c r="AR142" s="215">
        <f t="shared" ref="AR142" si="502">COUNTIF(AR143:AR152,"✔")</f>
        <v>0</v>
      </c>
      <c r="AS142" s="189"/>
      <c r="AT142" s="215">
        <f t="shared" ref="AT142" si="503">COUNTIF(AT143:AT152,"✔")</f>
        <v>0</v>
      </c>
      <c r="AU142" s="215">
        <f t="shared" ref="AU142" si="504">COUNTIF(AU143:AU152,"✔")</f>
        <v>3</v>
      </c>
      <c r="AV142" s="215">
        <f t="shared" ref="AV142" si="505">COUNTIF(AV143:AV152,"✔")</f>
        <v>3</v>
      </c>
      <c r="AW142" s="215">
        <f t="shared" ref="AW142" si="506">COUNTIF(AW143:AW152,"✔")</f>
        <v>2</v>
      </c>
      <c r="AX142" s="215">
        <f t="shared" ref="AX142" si="507">COUNTIF(AX143:AX152,"✔")</f>
        <v>1</v>
      </c>
      <c r="AY142" s="215">
        <f t="shared" ref="AY142" si="508">COUNTIF(AY143:AY152,"✔")</f>
        <v>1</v>
      </c>
      <c r="AZ142" s="215">
        <f t="shared" ref="AZ142" si="509">COUNTIF(AZ143:AZ152,"✔")</f>
        <v>0</v>
      </c>
      <c r="BA142" s="215">
        <f t="shared" ref="BA142" si="510">COUNTIF(BA143:BA152,"✔")</f>
        <v>0</v>
      </c>
      <c r="BB142" s="215">
        <f t="shared" ref="BB142" si="511">COUNTIF(BB143:BB152,"✔")</f>
        <v>0</v>
      </c>
      <c r="BC142" s="215">
        <f t="shared" ref="BC142" si="512">COUNTIF(BC143:BC152,"✔")</f>
        <v>0</v>
      </c>
      <c r="BD142" s="215">
        <f t="shared" ref="BD142" si="513">COUNTIF(BD143:BD152,"✔")</f>
        <v>1</v>
      </c>
      <c r="BE142" s="215">
        <f t="shared" ref="BE142" si="514">COUNTIF(BE143:BE152,"✔")</f>
        <v>0</v>
      </c>
      <c r="BF142" s="215">
        <f t="shared" ref="BF142" si="515">COUNTIF(BF143:BF152,"✔")</f>
        <v>0</v>
      </c>
      <c r="BG142" s="215">
        <f t="shared" ref="BG142" si="516">COUNTIF(BG143:BG152,"✔")</f>
        <v>1</v>
      </c>
      <c r="BH142" s="215">
        <f t="shared" ref="BH142" si="517">COUNTIF(BH143:BH152,"✔")</f>
        <v>0</v>
      </c>
      <c r="BI142" s="215">
        <f t="shared" ref="BI142" si="518">COUNTIF(BI143:BI152,"✔")</f>
        <v>0</v>
      </c>
      <c r="BJ142" s="189"/>
      <c r="BK142" s="215">
        <f t="shared" ref="BK142" si="519">COUNTIF(BK143:BK152,"✔")</f>
        <v>0</v>
      </c>
      <c r="BL142" s="215">
        <f t="shared" ref="BL142" si="520">COUNTIF(BL143:BL152,"✔")</f>
        <v>0</v>
      </c>
      <c r="BM142" s="215">
        <f t="shared" ref="BM142" si="521">COUNTIF(BM143:BM152,"✔")</f>
        <v>0</v>
      </c>
      <c r="BN142" s="215">
        <f t="shared" ref="BN142" si="522">COUNTIF(BN143:BN152,"✔")</f>
        <v>0</v>
      </c>
      <c r="BO142" s="215">
        <f t="shared" ref="BO142" si="523">COUNTIF(BO143:BO152,"✔")</f>
        <v>0</v>
      </c>
      <c r="BP142" s="215">
        <f t="shared" ref="BP142" si="524">COUNTIF(BP143:BP152,"✔")</f>
        <v>0</v>
      </c>
      <c r="BQ142" s="215">
        <f t="shared" ref="BQ142" si="525">COUNTIF(BQ143:BQ152,"✔")</f>
        <v>0</v>
      </c>
      <c r="BR142" s="215">
        <f t="shared" ref="BR142" si="526">COUNTIF(BR143:BR152,"✔")</f>
        <v>0</v>
      </c>
      <c r="BS142" s="215">
        <f t="shared" ref="BS142" si="527">COUNTIF(BS143:BS152,"✔")</f>
        <v>0</v>
      </c>
      <c r="BT142" s="137"/>
      <c r="BU142" s="215">
        <f t="shared" ref="BU142" si="528">COUNTIF(BU143:BU152,"✔")</f>
        <v>0</v>
      </c>
      <c r="BV142" s="215">
        <f t="shared" ref="BV142" si="529">COUNTIF(BV143:BV152,"✔")</f>
        <v>0</v>
      </c>
      <c r="BW142" s="215">
        <f t="shared" ref="BW142" si="530">COUNTIF(BW143:BW152,"✔")</f>
        <v>0</v>
      </c>
      <c r="BX142" s="215">
        <f t="shared" ref="BX142" si="531">COUNTIF(BX143:BX152,"✔")</f>
        <v>0</v>
      </c>
      <c r="BY142" s="215">
        <f t="shared" ref="BY142" si="532">COUNTIF(BY143:BY152,"✔")</f>
        <v>0</v>
      </c>
      <c r="BZ142" s="137"/>
    </row>
    <row r="143" spans="2:78" ht="12.75" outlineLevel="2">
      <c r="B143" s="217" t="s">
        <v>149</v>
      </c>
      <c r="C143" s="218">
        <v>1</v>
      </c>
      <c r="D143" s="219" t="s">
        <v>150</v>
      </c>
      <c r="E143" s="137"/>
      <c r="F143" s="197">
        <f t="shared" ref="F143:H146" si="533">COUNTIF(M143,"✔")+COUNTIF(AD143,"✔")+COUNTIF(BL143,"✔")+COUNTIF(AU143,"✔")</f>
        <v>1</v>
      </c>
      <c r="G143" s="198">
        <f t="shared" si="533"/>
        <v>1</v>
      </c>
      <c r="H143" s="198">
        <f t="shared" si="533"/>
        <v>1</v>
      </c>
      <c r="I143" s="198">
        <f t="shared" ref="I143:I146" si="534">F143-G143</f>
        <v>0</v>
      </c>
      <c r="J143" s="184"/>
      <c r="K143" s="195"/>
      <c r="L143" s="196"/>
      <c r="M143" s="197" t="str">
        <f>IF('Design Fee'!W145&gt;0,"✔","-")</f>
        <v>-</v>
      </c>
      <c r="N143" s="197" t="str">
        <f>IF('Design Fee'!X145&gt;0,"✔","-")</f>
        <v>-</v>
      </c>
      <c r="O143" s="198" t="str">
        <f>IF('Design Fee'!Y145&gt;0,"✔","-")</f>
        <v>-</v>
      </c>
      <c r="P143" s="198" t="str">
        <f>IF('Design Fee'!Z145&gt;0,"✔","-")</f>
        <v>-</v>
      </c>
      <c r="Q143" s="198" t="str">
        <f>IF('Design Fee'!AA145&gt;0,"✔","-")</f>
        <v>-</v>
      </c>
      <c r="R143" s="198" t="str">
        <f>IF('Design Fee'!AB145&gt;0,"✔","-")</f>
        <v>-</v>
      </c>
      <c r="S143" s="198" t="str">
        <f>IF('Design Fee'!AC145&gt;0,"✔","-")</f>
        <v>-</v>
      </c>
      <c r="T143" s="220" t="str">
        <f>IF('Design Fee'!AD145&gt;0,"✔","-")</f>
        <v>-</v>
      </c>
      <c r="U143" s="184"/>
      <c r="V143" s="198" t="str">
        <f>IF('Design Fee'!AF145&gt;0,"✔","-")</f>
        <v>-</v>
      </c>
      <c r="W143" s="198" t="str">
        <f>IF('Design Fee'!AG145&gt;0,"✔","-")</f>
        <v>-</v>
      </c>
      <c r="X143" s="198" t="str">
        <f>IF('Design Fee'!AH145&gt;0,"✔","-")</f>
        <v>-</v>
      </c>
      <c r="Y143" s="198" t="str">
        <f>IF('Design Fee'!AI145&gt;0,"✔","-")</f>
        <v>-</v>
      </c>
      <c r="Z143" s="198" t="str">
        <f>IF('Design Fee'!AJ145&gt;0,"✔","-")</f>
        <v>-</v>
      </c>
      <c r="AA143" s="184"/>
      <c r="AB143" s="195"/>
      <c r="AC143" s="196"/>
      <c r="AD143" s="197" t="str">
        <f>IF('Design Fee'!BG145&gt;0,"✔","-")</f>
        <v>✔</v>
      </c>
      <c r="AE143" s="197" t="str">
        <f>IF('Design Fee'!BH145&gt;0,"✔","-")</f>
        <v>✔</v>
      </c>
      <c r="AF143" s="198" t="str">
        <f>IF('Design Fee'!BI145&gt;0,"✔","-")</f>
        <v>✔</v>
      </c>
      <c r="AG143" s="198" t="str">
        <f>IF('Design Fee'!BJ145&gt;0,"✔","-")</f>
        <v>-</v>
      </c>
      <c r="AH143" s="198" t="str">
        <f>IF('Design Fee'!BK145&gt;0,"✔","-")</f>
        <v>-</v>
      </c>
      <c r="AI143" s="198" t="str">
        <f>IF('Design Fee'!BL145&gt;0,"✔","-")</f>
        <v>-</v>
      </c>
      <c r="AJ143" s="198" t="str">
        <f>IF('Design Fee'!BM145&gt;0,"✔","-")</f>
        <v>-</v>
      </c>
      <c r="AK143" s="220" t="str">
        <f>IF('Design Fee'!BN145&gt;0,"✔","-")</f>
        <v>-</v>
      </c>
      <c r="AL143" s="199"/>
      <c r="AM143" s="198" t="str">
        <f>IF('Design Fee'!BP145&gt;0,"✔","-")</f>
        <v>-</v>
      </c>
      <c r="AN143" s="198" t="str">
        <f>IF('Design Fee'!BQ145&gt;0,"✔","-")</f>
        <v>-</v>
      </c>
      <c r="AO143" s="198" t="str">
        <f>IF('Design Fee'!BR145&gt;0,"✔","-")</f>
        <v>-</v>
      </c>
      <c r="AP143" s="198" t="str">
        <f>IF('Design Fee'!BS145&gt;0,"✔","-")</f>
        <v>-</v>
      </c>
      <c r="AQ143" s="198" t="str">
        <f>IF('Design Fee'!BT145&gt;0,"✔","-")</f>
        <v>-</v>
      </c>
      <c r="AR143" s="199"/>
      <c r="AS143" s="195"/>
      <c r="AT143" s="196"/>
      <c r="AU143" s="197" t="str">
        <f>IF('Design Fee'!CQ145&gt;0,"✔","-")</f>
        <v>-</v>
      </c>
      <c r="AV143" s="197" t="str">
        <f>IF('Design Fee'!CR145&gt;0,"✔","-")</f>
        <v>-</v>
      </c>
      <c r="AW143" s="198" t="str">
        <f>IF('Design Fee'!CS145&gt;0,"✔","-")</f>
        <v>-</v>
      </c>
      <c r="AX143" s="198" t="str">
        <f>IF('Design Fee'!CT145&gt;0,"✔","-")</f>
        <v>-</v>
      </c>
      <c r="AY143" s="198" t="str">
        <f>IF('Design Fee'!CU145&gt;0,"✔","-")</f>
        <v>-</v>
      </c>
      <c r="AZ143" s="198" t="str">
        <f>IF('Design Fee'!CV145&gt;0,"✔","-")</f>
        <v>-</v>
      </c>
      <c r="BA143" s="198" t="str">
        <f>IF('Design Fee'!CW145&gt;0,"✔","-")</f>
        <v>-</v>
      </c>
      <c r="BB143" s="220" t="str">
        <f>IF('Design Fee'!CX145&gt;0,"✔","-")</f>
        <v>-</v>
      </c>
      <c r="BC143" s="199"/>
      <c r="BD143" s="198" t="str">
        <f>IF('Design Fee'!CZ145&gt;0,"✔","-")</f>
        <v>-</v>
      </c>
      <c r="BE143" s="198" t="str">
        <f>IF('Design Fee'!DA145&gt;0,"✔","-")</f>
        <v>-</v>
      </c>
      <c r="BF143" s="198" t="str">
        <f>IF('Design Fee'!DB145&gt;0,"✔","-")</f>
        <v>-</v>
      </c>
      <c r="BG143" s="198" t="str">
        <f>IF('Design Fee'!DC145&gt;0,"✔","-")</f>
        <v>-</v>
      </c>
      <c r="BH143" s="198" t="str">
        <f>IF('Design Fee'!DD145&gt;0,"✔","-")</f>
        <v>-</v>
      </c>
      <c r="BI143" s="199"/>
      <c r="BJ143" s="195"/>
      <c r="BK143" s="196"/>
      <c r="BL143" s="197" t="str">
        <f>IF('Design Fee'!EA145&gt;0,"✔","-")</f>
        <v>-</v>
      </c>
      <c r="BM143" s="197" t="str">
        <f>IF('Design Fee'!EB145&gt;0,"✔","-")</f>
        <v>-</v>
      </c>
      <c r="BN143" s="198" t="str">
        <f>IF('Design Fee'!EC145&gt;0,"✔","-")</f>
        <v>-</v>
      </c>
      <c r="BO143" s="198" t="str">
        <f>IF('Design Fee'!ED145&gt;0,"✔","-")</f>
        <v>-</v>
      </c>
      <c r="BP143" s="198" t="str">
        <f>IF('Design Fee'!EE145&gt;0,"✔","-")</f>
        <v>-</v>
      </c>
      <c r="BQ143" s="198" t="str">
        <f>IF('Design Fee'!EF145&gt;0,"✔","-")</f>
        <v>-</v>
      </c>
      <c r="BR143" s="198" t="str">
        <f>IF('Design Fee'!EG145&gt;0,"✔","-")</f>
        <v>-</v>
      </c>
      <c r="BS143" s="220" t="str">
        <f>IF('Design Fee'!EH145&gt;0,"✔","-")</f>
        <v>-</v>
      </c>
      <c r="BT143" s="137"/>
      <c r="BU143" s="198" t="str">
        <f>IF('Design Fee'!EJ145&gt;0,"✔","-")</f>
        <v>-</v>
      </c>
      <c r="BV143" s="198" t="str">
        <f>IF('Design Fee'!EK145&gt;0,"✔","-")</f>
        <v>-</v>
      </c>
      <c r="BW143" s="198" t="str">
        <f>IF('Design Fee'!EL145&gt;0,"✔","-")</f>
        <v>-</v>
      </c>
      <c r="BX143" s="198" t="str">
        <f>IF('Design Fee'!EM145&gt;0,"✔","-")</f>
        <v>-</v>
      </c>
      <c r="BY143" s="198" t="str">
        <f>IF('Design Fee'!EN145&gt;0,"✔","-")</f>
        <v>-</v>
      </c>
      <c r="BZ143" s="137"/>
    </row>
    <row r="144" spans="2:78" ht="12.75" outlineLevel="2">
      <c r="B144" s="217" t="s">
        <v>151</v>
      </c>
      <c r="C144" s="218">
        <v>2</v>
      </c>
      <c r="D144" s="219" t="s">
        <v>152</v>
      </c>
      <c r="E144" s="137"/>
      <c r="F144" s="197">
        <f t="shared" si="533"/>
        <v>2</v>
      </c>
      <c r="G144" s="198">
        <f t="shared" si="533"/>
        <v>2</v>
      </c>
      <c r="H144" s="198">
        <f t="shared" si="533"/>
        <v>2</v>
      </c>
      <c r="I144" s="198">
        <f t="shared" si="534"/>
        <v>0</v>
      </c>
      <c r="J144" s="184"/>
      <c r="K144" s="195"/>
      <c r="L144" s="196"/>
      <c r="M144" s="197" t="str">
        <f>IF('Design Fee'!W146&gt;0,"✔","-")</f>
        <v>✔</v>
      </c>
      <c r="N144" s="197" t="str">
        <f>IF('Design Fee'!X146&gt;0,"✔","-")</f>
        <v>✔</v>
      </c>
      <c r="O144" s="198" t="str">
        <f>IF('Design Fee'!Y146&gt;0,"✔","-")</f>
        <v>✔</v>
      </c>
      <c r="P144" s="198" t="str">
        <f>IF('Design Fee'!Z146&gt;0,"✔","-")</f>
        <v>-</v>
      </c>
      <c r="Q144" s="198" t="str">
        <f>IF('Design Fee'!AA146&gt;0,"✔","-")</f>
        <v>-</v>
      </c>
      <c r="R144" s="198" t="str">
        <f>IF('Design Fee'!AB146&gt;0,"✔","-")</f>
        <v>-</v>
      </c>
      <c r="S144" s="198" t="str">
        <f>IF('Design Fee'!AC146&gt;0,"✔","-")</f>
        <v>-</v>
      </c>
      <c r="T144" s="220" t="str">
        <f>IF('Design Fee'!AD146&gt;0,"✔","-")</f>
        <v>-</v>
      </c>
      <c r="U144" s="184"/>
      <c r="V144" s="198" t="str">
        <f>IF('Design Fee'!AF146&gt;0,"✔","-")</f>
        <v>-</v>
      </c>
      <c r="W144" s="198" t="str">
        <f>IF('Design Fee'!AG146&gt;0,"✔","-")</f>
        <v>-</v>
      </c>
      <c r="X144" s="198" t="str">
        <f>IF('Design Fee'!AH146&gt;0,"✔","-")</f>
        <v>-</v>
      </c>
      <c r="Y144" s="198" t="str">
        <f>IF('Design Fee'!AI146&gt;0,"✔","-")</f>
        <v>-</v>
      </c>
      <c r="Z144" s="198" t="str">
        <f>IF('Design Fee'!AJ146&gt;0,"✔","-")</f>
        <v>-</v>
      </c>
      <c r="AA144" s="184"/>
      <c r="AB144" s="195"/>
      <c r="AC144" s="196"/>
      <c r="AD144" s="197" t="str">
        <f>IF('Design Fee'!BG146&gt;0,"✔","-")</f>
        <v>-</v>
      </c>
      <c r="AE144" s="197" t="str">
        <f>IF('Design Fee'!BH146&gt;0,"✔","-")</f>
        <v>-</v>
      </c>
      <c r="AF144" s="198" t="str">
        <f>IF('Design Fee'!BI146&gt;0,"✔","-")</f>
        <v>-</v>
      </c>
      <c r="AG144" s="198" t="str">
        <f>IF('Design Fee'!BJ146&gt;0,"✔","-")</f>
        <v>-</v>
      </c>
      <c r="AH144" s="198" t="str">
        <f>IF('Design Fee'!BK146&gt;0,"✔","-")</f>
        <v>-</v>
      </c>
      <c r="AI144" s="198" t="str">
        <f>IF('Design Fee'!BL146&gt;0,"✔","-")</f>
        <v>-</v>
      </c>
      <c r="AJ144" s="198" t="str">
        <f>IF('Design Fee'!BM146&gt;0,"✔","-")</f>
        <v>-</v>
      </c>
      <c r="AK144" s="220" t="str">
        <f>IF('Design Fee'!BN146&gt;0,"✔","-")</f>
        <v>-</v>
      </c>
      <c r="AL144" s="199"/>
      <c r="AM144" s="198" t="str">
        <f>IF('Design Fee'!BP146&gt;0,"✔","-")</f>
        <v>-</v>
      </c>
      <c r="AN144" s="198" t="str">
        <f>IF('Design Fee'!BQ146&gt;0,"✔","-")</f>
        <v>-</v>
      </c>
      <c r="AO144" s="198" t="str">
        <f>IF('Design Fee'!BR146&gt;0,"✔","-")</f>
        <v>-</v>
      </c>
      <c r="AP144" s="198" t="str">
        <f>IF('Design Fee'!BS146&gt;0,"✔","-")</f>
        <v>-</v>
      </c>
      <c r="AQ144" s="198" t="str">
        <f>IF('Design Fee'!BT146&gt;0,"✔","-")</f>
        <v>-</v>
      </c>
      <c r="AR144" s="199"/>
      <c r="AS144" s="195"/>
      <c r="AT144" s="196"/>
      <c r="AU144" s="197" t="str">
        <f>IF('Design Fee'!CQ146&gt;0,"✔","-")</f>
        <v>✔</v>
      </c>
      <c r="AV144" s="197" t="str">
        <f>IF('Design Fee'!CR146&gt;0,"✔","-")</f>
        <v>✔</v>
      </c>
      <c r="AW144" s="198" t="str">
        <f>IF('Design Fee'!CS146&gt;0,"✔","-")</f>
        <v>✔</v>
      </c>
      <c r="AX144" s="198" t="str">
        <f>IF('Design Fee'!CT146&gt;0,"✔","-")</f>
        <v>-</v>
      </c>
      <c r="AY144" s="198" t="str">
        <f>IF('Design Fee'!CU146&gt;0,"✔","-")</f>
        <v>-</v>
      </c>
      <c r="AZ144" s="198" t="str">
        <f>IF('Design Fee'!CV146&gt;0,"✔","-")</f>
        <v>-</v>
      </c>
      <c r="BA144" s="198" t="str">
        <f>IF('Design Fee'!CW146&gt;0,"✔","-")</f>
        <v>-</v>
      </c>
      <c r="BB144" s="220" t="str">
        <f>IF('Design Fee'!CX146&gt;0,"✔","-")</f>
        <v>-</v>
      </c>
      <c r="BC144" s="199"/>
      <c r="BD144" s="198" t="str">
        <f>IF('Design Fee'!CZ146&gt;0,"✔","-")</f>
        <v>-</v>
      </c>
      <c r="BE144" s="198" t="str">
        <f>IF('Design Fee'!DA146&gt;0,"✔","-")</f>
        <v>-</v>
      </c>
      <c r="BF144" s="198" t="str">
        <f>IF('Design Fee'!DB146&gt;0,"✔","-")</f>
        <v>-</v>
      </c>
      <c r="BG144" s="198" t="str">
        <f>IF('Design Fee'!DC146&gt;0,"✔","-")</f>
        <v>-</v>
      </c>
      <c r="BH144" s="198" t="str">
        <f>IF('Design Fee'!DD146&gt;0,"✔","-")</f>
        <v>-</v>
      </c>
      <c r="BI144" s="199"/>
      <c r="BJ144" s="195"/>
      <c r="BK144" s="196"/>
      <c r="BL144" s="197" t="str">
        <f>IF('Design Fee'!EA146&gt;0,"✔","-")</f>
        <v>-</v>
      </c>
      <c r="BM144" s="197" t="str">
        <f>IF('Design Fee'!EB146&gt;0,"✔","-")</f>
        <v>-</v>
      </c>
      <c r="BN144" s="198" t="str">
        <f>IF('Design Fee'!EC146&gt;0,"✔","-")</f>
        <v>-</v>
      </c>
      <c r="BO144" s="198" t="str">
        <f>IF('Design Fee'!ED146&gt;0,"✔","-")</f>
        <v>-</v>
      </c>
      <c r="BP144" s="198" t="str">
        <f>IF('Design Fee'!EE146&gt;0,"✔","-")</f>
        <v>-</v>
      </c>
      <c r="BQ144" s="198" t="str">
        <f>IF('Design Fee'!EF146&gt;0,"✔","-")</f>
        <v>-</v>
      </c>
      <c r="BR144" s="198" t="str">
        <f>IF('Design Fee'!EG146&gt;0,"✔","-")</f>
        <v>-</v>
      </c>
      <c r="BS144" s="220" t="str">
        <f>IF('Design Fee'!EH146&gt;0,"✔","-")</f>
        <v>-</v>
      </c>
      <c r="BT144" s="137"/>
      <c r="BU144" s="198" t="str">
        <f>IF('Design Fee'!EJ146&gt;0,"✔","-")</f>
        <v>-</v>
      </c>
      <c r="BV144" s="198" t="str">
        <f>IF('Design Fee'!EK146&gt;0,"✔","-")</f>
        <v>-</v>
      </c>
      <c r="BW144" s="198" t="str">
        <f>IF('Design Fee'!EL146&gt;0,"✔","-")</f>
        <v>-</v>
      </c>
      <c r="BX144" s="198" t="str">
        <f>IF('Design Fee'!EM146&gt;0,"✔","-")</f>
        <v>-</v>
      </c>
      <c r="BY144" s="198" t="str">
        <f>IF('Design Fee'!EN146&gt;0,"✔","-")</f>
        <v>-</v>
      </c>
      <c r="BZ144" s="137"/>
    </row>
    <row r="145" spans="2:78" s="51" customFormat="1" ht="12.75" outlineLevel="2">
      <c r="B145" s="217" t="s">
        <v>153</v>
      </c>
      <c r="C145" s="223">
        <v>3</v>
      </c>
      <c r="D145" s="224" t="s">
        <v>154</v>
      </c>
      <c r="E145" s="222"/>
      <c r="F145" s="197">
        <f t="shared" si="533"/>
        <v>2</v>
      </c>
      <c r="G145" s="198">
        <f t="shared" si="533"/>
        <v>2</v>
      </c>
      <c r="H145" s="198">
        <f t="shared" si="533"/>
        <v>1</v>
      </c>
      <c r="I145" s="198">
        <f t="shared" si="534"/>
        <v>0</v>
      </c>
      <c r="J145" s="229"/>
      <c r="K145" s="225"/>
      <c r="L145" s="226"/>
      <c r="M145" s="197" t="str">
        <f>IF('Design Fee'!W147&gt;0,"✔","-")</f>
        <v>✔</v>
      </c>
      <c r="N145" s="197" t="str">
        <f>IF('Design Fee'!X147&gt;0,"✔","-")</f>
        <v>✔</v>
      </c>
      <c r="O145" s="220" t="str">
        <f>IF('Design Fee'!Y147&gt;0,"✔","-")</f>
        <v>✔</v>
      </c>
      <c r="P145" s="220" t="str">
        <f>IF('Design Fee'!Z147&gt;0,"✔","-")</f>
        <v>-</v>
      </c>
      <c r="Q145" s="220" t="str">
        <f>IF('Design Fee'!AA147&gt;0,"✔","-")</f>
        <v>-</v>
      </c>
      <c r="R145" s="220" t="str">
        <f>IF('Design Fee'!AB147&gt;0,"✔","-")</f>
        <v>-</v>
      </c>
      <c r="S145" s="220" t="str">
        <f>IF('Design Fee'!AC147&gt;0,"✔","-")</f>
        <v>-</v>
      </c>
      <c r="T145" s="220" t="str">
        <f>IF('Design Fee'!AD147&gt;0,"✔","-")</f>
        <v>-</v>
      </c>
      <c r="U145" s="229"/>
      <c r="V145" s="198" t="str">
        <f>IF('Design Fee'!AF147&gt;0,"✔","-")</f>
        <v>-</v>
      </c>
      <c r="W145" s="198" t="str">
        <f>IF('Design Fee'!AG147&gt;0,"✔","-")</f>
        <v>-</v>
      </c>
      <c r="X145" s="198" t="str">
        <f>IF('Design Fee'!AH147&gt;0,"✔","-")</f>
        <v>-</v>
      </c>
      <c r="Y145" s="198" t="str">
        <f>IF('Design Fee'!AI147&gt;0,"✔","-")</f>
        <v>-</v>
      </c>
      <c r="Z145" s="198" t="str">
        <f>IF('Design Fee'!AJ147&gt;0,"✔","-")</f>
        <v>-</v>
      </c>
      <c r="AA145" s="229"/>
      <c r="AB145" s="225"/>
      <c r="AC145" s="226"/>
      <c r="AD145" s="197" t="str">
        <f>IF('Design Fee'!BG147&gt;0,"✔","-")</f>
        <v>-</v>
      </c>
      <c r="AE145" s="197" t="str">
        <f>IF('Design Fee'!BH147&gt;0,"✔","-")</f>
        <v>-</v>
      </c>
      <c r="AF145" s="220" t="str">
        <f>IF('Design Fee'!BI147&gt;0,"✔","-")</f>
        <v>-</v>
      </c>
      <c r="AG145" s="220" t="str">
        <f>IF('Design Fee'!BJ147&gt;0,"✔","-")</f>
        <v>-</v>
      </c>
      <c r="AH145" s="220" t="str">
        <f>IF('Design Fee'!BK147&gt;0,"✔","-")</f>
        <v>-</v>
      </c>
      <c r="AI145" s="220" t="str">
        <f>IF('Design Fee'!BL147&gt;0,"✔","-")</f>
        <v>-</v>
      </c>
      <c r="AJ145" s="220" t="str">
        <f>IF('Design Fee'!BM147&gt;0,"✔","-")</f>
        <v>-</v>
      </c>
      <c r="AK145" s="220" t="str">
        <f>IF('Design Fee'!BN147&gt;0,"✔","-")</f>
        <v>-</v>
      </c>
      <c r="AL145" s="230"/>
      <c r="AM145" s="198" t="str">
        <f>IF('Design Fee'!BP147&gt;0,"✔","-")</f>
        <v>-</v>
      </c>
      <c r="AN145" s="198" t="str">
        <f>IF('Design Fee'!BQ147&gt;0,"✔","-")</f>
        <v>-</v>
      </c>
      <c r="AO145" s="198" t="str">
        <f>IF('Design Fee'!BR147&gt;0,"✔","-")</f>
        <v>-</v>
      </c>
      <c r="AP145" s="198" t="str">
        <f>IF('Design Fee'!BS147&gt;0,"✔","-")</f>
        <v>-</v>
      </c>
      <c r="AQ145" s="198" t="str">
        <f>IF('Design Fee'!BT147&gt;0,"✔","-")</f>
        <v>-</v>
      </c>
      <c r="AR145" s="230"/>
      <c r="AS145" s="225"/>
      <c r="AT145" s="226"/>
      <c r="AU145" s="197" t="str">
        <f>IF('Design Fee'!CQ147&gt;0,"✔","-")</f>
        <v>✔</v>
      </c>
      <c r="AV145" s="197" t="str">
        <f>IF('Design Fee'!CR147&gt;0,"✔","-")</f>
        <v>✔</v>
      </c>
      <c r="AW145" s="220" t="str">
        <f>IF('Design Fee'!CS147&gt;0,"✔","-")</f>
        <v>-</v>
      </c>
      <c r="AX145" s="220" t="str">
        <f>IF('Design Fee'!CT147&gt;0,"✔","-")</f>
        <v>✔</v>
      </c>
      <c r="AY145" s="220" t="str">
        <f>IF('Design Fee'!CU147&gt;0,"✔","-")</f>
        <v>✔</v>
      </c>
      <c r="AZ145" s="220" t="str">
        <f>IF('Design Fee'!CV147&gt;0,"✔","-")</f>
        <v>-</v>
      </c>
      <c r="BA145" s="220" t="str">
        <f>IF('Design Fee'!CW147&gt;0,"✔","-")</f>
        <v>-</v>
      </c>
      <c r="BB145" s="220" t="str">
        <f>IF('Design Fee'!CX147&gt;0,"✔","-")</f>
        <v>-</v>
      </c>
      <c r="BC145" s="230"/>
      <c r="BD145" s="198" t="str">
        <f>IF('Design Fee'!CZ147&gt;0,"✔","-")</f>
        <v>✔</v>
      </c>
      <c r="BE145" s="198" t="str">
        <f>IF('Design Fee'!DA147&gt;0,"✔","-")</f>
        <v>-</v>
      </c>
      <c r="BF145" s="198" t="str">
        <f>IF('Design Fee'!DB147&gt;0,"✔","-")</f>
        <v>-</v>
      </c>
      <c r="BG145" s="198" t="str">
        <f>IF('Design Fee'!DC147&gt;0,"✔","-")</f>
        <v>✔</v>
      </c>
      <c r="BH145" s="198" t="str">
        <f>IF('Design Fee'!DD147&gt;0,"✔","-")</f>
        <v>-</v>
      </c>
      <c r="BI145" s="230"/>
      <c r="BJ145" s="225"/>
      <c r="BK145" s="226"/>
      <c r="BL145" s="197" t="str">
        <f>IF('Design Fee'!EA147&gt;0,"✔","-")</f>
        <v>-</v>
      </c>
      <c r="BM145" s="197" t="str">
        <f>IF('Design Fee'!EB147&gt;0,"✔","-")</f>
        <v>-</v>
      </c>
      <c r="BN145" s="220" t="str">
        <f>IF('Design Fee'!EC147&gt;0,"✔","-")</f>
        <v>-</v>
      </c>
      <c r="BO145" s="220" t="str">
        <f>IF('Design Fee'!ED147&gt;0,"✔","-")</f>
        <v>-</v>
      </c>
      <c r="BP145" s="220" t="str">
        <f>IF('Design Fee'!EE147&gt;0,"✔","-")</f>
        <v>-</v>
      </c>
      <c r="BQ145" s="220" t="str">
        <f>IF('Design Fee'!EF147&gt;0,"✔","-")</f>
        <v>-</v>
      </c>
      <c r="BR145" s="220" t="str">
        <f>IF('Design Fee'!EG147&gt;0,"✔","-")</f>
        <v>-</v>
      </c>
      <c r="BS145" s="220" t="str">
        <f>IF('Design Fee'!EH147&gt;0,"✔","-")</f>
        <v>-</v>
      </c>
      <c r="BT145" s="222"/>
      <c r="BU145" s="198" t="str">
        <f>IF('Design Fee'!EJ147&gt;0,"✔","-")</f>
        <v>-</v>
      </c>
      <c r="BV145" s="198" t="str">
        <f>IF('Design Fee'!EK147&gt;0,"✔","-")</f>
        <v>-</v>
      </c>
      <c r="BW145" s="198" t="str">
        <f>IF('Design Fee'!EL147&gt;0,"✔","-")</f>
        <v>-</v>
      </c>
      <c r="BX145" s="198" t="str">
        <f>IF('Design Fee'!EM147&gt;0,"✔","-")</f>
        <v>-</v>
      </c>
      <c r="BY145" s="198" t="str">
        <f>IF('Design Fee'!EN147&gt;0,"✔","-")</f>
        <v>-</v>
      </c>
      <c r="BZ145" s="137"/>
    </row>
    <row r="146" spans="2:78" ht="12.75" outlineLevel="2">
      <c r="B146" s="217" t="s">
        <v>155</v>
      </c>
      <c r="C146" s="218">
        <v>4</v>
      </c>
      <c r="D146" s="219" t="s">
        <v>156</v>
      </c>
      <c r="E146" s="137"/>
      <c r="F146" s="197">
        <f t="shared" si="533"/>
        <v>2</v>
      </c>
      <c r="G146" s="198">
        <f t="shared" si="533"/>
        <v>1</v>
      </c>
      <c r="H146" s="198">
        <f t="shared" si="533"/>
        <v>1</v>
      </c>
      <c r="I146" s="198">
        <f t="shared" si="534"/>
        <v>1</v>
      </c>
      <c r="J146" s="184"/>
      <c r="K146" s="195"/>
      <c r="L146" s="196"/>
      <c r="M146" s="197" t="str">
        <f>IF('Design Fee'!W148&gt;0,"✔","-")</f>
        <v>✔</v>
      </c>
      <c r="N146" s="197" t="str">
        <f>IF('Design Fee'!X148&gt;0,"✔","-")</f>
        <v>-</v>
      </c>
      <c r="O146" s="198" t="str">
        <f>IF('Design Fee'!Y148&gt;0,"✔","-")</f>
        <v>-</v>
      </c>
      <c r="P146" s="198" t="str">
        <f>IF('Design Fee'!Z148&gt;0,"✔","-")</f>
        <v>✔</v>
      </c>
      <c r="Q146" s="198" t="str">
        <f>IF('Design Fee'!AA148&gt;0,"✔","-")</f>
        <v>✔</v>
      </c>
      <c r="R146" s="198" t="str">
        <f>IF('Design Fee'!AB148&gt;0,"✔","-")</f>
        <v>-</v>
      </c>
      <c r="S146" s="198" t="str">
        <f>IF('Design Fee'!AC148&gt;0,"✔","-")</f>
        <v>-</v>
      </c>
      <c r="T146" s="220" t="str">
        <f>IF('Design Fee'!AD148&gt;0,"✔","-")</f>
        <v>-</v>
      </c>
      <c r="U146" s="184"/>
      <c r="V146" s="198" t="str">
        <f>IF('Design Fee'!AF148&gt;0,"✔","-")</f>
        <v>-</v>
      </c>
      <c r="W146" s="198" t="str">
        <f>IF('Design Fee'!AG148&gt;0,"✔","-")</f>
        <v>-</v>
      </c>
      <c r="X146" s="198" t="str">
        <f>IF('Design Fee'!AH148&gt;0,"✔","-")</f>
        <v>-</v>
      </c>
      <c r="Y146" s="198" t="str">
        <f>IF('Design Fee'!AI148&gt;0,"✔","-")</f>
        <v>-</v>
      </c>
      <c r="Z146" s="198" t="str">
        <f>IF('Design Fee'!AJ148&gt;0,"✔","-")</f>
        <v>-</v>
      </c>
      <c r="AA146" s="184"/>
      <c r="AB146" s="195"/>
      <c r="AC146" s="196"/>
      <c r="AD146" s="197" t="str">
        <f>IF('Design Fee'!BG148&gt;0,"✔","-")</f>
        <v>-</v>
      </c>
      <c r="AE146" s="197" t="str">
        <f>IF('Design Fee'!BH148&gt;0,"✔","-")</f>
        <v>-</v>
      </c>
      <c r="AF146" s="198" t="str">
        <f>IF('Design Fee'!BI148&gt;0,"✔","-")</f>
        <v>-</v>
      </c>
      <c r="AG146" s="198" t="str">
        <f>IF('Design Fee'!BJ148&gt;0,"✔","-")</f>
        <v>-</v>
      </c>
      <c r="AH146" s="198" t="str">
        <f>IF('Design Fee'!BK148&gt;0,"✔","-")</f>
        <v>-</v>
      </c>
      <c r="AI146" s="198" t="str">
        <f>IF('Design Fee'!BL148&gt;0,"✔","-")</f>
        <v>-</v>
      </c>
      <c r="AJ146" s="198" t="str">
        <f>IF('Design Fee'!BM148&gt;0,"✔","-")</f>
        <v>-</v>
      </c>
      <c r="AK146" s="220" t="str">
        <f>IF('Design Fee'!BN148&gt;0,"✔","-")</f>
        <v>-</v>
      </c>
      <c r="AL146" s="199"/>
      <c r="AM146" s="198" t="str">
        <f>IF('Design Fee'!BP148&gt;0,"✔","-")</f>
        <v>-</v>
      </c>
      <c r="AN146" s="198" t="str">
        <f>IF('Design Fee'!BQ148&gt;0,"✔","-")</f>
        <v>-</v>
      </c>
      <c r="AO146" s="198" t="str">
        <f>IF('Design Fee'!BR148&gt;0,"✔","-")</f>
        <v>-</v>
      </c>
      <c r="AP146" s="198" t="str">
        <f>IF('Design Fee'!BS148&gt;0,"✔","-")</f>
        <v>-</v>
      </c>
      <c r="AQ146" s="198" t="str">
        <f>IF('Design Fee'!BT148&gt;0,"✔","-")</f>
        <v>-</v>
      </c>
      <c r="AR146" s="199"/>
      <c r="AS146" s="195"/>
      <c r="AT146" s="196"/>
      <c r="AU146" s="197" t="str">
        <f>IF('Design Fee'!CQ148&gt;0,"✔","-")</f>
        <v>✔</v>
      </c>
      <c r="AV146" s="197" t="str">
        <f>IF('Design Fee'!CR148&gt;0,"✔","-")</f>
        <v>✔</v>
      </c>
      <c r="AW146" s="198" t="str">
        <f>IF('Design Fee'!CS148&gt;0,"✔","-")</f>
        <v>✔</v>
      </c>
      <c r="AX146" s="198" t="str">
        <f>IF('Design Fee'!CT148&gt;0,"✔","-")</f>
        <v>-</v>
      </c>
      <c r="AY146" s="198" t="str">
        <f>IF('Design Fee'!CU148&gt;0,"✔","-")</f>
        <v>-</v>
      </c>
      <c r="AZ146" s="198" t="str">
        <f>IF('Design Fee'!CV148&gt;0,"✔","-")</f>
        <v>-</v>
      </c>
      <c r="BA146" s="198" t="str">
        <f>IF('Design Fee'!CW148&gt;0,"✔","-")</f>
        <v>-</v>
      </c>
      <c r="BB146" s="220" t="str">
        <f>IF('Design Fee'!CX148&gt;0,"✔","-")</f>
        <v>-</v>
      </c>
      <c r="BC146" s="199"/>
      <c r="BD146" s="198" t="str">
        <f>IF('Design Fee'!CZ148&gt;0,"✔","-")</f>
        <v>-</v>
      </c>
      <c r="BE146" s="198" t="str">
        <f>IF('Design Fee'!DA148&gt;0,"✔","-")</f>
        <v>-</v>
      </c>
      <c r="BF146" s="198" t="str">
        <f>IF('Design Fee'!DB148&gt;0,"✔","-")</f>
        <v>-</v>
      </c>
      <c r="BG146" s="198" t="str">
        <f>IF('Design Fee'!DC148&gt;0,"✔","-")</f>
        <v>-</v>
      </c>
      <c r="BH146" s="198" t="str">
        <f>IF('Design Fee'!DD148&gt;0,"✔","-")</f>
        <v>-</v>
      </c>
      <c r="BI146" s="199"/>
      <c r="BJ146" s="195"/>
      <c r="BK146" s="196"/>
      <c r="BL146" s="197" t="str">
        <f>IF('Design Fee'!EA148&gt;0,"✔","-")</f>
        <v>-</v>
      </c>
      <c r="BM146" s="197" t="str">
        <f>IF('Design Fee'!EB148&gt;0,"✔","-")</f>
        <v>-</v>
      </c>
      <c r="BN146" s="198" t="str">
        <f>IF('Design Fee'!EC148&gt;0,"✔","-")</f>
        <v>-</v>
      </c>
      <c r="BO146" s="198" t="str">
        <f>IF('Design Fee'!ED148&gt;0,"✔","-")</f>
        <v>-</v>
      </c>
      <c r="BP146" s="198" t="str">
        <f>IF('Design Fee'!EE148&gt;0,"✔","-")</f>
        <v>-</v>
      </c>
      <c r="BQ146" s="198" t="str">
        <f>IF('Design Fee'!EF148&gt;0,"✔","-")</f>
        <v>-</v>
      </c>
      <c r="BR146" s="198" t="str">
        <f>IF('Design Fee'!EG148&gt;0,"✔","-")</f>
        <v>-</v>
      </c>
      <c r="BS146" s="220" t="str">
        <f>IF('Design Fee'!EH148&gt;0,"✔","-")</f>
        <v>-</v>
      </c>
      <c r="BT146" s="137"/>
      <c r="BU146" s="198" t="str">
        <f>IF('Design Fee'!EJ148&gt;0,"✔","-")</f>
        <v>-</v>
      </c>
      <c r="BV146" s="198" t="str">
        <f>IF('Design Fee'!EK148&gt;0,"✔","-")</f>
        <v>-</v>
      </c>
      <c r="BW146" s="198" t="str">
        <f>IF('Design Fee'!EL148&gt;0,"✔","-")</f>
        <v>-</v>
      </c>
      <c r="BX146" s="198" t="str">
        <f>IF('Design Fee'!EM148&gt;0,"✔","-")</f>
        <v>-</v>
      </c>
      <c r="BY146" s="198" t="str">
        <f>IF('Design Fee'!EN148&gt;0,"✔","-")</f>
        <v>-</v>
      </c>
      <c r="BZ146" s="137"/>
    </row>
    <row r="147" spans="2:78" ht="12.75" outlineLevel="2">
      <c r="B147" s="237"/>
      <c r="C147" s="238"/>
      <c r="D147" s="219"/>
      <c r="E147" s="137"/>
      <c r="F147" s="197"/>
      <c r="G147" s="198"/>
      <c r="H147" s="198"/>
      <c r="I147" s="198"/>
      <c r="J147" s="184"/>
      <c r="K147" s="195"/>
      <c r="L147" s="196"/>
      <c r="M147" s="197"/>
      <c r="N147" s="197"/>
      <c r="O147" s="198" t="str">
        <f>IF('Design Fee'!Y149&gt;0,"✔","-")</f>
        <v>-</v>
      </c>
      <c r="P147" s="198" t="str">
        <f>IF('Design Fee'!Z149&gt;0,"✔","-")</f>
        <v>-</v>
      </c>
      <c r="Q147" s="198" t="str">
        <f>IF('Design Fee'!AA149&gt;0,"✔","-")</f>
        <v>-</v>
      </c>
      <c r="R147" s="198" t="str">
        <f>IF('Design Fee'!AB149&gt;0,"✔","-")</f>
        <v>-</v>
      </c>
      <c r="S147" s="198" t="str">
        <f>IF('Design Fee'!AC149&gt;0,"✔","-")</f>
        <v>-</v>
      </c>
      <c r="T147" s="220" t="str">
        <f>IF('Design Fee'!AD149&gt;0,"✔","-")</f>
        <v>-</v>
      </c>
      <c r="U147" s="184"/>
      <c r="V147" s="198" t="str">
        <f>IF('Design Fee'!AF149&gt;0,"✔","-")</f>
        <v>-</v>
      </c>
      <c r="W147" s="198" t="str">
        <f>IF('Design Fee'!AG149&gt;0,"✔","-")</f>
        <v>-</v>
      </c>
      <c r="X147" s="198" t="str">
        <f>IF('Design Fee'!AH149&gt;0,"✔","-")</f>
        <v>-</v>
      </c>
      <c r="Y147" s="198" t="str">
        <f>IF('Design Fee'!AI149&gt;0,"✔","-")</f>
        <v>-</v>
      </c>
      <c r="Z147" s="198" t="str">
        <f>IF('Design Fee'!AJ149&gt;0,"✔","-")</f>
        <v>-</v>
      </c>
      <c r="AA147" s="184"/>
      <c r="AB147" s="195"/>
      <c r="AC147" s="196"/>
      <c r="AD147" s="197" t="str">
        <f>IF('Design Fee'!BG149&gt;0,"✔","-")</f>
        <v>-</v>
      </c>
      <c r="AE147" s="197" t="str">
        <f>IF('Design Fee'!BH149&gt;0,"✔","-")</f>
        <v>-</v>
      </c>
      <c r="AF147" s="198" t="str">
        <f>IF('Design Fee'!BI149&gt;0,"✔","-")</f>
        <v>-</v>
      </c>
      <c r="AG147" s="198" t="str">
        <f>IF('Design Fee'!BJ149&gt;0,"✔","-")</f>
        <v>-</v>
      </c>
      <c r="AH147" s="198" t="str">
        <f>IF('Design Fee'!BK149&gt;0,"✔","-")</f>
        <v>-</v>
      </c>
      <c r="AI147" s="198" t="str">
        <f>IF('Design Fee'!BL149&gt;0,"✔","-")</f>
        <v>-</v>
      </c>
      <c r="AJ147" s="198" t="str">
        <f>IF('Design Fee'!BM149&gt;0,"✔","-")</f>
        <v>-</v>
      </c>
      <c r="AK147" s="220" t="str">
        <f>IF('Design Fee'!BN149&gt;0,"✔","-")</f>
        <v>-</v>
      </c>
      <c r="AL147" s="199"/>
      <c r="AM147" s="198" t="str">
        <f>IF('Design Fee'!BP149&gt;0,"✔","-")</f>
        <v>-</v>
      </c>
      <c r="AN147" s="198" t="str">
        <f>IF('Design Fee'!BQ149&gt;0,"✔","-")</f>
        <v>-</v>
      </c>
      <c r="AO147" s="198" t="str">
        <f>IF('Design Fee'!BR149&gt;0,"✔","-")</f>
        <v>-</v>
      </c>
      <c r="AP147" s="198" t="str">
        <f>IF('Design Fee'!BS149&gt;0,"✔","-")</f>
        <v>-</v>
      </c>
      <c r="AQ147" s="198" t="str">
        <f>IF('Design Fee'!BT149&gt;0,"✔","-")</f>
        <v>-</v>
      </c>
      <c r="AR147" s="199"/>
      <c r="AS147" s="195"/>
      <c r="AT147" s="196"/>
      <c r="AU147" s="197" t="str">
        <f>IF('Design Fee'!CQ149&gt;0,"✔","-")</f>
        <v>-</v>
      </c>
      <c r="AV147" s="197" t="str">
        <f>IF('Design Fee'!CR149&gt;0,"✔","-")</f>
        <v>-</v>
      </c>
      <c r="AW147" s="198" t="str">
        <f>IF('Design Fee'!CS149&gt;0,"✔","-")</f>
        <v>-</v>
      </c>
      <c r="AX147" s="198" t="str">
        <f>IF('Design Fee'!CT149&gt;0,"✔","-")</f>
        <v>-</v>
      </c>
      <c r="AY147" s="198" t="str">
        <f>IF('Design Fee'!CU149&gt;0,"✔","-")</f>
        <v>-</v>
      </c>
      <c r="AZ147" s="198" t="str">
        <f>IF('Design Fee'!CV149&gt;0,"✔","-")</f>
        <v>-</v>
      </c>
      <c r="BA147" s="198" t="str">
        <f>IF('Design Fee'!CW149&gt;0,"✔","-")</f>
        <v>-</v>
      </c>
      <c r="BB147" s="220" t="str">
        <f>IF('Design Fee'!CX149&gt;0,"✔","-")</f>
        <v>-</v>
      </c>
      <c r="BC147" s="199"/>
      <c r="BD147" s="198" t="str">
        <f>IF('Design Fee'!CZ149&gt;0,"✔","-")</f>
        <v>-</v>
      </c>
      <c r="BE147" s="198" t="str">
        <f>IF('Design Fee'!DA149&gt;0,"✔","-")</f>
        <v>-</v>
      </c>
      <c r="BF147" s="198" t="str">
        <f>IF('Design Fee'!DB149&gt;0,"✔","-")</f>
        <v>-</v>
      </c>
      <c r="BG147" s="198" t="str">
        <f>IF('Design Fee'!DC149&gt;0,"✔","-")</f>
        <v>-</v>
      </c>
      <c r="BH147" s="198" t="str">
        <f>IF('Design Fee'!DD149&gt;0,"✔","-")</f>
        <v>-</v>
      </c>
      <c r="BI147" s="199"/>
      <c r="BJ147" s="195"/>
      <c r="BK147" s="196"/>
      <c r="BL147" s="197" t="str">
        <f>IF('Design Fee'!EA149&gt;0,"✔","-")</f>
        <v>-</v>
      </c>
      <c r="BM147" s="197" t="str">
        <f>IF('Design Fee'!EB149&gt;0,"✔","-")</f>
        <v>-</v>
      </c>
      <c r="BN147" s="198" t="str">
        <f>IF('Design Fee'!EC149&gt;0,"✔","-")</f>
        <v>-</v>
      </c>
      <c r="BO147" s="198" t="str">
        <f>IF('Design Fee'!ED149&gt;0,"✔","-")</f>
        <v>-</v>
      </c>
      <c r="BP147" s="198" t="str">
        <f>IF('Design Fee'!EE149&gt;0,"✔","-")</f>
        <v>-</v>
      </c>
      <c r="BQ147" s="198" t="str">
        <f>IF('Design Fee'!EF149&gt;0,"✔","-")</f>
        <v>-</v>
      </c>
      <c r="BR147" s="198" t="str">
        <f>IF('Design Fee'!EG149&gt;0,"✔","-")</f>
        <v>-</v>
      </c>
      <c r="BS147" s="220" t="str">
        <f>IF('Design Fee'!EH149&gt;0,"✔","-")</f>
        <v>-</v>
      </c>
      <c r="BT147" s="137"/>
      <c r="BU147" s="198" t="str">
        <f>IF('Design Fee'!EJ149&gt;0,"✔","-")</f>
        <v>-</v>
      </c>
      <c r="BV147" s="198" t="str">
        <f>IF('Design Fee'!EK149&gt;0,"✔","-")</f>
        <v>-</v>
      </c>
      <c r="BW147" s="198" t="str">
        <f>IF('Design Fee'!EL149&gt;0,"✔","-")</f>
        <v>-</v>
      </c>
      <c r="BX147" s="198" t="str">
        <f>IF('Design Fee'!EM149&gt;0,"✔","-")</f>
        <v>-</v>
      </c>
      <c r="BY147" s="198" t="str">
        <f>IF('Design Fee'!EN149&gt;0,"✔","-")</f>
        <v>-</v>
      </c>
      <c r="BZ147" s="137"/>
    </row>
    <row r="148" spans="2:78" ht="12.75" outlineLevel="2">
      <c r="B148" s="237">
        <v>2.1</v>
      </c>
      <c r="C148" s="238">
        <v>2.1</v>
      </c>
      <c r="D148" s="239" t="s">
        <v>157</v>
      </c>
      <c r="E148" s="137"/>
      <c r="F148" s="162"/>
      <c r="G148" s="198"/>
      <c r="H148" s="198"/>
      <c r="I148" s="198"/>
      <c r="J148" s="184"/>
      <c r="K148" s="233"/>
      <c r="L148" s="233"/>
      <c r="M148" s="197" t="str">
        <f>IF('Design Fee'!W150&gt;0,"✔","-")</f>
        <v>-</v>
      </c>
      <c r="N148" s="197" t="str">
        <f>IF('Design Fee'!X150&gt;0,"✔","-")</f>
        <v>-</v>
      </c>
      <c r="O148" s="198" t="str">
        <f>IF('Design Fee'!Y150&gt;0,"✔","-")</f>
        <v>-</v>
      </c>
      <c r="P148" s="198" t="str">
        <f>IF('Design Fee'!Z150&gt;0,"✔","-")</f>
        <v>-</v>
      </c>
      <c r="Q148" s="198" t="str">
        <f>IF('Design Fee'!AA150&gt;0,"✔","-")</f>
        <v>-</v>
      </c>
      <c r="R148" s="198" t="str">
        <f>IF('Design Fee'!AB150&gt;0,"✔","-")</f>
        <v>-</v>
      </c>
      <c r="S148" s="198" t="str">
        <f>IF('Design Fee'!AC150&gt;0,"✔","-")</f>
        <v>-</v>
      </c>
      <c r="T148" s="220" t="str">
        <f>IF('Design Fee'!AD150&gt;0,"✔","-")</f>
        <v>-</v>
      </c>
      <c r="U148" s="184"/>
      <c r="V148" s="198" t="str">
        <f>IF('Design Fee'!AF150&gt;0,"✔","-")</f>
        <v>-</v>
      </c>
      <c r="W148" s="198" t="str">
        <f>IF('Design Fee'!AG150&gt;0,"✔","-")</f>
        <v>-</v>
      </c>
      <c r="X148" s="198" t="str">
        <f>IF('Design Fee'!AH150&gt;0,"✔","-")</f>
        <v>-</v>
      </c>
      <c r="Y148" s="198" t="str">
        <f>IF('Design Fee'!AI150&gt;0,"✔","-")</f>
        <v>-</v>
      </c>
      <c r="Z148" s="198" t="str">
        <f>IF('Design Fee'!AJ150&gt;0,"✔","-")</f>
        <v>-</v>
      </c>
      <c r="AA148" s="184"/>
      <c r="AB148" s="233"/>
      <c r="AC148" s="233"/>
      <c r="AD148" s="197"/>
      <c r="AE148" s="197"/>
      <c r="AF148" s="198"/>
      <c r="AG148" s="198" t="str">
        <f>IF('Design Fee'!BJ150&gt;0,"✔","-")</f>
        <v>-</v>
      </c>
      <c r="AH148" s="198" t="str">
        <f>IF('Design Fee'!BK150&gt;0,"✔","-")</f>
        <v>-</v>
      </c>
      <c r="AI148" s="198" t="str">
        <f>IF('Design Fee'!BL150&gt;0,"✔","-")</f>
        <v>-</v>
      </c>
      <c r="AJ148" s="198" t="str">
        <f>IF('Design Fee'!BM150&gt;0,"✔","-")</f>
        <v>-</v>
      </c>
      <c r="AK148" s="220" t="str">
        <f>IF('Design Fee'!BN150&gt;0,"✔","-")</f>
        <v>-</v>
      </c>
      <c r="AL148" s="233"/>
      <c r="AM148" s="198" t="str">
        <f>IF('Design Fee'!BP150&gt;0,"✔","-")</f>
        <v>-</v>
      </c>
      <c r="AN148" s="198" t="str">
        <f>IF('Design Fee'!BQ150&gt;0,"✔","-")</f>
        <v>-</v>
      </c>
      <c r="AO148" s="198" t="str">
        <f>IF('Design Fee'!BR150&gt;0,"✔","-")</f>
        <v>-</v>
      </c>
      <c r="AP148" s="198" t="str">
        <f>IF('Design Fee'!BS150&gt;0,"✔","-")</f>
        <v>-</v>
      </c>
      <c r="AQ148" s="198" t="str">
        <f>IF('Design Fee'!BT150&gt;0,"✔","-")</f>
        <v>-</v>
      </c>
      <c r="AR148" s="233"/>
      <c r="AS148" s="233"/>
      <c r="AT148" s="233"/>
      <c r="AU148" s="197" t="str">
        <f>IF('Design Fee'!CQ150&gt;0,"✔","-")</f>
        <v>-</v>
      </c>
      <c r="AV148" s="197" t="str">
        <f>IF('Design Fee'!CR150&gt;0,"✔","-")</f>
        <v>-</v>
      </c>
      <c r="AW148" s="198" t="str">
        <f>IF('Design Fee'!CS150&gt;0,"✔","-")</f>
        <v>-</v>
      </c>
      <c r="AX148" s="198" t="str">
        <f>IF('Design Fee'!CT150&gt;0,"✔","-")</f>
        <v>-</v>
      </c>
      <c r="AY148" s="198" t="str">
        <f>IF('Design Fee'!CU150&gt;0,"✔","-")</f>
        <v>-</v>
      </c>
      <c r="AZ148" s="198" t="str">
        <f>IF('Design Fee'!CV150&gt;0,"✔","-")</f>
        <v>-</v>
      </c>
      <c r="BA148" s="198" t="str">
        <f>IF('Design Fee'!CW150&gt;0,"✔","-")</f>
        <v>-</v>
      </c>
      <c r="BB148" s="220" t="str">
        <f>IF('Design Fee'!CX150&gt;0,"✔","-")</f>
        <v>-</v>
      </c>
      <c r="BC148" s="233"/>
      <c r="BD148" s="198" t="str">
        <f>IF('Design Fee'!CZ150&gt;0,"✔","-")</f>
        <v>-</v>
      </c>
      <c r="BE148" s="198" t="str">
        <f>IF('Design Fee'!DA150&gt;0,"✔","-")</f>
        <v>-</v>
      </c>
      <c r="BF148" s="198" t="str">
        <f>IF('Design Fee'!DB150&gt;0,"✔","-")</f>
        <v>-</v>
      </c>
      <c r="BG148" s="198" t="str">
        <f>IF('Design Fee'!DC150&gt;0,"✔","-")</f>
        <v>-</v>
      </c>
      <c r="BH148" s="198" t="str">
        <f>IF('Design Fee'!DD150&gt;0,"✔","-")</f>
        <v>-</v>
      </c>
      <c r="BI148" s="233"/>
      <c r="BJ148" s="233"/>
      <c r="BK148" s="233"/>
      <c r="BL148" s="197" t="str">
        <f>IF('Design Fee'!EA150&gt;0,"✔","-")</f>
        <v>-</v>
      </c>
      <c r="BM148" s="197" t="str">
        <f>IF('Design Fee'!EB150&gt;0,"✔","-")</f>
        <v>-</v>
      </c>
      <c r="BN148" s="198" t="str">
        <f>IF('Design Fee'!EC150&gt;0,"✔","-")</f>
        <v>-</v>
      </c>
      <c r="BO148" s="198" t="str">
        <f>IF('Design Fee'!ED150&gt;0,"✔","-")</f>
        <v>-</v>
      </c>
      <c r="BP148" s="198" t="str">
        <f>IF('Design Fee'!EE150&gt;0,"✔","-")</f>
        <v>-</v>
      </c>
      <c r="BQ148" s="198" t="str">
        <f>IF('Design Fee'!EF150&gt;0,"✔","-")</f>
        <v>-</v>
      </c>
      <c r="BR148" s="198" t="str">
        <f>IF('Design Fee'!EG150&gt;0,"✔","-")</f>
        <v>-</v>
      </c>
      <c r="BS148" s="220" t="str">
        <f>IF('Design Fee'!EH150&gt;0,"✔","-")</f>
        <v>-</v>
      </c>
      <c r="BT148" s="137"/>
      <c r="BU148" s="198" t="str">
        <f>IF('Design Fee'!EJ150&gt;0,"✔","-")</f>
        <v>-</v>
      </c>
      <c r="BV148" s="198" t="str">
        <f>IF('Design Fee'!EK150&gt;0,"✔","-")</f>
        <v>-</v>
      </c>
      <c r="BW148" s="198" t="str">
        <f>IF('Design Fee'!EL150&gt;0,"✔","-")</f>
        <v>-</v>
      </c>
      <c r="BX148" s="198" t="str">
        <f>IF('Design Fee'!EM150&gt;0,"✔","-")</f>
        <v>-</v>
      </c>
      <c r="BY148" s="198" t="str">
        <f>IF('Design Fee'!EN150&gt;0,"✔","-")</f>
        <v>-</v>
      </c>
      <c r="BZ148" s="137"/>
    </row>
    <row r="149" spans="2:78" ht="12.75" outlineLevel="3">
      <c r="B149" s="217" t="s">
        <v>158</v>
      </c>
      <c r="C149" s="218">
        <v>1</v>
      </c>
      <c r="D149" s="219" t="s">
        <v>152</v>
      </c>
      <c r="E149" s="137"/>
      <c r="F149" s="197">
        <f t="shared" ref="F149:H150" si="535">COUNTIF(M149,"✔")+COUNTIF(AD149,"✔")+COUNTIF(BL149,"✔")+COUNTIF(AU149,"✔")</f>
        <v>1</v>
      </c>
      <c r="G149" s="198">
        <f t="shared" si="535"/>
        <v>1</v>
      </c>
      <c r="H149" s="198">
        <f t="shared" si="535"/>
        <v>1</v>
      </c>
      <c r="I149" s="198">
        <f t="shared" ref="I149:I150" si="536">F149-G149</f>
        <v>0</v>
      </c>
      <c r="J149" s="184"/>
      <c r="K149" s="203"/>
      <c r="L149" s="196"/>
      <c r="M149" s="197" t="str">
        <f>IF('Design Fee'!W151&gt;0,"✔","-")</f>
        <v>-</v>
      </c>
      <c r="N149" s="197" t="str">
        <f>IF('Design Fee'!X151&gt;0,"✔","-")</f>
        <v>-</v>
      </c>
      <c r="O149" s="198" t="str">
        <f>IF('Design Fee'!Y151&gt;0,"✔","-")</f>
        <v>-</v>
      </c>
      <c r="P149" s="198" t="str">
        <f>IF('Design Fee'!Z151&gt;0,"✔","-")</f>
        <v>-</v>
      </c>
      <c r="Q149" s="198" t="str">
        <f>IF('Design Fee'!AA151&gt;0,"✔","-")</f>
        <v>-</v>
      </c>
      <c r="R149" s="198" t="str">
        <f>IF('Design Fee'!AB151&gt;0,"✔","-")</f>
        <v>-</v>
      </c>
      <c r="S149" s="198" t="str">
        <f>IF('Design Fee'!AC151&gt;0,"✔","-")</f>
        <v>-</v>
      </c>
      <c r="T149" s="220" t="str">
        <f>IF('Design Fee'!AD151&gt;0,"✔","-")</f>
        <v>-</v>
      </c>
      <c r="U149" s="184"/>
      <c r="V149" s="198" t="str">
        <f>IF('Design Fee'!AF151&gt;0,"✔","-")</f>
        <v>-</v>
      </c>
      <c r="W149" s="198" t="str">
        <f>IF('Design Fee'!AG151&gt;0,"✔","-")</f>
        <v>-</v>
      </c>
      <c r="X149" s="198" t="str">
        <f>IF('Design Fee'!AH151&gt;0,"✔","-")</f>
        <v>-</v>
      </c>
      <c r="Y149" s="198" t="str">
        <f>IF('Design Fee'!AI151&gt;0,"✔","-")</f>
        <v>-</v>
      </c>
      <c r="Z149" s="198" t="str">
        <f>IF('Design Fee'!AJ151&gt;0,"✔","-")</f>
        <v>-</v>
      </c>
      <c r="AA149" s="184"/>
      <c r="AB149" s="203"/>
      <c r="AC149" s="196"/>
      <c r="AD149" s="197" t="str">
        <f>IF('Design Fee'!BG151&gt;0,"✔","-")</f>
        <v>✔</v>
      </c>
      <c r="AE149" s="197" t="str">
        <f>IF('Design Fee'!BH151&gt;0,"✔","-")</f>
        <v>✔</v>
      </c>
      <c r="AF149" s="198" t="str">
        <f>IF('Design Fee'!BI151&gt;0,"✔","-")</f>
        <v>✔</v>
      </c>
      <c r="AG149" s="198" t="str">
        <f>IF('Design Fee'!BJ151&gt;0,"✔","-")</f>
        <v>-</v>
      </c>
      <c r="AH149" s="198" t="str">
        <f>IF('Design Fee'!BK151&gt;0,"✔","-")</f>
        <v>-</v>
      </c>
      <c r="AI149" s="198" t="str">
        <f>IF('Design Fee'!BL151&gt;0,"✔","-")</f>
        <v>-</v>
      </c>
      <c r="AJ149" s="198" t="str">
        <f>IF('Design Fee'!BM151&gt;0,"✔","-")</f>
        <v>-</v>
      </c>
      <c r="AK149" s="220" t="str">
        <f>IF('Design Fee'!BN151&gt;0,"✔","-")</f>
        <v>-</v>
      </c>
      <c r="AL149" s="199"/>
      <c r="AM149" s="198" t="str">
        <f>IF('Design Fee'!BP151&gt;0,"✔","-")</f>
        <v>-</v>
      </c>
      <c r="AN149" s="198" t="str">
        <f>IF('Design Fee'!BQ151&gt;0,"✔","-")</f>
        <v>-</v>
      </c>
      <c r="AO149" s="198" t="str">
        <f>IF('Design Fee'!BR151&gt;0,"✔","-")</f>
        <v>-</v>
      </c>
      <c r="AP149" s="198" t="str">
        <f>IF('Design Fee'!BS151&gt;0,"✔","-")</f>
        <v>-</v>
      </c>
      <c r="AQ149" s="198" t="str">
        <f>IF('Design Fee'!BT151&gt;0,"✔","-")</f>
        <v>-</v>
      </c>
      <c r="AR149" s="199"/>
      <c r="AS149" s="203"/>
      <c r="AT149" s="196"/>
      <c r="AU149" s="197" t="str">
        <f>IF('Design Fee'!CQ151&gt;0,"✔","-")</f>
        <v>-</v>
      </c>
      <c r="AV149" s="197" t="str">
        <f>IF('Design Fee'!CR151&gt;0,"✔","-")</f>
        <v>-</v>
      </c>
      <c r="AW149" s="198" t="str">
        <f>IF('Design Fee'!CS151&gt;0,"✔","-")</f>
        <v>-</v>
      </c>
      <c r="AX149" s="198" t="str">
        <f>IF('Design Fee'!CT151&gt;0,"✔","-")</f>
        <v>-</v>
      </c>
      <c r="AY149" s="198" t="str">
        <f>IF('Design Fee'!CU151&gt;0,"✔","-")</f>
        <v>-</v>
      </c>
      <c r="AZ149" s="198" t="str">
        <f>IF('Design Fee'!CV151&gt;0,"✔","-")</f>
        <v>-</v>
      </c>
      <c r="BA149" s="198" t="str">
        <f>IF('Design Fee'!CW151&gt;0,"✔","-")</f>
        <v>-</v>
      </c>
      <c r="BB149" s="220" t="str">
        <f>IF('Design Fee'!CX151&gt;0,"✔","-")</f>
        <v>-</v>
      </c>
      <c r="BC149" s="199"/>
      <c r="BD149" s="198" t="str">
        <f>IF('Design Fee'!CZ151&gt;0,"✔","-")</f>
        <v>-</v>
      </c>
      <c r="BE149" s="198" t="str">
        <f>IF('Design Fee'!DA151&gt;0,"✔","-")</f>
        <v>-</v>
      </c>
      <c r="BF149" s="198" t="str">
        <f>IF('Design Fee'!DB151&gt;0,"✔","-")</f>
        <v>-</v>
      </c>
      <c r="BG149" s="198" t="str">
        <f>IF('Design Fee'!DC151&gt;0,"✔","-")</f>
        <v>-</v>
      </c>
      <c r="BH149" s="198" t="str">
        <f>IF('Design Fee'!DD151&gt;0,"✔","-")</f>
        <v>-</v>
      </c>
      <c r="BI149" s="199"/>
      <c r="BJ149" s="203"/>
      <c r="BK149" s="196"/>
      <c r="BL149" s="197" t="str">
        <f>IF('Design Fee'!EA151&gt;0,"✔","-")</f>
        <v>-</v>
      </c>
      <c r="BM149" s="197" t="str">
        <f>IF('Design Fee'!EB151&gt;0,"✔","-")</f>
        <v>-</v>
      </c>
      <c r="BN149" s="198" t="str">
        <f>IF('Design Fee'!EC151&gt;0,"✔","-")</f>
        <v>-</v>
      </c>
      <c r="BO149" s="198" t="str">
        <f>IF('Design Fee'!ED151&gt;0,"✔","-")</f>
        <v>-</v>
      </c>
      <c r="BP149" s="198" t="str">
        <f>IF('Design Fee'!EE151&gt;0,"✔","-")</f>
        <v>-</v>
      </c>
      <c r="BQ149" s="198" t="str">
        <f>IF('Design Fee'!EF151&gt;0,"✔","-")</f>
        <v>-</v>
      </c>
      <c r="BR149" s="198" t="str">
        <f>IF('Design Fee'!EG151&gt;0,"✔","-")</f>
        <v>-</v>
      </c>
      <c r="BS149" s="220" t="str">
        <f>IF('Design Fee'!EH151&gt;0,"✔","-")</f>
        <v>-</v>
      </c>
      <c r="BT149" s="137"/>
      <c r="BU149" s="198" t="str">
        <f>IF('Design Fee'!EJ151&gt;0,"✔","-")</f>
        <v>-</v>
      </c>
      <c r="BV149" s="198" t="str">
        <f>IF('Design Fee'!EK151&gt;0,"✔","-")</f>
        <v>-</v>
      </c>
      <c r="BW149" s="198" t="str">
        <f>IF('Design Fee'!EL151&gt;0,"✔","-")</f>
        <v>-</v>
      </c>
      <c r="BX149" s="198" t="str">
        <f>IF('Design Fee'!EM151&gt;0,"✔","-")</f>
        <v>-</v>
      </c>
      <c r="BY149" s="198" t="str">
        <f>IF('Design Fee'!EN151&gt;0,"✔","-")</f>
        <v>-</v>
      </c>
      <c r="BZ149" s="137"/>
    </row>
    <row r="150" spans="2:78" ht="12.75" outlineLevel="3">
      <c r="B150" s="217" t="s">
        <v>159</v>
      </c>
      <c r="C150" s="218">
        <v>2</v>
      </c>
      <c r="D150" s="219" t="s">
        <v>154</v>
      </c>
      <c r="E150" s="137"/>
      <c r="F150" s="197">
        <f t="shared" si="535"/>
        <v>1</v>
      </c>
      <c r="G150" s="198">
        <f t="shared" si="535"/>
        <v>1</v>
      </c>
      <c r="H150" s="198">
        <f t="shared" si="535"/>
        <v>1</v>
      </c>
      <c r="I150" s="198">
        <f t="shared" si="536"/>
        <v>0</v>
      </c>
      <c r="J150" s="184"/>
      <c r="K150" s="203"/>
      <c r="L150" s="196"/>
      <c r="M150" s="197" t="str">
        <f>IF('Design Fee'!W152&gt;0,"✔","-")</f>
        <v>-</v>
      </c>
      <c r="N150" s="197" t="str">
        <f>IF('Design Fee'!X152&gt;0,"✔","-")</f>
        <v>-</v>
      </c>
      <c r="O150" s="198" t="str">
        <f>IF('Design Fee'!Y152&gt;0,"✔","-")</f>
        <v>-</v>
      </c>
      <c r="P150" s="198" t="str">
        <f>IF('Design Fee'!Z152&gt;0,"✔","-")</f>
        <v>-</v>
      </c>
      <c r="Q150" s="198" t="str">
        <f>IF('Design Fee'!AA152&gt;0,"✔","-")</f>
        <v>-</v>
      </c>
      <c r="R150" s="198" t="str">
        <f>IF('Design Fee'!AB152&gt;0,"✔","-")</f>
        <v>-</v>
      </c>
      <c r="S150" s="198" t="str">
        <f>IF('Design Fee'!AC152&gt;0,"✔","-")</f>
        <v>-</v>
      </c>
      <c r="T150" s="220" t="str">
        <f>IF('Design Fee'!AD152&gt;0,"✔","-")</f>
        <v>-</v>
      </c>
      <c r="U150" s="184"/>
      <c r="V150" s="198" t="str">
        <f>IF('Design Fee'!AF152&gt;0,"✔","-")</f>
        <v>-</v>
      </c>
      <c r="W150" s="198" t="str">
        <f>IF('Design Fee'!AG152&gt;0,"✔","-")</f>
        <v>-</v>
      </c>
      <c r="X150" s="198" t="str">
        <f>IF('Design Fee'!AH152&gt;0,"✔","-")</f>
        <v>-</v>
      </c>
      <c r="Y150" s="198" t="str">
        <f>IF('Design Fee'!AI152&gt;0,"✔","-")</f>
        <v>-</v>
      </c>
      <c r="Z150" s="198" t="str">
        <f>IF('Design Fee'!AJ152&gt;0,"✔","-")</f>
        <v>-</v>
      </c>
      <c r="AA150" s="184"/>
      <c r="AB150" s="203"/>
      <c r="AC150" s="196"/>
      <c r="AD150" s="197" t="str">
        <f>IF('Design Fee'!BG152&gt;0,"✔","-")</f>
        <v>✔</v>
      </c>
      <c r="AE150" s="197" t="str">
        <f>IF('Design Fee'!BH152&gt;0,"✔","-")</f>
        <v>✔</v>
      </c>
      <c r="AF150" s="198" t="str">
        <f>IF('Design Fee'!BI152&gt;0,"✔","-")</f>
        <v>✔</v>
      </c>
      <c r="AG150" s="198" t="str">
        <f>IF('Design Fee'!BJ152&gt;0,"✔","-")</f>
        <v>-</v>
      </c>
      <c r="AH150" s="198" t="str">
        <f>IF('Design Fee'!BK152&gt;0,"✔","-")</f>
        <v>-</v>
      </c>
      <c r="AI150" s="198" t="str">
        <f>IF('Design Fee'!BL152&gt;0,"✔","-")</f>
        <v>-</v>
      </c>
      <c r="AJ150" s="198" t="str">
        <f>IF('Design Fee'!BM152&gt;0,"✔","-")</f>
        <v>-</v>
      </c>
      <c r="AK150" s="220" t="str">
        <f>IF('Design Fee'!BN152&gt;0,"✔","-")</f>
        <v>-</v>
      </c>
      <c r="AL150" s="199"/>
      <c r="AM150" s="198" t="str">
        <f>IF('Design Fee'!BP152&gt;0,"✔","-")</f>
        <v>-</v>
      </c>
      <c r="AN150" s="198" t="str">
        <f>IF('Design Fee'!BQ152&gt;0,"✔","-")</f>
        <v>-</v>
      </c>
      <c r="AO150" s="198" t="str">
        <f>IF('Design Fee'!BR152&gt;0,"✔","-")</f>
        <v>-</v>
      </c>
      <c r="AP150" s="198" t="str">
        <f>IF('Design Fee'!BS152&gt;0,"✔","-")</f>
        <v>-</v>
      </c>
      <c r="AQ150" s="198" t="str">
        <f>IF('Design Fee'!BT152&gt;0,"✔","-")</f>
        <v>-</v>
      </c>
      <c r="AR150" s="199"/>
      <c r="AS150" s="203"/>
      <c r="AT150" s="196"/>
      <c r="AU150" s="197" t="str">
        <f>IF('Design Fee'!CQ152&gt;0,"✔","-")</f>
        <v>-</v>
      </c>
      <c r="AV150" s="197" t="str">
        <f>IF('Design Fee'!CR152&gt;0,"✔","-")</f>
        <v>-</v>
      </c>
      <c r="AW150" s="198" t="str">
        <f>IF('Design Fee'!CS152&gt;0,"✔","-")</f>
        <v>-</v>
      </c>
      <c r="AX150" s="198" t="str">
        <f>IF('Design Fee'!CT152&gt;0,"✔","-")</f>
        <v>-</v>
      </c>
      <c r="AY150" s="198" t="str">
        <f>IF('Design Fee'!CU152&gt;0,"✔","-")</f>
        <v>-</v>
      </c>
      <c r="AZ150" s="198" t="str">
        <f>IF('Design Fee'!CV152&gt;0,"✔","-")</f>
        <v>-</v>
      </c>
      <c r="BA150" s="198" t="str">
        <f>IF('Design Fee'!CW152&gt;0,"✔","-")</f>
        <v>-</v>
      </c>
      <c r="BB150" s="220" t="str">
        <f>IF('Design Fee'!CX152&gt;0,"✔","-")</f>
        <v>-</v>
      </c>
      <c r="BC150" s="199"/>
      <c r="BD150" s="198" t="str">
        <f>IF('Design Fee'!CZ152&gt;0,"✔","-")</f>
        <v>-</v>
      </c>
      <c r="BE150" s="198" t="str">
        <f>IF('Design Fee'!DA152&gt;0,"✔","-")</f>
        <v>-</v>
      </c>
      <c r="BF150" s="198" t="str">
        <f>IF('Design Fee'!DB152&gt;0,"✔","-")</f>
        <v>-</v>
      </c>
      <c r="BG150" s="198" t="str">
        <f>IF('Design Fee'!DC152&gt;0,"✔","-")</f>
        <v>-</v>
      </c>
      <c r="BH150" s="198" t="str">
        <f>IF('Design Fee'!DD152&gt;0,"✔","-")</f>
        <v>-</v>
      </c>
      <c r="BI150" s="199"/>
      <c r="BJ150" s="203"/>
      <c r="BK150" s="196"/>
      <c r="BL150" s="197" t="str">
        <f>IF('Design Fee'!EA152&gt;0,"✔","-")</f>
        <v>-</v>
      </c>
      <c r="BM150" s="197" t="str">
        <f>IF('Design Fee'!EB152&gt;0,"✔","-")</f>
        <v>-</v>
      </c>
      <c r="BN150" s="198" t="str">
        <f>IF('Design Fee'!EC152&gt;0,"✔","-")</f>
        <v>-</v>
      </c>
      <c r="BO150" s="198" t="str">
        <f>IF('Design Fee'!ED152&gt;0,"✔","-")</f>
        <v>-</v>
      </c>
      <c r="BP150" s="198" t="str">
        <f>IF('Design Fee'!EE152&gt;0,"✔","-")</f>
        <v>-</v>
      </c>
      <c r="BQ150" s="198" t="str">
        <f>IF('Design Fee'!EF152&gt;0,"✔","-")</f>
        <v>-</v>
      </c>
      <c r="BR150" s="198" t="str">
        <f>IF('Design Fee'!EG152&gt;0,"✔","-")</f>
        <v>-</v>
      </c>
      <c r="BS150" s="220" t="str">
        <f>IF('Design Fee'!EH152&gt;0,"✔","-")</f>
        <v>-</v>
      </c>
      <c r="BT150" s="137"/>
      <c r="BU150" s="198" t="str">
        <f>IF('Design Fee'!EJ152&gt;0,"✔","-")</f>
        <v>-</v>
      </c>
      <c r="BV150" s="198" t="str">
        <f>IF('Design Fee'!EK152&gt;0,"✔","-")</f>
        <v>-</v>
      </c>
      <c r="BW150" s="198" t="str">
        <f>IF('Design Fee'!EL152&gt;0,"✔","-")</f>
        <v>-</v>
      </c>
      <c r="BX150" s="198" t="str">
        <f>IF('Design Fee'!EM152&gt;0,"✔","-")</f>
        <v>-</v>
      </c>
      <c r="BY150" s="198" t="str">
        <f>IF('Design Fee'!EN152&gt;0,"✔","-")</f>
        <v>-</v>
      </c>
      <c r="BZ150" s="137"/>
    </row>
    <row r="151" spans="2:78" ht="12.75" outlineLevel="2">
      <c r="B151" s="237"/>
      <c r="C151" s="238"/>
      <c r="D151" s="219"/>
      <c r="E151" s="137"/>
      <c r="F151" s="197"/>
      <c r="G151" s="198"/>
      <c r="H151" s="198"/>
      <c r="I151" s="198"/>
      <c r="J151" s="184"/>
      <c r="K151" s="195"/>
      <c r="L151" s="196"/>
      <c r="M151" s="197" t="str">
        <f>IF('Design Fee'!W153&gt;0,"✔","-")</f>
        <v>-</v>
      </c>
      <c r="N151" s="197" t="str">
        <f>IF('Design Fee'!X153&gt;0,"✔","-")</f>
        <v>-</v>
      </c>
      <c r="O151" s="198" t="str">
        <f>IF('Design Fee'!Y153&gt;0,"✔","-")</f>
        <v>-</v>
      </c>
      <c r="P151" s="198" t="str">
        <f>IF('Design Fee'!Z153&gt;0,"✔","-")</f>
        <v>-</v>
      </c>
      <c r="Q151" s="198" t="str">
        <f>IF('Design Fee'!AA153&gt;0,"✔","-")</f>
        <v>-</v>
      </c>
      <c r="R151" s="198" t="str">
        <f>IF('Design Fee'!AB153&gt;0,"✔","-")</f>
        <v>-</v>
      </c>
      <c r="S151" s="198" t="str">
        <f>IF('Design Fee'!AC153&gt;0,"✔","-")</f>
        <v>-</v>
      </c>
      <c r="T151" s="220" t="str">
        <f>IF('Design Fee'!AD153&gt;0,"✔","-")</f>
        <v>-</v>
      </c>
      <c r="U151" s="184"/>
      <c r="V151" s="198" t="str">
        <f>IF('Design Fee'!AF153&gt;0,"✔","-")</f>
        <v>-</v>
      </c>
      <c r="W151" s="198" t="str">
        <f>IF('Design Fee'!AG153&gt;0,"✔","-")</f>
        <v>-</v>
      </c>
      <c r="X151" s="198" t="str">
        <f>IF('Design Fee'!AH153&gt;0,"✔","-")</f>
        <v>-</v>
      </c>
      <c r="Y151" s="198" t="str">
        <f>IF('Design Fee'!AI153&gt;0,"✔","-")</f>
        <v>-</v>
      </c>
      <c r="Z151" s="198" t="str">
        <f>IF('Design Fee'!AJ153&gt;0,"✔","-")</f>
        <v>-</v>
      </c>
      <c r="AA151" s="184"/>
      <c r="AB151" s="195"/>
      <c r="AC151" s="196"/>
      <c r="AD151" s="197" t="str">
        <f>IF('Design Fee'!BG153&gt;0,"✔","-")</f>
        <v>-</v>
      </c>
      <c r="AE151" s="197" t="str">
        <f>IF('Design Fee'!BH153&gt;0,"✔","-")</f>
        <v>-</v>
      </c>
      <c r="AF151" s="198" t="str">
        <f>IF('Design Fee'!BI153&gt;0,"✔","-")</f>
        <v>-</v>
      </c>
      <c r="AG151" s="198" t="str">
        <f>IF('Design Fee'!BJ153&gt;0,"✔","-")</f>
        <v>-</v>
      </c>
      <c r="AH151" s="198" t="str">
        <f>IF('Design Fee'!BK153&gt;0,"✔","-")</f>
        <v>-</v>
      </c>
      <c r="AI151" s="198" t="str">
        <f>IF('Design Fee'!BL153&gt;0,"✔","-")</f>
        <v>-</v>
      </c>
      <c r="AJ151" s="198" t="str">
        <f>IF('Design Fee'!BM153&gt;0,"✔","-")</f>
        <v>-</v>
      </c>
      <c r="AK151" s="220" t="str">
        <f>IF('Design Fee'!BN153&gt;0,"✔","-")</f>
        <v>-</v>
      </c>
      <c r="AL151" s="199"/>
      <c r="AM151" s="198" t="str">
        <f>IF('Design Fee'!BP153&gt;0,"✔","-")</f>
        <v>-</v>
      </c>
      <c r="AN151" s="198" t="str">
        <f>IF('Design Fee'!BQ153&gt;0,"✔","-")</f>
        <v>-</v>
      </c>
      <c r="AO151" s="198" t="str">
        <f>IF('Design Fee'!BR153&gt;0,"✔","-")</f>
        <v>-</v>
      </c>
      <c r="AP151" s="198" t="str">
        <f>IF('Design Fee'!BS153&gt;0,"✔","-")</f>
        <v>-</v>
      </c>
      <c r="AQ151" s="198" t="str">
        <f>IF('Design Fee'!BT153&gt;0,"✔","-")</f>
        <v>-</v>
      </c>
      <c r="AR151" s="199"/>
      <c r="AS151" s="195"/>
      <c r="AT151" s="196"/>
      <c r="AU151" s="197" t="str">
        <f>IF('Design Fee'!CQ153&gt;0,"✔","-")</f>
        <v>-</v>
      </c>
      <c r="AV151" s="197" t="str">
        <f>IF('Design Fee'!CR153&gt;0,"✔","-")</f>
        <v>-</v>
      </c>
      <c r="AW151" s="198" t="str">
        <f>IF('Design Fee'!CS153&gt;0,"✔","-")</f>
        <v>-</v>
      </c>
      <c r="AX151" s="198" t="str">
        <f>IF('Design Fee'!CT153&gt;0,"✔","-")</f>
        <v>-</v>
      </c>
      <c r="AY151" s="198" t="str">
        <f>IF('Design Fee'!CU153&gt;0,"✔","-")</f>
        <v>-</v>
      </c>
      <c r="AZ151" s="198" t="str">
        <f>IF('Design Fee'!CV153&gt;0,"✔","-")</f>
        <v>-</v>
      </c>
      <c r="BA151" s="198" t="str">
        <f>IF('Design Fee'!CW153&gt;0,"✔","-")</f>
        <v>-</v>
      </c>
      <c r="BB151" s="220" t="str">
        <f>IF('Design Fee'!CX153&gt;0,"✔","-")</f>
        <v>-</v>
      </c>
      <c r="BC151" s="199"/>
      <c r="BD151" s="198" t="str">
        <f>IF('Design Fee'!CZ153&gt;0,"✔","-")</f>
        <v>-</v>
      </c>
      <c r="BE151" s="198" t="str">
        <f>IF('Design Fee'!DA153&gt;0,"✔","-")</f>
        <v>-</v>
      </c>
      <c r="BF151" s="198" t="str">
        <f>IF('Design Fee'!DB153&gt;0,"✔","-")</f>
        <v>-</v>
      </c>
      <c r="BG151" s="198" t="str">
        <f>IF('Design Fee'!DC153&gt;0,"✔","-")</f>
        <v>-</v>
      </c>
      <c r="BH151" s="198" t="str">
        <f>IF('Design Fee'!DD153&gt;0,"✔","-")</f>
        <v>-</v>
      </c>
      <c r="BI151" s="199"/>
      <c r="BJ151" s="195"/>
      <c r="BK151" s="196"/>
      <c r="BL151" s="197" t="str">
        <f>IF('Design Fee'!EA153&gt;0,"✔","-")</f>
        <v>-</v>
      </c>
      <c r="BM151" s="197" t="str">
        <f>IF('Design Fee'!EB153&gt;0,"✔","-")</f>
        <v>-</v>
      </c>
      <c r="BN151" s="198" t="str">
        <f>IF('Design Fee'!EC153&gt;0,"✔","-")</f>
        <v>-</v>
      </c>
      <c r="BO151" s="198" t="str">
        <f>IF('Design Fee'!ED153&gt;0,"✔","-")</f>
        <v>-</v>
      </c>
      <c r="BP151" s="198" t="str">
        <f>IF('Design Fee'!EE153&gt;0,"✔","-")</f>
        <v>-</v>
      </c>
      <c r="BQ151" s="198" t="str">
        <f>IF('Design Fee'!EF153&gt;0,"✔","-")</f>
        <v>-</v>
      </c>
      <c r="BR151" s="198" t="str">
        <f>IF('Design Fee'!EG153&gt;0,"✔","-")</f>
        <v>-</v>
      </c>
      <c r="BS151" s="220" t="str">
        <f>IF('Design Fee'!EH153&gt;0,"✔","-")</f>
        <v>-</v>
      </c>
      <c r="BT151" s="137"/>
      <c r="BU151" s="198" t="str">
        <f>IF('Design Fee'!EJ153&gt;0,"✔","-")</f>
        <v>-</v>
      </c>
      <c r="BV151" s="198" t="str">
        <f>IF('Design Fee'!EK153&gt;0,"✔","-")</f>
        <v>-</v>
      </c>
      <c r="BW151" s="198" t="str">
        <f>IF('Design Fee'!EL153&gt;0,"✔","-")</f>
        <v>-</v>
      </c>
      <c r="BX151" s="198" t="str">
        <f>IF('Design Fee'!EM153&gt;0,"✔","-")</f>
        <v>-</v>
      </c>
      <c r="BY151" s="198" t="str">
        <f>IF('Design Fee'!EN153&gt;0,"✔","-")</f>
        <v>-</v>
      </c>
      <c r="BZ151" s="137"/>
    </row>
    <row r="152" spans="2:78" ht="12.75" outlineLevel="2">
      <c r="B152" s="237">
        <v>2.2000000000000002</v>
      </c>
      <c r="C152" s="238">
        <v>2.2000000000000002</v>
      </c>
      <c r="D152" s="239" t="s">
        <v>160</v>
      </c>
      <c r="E152" s="137"/>
      <c r="F152" s="162"/>
      <c r="G152" s="198"/>
      <c r="H152" s="198"/>
      <c r="I152" s="198"/>
      <c r="J152" s="184"/>
      <c r="K152" s="233"/>
      <c r="L152" s="233"/>
      <c r="M152" s="197" t="str">
        <f>IF('Design Fee'!W154&gt;0,"✔","-")</f>
        <v>-</v>
      </c>
      <c r="N152" s="197" t="str">
        <f>IF('Design Fee'!X154&gt;0,"✔","-")</f>
        <v>-</v>
      </c>
      <c r="O152" s="198" t="str">
        <f>IF('Design Fee'!Y154&gt;0,"✔","-")</f>
        <v>-</v>
      </c>
      <c r="P152" s="198" t="str">
        <f>IF('Design Fee'!Z154&gt;0,"✔","-")</f>
        <v>-</v>
      </c>
      <c r="Q152" s="198" t="str">
        <f>IF('Design Fee'!AA154&gt;0,"✔","-")</f>
        <v>-</v>
      </c>
      <c r="R152" s="198" t="str">
        <f>IF('Design Fee'!AB154&gt;0,"✔","-")</f>
        <v>-</v>
      </c>
      <c r="S152" s="198" t="str">
        <f>IF('Design Fee'!AC154&gt;0,"✔","-")</f>
        <v>-</v>
      </c>
      <c r="T152" s="220" t="str">
        <f>IF('Design Fee'!AD154&gt;0,"✔","-")</f>
        <v>-</v>
      </c>
      <c r="U152" s="184"/>
      <c r="V152" s="198" t="str">
        <f>IF('Design Fee'!AF154&gt;0,"✔","-")</f>
        <v>-</v>
      </c>
      <c r="W152" s="198" t="str">
        <f>IF('Design Fee'!AG154&gt;0,"✔","-")</f>
        <v>-</v>
      </c>
      <c r="X152" s="198" t="str">
        <f>IF('Design Fee'!AH154&gt;0,"✔","-")</f>
        <v>-</v>
      </c>
      <c r="Y152" s="198" t="str">
        <f>IF('Design Fee'!AI154&gt;0,"✔","-")</f>
        <v>-</v>
      </c>
      <c r="Z152" s="198" t="str">
        <f>IF('Design Fee'!AJ154&gt;0,"✔","-")</f>
        <v>-</v>
      </c>
      <c r="AA152" s="184"/>
      <c r="AB152" s="233"/>
      <c r="AC152" s="233"/>
      <c r="AD152" s="197"/>
      <c r="AE152" s="197"/>
      <c r="AF152" s="198"/>
      <c r="AG152" s="198" t="str">
        <f>IF('Design Fee'!BJ154&gt;0,"✔","-")</f>
        <v>-</v>
      </c>
      <c r="AH152" s="198" t="str">
        <f>IF('Design Fee'!BK154&gt;0,"✔","-")</f>
        <v>-</v>
      </c>
      <c r="AI152" s="198" t="str">
        <f>IF('Design Fee'!BL154&gt;0,"✔","-")</f>
        <v>-</v>
      </c>
      <c r="AJ152" s="198" t="str">
        <f>IF('Design Fee'!BM154&gt;0,"✔","-")</f>
        <v>-</v>
      </c>
      <c r="AK152" s="220" t="str">
        <f>IF('Design Fee'!BN154&gt;0,"✔","-")</f>
        <v>-</v>
      </c>
      <c r="AL152" s="233"/>
      <c r="AM152" s="198" t="str">
        <f>IF('Design Fee'!BP154&gt;0,"✔","-")</f>
        <v>-</v>
      </c>
      <c r="AN152" s="198" t="str">
        <f>IF('Design Fee'!BQ154&gt;0,"✔","-")</f>
        <v>-</v>
      </c>
      <c r="AO152" s="198" t="str">
        <f>IF('Design Fee'!BR154&gt;0,"✔","-")</f>
        <v>-</v>
      </c>
      <c r="AP152" s="198" t="str">
        <f>IF('Design Fee'!BS154&gt;0,"✔","-")</f>
        <v>-</v>
      </c>
      <c r="AQ152" s="198" t="str">
        <f>IF('Design Fee'!BT154&gt;0,"✔","-")</f>
        <v>-</v>
      </c>
      <c r="AR152" s="233"/>
      <c r="AS152" s="233"/>
      <c r="AT152" s="233"/>
      <c r="AU152" s="197" t="str">
        <f>IF('Design Fee'!CQ154&gt;0,"✔","-")</f>
        <v>-</v>
      </c>
      <c r="AV152" s="197" t="str">
        <f>IF('Design Fee'!CR154&gt;0,"✔","-")</f>
        <v>-</v>
      </c>
      <c r="AW152" s="198" t="str">
        <f>IF('Design Fee'!CS154&gt;0,"✔","-")</f>
        <v>-</v>
      </c>
      <c r="AX152" s="198" t="str">
        <f>IF('Design Fee'!CT154&gt;0,"✔","-")</f>
        <v>-</v>
      </c>
      <c r="AY152" s="198" t="str">
        <f>IF('Design Fee'!CU154&gt;0,"✔","-")</f>
        <v>-</v>
      </c>
      <c r="AZ152" s="198" t="str">
        <f>IF('Design Fee'!CV154&gt;0,"✔","-")</f>
        <v>-</v>
      </c>
      <c r="BA152" s="198" t="str">
        <f>IF('Design Fee'!CW154&gt;0,"✔","-")</f>
        <v>-</v>
      </c>
      <c r="BB152" s="220" t="str">
        <f>IF('Design Fee'!CX154&gt;0,"✔","-")</f>
        <v>-</v>
      </c>
      <c r="BC152" s="233"/>
      <c r="BD152" s="198" t="str">
        <f>IF('Design Fee'!CZ154&gt;0,"✔","-")</f>
        <v>-</v>
      </c>
      <c r="BE152" s="198" t="str">
        <f>IF('Design Fee'!DA154&gt;0,"✔","-")</f>
        <v>-</v>
      </c>
      <c r="BF152" s="198" t="str">
        <f>IF('Design Fee'!DB154&gt;0,"✔","-")</f>
        <v>-</v>
      </c>
      <c r="BG152" s="198" t="str">
        <f>IF('Design Fee'!DC154&gt;0,"✔","-")</f>
        <v>-</v>
      </c>
      <c r="BH152" s="198" t="str">
        <f>IF('Design Fee'!DD154&gt;0,"✔","-")</f>
        <v>-</v>
      </c>
      <c r="BI152" s="233"/>
      <c r="BJ152" s="233"/>
      <c r="BK152" s="233"/>
      <c r="BL152" s="197" t="str">
        <f>IF('Design Fee'!EA154&gt;0,"✔","-")</f>
        <v>-</v>
      </c>
      <c r="BM152" s="197" t="str">
        <f>IF('Design Fee'!EB154&gt;0,"✔","-")</f>
        <v>-</v>
      </c>
      <c r="BN152" s="198" t="str">
        <f>IF('Design Fee'!EC154&gt;0,"✔","-")</f>
        <v>-</v>
      </c>
      <c r="BO152" s="198" t="str">
        <f>IF('Design Fee'!ED154&gt;0,"✔","-")</f>
        <v>-</v>
      </c>
      <c r="BP152" s="198" t="str">
        <f>IF('Design Fee'!EE154&gt;0,"✔","-")</f>
        <v>-</v>
      </c>
      <c r="BQ152" s="198" t="str">
        <f>IF('Design Fee'!EF154&gt;0,"✔","-")</f>
        <v>-</v>
      </c>
      <c r="BR152" s="198" t="str">
        <f>IF('Design Fee'!EG154&gt;0,"✔","-")</f>
        <v>-</v>
      </c>
      <c r="BS152" s="220" t="str">
        <f>IF('Design Fee'!EH154&gt;0,"✔","-")</f>
        <v>-</v>
      </c>
      <c r="BT152" s="137"/>
      <c r="BU152" s="198" t="str">
        <f>IF('Design Fee'!EJ154&gt;0,"✔","-")</f>
        <v>-</v>
      </c>
      <c r="BV152" s="198" t="str">
        <f>IF('Design Fee'!EK154&gt;0,"✔","-")</f>
        <v>-</v>
      </c>
      <c r="BW152" s="198" t="str">
        <f>IF('Design Fee'!EL154&gt;0,"✔","-")</f>
        <v>-</v>
      </c>
      <c r="BX152" s="198" t="str">
        <f>IF('Design Fee'!EM154&gt;0,"✔","-")</f>
        <v>-</v>
      </c>
      <c r="BY152" s="198" t="str">
        <f>IF('Design Fee'!EN154&gt;0,"✔","-")</f>
        <v>-</v>
      </c>
      <c r="BZ152" s="137"/>
    </row>
    <row r="153" spans="2:78" ht="12.75" outlineLevel="3">
      <c r="B153" s="217" t="s">
        <v>158</v>
      </c>
      <c r="C153" s="218">
        <v>1</v>
      </c>
      <c r="D153" s="219" t="s">
        <v>152</v>
      </c>
      <c r="E153" s="137"/>
      <c r="F153" s="197">
        <f t="shared" ref="F153:H154" si="537">COUNTIF(M153,"✔")+COUNTIF(AD153,"✔")+COUNTIF(BL153,"✔")+COUNTIF(AU153,"✔")</f>
        <v>1</v>
      </c>
      <c r="G153" s="198">
        <f t="shared" si="537"/>
        <v>1</v>
      </c>
      <c r="H153" s="198">
        <f t="shared" si="537"/>
        <v>1</v>
      </c>
      <c r="I153" s="198">
        <f t="shared" ref="I153:I154" si="538">F153-G153</f>
        <v>0</v>
      </c>
      <c r="J153" s="184"/>
      <c r="K153" s="203"/>
      <c r="L153" s="196"/>
      <c r="M153" s="197" t="str">
        <f>IF('Design Fee'!W155&gt;0,"✔","-")</f>
        <v>-</v>
      </c>
      <c r="N153" s="197" t="str">
        <f>IF('Design Fee'!X155&gt;0,"✔","-")</f>
        <v>-</v>
      </c>
      <c r="O153" s="198" t="str">
        <f>IF('Design Fee'!Y155&gt;0,"✔","-")</f>
        <v>-</v>
      </c>
      <c r="P153" s="198" t="str">
        <f>IF('Design Fee'!Z155&gt;0,"✔","-")</f>
        <v>-</v>
      </c>
      <c r="Q153" s="198" t="str">
        <f>IF('Design Fee'!AA155&gt;0,"✔","-")</f>
        <v>-</v>
      </c>
      <c r="R153" s="198" t="str">
        <f>IF('Design Fee'!AB155&gt;0,"✔","-")</f>
        <v>-</v>
      </c>
      <c r="S153" s="198" t="str">
        <f>IF('Design Fee'!AC155&gt;0,"✔","-")</f>
        <v>-</v>
      </c>
      <c r="T153" s="220" t="str">
        <f>IF('Design Fee'!AD155&gt;0,"✔","-")</f>
        <v>-</v>
      </c>
      <c r="U153" s="184"/>
      <c r="V153" s="198" t="str">
        <f>IF('Design Fee'!AF155&gt;0,"✔","-")</f>
        <v>-</v>
      </c>
      <c r="W153" s="198" t="str">
        <f>IF('Design Fee'!AG155&gt;0,"✔","-")</f>
        <v>-</v>
      </c>
      <c r="X153" s="198" t="str">
        <f>IF('Design Fee'!AH155&gt;0,"✔","-")</f>
        <v>-</v>
      </c>
      <c r="Y153" s="198" t="str">
        <f>IF('Design Fee'!AI155&gt;0,"✔","-")</f>
        <v>-</v>
      </c>
      <c r="Z153" s="198" t="str">
        <f>IF('Design Fee'!AJ155&gt;0,"✔","-")</f>
        <v>-</v>
      </c>
      <c r="AA153" s="184"/>
      <c r="AB153" s="203"/>
      <c r="AC153" s="196"/>
      <c r="AD153" s="197" t="str">
        <f>IF('Design Fee'!BG155&gt;0,"✔","-")</f>
        <v>✔</v>
      </c>
      <c r="AE153" s="197" t="str">
        <f>IF('Design Fee'!BH155&gt;0,"✔","-")</f>
        <v>✔</v>
      </c>
      <c r="AF153" s="198" t="str">
        <f>IF('Design Fee'!BI155&gt;0,"✔","-")</f>
        <v>✔</v>
      </c>
      <c r="AG153" s="198" t="str">
        <f>IF('Design Fee'!BJ155&gt;0,"✔","-")</f>
        <v>-</v>
      </c>
      <c r="AH153" s="198" t="str">
        <f>IF('Design Fee'!BK155&gt;0,"✔","-")</f>
        <v>-</v>
      </c>
      <c r="AI153" s="198" t="str">
        <f>IF('Design Fee'!BL155&gt;0,"✔","-")</f>
        <v>-</v>
      </c>
      <c r="AJ153" s="198" t="str">
        <f>IF('Design Fee'!BM155&gt;0,"✔","-")</f>
        <v>-</v>
      </c>
      <c r="AK153" s="220" t="str">
        <f>IF('Design Fee'!BN155&gt;0,"✔","-")</f>
        <v>-</v>
      </c>
      <c r="AL153" s="199"/>
      <c r="AM153" s="198" t="str">
        <f>IF('Design Fee'!BP155&gt;0,"✔","-")</f>
        <v>-</v>
      </c>
      <c r="AN153" s="198" t="str">
        <f>IF('Design Fee'!BQ155&gt;0,"✔","-")</f>
        <v>-</v>
      </c>
      <c r="AO153" s="198" t="str">
        <f>IF('Design Fee'!BR155&gt;0,"✔","-")</f>
        <v>-</v>
      </c>
      <c r="AP153" s="198" t="str">
        <f>IF('Design Fee'!BS155&gt;0,"✔","-")</f>
        <v>-</v>
      </c>
      <c r="AQ153" s="198" t="str">
        <f>IF('Design Fee'!BT155&gt;0,"✔","-")</f>
        <v>-</v>
      </c>
      <c r="AR153" s="199"/>
      <c r="AS153" s="203"/>
      <c r="AT153" s="196"/>
      <c r="AU153" s="197" t="str">
        <f>IF('Design Fee'!CQ155&gt;0,"✔","-")</f>
        <v>-</v>
      </c>
      <c r="AV153" s="197" t="str">
        <f>IF('Design Fee'!CR155&gt;0,"✔","-")</f>
        <v>-</v>
      </c>
      <c r="AW153" s="198" t="str">
        <f>IF('Design Fee'!CS155&gt;0,"✔","-")</f>
        <v>-</v>
      </c>
      <c r="AX153" s="198" t="str">
        <f>IF('Design Fee'!CT155&gt;0,"✔","-")</f>
        <v>-</v>
      </c>
      <c r="AY153" s="198" t="str">
        <f>IF('Design Fee'!CU155&gt;0,"✔","-")</f>
        <v>-</v>
      </c>
      <c r="AZ153" s="198" t="str">
        <f>IF('Design Fee'!CV155&gt;0,"✔","-")</f>
        <v>-</v>
      </c>
      <c r="BA153" s="198" t="str">
        <f>IF('Design Fee'!CW155&gt;0,"✔","-")</f>
        <v>-</v>
      </c>
      <c r="BB153" s="220" t="str">
        <f>IF('Design Fee'!CX155&gt;0,"✔","-")</f>
        <v>-</v>
      </c>
      <c r="BC153" s="199"/>
      <c r="BD153" s="198" t="str">
        <f>IF('Design Fee'!CZ155&gt;0,"✔","-")</f>
        <v>-</v>
      </c>
      <c r="BE153" s="198" t="str">
        <f>IF('Design Fee'!DA155&gt;0,"✔","-")</f>
        <v>-</v>
      </c>
      <c r="BF153" s="198" t="str">
        <f>IF('Design Fee'!DB155&gt;0,"✔","-")</f>
        <v>-</v>
      </c>
      <c r="BG153" s="198" t="str">
        <f>IF('Design Fee'!DC155&gt;0,"✔","-")</f>
        <v>-</v>
      </c>
      <c r="BH153" s="198" t="str">
        <f>IF('Design Fee'!DD155&gt;0,"✔","-")</f>
        <v>-</v>
      </c>
      <c r="BI153" s="199"/>
      <c r="BJ153" s="203"/>
      <c r="BK153" s="196"/>
      <c r="BL153" s="197" t="str">
        <f>IF('Design Fee'!EA155&gt;0,"✔","-")</f>
        <v>-</v>
      </c>
      <c r="BM153" s="197" t="str">
        <f>IF('Design Fee'!EB155&gt;0,"✔","-")</f>
        <v>-</v>
      </c>
      <c r="BN153" s="198" t="str">
        <f>IF('Design Fee'!EC155&gt;0,"✔","-")</f>
        <v>-</v>
      </c>
      <c r="BO153" s="198" t="str">
        <f>IF('Design Fee'!ED155&gt;0,"✔","-")</f>
        <v>-</v>
      </c>
      <c r="BP153" s="198" t="str">
        <f>IF('Design Fee'!EE155&gt;0,"✔","-")</f>
        <v>-</v>
      </c>
      <c r="BQ153" s="198" t="str">
        <f>IF('Design Fee'!EF155&gt;0,"✔","-")</f>
        <v>-</v>
      </c>
      <c r="BR153" s="198" t="str">
        <f>IF('Design Fee'!EG155&gt;0,"✔","-")</f>
        <v>-</v>
      </c>
      <c r="BS153" s="220" t="str">
        <f>IF('Design Fee'!EH155&gt;0,"✔","-")</f>
        <v>-</v>
      </c>
      <c r="BT153" s="137"/>
      <c r="BU153" s="198" t="str">
        <f>IF('Design Fee'!EJ155&gt;0,"✔","-")</f>
        <v>-</v>
      </c>
      <c r="BV153" s="198" t="str">
        <f>IF('Design Fee'!EK155&gt;0,"✔","-")</f>
        <v>-</v>
      </c>
      <c r="BW153" s="198" t="str">
        <f>IF('Design Fee'!EL155&gt;0,"✔","-")</f>
        <v>-</v>
      </c>
      <c r="BX153" s="198" t="str">
        <f>IF('Design Fee'!EM155&gt;0,"✔","-")</f>
        <v>-</v>
      </c>
      <c r="BY153" s="198" t="str">
        <f>IF('Design Fee'!EN155&gt;0,"✔","-")</f>
        <v>-</v>
      </c>
      <c r="BZ153" s="137"/>
    </row>
    <row r="154" spans="2:78" ht="12.75" outlineLevel="3">
      <c r="B154" s="217" t="s">
        <v>159</v>
      </c>
      <c r="C154" s="218">
        <v>2</v>
      </c>
      <c r="D154" s="219" t="s">
        <v>154</v>
      </c>
      <c r="E154" s="137"/>
      <c r="F154" s="197">
        <f t="shared" si="537"/>
        <v>1</v>
      </c>
      <c r="G154" s="198">
        <f t="shared" si="537"/>
        <v>1</v>
      </c>
      <c r="H154" s="198">
        <f t="shared" si="537"/>
        <v>1</v>
      </c>
      <c r="I154" s="198">
        <f t="shared" si="538"/>
        <v>0</v>
      </c>
      <c r="J154" s="184"/>
      <c r="K154" s="203"/>
      <c r="L154" s="196"/>
      <c r="M154" s="197" t="str">
        <f>IF('Design Fee'!W156&gt;0,"✔","-")</f>
        <v>-</v>
      </c>
      <c r="N154" s="197" t="str">
        <f>IF('Design Fee'!X156&gt;0,"✔","-")</f>
        <v>-</v>
      </c>
      <c r="O154" s="198" t="str">
        <f>IF('Design Fee'!Y156&gt;0,"✔","-")</f>
        <v>-</v>
      </c>
      <c r="P154" s="198" t="str">
        <f>IF('Design Fee'!Z156&gt;0,"✔","-")</f>
        <v>-</v>
      </c>
      <c r="Q154" s="198" t="str">
        <f>IF('Design Fee'!AA156&gt;0,"✔","-")</f>
        <v>-</v>
      </c>
      <c r="R154" s="198" t="str">
        <f>IF('Design Fee'!AB156&gt;0,"✔","-")</f>
        <v>-</v>
      </c>
      <c r="S154" s="198" t="str">
        <f>IF('Design Fee'!AC156&gt;0,"✔","-")</f>
        <v>-</v>
      </c>
      <c r="T154" s="220" t="str">
        <f>IF('Design Fee'!AD156&gt;0,"✔","-")</f>
        <v>-</v>
      </c>
      <c r="U154" s="184"/>
      <c r="V154" s="198" t="str">
        <f>IF('Design Fee'!AF156&gt;0,"✔","-")</f>
        <v>-</v>
      </c>
      <c r="W154" s="198" t="str">
        <f>IF('Design Fee'!AG156&gt;0,"✔","-")</f>
        <v>-</v>
      </c>
      <c r="X154" s="198" t="str">
        <f>IF('Design Fee'!AH156&gt;0,"✔","-")</f>
        <v>-</v>
      </c>
      <c r="Y154" s="198" t="str">
        <f>IF('Design Fee'!AI156&gt;0,"✔","-")</f>
        <v>-</v>
      </c>
      <c r="Z154" s="198" t="str">
        <f>IF('Design Fee'!AJ156&gt;0,"✔","-")</f>
        <v>-</v>
      </c>
      <c r="AA154" s="184"/>
      <c r="AB154" s="203"/>
      <c r="AC154" s="196"/>
      <c r="AD154" s="197" t="str">
        <f>IF('Design Fee'!BG156&gt;0,"✔","-")</f>
        <v>✔</v>
      </c>
      <c r="AE154" s="197" t="str">
        <f>IF('Design Fee'!BH156&gt;0,"✔","-")</f>
        <v>✔</v>
      </c>
      <c r="AF154" s="198" t="str">
        <f>IF('Design Fee'!BI156&gt;0,"✔","-")</f>
        <v>✔</v>
      </c>
      <c r="AG154" s="198" t="str">
        <f>IF('Design Fee'!BJ156&gt;0,"✔","-")</f>
        <v>-</v>
      </c>
      <c r="AH154" s="198" t="str">
        <f>IF('Design Fee'!BK156&gt;0,"✔","-")</f>
        <v>-</v>
      </c>
      <c r="AI154" s="198" t="str">
        <f>IF('Design Fee'!BL156&gt;0,"✔","-")</f>
        <v>-</v>
      </c>
      <c r="AJ154" s="198" t="str">
        <f>IF('Design Fee'!BM156&gt;0,"✔","-")</f>
        <v>-</v>
      </c>
      <c r="AK154" s="220" t="str">
        <f>IF('Design Fee'!BN156&gt;0,"✔","-")</f>
        <v>-</v>
      </c>
      <c r="AL154" s="199"/>
      <c r="AM154" s="198" t="str">
        <f>IF('Design Fee'!BP156&gt;0,"✔","-")</f>
        <v>-</v>
      </c>
      <c r="AN154" s="198" t="str">
        <f>IF('Design Fee'!BQ156&gt;0,"✔","-")</f>
        <v>-</v>
      </c>
      <c r="AO154" s="198" t="str">
        <f>IF('Design Fee'!BR156&gt;0,"✔","-")</f>
        <v>-</v>
      </c>
      <c r="AP154" s="198" t="str">
        <f>IF('Design Fee'!BS156&gt;0,"✔","-")</f>
        <v>-</v>
      </c>
      <c r="AQ154" s="198" t="str">
        <f>IF('Design Fee'!BT156&gt;0,"✔","-")</f>
        <v>-</v>
      </c>
      <c r="AR154" s="199"/>
      <c r="AS154" s="203"/>
      <c r="AT154" s="196"/>
      <c r="AU154" s="197" t="str">
        <f>IF('Design Fee'!CQ156&gt;0,"✔","-")</f>
        <v>-</v>
      </c>
      <c r="AV154" s="197" t="str">
        <f>IF('Design Fee'!CR156&gt;0,"✔","-")</f>
        <v>-</v>
      </c>
      <c r="AW154" s="198" t="str">
        <f>IF('Design Fee'!CS156&gt;0,"✔","-")</f>
        <v>-</v>
      </c>
      <c r="AX154" s="198" t="str">
        <f>IF('Design Fee'!CT156&gt;0,"✔","-")</f>
        <v>-</v>
      </c>
      <c r="AY154" s="198" t="str">
        <f>IF('Design Fee'!CU156&gt;0,"✔","-")</f>
        <v>-</v>
      </c>
      <c r="AZ154" s="198" t="str">
        <f>IF('Design Fee'!CV156&gt;0,"✔","-")</f>
        <v>-</v>
      </c>
      <c r="BA154" s="198" t="str">
        <f>IF('Design Fee'!CW156&gt;0,"✔","-")</f>
        <v>-</v>
      </c>
      <c r="BB154" s="220" t="str">
        <f>IF('Design Fee'!CX156&gt;0,"✔","-")</f>
        <v>-</v>
      </c>
      <c r="BC154" s="199"/>
      <c r="BD154" s="198" t="str">
        <f>IF('Design Fee'!CZ156&gt;0,"✔","-")</f>
        <v>-</v>
      </c>
      <c r="BE154" s="198" t="str">
        <f>IF('Design Fee'!DA156&gt;0,"✔","-")</f>
        <v>-</v>
      </c>
      <c r="BF154" s="198" t="str">
        <f>IF('Design Fee'!DB156&gt;0,"✔","-")</f>
        <v>-</v>
      </c>
      <c r="BG154" s="198" t="str">
        <f>IF('Design Fee'!DC156&gt;0,"✔","-")</f>
        <v>-</v>
      </c>
      <c r="BH154" s="198" t="str">
        <f>IF('Design Fee'!DD156&gt;0,"✔","-")</f>
        <v>-</v>
      </c>
      <c r="BI154" s="199"/>
      <c r="BJ154" s="203"/>
      <c r="BK154" s="196"/>
      <c r="BL154" s="197" t="str">
        <f>IF('Design Fee'!EA156&gt;0,"✔","-")</f>
        <v>-</v>
      </c>
      <c r="BM154" s="197" t="str">
        <f>IF('Design Fee'!EB156&gt;0,"✔","-")</f>
        <v>-</v>
      </c>
      <c r="BN154" s="198" t="str">
        <f>IF('Design Fee'!EC156&gt;0,"✔","-")</f>
        <v>-</v>
      </c>
      <c r="BO154" s="198" t="str">
        <f>IF('Design Fee'!ED156&gt;0,"✔","-")</f>
        <v>-</v>
      </c>
      <c r="BP154" s="198" t="str">
        <f>IF('Design Fee'!EE156&gt;0,"✔","-")</f>
        <v>-</v>
      </c>
      <c r="BQ154" s="198" t="str">
        <f>IF('Design Fee'!EF156&gt;0,"✔","-")</f>
        <v>-</v>
      </c>
      <c r="BR154" s="198" t="str">
        <f>IF('Design Fee'!EG156&gt;0,"✔","-")</f>
        <v>-</v>
      </c>
      <c r="BS154" s="220" t="str">
        <f>IF('Design Fee'!EH156&gt;0,"✔","-")</f>
        <v>-</v>
      </c>
      <c r="BT154" s="137"/>
      <c r="BU154" s="198" t="str">
        <f>IF('Design Fee'!EJ156&gt;0,"✔","-")</f>
        <v>-</v>
      </c>
      <c r="BV154" s="198" t="str">
        <f>IF('Design Fee'!EK156&gt;0,"✔","-")</f>
        <v>-</v>
      </c>
      <c r="BW154" s="198" t="str">
        <f>IF('Design Fee'!EL156&gt;0,"✔","-")</f>
        <v>-</v>
      </c>
      <c r="BX154" s="198" t="str">
        <f>IF('Design Fee'!EM156&gt;0,"✔","-")</f>
        <v>-</v>
      </c>
      <c r="BY154" s="198" t="str">
        <f>IF('Design Fee'!EN156&gt;0,"✔","-")</f>
        <v>-</v>
      </c>
      <c r="BZ154" s="137"/>
    </row>
    <row r="155" spans="2:78" ht="12.75" outlineLevel="2">
      <c r="B155" s="237"/>
      <c r="C155" s="238"/>
      <c r="D155" s="219"/>
      <c r="E155" s="137"/>
      <c r="F155" s="197"/>
      <c r="G155" s="198"/>
      <c r="H155" s="198"/>
      <c r="I155" s="198"/>
      <c r="J155" s="184"/>
      <c r="K155" s="195"/>
      <c r="L155" s="196"/>
      <c r="M155" s="197" t="str">
        <f>IF('Design Fee'!W157&gt;0,"✔","-")</f>
        <v>-</v>
      </c>
      <c r="N155" s="197" t="str">
        <f>IF('Design Fee'!X157&gt;0,"✔","-")</f>
        <v>-</v>
      </c>
      <c r="O155" s="198" t="str">
        <f>IF('Design Fee'!Y157&gt;0,"✔","-")</f>
        <v>-</v>
      </c>
      <c r="P155" s="198" t="str">
        <f>IF('Design Fee'!Z157&gt;0,"✔","-")</f>
        <v>-</v>
      </c>
      <c r="Q155" s="198" t="str">
        <f>IF('Design Fee'!AA157&gt;0,"✔","-")</f>
        <v>-</v>
      </c>
      <c r="R155" s="198" t="str">
        <f>IF('Design Fee'!AB157&gt;0,"✔","-")</f>
        <v>-</v>
      </c>
      <c r="S155" s="198" t="str">
        <f>IF('Design Fee'!AC157&gt;0,"✔","-")</f>
        <v>-</v>
      </c>
      <c r="T155" s="220" t="str">
        <f>IF('Design Fee'!AD157&gt;0,"✔","-")</f>
        <v>-</v>
      </c>
      <c r="U155" s="184"/>
      <c r="V155" s="198" t="str">
        <f>IF('Design Fee'!AF157&gt;0,"✔","-")</f>
        <v>-</v>
      </c>
      <c r="W155" s="198" t="str">
        <f>IF('Design Fee'!AG157&gt;0,"✔","-")</f>
        <v>-</v>
      </c>
      <c r="X155" s="198" t="str">
        <f>IF('Design Fee'!AH157&gt;0,"✔","-")</f>
        <v>-</v>
      </c>
      <c r="Y155" s="198" t="str">
        <f>IF('Design Fee'!AI157&gt;0,"✔","-")</f>
        <v>-</v>
      </c>
      <c r="Z155" s="198" t="str">
        <f>IF('Design Fee'!AJ157&gt;0,"✔","-")</f>
        <v>-</v>
      </c>
      <c r="AA155" s="184"/>
      <c r="AB155" s="195"/>
      <c r="AC155" s="196"/>
      <c r="AD155" s="197" t="str">
        <f>IF('Design Fee'!BG157&gt;0,"✔","-")</f>
        <v>-</v>
      </c>
      <c r="AE155" s="197" t="str">
        <f>IF('Design Fee'!BH157&gt;0,"✔","-")</f>
        <v>-</v>
      </c>
      <c r="AF155" s="198" t="str">
        <f>IF('Design Fee'!BI157&gt;0,"✔","-")</f>
        <v>-</v>
      </c>
      <c r="AG155" s="198" t="str">
        <f>IF('Design Fee'!BJ157&gt;0,"✔","-")</f>
        <v>-</v>
      </c>
      <c r="AH155" s="198" t="str">
        <f>IF('Design Fee'!BK157&gt;0,"✔","-")</f>
        <v>-</v>
      </c>
      <c r="AI155" s="198" t="str">
        <f>IF('Design Fee'!BL157&gt;0,"✔","-")</f>
        <v>-</v>
      </c>
      <c r="AJ155" s="198" t="str">
        <f>IF('Design Fee'!BM157&gt;0,"✔","-")</f>
        <v>-</v>
      </c>
      <c r="AK155" s="220" t="str">
        <f>IF('Design Fee'!BN157&gt;0,"✔","-")</f>
        <v>-</v>
      </c>
      <c r="AL155" s="199"/>
      <c r="AM155" s="198" t="str">
        <f>IF('Design Fee'!BP157&gt;0,"✔","-")</f>
        <v>-</v>
      </c>
      <c r="AN155" s="198" t="str">
        <f>IF('Design Fee'!BQ157&gt;0,"✔","-")</f>
        <v>-</v>
      </c>
      <c r="AO155" s="198" t="str">
        <f>IF('Design Fee'!BR157&gt;0,"✔","-")</f>
        <v>-</v>
      </c>
      <c r="AP155" s="198" t="str">
        <f>IF('Design Fee'!BS157&gt;0,"✔","-")</f>
        <v>-</v>
      </c>
      <c r="AQ155" s="198" t="str">
        <f>IF('Design Fee'!BT157&gt;0,"✔","-")</f>
        <v>-</v>
      </c>
      <c r="AR155" s="199"/>
      <c r="AS155" s="195"/>
      <c r="AT155" s="196"/>
      <c r="AU155" s="197" t="str">
        <f>IF('Design Fee'!CQ157&gt;0,"✔","-")</f>
        <v>-</v>
      </c>
      <c r="AV155" s="197" t="str">
        <f>IF('Design Fee'!CR157&gt;0,"✔","-")</f>
        <v>-</v>
      </c>
      <c r="AW155" s="198" t="str">
        <f>IF('Design Fee'!CS157&gt;0,"✔","-")</f>
        <v>-</v>
      </c>
      <c r="AX155" s="198" t="str">
        <f>IF('Design Fee'!CT157&gt;0,"✔","-")</f>
        <v>-</v>
      </c>
      <c r="AY155" s="198" t="str">
        <f>IF('Design Fee'!CU157&gt;0,"✔","-")</f>
        <v>-</v>
      </c>
      <c r="AZ155" s="198" t="str">
        <f>IF('Design Fee'!CV157&gt;0,"✔","-")</f>
        <v>-</v>
      </c>
      <c r="BA155" s="198" t="str">
        <f>IF('Design Fee'!CW157&gt;0,"✔","-")</f>
        <v>-</v>
      </c>
      <c r="BB155" s="220" t="str">
        <f>IF('Design Fee'!CX157&gt;0,"✔","-")</f>
        <v>-</v>
      </c>
      <c r="BC155" s="199"/>
      <c r="BD155" s="198" t="str">
        <f>IF('Design Fee'!CZ157&gt;0,"✔","-")</f>
        <v>-</v>
      </c>
      <c r="BE155" s="198" t="str">
        <f>IF('Design Fee'!DA157&gt;0,"✔","-")</f>
        <v>-</v>
      </c>
      <c r="BF155" s="198" t="str">
        <f>IF('Design Fee'!DB157&gt;0,"✔","-")</f>
        <v>-</v>
      </c>
      <c r="BG155" s="198" t="str">
        <f>IF('Design Fee'!DC157&gt;0,"✔","-")</f>
        <v>-</v>
      </c>
      <c r="BH155" s="198" t="str">
        <f>IF('Design Fee'!DD157&gt;0,"✔","-")</f>
        <v>-</v>
      </c>
      <c r="BI155" s="199"/>
      <c r="BJ155" s="195"/>
      <c r="BK155" s="196"/>
      <c r="BL155" s="197" t="str">
        <f>IF('Design Fee'!EA157&gt;0,"✔","-")</f>
        <v>-</v>
      </c>
      <c r="BM155" s="197" t="str">
        <f>IF('Design Fee'!EB157&gt;0,"✔","-")</f>
        <v>-</v>
      </c>
      <c r="BN155" s="198" t="str">
        <f>IF('Design Fee'!EC157&gt;0,"✔","-")</f>
        <v>-</v>
      </c>
      <c r="BO155" s="198" t="str">
        <f>IF('Design Fee'!ED157&gt;0,"✔","-")</f>
        <v>-</v>
      </c>
      <c r="BP155" s="198" t="str">
        <f>IF('Design Fee'!EE157&gt;0,"✔","-")</f>
        <v>-</v>
      </c>
      <c r="BQ155" s="198" t="str">
        <f>IF('Design Fee'!EF157&gt;0,"✔","-")</f>
        <v>-</v>
      </c>
      <c r="BR155" s="198" t="str">
        <f>IF('Design Fee'!EG157&gt;0,"✔","-")</f>
        <v>-</v>
      </c>
      <c r="BS155" s="220" t="str">
        <f>IF('Design Fee'!EH157&gt;0,"✔","-")</f>
        <v>-</v>
      </c>
      <c r="BT155" s="137"/>
      <c r="BU155" s="198" t="str">
        <f>IF('Design Fee'!EJ157&gt;0,"✔","-")</f>
        <v>-</v>
      </c>
      <c r="BV155" s="198" t="str">
        <f>IF('Design Fee'!EK157&gt;0,"✔","-")</f>
        <v>-</v>
      </c>
      <c r="BW155" s="198" t="str">
        <f>IF('Design Fee'!EL157&gt;0,"✔","-")</f>
        <v>-</v>
      </c>
      <c r="BX155" s="198" t="str">
        <f>IF('Design Fee'!EM157&gt;0,"✔","-")</f>
        <v>-</v>
      </c>
      <c r="BY155" s="198" t="str">
        <f>IF('Design Fee'!EN157&gt;0,"✔","-")</f>
        <v>-</v>
      </c>
      <c r="BZ155" s="137"/>
    </row>
    <row r="156" spans="2:78" ht="12.75" outlineLevel="2">
      <c r="B156" s="237">
        <v>2.2999999999999998</v>
      </c>
      <c r="C156" s="238">
        <v>2.2999999999999998</v>
      </c>
      <c r="D156" s="239" t="s">
        <v>161</v>
      </c>
      <c r="E156" s="137"/>
      <c r="F156" s="162"/>
      <c r="G156" s="240"/>
      <c r="H156" s="240"/>
      <c r="I156" s="240"/>
      <c r="J156" s="241"/>
      <c r="K156" s="233"/>
      <c r="L156" s="233"/>
      <c r="M156" s="197" t="str">
        <f>IF('Design Fee'!W158&gt;0,"✔","-")</f>
        <v>-</v>
      </c>
      <c r="N156" s="197" t="str">
        <f>IF('Design Fee'!X158&gt;0,"✔","-")</f>
        <v>-</v>
      </c>
      <c r="O156" s="240" t="str">
        <f>IF('Design Fee'!Y158&gt;0,"✔","-")</f>
        <v>-</v>
      </c>
      <c r="P156" s="240" t="str">
        <f>IF('Design Fee'!Z158&gt;0,"✔","-")</f>
        <v>-</v>
      </c>
      <c r="Q156" s="198" t="str">
        <f>IF('Design Fee'!AA158&gt;0,"✔","-")</f>
        <v>-</v>
      </c>
      <c r="R156" s="198" t="str">
        <f>IF('Design Fee'!AB158&gt;0,"✔","-")</f>
        <v>-</v>
      </c>
      <c r="S156" s="198" t="str">
        <f>IF('Design Fee'!AC158&gt;0,"✔","-")</f>
        <v>-</v>
      </c>
      <c r="T156" s="220" t="str">
        <f>IF('Design Fee'!AD158&gt;0,"✔","-")</f>
        <v>-</v>
      </c>
      <c r="U156" s="241"/>
      <c r="V156" s="240" t="str">
        <f>IF('Design Fee'!AF158&gt;0,"✔","-")</f>
        <v>-</v>
      </c>
      <c r="W156" s="198" t="str">
        <f>IF('Design Fee'!AG158&gt;0,"✔","-")</f>
        <v>-</v>
      </c>
      <c r="X156" s="198" t="str">
        <f>IF('Design Fee'!AH158&gt;0,"✔","-")</f>
        <v>-</v>
      </c>
      <c r="Y156" s="198" t="str">
        <f>IF('Design Fee'!AI158&gt;0,"✔","-")</f>
        <v>-</v>
      </c>
      <c r="Z156" s="198" t="str">
        <f>IF('Design Fee'!AJ158&gt;0,"✔","-")</f>
        <v>-</v>
      </c>
      <c r="AA156" s="241"/>
      <c r="AB156" s="233"/>
      <c r="AC156" s="233"/>
      <c r="AD156" s="197"/>
      <c r="AE156" s="197"/>
      <c r="AF156" s="240"/>
      <c r="AG156" s="240" t="str">
        <f>IF('Design Fee'!BJ158&gt;0,"✔","-")</f>
        <v>-</v>
      </c>
      <c r="AH156" s="198" t="str">
        <f>IF('Design Fee'!BK158&gt;0,"✔","-")</f>
        <v>-</v>
      </c>
      <c r="AI156" s="198" t="str">
        <f>IF('Design Fee'!BL158&gt;0,"✔","-")</f>
        <v>-</v>
      </c>
      <c r="AJ156" s="198" t="str">
        <f>IF('Design Fee'!BM158&gt;0,"✔","-")</f>
        <v>-</v>
      </c>
      <c r="AK156" s="220" t="str">
        <f>IF('Design Fee'!BN158&gt;0,"✔","-")</f>
        <v>-</v>
      </c>
      <c r="AL156" s="233"/>
      <c r="AM156" s="240" t="str">
        <f>IF('Design Fee'!BP158&gt;0,"✔","-")</f>
        <v>-</v>
      </c>
      <c r="AN156" s="198" t="str">
        <f>IF('Design Fee'!BQ158&gt;0,"✔","-")</f>
        <v>-</v>
      </c>
      <c r="AO156" s="198" t="str">
        <f>IF('Design Fee'!BR158&gt;0,"✔","-")</f>
        <v>-</v>
      </c>
      <c r="AP156" s="198" t="str">
        <f>IF('Design Fee'!BS158&gt;0,"✔","-")</f>
        <v>-</v>
      </c>
      <c r="AQ156" s="198" t="str">
        <f>IF('Design Fee'!BT158&gt;0,"✔","-")</f>
        <v>-</v>
      </c>
      <c r="AR156" s="233"/>
      <c r="AS156" s="233"/>
      <c r="AT156" s="233"/>
      <c r="AU156" s="197" t="str">
        <f>IF('Design Fee'!CQ158&gt;0,"✔","-")</f>
        <v>-</v>
      </c>
      <c r="AV156" s="197" t="str">
        <f>IF('Design Fee'!CR158&gt;0,"✔","-")</f>
        <v>-</v>
      </c>
      <c r="AW156" s="240" t="str">
        <f>IF('Design Fee'!CS158&gt;0,"✔","-")</f>
        <v>-</v>
      </c>
      <c r="AX156" s="240" t="str">
        <f>IF('Design Fee'!CT158&gt;0,"✔","-")</f>
        <v>-</v>
      </c>
      <c r="AY156" s="198" t="str">
        <f>IF('Design Fee'!CU158&gt;0,"✔","-")</f>
        <v>-</v>
      </c>
      <c r="AZ156" s="198" t="str">
        <f>IF('Design Fee'!CV158&gt;0,"✔","-")</f>
        <v>-</v>
      </c>
      <c r="BA156" s="198" t="str">
        <f>IF('Design Fee'!CW158&gt;0,"✔","-")</f>
        <v>-</v>
      </c>
      <c r="BB156" s="220" t="str">
        <f>IF('Design Fee'!CX158&gt;0,"✔","-")</f>
        <v>-</v>
      </c>
      <c r="BC156" s="233"/>
      <c r="BD156" s="240" t="str">
        <f>IF('Design Fee'!CZ158&gt;0,"✔","-")</f>
        <v>-</v>
      </c>
      <c r="BE156" s="198" t="str">
        <f>IF('Design Fee'!DA158&gt;0,"✔","-")</f>
        <v>-</v>
      </c>
      <c r="BF156" s="198" t="str">
        <f>IF('Design Fee'!DB158&gt;0,"✔","-")</f>
        <v>-</v>
      </c>
      <c r="BG156" s="198" t="str">
        <f>IF('Design Fee'!DC158&gt;0,"✔","-")</f>
        <v>-</v>
      </c>
      <c r="BH156" s="198" t="str">
        <f>IF('Design Fee'!DD158&gt;0,"✔","-")</f>
        <v>-</v>
      </c>
      <c r="BI156" s="233"/>
      <c r="BJ156" s="233"/>
      <c r="BK156" s="233"/>
      <c r="BL156" s="197" t="str">
        <f>IF('Design Fee'!EA158&gt;0,"✔","-")</f>
        <v>-</v>
      </c>
      <c r="BM156" s="197" t="str">
        <f>IF('Design Fee'!EB158&gt;0,"✔","-")</f>
        <v>-</v>
      </c>
      <c r="BN156" s="240" t="str">
        <f>IF('Design Fee'!EC158&gt;0,"✔","-")</f>
        <v>-</v>
      </c>
      <c r="BO156" s="240" t="str">
        <f>IF('Design Fee'!ED158&gt;0,"✔","-")</f>
        <v>-</v>
      </c>
      <c r="BP156" s="198" t="str">
        <f>IF('Design Fee'!EE158&gt;0,"✔","-")</f>
        <v>-</v>
      </c>
      <c r="BQ156" s="198" t="str">
        <f>IF('Design Fee'!EF158&gt;0,"✔","-")</f>
        <v>-</v>
      </c>
      <c r="BR156" s="198" t="str">
        <f>IF('Design Fee'!EG158&gt;0,"✔","-")</f>
        <v>-</v>
      </c>
      <c r="BS156" s="220" t="str">
        <f>IF('Design Fee'!EH158&gt;0,"✔","-")</f>
        <v>-</v>
      </c>
      <c r="BT156" s="137"/>
      <c r="BU156" s="240" t="str">
        <f>IF('Design Fee'!EJ158&gt;0,"✔","-")</f>
        <v>-</v>
      </c>
      <c r="BV156" s="198" t="str">
        <f>IF('Design Fee'!EK158&gt;0,"✔","-")</f>
        <v>-</v>
      </c>
      <c r="BW156" s="198" t="str">
        <f>IF('Design Fee'!EL158&gt;0,"✔","-")</f>
        <v>-</v>
      </c>
      <c r="BX156" s="198" t="str">
        <f>IF('Design Fee'!EM158&gt;0,"✔","-")</f>
        <v>-</v>
      </c>
      <c r="BY156" s="198" t="str">
        <f>IF('Design Fee'!EN158&gt;0,"✔","-")</f>
        <v>-</v>
      </c>
      <c r="BZ156" s="137"/>
    </row>
    <row r="157" spans="2:78" ht="12.75" outlineLevel="3">
      <c r="B157" s="217" t="s">
        <v>158</v>
      </c>
      <c r="C157" s="218">
        <v>1</v>
      </c>
      <c r="D157" s="219" t="s">
        <v>152</v>
      </c>
      <c r="E157" s="137"/>
      <c r="F157" s="197">
        <f t="shared" ref="F157:H158" si="539">COUNTIF(M157,"✔")+COUNTIF(AD157,"✔")+COUNTIF(BL157,"✔")+COUNTIF(AU157,"✔")</f>
        <v>1</v>
      </c>
      <c r="G157" s="198">
        <f t="shared" si="539"/>
        <v>1</v>
      </c>
      <c r="H157" s="198">
        <f t="shared" si="539"/>
        <v>1</v>
      </c>
      <c r="I157" s="198">
        <f t="shared" ref="I157:I158" si="540">F157-G157</f>
        <v>0</v>
      </c>
      <c r="J157" s="241"/>
      <c r="K157" s="203"/>
      <c r="L157" s="196"/>
      <c r="M157" s="197" t="str">
        <f>IF('Design Fee'!W159&gt;0,"✔","-")</f>
        <v>-</v>
      </c>
      <c r="N157" s="197" t="str">
        <f>IF('Design Fee'!X159&gt;0,"✔","-")</f>
        <v>-</v>
      </c>
      <c r="O157" s="175" t="str">
        <f>IF('Design Fee'!Y159&gt;0,"✔","-")</f>
        <v>-</v>
      </c>
      <c r="P157" s="175" t="str">
        <f>IF('Design Fee'!Z159&gt;0,"✔","-")</f>
        <v>-</v>
      </c>
      <c r="Q157" s="198" t="str">
        <f>IF('Design Fee'!AA159&gt;0,"✔","-")</f>
        <v>-</v>
      </c>
      <c r="R157" s="198" t="str">
        <f>IF('Design Fee'!AB159&gt;0,"✔","-")</f>
        <v>-</v>
      </c>
      <c r="S157" s="198" t="str">
        <f>IF('Design Fee'!AC159&gt;0,"✔","-")</f>
        <v>-</v>
      </c>
      <c r="T157" s="220" t="str">
        <f>IF('Design Fee'!AD159&gt;0,"✔","-")</f>
        <v>-</v>
      </c>
      <c r="U157" s="241"/>
      <c r="V157" s="175" t="str">
        <f>IF('Design Fee'!AF159&gt;0,"✔","-")</f>
        <v>-</v>
      </c>
      <c r="W157" s="198" t="str">
        <f>IF('Design Fee'!AG159&gt;0,"✔","-")</f>
        <v>-</v>
      </c>
      <c r="X157" s="198" t="str">
        <f>IF('Design Fee'!AH159&gt;0,"✔","-")</f>
        <v>-</v>
      </c>
      <c r="Y157" s="198" t="str">
        <f>IF('Design Fee'!AI159&gt;0,"✔","-")</f>
        <v>-</v>
      </c>
      <c r="Z157" s="198" t="str">
        <f>IF('Design Fee'!AJ159&gt;0,"✔","-")</f>
        <v>-</v>
      </c>
      <c r="AA157" s="241"/>
      <c r="AB157" s="203"/>
      <c r="AC157" s="196"/>
      <c r="AD157" s="197" t="str">
        <f>IF('Design Fee'!BG159&gt;0,"✔","-")</f>
        <v>✔</v>
      </c>
      <c r="AE157" s="197" t="str">
        <f>IF('Design Fee'!BH159&gt;0,"✔","-")</f>
        <v>✔</v>
      </c>
      <c r="AF157" s="175" t="str">
        <f>IF('Design Fee'!BI159&gt;0,"✔","-")</f>
        <v>✔</v>
      </c>
      <c r="AG157" s="175" t="str">
        <f>IF('Design Fee'!BJ159&gt;0,"✔","-")</f>
        <v>-</v>
      </c>
      <c r="AH157" s="198" t="str">
        <f>IF('Design Fee'!BK159&gt;0,"✔","-")</f>
        <v>-</v>
      </c>
      <c r="AI157" s="198" t="str">
        <f>IF('Design Fee'!BL159&gt;0,"✔","-")</f>
        <v>-</v>
      </c>
      <c r="AJ157" s="198" t="str">
        <f>IF('Design Fee'!BM159&gt;0,"✔","-")</f>
        <v>-</v>
      </c>
      <c r="AK157" s="220" t="str">
        <f>IF('Design Fee'!BN159&gt;0,"✔","-")</f>
        <v>-</v>
      </c>
      <c r="AL157" s="199"/>
      <c r="AM157" s="175" t="str">
        <f>IF('Design Fee'!BP159&gt;0,"✔","-")</f>
        <v>-</v>
      </c>
      <c r="AN157" s="198" t="str">
        <f>IF('Design Fee'!BQ159&gt;0,"✔","-")</f>
        <v>-</v>
      </c>
      <c r="AO157" s="198" t="str">
        <f>IF('Design Fee'!BR159&gt;0,"✔","-")</f>
        <v>-</v>
      </c>
      <c r="AP157" s="198" t="str">
        <f>IF('Design Fee'!BS159&gt;0,"✔","-")</f>
        <v>-</v>
      </c>
      <c r="AQ157" s="198" t="str">
        <f>IF('Design Fee'!BT159&gt;0,"✔","-")</f>
        <v>-</v>
      </c>
      <c r="AR157" s="199"/>
      <c r="AS157" s="203"/>
      <c r="AT157" s="196"/>
      <c r="AU157" s="197" t="str">
        <f>IF('Design Fee'!CQ159&gt;0,"✔","-")</f>
        <v>-</v>
      </c>
      <c r="AV157" s="197" t="str">
        <f>IF('Design Fee'!CR159&gt;0,"✔","-")</f>
        <v>-</v>
      </c>
      <c r="AW157" s="175" t="str">
        <f>IF('Design Fee'!CS159&gt;0,"✔","-")</f>
        <v>-</v>
      </c>
      <c r="AX157" s="175" t="str">
        <f>IF('Design Fee'!CT159&gt;0,"✔","-")</f>
        <v>-</v>
      </c>
      <c r="AY157" s="198" t="str">
        <f>IF('Design Fee'!CU159&gt;0,"✔","-")</f>
        <v>-</v>
      </c>
      <c r="AZ157" s="198" t="str">
        <f>IF('Design Fee'!CV159&gt;0,"✔","-")</f>
        <v>-</v>
      </c>
      <c r="BA157" s="198" t="str">
        <f>IF('Design Fee'!CW159&gt;0,"✔","-")</f>
        <v>-</v>
      </c>
      <c r="BB157" s="220" t="str">
        <f>IF('Design Fee'!CX159&gt;0,"✔","-")</f>
        <v>-</v>
      </c>
      <c r="BC157" s="199"/>
      <c r="BD157" s="175" t="str">
        <f>IF('Design Fee'!CZ159&gt;0,"✔","-")</f>
        <v>-</v>
      </c>
      <c r="BE157" s="198" t="str">
        <f>IF('Design Fee'!DA159&gt;0,"✔","-")</f>
        <v>-</v>
      </c>
      <c r="BF157" s="198" t="str">
        <f>IF('Design Fee'!DB159&gt;0,"✔","-")</f>
        <v>-</v>
      </c>
      <c r="BG157" s="198" t="str">
        <f>IF('Design Fee'!DC159&gt;0,"✔","-")</f>
        <v>-</v>
      </c>
      <c r="BH157" s="198" t="str">
        <f>IF('Design Fee'!DD159&gt;0,"✔","-")</f>
        <v>-</v>
      </c>
      <c r="BI157" s="199"/>
      <c r="BJ157" s="203"/>
      <c r="BK157" s="196"/>
      <c r="BL157" s="197" t="str">
        <f>IF('Design Fee'!EA159&gt;0,"✔","-")</f>
        <v>-</v>
      </c>
      <c r="BM157" s="197" t="str">
        <f>IF('Design Fee'!EB159&gt;0,"✔","-")</f>
        <v>-</v>
      </c>
      <c r="BN157" s="175" t="str">
        <f>IF('Design Fee'!EC159&gt;0,"✔","-")</f>
        <v>-</v>
      </c>
      <c r="BO157" s="175" t="str">
        <f>IF('Design Fee'!ED159&gt;0,"✔","-")</f>
        <v>-</v>
      </c>
      <c r="BP157" s="198" t="str">
        <f>IF('Design Fee'!EE159&gt;0,"✔","-")</f>
        <v>-</v>
      </c>
      <c r="BQ157" s="198" t="str">
        <f>IF('Design Fee'!EF159&gt;0,"✔","-")</f>
        <v>-</v>
      </c>
      <c r="BR157" s="198" t="str">
        <f>IF('Design Fee'!EG159&gt;0,"✔","-")</f>
        <v>-</v>
      </c>
      <c r="BS157" s="220" t="str">
        <f>IF('Design Fee'!EH159&gt;0,"✔","-")</f>
        <v>-</v>
      </c>
      <c r="BT157" s="137"/>
      <c r="BU157" s="175" t="str">
        <f>IF('Design Fee'!EJ159&gt;0,"✔","-")</f>
        <v>-</v>
      </c>
      <c r="BV157" s="198" t="str">
        <f>IF('Design Fee'!EK159&gt;0,"✔","-")</f>
        <v>-</v>
      </c>
      <c r="BW157" s="198" t="str">
        <f>IF('Design Fee'!EL159&gt;0,"✔","-")</f>
        <v>-</v>
      </c>
      <c r="BX157" s="198" t="str">
        <f>IF('Design Fee'!EM159&gt;0,"✔","-")</f>
        <v>-</v>
      </c>
      <c r="BY157" s="198" t="str">
        <f>IF('Design Fee'!EN159&gt;0,"✔","-")</f>
        <v>-</v>
      </c>
      <c r="BZ157" s="137"/>
    </row>
    <row r="158" spans="2:78" ht="12.75" outlineLevel="3">
      <c r="B158" s="217" t="s">
        <v>159</v>
      </c>
      <c r="C158" s="218">
        <v>2</v>
      </c>
      <c r="D158" s="219" t="s">
        <v>154</v>
      </c>
      <c r="E158" s="137"/>
      <c r="F158" s="197">
        <f t="shared" si="539"/>
        <v>1</v>
      </c>
      <c r="G158" s="198">
        <f t="shared" si="539"/>
        <v>1</v>
      </c>
      <c r="H158" s="198">
        <f t="shared" si="539"/>
        <v>1</v>
      </c>
      <c r="I158" s="198">
        <f t="shared" si="540"/>
        <v>0</v>
      </c>
      <c r="J158" s="241"/>
      <c r="K158" s="203"/>
      <c r="L158" s="196"/>
      <c r="M158" s="197" t="str">
        <f>IF('Design Fee'!W160&gt;0,"✔","-")</f>
        <v>-</v>
      </c>
      <c r="N158" s="197" t="str">
        <f>IF('Design Fee'!X160&gt;0,"✔","-")</f>
        <v>-</v>
      </c>
      <c r="O158" s="198" t="str">
        <f>IF('Design Fee'!Y160&gt;0,"✔","-")</f>
        <v>-</v>
      </c>
      <c r="P158" s="198" t="str">
        <f>IF('Design Fee'!Z160&gt;0,"✔","-")</f>
        <v>-</v>
      </c>
      <c r="Q158" s="198" t="str">
        <f>IF('Design Fee'!AA160&gt;0,"✔","-")</f>
        <v>-</v>
      </c>
      <c r="R158" s="198" t="str">
        <f>IF('Design Fee'!AB160&gt;0,"✔","-")</f>
        <v>-</v>
      </c>
      <c r="S158" s="198" t="str">
        <f>IF('Design Fee'!AC160&gt;0,"✔","-")</f>
        <v>-</v>
      </c>
      <c r="T158" s="220" t="str">
        <f>IF('Design Fee'!AD160&gt;0,"✔","-")</f>
        <v>-</v>
      </c>
      <c r="U158" s="241"/>
      <c r="V158" s="198" t="str">
        <f>IF('Design Fee'!AF160&gt;0,"✔","-")</f>
        <v>-</v>
      </c>
      <c r="W158" s="198" t="str">
        <f>IF('Design Fee'!AG160&gt;0,"✔","-")</f>
        <v>-</v>
      </c>
      <c r="X158" s="198" t="str">
        <f>IF('Design Fee'!AH160&gt;0,"✔","-")</f>
        <v>-</v>
      </c>
      <c r="Y158" s="198" t="str">
        <f>IF('Design Fee'!AI160&gt;0,"✔","-")</f>
        <v>-</v>
      </c>
      <c r="Z158" s="198" t="str">
        <f>IF('Design Fee'!AJ160&gt;0,"✔","-")</f>
        <v>-</v>
      </c>
      <c r="AA158" s="241"/>
      <c r="AB158" s="203"/>
      <c r="AC158" s="196"/>
      <c r="AD158" s="197" t="str">
        <f>IF('Design Fee'!BG160&gt;0,"✔","-")</f>
        <v>✔</v>
      </c>
      <c r="AE158" s="197" t="str">
        <f>IF('Design Fee'!BH160&gt;0,"✔","-")</f>
        <v>✔</v>
      </c>
      <c r="AF158" s="198" t="str">
        <f>IF('Design Fee'!BI160&gt;0,"✔","-")</f>
        <v>✔</v>
      </c>
      <c r="AG158" s="198" t="str">
        <f>IF('Design Fee'!BJ160&gt;0,"✔","-")</f>
        <v>-</v>
      </c>
      <c r="AH158" s="198" t="str">
        <f>IF('Design Fee'!BK160&gt;0,"✔","-")</f>
        <v>-</v>
      </c>
      <c r="AI158" s="198" t="str">
        <f>IF('Design Fee'!BL160&gt;0,"✔","-")</f>
        <v>-</v>
      </c>
      <c r="AJ158" s="198" t="str">
        <f>IF('Design Fee'!BM160&gt;0,"✔","-")</f>
        <v>-</v>
      </c>
      <c r="AK158" s="220" t="str">
        <f>IF('Design Fee'!BN160&gt;0,"✔","-")</f>
        <v>-</v>
      </c>
      <c r="AL158" s="199"/>
      <c r="AM158" s="198" t="str">
        <f>IF('Design Fee'!BP160&gt;0,"✔","-")</f>
        <v>-</v>
      </c>
      <c r="AN158" s="198" t="str">
        <f>IF('Design Fee'!BQ160&gt;0,"✔","-")</f>
        <v>-</v>
      </c>
      <c r="AO158" s="198" t="str">
        <f>IF('Design Fee'!BR160&gt;0,"✔","-")</f>
        <v>-</v>
      </c>
      <c r="AP158" s="198" t="str">
        <f>IF('Design Fee'!BS160&gt;0,"✔","-")</f>
        <v>-</v>
      </c>
      <c r="AQ158" s="198" t="str">
        <f>IF('Design Fee'!BT160&gt;0,"✔","-")</f>
        <v>-</v>
      </c>
      <c r="AR158" s="199"/>
      <c r="AS158" s="203"/>
      <c r="AT158" s="196"/>
      <c r="AU158" s="197" t="str">
        <f>IF('Design Fee'!CQ160&gt;0,"✔","-")</f>
        <v>-</v>
      </c>
      <c r="AV158" s="197" t="str">
        <f>IF('Design Fee'!CR160&gt;0,"✔","-")</f>
        <v>-</v>
      </c>
      <c r="AW158" s="198" t="str">
        <f>IF('Design Fee'!CS160&gt;0,"✔","-")</f>
        <v>-</v>
      </c>
      <c r="AX158" s="198" t="str">
        <f>IF('Design Fee'!CT160&gt;0,"✔","-")</f>
        <v>-</v>
      </c>
      <c r="AY158" s="198" t="str">
        <f>IF('Design Fee'!CU160&gt;0,"✔","-")</f>
        <v>-</v>
      </c>
      <c r="AZ158" s="198" t="str">
        <f>IF('Design Fee'!CV160&gt;0,"✔","-")</f>
        <v>-</v>
      </c>
      <c r="BA158" s="198" t="str">
        <f>IF('Design Fee'!CW160&gt;0,"✔","-")</f>
        <v>-</v>
      </c>
      <c r="BB158" s="220" t="str">
        <f>IF('Design Fee'!CX160&gt;0,"✔","-")</f>
        <v>-</v>
      </c>
      <c r="BC158" s="199"/>
      <c r="BD158" s="198" t="str">
        <f>IF('Design Fee'!CZ160&gt;0,"✔","-")</f>
        <v>-</v>
      </c>
      <c r="BE158" s="198" t="str">
        <f>IF('Design Fee'!DA160&gt;0,"✔","-")</f>
        <v>-</v>
      </c>
      <c r="BF158" s="198" t="str">
        <f>IF('Design Fee'!DB160&gt;0,"✔","-")</f>
        <v>-</v>
      </c>
      <c r="BG158" s="198" t="str">
        <f>IF('Design Fee'!DC160&gt;0,"✔","-")</f>
        <v>-</v>
      </c>
      <c r="BH158" s="198" t="str">
        <f>IF('Design Fee'!DD160&gt;0,"✔","-")</f>
        <v>-</v>
      </c>
      <c r="BI158" s="199"/>
      <c r="BJ158" s="203"/>
      <c r="BK158" s="196"/>
      <c r="BL158" s="197" t="str">
        <f>IF('Design Fee'!EA160&gt;0,"✔","-")</f>
        <v>-</v>
      </c>
      <c r="BM158" s="197" t="str">
        <f>IF('Design Fee'!EB160&gt;0,"✔","-")</f>
        <v>-</v>
      </c>
      <c r="BN158" s="198" t="str">
        <f>IF('Design Fee'!EC160&gt;0,"✔","-")</f>
        <v>-</v>
      </c>
      <c r="BO158" s="198" t="str">
        <f>IF('Design Fee'!ED160&gt;0,"✔","-")</f>
        <v>-</v>
      </c>
      <c r="BP158" s="198" t="str">
        <f>IF('Design Fee'!EE160&gt;0,"✔","-")</f>
        <v>-</v>
      </c>
      <c r="BQ158" s="198" t="str">
        <f>IF('Design Fee'!EF160&gt;0,"✔","-")</f>
        <v>-</v>
      </c>
      <c r="BR158" s="198" t="str">
        <f>IF('Design Fee'!EG160&gt;0,"✔","-")</f>
        <v>-</v>
      </c>
      <c r="BS158" s="220" t="str">
        <f>IF('Design Fee'!EH160&gt;0,"✔","-")</f>
        <v>-</v>
      </c>
      <c r="BT158" s="137"/>
      <c r="BU158" s="198" t="str">
        <f>IF('Design Fee'!EJ160&gt;0,"✔","-")</f>
        <v>-</v>
      </c>
      <c r="BV158" s="198" t="str">
        <f>IF('Design Fee'!EK160&gt;0,"✔","-")</f>
        <v>-</v>
      </c>
      <c r="BW158" s="198" t="str">
        <f>IF('Design Fee'!EL160&gt;0,"✔","-")</f>
        <v>-</v>
      </c>
      <c r="BX158" s="198" t="str">
        <f>IF('Design Fee'!EM160&gt;0,"✔","-")</f>
        <v>-</v>
      </c>
      <c r="BY158" s="198" t="str">
        <f>IF('Design Fee'!EN160&gt;0,"✔","-")</f>
        <v>-</v>
      </c>
      <c r="BZ158" s="137"/>
    </row>
    <row r="159" spans="2:78" ht="12.75" outlineLevel="2">
      <c r="B159" s="237"/>
      <c r="C159" s="238"/>
      <c r="D159" s="219"/>
      <c r="E159" s="137"/>
      <c r="F159" s="197"/>
      <c r="G159" s="198"/>
      <c r="H159" s="198"/>
      <c r="I159" s="198"/>
      <c r="J159" s="184"/>
      <c r="K159" s="195"/>
      <c r="L159" s="196"/>
      <c r="M159" s="197" t="str">
        <f>IF('Design Fee'!W161&gt;0,"✔","-")</f>
        <v>-</v>
      </c>
      <c r="N159" s="197" t="str">
        <f>IF('Design Fee'!X161&gt;0,"✔","-")</f>
        <v>-</v>
      </c>
      <c r="O159" s="198" t="str">
        <f>IF('Design Fee'!Y161&gt;0,"✔","-")</f>
        <v>-</v>
      </c>
      <c r="P159" s="198" t="str">
        <f>IF('Design Fee'!Z161&gt;0,"✔","-")</f>
        <v>-</v>
      </c>
      <c r="Q159" s="198" t="str">
        <f>IF('Design Fee'!AA161&gt;0,"✔","-")</f>
        <v>-</v>
      </c>
      <c r="R159" s="198" t="str">
        <f>IF('Design Fee'!AB161&gt;0,"✔","-")</f>
        <v>-</v>
      </c>
      <c r="S159" s="198" t="str">
        <f>IF('Design Fee'!AC161&gt;0,"✔","-")</f>
        <v>-</v>
      </c>
      <c r="T159" s="220" t="str">
        <f>IF('Design Fee'!AD161&gt;0,"✔","-")</f>
        <v>-</v>
      </c>
      <c r="U159" s="184"/>
      <c r="V159" s="198" t="str">
        <f>IF('Design Fee'!AF161&gt;0,"✔","-")</f>
        <v>-</v>
      </c>
      <c r="W159" s="198" t="str">
        <f>IF('Design Fee'!AG161&gt;0,"✔","-")</f>
        <v>-</v>
      </c>
      <c r="X159" s="198" t="str">
        <f>IF('Design Fee'!AH161&gt;0,"✔","-")</f>
        <v>-</v>
      </c>
      <c r="Y159" s="198" t="str">
        <f>IF('Design Fee'!AI161&gt;0,"✔","-")</f>
        <v>-</v>
      </c>
      <c r="Z159" s="198" t="str">
        <f>IF('Design Fee'!AJ161&gt;0,"✔","-")</f>
        <v>-</v>
      </c>
      <c r="AA159" s="184"/>
      <c r="AB159" s="195"/>
      <c r="AC159" s="196"/>
      <c r="AD159" s="197" t="str">
        <f>IF('Design Fee'!BG161&gt;0,"✔","-")</f>
        <v>-</v>
      </c>
      <c r="AE159" s="197" t="str">
        <f>IF('Design Fee'!BH161&gt;0,"✔","-")</f>
        <v>-</v>
      </c>
      <c r="AF159" s="198" t="str">
        <f>IF('Design Fee'!BI161&gt;0,"✔","-")</f>
        <v>-</v>
      </c>
      <c r="AG159" s="198" t="str">
        <f>IF('Design Fee'!BJ161&gt;0,"✔","-")</f>
        <v>-</v>
      </c>
      <c r="AH159" s="198" t="str">
        <f>IF('Design Fee'!BK161&gt;0,"✔","-")</f>
        <v>-</v>
      </c>
      <c r="AI159" s="198" t="str">
        <f>IF('Design Fee'!BL161&gt;0,"✔","-")</f>
        <v>-</v>
      </c>
      <c r="AJ159" s="198" t="str">
        <f>IF('Design Fee'!BM161&gt;0,"✔","-")</f>
        <v>-</v>
      </c>
      <c r="AK159" s="220" t="str">
        <f>IF('Design Fee'!BN161&gt;0,"✔","-")</f>
        <v>-</v>
      </c>
      <c r="AL159" s="199"/>
      <c r="AM159" s="198" t="str">
        <f>IF('Design Fee'!BP161&gt;0,"✔","-")</f>
        <v>-</v>
      </c>
      <c r="AN159" s="198" t="str">
        <f>IF('Design Fee'!BQ161&gt;0,"✔","-")</f>
        <v>-</v>
      </c>
      <c r="AO159" s="198" t="str">
        <f>IF('Design Fee'!BR161&gt;0,"✔","-")</f>
        <v>-</v>
      </c>
      <c r="AP159" s="198" t="str">
        <f>IF('Design Fee'!BS161&gt;0,"✔","-")</f>
        <v>-</v>
      </c>
      <c r="AQ159" s="198" t="str">
        <f>IF('Design Fee'!BT161&gt;0,"✔","-")</f>
        <v>-</v>
      </c>
      <c r="AR159" s="199"/>
      <c r="AS159" s="195"/>
      <c r="AT159" s="196"/>
      <c r="AU159" s="197" t="str">
        <f>IF('Design Fee'!CQ161&gt;0,"✔","-")</f>
        <v>-</v>
      </c>
      <c r="AV159" s="197" t="str">
        <f>IF('Design Fee'!CR161&gt;0,"✔","-")</f>
        <v>-</v>
      </c>
      <c r="AW159" s="198" t="str">
        <f>IF('Design Fee'!CS161&gt;0,"✔","-")</f>
        <v>-</v>
      </c>
      <c r="AX159" s="198" t="str">
        <f>IF('Design Fee'!CT161&gt;0,"✔","-")</f>
        <v>-</v>
      </c>
      <c r="AY159" s="198" t="str">
        <f>IF('Design Fee'!CU161&gt;0,"✔","-")</f>
        <v>-</v>
      </c>
      <c r="AZ159" s="198" t="str">
        <f>IF('Design Fee'!CV161&gt;0,"✔","-")</f>
        <v>-</v>
      </c>
      <c r="BA159" s="198" t="str">
        <f>IF('Design Fee'!CW161&gt;0,"✔","-")</f>
        <v>-</v>
      </c>
      <c r="BB159" s="220" t="str">
        <f>IF('Design Fee'!CX161&gt;0,"✔","-")</f>
        <v>-</v>
      </c>
      <c r="BC159" s="199"/>
      <c r="BD159" s="198" t="str">
        <f>IF('Design Fee'!CZ161&gt;0,"✔","-")</f>
        <v>-</v>
      </c>
      <c r="BE159" s="198" t="str">
        <f>IF('Design Fee'!DA161&gt;0,"✔","-")</f>
        <v>-</v>
      </c>
      <c r="BF159" s="198" t="str">
        <f>IF('Design Fee'!DB161&gt;0,"✔","-")</f>
        <v>-</v>
      </c>
      <c r="BG159" s="198" t="str">
        <f>IF('Design Fee'!DC161&gt;0,"✔","-")</f>
        <v>-</v>
      </c>
      <c r="BH159" s="198" t="str">
        <f>IF('Design Fee'!DD161&gt;0,"✔","-")</f>
        <v>-</v>
      </c>
      <c r="BI159" s="199"/>
      <c r="BJ159" s="195"/>
      <c r="BK159" s="196"/>
      <c r="BL159" s="197" t="str">
        <f>IF('Design Fee'!EA161&gt;0,"✔","-")</f>
        <v>-</v>
      </c>
      <c r="BM159" s="197" t="str">
        <f>IF('Design Fee'!EB161&gt;0,"✔","-")</f>
        <v>-</v>
      </c>
      <c r="BN159" s="198" t="str">
        <f>IF('Design Fee'!EC161&gt;0,"✔","-")</f>
        <v>-</v>
      </c>
      <c r="BO159" s="198" t="str">
        <f>IF('Design Fee'!ED161&gt;0,"✔","-")</f>
        <v>-</v>
      </c>
      <c r="BP159" s="198" t="str">
        <f>IF('Design Fee'!EE161&gt;0,"✔","-")</f>
        <v>-</v>
      </c>
      <c r="BQ159" s="198" t="str">
        <f>IF('Design Fee'!EF161&gt;0,"✔","-")</f>
        <v>-</v>
      </c>
      <c r="BR159" s="198" t="str">
        <f>IF('Design Fee'!EG161&gt;0,"✔","-")</f>
        <v>-</v>
      </c>
      <c r="BS159" s="220" t="str">
        <f>IF('Design Fee'!EH161&gt;0,"✔","-")</f>
        <v>-</v>
      </c>
      <c r="BT159" s="137"/>
      <c r="BU159" s="198" t="str">
        <f>IF('Design Fee'!EJ161&gt;0,"✔","-")</f>
        <v>-</v>
      </c>
      <c r="BV159" s="198" t="str">
        <f>IF('Design Fee'!EK161&gt;0,"✔","-")</f>
        <v>-</v>
      </c>
      <c r="BW159" s="198" t="str">
        <f>IF('Design Fee'!EL161&gt;0,"✔","-")</f>
        <v>-</v>
      </c>
      <c r="BX159" s="198" t="str">
        <f>IF('Design Fee'!EM161&gt;0,"✔","-")</f>
        <v>-</v>
      </c>
      <c r="BY159" s="198" t="str">
        <f>IF('Design Fee'!EN161&gt;0,"✔","-")</f>
        <v>-</v>
      </c>
      <c r="BZ159" s="137"/>
    </row>
    <row r="160" spans="2:78" ht="12.75" outlineLevel="2">
      <c r="B160" s="237">
        <v>2.4</v>
      </c>
      <c r="C160" s="238">
        <v>2.4</v>
      </c>
      <c r="D160" s="239" t="s">
        <v>162</v>
      </c>
      <c r="E160" s="137"/>
      <c r="F160" s="162"/>
      <c r="G160" s="198"/>
      <c r="H160" s="198"/>
      <c r="I160" s="198"/>
      <c r="J160" s="184"/>
      <c r="K160" s="233"/>
      <c r="L160" s="233"/>
      <c r="M160" s="197" t="str">
        <f>IF('Design Fee'!W162&gt;0,"✔","-")</f>
        <v>-</v>
      </c>
      <c r="N160" s="197" t="str">
        <f>IF('Design Fee'!X162&gt;0,"✔","-")</f>
        <v>-</v>
      </c>
      <c r="O160" s="198" t="str">
        <f>IF('Design Fee'!Y162&gt;0,"✔","-")</f>
        <v>-</v>
      </c>
      <c r="P160" s="198" t="str">
        <f>IF('Design Fee'!Z162&gt;0,"✔","-")</f>
        <v>-</v>
      </c>
      <c r="Q160" s="198" t="str">
        <f>IF('Design Fee'!AA162&gt;0,"✔","-")</f>
        <v>-</v>
      </c>
      <c r="R160" s="198" t="str">
        <f>IF('Design Fee'!AB162&gt;0,"✔","-")</f>
        <v>-</v>
      </c>
      <c r="S160" s="198" t="str">
        <f>IF('Design Fee'!AC162&gt;0,"✔","-")</f>
        <v>-</v>
      </c>
      <c r="T160" s="220" t="str">
        <f>IF('Design Fee'!AD162&gt;0,"✔","-")</f>
        <v>-</v>
      </c>
      <c r="U160" s="184"/>
      <c r="V160" s="198" t="str">
        <f>IF('Design Fee'!AF162&gt;0,"✔","-")</f>
        <v>-</v>
      </c>
      <c r="W160" s="198" t="str">
        <f>IF('Design Fee'!AG162&gt;0,"✔","-")</f>
        <v>-</v>
      </c>
      <c r="X160" s="198" t="str">
        <f>IF('Design Fee'!AH162&gt;0,"✔","-")</f>
        <v>-</v>
      </c>
      <c r="Y160" s="198" t="str">
        <f>IF('Design Fee'!AI162&gt;0,"✔","-")</f>
        <v>-</v>
      </c>
      <c r="Z160" s="198" t="str">
        <f>IF('Design Fee'!AJ162&gt;0,"✔","-")</f>
        <v>-</v>
      </c>
      <c r="AA160" s="184"/>
      <c r="AB160" s="233"/>
      <c r="AC160" s="233"/>
      <c r="AD160" s="197"/>
      <c r="AE160" s="197"/>
      <c r="AF160" s="198"/>
      <c r="AG160" s="198" t="str">
        <f>IF('Design Fee'!BJ162&gt;0,"✔","-")</f>
        <v>-</v>
      </c>
      <c r="AH160" s="198" t="str">
        <f>IF('Design Fee'!BK162&gt;0,"✔","-")</f>
        <v>-</v>
      </c>
      <c r="AI160" s="198" t="str">
        <f>IF('Design Fee'!BL162&gt;0,"✔","-")</f>
        <v>-</v>
      </c>
      <c r="AJ160" s="198" t="str">
        <f>IF('Design Fee'!BM162&gt;0,"✔","-")</f>
        <v>-</v>
      </c>
      <c r="AK160" s="220" t="str">
        <f>IF('Design Fee'!BN162&gt;0,"✔","-")</f>
        <v>-</v>
      </c>
      <c r="AL160" s="233"/>
      <c r="AM160" s="198" t="str">
        <f>IF('Design Fee'!BP162&gt;0,"✔","-")</f>
        <v>-</v>
      </c>
      <c r="AN160" s="198" t="str">
        <f>IF('Design Fee'!BQ162&gt;0,"✔","-")</f>
        <v>-</v>
      </c>
      <c r="AO160" s="198" t="str">
        <f>IF('Design Fee'!BR162&gt;0,"✔","-")</f>
        <v>-</v>
      </c>
      <c r="AP160" s="198" t="str">
        <f>IF('Design Fee'!BS162&gt;0,"✔","-")</f>
        <v>-</v>
      </c>
      <c r="AQ160" s="198" t="str">
        <f>IF('Design Fee'!BT162&gt;0,"✔","-")</f>
        <v>-</v>
      </c>
      <c r="AR160" s="233"/>
      <c r="AS160" s="233"/>
      <c r="AT160" s="233"/>
      <c r="AU160" s="197" t="str">
        <f>IF('Design Fee'!CQ162&gt;0,"✔","-")</f>
        <v>-</v>
      </c>
      <c r="AV160" s="197" t="str">
        <f>IF('Design Fee'!CR162&gt;0,"✔","-")</f>
        <v>-</v>
      </c>
      <c r="AW160" s="198" t="str">
        <f>IF('Design Fee'!CS162&gt;0,"✔","-")</f>
        <v>-</v>
      </c>
      <c r="AX160" s="198" t="str">
        <f>IF('Design Fee'!CT162&gt;0,"✔","-")</f>
        <v>-</v>
      </c>
      <c r="AY160" s="198" t="str">
        <f>IF('Design Fee'!CU162&gt;0,"✔","-")</f>
        <v>-</v>
      </c>
      <c r="AZ160" s="198" t="str">
        <f>IF('Design Fee'!CV162&gt;0,"✔","-")</f>
        <v>-</v>
      </c>
      <c r="BA160" s="198" t="str">
        <f>IF('Design Fee'!CW162&gt;0,"✔","-")</f>
        <v>-</v>
      </c>
      <c r="BB160" s="220" t="str">
        <f>IF('Design Fee'!CX162&gt;0,"✔","-")</f>
        <v>-</v>
      </c>
      <c r="BC160" s="233"/>
      <c r="BD160" s="198" t="str">
        <f>IF('Design Fee'!CZ162&gt;0,"✔","-")</f>
        <v>-</v>
      </c>
      <c r="BE160" s="198" t="str">
        <f>IF('Design Fee'!DA162&gt;0,"✔","-")</f>
        <v>-</v>
      </c>
      <c r="BF160" s="198" t="str">
        <f>IF('Design Fee'!DB162&gt;0,"✔","-")</f>
        <v>-</v>
      </c>
      <c r="BG160" s="198" t="str">
        <f>IF('Design Fee'!DC162&gt;0,"✔","-")</f>
        <v>-</v>
      </c>
      <c r="BH160" s="198" t="str">
        <f>IF('Design Fee'!DD162&gt;0,"✔","-")</f>
        <v>-</v>
      </c>
      <c r="BI160" s="233"/>
      <c r="BJ160" s="233"/>
      <c r="BK160" s="233"/>
      <c r="BL160" s="197" t="str">
        <f>IF('Design Fee'!EA162&gt;0,"✔","-")</f>
        <v>-</v>
      </c>
      <c r="BM160" s="197" t="str">
        <f>IF('Design Fee'!EB162&gt;0,"✔","-")</f>
        <v>-</v>
      </c>
      <c r="BN160" s="198" t="str">
        <f>IF('Design Fee'!EC162&gt;0,"✔","-")</f>
        <v>-</v>
      </c>
      <c r="BO160" s="198" t="str">
        <f>IF('Design Fee'!ED162&gt;0,"✔","-")</f>
        <v>-</v>
      </c>
      <c r="BP160" s="198" t="str">
        <f>IF('Design Fee'!EE162&gt;0,"✔","-")</f>
        <v>-</v>
      </c>
      <c r="BQ160" s="198" t="str">
        <f>IF('Design Fee'!EF162&gt;0,"✔","-")</f>
        <v>-</v>
      </c>
      <c r="BR160" s="198" t="str">
        <f>IF('Design Fee'!EG162&gt;0,"✔","-")</f>
        <v>-</v>
      </c>
      <c r="BS160" s="220" t="str">
        <f>IF('Design Fee'!EH162&gt;0,"✔","-")</f>
        <v>-</v>
      </c>
      <c r="BT160" s="137"/>
      <c r="BU160" s="198" t="str">
        <f>IF('Design Fee'!EJ162&gt;0,"✔","-")</f>
        <v>-</v>
      </c>
      <c r="BV160" s="198" t="str">
        <f>IF('Design Fee'!EK162&gt;0,"✔","-")</f>
        <v>-</v>
      </c>
      <c r="BW160" s="198" t="str">
        <f>IF('Design Fee'!EL162&gt;0,"✔","-")</f>
        <v>-</v>
      </c>
      <c r="BX160" s="198" t="str">
        <f>IF('Design Fee'!EM162&gt;0,"✔","-")</f>
        <v>-</v>
      </c>
      <c r="BY160" s="198" t="str">
        <f>IF('Design Fee'!EN162&gt;0,"✔","-")</f>
        <v>-</v>
      </c>
      <c r="BZ160" s="137"/>
    </row>
    <row r="161" spans="2:78" ht="12.75" outlineLevel="3">
      <c r="B161" s="217" t="s">
        <v>163</v>
      </c>
      <c r="C161" s="218">
        <v>1</v>
      </c>
      <c r="D161" s="219" t="s">
        <v>152</v>
      </c>
      <c r="E161" s="137"/>
      <c r="F161" s="197">
        <f t="shared" ref="F161:H162" si="541">COUNTIF(M161,"✔")+COUNTIF(AD161,"✔")+COUNTIF(BL161,"✔")+COUNTIF(AU161,"✔")</f>
        <v>1</v>
      </c>
      <c r="G161" s="198">
        <f t="shared" si="541"/>
        <v>1</v>
      </c>
      <c r="H161" s="198">
        <f t="shared" si="541"/>
        <v>1</v>
      </c>
      <c r="I161" s="198">
        <f t="shared" ref="I161:I162" si="542">F161-G161</f>
        <v>0</v>
      </c>
      <c r="J161" s="184"/>
      <c r="K161" s="203"/>
      <c r="L161" s="196"/>
      <c r="M161" s="197" t="str">
        <f>IF('Design Fee'!W163&gt;0,"✔","-")</f>
        <v>-</v>
      </c>
      <c r="N161" s="197" t="str">
        <f>IF('Design Fee'!X163&gt;0,"✔","-")</f>
        <v>-</v>
      </c>
      <c r="O161" s="198" t="str">
        <f>IF('Design Fee'!Y163&gt;0,"✔","-")</f>
        <v>-</v>
      </c>
      <c r="P161" s="198" t="str">
        <f>IF('Design Fee'!Z163&gt;0,"✔","-")</f>
        <v>-</v>
      </c>
      <c r="Q161" s="198" t="str">
        <f>IF('Design Fee'!AA163&gt;0,"✔","-")</f>
        <v>-</v>
      </c>
      <c r="R161" s="198" t="str">
        <f>IF('Design Fee'!AB163&gt;0,"✔","-")</f>
        <v>-</v>
      </c>
      <c r="S161" s="198" t="str">
        <f>IF('Design Fee'!AC163&gt;0,"✔","-")</f>
        <v>-</v>
      </c>
      <c r="T161" s="220" t="str">
        <f>IF('Design Fee'!AD163&gt;0,"✔","-")</f>
        <v>-</v>
      </c>
      <c r="U161" s="184"/>
      <c r="V161" s="198" t="str">
        <f>IF('Design Fee'!AF163&gt;0,"✔","-")</f>
        <v>-</v>
      </c>
      <c r="W161" s="198" t="str">
        <f>IF('Design Fee'!AG163&gt;0,"✔","-")</f>
        <v>-</v>
      </c>
      <c r="X161" s="198" t="str">
        <f>IF('Design Fee'!AH163&gt;0,"✔","-")</f>
        <v>-</v>
      </c>
      <c r="Y161" s="198" t="str">
        <f>IF('Design Fee'!AI163&gt;0,"✔","-")</f>
        <v>-</v>
      </c>
      <c r="Z161" s="198" t="str">
        <f>IF('Design Fee'!AJ163&gt;0,"✔","-")</f>
        <v>-</v>
      </c>
      <c r="AA161" s="184"/>
      <c r="AB161" s="203"/>
      <c r="AC161" s="196"/>
      <c r="AD161" s="197" t="str">
        <f>IF('Design Fee'!BG163&gt;0,"✔","-")</f>
        <v>✔</v>
      </c>
      <c r="AE161" s="197" t="str">
        <f>IF('Design Fee'!BH163&gt;0,"✔","-")</f>
        <v>✔</v>
      </c>
      <c r="AF161" s="198" t="str">
        <f>IF('Design Fee'!BI163&gt;0,"✔","-")</f>
        <v>✔</v>
      </c>
      <c r="AG161" s="198" t="str">
        <f>IF('Design Fee'!BJ163&gt;0,"✔","-")</f>
        <v>-</v>
      </c>
      <c r="AH161" s="198" t="str">
        <f>IF('Design Fee'!BK163&gt;0,"✔","-")</f>
        <v>-</v>
      </c>
      <c r="AI161" s="198" t="str">
        <f>IF('Design Fee'!BL163&gt;0,"✔","-")</f>
        <v>-</v>
      </c>
      <c r="AJ161" s="198" t="str">
        <f>IF('Design Fee'!BM163&gt;0,"✔","-")</f>
        <v>-</v>
      </c>
      <c r="AK161" s="220" t="str">
        <f>IF('Design Fee'!BN163&gt;0,"✔","-")</f>
        <v>-</v>
      </c>
      <c r="AL161" s="199"/>
      <c r="AM161" s="198" t="str">
        <f>IF('Design Fee'!BP163&gt;0,"✔","-")</f>
        <v>-</v>
      </c>
      <c r="AN161" s="198" t="str">
        <f>IF('Design Fee'!BQ163&gt;0,"✔","-")</f>
        <v>-</v>
      </c>
      <c r="AO161" s="198" t="str">
        <f>IF('Design Fee'!BR163&gt;0,"✔","-")</f>
        <v>-</v>
      </c>
      <c r="AP161" s="198" t="str">
        <f>IF('Design Fee'!BS163&gt;0,"✔","-")</f>
        <v>-</v>
      </c>
      <c r="AQ161" s="198" t="str">
        <f>IF('Design Fee'!BT163&gt;0,"✔","-")</f>
        <v>-</v>
      </c>
      <c r="AR161" s="199"/>
      <c r="AS161" s="203"/>
      <c r="AT161" s="196"/>
      <c r="AU161" s="197" t="str">
        <f>IF('Design Fee'!CQ163&gt;0,"✔","-")</f>
        <v>-</v>
      </c>
      <c r="AV161" s="197" t="str">
        <f>IF('Design Fee'!CR163&gt;0,"✔","-")</f>
        <v>-</v>
      </c>
      <c r="AW161" s="198" t="str">
        <f>IF('Design Fee'!CS163&gt;0,"✔","-")</f>
        <v>-</v>
      </c>
      <c r="AX161" s="198" t="str">
        <f>IF('Design Fee'!CT163&gt;0,"✔","-")</f>
        <v>-</v>
      </c>
      <c r="AY161" s="198" t="str">
        <f>IF('Design Fee'!CU163&gt;0,"✔","-")</f>
        <v>-</v>
      </c>
      <c r="AZ161" s="198" t="str">
        <f>IF('Design Fee'!CV163&gt;0,"✔","-")</f>
        <v>-</v>
      </c>
      <c r="BA161" s="198" t="str">
        <f>IF('Design Fee'!CW163&gt;0,"✔","-")</f>
        <v>-</v>
      </c>
      <c r="BB161" s="220" t="str">
        <f>IF('Design Fee'!CX163&gt;0,"✔","-")</f>
        <v>-</v>
      </c>
      <c r="BC161" s="199"/>
      <c r="BD161" s="198" t="str">
        <f>IF('Design Fee'!CZ163&gt;0,"✔","-")</f>
        <v>-</v>
      </c>
      <c r="BE161" s="198" t="str">
        <f>IF('Design Fee'!DA163&gt;0,"✔","-")</f>
        <v>-</v>
      </c>
      <c r="BF161" s="198" t="str">
        <f>IF('Design Fee'!DB163&gt;0,"✔","-")</f>
        <v>-</v>
      </c>
      <c r="BG161" s="198" t="str">
        <f>IF('Design Fee'!DC163&gt;0,"✔","-")</f>
        <v>-</v>
      </c>
      <c r="BH161" s="198" t="str">
        <f>IF('Design Fee'!DD163&gt;0,"✔","-")</f>
        <v>-</v>
      </c>
      <c r="BI161" s="199"/>
      <c r="BJ161" s="203"/>
      <c r="BK161" s="196"/>
      <c r="BL161" s="197" t="str">
        <f>IF('Design Fee'!EA163&gt;0,"✔","-")</f>
        <v>-</v>
      </c>
      <c r="BM161" s="197" t="str">
        <f>IF('Design Fee'!EB163&gt;0,"✔","-")</f>
        <v>-</v>
      </c>
      <c r="BN161" s="198" t="str">
        <f>IF('Design Fee'!EC163&gt;0,"✔","-")</f>
        <v>-</v>
      </c>
      <c r="BO161" s="198" t="str">
        <f>IF('Design Fee'!ED163&gt;0,"✔","-")</f>
        <v>-</v>
      </c>
      <c r="BP161" s="198" t="str">
        <f>IF('Design Fee'!EE163&gt;0,"✔","-")</f>
        <v>-</v>
      </c>
      <c r="BQ161" s="198" t="str">
        <f>IF('Design Fee'!EF163&gt;0,"✔","-")</f>
        <v>-</v>
      </c>
      <c r="BR161" s="198" t="str">
        <f>IF('Design Fee'!EG163&gt;0,"✔","-")</f>
        <v>-</v>
      </c>
      <c r="BS161" s="220" t="str">
        <f>IF('Design Fee'!EH163&gt;0,"✔","-")</f>
        <v>-</v>
      </c>
      <c r="BT161" s="137"/>
      <c r="BU161" s="198" t="str">
        <f>IF('Design Fee'!EJ163&gt;0,"✔","-")</f>
        <v>-</v>
      </c>
      <c r="BV161" s="198" t="str">
        <f>IF('Design Fee'!EK163&gt;0,"✔","-")</f>
        <v>-</v>
      </c>
      <c r="BW161" s="198" t="str">
        <f>IF('Design Fee'!EL163&gt;0,"✔","-")</f>
        <v>-</v>
      </c>
      <c r="BX161" s="198" t="str">
        <f>IF('Design Fee'!EM163&gt;0,"✔","-")</f>
        <v>-</v>
      </c>
      <c r="BY161" s="198" t="str">
        <f>IF('Design Fee'!EN163&gt;0,"✔","-")</f>
        <v>-</v>
      </c>
      <c r="BZ161" s="137"/>
    </row>
    <row r="162" spans="2:78" ht="12.75" outlineLevel="3">
      <c r="B162" s="217" t="s">
        <v>164</v>
      </c>
      <c r="C162" s="218">
        <v>2</v>
      </c>
      <c r="D162" s="219" t="s">
        <v>154</v>
      </c>
      <c r="E162" s="137"/>
      <c r="F162" s="197">
        <f t="shared" si="541"/>
        <v>1</v>
      </c>
      <c r="G162" s="198">
        <f t="shared" si="541"/>
        <v>1</v>
      </c>
      <c r="H162" s="198">
        <f t="shared" si="541"/>
        <v>1</v>
      </c>
      <c r="I162" s="198">
        <f t="shared" si="542"/>
        <v>0</v>
      </c>
      <c r="J162" s="184"/>
      <c r="K162" s="203"/>
      <c r="L162" s="196"/>
      <c r="M162" s="197" t="str">
        <f>IF('Design Fee'!W164&gt;0,"✔","-")</f>
        <v>-</v>
      </c>
      <c r="N162" s="197" t="str">
        <f>IF('Design Fee'!X164&gt;0,"✔","-")</f>
        <v>-</v>
      </c>
      <c r="O162" s="198" t="str">
        <f>IF('Design Fee'!Y164&gt;0,"✔","-")</f>
        <v>-</v>
      </c>
      <c r="P162" s="198" t="str">
        <f>IF('Design Fee'!Z164&gt;0,"✔","-")</f>
        <v>-</v>
      </c>
      <c r="Q162" s="198" t="str">
        <f>IF('Design Fee'!AA164&gt;0,"✔","-")</f>
        <v>-</v>
      </c>
      <c r="R162" s="198" t="str">
        <f>IF('Design Fee'!AB164&gt;0,"✔","-")</f>
        <v>-</v>
      </c>
      <c r="S162" s="198" t="str">
        <f>IF('Design Fee'!AC164&gt;0,"✔","-")</f>
        <v>-</v>
      </c>
      <c r="T162" s="220" t="str">
        <f>IF('Design Fee'!AD164&gt;0,"✔","-")</f>
        <v>-</v>
      </c>
      <c r="U162" s="184"/>
      <c r="V162" s="198" t="str">
        <f>IF('Design Fee'!AF164&gt;0,"✔","-")</f>
        <v>-</v>
      </c>
      <c r="W162" s="198" t="str">
        <f>IF('Design Fee'!AG164&gt;0,"✔","-")</f>
        <v>-</v>
      </c>
      <c r="X162" s="198" t="str">
        <f>IF('Design Fee'!AH164&gt;0,"✔","-")</f>
        <v>-</v>
      </c>
      <c r="Y162" s="198" t="str">
        <f>IF('Design Fee'!AI164&gt;0,"✔","-")</f>
        <v>-</v>
      </c>
      <c r="Z162" s="198" t="str">
        <f>IF('Design Fee'!AJ164&gt;0,"✔","-")</f>
        <v>-</v>
      </c>
      <c r="AA162" s="184"/>
      <c r="AB162" s="203"/>
      <c r="AC162" s="196"/>
      <c r="AD162" s="197" t="str">
        <f>IF('Design Fee'!BG164&gt;0,"✔","-")</f>
        <v>✔</v>
      </c>
      <c r="AE162" s="197" t="str">
        <f>IF('Design Fee'!BH164&gt;0,"✔","-")</f>
        <v>✔</v>
      </c>
      <c r="AF162" s="198" t="str">
        <f>IF('Design Fee'!BI164&gt;0,"✔","-")</f>
        <v>✔</v>
      </c>
      <c r="AG162" s="198" t="str">
        <f>IF('Design Fee'!BJ164&gt;0,"✔","-")</f>
        <v>-</v>
      </c>
      <c r="AH162" s="198" t="str">
        <f>IF('Design Fee'!BK164&gt;0,"✔","-")</f>
        <v>-</v>
      </c>
      <c r="AI162" s="198" t="str">
        <f>IF('Design Fee'!BL164&gt;0,"✔","-")</f>
        <v>-</v>
      </c>
      <c r="AJ162" s="198" t="str">
        <f>IF('Design Fee'!BM164&gt;0,"✔","-")</f>
        <v>-</v>
      </c>
      <c r="AK162" s="220" t="str">
        <f>IF('Design Fee'!BN164&gt;0,"✔","-")</f>
        <v>-</v>
      </c>
      <c r="AL162" s="199"/>
      <c r="AM162" s="198" t="str">
        <f>IF('Design Fee'!BP164&gt;0,"✔","-")</f>
        <v>-</v>
      </c>
      <c r="AN162" s="198" t="str">
        <f>IF('Design Fee'!BQ164&gt;0,"✔","-")</f>
        <v>-</v>
      </c>
      <c r="AO162" s="198" t="str">
        <f>IF('Design Fee'!BR164&gt;0,"✔","-")</f>
        <v>-</v>
      </c>
      <c r="AP162" s="198" t="str">
        <f>IF('Design Fee'!BS164&gt;0,"✔","-")</f>
        <v>-</v>
      </c>
      <c r="AQ162" s="198" t="str">
        <f>IF('Design Fee'!BT164&gt;0,"✔","-")</f>
        <v>-</v>
      </c>
      <c r="AR162" s="199"/>
      <c r="AS162" s="203"/>
      <c r="AT162" s="196"/>
      <c r="AU162" s="197" t="str">
        <f>IF('Design Fee'!CQ164&gt;0,"✔","-")</f>
        <v>-</v>
      </c>
      <c r="AV162" s="197" t="str">
        <f>IF('Design Fee'!CR164&gt;0,"✔","-")</f>
        <v>-</v>
      </c>
      <c r="AW162" s="198" t="str">
        <f>IF('Design Fee'!CS164&gt;0,"✔","-")</f>
        <v>-</v>
      </c>
      <c r="AX162" s="198" t="str">
        <f>IF('Design Fee'!CT164&gt;0,"✔","-")</f>
        <v>-</v>
      </c>
      <c r="AY162" s="198" t="str">
        <f>IF('Design Fee'!CU164&gt;0,"✔","-")</f>
        <v>-</v>
      </c>
      <c r="AZ162" s="198" t="str">
        <f>IF('Design Fee'!CV164&gt;0,"✔","-")</f>
        <v>-</v>
      </c>
      <c r="BA162" s="198" t="str">
        <f>IF('Design Fee'!CW164&gt;0,"✔","-")</f>
        <v>-</v>
      </c>
      <c r="BB162" s="220" t="str">
        <f>IF('Design Fee'!CX164&gt;0,"✔","-")</f>
        <v>-</v>
      </c>
      <c r="BC162" s="199"/>
      <c r="BD162" s="198" t="str">
        <f>IF('Design Fee'!CZ164&gt;0,"✔","-")</f>
        <v>-</v>
      </c>
      <c r="BE162" s="198" t="str">
        <f>IF('Design Fee'!DA164&gt;0,"✔","-")</f>
        <v>-</v>
      </c>
      <c r="BF162" s="198" t="str">
        <f>IF('Design Fee'!DB164&gt;0,"✔","-")</f>
        <v>-</v>
      </c>
      <c r="BG162" s="198" t="str">
        <f>IF('Design Fee'!DC164&gt;0,"✔","-")</f>
        <v>-</v>
      </c>
      <c r="BH162" s="198" t="str">
        <f>IF('Design Fee'!DD164&gt;0,"✔","-")</f>
        <v>-</v>
      </c>
      <c r="BI162" s="199"/>
      <c r="BJ162" s="203"/>
      <c r="BK162" s="196"/>
      <c r="BL162" s="197" t="str">
        <f>IF('Design Fee'!EA164&gt;0,"✔","-")</f>
        <v>-</v>
      </c>
      <c r="BM162" s="197" t="str">
        <f>IF('Design Fee'!EB164&gt;0,"✔","-")</f>
        <v>-</v>
      </c>
      <c r="BN162" s="198" t="str">
        <f>IF('Design Fee'!EC164&gt;0,"✔","-")</f>
        <v>-</v>
      </c>
      <c r="BO162" s="198" t="str">
        <f>IF('Design Fee'!ED164&gt;0,"✔","-")</f>
        <v>-</v>
      </c>
      <c r="BP162" s="198" t="str">
        <f>IF('Design Fee'!EE164&gt;0,"✔","-")</f>
        <v>-</v>
      </c>
      <c r="BQ162" s="198" t="str">
        <f>IF('Design Fee'!EF164&gt;0,"✔","-")</f>
        <v>-</v>
      </c>
      <c r="BR162" s="198" t="str">
        <f>IF('Design Fee'!EG164&gt;0,"✔","-")</f>
        <v>-</v>
      </c>
      <c r="BS162" s="220" t="str">
        <f>IF('Design Fee'!EH164&gt;0,"✔","-")</f>
        <v>-</v>
      </c>
      <c r="BT162" s="137"/>
      <c r="BU162" s="198" t="str">
        <f>IF('Design Fee'!EJ164&gt;0,"✔","-")</f>
        <v>-</v>
      </c>
      <c r="BV162" s="198" t="str">
        <f>IF('Design Fee'!EK164&gt;0,"✔","-")</f>
        <v>-</v>
      </c>
      <c r="BW162" s="198" t="str">
        <f>IF('Design Fee'!EL164&gt;0,"✔","-")</f>
        <v>-</v>
      </c>
      <c r="BX162" s="198" t="str">
        <f>IF('Design Fee'!EM164&gt;0,"✔","-")</f>
        <v>-</v>
      </c>
      <c r="BY162" s="198" t="str">
        <f>IF('Design Fee'!EN164&gt;0,"✔","-")</f>
        <v>-</v>
      </c>
      <c r="BZ162" s="137"/>
    </row>
    <row r="163" spans="2:78" ht="12.75" outlineLevel="2">
      <c r="B163" s="237"/>
      <c r="C163" s="238"/>
      <c r="D163" s="219"/>
      <c r="E163" s="137"/>
      <c r="F163" s="197"/>
      <c r="G163" s="198"/>
      <c r="H163" s="198"/>
      <c r="I163" s="198"/>
      <c r="J163" s="184"/>
      <c r="K163" s="195"/>
      <c r="L163" s="196"/>
      <c r="M163" s="197" t="str">
        <f>IF('Design Fee'!W165&gt;0,"✔","-")</f>
        <v>-</v>
      </c>
      <c r="N163" s="197" t="str">
        <f>IF('Design Fee'!X165&gt;0,"✔","-")</f>
        <v>-</v>
      </c>
      <c r="O163" s="198" t="str">
        <f>IF('Design Fee'!Y165&gt;0,"✔","-")</f>
        <v>-</v>
      </c>
      <c r="P163" s="198" t="str">
        <f>IF('Design Fee'!Z165&gt;0,"✔","-")</f>
        <v>-</v>
      </c>
      <c r="Q163" s="198" t="str">
        <f>IF('Design Fee'!AA165&gt;0,"✔","-")</f>
        <v>-</v>
      </c>
      <c r="R163" s="198" t="str">
        <f>IF('Design Fee'!AB165&gt;0,"✔","-")</f>
        <v>-</v>
      </c>
      <c r="S163" s="198" t="str">
        <f>IF('Design Fee'!AC165&gt;0,"✔","-")</f>
        <v>-</v>
      </c>
      <c r="T163" s="220" t="str">
        <f>IF('Design Fee'!AD165&gt;0,"✔","-")</f>
        <v>-</v>
      </c>
      <c r="U163" s="184"/>
      <c r="V163" s="198" t="str">
        <f>IF('Design Fee'!AF165&gt;0,"✔","-")</f>
        <v>-</v>
      </c>
      <c r="W163" s="198" t="str">
        <f>IF('Design Fee'!AG165&gt;0,"✔","-")</f>
        <v>-</v>
      </c>
      <c r="X163" s="198" t="str">
        <f>IF('Design Fee'!AH165&gt;0,"✔","-")</f>
        <v>-</v>
      </c>
      <c r="Y163" s="198" t="str">
        <f>IF('Design Fee'!AI165&gt;0,"✔","-")</f>
        <v>-</v>
      </c>
      <c r="Z163" s="198" t="str">
        <f>IF('Design Fee'!AJ165&gt;0,"✔","-")</f>
        <v>-</v>
      </c>
      <c r="AA163" s="184"/>
      <c r="AB163" s="195"/>
      <c r="AC163" s="196"/>
      <c r="AD163" s="197" t="str">
        <f>IF('Design Fee'!BG165&gt;0,"✔","-")</f>
        <v>-</v>
      </c>
      <c r="AE163" s="197" t="str">
        <f>IF('Design Fee'!BH165&gt;0,"✔","-")</f>
        <v>-</v>
      </c>
      <c r="AF163" s="198" t="str">
        <f>IF('Design Fee'!BI165&gt;0,"✔","-")</f>
        <v>-</v>
      </c>
      <c r="AG163" s="198" t="str">
        <f>IF('Design Fee'!BJ165&gt;0,"✔","-")</f>
        <v>-</v>
      </c>
      <c r="AH163" s="198" t="str">
        <f>IF('Design Fee'!BK165&gt;0,"✔","-")</f>
        <v>-</v>
      </c>
      <c r="AI163" s="198" t="str">
        <f>IF('Design Fee'!BL165&gt;0,"✔","-")</f>
        <v>-</v>
      </c>
      <c r="AJ163" s="198" t="str">
        <f>IF('Design Fee'!BM165&gt;0,"✔","-")</f>
        <v>-</v>
      </c>
      <c r="AK163" s="220" t="str">
        <f>IF('Design Fee'!BN165&gt;0,"✔","-")</f>
        <v>-</v>
      </c>
      <c r="AL163" s="199"/>
      <c r="AM163" s="198" t="str">
        <f>IF('Design Fee'!BP165&gt;0,"✔","-")</f>
        <v>-</v>
      </c>
      <c r="AN163" s="198" t="str">
        <f>IF('Design Fee'!BQ165&gt;0,"✔","-")</f>
        <v>-</v>
      </c>
      <c r="AO163" s="198" t="str">
        <f>IF('Design Fee'!BR165&gt;0,"✔","-")</f>
        <v>-</v>
      </c>
      <c r="AP163" s="198" t="str">
        <f>IF('Design Fee'!BS165&gt;0,"✔","-")</f>
        <v>-</v>
      </c>
      <c r="AQ163" s="198" t="str">
        <f>IF('Design Fee'!BT165&gt;0,"✔","-")</f>
        <v>-</v>
      </c>
      <c r="AR163" s="199"/>
      <c r="AS163" s="195"/>
      <c r="AT163" s="196"/>
      <c r="AU163" s="197" t="str">
        <f>IF('Design Fee'!CQ165&gt;0,"✔","-")</f>
        <v>-</v>
      </c>
      <c r="AV163" s="197" t="str">
        <f>IF('Design Fee'!CR165&gt;0,"✔","-")</f>
        <v>-</v>
      </c>
      <c r="AW163" s="198" t="str">
        <f>IF('Design Fee'!CS165&gt;0,"✔","-")</f>
        <v>-</v>
      </c>
      <c r="AX163" s="198" t="str">
        <f>IF('Design Fee'!CT165&gt;0,"✔","-")</f>
        <v>-</v>
      </c>
      <c r="AY163" s="198" t="str">
        <f>IF('Design Fee'!CU165&gt;0,"✔","-")</f>
        <v>-</v>
      </c>
      <c r="AZ163" s="198" t="str">
        <f>IF('Design Fee'!CV165&gt;0,"✔","-")</f>
        <v>-</v>
      </c>
      <c r="BA163" s="198" t="str">
        <f>IF('Design Fee'!CW165&gt;0,"✔","-")</f>
        <v>-</v>
      </c>
      <c r="BB163" s="220" t="str">
        <f>IF('Design Fee'!CX165&gt;0,"✔","-")</f>
        <v>-</v>
      </c>
      <c r="BC163" s="199"/>
      <c r="BD163" s="198" t="str">
        <f>IF('Design Fee'!CZ165&gt;0,"✔","-")</f>
        <v>-</v>
      </c>
      <c r="BE163" s="198" t="str">
        <f>IF('Design Fee'!DA165&gt;0,"✔","-")</f>
        <v>-</v>
      </c>
      <c r="BF163" s="198" t="str">
        <f>IF('Design Fee'!DB165&gt;0,"✔","-")</f>
        <v>-</v>
      </c>
      <c r="BG163" s="198" t="str">
        <f>IF('Design Fee'!DC165&gt;0,"✔","-")</f>
        <v>-</v>
      </c>
      <c r="BH163" s="198" t="str">
        <f>IF('Design Fee'!DD165&gt;0,"✔","-")</f>
        <v>-</v>
      </c>
      <c r="BI163" s="199"/>
      <c r="BJ163" s="195"/>
      <c r="BK163" s="196"/>
      <c r="BL163" s="197" t="str">
        <f>IF('Design Fee'!EA165&gt;0,"✔","-")</f>
        <v>-</v>
      </c>
      <c r="BM163" s="197" t="str">
        <f>IF('Design Fee'!EB165&gt;0,"✔","-")</f>
        <v>-</v>
      </c>
      <c r="BN163" s="198" t="str">
        <f>IF('Design Fee'!EC165&gt;0,"✔","-")</f>
        <v>-</v>
      </c>
      <c r="BO163" s="198" t="str">
        <f>IF('Design Fee'!ED165&gt;0,"✔","-")</f>
        <v>-</v>
      </c>
      <c r="BP163" s="198" t="str">
        <f>IF('Design Fee'!EE165&gt;0,"✔","-")</f>
        <v>-</v>
      </c>
      <c r="BQ163" s="198" t="str">
        <f>IF('Design Fee'!EF165&gt;0,"✔","-")</f>
        <v>-</v>
      </c>
      <c r="BR163" s="198" t="str">
        <f>IF('Design Fee'!EG165&gt;0,"✔","-")</f>
        <v>-</v>
      </c>
      <c r="BS163" s="220" t="str">
        <f>IF('Design Fee'!EH165&gt;0,"✔","-")</f>
        <v>-</v>
      </c>
      <c r="BT163" s="137"/>
      <c r="BU163" s="198" t="str">
        <f>IF('Design Fee'!EJ165&gt;0,"✔","-")</f>
        <v>-</v>
      </c>
      <c r="BV163" s="198" t="str">
        <f>IF('Design Fee'!EK165&gt;0,"✔","-")</f>
        <v>-</v>
      </c>
      <c r="BW163" s="198" t="str">
        <f>IF('Design Fee'!EL165&gt;0,"✔","-")</f>
        <v>-</v>
      </c>
      <c r="BX163" s="198" t="str">
        <f>IF('Design Fee'!EM165&gt;0,"✔","-")</f>
        <v>-</v>
      </c>
      <c r="BY163" s="198" t="str">
        <f>IF('Design Fee'!EN165&gt;0,"✔","-")</f>
        <v>-</v>
      </c>
      <c r="BZ163" s="137"/>
    </row>
    <row r="164" spans="2:78" ht="12.75" outlineLevel="2">
      <c r="B164" s="237">
        <v>2.5</v>
      </c>
      <c r="C164" s="238">
        <v>2.5</v>
      </c>
      <c r="D164" s="239" t="s">
        <v>165</v>
      </c>
      <c r="E164" s="137"/>
      <c r="F164" s="162"/>
      <c r="G164" s="198"/>
      <c r="H164" s="198"/>
      <c r="I164" s="198"/>
      <c r="J164" s="184"/>
      <c r="K164" s="233"/>
      <c r="L164" s="233"/>
      <c r="M164" s="197" t="str">
        <f>IF('Design Fee'!W166&gt;0,"✔","-")</f>
        <v>-</v>
      </c>
      <c r="N164" s="197" t="str">
        <f>IF('Design Fee'!X166&gt;0,"✔","-")</f>
        <v>-</v>
      </c>
      <c r="O164" s="198" t="str">
        <f>IF('Design Fee'!Y166&gt;0,"✔","-")</f>
        <v>-</v>
      </c>
      <c r="P164" s="198" t="str">
        <f>IF('Design Fee'!Z166&gt;0,"✔","-")</f>
        <v>-</v>
      </c>
      <c r="Q164" s="198" t="str">
        <f>IF('Design Fee'!AA166&gt;0,"✔","-")</f>
        <v>-</v>
      </c>
      <c r="R164" s="198" t="str">
        <f>IF('Design Fee'!AB166&gt;0,"✔","-")</f>
        <v>-</v>
      </c>
      <c r="S164" s="198" t="str">
        <f>IF('Design Fee'!AC166&gt;0,"✔","-")</f>
        <v>-</v>
      </c>
      <c r="T164" s="220" t="str">
        <f>IF('Design Fee'!AD166&gt;0,"✔","-")</f>
        <v>-</v>
      </c>
      <c r="U164" s="184"/>
      <c r="V164" s="198" t="str">
        <f>IF('Design Fee'!AF166&gt;0,"✔","-")</f>
        <v>-</v>
      </c>
      <c r="W164" s="198" t="str">
        <f>IF('Design Fee'!AG166&gt;0,"✔","-")</f>
        <v>-</v>
      </c>
      <c r="X164" s="198" t="str">
        <f>IF('Design Fee'!AH166&gt;0,"✔","-")</f>
        <v>-</v>
      </c>
      <c r="Y164" s="198" t="str">
        <f>IF('Design Fee'!AI166&gt;0,"✔","-")</f>
        <v>-</v>
      </c>
      <c r="Z164" s="198" t="str">
        <f>IF('Design Fee'!AJ166&gt;0,"✔","-")</f>
        <v>-</v>
      </c>
      <c r="AA164" s="184"/>
      <c r="AB164" s="233"/>
      <c r="AC164" s="233"/>
      <c r="AD164" s="197"/>
      <c r="AE164" s="197"/>
      <c r="AF164" s="198"/>
      <c r="AG164" s="198" t="str">
        <f>IF('Design Fee'!BJ166&gt;0,"✔","-")</f>
        <v>-</v>
      </c>
      <c r="AH164" s="198" t="str">
        <f>IF('Design Fee'!BK166&gt;0,"✔","-")</f>
        <v>-</v>
      </c>
      <c r="AI164" s="198" t="str">
        <f>IF('Design Fee'!BL166&gt;0,"✔","-")</f>
        <v>-</v>
      </c>
      <c r="AJ164" s="198" t="str">
        <f>IF('Design Fee'!BM166&gt;0,"✔","-")</f>
        <v>-</v>
      </c>
      <c r="AK164" s="220" t="str">
        <f>IF('Design Fee'!BN166&gt;0,"✔","-")</f>
        <v>-</v>
      </c>
      <c r="AL164" s="233"/>
      <c r="AM164" s="198" t="str">
        <f>IF('Design Fee'!BP166&gt;0,"✔","-")</f>
        <v>-</v>
      </c>
      <c r="AN164" s="198" t="str">
        <f>IF('Design Fee'!BQ166&gt;0,"✔","-")</f>
        <v>-</v>
      </c>
      <c r="AO164" s="198" t="str">
        <f>IF('Design Fee'!BR166&gt;0,"✔","-")</f>
        <v>-</v>
      </c>
      <c r="AP164" s="198" t="str">
        <f>IF('Design Fee'!BS166&gt;0,"✔","-")</f>
        <v>-</v>
      </c>
      <c r="AQ164" s="198" t="str">
        <f>IF('Design Fee'!BT166&gt;0,"✔","-")</f>
        <v>-</v>
      </c>
      <c r="AR164" s="233"/>
      <c r="AS164" s="233"/>
      <c r="AT164" s="233"/>
      <c r="AU164" s="197" t="str">
        <f>IF('Design Fee'!CQ166&gt;0,"✔","-")</f>
        <v>-</v>
      </c>
      <c r="AV164" s="197" t="str">
        <f>IF('Design Fee'!CR166&gt;0,"✔","-")</f>
        <v>-</v>
      </c>
      <c r="AW164" s="198" t="str">
        <f>IF('Design Fee'!CS166&gt;0,"✔","-")</f>
        <v>-</v>
      </c>
      <c r="AX164" s="198" t="str">
        <f>IF('Design Fee'!CT166&gt;0,"✔","-")</f>
        <v>-</v>
      </c>
      <c r="AY164" s="198" t="str">
        <f>IF('Design Fee'!CU166&gt;0,"✔","-")</f>
        <v>-</v>
      </c>
      <c r="AZ164" s="198" t="str">
        <f>IF('Design Fee'!CV166&gt;0,"✔","-")</f>
        <v>-</v>
      </c>
      <c r="BA164" s="198" t="str">
        <f>IF('Design Fee'!CW166&gt;0,"✔","-")</f>
        <v>-</v>
      </c>
      <c r="BB164" s="220" t="str">
        <f>IF('Design Fee'!CX166&gt;0,"✔","-")</f>
        <v>-</v>
      </c>
      <c r="BC164" s="233"/>
      <c r="BD164" s="198" t="str">
        <f>IF('Design Fee'!CZ166&gt;0,"✔","-")</f>
        <v>-</v>
      </c>
      <c r="BE164" s="198" t="str">
        <f>IF('Design Fee'!DA166&gt;0,"✔","-")</f>
        <v>-</v>
      </c>
      <c r="BF164" s="198" t="str">
        <f>IF('Design Fee'!DB166&gt;0,"✔","-")</f>
        <v>-</v>
      </c>
      <c r="BG164" s="198" t="str">
        <f>IF('Design Fee'!DC166&gt;0,"✔","-")</f>
        <v>-</v>
      </c>
      <c r="BH164" s="198" t="str">
        <f>IF('Design Fee'!DD166&gt;0,"✔","-")</f>
        <v>-</v>
      </c>
      <c r="BI164" s="233"/>
      <c r="BJ164" s="233"/>
      <c r="BK164" s="233"/>
      <c r="BL164" s="197" t="str">
        <f>IF('Design Fee'!EA166&gt;0,"✔","-")</f>
        <v>-</v>
      </c>
      <c r="BM164" s="197" t="str">
        <f>IF('Design Fee'!EB166&gt;0,"✔","-")</f>
        <v>-</v>
      </c>
      <c r="BN164" s="198" t="str">
        <f>IF('Design Fee'!EC166&gt;0,"✔","-")</f>
        <v>-</v>
      </c>
      <c r="BO164" s="198" t="str">
        <f>IF('Design Fee'!ED166&gt;0,"✔","-")</f>
        <v>-</v>
      </c>
      <c r="BP164" s="198" t="str">
        <f>IF('Design Fee'!EE166&gt;0,"✔","-")</f>
        <v>-</v>
      </c>
      <c r="BQ164" s="198" t="str">
        <f>IF('Design Fee'!EF166&gt;0,"✔","-")</f>
        <v>-</v>
      </c>
      <c r="BR164" s="198" t="str">
        <f>IF('Design Fee'!EG166&gt;0,"✔","-")</f>
        <v>-</v>
      </c>
      <c r="BS164" s="220" t="str">
        <f>IF('Design Fee'!EH166&gt;0,"✔","-")</f>
        <v>-</v>
      </c>
      <c r="BT164" s="137"/>
      <c r="BU164" s="198" t="str">
        <f>IF('Design Fee'!EJ166&gt;0,"✔","-")</f>
        <v>-</v>
      </c>
      <c r="BV164" s="198" t="str">
        <f>IF('Design Fee'!EK166&gt;0,"✔","-")</f>
        <v>-</v>
      </c>
      <c r="BW164" s="198" t="str">
        <f>IF('Design Fee'!EL166&gt;0,"✔","-")</f>
        <v>-</v>
      </c>
      <c r="BX164" s="198" t="str">
        <f>IF('Design Fee'!EM166&gt;0,"✔","-")</f>
        <v>-</v>
      </c>
      <c r="BY164" s="198" t="str">
        <f>IF('Design Fee'!EN166&gt;0,"✔","-")</f>
        <v>-</v>
      </c>
      <c r="BZ164" s="137"/>
    </row>
    <row r="165" spans="2:78" ht="12.75" outlineLevel="3">
      <c r="B165" s="217" t="s">
        <v>158</v>
      </c>
      <c r="C165" s="218">
        <v>1</v>
      </c>
      <c r="D165" s="219" t="s">
        <v>152</v>
      </c>
      <c r="E165" s="137"/>
      <c r="F165" s="197">
        <f t="shared" ref="F165:H166" si="543">COUNTIF(M165,"✔")+COUNTIF(AD165,"✔")+COUNTIF(BL165,"✔")+COUNTIF(AU165,"✔")</f>
        <v>1</v>
      </c>
      <c r="G165" s="198">
        <f t="shared" si="543"/>
        <v>1</v>
      </c>
      <c r="H165" s="198">
        <f t="shared" si="543"/>
        <v>1</v>
      </c>
      <c r="I165" s="198">
        <f t="shared" ref="I165:I166" si="544">F165-G165</f>
        <v>0</v>
      </c>
      <c r="J165" s="184"/>
      <c r="K165" s="203"/>
      <c r="L165" s="196"/>
      <c r="M165" s="197" t="str">
        <f>IF('Design Fee'!W167&gt;0,"✔","-")</f>
        <v>-</v>
      </c>
      <c r="N165" s="197" t="str">
        <f>IF('Design Fee'!X167&gt;0,"✔","-")</f>
        <v>-</v>
      </c>
      <c r="O165" s="198" t="str">
        <f>IF('Design Fee'!Y167&gt;0,"✔","-")</f>
        <v>-</v>
      </c>
      <c r="P165" s="198" t="str">
        <f>IF('Design Fee'!Z167&gt;0,"✔","-")</f>
        <v>-</v>
      </c>
      <c r="Q165" s="198" t="str">
        <f>IF('Design Fee'!AA167&gt;0,"✔","-")</f>
        <v>-</v>
      </c>
      <c r="R165" s="198" t="str">
        <f>IF('Design Fee'!AB167&gt;0,"✔","-")</f>
        <v>-</v>
      </c>
      <c r="S165" s="198" t="str">
        <f>IF('Design Fee'!AC167&gt;0,"✔","-")</f>
        <v>-</v>
      </c>
      <c r="T165" s="220" t="str">
        <f>IF('Design Fee'!AD167&gt;0,"✔","-")</f>
        <v>-</v>
      </c>
      <c r="U165" s="184"/>
      <c r="V165" s="198" t="str">
        <f>IF('Design Fee'!AF167&gt;0,"✔","-")</f>
        <v>-</v>
      </c>
      <c r="W165" s="198" t="str">
        <f>IF('Design Fee'!AG167&gt;0,"✔","-")</f>
        <v>-</v>
      </c>
      <c r="X165" s="198" t="str">
        <f>IF('Design Fee'!AH167&gt;0,"✔","-")</f>
        <v>-</v>
      </c>
      <c r="Y165" s="198" t="str">
        <f>IF('Design Fee'!AI167&gt;0,"✔","-")</f>
        <v>-</v>
      </c>
      <c r="Z165" s="198" t="str">
        <f>IF('Design Fee'!AJ167&gt;0,"✔","-")</f>
        <v>-</v>
      </c>
      <c r="AA165" s="184"/>
      <c r="AB165" s="203"/>
      <c r="AC165" s="196"/>
      <c r="AD165" s="197" t="str">
        <f>IF('Design Fee'!BG167&gt;0,"✔","-")</f>
        <v>✔</v>
      </c>
      <c r="AE165" s="197" t="str">
        <f>IF('Design Fee'!BH167&gt;0,"✔","-")</f>
        <v>✔</v>
      </c>
      <c r="AF165" s="198" t="str">
        <f>IF('Design Fee'!BI167&gt;0,"✔","-")</f>
        <v>✔</v>
      </c>
      <c r="AG165" s="198" t="str">
        <f>IF('Design Fee'!BJ167&gt;0,"✔","-")</f>
        <v>-</v>
      </c>
      <c r="AH165" s="198" t="str">
        <f>IF('Design Fee'!BK167&gt;0,"✔","-")</f>
        <v>-</v>
      </c>
      <c r="AI165" s="198" t="str">
        <f>IF('Design Fee'!BL167&gt;0,"✔","-")</f>
        <v>-</v>
      </c>
      <c r="AJ165" s="198" t="str">
        <f>IF('Design Fee'!BM167&gt;0,"✔","-")</f>
        <v>-</v>
      </c>
      <c r="AK165" s="220" t="str">
        <f>IF('Design Fee'!BN167&gt;0,"✔","-")</f>
        <v>-</v>
      </c>
      <c r="AL165" s="199"/>
      <c r="AM165" s="198" t="str">
        <f>IF('Design Fee'!BP167&gt;0,"✔","-")</f>
        <v>-</v>
      </c>
      <c r="AN165" s="198" t="str">
        <f>IF('Design Fee'!BQ167&gt;0,"✔","-")</f>
        <v>-</v>
      </c>
      <c r="AO165" s="198" t="str">
        <f>IF('Design Fee'!BR167&gt;0,"✔","-")</f>
        <v>-</v>
      </c>
      <c r="AP165" s="198" t="str">
        <f>IF('Design Fee'!BS167&gt;0,"✔","-")</f>
        <v>-</v>
      </c>
      <c r="AQ165" s="198" t="str">
        <f>IF('Design Fee'!BT167&gt;0,"✔","-")</f>
        <v>-</v>
      </c>
      <c r="AR165" s="199"/>
      <c r="AS165" s="203"/>
      <c r="AT165" s="196"/>
      <c r="AU165" s="197" t="str">
        <f>IF('Design Fee'!CQ167&gt;0,"✔","-")</f>
        <v>-</v>
      </c>
      <c r="AV165" s="197" t="str">
        <f>IF('Design Fee'!CR167&gt;0,"✔","-")</f>
        <v>-</v>
      </c>
      <c r="AW165" s="198" t="str">
        <f>IF('Design Fee'!CS167&gt;0,"✔","-")</f>
        <v>-</v>
      </c>
      <c r="AX165" s="198" t="str">
        <f>IF('Design Fee'!CT167&gt;0,"✔","-")</f>
        <v>-</v>
      </c>
      <c r="AY165" s="198" t="str">
        <f>IF('Design Fee'!CU167&gt;0,"✔","-")</f>
        <v>-</v>
      </c>
      <c r="AZ165" s="198" t="str">
        <f>IF('Design Fee'!CV167&gt;0,"✔","-")</f>
        <v>-</v>
      </c>
      <c r="BA165" s="198" t="str">
        <f>IF('Design Fee'!CW167&gt;0,"✔","-")</f>
        <v>-</v>
      </c>
      <c r="BB165" s="220" t="str">
        <f>IF('Design Fee'!CX167&gt;0,"✔","-")</f>
        <v>-</v>
      </c>
      <c r="BC165" s="199"/>
      <c r="BD165" s="198" t="str">
        <f>IF('Design Fee'!CZ167&gt;0,"✔","-")</f>
        <v>-</v>
      </c>
      <c r="BE165" s="198" t="str">
        <f>IF('Design Fee'!DA167&gt;0,"✔","-")</f>
        <v>-</v>
      </c>
      <c r="BF165" s="198" t="str">
        <f>IF('Design Fee'!DB167&gt;0,"✔","-")</f>
        <v>-</v>
      </c>
      <c r="BG165" s="198" t="str">
        <f>IF('Design Fee'!DC167&gt;0,"✔","-")</f>
        <v>-</v>
      </c>
      <c r="BH165" s="198" t="str">
        <f>IF('Design Fee'!DD167&gt;0,"✔","-")</f>
        <v>-</v>
      </c>
      <c r="BI165" s="199"/>
      <c r="BJ165" s="203"/>
      <c r="BK165" s="196"/>
      <c r="BL165" s="197" t="str">
        <f>IF('Design Fee'!EA167&gt;0,"✔","-")</f>
        <v>-</v>
      </c>
      <c r="BM165" s="197" t="str">
        <f>IF('Design Fee'!EB167&gt;0,"✔","-")</f>
        <v>-</v>
      </c>
      <c r="BN165" s="198" t="str">
        <f>IF('Design Fee'!EC167&gt;0,"✔","-")</f>
        <v>-</v>
      </c>
      <c r="BO165" s="198" t="str">
        <f>IF('Design Fee'!ED167&gt;0,"✔","-")</f>
        <v>-</v>
      </c>
      <c r="BP165" s="198" t="str">
        <f>IF('Design Fee'!EE167&gt;0,"✔","-")</f>
        <v>-</v>
      </c>
      <c r="BQ165" s="198" t="str">
        <f>IF('Design Fee'!EF167&gt;0,"✔","-")</f>
        <v>-</v>
      </c>
      <c r="BR165" s="198" t="str">
        <f>IF('Design Fee'!EG167&gt;0,"✔","-")</f>
        <v>-</v>
      </c>
      <c r="BS165" s="220" t="str">
        <f>IF('Design Fee'!EH167&gt;0,"✔","-")</f>
        <v>-</v>
      </c>
      <c r="BT165" s="137"/>
      <c r="BU165" s="198" t="str">
        <f>IF('Design Fee'!EJ167&gt;0,"✔","-")</f>
        <v>-</v>
      </c>
      <c r="BV165" s="198" t="str">
        <f>IF('Design Fee'!EK167&gt;0,"✔","-")</f>
        <v>-</v>
      </c>
      <c r="BW165" s="198" t="str">
        <f>IF('Design Fee'!EL167&gt;0,"✔","-")</f>
        <v>-</v>
      </c>
      <c r="BX165" s="198" t="str">
        <f>IF('Design Fee'!EM167&gt;0,"✔","-")</f>
        <v>-</v>
      </c>
      <c r="BY165" s="198" t="str">
        <f>IF('Design Fee'!EN167&gt;0,"✔","-")</f>
        <v>-</v>
      </c>
      <c r="BZ165" s="137"/>
    </row>
    <row r="166" spans="2:78" ht="12.75" outlineLevel="3">
      <c r="B166" s="217" t="s">
        <v>159</v>
      </c>
      <c r="C166" s="218">
        <v>2</v>
      </c>
      <c r="D166" s="219" t="s">
        <v>154</v>
      </c>
      <c r="E166" s="137"/>
      <c r="F166" s="197">
        <f t="shared" si="543"/>
        <v>1</v>
      </c>
      <c r="G166" s="198">
        <f t="shared" si="543"/>
        <v>1</v>
      </c>
      <c r="H166" s="198">
        <f t="shared" si="543"/>
        <v>1</v>
      </c>
      <c r="I166" s="198">
        <f t="shared" si="544"/>
        <v>0</v>
      </c>
      <c r="J166" s="184"/>
      <c r="K166" s="203"/>
      <c r="L166" s="196"/>
      <c r="M166" s="197" t="str">
        <f>IF('Design Fee'!W168&gt;0,"✔","-")</f>
        <v>-</v>
      </c>
      <c r="N166" s="197" t="str">
        <f>IF('Design Fee'!X168&gt;0,"✔","-")</f>
        <v>-</v>
      </c>
      <c r="O166" s="198" t="str">
        <f>IF('Design Fee'!Y168&gt;0,"✔","-")</f>
        <v>-</v>
      </c>
      <c r="P166" s="198" t="str">
        <f>IF('Design Fee'!Z168&gt;0,"✔","-")</f>
        <v>-</v>
      </c>
      <c r="Q166" s="198" t="str">
        <f>IF('Design Fee'!AA168&gt;0,"✔","-")</f>
        <v>-</v>
      </c>
      <c r="R166" s="198" t="str">
        <f>IF('Design Fee'!AB168&gt;0,"✔","-")</f>
        <v>-</v>
      </c>
      <c r="S166" s="198" t="str">
        <f>IF('Design Fee'!AC168&gt;0,"✔","-")</f>
        <v>-</v>
      </c>
      <c r="T166" s="220" t="str">
        <f>IF('Design Fee'!AD168&gt;0,"✔","-")</f>
        <v>-</v>
      </c>
      <c r="U166" s="184"/>
      <c r="V166" s="198" t="str">
        <f>IF('Design Fee'!AF168&gt;0,"✔","-")</f>
        <v>-</v>
      </c>
      <c r="W166" s="198" t="str">
        <f>IF('Design Fee'!AG168&gt;0,"✔","-")</f>
        <v>-</v>
      </c>
      <c r="X166" s="198" t="str">
        <f>IF('Design Fee'!AH168&gt;0,"✔","-")</f>
        <v>-</v>
      </c>
      <c r="Y166" s="198" t="str">
        <f>IF('Design Fee'!AI168&gt;0,"✔","-")</f>
        <v>-</v>
      </c>
      <c r="Z166" s="198" t="str">
        <f>IF('Design Fee'!AJ168&gt;0,"✔","-")</f>
        <v>-</v>
      </c>
      <c r="AA166" s="184"/>
      <c r="AB166" s="203"/>
      <c r="AC166" s="196"/>
      <c r="AD166" s="197" t="str">
        <f>IF('Design Fee'!BG168&gt;0,"✔","-")</f>
        <v>✔</v>
      </c>
      <c r="AE166" s="197" t="str">
        <f>IF('Design Fee'!BH168&gt;0,"✔","-")</f>
        <v>✔</v>
      </c>
      <c r="AF166" s="198" t="str">
        <f>IF('Design Fee'!BI168&gt;0,"✔","-")</f>
        <v>✔</v>
      </c>
      <c r="AG166" s="198" t="str">
        <f>IF('Design Fee'!BJ168&gt;0,"✔","-")</f>
        <v>-</v>
      </c>
      <c r="AH166" s="198" t="str">
        <f>IF('Design Fee'!BK168&gt;0,"✔","-")</f>
        <v>-</v>
      </c>
      <c r="AI166" s="198" t="str">
        <f>IF('Design Fee'!BL168&gt;0,"✔","-")</f>
        <v>-</v>
      </c>
      <c r="AJ166" s="198" t="str">
        <f>IF('Design Fee'!BM168&gt;0,"✔","-")</f>
        <v>-</v>
      </c>
      <c r="AK166" s="220" t="str">
        <f>IF('Design Fee'!BN168&gt;0,"✔","-")</f>
        <v>-</v>
      </c>
      <c r="AL166" s="199"/>
      <c r="AM166" s="198" t="str">
        <f>IF('Design Fee'!BP168&gt;0,"✔","-")</f>
        <v>-</v>
      </c>
      <c r="AN166" s="198" t="str">
        <f>IF('Design Fee'!BQ168&gt;0,"✔","-")</f>
        <v>-</v>
      </c>
      <c r="AO166" s="198" t="str">
        <f>IF('Design Fee'!BR168&gt;0,"✔","-")</f>
        <v>-</v>
      </c>
      <c r="AP166" s="198" t="str">
        <f>IF('Design Fee'!BS168&gt;0,"✔","-")</f>
        <v>-</v>
      </c>
      <c r="AQ166" s="198" t="str">
        <f>IF('Design Fee'!BT168&gt;0,"✔","-")</f>
        <v>-</v>
      </c>
      <c r="AR166" s="199"/>
      <c r="AS166" s="203"/>
      <c r="AT166" s="196"/>
      <c r="AU166" s="197" t="str">
        <f>IF('Design Fee'!CQ168&gt;0,"✔","-")</f>
        <v>-</v>
      </c>
      <c r="AV166" s="197" t="str">
        <f>IF('Design Fee'!CR168&gt;0,"✔","-")</f>
        <v>-</v>
      </c>
      <c r="AW166" s="198" t="str">
        <f>IF('Design Fee'!CS168&gt;0,"✔","-")</f>
        <v>-</v>
      </c>
      <c r="AX166" s="198" t="str">
        <f>IF('Design Fee'!CT168&gt;0,"✔","-")</f>
        <v>-</v>
      </c>
      <c r="AY166" s="198" t="str">
        <f>IF('Design Fee'!CU168&gt;0,"✔","-")</f>
        <v>-</v>
      </c>
      <c r="AZ166" s="198" t="str">
        <f>IF('Design Fee'!CV168&gt;0,"✔","-")</f>
        <v>-</v>
      </c>
      <c r="BA166" s="198" t="str">
        <f>IF('Design Fee'!CW168&gt;0,"✔","-")</f>
        <v>-</v>
      </c>
      <c r="BB166" s="220" t="str">
        <f>IF('Design Fee'!CX168&gt;0,"✔","-")</f>
        <v>-</v>
      </c>
      <c r="BC166" s="199"/>
      <c r="BD166" s="198" t="str">
        <f>IF('Design Fee'!CZ168&gt;0,"✔","-")</f>
        <v>-</v>
      </c>
      <c r="BE166" s="198" t="str">
        <f>IF('Design Fee'!DA168&gt;0,"✔","-")</f>
        <v>-</v>
      </c>
      <c r="BF166" s="198" t="str">
        <f>IF('Design Fee'!DB168&gt;0,"✔","-")</f>
        <v>-</v>
      </c>
      <c r="BG166" s="198" t="str">
        <f>IF('Design Fee'!DC168&gt;0,"✔","-")</f>
        <v>-</v>
      </c>
      <c r="BH166" s="198" t="str">
        <f>IF('Design Fee'!DD168&gt;0,"✔","-")</f>
        <v>-</v>
      </c>
      <c r="BI166" s="199"/>
      <c r="BJ166" s="203"/>
      <c r="BK166" s="196"/>
      <c r="BL166" s="197" t="str">
        <f>IF('Design Fee'!EA168&gt;0,"✔","-")</f>
        <v>-</v>
      </c>
      <c r="BM166" s="197" t="str">
        <f>IF('Design Fee'!EB168&gt;0,"✔","-")</f>
        <v>-</v>
      </c>
      <c r="BN166" s="198" t="str">
        <f>IF('Design Fee'!EC168&gt;0,"✔","-")</f>
        <v>-</v>
      </c>
      <c r="BO166" s="198" t="str">
        <f>IF('Design Fee'!ED168&gt;0,"✔","-")</f>
        <v>-</v>
      </c>
      <c r="BP166" s="198" t="str">
        <f>IF('Design Fee'!EE168&gt;0,"✔","-")</f>
        <v>-</v>
      </c>
      <c r="BQ166" s="198" t="str">
        <f>IF('Design Fee'!EF168&gt;0,"✔","-")</f>
        <v>-</v>
      </c>
      <c r="BR166" s="198" t="str">
        <f>IF('Design Fee'!EG168&gt;0,"✔","-")</f>
        <v>-</v>
      </c>
      <c r="BS166" s="220" t="str">
        <f>IF('Design Fee'!EH168&gt;0,"✔","-")</f>
        <v>-</v>
      </c>
      <c r="BT166" s="137"/>
      <c r="BU166" s="198" t="str">
        <f>IF('Design Fee'!EJ168&gt;0,"✔","-")</f>
        <v>-</v>
      </c>
      <c r="BV166" s="198" t="str">
        <f>IF('Design Fee'!EK168&gt;0,"✔","-")</f>
        <v>-</v>
      </c>
      <c r="BW166" s="198" t="str">
        <f>IF('Design Fee'!EL168&gt;0,"✔","-")</f>
        <v>-</v>
      </c>
      <c r="BX166" s="198" t="str">
        <f>IF('Design Fee'!EM168&gt;0,"✔","-")</f>
        <v>-</v>
      </c>
      <c r="BY166" s="198" t="str">
        <f>IF('Design Fee'!EN168&gt;0,"✔","-")</f>
        <v>-</v>
      </c>
      <c r="BZ166" s="137"/>
    </row>
    <row r="167" spans="2:78" ht="12.75" outlineLevel="2">
      <c r="B167" s="237"/>
      <c r="C167" s="238"/>
      <c r="D167" s="219"/>
      <c r="E167" s="137"/>
      <c r="F167" s="197"/>
      <c r="G167" s="198"/>
      <c r="H167" s="198"/>
      <c r="I167" s="198"/>
      <c r="J167" s="184"/>
      <c r="K167" s="195"/>
      <c r="L167" s="196"/>
      <c r="M167" s="197" t="str">
        <f>IF('Design Fee'!W169&gt;0,"✔","-")</f>
        <v>-</v>
      </c>
      <c r="N167" s="197" t="str">
        <f>IF('Design Fee'!X169&gt;0,"✔","-")</f>
        <v>-</v>
      </c>
      <c r="O167" s="198" t="str">
        <f>IF('Design Fee'!Y169&gt;0,"✔","-")</f>
        <v>-</v>
      </c>
      <c r="P167" s="198" t="str">
        <f>IF('Design Fee'!Z169&gt;0,"✔","-")</f>
        <v>-</v>
      </c>
      <c r="Q167" s="198" t="str">
        <f>IF('Design Fee'!AA169&gt;0,"✔","-")</f>
        <v>-</v>
      </c>
      <c r="R167" s="198" t="str">
        <f>IF('Design Fee'!AB169&gt;0,"✔","-")</f>
        <v>-</v>
      </c>
      <c r="S167" s="198" t="str">
        <f>IF('Design Fee'!AC169&gt;0,"✔","-")</f>
        <v>-</v>
      </c>
      <c r="T167" s="220" t="str">
        <f>IF('Design Fee'!AD169&gt;0,"✔","-")</f>
        <v>-</v>
      </c>
      <c r="U167" s="184"/>
      <c r="V167" s="198" t="str">
        <f>IF('Design Fee'!AF169&gt;0,"✔","-")</f>
        <v>-</v>
      </c>
      <c r="W167" s="198" t="str">
        <f>IF('Design Fee'!AG169&gt;0,"✔","-")</f>
        <v>-</v>
      </c>
      <c r="X167" s="198" t="str">
        <f>IF('Design Fee'!AH169&gt;0,"✔","-")</f>
        <v>-</v>
      </c>
      <c r="Y167" s="198" t="str">
        <f>IF('Design Fee'!AI169&gt;0,"✔","-")</f>
        <v>-</v>
      </c>
      <c r="Z167" s="198" t="str">
        <f>IF('Design Fee'!AJ169&gt;0,"✔","-")</f>
        <v>-</v>
      </c>
      <c r="AA167" s="184"/>
      <c r="AB167" s="195"/>
      <c r="AC167" s="196"/>
      <c r="AD167" s="197" t="str">
        <f>IF('Design Fee'!BG169&gt;0,"✔","-")</f>
        <v>-</v>
      </c>
      <c r="AE167" s="197" t="str">
        <f>IF('Design Fee'!BH169&gt;0,"✔","-")</f>
        <v>-</v>
      </c>
      <c r="AF167" s="198" t="str">
        <f>IF('Design Fee'!BI169&gt;0,"✔","-")</f>
        <v>-</v>
      </c>
      <c r="AG167" s="198" t="str">
        <f>IF('Design Fee'!BJ169&gt;0,"✔","-")</f>
        <v>-</v>
      </c>
      <c r="AH167" s="198" t="str">
        <f>IF('Design Fee'!BK169&gt;0,"✔","-")</f>
        <v>-</v>
      </c>
      <c r="AI167" s="198" t="str">
        <f>IF('Design Fee'!BL169&gt;0,"✔","-")</f>
        <v>-</v>
      </c>
      <c r="AJ167" s="198" t="str">
        <f>IF('Design Fee'!BM169&gt;0,"✔","-")</f>
        <v>-</v>
      </c>
      <c r="AK167" s="220" t="str">
        <f>IF('Design Fee'!BN169&gt;0,"✔","-")</f>
        <v>-</v>
      </c>
      <c r="AL167" s="199"/>
      <c r="AM167" s="198" t="str">
        <f>IF('Design Fee'!BP169&gt;0,"✔","-")</f>
        <v>-</v>
      </c>
      <c r="AN167" s="198" t="str">
        <f>IF('Design Fee'!BQ169&gt;0,"✔","-")</f>
        <v>-</v>
      </c>
      <c r="AO167" s="198" t="str">
        <f>IF('Design Fee'!BR169&gt;0,"✔","-")</f>
        <v>-</v>
      </c>
      <c r="AP167" s="198" t="str">
        <f>IF('Design Fee'!BS169&gt;0,"✔","-")</f>
        <v>-</v>
      </c>
      <c r="AQ167" s="198" t="str">
        <f>IF('Design Fee'!BT169&gt;0,"✔","-")</f>
        <v>-</v>
      </c>
      <c r="AR167" s="199"/>
      <c r="AS167" s="195"/>
      <c r="AT167" s="196"/>
      <c r="AU167" s="197" t="str">
        <f>IF('Design Fee'!CQ169&gt;0,"✔","-")</f>
        <v>-</v>
      </c>
      <c r="AV167" s="197" t="str">
        <f>IF('Design Fee'!CR169&gt;0,"✔","-")</f>
        <v>-</v>
      </c>
      <c r="AW167" s="198" t="str">
        <f>IF('Design Fee'!CS169&gt;0,"✔","-")</f>
        <v>-</v>
      </c>
      <c r="AX167" s="198" t="str">
        <f>IF('Design Fee'!CT169&gt;0,"✔","-")</f>
        <v>-</v>
      </c>
      <c r="AY167" s="198" t="str">
        <f>IF('Design Fee'!CU169&gt;0,"✔","-")</f>
        <v>-</v>
      </c>
      <c r="AZ167" s="198" t="str">
        <f>IF('Design Fee'!CV169&gt;0,"✔","-")</f>
        <v>-</v>
      </c>
      <c r="BA167" s="198" t="str">
        <f>IF('Design Fee'!CW169&gt;0,"✔","-")</f>
        <v>-</v>
      </c>
      <c r="BB167" s="220" t="str">
        <f>IF('Design Fee'!CX169&gt;0,"✔","-")</f>
        <v>-</v>
      </c>
      <c r="BC167" s="199"/>
      <c r="BD167" s="198" t="str">
        <f>IF('Design Fee'!CZ169&gt;0,"✔","-")</f>
        <v>-</v>
      </c>
      <c r="BE167" s="198" t="str">
        <f>IF('Design Fee'!DA169&gt;0,"✔","-")</f>
        <v>-</v>
      </c>
      <c r="BF167" s="198" t="str">
        <f>IF('Design Fee'!DB169&gt;0,"✔","-")</f>
        <v>-</v>
      </c>
      <c r="BG167" s="198" t="str">
        <f>IF('Design Fee'!DC169&gt;0,"✔","-")</f>
        <v>-</v>
      </c>
      <c r="BH167" s="198" t="str">
        <f>IF('Design Fee'!DD169&gt;0,"✔","-")</f>
        <v>-</v>
      </c>
      <c r="BI167" s="199"/>
      <c r="BJ167" s="195"/>
      <c r="BK167" s="196"/>
      <c r="BL167" s="197" t="str">
        <f>IF('Design Fee'!EA169&gt;0,"✔","-")</f>
        <v>-</v>
      </c>
      <c r="BM167" s="197" t="str">
        <f>IF('Design Fee'!EB169&gt;0,"✔","-")</f>
        <v>-</v>
      </c>
      <c r="BN167" s="198" t="str">
        <f>IF('Design Fee'!EC169&gt;0,"✔","-")</f>
        <v>-</v>
      </c>
      <c r="BO167" s="198" t="str">
        <f>IF('Design Fee'!ED169&gt;0,"✔","-")</f>
        <v>-</v>
      </c>
      <c r="BP167" s="198" t="str">
        <f>IF('Design Fee'!EE169&gt;0,"✔","-")</f>
        <v>-</v>
      </c>
      <c r="BQ167" s="198" t="str">
        <f>IF('Design Fee'!EF169&gt;0,"✔","-")</f>
        <v>-</v>
      </c>
      <c r="BR167" s="198" t="str">
        <f>IF('Design Fee'!EG169&gt;0,"✔","-")</f>
        <v>-</v>
      </c>
      <c r="BS167" s="220" t="str">
        <f>IF('Design Fee'!EH169&gt;0,"✔","-")</f>
        <v>-</v>
      </c>
      <c r="BT167" s="137"/>
      <c r="BU167" s="198" t="str">
        <f>IF('Design Fee'!EJ169&gt;0,"✔","-")</f>
        <v>-</v>
      </c>
      <c r="BV167" s="198" t="str">
        <f>IF('Design Fee'!EK169&gt;0,"✔","-")</f>
        <v>-</v>
      </c>
      <c r="BW167" s="198" t="str">
        <f>IF('Design Fee'!EL169&gt;0,"✔","-")</f>
        <v>-</v>
      </c>
      <c r="BX167" s="198" t="str">
        <f>IF('Design Fee'!EM169&gt;0,"✔","-")</f>
        <v>-</v>
      </c>
      <c r="BY167" s="198" t="str">
        <f>IF('Design Fee'!EN169&gt;0,"✔","-")</f>
        <v>-</v>
      </c>
      <c r="BZ167" s="137"/>
    </row>
    <row r="168" spans="2:78" ht="12.75" outlineLevel="2">
      <c r="B168" s="237">
        <v>2.6</v>
      </c>
      <c r="C168" s="238">
        <v>2.6</v>
      </c>
      <c r="D168" s="239" t="s">
        <v>166</v>
      </c>
      <c r="E168" s="137"/>
      <c r="F168" s="162"/>
      <c r="G168" s="198"/>
      <c r="H168" s="198"/>
      <c r="I168" s="198"/>
      <c r="J168" s="184"/>
      <c r="K168" s="233"/>
      <c r="L168" s="233"/>
      <c r="M168" s="197" t="str">
        <f>IF('Design Fee'!W170&gt;0,"✔","-")</f>
        <v>-</v>
      </c>
      <c r="N168" s="197" t="str">
        <f>IF('Design Fee'!X170&gt;0,"✔","-")</f>
        <v>-</v>
      </c>
      <c r="O168" s="198" t="str">
        <f>IF('Design Fee'!Y170&gt;0,"✔","-")</f>
        <v>-</v>
      </c>
      <c r="P168" s="198" t="str">
        <f>IF('Design Fee'!Z170&gt;0,"✔","-")</f>
        <v>-</v>
      </c>
      <c r="Q168" s="198" t="str">
        <f>IF('Design Fee'!AA170&gt;0,"✔","-")</f>
        <v>-</v>
      </c>
      <c r="R168" s="198" t="str">
        <f>IF('Design Fee'!AB170&gt;0,"✔","-")</f>
        <v>-</v>
      </c>
      <c r="S168" s="198" t="str">
        <f>IF('Design Fee'!AC170&gt;0,"✔","-")</f>
        <v>-</v>
      </c>
      <c r="T168" s="220" t="str">
        <f>IF('Design Fee'!AD170&gt;0,"✔","-")</f>
        <v>-</v>
      </c>
      <c r="U168" s="184"/>
      <c r="V168" s="198" t="str">
        <f>IF('Design Fee'!AF170&gt;0,"✔","-")</f>
        <v>-</v>
      </c>
      <c r="W168" s="198" t="str">
        <f>IF('Design Fee'!AG170&gt;0,"✔","-")</f>
        <v>-</v>
      </c>
      <c r="X168" s="198" t="str">
        <f>IF('Design Fee'!AH170&gt;0,"✔","-")</f>
        <v>-</v>
      </c>
      <c r="Y168" s="198" t="str">
        <f>IF('Design Fee'!AI170&gt;0,"✔","-")</f>
        <v>-</v>
      </c>
      <c r="Z168" s="198" t="str">
        <f>IF('Design Fee'!AJ170&gt;0,"✔","-")</f>
        <v>-</v>
      </c>
      <c r="AA168" s="184"/>
      <c r="AB168" s="233"/>
      <c r="AC168" s="233"/>
      <c r="AD168" s="197"/>
      <c r="AE168" s="197"/>
      <c r="AF168" s="198"/>
      <c r="AG168" s="198"/>
      <c r="AH168" s="198" t="str">
        <f>IF('Design Fee'!BK170&gt;0,"✔","-")</f>
        <v>-</v>
      </c>
      <c r="AI168" s="198"/>
      <c r="AJ168" s="198"/>
      <c r="AK168" s="220"/>
      <c r="AL168" s="233"/>
      <c r="AM168" s="198"/>
      <c r="AN168" s="198"/>
      <c r="AO168" s="198"/>
      <c r="AP168" s="198"/>
      <c r="AQ168" s="198"/>
      <c r="AR168" s="233"/>
      <c r="AS168" s="233"/>
      <c r="AT168" s="233"/>
      <c r="AU168" s="197" t="str">
        <f>IF('Design Fee'!CQ170&gt;0,"✔","-")</f>
        <v>-</v>
      </c>
      <c r="AV168" s="197" t="str">
        <f>IF('Design Fee'!CR170&gt;0,"✔","-")</f>
        <v>-</v>
      </c>
      <c r="AW168" s="198" t="str">
        <f>IF('Design Fee'!CS170&gt;0,"✔","-")</f>
        <v>-</v>
      </c>
      <c r="AX168" s="198" t="str">
        <f>IF('Design Fee'!CT170&gt;0,"✔","-")</f>
        <v>-</v>
      </c>
      <c r="AY168" s="198" t="str">
        <f>IF('Design Fee'!CU170&gt;0,"✔","-")</f>
        <v>-</v>
      </c>
      <c r="AZ168" s="198" t="str">
        <f>IF('Design Fee'!CV170&gt;0,"✔","-")</f>
        <v>-</v>
      </c>
      <c r="BA168" s="198" t="str">
        <f>IF('Design Fee'!CW170&gt;0,"✔","-")</f>
        <v>-</v>
      </c>
      <c r="BB168" s="220" t="str">
        <f>IF('Design Fee'!CX170&gt;0,"✔","-")</f>
        <v>-</v>
      </c>
      <c r="BC168" s="233"/>
      <c r="BD168" s="198" t="str">
        <f>IF('Design Fee'!CZ170&gt;0,"✔","-")</f>
        <v>-</v>
      </c>
      <c r="BE168" s="198" t="str">
        <f>IF('Design Fee'!DA170&gt;0,"✔","-")</f>
        <v>-</v>
      </c>
      <c r="BF168" s="198" t="str">
        <f>IF('Design Fee'!DB170&gt;0,"✔","-")</f>
        <v>-</v>
      </c>
      <c r="BG168" s="198" t="str">
        <f>IF('Design Fee'!DC170&gt;0,"✔","-")</f>
        <v>-</v>
      </c>
      <c r="BH168" s="198" t="str">
        <f>IF('Design Fee'!DD170&gt;0,"✔","-")</f>
        <v>-</v>
      </c>
      <c r="BI168" s="233"/>
      <c r="BJ168" s="233"/>
      <c r="BK168" s="233"/>
      <c r="BL168" s="197" t="str">
        <f>IF('Design Fee'!EA170&gt;0,"✔","-")</f>
        <v>-</v>
      </c>
      <c r="BM168" s="197" t="str">
        <f>IF('Design Fee'!EB170&gt;0,"✔","-")</f>
        <v>-</v>
      </c>
      <c r="BN168" s="198" t="str">
        <f>IF('Design Fee'!EC170&gt;0,"✔","-")</f>
        <v>-</v>
      </c>
      <c r="BO168" s="198" t="str">
        <f>IF('Design Fee'!ED170&gt;0,"✔","-")</f>
        <v>-</v>
      </c>
      <c r="BP168" s="198" t="str">
        <f>IF('Design Fee'!EE170&gt;0,"✔","-")</f>
        <v>-</v>
      </c>
      <c r="BQ168" s="198" t="str">
        <f>IF('Design Fee'!EF170&gt;0,"✔","-")</f>
        <v>-</v>
      </c>
      <c r="BR168" s="198" t="str">
        <f>IF('Design Fee'!EG170&gt;0,"✔","-")</f>
        <v>-</v>
      </c>
      <c r="BS168" s="220" t="str">
        <f>IF('Design Fee'!EH170&gt;0,"✔","-")</f>
        <v>-</v>
      </c>
      <c r="BT168" s="137"/>
      <c r="BU168" s="198" t="str">
        <f>IF('Design Fee'!EJ170&gt;0,"✔","-")</f>
        <v>-</v>
      </c>
      <c r="BV168" s="198" t="str">
        <f>IF('Design Fee'!EK170&gt;0,"✔","-")</f>
        <v>-</v>
      </c>
      <c r="BW168" s="198" t="str">
        <f>IF('Design Fee'!EL170&gt;0,"✔","-")</f>
        <v>-</v>
      </c>
      <c r="BX168" s="198" t="str">
        <f>IF('Design Fee'!EM170&gt;0,"✔","-")</f>
        <v>-</v>
      </c>
      <c r="BY168" s="198" t="str">
        <f>IF('Design Fee'!EN170&gt;0,"✔","-")</f>
        <v>-</v>
      </c>
      <c r="BZ168" s="137"/>
    </row>
    <row r="169" spans="2:78" ht="12.75" outlineLevel="3">
      <c r="B169" s="217" t="s">
        <v>158</v>
      </c>
      <c r="C169" s="218">
        <v>1</v>
      </c>
      <c r="D169" s="219" t="s">
        <v>152</v>
      </c>
      <c r="E169" s="137"/>
      <c r="F169" s="197">
        <f t="shared" ref="F169:H170" si="545">COUNTIF(M169,"✔")+COUNTIF(AD169,"✔")+COUNTIF(BL169,"✔")+COUNTIF(AU169,"✔")</f>
        <v>1</v>
      </c>
      <c r="G169" s="198">
        <f t="shared" si="545"/>
        <v>1</v>
      </c>
      <c r="H169" s="198">
        <f t="shared" si="545"/>
        <v>1</v>
      </c>
      <c r="I169" s="198">
        <f t="shared" ref="I169:I170" si="546">F169-G169</f>
        <v>0</v>
      </c>
      <c r="J169" s="184"/>
      <c r="K169" s="203"/>
      <c r="L169" s="196"/>
      <c r="M169" s="197" t="str">
        <f>IF('Design Fee'!W171&gt;0,"✔","-")</f>
        <v>-</v>
      </c>
      <c r="N169" s="197" t="str">
        <f>IF('Design Fee'!X171&gt;0,"✔","-")</f>
        <v>-</v>
      </c>
      <c r="O169" s="198" t="str">
        <f>IF('Design Fee'!Y171&gt;0,"✔","-")</f>
        <v>-</v>
      </c>
      <c r="P169" s="198" t="str">
        <f>IF('Design Fee'!Z171&gt;0,"✔","-")</f>
        <v>-</v>
      </c>
      <c r="Q169" s="198" t="str">
        <f>IF('Design Fee'!AA171&gt;0,"✔","-")</f>
        <v>-</v>
      </c>
      <c r="R169" s="198" t="str">
        <f>IF('Design Fee'!AB171&gt;0,"✔","-")</f>
        <v>-</v>
      </c>
      <c r="S169" s="198" t="str">
        <f>IF('Design Fee'!AC171&gt;0,"✔","-")</f>
        <v>-</v>
      </c>
      <c r="T169" s="220" t="str">
        <f>IF('Design Fee'!AD171&gt;0,"✔","-")</f>
        <v>-</v>
      </c>
      <c r="U169" s="184"/>
      <c r="V169" s="198" t="str">
        <f>IF('Design Fee'!AF171&gt;0,"✔","-")</f>
        <v>-</v>
      </c>
      <c r="W169" s="198" t="str">
        <f>IF('Design Fee'!AG171&gt;0,"✔","-")</f>
        <v>-</v>
      </c>
      <c r="X169" s="198" t="str">
        <f>IF('Design Fee'!AH171&gt;0,"✔","-")</f>
        <v>-</v>
      </c>
      <c r="Y169" s="198" t="str">
        <f>IF('Design Fee'!AI171&gt;0,"✔","-")</f>
        <v>-</v>
      </c>
      <c r="Z169" s="198" t="str">
        <f>IF('Design Fee'!AJ171&gt;0,"✔","-")</f>
        <v>-</v>
      </c>
      <c r="AA169" s="184"/>
      <c r="AB169" s="203"/>
      <c r="AC169" s="196"/>
      <c r="AD169" s="197" t="str">
        <f>IF('Design Fee'!BG171&gt;0,"✔","-")</f>
        <v>✔</v>
      </c>
      <c r="AE169" s="197" t="str">
        <f>IF('Design Fee'!BH171&gt;0,"✔","-")</f>
        <v>✔</v>
      </c>
      <c r="AF169" s="198" t="str">
        <f>IF('Design Fee'!BI171&gt;0,"✔","-")</f>
        <v>✔</v>
      </c>
      <c r="AG169" s="198" t="str">
        <f>IF('Design Fee'!BJ171&gt;0,"✔","-")</f>
        <v>-</v>
      </c>
      <c r="AH169" s="198" t="str">
        <f>IF('Design Fee'!BK171&gt;0,"✔","-")</f>
        <v>-</v>
      </c>
      <c r="AI169" s="198" t="str">
        <f>IF('Design Fee'!BL171&gt;0,"✔","-")</f>
        <v>-</v>
      </c>
      <c r="AJ169" s="198" t="str">
        <f>IF('Design Fee'!BM171&gt;0,"✔","-")</f>
        <v>-</v>
      </c>
      <c r="AK169" s="220" t="str">
        <f>IF('Design Fee'!BN171&gt;0,"✔","-")</f>
        <v>-</v>
      </c>
      <c r="AL169" s="199"/>
      <c r="AM169" s="198" t="str">
        <f>IF('Design Fee'!BP171&gt;0,"✔","-")</f>
        <v>-</v>
      </c>
      <c r="AN169" s="198" t="str">
        <f>IF('Design Fee'!BQ171&gt;0,"✔","-")</f>
        <v>-</v>
      </c>
      <c r="AO169" s="198" t="str">
        <f>IF('Design Fee'!BR171&gt;0,"✔","-")</f>
        <v>-</v>
      </c>
      <c r="AP169" s="198" t="str">
        <f>IF('Design Fee'!BS171&gt;0,"✔","-")</f>
        <v>-</v>
      </c>
      <c r="AQ169" s="198" t="str">
        <f>IF('Design Fee'!BT171&gt;0,"✔","-")</f>
        <v>-</v>
      </c>
      <c r="AR169" s="199"/>
      <c r="AS169" s="203"/>
      <c r="AT169" s="196"/>
      <c r="AU169" s="197" t="str">
        <f>IF('Design Fee'!CQ171&gt;0,"✔","-")</f>
        <v>-</v>
      </c>
      <c r="AV169" s="197" t="str">
        <f>IF('Design Fee'!CR171&gt;0,"✔","-")</f>
        <v>-</v>
      </c>
      <c r="AW169" s="198" t="str">
        <f>IF('Design Fee'!CS171&gt;0,"✔","-")</f>
        <v>-</v>
      </c>
      <c r="AX169" s="198" t="str">
        <f>IF('Design Fee'!CT171&gt;0,"✔","-")</f>
        <v>-</v>
      </c>
      <c r="AY169" s="198" t="str">
        <f>IF('Design Fee'!CU171&gt;0,"✔","-")</f>
        <v>-</v>
      </c>
      <c r="AZ169" s="198" t="str">
        <f>IF('Design Fee'!CV171&gt;0,"✔","-")</f>
        <v>-</v>
      </c>
      <c r="BA169" s="198" t="str">
        <f>IF('Design Fee'!CW171&gt;0,"✔","-")</f>
        <v>-</v>
      </c>
      <c r="BB169" s="220" t="str">
        <f>IF('Design Fee'!CX171&gt;0,"✔","-")</f>
        <v>-</v>
      </c>
      <c r="BC169" s="199"/>
      <c r="BD169" s="198" t="str">
        <f>IF('Design Fee'!CZ171&gt;0,"✔","-")</f>
        <v>-</v>
      </c>
      <c r="BE169" s="198" t="str">
        <f>IF('Design Fee'!DA171&gt;0,"✔","-")</f>
        <v>-</v>
      </c>
      <c r="BF169" s="198" t="str">
        <f>IF('Design Fee'!DB171&gt;0,"✔","-")</f>
        <v>-</v>
      </c>
      <c r="BG169" s="198" t="str">
        <f>IF('Design Fee'!DC171&gt;0,"✔","-")</f>
        <v>-</v>
      </c>
      <c r="BH169" s="198" t="str">
        <f>IF('Design Fee'!DD171&gt;0,"✔","-")</f>
        <v>-</v>
      </c>
      <c r="BI169" s="199"/>
      <c r="BJ169" s="203"/>
      <c r="BK169" s="196"/>
      <c r="BL169" s="197" t="str">
        <f>IF('Design Fee'!EA171&gt;0,"✔","-")</f>
        <v>-</v>
      </c>
      <c r="BM169" s="197" t="str">
        <f>IF('Design Fee'!EB171&gt;0,"✔","-")</f>
        <v>-</v>
      </c>
      <c r="BN169" s="198" t="str">
        <f>IF('Design Fee'!EC171&gt;0,"✔","-")</f>
        <v>-</v>
      </c>
      <c r="BO169" s="198" t="str">
        <f>IF('Design Fee'!ED171&gt;0,"✔","-")</f>
        <v>-</v>
      </c>
      <c r="BP169" s="198" t="str">
        <f>IF('Design Fee'!EE171&gt;0,"✔","-")</f>
        <v>-</v>
      </c>
      <c r="BQ169" s="198" t="str">
        <f>IF('Design Fee'!EF171&gt;0,"✔","-")</f>
        <v>-</v>
      </c>
      <c r="BR169" s="198" t="str">
        <f>IF('Design Fee'!EG171&gt;0,"✔","-")</f>
        <v>-</v>
      </c>
      <c r="BS169" s="220" t="str">
        <f>IF('Design Fee'!EH171&gt;0,"✔","-")</f>
        <v>-</v>
      </c>
      <c r="BT169" s="137"/>
      <c r="BU169" s="198" t="str">
        <f>IF('Design Fee'!EJ171&gt;0,"✔","-")</f>
        <v>-</v>
      </c>
      <c r="BV169" s="198" t="str">
        <f>IF('Design Fee'!EK171&gt;0,"✔","-")</f>
        <v>-</v>
      </c>
      <c r="BW169" s="198" t="str">
        <f>IF('Design Fee'!EL171&gt;0,"✔","-")</f>
        <v>-</v>
      </c>
      <c r="BX169" s="198" t="str">
        <f>IF('Design Fee'!EM171&gt;0,"✔","-")</f>
        <v>-</v>
      </c>
      <c r="BY169" s="198" t="str">
        <f>IF('Design Fee'!EN171&gt;0,"✔","-")</f>
        <v>-</v>
      </c>
      <c r="BZ169" s="137"/>
    </row>
    <row r="170" spans="2:78" ht="12.75" outlineLevel="3">
      <c r="B170" s="217" t="s">
        <v>159</v>
      </c>
      <c r="C170" s="218">
        <v>2</v>
      </c>
      <c r="D170" s="219" t="s">
        <v>154</v>
      </c>
      <c r="E170" s="137"/>
      <c r="F170" s="197">
        <f t="shared" si="545"/>
        <v>1</v>
      </c>
      <c r="G170" s="198">
        <f t="shared" si="545"/>
        <v>1</v>
      </c>
      <c r="H170" s="198">
        <f t="shared" si="545"/>
        <v>1</v>
      </c>
      <c r="I170" s="198">
        <f t="shared" si="546"/>
        <v>0</v>
      </c>
      <c r="J170" s="221"/>
      <c r="K170" s="203"/>
      <c r="L170" s="196"/>
      <c r="M170" s="197" t="str">
        <f>IF('Design Fee'!W172&gt;0,"✔","-")</f>
        <v>-</v>
      </c>
      <c r="N170" s="197" t="str">
        <f>IF('Design Fee'!X172&gt;0,"✔","-")</f>
        <v>-</v>
      </c>
      <c r="O170" s="236" t="str">
        <f>IF('Design Fee'!Y172&gt;0,"✔","-")</f>
        <v>-</v>
      </c>
      <c r="P170" s="236" t="str">
        <f>IF('Design Fee'!Z172&gt;0,"✔","-")</f>
        <v>-</v>
      </c>
      <c r="Q170" s="198" t="str">
        <f>IF('Design Fee'!AA172&gt;0,"✔","-")</f>
        <v>-</v>
      </c>
      <c r="R170" s="198" t="str">
        <f>IF('Design Fee'!AB172&gt;0,"✔","-")</f>
        <v>-</v>
      </c>
      <c r="S170" s="198" t="str">
        <f>IF('Design Fee'!AC172&gt;0,"✔","-")</f>
        <v>-</v>
      </c>
      <c r="T170" s="220" t="str">
        <f>IF('Design Fee'!AD172&gt;0,"✔","-")</f>
        <v>-</v>
      </c>
      <c r="U170" s="221"/>
      <c r="V170" s="236" t="str">
        <f>IF('Design Fee'!AF172&gt;0,"✔","-")</f>
        <v>-</v>
      </c>
      <c r="W170" s="198" t="str">
        <f>IF('Design Fee'!AG172&gt;0,"✔","-")</f>
        <v>-</v>
      </c>
      <c r="X170" s="198" t="str">
        <f>IF('Design Fee'!AH172&gt;0,"✔","-")</f>
        <v>-</v>
      </c>
      <c r="Y170" s="198" t="str">
        <f>IF('Design Fee'!AI172&gt;0,"✔","-")</f>
        <v>-</v>
      </c>
      <c r="Z170" s="198" t="str">
        <f>IF('Design Fee'!AJ172&gt;0,"✔","-")</f>
        <v>-</v>
      </c>
      <c r="AA170" s="221"/>
      <c r="AB170" s="203"/>
      <c r="AC170" s="196"/>
      <c r="AD170" s="197" t="str">
        <f>IF('Design Fee'!BG172&gt;0,"✔","-")</f>
        <v>✔</v>
      </c>
      <c r="AE170" s="197" t="str">
        <f>IF('Design Fee'!BH172&gt;0,"✔","-")</f>
        <v>✔</v>
      </c>
      <c r="AF170" s="236" t="str">
        <f>IF('Design Fee'!BI172&gt;0,"✔","-")</f>
        <v>✔</v>
      </c>
      <c r="AG170" s="236" t="str">
        <f>IF('Design Fee'!BJ172&gt;0,"✔","-")</f>
        <v>-</v>
      </c>
      <c r="AH170" s="198" t="str">
        <f>IF('Design Fee'!BK172&gt;0,"✔","-")</f>
        <v>-</v>
      </c>
      <c r="AI170" s="198" t="str">
        <f>IF('Design Fee'!BL172&gt;0,"✔","-")</f>
        <v>-</v>
      </c>
      <c r="AJ170" s="198" t="str">
        <f>IF('Design Fee'!BM172&gt;0,"✔","-")</f>
        <v>-</v>
      </c>
      <c r="AK170" s="220" t="str">
        <f>IF('Design Fee'!BN172&gt;0,"✔","-")</f>
        <v>-</v>
      </c>
      <c r="AL170" s="199"/>
      <c r="AM170" s="236" t="str">
        <f>IF('Design Fee'!BP172&gt;0,"✔","-")</f>
        <v>-</v>
      </c>
      <c r="AN170" s="198" t="str">
        <f>IF('Design Fee'!BQ172&gt;0,"✔","-")</f>
        <v>-</v>
      </c>
      <c r="AO170" s="198" t="str">
        <f>IF('Design Fee'!BR172&gt;0,"✔","-")</f>
        <v>-</v>
      </c>
      <c r="AP170" s="198" t="str">
        <f>IF('Design Fee'!BS172&gt;0,"✔","-")</f>
        <v>-</v>
      </c>
      <c r="AQ170" s="198" t="str">
        <f>IF('Design Fee'!BT172&gt;0,"✔","-")</f>
        <v>-</v>
      </c>
      <c r="AR170" s="199"/>
      <c r="AS170" s="203"/>
      <c r="AT170" s="196"/>
      <c r="AU170" s="197" t="str">
        <f>IF('Design Fee'!CQ172&gt;0,"✔","-")</f>
        <v>-</v>
      </c>
      <c r="AV170" s="197" t="str">
        <f>IF('Design Fee'!CR172&gt;0,"✔","-")</f>
        <v>-</v>
      </c>
      <c r="AW170" s="236" t="str">
        <f>IF('Design Fee'!CS172&gt;0,"✔","-")</f>
        <v>-</v>
      </c>
      <c r="AX170" s="236" t="str">
        <f>IF('Design Fee'!CT172&gt;0,"✔","-")</f>
        <v>-</v>
      </c>
      <c r="AY170" s="198" t="str">
        <f>IF('Design Fee'!CU172&gt;0,"✔","-")</f>
        <v>-</v>
      </c>
      <c r="AZ170" s="198" t="str">
        <f>IF('Design Fee'!CV172&gt;0,"✔","-")</f>
        <v>-</v>
      </c>
      <c r="BA170" s="198" t="str">
        <f>IF('Design Fee'!CW172&gt;0,"✔","-")</f>
        <v>-</v>
      </c>
      <c r="BB170" s="220" t="str">
        <f>IF('Design Fee'!CX172&gt;0,"✔","-")</f>
        <v>-</v>
      </c>
      <c r="BC170" s="199"/>
      <c r="BD170" s="236" t="str">
        <f>IF('Design Fee'!CZ172&gt;0,"✔","-")</f>
        <v>-</v>
      </c>
      <c r="BE170" s="198" t="str">
        <f>IF('Design Fee'!DA172&gt;0,"✔","-")</f>
        <v>-</v>
      </c>
      <c r="BF170" s="198" t="str">
        <f>IF('Design Fee'!DB172&gt;0,"✔","-")</f>
        <v>-</v>
      </c>
      <c r="BG170" s="198" t="str">
        <f>IF('Design Fee'!DC172&gt;0,"✔","-")</f>
        <v>-</v>
      </c>
      <c r="BH170" s="198" t="str">
        <f>IF('Design Fee'!DD172&gt;0,"✔","-")</f>
        <v>-</v>
      </c>
      <c r="BI170" s="199"/>
      <c r="BJ170" s="203"/>
      <c r="BK170" s="196"/>
      <c r="BL170" s="197" t="str">
        <f>IF('Design Fee'!EA172&gt;0,"✔","-")</f>
        <v>-</v>
      </c>
      <c r="BM170" s="197" t="str">
        <f>IF('Design Fee'!EB172&gt;0,"✔","-")</f>
        <v>-</v>
      </c>
      <c r="BN170" s="236" t="str">
        <f>IF('Design Fee'!EC172&gt;0,"✔","-")</f>
        <v>-</v>
      </c>
      <c r="BO170" s="236" t="str">
        <f>IF('Design Fee'!ED172&gt;0,"✔","-")</f>
        <v>-</v>
      </c>
      <c r="BP170" s="198" t="str">
        <f>IF('Design Fee'!EE172&gt;0,"✔","-")</f>
        <v>-</v>
      </c>
      <c r="BQ170" s="198" t="str">
        <f>IF('Design Fee'!EF172&gt;0,"✔","-")</f>
        <v>-</v>
      </c>
      <c r="BR170" s="198" t="str">
        <f>IF('Design Fee'!EG172&gt;0,"✔","-")</f>
        <v>-</v>
      </c>
      <c r="BS170" s="220" t="str">
        <f>IF('Design Fee'!EH172&gt;0,"✔","-")</f>
        <v>-</v>
      </c>
      <c r="BT170" s="137"/>
      <c r="BU170" s="236" t="str">
        <f>IF('Design Fee'!EJ172&gt;0,"✔","-")</f>
        <v>-</v>
      </c>
      <c r="BV170" s="198" t="str">
        <f>IF('Design Fee'!EK172&gt;0,"✔","-")</f>
        <v>-</v>
      </c>
      <c r="BW170" s="198" t="str">
        <f>IF('Design Fee'!EL172&gt;0,"✔","-")</f>
        <v>-</v>
      </c>
      <c r="BX170" s="198" t="str">
        <f>IF('Design Fee'!EM172&gt;0,"✔","-")</f>
        <v>-</v>
      </c>
      <c r="BY170" s="198" t="str">
        <f>IF('Design Fee'!EN172&gt;0,"✔","-")</f>
        <v>-</v>
      </c>
      <c r="BZ170" s="137"/>
    </row>
    <row r="171" spans="2:78" ht="12.75" outlineLevel="2">
      <c r="B171" s="237"/>
      <c r="C171" s="238"/>
      <c r="D171" s="219"/>
      <c r="E171" s="137"/>
      <c r="F171" s="162"/>
      <c r="G171" s="175"/>
      <c r="H171" s="175"/>
      <c r="I171" s="175"/>
      <c r="J171" s="221"/>
      <c r="K171" s="195"/>
      <c r="L171" s="196"/>
      <c r="M171" s="162" t="str">
        <f>IF('Design Fee'!W173&gt;0,"✔","-")</f>
        <v>-</v>
      </c>
      <c r="N171" s="162" t="str">
        <f>IF('Design Fee'!X173&gt;0,"✔","-")</f>
        <v>-</v>
      </c>
      <c r="O171" s="175" t="str">
        <f>IF('Design Fee'!Y173&gt;0,"✔","-")</f>
        <v>-</v>
      </c>
      <c r="P171" s="175" t="str">
        <f>IF('Design Fee'!Z173&gt;0,"✔","-")</f>
        <v>-</v>
      </c>
      <c r="Q171" s="198" t="str">
        <f>IF('Design Fee'!AA173&gt;0,"✔","-")</f>
        <v>-</v>
      </c>
      <c r="R171" s="198" t="str">
        <f>IF('Design Fee'!AB173&gt;0,"✔","-")</f>
        <v>-</v>
      </c>
      <c r="S171" s="198" t="str">
        <f>IF('Design Fee'!AC173&gt;0,"✔","-")</f>
        <v>-</v>
      </c>
      <c r="T171" s="220" t="str">
        <f>IF('Design Fee'!AD173&gt;0,"✔","-")</f>
        <v>-</v>
      </c>
      <c r="U171" s="221"/>
      <c r="V171" s="175" t="str">
        <f>IF('Design Fee'!AF173&gt;0,"✔","-")</f>
        <v>-</v>
      </c>
      <c r="W171" s="198" t="str">
        <f>IF('Design Fee'!AG173&gt;0,"✔","-")</f>
        <v>-</v>
      </c>
      <c r="X171" s="198" t="str">
        <f>IF('Design Fee'!AH173&gt;0,"✔","-")</f>
        <v>-</v>
      </c>
      <c r="Y171" s="198" t="str">
        <f>IF('Design Fee'!AI173&gt;0,"✔","-")</f>
        <v>-</v>
      </c>
      <c r="Z171" s="198" t="str">
        <f>IF('Design Fee'!AJ173&gt;0,"✔","-")</f>
        <v>-</v>
      </c>
      <c r="AA171" s="221"/>
      <c r="AB171" s="195"/>
      <c r="AC171" s="196"/>
      <c r="AD171" s="162" t="str">
        <f>IF('Design Fee'!BG173&gt;0,"✔","-")</f>
        <v>-</v>
      </c>
      <c r="AE171" s="162" t="str">
        <f>IF('Design Fee'!BH173&gt;0,"✔","-")</f>
        <v>-</v>
      </c>
      <c r="AF171" s="175" t="str">
        <f>IF('Design Fee'!BI173&gt;0,"✔","-")</f>
        <v>-</v>
      </c>
      <c r="AG171" s="175" t="str">
        <f>IF('Design Fee'!BJ173&gt;0,"✔","-")</f>
        <v>-</v>
      </c>
      <c r="AH171" s="198" t="str">
        <f>IF('Design Fee'!BK173&gt;0,"✔","-")</f>
        <v>-</v>
      </c>
      <c r="AI171" s="198" t="str">
        <f>IF('Design Fee'!BL173&gt;0,"✔","-")</f>
        <v>-</v>
      </c>
      <c r="AJ171" s="198" t="str">
        <f>IF('Design Fee'!BM173&gt;0,"✔","-")</f>
        <v>-</v>
      </c>
      <c r="AK171" s="220" t="str">
        <f>IF('Design Fee'!BN173&gt;0,"✔","-")</f>
        <v>-</v>
      </c>
      <c r="AL171" s="199"/>
      <c r="AM171" s="175" t="str">
        <f>IF('Design Fee'!BP173&gt;0,"✔","-")</f>
        <v>-</v>
      </c>
      <c r="AN171" s="198" t="str">
        <f>IF('Design Fee'!BQ173&gt;0,"✔","-")</f>
        <v>-</v>
      </c>
      <c r="AO171" s="198" t="str">
        <f>IF('Design Fee'!BR173&gt;0,"✔","-")</f>
        <v>-</v>
      </c>
      <c r="AP171" s="198" t="str">
        <f>IF('Design Fee'!BS173&gt;0,"✔","-")</f>
        <v>-</v>
      </c>
      <c r="AQ171" s="198" t="str">
        <f>IF('Design Fee'!BT173&gt;0,"✔","-")</f>
        <v>-</v>
      </c>
      <c r="AR171" s="199"/>
      <c r="AS171" s="195"/>
      <c r="AT171" s="196"/>
      <c r="AU171" s="162" t="str">
        <f>IF('Design Fee'!CQ173&gt;0,"✔","-")</f>
        <v>-</v>
      </c>
      <c r="AV171" s="162" t="str">
        <f>IF('Design Fee'!CR173&gt;0,"✔","-")</f>
        <v>-</v>
      </c>
      <c r="AW171" s="175" t="str">
        <f>IF('Design Fee'!CS173&gt;0,"✔","-")</f>
        <v>-</v>
      </c>
      <c r="AX171" s="175" t="str">
        <f>IF('Design Fee'!CT173&gt;0,"✔","-")</f>
        <v>-</v>
      </c>
      <c r="AY171" s="198" t="str">
        <f>IF('Design Fee'!CU173&gt;0,"✔","-")</f>
        <v>-</v>
      </c>
      <c r="AZ171" s="198" t="str">
        <f>IF('Design Fee'!CV173&gt;0,"✔","-")</f>
        <v>-</v>
      </c>
      <c r="BA171" s="198" t="str">
        <f>IF('Design Fee'!CW173&gt;0,"✔","-")</f>
        <v>-</v>
      </c>
      <c r="BB171" s="220" t="str">
        <f>IF('Design Fee'!CX173&gt;0,"✔","-")</f>
        <v>-</v>
      </c>
      <c r="BC171" s="199"/>
      <c r="BD171" s="175" t="str">
        <f>IF('Design Fee'!CZ173&gt;0,"✔","-")</f>
        <v>-</v>
      </c>
      <c r="BE171" s="198" t="str">
        <f>IF('Design Fee'!DA173&gt;0,"✔","-")</f>
        <v>-</v>
      </c>
      <c r="BF171" s="198" t="str">
        <f>IF('Design Fee'!DB173&gt;0,"✔","-")</f>
        <v>-</v>
      </c>
      <c r="BG171" s="198" t="str">
        <f>IF('Design Fee'!DC173&gt;0,"✔","-")</f>
        <v>-</v>
      </c>
      <c r="BH171" s="198" t="str">
        <f>IF('Design Fee'!DD173&gt;0,"✔","-")</f>
        <v>-</v>
      </c>
      <c r="BI171" s="199"/>
      <c r="BJ171" s="195"/>
      <c r="BK171" s="196"/>
      <c r="BL171" s="162" t="str">
        <f>IF('Design Fee'!EA173&gt;0,"✔","-")</f>
        <v>-</v>
      </c>
      <c r="BM171" s="162" t="str">
        <f>IF('Design Fee'!EB173&gt;0,"✔","-")</f>
        <v>-</v>
      </c>
      <c r="BN171" s="175" t="str">
        <f>IF('Design Fee'!EC173&gt;0,"✔","-")</f>
        <v>-</v>
      </c>
      <c r="BO171" s="175" t="str">
        <f>IF('Design Fee'!ED173&gt;0,"✔","-")</f>
        <v>-</v>
      </c>
      <c r="BP171" s="198" t="str">
        <f>IF('Design Fee'!EE173&gt;0,"✔","-")</f>
        <v>-</v>
      </c>
      <c r="BQ171" s="198" t="str">
        <f>IF('Design Fee'!EF173&gt;0,"✔","-")</f>
        <v>-</v>
      </c>
      <c r="BR171" s="198" t="str">
        <f>IF('Design Fee'!EG173&gt;0,"✔","-")</f>
        <v>-</v>
      </c>
      <c r="BS171" s="220" t="str">
        <f>IF('Design Fee'!EH173&gt;0,"✔","-")</f>
        <v>-</v>
      </c>
      <c r="BT171" s="137"/>
      <c r="BU171" s="175" t="str">
        <f>IF('Design Fee'!EJ173&gt;0,"✔","-")</f>
        <v>-</v>
      </c>
      <c r="BV171" s="198" t="str">
        <f>IF('Design Fee'!EK173&gt;0,"✔","-")</f>
        <v>-</v>
      </c>
      <c r="BW171" s="198" t="str">
        <f>IF('Design Fee'!EL173&gt;0,"✔","-")</f>
        <v>-</v>
      </c>
      <c r="BX171" s="198" t="str">
        <f>IF('Design Fee'!EM173&gt;0,"✔","-")</f>
        <v>-</v>
      </c>
      <c r="BY171" s="198" t="str">
        <f>IF('Design Fee'!EN173&gt;0,"✔","-")</f>
        <v>-</v>
      </c>
      <c r="BZ171" s="137"/>
    </row>
    <row r="172" spans="2:78" ht="12.75" outlineLevel="2">
      <c r="B172" s="237">
        <v>2.7</v>
      </c>
      <c r="C172" s="238">
        <v>2.7</v>
      </c>
      <c r="D172" s="239" t="s">
        <v>167</v>
      </c>
      <c r="E172" s="137"/>
      <c r="F172" s="162"/>
      <c r="G172" s="198"/>
      <c r="H172" s="198"/>
      <c r="I172" s="198"/>
      <c r="J172" s="221"/>
      <c r="K172" s="233"/>
      <c r="L172" s="233"/>
      <c r="M172" s="197" t="str">
        <f>IF('Design Fee'!W174&gt;0,"✔","-")</f>
        <v>-</v>
      </c>
      <c r="N172" s="197" t="str">
        <f>IF('Design Fee'!X174&gt;0,"✔","-")</f>
        <v>-</v>
      </c>
      <c r="O172" s="198" t="str">
        <f>IF('Design Fee'!Y174&gt;0,"✔","-")</f>
        <v>-</v>
      </c>
      <c r="P172" s="198" t="str">
        <f>IF('Design Fee'!Z174&gt;0,"✔","-")</f>
        <v>-</v>
      </c>
      <c r="Q172" s="198" t="str">
        <f>IF('Design Fee'!AA174&gt;0,"✔","-")</f>
        <v>-</v>
      </c>
      <c r="R172" s="198" t="str">
        <f>IF('Design Fee'!AB174&gt;0,"✔","-")</f>
        <v>-</v>
      </c>
      <c r="S172" s="198" t="str">
        <f>IF('Design Fee'!AC174&gt;0,"✔","-")</f>
        <v>-</v>
      </c>
      <c r="T172" s="220" t="str">
        <f>IF('Design Fee'!AD174&gt;0,"✔","-")</f>
        <v>-</v>
      </c>
      <c r="U172" s="221"/>
      <c r="V172" s="198" t="str">
        <f>IF('Design Fee'!AF174&gt;0,"✔","-")</f>
        <v>-</v>
      </c>
      <c r="W172" s="198" t="str">
        <f>IF('Design Fee'!AG174&gt;0,"✔","-")</f>
        <v>-</v>
      </c>
      <c r="X172" s="198" t="str">
        <f>IF('Design Fee'!AH174&gt;0,"✔","-")</f>
        <v>-</v>
      </c>
      <c r="Y172" s="198" t="str">
        <f>IF('Design Fee'!AI174&gt;0,"✔","-")</f>
        <v>-</v>
      </c>
      <c r="Z172" s="198" t="str">
        <f>IF('Design Fee'!AJ174&gt;0,"✔","-")</f>
        <v>-</v>
      </c>
      <c r="AA172" s="221"/>
      <c r="AB172" s="233"/>
      <c r="AC172" s="233"/>
      <c r="AD172" s="197"/>
      <c r="AE172" s="197"/>
      <c r="AF172" s="198" t="str">
        <f>IF('Design Fee'!BI174&gt;0,"✔","-")</f>
        <v>✔</v>
      </c>
      <c r="AG172" s="198"/>
      <c r="AH172" s="198"/>
      <c r="AI172" s="198" t="str">
        <f>IF('Design Fee'!BL174&gt;0,"✔","-")</f>
        <v>-</v>
      </c>
      <c r="AJ172" s="198" t="str">
        <f>IF('Design Fee'!BM174&gt;0,"✔","-")</f>
        <v>-</v>
      </c>
      <c r="AK172" s="220" t="str">
        <f>IF('Design Fee'!BN174&gt;0,"✔","-")</f>
        <v>-</v>
      </c>
      <c r="AL172" s="233"/>
      <c r="AM172" s="198"/>
      <c r="AN172" s="198"/>
      <c r="AO172" s="198" t="str">
        <f>IF('Design Fee'!BR174&gt;0,"✔","-")</f>
        <v>-</v>
      </c>
      <c r="AP172" s="198" t="str">
        <f>IF('Design Fee'!BS174&gt;0,"✔","-")</f>
        <v>-</v>
      </c>
      <c r="AQ172" s="198" t="str">
        <f>IF('Design Fee'!BT174&gt;0,"✔","-")</f>
        <v>-</v>
      </c>
      <c r="AR172" s="233"/>
      <c r="AS172" s="233"/>
      <c r="AT172" s="233"/>
      <c r="AU172" s="197" t="str">
        <f>IF('Design Fee'!CQ174&gt;0,"✔","-")</f>
        <v>-</v>
      </c>
      <c r="AV172" s="197" t="str">
        <f>IF('Design Fee'!CR174&gt;0,"✔","-")</f>
        <v>-</v>
      </c>
      <c r="AW172" s="198" t="str">
        <f>IF('Design Fee'!CS174&gt;0,"✔","-")</f>
        <v>-</v>
      </c>
      <c r="AX172" s="198" t="str">
        <f>IF('Design Fee'!CT174&gt;0,"✔","-")</f>
        <v>-</v>
      </c>
      <c r="AY172" s="198" t="str">
        <f>IF('Design Fee'!CU174&gt;0,"✔","-")</f>
        <v>-</v>
      </c>
      <c r="AZ172" s="198" t="str">
        <f>IF('Design Fee'!CV174&gt;0,"✔","-")</f>
        <v>-</v>
      </c>
      <c r="BA172" s="198" t="str">
        <f>IF('Design Fee'!CW174&gt;0,"✔","-")</f>
        <v>-</v>
      </c>
      <c r="BB172" s="220" t="str">
        <f>IF('Design Fee'!CX174&gt;0,"✔","-")</f>
        <v>-</v>
      </c>
      <c r="BC172" s="233"/>
      <c r="BD172" s="198" t="str">
        <f>IF('Design Fee'!CZ174&gt;0,"✔","-")</f>
        <v>-</v>
      </c>
      <c r="BE172" s="198" t="str">
        <f>IF('Design Fee'!DA174&gt;0,"✔","-")</f>
        <v>-</v>
      </c>
      <c r="BF172" s="198" t="str">
        <f>IF('Design Fee'!DB174&gt;0,"✔","-")</f>
        <v>-</v>
      </c>
      <c r="BG172" s="198" t="str">
        <f>IF('Design Fee'!DC174&gt;0,"✔","-")</f>
        <v>-</v>
      </c>
      <c r="BH172" s="198" t="str">
        <f>IF('Design Fee'!DD174&gt;0,"✔","-")</f>
        <v>-</v>
      </c>
      <c r="BI172" s="233"/>
      <c r="BJ172" s="233"/>
      <c r="BK172" s="233"/>
      <c r="BL172" s="197" t="str">
        <f>IF('Design Fee'!EA174&gt;0,"✔","-")</f>
        <v>-</v>
      </c>
      <c r="BM172" s="197" t="str">
        <f>IF('Design Fee'!EB174&gt;0,"✔","-")</f>
        <v>-</v>
      </c>
      <c r="BN172" s="198" t="str">
        <f>IF('Design Fee'!EC174&gt;0,"✔","-")</f>
        <v>-</v>
      </c>
      <c r="BO172" s="198" t="str">
        <f>IF('Design Fee'!ED174&gt;0,"✔","-")</f>
        <v>-</v>
      </c>
      <c r="BP172" s="198" t="str">
        <f>IF('Design Fee'!EE174&gt;0,"✔","-")</f>
        <v>-</v>
      </c>
      <c r="BQ172" s="198" t="str">
        <f>IF('Design Fee'!EF174&gt;0,"✔","-")</f>
        <v>-</v>
      </c>
      <c r="BR172" s="198" t="str">
        <f>IF('Design Fee'!EG174&gt;0,"✔","-")</f>
        <v>-</v>
      </c>
      <c r="BS172" s="220" t="str">
        <f>IF('Design Fee'!EH174&gt;0,"✔","-")</f>
        <v>-</v>
      </c>
      <c r="BT172" s="137"/>
      <c r="BU172" s="198" t="str">
        <f>IF('Design Fee'!EJ174&gt;0,"✔","-")</f>
        <v>-</v>
      </c>
      <c r="BV172" s="198" t="str">
        <f>IF('Design Fee'!EK174&gt;0,"✔","-")</f>
        <v>-</v>
      </c>
      <c r="BW172" s="198" t="str">
        <f>IF('Design Fee'!EL174&gt;0,"✔","-")</f>
        <v>-</v>
      </c>
      <c r="BX172" s="198" t="str">
        <f>IF('Design Fee'!EM174&gt;0,"✔","-")</f>
        <v>-</v>
      </c>
      <c r="BY172" s="198" t="str">
        <f>IF('Design Fee'!EN174&gt;0,"✔","-")</f>
        <v>-</v>
      </c>
      <c r="BZ172" s="137"/>
    </row>
    <row r="173" spans="2:78" ht="12.75" outlineLevel="3">
      <c r="B173" s="217" t="s">
        <v>158</v>
      </c>
      <c r="C173" s="218">
        <v>1</v>
      </c>
      <c r="D173" s="219" t="s">
        <v>152</v>
      </c>
      <c r="E173" s="137"/>
      <c r="F173" s="197">
        <f t="shared" ref="F173:H174" si="547">COUNTIF(M173,"✔")+COUNTIF(AD173,"✔")+COUNTIF(BL173,"✔")+COUNTIF(AU173,"✔")</f>
        <v>1</v>
      </c>
      <c r="G173" s="198">
        <f t="shared" si="547"/>
        <v>1</v>
      </c>
      <c r="H173" s="198">
        <f t="shared" si="547"/>
        <v>1</v>
      </c>
      <c r="I173" s="198">
        <f t="shared" ref="I173:I174" si="548">F173-G173</f>
        <v>0</v>
      </c>
      <c r="J173" s="184"/>
      <c r="K173" s="203"/>
      <c r="L173" s="196"/>
      <c r="M173" s="197" t="str">
        <f>IF('Design Fee'!W175&gt;0,"✔","-")</f>
        <v>-</v>
      </c>
      <c r="N173" s="197" t="str">
        <f>IF('Design Fee'!X175&gt;0,"✔","-")</f>
        <v>-</v>
      </c>
      <c r="O173" s="198" t="str">
        <f>IF('Design Fee'!Y175&gt;0,"✔","-")</f>
        <v>-</v>
      </c>
      <c r="P173" s="198" t="str">
        <f>IF('Design Fee'!Z175&gt;0,"✔","-")</f>
        <v>-</v>
      </c>
      <c r="Q173" s="198" t="str">
        <f>IF('Design Fee'!AA175&gt;0,"✔","-")</f>
        <v>-</v>
      </c>
      <c r="R173" s="198" t="str">
        <f>IF('Design Fee'!AB175&gt;0,"✔","-")</f>
        <v>-</v>
      </c>
      <c r="S173" s="198" t="str">
        <f>IF('Design Fee'!AC175&gt;0,"✔","-")</f>
        <v>-</v>
      </c>
      <c r="T173" s="220" t="str">
        <f>IF('Design Fee'!AD175&gt;0,"✔","-")</f>
        <v>-</v>
      </c>
      <c r="U173" s="184"/>
      <c r="V173" s="198" t="str">
        <f>IF('Design Fee'!AF175&gt;0,"✔","-")</f>
        <v>-</v>
      </c>
      <c r="W173" s="198" t="str">
        <f>IF('Design Fee'!AG175&gt;0,"✔","-")</f>
        <v>-</v>
      </c>
      <c r="X173" s="198" t="str">
        <f>IF('Design Fee'!AH175&gt;0,"✔","-")</f>
        <v>-</v>
      </c>
      <c r="Y173" s="198" t="str">
        <f>IF('Design Fee'!AI175&gt;0,"✔","-")</f>
        <v>-</v>
      </c>
      <c r="Z173" s="198" t="str">
        <f>IF('Design Fee'!AJ175&gt;0,"✔","-")</f>
        <v>-</v>
      </c>
      <c r="AA173" s="184"/>
      <c r="AB173" s="203"/>
      <c r="AC173" s="196"/>
      <c r="AD173" s="197" t="str">
        <f>IF('Design Fee'!BG175&gt;0,"✔","-")</f>
        <v>✔</v>
      </c>
      <c r="AE173" s="197" t="str">
        <f>IF('Design Fee'!BH175&gt;0,"✔","-")</f>
        <v>✔</v>
      </c>
      <c r="AF173" s="198" t="str">
        <f>IF('Design Fee'!BI175&gt;0,"✔","-")</f>
        <v>✔</v>
      </c>
      <c r="AG173" s="198" t="str">
        <f>IF('Design Fee'!BJ175&gt;0,"✔","-")</f>
        <v>-</v>
      </c>
      <c r="AH173" s="198" t="str">
        <f>IF('Design Fee'!BK175&gt;0,"✔","-")</f>
        <v>-</v>
      </c>
      <c r="AI173" s="198" t="str">
        <f>IF('Design Fee'!BL175&gt;0,"✔","-")</f>
        <v>-</v>
      </c>
      <c r="AJ173" s="198" t="str">
        <f>IF('Design Fee'!BM175&gt;0,"✔","-")</f>
        <v>-</v>
      </c>
      <c r="AK173" s="220" t="str">
        <f>IF('Design Fee'!BN175&gt;0,"✔","-")</f>
        <v>-</v>
      </c>
      <c r="AL173" s="199"/>
      <c r="AM173" s="198" t="str">
        <f>IF('Design Fee'!BP175&gt;0,"✔","-")</f>
        <v>-</v>
      </c>
      <c r="AN173" s="198" t="str">
        <f>IF('Design Fee'!BQ175&gt;0,"✔","-")</f>
        <v>-</v>
      </c>
      <c r="AO173" s="198" t="str">
        <f>IF('Design Fee'!BR175&gt;0,"✔","-")</f>
        <v>-</v>
      </c>
      <c r="AP173" s="198" t="str">
        <f>IF('Design Fee'!BS175&gt;0,"✔","-")</f>
        <v>-</v>
      </c>
      <c r="AQ173" s="198" t="str">
        <f>IF('Design Fee'!BT175&gt;0,"✔","-")</f>
        <v>-</v>
      </c>
      <c r="AR173" s="199"/>
      <c r="AS173" s="203"/>
      <c r="AT173" s="196"/>
      <c r="AU173" s="197" t="str">
        <f>IF('Design Fee'!CQ175&gt;0,"✔","-")</f>
        <v>-</v>
      </c>
      <c r="AV173" s="197" t="str">
        <f>IF('Design Fee'!CR175&gt;0,"✔","-")</f>
        <v>-</v>
      </c>
      <c r="AW173" s="198" t="str">
        <f>IF('Design Fee'!CS175&gt;0,"✔","-")</f>
        <v>-</v>
      </c>
      <c r="AX173" s="198" t="str">
        <f>IF('Design Fee'!CT175&gt;0,"✔","-")</f>
        <v>-</v>
      </c>
      <c r="AY173" s="198" t="str">
        <f>IF('Design Fee'!CU175&gt;0,"✔","-")</f>
        <v>-</v>
      </c>
      <c r="AZ173" s="198" t="str">
        <f>IF('Design Fee'!CV175&gt;0,"✔","-")</f>
        <v>-</v>
      </c>
      <c r="BA173" s="198" t="str">
        <f>IF('Design Fee'!CW175&gt;0,"✔","-")</f>
        <v>-</v>
      </c>
      <c r="BB173" s="220" t="str">
        <f>IF('Design Fee'!CX175&gt;0,"✔","-")</f>
        <v>-</v>
      </c>
      <c r="BC173" s="199"/>
      <c r="BD173" s="198" t="str">
        <f>IF('Design Fee'!CZ175&gt;0,"✔","-")</f>
        <v>-</v>
      </c>
      <c r="BE173" s="198" t="str">
        <f>IF('Design Fee'!DA175&gt;0,"✔","-")</f>
        <v>-</v>
      </c>
      <c r="BF173" s="198" t="str">
        <f>IF('Design Fee'!DB175&gt;0,"✔","-")</f>
        <v>-</v>
      </c>
      <c r="BG173" s="198" t="str">
        <f>IF('Design Fee'!DC175&gt;0,"✔","-")</f>
        <v>-</v>
      </c>
      <c r="BH173" s="198" t="str">
        <f>IF('Design Fee'!DD175&gt;0,"✔","-")</f>
        <v>-</v>
      </c>
      <c r="BI173" s="199"/>
      <c r="BJ173" s="203"/>
      <c r="BK173" s="196"/>
      <c r="BL173" s="197" t="str">
        <f>IF('Design Fee'!EA175&gt;0,"✔","-")</f>
        <v>-</v>
      </c>
      <c r="BM173" s="197" t="str">
        <f>IF('Design Fee'!EB175&gt;0,"✔","-")</f>
        <v>-</v>
      </c>
      <c r="BN173" s="198" t="str">
        <f>IF('Design Fee'!EC175&gt;0,"✔","-")</f>
        <v>-</v>
      </c>
      <c r="BO173" s="198" t="str">
        <f>IF('Design Fee'!ED175&gt;0,"✔","-")</f>
        <v>-</v>
      </c>
      <c r="BP173" s="198" t="str">
        <f>IF('Design Fee'!EE175&gt;0,"✔","-")</f>
        <v>-</v>
      </c>
      <c r="BQ173" s="198" t="str">
        <f>IF('Design Fee'!EF175&gt;0,"✔","-")</f>
        <v>-</v>
      </c>
      <c r="BR173" s="198" t="str">
        <f>IF('Design Fee'!EG175&gt;0,"✔","-")</f>
        <v>-</v>
      </c>
      <c r="BS173" s="220" t="str">
        <f>IF('Design Fee'!EH175&gt;0,"✔","-")</f>
        <v>-</v>
      </c>
      <c r="BT173" s="137"/>
      <c r="BU173" s="198" t="str">
        <f>IF('Design Fee'!EJ175&gt;0,"✔","-")</f>
        <v>-</v>
      </c>
      <c r="BV173" s="198" t="str">
        <f>IF('Design Fee'!EK175&gt;0,"✔","-")</f>
        <v>-</v>
      </c>
      <c r="BW173" s="198" t="str">
        <f>IF('Design Fee'!EL175&gt;0,"✔","-")</f>
        <v>-</v>
      </c>
      <c r="BX173" s="198" t="str">
        <f>IF('Design Fee'!EM175&gt;0,"✔","-")</f>
        <v>-</v>
      </c>
      <c r="BY173" s="198" t="str">
        <f>IF('Design Fee'!EN175&gt;0,"✔","-")</f>
        <v>-</v>
      </c>
      <c r="BZ173" s="137"/>
    </row>
    <row r="174" spans="2:78" ht="12.75" outlineLevel="3">
      <c r="B174" s="217" t="s">
        <v>159</v>
      </c>
      <c r="C174" s="218">
        <v>2</v>
      </c>
      <c r="D174" s="219" t="s">
        <v>154</v>
      </c>
      <c r="E174" s="137"/>
      <c r="F174" s="197">
        <f t="shared" si="547"/>
        <v>1</v>
      </c>
      <c r="G174" s="198">
        <f t="shared" si="547"/>
        <v>1</v>
      </c>
      <c r="H174" s="198">
        <f t="shared" si="547"/>
        <v>1</v>
      </c>
      <c r="I174" s="198">
        <f t="shared" si="548"/>
        <v>0</v>
      </c>
      <c r="J174" s="184"/>
      <c r="K174" s="203"/>
      <c r="L174" s="196"/>
      <c r="M174" s="197" t="str">
        <f>IF('Design Fee'!W176&gt;0,"✔","-")</f>
        <v>-</v>
      </c>
      <c r="N174" s="197" t="str">
        <f>IF('Design Fee'!X176&gt;0,"✔","-")</f>
        <v>-</v>
      </c>
      <c r="O174" s="198" t="str">
        <f>IF('Design Fee'!Y176&gt;0,"✔","-")</f>
        <v>-</v>
      </c>
      <c r="P174" s="198" t="str">
        <f>IF('Design Fee'!Z176&gt;0,"✔","-")</f>
        <v>-</v>
      </c>
      <c r="Q174" s="198" t="str">
        <f>IF('Design Fee'!AA176&gt;0,"✔","-")</f>
        <v>-</v>
      </c>
      <c r="R174" s="198" t="str">
        <f>IF('Design Fee'!AB176&gt;0,"✔","-")</f>
        <v>-</v>
      </c>
      <c r="S174" s="198" t="str">
        <f>IF('Design Fee'!AC176&gt;0,"✔","-")</f>
        <v>-</v>
      </c>
      <c r="T174" s="220" t="str">
        <f>IF('Design Fee'!AD176&gt;0,"✔","-")</f>
        <v>-</v>
      </c>
      <c r="U174" s="184"/>
      <c r="V174" s="198" t="str">
        <f>IF('Design Fee'!AF176&gt;0,"✔","-")</f>
        <v>-</v>
      </c>
      <c r="W174" s="198" t="str">
        <f>IF('Design Fee'!AG176&gt;0,"✔","-")</f>
        <v>-</v>
      </c>
      <c r="X174" s="198" t="str">
        <f>IF('Design Fee'!AH176&gt;0,"✔","-")</f>
        <v>-</v>
      </c>
      <c r="Y174" s="198" t="str">
        <f>IF('Design Fee'!AI176&gt;0,"✔","-")</f>
        <v>-</v>
      </c>
      <c r="Z174" s="198" t="str">
        <f>IF('Design Fee'!AJ176&gt;0,"✔","-")</f>
        <v>-</v>
      </c>
      <c r="AA174" s="184"/>
      <c r="AB174" s="203"/>
      <c r="AC174" s="196"/>
      <c r="AD174" s="197" t="str">
        <f>IF('Design Fee'!BG176&gt;0,"✔","-")</f>
        <v>✔</v>
      </c>
      <c r="AE174" s="197" t="str">
        <f>IF('Design Fee'!BH176&gt;0,"✔","-")</f>
        <v>✔</v>
      </c>
      <c r="AF174" s="198" t="str">
        <f>IF('Design Fee'!BI176&gt;0,"✔","-")</f>
        <v>✔</v>
      </c>
      <c r="AG174" s="198" t="str">
        <f>IF('Design Fee'!BJ176&gt;0,"✔","-")</f>
        <v>-</v>
      </c>
      <c r="AH174" s="198" t="str">
        <f>IF('Design Fee'!BK176&gt;0,"✔","-")</f>
        <v>-</v>
      </c>
      <c r="AI174" s="198" t="str">
        <f>IF('Design Fee'!BL176&gt;0,"✔","-")</f>
        <v>-</v>
      </c>
      <c r="AJ174" s="198" t="str">
        <f>IF('Design Fee'!BM176&gt;0,"✔","-")</f>
        <v>-</v>
      </c>
      <c r="AK174" s="220" t="str">
        <f>IF('Design Fee'!BN176&gt;0,"✔","-")</f>
        <v>-</v>
      </c>
      <c r="AL174" s="199"/>
      <c r="AM174" s="198" t="str">
        <f>IF('Design Fee'!BP176&gt;0,"✔","-")</f>
        <v>-</v>
      </c>
      <c r="AN174" s="198" t="str">
        <f>IF('Design Fee'!BQ176&gt;0,"✔","-")</f>
        <v>-</v>
      </c>
      <c r="AO174" s="198" t="str">
        <f>IF('Design Fee'!BR176&gt;0,"✔","-")</f>
        <v>-</v>
      </c>
      <c r="AP174" s="198" t="str">
        <f>IF('Design Fee'!BS176&gt;0,"✔","-")</f>
        <v>-</v>
      </c>
      <c r="AQ174" s="198" t="str">
        <f>IF('Design Fee'!BT176&gt;0,"✔","-")</f>
        <v>-</v>
      </c>
      <c r="AR174" s="199"/>
      <c r="AS174" s="203"/>
      <c r="AT174" s="196"/>
      <c r="AU174" s="197" t="str">
        <f>IF('Design Fee'!CQ176&gt;0,"✔","-")</f>
        <v>-</v>
      </c>
      <c r="AV174" s="197" t="str">
        <f>IF('Design Fee'!CR176&gt;0,"✔","-")</f>
        <v>-</v>
      </c>
      <c r="AW174" s="198" t="str">
        <f>IF('Design Fee'!CS176&gt;0,"✔","-")</f>
        <v>-</v>
      </c>
      <c r="AX174" s="198" t="str">
        <f>IF('Design Fee'!CT176&gt;0,"✔","-")</f>
        <v>-</v>
      </c>
      <c r="AY174" s="198" t="str">
        <f>IF('Design Fee'!CU176&gt;0,"✔","-")</f>
        <v>-</v>
      </c>
      <c r="AZ174" s="198" t="str">
        <f>IF('Design Fee'!CV176&gt;0,"✔","-")</f>
        <v>-</v>
      </c>
      <c r="BA174" s="198" t="str">
        <f>IF('Design Fee'!CW176&gt;0,"✔","-")</f>
        <v>-</v>
      </c>
      <c r="BB174" s="220" t="str">
        <f>IF('Design Fee'!CX176&gt;0,"✔","-")</f>
        <v>-</v>
      </c>
      <c r="BC174" s="199"/>
      <c r="BD174" s="198" t="str">
        <f>IF('Design Fee'!CZ176&gt;0,"✔","-")</f>
        <v>-</v>
      </c>
      <c r="BE174" s="198" t="str">
        <f>IF('Design Fee'!DA176&gt;0,"✔","-")</f>
        <v>-</v>
      </c>
      <c r="BF174" s="198" t="str">
        <f>IF('Design Fee'!DB176&gt;0,"✔","-")</f>
        <v>-</v>
      </c>
      <c r="BG174" s="198" t="str">
        <f>IF('Design Fee'!DC176&gt;0,"✔","-")</f>
        <v>-</v>
      </c>
      <c r="BH174" s="198" t="str">
        <f>IF('Design Fee'!DD176&gt;0,"✔","-")</f>
        <v>-</v>
      </c>
      <c r="BI174" s="199"/>
      <c r="BJ174" s="203"/>
      <c r="BK174" s="196"/>
      <c r="BL174" s="197" t="str">
        <f>IF('Design Fee'!EA176&gt;0,"✔","-")</f>
        <v>-</v>
      </c>
      <c r="BM174" s="197" t="str">
        <f>IF('Design Fee'!EB176&gt;0,"✔","-")</f>
        <v>-</v>
      </c>
      <c r="BN174" s="198" t="str">
        <f>IF('Design Fee'!EC176&gt;0,"✔","-")</f>
        <v>-</v>
      </c>
      <c r="BO174" s="198" t="str">
        <f>IF('Design Fee'!ED176&gt;0,"✔","-")</f>
        <v>-</v>
      </c>
      <c r="BP174" s="198" t="str">
        <f>IF('Design Fee'!EE176&gt;0,"✔","-")</f>
        <v>-</v>
      </c>
      <c r="BQ174" s="198" t="str">
        <f>IF('Design Fee'!EF176&gt;0,"✔","-")</f>
        <v>-</v>
      </c>
      <c r="BR174" s="198" t="str">
        <f>IF('Design Fee'!EG176&gt;0,"✔","-")</f>
        <v>-</v>
      </c>
      <c r="BS174" s="220" t="str">
        <f>IF('Design Fee'!EH176&gt;0,"✔","-")</f>
        <v>-</v>
      </c>
      <c r="BT174" s="137"/>
      <c r="BU174" s="198" t="str">
        <f>IF('Design Fee'!EJ176&gt;0,"✔","-")</f>
        <v>-</v>
      </c>
      <c r="BV174" s="198" t="str">
        <f>IF('Design Fee'!EK176&gt;0,"✔","-")</f>
        <v>-</v>
      </c>
      <c r="BW174" s="198" t="str">
        <f>IF('Design Fee'!EL176&gt;0,"✔","-")</f>
        <v>-</v>
      </c>
      <c r="BX174" s="198" t="str">
        <f>IF('Design Fee'!EM176&gt;0,"✔","-")</f>
        <v>-</v>
      </c>
      <c r="BY174" s="198" t="str">
        <f>IF('Design Fee'!EN176&gt;0,"✔","-")</f>
        <v>-</v>
      </c>
      <c r="BZ174" s="137"/>
    </row>
    <row r="175" spans="2:78" ht="12.75" outlineLevel="2">
      <c r="B175" s="237"/>
      <c r="C175" s="238"/>
      <c r="D175" s="219"/>
      <c r="E175" s="137"/>
      <c r="F175" s="197"/>
      <c r="G175" s="198"/>
      <c r="H175" s="198"/>
      <c r="I175" s="198"/>
      <c r="J175" s="184"/>
      <c r="K175" s="195"/>
      <c r="L175" s="196"/>
      <c r="M175" s="197" t="str">
        <f>IF('Design Fee'!W177&gt;0,"✔","-")</f>
        <v>-</v>
      </c>
      <c r="N175" s="197" t="str">
        <f>IF('Design Fee'!X177&gt;0,"✔","-")</f>
        <v>-</v>
      </c>
      <c r="O175" s="198" t="str">
        <f>IF('Design Fee'!Y177&gt;0,"✔","-")</f>
        <v>-</v>
      </c>
      <c r="P175" s="198" t="str">
        <f>IF('Design Fee'!Z177&gt;0,"✔","-")</f>
        <v>-</v>
      </c>
      <c r="Q175" s="198" t="str">
        <f>IF('Design Fee'!AA177&gt;0,"✔","-")</f>
        <v>-</v>
      </c>
      <c r="R175" s="198" t="str">
        <f>IF('Design Fee'!AB177&gt;0,"✔","-")</f>
        <v>-</v>
      </c>
      <c r="S175" s="198" t="str">
        <f>IF('Design Fee'!AC177&gt;0,"✔","-")</f>
        <v>-</v>
      </c>
      <c r="T175" s="220" t="str">
        <f>IF('Design Fee'!AD177&gt;0,"✔","-")</f>
        <v>-</v>
      </c>
      <c r="U175" s="184"/>
      <c r="V175" s="198" t="str">
        <f>IF('Design Fee'!AF177&gt;0,"✔","-")</f>
        <v>-</v>
      </c>
      <c r="W175" s="198" t="str">
        <f>IF('Design Fee'!AG177&gt;0,"✔","-")</f>
        <v>-</v>
      </c>
      <c r="X175" s="198" t="str">
        <f>IF('Design Fee'!AH177&gt;0,"✔","-")</f>
        <v>-</v>
      </c>
      <c r="Y175" s="198" t="str">
        <f>IF('Design Fee'!AI177&gt;0,"✔","-")</f>
        <v>-</v>
      </c>
      <c r="Z175" s="198" t="str">
        <f>IF('Design Fee'!AJ177&gt;0,"✔","-")</f>
        <v>-</v>
      </c>
      <c r="AA175" s="184"/>
      <c r="AB175" s="195"/>
      <c r="AC175" s="196"/>
      <c r="AD175" s="197" t="str">
        <f>IF('Design Fee'!BG177&gt;0,"✔","-")</f>
        <v>-</v>
      </c>
      <c r="AE175" s="197" t="str">
        <f>IF('Design Fee'!BH177&gt;0,"✔","-")</f>
        <v>-</v>
      </c>
      <c r="AF175" s="198" t="str">
        <f>IF('Design Fee'!BI177&gt;0,"✔","-")</f>
        <v>-</v>
      </c>
      <c r="AG175" s="198" t="str">
        <f>IF('Design Fee'!BJ177&gt;0,"✔","-")</f>
        <v>-</v>
      </c>
      <c r="AH175" s="198" t="str">
        <f>IF('Design Fee'!BK177&gt;0,"✔","-")</f>
        <v>-</v>
      </c>
      <c r="AI175" s="198" t="str">
        <f>IF('Design Fee'!BL177&gt;0,"✔","-")</f>
        <v>-</v>
      </c>
      <c r="AJ175" s="198" t="str">
        <f>IF('Design Fee'!BM177&gt;0,"✔","-")</f>
        <v>-</v>
      </c>
      <c r="AK175" s="220" t="str">
        <f>IF('Design Fee'!BN177&gt;0,"✔","-")</f>
        <v>-</v>
      </c>
      <c r="AL175" s="199"/>
      <c r="AM175" s="198" t="str">
        <f>IF('Design Fee'!BP177&gt;0,"✔","-")</f>
        <v>-</v>
      </c>
      <c r="AN175" s="198" t="str">
        <f>IF('Design Fee'!BQ177&gt;0,"✔","-")</f>
        <v>-</v>
      </c>
      <c r="AO175" s="198" t="str">
        <f>IF('Design Fee'!BR177&gt;0,"✔","-")</f>
        <v>-</v>
      </c>
      <c r="AP175" s="198" t="str">
        <f>IF('Design Fee'!BS177&gt;0,"✔","-")</f>
        <v>-</v>
      </c>
      <c r="AQ175" s="198" t="str">
        <f>IF('Design Fee'!BT177&gt;0,"✔","-")</f>
        <v>-</v>
      </c>
      <c r="AR175" s="199"/>
      <c r="AS175" s="195"/>
      <c r="AT175" s="196"/>
      <c r="AU175" s="197" t="str">
        <f>IF('Design Fee'!CQ177&gt;0,"✔","-")</f>
        <v>-</v>
      </c>
      <c r="AV175" s="197" t="str">
        <f>IF('Design Fee'!CR177&gt;0,"✔","-")</f>
        <v>-</v>
      </c>
      <c r="AW175" s="198" t="str">
        <f>IF('Design Fee'!CS177&gt;0,"✔","-")</f>
        <v>-</v>
      </c>
      <c r="AX175" s="198" t="str">
        <f>IF('Design Fee'!CT177&gt;0,"✔","-")</f>
        <v>-</v>
      </c>
      <c r="AY175" s="198" t="str">
        <f>IF('Design Fee'!CU177&gt;0,"✔","-")</f>
        <v>-</v>
      </c>
      <c r="AZ175" s="198" t="str">
        <f>IF('Design Fee'!CV177&gt;0,"✔","-")</f>
        <v>-</v>
      </c>
      <c r="BA175" s="198" t="str">
        <f>IF('Design Fee'!CW177&gt;0,"✔","-")</f>
        <v>-</v>
      </c>
      <c r="BB175" s="220" t="str">
        <f>IF('Design Fee'!CX177&gt;0,"✔","-")</f>
        <v>-</v>
      </c>
      <c r="BC175" s="199"/>
      <c r="BD175" s="198" t="str">
        <f>IF('Design Fee'!CZ177&gt;0,"✔","-")</f>
        <v>-</v>
      </c>
      <c r="BE175" s="198" t="str">
        <f>IF('Design Fee'!DA177&gt;0,"✔","-")</f>
        <v>-</v>
      </c>
      <c r="BF175" s="198" t="str">
        <f>IF('Design Fee'!DB177&gt;0,"✔","-")</f>
        <v>-</v>
      </c>
      <c r="BG175" s="198" t="str">
        <f>IF('Design Fee'!DC177&gt;0,"✔","-")</f>
        <v>-</v>
      </c>
      <c r="BH175" s="198" t="str">
        <f>IF('Design Fee'!DD177&gt;0,"✔","-")</f>
        <v>-</v>
      </c>
      <c r="BI175" s="199"/>
      <c r="BJ175" s="195"/>
      <c r="BK175" s="196"/>
      <c r="BL175" s="197" t="str">
        <f>IF('Design Fee'!EA177&gt;0,"✔","-")</f>
        <v>-</v>
      </c>
      <c r="BM175" s="197" t="str">
        <f>IF('Design Fee'!EB177&gt;0,"✔","-")</f>
        <v>-</v>
      </c>
      <c r="BN175" s="198" t="str">
        <f>IF('Design Fee'!EC177&gt;0,"✔","-")</f>
        <v>-</v>
      </c>
      <c r="BO175" s="198" t="str">
        <f>IF('Design Fee'!ED177&gt;0,"✔","-")</f>
        <v>-</v>
      </c>
      <c r="BP175" s="198" t="str">
        <f>IF('Design Fee'!EE177&gt;0,"✔","-")</f>
        <v>-</v>
      </c>
      <c r="BQ175" s="198" t="str">
        <f>IF('Design Fee'!EF177&gt;0,"✔","-")</f>
        <v>-</v>
      </c>
      <c r="BR175" s="198" t="str">
        <f>IF('Design Fee'!EG177&gt;0,"✔","-")</f>
        <v>-</v>
      </c>
      <c r="BS175" s="220" t="str">
        <f>IF('Design Fee'!EH177&gt;0,"✔","-")</f>
        <v>-</v>
      </c>
      <c r="BT175" s="137"/>
      <c r="BU175" s="198" t="str">
        <f>IF('Design Fee'!EJ177&gt;0,"✔","-")</f>
        <v>-</v>
      </c>
      <c r="BV175" s="198" t="str">
        <f>IF('Design Fee'!EK177&gt;0,"✔","-")</f>
        <v>-</v>
      </c>
      <c r="BW175" s="198" t="str">
        <f>IF('Design Fee'!EL177&gt;0,"✔","-")</f>
        <v>-</v>
      </c>
      <c r="BX175" s="198" t="str">
        <f>IF('Design Fee'!EM177&gt;0,"✔","-")</f>
        <v>-</v>
      </c>
      <c r="BY175" s="198" t="str">
        <f>IF('Design Fee'!EN177&gt;0,"✔","-")</f>
        <v>-</v>
      </c>
      <c r="BZ175" s="137"/>
    </row>
    <row r="176" spans="2:78" ht="12.75" outlineLevel="2">
      <c r="B176" s="237">
        <v>2.8</v>
      </c>
      <c r="C176" s="238">
        <v>2.8</v>
      </c>
      <c r="D176" s="239" t="s">
        <v>168</v>
      </c>
      <c r="E176" s="137"/>
      <c r="F176" s="162"/>
      <c r="G176" s="198"/>
      <c r="H176" s="198"/>
      <c r="I176" s="198"/>
      <c r="J176" s="184"/>
      <c r="K176" s="233"/>
      <c r="L176" s="233"/>
      <c r="M176" s="197" t="str">
        <f>IF('Design Fee'!W178&gt;0,"✔","-")</f>
        <v>-</v>
      </c>
      <c r="N176" s="197" t="str">
        <f>IF('Design Fee'!X178&gt;0,"✔","-")</f>
        <v>-</v>
      </c>
      <c r="O176" s="198" t="str">
        <f>IF('Design Fee'!Y178&gt;0,"✔","-")</f>
        <v>-</v>
      </c>
      <c r="P176" s="198" t="str">
        <f>IF('Design Fee'!Z178&gt;0,"✔","-")</f>
        <v>-</v>
      </c>
      <c r="Q176" s="198" t="str">
        <f>IF('Design Fee'!AA178&gt;0,"✔","-")</f>
        <v>-</v>
      </c>
      <c r="R176" s="198" t="str">
        <f>IF('Design Fee'!AB178&gt;0,"✔","-")</f>
        <v>-</v>
      </c>
      <c r="S176" s="198" t="str">
        <f>IF('Design Fee'!AC178&gt;0,"✔","-")</f>
        <v>-</v>
      </c>
      <c r="T176" s="220" t="str">
        <f>IF('Design Fee'!AD178&gt;0,"✔","-")</f>
        <v>-</v>
      </c>
      <c r="U176" s="184"/>
      <c r="V176" s="198" t="str">
        <f>IF('Design Fee'!AF178&gt;0,"✔","-")</f>
        <v>-</v>
      </c>
      <c r="W176" s="198" t="str">
        <f>IF('Design Fee'!AG178&gt;0,"✔","-")</f>
        <v>-</v>
      </c>
      <c r="X176" s="198" t="str">
        <f>IF('Design Fee'!AH178&gt;0,"✔","-")</f>
        <v>-</v>
      </c>
      <c r="Y176" s="198" t="str">
        <f>IF('Design Fee'!AI178&gt;0,"✔","-")</f>
        <v>-</v>
      </c>
      <c r="Z176" s="198" t="str">
        <f>IF('Design Fee'!AJ178&gt;0,"✔","-")</f>
        <v>-</v>
      </c>
      <c r="AA176" s="184"/>
      <c r="AB176" s="233"/>
      <c r="AC176" s="233"/>
      <c r="AD176" s="197"/>
      <c r="AE176" s="197"/>
      <c r="AF176" s="198" t="str">
        <f>IF('Design Fee'!BI178&gt;0,"✔","-")</f>
        <v>✔</v>
      </c>
      <c r="AG176" s="198"/>
      <c r="AH176" s="198"/>
      <c r="AI176" s="198" t="str">
        <f>IF('Design Fee'!BL178&gt;0,"✔","-")</f>
        <v>-</v>
      </c>
      <c r="AJ176" s="198" t="str">
        <f>IF('Design Fee'!BM178&gt;0,"✔","-")</f>
        <v>-</v>
      </c>
      <c r="AK176" s="220" t="str">
        <f>IF('Design Fee'!BN178&gt;0,"✔","-")</f>
        <v>-</v>
      </c>
      <c r="AL176" s="233"/>
      <c r="AM176" s="198"/>
      <c r="AN176" s="198"/>
      <c r="AO176" s="198" t="str">
        <f>IF('Design Fee'!BR178&gt;0,"✔","-")</f>
        <v>-</v>
      </c>
      <c r="AP176" s="198" t="str">
        <f>IF('Design Fee'!BS178&gt;0,"✔","-")</f>
        <v>-</v>
      </c>
      <c r="AQ176" s="198" t="str">
        <f>IF('Design Fee'!BT178&gt;0,"✔","-")</f>
        <v>-</v>
      </c>
      <c r="AR176" s="233"/>
      <c r="AS176" s="233"/>
      <c r="AT176" s="233"/>
      <c r="AU176" s="197" t="str">
        <f>IF('Design Fee'!CQ178&gt;0,"✔","-")</f>
        <v>-</v>
      </c>
      <c r="AV176" s="197" t="str">
        <f>IF('Design Fee'!CR178&gt;0,"✔","-")</f>
        <v>-</v>
      </c>
      <c r="AW176" s="198" t="str">
        <f>IF('Design Fee'!CS178&gt;0,"✔","-")</f>
        <v>-</v>
      </c>
      <c r="AX176" s="198" t="str">
        <f>IF('Design Fee'!CT178&gt;0,"✔","-")</f>
        <v>-</v>
      </c>
      <c r="AY176" s="198" t="str">
        <f>IF('Design Fee'!CU178&gt;0,"✔","-")</f>
        <v>-</v>
      </c>
      <c r="AZ176" s="198" t="str">
        <f>IF('Design Fee'!CV178&gt;0,"✔","-")</f>
        <v>-</v>
      </c>
      <c r="BA176" s="198" t="str">
        <f>IF('Design Fee'!CW178&gt;0,"✔","-")</f>
        <v>-</v>
      </c>
      <c r="BB176" s="220" t="str">
        <f>IF('Design Fee'!CX178&gt;0,"✔","-")</f>
        <v>-</v>
      </c>
      <c r="BC176" s="233"/>
      <c r="BD176" s="198" t="str">
        <f>IF('Design Fee'!CZ178&gt;0,"✔","-")</f>
        <v>-</v>
      </c>
      <c r="BE176" s="198" t="str">
        <f>IF('Design Fee'!DA178&gt;0,"✔","-")</f>
        <v>-</v>
      </c>
      <c r="BF176" s="198" t="str">
        <f>IF('Design Fee'!DB178&gt;0,"✔","-")</f>
        <v>-</v>
      </c>
      <c r="BG176" s="198" t="str">
        <f>IF('Design Fee'!DC178&gt;0,"✔","-")</f>
        <v>-</v>
      </c>
      <c r="BH176" s="198" t="str">
        <f>IF('Design Fee'!DD178&gt;0,"✔","-")</f>
        <v>-</v>
      </c>
      <c r="BI176" s="233"/>
      <c r="BJ176" s="233"/>
      <c r="BK176" s="233"/>
      <c r="BL176" s="197" t="str">
        <f>IF('Design Fee'!EA178&gt;0,"✔","-")</f>
        <v>-</v>
      </c>
      <c r="BM176" s="197" t="str">
        <f>IF('Design Fee'!EB178&gt;0,"✔","-")</f>
        <v>-</v>
      </c>
      <c r="BN176" s="198" t="str">
        <f>IF('Design Fee'!EC178&gt;0,"✔","-")</f>
        <v>-</v>
      </c>
      <c r="BO176" s="198" t="str">
        <f>IF('Design Fee'!ED178&gt;0,"✔","-")</f>
        <v>-</v>
      </c>
      <c r="BP176" s="198" t="str">
        <f>IF('Design Fee'!EE178&gt;0,"✔","-")</f>
        <v>-</v>
      </c>
      <c r="BQ176" s="198" t="str">
        <f>IF('Design Fee'!EF178&gt;0,"✔","-")</f>
        <v>-</v>
      </c>
      <c r="BR176" s="198" t="str">
        <f>IF('Design Fee'!EG178&gt;0,"✔","-")</f>
        <v>-</v>
      </c>
      <c r="BS176" s="220" t="str">
        <f>IF('Design Fee'!EH178&gt;0,"✔","-")</f>
        <v>-</v>
      </c>
      <c r="BT176" s="137"/>
      <c r="BU176" s="198" t="str">
        <f>IF('Design Fee'!EJ178&gt;0,"✔","-")</f>
        <v>-</v>
      </c>
      <c r="BV176" s="198" t="str">
        <f>IF('Design Fee'!EK178&gt;0,"✔","-")</f>
        <v>-</v>
      </c>
      <c r="BW176" s="198" t="str">
        <f>IF('Design Fee'!EL178&gt;0,"✔","-")</f>
        <v>-</v>
      </c>
      <c r="BX176" s="198" t="str">
        <f>IF('Design Fee'!EM178&gt;0,"✔","-")</f>
        <v>-</v>
      </c>
      <c r="BY176" s="198" t="str">
        <f>IF('Design Fee'!EN178&gt;0,"✔","-")</f>
        <v>-</v>
      </c>
      <c r="BZ176" s="137"/>
    </row>
    <row r="177" spans="2:78" ht="12.75" outlineLevel="3">
      <c r="B177" s="217" t="s">
        <v>158</v>
      </c>
      <c r="C177" s="218">
        <v>1</v>
      </c>
      <c r="D177" s="219" t="s">
        <v>152</v>
      </c>
      <c r="E177" s="137"/>
      <c r="F177" s="197">
        <f t="shared" ref="F177:H178" si="549">COUNTIF(M177,"✔")+COUNTIF(AD177,"✔")+COUNTIF(BL177,"✔")+COUNTIF(AU177,"✔")</f>
        <v>1</v>
      </c>
      <c r="G177" s="198">
        <f t="shared" si="549"/>
        <v>1</v>
      </c>
      <c r="H177" s="198">
        <f t="shared" si="549"/>
        <v>1</v>
      </c>
      <c r="I177" s="198">
        <f t="shared" ref="I177:I178" si="550">F177-G177</f>
        <v>0</v>
      </c>
      <c r="J177" s="184"/>
      <c r="K177" s="203"/>
      <c r="L177" s="196"/>
      <c r="M177" s="197" t="str">
        <f>IF('Design Fee'!W179&gt;0,"✔","-")</f>
        <v>-</v>
      </c>
      <c r="N177" s="197" t="str">
        <f>IF('Design Fee'!X179&gt;0,"✔","-")</f>
        <v>-</v>
      </c>
      <c r="O177" s="198" t="str">
        <f>IF('Design Fee'!Y179&gt;0,"✔","-")</f>
        <v>-</v>
      </c>
      <c r="P177" s="198" t="str">
        <f>IF('Design Fee'!Z179&gt;0,"✔","-")</f>
        <v>-</v>
      </c>
      <c r="Q177" s="198" t="str">
        <f>IF('Design Fee'!AA179&gt;0,"✔","-")</f>
        <v>-</v>
      </c>
      <c r="R177" s="198" t="str">
        <f>IF('Design Fee'!AB179&gt;0,"✔","-")</f>
        <v>-</v>
      </c>
      <c r="S177" s="198" t="str">
        <f>IF('Design Fee'!AC179&gt;0,"✔","-")</f>
        <v>-</v>
      </c>
      <c r="T177" s="220" t="str">
        <f>IF('Design Fee'!AD179&gt;0,"✔","-")</f>
        <v>-</v>
      </c>
      <c r="U177" s="184"/>
      <c r="V177" s="198" t="str">
        <f>IF('Design Fee'!AF179&gt;0,"✔","-")</f>
        <v>-</v>
      </c>
      <c r="W177" s="198" t="str">
        <f>IF('Design Fee'!AG179&gt;0,"✔","-")</f>
        <v>-</v>
      </c>
      <c r="X177" s="198" t="str">
        <f>IF('Design Fee'!AH179&gt;0,"✔","-")</f>
        <v>-</v>
      </c>
      <c r="Y177" s="198" t="str">
        <f>IF('Design Fee'!AI179&gt;0,"✔","-")</f>
        <v>-</v>
      </c>
      <c r="Z177" s="198" t="str">
        <f>IF('Design Fee'!AJ179&gt;0,"✔","-")</f>
        <v>-</v>
      </c>
      <c r="AA177" s="184"/>
      <c r="AB177" s="203"/>
      <c r="AC177" s="196"/>
      <c r="AD177" s="197" t="str">
        <f>IF('Design Fee'!BG179&gt;0,"✔","-")</f>
        <v>✔</v>
      </c>
      <c r="AE177" s="197" t="str">
        <f>IF('Design Fee'!BH179&gt;0,"✔","-")</f>
        <v>✔</v>
      </c>
      <c r="AF177" s="198" t="str">
        <f>IF('Design Fee'!BI179&gt;0,"✔","-")</f>
        <v>✔</v>
      </c>
      <c r="AG177" s="198" t="str">
        <f>IF('Design Fee'!BJ179&gt;0,"✔","-")</f>
        <v>-</v>
      </c>
      <c r="AH177" s="198" t="str">
        <f>IF('Design Fee'!BK179&gt;0,"✔","-")</f>
        <v>-</v>
      </c>
      <c r="AI177" s="198" t="str">
        <f>IF('Design Fee'!BL179&gt;0,"✔","-")</f>
        <v>-</v>
      </c>
      <c r="AJ177" s="198" t="str">
        <f>IF('Design Fee'!BM179&gt;0,"✔","-")</f>
        <v>-</v>
      </c>
      <c r="AK177" s="220" t="str">
        <f>IF('Design Fee'!BN179&gt;0,"✔","-")</f>
        <v>-</v>
      </c>
      <c r="AL177" s="199"/>
      <c r="AM177" s="198" t="str">
        <f>IF('Design Fee'!BP179&gt;0,"✔","-")</f>
        <v>-</v>
      </c>
      <c r="AN177" s="198" t="str">
        <f>IF('Design Fee'!BQ179&gt;0,"✔","-")</f>
        <v>-</v>
      </c>
      <c r="AO177" s="198" t="str">
        <f>IF('Design Fee'!BR179&gt;0,"✔","-")</f>
        <v>-</v>
      </c>
      <c r="AP177" s="198" t="str">
        <f>IF('Design Fee'!BS179&gt;0,"✔","-")</f>
        <v>-</v>
      </c>
      <c r="AQ177" s="198" t="str">
        <f>IF('Design Fee'!BT179&gt;0,"✔","-")</f>
        <v>-</v>
      </c>
      <c r="AR177" s="199"/>
      <c r="AS177" s="203"/>
      <c r="AT177" s="196"/>
      <c r="AU177" s="197" t="str">
        <f>IF('Design Fee'!CQ179&gt;0,"✔","-")</f>
        <v>-</v>
      </c>
      <c r="AV177" s="197" t="str">
        <f>IF('Design Fee'!CR179&gt;0,"✔","-")</f>
        <v>-</v>
      </c>
      <c r="AW177" s="198" t="str">
        <f>IF('Design Fee'!CS179&gt;0,"✔","-")</f>
        <v>-</v>
      </c>
      <c r="AX177" s="198" t="str">
        <f>IF('Design Fee'!CT179&gt;0,"✔","-")</f>
        <v>-</v>
      </c>
      <c r="AY177" s="198" t="str">
        <f>IF('Design Fee'!CU179&gt;0,"✔","-")</f>
        <v>-</v>
      </c>
      <c r="AZ177" s="198" t="str">
        <f>IF('Design Fee'!CV179&gt;0,"✔","-")</f>
        <v>-</v>
      </c>
      <c r="BA177" s="198" t="str">
        <f>IF('Design Fee'!CW179&gt;0,"✔","-")</f>
        <v>-</v>
      </c>
      <c r="BB177" s="220" t="str">
        <f>IF('Design Fee'!CX179&gt;0,"✔","-")</f>
        <v>-</v>
      </c>
      <c r="BC177" s="199"/>
      <c r="BD177" s="198" t="str">
        <f>IF('Design Fee'!CZ179&gt;0,"✔","-")</f>
        <v>-</v>
      </c>
      <c r="BE177" s="198" t="str">
        <f>IF('Design Fee'!DA179&gt;0,"✔","-")</f>
        <v>-</v>
      </c>
      <c r="BF177" s="198" t="str">
        <f>IF('Design Fee'!DB179&gt;0,"✔","-")</f>
        <v>-</v>
      </c>
      <c r="BG177" s="198" t="str">
        <f>IF('Design Fee'!DC179&gt;0,"✔","-")</f>
        <v>-</v>
      </c>
      <c r="BH177" s="198" t="str">
        <f>IF('Design Fee'!DD179&gt;0,"✔","-")</f>
        <v>-</v>
      </c>
      <c r="BI177" s="199"/>
      <c r="BJ177" s="203"/>
      <c r="BK177" s="196"/>
      <c r="BL177" s="197" t="str">
        <f>IF('Design Fee'!EA179&gt;0,"✔","-")</f>
        <v>-</v>
      </c>
      <c r="BM177" s="197" t="str">
        <f>IF('Design Fee'!EB179&gt;0,"✔","-")</f>
        <v>-</v>
      </c>
      <c r="BN177" s="198" t="str">
        <f>IF('Design Fee'!EC179&gt;0,"✔","-")</f>
        <v>-</v>
      </c>
      <c r="BO177" s="198" t="str">
        <f>IF('Design Fee'!ED179&gt;0,"✔","-")</f>
        <v>-</v>
      </c>
      <c r="BP177" s="198" t="str">
        <f>IF('Design Fee'!EE179&gt;0,"✔","-")</f>
        <v>-</v>
      </c>
      <c r="BQ177" s="198" t="str">
        <f>IF('Design Fee'!EF179&gt;0,"✔","-")</f>
        <v>-</v>
      </c>
      <c r="BR177" s="198" t="str">
        <f>IF('Design Fee'!EG179&gt;0,"✔","-")</f>
        <v>-</v>
      </c>
      <c r="BS177" s="220" t="str">
        <f>IF('Design Fee'!EH179&gt;0,"✔","-")</f>
        <v>-</v>
      </c>
      <c r="BT177" s="137"/>
      <c r="BU177" s="198" t="str">
        <f>IF('Design Fee'!EJ179&gt;0,"✔","-")</f>
        <v>-</v>
      </c>
      <c r="BV177" s="198" t="str">
        <f>IF('Design Fee'!EK179&gt;0,"✔","-")</f>
        <v>-</v>
      </c>
      <c r="BW177" s="198" t="str">
        <f>IF('Design Fee'!EL179&gt;0,"✔","-")</f>
        <v>-</v>
      </c>
      <c r="BX177" s="198" t="str">
        <f>IF('Design Fee'!EM179&gt;0,"✔","-")</f>
        <v>-</v>
      </c>
      <c r="BY177" s="198" t="str">
        <f>IF('Design Fee'!EN179&gt;0,"✔","-")</f>
        <v>-</v>
      </c>
      <c r="BZ177" s="137"/>
    </row>
    <row r="178" spans="2:78" ht="12.75" outlineLevel="3">
      <c r="B178" s="217" t="s">
        <v>159</v>
      </c>
      <c r="C178" s="218">
        <v>2</v>
      </c>
      <c r="D178" s="219" t="s">
        <v>154</v>
      </c>
      <c r="E178" s="137"/>
      <c r="F178" s="197">
        <f t="shared" si="549"/>
        <v>1</v>
      </c>
      <c r="G178" s="198">
        <f t="shared" si="549"/>
        <v>1</v>
      </c>
      <c r="H178" s="198">
        <f t="shared" si="549"/>
        <v>1</v>
      </c>
      <c r="I178" s="198">
        <f t="shared" si="550"/>
        <v>0</v>
      </c>
      <c r="J178" s="184"/>
      <c r="K178" s="203"/>
      <c r="L178" s="196"/>
      <c r="M178" s="197" t="str">
        <f>IF('Design Fee'!W180&gt;0,"✔","-")</f>
        <v>-</v>
      </c>
      <c r="N178" s="197" t="str">
        <f>IF('Design Fee'!X180&gt;0,"✔","-")</f>
        <v>-</v>
      </c>
      <c r="O178" s="198" t="str">
        <f>IF('Design Fee'!Y180&gt;0,"✔","-")</f>
        <v>-</v>
      </c>
      <c r="P178" s="198" t="str">
        <f>IF('Design Fee'!Z180&gt;0,"✔","-")</f>
        <v>-</v>
      </c>
      <c r="Q178" s="198" t="str">
        <f>IF('Design Fee'!AA180&gt;0,"✔","-")</f>
        <v>-</v>
      </c>
      <c r="R178" s="198" t="str">
        <f>IF('Design Fee'!AB180&gt;0,"✔","-")</f>
        <v>-</v>
      </c>
      <c r="S178" s="198" t="str">
        <f>IF('Design Fee'!AC180&gt;0,"✔","-")</f>
        <v>-</v>
      </c>
      <c r="T178" s="220" t="str">
        <f>IF('Design Fee'!AD180&gt;0,"✔","-")</f>
        <v>-</v>
      </c>
      <c r="U178" s="184"/>
      <c r="V178" s="198" t="str">
        <f>IF('Design Fee'!AF180&gt;0,"✔","-")</f>
        <v>-</v>
      </c>
      <c r="W178" s="198" t="str">
        <f>IF('Design Fee'!AG180&gt;0,"✔","-")</f>
        <v>-</v>
      </c>
      <c r="X178" s="198" t="str">
        <f>IF('Design Fee'!AH180&gt;0,"✔","-")</f>
        <v>-</v>
      </c>
      <c r="Y178" s="198" t="str">
        <f>IF('Design Fee'!AI180&gt;0,"✔","-")</f>
        <v>-</v>
      </c>
      <c r="Z178" s="198" t="str">
        <f>IF('Design Fee'!AJ180&gt;0,"✔","-")</f>
        <v>-</v>
      </c>
      <c r="AA178" s="184"/>
      <c r="AB178" s="203"/>
      <c r="AC178" s="196"/>
      <c r="AD178" s="197" t="str">
        <f>IF('Design Fee'!BG180&gt;0,"✔","-")</f>
        <v>✔</v>
      </c>
      <c r="AE178" s="197" t="str">
        <f>IF('Design Fee'!BH180&gt;0,"✔","-")</f>
        <v>✔</v>
      </c>
      <c r="AF178" s="198" t="str">
        <f>IF('Design Fee'!BI180&gt;0,"✔","-")</f>
        <v>✔</v>
      </c>
      <c r="AG178" s="198" t="str">
        <f>IF('Design Fee'!BJ180&gt;0,"✔","-")</f>
        <v>-</v>
      </c>
      <c r="AH178" s="198" t="str">
        <f>IF('Design Fee'!BK180&gt;0,"✔","-")</f>
        <v>-</v>
      </c>
      <c r="AI178" s="198" t="str">
        <f>IF('Design Fee'!BL180&gt;0,"✔","-")</f>
        <v>-</v>
      </c>
      <c r="AJ178" s="198" t="str">
        <f>IF('Design Fee'!BM180&gt;0,"✔","-")</f>
        <v>-</v>
      </c>
      <c r="AK178" s="220" t="str">
        <f>IF('Design Fee'!BN180&gt;0,"✔","-")</f>
        <v>-</v>
      </c>
      <c r="AL178" s="199"/>
      <c r="AM178" s="198" t="str">
        <f>IF('Design Fee'!BP180&gt;0,"✔","-")</f>
        <v>-</v>
      </c>
      <c r="AN178" s="198" t="str">
        <f>IF('Design Fee'!BQ180&gt;0,"✔","-")</f>
        <v>-</v>
      </c>
      <c r="AO178" s="198" t="str">
        <f>IF('Design Fee'!BR180&gt;0,"✔","-")</f>
        <v>-</v>
      </c>
      <c r="AP178" s="198" t="str">
        <f>IF('Design Fee'!BS180&gt;0,"✔","-")</f>
        <v>-</v>
      </c>
      <c r="AQ178" s="198" t="str">
        <f>IF('Design Fee'!BT180&gt;0,"✔","-")</f>
        <v>-</v>
      </c>
      <c r="AR178" s="199"/>
      <c r="AS178" s="203"/>
      <c r="AT178" s="196"/>
      <c r="AU178" s="197" t="str">
        <f>IF('Design Fee'!CQ180&gt;0,"✔","-")</f>
        <v>-</v>
      </c>
      <c r="AV178" s="197" t="str">
        <f>IF('Design Fee'!CR180&gt;0,"✔","-")</f>
        <v>-</v>
      </c>
      <c r="AW178" s="198" t="str">
        <f>IF('Design Fee'!CS180&gt;0,"✔","-")</f>
        <v>-</v>
      </c>
      <c r="AX178" s="198" t="str">
        <f>IF('Design Fee'!CT180&gt;0,"✔","-")</f>
        <v>-</v>
      </c>
      <c r="AY178" s="198" t="str">
        <f>IF('Design Fee'!CU180&gt;0,"✔","-")</f>
        <v>-</v>
      </c>
      <c r="AZ178" s="198" t="str">
        <f>IF('Design Fee'!CV180&gt;0,"✔","-")</f>
        <v>-</v>
      </c>
      <c r="BA178" s="198" t="str">
        <f>IF('Design Fee'!CW180&gt;0,"✔","-")</f>
        <v>-</v>
      </c>
      <c r="BB178" s="220" t="str">
        <f>IF('Design Fee'!CX180&gt;0,"✔","-")</f>
        <v>-</v>
      </c>
      <c r="BC178" s="199"/>
      <c r="BD178" s="198" t="str">
        <f>IF('Design Fee'!CZ180&gt;0,"✔","-")</f>
        <v>-</v>
      </c>
      <c r="BE178" s="198" t="str">
        <f>IF('Design Fee'!DA180&gt;0,"✔","-")</f>
        <v>-</v>
      </c>
      <c r="BF178" s="198" t="str">
        <f>IF('Design Fee'!DB180&gt;0,"✔","-")</f>
        <v>-</v>
      </c>
      <c r="BG178" s="198" t="str">
        <f>IF('Design Fee'!DC180&gt;0,"✔","-")</f>
        <v>-</v>
      </c>
      <c r="BH178" s="198" t="str">
        <f>IF('Design Fee'!DD180&gt;0,"✔","-")</f>
        <v>-</v>
      </c>
      <c r="BI178" s="199"/>
      <c r="BJ178" s="203"/>
      <c r="BK178" s="196"/>
      <c r="BL178" s="197" t="str">
        <f>IF('Design Fee'!EA180&gt;0,"✔","-")</f>
        <v>-</v>
      </c>
      <c r="BM178" s="197" t="str">
        <f>IF('Design Fee'!EB180&gt;0,"✔","-")</f>
        <v>-</v>
      </c>
      <c r="BN178" s="198" t="str">
        <f>IF('Design Fee'!EC180&gt;0,"✔","-")</f>
        <v>-</v>
      </c>
      <c r="BO178" s="198" t="str">
        <f>IF('Design Fee'!ED180&gt;0,"✔","-")</f>
        <v>-</v>
      </c>
      <c r="BP178" s="198" t="str">
        <f>IF('Design Fee'!EE180&gt;0,"✔","-")</f>
        <v>-</v>
      </c>
      <c r="BQ178" s="198" t="str">
        <f>IF('Design Fee'!EF180&gt;0,"✔","-")</f>
        <v>-</v>
      </c>
      <c r="BR178" s="198" t="str">
        <f>IF('Design Fee'!EG180&gt;0,"✔","-")</f>
        <v>-</v>
      </c>
      <c r="BS178" s="220" t="str">
        <f>IF('Design Fee'!EH180&gt;0,"✔","-")</f>
        <v>-</v>
      </c>
      <c r="BT178" s="137"/>
      <c r="BU178" s="198" t="str">
        <f>IF('Design Fee'!EJ180&gt;0,"✔","-")</f>
        <v>-</v>
      </c>
      <c r="BV178" s="198" t="str">
        <f>IF('Design Fee'!EK180&gt;0,"✔","-")</f>
        <v>-</v>
      </c>
      <c r="BW178" s="198" t="str">
        <f>IF('Design Fee'!EL180&gt;0,"✔","-")</f>
        <v>-</v>
      </c>
      <c r="BX178" s="198" t="str">
        <f>IF('Design Fee'!EM180&gt;0,"✔","-")</f>
        <v>-</v>
      </c>
      <c r="BY178" s="198" t="str">
        <f>IF('Design Fee'!EN180&gt;0,"✔","-")</f>
        <v>-</v>
      </c>
      <c r="BZ178" s="137"/>
    </row>
    <row r="179" spans="2:78" ht="12.75" outlineLevel="2">
      <c r="B179" s="237"/>
      <c r="C179" s="238"/>
      <c r="D179" s="219"/>
      <c r="E179" s="137"/>
      <c r="F179" s="197"/>
      <c r="G179" s="198"/>
      <c r="H179" s="198"/>
      <c r="I179" s="198"/>
      <c r="J179" s="184"/>
      <c r="K179" s="195"/>
      <c r="L179" s="196"/>
      <c r="M179" s="197" t="str">
        <f>IF('Design Fee'!W181&gt;0,"✔","-")</f>
        <v>-</v>
      </c>
      <c r="N179" s="197" t="str">
        <f>IF('Design Fee'!X181&gt;0,"✔","-")</f>
        <v>-</v>
      </c>
      <c r="O179" s="198" t="str">
        <f>IF('Design Fee'!Y181&gt;0,"✔","-")</f>
        <v>-</v>
      </c>
      <c r="P179" s="198" t="str">
        <f>IF('Design Fee'!Z181&gt;0,"✔","-")</f>
        <v>-</v>
      </c>
      <c r="Q179" s="198" t="str">
        <f>IF('Design Fee'!AA181&gt;0,"✔","-")</f>
        <v>-</v>
      </c>
      <c r="R179" s="198" t="str">
        <f>IF('Design Fee'!AB181&gt;0,"✔","-")</f>
        <v>-</v>
      </c>
      <c r="S179" s="198" t="str">
        <f>IF('Design Fee'!AC181&gt;0,"✔","-")</f>
        <v>-</v>
      </c>
      <c r="T179" s="220" t="str">
        <f>IF('Design Fee'!AD181&gt;0,"✔","-")</f>
        <v>-</v>
      </c>
      <c r="U179" s="184"/>
      <c r="V179" s="198" t="str">
        <f>IF('Design Fee'!AF181&gt;0,"✔","-")</f>
        <v>-</v>
      </c>
      <c r="W179" s="198" t="str">
        <f>IF('Design Fee'!AG181&gt;0,"✔","-")</f>
        <v>-</v>
      </c>
      <c r="X179" s="198" t="str">
        <f>IF('Design Fee'!AH181&gt;0,"✔","-")</f>
        <v>-</v>
      </c>
      <c r="Y179" s="198" t="str">
        <f>IF('Design Fee'!AI181&gt;0,"✔","-")</f>
        <v>-</v>
      </c>
      <c r="Z179" s="198" t="str">
        <f>IF('Design Fee'!AJ181&gt;0,"✔","-")</f>
        <v>-</v>
      </c>
      <c r="AA179" s="184"/>
      <c r="AB179" s="195"/>
      <c r="AC179" s="196"/>
      <c r="AD179" s="197" t="str">
        <f>IF('Design Fee'!BG181&gt;0,"✔","-")</f>
        <v>-</v>
      </c>
      <c r="AE179" s="197" t="str">
        <f>IF('Design Fee'!BH181&gt;0,"✔","-")</f>
        <v>-</v>
      </c>
      <c r="AF179" s="198" t="str">
        <f>IF('Design Fee'!BI181&gt;0,"✔","-")</f>
        <v>-</v>
      </c>
      <c r="AG179" s="198" t="str">
        <f>IF('Design Fee'!BJ181&gt;0,"✔","-")</f>
        <v>-</v>
      </c>
      <c r="AH179" s="198" t="str">
        <f>IF('Design Fee'!BK181&gt;0,"✔","-")</f>
        <v>-</v>
      </c>
      <c r="AI179" s="198" t="str">
        <f>IF('Design Fee'!BL181&gt;0,"✔","-")</f>
        <v>-</v>
      </c>
      <c r="AJ179" s="198" t="str">
        <f>IF('Design Fee'!BM181&gt;0,"✔","-")</f>
        <v>-</v>
      </c>
      <c r="AK179" s="220" t="str">
        <f>IF('Design Fee'!BN181&gt;0,"✔","-")</f>
        <v>-</v>
      </c>
      <c r="AL179" s="199"/>
      <c r="AM179" s="198" t="str">
        <f>IF('Design Fee'!BP181&gt;0,"✔","-")</f>
        <v>-</v>
      </c>
      <c r="AN179" s="198" t="str">
        <f>IF('Design Fee'!BQ181&gt;0,"✔","-")</f>
        <v>-</v>
      </c>
      <c r="AO179" s="198" t="str">
        <f>IF('Design Fee'!BR181&gt;0,"✔","-")</f>
        <v>-</v>
      </c>
      <c r="AP179" s="198" t="str">
        <f>IF('Design Fee'!BS181&gt;0,"✔","-")</f>
        <v>-</v>
      </c>
      <c r="AQ179" s="198" t="str">
        <f>IF('Design Fee'!BT181&gt;0,"✔","-")</f>
        <v>-</v>
      </c>
      <c r="AR179" s="199"/>
      <c r="AS179" s="195"/>
      <c r="AT179" s="196"/>
      <c r="AU179" s="197" t="str">
        <f>IF('Design Fee'!CQ181&gt;0,"✔","-")</f>
        <v>-</v>
      </c>
      <c r="AV179" s="197" t="str">
        <f>IF('Design Fee'!CR181&gt;0,"✔","-")</f>
        <v>-</v>
      </c>
      <c r="AW179" s="198" t="str">
        <f>IF('Design Fee'!CS181&gt;0,"✔","-")</f>
        <v>-</v>
      </c>
      <c r="AX179" s="198" t="str">
        <f>IF('Design Fee'!CT181&gt;0,"✔","-")</f>
        <v>-</v>
      </c>
      <c r="AY179" s="198" t="str">
        <f>IF('Design Fee'!CU181&gt;0,"✔","-")</f>
        <v>-</v>
      </c>
      <c r="AZ179" s="198" t="str">
        <f>IF('Design Fee'!CV181&gt;0,"✔","-")</f>
        <v>-</v>
      </c>
      <c r="BA179" s="198" t="str">
        <f>IF('Design Fee'!CW181&gt;0,"✔","-")</f>
        <v>-</v>
      </c>
      <c r="BB179" s="220" t="str">
        <f>IF('Design Fee'!CX181&gt;0,"✔","-")</f>
        <v>-</v>
      </c>
      <c r="BC179" s="199"/>
      <c r="BD179" s="198" t="str">
        <f>IF('Design Fee'!CZ181&gt;0,"✔","-")</f>
        <v>-</v>
      </c>
      <c r="BE179" s="198" t="str">
        <f>IF('Design Fee'!DA181&gt;0,"✔","-")</f>
        <v>-</v>
      </c>
      <c r="BF179" s="198" t="str">
        <f>IF('Design Fee'!DB181&gt;0,"✔","-")</f>
        <v>-</v>
      </c>
      <c r="BG179" s="198" t="str">
        <f>IF('Design Fee'!DC181&gt;0,"✔","-")</f>
        <v>-</v>
      </c>
      <c r="BH179" s="198" t="str">
        <f>IF('Design Fee'!DD181&gt;0,"✔","-")</f>
        <v>-</v>
      </c>
      <c r="BI179" s="199"/>
      <c r="BJ179" s="195"/>
      <c r="BK179" s="196"/>
      <c r="BL179" s="197" t="str">
        <f>IF('Design Fee'!EA181&gt;0,"✔","-")</f>
        <v>-</v>
      </c>
      <c r="BM179" s="197" t="str">
        <f>IF('Design Fee'!EB181&gt;0,"✔","-")</f>
        <v>-</v>
      </c>
      <c r="BN179" s="198" t="str">
        <f>IF('Design Fee'!EC181&gt;0,"✔","-")</f>
        <v>-</v>
      </c>
      <c r="BO179" s="198" t="str">
        <f>IF('Design Fee'!ED181&gt;0,"✔","-")</f>
        <v>-</v>
      </c>
      <c r="BP179" s="198" t="str">
        <f>IF('Design Fee'!EE181&gt;0,"✔","-")</f>
        <v>-</v>
      </c>
      <c r="BQ179" s="198" t="str">
        <f>IF('Design Fee'!EF181&gt;0,"✔","-")</f>
        <v>-</v>
      </c>
      <c r="BR179" s="198" t="str">
        <f>IF('Design Fee'!EG181&gt;0,"✔","-")</f>
        <v>-</v>
      </c>
      <c r="BS179" s="220" t="str">
        <f>IF('Design Fee'!EH181&gt;0,"✔","-")</f>
        <v>-</v>
      </c>
      <c r="BT179" s="137"/>
      <c r="BU179" s="198" t="str">
        <f>IF('Design Fee'!EJ181&gt;0,"✔","-")</f>
        <v>-</v>
      </c>
      <c r="BV179" s="198" t="str">
        <f>IF('Design Fee'!EK181&gt;0,"✔","-")</f>
        <v>-</v>
      </c>
      <c r="BW179" s="198" t="str">
        <f>IF('Design Fee'!EL181&gt;0,"✔","-")</f>
        <v>-</v>
      </c>
      <c r="BX179" s="198" t="str">
        <f>IF('Design Fee'!EM181&gt;0,"✔","-")</f>
        <v>-</v>
      </c>
      <c r="BY179" s="198" t="str">
        <f>IF('Design Fee'!EN181&gt;0,"✔","-")</f>
        <v>-</v>
      </c>
      <c r="BZ179" s="137"/>
    </row>
    <row r="180" spans="2:78" ht="12.75" outlineLevel="2">
      <c r="B180" s="237">
        <v>2.9</v>
      </c>
      <c r="C180" s="238">
        <v>2.9</v>
      </c>
      <c r="D180" s="239" t="s">
        <v>169</v>
      </c>
      <c r="E180" s="137"/>
      <c r="F180" s="162"/>
      <c r="G180" s="198"/>
      <c r="H180" s="198"/>
      <c r="I180" s="198"/>
      <c r="J180" s="184"/>
      <c r="K180" s="233"/>
      <c r="L180" s="233"/>
      <c r="M180" s="197" t="str">
        <f>IF('Design Fee'!W182&gt;0,"✔","-")</f>
        <v>-</v>
      </c>
      <c r="N180" s="197" t="str">
        <f>IF('Design Fee'!X182&gt;0,"✔","-")</f>
        <v>-</v>
      </c>
      <c r="O180" s="198" t="str">
        <f>IF('Design Fee'!Y182&gt;0,"✔","-")</f>
        <v>-</v>
      </c>
      <c r="P180" s="198" t="str">
        <f>IF('Design Fee'!Z182&gt;0,"✔","-")</f>
        <v>-</v>
      </c>
      <c r="Q180" s="198" t="str">
        <f>IF('Design Fee'!AA182&gt;0,"✔","-")</f>
        <v>-</v>
      </c>
      <c r="R180" s="198" t="str">
        <f>IF('Design Fee'!AB182&gt;0,"✔","-")</f>
        <v>-</v>
      </c>
      <c r="S180" s="198" t="str">
        <f>IF('Design Fee'!AC182&gt;0,"✔","-")</f>
        <v>-</v>
      </c>
      <c r="T180" s="220" t="str">
        <f>IF('Design Fee'!AD182&gt;0,"✔","-")</f>
        <v>-</v>
      </c>
      <c r="U180" s="184"/>
      <c r="V180" s="198" t="str">
        <f>IF('Design Fee'!AF182&gt;0,"✔","-")</f>
        <v>-</v>
      </c>
      <c r="W180" s="198" t="str">
        <f>IF('Design Fee'!AG182&gt;0,"✔","-")</f>
        <v>-</v>
      </c>
      <c r="X180" s="198" t="str">
        <f>IF('Design Fee'!AH182&gt;0,"✔","-")</f>
        <v>-</v>
      </c>
      <c r="Y180" s="198" t="str">
        <f>IF('Design Fee'!AI182&gt;0,"✔","-")</f>
        <v>-</v>
      </c>
      <c r="Z180" s="198" t="str">
        <f>IF('Design Fee'!AJ182&gt;0,"✔","-")</f>
        <v>-</v>
      </c>
      <c r="AA180" s="184"/>
      <c r="AB180" s="233"/>
      <c r="AC180" s="233"/>
      <c r="AD180" s="197"/>
      <c r="AE180" s="197"/>
      <c r="AF180" s="198"/>
      <c r="AG180" s="198" t="str">
        <f>IF('Design Fee'!BJ182&gt;0,"✔","-")</f>
        <v>-</v>
      </c>
      <c r="AH180" s="198" t="str">
        <f>IF('Design Fee'!BK182&gt;0,"✔","-")</f>
        <v>-</v>
      </c>
      <c r="AI180" s="198" t="str">
        <f>IF('Design Fee'!BL182&gt;0,"✔","-")</f>
        <v>-</v>
      </c>
      <c r="AJ180" s="198" t="str">
        <f>IF('Design Fee'!BM182&gt;0,"✔","-")</f>
        <v>-</v>
      </c>
      <c r="AK180" s="220" t="str">
        <f>IF('Design Fee'!BN182&gt;0,"✔","-")</f>
        <v>-</v>
      </c>
      <c r="AL180" s="233"/>
      <c r="AM180" s="198" t="str">
        <f>IF('Design Fee'!BP182&gt;0,"✔","-")</f>
        <v>-</v>
      </c>
      <c r="AN180" s="198" t="str">
        <f>IF('Design Fee'!BQ182&gt;0,"✔","-")</f>
        <v>-</v>
      </c>
      <c r="AO180" s="198" t="str">
        <f>IF('Design Fee'!BR182&gt;0,"✔","-")</f>
        <v>-</v>
      </c>
      <c r="AP180" s="198" t="str">
        <f>IF('Design Fee'!BS182&gt;0,"✔","-")</f>
        <v>-</v>
      </c>
      <c r="AQ180" s="198" t="str">
        <f>IF('Design Fee'!BT182&gt;0,"✔","-")</f>
        <v>-</v>
      </c>
      <c r="AR180" s="233"/>
      <c r="AS180" s="233"/>
      <c r="AT180" s="233"/>
      <c r="AU180" s="197" t="str">
        <f>IF('Design Fee'!CQ182&gt;0,"✔","-")</f>
        <v>-</v>
      </c>
      <c r="AV180" s="197" t="str">
        <f>IF('Design Fee'!CR182&gt;0,"✔","-")</f>
        <v>-</v>
      </c>
      <c r="AW180" s="198" t="str">
        <f>IF('Design Fee'!CS182&gt;0,"✔","-")</f>
        <v>-</v>
      </c>
      <c r="AX180" s="198" t="str">
        <f>IF('Design Fee'!CT182&gt;0,"✔","-")</f>
        <v>-</v>
      </c>
      <c r="AY180" s="198" t="str">
        <f>IF('Design Fee'!CU182&gt;0,"✔","-")</f>
        <v>-</v>
      </c>
      <c r="AZ180" s="198" t="str">
        <f>IF('Design Fee'!CV182&gt;0,"✔","-")</f>
        <v>-</v>
      </c>
      <c r="BA180" s="198" t="str">
        <f>IF('Design Fee'!CW182&gt;0,"✔","-")</f>
        <v>-</v>
      </c>
      <c r="BB180" s="220" t="str">
        <f>IF('Design Fee'!CX182&gt;0,"✔","-")</f>
        <v>-</v>
      </c>
      <c r="BC180" s="233"/>
      <c r="BD180" s="198" t="str">
        <f>IF('Design Fee'!CZ182&gt;0,"✔","-")</f>
        <v>-</v>
      </c>
      <c r="BE180" s="198" t="str">
        <f>IF('Design Fee'!DA182&gt;0,"✔","-")</f>
        <v>-</v>
      </c>
      <c r="BF180" s="198" t="str">
        <f>IF('Design Fee'!DB182&gt;0,"✔","-")</f>
        <v>-</v>
      </c>
      <c r="BG180" s="198" t="str">
        <f>IF('Design Fee'!DC182&gt;0,"✔","-")</f>
        <v>-</v>
      </c>
      <c r="BH180" s="198" t="str">
        <f>IF('Design Fee'!DD182&gt;0,"✔","-")</f>
        <v>-</v>
      </c>
      <c r="BI180" s="233"/>
      <c r="BJ180" s="233"/>
      <c r="BK180" s="233"/>
      <c r="BL180" s="197" t="str">
        <f>IF('Design Fee'!EA182&gt;0,"✔","-")</f>
        <v>-</v>
      </c>
      <c r="BM180" s="197" t="str">
        <f>IF('Design Fee'!EB182&gt;0,"✔","-")</f>
        <v>-</v>
      </c>
      <c r="BN180" s="198" t="str">
        <f>IF('Design Fee'!EC182&gt;0,"✔","-")</f>
        <v>-</v>
      </c>
      <c r="BO180" s="198" t="str">
        <f>IF('Design Fee'!ED182&gt;0,"✔","-")</f>
        <v>-</v>
      </c>
      <c r="BP180" s="198" t="str">
        <f>IF('Design Fee'!EE182&gt;0,"✔","-")</f>
        <v>-</v>
      </c>
      <c r="BQ180" s="198" t="str">
        <f>IF('Design Fee'!EF182&gt;0,"✔","-")</f>
        <v>-</v>
      </c>
      <c r="BR180" s="198" t="str">
        <f>IF('Design Fee'!EG182&gt;0,"✔","-")</f>
        <v>-</v>
      </c>
      <c r="BS180" s="220" t="str">
        <f>IF('Design Fee'!EH182&gt;0,"✔","-")</f>
        <v>-</v>
      </c>
      <c r="BT180" s="137"/>
      <c r="BU180" s="198" t="str">
        <f>IF('Design Fee'!EJ182&gt;0,"✔","-")</f>
        <v>-</v>
      </c>
      <c r="BV180" s="198" t="str">
        <f>IF('Design Fee'!EK182&gt;0,"✔","-")</f>
        <v>-</v>
      </c>
      <c r="BW180" s="198" t="str">
        <f>IF('Design Fee'!EL182&gt;0,"✔","-")</f>
        <v>-</v>
      </c>
      <c r="BX180" s="198" t="str">
        <f>IF('Design Fee'!EM182&gt;0,"✔","-")</f>
        <v>-</v>
      </c>
      <c r="BY180" s="198" t="str">
        <f>IF('Design Fee'!EN182&gt;0,"✔","-")</f>
        <v>-</v>
      </c>
      <c r="BZ180" s="137"/>
    </row>
    <row r="181" spans="2:78" ht="12.75" outlineLevel="3">
      <c r="B181" s="217" t="s">
        <v>170</v>
      </c>
      <c r="C181" s="218">
        <v>1</v>
      </c>
      <c r="D181" s="219" t="s">
        <v>152</v>
      </c>
      <c r="E181" s="137"/>
      <c r="F181" s="197">
        <f t="shared" ref="F181:H182" si="551">COUNTIF(M181,"✔")+COUNTIF(AD181,"✔")+COUNTIF(BL181,"✔")+COUNTIF(AU181,"✔")</f>
        <v>1</v>
      </c>
      <c r="G181" s="198">
        <f t="shared" si="551"/>
        <v>1</v>
      </c>
      <c r="H181" s="198">
        <f t="shared" si="551"/>
        <v>1</v>
      </c>
      <c r="I181" s="198">
        <f t="shared" ref="I181:I182" si="552">F181-G181</f>
        <v>0</v>
      </c>
      <c r="J181" s="184"/>
      <c r="K181" s="203"/>
      <c r="L181" s="196"/>
      <c r="M181" s="197" t="str">
        <f>IF('Design Fee'!W183&gt;0,"✔","-")</f>
        <v>-</v>
      </c>
      <c r="N181" s="197" t="str">
        <f>IF('Design Fee'!X183&gt;0,"✔","-")</f>
        <v>-</v>
      </c>
      <c r="O181" s="198" t="str">
        <f>IF('Design Fee'!Y183&gt;0,"✔","-")</f>
        <v>-</v>
      </c>
      <c r="P181" s="198" t="str">
        <f>IF('Design Fee'!Z183&gt;0,"✔","-")</f>
        <v>-</v>
      </c>
      <c r="Q181" s="198" t="str">
        <f>IF('Design Fee'!AA183&gt;0,"✔","-")</f>
        <v>-</v>
      </c>
      <c r="R181" s="198" t="str">
        <f>IF('Design Fee'!AB183&gt;0,"✔","-")</f>
        <v>-</v>
      </c>
      <c r="S181" s="198" t="str">
        <f>IF('Design Fee'!AC183&gt;0,"✔","-")</f>
        <v>-</v>
      </c>
      <c r="T181" s="220" t="str">
        <f>IF('Design Fee'!AD183&gt;0,"✔","-")</f>
        <v>-</v>
      </c>
      <c r="U181" s="184"/>
      <c r="V181" s="198" t="str">
        <f>IF('Design Fee'!AF183&gt;0,"✔","-")</f>
        <v>-</v>
      </c>
      <c r="W181" s="198" t="str">
        <f>IF('Design Fee'!AG183&gt;0,"✔","-")</f>
        <v>-</v>
      </c>
      <c r="X181" s="198" t="str">
        <f>IF('Design Fee'!AH183&gt;0,"✔","-")</f>
        <v>-</v>
      </c>
      <c r="Y181" s="198" t="str">
        <f>IF('Design Fee'!AI183&gt;0,"✔","-")</f>
        <v>-</v>
      </c>
      <c r="Z181" s="198" t="str">
        <f>IF('Design Fee'!AJ183&gt;0,"✔","-")</f>
        <v>-</v>
      </c>
      <c r="AA181" s="184"/>
      <c r="AB181" s="203"/>
      <c r="AC181" s="196"/>
      <c r="AD181" s="197" t="str">
        <f>IF('Design Fee'!BG183&gt;0,"✔","-")</f>
        <v>✔</v>
      </c>
      <c r="AE181" s="197" t="str">
        <f>IF('Design Fee'!BH183&gt;0,"✔","-")</f>
        <v>✔</v>
      </c>
      <c r="AF181" s="198" t="str">
        <f>IF('Design Fee'!BI183&gt;0,"✔","-")</f>
        <v>✔</v>
      </c>
      <c r="AG181" s="198" t="str">
        <f>IF('Design Fee'!BJ183&gt;0,"✔","-")</f>
        <v>-</v>
      </c>
      <c r="AH181" s="198" t="str">
        <f>IF('Design Fee'!BK183&gt;0,"✔","-")</f>
        <v>-</v>
      </c>
      <c r="AI181" s="198" t="str">
        <f>IF('Design Fee'!BL183&gt;0,"✔","-")</f>
        <v>-</v>
      </c>
      <c r="AJ181" s="198" t="str">
        <f>IF('Design Fee'!BM183&gt;0,"✔","-")</f>
        <v>-</v>
      </c>
      <c r="AK181" s="220" t="str">
        <f>IF('Design Fee'!BN183&gt;0,"✔","-")</f>
        <v>-</v>
      </c>
      <c r="AL181" s="199"/>
      <c r="AM181" s="198" t="str">
        <f>IF('Design Fee'!BP183&gt;0,"✔","-")</f>
        <v>-</v>
      </c>
      <c r="AN181" s="198" t="str">
        <f>IF('Design Fee'!BQ183&gt;0,"✔","-")</f>
        <v>-</v>
      </c>
      <c r="AO181" s="198" t="str">
        <f>IF('Design Fee'!BR183&gt;0,"✔","-")</f>
        <v>-</v>
      </c>
      <c r="AP181" s="198" t="str">
        <f>IF('Design Fee'!BS183&gt;0,"✔","-")</f>
        <v>-</v>
      </c>
      <c r="AQ181" s="198" t="str">
        <f>IF('Design Fee'!BT183&gt;0,"✔","-")</f>
        <v>-</v>
      </c>
      <c r="AR181" s="199"/>
      <c r="AS181" s="203"/>
      <c r="AT181" s="196"/>
      <c r="AU181" s="197" t="str">
        <f>IF('Design Fee'!CQ183&gt;0,"✔","-")</f>
        <v>-</v>
      </c>
      <c r="AV181" s="197" t="str">
        <f>IF('Design Fee'!CR183&gt;0,"✔","-")</f>
        <v>-</v>
      </c>
      <c r="AW181" s="198" t="str">
        <f>IF('Design Fee'!CS183&gt;0,"✔","-")</f>
        <v>-</v>
      </c>
      <c r="AX181" s="198" t="str">
        <f>IF('Design Fee'!CT183&gt;0,"✔","-")</f>
        <v>-</v>
      </c>
      <c r="AY181" s="198" t="str">
        <f>IF('Design Fee'!CU183&gt;0,"✔","-")</f>
        <v>-</v>
      </c>
      <c r="AZ181" s="198" t="str">
        <f>IF('Design Fee'!CV183&gt;0,"✔","-")</f>
        <v>-</v>
      </c>
      <c r="BA181" s="198" t="str">
        <f>IF('Design Fee'!CW183&gt;0,"✔","-")</f>
        <v>-</v>
      </c>
      <c r="BB181" s="220" t="str">
        <f>IF('Design Fee'!CX183&gt;0,"✔","-")</f>
        <v>-</v>
      </c>
      <c r="BC181" s="199"/>
      <c r="BD181" s="198" t="str">
        <f>IF('Design Fee'!CZ183&gt;0,"✔","-")</f>
        <v>-</v>
      </c>
      <c r="BE181" s="198" t="str">
        <f>IF('Design Fee'!DA183&gt;0,"✔","-")</f>
        <v>-</v>
      </c>
      <c r="BF181" s="198" t="str">
        <f>IF('Design Fee'!DB183&gt;0,"✔","-")</f>
        <v>-</v>
      </c>
      <c r="BG181" s="198" t="str">
        <f>IF('Design Fee'!DC183&gt;0,"✔","-")</f>
        <v>-</v>
      </c>
      <c r="BH181" s="198" t="str">
        <f>IF('Design Fee'!DD183&gt;0,"✔","-")</f>
        <v>-</v>
      </c>
      <c r="BI181" s="199"/>
      <c r="BJ181" s="203"/>
      <c r="BK181" s="196"/>
      <c r="BL181" s="197" t="str">
        <f>IF('Design Fee'!EA183&gt;0,"✔","-")</f>
        <v>-</v>
      </c>
      <c r="BM181" s="197" t="str">
        <f>IF('Design Fee'!EB183&gt;0,"✔","-")</f>
        <v>-</v>
      </c>
      <c r="BN181" s="198" t="str">
        <f>IF('Design Fee'!EC183&gt;0,"✔","-")</f>
        <v>-</v>
      </c>
      <c r="BO181" s="198" t="str">
        <f>IF('Design Fee'!ED183&gt;0,"✔","-")</f>
        <v>-</v>
      </c>
      <c r="BP181" s="198" t="str">
        <f>IF('Design Fee'!EE183&gt;0,"✔","-")</f>
        <v>-</v>
      </c>
      <c r="BQ181" s="198" t="str">
        <f>IF('Design Fee'!EF183&gt;0,"✔","-")</f>
        <v>-</v>
      </c>
      <c r="BR181" s="198" t="str">
        <f>IF('Design Fee'!EG183&gt;0,"✔","-")</f>
        <v>-</v>
      </c>
      <c r="BS181" s="220" t="str">
        <f>IF('Design Fee'!EH183&gt;0,"✔","-")</f>
        <v>-</v>
      </c>
      <c r="BT181" s="137"/>
      <c r="BU181" s="198" t="str">
        <f>IF('Design Fee'!EJ183&gt;0,"✔","-")</f>
        <v>-</v>
      </c>
      <c r="BV181" s="198" t="str">
        <f>IF('Design Fee'!EK183&gt;0,"✔","-")</f>
        <v>-</v>
      </c>
      <c r="BW181" s="198" t="str">
        <f>IF('Design Fee'!EL183&gt;0,"✔","-")</f>
        <v>-</v>
      </c>
      <c r="BX181" s="198" t="str">
        <f>IF('Design Fee'!EM183&gt;0,"✔","-")</f>
        <v>-</v>
      </c>
      <c r="BY181" s="198" t="str">
        <f>IF('Design Fee'!EN183&gt;0,"✔","-")</f>
        <v>-</v>
      </c>
      <c r="BZ181" s="137"/>
    </row>
    <row r="182" spans="2:78" ht="12.75" outlineLevel="3">
      <c r="B182" s="217" t="s">
        <v>171</v>
      </c>
      <c r="C182" s="218">
        <v>2</v>
      </c>
      <c r="D182" s="219" t="s">
        <v>154</v>
      </c>
      <c r="E182" s="137"/>
      <c r="F182" s="197">
        <f t="shared" si="551"/>
        <v>1</v>
      </c>
      <c r="G182" s="198">
        <f t="shared" si="551"/>
        <v>1</v>
      </c>
      <c r="H182" s="198">
        <f t="shared" si="551"/>
        <v>1</v>
      </c>
      <c r="I182" s="198">
        <f t="shared" si="552"/>
        <v>0</v>
      </c>
      <c r="J182" s="184"/>
      <c r="K182" s="203"/>
      <c r="L182" s="196"/>
      <c r="M182" s="197" t="str">
        <f>IF('Design Fee'!W184&gt;0,"✔","-")</f>
        <v>-</v>
      </c>
      <c r="N182" s="197" t="str">
        <f>IF('Design Fee'!X184&gt;0,"✔","-")</f>
        <v>-</v>
      </c>
      <c r="O182" s="198" t="str">
        <f>IF('Design Fee'!Y184&gt;0,"✔","-")</f>
        <v>-</v>
      </c>
      <c r="P182" s="198" t="str">
        <f>IF('Design Fee'!Z184&gt;0,"✔","-")</f>
        <v>-</v>
      </c>
      <c r="Q182" s="198" t="str">
        <f>IF('Design Fee'!AA184&gt;0,"✔","-")</f>
        <v>-</v>
      </c>
      <c r="R182" s="198" t="str">
        <f>IF('Design Fee'!AB184&gt;0,"✔","-")</f>
        <v>-</v>
      </c>
      <c r="S182" s="198" t="str">
        <f>IF('Design Fee'!AC184&gt;0,"✔","-")</f>
        <v>-</v>
      </c>
      <c r="T182" s="220" t="str">
        <f>IF('Design Fee'!AD184&gt;0,"✔","-")</f>
        <v>-</v>
      </c>
      <c r="U182" s="184"/>
      <c r="V182" s="198" t="str">
        <f>IF('Design Fee'!AF184&gt;0,"✔","-")</f>
        <v>-</v>
      </c>
      <c r="W182" s="198" t="str">
        <f>IF('Design Fee'!AG184&gt;0,"✔","-")</f>
        <v>-</v>
      </c>
      <c r="X182" s="198" t="str">
        <f>IF('Design Fee'!AH184&gt;0,"✔","-")</f>
        <v>-</v>
      </c>
      <c r="Y182" s="198" t="str">
        <f>IF('Design Fee'!AI184&gt;0,"✔","-")</f>
        <v>-</v>
      </c>
      <c r="Z182" s="198" t="str">
        <f>IF('Design Fee'!AJ184&gt;0,"✔","-")</f>
        <v>-</v>
      </c>
      <c r="AA182" s="184"/>
      <c r="AB182" s="203"/>
      <c r="AC182" s="196"/>
      <c r="AD182" s="197" t="str">
        <f>IF('Design Fee'!BG184&gt;0,"✔","-")</f>
        <v>✔</v>
      </c>
      <c r="AE182" s="197" t="str">
        <f>IF('Design Fee'!BH184&gt;0,"✔","-")</f>
        <v>✔</v>
      </c>
      <c r="AF182" s="198" t="str">
        <f>IF('Design Fee'!BI184&gt;0,"✔","-")</f>
        <v>✔</v>
      </c>
      <c r="AG182" s="198" t="str">
        <f>IF('Design Fee'!BJ184&gt;0,"✔","-")</f>
        <v>-</v>
      </c>
      <c r="AH182" s="198" t="str">
        <f>IF('Design Fee'!BK184&gt;0,"✔","-")</f>
        <v>-</v>
      </c>
      <c r="AI182" s="198" t="str">
        <f>IF('Design Fee'!BL184&gt;0,"✔","-")</f>
        <v>-</v>
      </c>
      <c r="AJ182" s="198" t="str">
        <f>IF('Design Fee'!BM184&gt;0,"✔","-")</f>
        <v>-</v>
      </c>
      <c r="AK182" s="220" t="str">
        <f>IF('Design Fee'!BN184&gt;0,"✔","-")</f>
        <v>-</v>
      </c>
      <c r="AL182" s="199"/>
      <c r="AM182" s="198" t="str">
        <f>IF('Design Fee'!BP184&gt;0,"✔","-")</f>
        <v>-</v>
      </c>
      <c r="AN182" s="198" t="str">
        <f>IF('Design Fee'!BQ184&gt;0,"✔","-")</f>
        <v>-</v>
      </c>
      <c r="AO182" s="198" t="str">
        <f>IF('Design Fee'!BR184&gt;0,"✔","-")</f>
        <v>-</v>
      </c>
      <c r="AP182" s="198" t="str">
        <f>IF('Design Fee'!BS184&gt;0,"✔","-")</f>
        <v>-</v>
      </c>
      <c r="AQ182" s="198" t="str">
        <f>IF('Design Fee'!BT184&gt;0,"✔","-")</f>
        <v>-</v>
      </c>
      <c r="AR182" s="199"/>
      <c r="AS182" s="203"/>
      <c r="AT182" s="196"/>
      <c r="AU182" s="197" t="str">
        <f>IF('Design Fee'!CQ184&gt;0,"✔","-")</f>
        <v>-</v>
      </c>
      <c r="AV182" s="197" t="str">
        <f>IF('Design Fee'!CR184&gt;0,"✔","-")</f>
        <v>-</v>
      </c>
      <c r="AW182" s="198" t="str">
        <f>IF('Design Fee'!CS184&gt;0,"✔","-")</f>
        <v>-</v>
      </c>
      <c r="AX182" s="198" t="str">
        <f>IF('Design Fee'!CT184&gt;0,"✔","-")</f>
        <v>-</v>
      </c>
      <c r="AY182" s="198" t="str">
        <f>IF('Design Fee'!CU184&gt;0,"✔","-")</f>
        <v>-</v>
      </c>
      <c r="AZ182" s="198" t="str">
        <f>IF('Design Fee'!CV184&gt;0,"✔","-")</f>
        <v>-</v>
      </c>
      <c r="BA182" s="198" t="str">
        <f>IF('Design Fee'!CW184&gt;0,"✔","-")</f>
        <v>-</v>
      </c>
      <c r="BB182" s="220" t="str">
        <f>IF('Design Fee'!CX184&gt;0,"✔","-")</f>
        <v>-</v>
      </c>
      <c r="BC182" s="199"/>
      <c r="BD182" s="198" t="str">
        <f>IF('Design Fee'!CZ184&gt;0,"✔","-")</f>
        <v>-</v>
      </c>
      <c r="BE182" s="198" t="str">
        <f>IF('Design Fee'!DA184&gt;0,"✔","-")</f>
        <v>-</v>
      </c>
      <c r="BF182" s="198" t="str">
        <f>IF('Design Fee'!DB184&gt;0,"✔","-")</f>
        <v>-</v>
      </c>
      <c r="BG182" s="198" t="str">
        <f>IF('Design Fee'!DC184&gt;0,"✔","-")</f>
        <v>-</v>
      </c>
      <c r="BH182" s="198" t="str">
        <f>IF('Design Fee'!DD184&gt;0,"✔","-")</f>
        <v>-</v>
      </c>
      <c r="BI182" s="199"/>
      <c r="BJ182" s="203"/>
      <c r="BK182" s="196"/>
      <c r="BL182" s="197" t="str">
        <f>IF('Design Fee'!EA184&gt;0,"✔","-")</f>
        <v>-</v>
      </c>
      <c r="BM182" s="197" t="str">
        <f>IF('Design Fee'!EB184&gt;0,"✔","-")</f>
        <v>-</v>
      </c>
      <c r="BN182" s="198" t="str">
        <f>IF('Design Fee'!EC184&gt;0,"✔","-")</f>
        <v>-</v>
      </c>
      <c r="BO182" s="198" t="str">
        <f>IF('Design Fee'!ED184&gt;0,"✔","-")</f>
        <v>-</v>
      </c>
      <c r="BP182" s="198" t="str">
        <f>IF('Design Fee'!EE184&gt;0,"✔","-")</f>
        <v>-</v>
      </c>
      <c r="BQ182" s="198" t="str">
        <f>IF('Design Fee'!EF184&gt;0,"✔","-")</f>
        <v>-</v>
      </c>
      <c r="BR182" s="198" t="str">
        <f>IF('Design Fee'!EG184&gt;0,"✔","-")</f>
        <v>-</v>
      </c>
      <c r="BS182" s="220" t="str">
        <f>IF('Design Fee'!EH184&gt;0,"✔","-")</f>
        <v>-</v>
      </c>
      <c r="BT182" s="137"/>
      <c r="BU182" s="198" t="str">
        <f>IF('Design Fee'!EJ184&gt;0,"✔","-")</f>
        <v>-</v>
      </c>
      <c r="BV182" s="198" t="str">
        <f>IF('Design Fee'!EK184&gt;0,"✔","-")</f>
        <v>-</v>
      </c>
      <c r="BW182" s="198" t="str">
        <f>IF('Design Fee'!EL184&gt;0,"✔","-")</f>
        <v>-</v>
      </c>
      <c r="BX182" s="198" t="str">
        <f>IF('Design Fee'!EM184&gt;0,"✔","-")</f>
        <v>-</v>
      </c>
      <c r="BY182" s="198" t="str">
        <f>IF('Design Fee'!EN184&gt;0,"✔","-")</f>
        <v>-</v>
      </c>
      <c r="BZ182" s="137"/>
    </row>
    <row r="183" spans="2:78" ht="12.75" outlineLevel="2">
      <c r="B183" s="237"/>
      <c r="C183" s="238"/>
      <c r="D183" s="219"/>
      <c r="E183" s="137"/>
      <c r="F183" s="197"/>
      <c r="G183" s="198"/>
      <c r="H183" s="198"/>
      <c r="I183" s="198"/>
      <c r="J183" s="184"/>
      <c r="K183" s="195"/>
      <c r="L183" s="196"/>
      <c r="M183" s="197" t="str">
        <f>IF('Design Fee'!W185&gt;0,"✔","-")</f>
        <v>-</v>
      </c>
      <c r="N183" s="197" t="str">
        <f>IF('Design Fee'!X185&gt;0,"✔","-")</f>
        <v>-</v>
      </c>
      <c r="O183" s="198" t="str">
        <f>IF('Design Fee'!Y185&gt;0,"✔","-")</f>
        <v>-</v>
      </c>
      <c r="P183" s="198" t="str">
        <f>IF('Design Fee'!Z185&gt;0,"✔","-")</f>
        <v>-</v>
      </c>
      <c r="Q183" s="198" t="str">
        <f>IF('Design Fee'!AA185&gt;0,"✔","-")</f>
        <v>-</v>
      </c>
      <c r="R183" s="198" t="str">
        <f>IF('Design Fee'!AB185&gt;0,"✔","-")</f>
        <v>-</v>
      </c>
      <c r="S183" s="198" t="str">
        <f>IF('Design Fee'!AC185&gt;0,"✔","-")</f>
        <v>-</v>
      </c>
      <c r="T183" s="220" t="str">
        <f>IF('Design Fee'!AD185&gt;0,"✔","-")</f>
        <v>-</v>
      </c>
      <c r="U183" s="184"/>
      <c r="V183" s="198" t="str">
        <f>IF('Design Fee'!AF185&gt;0,"✔","-")</f>
        <v>-</v>
      </c>
      <c r="W183" s="198" t="str">
        <f>IF('Design Fee'!AG185&gt;0,"✔","-")</f>
        <v>-</v>
      </c>
      <c r="X183" s="198" t="str">
        <f>IF('Design Fee'!AH185&gt;0,"✔","-")</f>
        <v>-</v>
      </c>
      <c r="Y183" s="198" t="str">
        <f>IF('Design Fee'!AI185&gt;0,"✔","-")</f>
        <v>-</v>
      </c>
      <c r="Z183" s="198" t="str">
        <f>IF('Design Fee'!AJ185&gt;0,"✔","-")</f>
        <v>-</v>
      </c>
      <c r="AA183" s="184"/>
      <c r="AB183" s="195"/>
      <c r="AC183" s="196"/>
      <c r="AD183" s="197" t="str">
        <f>IF('Design Fee'!BG185&gt;0,"✔","-")</f>
        <v>-</v>
      </c>
      <c r="AE183" s="197" t="str">
        <f>IF('Design Fee'!BH185&gt;0,"✔","-")</f>
        <v>-</v>
      </c>
      <c r="AF183" s="198" t="str">
        <f>IF('Design Fee'!BI185&gt;0,"✔","-")</f>
        <v>-</v>
      </c>
      <c r="AG183" s="198" t="str">
        <f>IF('Design Fee'!BJ185&gt;0,"✔","-")</f>
        <v>-</v>
      </c>
      <c r="AH183" s="198" t="str">
        <f>IF('Design Fee'!BK185&gt;0,"✔","-")</f>
        <v>-</v>
      </c>
      <c r="AI183" s="198" t="str">
        <f>IF('Design Fee'!BL185&gt;0,"✔","-")</f>
        <v>-</v>
      </c>
      <c r="AJ183" s="198" t="str">
        <f>IF('Design Fee'!BM185&gt;0,"✔","-")</f>
        <v>-</v>
      </c>
      <c r="AK183" s="220" t="str">
        <f>IF('Design Fee'!BN185&gt;0,"✔","-")</f>
        <v>-</v>
      </c>
      <c r="AL183" s="199"/>
      <c r="AM183" s="198" t="str">
        <f>IF('Design Fee'!BP185&gt;0,"✔","-")</f>
        <v>-</v>
      </c>
      <c r="AN183" s="198" t="str">
        <f>IF('Design Fee'!BQ185&gt;0,"✔","-")</f>
        <v>-</v>
      </c>
      <c r="AO183" s="198" t="str">
        <f>IF('Design Fee'!BR185&gt;0,"✔","-")</f>
        <v>-</v>
      </c>
      <c r="AP183" s="198" t="str">
        <f>IF('Design Fee'!BS185&gt;0,"✔","-")</f>
        <v>-</v>
      </c>
      <c r="AQ183" s="198" t="str">
        <f>IF('Design Fee'!BT185&gt;0,"✔","-")</f>
        <v>-</v>
      </c>
      <c r="AR183" s="199"/>
      <c r="AS183" s="195"/>
      <c r="AT183" s="196"/>
      <c r="AU183" s="197" t="str">
        <f>IF('Design Fee'!CQ185&gt;0,"✔","-")</f>
        <v>-</v>
      </c>
      <c r="AV183" s="197" t="str">
        <f>IF('Design Fee'!CR185&gt;0,"✔","-")</f>
        <v>-</v>
      </c>
      <c r="AW183" s="198" t="str">
        <f>IF('Design Fee'!CS185&gt;0,"✔","-")</f>
        <v>-</v>
      </c>
      <c r="AX183" s="198" t="str">
        <f>IF('Design Fee'!CT185&gt;0,"✔","-")</f>
        <v>-</v>
      </c>
      <c r="AY183" s="198" t="str">
        <f>IF('Design Fee'!CU185&gt;0,"✔","-")</f>
        <v>-</v>
      </c>
      <c r="AZ183" s="198" t="str">
        <f>IF('Design Fee'!CV185&gt;0,"✔","-")</f>
        <v>-</v>
      </c>
      <c r="BA183" s="198" t="str">
        <f>IF('Design Fee'!CW185&gt;0,"✔","-")</f>
        <v>-</v>
      </c>
      <c r="BB183" s="220" t="str">
        <f>IF('Design Fee'!CX185&gt;0,"✔","-")</f>
        <v>-</v>
      </c>
      <c r="BC183" s="199"/>
      <c r="BD183" s="198" t="str">
        <f>IF('Design Fee'!CZ185&gt;0,"✔","-")</f>
        <v>-</v>
      </c>
      <c r="BE183" s="198" t="str">
        <f>IF('Design Fee'!DA185&gt;0,"✔","-")</f>
        <v>-</v>
      </c>
      <c r="BF183" s="198" t="str">
        <f>IF('Design Fee'!DB185&gt;0,"✔","-")</f>
        <v>-</v>
      </c>
      <c r="BG183" s="198" t="str">
        <f>IF('Design Fee'!DC185&gt;0,"✔","-")</f>
        <v>-</v>
      </c>
      <c r="BH183" s="198" t="str">
        <f>IF('Design Fee'!DD185&gt;0,"✔","-")</f>
        <v>-</v>
      </c>
      <c r="BI183" s="199"/>
      <c r="BJ183" s="195"/>
      <c r="BK183" s="196"/>
      <c r="BL183" s="197" t="str">
        <f>IF('Design Fee'!EA185&gt;0,"✔","-")</f>
        <v>-</v>
      </c>
      <c r="BM183" s="197" t="str">
        <f>IF('Design Fee'!EB185&gt;0,"✔","-")</f>
        <v>-</v>
      </c>
      <c r="BN183" s="198" t="str">
        <f>IF('Design Fee'!EC185&gt;0,"✔","-")</f>
        <v>-</v>
      </c>
      <c r="BO183" s="198" t="str">
        <f>IF('Design Fee'!ED185&gt;0,"✔","-")</f>
        <v>-</v>
      </c>
      <c r="BP183" s="198" t="str">
        <f>IF('Design Fee'!EE185&gt;0,"✔","-")</f>
        <v>-</v>
      </c>
      <c r="BQ183" s="198" t="str">
        <f>IF('Design Fee'!EF185&gt;0,"✔","-")</f>
        <v>-</v>
      </c>
      <c r="BR183" s="198" t="str">
        <f>IF('Design Fee'!EG185&gt;0,"✔","-")</f>
        <v>-</v>
      </c>
      <c r="BS183" s="220" t="str">
        <f>IF('Design Fee'!EH185&gt;0,"✔","-")</f>
        <v>-</v>
      </c>
      <c r="BT183" s="137"/>
      <c r="BU183" s="198" t="str">
        <f>IF('Design Fee'!EJ185&gt;0,"✔","-")</f>
        <v>-</v>
      </c>
      <c r="BV183" s="198" t="str">
        <f>IF('Design Fee'!EK185&gt;0,"✔","-")</f>
        <v>-</v>
      </c>
      <c r="BW183" s="198" t="str">
        <f>IF('Design Fee'!EL185&gt;0,"✔","-")</f>
        <v>-</v>
      </c>
      <c r="BX183" s="198" t="str">
        <f>IF('Design Fee'!EM185&gt;0,"✔","-")</f>
        <v>-</v>
      </c>
      <c r="BY183" s="198" t="str">
        <f>IF('Design Fee'!EN185&gt;0,"✔","-")</f>
        <v>-</v>
      </c>
      <c r="BZ183" s="137"/>
    </row>
    <row r="184" spans="2:78" ht="12.75" outlineLevel="2">
      <c r="B184" s="231">
        <v>2.1</v>
      </c>
      <c r="C184" s="232">
        <v>2.1</v>
      </c>
      <c r="D184" s="239" t="s">
        <v>172</v>
      </c>
      <c r="E184" s="137"/>
      <c r="F184" s="162"/>
      <c r="G184" s="236"/>
      <c r="H184" s="236"/>
      <c r="I184" s="236"/>
      <c r="J184" s="221"/>
      <c r="K184" s="233"/>
      <c r="L184" s="233"/>
      <c r="M184" s="197" t="str">
        <f>IF('Design Fee'!W186&gt;0,"✔","-")</f>
        <v>-</v>
      </c>
      <c r="N184" s="197" t="str">
        <f>IF('Design Fee'!X186&gt;0,"✔","-")</f>
        <v>-</v>
      </c>
      <c r="O184" s="236" t="str">
        <f>IF('Design Fee'!Y186&gt;0,"✔","-")</f>
        <v>-</v>
      </c>
      <c r="P184" s="236" t="str">
        <f>IF('Design Fee'!Z186&gt;0,"✔","-")</f>
        <v>-</v>
      </c>
      <c r="Q184" s="198" t="str">
        <f>IF('Design Fee'!AA186&gt;0,"✔","-")</f>
        <v>-</v>
      </c>
      <c r="R184" s="198" t="str">
        <f>IF('Design Fee'!AB186&gt;0,"✔","-")</f>
        <v>-</v>
      </c>
      <c r="S184" s="198" t="str">
        <f>IF('Design Fee'!AC186&gt;0,"✔","-")</f>
        <v>-</v>
      </c>
      <c r="T184" s="220" t="str">
        <f>IF('Design Fee'!AD186&gt;0,"✔","-")</f>
        <v>-</v>
      </c>
      <c r="U184" s="221"/>
      <c r="V184" s="236" t="str">
        <f>IF('Design Fee'!AF186&gt;0,"✔","-")</f>
        <v>-</v>
      </c>
      <c r="W184" s="198" t="str">
        <f>IF('Design Fee'!AG186&gt;0,"✔","-")</f>
        <v>-</v>
      </c>
      <c r="X184" s="198" t="str">
        <f>IF('Design Fee'!AH186&gt;0,"✔","-")</f>
        <v>-</v>
      </c>
      <c r="Y184" s="198" t="str">
        <f>IF('Design Fee'!AI186&gt;0,"✔","-")</f>
        <v>-</v>
      </c>
      <c r="Z184" s="198" t="str">
        <f>IF('Design Fee'!AJ186&gt;0,"✔","-")</f>
        <v>-</v>
      </c>
      <c r="AA184" s="221"/>
      <c r="AB184" s="233"/>
      <c r="AC184" s="233"/>
      <c r="AD184" s="197"/>
      <c r="AE184" s="197"/>
      <c r="AF184" s="236"/>
      <c r="AG184" s="236" t="str">
        <f>IF('Design Fee'!BJ186&gt;0,"✔","-")</f>
        <v>-</v>
      </c>
      <c r="AH184" s="198" t="str">
        <f>IF('Design Fee'!BK186&gt;0,"✔","-")</f>
        <v>-</v>
      </c>
      <c r="AI184" s="198" t="str">
        <f>IF('Design Fee'!BL186&gt;0,"✔","-")</f>
        <v>-</v>
      </c>
      <c r="AJ184" s="198" t="str">
        <f>IF('Design Fee'!BM186&gt;0,"✔","-")</f>
        <v>-</v>
      </c>
      <c r="AK184" s="220" t="str">
        <f>IF('Design Fee'!BN186&gt;0,"✔","-")</f>
        <v>-</v>
      </c>
      <c r="AL184" s="233"/>
      <c r="AM184" s="236" t="str">
        <f>IF('Design Fee'!BP186&gt;0,"✔","-")</f>
        <v>-</v>
      </c>
      <c r="AN184" s="198" t="str">
        <f>IF('Design Fee'!BQ186&gt;0,"✔","-")</f>
        <v>-</v>
      </c>
      <c r="AO184" s="198" t="str">
        <f>IF('Design Fee'!BR186&gt;0,"✔","-")</f>
        <v>-</v>
      </c>
      <c r="AP184" s="198" t="str">
        <f>IF('Design Fee'!BS186&gt;0,"✔","-")</f>
        <v>-</v>
      </c>
      <c r="AQ184" s="198" t="str">
        <f>IF('Design Fee'!BT186&gt;0,"✔","-")</f>
        <v>-</v>
      </c>
      <c r="AR184" s="233"/>
      <c r="AS184" s="233"/>
      <c r="AT184" s="233"/>
      <c r="AU184" s="197" t="str">
        <f>IF('Design Fee'!CQ186&gt;0,"✔","-")</f>
        <v>-</v>
      </c>
      <c r="AV184" s="197" t="str">
        <f>IF('Design Fee'!CR186&gt;0,"✔","-")</f>
        <v>-</v>
      </c>
      <c r="AW184" s="236" t="str">
        <f>IF('Design Fee'!CS186&gt;0,"✔","-")</f>
        <v>-</v>
      </c>
      <c r="AX184" s="236" t="str">
        <f>IF('Design Fee'!CT186&gt;0,"✔","-")</f>
        <v>-</v>
      </c>
      <c r="AY184" s="198" t="str">
        <f>IF('Design Fee'!CU186&gt;0,"✔","-")</f>
        <v>-</v>
      </c>
      <c r="AZ184" s="198" t="str">
        <f>IF('Design Fee'!CV186&gt;0,"✔","-")</f>
        <v>-</v>
      </c>
      <c r="BA184" s="198" t="str">
        <f>IF('Design Fee'!CW186&gt;0,"✔","-")</f>
        <v>-</v>
      </c>
      <c r="BB184" s="220" t="str">
        <f>IF('Design Fee'!CX186&gt;0,"✔","-")</f>
        <v>-</v>
      </c>
      <c r="BC184" s="233"/>
      <c r="BD184" s="236" t="str">
        <f>IF('Design Fee'!CZ186&gt;0,"✔","-")</f>
        <v>-</v>
      </c>
      <c r="BE184" s="198" t="str">
        <f>IF('Design Fee'!DA186&gt;0,"✔","-")</f>
        <v>-</v>
      </c>
      <c r="BF184" s="198" t="str">
        <f>IF('Design Fee'!DB186&gt;0,"✔","-")</f>
        <v>-</v>
      </c>
      <c r="BG184" s="198" t="str">
        <f>IF('Design Fee'!DC186&gt;0,"✔","-")</f>
        <v>-</v>
      </c>
      <c r="BH184" s="198" t="str">
        <f>IF('Design Fee'!DD186&gt;0,"✔","-")</f>
        <v>-</v>
      </c>
      <c r="BI184" s="233"/>
      <c r="BJ184" s="233"/>
      <c r="BK184" s="233"/>
      <c r="BL184" s="197" t="str">
        <f>IF('Design Fee'!EA186&gt;0,"✔","-")</f>
        <v>-</v>
      </c>
      <c r="BM184" s="197" t="str">
        <f>IF('Design Fee'!EB186&gt;0,"✔","-")</f>
        <v>-</v>
      </c>
      <c r="BN184" s="236" t="str">
        <f>IF('Design Fee'!EC186&gt;0,"✔","-")</f>
        <v>-</v>
      </c>
      <c r="BO184" s="236" t="str">
        <f>IF('Design Fee'!ED186&gt;0,"✔","-")</f>
        <v>-</v>
      </c>
      <c r="BP184" s="198" t="str">
        <f>IF('Design Fee'!EE186&gt;0,"✔","-")</f>
        <v>-</v>
      </c>
      <c r="BQ184" s="198" t="str">
        <f>IF('Design Fee'!EF186&gt;0,"✔","-")</f>
        <v>-</v>
      </c>
      <c r="BR184" s="198" t="str">
        <f>IF('Design Fee'!EG186&gt;0,"✔","-")</f>
        <v>-</v>
      </c>
      <c r="BS184" s="220" t="str">
        <f>IF('Design Fee'!EH186&gt;0,"✔","-")</f>
        <v>-</v>
      </c>
      <c r="BT184" s="137"/>
      <c r="BU184" s="236" t="str">
        <f>IF('Design Fee'!EJ186&gt;0,"✔","-")</f>
        <v>-</v>
      </c>
      <c r="BV184" s="198" t="str">
        <f>IF('Design Fee'!EK186&gt;0,"✔","-")</f>
        <v>-</v>
      </c>
      <c r="BW184" s="198" t="str">
        <f>IF('Design Fee'!EL186&gt;0,"✔","-")</f>
        <v>-</v>
      </c>
      <c r="BX184" s="198" t="str">
        <f>IF('Design Fee'!EM186&gt;0,"✔","-")</f>
        <v>-</v>
      </c>
      <c r="BY184" s="198" t="str">
        <f>IF('Design Fee'!EN186&gt;0,"✔","-")</f>
        <v>-</v>
      </c>
      <c r="BZ184" s="137"/>
    </row>
    <row r="185" spans="2:78" ht="12.75" outlineLevel="3">
      <c r="B185" s="217" t="s">
        <v>158</v>
      </c>
      <c r="C185" s="218">
        <v>1</v>
      </c>
      <c r="D185" s="219" t="s">
        <v>152</v>
      </c>
      <c r="E185" s="137"/>
      <c r="F185" s="197">
        <f t="shared" ref="F185:H186" si="553">COUNTIF(M185,"✔")+COUNTIF(AD185,"✔")+COUNTIF(BL185,"✔")+COUNTIF(AU185,"✔")</f>
        <v>1</v>
      </c>
      <c r="G185" s="198">
        <f t="shared" si="553"/>
        <v>1</v>
      </c>
      <c r="H185" s="198">
        <f t="shared" si="553"/>
        <v>1</v>
      </c>
      <c r="I185" s="198">
        <f t="shared" ref="I185:I186" si="554">F185-G185</f>
        <v>0</v>
      </c>
      <c r="J185" s="221"/>
      <c r="K185" s="203"/>
      <c r="L185" s="196"/>
      <c r="M185" s="197" t="str">
        <f>IF('Design Fee'!W187&gt;0,"✔","-")</f>
        <v>-</v>
      </c>
      <c r="N185" s="197" t="str">
        <f>IF('Design Fee'!X187&gt;0,"✔","-")</f>
        <v>-</v>
      </c>
      <c r="O185" s="175" t="str">
        <f>IF('Design Fee'!Y187&gt;0,"✔","-")</f>
        <v>-</v>
      </c>
      <c r="P185" s="175" t="str">
        <f>IF('Design Fee'!Z187&gt;0,"✔","-")</f>
        <v>-</v>
      </c>
      <c r="Q185" s="198" t="str">
        <f>IF('Design Fee'!AA187&gt;0,"✔","-")</f>
        <v>-</v>
      </c>
      <c r="R185" s="198" t="str">
        <f>IF('Design Fee'!AB187&gt;0,"✔","-")</f>
        <v>-</v>
      </c>
      <c r="S185" s="198" t="str">
        <f>IF('Design Fee'!AC187&gt;0,"✔","-")</f>
        <v>-</v>
      </c>
      <c r="T185" s="220" t="str">
        <f>IF('Design Fee'!AD187&gt;0,"✔","-")</f>
        <v>-</v>
      </c>
      <c r="U185" s="221"/>
      <c r="V185" s="175" t="str">
        <f>IF('Design Fee'!AF187&gt;0,"✔","-")</f>
        <v>-</v>
      </c>
      <c r="W185" s="198" t="str">
        <f>IF('Design Fee'!AG187&gt;0,"✔","-")</f>
        <v>-</v>
      </c>
      <c r="X185" s="198" t="str">
        <f>IF('Design Fee'!AH187&gt;0,"✔","-")</f>
        <v>-</v>
      </c>
      <c r="Y185" s="198" t="str">
        <f>IF('Design Fee'!AI187&gt;0,"✔","-")</f>
        <v>-</v>
      </c>
      <c r="Z185" s="198" t="str">
        <f>IF('Design Fee'!AJ187&gt;0,"✔","-")</f>
        <v>-</v>
      </c>
      <c r="AA185" s="221"/>
      <c r="AB185" s="203"/>
      <c r="AC185" s="196"/>
      <c r="AD185" s="197" t="str">
        <f>IF('Design Fee'!BG187&gt;0,"✔","-")</f>
        <v>✔</v>
      </c>
      <c r="AE185" s="197" t="str">
        <f>IF('Design Fee'!BH187&gt;0,"✔","-")</f>
        <v>✔</v>
      </c>
      <c r="AF185" s="175" t="str">
        <f>IF('Design Fee'!BI187&gt;0,"✔","-")</f>
        <v>✔</v>
      </c>
      <c r="AG185" s="175" t="str">
        <f>IF('Design Fee'!BJ187&gt;0,"✔","-")</f>
        <v>-</v>
      </c>
      <c r="AH185" s="198" t="str">
        <f>IF('Design Fee'!BK187&gt;0,"✔","-")</f>
        <v>-</v>
      </c>
      <c r="AI185" s="198" t="str">
        <f>IF('Design Fee'!BL187&gt;0,"✔","-")</f>
        <v>-</v>
      </c>
      <c r="AJ185" s="198" t="str">
        <f>IF('Design Fee'!BM187&gt;0,"✔","-")</f>
        <v>-</v>
      </c>
      <c r="AK185" s="220" t="str">
        <f>IF('Design Fee'!BN187&gt;0,"✔","-")</f>
        <v>-</v>
      </c>
      <c r="AL185" s="199"/>
      <c r="AM185" s="175" t="str">
        <f>IF('Design Fee'!BP187&gt;0,"✔","-")</f>
        <v>-</v>
      </c>
      <c r="AN185" s="198" t="str">
        <f>IF('Design Fee'!BQ187&gt;0,"✔","-")</f>
        <v>-</v>
      </c>
      <c r="AO185" s="198" t="str">
        <f>IF('Design Fee'!BR187&gt;0,"✔","-")</f>
        <v>-</v>
      </c>
      <c r="AP185" s="198" t="str">
        <f>IF('Design Fee'!BS187&gt;0,"✔","-")</f>
        <v>-</v>
      </c>
      <c r="AQ185" s="198" t="str">
        <f>IF('Design Fee'!BT187&gt;0,"✔","-")</f>
        <v>-</v>
      </c>
      <c r="AR185" s="199"/>
      <c r="AS185" s="203"/>
      <c r="AT185" s="196"/>
      <c r="AU185" s="197" t="str">
        <f>IF('Design Fee'!CQ187&gt;0,"✔","-")</f>
        <v>-</v>
      </c>
      <c r="AV185" s="197" t="str">
        <f>IF('Design Fee'!CR187&gt;0,"✔","-")</f>
        <v>-</v>
      </c>
      <c r="AW185" s="175" t="str">
        <f>IF('Design Fee'!CS187&gt;0,"✔","-")</f>
        <v>-</v>
      </c>
      <c r="AX185" s="175" t="str">
        <f>IF('Design Fee'!CT187&gt;0,"✔","-")</f>
        <v>-</v>
      </c>
      <c r="AY185" s="198" t="str">
        <f>IF('Design Fee'!CU187&gt;0,"✔","-")</f>
        <v>-</v>
      </c>
      <c r="AZ185" s="198" t="str">
        <f>IF('Design Fee'!CV187&gt;0,"✔","-")</f>
        <v>-</v>
      </c>
      <c r="BA185" s="198" t="str">
        <f>IF('Design Fee'!CW187&gt;0,"✔","-")</f>
        <v>-</v>
      </c>
      <c r="BB185" s="220" t="str">
        <f>IF('Design Fee'!CX187&gt;0,"✔","-")</f>
        <v>-</v>
      </c>
      <c r="BC185" s="199"/>
      <c r="BD185" s="175" t="str">
        <f>IF('Design Fee'!CZ187&gt;0,"✔","-")</f>
        <v>-</v>
      </c>
      <c r="BE185" s="198" t="str">
        <f>IF('Design Fee'!DA187&gt;0,"✔","-")</f>
        <v>-</v>
      </c>
      <c r="BF185" s="198" t="str">
        <f>IF('Design Fee'!DB187&gt;0,"✔","-")</f>
        <v>-</v>
      </c>
      <c r="BG185" s="198" t="str">
        <f>IF('Design Fee'!DC187&gt;0,"✔","-")</f>
        <v>-</v>
      </c>
      <c r="BH185" s="198" t="str">
        <f>IF('Design Fee'!DD187&gt;0,"✔","-")</f>
        <v>-</v>
      </c>
      <c r="BI185" s="199"/>
      <c r="BJ185" s="203"/>
      <c r="BK185" s="196"/>
      <c r="BL185" s="197" t="str">
        <f>IF('Design Fee'!EA187&gt;0,"✔","-")</f>
        <v>-</v>
      </c>
      <c r="BM185" s="197" t="str">
        <f>IF('Design Fee'!EB187&gt;0,"✔","-")</f>
        <v>-</v>
      </c>
      <c r="BN185" s="175" t="str">
        <f>IF('Design Fee'!EC187&gt;0,"✔","-")</f>
        <v>-</v>
      </c>
      <c r="BO185" s="175" t="str">
        <f>IF('Design Fee'!ED187&gt;0,"✔","-")</f>
        <v>-</v>
      </c>
      <c r="BP185" s="198" t="str">
        <f>IF('Design Fee'!EE187&gt;0,"✔","-")</f>
        <v>-</v>
      </c>
      <c r="BQ185" s="198" t="str">
        <f>IF('Design Fee'!EF187&gt;0,"✔","-")</f>
        <v>-</v>
      </c>
      <c r="BR185" s="198" t="str">
        <f>IF('Design Fee'!EG187&gt;0,"✔","-")</f>
        <v>-</v>
      </c>
      <c r="BS185" s="220" t="str">
        <f>IF('Design Fee'!EH187&gt;0,"✔","-")</f>
        <v>-</v>
      </c>
      <c r="BT185" s="137"/>
      <c r="BU185" s="175" t="str">
        <f>IF('Design Fee'!EJ187&gt;0,"✔","-")</f>
        <v>-</v>
      </c>
      <c r="BV185" s="198" t="str">
        <f>IF('Design Fee'!EK187&gt;0,"✔","-")</f>
        <v>-</v>
      </c>
      <c r="BW185" s="198" t="str">
        <f>IF('Design Fee'!EL187&gt;0,"✔","-")</f>
        <v>-</v>
      </c>
      <c r="BX185" s="198" t="str">
        <f>IF('Design Fee'!EM187&gt;0,"✔","-")</f>
        <v>-</v>
      </c>
      <c r="BY185" s="198" t="str">
        <f>IF('Design Fee'!EN187&gt;0,"✔","-")</f>
        <v>-</v>
      </c>
      <c r="BZ185" s="137"/>
    </row>
    <row r="186" spans="2:78" ht="12.75" outlineLevel="3">
      <c r="B186" s="217" t="s">
        <v>159</v>
      </c>
      <c r="C186" s="218">
        <v>2</v>
      </c>
      <c r="D186" s="219" t="s">
        <v>154</v>
      </c>
      <c r="E186" s="137"/>
      <c r="F186" s="197">
        <f t="shared" si="553"/>
        <v>1</v>
      </c>
      <c r="G186" s="198">
        <f t="shared" si="553"/>
        <v>1</v>
      </c>
      <c r="H186" s="198">
        <f t="shared" si="553"/>
        <v>1</v>
      </c>
      <c r="I186" s="198">
        <f t="shared" si="554"/>
        <v>0</v>
      </c>
      <c r="J186" s="221"/>
      <c r="K186" s="203"/>
      <c r="L186" s="196"/>
      <c r="M186" s="197" t="str">
        <f>IF('Design Fee'!W188&gt;0,"✔","-")</f>
        <v>-</v>
      </c>
      <c r="N186" s="197" t="str">
        <f>IF('Design Fee'!X188&gt;0,"✔","-")</f>
        <v>-</v>
      </c>
      <c r="O186" s="198" t="str">
        <f>IF('Design Fee'!Y188&gt;0,"✔","-")</f>
        <v>-</v>
      </c>
      <c r="P186" s="198" t="str">
        <f>IF('Design Fee'!Z188&gt;0,"✔","-")</f>
        <v>-</v>
      </c>
      <c r="Q186" s="198" t="str">
        <f>IF('Design Fee'!AA188&gt;0,"✔","-")</f>
        <v>-</v>
      </c>
      <c r="R186" s="198" t="str">
        <f>IF('Design Fee'!AB188&gt;0,"✔","-")</f>
        <v>-</v>
      </c>
      <c r="S186" s="198" t="str">
        <f>IF('Design Fee'!AC188&gt;0,"✔","-")</f>
        <v>-</v>
      </c>
      <c r="T186" s="220" t="str">
        <f>IF('Design Fee'!AD188&gt;0,"✔","-")</f>
        <v>-</v>
      </c>
      <c r="U186" s="221"/>
      <c r="V186" s="198" t="str">
        <f>IF('Design Fee'!AF188&gt;0,"✔","-")</f>
        <v>-</v>
      </c>
      <c r="W186" s="198" t="str">
        <f>IF('Design Fee'!AG188&gt;0,"✔","-")</f>
        <v>-</v>
      </c>
      <c r="X186" s="198" t="str">
        <f>IF('Design Fee'!AH188&gt;0,"✔","-")</f>
        <v>-</v>
      </c>
      <c r="Y186" s="198" t="str">
        <f>IF('Design Fee'!AI188&gt;0,"✔","-")</f>
        <v>-</v>
      </c>
      <c r="Z186" s="198" t="str">
        <f>IF('Design Fee'!AJ188&gt;0,"✔","-")</f>
        <v>-</v>
      </c>
      <c r="AA186" s="221"/>
      <c r="AB186" s="203"/>
      <c r="AC186" s="196"/>
      <c r="AD186" s="197" t="str">
        <f>IF('Design Fee'!BG188&gt;0,"✔","-")</f>
        <v>✔</v>
      </c>
      <c r="AE186" s="197" t="str">
        <f>IF('Design Fee'!BH188&gt;0,"✔","-")</f>
        <v>✔</v>
      </c>
      <c r="AF186" s="198" t="str">
        <f>IF('Design Fee'!BI188&gt;0,"✔","-")</f>
        <v>✔</v>
      </c>
      <c r="AG186" s="198" t="str">
        <f>IF('Design Fee'!BJ188&gt;0,"✔","-")</f>
        <v>-</v>
      </c>
      <c r="AH186" s="198" t="str">
        <f>IF('Design Fee'!BK188&gt;0,"✔","-")</f>
        <v>-</v>
      </c>
      <c r="AI186" s="198" t="str">
        <f>IF('Design Fee'!BL188&gt;0,"✔","-")</f>
        <v>-</v>
      </c>
      <c r="AJ186" s="198" t="str">
        <f>IF('Design Fee'!BM188&gt;0,"✔","-")</f>
        <v>-</v>
      </c>
      <c r="AK186" s="220" t="str">
        <f>IF('Design Fee'!BN188&gt;0,"✔","-")</f>
        <v>-</v>
      </c>
      <c r="AL186" s="199"/>
      <c r="AM186" s="198" t="str">
        <f>IF('Design Fee'!BP188&gt;0,"✔","-")</f>
        <v>-</v>
      </c>
      <c r="AN186" s="198" t="str">
        <f>IF('Design Fee'!BQ188&gt;0,"✔","-")</f>
        <v>-</v>
      </c>
      <c r="AO186" s="198" t="str">
        <f>IF('Design Fee'!BR188&gt;0,"✔","-")</f>
        <v>-</v>
      </c>
      <c r="AP186" s="198" t="str">
        <f>IF('Design Fee'!BS188&gt;0,"✔","-")</f>
        <v>-</v>
      </c>
      <c r="AQ186" s="198" t="str">
        <f>IF('Design Fee'!BT188&gt;0,"✔","-")</f>
        <v>-</v>
      </c>
      <c r="AR186" s="199"/>
      <c r="AS186" s="203"/>
      <c r="AT186" s="196"/>
      <c r="AU186" s="197" t="str">
        <f>IF('Design Fee'!CQ188&gt;0,"✔","-")</f>
        <v>-</v>
      </c>
      <c r="AV186" s="197" t="str">
        <f>IF('Design Fee'!CR188&gt;0,"✔","-")</f>
        <v>-</v>
      </c>
      <c r="AW186" s="198" t="str">
        <f>IF('Design Fee'!CS188&gt;0,"✔","-")</f>
        <v>-</v>
      </c>
      <c r="AX186" s="198" t="str">
        <f>IF('Design Fee'!CT188&gt;0,"✔","-")</f>
        <v>-</v>
      </c>
      <c r="AY186" s="198" t="str">
        <f>IF('Design Fee'!CU188&gt;0,"✔","-")</f>
        <v>-</v>
      </c>
      <c r="AZ186" s="198" t="str">
        <f>IF('Design Fee'!CV188&gt;0,"✔","-")</f>
        <v>-</v>
      </c>
      <c r="BA186" s="198" t="str">
        <f>IF('Design Fee'!CW188&gt;0,"✔","-")</f>
        <v>-</v>
      </c>
      <c r="BB186" s="220" t="str">
        <f>IF('Design Fee'!CX188&gt;0,"✔","-")</f>
        <v>-</v>
      </c>
      <c r="BC186" s="199"/>
      <c r="BD186" s="198" t="str">
        <f>IF('Design Fee'!CZ188&gt;0,"✔","-")</f>
        <v>-</v>
      </c>
      <c r="BE186" s="198" t="str">
        <f>IF('Design Fee'!DA188&gt;0,"✔","-")</f>
        <v>-</v>
      </c>
      <c r="BF186" s="198" t="str">
        <f>IF('Design Fee'!DB188&gt;0,"✔","-")</f>
        <v>-</v>
      </c>
      <c r="BG186" s="198" t="str">
        <f>IF('Design Fee'!DC188&gt;0,"✔","-")</f>
        <v>-</v>
      </c>
      <c r="BH186" s="198" t="str">
        <f>IF('Design Fee'!DD188&gt;0,"✔","-")</f>
        <v>-</v>
      </c>
      <c r="BI186" s="199"/>
      <c r="BJ186" s="203"/>
      <c r="BK186" s="196"/>
      <c r="BL186" s="197" t="str">
        <f>IF('Design Fee'!EA188&gt;0,"✔","-")</f>
        <v>-</v>
      </c>
      <c r="BM186" s="197" t="str">
        <f>IF('Design Fee'!EB188&gt;0,"✔","-")</f>
        <v>-</v>
      </c>
      <c r="BN186" s="198" t="str">
        <f>IF('Design Fee'!EC188&gt;0,"✔","-")</f>
        <v>-</v>
      </c>
      <c r="BO186" s="198" t="str">
        <f>IF('Design Fee'!ED188&gt;0,"✔","-")</f>
        <v>-</v>
      </c>
      <c r="BP186" s="198" t="str">
        <f>IF('Design Fee'!EE188&gt;0,"✔","-")</f>
        <v>-</v>
      </c>
      <c r="BQ186" s="198" t="str">
        <f>IF('Design Fee'!EF188&gt;0,"✔","-")</f>
        <v>-</v>
      </c>
      <c r="BR186" s="198" t="str">
        <f>IF('Design Fee'!EG188&gt;0,"✔","-")</f>
        <v>-</v>
      </c>
      <c r="BS186" s="220" t="str">
        <f>IF('Design Fee'!EH188&gt;0,"✔","-")</f>
        <v>-</v>
      </c>
      <c r="BT186" s="137"/>
      <c r="BU186" s="198" t="str">
        <f>IF('Design Fee'!EJ188&gt;0,"✔","-")</f>
        <v>-</v>
      </c>
      <c r="BV186" s="198" t="str">
        <f>IF('Design Fee'!EK188&gt;0,"✔","-")</f>
        <v>-</v>
      </c>
      <c r="BW186" s="198" t="str">
        <f>IF('Design Fee'!EL188&gt;0,"✔","-")</f>
        <v>-</v>
      </c>
      <c r="BX186" s="198" t="str">
        <f>IF('Design Fee'!EM188&gt;0,"✔","-")</f>
        <v>-</v>
      </c>
      <c r="BY186" s="198" t="str">
        <f>IF('Design Fee'!EN188&gt;0,"✔","-")</f>
        <v>-</v>
      </c>
      <c r="BZ186" s="137"/>
    </row>
    <row r="187" spans="2:78" ht="12.75" outlineLevel="2">
      <c r="B187" s="237"/>
      <c r="C187" s="238"/>
      <c r="D187" s="219"/>
      <c r="E187" s="137"/>
      <c r="F187" s="197"/>
      <c r="G187" s="198"/>
      <c r="H187" s="198"/>
      <c r="I187" s="198"/>
      <c r="J187" s="184"/>
      <c r="K187" s="195"/>
      <c r="L187" s="196"/>
      <c r="M187" s="197" t="str">
        <f>IF('Design Fee'!W189&gt;0,"✔","-")</f>
        <v>-</v>
      </c>
      <c r="N187" s="197" t="str">
        <f>IF('Design Fee'!X189&gt;0,"✔","-")</f>
        <v>-</v>
      </c>
      <c r="O187" s="198" t="str">
        <f>IF('Design Fee'!Y189&gt;0,"✔","-")</f>
        <v>-</v>
      </c>
      <c r="P187" s="198" t="str">
        <f>IF('Design Fee'!Z189&gt;0,"✔","-")</f>
        <v>-</v>
      </c>
      <c r="Q187" s="198" t="str">
        <f>IF('Design Fee'!AA189&gt;0,"✔","-")</f>
        <v>-</v>
      </c>
      <c r="R187" s="198" t="str">
        <f>IF('Design Fee'!AB189&gt;0,"✔","-")</f>
        <v>-</v>
      </c>
      <c r="S187" s="198" t="str">
        <f>IF('Design Fee'!AC189&gt;0,"✔","-")</f>
        <v>-</v>
      </c>
      <c r="T187" s="220" t="str">
        <f>IF('Design Fee'!AD189&gt;0,"✔","-")</f>
        <v>-</v>
      </c>
      <c r="U187" s="184"/>
      <c r="V187" s="198" t="str">
        <f>IF('Design Fee'!AF189&gt;0,"✔","-")</f>
        <v>-</v>
      </c>
      <c r="W187" s="198" t="str">
        <f>IF('Design Fee'!AG189&gt;0,"✔","-")</f>
        <v>-</v>
      </c>
      <c r="X187" s="198" t="str">
        <f>IF('Design Fee'!AH189&gt;0,"✔","-")</f>
        <v>-</v>
      </c>
      <c r="Y187" s="198" t="str">
        <f>IF('Design Fee'!AI189&gt;0,"✔","-")</f>
        <v>-</v>
      </c>
      <c r="Z187" s="198" t="str">
        <f>IF('Design Fee'!AJ189&gt;0,"✔","-")</f>
        <v>-</v>
      </c>
      <c r="AA187" s="184"/>
      <c r="AB187" s="195"/>
      <c r="AC187" s="196"/>
      <c r="AD187" s="197" t="str">
        <f>IF('Design Fee'!BG189&gt;0,"✔","-")</f>
        <v>-</v>
      </c>
      <c r="AE187" s="197" t="str">
        <f>IF('Design Fee'!BH189&gt;0,"✔","-")</f>
        <v>-</v>
      </c>
      <c r="AF187" s="198" t="str">
        <f>IF('Design Fee'!BI189&gt;0,"✔","-")</f>
        <v>-</v>
      </c>
      <c r="AG187" s="198" t="str">
        <f>IF('Design Fee'!BJ189&gt;0,"✔","-")</f>
        <v>-</v>
      </c>
      <c r="AH187" s="198" t="str">
        <f>IF('Design Fee'!BK189&gt;0,"✔","-")</f>
        <v>-</v>
      </c>
      <c r="AI187" s="198" t="str">
        <f>IF('Design Fee'!BL189&gt;0,"✔","-")</f>
        <v>-</v>
      </c>
      <c r="AJ187" s="198" t="str">
        <f>IF('Design Fee'!BM189&gt;0,"✔","-")</f>
        <v>-</v>
      </c>
      <c r="AK187" s="220" t="str">
        <f>IF('Design Fee'!BN189&gt;0,"✔","-")</f>
        <v>-</v>
      </c>
      <c r="AL187" s="199"/>
      <c r="AM187" s="198" t="str">
        <f>IF('Design Fee'!BP189&gt;0,"✔","-")</f>
        <v>-</v>
      </c>
      <c r="AN187" s="198" t="str">
        <f>IF('Design Fee'!BQ189&gt;0,"✔","-")</f>
        <v>-</v>
      </c>
      <c r="AO187" s="198" t="str">
        <f>IF('Design Fee'!BR189&gt;0,"✔","-")</f>
        <v>-</v>
      </c>
      <c r="AP187" s="198" t="str">
        <f>IF('Design Fee'!BS189&gt;0,"✔","-")</f>
        <v>-</v>
      </c>
      <c r="AQ187" s="198" t="str">
        <f>IF('Design Fee'!BT189&gt;0,"✔","-")</f>
        <v>-</v>
      </c>
      <c r="AR187" s="199"/>
      <c r="AS187" s="195"/>
      <c r="AT187" s="196"/>
      <c r="AU187" s="197" t="str">
        <f>IF('Design Fee'!CQ189&gt;0,"✔","-")</f>
        <v>-</v>
      </c>
      <c r="AV187" s="197" t="str">
        <f>IF('Design Fee'!CR189&gt;0,"✔","-")</f>
        <v>-</v>
      </c>
      <c r="AW187" s="198" t="str">
        <f>IF('Design Fee'!CS189&gt;0,"✔","-")</f>
        <v>-</v>
      </c>
      <c r="AX187" s="198" t="str">
        <f>IF('Design Fee'!CT189&gt;0,"✔","-")</f>
        <v>-</v>
      </c>
      <c r="AY187" s="198" t="str">
        <f>IF('Design Fee'!CU189&gt;0,"✔","-")</f>
        <v>-</v>
      </c>
      <c r="AZ187" s="198" t="str">
        <f>IF('Design Fee'!CV189&gt;0,"✔","-")</f>
        <v>-</v>
      </c>
      <c r="BA187" s="198" t="str">
        <f>IF('Design Fee'!CW189&gt;0,"✔","-")</f>
        <v>-</v>
      </c>
      <c r="BB187" s="220" t="str">
        <f>IF('Design Fee'!CX189&gt;0,"✔","-")</f>
        <v>-</v>
      </c>
      <c r="BC187" s="199"/>
      <c r="BD187" s="198" t="str">
        <f>IF('Design Fee'!CZ189&gt;0,"✔","-")</f>
        <v>-</v>
      </c>
      <c r="BE187" s="198" t="str">
        <f>IF('Design Fee'!DA189&gt;0,"✔","-")</f>
        <v>-</v>
      </c>
      <c r="BF187" s="198" t="str">
        <f>IF('Design Fee'!DB189&gt;0,"✔","-")</f>
        <v>-</v>
      </c>
      <c r="BG187" s="198" t="str">
        <f>IF('Design Fee'!DC189&gt;0,"✔","-")</f>
        <v>-</v>
      </c>
      <c r="BH187" s="198" t="str">
        <f>IF('Design Fee'!DD189&gt;0,"✔","-")</f>
        <v>-</v>
      </c>
      <c r="BI187" s="199"/>
      <c r="BJ187" s="195"/>
      <c r="BK187" s="196"/>
      <c r="BL187" s="197" t="str">
        <f>IF('Design Fee'!EA189&gt;0,"✔","-")</f>
        <v>-</v>
      </c>
      <c r="BM187" s="197" t="str">
        <f>IF('Design Fee'!EB189&gt;0,"✔","-")</f>
        <v>-</v>
      </c>
      <c r="BN187" s="198" t="str">
        <f>IF('Design Fee'!EC189&gt;0,"✔","-")</f>
        <v>-</v>
      </c>
      <c r="BO187" s="198" t="str">
        <f>IF('Design Fee'!ED189&gt;0,"✔","-")</f>
        <v>-</v>
      </c>
      <c r="BP187" s="198" t="str">
        <f>IF('Design Fee'!EE189&gt;0,"✔","-")</f>
        <v>-</v>
      </c>
      <c r="BQ187" s="198" t="str">
        <f>IF('Design Fee'!EF189&gt;0,"✔","-")</f>
        <v>-</v>
      </c>
      <c r="BR187" s="198" t="str">
        <f>IF('Design Fee'!EG189&gt;0,"✔","-")</f>
        <v>-</v>
      </c>
      <c r="BS187" s="220" t="str">
        <f>IF('Design Fee'!EH189&gt;0,"✔","-")</f>
        <v>-</v>
      </c>
      <c r="BT187" s="137"/>
      <c r="BU187" s="198" t="str">
        <f>IF('Design Fee'!EJ189&gt;0,"✔","-")</f>
        <v>-</v>
      </c>
      <c r="BV187" s="198" t="str">
        <f>IF('Design Fee'!EK189&gt;0,"✔","-")</f>
        <v>-</v>
      </c>
      <c r="BW187" s="198" t="str">
        <f>IF('Design Fee'!EL189&gt;0,"✔","-")</f>
        <v>-</v>
      </c>
      <c r="BX187" s="198" t="str">
        <f>IF('Design Fee'!EM189&gt;0,"✔","-")</f>
        <v>-</v>
      </c>
      <c r="BY187" s="198" t="str">
        <f>IF('Design Fee'!EN189&gt;0,"✔","-")</f>
        <v>-</v>
      </c>
      <c r="BZ187" s="137"/>
    </row>
    <row r="188" spans="2:78" ht="12.75" outlineLevel="2">
      <c r="B188" s="231">
        <v>2.1</v>
      </c>
      <c r="C188" s="232">
        <v>2.11</v>
      </c>
      <c r="D188" s="239" t="s">
        <v>173</v>
      </c>
      <c r="E188" s="137"/>
      <c r="F188" s="162"/>
      <c r="G188" s="236"/>
      <c r="H188" s="236"/>
      <c r="I188" s="236"/>
      <c r="J188" s="221"/>
      <c r="K188" s="233"/>
      <c r="L188" s="233"/>
      <c r="M188" s="197" t="str">
        <f>IF('Design Fee'!W190&gt;0,"✔","-")</f>
        <v>-</v>
      </c>
      <c r="N188" s="197" t="str">
        <f>IF('Design Fee'!X190&gt;0,"✔","-")</f>
        <v>-</v>
      </c>
      <c r="O188" s="236" t="str">
        <f>IF('Design Fee'!Y190&gt;0,"✔","-")</f>
        <v>-</v>
      </c>
      <c r="P188" s="236" t="str">
        <f>IF('Design Fee'!Z190&gt;0,"✔","-")</f>
        <v>-</v>
      </c>
      <c r="Q188" s="198" t="str">
        <f>IF('Design Fee'!AA190&gt;0,"✔","-")</f>
        <v>-</v>
      </c>
      <c r="R188" s="198" t="str">
        <f>IF('Design Fee'!AB190&gt;0,"✔","-")</f>
        <v>-</v>
      </c>
      <c r="S188" s="198" t="str">
        <f>IF('Design Fee'!AC190&gt;0,"✔","-")</f>
        <v>-</v>
      </c>
      <c r="T188" s="220" t="str">
        <f>IF('Design Fee'!AD190&gt;0,"✔","-")</f>
        <v>-</v>
      </c>
      <c r="U188" s="221"/>
      <c r="V188" s="236" t="str">
        <f>IF('Design Fee'!AF190&gt;0,"✔","-")</f>
        <v>-</v>
      </c>
      <c r="W188" s="198" t="str">
        <f>IF('Design Fee'!AG190&gt;0,"✔","-")</f>
        <v>-</v>
      </c>
      <c r="X188" s="198" t="str">
        <f>IF('Design Fee'!AH190&gt;0,"✔","-")</f>
        <v>-</v>
      </c>
      <c r="Y188" s="198" t="str">
        <f>IF('Design Fee'!AI190&gt;0,"✔","-")</f>
        <v>-</v>
      </c>
      <c r="Z188" s="198" t="str">
        <f>IF('Design Fee'!AJ190&gt;0,"✔","-")</f>
        <v>-</v>
      </c>
      <c r="AA188" s="221"/>
      <c r="AB188" s="233"/>
      <c r="AC188" s="233"/>
      <c r="AD188" s="197"/>
      <c r="AE188" s="197"/>
      <c r="AF188" s="236"/>
      <c r="AG188" s="236"/>
      <c r="AH188" s="198" t="str">
        <f>IF('Design Fee'!BK190&gt;0,"✔","-")</f>
        <v>-</v>
      </c>
      <c r="AI188" s="198" t="str">
        <f>IF('Design Fee'!BL190&gt;0,"✔","-")</f>
        <v>-</v>
      </c>
      <c r="AJ188" s="198" t="str">
        <f>IF('Design Fee'!BM190&gt;0,"✔","-")</f>
        <v>-</v>
      </c>
      <c r="AK188" s="220" t="str">
        <f>IF('Design Fee'!BN190&gt;0,"✔","-")</f>
        <v>-</v>
      </c>
      <c r="AL188" s="233"/>
      <c r="AM188" s="236"/>
      <c r="AN188" s="198"/>
      <c r="AO188" s="198" t="str">
        <f>IF('Design Fee'!BR190&gt;0,"✔","-")</f>
        <v>-</v>
      </c>
      <c r="AP188" s="198" t="str">
        <f>IF('Design Fee'!BS190&gt;0,"✔","-")</f>
        <v>-</v>
      </c>
      <c r="AQ188" s="198" t="str">
        <f>IF('Design Fee'!BT190&gt;0,"✔","-")</f>
        <v>-</v>
      </c>
      <c r="AR188" s="233"/>
      <c r="AS188" s="233"/>
      <c r="AT188" s="233"/>
      <c r="AU188" s="197" t="str">
        <f>IF('Design Fee'!CQ190&gt;0,"✔","-")</f>
        <v>-</v>
      </c>
      <c r="AV188" s="197" t="str">
        <f>IF('Design Fee'!CR190&gt;0,"✔","-")</f>
        <v>-</v>
      </c>
      <c r="AW188" s="236" t="str">
        <f>IF('Design Fee'!CS190&gt;0,"✔","-")</f>
        <v>-</v>
      </c>
      <c r="AX188" s="236" t="str">
        <f>IF('Design Fee'!CT190&gt;0,"✔","-")</f>
        <v>-</v>
      </c>
      <c r="AY188" s="198" t="str">
        <f>IF('Design Fee'!CU190&gt;0,"✔","-")</f>
        <v>-</v>
      </c>
      <c r="AZ188" s="198" t="str">
        <f>IF('Design Fee'!CV190&gt;0,"✔","-")</f>
        <v>-</v>
      </c>
      <c r="BA188" s="198" t="str">
        <f>IF('Design Fee'!CW190&gt;0,"✔","-")</f>
        <v>-</v>
      </c>
      <c r="BB188" s="220" t="str">
        <f>IF('Design Fee'!CX190&gt;0,"✔","-")</f>
        <v>-</v>
      </c>
      <c r="BC188" s="233"/>
      <c r="BD188" s="236" t="str">
        <f>IF('Design Fee'!CZ190&gt;0,"✔","-")</f>
        <v>-</v>
      </c>
      <c r="BE188" s="198" t="str">
        <f>IF('Design Fee'!DA190&gt;0,"✔","-")</f>
        <v>-</v>
      </c>
      <c r="BF188" s="198" t="str">
        <f>IF('Design Fee'!DB190&gt;0,"✔","-")</f>
        <v>-</v>
      </c>
      <c r="BG188" s="198" t="str">
        <f>IF('Design Fee'!DC190&gt;0,"✔","-")</f>
        <v>-</v>
      </c>
      <c r="BH188" s="198" t="str">
        <f>IF('Design Fee'!DD190&gt;0,"✔","-")</f>
        <v>-</v>
      </c>
      <c r="BI188" s="233"/>
      <c r="BJ188" s="233"/>
      <c r="BK188" s="233"/>
      <c r="BL188" s="197" t="str">
        <f>IF('Design Fee'!EA190&gt;0,"✔","-")</f>
        <v>-</v>
      </c>
      <c r="BM188" s="197" t="str">
        <f>IF('Design Fee'!EB190&gt;0,"✔","-")</f>
        <v>-</v>
      </c>
      <c r="BN188" s="236" t="str">
        <f>IF('Design Fee'!EC190&gt;0,"✔","-")</f>
        <v>-</v>
      </c>
      <c r="BO188" s="236" t="str">
        <f>IF('Design Fee'!ED190&gt;0,"✔","-")</f>
        <v>-</v>
      </c>
      <c r="BP188" s="198" t="str">
        <f>IF('Design Fee'!EE190&gt;0,"✔","-")</f>
        <v>-</v>
      </c>
      <c r="BQ188" s="198" t="str">
        <f>IF('Design Fee'!EF190&gt;0,"✔","-")</f>
        <v>-</v>
      </c>
      <c r="BR188" s="198" t="str">
        <f>IF('Design Fee'!EG190&gt;0,"✔","-")</f>
        <v>-</v>
      </c>
      <c r="BS188" s="220" t="str">
        <f>IF('Design Fee'!EH190&gt;0,"✔","-")</f>
        <v>-</v>
      </c>
      <c r="BT188" s="137"/>
      <c r="BU188" s="236" t="str">
        <f>IF('Design Fee'!EJ190&gt;0,"✔","-")</f>
        <v>-</v>
      </c>
      <c r="BV188" s="198" t="str">
        <f>IF('Design Fee'!EK190&gt;0,"✔","-")</f>
        <v>-</v>
      </c>
      <c r="BW188" s="198" t="str">
        <f>IF('Design Fee'!EL190&gt;0,"✔","-")</f>
        <v>-</v>
      </c>
      <c r="BX188" s="198" t="str">
        <f>IF('Design Fee'!EM190&gt;0,"✔","-")</f>
        <v>-</v>
      </c>
      <c r="BY188" s="198" t="str">
        <f>IF('Design Fee'!EN190&gt;0,"✔","-")</f>
        <v>-</v>
      </c>
      <c r="BZ188" s="137"/>
    </row>
    <row r="189" spans="2:78" ht="12.75" outlineLevel="3">
      <c r="B189" s="217" t="s">
        <v>158</v>
      </c>
      <c r="C189" s="218">
        <v>1</v>
      </c>
      <c r="D189" s="219" t="s">
        <v>152</v>
      </c>
      <c r="E189" s="137"/>
      <c r="F189" s="197">
        <f t="shared" ref="F189:H190" si="555">COUNTIF(M189,"✔")+COUNTIF(AD189,"✔")+COUNTIF(BL189,"✔")+COUNTIF(AU189,"✔")</f>
        <v>1</v>
      </c>
      <c r="G189" s="198">
        <f t="shared" si="555"/>
        <v>1</v>
      </c>
      <c r="H189" s="198">
        <f t="shared" si="555"/>
        <v>1</v>
      </c>
      <c r="I189" s="198">
        <f t="shared" ref="I189:I190" si="556">F189-G189</f>
        <v>0</v>
      </c>
      <c r="J189" s="221"/>
      <c r="K189" s="203"/>
      <c r="L189" s="196"/>
      <c r="M189" s="197" t="str">
        <f>IF('Design Fee'!W191&gt;0,"✔","-")</f>
        <v>-</v>
      </c>
      <c r="N189" s="197" t="str">
        <f>IF('Design Fee'!X191&gt;0,"✔","-")</f>
        <v>-</v>
      </c>
      <c r="O189" s="175" t="str">
        <f>IF('Design Fee'!Y191&gt;0,"✔","-")</f>
        <v>-</v>
      </c>
      <c r="P189" s="175" t="str">
        <f>IF('Design Fee'!Z191&gt;0,"✔","-")</f>
        <v>-</v>
      </c>
      <c r="Q189" s="198" t="str">
        <f>IF('Design Fee'!AA191&gt;0,"✔","-")</f>
        <v>-</v>
      </c>
      <c r="R189" s="198" t="str">
        <f>IF('Design Fee'!AB191&gt;0,"✔","-")</f>
        <v>-</v>
      </c>
      <c r="S189" s="198" t="str">
        <f>IF('Design Fee'!AC191&gt;0,"✔","-")</f>
        <v>-</v>
      </c>
      <c r="T189" s="220" t="str">
        <f>IF('Design Fee'!AD191&gt;0,"✔","-")</f>
        <v>-</v>
      </c>
      <c r="U189" s="221"/>
      <c r="V189" s="175" t="str">
        <f>IF('Design Fee'!AF191&gt;0,"✔","-")</f>
        <v>-</v>
      </c>
      <c r="W189" s="198" t="str">
        <f>IF('Design Fee'!AG191&gt;0,"✔","-")</f>
        <v>-</v>
      </c>
      <c r="X189" s="198" t="str">
        <f>IF('Design Fee'!AH191&gt;0,"✔","-")</f>
        <v>-</v>
      </c>
      <c r="Y189" s="198" t="str">
        <f>IF('Design Fee'!AI191&gt;0,"✔","-")</f>
        <v>-</v>
      </c>
      <c r="Z189" s="198" t="str">
        <f>IF('Design Fee'!AJ191&gt;0,"✔","-")</f>
        <v>-</v>
      </c>
      <c r="AA189" s="221"/>
      <c r="AB189" s="203"/>
      <c r="AC189" s="196"/>
      <c r="AD189" s="197" t="str">
        <f>IF('Design Fee'!BG191&gt;0,"✔","-")</f>
        <v>✔</v>
      </c>
      <c r="AE189" s="197" t="str">
        <f>IF('Design Fee'!BH191&gt;0,"✔","-")</f>
        <v>✔</v>
      </c>
      <c r="AF189" s="175" t="str">
        <f>IF('Design Fee'!BI191&gt;0,"✔","-")</f>
        <v>✔</v>
      </c>
      <c r="AG189" s="175" t="str">
        <f>IF('Design Fee'!BJ191&gt;0,"✔","-")</f>
        <v>-</v>
      </c>
      <c r="AH189" s="198" t="str">
        <f>IF('Design Fee'!BK191&gt;0,"✔","-")</f>
        <v>-</v>
      </c>
      <c r="AI189" s="198" t="str">
        <f>IF('Design Fee'!BL191&gt;0,"✔","-")</f>
        <v>-</v>
      </c>
      <c r="AJ189" s="198" t="str">
        <f>IF('Design Fee'!BM191&gt;0,"✔","-")</f>
        <v>-</v>
      </c>
      <c r="AK189" s="220" t="str">
        <f>IF('Design Fee'!BN191&gt;0,"✔","-")</f>
        <v>-</v>
      </c>
      <c r="AL189" s="199"/>
      <c r="AM189" s="175" t="str">
        <f>IF('Design Fee'!BP191&gt;0,"✔","-")</f>
        <v>-</v>
      </c>
      <c r="AN189" s="198" t="str">
        <f>IF('Design Fee'!BQ191&gt;0,"✔","-")</f>
        <v>-</v>
      </c>
      <c r="AO189" s="198" t="str">
        <f>IF('Design Fee'!BR191&gt;0,"✔","-")</f>
        <v>-</v>
      </c>
      <c r="AP189" s="198" t="str">
        <f>IF('Design Fee'!BS191&gt;0,"✔","-")</f>
        <v>-</v>
      </c>
      <c r="AQ189" s="198" t="str">
        <f>IF('Design Fee'!BT191&gt;0,"✔","-")</f>
        <v>-</v>
      </c>
      <c r="AR189" s="199"/>
      <c r="AS189" s="203"/>
      <c r="AT189" s="196"/>
      <c r="AU189" s="197" t="str">
        <f>IF('Design Fee'!CQ191&gt;0,"✔","-")</f>
        <v>-</v>
      </c>
      <c r="AV189" s="197" t="str">
        <f>IF('Design Fee'!CR191&gt;0,"✔","-")</f>
        <v>-</v>
      </c>
      <c r="AW189" s="175" t="str">
        <f>IF('Design Fee'!CS191&gt;0,"✔","-")</f>
        <v>-</v>
      </c>
      <c r="AX189" s="175" t="str">
        <f>IF('Design Fee'!CT191&gt;0,"✔","-")</f>
        <v>-</v>
      </c>
      <c r="AY189" s="198" t="str">
        <f>IF('Design Fee'!CU191&gt;0,"✔","-")</f>
        <v>-</v>
      </c>
      <c r="AZ189" s="198" t="str">
        <f>IF('Design Fee'!CV191&gt;0,"✔","-")</f>
        <v>-</v>
      </c>
      <c r="BA189" s="198" t="str">
        <f>IF('Design Fee'!CW191&gt;0,"✔","-")</f>
        <v>-</v>
      </c>
      <c r="BB189" s="220" t="str">
        <f>IF('Design Fee'!CX191&gt;0,"✔","-")</f>
        <v>-</v>
      </c>
      <c r="BC189" s="199"/>
      <c r="BD189" s="175" t="str">
        <f>IF('Design Fee'!CZ191&gt;0,"✔","-")</f>
        <v>-</v>
      </c>
      <c r="BE189" s="198" t="str">
        <f>IF('Design Fee'!DA191&gt;0,"✔","-")</f>
        <v>-</v>
      </c>
      <c r="BF189" s="198" t="str">
        <f>IF('Design Fee'!DB191&gt;0,"✔","-")</f>
        <v>-</v>
      </c>
      <c r="BG189" s="198" t="str">
        <f>IF('Design Fee'!DC191&gt;0,"✔","-")</f>
        <v>-</v>
      </c>
      <c r="BH189" s="198" t="str">
        <f>IF('Design Fee'!DD191&gt;0,"✔","-")</f>
        <v>-</v>
      </c>
      <c r="BI189" s="199"/>
      <c r="BJ189" s="203"/>
      <c r="BK189" s="196"/>
      <c r="BL189" s="197" t="str">
        <f>IF('Design Fee'!EA191&gt;0,"✔","-")</f>
        <v>-</v>
      </c>
      <c r="BM189" s="197" t="str">
        <f>IF('Design Fee'!EB191&gt;0,"✔","-")</f>
        <v>-</v>
      </c>
      <c r="BN189" s="175" t="str">
        <f>IF('Design Fee'!EC191&gt;0,"✔","-")</f>
        <v>-</v>
      </c>
      <c r="BO189" s="175" t="str">
        <f>IF('Design Fee'!ED191&gt;0,"✔","-")</f>
        <v>-</v>
      </c>
      <c r="BP189" s="198" t="str">
        <f>IF('Design Fee'!EE191&gt;0,"✔","-")</f>
        <v>-</v>
      </c>
      <c r="BQ189" s="198" t="str">
        <f>IF('Design Fee'!EF191&gt;0,"✔","-")</f>
        <v>-</v>
      </c>
      <c r="BR189" s="198" t="str">
        <f>IF('Design Fee'!EG191&gt;0,"✔","-")</f>
        <v>-</v>
      </c>
      <c r="BS189" s="220" t="str">
        <f>IF('Design Fee'!EH191&gt;0,"✔","-")</f>
        <v>-</v>
      </c>
      <c r="BT189" s="137"/>
      <c r="BU189" s="175" t="str">
        <f>IF('Design Fee'!EJ191&gt;0,"✔","-")</f>
        <v>-</v>
      </c>
      <c r="BV189" s="198" t="str">
        <f>IF('Design Fee'!EK191&gt;0,"✔","-")</f>
        <v>-</v>
      </c>
      <c r="BW189" s="198" t="str">
        <f>IF('Design Fee'!EL191&gt;0,"✔","-")</f>
        <v>-</v>
      </c>
      <c r="BX189" s="198" t="str">
        <f>IF('Design Fee'!EM191&gt;0,"✔","-")</f>
        <v>-</v>
      </c>
      <c r="BY189" s="198" t="str">
        <f>IF('Design Fee'!EN191&gt;0,"✔","-")</f>
        <v>-</v>
      </c>
      <c r="BZ189" s="137"/>
    </row>
    <row r="190" spans="2:78" ht="12.75" outlineLevel="3">
      <c r="B190" s="217" t="s">
        <v>159</v>
      </c>
      <c r="C190" s="218">
        <v>2</v>
      </c>
      <c r="D190" s="219" t="s">
        <v>154</v>
      </c>
      <c r="E190" s="137"/>
      <c r="F190" s="197">
        <f t="shared" si="555"/>
        <v>1</v>
      </c>
      <c r="G190" s="198">
        <f t="shared" si="555"/>
        <v>1</v>
      </c>
      <c r="H190" s="198">
        <f t="shared" si="555"/>
        <v>1</v>
      </c>
      <c r="I190" s="198">
        <f t="shared" si="556"/>
        <v>0</v>
      </c>
      <c r="J190" s="221"/>
      <c r="K190" s="203"/>
      <c r="L190" s="196"/>
      <c r="M190" s="197" t="str">
        <f>IF('Design Fee'!W192&gt;0,"✔","-")</f>
        <v>-</v>
      </c>
      <c r="N190" s="197" t="str">
        <f>IF('Design Fee'!X192&gt;0,"✔","-")</f>
        <v>-</v>
      </c>
      <c r="O190" s="198" t="str">
        <f>IF('Design Fee'!Y192&gt;0,"✔","-")</f>
        <v>-</v>
      </c>
      <c r="P190" s="198" t="str">
        <f>IF('Design Fee'!Z192&gt;0,"✔","-")</f>
        <v>-</v>
      </c>
      <c r="Q190" s="198" t="str">
        <f>IF('Design Fee'!AA192&gt;0,"✔","-")</f>
        <v>-</v>
      </c>
      <c r="R190" s="198" t="str">
        <f>IF('Design Fee'!AB192&gt;0,"✔","-")</f>
        <v>-</v>
      </c>
      <c r="S190" s="198" t="str">
        <f>IF('Design Fee'!AC192&gt;0,"✔","-")</f>
        <v>-</v>
      </c>
      <c r="T190" s="220" t="str">
        <f>IF('Design Fee'!AD192&gt;0,"✔","-")</f>
        <v>-</v>
      </c>
      <c r="U190" s="221"/>
      <c r="V190" s="198" t="str">
        <f>IF('Design Fee'!AF192&gt;0,"✔","-")</f>
        <v>-</v>
      </c>
      <c r="W190" s="198" t="str">
        <f>IF('Design Fee'!AG192&gt;0,"✔","-")</f>
        <v>-</v>
      </c>
      <c r="X190" s="198" t="str">
        <f>IF('Design Fee'!AH192&gt;0,"✔","-")</f>
        <v>-</v>
      </c>
      <c r="Y190" s="198" t="str">
        <f>IF('Design Fee'!AI192&gt;0,"✔","-")</f>
        <v>-</v>
      </c>
      <c r="Z190" s="198" t="str">
        <f>IF('Design Fee'!AJ192&gt;0,"✔","-")</f>
        <v>-</v>
      </c>
      <c r="AA190" s="221"/>
      <c r="AB190" s="203"/>
      <c r="AC190" s="196"/>
      <c r="AD190" s="197" t="str">
        <f>IF('Design Fee'!BG192&gt;0,"✔","-")</f>
        <v>✔</v>
      </c>
      <c r="AE190" s="197" t="str">
        <f>IF('Design Fee'!BH192&gt;0,"✔","-")</f>
        <v>✔</v>
      </c>
      <c r="AF190" s="198" t="str">
        <f>IF('Design Fee'!BI192&gt;0,"✔","-")</f>
        <v>✔</v>
      </c>
      <c r="AG190" s="198" t="str">
        <f>IF('Design Fee'!BJ192&gt;0,"✔","-")</f>
        <v>-</v>
      </c>
      <c r="AH190" s="198" t="str">
        <f>IF('Design Fee'!BK192&gt;0,"✔","-")</f>
        <v>-</v>
      </c>
      <c r="AI190" s="198" t="str">
        <f>IF('Design Fee'!BL192&gt;0,"✔","-")</f>
        <v>-</v>
      </c>
      <c r="AJ190" s="198" t="str">
        <f>IF('Design Fee'!BM192&gt;0,"✔","-")</f>
        <v>-</v>
      </c>
      <c r="AK190" s="220" t="str">
        <f>IF('Design Fee'!BN192&gt;0,"✔","-")</f>
        <v>-</v>
      </c>
      <c r="AL190" s="199"/>
      <c r="AM190" s="198" t="str">
        <f>IF('Design Fee'!BP192&gt;0,"✔","-")</f>
        <v>-</v>
      </c>
      <c r="AN190" s="198" t="str">
        <f>IF('Design Fee'!BQ192&gt;0,"✔","-")</f>
        <v>-</v>
      </c>
      <c r="AO190" s="198" t="str">
        <f>IF('Design Fee'!BR192&gt;0,"✔","-")</f>
        <v>-</v>
      </c>
      <c r="AP190" s="198" t="str">
        <f>IF('Design Fee'!BS192&gt;0,"✔","-")</f>
        <v>-</v>
      </c>
      <c r="AQ190" s="198" t="str">
        <f>IF('Design Fee'!BT192&gt;0,"✔","-")</f>
        <v>-</v>
      </c>
      <c r="AR190" s="199"/>
      <c r="AS190" s="203"/>
      <c r="AT190" s="196"/>
      <c r="AU190" s="197" t="str">
        <f>IF('Design Fee'!CQ192&gt;0,"✔","-")</f>
        <v>-</v>
      </c>
      <c r="AV190" s="197" t="str">
        <f>IF('Design Fee'!CR192&gt;0,"✔","-")</f>
        <v>-</v>
      </c>
      <c r="AW190" s="198" t="str">
        <f>IF('Design Fee'!CS192&gt;0,"✔","-")</f>
        <v>-</v>
      </c>
      <c r="AX190" s="198" t="str">
        <f>IF('Design Fee'!CT192&gt;0,"✔","-")</f>
        <v>-</v>
      </c>
      <c r="AY190" s="198" t="str">
        <f>IF('Design Fee'!CU192&gt;0,"✔","-")</f>
        <v>-</v>
      </c>
      <c r="AZ190" s="198" t="str">
        <f>IF('Design Fee'!CV192&gt;0,"✔","-")</f>
        <v>-</v>
      </c>
      <c r="BA190" s="198" t="str">
        <f>IF('Design Fee'!CW192&gt;0,"✔","-")</f>
        <v>-</v>
      </c>
      <c r="BB190" s="220" t="str">
        <f>IF('Design Fee'!CX192&gt;0,"✔","-")</f>
        <v>-</v>
      </c>
      <c r="BC190" s="199"/>
      <c r="BD190" s="198" t="str">
        <f>IF('Design Fee'!CZ192&gt;0,"✔","-")</f>
        <v>-</v>
      </c>
      <c r="BE190" s="198" t="str">
        <f>IF('Design Fee'!DA192&gt;0,"✔","-")</f>
        <v>-</v>
      </c>
      <c r="BF190" s="198" t="str">
        <f>IF('Design Fee'!DB192&gt;0,"✔","-")</f>
        <v>-</v>
      </c>
      <c r="BG190" s="198" t="str">
        <f>IF('Design Fee'!DC192&gt;0,"✔","-")</f>
        <v>-</v>
      </c>
      <c r="BH190" s="198" t="str">
        <f>IF('Design Fee'!DD192&gt;0,"✔","-")</f>
        <v>-</v>
      </c>
      <c r="BI190" s="199"/>
      <c r="BJ190" s="203"/>
      <c r="BK190" s="196"/>
      <c r="BL190" s="197" t="str">
        <f>IF('Design Fee'!EA192&gt;0,"✔","-")</f>
        <v>-</v>
      </c>
      <c r="BM190" s="197" t="str">
        <f>IF('Design Fee'!EB192&gt;0,"✔","-")</f>
        <v>-</v>
      </c>
      <c r="BN190" s="198" t="str">
        <f>IF('Design Fee'!EC192&gt;0,"✔","-")</f>
        <v>-</v>
      </c>
      <c r="BO190" s="198" t="str">
        <f>IF('Design Fee'!ED192&gt;0,"✔","-")</f>
        <v>-</v>
      </c>
      <c r="BP190" s="198" t="str">
        <f>IF('Design Fee'!EE192&gt;0,"✔","-")</f>
        <v>-</v>
      </c>
      <c r="BQ190" s="198" t="str">
        <f>IF('Design Fee'!EF192&gt;0,"✔","-")</f>
        <v>-</v>
      </c>
      <c r="BR190" s="198" t="str">
        <f>IF('Design Fee'!EG192&gt;0,"✔","-")</f>
        <v>-</v>
      </c>
      <c r="BS190" s="220" t="str">
        <f>IF('Design Fee'!EH192&gt;0,"✔","-")</f>
        <v>-</v>
      </c>
      <c r="BT190" s="137"/>
      <c r="BU190" s="198" t="str">
        <f>IF('Design Fee'!EJ192&gt;0,"✔","-")</f>
        <v>-</v>
      </c>
      <c r="BV190" s="198" t="str">
        <f>IF('Design Fee'!EK192&gt;0,"✔","-")</f>
        <v>-</v>
      </c>
      <c r="BW190" s="198" t="str">
        <f>IF('Design Fee'!EL192&gt;0,"✔","-")</f>
        <v>-</v>
      </c>
      <c r="BX190" s="198" t="str">
        <f>IF('Design Fee'!EM192&gt;0,"✔","-")</f>
        <v>-</v>
      </c>
      <c r="BY190" s="198" t="str">
        <f>IF('Design Fee'!EN192&gt;0,"✔","-")</f>
        <v>-</v>
      </c>
      <c r="BZ190" s="137"/>
    </row>
    <row r="191" spans="2:78" ht="12.75" outlineLevel="2">
      <c r="B191" s="237"/>
      <c r="C191" s="238"/>
      <c r="D191" s="219"/>
      <c r="E191" s="137"/>
      <c r="F191" s="197"/>
      <c r="G191" s="198"/>
      <c r="H191" s="198"/>
      <c r="I191" s="198"/>
      <c r="J191" s="184"/>
      <c r="K191" s="195"/>
      <c r="L191" s="196"/>
      <c r="M191" s="197" t="str">
        <f>IF('Design Fee'!W193&gt;0,"✔","-")</f>
        <v>-</v>
      </c>
      <c r="N191" s="197" t="str">
        <f>IF('Design Fee'!X193&gt;0,"✔","-")</f>
        <v>-</v>
      </c>
      <c r="O191" s="198" t="str">
        <f>IF('Design Fee'!Y193&gt;0,"✔","-")</f>
        <v>-</v>
      </c>
      <c r="P191" s="198" t="str">
        <f>IF('Design Fee'!Z193&gt;0,"✔","-")</f>
        <v>-</v>
      </c>
      <c r="Q191" s="198" t="str">
        <f>IF('Design Fee'!AA193&gt;0,"✔","-")</f>
        <v>-</v>
      </c>
      <c r="R191" s="198" t="str">
        <f>IF('Design Fee'!AB193&gt;0,"✔","-")</f>
        <v>-</v>
      </c>
      <c r="S191" s="198" t="str">
        <f>IF('Design Fee'!AC193&gt;0,"✔","-")</f>
        <v>-</v>
      </c>
      <c r="T191" s="220" t="str">
        <f>IF('Design Fee'!AD193&gt;0,"✔","-")</f>
        <v>-</v>
      </c>
      <c r="U191" s="184"/>
      <c r="V191" s="198" t="str">
        <f>IF('Design Fee'!AF193&gt;0,"✔","-")</f>
        <v>-</v>
      </c>
      <c r="W191" s="198" t="str">
        <f>IF('Design Fee'!AG193&gt;0,"✔","-")</f>
        <v>-</v>
      </c>
      <c r="X191" s="198" t="str">
        <f>IF('Design Fee'!AH193&gt;0,"✔","-")</f>
        <v>-</v>
      </c>
      <c r="Y191" s="198" t="str">
        <f>IF('Design Fee'!AI193&gt;0,"✔","-")</f>
        <v>-</v>
      </c>
      <c r="Z191" s="198" t="str">
        <f>IF('Design Fee'!AJ193&gt;0,"✔","-")</f>
        <v>-</v>
      </c>
      <c r="AA191" s="184"/>
      <c r="AB191" s="195"/>
      <c r="AC191" s="196"/>
      <c r="AD191" s="197" t="str">
        <f>IF('Design Fee'!BG193&gt;0,"✔","-")</f>
        <v>-</v>
      </c>
      <c r="AE191" s="197" t="str">
        <f>IF('Design Fee'!BH193&gt;0,"✔","-")</f>
        <v>-</v>
      </c>
      <c r="AF191" s="198" t="str">
        <f>IF('Design Fee'!BI193&gt;0,"✔","-")</f>
        <v>-</v>
      </c>
      <c r="AG191" s="198" t="str">
        <f>IF('Design Fee'!BJ193&gt;0,"✔","-")</f>
        <v>-</v>
      </c>
      <c r="AH191" s="198" t="str">
        <f>IF('Design Fee'!BK193&gt;0,"✔","-")</f>
        <v>-</v>
      </c>
      <c r="AI191" s="198" t="str">
        <f>IF('Design Fee'!BL193&gt;0,"✔","-")</f>
        <v>-</v>
      </c>
      <c r="AJ191" s="198" t="str">
        <f>IF('Design Fee'!BM193&gt;0,"✔","-")</f>
        <v>-</v>
      </c>
      <c r="AK191" s="220" t="str">
        <f>IF('Design Fee'!BN193&gt;0,"✔","-")</f>
        <v>-</v>
      </c>
      <c r="AL191" s="199"/>
      <c r="AM191" s="198" t="str">
        <f>IF('Design Fee'!BP193&gt;0,"✔","-")</f>
        <v>-</v>
      </c>
      <c r="AN191" s="198" t="str">
        <f>IF('Design Fee'!BQ193&gt;0,"✔","-")</f>
        <v>-</v>
      </c>
      <c r="AO191" s="198" t="str">
        <f>IF('Design Fee'!BR193&gt;0,"✔","-")</f>
        <v>-</v>
      </c>
      <c r="AP191" s="198" t="str">
        <f>IF('Design Fee'!BS193&gt;0,"✔","-")</f>
        <v>-</v>
      </c>
      <c r="AQ191" s="198" t="str">
        <f>IF('Design Fee'!BT193&gt;0,"✔","-")</f>
        <v>-</v>
      </c>
      <c r="AR191" s="199"/>
      <c r="AS191" s="195"/>
      <c r="AT191" s="196"/>
      <c r="AU191" s="197" t="str">
        <f>IF('Design Fee'!CQ193&gt;0,"✔","-")</f>
        <v>-</v>
      </c>
      <c r="AV191" s="197" t="str">
        <f>IF('Design Fee'!CR193&gt;0,"✔","-")</f>
        <v>-</v>
      </c>
      <c r="AW191" s="198" t="str">
        <f>IF('Design Fee'!CS193&gt;0,"✔","-")</f>
        <v>-</v>
      </c>
      <c r="AX191" s="198" t="str">
        <f>IF('Design Fee'!CT193&gt;0,"✔","-")</f>
        <v>-</v>
      </c>
      <c r="AY191" s="198" t="str">
        <f>IF('Design Fee'!CU193&gt;0,"✔","-")</f>
        <v>-</v>
      </c>
      <c r="AZ191" s="198" t="str">
        <f>IF('Design Fee'!CV193&gt;0,"✔","-")</f>
        <v>-</v>
      </c>
      <c r="BA191" s="198" t="str">
        <f>IF('Design Fee'!CW193&gt;0,"✔","-")</f>
        <v>-</v>
      </c>
      <c r="BB191" s="220" t="str">
        <f>IF('Design Fee'!CX193&gt;0,"✔","-")</f>
        <v>-</v>
      </c>
      <c r="BC191" s="199"/>
      <c r="BD191" s="198" t="str">
        <f>IF('Design Fee'!CZ193&gt;0,"✔","-")</f>
        <v>-</v>
      </c>
      <c r="BE191" s="198" t="str">
        <f>IF('Design Fee'!DA193&gt;0,"✔","-")</f>
        <v>-</v>
      </c>
      <c r="BF191" s="198" t="str">
        <f>IF('Design Fee'!DB193&gt;0,"✔","-")</f>
        <v>-</v>
      </c>
      <c r="BG191" s="198" t="str">
        <f>IF('Design Fee'!DC193&gt;0,"✔","-")</f>
        <v>-</v>
      </c>
      <c r="BH191" s="198" t="str">
        <f>IF('Design Fee'!DD193&gt;0,"✔","-")</f>
        <v>-</v>
      </c>
      <c r="BI191" s="199"/>
      <c r="BJ191" s="195"/>
      <c r="BK191" s="196"/>
      <c r="BL191" s="197" t="str">
        <f>IF('Design Fee'!EA193&gt;0,"✔","-")</f>
        <v>-</v>
      </c>
      <c r="BM191" s="197" t="str">
        <f>IF('Design Fee'!EB193&gt;0,"✔","-")</f>
        <v>-</v>
      </c>
      <c r="BN191" s="198" t="str">
        <f>IF('Design Fee'!EC193&gt;0,"✔","-")</f>
        <v>-</v>
      </c>
      <c r="BO191" s="198" t="str">
        <f>IF('Design Fee'!ED193&gt;0,"✔","-")</f>
        <v>-</v>
      </c>
      <c r="BP191" s="198" t="str">
        <f>IF('Design Fee'!EE193&gt;0,"✔","-")</f>
        <v>-</v>
      </c>
      <c r="BQ191" s="198" t="str">
        <f>IF('Design Fee'!EF193&gt;0,"✔","-")</f>
        <v>-</v>
      </c>
      <c r="BR191" s="198" t="str">
        <f>IF('Design Fee'!EG193&gt;0,"✔","-")</f>
        <v>-</v>
      </c>
      <c r="BS191" s="220" t="str">
        <f>IF('Design Fee'!EH193&gt;0,"✔","-")</f>
        <v>-</v>
      </c>
      <c r="BT191" s="137"/>
      <c r="BU191" s="198" t="str">
        <f>IF('Design Fee'!EJ193&gt;0,"✔","-")</f>
        <v>-</v>
      </c>
      <c r="BV191" s="198" t="str">
        <f>IF('Design Fee'!EK193&gt;0,"✔","-")</f>
        <v>-</v>
      </c>
      <c r="BW191" s="198" t="str">
        <f>IF('Design Fee'!EL193&gt;0,"✔","-")</f>
        <v>-</v>
      </c>
      <c r="BX191" s="198" t="str">
        <f>IF('Design Fee'!EM193&gt;0,"✔","-")</f>
        <v>-</v>
      </c>
      <c r="BY191" s="198" t="str">
        <f>IF('Design Fee'!EN193&gt;0,"✔","-")</f>
        <v>-</v>
      </c>
      <c r="BZ191" s="137"/>
    </row>
    <row r="192" spans="2:78" ht="12.75" outlineLevel="2">
      <c r="B192" s="231">
        <v>2.1</v>
      </c>
      <c r="C192" s="232">
        <v>2.11</v>
      </c>
      <c r="D192" s="239" t="s">
        <v>174</v>
      </c>
      <c r="E192" s="137"/>
      <c r="F192" s="162"/>
      <c r="G192" s="236"/>
      <c r="H192" s="236"/>
      <c r="I192" s="236"/>
      <c r="J192" s="221"/>
      <c r="K192" s="233"/>
      <c r="L192" s="233"/>
      <c r="M192" s="197" t="str">
        <f>IF('Design Fee'!W194&gt;0,"✔","-")</f>
        <v>-</v>
      </c>
      <c r="N192" s="197" t="str">
        <f>IF('Design Fee'!X194&gt;0,"✔","-")</f>
        <v>-</v>
      </c>
      <c r="O192" s="236" t="str">
        <f>IF('Design Fee'!Y194&gt;0,"✔","-")</f>
        <v>-</v>
      </c>
      <c r="P192" s="236" t="str">
        <f>IF('Design Fee'!Z194&gt;0,"✔","-")</f>
        <v>-</v>
      </c>
      <c r="Q192" s="198" t="str">
        <f>IF('Design Fee'!AA194&gt;0,"✔","-")</f>
        <v>-</v>
      </c>
      <c r="R192" s="198" t="str">
        <f>IF('Design Fee'!AB194&gt;0,"✔","-")</f>
        <v>-</v>
      </c>
      <c r="S192" s="198" t="str">
        <f>IF('Design Fee'!AC194&gt;0,"✔","-")</f>
        <v>-</v>
      </c>
      <c r="T192" s="220" t="str">
        <f>IF('Design Fee'!AD194&gt;0,"✔","-")</f>
        <v>-</v>
      </c>
      <c r="U192" s="221"/>
      <c r="V192" s="236" t="str">
        <f>IF('Design Fee'!AF194&gt;0,"✔","-")</f>
        <v>-</v>
      </c>
      <c r="W192" s="198" t="str">
        <f>IF('Design Fee'!AG194&gt;0,"✔","-")</f>
        <v>-</v>
      </c>
      <c r="X192" s="198" t="str">
        <f>IF('Design Fee'!AH194&gt;0,"✔","-")</f>
        <v>-</v>
      </c>
      <c r="Y192" s="198" t="str">
        <f>IF('Design Fee'!AI194&gt;0,"✔","-")</f>
        <v>-</v>
      </c>
      <c r="Z192" s="198" t="str">
        <f>IF('Design Fee'!AJ194&gt;0,"✔","-")</f>
        <v>-</v>
      </c>
      <c r="AA192" s="221"/>
      <c r="AB192" s="233"/>
      <c r="AC192" s="233"/>
      <c r="AD192" s="197"/>
      <c r="AE192" s="197"/>
      <c r="AF192" s="236"/>
      <c r="AG192" s="236"/>
      <c r="AH192" s="198"/>
      <c r="AI192" s="198"/>
      <c r="AJ192" s="198"/>
      <c r="AK192" s="220"/>
      <c r="AL192" s="233"/>
      <c r="AM192" s="236"/>
      <c r="AN192" s="198"/>
      <c r="AO192" s="198" t="str">
        <f>IF('Design Fee'!BR194&gt;0,"✔","-")</f>
        <v>-</v>
      </c>
      <c r="AP192" s="198" t="str">
        <f>IF('Design Fee'!BS194&gt;0,"✔","-")</f>
        <v>-</v>
      </c>
      <c r="AQ192" s="198" t="str">
        <f>IF('Design Fee'!BT194&gt;0,"✔","-")</f>
        <v>-</v>
      </c>
      <c r="AR192" s="233"/>
      <c r="AS192" s="233"/>
      <c r="AT192" s="233"/>
      <c r="AU192" s="197" t="str">
        <f>IF('Design Fee'!CQ194&gt;0,"✔","-")</f>
        <v>-</v>
      </c>
      <c r="AV192" s="197" t="str">
        <f>IF('Design Fee'!CR194&gt;0,"✔","-")</f>
        <v>-</v>
      </c>
      <c r="AW192" s="236" t="str">
        <f>IF('Design Fee'!CS194&gt;0,"✔","-")</f>
        <v>-</v>
      </c>
      <c r="AX192" s="236" t="str">
        <f>IF('Design Fee'!CT194&gt;0,"✔","-")</f>
        <v>-</v>
      </c>
      <c r="AY192" s="198" t="str">
        <f>IF('Design Fee'!CU194&gt;0,"✔","-")</f>
        <v>-</v>
      </c>
      <c r="AZ192" s="198" t="str">
        <f>IF('Design Fee'!CV194&gt;0,"✔","-")</f>
        <v>-</v>
      </c>
      <c r="BA192" s="198" t="str">
        <f>IF('Design Fee'!CW194&gt;0,"✔","-")</f>
        <v>-</v>
      </c>
      <c r="BB192" s="220" t="str">
        <f>IF('Design Fee'!CX194&gt;0,"✔","-")</f>
        <v>-</v>
      </c>
      <c r="BC192" s="233"/>
      <c r="BD192" s="236" t="str">
        <f>IF('Design Fee'!CZ194&gt;0,"✔","-")</f>
        <v>-</v>
      </c>
      <c r="BE192" s="198" t="str">
        <f>IF('Design Fee'!DA194&gt;0,"✔","-")</f>
        <v>-</v>
      </c>
      <c r="BF192" s="198" t="str">
        <f>IF('Design Fee'!DB194&gt;0,"✔","-")</f>
        <v>-</v>
      </c>
      <c r="BG192" s="198" t="str">
        <f>IF('Design Fee'!DC194&gt;0,"✔","-")</f>
        <v>-</v>
      </c>
      <c r="BH192" s="198" t="str">
        <f>IF('Design Fee'!DD194&gt;0,"✔","-")</f>
        <v>-</v>
      </c>
      <c r="BI192" s="233"/>
      <c r="BJ192" s="233"/>
      <c r="BK192" s="233"/>
      <c r="BL192" s="197" t="str">
        <f>IF('Design Fee'!EA194&gt;0,"✔","-")</f>
        <v>-</v>
      </c>
      <c r="BM192" s="197" t="str">
        <f>IF('Design Fee'!EB194&gt;0,"✔","-")</f>
        <v>-</v>
      </c>
      <c r="BN192" s="236" t="str">
        <f>IF('Design Fee'!EC194&gt;0,"✔","-")</f>
        <v>-</v>
      </c>
      <c r="BO192" s="236" t="str">
        <f>IF('Design Fee'!ED194&gt;0,"✔","-")</f>
        <v>-</v>
      </c>
      <c r="BP192" s="198" t="str">
        <f>IF('Design Fee'!EE194&gt;0,"✔","-")</f>
        <v>-</v>
      </c>
      <c r="BQ192" s="198" t="str">
        <f>IF('Design Fee'!EF194&gt;0,"✔","-")</f>
        <v>-</v>
      </c>
      <c r="BR192" s="198" t="str">
        <f>IF('Design Fee'!EG194&gt;0,"✔","-")</f>
        <v>-</v>
      </c>
      <c r="BS192" s="220" t="str">
        <f>IF('Design Fee'!EH194&gt;0,"✔","-")</f>
        <v>-</v>
      </c>
      <c r="BT192" s="137"/>
      <c r="BU192" s="236" t="str">
        <f>IF('Design Fee'!EJ194&gt;0,"✔","-")</f>
        <v>-</v>
      </c>
      <c r="BV192" s="198" t="str">
        <f>IF('Design Fee'!EK194&gt;0,"✔","-")</f>
        <v>-</v>
      </c>
      <c r="BW192" s="198" t="str">
        <f>IF('Design Fee'!EL194&gt;0,"✔","-")</f>
        <v>-</v>
      </c>
      <c r="BX192" s="198" t="str">
        <f>IF('Design Fee'!EM194&gt;0,"✔","-")</f>
        <v>-</v>
      </c>
      <c r="BY192" s="198" t="str">
        <f>IF('Design Fee'!EN194&gt;0,"✔","-")</f>
        <v>-</v>
      </c>
      <c r="BZ192" s="137"/>
    </row>
    <row r="193" spans="2:78" ht="12.75" outlineLevel="3">
      <c r="B193" s="217" t="s">
        <v>158</v>
      </c>
      <c r="C193" s="218">
        <v>1</v>
      </c>
      <c r="D193" s="219" t="s">
        <v>152</v>
      </c>
      <c r="E193" s="137"/>
      <c r="F193" s="197">
        <f t="shared" ref="F193:H194" si="557">COUNTIF(M193,"✔")+COUNTIF(AD193,"✔")+COUNTIF(BL193,"✔")+COUNTIF(AU193,"✔")</f>
        <v>1</v>
      </c>
      <c r="G193" s="198">
        <f t="shared" si="557"/>
        <v>1</v>
      </c>
      <c r="H193" s="198">
        <f t="shared" si="557"/>
        <v>1</v>
      </c>
      <c r="I193" s="198">
        <f t="shared" ref="I193:I194" si="558">F193-G193</f>
        <v>0</v>
      </c>
      <c r="J193" s="221"/>
      <c r="K193" s="203"/>
      <c r="L193" s="196"/>
      <c r="M193" s="197" t="str">
        <f>IF('Design Fee'!W195&gt;0,"✔","-")</f>
        <v>-</v>
      </c>
      <c r="N193" s="197" t="str">
        <f>IF('Design Fee'!X195&gt;0,"✔","-")</f>
        <v>-</v>
      </c>
      <c r="O193" s="175" t="str">
        <f>IF('Design Fee'!Y195&gt;0,"✔","-")</f>
        <v>-</v>
      </c>
      <c r="P193" s="175" t="str">
        <f>IF('Design Fee'!Z195&gt;0,"✔","-")</f>
        <v>-</v>
      </c>
      <c r="Q193" s="198" t="str">
        <f>IF('Design Fee'!AA195&gt;0,"✔","-")</f>
        <v>-</v>
      </c>
      <c r="R193" s="198" t="str">
        <f>IF('Design Fee'!AB195&gt;0,"✔","-")</f>
        <v>-</v>
      </c>
      <c r="S193" s="198" t="str">
        <f>IF('Design Fee'!AC195&gt;0,"✔","-")</f>
        <v>-</v>
      </c>
      <c r="T193" s="220" t="str">
        <f>IF('Design Fee'!AD195&gt;0,"✔","-")</f>
        <v>-</v>
      </c>
      <c r="U193" s="221"/>
      <c r="V193" s="175" t="str">
        <f>IF('Design Fee'!AF195&gt;0,"✔","-")</f>
        <v>-</v>
      </c>
      <c r="W193" s="198" t="str">
        <f>IF('Design Fee'!AG195&gt;0,"✔","-")</f>
        <v>-</v>
      </c>
      <c r="X193" s="198" t="str">
        <f>IF('Design Fee'!AH195&gt;0,"✔","-")</f>
        <v>-</v>
      </c>
      <c r="Y193" s="198" t="str">
        <f>IF('Design Fee'!AI195&gt;0,"✔","-")</f>
        <v>-</v>
      </c>
      <c r="Z193" s="198" t="str">
        <f>IF('Design Fee'!AJ195&gt;0,"✔","-")</f>
        <v>-</v>
      </c>
      <c r="AA193" s="221"/>
      <c r="AB193" s="203"/>
      <c r="AC193" s="196"/>
      <c r="AD193" s="197" t="str">
        <f>IF('Design Fee'!BG195&gt;0,"✔","-")</f>
        <v>✔</v>
      </c>
      <c r="AE193" s="197" t="str">
        <f>IF('Design Fee'!BH195&gt;0,"✔","-")</f>
        <v>✔</v>
      </c>
      <c r="AF193" s="175" t="str">
        <f>IF('Design Fee'!BI195&gt;0,"✔","-")</f>
        <v>✔</v>
      </c>
      <c r="AG193" s="175" t="str">
        <f>IF('Design Fee'!BJ195&gt;0,"✔","-")</f>
        <v>-</v>
      </c>
      <c r="AH193" s="198" t="str">
        <f>IF('Design Fee'!BK195&gt;0,"✔","-")</f>
        <v>-</v>
      </c>
      <c r="AI193" s="198" t="str">
        <f>IF('Design Fee'!BL195&gt;0,"✔","-")</f>
        <v>-</v>
      </c>
      <c r="AJ193" s="198" t="str">
        <f>IF('Design Fee'!BM195&gt;0,"✔","-")</f>
        <v>-</v>
      </c>
      <c r="AK193" s="220" t="str">
        <f>IF('Design Fee'!BN195&gt;0,"✔","-")</f>
        <v>-</v>
      </c>
      <c r="AL193" s="199"/>
      <c r="AM193" s="175" t="str">
        <f>IF('Design Fee'!BP195&gt;0,"✔","-")</f>
        <v>-</v>
      </c>
      <c r="AN193" s="198" t="str">
        <f>IF('Design Fee'!BQ195&gt;0,"✔","-")</f>
        <v>-</v>
      </c>
      <c r="AO193" s="198" t="str">
        <f>IF('Design Fee'!BR195&gt;0,"✔","-")</f>
        <v>-</v>
      </c>
      <c r="AP193" s="198" t="str">
        <f>IF('Design Fee'!BS195&gt;0,"✔","-")</f>
        <v>-</v>
      </c>
      <c r="AQ193" s="198" t="str">
        <f>IF('Design Fee'!BT195&gt;0,"✔","-")</f>
        <v>-</v>
      </c>
      <c r="AR193" s="199"/>
      <c r="AS193" s="203"/>
      <c r="AT193" s="196"/>
      <c r="AU193" s="197" t="str">
        <f>IF('Design Fee'!CQ195&gt;0,"✔","-")</f>
        <v>-</v>
      </c>
      <c r="AV193" s="197" t="str">
        <f>IF('Design Fee'!CR195&gt;0,"✔","-")</f>
        <v>-</v>
      </c>
      <c r="AW193" s="175" t="str">
        <f>IF('Design Fee'!CS195&gt;0,"✔","-")</f>
        <v>-</v>
      </c>
      <c r="AX193" s="175" t="str">
        <f>IF('Design Fee'!CT195&gt;0,"✔","-")</f>
        <v>-</v>
      </c>
      <c r="AY193" s="198" t="str">
        <f>IF('Design Fee'!CU195&gt;0,"✔","-")</f>
        <v>-</v>
      </c>
      <c r="AZ193" s="198" t="str">
        <f>IF('Design Fee'!CV195&gt;0,"✔","-")</f>
        <v>-</v>
      </c>
      <c r="BA193" s="198" t="str">
        <f>IF('Design Fee'!CW195&gt;0,"✔","-")</f>
        <v>-</v>
      </c>
      <c r="BB193" s="220" t="str">
        <f>IF('Design Fee'!CX195&gt;0,"✔","-")</f>
        <v>-</v>
      </c>
      <c r="BC193" s="199"/>
      <c r="BD193" s="175" t="str">
        <f>IF('Design Fee'!CZ195&gt;0,"✔","-")</f>
        <v>-</v>
      </c>
      <c r="BE193" s="198" t="str">
        <f>IF('Design Fee'!DA195&gt;0,"✔","-")</f>
        <v>-</v>
      </c>
      <c r="BF193" s="198" t="str">
        <f>IF('Design Fee'!DB195&gt;0,"✔","-")</f>
        <v>-</v>
      </c>
      <c r="BG193" s="198" t="str">
        <f>IF('Design Fee'!DC195&gt;0,"✔","-")</f>
        <v>-</v>
      </c>
      <c r="BH193" s="198" t="str">
        <f>IF('Design Fee'!DD195&gt;0,"✔","-")</f>
        <v>-</v>
      </c>
      <c r="BI193" s="199"/>
      <c r="BJ193" s="203"/>
      <c r="BK193" s="196"/>
      <c r="BL193" s="197" t="str">
        <f>IF('Design Fee'!EA195&gt;0,"✔","-")</f>
        <v>-</v>
      </c>
      <c r="BM193" s="197" t="str">
        <f>IF('Design Fee'!EB195&gt;0,"✔","-")</f>
        <v>-</v>
      </c>
      <c r="BN193" s="175" t="str">
        <f>IF('Design Fee'!EC195&gt;0,"✔","-")</f>
        <v>-</v>
      </c>
      <c r="BO193" s="175" t="str">
        <f>IF('Design Fee'!ED195&gt;0,"✔","-")</f>
        <v>-</v>
      </c>
      <c r="BP193" s="198" t="str">
        <f>IF('Design Fee'!EE195&gt;0,"✔","-")</f>
        <v>-</v>
      </c>
      <c r="BQ193" s="198" t="str">
        <f>IF('Design Fee'!EF195&gt;0,"✔","-")</f>
        <v>-</v>
      </c>
      <c r="BR193" s="198" t="str">
        <f>IF('Design Fee'!EG195&gt;0,"✔","-")</f>
        <v>-</v>
      </c>
      <c r="BS193" s="220" t="str">
        <f>IF('Design Fee'!EH195&gt;0,"✔","-")</f>
        <v>-</v>
      </c>
      <c r="BT193" s="137"/>
      <c r="BU193" s="175" t="str">
        <f>IF('Design Fee'!EJ195&gt;0,"✔","-")</f>
        <v>-</v>
      </c>
      <c r="BV193" s="198" t="str">
        <f>IF('Design Fee'!EK195&gt;0,"✔","-")</f>
        <v>-</v>
      </c>
      <c r="BW193" s="198" t="str">
        <f>IF('Design Fee'!EL195&gt;0,"✔","-")</f>
        <v>-</v>
      </c>
      <c r="BX193" s="198" t="str">
        <f>IF('Design Fee'!EM195&gt;0,"✔","-")</f>
        <v>-</v>
      </c>
      <c r="BY193" s="198" t="str">
        <f>IF('Design Fee'!EN195&gt;0,"✔","-")</f>
        <v>-</v>
      </c>
      <c r="BZ193" s="137"/>
    </row>
    <row r="194" spans="2:78" ht="12.75" outlineLevel="3">
      <c r="B194" s="217" t="s">
        <v>159</v>
      </c>
      <c r="C194" s="218">
        <v>2</v>
      </c>
      <c r="D194" s="219" t="s">
        <v>154</v>
      </c>
      <c r="E194" s="137"/>
      <c r="F194" s="197">
        <f t="shared" si="557"/>
        <v>1</v>
      </c>
      <c r="G194" s="198">
        <f t="shared" si="557"/>
        <v>1</v>
      </c>
      <c r="H194" s="198">
        <f t="shared" si="557"/>
        <v>1</v>
      </c>
      <c r="I194" s="198">
        <f t="shared" si="558"/>
        <v>0</v>
      </c>
      <c r="J194" s="221"/>
      <c r="K194" s="203"/>
      <c r="L194" s="196"/>
      <c r="M194" s="197" t="str">
        <f>IF('Design Fee'!W196&gt;0,"✔","-")</f>
        <v>-</v>
      </c>
      <c r="N194" s="197" t="str">
        <f>IF('Design Fee'!X196&gt;0,"✔","-")</f>
        <v>-</v>
      </c>
      <c r="O194" s="198" t="str">
        <f>IF('Design Fee'!Y196&gt;0,"✔","-")</f>
        <v>-</v>
      </c>
      <c r="P194" s="198" t="str">
        <f>IF('Design Fee'!Z196&gt;0,"✔","-")</f>
        <v>-</v>
      </c>
      <c r="Q194" s="198" t="str">
        <f>IF('Design Fee'!AA196&gt;0,"✔","-")</f>
        <v>-</v>
      </c>
      <c r="R194" s="198" t="str">
        <f>IF('Design Fee'!AB196&gt;0,"✔","-")</f>
        <v>-</v>
      </c>
      <c r="S194" s="198" t="str">
        <f>IF('Design Fee'!AC196&gt;0,"✔","-")</f>
        <v>-</v>
      </c>
      <c r="T194" s="220" t="str">
        <f>IF('Design Fee'!AD196&gt;0,"✔","-")</f>
        <v>-</v>
      </c>
      <c r="U194" s="221"/>
      <c r="V194" s="198" t="str">
        <f>IF('Design Fee'!AF196&gt;0,"✔","-")</f>
        <v>-</v>
      </c>
      <c r="W194" s="198" t="str">
        <f>IF('Design Fee'!AG196&gt;0,"✔","-")</f>
        <v>-</v>
      </c>
      <c r="X194" s="198" t="str">
        <f>IF('Design Fee'!AH196&gt;0,"✔","-")</f>
        <v>-</v>
      </c>
      <c r="Y194" s="198" t="str">
        <f>IF('Design Fee'!AI196&gt;0,"✔","-")</f>
        <v>-</v>
      </c>
      <c r="Z194" s="198" t="str">
        <f>IF('Design Fee'!AJ196&gt;0,"✔","-")</f>
        <v>-</v>
      </c>
      <c r="AA194" s="221"/>
      <c r="AB194" s="203"/>
      <c r="AC194" s="196"/>
      <c r="AD194" s="197" t="str">
        <f>IF('Design Fee'!BG196&gt;0,"✔","-")</f>
        <v>✔</v>
      </c>
      <c r="AE194" s="197" t="str">
        <f>IF('Design Fee'!BH196&gt;0,"✔","-")</f>
        <v>✔</v>
      </c>
      <c r="AF194" s="198" t="str">
        <f>IF('Design Fee'!BI196&gt;0,"✔","-")</f>
        <v>✔</v>
      </c>
      <c r="AG194" s="198" t="str">
        <f>IF('Design Fee'!BJ196&gt;0,"✔","-")</f>
        <v>-</v>
      </c>
      <c r="AH194" s="198" t="str">
        <f>IF('Design Fee'!BK196&gt;0,"✔","-")</f>
        <v>-</v>
      </c>
      <c r="AI194" s="198" t="str">
        <f>IF('Design Fee'!BL196&gt;0,"✔","-")</f>
        <v>-</v>
      </c>
      <c r="AJ194" s="198" t="str">
        <f>IF('Design Fee'!BM196&gt;0,"✔","-")</f>
        <v>-</v>
      </c>
      <c r="AK194" s="220" t="str">
        <f>IF('Design Fee'!BN196&gt;0,"✔","-")</f>
        <v>-</v>
      </c>
      <c r="AL194" s="199"/>
      <c r="AM194" s="198" t="str">
        <f>IF('Design Fee'!BP196&gt;0,"✔","-")</f>
        <v>-</v>
      </c>
      <c r="AN194" s="198" t="str">
        <f>IF('Design Fee'!BQ196&gt;0,"✔","-")</f>
        <v>-</v>
      </c>
      <c r="AO194" s="198" t="str">
        <f>IF('Design Fee'!BR196&gt;0,"✔","-")</f>
        <v>-</v>
      </c>
      <c r="AP194" s="198" t="str">
        <f>IF('Design Fee'!BS196&gt;0,"✔","-")</f>
        <v>-</v>
      </c>
      <c r="AQ194" s="198" t="str">
        <f>IF('Design Fee'!BT196&gt;0,"✔","-")</f>
        <v>-</v>
      </c>
      <c r="AR194" s="199"/>
      <c r="AS194" s="203"/>
      <c r="AT194" s="196"/>
      <c r="AU194" s="197" t="str">
        <f>IF('Design Fee'!CQ196&gt;0,"✔","-")</f>
        <v>-</v>
      </c>
      <c r="AV194" s="197" t="str">
        <f>IF('Design Fee'!CR196&gt;0,"✔","-")</f>
        <v>-</v>
      </c>
      <c r="AW194" s="198" t="str">
        <f>IF('Design Fee'!CS196&gt;0,"✔","-")</f>
        <v>-</v>
      </c>
      <c r="AX194" s="198" t="str">
        <f>IF('Design Fee'!CT196&gt;0,"✔","-")</f>
        <v>-</v>
      </c>
      <c r="AY194" s="198" t="str">
        <f>IF('Design Fee'!CU196&gt;0,"✔","-")</f>
        <v>-</v>
      </c>
      <c r="AZ194" s="198" t="str">
        <f>IF('Design Fee'!CV196&gt;0,"✔","-")</f>
        <v>-</v>
      </c>
      <c r="BA194" s="198" t="str">
        <f>IF('Design Fee'!CW196&gt;0,"✔","-")</f>
        <v>-</v>
      </c>
      <c r="BB194" s="220" t="str">
        <f>IF('Design Fee'!CX196&gt;0,"✔","-")</f>
        <v>-</v>
      </c>
      <c r="BC194" s="199"/>
      <c r="BD194" s="198" t="str">
        <f>IF('Design Fee'!CZ196&gt;0,"✔","-")</f>
        <v>-</v>
      </c>
      <c r="BE194" s="198" t="str">
        <f>IF('Design Fee'!DA196&gt;0,"✔","-")</f>
        <v>-</v>
      </c>
      <c r="BF194" s="198" t="str">
        <f>IF('Design Fee'!DB196&gt;0,"✔","-")</f>
        <v>-</v>
      </c>
      <c r="BG194" s="198" t="str">
        <f>IF('Design Fee'!DC196&gt;0,"✔","-")</f>
        <v>-</v>
      </c>
      <c r="BH194" s="198" t="str">
        <f>IF('Design Fee'!DD196&gt;0,"✔","-")</f>
        <v>-</v>
      </c>
      <c r="BI194" s="199"/>
      <c r="BJ194" s="203"/>
      <c r="BK194" s="196"/>
      <c r="BL194" s="197" t="str">
        <f>IF('Design Fee'!EA196&gt;0,"✔","-")</f>
        <v>-</v>
      </c>
      <c r="BM194" s="197" t="str">
        <f>IF('Design Fee'!EB196&gt;0,"✔","-")</f>
        <v>-</v>
      </c>
      <c r="BN194" s="198" t="str">
        <f>IF('Design Fee'!EC196&gt;0,"✔","-")</f>
        <v>-</v>
      </c>
      <c r="BO194" s="198" t="str">
        <f>IF('Design Fee'!ED196&gt;0,"✔","-")</f>
        <v>-</v>
      </c>
      <c r="BP194" s="198" t="str">
        <f>IF('Design Fee'!EE196&gt;0,"✔","-")</f>
        <v>-</v>
      </c>
      <c r="BQ194" s="198" t="str">
        <f>IF('Design Fee'!EF196&gt;0,"✔","-")</f>
        <v>-</v>
      </c>
      <c r="BR194" s="198" t="str">
        <f>IF('Design Fee'!EG196&gt;0,"✔","-")</f>
        <v>-</v>
      </c>
      <c r="BS194" s="220" t="str">
        <f>IF('Design Fee'!EH196&gt;0,"✔","-")</f>
        <v>-</v>
      </c>
      <c r="BT194" s="137"/>
      <c r="BU194" s="198" t="str">
        <f>IF('Design Fee'!EJ196&gt;0,"✔","-")</f>
        <v>-</v>
      </c>
      <c r="BV194" s="198" t="str">
        <f>IF('Design Fee'!EK196&gt;0,"✔","-")</f>
        <v>-</v>
      </c>
      <c r="BW194" s="198" t="str">
        <f>IF('Design Fee'!EL196&gt;0,"✔","-")</f>
        <v>-</v>
      </c>
      <c r="BX194" s="198" t="str">
        <f>IF('Design Fee'!EM196&gt;0,"✔","-")</f>
        <v>-</v>
      </c>
      <c r="BY194" s="198" t="str">
        <f>IF('Design Fee'!EN196&gt;0,"✔","-")</f>
        <v>-</v>
      </c>
      <c r="BZ194" s="137"/>
    </row>
    <row r="195" spans="2:78" ht="3" customHeight="1" outlineLevel="1">
      <c r="B195" s="217"/>
      <c r="C195" s="218"/>
      <c r="D195" s="219"/>
      <c r="E195" s="137"/>
      <c r="F195" s="162"/>
      <c r="G195" s="175"/>
      <c r="H195" s="175"/>
      <c r="I195" s="175"/>
      <c r="J195" s="221"/>
      <c r="K195" s="203"/>
      <c r="L195" s="196"/>
      <c r="M195" s="197"/>
      <c r="N195" s="197"/>
      <c r="O195" s="198"/>
      <c r="P195" s="198"/>
      <c r="Q195" s="198"/>
      <c r="R195" s="198"/>
      <c r="S195" s="198"/>
      <c r="T195" s="198"/>
      <c r="U195" s="221"/>
      <c r="V195" s="198"/>
      <c r="W195" s="198"/>
      <c r="X195" s="198"/>
      <c r="Y195" s="198"/>
      <c r="Z195" s="198"/>
      <c r="AA195" s="221"/>
      <c r="AB195" s="203"/>
      <c r="AC195" s="196"/>
      <c r="AD195" s="197"/>
      <c r="AE195" s="197"/>
      <c r="AF195" s="175"/>
      <c r="AG195" s="175"/>
      <c r="AH195" s="175"/>
      <c r="AI195" s="175"/>
      <c r="AJ195" s="175"/>
      <c r="AK195" s="175"/>
      <c r="AL195" s="175"/>
      <c r="AM195" s="175"/>
      <c r="AN195" s="175"/>
      <c r="AO195" s="175"/>
      <c r="AP195" s="175"/>
      <c r="AQ195" s="175"/>
      <c r="AR195" s="175"/>
      <c r="AS195" s="203"/>
      <c r="AT195" s="175"/>
      <c r="AU195" s="197"/>
      <c r="AV195" s="197"/>
      <c r="AW195" s="175"/>
      <c r="AX195" s="175"/>
      <c r="AY195" s="175"/>
      <c r="AZ195" s="175"/>
      <c r="BA195" s="175"/>
      <c r="BB195" s="175"/>
      <c r="BC195" s="175"/>
      <c r="BD195" s="175"/>
      <c r="BE195" s="175"/>
      <c r="BF195" s="175"/>
      <c r="BG195" s="175"/>
      <c r="BH195" s="175"/>
      <c r="BI195" s="175"/>
      <c r="BJ195" s="203"/>
      <c r="BK195" s="175"/>
      <c r="BL195" s="197"/>
      <c r="BM195" s="197"/>
      <c r="BN195" s="175"/>
      <c r="BO195" s="175"/>
      <c r="BP195" s="175"/>
      <c r="BQ195" s="175"/>
      <c r="BR195" s="175"/>
      <c r="BS195" s="175"/>
      <c r="BT195" s="137"/>
      <c r="BU195" s="175"/>
      <c r="BV195" s="175"/>
      <c r="BW195" s="175"/>
      <c r="BX195" s="175"/>
      <c r="BY195" s="175"/>
      <c r="BZ195" s="137"/>
    </row>
    <row r="196" spans="2:78" ht="12.75" outlineLevel="1">
      <c r="B196" s="186">
        <v>12</v>
      </c>
      <c r="C196" s="213">
        <v>10</v>
      </c>
      <c r="D196" s="214" t="s">
        <v>175</v>
      </c>
      <c r="E196" s="188"/>
      <c r="F196" s="215">
        <f>M196+AD196+AU196+BL196</f>
        <v>9</v>
      </c>
      <c r="G196" s="215">
        <f t="shared" ref="G196:I196" si="559">N196+AE196+AV196+BM196</f>
        <v>9</v>
      </c>
      <c r="H196" s="215">
        <f t="shared" si="559"/>
        <v>9</v>
      </c>
      <c r="I196" s="215">
        <f t="shared" si="559"/>
        <v>0</v>
      </c>
      <c r="J196" s="192">
        <f t="shared" ref="J196" si="560">COUNT(J197:J199)</f>
        <v>0</v>
      </c>
      <c r="K196" s="189"/>
      <c r="L196" s="189"/>
      <c r="M196" s="215">
        <f>COUNTIF(M197:M199,"✔")</f>
        <v>3</v>
      </c>
      <c r="N196" s="215">
        <f t="shared" ref="N196:AA196" si="561">COUNTIF(N197:N199,"✔")</f>
        <v>3</v>
      </c>
      <c r="O196" s="215">
        <f t="shared" si="561"/>
        <v>3</v>
      </c>
      <c r="P196" s="215">
        <f t="shared" si="561"/>
        <v>0</v>
      </c>
      <c r="Q196" s="215">
        <f t="shared" si="561"/>
        <v>0</v>
      </c>
      <c r="R196" s="215">
        <f t="shared" si="561"/>
        <v>0</v>
      </c>
      <c r="S196" s="215">
        <f t="shared" si="561"/>
        <v>0</v>
      </c>
      <c r="T196" s="215">
        <f t="shared" si="561"/>
        <v>0</v>
      </c>
      <c r="U196" s="215">
        <f t="shared" si="561"/>
        <v>0</v>
      </c>
      <c r="V196" s="215">
        <f t="shared" si="561"/>
        <v>0</v>
      </c>
      <c r="W196" s="215">
        <f t="shared" si="561"/>
        <v>0</v>
      </c>
      <c r="X196" s="215">
        <f t="shared" si="561"/>
        <v>0</v>
      </c>
      <c r="Y196" s="215">
        <f t="shared" si="561"/>
        <v>0</v>
      </c>
      <c r="Z196" s="215">
        <f t="shared" si="561"/>
        <v>0</v>
      </c>
      <c r="AA196" s="215">
        <f t="shared" si="561"/>
        <v>0</v>
      </c>
      <c r="AB196" s="189"/>
      <c r="AC196" s="215">
        <f t="shared" ref="AC196:AR196" si="562">COUNTIF(AC197:AC199,"✔")</f>
        <v>0</v>
      </c>
      <c r="AD196" s="215">
        <f t="shared" si="562"/>
        <v>2</v>
      </c>
      <c r="AE196" s="215">
        <f t="shared" si="562"/>
        <v>2</v>
      </c>
      <c r="AF196" s="215">
        <f t="shared" si="562"/>
        <v>2</v>
      </c>
      <c r="AG196" s="215">
        <f t="shared" si="562"/>
        <v>0</v>
      </c>
      <c r="AH196" s="215">
        <f t="shared" si="562"/>
        <v>0</v>
      </c>
      <c r="AI196" s="215">
        <f t="shared" si="562"/>
        <v>0</v>
      </c>
      <c r="AJ196" s="215">
        <f t="shared" si="562"/>
        <v>0</v>
      </c>
      <c r="AK196" s="215">
        <f t="shared" si="562"/>
        <v>0</v>
      </c>
      <c r="AL196" s="215">
        <f t="shared" si="562"/>
        <v>0</v>
      </c>
      <c r="AM196" s="215">
        <f t="shared" si="562"/>
        <v>0</v>
      </c>
      <c r="AN196" s="215">
        <f t="shared" si="562"/>
        <v>0</v>
      </c>
      <c r="AO196" s="215">
        <f t="shared" si="562"/>
        <v>0</v>
      </c>
      <c r="AP196" s="215">
        <f t="shared" si="562"/>
        <v>0</v>
      </c>
      <c r="AQ196" s="215">
        <f t="shared" si="562"/>
        <v>0</v>
      </c>
      <c r="AR196" s="215">
        <f t="shared" si="562"/>
        <v>0</v>
      </c>
      <c r="AS196" s="189"/>
      <c r="AT196" s="215">
        <f t="shared" ref="AT196:BI196" si="563">COUNTIF(AT197:AT199,"✔")</f>
        <v>0</v>
      </c>
      <c r="AU196" s="215">
        <f t="shared" si="563"/>
        <v>3</v>
      </c>
      <c r="AV196" s="215">
        <f t="shared" si="563"/>
        <v>3</v>
      </c>
      <c r="AW196" s="215">
        <f t="shared" si="563"/>
        <v>3</v>
      </c>
      <c r="AX196" s="215">
        <f t="shared" si="563"/>
        <v>0</v>
      </c>
      <c r="AY196" s="215">
        <f t="shared" si="563"/>
        <v>0</v>
      </c>
      <c r="AZ196" s="215">
        <f t="shared" si="563"/>
        <v>0</v>
      </c>
      <c r="BA196" s="215">
        <f t="shared" si="563"/>
        <v>0</v>
      </c>
      <c r="BB196" s="215">
        <f t="shared" si="563"/>
        <v>0</v>
      </c>
      <c r="BC196" s="215">
        <f t="shared" si="563"/>
        <v>0</v>
      </c>
      <c r="BD196" s="215">
        <f t="shared" si="563"/>
        <v>0</v>
      </c>
      <c r="BE196" s="215">
        <f t="shared" si="563"/>
        <v>0</v>
      </c>
      <c r="BF196" s="215">
        <f t="shared" si="563"/>
        <v>0</v>
      </c>
      <c r="BG196" s="215">
        <f t="shared" si="563"/>
        <v>0</v>
      </c>
      <c r="BH196" s="215">
        <f t="shared" si="563"/>
        <v>0</v>
      </c>
      <c r="BI196" s="215">
        <f t="shared" si="563"/>
        <v>0</v>
      </c>
      <c r="BJ196" s="189"/>
      <c r="BK196" s="215">
        <f t="shared" ref="BK196:BS196" si="564">COUNTIF(BK197:BK199,"✔")</f>
        <v>0</v>
      </c>
      <c r="BL196" s="215">
        <f t="shared" si="564"/>
        <v>1</v>
      </c>
      <c r="BM196" s="215">
        <f t="shared" si="564"/>
        <v>1</v>
      </c>
      <c r="BN196" s="215">
        <f t="shared" si="564"/>
        <v>1</v>
      </c>
      <c r="BO196" s="215">
        <f t="shared" si="564"/>
        <v>0</v>
      </c>
      <c r="BP196" s="215">
        <f t="shared" si="564"/>
        <v>0</v>
      </c>
      <c r="BQ196" s="215">
        <f t="shared" si="564"/>
        <v>0</v>
      </c>
      <c r="BR196" s="215">
        <f t="shared" si="564"/>
        <v>0</v>
      </c>
      <c r="BS196" s="215">
        <f t="shared" si="564"/>
        <v>0</v>
      </c>
      <c r="BT196" s="137"/>
      <c r="BU196" s="215">
        <f t="shared" ref="BU196:BY196" si="565">COUNTIF(BU197:BU199,"✔")</f>
        <v>0</v>
      </c>
      <c r="BV196" s="215">
        <f t="shared" si="565"/>
        <v>0</v>
      </c>
      <c r="BW196" s="215">
        <f t="shared" si="565"/>
        <v>0</v>
      </c>
      <c r="BX196" s="215">
        <f t="shared" si="565"/>
        <v>0</v>
      </c>
      <c r="BY196" s="215">
        <f t="shared" si="565"/>
        <v>0</v>
      </c>
      <c r="BZ196" s="137"/>
    </row>
    <row r="197" spans="2:78" ht="12.75" outlineLevel="2">
      <c r="B197" s="217" t="s">
        <v>176</v>
      </c>
      <c r="C197" s="218">
        <v>1</v>
      </c>
      <c r="D197" s="219" t="s">
        <v>177</v>
      </c>
      <c r="E197" s="137"/>
      <c r="F197" s="197">
        <f t="shared" ref="F197:H199" si="566">COUNTIF(M197,"✔")+COUNTIF(AD197,"✔")+COUNTIF(BL197,"✔")+COUNTIF(AU197,"✔")</f>
        <v>3</v>
      </c>
      <c r="G197" s="198">
        <f t="shared" si="566"/>
        <v>3</v>
      </c>
      <c r="H197" s="198">
        <f t="shared" si="566"/>
        <v>3</v>
      </c>
      <c r="I197" s="198">
        <f t="shared" ref="I197:I199" si="567">F197-G197</f>
        <v>0</v>
      </c>
      <c r="J197" s="221"/>
      <c r="K197" s="195"/>
      <c r="L197" s="196"/>
      <c r="M197" s="197" t="str">
        <f>IF('Design Fee'!W199&gt;0,"✔","-")</f>
        <v>✔</v>
      </c>
      <c r="N197" s="197" t="str">
        <f>IF('Design Fee'!X199&gt;0,"✔","-")</f>
        <v>✔</v>
      </c>
      <c r="O197" s="198" t="str">
        <f>IF('Design Fee'!Y199&gt;0,"✔","-")</f>
        <v>✔</v>
      </c>
      <c r="P197" s="198" t="str">
        <f>IF('Design Fee'!Z199&gt;0,"✔","-")</f>
        <v>-</v>
      </c>
      <c r="Q197" s="198" t="str">
        <f>IF('Design Fee'!AA199&gt;0,"✔","-")</f>
        <v>-</v>
      </c>
      <c r="R197" s="198" t="str">
        <f>IF('Design Fee'!AB199&gt;0,"✔","-")</f>
        <v>-</v>
      </c>
      <c r="S197" s="198" t="str">
        <f>IF('Design Fee'!AC199&gt;0,"✔","-")</f>
        <v>-</v>
      </c>
      <c r="T197" s="220" t="str">
        <f>IF('Design Fee'!AD199&gt;0,"✔","-")</f>
        <v>-</v>
      </c>
      <c r="U197" s="221"/>
      <c r="V197" s="198" t="str">
        <f>IF('Design Fee'!AF199&gt;0,"✔","-")</f>
        <v>-</v>
      </c>
      <c r="W197" s="198" t="str">
        <f>IF('Design Fee'!AG199&gt;0,"✔","-")</f>
        <v>-</v>
      </c>
      <c r="X197" s="198" t="str">
        <f>IF('Design Fee'!AH199&gt;0,"✔","-")</f>
        <v>-</v>
      </c>
      <c r="Y197" s="198" t="str">
        <f>IF('Design Fee'!AI199&gt;0,"✔","-")</f>
        <v>-</v>
      </c>
      <c r="Z197" s="198" t="str">
        <f>IF('Design Fee'!AJ199&gt;0,"✔","-")</f>
        <v>-</v>
      </c>
      <c r="AA197" s="221"/>
      <c r="AB197" s="195"/>
      <c r="AC197" s="196"/>
      <c r="AD197" s="197" t="str">
        <f>IF('Design Fee'!BG199&gt;0,"✔","-")</f>
        <v>✔</v>
      </c>
      <c r="AE197" s="197" t="str">
        <f>IF('Design Fee'!BH199&gt;0,"✔","-")</f>
        <v>✔</v>
      </c>
      <c r="AF197" s="198" t="str">
        <f>IF('Design Fee'!BI199&gt;0,"✔","-")</f>
        <v>✔</v>
      </c>
      <c r="AG197" s="198" t="str">
        <f>IF('Design Fee'!BJ199&gt;0,"✔","-")</f>
        <v>-</v>
      </c>
      <c r="AH197" s="198" t="str">
        <f>IF('Design Fee'!BK199&gt;0,"✔","-")</f>
        <v>-</v>
      </c>
      <c r="AI197" s="198" t="str">
        <f>IF('Design Fee'!BL199&gt;0,"✔","-")</f>
        <v>-</v>
      </c>
      <c r="AJ197" s="198" t="str">
        <f>IF('Design Fee'!BM199&gt;0,"✔","-")</f>
        <v>-</v>
      </c>
      <c r="AK197" s="220" t="str">
        <f>IF('Design Fee'!BN199&gt;0,"✔","-")</f>
        <v>-</v>
      </c>
      <c r="AL197" s="199"/>
      <c r="AM197" s="198" t="str">
        <f>IF('Design Fee'!BP199&gt;0,"✔","-")</f>
        <v>-</v>
      </c>
      <c r="AN197" s="198" t="str">
        <f>IF('Design Fee'!BQ199&gt;0,"✔","-")</f>
        <v>-</v>
      </c>
      <c r="AO197" s="198" t="str">
        <f>IF('Design Fee'!BR199&gt;0,"✔","-")</f>
        <v>-</v>
      </c>
      <c r="AP197" s="198" t="str">
        <f>IF('Design Fee'!BS199&gt;0,"✔","-")</f>
        <v>-</v>
      </c>
      <c r="AQ197" s="198" t="str">
        <f>IF('Design Fee'!BT199&gt;0,"✔","-")</f>
        <v>-</v>
      </c>
      <c r="AR197" s="199"/>
      <c r="AS197" s="195"/>
      <c r="AT197" s="196"/>
      <c r="AU197" s="197" t="str">
        <f>IF('Design Fee'!CQ199&gt;0,"✔","-")</f>
        <v>✔</v>
      </c>
      <c r="AV197" s="197" t="str">
        <f>IF('Design Fee'!CR199&gt;0,"✔","-")</f>
        <v>✔</v>
      </c>
      <c r="AW197" s="198" t="str">
        <f>IF('Design Fee'!CS199&gt;0,"✔","-")</f>
        <v>✔</v>
      </c>
      <c r="AX197" s="198" t="str">
        <f>IF('Design Fee'!CT199&gt;0,"✔","-")</f>
        <v>-</v>
      </c>
      <c r="AY197" s="198" t="str">
        <f>IF('Design Fee'!CU199&gt;0,"✔","-")</f>
        <v>-</v>
      </c>
      <c r="AZ197" s="198" t="str">
        <f>IF('Design Fee'!CV199&gt;0,"✔","-")</f>
        <v>-</v>
      </c>
      <c r="BA197" s="198" t="str">
        <f>IF('Design Fee'!CW199&gt;0,"✔","-")</f>
        <v>-</v>
      </c>
      <c r="BB197" s="220" t="str">
        <f>IF('Design Fee'!CX199&gt;0,"✔","-")</f>
        <v>-</v>
      </c>
      <c r="BC197" s="199"/>
      <c r="BD197" s="198" t="str">
        <f>IF('Design Fee'!CZ199&gt;0,"✔","-")</f>
        <v>-</v>
      </c>
      <c r="BE197" s="198" t="str">
        <f>IF('Design Fee'!DA199&gt;0,"✔","-")</f>
        <v>-</v>
      </c>
      <c r="BF197" s="198" t="str">
        <f>IF('Design Fee'!DB199&gt;0,"✔","-")</f>
        <v>-</v>
      </c>
      <c r="BG197" s="198" t="str">
        <f>IF('Design Fee'!DC199&gt;0,"✔","-")</f>
        <v>-</v>
      </c>
      <c r="BH197" s="198" t="str">
        <f>IF('Design Fee'!DD199&gt;0,"✔","-")</f>
        <v>-</v>
      </c>
      <c r="BI197" s="199"/>
      <c r="BJ197" s="195"/>
      <c r="BK197" s="196"/>
      <c r="BL197" s="197" t="str">
        <f>IF('Design Fee'!EA199&gt;0,"✔","-")</f>
        <v>-</v>
      </c>
      <c r="BM197" s="197" t="str">
        <f>IF('Design Fee'!EB199&gt;0,"✔","-")</f>
        <v>-</v>
      </c>
      <c r="BN197" s="198" t="str">
        <f>IF('Design Fee'!EC199&gt;0,"✔","-")</f>
        <v>-</v>
      </c>
      <c r="BO197" s="198" t="str">
        <f>IF('Design Fee'!ED199&gt;0,"✔","-")</f>
        <v>-</v>
      </c>
      <c r="BP197" s="198" t="str">
        <f>IF('Design Fee'!EE199&gt;0,"✔","-")</f>
        <v>-</v>
      </c>
      <c r="BQ197" s="198" t="str">
        <f>IF('Design Fee'!EF199&gt;0,"✔","-")</f>
        <v>-</v>
      </c>
      <c r="BR197" s="198" t="str">
        <f>IF('Design Fee'!EG199&gt;0,"✔","-")</f>
        <v>-</v>
      </c>
      <c r="BS197" s="220" t="str">
        <f>IF('Design Fee'!EH199&gt;0,"✔","-")</f>
        <v>-</v>
      </c>
      <c r="BT197" s="137"/>
      <c r="BU197" s="198" t="str">
        <f>IF('Design Fee'!EJ199&gt;0,"✔","-")</f>
        <v>-</v>
      </c>
      <c r="BV197" s="198" t="str">
        <f>IF('Design Fee'!EK199&gt;0,"✔","-")</f>
        <v>-</v>
      </c>
      <c r="BW197" s="198" t="str">
        <f>IF('Design Fee'!EL199&gt;0,"✔","-")</f>
        <v>-</v>
      </c>
      <c r="BX197" s="198" t="str">
        <f>IF('Design Fee'!EM199&gt;0,"✔","-")</f>
        <v>-</v>
      </c>
      <c r="BY197" s="198" t="str">
        <f>IF('Design Fee'!EN199&gt;0,"✔","-")</f>
        <v>-</v>
      </c>
      <c r="BZ197" s="137"/>
    </row>
    <row r="198" spans="2:78" ht="12.75" outlineLevel="2">
      <c r="B198" s="217" t="s">
        <v>178</v>
      </c>
      <c r="C198" s="218">
        <v>2</v>
      </c>
      <c r="D198" s="219" t="s">
        <v>179</v>
      </c>
      <c r="E198" s="137"/>
      <c r="F198" s="197">
        <f t="shared" si="566"/>
        <v>3</v>
      </c>
      <c r="G198" s="198">
        <f t="shared" si="566"/>
        <v>3</v>
      </c>
      <c r="H198" s="198">
        <f t="shared" si="566"/>
        <v>3</v>
      </c>
      <c r="I198" s="198">
        <f t="shared" si="567"/>
        <v>0</v>
      </c>
      <c r="J198" s="221"/>
      <c r="K198" s="195"/>
      <c r="L198" s="196"/>
      <c r="M198" s="197" t="str">
        <f>IF('Design Fee'!W200&gt;0,"✔","-")</f>
        <v>✔</v>
      </c>
      <c r="N198" s="197" t="str">
        <f>IF('Design Fee'!X200&gt;0,"✔","-")</f>
        <v>✔</v>
      </c>
      <c r="O198" s="198" t="str">
        <f>IF('Design Fee'!Y200&gt;0,"✔","-")</f>
        <v>✔</v>
      </c>
      <c r="P198" s="198" t="str">
        <f>IF('Design Fee'!Z200&gt;0,"✔","-")</f>
        <v>-</v>
      </c>
      <c r="Q198" s="198" t="str">
        <f>IF('Design Fee'!AA200&gt;0,"✔","-")</f>
        <v>-</v>
      </c>
      <c r="R198" s="198" t="str">
        <f>IF('Design Fee'!AB200&gt;0,"✔","-")</f>
        <v>-</v>
      </c>
      <c r="S198" s="198" t="str">
        <f>IF('Design Fee'!AC200&gt;0,"✔","-")</f>
        <v>-</v>
      </c>
      <c r="T198" s="220" t="str">
        <f>IF('Design Fee'!AD200&gt;0,"✔","-")</f>
        <v>-</v>
      </c>
      <c r="U198" s="221"/>
      <c r="V198" s="198" t="str">
        <f>IF('Design Fee'!AF200&gt;0,"✔","-")</f>
        <v>-</v>
      </c>
      <c r="W198" s="198" t="str">
        <f>IF('Design Fee'!AG200&gt;0,"✔","-")</f>
        <v>-</v>
      </c>
      <c r="X198" s="198" t="str">
        <f>IF('Design Fee'!AH200&gt;0,"✔","-")</f>
        <v>-</v>
      </c>
      <c r="Y198" s="198" t="str">
        <f>IF('Design Fee'!AI200&gt;0,"✔","-")</f>
        <v>-</v>
      </c>
      <c r="Z198" s="198" t="str">
        <f>IF('Design Fee'!AJ200&gt;0,"✔","-")</f>
        <v>-</v>
      </c>
      <c r="AA198" s="221"/>
      <c r="AB198" s="195"/>
      <c r="AC198" s="196"/>
      <c r="AD198" s="197" t="str">
        <f>IF('Design Fee'!BG200&gt;0,"✔","-")</f>
        <v>✔</v>
      </c>
      <c r="AE198" s="197" t="str">
        <f>IF('Design Fee'!BH200&gt;0,"✔","-")</f>
        <v>✔</v>
      </c>
      <c r="AF198" s="198" t="str">
        <f>IF('Design Fee'!BI200&gt;0,"✔","-")</f>
        <v>✔</v>
      </c>
      <c r="AG198" s="198" t="str">
        <f>IF('Design Fee'!BJ200&gt;0,"✔","-")</f>
        <v>-</v>
      </c>
      <c r="AH198" s="198" t="str">
        <f>IF('Design Fee'!BK200&gt;0,"✔","-")</f>
        <v>-</v>
      </c>
      <c r="AI198" s="198" t="str">
        <f>IF('Design Fee'!BL200&gt;0,"✔","-")</f>
        <v>-</v>
      </c>
      <c r="AJ198" s="198" t="str">
        <f>IF('Design Fee'!BM200&gt;0,"✔","-")</f>
        <v>-</v>
      </c>
      <c r="AK198" s="220" t="str">
        <f>IF('Design Fee'!BN200&gt;0,"✔","-")</f>
        <v>-</v>
      </c>
      <c r="AL198" s="199"/>
      <c r="AM198" s="198" t="str">
        <f>IF('Design Fee'!BP200&gt;0,"✔","-")</f>
        <v>-</v>
      </c>
      <c r="AN198" s="198" t="str">
        <f>IF('Design Fee'!BQ200&gt;0,"✔","-")</f>
        <v>-</v>
      </c>
      <c r="AO198" s="198" t="str">
        <f>IF('Design Fee'!BR200&gt;0,"✔","-")</f>
        <v>-</v>
      </c>
      <c r="AP198" s="198" t="str">
        <f>IF('Design Fee'!BS200&gt;0,"✔","-")</f>
        <v>-</v>
      </c>
      <c r="AQ198" s="198" t="str">
        <f>IF('Design Fee'!BT200&gt;0,"✔","-")</f>
        <v>-</v>
      </c>
      <c r="AR198" s="199"/>
      <c r="AS198" s="195"/>
      <c r="AT198" s="196"/>
      <c r="AU198" s="197" t="str">
        <f>IF('Design Fee'!CQ200&gt;0,"✔","-")</f>
        <v>✔</v>
      </c>
      <c r="AV198" s="197" t="str">
        <f>IF('Design Fee'!CR200&gt;0,"✔","-")</f>
        <v>✔</v>
      </c>
      <c r="AW198" s="198" t="str">
        <f>IF('Design Fee'!CS200&gt;0,"✔","-")</f>
        <v>✔</v>
      </c>
      <c r="AX198" s="198" t="str">
        <f>IF('Design Fee'!CT200&gt;0,"✔","-")</f>
        <v>-</v>
      </c>
      <c r="AY198" s="198" t="str">
        <f>IF('Design Fee'!CU200&gt;0,"✔","-")</f>
        <v>-</v>
      </c>
      <c r="AZ198" s="198" t="str">
        <f>IF('Design Fee'!CV200&gt;0,"✔","-")</f>
        <v>-</v>
      </c>
      <c r="BA198" s="198" t="str">
        <f>IF('Design Fee'!CW200&gt;0,"✔","-")</f>
        <v>-</v>
      </c>
      <c r="BB198" s="220" t="str">
        <f>IF('Design Fee'!CX200&gt;0,"✔","-")</f>
        <v>-</v>
      </c>
      <c r="BC198" s="199"/>
      <c r="BD198" s="198" t="str">
        <f>IF('Design Fee'!CZ200&gt;0,"✔","-")</f>
        <v>-</v>
      </c>
      <c r="BE198" s="198" t="str">
        <f>IF('Design Fee'!DA200&gt;0,"✔","-")</f>
        <v>-</v>
      </c>
      <c r="BF198" s="198" t="str">
        <f>IF('Design Fee'!DB200&gt;0,"✔","-")</f>
        <v>-</v>
      </c>
      <c r="BG198" s="198" t="str">
        <f>IF('Design Fee'!DC200&gt;0,"✔","-")</f>
        <v>-</v>
      </c>
      <c r="BH198" s="198" t="str">
        <f>IF('Design Fee'!DD200&gt;0,"✔","-")</f>
        <v>-</v>
      </c>
      <c r="BI198" s="199"/>
      <c r="BJ198" s="195"/>
      <c r="BK198" s="196"/>
      <c r="BL198" s="197" t="str">
        <f>IF('Design Fee'!EA200&gt;0,"✔","-")</f>
        <v>-</v>
      </c>
      <c r="BM198" s="197" t="str">
        <f>IF('Design Fee'!EB200&gt;0,"✔","-")</f>
        <v>-</v>
      </c>
      <c r="BN198" s="198" t="str">
        <f>IF('Design Fee'!EC200&gt;0,"✔","-")</f>
        <v>-</v>
      </c>
      <c r="BO198" s="198" t="str">
        <f>IF('Design Fee'!ED200&gt;0,"✔","-")</f>
        <v>-</v>
      </c>
      <c r="BP198" s="198" t="str">
        <f>IF('Design Fee'!EE200&gt;0,"✔","-")</f>
        <v>-</v>
      </c>
      <c r="BQ198" s="198" t="str">
        <f>IF('Design Fee'!EF200&gt;0,"✔","-")</f>
        <v>-</v>
      </c>
      <c r="BR198" s="198" t="str">
        <f>IF('Design Fee'!EG200&gt;0,"✔","-")</f>
        <v>-</v>
      </c>
      <c r="BS198" s="220" t="str">
        <f>IF('Design Fee'!EH200&gt;0,"✔","-")</f>
        <v>-</v>
      </c>
      <c r="BT198" s="137"/>
      <c r="BU198" s="198" t="str">
        <f>IF('Design Fee'!EJ200&gt;0,"✔","-")</f>
        <v>-</v>
      </c>
      <c r="BV198" s="198" t="str">
        <f>IF('Design Fee'!EK200&gt;0,"✔","-")</f>
        <v>-</v>
      </c>
      <c r="BW198" s="198" t="str">
        <f>IF('Design Fee'!EL200&gt;0,"✔","-")</f>
        <v>-</v>
      </c>
      <c r="BX198" s="198" t="str">
        <f>IF('Design Fee'!EM200&gt;0,"✔","-")</f>
        <v>-</v>
      </c>
      <c r="BY198" s="198" t="str">
        <f>IF('Design Fee'!EN200&gt;0,"✔","-")</f>
        <v>-</v>
      </c>
      <c r="BZ198" s="137"/>
    </row>
    <row r="199" spans="2:78" ht="12.75" outlineLevel="2">
      <c r="B199" s="217" t="s">
        <v>180</v>
      </c>
      <c r="C199" s="218">
        <v>3</v>
      </c>
      <c r="D199" s="219" t="s">
        <v>156</v>
      </c>
      <c r="E199" s="137"/>
      <c r="F199" s="197">
        <f t="shared" si="566"/>
        <v>3</v>
      </c>
      <c r="G199" s="198">
        <f t="shared" si="566"/>
        <v>3</v>
      </c>
      <c r="H199" s="198">
        <f t="shared" si="566"/>
        <v>3</v>
      </c>
      <c r="I199" s="198">
        <f t="shared" si="567"/>
        <v>0</v>
      </c>
      <c r="J199" s="221"/>
      <c r="K199" s="195"/>
      <c r="L199" s="196"/>
      <c r="M199" s="197" t="str">
        <f>IF('Design Fee'!W201&gt;0,"✔","-")</f>
        <v>✔</v>
      </c>
      <c r="N199" s="197" t="str">
        <f>IF('Design Fee'!X201&gt;0,"✔","-")</f>
        <v>✔</v>
      </c>
      <c r="O199" s="198" t="str">
        <f>IF('Design Fee'!Y201&gt;0,"✔","-")</f>
        <v>✔</v>
      </c>
      <c r="P199" s="198" t="str">
        <f>IF('Design Fee'!Z201&gt;0,"✔","-")</f>
        <v>-</v>
      </c>
      <c r="Q199" s="198" t="str">
        <f>IF('Design Fee'!AA201&gt;0,"✔","-")</f>
        <v>-</v>
      </c>
      <c r="R199" s="198" t="str">
        <f>IF('Design Fee'!AB201&gt;0,"✔","-")</f>
        <v>-</v>
      </c>
      <c r="S199" s="198" t="str">
        <f>IF('Design Fee'!AC201&gt;0,"✔","-")</f>
        <v>-</v>
      </c>
      <c r="T199" s="220" t="str">
        <f>IF('Design Fee'!AD201&gt;0,"✔","-")</f>
        <v>-</v>
      </c>
      <c r="U199" s="221"/>
      <c r="V199" s="198" t="str">
        <f>IF('Design Fee'!AF201&gt;0,"✔","-")</f>
        <v>-</v>
      </c>
      <c r="W199" s="198" t="str">
        <f>IF('Design Fee'!AG201&gt;0,"✔","-")</f>
        <v>-</v>
      </c>
      <c r="X199" s="198" t="str">
        <f>IF('Design Fee'!AH201&gt;0,"✔","-")</f>
        <v>-</v>
      </c>
      <c r="Y199" s="198" t="str">
        <f>IF('Design Fee'!AI201&gt;0,"✔","-")</f>
        <v>-</v>
      </c>
      <c r="Z199" s="198" t="str">
        <f>IF('Design Fee'!AJ201&gt;0,"✔","-")</f>
        <v>-</v>
      </c>
      <c r="AA199" s="221"/>
      <c r="AB199" s="195"/>
      <c r="AC199" s="196"/>
      <c r="AD199" s="197" t="str">
        <f>IF('Design Fee'!BG201&gt;0,"✔","-")</f>
        <v>-</v>
      </c>
      <c r="AE199" s="197" t="str">
        <f>IF('Design Fee'!BH201&gt;0,"✔","-")</f>
        <v>-</v>
      </c>
      <c r="AF199" s="198" t="str">
        <f>IF('Design Fee'!BI201&gt;0,"✔","-")</f>
        <v>-</v>
      </c>
      <c r="AG199" s="198" t="str">
        <f>IF('Design Fee'!BJ201&gt;0,"✔","-")</f>
        <v>-</v>
      </c>
      <c r="AH199" s="198" t="str">
        <f>IF('Design Fee'!BK201&gt;0,"✔","-")</f>
        <v>-</v>
      </c>
      <c r="AI199" s="198" t="str">
        <f>IF('Design Fee'!BL201&gt;0,"✔","-")</f>
        <v>-</v>
      </c>
      <c r="AJ199" s="198" t="str">
        <f>IF('Design Fee'!BM201&gt;0,"✔","-")</f>
        <v>-</v>
      </c>
      <c r="AK199" s="220" t="str">
        <f>IF('Design Fee'!BN201&gt;0,"✔","-")</f>
        <v>-</v>
      </c>
      <c r="AL199" s="199"/>
      <c r="AM199" s="198" t="str">
        <f>IF('Design Fee'!BP201&gt;0,"✔","-")</f>
        <v>-</v>
      </c>
      <c r="AN199" s="198" t="str">
        <f>IF('Design Fee'!BQ201&gt;0,"✔","-")</f>
        <v>-</v>
      </c>
      <c r="AO199" s="198" t="str">
        <f>IF('Design Fee'!BR201&gt;0,"✔","-")</f>
        <v>-</v>
      </c>
      <c r="AP199" s="198" t="str">
        <f>IF('Design Fee'!BS201&gt;0,"✔","-")</f>
        <v>-</v>
      </c>
      <c r="AQ199" s="198" t="str">
        <f>IF('Design Fee'!BT201&gt;0,"✔","-")</f>
        <v>-</v>
      </c>
      <c r="AR199" s="199"/>
      <c r="AS199" s="195"/>
      <c r="AT199" s="196"/>
      <c r="AU199" s="197" t="str">
        <f>IF('Design Fee'!CQ201&gt;0,"✔","-")</f>
        <v>✔</v>
      </c>
      <c r="AV199" s="197" t="str">
        <f>IF('Design Fee'!CR201&gt;0,"✔","-")</f>
        <v>✔</v>
      </c>
      <c r="AW199" s="198" t="str">
        <f>IF('Design Fee'!CS201&gt;0,"✔","-")</f>
        <v>✔</v>
      </c>
      <c r="AX199" s="198" t="str">
        <f>IF('Design Fee'!CT201&gt;0,"✔","-")</f>
        <v>-</v>
      </c>
      <c r="AY199" s="198" t="str">
        <f>IF('Design Fee'!CU201&gt;0,"✔","-")</f>
        <v>-</v>
      </c>
      <c r="AZ199" s="198" t="str">
        <f>IF('Design Fee'!CV201&gt;0,"✔","-")</f>
        <v>-</v>
      </c>
      <c r="BA199" s="198" t="str">
        <f>IF('Design Fee'!CW201&gt;0,"✔","-")</f>
        <v>-</v>
      </c>
      <c r="BB199" s="220" t="str">
        <f>IF('Design Fee'!CX201&gt;0,"✔","-")</f>
        <v>-</v>
      </c>
      <c r="BC199" s="199"/>
      <c r="BD199" s="198" t="str">
        <f>IF('Design Fee'!CZ201&gt;0,"✔","-")</f>
        <v>-</v>
      </c>
      <c r="BE199" s="198" t="str">
        <f>IF('Design Fee'!DA201&gt;0,"✔","-")</f>
        <v>-</v>
      </c>
      <c r="BF199" s="198" t="str">
        <f>IF('Design Fee'!DB201&gt;0,"✔","-")</f>
        <v>-</v>
      </c>
      <c r="BG199" s="198" t="str">
        <f>IF('Design Fee'!DC201&gt;0,"✔","-")</f>
        <v>-</v>
      </c>
      <c r="BH199" s="198" t="str">
        <f>IF('Design Fee'!DD201&gt;0,"✔","-")</f>
        <v>-</v>
      </c>
      <c r="BI199" s="199"/>
      <c r="BJ199" s="195"/>
      <c r="BK199" s="196"/>
      <c r="BL199" s="197" t="str">
        <f>IF('Design Fee'!EA201&gt;0,"✔","-")</f>
        <v>✔</v>
      </c>
      <c r="BM199" s="197" t="str">
        <f>IF('Design Fee'!EB201&gt;0,"✔","-")</f>
        <v>✔</v>
      </c>
      <c r="BN199" s="198" t="str">
        <f>IF('Design Fee'!EC201&gt;0,"✔","-")</f>
        <v>✔</v>
      </c>
      <c r="BO199" s="198" t="str">
        <f>IF('Design Fee'!ED201&gt;0,"✔","-")</f>
        <v>-</v>
      </c>
      <c r="BP199" s="198" t="str">
        <f>IF('Design Fee'!EE201&gt;0,"✔","-")</f>
        <v>-</v>
      </c>
      <c r="BQ199" s="198" t="str">
        <f>IF('Design Fee'!EF201&gt;0,"✔","-")</f>
        <v>-</v>
      </c>
      <c r="BR199" s="198" t="str">
        <f>IF('Design Fee'!EG201&gt;0,"✔","-")</f>
        <v>-</v>
      </c>
      <c r="BS199" s="220" t="str">
        <f>IF('Design Fee'!EH201&gt;0,"✔","-")</f>
        <v>-</v>
      </c>
      <c r="BT199" s="137"/>
      <c r="BU199" s="198" t="str">
        <f>IF('Design Fee'!EJ201&gt;0,"✔","-")</f>
        <v>-</v>
      </c>
      <c r="BV199" s="198" t="str">
        <f>IF('Design Fee'!EK201&gt;0,"✔","-")</f>
        <v>-</v>
      </c>
      <c r="BW199" s="198" t="str">
        <f>IF('Design Fee'!EL201&gt;0,"✔","-")</f>
        <v>-</v>
      </c>
      <c r="BX199" s="198" t="str">
        <f>IF('Design Fee'!EM201&gt;0,"✔","-")</f>
        <v>-</v>
      </c>
      <c r="BY199" s="198" t="str">
        <f>IF('Design Fee'!EN201&gt;0,"✔","-")</f>
        <v>-</v>
      </c>
      <c r="BZ199" s="137"/>
    </row>
    <row r="200" spans="2:78" ht="3" customHeight="1" outlineLevel="1">
      <c r="B200" s="138"/>
      <c r="C200" s="242"/>
      <c r="D200" s="219"/>
      <c r="E200" s="137"/>
      <c r="F200" s="162"/>
      <c r="G200" s="175"/>
      <c r="H200" s="175"/>
      <c r="I200" s="175"/>
      <c r="J200" s="221"/>
      <c r="K200" s="195"/>
      <c r="L200" s="196"/>
      <c r="M200" s="197"/>
      <c r="N200" s="197"/>
      <c r="O200" s="236"/>
      <c r="P200" s="236"/>
      <c r="Q200" s="236"/>
      <c r="R200" s="236"/>
      <c r="S200" s="236"/>
      <c r="T200" s="236"/>
      <c r="U200" s="221"/>
      <c r="V200" s="236"/>
      <c r="W200" s="236"/>
      <c r="X200" s="236"/>
      <c r="Y200" s="236"/>
      <c r="Z200" s="236"/>
      <c r="AA200" s="221"/>
      <c r="AB200" s="195"/>
      <c r="AC200" s="196"/>
      <c r="AD200" s="197"/>
      <c r="AE200" s="197"/>
      <c r="AF200" s="175"/>
      <c r="AG200" s="175"/>
      <c r="AH200" s="175"/>
      <c r="AI200" s="175"/>
      <c r="AJ200" s="175"/>
      <c r="AK200" s="175"/>
      <c r="AL200" s="175"/>
      <c r="AM200" s="175"/>
      <c r="AN200" s="175"/>
      <c r="AO200" s="175"/>
      <c r="AP200" s="175"/>
      <c r="AQ200" s="175"/>
      <c r="AR200" s="175"/>
      <c r="AS200" s="195"/>
      <c r="AT200" s="175"/>
      <c r="AU200" s="197"/>
      <c r="AV200" s="197"/>
      <c r="AW200" s="175"/>
      <c r="AX200" s="175"/>
      <c r="AY200" s="175"/>
      <c r="AZ200" s="175"/>
      <c r="BA200" s="175"/>
      <c r="BB200" s="175"/>
      <c r="BC200" s="175"/>
      <c r="BD200" s="175"/>
      <c r="BE200" s="175"/>
      <c r="BF200" s="175"/>
      <c r="BG200" s="175"/>
      <c r="BH200" s="175"/>
      <c r="BI200" s="175"/>
      <c r="BJ200" s="195"/>
      <c r="BK200" s="175"/>
      <c r="BL200" s="197"/>
      <c r="BM200" s="197"/>
      <c r="BN200" s="175"/>
      <c r="BO200" s="175"/>
      <c r="BP200" s="175"/>
      <c r="BQ200" s="175"/>
      <c r="BR200" s="175"/>
      <c r="BS200" s="175"/>
      <c r="BT200" s="137"/>
      <c r="BU200" s="175"/>
      <c r="BV200" s="175"/>
      <c r="BW200" s="175"/>
      <c r="BX200" s="175"/>
      <c r="BY200" s="175"/>
      <c r="BZ200" s="137"/>
    </row>
    <row r="201" spans="2:78" ht="12.75" outlineLevel="1">
      <c r="B201" s="186">
        <v>13</v>
      </c>
      <c r="C201" s="213">
        <v>11</v>
      </c>
      <c r="D201" s="214" t="s">
        <v>181</v>
      </c>
      <c r="E201" s="188"/>
      <c r="F201" s="215">
        <f>M201+AD201+AU201+BL201</f>
        <v>9</v>
      </c>
      <c r="G201" s="215">
        <f t="shared" ref="G201:I201" si="568">N201+AE201+AV201+BM201</f>
        <v>7</v>
      </c>
      <c r="H201" s="215">
        <f t="shared" si="568"/>
        <v>5</v>
      </c>
      <c r="I201" s="215">
        <f t="shared" si="568"/>
        <v>4</v>
      </c>
      <c r="J201" s="192">
        <f t="shared" ref="J201" si="569">COUNT(J202:J204)</f>
        <v>0</v>
      </c>
      <c r="K201" s="189"/>
      <c r="L201" s="189"/>
      <c r="M201" s="215">
        <f>COUNTIF(M202:M204,"✔")</f>
        <v>3</v>
      </c>
      <c r="N201" s="215">
        <f t="shared" ref="N201" si="570">COUNTIF(N202:N204,"✔")</f>
        <v>1</v>
      </c>
      <c r="O201" s="215">
        <f t="shared" ref="O201" si="571">COUNTIF(O202:O204,"✔")</f>
        <v>1</v>
      </c>
      <c r="P201" s="215">
        <f t="shared" ref="P201" si="572">COUNTIF(P202:P204,"✔")</f>
        <v>2</v>
      </c>
      <c r="Q201" s="215">
        <f t="shared" ref="Q201" si="573">COUNTIF(Q202:Q204,"✔")</f>
        <v>2</v>
      </c>
      <c r="R201" s="215">
        <f t="shared" ref="R201" si="574">COUNTIF(R202:R204,"✔")</f>
        <v>0</v>
      </c>
      <c r="S201" s="215">
        <f t="shared" ref="S201" si="575">COUNTIF(S202:S204,"✔")</f>
        <v>0</v>
      </c>
      <c r="T201" s="215">
        <f t="shared" ref="T201" si="576">COUNTIF(T202:T204,"✔")</f>
        <v>0</v>
      </c>
      <c r="U201" s="215">
        <f t="shared" ref="U201" si="577">COUNTIF(U202:U204,"✔")</f>
        <v>0</v>
      </c>
      <c r="V201" s="215">
        <f t="shared" ref="V201" si="578">COUNTIF(V202:V204,"✔")</f>
        <v>0</v>
      </c>
      <c r="W201" s="215">
        <f t="shared" ref="W201" si="579">COUNTIF(W202:W204,"✔")</f>
        <v>0</v>
      </c>
      <c r="X201" s="215">
        <f t="shared" ref="X201" si="580">COUNTIF(X202:X204,"✔")</f>
        <v>0</v>
      </c>
      <c r="Y201" s="215">
        <f t="shared" ref="Y201" si="581">COUNTIF(Y202:Y204,"✔")</f>
        <v>0</v>
      </c>
      <c r="Z201" s="215">
        <f t="shared" ref="Z201" si="582">COUNTIF(Z202:Z204,"✔")</f>
        <v>0</v>
      </c>
      <c r="AA201" s="215">
        <f t="shared" ref="AA201" si="583">COUNTIF(AA202:AA204,"✔")</f>
        <v>0</v>
      </c>
      <c r="AB201" s="189"/>
      <c r="AC201" s="215">
        <f t="shared" ref="AC201" si="584">COUNTIF(AC202:AC204,"✔")</f>
        <v>0</v>
      </c>
      <c r="AD201" s="215">
        <f t="shared" ref="AD201" si="585">COUNTIF(AD202:AD204,"✔")</f>
        <v>2</v>
      </c>
      <c r="AE201" s="215">
        <f t="shared" ref="AE201" si="586">COUNTIF(AE202:AE204,"✔")</f>
        <v>2</v>
      </c>
      <c r="AF201" s="215">
        <f t="shared" ref="AF201" si="587">COUNTIF(AF202:AF204,"✔")</f>
        <v>0</v>
      </c>
      <c r="AG201" s="215">
        <f t="shared" ref="AG201" si="588">COUNTIF(AG202:AG204,"✔")</f>
        <v>2</v>
      </c>
      <c r="AH201" s="215">
        <f t="shared" ref="AH201" si="589">COUNTIF(AH202:AH204,"✔")</f>
        <v>2</v>
      </c>
      <c r="AI201" s="215">
        <f t="shared" ref="AI201" si="590">COUNTIF(AI202:AI204,"✔")</f>
        <v>0</v>
      </c>
      <c r="AJ201" s="215">
        <f t="shared" ref="AJ201" si="591">COUNTIF(AJ202:AJ204,"✔")</f>
        <v>0</v>
      </c>
      <c r="AK201" s="215">
        <f t="shared" ref="AK201" si="592">COUNTIF(AK202:AK204,"✔")</f>
        <v>0</v>
      </c>
      <c r="AL201" s="215">
        <f t="shared" ref="AL201" si="593">COUNTIF(AL202:AL204,"✔")</f>
        <v>0</v>
      </c>
      <c r="AM201" s="215">
        <f t="shared" ref="AM201" si="594">COUNTIF(AM202:AM204,"✔")</f>
        <v>2</v>
      </c>
      <c r="AN201" s="215">
        <f t="shared" ref="AN201" si="595">COUNTIF(AN202:AN204,"✔")</f>
        <v>2</v>
      </c>
      <c r="AO201" s="215">
        <f t="shared" ref="AO201" si="596">COUNTIF(AO202:AO204,"✔")</f>
        <v>0</v>
      </c>
      <c r="AP201" s="215">
        <f t="shared" ref="AP201" si="597">COUNTIF(AP202:AP204,"✔")</f>
        <v>0</v>
      </c>
      <c r="AQ201" s="215">
        <f t="shared" ref="AQ201" si="598">COUNTIF(AQ202:AQ204,"✔")</f>
        <v>0</v>
      </c>
      <c r="AR201" s="215">
        <f t="shared" ref="AR201" si="599">COUNTIF(AR202:AR204,"✔")</f>
        <v>0</v>
      </c>
      <c r="AS201" s="189"/>
      <c r="AT201" s="215">
        <f t="shared" ref="AT201" si="600">COUNTIF(AT202:AT204,"✔")</f>
        <v>0</v>
      </c>
      <c r="AU201" s="215">
        <f t="shared" ref="AU201" si="601">COUNTIF(AU202:AU204,"✔")</f>
        <v>3</v>
      </c>
      <c r="AV201" s="215">
        <f t="shared" ref="AV201" si="602">COUNTIF(AV202:AV204,"✔")</f>
        <v>3</v>
      </c>
      <c r="AW201" s="215">
        <f t="shared" ref="AW201" si="603">COUNTIF(AW202:AW204,"✔")</f>
        <v>3</v>
      </c>
      <c r="AX201" s="215">
        <f t="shared" ref="AX201" si="604">COUNTIF(AX202:AX204,"✔")</f>
        <v>0</v>
      </c>
      <c r="AY201" s="215">
        <f t="shared" ref="AY201" si="605">COUNTIF(AY202:AY204,"✔")</f>
        <v>0</v>
      </c>
      <c r="AZ201" s="215">
        <f t="shared" ref="AZ201" si="606">COUNTIF(AZ202:AZ204,"✔")</f>
        <v>0</v>
      </c>
      <c r="BA201" s="215">
        <f t="shared" ref="BA201" si="607">COUNTIF(BA202:BA204,"✔")</f>
        <v>0</v>
      </c>
      <c r="BB201" s="215">
        <f t="shared" ref="BB201" si="608">COUNTIF(BB202:BB204,"✔")</f>
        <v>0</v>
      </c>
      <c r="BC201" s="215">
        <f t="shared" ref="BC201" si="609">COUNTIF(BC202:BC204,"✔")</f>
        <v>0</v>
      </c>
      <c r="BD201" s="215">
        <f t="shared" ref="BD201" si="610">COUNTIF(BD202:BD204,"✔")</f>
        <v>0</v>
      </c>
      <c r="BE201" s="215">
        <f t="shared" ref="BE201" si="611">COUNTIF(BE202:BE204,"✔")</f>
        <v>0</v>
      </c>
      <c r="BF201" s="215">
        <f t="shared" ref="BF201" si="612">COUNTIF(BF202:BF204,"✔")</f>
        <v>0</v>
      </c>
      <c r="BG201" s="215">
        <f t="shared" ref="BG201" si="613">COUNTIF(BG202:BG204,"✔")</f>
        <v>0</v>
      </c>
      <c r="BH201" s="215">
        <f t="shared" ref="BH201" si="614">COUNTIF(BH202:BH204,"✔")</f>
        <v>0</v>
      </c>
      <c r="BI201" s="215">
        <f t="shared" ref="BI201" si="615">COUNTIF(BI202:BI204,"✔")</f>
        <v>0</v>
      </c>
      <c r="BJ201" s="189"/>
      <c r="BK201" s="215">
        <f t="shared" ref="BK201" si="616">COUNTIF(BK202:BK204,"✔")</f>
        <v>0</v>
      </c>
      <c r="BL201" s="215">
        <f t="shared" ref="BL201" si="617">COUNTIF(BL202:BL204,"✔")</f>
        <v>1</v>
      </c>
      <c r="BM201" s="215">
        <f t="shared" ref="BM201" si="618">COUNTIF(BM202:BM204,"✔")</f>
        <v>1</v>
      </c>
      <c r="BN201" s="215">
        <f t="shared" ref="BN201" si="619">COUNTIF(BN202:BN204,"✔")</f>
        <v>1</v>
      </c>
      <c r="BO201" s="215">
        <f t="shared" ref="BO201" si="620">COUNTIF(BO202:BO204,"✔")</f>
        <v>0</v>
      </c>
      <c r="BP201" s="215">
        <f t="shared" ref="BP201" si="621">COUNTIF(BP202:BP204,"✔")</f>
        <v>0</v>
      </c>
      <c r="BQ201" s="215">
        <f t="shared" ref="BQ201" si="622">COUNTIF(BQ202:BQ204,"✔")</f>
        <v>0</v>
      </c>
      <c r="BR201" s="215">
        <f t="shared" ref="BR201" si="623">COUNTIF(BR202:BR204,"✔")</f>
        <v>0</v>
      </c>
      <c r="BS201" s="215">
        <f t="shared" ref="BS201" si="624">COUNTIF(BS202:BS204,"✔")</f>
        <v>0</v>
      </c>
      <c r="BT201" s="137"/>
      <c r="BU201" s="215">
        <f t="shared" ref="BU201" si="625">COUNTIF(BU202:BU204,"✔")</f>
        <v>0</v>
      </c>
      <c r="BV201" s="215">
        <f t="shared" ref="BV201" si="626">COUNTIF(BV202:BV204,"✔")</f>
        <v>0</v>
      </c>
      <c r="BW201" s="215">
        <f t="shared" ref="BW201" si="627">COUNTIF(BW202:BW204,"✔")</f>
        <v>0</v>
      </c>
      <c r="BX201" s="215">
        <f t="shared" ref="BX201" si="628">COUNTIF(BX202:BX204,"✔")</f>
        <v>0</v>
      </c>
      <c r="BY201" s="215">
        <f t="shared" ref="BY201" si="629">COUNTIF(BY202:BY204,"✔")</f>
        <v>0</v>
      </c>
      <c r="BZ201" s="137"/>
    </row>
    <row r="202" spans="2:78" ht="12.75" outlineLevel="2">
      <c r="B202" s="217" t="s">
        <v>182</v>
      </c>
      <c r="C202" s="218">
        <v>1</v>
      </c>
      <c r="D202" s="219" t="s">
        <v>177</v>
      </c>
      <c r="E202" s="137"/>
      <c r="F202" s="197">
        <f t="shared" ref="F202:H204" si="630">COUNTIF(M202,"✔")+COUNTIF(AD202,"✔")+COUNTIF(BL202,"✔")+COUNTIF(AU202,"✔")</f>
        <v>3</v>
      </c>
      <c r="G202" s="198">
        <f t="shared" si="630"/>
        <v>3</v>
      </c>
      <c r="H202" s="198">
        <f t="shared" si="630"/>
        <v>2</v>
      </c>
      <c r="I202" s="198">
        <f t="shared" ref="I202:I204" si="631">F202-G202</f>
        <v>0</v>
      </c>
      <c r="J202" s="221"/>
      <c r="K202" s="195"/>
      <c r="L202" s="196"/>
      <c r="M202" s="197" t="str">
        <f>IF('Design Fee'!W204&gt;0,"✔","-")</f>
        <v>✔</v>
      </c>
      <c r="N202" s="197" t="str">
        <f>IF('Design Fee'!X204&gt;0,"✔","-")</f>
        <v>✔</v>
      </c>
      <c r="O202" s="198" t="str">
        <f>IF('Design Fee'!Y204&gt;0,"✔","-")</f>
        <v>✔</v>
      </c>
      <c r="P202" s="198" t="str">
        <f>IF('Design Fee'!Z204&gt;0,"✔","-")</f>
        <v>-</v>
      </c>
      <c r="Q202" s="198" t="str">
        <f>IF('Design Fee'!AA204&gt;0,"✔","-")</f>
        <v>-</v>
      </c>
      <c r="R202" s="198" t="str">
        <f>IF('Design Fee'!AB204&gt;0,"✔","-")</f>
        <v>-</v>
      </c>
      <c r="S202" s="198" t="str">
        <f>IF('Design Fee'!AC204&gt;0,"✔","-")</f>
        <v>-</v>
      </c>
      <c r="T202" s="220" t="str">
        <f>IF('Design Fee'!AD204&gt;0,"✔","-")</f>
        <v>-</v>
      </c>
      <c r="U202" s="221"/>
      <c r="V202" s="198" t="str">
        <f>IF('Design Fee'!AF204&gt;0,"✔","-")</f>
        <v>-</v>
      </c>
      <c r="W202" s="198" t="str">
        <f>IF('Design Fee'!AG204&gt;0,"✔","-")</f>
        <v>-</v>
      </c>
      <c r="X202" s="198" t="str">
        <f>IF('Design Fee'!AH204&gt;0,"✔","-")</f>
        <v>-</v>
      </c>
      <c r="Y202" s="198" t="str">
        <f>IF('Design Fee'!AI204&gt;0,"✔","-")</f>
        <v>-</v>
      </c>
      <c r="Z202" s="198" t="str">
        <f>IF('Design Fee'!AJ204&gt;0,"✔","-")</f>
        <v>-</v>
      </c>
      <c r="AA202" s="221"/>
      <c r="AB202" s="195"/>
      <c r="AC202" s="196"/>
      <c r="AD202" s="197" t="str">
        <f>IF('Design Fee'!BG204&gt;0,"✔","-")</f>
        <v>✔</v>
      </c>
      <c r="AE202" s="197" t="str">
        <f>IF('Design Fee'!BH204&gt;0,"✔","-")</f>
        <v>✔</v>
      </c>
      <c r="AF202" s="198" t="str">
        <f>IF('Design Fee'!BI204&gt;0,"✔","-")</f>
        <v>-</v>
      </c>
      <c r="AG202" s="198" t="str">
        <f>IF('Design Fee'!BJ204&gt;0,"✔","-")</f>
        <v>✔</v>
      </c>
      <c r="AH202" s="198" t="str">
        <f>IF('Design Fee'!BK204&gt;0,"✔","-")</f>
        <v>✔</v>
      </c>
      <c r="AI202" s="198" t="str">
        <f>IF('Design Fee'!BL204&gt;0,"✔","-")</f>
        <v>-</v>
      </c>
      <c r="AJ202" s="198" t="str">
        <f>IF('Design Fee'!BM204&gt;0,"✔","-")</f>
        <v>-</v>
      </c>
      <c r="AK202" s="220" t="str">
        <f>IF('Design Fee'!BN204&gt;0,"✔","-")</f>
        <v>-</v>
      </c>
      <c r="AL202" s="199"/>
      <c r="AM202" s="198" t="str">
        <f>IF('Design Fee'!BP204&gt;0,"✔","-")</f>
        <v>✔</v>
      </c>
      <c r="AN202" s="198" t="str">
        <f>IF('Design Fee'!BQ204&gt;0,"✔","-")</f>
        <v>✔</v>
      </c>
      <c r="AO202" s="198" t="str">
        <f>IF('Design Fee'!BR204&gt;0,"✔","-")</f>
        <v>-</v>
      </c>
      <c r="AP202" s="198" t="str">
        <f>IF('Design Fee'!BS204&gt;0,"✔","-")</f>
        <v>-</v>
      </c>
      <c r="AQ202" s="198" t="str">
        <f>IF('Design Fee'!BT204&gt;0,"✔","-")</f>
        <v>-</v>
      </c>
      <c r="AR202" s="199"/>
      <c r="AS202" s="195"/>
      <c r="AT202" s="196"/>
      <c r="AU202" s="197" t="str">
        <f>IF('Design Fee'!CQ204&gt;0,"✔","-")</f>
        <v>✔</v>
      </c>
      <c r="AV202" s="197" t="str">
        <f>IF('Design Fee'!CR204&gt;0,"✔","-")</f>
        <v>✔</v>
      </c>
      <c r="AW202" s="198" t="str">
        <f>IF('Design Fee'!CS204&gt;0,"✔","-")</f>
        <v>✔</v>
      </c>
      <c r="AX202" s="198" t="str">
        <f>IF('Design Fee'!CT204&gt;0,"✔","-")</f>
        <v>-</v>
      </c>
      <c r="AY202" s="198" t="str">
        <f>IF('Design Fee'!CU204&gt;0,"✔","-")</f>
        <v>-</v>
      </c>
      <c r="AZ202" s="198" t="str">
        <f>IF('Design Fee'!CV204&gt;0,"✔","-")</f>
        <v>-</v>
      </c>
      <c r="BA202" s="198" t="str">
        <f>IF('Design Fee'!CW204&gt;0,"✔","-")</f>
        <v>-</v>
      </c>
      <c r="BB202" s="220" t="str">
        <f>IF('Design Fee'!CX204&gt;0,"✔","-")</f>
        <v>-</v>
      </c>
      <c r="BC202" s="199"/>
      <c r="BD202" s="198" t="str">
        <f>IF('Design Fee'!CZ204&gt;0,"✔","-")</f>
        <v>-</v>
      </c>
      <c r="BE202" s="198" t="str">
        <f>IF('Design Fee'!DA204&gt;0,"✔","-")</f>
        <v>-</v>
      </c>
      <c r="BF202" s="198" t="str">
        <f>IF('Design Fee'!DB204&gt;0,"✔","-")</f>
        <v>-</v>
      </c>
      <c r="BG202" s="198" t="str">
        <f>IF('Design Fee'!DC204&gt;0,"✔","-")</f>
        <v>-</v>
      </c>
      <c r="BH202" s="198" t="str">
        <f>IF('Design Fee'!DD204&gt;0,"✔","-")</f>
        <v>-</v>
      </c>
      <c r="BI202" s="199"/>
      <c r="BJ202" s="195"/>
      <c r="BK202" s="196"/>
      <c r="BL202" s="197" t="str">
        <f>IF('Design Fee'!EA204&gt;0,"✔","-")</f>
        <v>-</v>
      </c>
      <c r="BM202" s="197" t="str">
        <f>IF('Design Fee'!EB204&gt;0,"✔","-")</f>
        <v>-</v>
      </c>
      <c r="BN202" s="198" t="str">
        <f>IF('Design Fee'!EC204&gt;0,"✔","-")</f>
        <v>-</v>
      </c>
      <c r="BO202" s="198" t="str">
        <f>IF('Design Fee'!ED204&gt;0,"✔","-")</f>
        <v>-</v>
      </c>
      <c r="BP202" s="198" t="str">
        <f>IF('Design Fee'!EE204&gt;0,"✔","-")</f>
        <v>-</v>
      </c>
      <c r="BQ202" s="198" t="str">
        <f>IF('Design Fee'!EF204&gt;0,"✔","-")</f>
        <v>-</v>
      </c>
      <c r="BR202" s="198" t="str">
        <f>IF('Design Fee'!EG204&gt;0,"✔","-")</f>
        <v>-</v>
      </c>
      <c r="BS202" s="220" t="str">
        <f>IF('Design Fee'!EH204&gt;0,"✔","-")</f>
        <v>-</v>
      </c>
      <c r="BT202" s="137"/>
      <c r="BU202" s="198" t="str">
        <f>IF('Design Fee'!EJ204&gt;0,"✔","-")</f>
        <v>-</v>
      </c>
      <c r="BV202" s="198" t="str">
        <f>IF('Design Fee'!EK204&gt;0,"✔","-")</f>
        <v>-</v>
      </c>
      <c r="BW202" s="198" t="str">
        <f>IF('Design Fee'!EL204&gt;0,"✔","-")</f>
        <v>-</v>
      </c>
      <c r="BX202" s="198" t="str">
        <f>IF('Design Fee'!EM204&gt;0,"✔","-")</f>
        <v>-</v>
      </c>
      <c r="BY202" s="198" t="str">
        <f>IF('Design Fee'!EN204&gt;0,"✔","-")</f>
        <v>-</v>
      </c>
      <c r="BZ202" s="137"/>
    </row>
    <row r="203" spans="2:78" ht="12.75" outlineLevel="2">
      <c r="B203" s="217" t="s">
        <v>183</v>
      </c>
      <c r="C203" s="218">
        <v>2</v>
      </c>
      <c r="D203" s="219" t="s">
        <v>179</v>
      </c>
      <c r="E203" s="137"/>
      <c r="F203" s="197">
        <f t="shared" si="630"/>
        <v>3</v>
      </c>
      <c r="G203" s="198">
        <f t="shared" si="630"/>
        <v>2</v>
      </c>
      <c r="H203" s="198">
        <f t="shared" si="630"/>
        <v>1</v>
      </c>
      <c r="I203" s="198">
        <f t="shared" si="631"/>
        <v>1</v>
      </c>
      <c r="J203" s="221"/>
      <c r="K203" s="195"/>
      <c r="L203" s="196"/>
      <c r="M203" s="197" t="str">
        <f>IF('Design Fee'!W205&gt;0,"✔","-")</f>
        <v>✔</v>
      </c>
      <c r="N203" s="197" t="str">
        <f>IF('Design Fee'!X205&gt;0,"✔","-")</f>
        <v>-</v>
      </c>
      <c r="O203" s="198" t="str">
        <f>IF('Design Fee'!Y205&gt;0,"✔","-")</f>
        <v>-</v>
      </c>
      <c r="P203" s="198" t="str">
        <f>IF('Design Fee'!Z205&gt;0,"✔","-")</f>
        <v>✔</v>
      </c>
      <c r="Q203" s="198" t="str">
        <f>IF('Design Fee'!AA205&gt;0,"✔","-")</f>
        <v>✔</v>
      </c>
      <c r="R203" s="198" t="str">
        <f>IF('Design Fee'!AB205&gt;0,"✔","-")</f>
        <v>-</v>
      </c>
      <c r="S203" s="198" t="str">
        <f>IF('Design Fee'!AC205&gt;0,"✔","-")</f>
        <v>-</v>
      </c>
      <c r="T203" s="220" t="str">
        <f>IF('Design Fee'!AD205&gt;0,"✔","-")</f>
        <v>-</v>
      </c>
      <c r="U203" s="221"/>
      <c r="V203" s="198" t="str">
        <f>IF('Design Fee'!AF205&gt;0,"✔","-")</f>
        <v>-</v>
      </c>
      <c r="W203" s="198" t="str">
        <f>IF('Design Fee'!AG205&gt;0,"✔","-")</f>
        <v>-</v>
      </c>
      <c r="X203" s="198" t="str">
        <f>IF('Design Fee'!AH205&gt;0,"✔","-")</f>
        <v>-</v>
      </c>
      <c r="Y203" s="198" t="str">
        <f>IF('Design Fee'!AI205&gt;0,"✔","-")</f>
        <v>-</v>
      </c>
      <c r="Z203" s="198" t="str">
        <f>IF('Design Fee'!AJ205&gt;0,"✔","-")</f>
        <v>-</v>
      </c>
      <c r="AA203" s="221"/>
      <c r="AB203" s="195"/>
      <c r="AC203" s="196"/>
      <c r="AD203" s="197" t="str">
        <f>IF('Design Fee'!BG205&gt;0,"✔","-")</f>
        <v>✔</v>
      </c>
      <c r="AE203" s="197" t="str">
        <f>IF('Design Fee'!BH205&gt;0,"✔","-")</f>
        <v>✔</v>
      </c>
      <c r="AF203" s="198" t="str">
        <f>IF('Design Fee'!BI205&gt;0,"✔","-")</f>
        <v>-</v>
      </c>
      <c r="AG203" s="198" t="str">
        <f>IF('Design Fee'!BJ205&gt;0,"✔","-")</f>
        <v>✔</v>
      </c>
      <c r="AH203" s="198" t="str">
        <f>IF('Design Fee'!BK205&gt;0,"✔","-")</f>
        <v>✔</v>
      </c>
      <c r="AI203" s="198" t="str">
        <f>IF('Design Fee'!BL205&gt;0,"✔","-")</f>
        <v>-</v>
      </c>
      <c r="AJ203" s="198" t="str">
        <f>IF('Design Fee'!BM205&gt;0,"✔","-")</f>
        <v>-</v>
      </c>
      <c r="AK203" s="220" t="str">
        <f>IF('Design Fee'!BN205&gt;0,"✔","-")</f>
        <v>-</v>
      </c>
      <c r="AL203" s="199"/>
      <c r="AM203" s="198" t="str">
        <f>IF('Design Fee'!BP205&gt;0,"✔","-")</f>
        <v>✔</v>
      </c>
      <c r="AN203" s="198" t="str">
        <f>IF('Design Fee'!BQ205&gt;0,"✔","-")</f>
        <v>✔</v>
      </c>
      <c r="AO203" s="198" t="str">
        <f>IF('Design Fee'!BR205&gt;0,"✔","-")</f>
        <v>-</v>
      </c>
      <c r="AP203" s="198" t="str">
        <f>IF('Design Fee'!BS205&gt;0,"✔","-")</f>
        <v>-</v>
      </c>
      <c r="AQ203" s="198" t="str">
        <f>IF('Design Fee'!BT205&gt;0,"✔","-")</f>
        <v>-</v>
      </c>
      <c r="AR203" s="199"/>
      <c r="AS203" s="195"/>
      <c r="AT203" s="196"/>
      <c r="AU203" s="197" t="str">
        <f>IF('Design Fee'!CQ205&gt;0,"✔","-")</f>
        <v>✔</v>
      </c>
      <c r="AV203" s="197" t="str">
        <f>IF('Design Fee'!CR205&gt;0,"✔","-")</f>
        <v>✔</v>
      </c>
      <c r="AW203" s="198" t="str">
        <f>IF('Design Fee'!CS205&gt;0,"✔","-")</f>
        <v>✔</v>
      </c>
      <c r="AX203" s="198" t="str">
        <f>IF('Design Fee'!CT205&gt;0,"✔","-")</f>
        <v>-</v>
      </c>
      <c r="AY203" s="198" t="str">
        <f>IF('Design Fee'!CU205&gt;0,"✔","-")</f>
        <v>-</v>
      </c>
      <c r="AZ203" s="198" t="str">
        <f>IF('Design Fee'!CV205&gt;0,"✔","-")</f>
        <v>-</v>
      </c>
      <c r="BA203" s="198" t="str">
        <f>IF('Design Fee'!CW205&gt;0,"✔","-")</f>
        <v>-</v>
      </c>
      <c r="BB203" s="220" t="str">
        <f>IF('Design Fee'!CX205&gt;0,"✔","-")</f>
        <v>-</v>
      </c>
      <c r="BC203" s="199"/>
      <c r="BD203" s="198" t="str">
        <f>IF('Design Fee'!CZ205&gt;0,"✔","-")</f>
        <v>-</v>
      </c>
      <c r="BE203" s="198" t="str">
        <f>IF('Design Fee'!DA205&gt;0,"✔","-")</f>
        <v>-</v>
      </c>
      <c r="BF203" s="198" t="str">
        <f>IF('Design Fee'!DB205&gt;0,"✔","-")</f>
        <v>-</v>
      </c>
      <c r="BG203" s="198" t="str">
        <f>IF('Design Fee'!DC205&gt;0,"✔","-")</f>
        <v>-</v>
      </c>
      <c r="BH203" s="198" t="str">
        <f>IF('Design Fee'!DD205&gt;0,"✔","-")</f>
        <v>-</v>
      </c>
      <c r="BI203" s="199"/>
      <c r="BJ203" s="195"/>
      <c r="BK203" s="196"/>
      <c r="BL203" s="197" t="str">
        <f>IF('Design Fee'!EA205&gt;0,"✔","-")</f>
        <v>-</v>
      </c>
      <c r="BM203" s="197" t="str">
        <f>IF('Design Fee'!EB205&gt;0,"✔","-")</f>
        <v>-</v>
      </c>
      <c r="BN203" s="198" t="str">
        <f>IF('Design Fee'!EC205&gt;0,"✔","-")</f>
        <v>-</v>
      </c>
      <c r="BO203" s="198" t="str">
        <f>IF('Design Fee'!ED205&gt;0,"✔","-")</f>
        <v>-</v>
      </c>
      <c r="BP203" s="198" t="str">
        <f>IF('Design Fee'!EE205&gt;0,"✔","-")</f>
        <v>-</v>
      </c>
      <c r="BQ203" s="198" t="str">
        <f>IF('Design Fee'!EF205&gt;0,"✔","-")</f>
        <v>-</v>
      </c>
      <c r="BR203" s="198" t="str">
        <f>IF('Design Fee'!EG205&gt;0,"✔","-")</f>
        <v>-</v>
      </c>
      <c r="BS203" s="220" t="str">
        <f>IF('Design Fee'!EH205&gt;0,"✔","-")</f>
        <v>-</v>
      </c>
      <c r="BT203" s="137"/>
      <c r="BU203" s="198" t="str">
        <f>IF('Design Fee'!EJ205&gt;0,"✔","-")</f>
        <v>-</v>
      </c>
      <c r="BV203" s="198" t="str">
        <f>IF('Design Fee'!EK205&gt;0,"✔","-")</f>
        <v>-</v>
      </c>
      <c r="BW203" s="198" t="str">
        <f>IF('Design Fee'!EL205&gt;0,"✔","-")</f>
        <v>-</v>
      </c>
      <c r="BX203" s="198" t="str">
        <f>IF('Design Fee'!EM205&gt;0,"✔","-")</f>
        <v>-</v>
      </c>
      <c r="BY203" s="198" t="str">
        <f>IF('Design Fee'!EN205&gt;0,"✔","-")</f>
        <v>-</v>
      </c>
      <c r="BZ203" s="137"/>
    </row>
    <row r="204" spans="2:78" ht="12.75" outlineLevel="2">
      <c r="B204" s="217" t="s">
        <v>184</v>
      </c>
      <c r="C204" s="218">
        <v>3</v>
      </c>
      <c r="D204" s="219" t="s">
        <v>156</v>
      </c>
      <c r="E204" s="137"/>
      <c r="F204" s="197">
        <f t="shared" si="630"/>
        <v>3</v>
      </c>
      <c r="G204" s="198">
        <f t="shared" si="630"/>
        <v>2</v>
      </c>
      <c r="H204" s="198">
        <f t="shared" si="630"/>
        <v>2</v>
      </c>
      <c r="I204" s="198">
        <f t="shared" si="631"/>
        <v>1</v>
      </c>
      <c r="J204" s="221"/>
      <c r="K204" s="195"/>
      <c r="L204" s="196"/>
      <c r="M204" s="197" t="str">
        <f>IF('Design Fee'!W206&gt;0,"✔","-")</f>
        <v>✔</v>
      </c>
      <c r="N204" s="197" t="str">
        <f>IF('Design Fee'!X206&gt;0,"✔","-")</f>
        <v>-</v>
      </c>
      <c r="O204" s="198" t="str">
        <f>IF('Design Fee'!Y206&gt;0,"✔","-")</f>
        <v>-</v>
      </c>
      <c r="P204" s="198" t="str">
        <f>IF('Design Fee'!Z206&gt;0,"✔","-")</f>
        <v>✔</v>
      </c>
      <c r="Q204" s="198" t="str">
        <f>IF('Design Fee'!AA206&gt;0,"✔","-")</f>
        <v>✔</v>
      </c>
      <c r="R204" s="198" t="str">
        <f>IF('Design Fee'!AB206&gt;0,"✔","-")</f>
        <v>-</v>
      </c>
      <c r="S204" s="198" t="str">
        <f>IF('Design Fee'!AC206&gt;0,"✔","-")</f>
        <v>-</v>
      </c>
      <c r="T204" s="220" t="str">
        <f>IF('Design Fee'!AD206&gt;0,"✔","-")</f>
        <v>-</v>
      </c>
      <c r="U204" s="221"/>
      <c r="V204" s="198" t="str">
        <f>IF('Design Fee'!AF206&gt;0,"✔","-")</f>
        <v>-</v>
      </c>
      <c r="W204" s="198" t="str">
        <f>IF('Design Fee'!AG206&gt;0,"✔","-")</f>
        <v>-</v>
      </c>
      <c r="X204" s="198" t="str">
        <f>IF('Design Fee'!AH206&gt;0,"✔","-")</f>
        <v>-</v>
      </c>
      <c r="Y204" s="198" t="str">
        <f>IF('Design Fee'!AI206&gt;0,"✔","-")</f>
        <v>-</v>
      </c>
      <c r="Z204" s="198" t="str">
        <f>IF('Design Fee'!AJ206&gt;0,"✔","-")</f>
        <v>-</v>
      </c>
      <c r="AA204" s="221"/>
      <c r="AB204" s="195"/>
      <c r="AC204" s="196"/>
      <c r="AD204" s="197" t="str">
        <f>IF('Design Fee'!BG206&gt;0,"✔","-")</f>
        <v>-</v>
      </c>
      <c r="AE204" s="197" t="str">
        <f>IF('Design Fee'!BH206&gt;0,"✔","-")</f>
        <v>-</v>
      </c>
      <c r="AF204" s="198" t="str">
        <f>IF('Design Fee'!BI206&gt;0,"✔","-")</f>
        <v>-</v>
      </c>
      <c r="AG204" s="198" t="str">
        <f>IF('Design Fee'!BJ206&gt;0,"✔","-")</f>
        <v>-</v>
      </c>
      <c r="AH204" s="198" t="str">
        <f>IF('Design Fee'!BK206&gt;0,"✔","-")</f>
        <v>-</v>
      </c>
      <c r="AI204" s="198" t="str">
        <f>IF('Design Fee'!BL206&gt;0,"✔","-")</f>
        <v>-</v>
      </c>
      <c r="AJ204" s="198" t="str">
        <f>IF('Design Fee'!BM206&gt;0,"✔","-")</f>
        <v>-</v>
      </c>
      <c r="AK204" s="220" t="str">
        <f>IF('Design Fee'!BN206&gt;0,"✔","-")</f>
        <v>-</v>
      </c>
      <c r="AL204" s="199"/>
      <c r="AM204" s="198" t="str">
        <f>IF('Design Fee'!BP206&gt;0,"✔","-")</f>
        <v>-</v>
      </c>
      <c r="AN204" s="198" t="str">
        <f>IF('Design Fee'!BQ206&gt;0,"✔","-")</f>
        <v>-</v>
      </c>
      <c r="AO204" s="198" t="str">
        <f>IF('Design Fee'!BR206&gt;0,"✔","-")</f>
        <v>-</v>
      </c>
      <c r="AP204" s="198" t="str">
        <f>IF('Design Fee'!BS206&gt;0,"✔","-")</f>
        <v>-</v>
      </c>
      <c r="AQ204" s="198" t="str">
        <f>IF('Design Fee'!BT206&gt;0,"✔","-")</f>
        <v>-</v>
      </c>
      <c r="AR204" s="199"/>
      <c r="AS204" s="195"/>
      <c r="AT204" s="196"/>
      <c r="AU204" s="197" t="str">
        <f>IF('Design Fee'!CQ206&gt;0,"✔","-")</f>
        <v>✔</v>
      </c>
      <c r="AV204" s="197" t="str">
        <f>IF('Design Fee'!CR206&gt;0,"✔","-")</f>
        <v>✔</v>
      </c>
      <c r="AW204" s="198" t="str">
        <f>IF('Design Fee'!CS206&gt;0,"✔","-")</f>
        <v>✔</v>
      </c>
      <c r="AX204" s="198" t="str">
        <f>IF('Design Fee'!CT206&gt;0,"✔","-")</f>
        <v>-</v>
      </c>
      <c r="AY204" s="198" t="str">
        <f>IF('Design Fee'!CU206&gt;0,"✔","-")</f>
        <v>-</v>
      </c>
      <c r="AZ204" s="198" t="str">
        <f>IF('Design Fee'!CV206&gt;0,"✔","-")</f>
        <v>-</v>
      </c>
      <c r="BA204" s="198" t="str">
        <f>IF('Design Fee'!CW206&gt;0,"✔","-")</f>
        <v>-</v>
      </c>
      <c r="BB204" s="220" t="str">
        <f>IF('Design Fee'!CX206&gt;0,"✔","-")</f>
        <v>-</v>
      </c>
      <c r="BC204" s="199"/>
      <c r="BD204" s="198" t="str">
        <f>IF('Design Fee'!CZ206&gt;0,"✔","-")</f>
        <v>-</v>
      </c>
      <c r="BE204" s="198" t="str">
        <f>IF('Design Fee'!DA206&gt;0,"✔","-")</f>
        <v>-</v>
      </c>
      <c r="BF204" s="198" t="str">
        <f>IF('Design Fee'!DB206&gt;0,"✔","-")</f>
        <v>-</v>
      </c>
      <c r="BG204" s="198" t="str">
        <f>IF('Design Fee'!DC206&gt;0,"✔","-")</f>
        <v>-</v>
      </c>
      <c r="BH204" s="198" t="str">
        <f>IF('Design Fee'!DD206&gt;0,"✔","-")</f>
        <v>-</v>
      </c>
      <c r="BI204" s="199"/>
      <c r="BJ204" s="195"/>
      <c r="BK204" s="196"/>
      <c r="BL204" s="197" t="str">
        <f>IF('Design Fee'!EA206&gt;0,"✔","-")</f>
        <v>✔</v>
      </c>
      <c r="BM204" s="197" t="str">
        <f>IF('Design Fee'!EB206&gt;0,"✔","-")</f>
        <v>✔</v>
      </c>
      <c r="BN204" s="198" t="str">
        <f>IF('Design Fee'!EC206&gt;0,"✔","-")</f>
        <v>✔</v>
      </c>
      <c r="BO204" s="198" t="str">
        <f>IF('Design Fee'!ED206&gt;0,"✔","-")</f>
        <v>-</v>
      </c>
      <c r="BP204" s="198" t="str">
        <f>IF('Design Fee'!EE206&gt;0,"✔","-")</f>
        <v>-</v>
      </c>
      <c r="BQ204" s="198" t="str">
        <f>IF('Design Fee'!EF206&gt;0,"✔","-")</f>
        <v>-</v>
      </c>
      <c r="BR204" s="198" t="str">
        <f>IF('Design Fee'!EG206&gt;0,"✔","-")</f>
        <v>-</v>
      </c>
      <c r="BS204" s="220" t="str">
        <f>IF('Design Fee'!EH206&gt;0,"✔","-")</f>
        <v>-</v>
      </c>
      <c r="BT204" s="137"/>
      <c r="BU204" s="198" t="str">
        <f>IF('Design Fee'!EJ206&gt;0,"✔","-")</f>
        <v>-</v>
      </c>
      <c r="BV204" s="198" t="str">
        <f>IF('Design Fee'!EK206&gt;0,"✔","-")</f>
        <v>-</v>
      </c>
      <c r="BW204" s="198" t="str">
        <f>IF('Design Fee'!EL206&gt;0,"✔","-")</f>
        <v>-</v>
      </c>
      <c r="BX204" s="198" t="str">
        <f>IF('Design Fee'!EM206&gt;0,"✔","-")</f>
        <v>-</v>
      </c>
      <c r="BY204" s="198" t="str">
        <f>IF('Design Fee'!EN206&gt;0,"✔","-")</f>
        <v>-</v>
      </c>
      <c r="BZ204" s="137"/>
    </row>
    <row r="205" spans="2:78" ht="3" customHeight="1" outlineLevel="1">
      <c r="B205" s="138"/>
      <c r="C205" s="242"/>
      <c r="D205" s="219"/>
      <c r="E205" s="137"/>
      <c r="F205" s="162"/>
      <c r="G205" s="175"/>
      <c r="H205" s="175"/>
      <c r="I205" s="175"/>
      <c r="J205" s="221"/>
      <c r="K205" s="195"/>
      <c r="L205" s="196"/>
      <c r="M205" s="197"/>
      <c r="N205" s="197"/>
      <c r="O205" s="236"/>
      <c r="P205" s="236"/>
      <c r="Q205" s="236"/>
      <c r="R205" s="236"/>
      <c r="S205" s="236"/>
      <c r="T205" s="236"/>
      <c r="U205" s="221"/>
      <c r="V205" s="236"/>
      <c r="W205" s="236"/>
      <c r="X205" s="236"/>
      <c r="Y205" s="236"/>
      <c r="Z205" s="236"/>
      <c r="AA205" s="221"/>
      <c r="AB205" s="195"/>
      <c r="AC205" s="196"/>
      <c r="AD205" s="197"/>
      <c r="AE205" s="197"/>
      <c r="AF205" s="175"/>
      <c r="AG205" s="175"/>
      <c r="AH205" s="175"/>
      <c r="AI205" s="175"/>
      <c r="AJ205" s="175"/>
      <c r="AK205" s="175"/>
      <c r="AL205" s="175"/>
      <c r="AM205" s="175"/>
      <c r="AN205" s="175"/>
      <c r="AO205" s="175"/>
      <c r="AP205" s="175"/>
      <c r="AQ205" s="175"/>
      <c r="AR205" s="175"/>
      <c r="AS205" s="195"/>
      <c r="AT205" s="175"/>
      <c r="AU205" s="197"/>
      <c r="AV205" s="197"/>
      <c r="AW205" s="175"/>
      <c r="AX205" s="175"/>
      <c r="AY205" s="175"/>
      <c r="AZ205" s="175"/>
      <c r="BA205" s="175"/>
      <c r="BB205" s="175"/>
      <c r="BC205" s="175"/>
      <c r="BD205" s="175"/>
      <c r="BE205" s="175"/>
      <c r="BF205" s="175"/>
      <c r="BG205" s="175"/>
      <c r="BH205" s="175"/>
      <c r="BI205" s="175"/>
      <c r="BJ205" s="195"/>
      <c r="BK205" s="175"/>
      <c r="BL205" s="197"/>
      <c r="BM205" s="197"/>
      <c r="BN205" s="175"/>
      <c r="BO205" s="175"/>
      <c r="BP205" s="175"/>
      <c r="BQ205" s="175"/>
      <c r="BR205" s="175"/>
      <c r="BS205" s="175"/>
      <c r="BT205" s="137"/>
      <c r="BU205" s="175"/>
      <c r="BV205" s="175"/>
      <c r="BW205" s="175"/>
      <c r="BX205" s="175"/>
      <c r="BY205" s="175"/>
      <c r="BZ205" s="137"/>
    </row>
    <row r="206" spans="2:78" ht="12.75" outlineLevel="1">
      <c r="B206" s="186">
        <v>15</v>
      </c>
      <c r="C206" s="213">
        <v>14</v>
      </c>
      <c r="D206" s="214" t="s">
        <v>185</v>
      </c>
      <c r="E206" s="188"/>
      <c r="F206" s="215">
        <f>M206+AD206+AU206+BL206</f>
        <v>30</v>
      </c>
      <c r="G206" s="215">
        <f t="shared" ref="G206:I206" si="632">N206+AE206+AV206+BM206</f>
        <v>29</v>
      </c>
      <c r="H206" s="215">
        <f t="shared" si="632"/>
        <v>25</v>
      </c>
      <c r="I206" s="215">
        <f t="shared" si="632"/>
        <v>5</v>
      </c>
      <c r="J206" s="192">
        <f t="shared" ref="J206" si="633">COUNT(J207:J211)</f>
        <v>0</v>
      </c>
      <c r="K206" s="189"/>
      <c r="L206" s="189"/>
      <c r="M206" s="215">
        <f t="shared" ref="M206:AA206" si="634">COUNTIF(M207:M216,"✔")</f>
        <v>10</v>
      </c>
      <c r="N206" s="215">
        <f t="shared" si="634"/>
        <v>9</v>
      </c>
      <c r="O206" s="215">
        <f t="shared" si="634"/>
        <v>6</v>
      </c>
      <c r="P206" s="215">
        <f t="shared" si="634"/>
        <v>4</v>
      </c>
      <c r="Q206" s="215">
        <f t="shared" si="634"/>
        <v>4</v>
      </c>
      <c r="R206" s="215">
        <f t="shared" si="634"/>
        <v>0</v>
      </c>
      <c r="S206" s="215">
        <f t="shared" si="634"/>
        <v>0</v>
      </c>
      <c r="T206" s="215">
        <f t="shared" si="634"/>
        <v>0</v>
      </c>
      <c r="U206" s="215">
        <f t="shared" si="634"/>
        <v>0</v>
      </c>
      <c r="V206" s="215">
        <f t="shared" si="634"/>
        <v>3</v>
      </c>
      <c r="W206" s="215">
        <f t="shared" si="634"/>
        <v>3</v>
      </c>
      <c r="X206" s="215">
        <f t="shared" si="634"/>
        <v>0</v>
      </c>
      <c r="Y206" s="215">
        <f t="shared" si="634"/>
        <v>0</v>
      </c>
      <c r="Z206" s="215">
        <f t="shared" si="634"/>
        <v>0</v>
      </c>
      <c r="AA206" s="215">
        <f t="shared" si="634"/>
        <v>0</v>
      </c>
      <c r="AB206" s="189"/>
      <c r="AC206" s="215">
        <f t="shared" ref="AC206:AR206" si="635">COUNTIF(AC207:AC216,"✔")</f>
        <v>0</v>
      </c>
      <c r="AD206" s="215">
        <f t="shared" si="635"/>
        <v>0</v>
      </c>
      <c r="AE206" s="215">
        <f t="shared" si="635"/>
        <v>0</v>
      </c>
      <c r="AF206" s="215">
        <f t="shared" si="635"/>
        <v>0</v>
      </c>
      <c r="AG206" s="215">
        <f t="shared" si="635"/>
        <v>0</v>
      </c>
      <c r="AH206" s="215">
        <f t="shared" si="635"/>
        <v>0</v>
      </c>
      <c r="AI206" s="215">
        <f t="shared" si="635"/>
        <v>0</v>
      </c>
      <c r="AJ206" s="215">
        <f t="shared" si="635"/>
        <v>0</v>
      </c>
      <c r="AK206" s="215">
        <f t="shared" si="635"/>
        <v>0</v>
      </c>
      <c r="AL206" s="215">
        <f t="shared" si="635"/>
        <v>0</v>
      </c>
      <c r="AM206" s="215">
        <f t="shared" si="635"/>
        <v>0</v>
      </c>
      <c r="AN206" s="215">
        <f t="shared" si="635"/>
        <v>0</v>
      </c>
      <c r="AO206" s="215">
        <f t="shared" si="635"/>
        <v>0</v>
      </c>
      <c r="AP206" s="215">
        <f t="shared" si="635"/>
        <v>0</v>
      </c>
      <c r="AQ206" s="215">
        <f t="shared" si="635"/>
        <v>0</v>
      </c>
      <c r="AR206" s="215">
        <f t="shared" si="635"/>
        <v>0</v>
      </c>
      <c r="AS206" s="189"/>
      <c r="AT206" s="215">
        <f t="shared" ref="AT206:BI206" si="636">COUNTIF(AT207:AT216,"✔")</f>
        <v>0</v>
      </c>
      <c r="AU206" s="215">
        <f t="shared" si="636"/>
        <v>10</v>
      </c>
      <c r="AV206" s="215">
        <f t="shared" si="636"/>
        <v>10</v>
      </c>
      <c r="AW206" s="215">
        <f t="shared" si="636"/>
        <v>9</v>
      </c>
      <c r="AX206" s="215">
        <f t="shared" si="636"/>
        <v>1</v>
      </c>
      <c r="AY206" s="215">
        <f t="shared" si="636"/>
        <v>1</v>
      </c>
      <c r="AZ206" s="215">
        <f t="shared" si="636"/>
        <v>0</v>
      </c>
      <c r="BA206" s="215">
        <f t="shared" si="636"/>
        <v>0</v>
      </c>
      <c r="BB206" s="215">
        <f t="shared" si="636"/>
        <v>0</v>
      </c>
      <c r="BC206" s="215">
        <f t="shared" si="636"/>
        <v>0</v>
      </c>
      <c r="BD206" s="215">
        <f t="shared" si="636"/>
        <v>1</v>
      </c>
      <c r="BE206" s="215">
        <f t="shared" si="636"/>
        <v>0</v>
      </c>
      <c r="BF206" s="215">
        <f t="shared" si="636"/>
        <v>1</v>
      </c>
      <c r="BG206" s="215">
        <f t="shared" si="636"/>
        <v>0</v>
      </c>
      <c r="BH206" s="215">
        <f t="shared" si="636"/>
        <v>0</v>
      </c>
      <c r="BI206" s="215">
        <f t="shared" si="636"/>
        <v>0</v>
      </c>
      <c r="BJ206" s="189"/>
      <c r="BK206" s="215">
        <f t="shared" ref="BK206:BS206" si="637">COUNTIF(BK207:BK216,"✔")</f>
        <v>0</v>
      </c>
      <c r="BL206" s="215">
        <f t="shared" si="637"/>
        <v>10</v>
      </c>
      <c r="BM206" s="215">
        <f t="shared" si="637"/>
        <v>10</v>
      </c>
      <c r="BN206" s="215">
        <f t="shared" si="637"/>
        <v>10</v>
      </c>
      <c r="BO206" s="215">
        <f t="shared" si="637"/>
        <v>0</v>
      </c>
      <c r="BP206" s="215">
        <f t="shared" si="637"/>
        <v>0</v>
      </c>
      <c r="BQ206" s="215">
        <f t="shared" si="637"/>
        <v>0</v>
      </c>
      <c r="BR206" s="215">
        <f t="shared" si="637"/>
        <v>0</v>
      </c>
      <c r="BS206" s="215">
        <f t="shared" si="637"/>
        <v>0</v>
      </c>
      <c r="BT206" s="137"/>
      <c r="BU206" s="215">
        <f>COUNTIF(BU207:BU216,"✔")</f>
        <v>0</v>
      </c>
      <c r="BV206" s="215">
        <f>COUNTIF(BV207:BV216,"✔")</f>
        <v>0</v>
      </c>
      <c r="BW206" s="215">
        <f>COUNTIF(BW207:BW216,"✔")</f>
        <v>0</v>
      </c>
      <c r="BX206" s="215">
        <f>COUNTIF(BX207:BX216,"✔")</f>
        <v>0</v>
      </c>
      <c r="BY206" s="215">
        <f>COUNTIF(BY207:BY216,"✔")</f>
        <v>0</v>
      </c>
      <c r="BZ206" s="137"/>
    </row>
    <row r="207" spans="2:78" ht="12.75" outlineLevel="2">
      <c r="B207" s="217" t="s">
        <v>186</v>
      </c>
      <c r="C207" s="218">
        <v>1</v>
      </c>
      <c r="D207" s="224" t="s">
        <v>187</v>
      </c>
      <c r="E207" s="137"/>
      <c r="F207" s="197">
        <f t="shared" ref="F207:F216" si="638">COUNTIF(M207,"✔")+COUNTIF(AD207,"✔")+COUNTIF(BL207,"✔")+COUNTIF(AU207,"✔")</f>
        <v>3</v>
      </c>
      <c r="G207" s="198">
        <f t="shared" ref="G207:H216" si="639">COUNTIF(N207,"✔")+COUNTIF(AE207,"✔")+COUNTIF(BM207,"✔")+COUNTIF(AV207,"✔")</f>
        <v>3</v>
      </c>
      <c r="H207" s="198">
        <f t="shared" si="639"/>
        <v>3</v>
      </c>
      <c r="I207" s="198">
        <f t="shared" ref="I207:I216" si="640">F207-G207</f>
        <v>0</v>
      </c>
      <c r="J207" s="221"/>
      <c r="K207" s="195"/>
      <c r="L207" s="196"/>
      <c r="M207" s="197" t="str">
        <f>IF('Design Fee'!W209&gt;0,"✔","-")</f>
        <v>✔</v>
      </c>
      <c r="N207" s="197" t="str">
        <f>IF('Design Fee'!X209&gt;0,"✔","-")</f>
        <v>✔</v>
      </c>
      <c r="O207" s="198" t="str">
        <f>IF('Design Fee'!Y209&gt;0,"✔","-")</f>
        <v>✔</v>
      </c>
      <c r="P207" s="198" t="str">
        <f>IF('Design Fee'!Z209&gt;0,"✔","-")</f>
        <v>-</v>
      </c>
      <c r="Q207" s="198" t="str">
        <f>IF('Design Fee'!AA209&gt;0,"✔","-")</f>
        <v>-</v>
      </c>
      <c r="R207" s="198" t="str">
        <f>IF('Design Fee'!AB209&gt;0,"✔","-")</f>
        <v>-</v>
      </c>
      <c r="S207" s="198" t="str">
        <f>IF('Design Fee'!AC209&gt;0,"✔","-")</f>
        <v>-</v>
      </c>
      <c r="T207" s="220" t="str">
        <f>IF('Design Fee'!AD209&gt;0,"✔","-")</f>
        <v>-</v>
      </c>
      <c r="U207" s="221"/>
      <c r="V207" s="198" t="str">
        <f>IF('Design Fee'!AF209&gt;0,"✔","-")</f>
        <v>-</v>
      </c>
      <c r="W207" s="198" t="str">
        <f>IF('Design Fee'!AG209&gt;0,"✔","-")</f>
        <v>-</v>
      </c>
      <c r="X207" s="198" t="str">
        <f>IF('Design Fee'!AH209&gt;0,"✔","-")</f>
        <v>-</v>
      </c>
      <c r="Y207" s="198" t="str">
        <f>IF('Design Fee'!AI209&gt;0,"✔","-")</f>
        <v>-</v>
      </c>
      <c r="Z207" s="198" t="str">
        <f>IF('Design Fee'!AJ209&gt;0,"✔","-")</f>
        <v>-</v>
      </c>
      <c r="AA207" s="221"/>
      <c r="AB207" s="195"/>
      <c r="AC207" s="196"/>
      <c r="AD207" s="197" t="str">
        <f>IF('Design Fee'!BG209&gt;0,"✔","-")</f>
        <v>-</v>
      </c>
      <c r="AE207" s="197" t="str">
        <f>IF('Design Fee'!BH209&gt;0,"✔","-")</f>
        <v>-</v>
      </c>
      <c r="AF207" s="198" t="str">
        <f>IF('Design Fee'!BI209&gt;0,"✔","-")</f>
        <v>-</v>
      </c>
      <c r="AG207" s="198" t="str">
        <f>IF('Design Fee'!BJ209&gt;0,"✔","-")</f>
        <v>-</v>
      </c>
      <c r="AH207" s="198" t="str">
        <f>IF('Design Fee'!BK209&gt;0,"✔","-")</f>
        <v>-</v>
      </c>
      <c r="AI207" s="198" t="str">
        <f>IF('Design Fee'!BL209&gt;0,"✔","-")</f>
        <v>-</v>
      </c>
      <c r="AJ207" s="198" t="str">
        <f>IF('Design Fee'!BM209&gt;0,"✔","-")</f>
        <v>-</v>
      </c>
      <c r="AK207" s="220" t="str">
        <f>IF('Design Fee'!BN209&gt;0,"✔","-")</f>
        <v>-</v>
      </c>
      <c r="AL207" s="199"/>
      <c r="AM207" s="198" t="str">
        <f>IF('Design Fee'!BP209&gt;0,"✔","-")</f>
        <v>-</v>
      </c>
      <c r="AN207" s="198" t="str">
        <f>IF('Design Fee'!BQ209&gt;0,"✔","-")</f>
        <v>-</v>
      </c>
      <c r="AO207" s="198" t="str">
        <f>IF('Design Fee'!BR209&gt;0,"✔","-")</f>
        <v>-</v>
      </c>
      <c r="AP207" s="198" t="str">
        <f>IF('Design Fee'!BS209&gt;0,"✔","-")</f>
        <v>-</v>
      </c>
      <c r="AQ207" s="198" t="str">
        <f>IF('Design Fee'!BT209&gt;0,"✔","-")</f>
        <v>-</v>
      </c>
      <c r="AR207" s="199"/>
      <c r="AS207" s="195"/>
      <c r="AT207" s="196"/>
      <c r="AU207" s="197" t="str">
        <f>IF('Design Fee'!CQ209&gt;0,"✔","-")</f>
        <v>✔</v>
      </c>
      <c r="AV207" s="197" t="str">
        <f>IF('Design Fee'!CR209&gt;0,"✔","-")</f>
        <v>✔</v>
      </c>
      <c r="AW207" s="198" t="str">
        <f>IF('Design Fee'!CS209&gt;0,"✔","-")</f>
        <v>✔</v>
      </c>
      <c r="AX207" s="198" t="str">
        <f>IF('Design Fee'!CT209&gt;0,"✔","-")</f>
        <v>-</v>
      </c>
      <c r="AY207" s="198" t="str">
        <f>IF('Design Fee'!CU209&gt;0,"✔","-")</f>
        <v>-</v>
      </c>
      <c r="AZ207" s="198" t="str">
        <f>IF('Design Fee'!CV209&gt;0,"✔","-")</f>
        <v>-</v>
      </c>
      <c r="BA207" s="198" t="str">
        <f>IF('Design Fee'!CW209&gt;0,"✔","-")</f>
        <v>-</v>
      </c>
      <c r="BB207" s="220" t="str">
        <f>IF('Design Fee'!CX209&gt;0,"✔","-")</f>
        <v>-</v>
      </c>
      <c r="BC207" s="199"/>
      <c r="BD207" s="198" t="str">
        <f>IF('Design Fee'!CZ209&gt;0,"✔","-")</f>
        <v>-</v>
      </c>
      <c r="BE207" s="198" t="str">
        <f>IF('Design Fee'!DA209&gt;0,"✔","-")</f>
        <v>-</v>
      </c>
      <c r="BF207" s="198" t="str">
        <f>IF('Design Fee'!DB209&gt;0,"✔","-")</f>
        <v>-</v>
      </c>
      <c r="BG207" s="198" t="str">
        <f>IF('Design Fee'!DC209&gt;0,"✔","-")</f>
        <v>-</v>
      </c>
      <c r="BH207" s="198" t="str">
        <f>IF('Design Fee'!DD209&gt;0,"✔","-")</f>
        <v>-</v>
      </c>
      <c r="BI207" s="199"/>
      <c r="BJ207" s="195"/>
      <c r="BK207" s="196"/>
      <c r="BL207" s="197" t="str">
        <f>IF('Design Fee'!EA209&gt;0,"✔","-")</f>
        <v>✔</v>
      </c>
      <c r="BM207" s="197" t="str">
        <f>IF('Design Fee'!EB209&gt;0,"✔","-")</f>
        <v>✔</v>
      </c>
      <c r="BN207" s="198" t="str">
        <f>IF('Design Fee'!EC209&gt;0,"✔","-")</f>
        <v>✔</v>
      </c>
      <c r="BO207" s="198" t="str">
        <f>IF('Design Fee'!ED209&gt;0,"✔","-")</f>
        <v>-</v>
      </c>
      <c r="BP207" s="198" t="str">
        <f>IF('Design Fee'!EE209&gt;0,"✔","-")</f>
        <v>-</v>
      </c>
      <c r="BQ207" s="198" t="str">
        <f>IF('Design Fee'!EF209&gt;0,"✔","-")</f>
        <v>-</v>
      </c>
      <c r="BR207" s="198" t="str">
        <f>IF('Design Fee'!EG209&gt;0,"✔","-")</f>
        <v>-</v>
      </c>
      <c r="BS207" s="220" t="str">
        <f>IF('Design Fee'!EH209&gt;0,"✔","-")</f>
        <v>-</v>
      </c>
      <c r="BT207" s="137"/>
      <c r="BU207" s="198" t="str">
        <f>IF('Design Fee'!EJ209&gt;0,"✔","-")</f>
        <v>-</v>
      </c>
      <c r="BV207" s="198" t="str">
        <f>IF('Design Fee'!EK209&gt;0,"✔","-")</f>
        <v>-</v>
      </c>
      <c r="BW207" s="198" t="str">
        <f>IF('Design Fee'!EL209&gt;0,"✔","-")</f>
        <v>-</v>
      </c>
      <c r="BX207" s="198" t="str">
        <f>IF('Design Fee'!EM209&gt;0,"✔","-")</f>
        <v>-</v>
      </c>
      <c r="BY207" s="198" t="str">
        <f>IF('Design Fee'!EN209&gt;0,"✔","-")</f>
        <v>-</v>
      </c>
      <c r="BZ207" s="137"/>
    </row>
    <row r="208" spans="2:78" ht="12.75" outlineLevel="2">
      <c r="B208" s="217" t="s">
        <v>188</v>
      </c>
      <c r="C208" s="218">
        <v>2</v>
      </c>
      <c r="D208" s="224" t="s">
        <v>189</v>
      </c>
      <c r="E208" s="137"/>
      <c r="F208" s="197">
        <f t="shared" si="638"/>
        <v>3</v>
      </c>
      <c r="G208" s="198">
        <f t="shared" si="639"/>
        <v>3</v>
      </c>
      <c r="H208" s="198">
        <f t="shared" si="639"/>
        <v>3</v>
      </c>
      <c r="I208" s="198">
        <f t="shared" si="640"/>
        <v>0</v>
      </c>
      <c r="J208" s="221"/>
      <c r="K208" s="195"/>
      <c r="L208" s="196"/>
      <c r="M208" s="197" t="str">
        <f>IF('Design Fee'!W210&gt;0,"✔","-")</f>
        <v>✔</v>
      </c>
      <c r="N208" s="197" t="str">
        <f>IF('Design Fee'!X210&gt;0,"✔","-")</f>
        <v>✔</v>
      </c>
      <c r="O208" s="198" t="str">
        <f>IF('Design Fee'!Y210&gt;0,"✔","-")</f>
        <v>✔</v>
      </c>
      <c r="P208" s="198" t="str">
        <f>IF('Design Fee'!Z210&gt;0,"✔","-")</f>
        <v>-</v>
      </c>
      <c r="Q208" s="198" t="str">
        <f>IF('Design Fee'!AA210&gt;0,"✔","-")</f>
        <v>-</v>
      </c>
      <c r="R208" s="198" t="str">
        <f>IF('Design Fee'!AB210&gt;0,"✔","-")</f>
        <v>-</v>
      </c>
      <c r="S208" s="198" t="str">
        <f>IF('Design Fee'!AC210&gt;0,"✔","-")</f>
        <v>-</v>
      </c>
      <c r="T208" s="220" t="str">
        <f>IF('Design Fee'!AD210&gt;0,"✔","-")</f>
        <v>-</v>
      </c>
      <c r="U208" s="221"/>
      <c r="V208" s="198" t="str">
        <f>IF('Design Fee'!AF210&gt;0,"✔","-")</f>
        <v>-</v>
      </c>
      <c r="W208" s="198" t="str">
        <f>IF('Design Fee'!AG210&gt;0,"✔","-")</f>
        <v>-</v>
      </c>
      <c r="X208" s="198" t="str">
        <f>IF('Design Fee'!AH210&gt;0,"✔","-")</f>
        <v>-</v>
      </c>
      <c r="Y208" s="198" t="str">
        <f>IF('Design Fee'!AI210&gt;0,"✔","-")</f>
        <v>-</v>
      </c>
      <c r="Z208" s="198" t="str">
        <f>IF('Design Fee'!AJ210&gt;0,"✔","-")</f>
        <v>-</v>
      </c>
      <c r="AA208" s="221"/>
      <c r="AB208" s="195"/>
      <c r="AC208" s="196"/>
      <c r="AD208" s="197" t="str">
        <f>IF('Design Fee'!BG210&gt;0,"✔","-")</f>
        <v>-</v>
      </c>
      <c r="AE208" s="197" t="str">
        <f>IF('Design Fee'!BH210&gt;0,"✔","-")</f>
        <v>-</v>
      </c>
      <c r="AF208" s="198" t="str">
        <f>IF('Design Fee'!BI210&gt;0,"✔","-")</f>
        <v>-</v>
      </c>
      <c r="AG208" s="198" t="str">
        <f>IF('Design Fee'!BJ210&gt;0,"✔","-")</f>
        <v>-</v>
      </c>
      <c r="AH208" s="198" t="str">
        <f>IF('Design Fee'!BK210&gt;0,"✔","-")</f>
        <v>-</v>
      </c>
      <c r="AI208" s="198" t="str">
        <f>IF('Design Fee'!BL210&gt;0,"✔","-")</f>
        <v>-</v>
      </c>
      <c r="AJ208" s="198" t="str">
        <f>IF('Design Fee'!BM210&gt;0,"✔","-")</f>
        <v>-</v>
      </c>
      <c r="AK208" s="220" t="str">
        <f>IF('Design Fee'!BN210&gt;0,"✔","-")</f>
        <v>-</v>
      </c>
      <c r="AL208" s="199"/>
      <c r="AM208" s="198" t="str">
        <f>IF('Design Fee'!BP210&gt;0,"✔","-")</f>
        <v>-</v>
      </c>
      <c r="AN208" s="198" t="str">
        <f>IF('Design Fee'!BQ210&gt;0,"✔","-")</f>
        <v>-</v>
      </c>
      <c r="AO208" s="198" t="str">
        <f>IF('Design Fee'!BR210&gt;0,"✔","-")</f>
        <v>-</v>
      </c>
      <c r="AP208" s="198" t="str">
        <f>IF('Design Fee'!BS210&gt;0,"✔","-")</f>
        <v>-</v>
      </c>
      <c r="AQ208" s="198" t="str">
        <f>IF('Design Fee'!BT210&gt;0,"✔","-")</f>
        <v>-</v>
      </c>
      <c r="AR208" s="199"/>
      <c r="AS208" s="195"/>
      <c r="AT208" s="196"/>
      <c r="AU208" s="197" t="str">
        <f>IF('Design Fee'!CQ210&gt;0,"✔","-")</f>
        <v>✔</v>
      </c>
      <c r="AV208" s="197" t="str">
        <f>IF('Design Fee'!CR210&gt;0,"✔","-")</f>
        <v>✔</v>
      </c>
      <c r="AW208" s="198" t="str">
        <f>IF('Design Fee'!CS210&gt;0,"✔","-")</f>
        <v>✔</v>
      </c>
      <c r="AX208" s="198" t="str">
        <f>IF('Design Fee'!CT210&gt;0,"✔","-")</f>
        <v>-</v>
      </c>
      <c r="AY208" s="198" t="str">
        <f>IF('Design Fee'!CU210&gt;0,"✔","-")</f>
        <v>-</v>
      </c>
      <c r="AZ208" s="198" t="str">
        <f>IF('Design Fee'!CV210&gt;0,"✔","-")</f>
        <v>-</v>
      </c>
      <c r="BA208" s="198" t="str">
        <f>IF('Design Fee'!CW210&gt;0,"✔","-")</f>
        <v>-</v>
      </c>
      <c r="BB208" s="220" t="str">
        <f>IF('Design Fee'!CX210&gt;0,"✔","-")</f>
        <v>-</v>
      </c>
      <c r="BC208" s="199"/>
      <c r="BD208" s="198" t="str">
        <f>IF('Design Fee'!CZ210&gt;0,"✔","-")</f>
        <v>-</v>
      </c>
      <c r="BE208" s="198" t="str">
        <f>IF('Design Fee'!DA210&gt;0,"✔","-")</f>
        <v>-</v>
      </c>
      <c r="BF208" s="198" t="str">
        <f>IF('Design Fee'!DB210&gt;0,"✔","-")</f>
        <v>-</v>
      </c>
      <c r="BG208" s="198" t="str">
        <f>IF('Design Fee'!DC210&gt;0,"✔","-")</f>
        <v>-</v>
      </c>
      <c r="BH208" s="198" t="str">
        <f>IF('Design Fee'!DD210&gt;0,"✔","-")</f>
        <v>-</v>
      </c>
      <c r="BI208" s="199"/>
      <c r="BJ208" s="195"/>
      <c r="BK208" s="196"/>
      <c r="BL208" s="197" t="str">
        <f>IF('Design Fee'!EA210&gt;0,"✔","-")</f>
        <v>✔</v>
      </c>
      <c r="BM208" s="197" t="str">
        <f>IF('Design Fee'!EB210&gt;0,"✔","-")</f>
        <v>✔</v>
      </c>
      <c r="BN208" s="198" t="str">
        <f>IF('Design Fee'!EC210&gt;0,"✔","-")</f>
        <v>✔</v>
      </c>
      <c r="BO208" s="198" t="str">
        <f>IF('Design Fee'!ED210&gt;0,"✔","-")</f>
        <v>-</v>
      </c>
      <c r="BP208" s="198" t="str">
        <f>IF('Design Fee'!EE210&gt;0,"✔","-")</f>
        <v>-</v>
      </c>
      <c r="BQ208" s="198" t="str">
        <f>IF('Design Fee'!EF210&gt;0,"✔","-")</f>
        <v>-</v>
      </c>
      <c r="BR208" s="198" t="str">
        <f>IF('Design Fee'!EG210&gt;0,"✔","-")</f>
        <v>-</v>
      </c>
      <c r="BS208" s="220" t="str">
        <f>IF('Design Fee'!EH210&gt;0,"✔","-")</f>
        <v>-</v>
      </c>
      <c r="BT208" s="137"/>
      <c r="BU208" s="198" t="str">
        <f>IF('Design Fee'!EJ210&gt;0,"✔","-")</f>
        <v>-</v>
      </c>
      <c r="BV208" s="198" t="str">
        <f>IF('Design Fee'!EK210&gt;0,"✔","-")</f>
        <v>-</v>
      </c>
      <c r="BW208" s="198" t="str">
        <f>IF('Design Fee'!EL210&gt;0,"✔","-")</f>
        <v>-</v>
      </c>
      <c r="BX208" s="198" t="str">
        <f>IF('Design Fee'!EM210&gt;0,"✔","-")</f>
        <v>-</v>
      </c>
      <c r="BY208" s="198" t="str">
        <f>IF('Design Fee'!EN210&gt;0,"✔","-")</f>
        <v>-</v>
      </c>
      <c r="BZ208" s="137"/>
    </row>
    <row r="209" spans="1:78" ht="12.75" outlineLevel="2">
      <c r="A209" s="137"/>
      <c r="B209" s="217" t="s">
        <v>190</v>
      </c>
      <c r="C209" s="218">
        <v>3</v>
      </c>
      <c r="D209" s="224" t="s">
        <v>191</v>
      </c>
      <c r="E209" s="137"/>
      <c r="F209" s="197">
        <f t="shared" si="638"/>
        <v>3</v>
      </c>
      <c r="G209" s="198">
        <f t="shared" si="639"/>
        <v>3</v>
      </c>
      <c r="H209" s="198">
        <f t="shared" si="639"/>
        <v>3</v>
      </c>
      <c r="I209" s="198">
        <f t="shared" si="640"/>
        <v>0</v>
      </c>
      <c r="J209" s="221"/>
      <c r="K209" s="195"/>
      <c r="L209" s="196"/>
      <c r="M209" s="197" t="str">
        <f>IF('Design Fee'!W211&gt;0,"✔","-")</f>
        <v>✔</v>
      </c>
      <c r="N209" s="197" t="str">
        <f>IF('Design Fee'!X211&gt;0,"✔","-")</f>
        <v>✔</v>
      </c>
      <c r="O209" s="198" t="str">
        <f>IF('Design Fee'!Y211&gt;0,"✔","-")</f>
        <v>✔</v>
      </c>
      <c r="P209" s="198" t="str">
        <f>IF('Design Fee'!Z211&gt;0,"✔","-")</f>
        <v>-</v>
      </c>
      <c r="Q209" s="198" t="str">
        <f>IF('Design Fee'!AA211&gt;0,"✔","-")</f>
        <v>-</v>
      </c>
      <c r="R209" s="198" t="str">
        <f>IF('Design Fee'!AB211&gt;0,"✔","-")</f>
        <v>-</v>
      </c>
      <c r="S209" s="198" t="str">
        <f>IF('Design Fee'!AC211&gt;0,"✔","-")</f>
        <v>-</v>
      </c>
      <c r="T209" s="220" t="str">
        <f>IF('Design Fee'!AD211&gt;0,"✔","-")</f>
        <v>-</v>
      </c>
      <c r="U209" s="221"/>
      <c r="V209" s="198" t="str">
        <f>IF('Design Fee'!AF211&gt;0,"✔","-")</f>
        <v>-</v>
      </c>
      <c r="W209" s="198" t="str">
        <f>IF('Design Fee'!AG211&gt;0,"✔","-")</f>
        <v>-</v>
      </c>
      <c r="X209" s="198" t="str">
        <f>IF('Design Fee'!AH211&gt;0,"✔","-")</f>
        <v>-</v>
      </c>
      <c r="Y209" s="198" t="str">
        <f>IF('Design Fee'!AI211&gt;0,"✔","-")</f>
        <v>-</v>
      </c>
      <c r="Z209" s="198" t="str">
        <f>IF('Design Fee'!AJ211&gt;0,"✔","-")</f>
        <v>-</v>
      </c>
      <c r="AA209" s="221"/>
      <c r="AB209" s="195"/>
      <c r="AC209" s="196"/>
      <c r="AD209" s="197" t="str">
        <f>IF('Design Fee'!BG211&gt;0,"✔","-")</f>
        <v>-</v>
      </c>
      <c r="AE209" s="197" t="str">
        <f>IF('Design Fee'!BH211&gt;0,"✔","-")</f>
        <v>-</v>
      </c>
      <c r="AF209" s="198" t="str">
        <f>IF('Design Fee'!BI211&gt;0,"✔","-")</f>
        <v>-</v>
      </c>
      <c r="AG209" s="198" t="str">
        <f>IF('Design Fee'!BJ211&gt;0,"✔","-")</f>
        <v>-</v>
      </c>
      <c r="AH209" s="198" t="str">
        <f>IF('Design Fee'!BK211&gt;0,"✔","-")</f>
        <v>-</v>
      </c>
      <c r="AI209" s="198" t="str">
        <f>IF('Design Fee'!BL211&gt;0,"✔","-")</f>
        <v>-</v>
      </c>
      <c r="AJ209" s="198" t="str">
        <f>IF('Design Fee'!BM211&gt;0,"✔","-")</f>
        <v>-</v>
      </c>
      <c r="AK209" s="220" t="str">
        <f>IF('Design Fee'!BN211&gt;0,"✔","-")</f>
        <v>-</v>
      </c>
      <c r="AL209" s="199"/>
      <c r="AM209" s="198" t="str">
        <f>IF('Design Fee'!BP211&gt;0,"✔","-")</f>
        <v>-</v>
      </c>
      <c r="AN209" s="198" t="str">
        <f>IF('Design Fee'!BQ211&gt;0,"✔","-")</f>
        <v>-</v>
      </c>
      <c r="AO209" s="198" t="str">
        <f>IF('Design Fee'!BR211&gt;0,"✔","-")</f>
        <v>-</v>
      </c>
      <c r="AP209" s="198" t="str">
        <f>IF('Design Fee'!BS211&gt;0,"✔","-")</f>
        <v>-</v>
      </c>
      <c r="AQ209" s="198" t="str">
        <f>IF('Design Fee'!BT211&gt;0,"✔","-")</f>
        <v>-</v>
      </c>
      <c r="AR209" s="199"/>
      <c r="AS209" s="195"/>
      <c r="AT209" s="196"/>
      <c r="AU209" s="197" t="str">
        <f>IF('Design Fee'!CQ211&gt;0,"✔","-")</f>
        <v>✔</v>
      </c>
      <c r="AV209" s="197" t="str">
        <f>IF('Design Fee'!CR211&gt;0,"✔","-")</f>
        <v>✔</v>
      </c>
      <c r="AW209" s="198" t="str">
        <f>IF('Design Fee'!CS211&gt;0,"✔","-")</f>
        <v>✔</v>
      </c>
      <c r="AX209" s="198" t="str">
        <f>IF('Design Fee'!CT211&gt;0,"✔","-")</f>
        <v>-</v>
      </c>
      <c r="AY209" s="198" t="str">
        <f>IF('Design Fee'!CU211&gt;0,"✔","-")</f>
        <v>-</v>
      </c>
      <c r="AZ209" s="198" t="str">
        <f>IF('Design Fee'!CV211&gt;0,"✔","-")</f>
        <v>-</v>
      </c>
      <c r="BA209" s="198" t="str">
        <f>IF('Design Fee'!CW211&gt;0,"✔","-")</f>
        <v>-</v>
      </c>
      <c r="BB209" s="220" t="str">
        <f>IF('Design Fee'!CX211&gt;0,"✔","-")</f>
        <v>-</v>
      </c>
      <c r="BC209" s="199"/>
      <c r="BD209" s="198" t="str">
        <f>IF('Design Fee'!CZ211&gt;0,"✔","-")</f>
        <v>-</v>
      </c>
      <c r="BE209" s="198" t="str">
        <f>IF('Design Fee'!DA211&gt;0,"✔","-")</f>
        <v>-</v>
      </c>
      <c r="BF209" s="198" t="str">
        <f>IF('Design Fee'!DB211&gt;0,"✔","-")</f>
        <v>-</v>
      </c>
      <c r="BG209" s="198" t="str">
        <f>IF('Design Fee'!DC211&gt;0,"✔","-")</f>
        <v>-</v>
      </c>
      <c r="BH209" s="198" t="str">
        <f>IF('Design Fee'!DD211&gt;0,"✔","-")</f>
        <v>-</v>
      </c>
      <c r="BI209" s="199"/>
      <c r="BJ209" s="195"/>
      <c r="BK209" s="196"/>
      <c r="BL209" s="197" t="str">
        <f>IF('Design Fee'!EA211&gt;0,"✔","-")</f>
        <v>✔</v>
      </c>
      <c r="BM209" s="197" t="str">
        <f>IF('Design Fee'!EB211&gt;0,"✔","-")</f>
        <v>✔</v>
      </c>
      <c r="BN209" s="198" t="str">
        <f>IF('Design Fee'!EC211&gt;0,"✔","-")</f>
        <v>✔</v>
      </c>
      <c r="BO209" s="198" t="str">
        <f>IF('Design Fee'!ED211&gt;0,"✔","-")</f>
        <v>-</v>
      </c>
      <c r="BP209" s="198" t="str">
        <f>IF('Design Fee'!EE211&gt;0,"✔","-")</f>
        <v>-</v>
      </c>
      <c r="BQ209" s="198" t="str">
        <f>IF('Design Fee'!EF211&gt;0,"✔","-")</f>
        <v>-</v>
      </c>
      <c r="BR209" s="198" t="str">
        <f>IF('Design Fee'!EG211&gt;0,"✔","-")</f>
        <v>-</v>
      </c>
      <c r="BS209" s="220" t="str">
        <f>IF('Design Fee'!EH211&gt;0,"✔","-")</f>
        <v>-</v>
      </c>
      <c r="BT209" s="137"/>
      <c r="BU209" s="198" t="str">
        <f>IF('Design Fee'!EJ211&gt;0,"✔","-")</f>
        <v>-</v>
      </c>
      <c r="BV209" s="198" t="str">
        <f>IF('Design Fee'!EK211&gt;0,"✔","-")</f>
        <v>-</v>
      </c>
      <c r="BW209" s="198" t="str">
        <f>IF('Design Fee'!EL211&gt;0,"✔","-")</f>
        <v>-</v>
      </c>
      <c r="BX209" s="198" t="str">
        <f>IF('Design Fee'!EM211&gt;0,"✔","-")</f>
        <v>-</v>
      </c>
      <c r="BY209" s="198" t="str">
        <f>IF('Design Fee'!EN211&gt;0,"✔","-")</f>
        <v>-</v>
      </c>
      <c r="BZ209" s="137"/>
    </row>
    <row r="210" spans="1:78" ht="12.75" outlineLevel="2">
      <c r="A210" s="137"/>
      <c r="B210" s="217" t="s">
        <v>192</v>
      </c>
      <c r="C210" s="218">
        <v>4</v>
      </c>
      <c r="D210" s="219" t="s">
        <v>193</v>
      </c>
      <c r="E210" s="137"/>
      <c r="F210" s="197">
        <f t="shared" si="638"/>
        <v>3</v>
      </c>
      <c r="G210" s="198">
        <f t="shared" si="639"/>
        <v>3</v>
      </c>
      <c r="H210" s="198">
        <f t="shared" si="639"/>
        <v>3</v>
      </c>
      <c r="I210" s="198">
        <f t="shared" si="640"/>
        <v>0</v>
      </c>
      <c r="J210" s="221"/>
      <c r="K210" s="195"/>
      <c r="L210" s="196"/>
      <c r="M210" s="197" t="str">
        <f>IF('Design Fee'!W212&gt;0,"✔","-")</f>
        <v>✔</v>
      </c>
      <c r="N210" s="197" t="str">
        <f>IF('Design Fee'!X212&gt;0,"✔","-")</f>
        <v>✔</v>
      </c>
      <c r="O210" s="198" t="str">
        <f>IF('Design Fee'!Y212&gt;0,"✔","-")</f>
        <v>✔</v>
      </c>
      <c r="P210" s="198" t="str">
        <f>IF('Design Fee'!Z212&gt;0,"✔","-")</f>
        <v>-</v>
      </c>
      <c r="Q210" s="198" t="str">
        <f>IF('Design Fee'!AA212&gt;0,"✔","-")</f>
        <v>-</v>
      </c>
      <c r="R210" s="198" t="str">
        <f>IF('Design Fee'!AB212&gt;0,"✔","-")</f>
        <v>-</v>
      </c>
      <c r="S210" s="198" t="str">
        <f>IF('Design Fee'!AC212&gt;0,"✔","-")</f>
        <v>-</v>
      </c>
      <c r="T210" s="220" t="str">
        <f>IF('Design Fee'!AD212&gt;0,"✔","-")</f>
        <v>-</v>
      </c>
      <c r="U210" s="221"/>
      <c r="V210" s="198" t="str">
        <f>IF('Design Fee'!AF212&gt;0,"✔","-")</f>
        <v>-</v>
      </c>
      <c r="W210" s="198" t="str">
        <f>IF('Design Fee'!AG212&gt;0,"✔","-")</f>
        <v>-</v>
      </c>
      <c r="X210" s="198" t="str">
        <f>IF('Design Fee'!AH212&gt;0,"✔","-")</f>
        <v>-</v>
      </c>
      <c r="Y210" s="198" t="str">
        <f>IF('Design Fee'!AI212&gt;0,"✔","-")</f>
        <v>-</v>
      </c>
      <c r="Z210" s="198" t="str">
        <f>IF('Design Fee'!AJ212&gt;0,"✔","-")</f>
        <v>-</v>
      </c>
      <c r="AA210" s="221"/>
      <c r="AB210" s="195"/>
      <c r="AC210" s="196"/>
      <c r="AD210" s="197" t="str">
        <f>IF('Design Fee'!BG212&gt;0,"✔","-")</f>
        <v>-</v>
      </c>
      <c r="AE210" s="197" t="str">
        <f>IF('Design Fee'!BH212&gt;0,"✔","-")</f>
        <v>-</v>
      </c>
      <c r="AF210" s="198" t="str">
        <f>IF('Design Fee'!BI212&gt;0,"✔","-")</f>
        <v>-</v>
      </c>
      <c r="AG210" s="198" t="str">
        <f>IF('Design Fee'!BJ212&gt;0,"✔","-")</f>
        <v>-</v>
      </c>
      <c r="AH210" s="198" t="str">
        <f>IF('Design Fee'!BK212&gt;0,"✔","-")</f>
        <v>-</v>
      </c>
      <c r="AI210" s="198" t="str">
        <f>IF('Design Fee'!BL212&gt;0,"✔","-")</f>
        <v>-</v>
      </c>
      <c r="AJ210" s="198" t="str">
        <f>IF('Design Fee'!BM212&gt;0,"✔","-")</f>
        <v>-</v>
      </c>
      <c r="AK210" s="220" t="str">
        <f>IF('Design Fee'!BN212&gt;0,"✔","-")</f>
        <v>-</v>
      </c>
      <c r="AL210" s="199"/>
      <c r="AM210" s="198" t="str">
        <f>IF('Design Fee'!BP212&gt;0,"✔","-")</f>
        <v>-</v>
      </c>
      <c r="AN210" s="198" t="str">
        <f>IF('Design Fee'!BQ212&gt;0,"✔","-")</f>
        <v>-</v>
      </c>
      <c r="AO210" s="198" t="str">
        <f>IF('Design Fee'!BR212&gt;0,"✔","-")</f>
        <v>-</v>
      </c>
      <c r="AP210" s="198" t="str">
        <f>IF('Design Fee'!BS212&gt;0,"✔","-")</f>
        <v>-</v>
      </c>
      <c r="AQ210" s="198" t="str">
        <f>IF('Design Fee'!BT212&gt;0,"✔","-")</f>
        <v>-</v>
      </c>
      <c r="AR210" s="199"/>
      <c r="AS210" s="195"/>
      <c r="AT210" s="196"/>
      <c r="AU210" s="197" t="str">
        <f>IF('Design Fee'!CQ212&gt;0,"✔","-")</f>
        <v>✔</v>
      </c>
      <c r="AV210" s="197" t="str">
        <f>IF('Design Fee'!CR212&gt;0,"✔","-")</f>
        <v>✔</v>
      </c>
      <c r="AW210" s="198" t="str">
        <f>IF('Design Fee'!CS212&gt;0,"✔","-")</f>
        <v>✔</v>
      </c>
      <c r="AX210" s="198" t="str">
        <f>IF('Design Fee'!CT212&gt;0,"✔","-")</f>
        <v>-</v>
      </c>
      <c r="AY210" s="198" t="str">
        <f>IF('Design Fee'!CU212&gt;0,"✔","-")</f>
        <v>-</v>
      </c>
      <c r="AZ210" s="198" t="str">
        <f>IF('Design Fee'!CV212&gt;0,"✔","-")</f>
        <v>-</v>
      </c>
      <c r="BA210" s="198" t="str">
        <f>IF('Design Fee'!CW212&gt;0,"✔","-")</f>
        <v>-</v>
      </c>
      <c r="BB210" s="220" t="str">
        <f>IF('Design Fee'!CX212&gt;0,"✔","-")</f>
        <v>-</v>
      </c>
      <c r="BC210" s="199"/>
      <c r="BD210" s="198" t="str">
        <f>IF('Design Fee'!CZ212&gt;0,"✔","-")</f>
        <v>-</v>
      </c>
      <c r="BE210" s="198" t="str">
        <f>IF('Design Fee'!DA212&gt;0,"✔","-")</f>
        <v>-</v>
      </c>
      <c r="BF210" s="198" t="str">
        <f>IF('Design Fee'!DB212&gt;0,"✔","-")</f>
        <v>-</v>
      </c>
      <c r="BG210" s="198" t="str">
        <f>IF('Design Fee'!DC212&gt;0,"✔","-")</f>
        <v>-</v>
      </c>
      <c r="BH210" s="198" t="str">
        <f>IF('Design Fee'!DD212&gt;0,"✔","-")</f>
        <v>-</v>
      </c>
      <c r="BI210" s="199"/>
      <c r="BJ210" s="195"/>
      <c r="BK210" s="196"/>
      <c r="BL210" s="197" t="str">
        <f>IF('Design Fee'!EA212&gt;0,"✔","-")</f>
        <v>✔</v>
      </c>
      <c r="BM210" s="197" t="str">
        <f>IF('Design Fee'!EB212&gt;0,"✔","-")</f>
        <v>✔</v>
      </c>
      <c r="BN210" s="198" t="str">
        <f>IF('Design Fee'!EC212&gt;0,"✔","-")</f>
        <v>✔</v>
      </c>
      <c r="BO210" s="198" t="str">
        <f>IF('Design Fee'!ED212&gt;0,"✔","-")</f>
        <v>-</v>
      </c>
      <c r="BP210" s="198" t="str">
        <f>IF('Design Fee'!EE212&gt;0,"✔","-")</f>
        <v>-</v>
      </c>
      <c r="BQ210" s="198" t="str">
        <f>IF('Design Fee'!EF212&gt;0,"✔","-")</f>
        <v>-</v>
      </c>
      <c r="BR210" s="198" t="str">
        <f>IF('Design Fee'!EG212&gt;0,"✔","-")</f>
        <v>-</v>
      </c>
      <c r="BS210" s="220" t="str">
        <f>IF('Design Fee'!EH212&gt;0,"✔","-")</f>
        <v>-</v>
      </c>
      <c r="BT210" s="137"/>
      <c r="BU210" s="198" t="str">
        <f>IF('Design Fee'!EJ212&gt;0,"✔","-")</f>
        <v>-</v>
      </c>
      <c r="BV210" s="198" t="str">
        <f>IF('Design Fee'!EK212&gt;0,"✔","-")</f>
        <v>-</v>
      </c>
      <c r="BW210" s="198" t="str">
        <f>IF('Design Fee'!EL212&gt;0,"✔","-")</f>
        <v>-</v>
      </c>
      <c r="BX210" s="198" t="str">
        <f>IF('Design Fee'!EM212&gt;0,"✔","-")</f>
        <v>-</v>
      </c>
      <c r="BY210" s="198" t="str">
        <f>IF('Design Fee'!EN212&gt;0,"✔","-")</f>
        <v>-</v>
      </c>
      <c r="BZ210" s="137"/>
    </row>
    <row r="211" spans="1:78" s="51" customFormat="1" ht="12.75" outlineLevel="2">
      <c r="A211" s="137"/>
      <c r="B211" s="235" t="s">
        <v>194</v>
      </c>
      <c r="C211" s="223">
        <v>5</v>
      </c>
      <c r="D211" s="224" t="s">
        <v>195</v>
      </c>
      <c r="E211" s="222"/>
      <c r="F211" s="197">
        <f t="shared" si="638"/>
        <v>3</v>
      </c>
      <c r="G211" s="198">
        <f t="shared" si="639"/>
        <v>2</v>
      </c>
      <c r="H211" s="198">
        <f t="shared" si="639"/>
        <v>1</v>
      </c>
      <c r="I211" s="198">
        <f t="shared" si="640"/>
        <v>1</v>
      </c>
      <c r="J211" s="234"/>
      <c r="K211" s="225"/>
      <c r="L211" s="226"/>
      <c r="M211" s="197" t="str">
        <f>IF('Design Fee'!W213&gt;0,"✔","-")</f>
        <v>✔</v>
      </c>
      <c r="N211" s="197" t="str">
        <f>IF('Design Fee'!X213&gt;0,"✔","-")</f>
        <v>-</v>
      </c>
      <c r="O211" s="220" t="str">
        <f>IF('Design Fee'!Y213&gt;0,"✔","-")</f>
        <v>-</v>
      </c>
      <c r="P211" s="220" t="str">
        <f>IF('Design Fee'!Z213&gt;0,"✔","-")</f>
        <v>✔</v>
      </c>
      <c r="Q211" s="220" t="str">
        <f>IF('Design Fee'!AA213&gt;0,"✔","-")</f>
        <v>✔</v>
      </c>
      <c r="R211" s="220" t="str">
        <f>IF('Design Fee'!AB213&gt;0,"✔","-")</f>
        <v>-</v>
      </c>
      <c r="S211" s="220" t="str">
        <f>IF('Design Fee'!AC213&gt;0,"✔","-")</f>
        <v>-</v>
      </c>
      <c r="T211" s="220" t="str">
        <f>IF('Design Fee'!AD213&gt;0,"✔","-")</f>
        <v>-</v>
      </c>
      <c r="U211" s="234"/>
      <c r="V211" s="198" t="str">
        <f>IF('Design Fee'!AF213&gt;0,"✔","-")</f>
        <v>-</v>
      </c>
      <c r="W211" s="198" t="str">
        <f>IF('Design Fee'!AG213&gt;0,"✔","-")</f>
        <v>-</v>
      </c>
      <c r="X211" s="198" t="str">
        <f>IF('Design Fee'!AH213&gt;0,"✔","-")</f>
        <v>-</v>
      </c>
      <c r="Y211" s="198" t="str">
        <f>IF('Design Fee'!AI213&gt;0,"✔","-")</f>
        <v>-</v>
      </c>
      <c r="Z211" s="198" t="str">
        <f>IF('Design Fee'!AJ213&gt;0,"✔","-")</f>
        <v>-</v>
      </c>
      <c r="AA211" s="234"/>
      <c r="AB211" s="225"/>
      <c r="AC211" s="226"/>
      <c r="AD211" s="197" t="str">
        <f>IF('Design Fee'!BG213&gt;0,"✔","-")</f>
        <v>-</v>
      </c>
      <c r="AE211" s="197" t="str">
        <f>IF('Design Fee'!BH213&gt;0,"✔","-")</f>
        <v>-</v>
      </c>
      <c r="AF211" s="220" t="str">
        <f>IF('Design Fee'!BI213&gt;0,"✔","-")</f>
        <v>-</v>
      </c>
      <c r="AG211" s="220" t="str">
        <f>IF('Design Fee'!BJ213&gt;0,"✔","-")</f>
        <v>-</v>
      </c>
      <c r="AH211" s="220" t="str">
        <f>IF('Design Fee'!BK213&gt;0,"✔","-")</f>
        <v>-</v>
      </c>
      <c r="AI211" s="220" t="str">
        <f>IF('Design Fee'!BL213&gt;0,"✔","-")</f>
        <v>-</v>
      </c>
      <c r="AJ211" s="220" t="str">
        <f>IF('Design Fee'!BM213&gt;0,"✔","-")</f>
        <v>-</v>
      </c>
      <c r="AK211" s="220" t="str">
        <f>IF('Design Fee'!BN213&gt;0,"✔","-")</f>
        <v>-</v>
      </c>
      <c r="AL211" s="230"/>
      <c r="AM211" s="198" t="str">
        <f>IF('Design Fee'!BP213&gt;0,"✔","-")</f>
        <v>-</v>
      </c>
      <c r="AN211" s="198" t="str">
        <f>IF('Design Fee'!BQ213&gt;0,"✔","-")</f>
        <v>-</v>
      </c>
      <c r="AO211" s="198" t="str">
        <f>IF('Design Fee'!BR213&gt;0,"✔","-")</f>
        <v>-</v>
      </c>
      <c r="AP211" s="198" t="str">
        <f>IF('Design Fee'!BS213&gt;0,"✔","-")</f>
        <v>-</v>
      </c>
      <c r="AQ211" s="198" t="str">
        <f>IF('Design Fee'!BT213&gt;0,"✔","-")</f>
        <v>-</v>
      </c>
      <c r="AR211" s="230"/>
      <c r="AS211" s="225"/>
      <c r="AT211" s="226"/>
      <c r="AU211" s="197" t="str">
        <f>IF('Design Fee'!CQ213&gt;0,"✔","-")</f>
        <v>✔</v>
      </c>
      <c r="AV211" s="197" t="str">
        <f>IF('Design Fee'!CR213&gt;0,"✔","-")</f>
        <v>✔</v>
      </c>
      <c r="AW211" s="220" t="str">
        <f>IF('Design Fee'!CS213&gt;0,"✔","-")</f>
        <v>-</v>
      </c>
      <c r="AX211" s="220" t="str">
        <f>IF('Design Fee'!CT213&gt;0,"✔","-")</f>
        <v>✔</v>
      </c>
      <c r="AY211" s="220" t="str">
        <f>IF('Design Fee'!CU213&gt;0,"✔","-")</f>
        <v>✔</v>
      </c>
      <c r="AZ211" s="220" t="str">
        <f>IF('Design Fee'!CV213&gt;0,"✔","-")</f>
        <v>-</v>
      </c>
      <c r="BA211" s="220" t="str">
        <f>IF('Design Fee'!CW213&gt;0,"✔","-")</f>
        <v>-</v>
      </c>
      <c r="BB211" s="220" t="str">
        <f>IF('Design Fee'!CX213&gt;0,"✔","-")</f>
        <v>-</v>
      </c>
      <c r="BC211" s="230"/>
      <c r="BD211" s="198" t="str">
        <f>IF('Design Fee'!CZ213&gt;0,"✔","-")</f>
        <v>✔</v>
      </c>
      <c r="BE211" s="198" t="str">
        <f>IF('Design Fee'!DA213&gt;0,"✔","-")</f>
        <v>-</v>
      </c>
      <c r="BF211" s="198" t="str">
        <f>IF('Design Fee'!DB213&gt;0,"✔","-")</f>
        <v>✔</v>
      </c>
      <c r="BG211" s="198" t="str">
        <f>IF('Design Fee'!DC213&gt;0,"✔","-")</f>
        <v>-</v>
      </c>
      <c r="BH211" s="198" t="str">
        <f>IF('Design Fee'!DD213&gt;0,"✔","-")</f>
        <v>-</v>
      </c>
      <c r="BI211" s="230"/>
      <c r="BJ211" s="225"/>
      <c r="BK211" s="226"/>
      <c r="BL211" s="197" t="str">
        <f>IF('Design Fee'!EA213&gt;0,"✔","-")</f>
        <v>✔</v>
      </c>
      <c r="BM211" s="197" t="str">
        <f>IF('Design Fee'!EB213&gt;0,"✔","-")</f>
        <v>✔</v>
      </c>
      <c r="BN211" s="220" t="str">
        <f>IF('Design Fee'!EC213&gt;0,"✔","-")</f>
        <v>✔</v>
      </c>
      <c r="BO211" s="220" t="str">
        <f>IF('Design Fee'!ED213&gt;0,"✔","-")</f>
        <v>-</v>
      </c>
      <c r="BP211" s="220" t="str">
        <f>IF('Design Fee'!EE213&gt;0,"✔","-")</f>
        <v>-</v>
      </c>
      <c r="BQ211" s="220" t="str">
        <f>IF('Design Fee'!EF213&gt;0,"✔","-")</f>
        <v>-</v>
      </c>
      <c r="BR211" s="220" t="str">
        <f>IF('Design Fee'!EG213&gt;0,"✔","-")</f>
        <v>-</v>
      </c>
      <c r="BS211" s="220" t="str">
        <f>IF('Design Fee'!EH213&gt;0,"✔","-")</f>
        <v>-</v>
      </c>
      <c r="BT211" s="222"/>
      <c r="BU211" s="198" t="str">
        <f>IF('Design Fee'!EJ213&gt;0,"✔","-")</f>
        <v>-</v>
      </c>
      <c r="BV211" s="198" t="str">
        <f>IF('Design Fee'!EK213&gt;0,"✔","-")</f>
        <v>-</v>
      </c>
      <c r="BW211" s="198" t="str">
        <f>IF('Design Fee'!EL213&gt;0,"✔","-")</f>
        <v>-</v>
      </c>
      <c r="BX211" s="198" t="str">
        <f>IF('Design Fee'!EM213&gt;0,"✔","-")</f>
        <v>-</v>
      </c>
      <c r="BY211" s="198" t="str">
        <f>IF('Design Fee'!EN213&gt;0,"✔","-")</f>
        <v>-</v>
      </c>
      <c r="BZ211" s="137"/>
    </row>
    <row r="212" spans="1:78" ht="12.75" outlineLevel="2">
      <c r="A212" s="137"/>
      <c r="B212" s="217" t="s">
        <v>192</v>
      </c>
      <c r="C212" s="218">
        <v>6</v>
      </c>
      <c r="D212" s="219" t="s">
        <v>196</v>
      </c>
      <c r="E212" s="137"/>
      <c r="F212" s="197">
        <f t="shared" si="638"/>
        <v>3</v>
      </c>
      <c r="G212" s="198">
        <f t="shared" si="639"/>
        <v>3</v>
      </c>
      <c r="H212" s="198">
        <f t="shared" si="639"/>
        <v>3</v>
      </c>
      <c r="I212" s="198">
        <f t="shared" si="640"/>
        <v>0</v>
      </c>
      <c r="J212" s="221"/>
      <c r="K212" s="195"/>
      <c r="L212" s="196"/>
      <c r="M212" s="197" t="str">
        <f>IF('Design Fee'!W214&gt;0,"✔","-")</f>
        <v>✔</v>
      </c>
      <c r="N212" s="197" t="str">
        <f>IF('Design Fee'!X214&gt;0,"✔","-")</f>
        <v>✔</v>
      </c>
      <c r="O212" s="198" t="str">
        <f>IF('Design Fee'!Y214&gt;0,"✔","-")</f>
        <v>✔</v>
      </c>
      <c r="P212" s="198" t="str">
        <f>IF('Design Fee'!Z214&gt;0,"✔","-")</f>
        <v>-</v>
      </c>
      <c r="Q212" s="198" t="str">
        <f>IF('Design Fee'!AA214&gt;0,"✔","-")</f>
        <v>-</v>
      </c>
      <c r="R212" s="198" t="str">
        <f>IF('Design Fee'!AB214&gt;0,"✔","-")</f>
        <v>-</v>
      </c>
      <c r="S212" s="198" t="str">
        <f>IF('Design Fee'!AC214&gt;0,"✔","-")</f>
        <v>-</v>
      </c>
      <c r="T212" s="220" t="str">
        <f>IF('Design Fee'!AD214&gt;0,"✔","-")</f>
        <v>-</v>
      </c>
      <c r="U212" s="221"/>
      <c r="V212" s="198" t="str">
        <f>IF('Design Fee'!AF214&gt;0,"✔","-")</f>
        <v>-</v>
      </c>
      <c r="W212" s="198" t="str">
        <f>IF('Design Fee'!AG214&gt;0,"✔","-")</f>
        <v>-</v>
      </c>
      <c r="X212" s="198" t="str">
        <f>IF('Design Fee'!AH214&gt;0,"✔","-")</f>
        <v>-</v>
      </c>
      <c r="Y212" s="198" t="str">
        <f>IF('Design Fee'!AI214&gt;0,"✔","-")</f>
        <v>-</v>
      </c>
      <c r="Z212" s="198" t="str">
        <f>IF('Design Fee'!AJ214&gt;0,"✔","-")</f>
        <v>-</v>
      </c>
      <c r="AA212" s="221"/>
      <c r="AB212" s="195"/>
      <c r="AC212" s="196"/>
      <c r="AD212" s="197" t="str">
        <f>IF('Design Fee'!BG214&gt;0,"✔","-")</f>
        <v>-</v>
      </c>
      <c r="AE212" s="197" t="str">
        <f>IF('Design Fee'!BH214&gt;0,"✔","-")</f>
        <v>-</v>
      </c>
      <c r="AF212" s="198" t="str">
        <f>IF('Design Fee'!BI214&gt;0,"✔","-")</f>
        <v>-</v>
      </c>
      <c r="AG212" s="198" t="str">
        <f>IF('Design Fee'!BJ214&gt;0,"✔","-")</f>
        <v>-</v>
      </c>
      <c r="AH212" s="198" t="str">
        <f>IF('Design Fee'!BK214&gt;0,"✔","-")</f>
        <v>-</v>
      </c>
      <c r="AI212" s="198" t="str">
        <f>IF('Design Fee'!BL214&gt;0,"✔","-")</f>
        <v>-</v>
      </c>
      <c r="AJ212" s="198" t="str">
        <f>IF('Design Fee'!BM214&gt;0,"✔","-")</f>
        <v>-</v>
      </c>
      <c r="AK212" s="220" t="str">
        <f>IF('Design Fee'!BN214&gt;0,"✔","-")</f>
        <v>-</v>
      </c>
      <c r="AL212" s="199"/>
      <c r="AM212" s="198" t="str">
        <f>IF('Design Fee'!BP214&gt;0,"✔","-")</f>
        <v>-</v>
      </c>
      <c r="AN212" s="198" t="str">
        <f>IF('Design Fee'!BQ214&gt;0,"✔","-")</f>
        <v>-</v>
      </c>
      <c r="AO212" s="198" t="str">
        <f>IF('Design Fee'!BR214&gt;0,"✔","-")</f>
        <v>-</v>
      </c>
      <c r="AP212" s="198" t="str">
        <f>IF('Design Fee'!BS214&gt;0,"✔","-")</f>
        <v>-</v>
      </c>
      <c r="AQ212" s="198" t="str">
        <f>IF('Design Fee'!BT214&gt;0,"✔","-")</f>
        <v>-</v>
      </c>
      <c r="AR212" s="199"/>
      <c r="AS212" s="195"/>
      <c r="AT212" s="196"/>
      <c r="AU212" s="197" t="str">
        <f>IF('Design Fee'!CQ214&gt;0,"✔","-")</f>
        <v>✔</v>
      </c>
      <c r="AV212" s="197" t="str">
        <f>IF('Design Fee'!CR214&gt;0,"✔","-")</f>
        <v>✔</v>
      </c>
      <c r="AW212" s="198" t="str">
        <f>IF('Design Fee'!CS214&gt;0,"✔","-")</f>
        <v>✔</v>
      </c>
      <c r="AX212" s="198" t="str">
        <f>IF('Design Fee'!CT214&gt;0,"✔","-")</f>
        <v>-</v>
      </c>
      <c r="AY212" s="198" t="str">
        <f>IF('Design Fee'!CU214&gt;0,"✔","-")</f>
        <v>-</v>
      </c>
      <c r="AZ212" s="198" t="str">
        <f>IF('Design Fee'!CV214&gt;0,"✔","-")</f>
        <v>-</v>
      </c>
      <c r="BA212" s="198" t="str">
        <f>IF('Design Fee'!CW214&gt;0,"✔","-")</f>
        <v>-</v>
      </c>
      <c r="BB212" s="220" t="str">
        <f>IF('Design Fee'!CX214&gt;0,"✔","-")</f>
        <v>-</v>
      </c>
      <c r="BC212" s="199"/>
      <c r="BD212" s="198" t="str">
        <f>IF('Design Fee'!CZ214&gt;0,"✔","-")</f>
        <v>-</v>
      </c>
      <c r="BE212" s="198" t="str">
        <f>IF('Design Fee'!DA214&gt;0,"✔","-")</f>
        <v>-</v>
      </c>
      <c r="BF212" s="198" t="str">
        <f>IF('Design Fee'!DB214&gt;0,"✔","-")</f>
        <v>-</v>
      </c>
      <c r="BG212" s="198" t="str">
        <f>IF('Design Fee'!DC214&gt;0,"✔","-")</f>
        <v>-</v>
      </c>
      <c r="BH212" s="198" t="str">
        <f>IF('Design Fee'!DD214&gt;0,"✔","-")</f>
        <v>-</v>
      </c>
      <c r="BI212" s="199"/>
      <c r="BJ212" s="195"/>
      <c r="BK212" s="196"/>
      <c r="BL212" s="197" t="str">
        <f>IF('Design Fee'!EA214&gt;0,"✔","-")</f>
        <v>✔</v>
      </c>
      <c r="BM212" s="197" t="str">
        <f>IF('Design Fee'!EB214&gt;0,"✔","-")</f>
        <v>✔</v>
      </c>
      <c r="BN212" s="198" t="str">
        <f>IF('Design Fee'!EC214&gt;0,"✔","-")</f>
        <v>✔</v>
      </c>
      <c r="BO212" s="198" t="str">
        <f>IF('Design Fee'!ED214&gt;0,"✔","-")</f>
        <v>-</v>
      </c>
      <c r="BP212" s="198" t="str">
        <f>IF('Design Fee'!EE214&gt;0,"✔","-")</f>
        <v>-</v>
      </c>
      <c r="BQ212" s="198" t="str">
        <f>IF('Design Fee'!EF214&gt;0,"✔","-")</f>
        <v>-</v>
      </c>
      <c r="BR212" s="198" t="str">
        <f>IF('Design Fee'!EG214&gt;0,"✔","-")</f>
        <v>-</v>
      </c>
      <c r="BS212" s="220" t="str">
        <f>IF('Design Fee'!EH214&gt;0,"✔","-")</f>
        <v>-</v>
      </c>
      <c r="BT212" s="137"/>
      <c r="BU212" s="198" t="str">
        <f>IF('Design Fee'!EJ214&gt;0,"✔","-")</f>
        <v>-</v>
      </c>
      <c r="BV212" s="198" t="str">
        <f>IF('Design Fee'!EK214&gt;0,"✔","-")</f>
        <v>-</v>
      </c>
      <c r="BW212" s="198" t="str">
        <f>IF('Design Fee'!EL214&gt;0,"✔","-")</f>
        <v>-</v>
      </c>
      <c r="BX212" s="198" t="str">
        <f>IF('Design Fee'!EM214&gt;0,"✔","-")</f>
        <v>-</v>
      </c>
      <c r="BY212" s="198" t="str">
        <f>IF('Design Fee'!EN214&gt;0,"✔","-")</f>
        <v>-</v>
      </c>
      <c r="BZ212" s="137"/>
    </row>
    <row r="213" spans="1:78" s="51" customFormat="1" ht="12.75" outlineLevel="2">
      <c r="A213" s="137"/>
      <c r="B213" s="235" t="s">
        <v>194</v>
      </c>
      <c r="C213" s="223">
        <v>7</v>
      </c>
      <c r="D213" s="224" t="s">
        <v>197</v>
      </c>
      <c r="E213" s="222"/>
      <c r="F213" s="197">
        <f t="shared" si="638"/>
        <v>3</v>
      </c>
      <c r="G213" s="198">
        <f t="shared" si="639"/>
        <v>3</v>
      </c>
      <c r="H213" s="198">
        <f t="shared" si="639"/>
        <v>3</v>
      </c>
      <c r="I213" s="198">
        <f t="shared" si="640"/>
        <v>0</v>
      </c>
      <c r="J213" s="234"/>
      <c r="K213" s="225"/>
      <c r="L213" s="226"/>
      <c r="M213" s="197" t="str">
        <f>IF('Design Fee'!W215&gt;0,"✔","-")</f>
        <v>✔</v>
      </c>
      <c r="N213" s="197" t="str">
        <f>IF('Design Fee'!X215&gt;0,"✔","-")</f>
        <v>✔</v>
      </c>
      <c r="O213" s="220" t="str">
        <f>IF('Design Fee'!Y215&gt;0,"✔","-")</f>
        <v>✔</v>
      </c>
      <c r="P213" s="220" t="str">
        <f>IF('Design Fee'!Z215&gt;0,"✔","-")</f>
        <v>-</v>
      </c>
      <c r="Q213" s="220" t="str">
        <f>IF('Design Fee'!AA215&gt;0,"✔","-")</f>
        <v>-</v>
      </c>
      <c r="R213" s="220" t="str">
        <f>IF('Design Fee'!AB215&gt;0,"✔","-")</f>
        <v>-</v>
      </c>
      <c r="S213" s="220" t="str">
        <f>IF('Design Fee'!AC215&gt;0,"✔","-")</f>
        <v>-</v>
      </c>
      <c r="T213" s="220" t="str">
        <f>IF('Design Fee'!AD215&gt;0,"✔","-")</f>
        <v>-</v>
      </c>
      <c r="U213" s="234"/>
      <c r="V213" s="198" t="str">
        <f>IF('Design Fee'!AF215&gt;0,"✔","-")</f>
        <v>-</v>
      </c>
      <c r="W213" s="198" t="str">
        <f>IF('Design Fee'!AG215&gt;0,"✔","-")</f>
        <v>-</v>
      </c>
      <c r="X213" s="198" t="str">
        <f>IF('Design Fee'!AH215&gt;0,"✔","-")</f>
        <v>-</v>
      </c>
      <c r="Y213" s="198" t="str">
        <f>IF('Design Fee'!AI215&gt;0,"✔","-")</f>
        <v>-</v>
      </c>
      <c r="Z213" s="198" t="str">
        <f>IF('Design Fee'!AJ215&gt;0,"✔","-")</f>
        <v>-</v>
      </c>
      <c r="AA213" s="234"/>
      <c r="AB213" s="225"/>
      <c r="AC213" s="226"/>
      <c r="AD213" s="197" t="str">
        <f>IF('Design Fee'!BG215&gt;0,"✔","-")</f>
        <v>-</v>
      </c>
      <c r="AE213" s="197" t="str">
        <f>IF('Design Fee'!BH215&gt;0,"✔","-")</f>
        <v>-</v>
      </c>
      <c r="AF213" s="220" t="str">
        <f>IF('Design Fee'!BI215&gt;0,"✔","-")</f>
        <v>-</v>
      </c>
      <c r="AG213" s="220" t="str">
        <f>IF('Design Fee'!BJ215&gt;0,"✔","-")</f>
        <v>-</v>
      </c>
      <c r="AH213" s="220" t="str">
        <f>IF('Design Fee'!BK215&gt;0,"✔","-")</f>
        <v>-</v>
      </c>
      <c r="AI213" s="220" t="str">
        <f>IF('Design Fee'!BL215&gt;0,"✔","-")</f>
        <v>-</v>
      </c>
      <c r="AJ213" s="220" t="str">
        <f>IF('Design Fee'!BM215&gt;0,"✔","-")</f>
        <v>-</v>
      </c>
      <c r="AK213" s="220" t="str">
        <f>IF('Design Fee'!BN215&gt;0,"✔","-")</f>
        <v>-</v>
      </c>
      <c r="AL213" s="230"/>
      <c r="AM213" s="198" t="str">
        <f>IF('Design Fee'!BP215&gt;0,"✔","-")</f>
        <v>-</v>
      </c>
      <c r="AN213" s="198" t="str">
        <f>IF('Design Fee'!BQ215&gt;0,"✔","-")</f>
        <v>-</v>
      </c>
      <c r="AO213" s="198" t="str">
        <f>IF('Design Fee'!BR215&gt;0,"✔","-")</f>
        <v>-</v>
      </c>
      <c r="AP213" s="198" t="str">
        <f>IF('Design Fee'!BS215&gt;0,"✔","-")</f>
        <v>-</v>
      </c>
      <c r="AQ213" s="198" t="str">
        <f>IF('Design Fee'!BT215&gt;0,"✔","-")</f>
        <v>-</v>
      </c>
      <c r="AR213" s="230"/>
      <c r="AS213" s="225"/>
      <c r="AT213" s="226"/>
      <c r="AU213" s="197" t="str">
        <f>IF('Design Fee'!CQ215&gt;0,"✔","-")</f>
        <v>✔</v>
      </c>
      <c r="AV213" s="197" t="str">
        <f>IF('Design Fee'!CR215&gt;0,"✔","-")</f>
        <v>✔</v>
      </c>
      <c r="AW213" s="220" t="str">
        <f>IF('Design Fee'!CS215&gt;0,"✔","-")</f>
        <v>✔</v>
      </c>
      <c r="AX213" s="220" t="str">
        <f>IF('Design Fee'!CT215&gt;0,"✔","-")</f>
        <v>-</v>
      </c>
      <c r="AY213" s="220" t="str">
        <f>IF('Design Fee'!CU215&gt;0,"✔","-")</f>
        <v>-</v>
      </c>
      <c r="AZ213" s="220" t="str">
        <f>IF('Design Fee'!CV215&gt;0,"✔","-")</f>
        <v>-</v>
      </c>
      <c r="BA213" s="220" t="str">
        <f>IF('Design Fee'!CW215&gt;0,"✔","-")</f>
        <v>-</v>
      </c>
      <c r="BB213" s="220" t="str">
        <f>IF('Design Fee'!CX215&gt;0,"✔","-")</f>
        <v>-</v>
      </c>
      <c r="BC213" s="230"/>
      <c r="BD213" s="198" t="str">
        <f>IF('Design Fee'!CZ215&gt;0,"✔","-")</f>
        <v>-</v>
      </c>
      <c r="BE213" s="198" t="str">
        <f>IF('Design Fee'!DA215&gt;0,"✔","-")</f>
        <v>-</v>
      </c>
      <c r="BF213" s="198" t="str">
        <f>IF('Design Fee'!DB215&gt;0,"✔","-")</f>
        <v>-</v>
      </c>
      <c r="BG213" s="198" t="str">
        <f>IF('Design Fee'!DC215&gt;0,"✔","-")</f>
        <v>-</v>
      </c>
      <c r="BH213" s="198" t="str">
        <f>IF('Design Fee'!DD215&gt;0,"✔","-")</f>
        <v>-</v>
      </c>
      <c r="BI213" s="230"/>
      <c r="BJ213" s="225"/>
      <c r="BK213" s="226"/>
      <c r="BL213" s="197" t="str">
        <f>IF('Design Fee'!EA215&gt;0,"✔","-")</f>
        <v>✔</v>
      </c>
      <c r="BM213" s="197" t="str">
        <f>IF('Design Fee'!EB215&gt;0,"✔","-")</f>
        <v>✔</v>
      </c>
      <c r="BN213" s="220" t="str">
        <f>IF('Design Fee'!EC215&gt;0,"✔","-")</f>
        <v>✔</v>
      </c>
      <c r="BO213" s="220" t="str">
        <f>IF('Design Fee'!ED215&gt;0,"✔","-")</f>
        <v>-</v>
      </c>
      <c r="BP213" s="220" t="str">
        <f>IF('Design Fee'!EE215&gt;0,"✔","-")</f>
        <v>-</v>
      </c>
      <c r="BQ213" s="220" t="str">
        <f>IF('Design Fee'!EF215&gt;0,"✔","-")</f>
        <v>-</v>
      </c>
      <c r="BR213" s="220" t="str">
        <f>IF('Design Fee'!EG215&gt;0,"✔","-")</f>
        <v>-</v>
      </c>
      <c r="BS213" s="220" t="str">
        <f>IF('Design Fee'!EH215&gt;0,"✔","-")</f>
        <v>-</v>
      </c>
      <c r="BT213" s="222"/>
      <c r="BU213" s="198" t="str">
        <f>IF('Design Fee'!EJ215&gt;0,"✔","-")</f>
        <v>-</v>
      </c>
      <c r="BV213" s="198" t="str">
        <f>IF('Design Fee'!EK215&gt;0,"✔","-")</f>
        <v>-</v>
      </c>
      <c r="BW213" s="198" t="str">
        <f>IF('Design Fee'!EL215&gt;0,"✔","-")</f>
        <v>-</v>
      </c>
      <c r="BX213" s="198" t="str">
        <f>IF('Design Fee'!EM215&gt;0,"✔","-")</f>
        <v>-</v>
      </c>
      <c r="BY213" s="198" t="str">
        <f>IF('Design Fee'!EN215&gt;0,"✔","-")</f>
        <v>-</v>
      </c>
      <c r="BZ213" s="137"/>
    </row>
    <row r="214" spans="1:78" ht="12.75" outlineLevel="2">
      <c r="A214" s="137"/>
      <c r="B214" s="217" t="s">
        <v>186</v>
      </c>
      <c r="C214" s="218">
        <v>8</v>
      </c>
      <c r="D214" s="224" t="s">
        <v>198</v>
      </c>
      <c r="E214" s="137"/>
      <c r="F214" s="197">
        <f t="shared" si="638"/>
        <v>3</v>
      </c>
      <c r="G214" s="198">
        <f t="shared" si="639"/>
        <v>3</v>
      </c>
      <c r="H214" s="198">
        <f t="shared" si="639"/>
        <v>2</v>
      </c>
      <c r="I214" s="198">
        <f t="shared" si="640"/>
        <v>0</v>
      </c>
      <c r="J214" s="221"/>
      <c r="K214" s="195"/>
      <c r="L214" s="196"/>
      <c r="M214" s="197" t="str">
        <f>IF('Design Fee'!W216&gt;0,"✔","-")</f>
        <v>✔</v>
      </c>
      <c r="N214" s="197" t="str">
        <f>IF('Design Fee'!X216&gt;0,"✔","-")</f>
        <v>✔</v>
      </c>
      <c r="O214" s="198" t="str">
        <f>IF('Design Fee'!Y216&gt;0,"✔","-")</f>
        <v>-</v>
      </c>
      <c r="P214" s="198" t="str">
        <f>IF('Design Fee'!Z216&gt;0,"✔","-")</f>
        <v>✔</v>
      </c>
      <c r="Q214" s="198" t="str">
        <f>IF('Design Fee'!AA216&gt;0,"✔","-")</f>
        <v>✔</v>
      </c>
      <c r="R214" s="198" t="str">
        <f>IF('Design Fee'!AB216&gt;0,"✔","-")</f>
        <v>-</v>
      </c>
      <c r="S214" s="198" t="str">
        <f>IF('Design Fee'!AC216&gt;0,"✔","-")</f>
        <v>-</v>
      </c>
      <c r="T214" s="220" t="str">
        <f>IF('Design Fee'!AD216&gt;0,"✔","-")</f>
        <v>-</v>
      </c>
      <c r="U214" s="221"/>
      <c r="V214" s="198" t="str">
        <f>IF('Design Fee'!AF216&gt;0,"✔","-")</f>
        <v>✔</v>
      </c>
      <c r="W214" s="198" t="str">
        <f>IF('Design Fee'!AG216&gt;0,"✔","-")</f>
        <v>✔</v>
      </c>
      <c r="X214" s="198" t="str">
        <f>IF('Design Fee'!AH216&gt;0,"✔","-")</f>
        <v>-</v>
      </c>
      <c r="Y214" s="198" t="str">
        <f>IF('Design Fee'!AI216&gt;0,"✔","-")</f>
        <v>-</v>
      </c>
      <c r="Z214" s="198" t="str">
        <f>IF('Design Fee'!AJ216&gt;0,"✔","-")</f>
        <v>-</v>
      </c>
      <c r="AA214" s="221"/>
      <c r="AB214" s="195"/>
      <c r="AC214" s="196"/>
      <c r="AD214" s="197" t="str">
        <f>IF('Design Fee'!BG216&gt;0,"✔","-")</f>
        <v>-</v>
      </c>
      <c r="AE214" s="197" t="str">
        <f>IF('Design Fee'!BH216&gt;0,"✔","-")</f>
        <v>-</v>
      </c>
      <c r="AF214" s="198" t="str">
        <f>IF('Design Fee'!BI216&gt;0,"✔","-")</f>
        <v>-</v>
      </c>
      <c r="AG214" s="198" t="str">
        <f>IF('Design Fee'!BJ216&gt;0,"✔","-")</f>
        <v>-</v>
      </c>
      <c r="AH214" s="198" t="str">
        <f>IF('Design Fee'!BK216&gt;0,"✔","-")</f>
        <v>-</v>
      </c>
      <c r="AI214" s="198" t="str">
        <f>IF('Design Fee'!BL216&gt;0,"✔","-")</f>
        <v>-</v>
      </c>
      <c r="AJ214" s="198" t="str">
        <f>IF('Design Fee'!BM216&gt;0,"✔","-")</f>
        <v>-</v>
      </c>
      <c r="AK214" s="220" t="str">
        <f>IF('Design Fee'!BN216&gt;0,"✔","-")</f>
        <v>-</v>
      </c>
      <c r="AL214" s="199"/>
      <c r="AM214" s="198" t="str">
        <f>IF('Design Fee'!BP216&gt;0,"✔","-")</f>
        <v>-</v>
      </c>
      <c r="AN214" s="198" t="str">
        <f>IF('Design Fee'!BQ216&gt;0,"✔","-")</f>
        <v>-</v>
      </c>
      <c r="AO214" s="198" t="str">
        <f>IF('Design Fee'!BR216&gt;0,"✔","-")</f>
        <v>-</v>
      </c>
      <c r="AP214" s="198" t="str">
        <f>IF('Design Fee'!BS216&gt;0,"✔","-")</f>
        <v>-</v>
      </c>
      <c r="AQ214" s="198" t="str">
        <f>IF('Design Fee'!BT216&gt;0,"✔","-")</f>
        <v>-</v>
      </c>
      <c r="AR214" s="199"/>
      <c r="AS214" s="195"/>
      <c r="AT214" s="196"/>
      <c r="AU214" s="197" t="str">
        <f>IF('Design Fee'!CQ216&gt;0,"✔","-")</f>
        <v>✔</v>
      </c>
      <c r="AV214" s="197" t="str">
        <f>IF('Design Fee'!CR216&gt;0,"✔","-")</f>
        <v>✔</v>
      </c>
      <c r="AW214" s="198" t="str">
        <f>IF('Design Fee'!CS216&gt;0,"✔","-")</f>
        <v>✔</v>
      </c>
      <c r="AX214" s="198" t="str">
        <f>IF('Design Fee'!CT216&gt;0,"✔","-")</f>
        <v>-</v>
      </c>
      <c r="AY214" s="198" t="str">
        <f>IF('Design Fee'!CU216&gt;0,"✔","-")</f>
        <v>-</v>
      </c>
      <c r="AZ214" s="198" t="str">
        <f>IF('Design Fee'!CV216&gt;0,"✔","-")</f>
        <v>-</v>
      </c>
      <c r="BA214" s="198" t="str">
        <f>IF('Design Fee'!CW216&gt;0,"✔","-")</f>
        <v>-</v>
      </c>
      <c r="BB214" s="220" t="str">
        <f>IF('Design Fee'!CX216&gt;0,"✔","-")</f>
        <v>-</v>
      </c>
      <c r="BC214" s="199"/>
      <c r="BD214" s="198" t="str">
        <f>IF('Design Fee'!CZ216&gt;0,"✔","-")</f>
        <v>-</v>
      </c>
      <c r="BE214" s="198" t="str">
        <f>IF('Design Fee'!DA216&gt;0,"✔","-")</f>
        <v>-</v>
      </c>
      <c r="BF214" s="198" t="str">
        <f>IF('Design Fee'!DB216&gt;0,"✔","-")</f>
        <v>-</v>
      </c>
      <c r="BG214" s="198" t="str">
        <f>IF('Design Fee'!DC216&gt;0,"✔","-")</f>
        <v>-</v>
      </c>
      <c r="BH214" s="198" t="str">
        <f>IF('Design Fee'!DD216&gt;0,"✔","-")</f>
        <v>-</v>
      </c>
      <c r="BI214" s="199"/>
      <c r="BJ214" s="195"/>
      <c r="BK214" s="196"/>
      <c r="BL214" s="197" t="str">
        <f>IF('Design Fee'!EA216&gt;0,"✔","-")</f>
        <v>✔</v>
      </c>
      <c r="BM214" s="197" t="str">
        <f>IF('Design Fee'!EB216&gt;0,"✔","-")</f>
        <v>✔</v>
      </c>
      <c r="BN214" s="198" t="str">
        <f>IF('Design Fee'!EC216&gt;0,"✔","-")</f>
        <v>✔</v>
      </c>
      <c r="BO214" s="198" t="str">
        <f>IF('Design Fee'!ED216&gt;0,"✔","-")</f>
        <v>-</v>
      </c>
      <c r="BP214" s="198" t="str">
        <f>IF('Design Fee'!EE216&gt;0,"✔","-")</f>
        <v>-</v>
      </c>
      <c r="BQ214" s="198" t="str">
        <f>IF('Design Fee'!EF216&gt;0,"✔","-")</f>
        <v>-</v>
      </c>
      <c r="BR214" s="198" t="str">
        <f>IF('Design Fee'!EG216&gt;0,"✔","-")</f>
        <v>-</v>
      </c>
      <c r="BS214" s="220" t="str">
        <f>IF('Design Fee'!EH216&gt;0,"✔","-")</f>
        <v>-</v>
      </c>
      <c r="BT214" s="137"/>
      <c r="BU214" s="198" t="str">
        <f>IF('Design Fee'!EJ216&gt;0,"✔","-")</f>
        <v>-</v>
      </c>
      <c r="BV214" s="198" t="str">
        <f>IF('Design Fee'!EK216&gt;0,"✔","-")</f>
        <v>-</v>
      </c>
      <c r="BW214" s="198" t="str">
        <f>IF('Design Fee'!EL216&gt;0,"✔","-")</f>
        <v>-</v>
      </c>
      <c r="BX214" s="198" t="str">
        <f>IF('Design Fee'!EM216&gt;0,"✔","-")</f>
        <v>-</v>
      </c>
      <c r="BY214" s="198" t="str">
        <f>IF('Design Fee'!EN216&gt;0,"✔","-")</f>
        <v>-</v>
      </c>
      <c r="BZ214" s="137"/>
    </row>
    <row r="215" spans="1:78" ht="12.75" outlineLevel="2">
      <c r="A215" s="137"/>
      <c r="B215" s="217" t="s">
        <v>188</v>
      </c>
      <c r="C215" s="223">
        <v>9</v>
      </c>
      <c r="D215" s="224" t="s">
        <v>199</v>
      </c>
      <c r="E215" s="137"/>
      <c r="F215" s="197">
        <f t="shared" si="638"/>
        <v>3</v>
      </c>
      <c r="G215" s="198">
        <f t="shared" si="639"/>
        <v>3</v>
      </c>
      <c r="H215" s="198">
        <f t="shared" si="639"/>
        <v>2</v>
      </c>
      <c r="I215" s="198">
        <f t="shared" si="640"/>
        <v>0</v>
      </c>
      <c r="J215" s="221"/>
      <c r="K215" s="195"/>
      <c r="L215" s="196"/>
      <c r="M215" s="197" t="str">
        <f>IF('Design Fee'!W217&gt;0,"✔","-")</f>
        <v>✔</v>
      </c>
      <c r="N215" s="197" t="str">
        <f>IF('Design Fee'!X217&gt;0,"✔","-")</f>
        <v>✔</v>
      </c>
      <c r="O215" s="198" t="str">
        <f>IF('Design Fee'!Y217&gt;0,"✔","-")</f>
        <v>-</v>
      </c>
      <c r="P215" s="198" t="str">
        <f>IF('Design Fee'!Z217&gt;0,"✔","-")</f>
        <v>✔</v>
      </c>
      <c r="Q215" s="198" t="str">
        <f>IF('Design Fee'!AA217&gt;0,"✔","-")</f>
        <v>✔</v>
      </c>
      <c r="R215" s="198" t="str">
        <f>IF('Design Fee'!AB217&gt;0,"✔","-")</f>
        <v>-</v>
      </c>
      <c r="S215" s="198" t="str">
        <f>IF('Design Fee'!AC217&gt;0,"✔","-")</f>
        <v>-</v>
      </c>
      <c r="T215" s="220" t="str">
        <f>IF('Design Fee'!AD217&gt;0,"✔","-")</f>
        <v>-</v>
      </c>
      <c r="U215" s="221"/>
      <c r="V215" s="198" t="str">
        <f>IF('Design Fee'!AF217&gt;0,"✔","-")</f>
        <v>✔</v>
      </c>
      <c r="W215" s="198" t="str">
        <f>IF('Design Fee'!AG217&gt;0,"✔","-")</f>
        <v>✔</v>
      </c>
      <c r="X215" s="198" t="str">
        <f>IF('Design Fee'!AH217&gt;0,"✔","-")</f>
        <v>-</v>
      </c>
      <c r="Y215" s="198" t="str">
        <f>IF('Design Fee'!AI217&gt;0,"✔","-")</f>
        <v>-</v>
      </c>
      <c r="Z215" s="198" t="str">
        <f>IF('Design Fee'!AJ217&gt;0,"✔","-")</f>
        <v>-</v>
      </c>
      <c r="AA215" s="221"/>
      <c r="AB215" s="195"/>
      <c r="AC215" s="196"/>
      <c r="AD215" s="197" t="str">
        <f>IF('Design Fee'!BG217&gt;0,"✔","-")</f>
        <v>-</v>
      </c>
      <c r="AE215" s="197" t="str">
        <f>IF('Design Fee'!BH217&gt;0,"✔","-")</f>
        <v>-</v>
      </c>
      <c r="AF215" s="198" t="str">
        <f>IF('Design Fee'!BI217&gt;0,"✔","-")</f>
        <v>-</v>
      </c>
      <c r="AG215" s="198" t="str">
        <f>IF('Design Fee'!BJ217&gt;0,"✔","-")</f>
        <v>-</v>
      </c>
      <c r="AH215" s="198" t="str">
        <f>IF('Design Fee'!BK217&gt;0,"✔","-")</f>
        <v>-</v>
      </c>
      <c r="AI215" s="198" t="str">
        <f>IF('Design Fee'!BL217&gt;0,"✔","-")</f>
        <v>-</v>
      </c>
      <c r="AJ215" s="198" t="str">
        <f>IF('Design Fee'!BM217&gt;0,"✔","-")</f>
        <v>-</v>
      </c>
      <c r="AK215" s="220" t="str">
        <f>IF('Design Fee'!BN217&gt;0,"✔","-")</f>
        <v>-</v>
      </c>
      <c r="AL215" s="199"/>
      <c r="AM215" s="198" t="str">
        <f>IF('Design Fee'!BP217&gt;0,"✔","-")</f>
        <v>-</v>
      </c>
      <c r="AN215" s="198" t="str">
        <f>IF('Design Fee'!BQ217&gt;0,"✔","-")</f>
        <v>-</v>
      </c>
      <c r="AO215" s="198" t="str">
        <f>IF('Design Fee'!BR217&gt;0,"✔","-")</f>
        <v>-</v>
      </c>
      <c r="AP215" s="198" t="str">
        <f>IF('Design Fee'!BS217&gt;0,"✔","-")</f>
        <v>-</v>
      </c>
      <c r="AQ215" s="198" t="str">
        <f>IF('Design Fee'!BT217&gt;0,"✔","-")</f>
        <v>-</v>
      </c>
      <c r="AR215" s="199"/>
      <c r="AS215" s="195"/>
      <c r="AT215" s="196"/>
      <c r="AU215" s="197" t="str">
        <f>IF('Design Fee'!CQ217&gt;0,"✔","-")</f>
        <v>✔</v>
      </c>
      <c r="AV215" s="197" t="str">
        <f>IF('Design Fee'!CR217&gt;0,"✔","-")</f>
        <v>✔</v>
      </c>
      <c r="AW215" s="198" t="str">
        <f>IF('Design Fee'!CS217&gt;0,"✔","-")</f>
        <v>✔</v>
      </c>
      <c r="AX215" s="198" t="str">
        <f>IF('Design Fee'!CT217&gt;0,"✔","-")</f>
        <v>-</v>
      </c>
      <c r="AY215" s="198" t="str">
        <f>IF('Design Fee'!CU217&gt;0,"✔","-")</f>
        <v>-</v>
      </c>
      <c r="AZ215" s="198" t="str">
        <f>IF('Design Fee'!CV217&gt;0,"✔","-")</f>
        <v>-</v>
      </c>
      <c r="BA215" s="198" t="str">
        <f>IF('Design Fee'!CW217&gt;0,"✔","-")</f>
        <v>-</v>
      </c>
      <c r="BB215" s="220" t="str">
        <f>IF('Design Fee'!CX217&gt;0,"✔","-")</f>
        <v>-</v>
      </c>
      <c r="BC215" s="199"/>
      <c r="BD215" s="198" t="str">
        <f>IF('Design Fee'!CZ217&gt;0,"✔","-")</f>
        <v>-</v>
      </c>
      <c r="BE215" s="198" t="str">
        <f>IF('Design Fee'!DA217&gt;0,"✔","-")</f>
        <v>-</v>
      </c>
      <c r="BF215" s="198" t="str">
        <f>IF('Design Fee'!DB217&gt;0,"✔","-")</f>
        <v>-</v>
      </c>
      <c r="BG215" s="198" t="str">
        <f>IF('Design Fee'!DC217&gt;0,"✔","-")</f>
        <v>-</v>
      </c>
      <c r="BH215" s="198" t="str">
        <f>IF('Design Fee'!DD217&gt;0,"✔","-")</f>
        <v>-</v>
      </c>
      <c r="BI215" s="199"/>
      <c r="BJ215" s="195"/>
      <c r="BK215" s="196"/>
      <c r="BL215" s="197" t="str">
        <f>IF('Design Fee'!EA217&gt;0,"✔","-")</f>
        <v>✔</v>
      </c>
      <c r="BM215" s="197" t="str">
        <f>IF('Design Fee'!EB217&gt;0,"✔","-")</f>
        <v>✔</v>
      </c>
      <c r="BN215" s="198" t="str">
        <f>IF('Design Fee'!EC217&gt;0,"✔","-")</f>
        <v>✔</v>
      </c>
      <c r="BO215" s="198" t="str">
        <f>IF('Design Fee'!ED217&gt;0,"✔","-")</f>
        <v>-</v>
      </c>
      <c r="BP215" s="198" t="str">
        <f>IF('Design Fee'!EE217&gt;0,"✔","-")</f>
        <v>-</v>
      </c>
      <c r="BQ215" s="198" t="str">
        <f>IF('Design Fee'!EF217&gt;0,"✔","-")</f>
        <v>-</v>
      </c>
      <c r="BR215" s="198" t="str">
        <f>IF('Design Fee'!EG217&gt;0,"✔","-")</f>
        <v>-</v>
      </c>
      <c r="BS215" s="220" t="str">
        <f>IF('Design Fee'!EH217&gt;0,"✔","-")</f>
        <v>-</v>
      </c>
      <c r="BT215" s="137"/>
      <c r="BU215" s="198" t="str">
        <f>IF('Design Fee'!EJ217&gt;0,"✔","-")</f>
        <v>-</v>
      </c>
      <c r="BV215" s="198" t="str">
        <f>IF('Design Fee'!EK217&gt;0,"✔","-")</f>
        <v>-</v>
      </c>
      <c r="BW215" s="198" t="str">
        <f>IF('Design Fee'!EL217&gt;0,"✔","-")</f>
        <v>-</v>
      </c>
      <c r="BX215" s="198" t="str">
        <f>IF('Design Fee'!EM217&gt;0,"✔","-")</f>
        <v>-</v>
      </c>
      <c r="BY215" s="198" t="str">
        <f>IF('Design Fee'!EN217&gt;0,"✔","-")</f>
        <v>-</v>
      </c>
      <c r="BZ215" s="137"/>
    </row>
    <row r="216" spans="1:78" ht="12.75" outlineLevel="2">
      <c r="A216" s="137"/>
      <c r="B216" s="217" t="s">
        <v>190</v>
      </c>
      <c r="C216" s="218">
        <v>10</v>
      </c>
      <c r="D216" s="219" t="s">
        <v>200</v>
      </c>
      <c r="E216" s="137"/>
      <c r="F216" s="197">
        <f t="shared" si="638"/>
        <v>3</v>
      </c>
      <c r="G216" s="198">
        <f t="shared" si="639"/>
        <v>3</v>
      </c>
      <c r="H216" s="198">
        <f t="shared" si="639"/>
        <v>2</v>
      </c>
      <c r="I216" s="198">
        <f t="shared" si="640"/>
        <v>0</v>
      </c>
      <c r="J216" s="221"/>
      <c r="K216" s="195"/>
      <c r="L216" s="196"/>
      <c r="M216" s="197" t="str">
        <f>IF('Design Fee'!W218&gt;0,"✔","-")</f>
        <v>✔</v>
      </c>
      <c r="N216" s="197" t="str">
        <f>IF('Design Fee'!X218&gt;0,"✔","-")</f>
        <v>✔</v>
      </c>
      <c r="O216" s="198" t="str">
        <f>IF('Design Fee'!Y218&gt;0,"✔","-")</f>
        <v>-</v>
      </c>
      <c r="P216" s="198" t="str">
        <f>IF('Design Fee'!Z218&gt;0,"✔","-")</f>
        <v>✔</v>
      </c>
      <c r="Q216" s="198" t="str">
        <f>IF('Design Fee'!AA218&gt;0,"✔","-")</f>
        <v>✔</v>
      </c>
      <c r="R216" s="198" t="str">
        <f>IF('Design Fee'!AB218&gt;0,"✔","-")</f>
        <v>-</v>
      </c>
      <c r="S216" s="198" t="str">
        <f>IF('Design Fee'!AC218&gt;0,"✔","-")</f>
        <v>-</v>
      </c>
      <c r="T216" s="220" t="str">
        <f>IF('Design Fee'!AD218&gt;0,"✔","-")</f>
        <v>-</v>
      </c>
      <c r="U216" s="221"/>
      <c r="V216" s="198" t="str">
        <f>IF('Design Fee'!AF218&gt;0,"✔","-")</f>
        <v>✔</v>
      </c>
      <c r="W216" s="198" t="str">
        <f>IF('Design Fee'!AG218&gt;0,"✔","-")</f>
        <v>✔</v>
      </c>
      <c r="X216" s="198" t="str">
        <f>IF('Design Fee'!AH218&gt;0,"✔","-")</f>
        <v>-</v>
      </c>
      <c r="Y216" s="198" t="str">
        <f>IF('Design Fee'!AI218&gt;0,"✔","-")</f>
        <v>-</v>
      </c>
      <c r="Z216" s="198" t="str">
        <f>IF('Design Fee'!AJ218&gt;0,"✔","-")</f>
        <v>-</v>
      </c>
      <c r="AA216" s="221"/>
      <c r="AB216" s="195"/>
      <c r="AC216" s="196"/>
      <c r="AD216" s="197" t="str">
        <f>IF('Design Fee'!BG218&gt;0,"✔","-")</f>
        <v>-</v>
      </c>
      <c r="AE216" s="197" t="str">
        <f>IF('Design Fee'!BH218&gt;0,"✔","-")</f>
        <v>-</v>
      </c>
      <c r="AF216" s="198" t="str">
        <f>IF('Design Fee'!BI218&gt;0,"✔","-")</f>
        <v>-</v>
      </c>
      <c r="AG216" s="198" t="str">
        <f>IF('Design Fee'!BJ218&gt;0,"✔","-")</f>
        <v>-</v>
      </c>
      <c r="AH216" s="198" t="str">
        <f>IF('Design Fee'!BK218&gt;0,"✔","-")</f>
        <v>-</v>
      </c>
      <c r="AI216" s="198" t="str">
        <f>IF('Design Fee'!BL218&gt;0,"✔","-")</f>
        <v>-</v>
      </c>
      <c r="AJ216" s="198" t="str">
        <f>IF('Design Fee'!BM218&gt;0,"✔","-")</f>
        <v>-</v>
      </c>
      <c r="AK216" s="220" t="str">
        <f>IF('Design Fee'!BN218&gt;0,"✔","-")</f>
        <v>-</v>
      </c>
      <c r="AL216" s="199"/>
      <c r="AM216" s="198" t="str">
        <f>IF('Design Fee'!BP218&gt;0,"✔","-")</f>
        <v>-</v>
      </c>
      <c r="AN216" s="198" t="str">
        <f>IF('Design Fee'!BQ218&gt;0,"✔","-")</f>
        <v>-</v>
      </c>
      <c r="AO216" s="198" t="str">
        <f>IF('Design Fee'!BR218&gt;0,"✔","-")</f>
        <v>-</v>
      </c>
      <c r="AP216" s="198" t="str">
        <f>IF('Design Fee'!BS218&gt;0,"✔","-")</f>
        <v>-</v>
      </c>
      <c r="AQ216" s="198" t="str">
        <f>IF('Design Fee'!BT218&gt;0,"✔","-")</f>
        <v>-</v>
      </c>
      <c r="AR216" s="199"/>
      <c r="AS216" s="195"/>
      <c r="AT216" s="196"/>
      <c r="AU216" s="197" t="str">
        <f>IF('Design Fee'!CQ218&gt;0,"✔","-")</f>
        <v>✔</v>
      </c>
      <c r="AV216" s="197" t="str">
        <f>IF('Design Fee'!CR218&gt;0,"✔","-")</f>
        <v>✔</v>
      </c>
      <c r="AW216" s="198" t="str">
        <f>IF('Design Fee'!CS218&gt;0,"✔","-")</f>
        <v>✔</v>
      </c>
      <c r="AX216" s="198" t="str">
        <f>IF('Design Fee'!CT218&gt;0,"✔","-")</f>
        <v>-</v>
      </c>
      <c r="AY216" s="198" t="str">
        <f>IF('Design Fee'!CU218&gt;0,"✔","-")</f>
        <v>-</v>
      </c>
      <c r="AZ216" s="198" t="str">
        <f>IF('Design Fee'!CV218&gt;0,"✔","-")</f>
        <v>-</v>
      </c>
      <c r="BA216" s="198" t="str">
        <f>IF('Design Fee'!CW218&gt;0,"✔","-")</f>
        <v>-</v>
      </c>
      <c r="BB216" s="220" t="str">
        <f>IF('Design Fee'!CX218&gt;0,"✔","-")</f>
        <v>-</v>
      </c>
      <c r="BC216" s="199"/>
      <c r="BD216" s="198" t="str">
        <f>IF('Design Fee'!CZ218&gt;0,"✔","-")</f>
        <v>-</v>
      </c>
      <c r="BE216" s="198" t="str">
        <f>IF('Design Fee'!DA218&gt;0,"✔","-")</f>
        <v>-</v>
      </c>
      <c r="BF216" s="198" t="str">
        <f>IF('Design Fee'!DB218&gt;0,"✔","-")</f>
        <v>-</v>
      </c>
      <c r="BG216" s="198" t="str">
        <f>IF('Design Fee'!DC218&gt;0,"✔","-")</f>
        <v>-</v>
      </c>
      <c r="BH216" s="198" t="str">
        <f>IF('Design Fee'!DD218&gt;0,"✔","-")</f>
        <v>-</v>
      </c>
      <c r="BI216" s="199"/>
      <c r="BJ216" s="195"/>
      <c r="BK216" s="196"/>
      <c r="BL216" s="197" t="str">
        <f>IF('Design Fee'!EA218&gt;0,"✔","-")</f>
        <v>✔</v>
      </c>
      <c r="BM216" s="197" t="str">
        <f>IF('Design Fee'!EB218&gt;0,"✔","-")</f>
        <v>✔</v>
      </c>
      <c r="BN216" s="198" t="str">
        <f>IF('Design Fee'!EC218&gt;0,"✔","-")</f>
        <v>✔</v>
      </c>
      <c r="BO216" s="198" t="str">
        <f>IF('Design Fee'!ED218&gt;0,"✔","-")</f>
        <v>-</v>
      </c>
      <c r="BP216" s="198" t="str">
        <f>IF('Design Fee'!EE218&gt;0,"✔","-")</f>
        <v>-</v>
      </c>
      <c r="BQ216" s="198" t="str">
        <f>IF('Design Fee'!EF218&gt;0,"✔","-")</f>
        <v>-</v>
      </c>
      <c r="BR216" s="198" t="str">
        <f>IF('Design Fee'!EG218&gt;0,"✔","-")</f>
        <v>-</v>
      </c>
      <c r="BS216" s="220" t="str">
        <f>IF('Design Fee'!EH218&gt;0,"✔","-")</f>
        <v>-</v>
      </c>
      <c r="BT216" s="137"/>
      <c r="BU216" s="198" t="str">
        <f>IF('Design Fee'!EJ218&gt;0,"✔","-")</f>
        <v>-</v>
      </c>
      <c r="BV216" s="198" t="str">
        <f>IF('Design Fee'!EK218&gt;0,"✔","-")</f>
        <v>-</v>
      </c>
      <c r="BW216" s="198" t="str">
        <f>IF('Design Fee'!EL218&gt;0,"✔","-")</f>
        <v>-</v>
      </c>
      <c r="BX216" s="198" t="str">
        <f>IF('Design Fee'!EM218&gt;0,"✔","-")</f>
        <v>-</v>
      </c>
      <c r="BY216" s="198" t="str">
        <f>IF('Design Fee'!EN218&gt;0,"✔","-")</f>
        <v>-</v>
      </c>
      <c r="BZ216" s="137"/>
    </row>
    <row r="217" spans="1:78" ht="3" customHeight="1" outlineLevel="1">
      <c r="A217" s="137"/>
      <c r="B217" s="138"/>
      <c r="C217" s="242"/>
      <c r="D217" s="219"/>
      <c r="E217" s="137"/>
      <c r="F217" s="162"/>
      <c r="G217" s="175"/>
      <c r="H217" s="175"/>
      <c r="I217" s="175"/>
      <c r="J217" s="221"/>
      <c r="K217" s="195"/>
      <c r="L217" s="196"/>
      <c r="M217" s="197"/>
      <c r="N217" s="197"/>
      <c r="O217" s="236"/>
      <c r="P217" s="236"/>
      <c r="Q217" s="236"/>
      <c r="R217" s="236"/>
      <c r="S217" s="236"/>
      <c r="T217" s="236"/>
      <c r="U217" s="221"/>
      <c r="V217" s="236"/>
      <c r="W217" s="236"/>
      <c r="X217" s="236"/>
      <c r="Y217" s="236"/>
      <c r="Z217" s="236"/>
      <c r="AA217" s="221"/>
      <c r="AB217" s="195"/>
      <c r="AC217" s="196"/>
      <c r="AD217" s="197"/>
      <c r="AE217" s="197"/>
      <c r="AF217" s="175"/>
      <c r="AG217" s="175"/>
      <c r="AH217" s="175"/>
      <c r="AI217" s="175"/>
      <c r="AJ217" s="175"/>
      <c r="AK217" s="175"/>
      <c r="AL217" s="175"/>
      <c r="AM217" s="175"/>
      <c r="AN217" s="175"/>
      <c r="AO217" s="175"/>
      <c r="AP217" s="175"/>
      <c r="AQ217" s="175"/>
      <c r="AR217" s="175"/>
      <c r="AS217" s="195"/>
      <c r="AT217" s="175"/>
      <c r="AU217" s="197"/>
      <c r="AV217" s="197"/>
      <c r="AW217" s="175"/>
      <c r="AX217" s="175"/>
      <c r="AY217" s="175"/>
      <c r="AZ217" s="175"/>
      <c r="BA217" s="175"/>
      <c r="BB217" s="175"/>
      <c r="BC217" s="175"/>
      <c r="BD217" s="175"/>
      <c r="BE217" s="175"/>
      <c r="BF217" s="175"/>
      <c r="BG217" s="175"/>
      <c r="BH217" s="175"/>
      <c r="BI217" s="175"/>
      <c r="BJ217" s="195"/>
      <c r="BK217" s="175"/>
      <c r="BL217" s="197"/>
      <c r="BM217" s="197"/>
      <c r="BN217" s="175"/>
      <c r="BO217" s="175"/>
      <c r="BP217" s="175"/>
      <c r="BQ217" s="175"/>
      <c r="BR217" s="175"/>
      <c r="BS217" s="175"/>
      <c r="BT217" s="137"/>
      <c r="BU217" s="175"/>
      <c r="BV217" s="175"/>
      <c r="BW217" s="175"/>
      <c r="BX217" s="175"/>
      <c r="BY217" s="175"/>
      <c r="BZ217" s="137"/>
    </row>
    <row r="218" spans="1:78" ht="12.75" outlineLevel="1">
      <c r="A218" s="137"/>
      <c r="B218" s="186">
        <v>16</v>
      </c>
      <c r="C218" s="213">
        <v>15</v>
      </c>
      <c r="D218" s="214" t="s">
        <v>201</v>
      </c>
      <c r="E218" s="188"/>
      <c r="F218" s="215">
        <f>M218+AD218+AU218+BL218</f>
        <v>10</v>
      </c>
      <c r="G218" s="215">
        <f t="shared" ref="G218:I218" si="641">N218+AE218+AV218+BM218</f>
        <v>4</v>
      </c>
      <c r="H218" s="215">
        <f t="shared" si="641"/>
        <v>4</v>
      </c>
      <c r="I218" s="215">
        <f t="shared" si="641"/>
        <v>6</v>
      </c>
      <c r="J218" s="192">
        <f t="shared" ref="J218" si="642">COUNT(J219:J223)</f>
        <v>0</v>
      </c>
      <c r="K218" s="189"/>
      <c r="L218" s="189"/>
      <c r="M218" s="215">
        <f t="shared" ref="M218:AA218" si="643">COUNTIF(M219:M222,"✔")</f>
        <v>4</v>
      </c>
      <c r="N218" s="215">
        <f t="shared" si="643"/>
        <v>1</v>
      </c>
      <c r="O218" s="215">
        <f t="shared" si="643"/>
        <v>1</v>
      </c>
      <c r="P218" s="215">
        <f t="shared" si="643"/>
        <v>3</v>
      </c>
      <c r="Q218" s="215">
        <f t="shared" si="643"/>
        <v>3</v>
      </c>
      <c r="R218" s="215">
        <f t="shared" si="643"/>
        <v>0</v>
      </c>
      <c r="S218" s="215">
        <f t="shared" si="643"/>
        <v>0</v>
      </c>
      <c r="T218" s="215">
        <f t="shared" si="643"/>
        <v>0</v>
      </c>
      <c r="U218" s="215">
        <f t="shared" si="643"/>
        <v>0</v>
      </c>
      <c r="V218" s="215">
        <f t="shared" si="643"/>
        <v>0</v>
      </c>
      <c r="W218" s="215">
        <f t="shared" si="643"/>
        <v>0</v>
      </c>
      <c r="X218" s="215">
        <f t="shared" si="643"/>
        <v>0</v>
      </c>
      <c r="Y218" s="215">
        <f t="shared" si="643"/>
        <v>0</v>
      </c>
      <c r="Z218" s="215">
        <f t="shared" si="643"/>
        <v>0</v>
      </c>
      <c r="AA218" s="215">
        <f t="shared" si="643"/>
        <v>0</v>
      </c>
      <c r="AB218" s="189"/>
      <c r="AC218" s="215">
        <f t="shared" ref="AC218:AR218" si="644">COUNTIF(AC219:AC222,"✔")</f>
        <v>0</v>
      </c>
      <c r="AD218" s="215">
        <f t="shared" si="644"/>
        <v>2</v>
      </c>
      <c r="AE218" s="215">
        <f t="shared" si="644"/>
        <v>0</v>
      </c>
      <c r="AF218" s="215">
        <f t="shared" si="644"/>
        <v>0</v>
      </c>
      <c r="AG218" s="215">
        <f t="shared" si="644"/>
        <v>2</v>
      </c>
      <c r="AH218" s="215">
        <f t="shared" si="644"/>
        <v>2</v>
      </c>
      <c r="AI218" s="215">
        <f t="shared" si="644"/>
        <v>0</v>
      </c>
      <c r="AJ218" s="215">
        <f t="shared" si="644"/>
        <v>0</v>
      </c>
      <c r="AK218" s="215">
        <f t="shared" si="644"/>
        <v>0</v>
      </c>
      <c r="AL218" s="215">
        <f t="shared" si="644"/>
        <v>0</v>
      </c>
      <c r="AM218" s="215">
        <f t="shared" si="644"/>
        <v>0</v>
      </c>
      <c r="AN218" s="215">
        <f t="shared" si="644"/>
        <v>0</v>
      </c>
      <c r="AO218" s="215">
        <f t="shared" si="644"/>
        <v>0</v>
      </c>
      <c r="AP218" s="215">
        <f t="shared" si="644"/>
        <v>0</v>
      </c>
      <c r="AQ218" s="215">
        <f t="shared" si="644"/>
        <v>0</v>
      </c>
      <c r="AR218" s="215">
        <f t="shared" si="644"/>
        <v>0</v>
      </c>
      <c r="AS218" s="189"/>
      <c r="AT218" s="215">
        <f t="shared" ref="AT218:BI218" si="645">COUNTIF(AT219:AT222,"✔")</f>
        <v>0</v>
      </c>
      <c r="AU218" s="215">
        <f t="shared" si="645"/>
        <v>2</v>
      </c>
      <c r="AV218" s="215">
        <f t="shared" si="645"/>
        <v>1</v>
      </c>
      <c r="AW218" s="215">
        <f t="shared" si="645"/>
        <v>1</v>
      </c>
      <c r="AX218" s="215">
        <f t="shared" si="645"/>
        <v>1</v>
      </c>
      <c r="AY218" s="215">
        <f t="shared" si="645"/>
        <v>1</v>
      </c>
      <c r="AZ218" s="215">
        <f t="shared" si="645"/>
        <v>0</v>
      </c>
      <c r="BA218" s="215">
        <f t="shared" si="645"/>
        <v>0</v>
      </c>
      <c r="BB218" s="215">
        <f t="shared" si="645"/>
        <v>0</v>
      </c>
      <c r="BC218" s="215">
        <f t="shared" si="645"/>
        <v>0</v>
      </c>
      <c r="BD218" s="215">
        <f t="shared" si="645"/>
        <v>0</v>
      </c>
      <c r="BE218" s="215">
        <f t="shared" si="645"/>
        <v>0</v>
      </c>
      <c r="BF218" s="215">
        <f t="shared" si="645"/>
        <v>0</v>
      </c>
      <c r="BG218" s="215">
        <f t="shared" si="645"/>
        <v>0</v>
      </c>
      <c r="BH218" s="215">
        <f t="shared" si="645"/>
        <v>0</v>
      </c>
      <c r="BI218" s="215">
        <f t="shared" si="645"/>
        <v>0</v>
      </c>
      <c r="BJ218" s="189"/>
      <c r="BK218" s="215">
        <f t="shared" ref="BK218:BS218" si="646">COUNTIF(BK219:BK222,"✔")</f>
        <v>0</v>
      </c>
      <c r="BL218" s="215">
        <f t="shared" si="646"/>
        <v>2</v>
      </c>
      <c r="BM218" s="215">
        <f t="shared" si="646"/>
        <v>2</v>
      </c>
      <c r="BN218" s="215">
        <f t="shared" si="646"/>
        <v>2</v>
      </c>
      <c r="BO218" s="215">
        <f t="shared" si="646"/>
        <v>0</v>
      </c>
      <c r="BP218" s="215">
        <f t="shared" si="646"/>
        <v>0</v>
      </c>
      <c r="BQ218" s="215">
        <f t="shared" si="646"/>
        <v>0</v>
      </c>
      <c r="BR218" s="215">
        <f t="shared" si="646"/>
        <v>0</v>
      </c>
      <c r="BS218" s="215">
        <f t="shared" si="646"/>
        <v>0</v>
      </c>
      <c r="BT218" s="137"/>
      <c r="BU218" s="215">
        <f>COUNTIF(BU219:BU222,"✔")</f>
        <v>0</v>
      </c>
      <c r="BV218" s="215">
        <f>COUNTIF(BV219:BV222,"✔")</f>
        <v>0</v>
      </c>
      <c r="BW218" s="215">
        <f>COUNTIF(BW219:BW222,"✔")</f>
        <v>0</v>
      </c>
      <c r="BX218" s="215">
        <f>COUNTIF(BX219:BX222,"✔")</f>
        <v>0</v>
      </c>
      <c r="BY218" s="215">
        <f>COUNTIF(BY219:BY222,"✔")</f>
        <v>0</v>
      </c>
      <c r="BZ218" s="137"/>
    </row>
    <row r="219" spans="1:78" ht="12.75" outlineLevel="2">
      <c r="A219" s="137"/>
      <c r="B219" s="217" t="s">
        <v>202</v>
      </c>
      <c r="C219" s="218">
        <v>1</v>
      </c>
      <c r="D219" s="219" t="s">
        <v>27</v>
      </c>
      <c r="E219" s="137"/>
      <c r="F219" s="197">
        <f t="shared" ref="F219:H222" si="647">COUNTIF(M219,"✔")+COUNTIF(AD219,"✔")+COUNTIF(BL219,"✔")+COUNTIF(AU219,"✔")</f>
        <v>3</v>
      </c>
      <c r="G219" s="198">
        <f t="shared" si="647"/>
        <v>3</v>
      </c>
      <c r="H219" s="198">
        <f t="shared" si="647"/>
        <v>3</v>
      </c>
      <c r="I219" s="198">
        <f t="shared" ref="I219:I222" si="648">F219-G219</f>
        <v>0</v>
      </c>
      <c r="J219" s="221"/>
      <c r="K219" s="195"/>
      <c r="L219" s="196"/>
      <c r="M219" s="197" t="str">
        <f>IF('Design Fee'!W221&gt;0,"✔","-")</f>
        <v>✔</v>
      </c>
      <c r="N219" s="197" t="str">
        <f>IF('Design Fee'!X221&gt;0,"✔","-")</f>
        <v>✔</v>
      </c>
      <c r="O219" s="228" t="str">
        <f>IF('Design Fee'!Y221&gt;0,"✔","-")</f>
        <v>✔</v>
      </c>
      <c r="P219" s="228" t="str">
        <f>IF('Design Fee'!Z221&gt;0,"✔","-")</f>
        <v>-</v>
      </c>
      <c r="Q219" s="198" t="str">
        <f>IF('Design Fee'!AA221&gt;0,"✔","-")</f>
        <v>-</v>
      </c>
      <c r="R219" s="198" t="str">
        <f>IF('Design Fee'!AB221&gt;0,"✔","-")</f>
        <v>-</v>
      </c>
      <c r="S219" s="198" t="str">
        <f>IF('Design Fee'!AC221&gt;0,"✔","-")</f>
        <v>-</v>
      </c>
      <c r="T219" s="220" t="str">
        <f>IF('Design Fee'!AD221&gt;0,"✔","-")</f>
        <v>-</v>
      </c>
      <c r="U219" s="221"/>
      <c r="V219" s="198" t="str">
        <f>IF('Design Fee'!AF221&gt;0,"✔","-")</f>
        <v>-</v>
      </c>
      <c r="W219" s="198" t="str">
        <f>IF('Design Fee'!AG221&gt;0,"✔","-")</f>
        <v>-</v>
      </c>
      <c r="X219" s="198" t="str">
        <f>IF('Design Fee'!AH221&gt;0,"✔","-")</f>
        <v>-</v>
      </c>
      <c r="Y219" s="198" t="str">
        <f>IF('Design Fee'!AI221&gt;0,"✔","-")</f>
        <v>-</v>
      </c>
      <c r="Z219" s="198" t="str">
        <f>IF('Design Fee'!AJ221&gt;0,"✔","-")</f>
        <v>-</v>
      </c>
      <c r="AA219" s="221"/>
      <c r="AB219" s="195"/>
      <c r="AC219" s="196"/>
      <c r="AD219" s="197" t="str">
        <f>IF('Design Fee'!BG221&gt;0,"✔","-")</f>
        <v>-</v>
      </c>
      <c r="AE219" s="197" t="str">
        <f>IF('Design Fee'!BH221&gt;0,"✔","-")</f>
        <v>-</v>
      </c>
      <c r="AF219" s="228" t="str">
        <f>IF('Design Fee'!BI221&gt;0,"✔","-")</f>
        <v>-</v>
      </c>
      <c r="AG219" s="228" t="str">
        <f>IF('Design Fee'!BJ221&gt;0,"✔","-")</f>
        <v>-</v>
      </c>
      <c r="AH219" s="198" t="str">
        <f>IF('Design Fee'!BK221&gt;0,"✔","-")</f>
        <v>-</v>
      </c>
      <c r="AI219" s="198" t="str">
        <f>IF('Design Fee'!BL221&gt;0,"✔","-")</f>
        <v>-</v>
      </c>
      <c r="AJ219" s="198" t="str">
        <f>IF('Design Fee'!BM221&gt;0,"✔","-")</f>
        <v>-</v>
      </c>
      <c r="AK219" s="220" t="str">
        <f>IF('Design Fee'!BN221&gt;0,"✔","-")</f>
        <v>-</v>
      </c>
      <c r="AL219" s="199"/>
      <c r="AM219" s="198" t="str">
        <f>IF('Design Fee'!BP221&gt;0,"✔","-")</f>
        <v>-</v>
      </c>
      <c r="AN219" s="198" t="str">
        <f>IF('Design Fee'!BQ221&gt;0,"✔","-")</f>
        <v>-</v>
      </c>
      <c r="AO219" s="198" t="str">
        <f>IF('Design Fee'!BR221&gt;0,"✔","-")</f>
        <v>-</v>
      </c>
      <c r="AP219" s="198" t="str">
        <f>IF('Design Fee'!BS221&gt;0,"✔","-")</f>
        <v>-</v>
      </c>
      <c r="AQ219" s="198" t="str">
        <f>IF('Design Fee'!BT221&gt;0,"✔","-")</f>
        <v>-</v>
      </c>
      <c r="AR219" s="199"/>
      <c r="AS219" s="195"/>
      <c r="AT219" s="196"/>
      <c r="AU219" s="197" t="str">
        <f>IF('Design Fee'!CQ221&gt;0,"✔","-")</f>
        <v>✔</v>
      </c>
      <c r="AV219" s="197" t="str">
        <f>IF('Design Fee'!CR221&gt;0,"✔","-")</f>
        <v>✔</v>
      </c>
      <c r="AW219" s="228" t="str">
        <f>IF('Design Fee'!CS221&gt;0,"✔","-")</f>
        <v>✔</v>
      </c>
      <c r="AX219" s="228" t="str">
        <f>IF('Design Fee'!CT221&gt;0,"✔","-")</f>
        <v>-</v>
      </c>
      <c r="AY219" s="198" t="str">
        <f>IF('Design Fee'!CU221&gt;0,"✔","-")</f>
        <v>-</v>
      </c>
      <c r="AZ219" s="198" t="str">
        <f>IF('Design Fee'!CV221&gt;0,"✔","-")</f>
        <v>-</v>
      </c>
      <c r="BA219" s="198" t="str">
        <f>IF('Design Fee'!CW221&gt;0,"✔","-")</f>
        <v>-</v>
      </c>
      <c r="BB219" s="220" t="str">
        <f>IF('Design Fee'!CX221&gt;0,"✔","-")</f>
        <v>-</v>
      </c>
      <c r="BC219" s="199"/>
      <c r="BD219" s="198" t="str">
        <f>IF('Design Fee'!CZ221&gt;0,"✔","-")</f>
        <v>-</v>
      </c>
      <c r="BE219" s="198" t="str">
        <f>IF('Design Fee'!DA221&gt;0,"✔","-")</f>
        <v>-</v>
      </c>
      <c r="BF219" s="198" t="str">
        <f>IF('Design Fee'!DB221&gt;0,"✔","-")</f>
        <v>-</v>
      </c>
      <c r="BG219" s="198" t="str">
        <f>IF('Design Fee'!DC221&gt;0,"✔","-")</f>
        <v>-</v>
      </c>
      <c r="BH219" s="198" t="str">
        <f>IF('Design Fee'!DD221&gt;0,"✔","-")</f>
        <v>-</v>
      </c>
      <c r="BI219" s="199"/>
      <c r="BJ219" s="195"/>
      <c r="BK219" s="196"/>
      <c r="BL219" s="197" t="str">
        <f>IF('Design Fee'!EA221&gt;0,"✔","-")</f>
        <v>✔</v>
      </c>
      <c r="BM219" s="197" t="str">
        <f>IF('Design Fee'!EB221&gt;0,"✔","-")</f>
        <v>✔</v>
      </c>
      <c r="BN219" s="228" t="str">
        <f>IF('Design Fee'!EC221&gt;0,"✔","-")</f>
        <v>✔</v>
      </c>
      <c r="BO219" s="228" t="str">
        <f>IF('Design Fee'!ED221&gt;0,"✔","-")</f>
        <v>-</v>
      </c>
      <c r="BP219" s="198" t="str">
        <f>IF('Design Fee'!EE221&gt;0,"✔","-")</f>
        <v>-</v>
      </c>
      <c r="BQ219" s="198" t="str">
        <f>IF('Design Fee'!EF221&gt;0,"✔","-")</f>
        <v>-</v>
      </c>
      <c r="BR219" s="198" t="str">
        <f>IF('Design Fee'!EG221&gt;0,"✔","-")</f>
        <v>-</v>
      </c>
      <c r="BS219" s="220" t="str">
        <f>IF('Design Fee'!EH221&gt;0,"✔","-")</f>
        <v>-</v>
      </c>
      <c r="BT219" s="137"/>
      <c r="BU219" s="198" t="str">
        <f>IF('Design Fee'!EJ221&gt;0,"✔","-")</f>
        <v>-</v>
      </c>
      <c r="BV219" s="198" t="str">
        <f>IF('Design Fee'!EK221&gt;0,"✔","-")</f>
        <v>-</v>
      </c>
      <c r="BW219" s="198" t="str">
        <f>IF('Design Fee'!EL221&gt;0,"✔","-")</f>
        <v>-</v>
      </c>
      <c r="BX219" s="198" t="str">
        <f>IF('Design Fee'!EM221&gt;0,"✔","-")</f>
        <v>-</v>
      </c>
      <c r="BY219" s="198" t="str">
        <f>IF('Design Fee'!EN221&gt;0,"✔","-")</f>
        <v>-</v>
      </c>
      <c r="BZ219" s="137"/>
    </row>
    <row r="220" spans="1:78" ht="12.75" outlineLevel="2">
      <c r="A220" s="137"/>
      <c r="B220" s="217" t="s">
        <v>203</v>
      </c>
      <c r="C220" s="218">
        <v>2</v>
      </c>
      <c r="D220" s="219" t="s">
        <v>204</v>
      </c>
      <c r="E220" s="137"/>
      <c r="F220" s="197">
        <f t="shared" si="647"/>
        <v>2</v>
      </c>
      <c r="G220" s="198">
        <f t="shared" si="647"/>
        <v>0</v>
      </c>
      <c r="H220" s="198">
        <f t="shared" si="647"/>
        <v>0</v>
      </c>
      <c r="I220" s="198">
        <f t="shared" si="648"/>
        <v>2</v>
      </c>
      <c r="J220" s="221"/>
      <c r="K220" s="195"/>
      <c r="L220" s="196"/>
      <c r="M220" s="197" t="str">
        <f>IF('Design Fee'!W222&gt;0,"✔","-")</f>
        <v>✔</v>
      </c>
      <c r="N220" s="197" t="str">
        <f>IF('Design Fee'!X222&gt;0,"✔","-")</f>
        <v>-</v>
      </c>
      <c r="O220" s="228" t="str">
        <f>IF('Design Fee'!Y222&gt;0,"✔","-")</f>
        <v>-</v>
      </c>
      <c r="P220" s="228" t="str">
        <f>IF('Design Fee'!Z222&gt;0,"✔","-")</f>
        <v>✔</v>
      </c>
      <c r="Q220" s="198" t="str">
        <f>IF('Design Fee'!AA222&gt;0,"✔","-")</f>
        <v>✔</v>
      </c>
      <c r="R220" s="198" t="str">
        <f>IF('Design Fee'!AB222&gt;0,"✔","-")</f>
        <v>-</v>
      </c>
      <c r="S220" s="198" t="str">
        <f>IF('Design Fee'!AC222&gt;0,"✔","-")</f>
        <v>-</v>
      </c>
      <c r="T220" s="220" t="str">
        <f>IF('Design Fee'!AD222&gt;0,"✔","-")</f>
        <v>-</v>
      </c>
      <c r="U220" s="221"/>
      <c r="V220" s="198" t="str">
        <f>IF('Design Fee'!AF222&gt;0,"✔","-")</f>
        <v>-</v>
      </c>
      <c r="W220" s="198" t="str">
        <f>IF('Design Fee'!AG222&gt;0,"✔","-")</f>
        <v>-</v>
      </c>
      <c r="X220" s="198" t="str">
        <f>IF('Design Fee'!AH222&gt;0,"✔","-")</f>
        <v>-</v>
      </c>
      <c r="Y220" s="198" t="str">
        <f>IF('Design Fee'!AI222&gt;0,"✔","-")</f>
        <v>-</v>
      </c>
      <c r="Z220" s="198" t="str">
        <f>IF('Design Fee'!AJ222&gt;0,"✔","-")</f>
        <v>-</v>
      </c>
      <c r="AA220" s="221"/>
      <c r="AB220" s="195"/>
      <c r="AC220" s="196"/>
      <c r="AD220" s="197" t="str">
        <f>IF('Design Fee'!BG222&gt;0,"✔","-")</f>
        <v>✔</v>
      </c>
      <c r="AE220" s="197" t="str">
        <f>IF('Design Fee'!BH222&gt;0,"✔","-")</f>
        <v>-</v>
      </c>
      <c r="AF220" s="228" t="str">
        <f>IF('Design Fee'!BI222&gt;0,"✔","-")</f>
        <v>-</v>
      </c>
      <c r="AG220" s="228" t="str">
        <f>IF('Design Fee'!BJ222&gt;0,"✔","-")</f>
        <v>✔</v>
      </c>
      <c r="AH220" s="198" t="str">
        <f>IF('Design Fee'!BK222&gt;0,"✔","-")</f>
        <v>✔</v>
      </c>
      <c r="AI220" s="198" t="str">
        <f>IF('Design Fee'!BL222&gt;0,"✔","-")</f>
        <v>-</v>
      </c>
      <c r="AJ220" s="198" t="str">
        <f>IF('Design Fee'!BM222&gt;0,"✔","-")</f>
        <v>-</v>
      </c>
      <c r="AK220" s="220" t="str">
        <f>IF('Design Fee'!BN222&gt;0,"✔","-")</f>
        <v>-</v>
      </c>
      <c r="AL220" s="199"/>
      <c r="AM220" s="198" t="str">
        <f>IF('Design Fee'!BP222&gt;0,"✔","-")</f>
        <v>-</v>
      </c>
      <c r="AN220" s="198" t="str">
        <f>IF('Design Fee'!BQ222&gt;0,"✔","-")</f>
        <v>-</v>
      </c>
      <c r="AO220" s="198" t="str">
        <f>IF('Design Fee'!BR222&gt;0,"✔","-")</f>
        <v>-</v>
      </c>
      <c r="AP220" s="198" t="str">
        <f>IF('Design Fee'!BS222&gt;0,"✔","-")</f>
        <v>-</v>
      </c>
      <c r="AQ220" s="198" t="str">
        <f>IF('Design Fee'!BT222&gt;0,"✔","-")</f>
        <v>-</v>
      </c>
      <c r="AR220" s="199"/>
      <c r="AS220" s="195"/>
      <c r="AT220" s="196"/>
      <c r="AU220" s="197" t="str">
        <f>IF('Design Fee'!CQ222&gt;0,"✔","-")</f>
        <v>-</v>
      </c>
      <c r="AV220" s="197" t="str">
        <f>IF('Design Fee'!CR222&gt;0,"✔","-")</f>
        <v>-</v>
      </c>
      <c r="AW220" s="228" t="str">
        <f>IF('Design Fee'!CS222&gt;0,"✔","-")</f>
        <v>-</v>
      </c>
      <c r="AX220" s="228" t="str">
        <f>IF('Design Fee'!CT222&gt;0,"✔","-")</f>
        <v>-</v>
      </c>
      <c r="AY220" s="198" t="str">
        <f>IF('Design Fee'!CU222&gt;0,"✔","-")</f>
        <v>-</v>
      </c>
      <c r="AZ220" s="198" t="str">
        <f>IF('Design Fee'!CV222&gt;0,"✔","-")</f>
        <v>-</v>
      </c>
      <c r="BA220" s="198" t="str">
        <f>IF('Design Fee'!CW222&gt;0,"✔","-")</f>
        <v>-</v>
      </c>
      <c r="BB220" s="220" t="str">
        <f>IF('Design Fee'!CX222&gt;0,"✔","-")</f>
        <v>-</v>
      </c>
      <c r="BC220" s="199"/>
      <c r="BD220" s="198" t="str">
        <f>IF('Design Fee'!CZ222&gt;0,"✔","-")</f>
        <v>-</v>
      </c>
      <c r="BE220" s="198" t="str">
        <f>IF('Design Fee'!DA222&gt;0,"✔","-")</f>
        <v>-</v>
      </c>
      <c r="BF220" s="198" t="str">
        <f>IF('Design Fee'!DB222&gt;0,"✔","-")</f>
        <v>-</v>
      </c>
      <c r="BG220" s="198" t="str">
        <f>IF('Design Fee'!DC222&gt;0,"✔","-")</f>
        <v>-</v>
      </c>
      <c r="BH220" s="198" t="str">
        <f>IF('Design Fee'!DD222&gt;0,"✔","-")</f>
        <v>-</v>
      </c>
      <c r="BI220" s="199"/>
      <c r="BJ220" s="195"/>
      <c r="BK220" s="196"/>
      <c r="BL220" s="197" t="str">
        <f>IF('Design Fee'!EA222&gt;0,"✔","-")</f>
        <v>-</v>
      </c>
      <c r="BM220" s="197" t="str">
        <f>IF('Design Fee'!EB222&gt;0,"✔","-")</f>
        <v>-</v>
      </c>
      <c r="BN220" s="228" t="str">
        <f>IF('Design Fee'!EC222&gt;0,"✔","-")</f>
        <v>-</v>
      </c>
      <c r="BO220" s="228" t="str">
        <f>IF('Design Fee'!ED222&gt;0,"✔","-")</f>
        <v>-</v>
      </c>
      <c r="BP220" s="198" t="str">
        <f>IF('Design Fee'!EE222&gt;0,"✔","-")</f>
        <v>-</v>
      </c>
      <c r="BQ220" s="198" t="str">
        <f>IF('Design Fee'!EF222&gt;0,"✔","-")</f>
        <v>-</v>
      </c>
      <c r="BR220" s="198" t="str">
        <f>IF('Design Fee'!EG222&gt;0,"✔","-")</f>
        <v>-</v>
      </c>
      <c r="BS220" s="220" t="str">
        <f>IF('Design Fee'!EH222&gt;0,"✔","-")</f>
        <v>-</v>
      </c>
      <c r="BT220" s="137"/>
      <c r="BU220" s="198" t="str">
        <f>IF('Design Fee'!EJ222&gt;0,"✔","-")</f>
        <v>-</v>
      </c>
      <c r="BV220" s="198" t="str">
        <f>IF('Design Fee'!EK222&gt;0,"✔","-")</f>
        <v>-</v>
      </c>
      <c r="BW220" s="198" t="str">
        <f>IF('Design Fee'!EL222&gt;0,"✔","-")</f>
        <v>-</v>
      </c>
      <c r="BX220" s="198" t="str">
        <f>IF('Design Fee'!EM222&gt;0,"✔","-")</f>
        <v>-</v>
      </c>
      <c r="BY220" s="198" t="str">
        <f>IF('Design Fee'!EN222&gt;0,"✔","-")</f>
        <v>-</v>
      </c>
      <c r="BZ220" s="137"/>
    </row>
    <row r="221" spans="1:78" ht="12.75" outlineLevel="2">
      <c r="A221" s="137"/>
      <c r="B221" s="217" t="s">
        <v>205</v>
      </c>
      <c r="C221" s="218">
        <v>3</v>
      </c>
      <c r="D221" s="219" t="s">
        <v>206</v>
      </c>
      <c r="E221" s="137"/>
      <c r="F221" s="197">
        <f t="shared" si="647"/>
        <v>3</v>
      </c>
      <c r="G221" s="198">
        <f t="shared" si="647"/>
        <v>0</v>
      </c>
      <c r="H221" s="198">
        <f t="shared" si="647"/>
        <v>0</v>
      </c>
      <c r="I221" s="198">
        <f t="shared" si="648"/>
        <v>3</v>
      </c>
      <c r="J221" s="221"/>
      <c r="K221" s="195"/>
      <c r="L221" s="196"/>
      <c r="M221" s="197" t="str">
        <f>IF('Design Fee'!W223&gt;0,"✔","-")</f>
        <v>✔</v>
      </c>
      <c r="N221" s="197" t="str">
        <f>IF('Design Fee'!X223&gt;0,"✔","-")</f>
        <v>-</v>
      </c>
      <c r="O221" s="228" t="str">
        <f>IF('Design Fee'!Y223&gt;0,"✔","-")</f>
        <v>-</v>
      </c>
      <c r="P221" s="228" t="str">
        <f>IF('Design Fee'!Z223&gt;0,"✔","-")</f>
        <v>✔</v>
      </c>
      <c r="Q221" s="198" t="str">
        <f>IF('Design Fee'!AA223&gt;0,"✔","-")</f>
        <v>✔</v>
      </c>
      <c r="R221" s="198" t="str">
        <f>IF('Design Fee'!AB223&gt;0,"✔","-")</f>
        <v>-</v>
      </c>
      <c r="S221" s="198" t="str">
        <f>IF('Design Fee'!AC223&gt;0,"✔","-")</f>
        <v>-</v>
      </c>
      <c r="T221" s="220" t="str">
        <f>IF('Design Fee'!AD223&gt;0,"✔","-")</f>
        <v>-</v>
      </c>
      <c r="U221" s="221"/>
      <c r="V221" s="198" t="str">
        <f>IF('Design Fee'!AF223&gt;0,"✔","-")</f>
        <v>-</v>
      </c>
      <c r="W221" s="198" t="str">
        <f>IF('Design Fee'!AG223&gt;0,"✔","-")</f>
        <v>-</v>
      </c>
      <c r="X221" s="198" t="str">
        <f>IF('Design Fee'!AH223&gt;0,"✔","-")</f>
        <v>-</v>
      </c>
      <c r="Y221" s="198" t="str">
        <f>IF('Design Fee'!AI223&gt;0,"✔","-")</f>
        <v>-</v>
      </c>
      <c r="Z221" s="198" t="str">
        <f>IF('Design Fee'!AJ223&gt;0,"✔","-")</f>
        <v>-</v>
      </c>
      <c r="AA221" s="221"/>
      <c r="AB221" s="195"/>
      <c r="AC221" s="196"/>
      <c r="AD221" s="197" t="str">
        <f>IF('Design Fee'!BG223&gt;0,"✔","-")</f>
        <v>✔</v>
      </c>
      <c r="AE221" s="197" t="str">
        <f>IF('Design Fee'!BH223&gt;0,"✔","-")</f>
        <v>-</v>
      </c>
      <c r="AF221" s="228" t="str">
        <f>IF('Design Fee'!BI223&gt;0,"✔","-")</f>
        <v>-</v>
      </c>
      <c r="AG221" s="228" t="str">
        <f>IF('Design Fee'!BJ223&gt;0,"✔","-")</f>
        <v>✔</v>
      </c>
      <c r="AH221" s="198" t="str">
        <f>IF('Design Fee'!BK223&gt;0,"✔","-")</f>
        <v>✔</v>
      </c>
      <c r="AI221" s="198" t="str">
        <f>IF('Design Fee'!BL223&gt;0,"✔","-")</f>
        <v>-</v>
      </c>
      <c r="AJ221" s="198" t="str">
        <f>IF('Design Fee'!BM223&gt;0,"✔","-")</f>
        <v>-</v>
      </c>
      <c r="AK221" s="220" t="str">
        <f>IF('Design Fee'!BN223&gt;0,"✔","-")</f>
        <v>-</v>
      </c>
      <c r="AL221" s="199"/>
      <c r="AM221" s="198" t="str">
        <f>IF('Design Fee'!BP223&gt;0,"✔","-")</f>
        <v>-</v>
      </c>
      <c r="AN221" s="198" t="str">
        <f>IF('Design Fee'!BQ223&gt;0,"✔","-")</f>
        <v>-</v>
      </c>
      <c r="AO221" s="198" t="str">
        <f>IF('Design Fee'!BR223&gt;0,"✔","-")</f>
        <v>-</v>
      </c>
      <c r="AP221" s="198" t="str">
        <f>IF('Design Fee'!BS223&gt;0,"✔","-")</f>
        <v>-</v>
      </c>
      <c r="AQ221" s="198" t="str">
        <f>IF('Design Fee'!BT223&gt;0,"✔","-")</f>
        <v>-</v>
      </c>
      <c r="AR221" s="199"/>
      <c r="AS221" s="195"/>
      <c r="AT221" s="196"/>
      <c r="AU221" s="197" t="str">
        <f>IF('Design Fee'!CQ223&gt;0,"✔","-")</f>
        <v>✔</v>
      </c>
      <c r="AV221" s="197" t="str">
        <f>IF('Design Fee'!CR223&gt;0,"✔","-")</f>
        <v>-</v>
      </c>
      <c r="AW221" s="228" t="str">
        <f>IF('Design Fee'!CS223&gt;0,"✔","-")</f>
        <v>-</v>
      </c>
      <c r="AX221" s="228" t="str">
        <f>IF('Design Fee'!CT223&gt;0,"✔","-")</f>
        <v>✔</v>
      </c>
      <c r="AY221" s="198" t="str">
        <f>IF('Design Fee'!CU223&gt;0,"✔","-")</f>
        <v>✔</v>
      </c>
      <c r="AZ221" s="198" t="str">
        <f>IF('Design Fee'!CV223&gt;0,"✔","-")</f>
        <v>-</v>
      </c>
      <c r="BA221" s="198" t="str">
        <f>IF('Design Fee'!CW223&gt;0,"✔","-")</f>
        <v>-</v>
      </c>
      <c r="BB221" s="220" t="str">
        <f>IF('Design Fee'!CX223&gt;0,"✔","-")</f>
        <v>-</v>
      </c>
      <c r="BC221" s="199"/>
      <c r="BD221" s="198" t="str">
        <f>IF('Design Fee'!CZ223&gt;0,"✔","-")</f>
        <v>-</v>
      </c>
      <c r="BE221" s="198" t="str">
        <f>IF('Design Fee'!DA223&gt;0,"✔","-")</f>
        <v>-</v>
      </c>
      <c r="BF221" s="198" t="str">
        <f>IF('Design Fee'!DB223&gt;0,"✔","-")</f>
        <v>-</v>
      </c>
      <c r="BG221" s="198" t="str">
        <f>IF('Design Fee'!DC223&gt;0,"✔","-")</f>
        <v>-</v>
      </c>
      <c r="BH221" s="198" t="str">
        <f>IF('Design Fee'!DD223&gt;0,"✔","-")</f>
        <v>-</v>
      </c>
      <c r="BI221" s="199"/>
      <c r="BJ221" s="195"/>
      <c r="BK221" s="196"/>
      <c r="BL221" s="197" t="str">
        <f>IF('Design Fee'!EA223&gt;0,"✔","-")</f>
        <v>-</v>
      </c>
      <c r="BM221" s="197" t="str">
        <f>IF('Design Fee'!EB223&gt;0,"✔","-")</f>
        <v>-</v>
      </c>
      <c r="BN221" s="228" t="str">
        <f>IF('Design Fee'!EC223&gt;0,"✔","-")</f>
        <v>-</v>
      </c>
      <c r="BO221" s="228" t="str">
        <f>IF('Design Fee'!ED223&gt;0,"✔","-")</f>
        <v>-</v>
      </c>
      <c r="BP221" s="198" t="str">
        <f>IF('Design Fee'!EE223&gt;0,"✔","-")</f>
        <v>-</v>
      </c>
      <c r="BQ221" s="198" t="str">
        <f>IF('Design Fee'!EF223&gt;0,"✔","-")</f>
        <v>-</v>
      </c>
      <c r="BR221" s="198" t="str">
        <f>IF('Design Fee'!EG223&gt;0,"✔","-")</f>
        <v>-</v>
      </c>
      <c r="BS221" s="220" t="str">
        <f>IF('Design Fee'!EH223&gt;0,"✔","-")</f>
        <v>-</v>
      </c>
      <c r="BT221" s="137"/>
      <c r="BU221" s="198" t="str">
        <f>IF('Design Fee'!EJ223&gt;0,"✔","-")</f>
        <v>-</v>
      </c>
      <c r="BV221" s="198" t="str">
        <f>IF('Design Fee'!EK223&gt;0,"✔","-")</f>
        <v>-</v>
      </c>
      <c r="BW221" s="198" t="str">
        <f>IF('Design Fee'!EL223&gt;0,"✔","-")</f>
        <v>-</v>
      </c>
      <c r="BX221" s="198" t="str">
        <f>IF('Design Fee'!EM223&gt;0,"✔","-")</f>
        <v>-</v>
      </c>
      <c r="BY221" s="198" t="str">
        <f>IF('Design Fee'!EN223&gt;0,"✔","-")</f>
        <v>-</v>
      </c>
      <c r="BZ221" s="137"/>
    </row>
    <row r="222" spans="1:78" ht="12.75" outlineLevel="2">
      <c r="A222" s="137"/>
      <c r="B222" s="217" t="s">
        <v>207</v>
      </c>
      <c r="C222" s="218">
        <v>4</v>
      </c>
      <c r="D222" s="219" t="s">
        <v>208</v>
      </c>
      <c r="E222" s="137"/>
      <c r="F222" s="197">
        <f t="shared" si="647"/>
        <v>2</v>
      </c>
      <c r="G222" s="198">
        <f t="shared" si="647"/>
        <v>1</v>
      </c>
      <c r="H222" s="198">
        <f t="shared" si="647"/>
        <v>1</v>
      </c>
      <c r="I222" s="198">
        <f t="shared" si="648"/>
        <v>1</v>
      </c>
      <c r="J222" s="221"/>
      <c r="K222" s="195"/>
      <c r="L222" s="196"/>
      <c r="M222" s="197" t="str">
        <f>IF('Design Fee'!W224&gt;0,"✔","-")</f>
        <v>✔</v>
      </c>
      <c r="N222" s="197" t="str">
        <f>IF('Design Fee'!X224&gt;0,"✔","-")</f>
        <v>-</v>
      </c>
      <c r="O222" s="228" t="str">
        <f>IF('Design Fee'!Y224&gt;0,"✔","-")</f>
        <v>-</v>
      </c>
      <c r="P222" s="228" t="str">
        <f>IF('Design Fee'!Z224&gt;0,"✔","-")</f>
        <v>✔</v>
      </c>
      <c r="Q222" s="198" t="str">
        <f>IF('Design Fee'!AA224&gt;0,"✔","-")</f>
        <v>✔</v>
      </c>
      <c r="R222" s="198" t="str">
        <f>IF('Design Fee'!AB224&gt;0,"✔","-")</f>
        <v>-</v>
      </c>
      <c r="S222" s="198" t="str">
        <f>IF('Design Fee'!AC224&gt;0,"✔","-")</f>
        <v>-</v>
      </c>
      <c r="T222" s="220" t="str">
        <f>IF('Design Fee'!AD224&gt;0,"✔","-")</f>
        <v>-</v>
      </c>
      <c r="U222" s="221"/>
      <c r="V222" s="198" t="str">
        <f>IF('Design Fee'!AF224&gt;0,"✔","-")</f>
        <v>-</v>
      </c>
      <c r="W222" s="198" t="str">
        <f>IF('Design Fee'!AG224&gt;0,"✔","-")</f>
        <v>-</v>
      </c>
      <c r="X222" s="198" t="str">
        <f>IF('Design Fee'!AH224&gt;0,"✔","-")</f>
        <v>-</v>
      </c>
      <c r="Y222" s="198" t="str">
        <f>IF('Design Fee'!AI224&gt;0,"✔","-")</f>
        <v>-</v>
      </c>
      <c r="Z222" s="198" t="str">
        <f>IF('Design Fee'!AJ224&gt;0,"✔","-")</f>
        <v>-</v>
      </c>
      <c r="AA222" s="221"/>
      <c r="AB222" s="195"/>
      <c r="AC222" s="196"/>
      <c r="AD222" s="197" t="str">
        <f>IF('Design Fee'!BG224&gt;0,"✔","-")</f>
        <v>-</v>
      </c>
      <c r="AE222" s="197" t="str">
        <f>IF('Design Fee'!BH224&gt;0,"✔","-")</f>
        <v>-</v>
      </c>
      <c r="AF222" s="228" t="str">
        <f>IF('Design Fee'!BI224&gt;0,"✔","-")</f>
        <v>-</v>
      </c>
      <c r="AG222" s="228" t="str">
        <f>IF('Design Fee'!BJ224&gt;0,"✔","-")</f>
        <v>-</v>
      </c>
      <c r="AH222" s="198" t="str">
        <f>IF('Design Fee'!BK224&gt;0,"✔","-")</f>
        <v>-</v>
      </c>
      <c r="AI222" s="198" t="str">
        <f>IF('Design Fee'!BL224&gt;0,"✔","-")</f>
        <v>-</v>
      </c>
      <c r="AJ222" s="198" t="str">
        <f>IF('Design Fee'!BM224&gt;0,"✔","-")</f>
        <v>-</v>
      </c>
      <c r="AK222" s="220" t="str">
        <f>IF('Design Fee'!BN224&gt;0,"✔","-")</f>
        <v>-</v>
      </c>
      <c r="AL222" s="199"/>
      <c r="AM222" s="198" t="str">
        <f>IF('Design Fee'!BP224&gt;0,"✔","-")</f>
        <v>-</v>
      </c>
      <c r="AN222" s="198" t="str">
        <f>IF('Design Fee'!BQ224&gt;0,"✔","-")</f>
        <v>-</v>
      </c>
      <c r="AO222" s="198" t="str">
        <f>IF('Design Fee'!BR224&gt;0,"✔","-")</f>
        <v>-</v>
      </c>
      <c r="AP222" s="198" t="str">
        <f>IF('Design Fee'!BS224&gt;0,"✔","-")</f>
        <v>-</v>
      </c>
      <c r="AQ222" s="198" t="str">
        <f>IF('Design Fee'!BT224&gt;0,"✔","-")</f>
        <v>-</v>
      </c>
      <c r="AR222" s="199"/>
      <c r="AS222" s="195"/>
      <c r="AT222" s="196"/>
      <c r="AU222" s="197" t="str">
        <f>IF('Design Fee'!CQ224&gt;0,"✔","-")</f>
        <v>-</v>
      </c>
      <c r="AV222" s="197" t="str">
        <f>IF('Design Fee'!CR224&gt;0,"✔","-")</f>
        <v>-</v>
      </c>
      <c r="AW222" s="228" t="str">
        <f>IF('Design Fee'!CS224&gt;0,"✔","-")</f>
        <v>-</v>
      </c>
      <c r="AX222" s="228" t="str">
        <f>IF('Design Fee'!CT224&gt;0,"✔","-")</f>
        <v>-</v>
      </c>
      <c r="AY222" s="198" t="str">
        <f>IF('Design Fee'!CU224&gt;0,"✔","-")</f>
        <v>-</v>
      </c>
      <c r="AZ222" s="198" t="str">
        <f>IF('Design Fee'!CV224&gt;0,"✔","-")</f>
        <v>-</v>
      </c>
      <c r="BA222" s="198" t="str">
        <f>IF('Design Fee'!CW224&gt;0,"✔","-")</f>
        <v>-</v>
      </c>
      <c r="BB222" s="220" t="str">
        <f>IF('Design Fee'!CX224&gt;0,"✔","-")</f>
        <v>-</v>
      </c>
      <c r="BC222" s="199"/>
      <c r="BD222" s="198" t="str">
        <f>IF('Design Fee'!CZ224&gt;0,"✔","-")</f>
        <v>-</v>
      </c>
      <c r="BE222" s="198" t="str">
        <f>IF('Design Fee'!DA224&gt;0,"✔","-")</f>
        <v>-</v>
      </c>
      <c r="BF222" s="198" t="str">
        <f>IF('Design Fee'!DB224&gt;0,"✔","-")</f>
        <v>-</v>
      </c>
      <c r="BG222" s="198" t="str">
        <f>IF('Design Fee'!DC224&gt;0,"✔","-")</f>
        <v>-</v>
      </c>
      <c r="BH222" s="198" t="str">
        <f>IF('Design Fee'!DD224&gt;0,"✔","-")</f>
        <v>-</v>
      </c>
      <c r="BI222" s="199"/>
      <c r="BJ222" s="195"/>
      <c r="BK222" s="196"/>
      <c r="BL222" s="197" t="str">
        <f>IF('Design Fee'!EA224&gt;0,"✔","-")</f>
        <v>✔</v>
      </c>
      <c r="BM222" s="197" t="str">
        <f>IF('Design Fee'!EB224&gt;0,"✔","-")</f>
        <v>✔</v>
      </c>
      <c r="BN222" s="228" t="str">
        <f>IF('Design Fee'!EC224&gt;0,"✔","-")</f>
        <v>✔</v>
      </c>
      <c r="BO222" s="228" t="str">
        <f>IF('Design Fee'!ED224&gt;0,"✔","-")</f>
        <v>-</v>
      </c>
      <c r="BP222" s="198" t="str">
        <f>IF('Design Fee'!EE224&gt;0,"✔","-")</f>
        <v>-</v>
      </c>
      <c r="BQ222" s="198" t="str">
        <f>IF('Design Fee'!EF224&gt;0,"✔","-")</f>
        <v>-</v>
      </c>
      <c r="BR222" s="198" t="str">
        <f>IF('Design Fee'!EG224&gt;0,"✔","-")</f>
        <v>-</v>
      </c>
      <c r="BS222" s="220" t="str">
        <f>IF('Design Fee'!EH224&gt;0,"✔","-")</f>
        <v>-</v>
      </c>
      <c r="BT222" s="137"/>
      <c r="BU222" s="198" t="str">
        <f>IF('Design Fee'!EJ224&gt;0,"✔","-")</f>
        <v>-</v>
      </c>
      <c r="BV222" s="198" t="str">
        <f>IF('Design Fee'!EK224&gt;0,"✔","-")</f>
        <v>-</v>
      </c>
      <c r="BW222" s="198" t="str">
        <f>IF('Design Fee'!EL224&gt;0,"✔","-")</f>
        <v>-</v>
      </c>
      <c r="BX222" s="198" t="str">
        <f>IF('Design Fee'!EM224&gt;0,"✔","-")</f>
        <v>-</v>
      </c>
      <c r="BY222" s="198" t="str">
        <f>IF('Design Fee'!EN224&gt;0,"✔","-")</f>
        <v>-</v>
      </c>
      <c r="BZ222" s="137"/>
    </row>
    <row r="223" spans="1:78" ht="3" customHeight="1" outlineLevel="1">
      <c r="A223" s="137"/>
      <c r="B223" s="138"/>
      <c r="C223" s="242"/>
      <c r="D223" s="219"/>
      <c r="E223" s="137"/>
      <c r="F223" s="162"/>
      <c r="G223" s="175"/>
      <c r="H223" s="175"/>
      <c r="I223" s="175"/>
      <c r="J223" s="221"/>
      <c r="K223" s="195"/>
      <c r="L223" s="196"/>
      <c r="M223" s="197"/>
      <c r="N223" s="197"/>
      <c r="O223" s="236"/>
      <c r="P223" s="236"/>
      <c r="Q223" s="236"/>
      <c r="R223" s="236"/>
      <c r="S223" s="236"/>
      <c r="T223" s="236"/>
      <c r="U223" s="221"/>
      <c r="V223" s="236"/>
      <c r="W223" s="236"/>
      <c r="X223" s="236"/>
      <c r="Y223" s="236"/>
      <c r="Z223" s="236"/>
      <c r="AA223" s="221"/>
      <c r="AB223" s="195"/>
      <c r="AC223" s="196"/>
      <c r="AD223" s="197"/>
      <c r="AE223" s="197"/>
      <c r="AF223" s="175"/>
      <c r="AG223" s="175"/>
      <c r="AH223" s="175"/>
      <c r="AI223" s="175"/>
      <c r="AJ223" s="175"/>
      <c r="AK223" s="175"/>
      <c r="AL223" s="175"/>
      <c r="AM223" s="175"/>
      <c r="AN223" s="175"/>
      <c r="AO223" s="175"/>
      <c r="AP223" s="175"/>
      <c r="AQ223" s="175"/>
      <c r="AR223" s="175"/>
      <c r="AS223" s="195"/>
      <c r="AT223" s="175"/>
      <c r="AU223" s="197"/>
      <c r="AV223" s="197"/>
      <c r="AW223" s="175"/>
      <c r="AX223" s="175"/>
      <c r="AY223" s="175"/>
      <c r="AZ223" s="175"/>
      <c r="BA223" s="175"/>
      <c r="BB223" s="175"/>
      <c r="BC223" s="175"/>
      <c r="BD223" s="175"/>
      <c r="BE223" s="175"/>
      <c r="BF223" s="175"/>
      <c r="BG223" s="175"/>
      <c r="BH223" s="175"/>
      <c r="BI223" s="175"/>
      <c r="BJ223" s="195"/>
      <c r="BK223" s="175"/>
      <c r="BL223" s="197"/>
      <c r="BM223" s="197"/>
      <c r="BN223" s="175"/>
      <c r="BO223" s="175"/>
      <c r="BP223" s="175"/>
      <c r="BQ223" s="175"/>
      <c r="BR223" s="175"/>
      <c r="BS223" s="175"/>
      <c r="BT223" s="137"/>
      <c r="BU223" s="175"/>
      <c r="BV223" s="175"/>
      <c r="BW223" s="175"/>
      <c r="BX223" s="175"/>
      <c r="BY223" s="175"/>
      <c r="BZ223" s="137"/>
    </row>
    <row r="224" spans="1:78" ht="12.75" outlineLevel="1">
      <c r="A224" s="137"/>
      <c r="B224" s="186">
        <v>17</v>
      </c>
      <c r="C224" s="213">
        <v>16</v>
      </c>
      <c r="D224" s="214" t="s">
        <v>209</v>
      </c>
      <c r="E224" s="188"/>
      <c r="F224" s="215">
        <f>M224+AD224+AU224+BL224</f>
        <v>16</v>
      </c>
      <c r="G224" s="215">
        <f t="shared" ref="G224:I224" si="649">N224+AE224+AV224+BM224</f>
        <v>11</v>
      </c>
      <c r="H224" s="215">
        <f t="shared" si="649"/>
        <v>11</v>
      </c>
      <c r="I224" s="215">
        <f t="shared" si="649"/>
        <v>5</v>
      </c>
      <c r="J224" s="192">
        <f t="shared" ref="J224" si="650">COUNT(J225:J229)</f>
        <v>0</v>
      </c>
      <c r="K224" s="189"/>
      <c r="L224" s="189"/>
      <c r="M224" s="215">
        <f t="shared" ref="M224:AA224" si="651">COUNTIF(M225:M229,"✔")</f>
        <v>5</v>
      </c>
      <c r="N224" s="215">
        <f t="shared" si="651"/>
        <v>4</v>
      </c>
      <c r="O224" s="215">
        <f t="shared" si="651"/>
        <v>4</v>
      </c>
      <c r="P224" s="215">
        <f t="shared" si="651"/>
        <v>1</v>
      </c>
      <c r="Q224" s="215">
        <f t="shared" si="651"/>
        <v>1</v>
      </c>
      <c r="R224" s="215">
        <f t="shared" si="651"/>
        <v>0</v>
      </c>
      <c r="S224" s="215">
        <f t="shared" si="651"/>
        <v>0</v>
      </c>
      <c r="T224" s="215">
        <f t="shared" si="651"/>
        <v>0</v>
      </c>
      <c r="U224" s="215">
        <f t="shared" si="651"/>
        <v>0</v>
      </c>
      <c r="V224" s="215">
        <f t="shared" si="651"/>
        <v>0</v>
      </c>
      <c r="W224" s="215">
        <f t="shared" si="651"/>
        <v>0</v>
      </c>
      <c r="X224" s="215">
        <f t="shared" si="651"/>
        <v>0</v>
      </c>
      <c r="Y224" s="215">
        <f t="shared" si="651"/>
        <v>0</v>
      </c>
      <c r="Z224" s="215">
        <f t="shared" si="651"/>
        <v>0</v>
      </c>
      <c r="AA224" s="215">
        <f t="shared" si="651"/>
        <v>0</v>
      </c>
      <c r="AB224" s="189"/>
      <c r="AC224" s="215">
        <f t="shared" ref="AC224:AR224" si="652">COUNTIF(AC225:AC229,"✔")</f>
        <v>0</v>
      </c>
      <c r="AD224" s="215">
        <f t="shared" si="652"/>
        <v>4</v>
      </c>
      <c r="AE224" s="215">
        <f t="shared" si="652"/>
        <v>3</v>
      </c>
      <c r="AF224" s="215">
        <f t="shared" si="652"/>
        <v>3</v>
      </c>
      <c r="AG224" s="215">
        <f t="shared" si="652"/>
        <v>1</v>
      </c>
      <c r="AH224" s="215">
        <f t="shared" si="652"/>
        <v>1</v>
      </c>
      <c r="AI224" s="215">
        <f t="shared" si="652"/>
        <v>0</v>
      </c>
      <c r="AJ224" s="215">
        <f t="shared" si="652"/>
        <v>0</v>
      </c>
      <c r="AK224" s="215">
        <f t="shared" si="652"/>
        <v>0</v>
      </c>
      <c r="AL224" s="215">
        <f t="shared" si="652"/>
        <v>0</v>
      </c>
      <c r="AM224" s="215">
        <f t="shared" si="652"/>
        <v>0</v>
      </c>
      <c r="AN224" s="215">
        <f t="shared" si="652"/>
        <v>0</v>
      </c>
      <c r="AO224" s="215">
        <f t="shared" si="652"/>
        <v>0</v>
      </c>
      <c r="AP224" s="215">
        <f t="shared" si="652"/>
        <v>0</v>
      </c>
      <c r="AQ224" s="215">
        <f t="shared" si="652"/>
        <v>0</v>
      </c>
      <c r="AR224" s="215">
        <f t="shared" si="652"/>
        <v>0</v>
      </c>
      <c r="AS224" s="189"/>
      <c r="AT224" s="215">
        <f t="shared" ref="AT224:BI224" si="653">COUNTIF(AT225:AT229,"✔")</f>
        <v>0</v>
      </c>
      <c r="AU224" s="215">
        <f t="shared" si="653"/>
        <v>4</v>
      </c>
      <c r="AV224" s="215">
        <f t="shared" si="653"/>
        <v>2</v>
      </c>
      <c r="AW224" s="215">
        <f t="shared" si="653"/>
        <v>2</v>
      </c>
      <c r="AX224" s="215">
        <f t="shared" si="653"/>
        <v>2</v>
      </c>
      <c r="AY224" s="215">
        <f t="shared" si="653"/>
        <v>2</v>
      </c>
      <c r="AZ224" s="215">
        <f t="shared" si="653"/>
        <v>0</v>
      </c>
      <c r="BA224" s="215">
        <f t="shared" si="653"/>
        <v>0</v>
      </c>
      <c r="BB224" s="215">
        <f t="shared" si="653"/>
        <v>0</v>
      </c>
      <c r="BC224" s="215">
        <f t="shared" si="653"/>
        <v>0</v>
      </c>
      <c r="BD224" s="215">
        <f t="shared" si="653"/>
        <v>0</v>
      </c>
      <c r="BE224" s="215">
        <f t="shared" si="653"/>
        <v>0</v>
      </c>
      <c r="BF224" s="215">
        <f t="shared" si="653"/>
        <v>0</v>
      </c>
      <c r="BG224" s="215">
        <f t="shared" si="653"/>
        <v>0</v>
      </c>
      <c r="BH224" s="215">
        <f t="shared" si="653"/>
        <v>0</v>
      </c>
      <c r="BI224" s="215">
        <f t="shared" si="653"/>
        <v>0</v>
      </c>
      <c r="BJ224" s="189"/>
      <c r="BK224" s="215">
        <f t="shared" ref="BK224:BS224" si="654">COUNTIF(BK225:BK229,"✔")</f>
        <v>0</v>
      </c>
      <c r="BL224" s="215">
        <f t="shared" si="654"/>
        <v>3</v>
      </c>
      <c r="BM224" s="215">
        <f t="shared" si="654"/>
        <v>2</v>
      </c>
      <c r="BN224" s="215">
        <f t="shared" si="654"/>
        <v>2</v>
      </c>
      <c r="BO224" s="215">
        <f t="shared" si="654"/>
        <v>1</v>
      </c>
      <c r="BP224" s="215">
        <f t="shared" si="654"/>
        <v>1</v>
      </c>
      <c r="BQ224" s="215">
        <f t="shared" si="654"/>
        <v>0</v>
      </c>
      <c r="BR224" s="215">
        <f t="shared" si="654"/>
        <v>0</v>
      </c>
      <c r="BS224" s="215">
        <f t="shared" si="654"/>
        <v>0</v>
      </c>
      <c r="BT224" s="137"/>
      <c r="BU224" s="215">
        <f>COUNTIF(BU225:BU229,"✔")</f>
        <v>0</v>
      </c>
      <c r="BV224" s="215">
        <f>COUNTIF(BV225:BV229,"✔")</f>
        <v>0</v>
      </c>
      <c r="BW224" s="215">
        <f>COUNTIF(BW225:BW229,"✔")</f>
        <v>0</v>
      </c>
      <c r="BX224" s="215">
        <f>COUNTIF(BX225:BX229,"✔")</f>
        <v>0</v>
      </c>
      <c r="BY224" s="215">
        <f>COUNTIF(BY225:BY229,"✔")</f>
        <v>0</v>
      </c>
      <c r="BZ224" s="137"/>
    </row>
    <row r="225" spans="1:78" ht="12.75" outlineLevel="2">
      <c r="A225" s="137" t="str">
        <f>"Amenities &amp; Facilities - "&amp;D225</f>
        <v>Amenities &amp; Facilities - Clubhouse—Structure and Envelope</v>
      </c>
      <c r="B225" s="217" t="s">
        <v>210</v>
      </c>
      <c r="C225" s="218">
        <v>1</v>
      </c>
      <c r="D225" s="224" t="s">
        <v>211</v>
      </c>
      <c r="E225" s="137"/>
      <c r="F225" s="197">
        <f t="shared" ref="F225:H229" si="655">COUNTIF(M225,"✔")+COUNTIF(AD225,"✔")+COUNTIF(BL225,"✔")+COUNTIF(AU225,"✔")</f>
        <v>3</v>
      </c>
      <c r="G225" s="198">
        <f t="shared" si="655"/>
        <v>3</v>
      </c>
      <c r="H225" s="198">
        <f t="shared" si="655"/>
        <v>3</v>
      </c>
      <c r="I225" s="198">
        <f t="shared" ref="I225:I229" si="656">F225-G225</f>
        <v>0</v>
      </c>
      <c r="J225" s="221"/>
      <c r="K225" s="195"/>
      <c r="L225" s="196"/>
      <c r="M225" s="197" t="str">
        <f>IF('Design Fee'!W227&gt;0,"✔","-")</f>
        <v>✔</v>
      </c>
      <c r="N225" s="197" t="str">
        <f>IF('Design Fee'!X227&gt;0,"✔","-")</f>
        <v>✔</v>
      </c>
      <c r="O225" s="198" t="str">
        <f>IF('Design Fee'!Y227&gt;0,"✔","-")</f>
        <v>✔</v>
      </c>
      <c r="P225" s="198" t="str">
        <f>IF('Design Fee'!Z227&gt;0,"✔","-")</f>
        <v>-</v>
      </c>
      <c r="Q225" s="198" t="str">
        <f>IF('Design Fee'!AA227&gt;0,"✔","-")</f>
        <v>-</v>
      </c>
      <c r="R225" s="198" t="str">
        <f>IF('Design Fee'!AB227&gt;0,"✔","-")</f>
        <v>-</v>
      </c>
      <c r="S225" s="198" t="str">
        <f>IF('Design Fee'!AC227&gt;0,"✔","-")</f>
        <v>-</v>
      </c>
      <c r="T225" s="220" t="str">
        <f>IF('Design Fee'!AD227&gt;0,"✔","-")</f>
        <v>-</v>
      </c>
      <c r="U225" s="221"/>
      <c r="V225" s="198" t="str">
        <f>IF('Design Fee'!AF227&gt;0,"✔","-")</f>
        <v>-</v>
      </c>
      <c r="W225" s="198" t="str">
        <f>IF('Design Fee'!AG227&gt;0,"✔","-")</f>
        <v>-</v>
      </c>
      <c r="X225" s="198" t="str">
        <f>IF('Design Fee'!AH227&gt;0,"✔","-")</f>
        <v>-</v>
      </c>
      <c r="Y225" s="198" t="str">
        <f>IF('Design Fee'!AI227&gt;0,"✔","-")</f>
        <v>-</v>
      </c>
      <c r="Z225" s="198" t="str">
        <f>IF('Design Fee'!AJ227&gt;0,"✔","-")</f>
        <v>-</v>
      </c>
      <c r="AA225" s="221"/>
      <c r="AB225" s="195"/>
      <c r="AC225" s="196"/>
      <c r="AD225" s="197" t="str">
        <f>IF('Design Fee'!BG227&gt;0,"✔","-")</f>
        <v>✔</v>
      </c>
      <c r="AE225" s="197" t="str">
        <f>IF('Design Fee'!BH227&gt;0,"✔","-")</f>
        <v>✔</v>
      </c>
      <c r="AF225" s="198" t="str">
        <f>IF('Design Fee'!BI227&gt;0,"✔","-")</f>
        <v>✔</v>
      </c>
      <c r="AG225" s="198" t="str">
        <f>IF('Design Fee'!BJ227&gt;0,"✔","-")</f>
        <v>-</v>
      </c>
      <c r="AH225" s="198" t="str">
        <f>IF('Design Fee'!BK227&gt;0,"✔","-")</f>
        <v>-</v>
      </c>
      <c r="AI225" s="198" t="str">
        <f>IF('Design Fee'!BL227&gt;0,"✔","-")</f>
        <v>-</v>
      </c>
      <c r="AJ225" s="198" t="str">
        <f>IF('Design Fee'!BM227&gt;0,"✔","-")</f>
        <v>-</v>
      </c>
      <c r="AK225" s="220" t="str">
        <f>IF('Design Fee'!BN227&gt;0,"✔","-")</f>
        <v>-</v>
      </c>
      <c r="AL225" s="199"/>
      <c r="AM225" s="198" t="str">
        <f>IF('Design Fee'!BP227&gt;0,"✔","-")</f>
        <v>-</v>
      </c>
      <c r="AN225" s="198" t="str">
        <f>IF('Design Fee'!BQ227&gt;0,"✔","-")</f>
        <v>-</v>
      </c>
      <c r="AO225" s="198" t="str">
        <f>IF('Design Fee'!BR227&gt;0,"✔","-")</f>
        <v>-</v>
      </c>
      <c r="AP225" s="198" t="str">
        <f>IF('Design Fee'!BS227&gt;0,"✔","-")</f>
        <v>-</v>
      </c>
      <c r="AQ225" s="198" t="str">
        <f>IF('Design Fee'!BT227&gt;0,"✔","-")</f>
        <v>-</v>
      </c>
      <c r="AR225" s="199"/>
      <c r="AS225" s="195"/>
      <c r="AT225" s="196"/>
      <c r="AU225" s="197" t="str">
        <f>IF('Design Fee'!CQ227&gt;0,"✔","-")</f>
        <v>✔</v>
      </c>
      <c r="AV225" s="197" t="str">
        <f>IF('Design Fee'!CR227&gt;0,"✔","-")</f>
        <v>✔</v>
      </c>
      <c r="AW225" s="198" t="str">
        <f>IF('Design Fee'!CS227&gt;0,"✔","-")</f>
        <v>✔</v>
      </c>
      <c r="AX225" s="198" t="str">
        <f>IF('Design Fee'!CT227&gt;0,"✔","-")</f>
        <v>-</v>
      </c>
      <c r="AY225" s="198" t="str">
        <f>IF('Design Fee'!CU227&gt;0,"✔","-")</f>
        <v>-</v>
      </c>
      <c r="AZ225" s="198" t="str">
        <f>IF('Design Fee'!CV227&gt;0,"✔","-")</f>
        <v>-</v>
      </c>
      <c r="BA225" s="198" t="str">
        <f>IF('Design Fee'!CW227&gt;0,"✔","-")</f>
        <v>-</v>
      </c>
      <c r="BB225" s="220" t="str">
        <f>IF('Design Fee'!CX227&gt;0,"✔","-")</f>
        <v>-</v>
      </c>
      <c r="BC225" s="199"/>
      <c r="BD225" s="198" t="str">
        <f>IF('Design Fee'!CZ227&gt;0,"✔","-")</f>
        <v>-</v>
      </c>
      <c r="BE225" s="198" t="str">
        <f>IF('Design Fee'!DA227&gt;0,"✔","-")</f>
        <v>-</v>
      </c>
      <c r="BF225" s="198" t="str">
        <f>IF('Design Fee'!DB227&gt;0,"✔","-")</f>
        <v>-</v>
      </c>
      <c r="BG225" s="198" t="str">
        <f>IF('Design Fee'!DC227&gt;0,"✔","-")</f>
        <v>-</v>
      </c>
      <c r="BH225" s="198" t="str">
        <f>IF('Design Fee'!DD227&gt;0,"✔","-")</f>
        <v>-</v>
      </c>
      <c r="BI225" s="199"/>
      <c r="BJ225" s="195"/>
      <c r="BK225" s="196"/>
      <c r="BL225" s="197" t="str">
        <f>IF('Design Fee'!EA227&gt;0,"✔","-")</f>
        <v>-</v>
      </c>
      <c r="BM225" s="197" t="str">
        <f>IF('Design Fee'!EB227&gt;0,"✔","-")</f>
        <v>-</v>
      </c>
      <c r="BN225" s="198" t="str">
        <f>IF('Design Fee'!EC227&gt;0,"✔","-")</f>
        <v>-</v>
      </c>
      <c r="BO225" s="198" t="str">
        <f>IF('Design Fee'!ED227&gt;0,"✔","-")</f>
        <v>-</v>
      </c>
      <c r="BP225" s="198" t="str">
        <f>IF('Design Fee'!EE227&gt;0,"✔","-")</f>
        <v>-</v>
      </c>
      <c r="BQ225" s="198" t="str">
        <f>IF('Design Fee'!EF227&gt;0,"✔","-")</f>
        <v>-</v>
      </c>
      <c r="BR225" s="198" t="str">
        <f>IF('Design Fee'!EG227&gt;0,"✔","-")</f>
        <v>-</v>
      </c>
      <c r="BS225" s="220" t="str">
        <f>IF('Design Fee'!EH227&gt;0,"✔","-")</f>
        <v>-</v>
      </c>
      <c r="BT225" s="137"/>
      <c r="BU225" s="198" t="str">
        <f>IF('Design Fee'!EJ227&gt;0,"✔","-")</f>
        <v>-</v>
      </c>
      <c r="BV225" s="198" t="str">
        <f>IF('Design Fee'!EK227&gt;0,"✔","-")</f>
        <v>-</v>
      </c>
      <c r="BW225" s="198" t="str">
        <f>IF('Design Fee'!EL227&gt;0,"✔","-")</f>
        <v>-</v>
      </c>
      <c r="BX225" s="198" t="str">
        <f>IF('Design Fee'!EM227&gt;0,"✔","-")</f>
        <v>-</v>
      </c>
      <c r="BY225" s="198" t="str">
        <f>IF('Design Fee'!EN227&gt;0,"✔","-")</f>
        <v>-</v>
      </c>
      <c r="BZ225" s="137"/>
    </row>
    <row r="226" spans="1:78" ht="12.75" outlineLevel="2">
      <c r="A226" s="137" t="str">
        <f t="shared" ref="A226:A229" si="657">"Amenities &amp; Facilities - "&amp;D226</f>
        <v>Amenities &amp; Facilities - Clubhouse—Interiors and Facilities</v>
      </c>
      <c r="B226" s="217" t="s">
        <v>212</v>
      </c>
      <c r="C226" s="218">
        <v>2</v>
      </c>
      <c r="D226" s="224" t="s">
        <v>213</v>
      </c>
      <c r="E226" s="137"/>
      <c r="F226" s="197">
        <f t="shared" si="655"/>
        <v>3</v>
      </c>
      <c r="G226" s="198">
        <f t="shared" si="655"/>
        <v>3</v>
      </c>
      <c r="H226" s="198">
        <f t="shared" si="655"/>
        <v>3</v>
      </c>
      <c r="I226" s="198">
        <f t="shared" si="656"/>
        <v>0</v>
      </c>
      <c r="J226" s="221"/>
      <c r="K226" s="195"/>
      <c r="L226" s="196"/>
      <c r="M226" s="197" t="str">
        <f>IF('Design Fee'!W228&gt;0,"✔","-")</f>
        <v>✔</v>
      </c>
      <c r="N226" s="197" t="str">
        <f>IF('Design Fee'!X228&gt;0,"✔","-")</f>
        <v>✔</v>
      </c>
      <c r="O226" s="198" t="str">
        <f>IF('Design Fee'!Y228&gt;0,"✔","-")</f>
        <v>✔</v>
      </c>
      <c r="P226" s="198" t="str">
        <f>IF('Design Fee'!Z228&gt;0,"✔","-")</f>
        <v>-</v>
      </c>
      <c r="Q226" s="198" t="str">
        <f>IF('Design Fee'!AA228&gt;0,"✔","-")</f>
        <v>-</v>
      </c>
      <c r="R226" s="198" t="str">
        <f>IF('Design Fee'!AB228&gt;0,"✔","-")</f>
        <v>-</v>
      </c>
      <c r="S226" s="198" t="str">
        <f>IF('Design Fee'!AC228&gt;0,"✔","-")</f>
        <v>-</v>
      </c>
      <c r="T226" s="220" t="str">
        <f>IF('Design Fee'!AD228&gt;0,"✔","-")</f>
        <v>-</v>
      </c>
      <c r="U226" s="221"/>
      <c r="V226" s="198" t="str">
        <f>IF('Design Fee'!AF228&gt;0,"✔","-")</f>
        <v>-</v>
      </c>
      <c r="W226" s="198" t="str">
        <f>IF('Design Fee'!AG228&gt;0,"✔","-")</f>
        <v>-</v>
      </c>
      <c r="X226" s="198" t="str">
        <f>IF('Design Fee'!AH228&gt;0,"✔","-")</f>
        <v>-</v>
      </c>
      <c r="Y226" s="198" t="str">
        <f>IF('Design Fee'!AI228&gt;0,"✔","-")</f>
        <v>-</v>
      </c>
      <c r="Z226" s="198" t="str">
        <f>IF('Design Fee'!AJ228&gt;0,"✔","-")</f>
        <v>-</v>
      </c>
      <c r="AA226" s="221"/>
      <c r="AB226" s="195"/>
      <c r="AC226" s="196"/>
      <c r="AD226" s="197" t="str">
        <f>IF('Design Fee'!BG228&gt;0,"✔","-")</f>
        <v>-</v>
      </c>
      <c r="AE226" s="197" t="str">
        <f>IF('Design Fee'!BH228&gt;0,"✔","-")</f>
        <v>-</v>
      </c>
      <c r="AF226" s="198" t="str">
        <f>IF('Design Fee'!BI228&gt;0,"✔","-")</f>
        <v>-</v>
      </c>
      <c r="AG226" s="198" t="str">
        <f>IF('Design Fee'!BJ228&gt;0,"✔","-")</f>
        <v>-</v>
      </c>
      <c r="AH226" s="198" t="str">
        <f>IF('Design Fee'!BK228&gt;0,"✔","-")</f>
        <v>-</v>
      </c>
      <c r="AI226" s="198" t="str">
        <f>IF('Design Fee'!BL228&gt;0,"✔","-")</f>
        <v>-</v>
      </c>
      <c r="AJ226" s="198" t="str">
        <f>IF('Design Fee'!BM228&gt;0,"✔","-")</f>
        <v>-</v>
      </c>
      <c r="AK226" s="220" t="str">
        <f>IF('Design Fee'!BN228&gt;0,"✔","-")</f>
        <v>-</v>
      </c>
      <c r="AL226" s="199"/>
      <c r="AM226" s="198" t="str">
        <f>IF('Design Fee'!BP228&gt;0,"✔","-")</f>
        <v>-</v>
      </c>
      <c r="AN226" s="198" t="str">
        <f>IF('Design Fee'!BQ228&gt;0,"✔","-")</f>
        <v>-</v>
      </c>
      <c r="AO226" s="198" t="str">
        <f>IF('Design Fee'!BR228&gt;0,"✔","-")</f>
        <v>-</v>
      </c>
      <c r="AP226" s="198" t="str">
        <f>IF('Design Fee'!BS228&gt;0,"✔","-")</f>
        <v>-</v>
      </c>
      <c r="AQ226" s="198" t="str">
        <f>IF('Design Fee'!BT228&gt;0,"✔","-")</f>
        <v>-</v>
      </c>
      <c r="AR226" s="199"/>
      <c r="AS226" s="195"/>
      <c r="AT226" s="196"/>
      <c r="AU226" s="197" t="str">
        <f>IF('Design Fee'!CQ228&gt;0,"✔","-")</f>
        <v>✔</v>
      </c>
      <c r="AV226" s="197" t="str">
        <f>IF('Design Fee'!CR228&gt;0,"✔","-")</f>
        <v>✔</v>
      </c>
      <c r="AW226" s="198" t="str">
        <f>IF('Design Fee'!CS228&gt;0,"✔","-")</f>
        <v>✔</v>
      </c>
      <c r="AX226" s="198" t="str">
        <f>IF('Design Fee'!CT228&gt;0,"✔","-")</f>
        <v>-</v>
      </c>
      <c r="AY226" s="198" t="str">
        <f>IF('Design Fee'!CU228&gt;0,"✔","-")</f>
        <v>-</v>
      </c>
      <c r="AZ226" s="198" t="str">
        <f>IF('Design Fee'!CV228&gt;0,"✔","-")</f>
        <v>-</v>
      </c>
      <c r="BA226" s="198" t="str">
        <f>IF('Design Fee'!CW228&gt;0,"✔","-")</f>
        <v>-</v>
      </c>
      <c r="BB226" s="220" t="str">
        <f>IF('Design Fee'!CX228&gt;0,"✔","-")</f>
        <v>-</v>
      </c>
      <c r="BC226" s="199"/>
      <c r="BD226" s="198" t="str">
        <f>IF('Design Fee'!CZ228&gt;0,"✔","-")</f>
        <v>-</v>
      </c>
      <c r="BE226" s="198" t="str">
        <f>IF('Design Fee'!DA228&gt;0,"✔","-")</f>
        <v>-</v>
      </c>
      <c r="BF226" s="198" t="str">
        <f>IF('Design Fee'!DB228&gt;0,"✔","-")</f>
        <v>-</v>
      </c>
      <c r="BG226" s="198" t="str">
        <f>IF('Design Fee'!DC228&gt;0,"✔","-")</f>
        <v>-</v>
      </c>
      <c r="BH226" s="198" t="str">
        <f>IF('Design Fee'!DD228&gt;0,"✔","-")</f>
        <v>-</v>
      </c>
      <c r="BI226" s="199"/>
      <c r="BJ226" s="195"/>
      <c r="BK226" s="196"/>
      <c r="BL226" s="197" t="str">
        <f>IF('Design Fee'!EA228&gt;0,"✔","-")</f>
        <v>✔</v>
      </c>
      <c r="BM226" s="197" t="str">
        <f>IF('Design Fee'!EB228&gt;0,"✔","-")</f>
        <v>✔</v>
      </c>
      <c r="BN226" s="198" t="str">
        <f>IF('Design Fee'!EC228&gt;0,"✔","-")</f>
        <v>✔</v>
      </c>
      <c r="BO226" s="198" t="str">
        <f>IF('Design Fee'!ED228&gt;0,"✔","-")</f>
        <v>-</v>
      </c>
      <c r="BP226" s="198" t="str">
        <f>IF('Design Fee'!EE228&gt;0,"✔","-")</f>
        <v>-</v>
      </c>
      <c r="BQ226" s="198" t="str">
        <f>IF('Design Fee'!EF228&gt;0,"✔","-")</f>
        <v>-</v>
      </c>
      <c r="BR226" s="198" t="str">
        <f>IF('Design Fee'!EG228&gt;0,"✔","-")</f>
        <v>-</v>
      </c>
      <c r="BS226" s="220" t="str">
        <f>IF('Design Fee'!EH228&gt;0,"✔","-")</f>
        <v>-</v>
      </c>
      <c r="BT226" s="137"/>
      <c r="BU226" s="198" t="str">
        <f>IF('Design Fee'!EJ228&gt;0,"✔","-")</f>
        <v>-</v>
      </c>
      <c r="BV226" s="198" t="str">
        <f>IF('Design Fee'!EK228&gt;0,"✔","-")</f>
        <v>-</v>
      </c>
      <c r="BW226" s="198" t="str">
        <f>IF('Design Fee'!EL228&gt;0,"✔","-")</f>
        <v>-</v>
      </c>
      <c r="BX226" s="198" t="str">
        <f>IF('Design Fee'!EM228&gt;0,"✔","-")</f>
        <v>-</v>
      </c>
      <c r="BY226" s="198" t="str">
        <f>IF('Design Fee'!EN228&gt;0,"✔","-")</f>
        <v>-</v>
      </c>
      <c r="BZ226" s="137"/>
    </row>
    <row r="227" spans="1:78" s="51" customFormat="1" ht="12.75" outlineLevel="2">
      <c r="A227" s="137" t="str">
        <f t="shared" si="657"/>
        <v>Amenities &amp; Facilities - Clubhouse—Outdoor Spaces and Pool</v>
      </c>
      <c r="B227" s="217" t="s">
        <v>214</v>
      </c>
      <c r="C227" s="218">
        <v>3</v>
      </c>
      <c r="D227" s="224" t="s">
        <v>215</v>
      </c>
      <c r="E227" s="222"/>
      <c r="F227" s="197">
        <f t="shared" si="655"/>
        <v>4</v>
      </c>
      <c r="G227" s="198">
        <f t="shared" si="655"/>
        <v>3</v>
      </c>
      <c r="H227" s="198">
        <f t="shared" si="655"/>
        <v>3</v>
      </c>
      <c r="I227" s="198">
        <f t="shared" si="656"/>
        <v>1</v>
      </c>
      <c r="J227" s="234"/>
      <c r="K227" s="225"/>
      <c r="L227" s="226"/>
      <c r="M227" s="197" t="str">
        <f>IF('Design Fee'!W229&gt;0,"✔","-")</f>
        <v>✔</v>
      </c>
      <c r="N227" s="197" t="str">
        <f>IF('Design Fee'!X229&gt;0,"✔","-")</f>
        <v>✔</v>
      </c>
      <c r="O227" s="220" t="str">
        <f>IF('Design Fee'!Y229&gt;0,"✔","-")</f>
        <v>✔</v>
      </c>
      <c r="P227" s="220" t="str">
        <f>IF('Design Fee'!Z229&gt;0,"✔","-")</f>
        <v>-</v>
      </c>
      <c r="Q227" s="220" t="str">
        <f>IF('Design Fee'!AA229&gt;0,"✔","-")</f>
        <v>-</v>
      </c>
      <c r="R227" s="220" t="str">
        <f>IF('Design Fee'!AB229&gt;0,"✔","-")</f>
        <v>-</v>
      </c>
      <c r="S227" s="220" t="str">
        <f>IF('Design Fee'!AC229&gt;0,"✔","-")</f>
        <v>-</v>
      </c>
      <c r="T227" s="220" t="str">
        <f>IF('Design Fee'!AD229&gt;0,"✔","-")</f>
        <v>-</v>
      </c>
      <c r="U227" s="234"/>
      <c r="V227" s="198" t="str">
        <f>IF('Design Fee'!AF229&gt;0,"✔","-")</f>
        <v>-</v>
      </c>
      <c r="W227" s="198" t="str">
        <f>IF('Design Fee'!AG229&gt;0,"✔","-")</f>
        <v>-</v>
      </c>
      <c r="X227" s="198" t="str">
        <f>IF('Design Fee'!AH229&gt;0,"✔","-")</f>
        <v>-</v>
      </c>
      <c r="Y227" s="198" t="str">
        <f>IF('Design Fee'!AI229&gt;0,"✔","-")</f>
        <v>-</v>
      </c>
      <c r="Z227" s="198" t="str">
        <f>IF('Design Fee'!AJ229&gt;0,"✔","-")</f>
        <v>-</v>
      </c>
      <c r="AA227" s="234"/>
      <c r="AB227" s="225"/>
      <c r="AC227" s="226"/>
      <c r="AD227" s="197" t="str">
        <f>IF('Design Fee'!BG229&gt;0,"✔","-")</f>
        <v>✔</v>
      </c>
      <c r="AE227" s="197" t="str">
        <f>IF('Design Fee'!BH229&gt;0,"✔","-")</f>
        <v>✔</v>
      </c>
      <c r="AF227" s="220" t="str">
        <f>IF('Design Fee'!BI229&gt;0,"✔","-")</f>
        <v>✔</v>
      </c>
      <c r="AG227" s="220" t="str">
        <f>IF('Design Fee'!BJ229&gt;0,"✔","-")</f>
        <v>-</v>
      </c>
      <c r="AH227" s="220" t="str">
        <f>IF('Design Fee'!BK229&gt;0,"✔","-")</f>
        <v>-</v>
      </c>
      <c r="AI227" s="220" t="str">
        <f>IF('Design Fee'!BL229&gt;0,"✔","-")</f>
        <v>-</v>
      </c>
      <c r="AJ227" s="220" t="str">
        <f>IF('Design Fee'!BM229&gt;0,"✔","-")</f>
        <v>-</v>
      </c>
      <c r="AK227" s="220" t="str">
        <f>IF('Design Fee'!BN229&gt;0,"✔","-")</f>
        <v>-</v>
      </c>
      <c r="AL227" s="230"/>
      <c r="AM227" s="198" t="str">
        <f>IF('Design Fee'!BP229&gt;0,"✔","-")</f>
        <v>-</v>
      </c>
      <c r="AN227" s="198" t="str">
        <f>IF('Design Fee'!BQ229&gt;0,"✔","-")</f>
        <v>-</v>
      </c>
      <c r="AO227" s="198" t="str">
        <f>IF('Design Fee'!BR229&gt;0,"✔","-")</f>
        <v>-</v>
      </c>
      <c r="AP227" s="198" t="str">
        <f>IF('Design Fee'!BS229&gt;0,"✔","-")</f>
        <v>-</v>
      </c>
      <c r="AQ227" s="198" t="str">
        <f>IF('Design Fee'!BT229&gt;0,"✔","-")</f>
        <v>-</v>
      </c>
      <c r="AR227" s="230"/>
      <c r="AS227" s="225"/>
      <c r="AT227" s="226"/>
      <c r="AU227" s="197" t="str">
        <f>IF('Design Fee'!CQ229&gt;0,"✔","-")</f>
        <v>✔</v>
      </c>
      <c r="AV227" s="197" t="str">
        <f>IF('Design Fee'!CR229&gt;0,"✔","-")</f>
        <v>-</v>
      </c>
      <c r="AW227" s="220" t="str">
        <f>IF('Design Fee'!CS229&gt;0,"✔","-")</f>
        <v>-</v>
      </c>
      <c r="AX227" s="220" t="str">
        <f>IF('Design Fee'!CT229&gt;0,"✔","-")</f>
        <v>✔</v>
      </c>
      <c r="AY227" s="220" t="str">
        <f>IF('Design Fee'!CU229&gt;0,"✔","-")</f>
        <v>✔</v>
      </c>
      <c r="AZ227" s="220" t="str">
        <f>IF('Design Fee'!CV229&gt;0,"✔","-")</f>
        <v>-</v>
      </c>
      <c r="BA227" s="220" t="str">
        <f>IF('Design Fee'!CW229&gt;0,"✔","-")</f>
        <v>-</v>
      </c>
      <c r="BB227" s="220" t="str">
        <f>IF('Design Fee'!CX229&gt;0,"✔","-")</f>
        <v>-</v>
      </c>
      <c r="BC227" s="230"/>
      <c r="BD227" s="198" t="str">
        <f>IF('Design Fee'!CZ229&gt;0,"✔","-")</f>
        <v>-</v>
      </c>
      <c r="BE227" s="198" t="str">
        <f>IF('Design Fee'!DA229&gt;0,"✔","-")</f>
        <v>-</v>
      </c>
      <c r="BF227" s="198" t="str">
        <f>IF('Design Fee'!DB229&gt;0,"✔","-")</f>
        <v>-</v>
      </c>
      <c r="BG227" s="198" t="str">
        <f>IF('Design Fee'!DC229&gt;0,"✔","-")</f>
        <v>-</v>
      </c>
      <c r="BH227" s="198" t="str">
        <f>IF('Design Fee'!DD229&gt;0,"✔","-")</f>
        <v>-</v>
      </c>
      <c r="BI227" s="230"/>
      <c r="BJ227" s="225"/>
      <c r="BK227" s="226"/>
      <c r="BL227" s="197" t="str">
        <f>IF('Design Fee'!EA229&gt;0,"✔","-")</f>
        <v>✔</v>
      </c>
      <c r="BM227" s="197" t="str">
        <f>IF('Design Fee'!EB229&gt;0,"✔","-")</f>
        <v>✔</v>
      </c>
      <c r="BN227" s="220" t="str">
        <f>IF('Design Fee'!EC229&gt;0,"✔","-")</f>
        <v>✔</v>
      </c>
      <c r="BO227" s="220" t="str">
        <f>IF('Design Fee'!ED229&gt;0,"✔","-")</f>
        <v>-</v>
      </c>
      <c r="BP227" s="220" t="str">
        <f>IF('Design Fee'!EE229&gt;0,"✔","-")</f>
        <v>-</v>
      </c>
      <c r="BQ227" s="220" t="str">
        <f>IF('Design Fee'!EF229&gt;0,"✔","-")</f>
        <v>-</v>
      </c>
      <c r="BR227" s="220" t="str">
        <f>IF('Design Fee'!EG229&gt;0,"✔","-")</f>
        <v>-</v>
      </c>
      <c r="BS227" s="220" t="str">
        <f>IF('Design Fee'!EH229&gt;0,"✔","-")</f>
        <v>-</v>
      </c>
      <c r="BT227" s="222"/>
      <c r="BU227" s="198" t="str">
        <f>IF('Design Fee'!EJ229&gt;0,"✔","-")</f>
        <v>-</v>
      </c>
      <c r="BV227" s="198" t="str">
        <f>IF('Design Fee'!EK229&gt;0,"✔","-")</f>
        <v>-</v>
      </c>
      <c r="BW227" s="198" t="str">
        <f>IF('Design Fee'!EL229&gt;0,"✔","-")</f>
        <v>-</v>
      </c>
      <c r="BX227" s="198" t="str">
        <f>IF('Design Fee'!EM229&gt;0,"✔","-")</f>
        <v>-</v>
      </c>
      <c r="BY227" s="198" t="str">
        <f>IF('Design Fee'!EN229&gt;0,"✔","-")</f>
        <v>-</v>
      </c>
      <c r="BZ227" s="222"/>
    </row>
    <row r="228" spans="1:78" ht="12.75" outlineLevel="2">
      <c r="A228" s="137" t="str">
        <f t="shared" si="657"/>
        <v>Amenities &amp; Facilities - Community spaces [Board Walk, Children play area]</v>
      </c>
      <c r="B228" s="217" t="s">
        <v>216</v>
      </c>
      <c r="C228" s="218">
        <v>4</v>
      </c>
      <c r="D228" s="224" t="s">
        <v>217</v>
      </c>
      <c r="E228" s="137"/>
      <c r="F228" s="197">
        <f t="shared" si="655"/>
        <v>3</v>
      </c>
      <c r="G228" s="198">
        <f t="shared" si="655"/>
        <v>2</v>
      </c>
      <c r="H228" s="198">
        <f t="shared" si="655"/>
        <v>2</v>
      </c>
      <c r="I228" s="198">
        <f t="shared" si="656"/>
        <v>1</v>
      </c>
      <c r="J228" s="221"/>
      <c r="K228" s="195"/>
      <c r="L228" s="196"/>
      <c r="M228" s="197" t="str">
        <f>IF('Design Fee'!W230&gt;0,"✔","-")</f>
        <v>✔</v>
      </c>
      <c r="N228" s="197" t="str">
        <f>IF('Design Fee'!X230&gt;0,"✔","-")</f>
        <v>✔</v>
      </c>
      <c r="O228" s="198" t="str">
        <f>IF('Design Fee'!Y230&gt;0,"✔","-")</f>
        <v>✔</v>
      </c>
      <c r="P228" s="198" t="str">
        <f>IF('Design Fee'!Z230&gt;0,"✔","-")</f>
        <v>-</v>
      </c>
      <c r="Q228" s="198" t="str">
        <f>IF('Design Fee'!AA230&gt;0,"✔","-")</f>
        <v>-</v>
      </c>
      <c r="R228" s="198" t="str">
        <f>IF('Design Fee'!AB230&gt;0,"✔","-")</f>
        <v>-</v>
      </c>
      <c r="S228" s="198" t="str">
        <f>IF('Design Fee'!AC230&gt;0,"✔","-")</f>
        <v>-</v>
      </c>
      <c r="T228" s="220" t="str">
        <f>IF('Design Fee'!AD230&gt;0,"✔","-")</f>
        <v>-</v>
      </c>
      <c r="U228" s="221"/>
      <c r="V228" s="198" t="str">
        <f>IF('Design Fee'!AF230&gt;0,"✔","-")</f>
        <v>-</v>
      </c>
      <c r="W228" s="198" t="str">
        <f>IF('Design Fee'!AG230&gt;0,"✔","-")</f>
        <v>-</v>
      </c>
      <c r="X228" s="198" t="str">
        <f>IF('Design Fee'!AH230&gt;0,"✔","-")</f>
        <v>-</v>
      </c>
      <c r="Y228" s="198" t="str">
        <f>IF('Design Fee'!AI230&gt;0,"✔","-")</f>
        <v>-</v>
      </c>
      <c r="Z228" s="198" t="str">
        <f>IF('Design Fee'!AJ230&gt;0,"✔","-")</f>
        <v>-</v>
      </c>
      <c r="AA228" s="221"/>
      <c r="AB228" s="195"/>
      <c r="AC228" s="196"/>
      <c r="AD228" s="197" t="str">
        <f>IF('Design Fee'!BG230&gt;0,"✔","-")</f>
        <v>✔</v>
      </c>
      <c r="AE228" s="197" t="str">
        <f>IF('Design Fee'!BH230&gt;0,"✔","-")</f>
        <v>✔</v>
      </c>
      <c r="AF228" s="198" t="str">
        <f>IF('Design Fee'!BI230&gt;0,"✔","-")</f>
        <v>✔</v>
      </c>
      <c r="AG228" s="198" t="str">
        <f>IF('Design Fee'!BJ230&gt;0,"✔","-")</f>
        <v>-</v>
      </c>
      <c r="AH228" s="198" t="str">
        <f>IF('Design Fee'!BK230&gt;0,"✔","-")</f>
        <v>-</v>
      </c>
      <c r="AI228" s="198" t="str">
        <f>IF('Design Fee'!BL230&gt;0,"✔","-")</f>
        <v>-</v>
      </c>
      <c r="AJ228" s="198" t="str">
        <f>IF('Design Fee'!BM230&gt;0,"✔","-")</f>
        <v>-</v>
      </c>
      <c r="AK228" s="220" t="str">
        <f>IF('Design Fee'!BN230&gt;0,"✔","-")</f>
        <v>-</v>
      </c>
      <c r="AL228" s="199"/>
      <c r="AM228" s="198" t="str">
        <f>IF('Design Fee'!BP230&gt;0,"✔","-")</f>
        <v>-</v>
      </c>
      <c r="AN228" s="198" t="str">
        <f>IF('Design Fee'!BQ230&gt;0,"✔","-")</f>
        <v>-</v>
      </c>
      <c r="AO228" s="198" t="str">
        <f>IF('Design Fee'!BR230&gt;0,"✔","-")</f>
        <v>-</v>
      </c>
      <c r="AP228" s="198" t="str">
        <f>IF('Design Fee'!BS230&gt;0,"✔","-")</f>
        <v>-</v>
      </c>
      <c r="AQ228" s="198" t="str">
        <f>IF('Design Fee'!BT230&gt;0,"✔","-")</f>
        <v>-</v>
      </c>
      <c r="AR228" s="199"/>
      <c r="AS228" s="195"/>
      <c r="AT228" s="196"/>
      <c r="AU228" s="197" t="str">
        <f>IF('Design Fee'!CQ230&gt;0,"✔","-")</f>
        <v>-</v>
      </c>
      <c r="AV228" s="197" t="str">
        <f>IF('Design Fee'!CR230&gt;0,"✔","-")</f>
        <v>-</v>
      </c>
      <c r="AW228" s="198" t="str">
        <f>IF('Design Fee'!CS230&gt;0,"✔","-")</f>
        <v>-</v>
      </c>
      <c r="AX228" s="198" t="str">
        <f>IF('Design Fee'!CT230&gt;0,"✔","-")</f>
        <v>-</v>
      </c>
      <c r="AY228" s="198" t="str">
        <f>IF('Design Fee'!CU230&gt;0,"✔","-")</f>
        <v>-</v>
      </c>
      <c r="AZ228" s="198" t="str">
        <f>IF('Design Fee'!CV230&gt;0,"✔","-")</f>
        <v>-</v>
      </c>
      <c r="BA228" s="198" t="str">
        <f>IF('Design Fee'!CW230&gt;0,"✔","-")</f>
        <v>-</v>
      </c>
      <c r="BB228" s="220" t="str">
        <f>IF('Design Fee'!CX230&gt;0,"✔","-")</f>
        <v>-</v>
      </c>
      <c r="BC228" s="199"/>
      <c r="BD228" s="198" t="str">
        <f>IF('Design Fee'!CZ230&gt;0,"✔","-")</f>
        <v>-</v>
      </c>
      <c r="BE228" s="198" t="str">
        <f>IF('Design Fee'!DA230&gt;0,"✔","-")</f>
        <v>-</v>
      </c>
      <c r="BF228" s="198" t="str">
        <f>IF('Design Fee'!DB230&gt;0,"✔","-")</f>
        <v>-</v>
      </c>
      <c r="BG228" s="198" t="str">
        <f>IF('Design Fee'!DC230&gt;0,"✔","-")</f>
        <v>-</v>
      </c>
      <c r="BH228" s="198" t="str">
        <f>IF('Design Fee'!DD230&gt;0,"✔","-")</f>
        <v>-</v>
      </c>
      <c r="BI228" s="199"/>
      <c r="BJ228" s="195"/>
      <c r="BK228" s="196"/>
      <c r="BL228" s="197" t="str">
        <f>IF('Design Fee'!EA230&gt;0,"✔","-")</f>
        <v>✔</v>
      </c>
      <c r="BM228" s="197" t="str">
        <f>IF('Design Fee'!EB230&gt;0,"✔","-")</f>
        <v>-</v>
      </c>
      <c r="BN228" s="198" t="str">
        <f>IF('Design Fee'!EC230&gt;0,"✔","-")</f>
        <v>-</v>
      </c>
      <c r="BO228" s="198" t="str">
        <f>IF('Design Fee'!ED230&gt;0,"✔","-")</f>
        <v>✔</v>
      </c>
      <c r="BP228" s="198" t="str">
        <f>IF('Design Fee'!EE230&gt;0,"✔","-")</f>
        <v>✔</v>
      </c>
      <c r="BQ228" s="198" t="str">
        <f>IF('Design Fee'!EF230&gt;0,"✔","-")</f>
        <v>-</v>
      </c>
      <c r="BR228" s="198" t="str">
        <f>IF('Design Fee'!EG230&gt;0,"✔","-")</f>
        <v>-</v>
      </c>
      <c r="BS228" s="220" t="str">
        <f>IF('Design Fee'!EH230&gt;0,"✔","-")</f>
        <v>-</v>
      </c>
      <c r="BT228" s="137"/>
      <c r="BU228" s="198" t="str">
        <f>IF('Design Fee'!EJ230&gt;0,"✔","-")</f>
        <v>-</v>
      </c>
      <c r="BV228" s="198" t="str">
        <f>IF('Design Fee'!EK230&gt;0,"✔","-")</f>
        <v>-</v>
      </c>
      <c r="BW228" s="198" t="str">
        <f>IF('Design Fee'!EL230&gt;0,"✔","-")</f>
        <v>-</v>
      </c>
      <c r="BX228" s="198" t="str">
        <f>IF('Design Fee'!EM230&gt;0,"✔","-")</f>
        <v>-</v>
      </c>
      <c r="BY228" s="198" t="str">
        <f>IF('Design Fee'!EN230&gt;0,"✔","-")</f>
        <v>-</v>
      </c>
      <c r="BZ228" s="137"/>
    </row>
    <row r="229" spans="1:78" ht="12.75" outlineLevel="2">
      <c r="A229" s="137" t="str">
        <f t="shared" si="657"/>
        <v>Amenities &amp; Facilities - Sporting Facilities</v>
      </c>
      <c r="B229" s="217" t="s">
        <v>218</v>
      </c>
      <c r="C229" s="218">
        <v>5</v>
      </c>
      <c r="D229" s="224" t="s">
        <v>219</v>
      </c>
      <c r="E229" s="137"/>
      <c r="F229" s="197">
        <f t="shared" si="655"/>
        <v>3</v>
      </c>
      <c r="G229" s="198">
        <f t="shared" si="655"/>
        <v>0</v>
      </c>
      <c r="H229" s="198">
        <f t="shared" si="655"/>
        <v>0</v>
      </c>
      <c r="I229" s="198">
        <f t="shared" si="656"/>
        <v>3</v>
      </c>
      <c r="J229" s="221"/>
      <c r="K229" s="195"/>
      <c r="L229" s="196"/>
      <c r="M229" s="197" t="str">
        <f>IF('Design Fee'!W231&gt;0,"✔","-")</f>
        <v>✔</v>
      </c>
      <c r="N229" s="197" t="str">
        <f>IF('Design Fee'!X231&gt;0,"✔","-")</f>
        <v>-</v>
      </c>
      <c r="O229" s="198" t="str">
        <f>IF('Design Fee'!Y231&gt;0,"✔","-")</f>
        <v>-</v>
      </c>
      <c r="P229" s="198" t="str">
        <f>IF('Design Fee'!Z231&gt;0,"✔","-")</f>
        <v>✔</v>
      </c>
      <c r="Q229" s="198" t="str">
        <f>IF('Design Fee'!AA231&gt;0,"✔","-")</f>
        <v>✔</v>
      </c>
      <c r="R229" s="198" t="str">
        <f>IF('Design Fee'!AB231&gt;0,"✔","-")</f>
        <v>-</v>
      </c>
      <c r="S229" s="198" t="str">
        <f>IF('Design Fee'!AC231&gt;0,"✔","-")</f>
        <v>-</v>
      </c>
      <c r="T229" s="220" t="str">
        <f>IF('Design Fee'!AD231&gt;0,"✔","-")</f>
        <v>-</v>
      </c>
      <c r="U229" s="221"/>
      <c r="V229" s="198" t="str">
        <f>IF('Design Fee'!AF231&gt;0,"✔","-")</f>
        <v>-</v>
      </c>
      <c r="W229" s="198" t="str">
        <f>IF('Design Fee'!AG231&gt;0,"✔","-")</f>
        <v>-</v>
      </c>
      <c r="X229" s="198" t="str">
        <f>IF('Design Fee'!AH231&gt;0,"✔","-")</f>
        <v>-</v>
      </c>
      <c r="Y229" s="198" t="str">
        <f>IF('Design Fee'!AI231&gt;0,"✔","-")</f>
        <v>-</v>
      </c>
      <c r="Z229" s="198" t="str">
        <f>IF('Design Fee'!AJ231&gt;0,"✔","-")</f>
        <v>-</v>
      </c>
      <c r="AA229" s="221"/>
      <c r="AB229" s="195"/>
      <c r="AC229" s="196"/>
      <c r="AD229" s="197" t="str">
        <f>IF('Design Fee'!BG231&gt;0,"✔","-")</f>
        <v>✔</v>
      </c>
      <c r="AE229" s="197" t="str">
        <f>IF('Design Fee'!BH231&gt;0,"✔","-")</f>
        <v>-</v>
      </c>
      <c r="AF229" s="198" t="str">
        <f>IF('Design Fee'!BI231&gt;0,"✔","-")</f>
        <v>-</v>
      </c>
      <c r="AG229" s="198" t="str">
        <f>IF('Design Fee'!BJ231&gt;0,"✔","-")</f>
        <v>✔</v>
      </c>
      <c r="AH229" s="198" t="str">
        <f>IF('Design Fee'!BK231&gt;0,"✔","-")</f>
        <v>✔</v>
      </c>
      <c r="AI229" s="198" t="str">
        <f>IF('Design Fee'!BL231&gt;0,"✔","-")</f>
        <v>-</v>
      </c>
      <c r="AJ229" s="198" t="str">
        <f>IF('Design Fee'!BM231&gt;0,"✔","-")</f>
        <v>-</v>
      </c>
      <c r="AK229" s="220" t="str">
        <f>IF('Design Fee'!BN231&gt;0,"✔","-")</f>
        <v>-</v>
      </c>
      <c r="AL229" s="199"/>
      <c r="AM229" s="198" t="str">
        <f>IF('Design Fee'!BP231&gt;0,"✔","-")</f>
        <v>-</v>
      </c>
      <c r="AN229" s="198" t="str">
        <f>IF('Design Fee'!BQ231&gt;0,"✔","-")</f>
        <v>-</v>
      </c>
      <c r="AO229" s="198" t="str">
        <f>IF('Design Fee'!BR231&gt;0,"✔","-")</f>
        <v>-</v>
      </c>
      <c r="AP229" s="198" t="str">
        <f>IF('Design Fee'!BS231&gt;0,"✔","-")</f>
        <v>-</v>
      </c>
      <c r="AQ229" s="198" t="str">
        <f>IF('Design Fee'!BT231&gt;0,"✔","-")</f>
        <v>-</v>
      </c>
      <c r="AR229" s="199"/>
      <c r="AS229" s="195"/>
      <c r="AT229" s="196"/>
      <c r="AU229" s="197" t="str">
        <f>IF('Design Fee'!CQ231&gt;0,"✔","-")</f>
        <v>✔</v>
      </c>
      <c r="AV229" s="197" t="str">
        <f>IF('Design Fee'!CR231&gt;0,"✔","-")</f>
        <v>-</v>
      </c>
      <c r="AW229" s="198" t="str">
        <f>IF('Design Fee'!CS231&gt;0,"✔","-")</f>
        <v>-</v>
      </c>
      <c r="AX229" s="198" t="str">
        <f>IF('Design Fee'!CT231&gt;0,"✔","-")</f>
        <v>✔</v>
      </c>
      <c r="AY229" s="198" t="str">
        <f>IF('Design Fee'!CU231&gt;0,"✔","-")</f>
        <v>✔</v>
      </c>
      <c r="AZ229" s="198" t="str">
        <f>IF('Design Fee'!CV231&gt;0,"✔","-")</f>
        <v>-</v>
      </c>
      <c r="BA229" s="198" t="str">
        <f>IF('Design Fee'!CW231&gt;0,"✔","-")</f>
        <v>-</v>
      </c>
      <c r="BB229" s="220" t="str">
        <f>IF('Design Fee'!CX231&gt;0,"✔","-")</f>
        <v>-</v>
      </c>
      <c r="BC229" s="199"/>
      <c r="BD229" s="198" t="str">
        <f>IF('Design Fee'!CZ231&gt;0,"✔","-")</f>
        <v>-</v>
      </c>
      <c r="BE229" s="198" t="str">
        <f>IF('Design Fee'!DA231&gt;0,"✔","-")</f>
        <v>-</v>
      </c>
      <c r="BF229" s="198" t="str">
        <f>IF('Design Fee'!DB231&gt;0,"✔","-")</f>
        <v>-</v>
      </c>
      <c r="BG229" s="198" t="str">
        <f>IF('Design Fee'!DC231&gt;0,"✔","-")</f>
        <v>-</v>
      </c>
      <c r="BH229" s="198" t="str">
        <f>IF('Design Fee'!DD231&gt;0,"✔","-")</f>
        <v>-</v>
      </c>
      <c r="BI229" s="199"/>
      <c r="BJ229" s="195"/>
      <c r="BK229" s="196"/>
      <c r="BL229" s="197" t="str">
        <f>IF('Design Fee'!EA231&gt;0,"✔","-")</f>
        <v>-</v>
      </c>
      <c r="BM229" s="197" t="str">
        <f>IF('Design Fee'!EB231&gt;0,"✔","-")</f>
        <v>-</v>
      </c>
      <c r="BN229" s="198" t="str">
        <f>IF('Design Fee'!EC231&gt;0,"✔","-")</f>
        <v>-</v>
      </c>
      <c r="BO229" s="198" t="str">
        <f>IF('Design Fee'!ED231&gt;0,"✔","-")</f>
        <v>-</v>
      </c>
      <c r="BP229" s="198" t="str">
        <f>IF('Design Fee'!EE231&gt;0,"✔","-")</f>
        <v>-</v>
      </c>
      <c r="BQ229" s="198" t="str">
        <f>IF('Design Fee'!EF231&gt;0,"✔","-")</f>
        <v>-</v>
      </c>
      <c r="BR229" s="198" t="str">
        <f>IF('Design Fee'!EG231&gt;0,"✔","-")</f>
        <v>-</v>
      </c>
      <c r="BS229" s="220" t="str">
        <f>IF('Design Fee'!EH231&gt;0,"✔","-")</f>
        <v>-</v>
      </c>
      <c r="BT229" s="137"/>
      <c r="BU229" s="198" t="str">
        <f>IF('Design Fee'!EJ231&gt;0,"✔","-")</f>
        <v>-</v>
      </c>
      <c r="BV229" s="198" t="str">
        <f>IF('Design Fee'!EK231&gt;0,"✔","-")</f>
        <v>-</v>
      </c>
      <c r="BW229" s="198" t="str">
        <f>IF('Design Fee'!EL231&gt;0,"✔","-")</f>
        <v>-</v>
      </c>
      <c r="BX229" s="198" t="str">
        <f>IF('Design Fee'!EM231&gt;0,"✔","-")</f>
        <v>-</v>
      </c>
      <c r="BY229" s="198" t="str">
        <f>IF('Design Fee'!EN231&gt;0,"✔","-")</f>
        <v>-</v>
      </c>
      <c r="BZ229" s="137"/>
    </row>
    <row r="230" spans="1:78" ht="3" customHeight="1">
      <c r="A230" s="137"/>
      <c r="B230" s="138"/>
      <c r="C230" s="138"/>
      <c r="D230" s="160"/>
      <c r="E230" s="160"/>
      <c r="F230" s="162"/>
      <c r="G230" s="175"/>
      <c r="H230" s="175"/>
      <c r="I230" s="175"/>
      <c r="J230" s="184"/>
      <c r="K230" s="174"/>
      <c r="L230" s="183"/>
      <c r="M230" s="162"/>
      <c r="N230" s="162"/>
      <c r="O230" s="175"/>
      <c r="P230" s="175"/>
      <c r="Q230" s="198"/>
      <c r="R230" s="198"/>
      <c r="S230" s="198"/>
      <c r="T230" s="220"/>
      <c r="U230" s="184"/>
      <c r="V230" s="175"/>
      <c r="W230" s="198"/>
      <c r="X230" s="198"/>
      <c r="Y230" s="198"/>
      <c r="Z230" s="198"/>
      <c r="AA230" s="184"/>
      <c r="AB230" s="174"/>
      <c r="AC230" s="183"/>
      <c r="AD230" s="162"/>
      <c r="AE230" s="162"/>
      <c r="AF230" s="175"/>
      <c r="AG230" s="175"/>
      <c r="AH230" s="175"/>
      <c r="AI230" s="175"/>
      <c r="AJ230" s="175"/>
      <c r="AK230" s="175"/>
      <c r="AL230" s="175"/>
      <c r="AM230" s="175"/>
      <c r="AN230" s="175"/>
      <c r="AO230" s="175"/>
      <c r="AP230" s="175"/>
      <c r="AQ230" s="175"/>
      <c r="AR230" s="175"/>
      <c r="AS230" s="174"/>
      <c r="AT230" s="175"/>
      <c r="AU230" s="162"/>
      <c r="AV230" s="162"/>
      <c r="AW230" s="175"/>
      <c r="AX230" s="175"/>
      <c r="AY230" s="175"/>
      <c r="AZ230" s="175"/>
      <c r="BA230" s="175"/>
      <c r="BB230" s="175"/>
      <c r="BC230" s="175"/>
      <c r="BD230" s="175"/>
      <c r="BE230" s="175"/>
      <c r="BF230" s="175"/>
      <c r="BG230" s="175"/>
      <c r="BH230" s="175"/>
      <c r="BI230" s="175"/>
      <c r="BJ230" s="174"/>
      <c r="BK230" s="175"/>
      <c r="BL230" s="162"/>
      <c r="BM230" s="162"/>
      <c r="BN230" s="175"/>
      <c r="BO230" s="175"/>
      <c r="BP230" s="175"/>
      <c r="BQ230" s="175"/>
      <c r="BR230" s="175"/>
      <c r="BS230" s="175"/>
      <c r="BT230" s="160"/>
      <c r="BU230" s="175"/>
      <c r="BV230" s="175"/>
      <c r="BW230" s="175"/>
      <c r="BX230" s="175"/>
      <c r="BY230" s="175"/>
      <c r="BZ230" s="160"/>
    </row>
    <row r="231" spans="1:78" ht="18" collapsed="1">
      <c r="A231" s="137"/>
      <c r="B231" s="137"/>
      <c r="C231" s="696" t="s">
        <v>220</v>
      </c>
      <c r="D231" s="696"/>
      <c r="E231" s="160"/>
      <c r="F231" s="180"/>
      <c r="G231" s="180"/>
      <c r="H231" s="180"/>
      <c r="I231" s="180"/>
      <c r="J231" s="181"/>
      <c r="K231" s="178"/>
      <c r="L231" s="179"/>
      <c r="M231" s="180"/>
      <c r="N231" s="180"/>
      <c r="O231" s="180"/>
      <c r="P231" s="180"/>
      <c r="Q231" s="243"/>
      <c r="R231" s="243"/>
      <c r="S231" s="243"/>
      <c r="T231" s="243"/>
      <c r="U231" s="181"/>
      <c r="V231" s="180"/>
      <c r="W231" s="243"/>
      <c r="X231" s="243"/>
      <c r="Y231" s="243"/>
      <c r="Z231" s="243"/>
      <c r="AA231" s="181"/>
      <c r="AB231" s="178"/>
      <c r="AC231" s="179"/>
      <c r="AD231" s="180"/>
      <c r="AE231" s="180"/>
      <c r="AF231" s="180"/>
      <c r="AG231" s="180"/>
      <c r="AH231" s="243"/>
      <c r="AI231" s="243"/>
      <c r="AJ231" s="243"/>
      <c r="AK231" s="243"/>
      <c r="AL231" s="179"/>
      <c r="AM231" s="180"/>
      <c r="AN231" s="243"/>
      <c r="AO231" s="243"/>
      <c r="AP231" s="243"/>
      <c r="AQ231" s="243"/>
      <c r="AR231" s="179"/>
      <c r="AS231" s="178"/>
      <c r="AT231" s="179"/>
      <c r="AU231" s="180"/>
      <c r="AV231" s="180"/>
      <c r="AW231" s="180"/>
      <c r="AX231" s="180"/>
      <c r="AY231" s="243"/>
      <c r="AZ231" s="243"/>
      <c r="BA231" s="243"/>
      <c r="BB231" s="243"/>
      <c r="BC231" s="179"/>
      <c r="BD231" s="180"/>
      <c r="BE231" s="243"/>
      <c r="BF231" s="243"/>
      <c r="BG231" s="243"/>
      <c r="BH231" s="243"/>
      <c r="BI231" s="179"/>
      <c r="BJ231" s="178"/>
      <c r="BK231" s="179"/>
      <c r="BL231" s="180"/>
      <c r="BM231" s="180"/>
      <c r="BN231" s="180" t="str">
        <f>IF('Design Fee'!EC233&gt;0,"✔","-")</f>
        <v>-</v>
      </c>
      <c r="BO231" s="180" t="str">
        <f>IF('Design Fee'!ED233&gt;0,"✔","-")</f>
        <v>✔</v>
      </c>
      <c r="BP231" s="243" t="str">
        <f>IF('Design Fee'!EE233&gt;0,"✔","-")</f>
        <v>-</v>
      </c>
      <c r="BQ231" s="243" t="str">
        <f>IF('Design Fee'!EF233&gt;0,"✔","-")</f>
        <v>✔</v>
      </c>
      <c r="BR231" s="243" t="str">
        <f>IF('Design Fee'!EG233&gt;0,"✔","-")</f>
        <v>-</v>
      </c>
      <c r="BS231" s="243" t="str">
        <f>IF('Design Fee'!EH233&gt;0,"✔","-")</f>
        <v>-</v>
      </c>
      <c r="BT231" s="160"/>
      <c r="BU231" s="180" t="str">
        <f>IF('Design Fee'!EJ233&gt;0,"✔","-")</f>
        <v>-</v>
      </c>
      <c r="BV231" s="243" t="str">
        <f>IF('Design Fee'!EK233&gt;0,"✔","-")</f>
        <v>-</v>
      </c>
      <c r="BW231" s="243" t="str">
        <f>IF('Design Fee'!EL233&gt;0,"✔","-")</f>
        <v>-</v>
      </c>
      <c r="BX231" s="243" t="str">
        <f>IF('Design Fee'!EM233&gt;0,"✔","-")</f>
        <v>-</v>
      </c>
      <c r="BY231" s="243" t="str">
        <f>IF('Design Fee'!EN233&gt;0,"✔","-")</f>
        <v>-</v>
      </c>
      <c r="BZ231" s="160"/>
    </row>
    <row r="232" spans="1:78" ht="3" hidden="1" customHeight="1" outlineLevel="1">
      <c r="A232" s="137"/>
      <c r="B232" s="138"/>
      <c r="C232" s="138"/>
      <c r="D232" s="159"/>
      <c r="E232" s="160"/>
      <c r="F232" s="162"/>
      <c r="G232" s="175"/>
      <c r="H232" s="175"/>
      <c r="I232" s="175"/>
      <c r="J232" s="184"/>
      <c r="K232" s="174"/>
      <c r="L232" s="183"/>
      <c r="M232" s="162"/>
      <c r="N232" s="162"/>
      <c r="O232" s="175"/>
      <c r="P232" s="175"/>
      <c r="Q232" s="175"/>
      <c r="R232" s="175"/>
      <c r="S232" s="175"/>
      <c r="T232" s="175"/>
      <c r="U232" s="184"/>
      <c r="V232" s="175"/>
      <c r="W232" s="175"/>
      <c r="X232" s="175"/>
      <c r="Y232" s="175"/>
      <c r="Z232" s="175"/>
      <c r="AA232" s="184"/>
      <c r="AB232" s="174"/>
      <c r="AC232" s="183"/>
      <c r="AD232" s="162"/>
      <c r="AE232" s="162"/>
      <c r="AF232" s="175"/>
      <c r="AG232" s="175"/>
      <c r="AH232" s="175"/>
      <c r="AI232" s="175"/>
      <c r="AJ232" s="175"/>
      <c r="AK232" s="175"/>
      <c r="AL232" s="175"/>
      <c r="AM232" s="175"/>
      <c r="AN232" s="175"/>
      <c r="AO232" s="175"/>
      <c r="AP232" s="175"/>
      <c r="AQ232" s="175"/>
      <c r="AR232" s="175"/>
      <c r="AS232" s="174"/>
      <c r="AT232" s="175"/>
      <c r="AU232" s="162"/>
      <c r="AV232" s="162"/>
      <c r="AW232" s="175"/>
      <c r="AX232" s="175"/>
      <c r="AY232" s="175"/>
      <c r="AZ232" s="175"/>
      <c r="BA232" s="175"/>
      <c r="BB232" s="175"/>
      <c r="BC232" s="175"/>
      <c r="BD232" s="175"/>
      <c r="BE232" s="175"/>
      <c r="BF232" s="175"/>
      <c r="BG232" s="175"/>
      <c r="BH232" s="175"/>
      <c r="BI232" s="175"/>
      <c r="BJ232" s="174"/>
      <c r="BK232" s="175"/>
      <c r="BL232" s="162"/>
      <c r="BM232" s="162"/>
      <c r="BN232" s="175"/>
      <c r="BO232" s="175"/>
      <c r="BP232" s="175"/>
      <c r="BQ232" s="175"/>
      <c r="BR232" s="175"/>
      <c r="BS232" s="175"/>
      <c r="BT232" s="160"/>
      <c r="BU232" s="175"/>
      <c r="BV232" s="175"/>
      <c r="BW232" s="175"/>
      <c r="BX232" s="175"/>
      <c r="BY232" s="175"/>
      <c r="BZ232" s="160"/>
    </row>
    <row r="233" spans="1:78" ht="12.75" hidden="1" outlineLevel="1">
      <c r="A233" s="137"/>
      <c r="B233" s="186">
        <v>1</v>
      </c>
      <c r="C233" s="186">
        <v>1</v>
      </c>
      <c r="D233" s="187" t="s">
        <v>221</v>
      </c>
      <c r="E233" s="188"/>
      <c r="F233" s="215">
        <f>M233+AD233+AU233+BL233</f>
        <v>3</v>
      </c>
      <c r="G233" s="215"/>
      <c r="H233" s="215"/>
      <c r="I233" s="215">
        <f t="shared" ref="I233" si="658">P233+AG233+AX233+BO233</f>
        <v>3</v>
      </c>
      <c r="J233" s="192"/>
      <c r="K233" s="189"/>
      <c r="L233" s="189"/>
      <c r="M233" s="215">
        <f>COUNT(M234)</f>
        <v>0</v>
      </c>
      <c r="N233" s="215">
        <f>COUNT(N234)</f>
        <v>0</v>
      </c>
      <c r="O233" s="191" t="str">
        <f>IF('Design Fee'!Y235&gt;0,"✔","-")</f>
        <v>-</v>
      </c>
      <c r="P233" s="215">
        <f>COUNT(P234)</f>
        <v>0</v>
      </c>
      <c r="Q233" s="191" t="str">
        <f>IF('Design Fee'!AA235&gt;0,"✔","-")</f>
        <v>-</v>
      </c>
      <c r="R233" s="191" t="str">
        <f>IF('Design Fee'!AB235&gt;0,"✔","-")</f>
        <v>✔</v>
      </c>
      <c r="S233" s="215">
        <f>COUNT(S234)</f>
        <v>0</v>
      </c>
      <c r="T233" s="191" t="str">
        <f>IF('Design Fee'!AD235&gt;0,"✔","-")</f>
        <v>-</v>
      </c>
      <c r="U233" s="192"/>
      <c r="V233" s="191" t="str">
        <f>IF('Design Fee'!AF235&gt;0,"✔","-")</f>
        <v>-</v>
      </c>
      <c r="W233" s="191" t="str">
        <f>IF('Design Fee'!AG235&gt;0,"✔","-")</f>
        <v>-</v>
      </c>
      <c r="X233" s="191" t="str">
        <f>IF('Design Fee'!AH235&gt;0,"✔","-")</f>
        <v>-</v>
      </c>
      <c r="Y233" s="191" t="str">
        <f>IF('Design Fee'!AI235&gt;0,"✔","-")</f>
        <v>-</v>
      </c>
      <c r="Z233" s="191" t="str">
        <f>IF('Design Fee'!AJ235&gt;0,"✔","-")</f>
        <v>-</v>
      </c>
      <c r="AA233" s="192"/>
      <c r="AB233" s="189"/>
      <c r="AC233" s="189"/>
      <c r="AD233" s="215">
        <f t="shared" ref="AD233:AR233" si="659">COUNTIF(AD234:AD237,"✔")</f>
        <v>1</v>
      </c>
      <c r="AE233" s="215">
        <f t="shared" si="659"/>
        <v>0</v>
      </c>
      <c r="AF233" s="215">
        <f t="shared" si="659"/>
        <v>0</v>
      </c>
      <c r="AG233" s="215">
        <f t="shared" si="659"/>
        <v>1</v>
      </c>
      <c r="AH233" s="215">
        <f t="shared" si="659"/>
        <v>0</v>
      </c>
      <c r="AI233" s="215">
        <f t="shared" si="659"/>
        <v>1</v>
      </c>
      <c r="AJ233" s="215">
        <f t="shared" si="659"/>
        <v>0</v>
      </c>
      <c r="AK233" s="215">
        <f t="shared" si="659"/>
        <v>0</v>
      </c>
      <c r="AL233" s="215">
        <f t="shared" si="659"/>
        <v>0</v>
      </c>
      <c r="AM233" s="215">
        <f t="shared" si="659"/>
        <v>0</v>
      </c>
      <c r="AN233" s="215">
        <f t="shared" si="659"/>
        <v>0</v>
      </c>
      <c r="AO233" s="215">
        <f t="shared" si="659"/>
        <v>0</v>
      </c>
      <c r="AP233" s="215">
        <f t="shared" si="659"/>
        <v>0</v>
      </c>
      <c r="AQ233" s="215">
        <f t="shared" si="659"/>
        <v>0</v>
      </c>
      <c r="AR233" s="215">
        <f t="shared" si="659"/>
        <v>0</v>
      </c>
      <c r="AS233" s="189"/>
      <c r="AT233" s="215">
        <f t="shared" ref="AT233:BI233" si="660">COUNTIF(AT234:AT237,"✔")</f>
        <v>0</v>
      </c>
      <c r="AU233" s="215">
        <f t="shared" si="660"/>
        <v>1</v>
      </c>
      <c r="AV233" s="215">
        <f t="shared" si="660"/>
        <v>0</v>
      </c>
      <c r="AW233" s="215">
        <f t="shared" si="660"/>
        <v>0</v>
      </c>
      <c r="AX233" s="215">
        <f t="shared" si="660"/>
        <v>1</v>
      </c>
      <c r="AY233" s="215">
        <f t="shared" si="660"/>
        <v>0</v>
      </c>
      <c r="AZ233" s="215">
        <f t="shared" si="660"/>
        <v>1</v>
      </c>
      <c r="BA233" s="215">
        <f t="shared" si="660"/>
        <v>0</v>
      </c>
      <c r="BB233" s="215">
        <f t="shared" si="660"/>
        <v>0</v>
      </c>
      <c r="BC233" s="215">
        <f t="shared" si="660"/>
        <v>0</v>
      </c>
      <c r="BD233" s="215">
        <f t="shared" si="660"/>
        <v>0</v>
      </c>
      <c r="BE233" s="215">
        <f t="shared" si="660"/>
        <v>0</v>
      </c>
      <c r="BF233" s="215">
        <f t="shared" si="660"/>
        <v>0</v>
      </c>
      <c r="BG233" s="215">
        <f t="shared" si="660"/>
        <v>0</v>
      </c>
      <c r="BH233" s="215">
        <f t="shared" si="660"/>
        <v>0</v>
      </c>
      <c r="BI233" s="215">
        <f t="shared" si="660"/>
        <v>0</v>
      </c>
      <c r="BJ233" s="189"/>
      <c r="BK233" s="215">
        <f t="shared" ref="BK233:BS233" si="661">COUNTIF(BK234:BK237,"✔")</f>
        <v>0</v>
      </c>
      <c r="BL233" s="215">
        <f t="shared" si="661"/>
        <v>1</v>
      </c>
      <c r="BM233" s="215">
        <f t="shared" si="661"/>
        <v>0</v>
      </c>
      <c r="BN233" s="215">
        <f t="shared" si="661"/>
        <v>0</v>
      </c>
      <c r="BO233" s="215">
        <f t="shared" si="661"/>
        <v>1</v>
      </c>
      <c r="BP233" s="215">
        <f t="shared" si="661"/>
        <v>0</v>
      </c>
      <c r="BQ233" s="215">
        <f t="shared" si="661"/>
        <v>1</v>
      </c>
      <c r="BR233" s="215">
        <f t="shared" si="661"/>
        <v>0</v>
      </c>
      <c r="BS233" s="215">
        <f t="shared" si="661"/>
        <v>0</v>
      </c>
      <c r="BT233" s="137"/>
      <c r="BU233" s="215">
        <f>COUNTIF(BU234:BU237,"✔")</f>
        <v>0</v>
      </c>
      <c r="BV233" s="215">
        <f>COUNTIF(BV234:BV237,"✔")</f>
        <v>0</v>
      </c>
      <c r="BW233" s="215">
        <f>COUNTIF(BW234:BW237,"✔")</f>
        <v>0</v>
      </c>
      <c r="BX233" s="215">
        <f>COUNTIF(BX234:BX237,"✔")</f>
        <v>0</v>
      </c>
      <c r="BY233" s="215">
        <f>COUNTIF(BY234:BY237,"✔")</f>
        <v>0</v>
      </c>
      <c r="BZ233" s="137"/>
    </row>
    <row r="234" spans="1:78" ht="12.75" hidden="1" outlineLevel="2">
      <c r="A234" s="137"/>
      <c r="B234" s="217">
        <v>1</v>
      </c>
      <c r="C234" s="217">
        <v>1</v>
      </c>
      <c r="D234" s="139" t="s">
        <v>222</v>
      </c>
      <c r="E234" s="139"/>
      <c r="F234" s="197">
        <f>COUNTIF(M234,"✔")+COUNTIF(AD234,"✔")+COUNTIF(BL234,"✔")+COUNTIF(AU234,"✔")</f>
        <v>4</v>
      </c>
      <c r="G234" s="198">
        <f>COUNTIF(N234,"✔")+COUNTIF(AE234,"✔")+COUNTIF(BM234,"✔")+COUNTIF(AV234,"✔")</f>
        <v>0</v>
      </c>
      <c r="H234" s="198">
        <f>COUNTIF(O234,"✔")+COUNTIF(AF234,"✔")+COUNTIF(BN234,"✔")+COUNTIF(AW234,"✔")</f>
        <v>0</v>
      </c>
      <c r="I234" s="198">
        <f t="shared" ref="I234" si="662">F234-G234</f>
        <v>4</v>
      </c>
      <c r="J234" s="221"/>
      <c r="K234" s="195"/>
      <c r="L234" s="244"/>
      <c r="M234" s="197" t="str">
        <f>IF('Design Fee'!W236&gt;0,"✔","-")</f>
        <v>✔</v>
      </c>
      <c r="N234" s="197" t="str">
        <f>IF('Design Fee'!X236&gt;0,"✔","-")</f>
        <v>-</v>
      </c>
      <c r="O234" s="198" t="str">
        <f>IF('Design Fee'!Y236&gt;0,"✔","-")</f>
        <v>-</v>
      </c>
      <c r="P234" s="198" t="str">
        <f>IF('Design Fee'!Z236&gt;0,"✔","-")</f>
        <v>✔</v>
      </c>
      <c r="Q234" s="245" t="str">
        <f>IF('Design Fee'!AA236&gt;0,"✔","-")</f>
        <v>-</v>
      </c>
      <c r="R234" s="198" t="str">
        <f>IF('Design Fee'!AB236&gt;0,"✔","-")</f>
        <v>✔</v>
      </c>
      <c r="S234" s="198" t="str">
        <f>IF('Design Fee'!AC236&gt;0,"✔","-")</f>
        <v>-</v>
      </c>
      <c r="T234" s="198" t="str">
        <f>IF('Design Fee'!AD236&gt;0,"✔","-")</f>
        <v>-</v>
      </c>
      <c r="U234" s="221"/>
      <c r="V234" s="198" t="str">
        <f>IF('Design Fee'!AF236&gt;0,"✔","-")</f>
        <v>-</v>
      </c>
      <c r="W234" s="245" t="str">
        <f>IF('Design Fee'!AG236&gt;0,"✔","-")</f>
        <v>-</v>
      </c>
      <c r="X234" s="198" t="str">
        <f>IF('Design Fee'!AH236&gt;0,"✔","-")</f>
        <v>-</v>
      </c>
      <c r="Y234" s="198" t="str">
        <f>IF('Design Fee'!AI236&gt;0,"✔","-")</f>
        <v>-</v>
      </c>
      <c r="Z234" s="198" t="str">
        <f>IF('Design Fee'!AJ236&gt;0,"✔","-")</f>
        <v>-</v>
      </c>
      <c r="AA234" s="221"/>
      <c r="AB234" s="195"/>
      <c r="AC234" s="244"/>
      <c r="AD234" s="197" t="str">
        <f>IF('Design Fee'!BG236&gt;0,"✔","-")</f>
        <v>✔</v>
      </c>
      <c r="AE234" s="197" t="str">
        <f>IF('Design Fee'!BH236&gt;0,"✔","-")</f>
        <v>-</v>
      </c>
      <c r="AF234" s="198" t="str">
        <f>IF('Design Fee'!BI236&gt;0,"✔","-")</f>
        <v>-</v>
      </c>
      <c r="AG234" s="198" t="str">
        <f>IF('Design Fee'!BJ236&gt;0,"✔","-")</f>
        <v>✔</v>
      </c>
      <c r="AH234" s="198" t="str">
        <f>IF('Design Fee'!BK236&gt;0,"✔","-")</f>
        <v>-</v>
      </c>
      <c r="AI234" s="198" t="str">
        <f>IF('Design Fee'!BL236&gt;0,"✔","-")</f>
        <v>✔</v>
      </c>
      <c r="AJ234" s="198" t="str">
        <f>IF('Design Fee'!BM236&gt;0,"✔","-")</f>
        <v>-</v>
      </c>
      <c r="AK234" s="198" t="str">
        <f>IF('Design Fee'!BN236&gt;0,"✔","-")</f>
        <v>-</v>
      </c>
      <c r="AL234" s="244"/>
      <c r="AM234" s="198" t="str">
        <f>IF('Design Fee'!BO236&gt;0,"✔","-")</f>
        <v>-</v>
      </c>
      <c r="AN234" s="198" t="str">
        <f>IF('Design Fee'!BP236&gt;0,"✔","-")</f>
        <v>-</v>
      </c>
      <c r="AO234" s="198" t="str">
        <f>IF('Design Fee'!BQ236&gt;0,"✔","-")</f>
        <v>-</v>
      </c>
      <c r="AP234" s="198" t="str">
        <f>IF('Design Fee'!BR236&gt;0,"✔","-")</f>
        <v>-</v>
      </c>
      <c r="AQ234" s="198" t="str">
        <f>IF('Design Fee'!BS236&gt;0,"✔","-")</f>
        <v>-</v>
      </c>
      <c r="AR234" s="244"/>
      <c r="AS234" s="195"/>
      <c r="AT234" s="244"/>
      <c r="AU234" s="197" t="str">
        <f>IF('Design Fee'!CQ236&gt;0,"✔","-")</f>
        <v>✔</v>
      </c>
      <c r="AV234" s="197" t="str">
        <f>IF('Design Fee'!CR236&gt;0,"✔","-")</f>
        <v>-</v>
      </c>
      <c r="AW234" s="198" t="str">
        <f>IF('Design Fee'!CS236&gt;0,"✔","-")</f>
        <v>-</v>
      </c>
      <c r="AX234" s="198" t="str">
        <f>IF('Design Fee'!CT236&gt;0,"✔","-")</f>
        <v>✔</v>
      </c>
      <c r="AY234" s="245" t="str">
        <f>IF('Design Fee'!CU236&gt;0,"✔","-")</f>
        <v>-</v>
      </c>
      <c r="AZ234" s="198" t="str">
        <f>IF('Design Fee'!CV236&gt;0,"✔","-")</f>
        <v>✔</v>
      </c>
      <c r="BA234" s="198" t="str">
        <f>IF('Design Fee'!CW236&gt;0,"✔","-")</f>
        <v>-</v>
      </c>
      <c r="BB234" s="198" t="str">
        <f>IF('Design Fee'!CX236&gt;0,"✔","-")</f>
        <v>-</v>
      </c>
      <c r="BC234" s="244"/>
      <c r="BD234" s="198" t="str">
        <f>IF('Design Fee'!CZ236&gt;0,"✔","-")</f>
        <v>-</v>
      </c>
      <c r="BE234" s="245" t="str">
        <f>IF('Design Fee'!DA236&gt;0,"✔","-")</f>
        <v>-</v>
      </c>
      <c r="BF234" s="198" t="str">
        <f>IF('Design Fee'!DB236&gt;0,"✔","-")</f>
        <v>-</v>
      </c>
      <c r="BG234" s="198" t="str">
        <f>IF('Design Fee'!DC236&gt;0,"✔","-")</f>
        <v>-</v>
      </c>
      <c r="BH234" s="198" t="str">
        <f>IF('Design Fee'!DD236&gt;0,"✔","-")</f>
        <v>-</v>
      </c>
      <c r="BI234" s="244"/>
      <c r="BJ234" s="195"/>
      <c r="BK234" s="244"/>
      <c r="BL234" s="197" t="str">
        <f>IF('Design Fee'!EA236&gt;0,"✔","-")</f>
        <v>✔</v>
      </c>
      <c r="BM234" s="197" t="str">
        <f>IF('Design Fee'!EB236&gt;0,"✔","-")</f>
        <v>-</v>
      </c>
      <c r="BN234" s="198" t="str">
        <f>IF('Design Fee'!EC236&gt;0,"✔","-")</f>
        <v>-</v>
      </c>
      <c r="BO234" s="198" t="str">
        <f>IF('Design Fee'!ED236&gt;0,"✔","-")</f>
        <v>✔</v>
      </c>
      <c r="BP234" s="245" t="str">
        <f>IF('Design Fee'!EE236&gt;0,"✔","-")</f>
        <v>-</v>
      </c>
      <c r="BQ234" s="198" t="str">
        <f>IF('Design Fee'!EF236&gt;0,"✔","-")</f>
        <v>✔</v>
      </c>
      <c r="BR234" s="198" t="str">
        <f>IF('Design Fee'!EG236&gt;0,"✔","-")</f>
        <v>-</v>
      </c>
      <c r="BS234" s="198" t="str">
        <f>IF('Design Fee'!EH236&gt;0,"✔","-")</f>
        <v>-</v>
      </c>
      <c r="BT234" s="139"/>
      <c r="BU234" s="198" t="str">
        <f>IF('Design Fee'!EJ236&gt;0,"✔","-")</f>
        <v>-</v>
      </c>
      <c r="BV234" s="245" t="str">
        <f>IF('Design Fee'!EK236&gt;0,"✔","-")</f>
        <v>-</v>
      </c>
      <c r="BW234" s="198" t="str">
        <f>IF('Design Fee'!EL236&gt;0,"✔","-")</f>
        <v>-</v>
      </c>
      <c r="BX234" s="198" t="str">
        <f>IF('Design Fee'!EM236&gt;0,"✔","-")</f>
        <v>-</v>
      </c>
      <c r="BY234" s="198" t="str">
        <f>IF('Design Fee'!EN236&gt;0,"✔","-")</f>
        <v>-</v>
      </c>
      <c r="BZ234" s="139"/>
    </row>
    <row r="235" spans="1:78" ht="3" customHeight="1">
      <c r="A235" s="137"/>
      <c r="B235" s="217"/>
      <c r="C235" s="217"/>
      <c r="D235" s="139"/>
      <c r="E235" s="139"/>
      <c r="F235" s="162"/>
      <c r="G235" s="175"/>
      <c r="H235" s="175"/>
      <c r="I235" s="175"/>
      <c r="J235" s="221"/>
      <c r="K235" s="195"/>
      <c r="L235" s="244"/>
      <c r="M235" s="197"/>
      <c r="N235" s="197"/>
      <c r="O235" s="198"/>
      <c r="P235" s="198"/>
      <c r="Q235" s="245"/>
      <c r="R235" s="198"/>
      <c r="S235" s="198"/>
      <c r="T235" s="198"/>
      <c r="U235" s="221"/>
      <c r="V235" s="198"/>
      <c r="W235" s="245"/>
      <c r="X235" s="198"/>
      <c r="Y235" s="198"/>
      <c r="Z235" s="198"/>
      <c r="AA235" s="221"/>
      <c r="AB235" s="195"/>
      <c r="AC235" s="244"/>
      <c r="AD235" s="197"/>
      <c r="AE235" s="197"/>
      <c r="AF235" s="175"/>
      <c r="AG235" s="175"/>
      <c r="AH235" s="175"/>
      <c r="AI235" s="175"/>
      <c r="AJ235" s="175"/>
      <c r="AK235" s="175"/>
      <c r="AL235" s="175"/>
      <c r="AM235" s="175"/>
      <c r="AN235" s="175"/>
      <c r="AO235" s="175"/>
      <c r="AP235" s="175"/>
      <c r="AQ235" s="175"/>
      <c r="AR235" s="175"/>
      <c r="AS235" s="195"/>
      <c r="AT235" s="175"/>
      <c r="AU235" s="197"/>
      <c r="AV235" s="197"/>
      <c r="AW235" s="175"/>
      <c r="AX235" s="175"/>
      <c r="AY235" s="175"/>
      <c r="AZ235" s="175"/>
      <c r="BA235" s="175"/>
      <c r="BB235" s="175"/>
      <c r="BC235" s="175"/>
      <c r="BD235" s="175"/>
      <c r="BE235" s="175"/>
      <c r="BF235" s="175"/>
      <c r="BG235" s="175"/>
      <c r="BH235" s="175"/>
      <c r="BI235" s="175"/>
      <c r="BJ235" s="195"/>
      <c r="BK235" s="175"/>
      <c r="BL235" s="197"/>
      <c r="BM235" s="197"/>
      <c r="BN235" s="175"/>
      <c r="BO235" s="175"/>
      <c r="BP235" s="175"/>
      <c r="BQ235" s="175"/>
      <c r="BR235" s="175"/>
      <c r="BS235" s="175"/>
      <c r="BT235" s="139"/>
      <c r="BU235" s="175"/>
      <c r="BV235" s="175"/>
      <c r="BW235" s="175"/>
      <c r="BX235" s="175"/>
      <c r="BY235" s="175"/>
      <c r="BZ235" s="139"/>
    </row>
    <row r="236" spans="1:78" ht="18" hidden="1" collapsed="1">
      <c r="A236" s="137"/>
      <c r="B236" s="137"/>
      <c r="C236" s="696" t="s">
        <v>223</v>
      </c>
      <c r="D236" s="696"/>
      <c r="E236" s="160"/>
      <c r="F236" s="180"/>
      <c r="G236" s="180"/>
      <c r="H236" s="180"/>
      <c r="I236" s="180"/>
      <c r="J236" s="181"/>
      <c r="K236" s="178"/>
      <c r="L236" s="179"/>
      <c r="M236" s="180"/>
      <c r="N236" s="180"/>
      <c r="O236" s="180"/>
      <c r="P236" s="180"/>
      <c r="Q236" s="243"/>
      <c r="R236" s="243"/>
      <c r="S236" s="243"/>
      <c r="T236" s="243"/>
      <c r="U236" s="181"/>
      <c r="V236" s="180"/>
      <c r="W236" s="243"/>
      <c r="X236" s="243"/>
      <c r="Y236" s="243"/>
      <c r="Z236" s="243"/>
      <c r="AA236" s="181"/>
      <c r="AB236" s="178"/>
      <c r="AC236" s="179"/>
      <c r="AD236" s="180"/>
      <c r="AE236" s="180"/>
      <c r="AF236" s="180"/>
      <c r="AG236" s="180"/>
      <c r="AH236" s="243"/>
      <c r="AI236" s="243"/>
      <c r="AJ236" s="243"/>
      <c r="AK236" s="243"/>
      <c r="AL236" s="179"/>
      <c r="AM236" s="180"/>
      <c r="AN236" s="243"/>
      <c r="AO236" s="243"/>
      <c r="AP236" s="243"/>
      <c r="AQ236" s="243"/>
      <c r="AR236" s="179"/>
      <c r="AS236" s="178"/>
      <c r="AT236" s="179"/>
      <c r="AU236" s="180"/>
      <c r="AV236" s="180"/>
      <c r="AW236" s="180"/>
      <c r="AX236" s="180"/>
      <c r="AY236" s="243"/>
      <c r="AZ236" s="243"/>
      <c r="BA236" s="243"/>
      <c r="BB236" s="243"/>
      <c r="BC236" s="179"/>
      <c r="BD236" s="180"/>
      <c r="BE236" s="243"/>
      <c r="BF236" s="243"/>
      <c r="BG236" s="243"/>
      <c r="BH236" s="243"/>
      <c r="BI236" s="179"/>
      <c r="BJ236" s="178"/>
      <c r="BK236" s="179"/>
      <c r="BL236" s="180"/>
      <c r="BM236" s="180"/>
      <c r="BN236" s="180" t="str">
        <f>IF('Design Fee'!EC238&gt;0,"✔","-")</f>
        <v>-</v>
      </c>
      <c r="BO236" s="180" t="str">
        <f>IF('Design Fee'!ED238&gt;0,"✔","-")</f>
        <v>-</v>
      </c>
      <c r="BP236" s="243" t="str">
        <f>IF('Design Fee'!EE238&gt;0,"✔","-")</f>
        <v>-</v>
      </c>
      <c r="BQ236" s="243" t="str">
        <f>IF('Design Fee'!EF238&gt;0,"✔","-")</f>
        <v>-</v>
      </c>
      <c r="BR236" s="243" t="str">
        <f>IF('Design Fee'!EG238&gt;0,"✔","-")</f>
        <v>-</v>
      </c>
      <c r="BS236" s="243" t="str">
        <f>IF('Design Fee'!EH238&gt;0,"✔","-")</f>
        <v>-</v>
      </c>
      <c r="BT236" s="160"/>
      <c r="BU236" s="180" t="str">
        <f>IF('Design Fee'!EJ238&gt;0,"✔","-")</f>
        <v>-</v>
      </c>
      <c r="BV236" s="243" t="str">
        <f>IF('Design Fee'!EK238&gt;0,"✔","-")</f>
        <v>-</v>
      </c>
      <c r="BW236" s="243" t="str">
        <f>IF('Design Fee'!EL238&gt;0,"✔","-")</f>
        <v>-</v>
      </c>
      <c r="BX236" s="243" t="str">
        <f>IF('Design Fee'!EM238&gt;0,"✔","-")</f>
        <v>-</v>
      </c>
      <c r="BY236" s="243" t="str">
        <f>IF('Design Fee'!EN238&gt;0,"✔","-")</f>
        <v>-</v>
      </c>
      <c r="BZ236" s="160"/>
    </row>
    <row r="237" spans="1:78" ht="12.75" hidden="1" outlineLevel="1">
      <c r="A237" s="137"/>
      <c r="B237" s="186">
        <v>7</v>
      </c>
      <c r="C237" s="213">
        <v>4</v>
      </c>
      <c r="D237" s="214" t="s">
        <v>224</v>
      </c>
      <c r="E237" s="188"/>
      <c r="F237" s="215"/>
      <c r="G237" s="215"/>
      <c r="H237" s="215"/>
      <c r="I237" s="215"/>
      <c r="J237" s="192">
        <v>0</v>
      </c>
      <c r="K237" s="189"/>
      <c r="L237" s="189">
        <v>0</v>
      </c>
      <c r="M237" s="215">
        <f>COUNT(M238:M247)</f>
        <v>0</v>
      </c>
      <c r="N237" s="215">
        <f>COUNT(N238:N247)</f>
        <v>0</v>
      </c>
      <c r="O237" s="215">
        <f>COUNT(O238:O247)</f>
        <v>0</v>
      </c>
      <c r="P237" s="215">
        <f t="shared" ref="P237:Z237" si="663">COUNT(P238:P247)</f>
        <v>0</v>
      </c>
      <c r="Q237" s="215">
        <f t="shared" si="663"/>
        <v>0</v>
      </c>
      <c r="R237" s="215">
        <f t="shared" si="663"/>
        <v>0</v>
      </c>
      <c r="S237" s="215">
        <f t="shared" si="663"/>
        <v>0</v>
      </c>
      <c r="T237" s="215">
        <f t="shared" si="663"/>
        <v>0</v>
      </c>
      <c r="U237" s="192">
        <v>0</v>
      </c>
      <c r="V237" s="215">
        <f t="shared" si="663"/>
        <v>0</v>
      </c>
      <c r="W237" s="215">
        <f t="shared" si="663"/>
        <v>0</v>
      </c>
      <c r="X237" s="215">
        <f t="shared" si="663"/>
        <v>0</v>
      </c>
      <c r="Y237" s="215">
        <f t="shared" si="663"/>
        <v>0</v>
      </c>
      <c r="Z237" s="215">
        <f t="shared" si="663"/>
        <v>0</v>
      </c>
      <c r="AA237" s="192">
        <v>0</v>
      </c>
      <c r="AB237" s="189"/>
      <c r="AC237" s="189">
        <v>0</v>
      </c>
      <c r="AD237" s="215" t="str">
        <f>IF('Design Fee'!BG240&gt;0,"✔","-")</f>
        <v>-</v>
      </c>
      <c r="AE237" s="215" t="str">
        <f>IF('Design Fee'!BH240&gt;0,"✔","-")</f>
        <v>-</v>
      </c>
      <c r="AF237" s="215" t="str">
        <f>IF('Design Fee'!BI240&gt;0,"✔","-")</f>
        <v>-</v>
      </c>
      <c r="AG237" s="215" t="str">
        <f>IF('Design Fee'!BJ240&gt;0,"✔","-")</f>
        <v>-</v>
      </c>
      <c r="AH237" s="215" t="str">
        <f>IF('Design Fee'!BK240&gt;0,"✔","-")</f>
        <v>-</v>
      </c>
      <c r="AI237" s="215" t="str">
        <f>IF('Design Fee'!BL240&gt;0,"✔","-")</f>
        <v>-</v>
      </c>
      <c r="AJ237" s="215" t="str">
        <f>IF('Design Fee'!BM240&gt;0,"✔","-")</f>
        <v>-</v>
      </c>
      <c r="AK237" s="215" t="str">
        <f>IF('Design Fee'!BN240&gt;0,"✔","-")</f>
        <v>-</v>
      </c>
      <c r="AL237" s="189">
        <v>0</v>
      </c>
      <c r="AM237" s="215" t="str">
        <f>IF('Design Fee'!BP240&gt;0,"✔","-")</f>
        <v>-</v>
      </c>
      <c r="AN237" s="215" t="str">
        <f>IF('Design Fee'!BQ240&gt;0,"✔","-")</f>
        <v>-</v>
      </c>
      <c r="AO237" s="215" t="str">
        <f>IF('Design Fee'!BR240&gt;0,"✔","-")</f>
        <v>-</v>
      </c>
      <c r="AP237" s="215" t="str">
        <f>IF('Design Fee'!BS240&gt;0,"✔","-")</f>
        <v>-</v>
      </c>
      <c r="AQ237" s="215" t="str">
        <f>IF('Design Fee'!BT240&gt;0,"✔","-")</f>
        <v>-</v>
      </c>
      <c r="AR237" s="189">
        <v>0</v>
      </c>
      <c r="AS237" s="189"/>
      <c r="AT237" s="189">
        <v>0</v>
      </c>
      <c r="AU237" s="215" t="str">
        <f>IF('Design Fee'!CQ240&gt;0,"✔","-")</f>
        <v>-</v>
      </c>
      <c r="AV237" s="215" t="str">
        <f>IF('Design Fee'!CR240&gt;0,"✔","-")</f>
        <v>-</v>
      </c>
      <c r="AW237" s="215" t="str">
        <f>IF('Design Fee'!CS240&gt;0,"✔","-")</f>
        <v>-</v>
      </c>
      <c r="AX237" s="215" t="str">
        <f>IF('Design Fee'!CT240&gt;0,"✔","-")</f>
        <v>-</v>
      </c>
      <c r="AY237" s="215" t="str">
        <f>IF('Design Fee'!CU240&gt;0,"✔","-")</f>
        <v>-</v>
      </c>
      <c r="AZ237" s="215" t="str">
        <f>IF('Design Fee'!CV240&gt;0,"✔","-")</f>
        <v>-</v>
      </c>
      <c r="BA237" s="215" t="str">
        <f>IF('Design Fee'!CW240&gt;0,"✔","-")</f>
        <v>-</v>
      </c>
      <c r="BB237" s="215" t="str">
        <f>IF('Design Fee'!CX240&gt;0,"✔","-")</f>
        <v>-</v>
      </c>
      <c r="BC237" s="189">
        <v>0</v>
      </c>
      <c r="BD237" s="215" t="str">
        <f>IF('Design Fee'!CZ240&gt;0,"✔","-")</f>
        <v>-</v>
      </c>
      <c r="BE237" s="215" t="str">
        <f>IF('Design Fee'!DA240&gt;0,"✔","-")</f>
        <v>-</v>
      </c>
      <c r="BF237" s="215" t="str">
        <f>IF('Design Fee'!DB240&gt;0,"✔","-")</f>
        <v>-</v>
      </c>
      <c r="BG237" s="215" t="str">
        <f>IF('Design Fee'!DC240&gt;0,"✔","-")</f>
        <v>-</v>
      </c>
      <c r="BH237" s="215" t="str">
        <f>IF('Design Fee'!DD240&gt;0,"✔","-")</f>
        <v>-</v>
      </c>
      <c r="BI237" s="189">
        <v>0</v>
      </c>
      <c r="BJ237" s="189"/>
      <c r="BK237" s="189">
        <v>0</v>
      </c>
      <c r="BL237" s="215" t="str">
        <f>IF('Design Fee'!EA240&gt;0,"✔","-")</f>
        <v>-</v>
      </c>
      <c r="BM237" s="215" t="str">
        <f>IF('Design Fee'!EB240&gt;0,"✔","-")</f>
        <v>-</v>
      </c>
      <c r="BN237" s="215" t="str">
        <f>IF('Design Fee'!EC240&gt;0,"✔","-")</f>
        <v>-</v>
      </c>
      <c r="BO237" s="215" t="str">
        <f>IF('Design Fee'!ED240&gt;0,"✔","-")</f>
        <v>-</v>
      </c>
      <c r="BP237" s="215" t="str">
        <f>IF('Design Fee'!EE240&gt;0,"✔","-")</f>
        <v>-</v>
      </c>
      <c r="BQ237" s="215" t="str">
        <f>IF('Design Fee'!EF240&gt;0,"✔","-")</f>
        <v>-</v>
      </c>
      <c r="BR237" s="215" t="str">
        <f>IF('Design Fee'!EG240&gt;0,"✔","-")</f>
        <v>-</v>
      </c>
      <c r="BS237" s="215" t="str">
        <f>IF('Design Fee'!EH240&gt;0,"✔","-")</f>
        <v>-</v>
      </c>
      <c r="BT237" s="137"/>
      <c r="BU237" s="215" t="str">
        <f>IF('Design Fee'!EJ240&gt;0,"✔","-")</f>
        <v>-</v>
      </c>
      <c r="BV237" s="215" t="str">
        <f>IF('Design Fee'!EK240&gt;0,"✔","-")</f>
        <v>-</v>
      </c>
      <c r="BW237" s="215" t="str">
        <f>IF('Design Fee'!EL240&gt;0,"✔","-")</f>
        <v>-</v>
      </c>
      <c r="BX237" s="215" t="str">
        <f>IF('Design Fee'!EM240&gt;0,"✔","-")</f>
        <v>-</v>
      </c>
      <c r="BY237" s="215" t="str">
        <f>IF('Design Fee'!EN240&gt;0,"✔","-")</f>
        <v>-</v>
      </c>
      <c r="BZ237" s="137"/>
    </row>
    <row r="238" spans="1:78" ht="12.75" hidden="1" outlineLevel="2">
      <c r="A238" s="137"/>
      <c r="B238" s="217" t="s">
        <v>96</v>
      </c>
      <c r="C238" s="218">
        <v>1</v>
      </c>
      <c r="D238" s="219" t="s">
        <v>52</v>
      </c>
      <c r="E238" s="137"/>
      <c r="F238" s="197"/>
      <c r="G238" s="198"/>
      <c r="H238" s="198"/>
      <c r="I238" s="198"/>
      <c r="J238" s="184">
        <v>0</v>
      </c>
      <c r="K238" s="195"/>
      <c r="L238" s="196">
        <v>0</v>
      </c>
      <c r="M238" s="197" t="str">
        <f>IF('Design Fee'!W241&gt;0,"✔","-")</f>
        <v>-</v>
      </c>
      <c r="N238" s="197" t="str">
        <f>IF('Design Fee'!X241&gt;0,"✔","-")</f>
        <v>-</v>
      </c>
      <c r="O238" s="198" t="str">
        <f>IF('Design Fee'!Y241&gt;0,"✔","-")</f>
        <v>-</v>
      </c>
      <c r="P238" s="198" t="str">
        <f>IF('Design Fee'!Z241&gt;0,"✔","-")</f>
        <v>-</v>
      </c>
      <c r="Q238" s="198" t="str">
        <f>IF('Design Fee'!AA241&gt;0,"✔","-")</f>
        <v>-</v>
      </c>
      <c r="R238" s="198" t="str">
        <f>IF('Design Fee'!AB241&gt;0,"✔","-")</f>
        <v>-</v>
      </c>
      <c r="S238" s="198" t="str">
        <f>IF('Design Fee'!AC241&gt;0,"✔","-")</f>
        <v>-</v>
      </c>
      <c r="T238" s="220" t="str">
        <f>IF('Design Fee'!AD241&gt;0,"✔","-")</f>
        <v>-</v>
      </c>
      <c r="U238" s="184">
        <v>0</v>
      </c>
      <c r="V238" s="198" t="str">
        <f>IF('Design Fee'!AF241&gt;0,"✔","-")</f>
        <v>-</v>
      </c>
      <c r="W238" s="198" t="str">
        <f>IF('Design Fee'!AG241&gt;0,"✔","-")</f>
        <v>-</v>
      </c>
      <c r="X238" s="198" t="str">
        <f>IF('Design Fee'!AH241&gt;0,"✔","-")</f>
        <v>-</v>
      </c>
      <c r="Y238" s="198" t="str">
        <f>IF('Design Fee'!AI241&gt;0,"✔","-")</f>
        <v>-</v>
      </c>
      <c r="Z238" s="198" t="str">
        <f>IF('Design Fee'!AJ241&gt;0,"✔","-")</f>
        <v>-</v>
      </c>
      <c r="AA238" s="184">
        <v>0</v>
      </c>
      <c r="AB238" s="195"/>
      <c r="AC238" s="196">
        <v>0</v>
      </c>
      <c r="AD238" s="197" t="str">
        <f>IF('Design Fee'!BG241&gt;0,"✔","-")</f>
        <v>-</v>
      </c>
      <c r="AE238" s="197" t="str">
        <f>IF('Design Fee'!BH241&gt;0,"✔","-")</f>
        <v>-</v>
      </c>
      <c r="AF238" s="198" t="str">
        <f>IF('Design Fee'!BI241&gt;0,"✔","-")</f>
        <v>-</v>
      </c>
      <c r="AG238" s="198" t="str">
        <f>IF('Design Fee'!BJ241&gt;0,"✔","-")</f>
        <v>-</v>
      </c>
      <c r="AH238" s="198" t="str">
        <f>IF('Design Fee'!BK241&gt;0,"✔","-")</f>
        <v>-</v>
      </c>
      <c r="AI238" s="198" t="str">
        <f>IF('Design Fee'!BL241&gt;0,"✔","-")</f>
        <v>-</v>
      </c>
      <c r="AJ238" s="198" t="str">
        <f>IF('Design Fee'!BM241&gt;0,"✔","-")</f>
        <v>-</v>
      </c>
      <c r="AK238" s="220" t="str">
        <f>IF('Design Fee'!BN241&gt;0,"✔","-")</f>
        <v>-</v>
      </c>
      <c r="AL238" s="199">
        <v>0</v>
      </c>
      <c r="AM238" s="198" t="str">
        <f>IF('Design Fee'!BP241&gt;0,"✔","-")</f>
        <v>-</v>
      </c>
      <c r="AN238" s="198" t="str">
        <f>IF('Design Fee'!BQ241&gt;0,"✔","-")</f>
        <v>-</v>
      </c>
      <c r="AO238" s="198" t="str">
        <f>IF('Design Fee'!BR241&gt;0,"✔","-")</f>
        <v>-</v>
      </c>
      <c r="AP238" s="198" t="str">
        <f>IF('Design Fee'!BS241&gt;0,"✔","-")</f>
        <v>-</v>
      </c>
      <c r="AQ238" s="198" t="str">
        <f>IF('Design Fee'!BT241&gt;0,"✔","-")</f>
        <v>-</v>
      </c>
      <c r="AR238" s="199">
        <v>0</v>
      </c>
      <c r="AS238" s="195"/>
      <c r="AT238" s="196">
        <v>0</v>
      </c>
      <c r="AU238" s="197" t="str">
        <f>IF('Design Fee'!CQ241&gt;0,"✔","-")</f>
        <v>-</v>
      </c>
      <c r="AV238" s="197" t="str">
        <f>IF('Design Fee'!CR241&gt;0,"✔","-")</f>
        <v>-</v>
      </c>
      <c r="AW238" s="198" t="str">
        <f>IF('Design Fee'!CS241&gt;0,"✔","-")</f>
        <v>-</v>
      </c>
      <c r="AX238" s="198" t="str">
        <f>IF('Design Fee'!CT241&gt;0,"✔","-")</f>
        <v>-</v>
      </c>
      <c r="AY238" s="198" t="str">
        <f>IF('Design Fee'!CU241&gt;0,"✔","-")</f>
        <v>-</v>
      </c>
      <c r="AZ238" s="198" t="str">
        <f>IF('Design Fee'!CV241&gt;0,"✔","-")</f>
        <v>-</v>
      </c>
      <c r="BA238" s="198" t="str">
        <f>IF('Design Fee'!CW241&gt;0,"✔","-")</f>
        <v>-</v>
      </c>
      <c r="BB238" s="220" t="str">
        <f>IF('Design Fee'!CX241&gt;0,"✔","-")</f>
        <v>-</v>
      </c>
      <c r="BC238" s="199">
        <v>0</v>
      </c>
      <c r="BD238" s="198" t="str">
        <f>IF('Design Fee'!CZ241&gt;0,"✔","-")</f>
        <v>-</v>
      </c>
      <c r="BE238" s="198" t="str">
        <f>IF('Design Fee'!DA241&gt;0,"✔","-")</f>
        <v>-</v>
      </c>
      <c r="BF238" s="198" t="str">
        <f>IF('Design Fee'!DB241&gt;0,"✔","-")</f>
        <v>-</v>
      </c>
      <c r="BG238" s="198" t="str">
        <f>IF('Design Fee'!DC241&gt;0,"✔","-")</f>
        <v>-</v>
      </c>
      <c r="BH238" s="198" t="str">
        <f>IF('Design Fee'!DD241&gt;0,"✔","-")</f>
        <v>-</v>
      </c>
      <c r="BI238" s="199">
        <v>0</v>
      </c>
      <c r="BJ238" s="195"/>
      <c r="BK238" s="196">
        <v>0</v>
      </c>
      <c r="BL238" s="197" t="str">
        <f>IF('Design Fee'!EA241&gt;0,"✔","-")</f>
        <v>-</v>
      </c>
      <c r="BM238" s="197" t="str">
        <f>IF('Design Fee'!EB241&gt;0,"✔","-")</f>
        <v>-</v>
      </c>
      <c r="BN238" s="198" t="str">
        <f>IF('Design Fee'!EC241&gt;0,"✔","-")</f>
        <v>-</v>
      </c>
      <c r="BO238" s="198" t="str">
        <f>IF('Design Fee'!ED241&gt;0,"✔","-")</f>
        <v>-</v>
      </c>
      <c r="BP238" s="198" t="str">
        <f>IF('Design Fee'!EE241&gt;0,"✔","-")</f>
        <v>-</v>
      </c>
      <c r="BQ238" s="198" t="str">
        <f>IF('Design Fee'!EF241&gt;0,"✔","-")</f>
        <v>-</v>
      </c>
      <c r="BR238" s="198" t="str">
        <f>IF('Design Fee'!EG241&gt;0,"✔","-")</f>
        <v>-</v>
      </c>
      <c r="BS238" s="220" t="str">
        <f>IF('Design Fee'!EH241&gt;0,"✔","-")</f>
        <v>-</v>
      </c>
      <c r="BT238" s="137"/>
      <c r="BU238" s="198" t="str">
        <f>IF('Design Fee'!EJ241&gt;0,"✔","-")</f>
        <v>-</v>
      </c>
      <c r="BV238" s="198" t="str">
        <f>IF('Design Fee'!EK241&gt;0,"✔","-")</f>
        <v>-</v>
      </c>
      <c r="BW238" s="198" t="str">
        <f>IF('Design Fee'!EL241&gt;0,"✔","-")</f>
        <v>-</v>
      </c>
      <c r="BX238" s="198" t="str">
        <f>IF('Design Fee'!EM241&gt;0,"✔","-")</f>
        <v>-</v>
      </c>
      <c r="BY238" s="198" t="str">
        <f>IF('Design Fee'!EN241&gt;0,"✔","-")</f>
        <v>-</v>
      </c>
      <c r="BZ238" s="137"/>
    </row>
    <row r="239" spans="1:78" ht="12.75" hidden="1" outlineLevel="2">
      <c r="A239" s="137"/>
      <c r="B239" s="217" t="s">
        <v>97</v>
      </c>
      <c r="C239" s="218">
        <v>2</v>
      </c>
      <c r="D239" s="219" t="s">
        <v>54</v>
      </c>
      <c r="E239" s="137"/>
      <c r="F239" s="197"/>
      <c r="G239" s="198"/>
      <c r="H239" s="198"/>
      <c r="I239" s="198"/>
      <c r="J239" s="221">
        <v>0</v>
      </c>
      <c r="K239" s="195"/>
      <c r="L239" s="196">
        <v>0</v>
      </c>
      <c r="M239" s="197" t="str">
        <f>IF('Design Fee'!W242&gt;0,"✔","-")</f>
        <v>-</v>
      </c>
      <c r="N239" s="197" t="str">
        <f>IF('Design Fee'!X242&gt;0,"✔","-")</f>
        <v>-</v>
      </c>
      <c r="O239" s="198" t="str">
        <f>IF('Design Fee'!Y242&gt;0,"✔","-")</f>
        <v>-</v>
      </c>
      <c r="P239" s="198" t="str">
        <f>IF('Design Fee'!Z242&gt;0,"✔","-")</f>
        <v>-</v>
      </c>
      <c r="Q239" s="198" t="str">
        <f>IF('Design Fee'!AA242&gt;0,"✔","-")</f>
        <v>-</v>
      </c>
      <c r="R239" s="198" t="str">
        <f>IF('Design Fee'!AB242&gt;0,"✔","-")</f>
        <v>-</v>
      </c>
      <c r="S239" s="198" t="str">
        <f>IF('Design Fee'!AC242&gt;0,"✔","-")</f>
        <v>-</v>
      </c>
      <c r="T239" s="220" t="str">
        <f>IF('Design Fee'!AD242&gt;0,"✔","-")</f>
        <v>-</v>
      </c>
      <c r="U239" s="221">
        <v>0</v>
      </c>
      <c r="V239" s="198" t="str">
        <f>IF('Design Fee'!AF242&gt;0,"✔","-")</f>
        <v>-</v>
      </c>
      <c r="W239" s="198" t="str">
        <f>IF('Design Fee'!AG242&gt;0,"✔","-")</f>
        <v>-</v>
      </c>
      <c r="X239" s="198" t="str">
        <f>IF('Design Fee'!AH242&gt;0,"✔","-")</f>
        <v>-</v>
      </c>
      <c r="Y239" s="198" t="str">
        <f>IF('Design Fee'!AI242&gt;0,"✔","-")</f>
        <v>-</v>
      </c>
      <c r="Z239" s="198" t="str">
        <f>IF('Design Fee'!AJ242&gt;0,"✔","-")</f>
        <v>-</v>
      </c>
      <c r="AA239" s="221">
        <v>0</v>
      </c>
      <c r="AB239" s="195"/>
      <c r="AC239" s="196">
        <v>0</v>
      </c>
      <c r="AD239" s="197" t="str">
        <f>IF('Design Fee'!BG242&gt;0,"✔","-")</f>
        <v>-</v>
      </c>
      <c r="AE239" s="197" t="str">
        <f>IF('Design Fee'!BH242&gt;0,"✔","-")</f>
        <v>-</v>
      </c>
      <c r="AF239" s="198" t="str">
        <f>IF('Design Fee'!BI242&gt;0,"✔","-")</f>
        <v>-</v>
      </c>
      <c r="AG239" s="198" t="str">
        <f>IF('Design Fee'!BJ242&gt;0,"✔","-")</f>
        <v>-</v>
      </c>
      <c r="AH239" s="198" t="str">
        <f>IF('Design Fee'!BK242&gt;0,"✔","-")</f>
        <v>-</v>
      </c>
      <c r="AI239" s="198" t="str">
        <f>IF('Design Fee'!BL242&gt;0,"✔","-")</f>
        <v>-</v>
      </c>
      <c r="AJ239" s="198" t="str">
        <f>IF('Design Fee'!BM242&gt;0,"✔","-")</f>
        <v>-</v>
      </c>
      <c r="AK239" s="220" t="str">
        <f>IF('Design Fee'!BN242&gt;0,"✔","-")</f>
        <v>-</v>
      </c>
      <c r="AL239" s="199">
        <v>0</v>
      </c>
      <c r="AM239" s="198" t="str">
        <f>IF('Design Fee'!BP242&gt;0,"✔","-")</f>
        <v>-</v>
      </c>
      <c r="AN239" s="198" t="str">
        <f>IF('Design Fee'!BQ242&gt;0,"✔","-")</f>
        <v>-</v>
      </c>
      <c r="AO239" s="198" t="str">
        <f>IF('Design Fee'!BR242&gt;0,"✔","-")</f>
        <v>-</v>
      </c>
      <c r="AP239" s="198" t="str">
        <f>IF('Design Fee'!BS242&gt;0,"✔","-")</f>
        <v>-</v>
      </c>
      <c r="AQ239" s="198" t="str">
        <f>IF('Design Fee'!BT242&gt;0,"✔","-")</f>
        <v>-</v>
      </c>
      <c r="AR239" s="199">
        <v>0</v>
      </c>
      <c r="AS239" s="195"/>
      <c r="AT239" s="196">
        <v>0</v>
      </c>
      <c r="AU239" s="197" t="str">
        <f>IF('Design Fee'!CQ242&gt;0,"✔","-")</f>
        <v>-</v>
      </c>
      <c r="AV239" s="197" t="str">
        <f>IF('Design Fee'!CR242&gt;0,"✔","-")</f>
        <v>-</v>
      </c>
      <c r="AW239" s="198" t="str">
        <f>IF('Design Fee'!CS242&gt;0,"✔","-")</f>
        <v>-</v>
      </c>
      <c r="AX239" s="198" t="str">
        <f>IF('Design Fee'!CT242&gt;0,"✔","-")</f>
        <v>-</v>
      </c>
      <c r="AY239" s="198" t="str">
        <f>IF('Design Fee'!CU242&gt;0,"✔","-")</f>
        <v>-</v>
      </c>
      <c r="AZ239" s="198" t="str">
        <f>IF('Design Fee'!CV242&gt;0,"✔","-")</f>
        <v>-</v>
      </c>
      <c r="BA239" s="198" t="str">
        <f>IF('Design Fee'!CW242&gt;0,"✔","-")</f>
        <v>-</v>
      </c>
      <c r="BB239" s="220" t="str">
        <f>IF('Design Fee'!CX242&gt;0,"✔","-")</f>
        <v>-</v>
      </c>
      <c r="BC239" s="199">
        <v>0</v>
      </c>
      <c r="BD239" s="198" t="str">
        <f>IF('Design Fee'!CZ242&gt;0,"✔","-")</f>
        <v>-</v>
      </c>
      <c r="BE239" s="198" t="str">
        <f>IF('Design Fee'!DA242&gt;0,"✔","-")</f>
        <v>-</v>
      </c>
      <c r="BF239" s="198" t="str">
        <f>IF('Design Fee'!DB242&gt;0,"✔","-")</f>
        <v>-</v>
      </c>
      <c r="BG239" s="198" t="str">
        <f>IF('Design Fee'!DC242&gt;0,"✔","-")</f>
        <v>-</v>
      </c>
      <c r="BH239" s="198" t="str">
        <f>IF('Design Fee'!DD242&gt;0,"✔","-")</f>
        <v>-</v>
      </c>
      <c r="BI239" s="199">
        <v>0</v>
      </c>
      <c r="BJ239" s="195"/>
      <c r="BK239" s="196">
        <v>0</v>
      </c>
      <c r="BL239" s="197" t="str">
        <f>IF('Design Fee'!EA242&gt;0,"✔","-")</f>
        <v>-</v>
      </c>
      <c r="BM239" s="197" t="str">
        <f>IF('Design Fee'!EB242&gt;0,"✔","-")</f>
        <v>-</v>
      </c>
      <c r="BN239" s="198" t="str">
        <f>IF('Design Fee'!EC242&gt;0,"✔","-")</f>
        <v>-</v>
      </c>
      <c r="BO239" s="198" t="str">
        <f>IF('Design Fee'!ED242&gt;0,"✔","-")</f>
        <v>-</v>
      </c>
      <c r="BP239" s="198" t="str">
        <f>IF('Design Fee'!EE242&gt;0,"✔","-")</f>
        <v>-</v>
      </c>
      <c r="BQ239" s="198" t="str">
        <f>IF('Design Fee'!EF242&gt;0,"✔","-")</f>
        <v>-</v>
      </c>
      <c r="BR239" s="198" t="str">
        <f>IF('Design Fee'!EG242&gt;0,"✔","-")</f>
        <v>-</v>
      </c>
      <c r="BS239" s="220" t="str">
        <f>IF('Design Fee'!EH242&gt;0,"✔","-")</f>
        <v>-</v>
      </c>
      <c r="BT239" s="137"/>
      <c r="BU239" s="198" t="str">
        <f>IF('Design Fee'!EJ242&gt;0,"✔","-")</f>
        <v>-</v>
      </c>
      <c r="BV239" s="198" t="str">
        <f>IF('Design Fee'!EK242&gt;0,"✔","-")</f>
        <v>-</v>
      </c>
      <c r="BW239" s="198" t="str">
        <f>IF('Design Fee'!EL242&gt;0,"✔","-")</f>
        <v>-</v>
      </c>
      <c r="BX239" s="198" t="str">
        <f>IF('Design Fee'!EM242&gt;0,"✔","-")</f>
        <v>-</v>
      </c>
      <c r="BY239" s="198" t="str">
        <f>IF('Design Fee'!EN242&gt;0,"✔","-")</f>
        <v>-</v>
      </c>
      <c r="BZ239" s="137"/>
    </row>
    <row r="240" spans="1:78" ht="12.75" hidden="1" outlineLevel="2">
      <c r="B240" s="217" t="s">
        <v>98</v>
      </c>
      <c r="C240" s="218">
        <v>3</v>
      </c>
      <c r="D240" s="219" t="s">
        <v>56</v>
      </c>
      <c r="E240" s="137"/>
      <c r="F240" s="197"/>
      <c r="G240" s="198"/>
      <c r="H240" s="198"/>
      <c r="I240" s="198"/>
      <c r="J240" s="221">
        <v>0</v>
      </c>
      <c r="K240" s="195"/>
      <c r="L240" s="196">
        <v>0</v>
      </c>
      <c r="M240" s="197" t="str">
        <f>IF('Design Fee'!W243&gt;0,"✔","-")</f>
        <v>-</v>
      </c>
      <c r="N240" s="197" t="str">
        <f>IF('Design Fee'!X243&gt;0,"✔","-")</f>
        <v>-</v>
      </c>
      <c r="O240" s="198" t="str">
        <f>IF('Design Fee'!Y243&gt;0,"✔","-")</f>
        <v>-</v>
      </c>
      <c r="P240" s="198" t="str">
        <f>IF('Design Fee'!Z243&gt;0,"✔","-")</f>
        <v>-</v>
      </c>
      <c r="Q240" s="198" t="str">
        <f>IF('Design Fee'!AA243&gt;0,"✔","-")</f>
        <v>-</v>
      </c>
      <c r="R240" s="198" t="str">
        <f>IF('Design Fee'!AB243&gt;0,"✔","-")</f>
        <v>-</v>
      </c>
      <c r="S240" s="198" t="str">
        <f>IF('Design Fee'!AC243&gt;0,"✔","-")</f>
        <v>-</v>
      </c>
      <c r="T240" s="220" t="str">
        <f>IF('Design Fee'!AD243&gt;0,"✔","-")</f>
        <v>-</v>
      </c>
      <c r="U240" s="221">
        <v>0</v>
      </c>
      <c r="V240" s="198" t="str">
        <f>IF('Design Fee'!AF243&gt;0,"✔","-")</f>
        <v>-</v>
      </c>
      <c r="W240" s="198" t="str">
        <f>IF('Design Fee'!AG243&gt;0,"✔","-")</f>
        <v>-</v>
      </c>
      <c r="X240" s="198" t="str">
        <f>IF('Design Fee'!AH243&gt;0,"✔","-")</f>
        <v>-</v>
      </c>
      <c r="Y240" s="198" t="str">
        <f>IF('Design Fee'!AI243&gt;0,"✔","-")</f>
        <v>-</v>
      </c>
      <c r="Z240" s="198" t="str">
        <f>IF('Design Fee'!AJ243&gt;0,"✔","-")</f>
        <v>-</v>
      </c>
      <c r="AA240" s="221">
        <v>0</v>
      </c>
      <c r="AB240" s="195"/>
      <c r="AC240" s="196">
        <v>0</v>
      </c>
      <c r="AD240" s="197" t="str">
        <f>IF('Design Fee'!BG243&gt;0,"✔","-")</f>
        <v>-</v>
      </c>
      <c r="AE240" s="197" t="str">
        <f>IF('Design Fee'!BH243&gt;0,"✔","-")</f>
        <v>-</v>
      </c>
      <c r="AF240" s="198" t="str">
        <f>IF('Design Fee'!BI243&gt;0,"✔","-")</f>
        <v>-</v>
      </c>
      <c r="AG240" s="198" t="str">
        <f>IF('Design Fee'!BJ243&gt;0,"✔","-")</f>
        <v>-</v>
      </c>
      <c r="AH240" s="198" t="str">
        <f>IF('Design Fee'!BK243&gt;0,"✔","-")</f>
        <v>-</v>
      </c>
      <c r="AI240" s="198" t="str">
        <f>IF('Design Fee'!BL243&gt;0,"✔","-")</f>
        <v>-</v>
      </c>
      <c r="AJ240" s="198" t="str">
        <f>IF('Design Fee'!BM243&gt;0,"✔","-")</f>
        <v>-</v>
      </c>
      <c r="AK240" s="220" t="str">
        <f>IF('Design Fee'!BN243&gt;0,"✔","-")</f>
        <v>-</v>
      </c>
      <c r="AL240" s="199">
        <v>0</v>
      </c>
      <c r="AM240" s="198" t="str">
        <f>IF('Design Fee'!BP243&gt;0,"✔","-")</f>
        <v>-</v>
      </c>
      <c r="AN240" s="198" t="str">
        <f>IF('Design Fee'!BQ243&gt;0,"✔","-")</f>
        <v>-</v>
      </c>
      <c r="AO240" s="198" t="str">
        <f>IF('Design Fee'!BR243&gt;0,"✔","-")</f>
        <v>-</v>
      </c>
      <c r="AP240" s="198" t="str">
        <f>IF('Design Fee'!BS243&gt;0,"✔","-")</f>
        <v>-</v>
      </c>
      <c r="AQ240" s="198" t="str">
        <f>IF('Design Fee'!BT243&gt;0,"✔","-")</f>
        <v>-</v>
      </c>
      <c r="AR240" s="199">
        <v>0</v>
      </c>
      <c r="AS240" s="195"/>
      <c r="AT240" s="196">
        <v>0</v>
      </c>
      <c r="AU240" s="197" t="str">
        <f>IF('Design Fee'!CQ243&gt;0,"✔","-")</f>
        <v>-</v>
      </c>
      <c r="AV240" s="197" t="str">
        <f>IF('Design Fee'!CR243&gt;0,"✔","-")</f>
        <v>-</v>
      </c>
      <c r="AW240" s="198" t="str">
        <f>IF('Design Fee'!CS243&gt;0,"✔","-")</f>
        <v>-</v>
      </c>
      <c r="AX240" s="198" t="str">
        <f>IF('Design Fee'!CT243&gt;0,"✔","-")</f>
        <v>-</v>
      </c>
      <c r="AY240" s="198" t="str">
        <f>IF('Design Fee'!CU243&gt;0,"✔","-")</f>
        <v>-</v>
      </c>
      <c r="AZ240" s="198" t="str">
        <f>IF('Design Fee'!CV243&gt;0,"✔","-")</f>
        <v>-</v>
      </c>
      <c r="BA240" s="198" t="str">
        <f>IF('Design Fee'!CW243&gt;0,"✔","-")</f>
        <v>-</v>
      </c>
      <c r="BB240" s="220" t="str">
        <f>IF('Design Fee'!CX243&gt;0,"✔","-")</f>
        <v>-</v>
      </c>
      <c r="BC240" s="199">
        <v>0</v>
      </c>
      <c r="BD240" s="198" t="str">
        <f>IF('Design Fee'!CZ243&gt;0,"✔","-")</f>
        <v>-</v>
      </c>
      <c r="BE240" s="198" t="str">
        <f>IF('Design Fee'!DA243&gt;0,"✔","-")</f>
        <v>-</v>
      </c>
      <c r="BF240" s="198" t="str">
        <f>IF('Design Fee'!DB243&gt;0,"✔","-")</f>
        <v>-</v>
      </c>
      <c r="BG240" s="198" t="str">
        <f>IF('Design Fee'!DC243&gt;0,"✔","-")</f>
        <v>-</v>
      </c>
      <c r="BH240" s="198" t="str">
        <f>IF('Design Fee'!DD243&gt;0,"✔","-")</f>
        <v>-</v>
      </c>
      <c r="BI240" s="199">
        <v>0</v>
      </c>
      <c r="BJ240" s="195"/>
      <c r="BK240" s="196">
        <v>0</v>
      </c>
      <c r="BL240" s="197" t="str">
        <f>IF('Design Fee'!EA243&gt;0,"✔","-")</f>
        <v>-</v>
      </c>
      <c r="BM240" s="197" t="str">
        <f>IF('Design Fee'!EB243&gt;0,"✔","-")</f>
        <v>-</v>
      </c>
      <c r="BN240" s="198" t="str">
        <f>IF('Design Fee'!EC243&gt;0,"✔","-")</f>
        <v>-</v>
      </c>
      <c r="BO240" s="198" t="str">
        <f>IF('Design Fee'!ED243&gt;0,"✔","-")</f>
        <v>-</v>
      </c>
      <c r="BP240" s="198" t="str">
        <f>IF('Design Fee'!EE243&gt;0,"✔","-")</f>
        <v>-</v>
      </c>
      <c r="BQ240" s="198" t="str">
        <f>IF('Design Fee'!EF243&gt;0,"✔","-")</f>
        <v>-</v>
      </c>
      <c r="BR240" s="198" t="str">
        <f>IF('Design Fee'!EG243&gt;0,"✔","-")</f>
        <v>-</v>
      </c>
      <c r="BS240" s="220" t="str">
        <f>IF('Design Fee'!EH243&gt;0,"✔","-")</f>
        <v>-</v>
      </c>
      <c r="BT240" s="137"/>
      <c r="BU240" s="198" t="str">
        <f>IF('Design Fee'!EJ243&gt;0,"✔","-")</f>
        <v>-</v>
      </c>
      <c r="BV240" s="198" t="str">
        <f>IF('Design Fee'!EK243&gt;0,"✔","-")</f>
        <v>-</v>
      </c>
      <c r="BW240" s="198" t="str">
        <f>IF('Design Fee'!EL243&gt;0,"✔","-")</f>
        <v>-</v>
      </c>
      <c r="BX240" s="198" t="str">
        <f>IF('Design Fee'!EM243&gt;0,"✔","-")</f>
        <v>-</v>
      </c>
      <c r="BY240" s="198" t="str">
        <f>IF('Design Fee'!EN243&gt;0,"✔","-")</f>
        <v>-</v>
      </c>
      <c r="BZ240" s="137"/>
    </row>
    <row r="241" spans="2:78" ht="12.75" hidden="1" outlineLevel="2">
      <c r="B241" s="217" t="s">
        <v>99</v>
      </c>
      <c r="C241" s="218">
        <v>4</v>
      </c>
      <c r="D241" s="219" t="s">
        <v>58</v>
      </c>
      <c r="E241" s="137"/>
      <c r="F241" s="197"/>
      <c r="G241" s="198"/>
      <c r="H241" s="198"/>
      <c r="I241" s="198"/>
      <c r="J241" s="221"/>
      <c r="K241" s="195"/>
      <c r="L241" s="196">
        <v>0</v>
      </c>
      <c r="M241" s="197" t="str">
        <f>IF('Design Fee'!W244&gt;0,"✔","-")</f>
        <v>-</v>
      </c>
      <c r="N241" s="197" t="str">
        <f>IF('Design Fee'!X244&gt;0,"✔","-")</f>
        <v>-</v>
      </c>
      <c r="O241" s="198" t="str">
        <f>IF('Design Fee'!Y244&gt;0,"✔","-")</f>
        <v>-</v>
      </c>
      <c r="P241" s="198" t="str">
        <f>IF('Design Fee'!Z244&gt;0,"✔","-")</f>
        <v>-</v>
      </c>
      <c r="Q241" s="198" t="str">
        <f>IF('Design Fee'!AA244&gt;0,"✔","-")</f>
        <v>-</v>
      </c>
      <c r="R241" s="198" t="str">
        <f>IF('Design Fee'!AB244&gt;0,"✔","-")</f>
        <v>-</v>
      </c>
      <c r="S241" s="198" t="str">
        <f>IF('Design Fee'!AC244&gt;0,"✔","-")</f>
        <v>-</v>
      </c>
      <c r="T241" s="220" t="str">
        <f>IF('Design Fee'!AD244&gt;0,"✔","-")</f>
        <v>-</v>
      </c>
      <c r="U241" s="221"/>
      <c r="V241" s="198" t="str">
        <f>IF('Design Fee'!AF244&gt;0,"✔","-")</f>
        <v>-</v>
      </c>
      <c r="W241" s="198" t="str">
        <f>IF('Design Fee'!AG244&gt;0,"✔","-")</f>
        <v>-</v>
      </c>
      <c r="X241" s="198" t="str">
        <f>IF('Design Fee'!AH244&gt;0,"✔","-")</f>
        <v>-</v>
      </c>
      <c r="Y241" s="198" t="str">
        <f>IF('Design Fee'!AI244&gt;0,"✔","-")</f>
        <v>-</v>
      </c>
      <c r="Z241" s="198" t="str">
        <f>IF('Design Fee'!AJ244&gt;0,"✔","-")</f>
        <v>-</v>
      </c>
      <c r="AA241" s="221"/>
      <c r="AB241" s="195"/>
      <c r="AC241" s="196"/>
      <c r="AD241" s="197" t="str">
        <f>IF('Design Fee'!BG244&gt;0,"✔","-")</f>
        <v>-</v>
      </c>
      <c r="AE241" s="197" t="str">
        <f>IF('Design Fee'!BH244&gt;0,"✔","-")</f>
        <v>-</v>
      </c>
      <c r="AF241" s="198" t="str">
        <f>IF('Design Fee'!BI244&gt;0,"✔","-")</f>
        <v>-</v>
      </c>
      <c r="AG241" s="198" t="str">
        <f>IF('Design Fee'!BJ244&gt;0,"✔","-")</f>
        <v>-</v>
      </c>
      <c r="AH241" s="198" t="str">
        <f>IF('Design Fee'!BK244&gt;0,"✔","-")</f>
        <v>-</v>
      </c>
      <c r="AI241" s="198" t="str">
        <f>IF('Design Fee'!BL244&gt;0,"✔","-")</f>
        <v>-</v>
      </c>
      <c r="AJ241" s="198" t="str">
        <f>IF('Design Fee'!BM244&gt;0,"✔","-")</f>
        <v>-</v>
      </c>
      <c r="AK241" s="220" t="str">
        <f>IF('Design Fee'!BN244&gt;0,"✔","-")</f>
        <v>-</v>
      </c>
      <c r="AL241" s="199"/>
      <c r="AM241" s="198" t="str">
        <f>IF('Design Fee'!BP244&gt;0,"✔","-")</f>
        <v>-</v>
      </c>
      <c r="AN241" s="198" t="str">
        <f>IF('Design Fee'!BQ244&gt;0,"✔","-")</f>
        <v>-</v>
      </c>
      <c r="AO241" s="198" t="str">
        <f>IF('Design Fee'!BR244&gt;0,"✔","-")</f>
        <v>-</v>
      </c>
      <c r="AP241" s="198" t="str">
        <f>IF('Design Fee'!BS244&gt;0,"✔","-")</f>
        <v>-</v>
      </c>
      <c r="AQ241" s="198" t="str">
        <f>IF('Design Fee'!BT244&gt;0,"✔","-")</f>
        <v>-</v>
      </c>
      <c r="AR241" s="199"/>
      <c r="AS241" s="195"/>
      <c r="AT241" s="196"/>
      <c r="AU241" s="197" t="str">
        <f>IF('Design Fee'!CQ244&gt;0,"✔","-")</f>
        <v>-</v>
      </c>
      <c r="AV241" s="197" t="str">
        <f>IF('Design Fee'!CR244&gt;0,"✔","-")</f>
        <v>-</v>
      </c>
      <c r="AW241" s="198" t="str">
        <f>IF('Design Fee'!CS244&gt;0,"✔","-")</f>
        <v>-</v>
      </c>
      <c r="AX241" s="198" t="str">
        <f>IF('Design Fee'!CT244&gt;0,"✔","-")</f>
        <v>-</v>
      </c>
      <c r="AY241" s="198" t="str">
        <f>IF('Design Fee'!CU244&gt;0,"✔","-")</f>
        <v>-</v>
      </c>
      <c r="AZ241" s="198" t="str">
        <f>IF('Design Fee'!CV244&gt;0,"✔","-")</f>
        <v>-</v>
      </c>
      <c r="BA241" s="198" t="str">
        <f>IF('Design Fee'!CW244&gt;0,"✔","-")</f>
        <v>-</v>
      </c>
      <c r="BB241" s="220" t="str">
        <f>IF('Design Fee'!CX244&gt;0,"✔","-")</f>
        <v>-</v>
      </c>
      <c r="BC241" s="199"/>
      <c r="BD241" s="198" t="str">
        <f>IF('Design Fee'!CZ244&gt;0,"✔","-")</f>
        <v>-</v>
      </c>
      <c r="BE241" s="198" t="str">
        <f>IF('Design Fee'!DA244&gt;0,"✔","-")</f>
        <v>-</v>
      </c>
      <c r="BF241" s="198" t="str">
        <f>IF('Design Fee'!DB244&gt;0,"✔","-")</f>
        <v>-</v>
      </c>
      <c r="BG241" s="198" t="str">
        <f>IF('Design Fee'!DC244&gt;0,"✔","-")</f>
        <v>-</v>
      </c>
      <c r="BH241" s="198" t="str">
        <f>IF('Design Fee'!DD244&gt;0,"✔","-")</f>
        <v>-</v>
      </c>
      <c r="BI241" s="199"/>
      <c r="BJ241" s="195"/>
      <c r="BK241" s="196"/>
      <c r="BL241" s="197" t="str">
        <f>IF('Design Fee'!EA244&gt;0,"✔","-")</f>
        <v>-</v>
      </c>
      <c r="BM241" s="197" t="str">
        <f>IF('Design Fee'!EB244&gt;0,"✔","-")</f>
        <v>-</v>
      </c>
      <c r="BN241" s="198" t="str">
        <f>IF('Design Fee'!EC244&gt;0,"✔","-")</f>
        <v>-</v>
      </c>
      <c r="BO241" s="198" t="str">
        <f>IF('Design Fee'!ED244&gt;0,"✔","-")</f>
        <v>-</v>
      </c>
      <c r="BP241" s="198" t="str">
        <f>IF('Design Fee'!EE244&gt;0,"✔","-")</f>
        <v>-</v>
      </c>
      <c r="BQ241" s="198" t="str">
        <f>IF('Design Fee'!EF244&gt;0,"✔","-")</f>
        <v>-</v>
      </c>
      <c r="BR241" s="198" t="str">
        <f>IF('Design Fee'!EG244&gt;0,"✔","-")</f>
        <v>-</v>
      </c>
      <c r="BS241" s="220" t="str">
        <f>IF('Design Fee'!EH244&gt;0,"✔","-")</f>
        <v>-</v>
      </c>
      <c r="BT241" s="137"/>
      <c r="BU241" s="198" t="str">
        <f>IF('Design Fee'!EJ244&gt;0,"✔","-")</f>
        <v>-</v>
      </c>
      <c r="BV241" s="198" t="str">
        <f>IF('Design Fee'!EK244&gt;0,"✔","-")</f>
        <v>-</v>
      </c>
      <c r="BW241" s="198" t="str">
        <f>IF('Design Fee'!EL244&gt;0,"✔","-")</f>
        <v>-</v>
      </c>
      <c r="BX241" s="198" t="str">
        <f>IF('Design Fee'!EM244&gt;0,"✔","-")</f>
        <v>-</v>
      </c>
      <c r="BY241" s="198" t="str">
        <f>IF('Design Fee'!EN244&gt;0,"✔","-")</f>
        <v>-</v>
      </c>
      <c r="BZ241" s="137"/>
    </row>
    <row r="242" spans="2:78" ht="12.75" hidden="1" outlineLevel="2">
      <c r="B242" s="217" t="s">
        <v>100</v>
      </c>
      <c r="C242" s="218">
        <v>5</v>
      </c>
      <c r="D242" s="224" t="s">
        <v>60</v>
      </c>
      <c r="E242" s="137"/>
      <c r="F242" s="197"/>
      <c r="G242" s="198"/>
      <c r="H242" s="198"/>
      <c r="I242" s="198"/>
      <c r="J242" s="184"/>
      <c r="K242" s="195"/>
      <c r="L242" s="196">
        <v>0</v>
      </c>
      <c r="M242" s="197" t="str">
        <f>IF('Design Fee'!W245&gt;0,"✔","-")</f>
        <v>-</v>
      </c>
      <c r="N242" s="197" t="str">
        <f>IF('Design Fee'!X245&gt;0,"✔","-")</f>
        <v>-</v>
      </c>
      <c r="O242" s="198" t="str">
        <f>IF('Design Fee'!Y245&gt;0,"✔","-")</f>
        <v>-</v>
      </c>
      <c r="P242" s="198" t="str">
        <f>IF('Design Fee'!Z245&gt;0,"✔","-")</f>
        <v>-</v>
      </c>
      <c r="Q242" s="198" t="str">
        <f>IF('Design Fee'!AA245&gt;0,"✔","-")</f>
        <v>-</v>
      </c>
      <c r="R242" s="198" t="str">
        <f>IF('Design Fee'!AB245&gt;0,"✔","-")</f>
        <v>-</v>
      </c>
      <c r="S242" s="198" t="str">
        <f>IF('Design Fee'!AC245&gt;0,"✔","-")</f>
        <v>-</v>
      </c>
      <c r="T242" s="220" t="str">
        <f>IF('Design Fee'!AD245&gt;0,"✔","-")</f>
        <v>-</v>
      </c>
      <c r="U242" s="184"/>
      <c r="V242" s="198" t="str">
        <f>IF('Design Fee'!AF245&gt;0,"✔","-")</f>
        <v>-</v>
      </c>
      <c r="W242" s="198" t="str">
        <f>IF('Design Fee'!AG245&gt;0,"✔","-")</f>
        <v>-</v>
      </c>
      <c r="X242" s="198" t="str">
        <f>IF('Design Fee'!AH245&gt;0,"✔","-")</f>
        <v>-</v>
      </c>
      <c r="Y242" s="198" t="str">
        <f>IF('Design Fee'!AI245&gt;0,"✔","-")</f>
        <v>-</v>
      </c>
      <c r="Z242" s="198" t="str">
        <f>IF('Design Fee'!AJ245&gt;0,"✔","-")</f>
        <v>-</v>
      </c>
      <c r="AA242" s="184"/>
      <c r="AB242" s="195"/>
      <c r="AC242" s="196"/>
      <c r="AD242" s="197" t="str">
        <f>IF('Design Fee'!BG245&gt;0,"✔","-")</f>
        <v>-</v>
      </c>
      <c r="AE242" s="197" t="str">
        <f>IF('Design Fee'!BH245&gt;0,"✔","-")</f>
        <v>-</v>
      </c>
      <c r="AF242" s="198" t="str">
        <f>IF('Design Fee'!BI245&gt;0,"✔","-")</f>
        <v>-</v>
      </c>
      <c r="AG242" s="198" t="str">
        <f>IF('Design Fee'!BJ245&gt;0,"✔","-")</f>
        <v>-</v>
      </c>
      <c r="AH242" s="198" t="str">
        <f>IF('Design Fee'!BK245&gt;0,"✔","-")</f>
        <v>-</v>
      </c>
      <c r="AI242" s="198" t="str">
        <f>IF('Design Fee'!BL245&gt;0,"✔","-")</f>
        <v>-</v>
      </c>
      <c r="AJ242" s="198" t="str">
        <f>IF('Design Fee'!BM245&gt;0,"✔","-")</f>
        <v>-</v>
      </c>
      <c r="AK242" s="220" t="str">
        <f>IF('Design Fee'!BN245&gt;0,"✔","-")</f>
        <v>-</v>
      </c>
      <c r="AL242" s="199"/>
      <c r="AM242" s="198" t="str">
        <f>IF('Design Fee'!BP245&gt;0,"✔","-")</f>
        <v>-</v>
      </c>
      <c r="AN242" s="198" t="str">
        <f>IF('Design Fee'!BQ245&gt;0,"✔","-")</f>
        <v>-</v>
      </c>
      <c r="AO242" s="198" t="str">
        <f>IF('Design Fee'!BR245&gt;0,"✔","-")</f>
        <v>-</v>
      </c>
      <c r="AP242" s="198" t="str">
        <f>IF('Design Fee'!BS245&gt;0,"✔","-")</f>
        <v>-</v>
      </c>
      <c r="AQ242" s="198" t="str">
        <f>IF('Design Fee'!BT245&gt;0,"✔","-")</f>
        <v>-</v>
      </c>
      <c r="AR242" s="199"/>
      <c r="AS242" s="195"/>
      <c r="AT242" s="196"/>
      <c r="AU242" s="197" t="str">
        <f>IF('Design Fee'!CQ245&gt;0,"✔","-")</f>
        <v>-</v>
      </c>
      <c r="AV242" s="197" t="str">
        <f>IF('Design Fee'!CR245&gt;0,"✔","-")</f>
        <v>-</v>
      </c>
      <c r="AW242" s="198" t="str">
        <f>IF('Design Fee'!CS245&gt;0,"✔","-")</f>
        <v>-</v>
      </c>
      <c r="AX242" s="198" t="str">
        <f>IF('Design Fee'!CT245&gt;0,"✔","-")</f>
        <v>-</v>
      </c>
      <c r="AY242" s="198" t="str">
        <f>IF('Design Fee'!CU245&gt;0,"✔","-")</f>
        <v>-</v>
      </c>
      <c r="AZ242" s="198" t="str">
        <f>IF('Design Fee'!CV245&gt;0,"✔","-")</f>
        <v>-</v>
      </c>
      <c r="BA242" s="198" t="str">
        <f>IF('Design Fee'!CW245&gt;0,"✔","-")</f>
        <v>-</v>
      </c>
      <c r="BB242" s="220" t="str">
        <f>IF('Design Fee'!CX245&gt;0,"✔","-")</f>
        <v>-</v>
      </c>
      <c r="BC242" s="199"/>
      <c r="BD242" s="198" t="str">
        <f>IF('Design Fee'!CZ245&gt;0,"✔","-")</f>
        <v>-</v>
      </c>
      <c r="BE242" s="198" t="str">
        <f>IF('Design Fee'!DA245&gt;0,"✔","-")</f>
        <v>-</v>
      </c>
      <c r="BF242" s="198" t="str">
        <f>IF('Design Fee'!DB245&gt;0,"✔","-")</f>
        <v>-</v>
      </c>
      <c r="BG242" s="198" t="str">
        <f>IF('Design Fee'!DC245&gt;0,"✔","-")</f>
        <v>-</v>
      </c>
      <c r="BH242" s="198" t="str">
        <f>IF('Design Fee'!DD245&gt;0,"✔","-")</f>
        <v>-</v>
      </c>
      <c r="BI242" s="199"/>
      <c r="BJ242" s="195"/>
      <c r="BK242" s="196"/>
      <c r="BL242" s="197" t="str">
        <f>IF('Design Fee'!EA245&gt;0,"✔","-")</f>
        <v>-</v>
      </c>
      <c r="BM242" s="197" t="str">
        <f>IF('Design Fee'!EB245&gt;0,"✔","-")</f>
        <v>-</v>
      </c>
      <c r="BN242" s="198" t="str">
        <f>IF('Design Fee'!EC245&gt;0,"✔","-")</f>
        <v>-</v>
      </c>
      <c r="BO242" s="198" t="str">
        <f>IF('Design Fee'!ED245&gt;0,"✔","-")</f>
        <v>-</v>
      </c>
      <c r="BP242" s="198" t="str">
        <f>IF('Design Fee'!EE245&gt;0,"✔","-")</f>
        <v>-</v>
      </c>
      <c r="BQ242" s="198" t="str">
        <f>IF('Design Fee'!EF245&gt;0,"✔","-")</f>
        <v>-</v>
      </c>
      <c r="BR242" s="198" t="str">
        <f>IF('Design Fee'!EG245&gt;0,"✔","-")</f>
        <v>-</v>
      </c>
      <c r="BS242" s="220" t="str">
        <f>IF('Design Fee'!EH245&gt;0,"✔","-")</f>
        <v>-</v>
      </c>
      <c r="BT242" s="137"/>
      <c r="BU242" s="198" t="str">
        <f>IF('Design Fee'!EJ245&gt;0,"✔","-")</f>
        <v>-</v>
      </c>
      <c r="BV242" s="198" t="str">
        <f>IF('Design Fee'!EK245&gt;0,"✔","-")</f>
        <v>-</v>
      </c>
      <c r="BW242" s="198" t="str">
        <f>IF('Design Fee'!EL245&gt;0,"✔","-")</f>
        <v>-</v>
      </c>
      <c r="BX242" s="198" t="str">
        <f>IF('Design Fee'!EM245&gt;0,"✔","-")</f>
        <v>-</v>
      </c>
      <c r="BY242" s="198" t="str">
        <f>IF('Design Fee'!EN245&gt;0,"✔","-")</f>
        <v>-</v>
      </c>
      <c r="BZ242" s="137"/>
    </row>
    <row r="243" spans="2:78" s="51" customFormat="1" ht="12.75" hidden="1" outlineLevel="2">
      <c r="B243" s="217" t="s">
        <v>101</v>
      </c>
      <c r="C243" s="223">
        <v>6</v>
      </c>
      <c r="D243" s="224" t="s">
        <v>62</v>
      </c>
      <c r="E243" s="222"/>
      <c r="F243" s="227"/>
      <c r="G243" s="220"/>
      <c r="H243" s="220"/>
      <c r="I243" s="220"/>
      <c r="J243" s="229"/>
      <c r="K243" s="225"/>
      <c r="L243" s="226">
        <v>0</v>
      </c>
      <c r="M243" s="227" t="str">
        <f>IF('Design Fee'!W246&gt;0,"✔","-")</f>
        <v>-</v>
      </c>
      <c r="N243" s="227" t="str">
        <f>IF('Design Fee'!X246&gt;0,"✔","-")</f>
        <v>-</v>
      </c>
      <c r="O243" s="220" t="str">
        <f>IF('Design Fee'!Y246&gt;0,"✔","-")</f>
        <v>-</v>
      </c>
      <c r="P243" s="220" t="str">
        <f>IF('Design Fee'!Z246&gt;0,"✔","-")</f>
        <v>-</v>
      </c>
      <c r="Q243" s="220" t="str">
        <f>IF('Design Fee'!AA246&gt;0,"✔","-")</f>
        <v>-</v>
      </c>
      <c r="R243" s="220" t="str">
        <f>IF('Design Fee'!AB246&gt;0,"✔","-")</f>
        <v>-</v>
      </c>
      <c r="S243" s="220" t="str">
        <f>IF('Design Fee'!AC246&gt;0,"✔","-")</f>
        <v>-</v>
      </c>
      <c r="T243" s="220" t="str">
        <f>IF('Design Fee'!AD246&gt;0,"✔","-")</f>
        <v>-</v>
      </c>
      <c r="U243" s="229"/>
      <c r="V243" s="198" t="str">
        <f>IF('Design Fee'!AF246&gt;0,"✔","-")</f>
        <v>-</v>
      </c>
      <c r="W243" s="198" t="str">
        <f>IF('Design Fee'!AG246&gt;0,"✔","-")</f>
        <v>-</v>
      </c>
      <c r="X243" s="198" t="str">
        <f>IF('Design Fee'!AH246&gt;0,"✔","-")</f>
        <v>-</v>
      </c>
      <c r="Y243" s="198" t="str">
        <f>IF('Design Fee'!AI246&gt;0,"✔","-")</f>
        <v>-</v>
      </c>
      <c r="Z243" s="198" t="str">
        <f>IF('Design Fee'!AJ246&gt;0,"✔","-")</f>
        <v>-</v>
      </c>
      <c r="AA243" s="229"/>
      <c r="AB243" s="225"/>
      <c r="AC243" s="226"/>
      <c r="AD243" s="227" t="str">
        <f>IF('Design Fee'!BG246&gt;0,"✔","-")</f>
        <v>-</v>
      </c>
      <c r="AE243" s="227" t="str">
        <f>IF('Design Fee'!BH246&gt;0,"✔","-")</f>
        <v>-</v>
      </c>
      <c r="AF243" s="220" t="str">
        <f>IF('Design Fee'!BI246&gt;0,"✔","-")</f>
        <v>-</v>
      </c>
      <c r="AG243" s="220" t="str">
        <f>IF('Design Fee'!BJ246&gt;0,"✔","-")</f>
        <v>-</v>
      </c>
      <c r="AH243" s="220" t="str">
        <f>IF('Design Fee'!BK246&gt;0,"✔","-")</f>
        <v>-</v>
      </c>
      <c r="AI243" s="220" t="str">
        <f>IF('Design Fee'!BL246&gt;0,"✔","-")</f>
        <v>-</v>
      </c>
      <c r="AJ243" s="220" t="str">
        <f>IF('Design Fee'!BM246&gt;0,"✔","-")</f>
        <v>-</v>
      </c>
      <c r="AK243" s="220" t="str">
        <f>IF('Design Fee'!BN246&gt;0,"✔","-")</f>
        <v>-</v>
      </c>
      <c r="AL243" s="230"/>
      <c r="AM243" s="198" t="str">
        <f>IF('Design Fee'!BP246&gt;0,"✔","-")</f>
        <v>-</v>
      </c>
      <c r="AN243" s="198" t="str">
        <f>IF('Design Fee'!BQ246&gt;0,"✔","-")</f>
        <v>-</v>
      </c>
      <c r="AO243" s="198" t="str">
        <f>IF('Design Fee'!BR246&gt;0,"✔","-")</f>
        <v>-</v>
      </c>
      <c r="AP243" s="198" t="str">
        <f>IF('Design Fee'!BS246&gt;0,"✔","-")</f>
        <v>-</v>
      </c>
      <c r="AQ243" s="198" t="str">
        <f>IF('Design Fee'!BT246&gt;0,"✔","-")</f>
        <v>-</v>
      </c>
      <c r="AR243" s="230"/>
      <c r="AS243" s="225"/>
      <c r="AT243" s="226"/>
      <c r="AU243" s="227" t="str">
        <f>IF('Design Fee'!CQ246&gt;0,"✔","-")</f>
        <v>-</v>
      </c>
      <c r="AV243" s="227" t="str">
        <f>IF('Design Fee'!CR246&gt;0,"✔","-")</f>
        <v>-</v>
      </c>
      <c r="AW243" s="220" t="str">
        <f>IF('Design Fee'!CS246&gt;0,"✔","-")</f>
        <v>-</v>
      </c>
      <c r="AX243" s="220" t="str">
        <f>IF('Design Fee'!CT246&gt;0,"✔","-")</f>
        <v>-</v>
      </c>
      <c r="AY243" s="220" t="str">
        <f>IF('Design Fee'!CU246&gt;0,"✔","-")</f>
        <v>-</v>
      </c>
      <c r="AZ243" s="220" t="str">
        <f>IF('Design Fee'!CV246&gt;0,"✔","-")</f>
        <v>-</v>
      </c>
      <c r="BA243" s="220" t="str">
        <f>IF('Design Fee'!CW246&gt;0,"✔","-")</f>
        <v>-</v>
      </c>
      <c r="BB243" s="220" t="str">
        <f>IF('Design Fee'!CX246&gt;0,"✔","-")</f>
        <v>-</v>
      </c>
      <c r="BC243" s="230"/>
      <c r="BD243" s="198" t="str">
        <f>IF('Design Fee'!CZ246&gt;0,"✔","-")</f>
        <v>-</v>
      </c>
      <c r="BE243" s="198" t="str">
        <f>IF('Design Fee'!DA246&gt;0,"✔","-")</f>
        <v>-</v>
      </c>
      <c r="BF243" s="198" t="str">
        <f>IF('Design Fee'!DB246&gt;0,"✔","-")</f>
        <v>-</v>
      </c>
      <c r="BG243" s="198" t="str">
        <f>IF('Design Fee'!DC246&gt;0,"✔","-")</f>
        <v>-</v>
      </c>
      <c r="BH243" s="198" t="str">
        <f>IF('Design Fee'!DD246&gt;0,"✔","-")</f>
        <v>-</v>
      </c>
      <c r="BI243" s="230"/>
      <c r="BJ243" s="225"/>
      <c r="BK243" s="226"/>
      <c r="BL243" s="227" t="str">
        <f>IF('Design Fee'!EA246&gt;0,"✔","-")</f>
        <v>-</v>
      </c>
      <c r="BM243" s="227" t="str">
        <f>IF('Design Fee'!EB246&gt;0,"✔","-")</f>
        <v>-</v>
      </c>
      <c r="BN243" s="220" t="str">
        <f>IF('Design Fee'!EC246&gt;0,"✔","-")</f>
        <v>-</v>
      </c>
      <c r="BO243" s="220" t="str">
        <f>IF('Design Fee'!ED246&gt;0,"✔","-")</f>
        <v>-</v>
      </c>
      <c r="BP243" s="220" t="str">
        <f>IF('Design Fee'!EE246&gt;0,"✔","-")</f>
        <v>-</v>
      </c>
      <c r="BQ243" s="220" t="str">
        <f>IF('Design Fee'!EF246&gt;0,"✔","-")</f>
        <v>-</v>
      </c>
      <c r="BR243" s="220" t="str">
        <f>IF('Design Fee'!EG246&gt;0,"✔","-")</f>
        <v>-</v>
      </c>
      <c r="BS243" s="220" t="str">
        <f>IF('Design Fee'!EH246&gt;0,"✔","-")</f>
        <v>-</v>
      </c>
      <c r="BT243" s="222"/>
      <c r="BU243" s="198" t="str">
        <f>IF('Design Fee'!EJ246&gt;0,"✔","-")</f>
        <v>-</v>
      </c>
      <c r="BV243" s="198" t="str">
        <f>IF('Design Fee'!EK246&gt;0,"✔","-")</f>
        <v>-</v>
      </c>
      <c r="BW243" s="198" t="str">
        <f>IF('Design Fee'!EL246&gt;0,"✔","-")</f>
        <v>-</v>
      </c>
      <c r="BX243" s="198" t="str">
        <f>IF('Design Fee'!EM246&gt;0,"✔","-")</f>
        <v>-</v>
      </c>
      <c r="BY243" s="198" t="str">
        <f>IF('Design Fee'!EN246&gt;0,"✔","-")</f>
        <v>-</v>
      </c>
      <c r="BZ243" s="222"/>
    </row>
    <row r="244" spans="2:78" ht="12.75" hidden="1" outlineLevel="2">
      <c r="B244" s="217" t="s">
        <v>102</v>
      </c>
      <c r="C244" s="218">
        <v>7</v>
      </c>
      <c r="D244" s="219" t="s">
        <v>64</v>
      </c>
      <c r="E244" s="137"/>
      <c r="F244" s="197"/>
      <c r="G244" s="198"/>
      <c r="H244" s="198"/>
      <c r="I244" s="198"/>
      <c r="J244" s="184"/>
      <c r="K244" s="195"/>
      <c r="L244" s="196">
        <v>0</v>
      </c>
      <c r="M244" s="197" t="str">
        <f>IF('Design Fee'!W247&gt;0,"✔","-")</f>
        <v>-</v>
      </c>
      <c r="N244" s="197" t="str">
        <f>IF('Design Fee'!X247&gt;0,"✔","-")</f>
        <v>-</v>
      </c>
      <c r="O244" s="198" t="str">
        <f>IF('Design Fee'!Y247&gt;0,"✔","-")</f>
        <v>-</v>
      </c>
      <c r="P244" s="198" t="str">
        <f>IF('Design Fee'!Z247&gt;0,"✔","-")</f>
        <v>-</v>
      </c>
      <c r="Q244" s="198" t="str">
        <f>IF('Design Fee'!AA247&gt;0,"✔","-")</f>
        <v>-</v>
      </c>
      <c r="R244" s="198" t="str">
        <f>IF('Design Fee'!AB247&gt;0,"✔","-")</f>
        <v>-</v>
      </c>
      <c r="S244" s="198" t="str">
        <f>IF('Design Fee'!AC247&gt;0,"✔","-")</f>
        <v>-</v>
      </c>
      <c r="T244" s="220" t="str">
        <f>IF('Design Fee'!AD247&gt;0,"✔","-")</f>
        <v>-</v>
      </c>
      <c r="U244" s="184"/>
      <c r="V244" s="198" t="str">
        <f>IF('Design Fee'!AF247&gt;0,"✔","-")</f>
        <v>-</v>
      </c>
      <c r="W244" s="198" t="str">
        <f>IF('Design Fee'!AG247&gt;0,"✔","-")</f>
        <v>-</v>
      </c>
      <c r="X244" s="198" t="str">
        <f>IF('Design Fee'!AH247&gt;0,"✔","-")</f>
        <v>-</v>
      </c>
      <c r="Y244" s="198" t="str">
        <f>IF('Design Fee'!AI247&gt;0,"✔","-")</f>
        <v>-</v>
      </c>
      <c r="Z244" s="198" t="str">
        <f>IF('Design Fee'!AJ247&gt;0,"✔","-")</f>
        <v>-</v>
      </c>
      <c r="AA244" s="184"/>
      <c r="AB244" s="195"/>
      <c r="AC244" s="196"/>
      <c r="AD244" s="197" t="str">
        <f>IF('Design Fee'!BG247&gt;0,"✔","-")</f>
        <v>-</v>
      </c>
      <c r="AE244" s="197" t="str">
        <f>IF('Design Fee'!BH247&gt;0,"✔","-")</f>
        <v>-</v>
      </c>
      <c r="AF244" s="198" t="str">
        <f>IF('Design Fee'!BI247&gt;0,"✔","-")</f>
        <v>-</v>
      </c>
      <c r="AG244" s="198" t="str">
        <f>IF('Design Fee'!BJ247&gt;0,"✔","-")</f>
        <v>-</v>
      </c>
      <c r="AH244" s="198" t="str">
        <f>IF('Design Fee'!BK247&gt;0,"✔","-")</f>
        <v>-</v>
      </c>
      <c r="AI244" s="198" t="str">
        <f>IF('Design Fee'!BL247&gt;0,"✔","-")</f>
        <v>-</v>
      </c>
      <c r="AJ244" s="198" t="str">
        <f>IF('Design Fee'!BM247&gt;0,"✔","-")</f>
        <v>-</v>
      </c>
      <c r="AK244" s="220" t="str">
        <f>IF('Design Fee'!BN247&gt;0,"✔","-")</f>
        <v>-</v>
      </c>
      <c r="AL244" s="199"/>
      <c r="AM244" s="198" t="str">
        <f>IF('Design Fee'!BP247&gt;0,"✔","-")</f>
        <v>-</v>
      </c>
      <c r="AN244" s="198" t="str">
        <f>IF('Design Fee'!BQ247&gt;0,"✔","-")</f>
        <v>-</v>
      </c>
      <c r="AO244" s="198" t="str">
        <f>IF('Design Fee'!BR247&gt;0,"✔","-")</f>
        <v>-</v>
      </c>
      <c r="AP244" s="198" t="str">
        <f>IF('Design Fee'!BS247&gt;0,"✔","-")</f>
        <v>-</v>
      </c>
      <c r="AQ244" s="198" t="str">
        <f>IF('Design Fee'!BT247&gt;0,"✔","-")</f>
        <v>-</v>
      </c>
      <c r="AR244" s="199"/>
      <c r="AS244" s="195"/>
      <c r="AT244" s="196"/>
      <c r="AU244" s="197" t="str">
        <f>IF('Design Fee'!CQ247&gt;0,"✔","-")</f>
        <v>-</v>
      </c>
      <c r="AV244" s="197" t="str">
        <f>IF('Design Fee'!CR247&gt;0,"✔","-")</f>
        <v>-</v>
      </c>
      <c r="AW244" s="198" t="str">
        <f>IF('Design Fee'!CS247&gt;0,"✔","-")</f>
        <v>-</v>
      </c>
      <c r="AX244" s="198" t="str">
        <f>IF('Design Fee'!CT247&gt;0,"✔","-")</f>
        <v>-</v>
      </c>
      <c r="AY244" s="198" t="str">
        <f>IF('Design Fee'!CU247&gt;0,"✔","-")</f>
        <v>-</v>
      </c>
      <c r="AZ244" s="198" t="str">
        <f>IF('Design Fee'!CV247&gt;0,"✔","-")</f>
        <v>-</v>
      </c>
      <c r="BA244" s="198" t="str">
        <f>IF('Design Fee'!CW247&gt;0,"✔","-")</f>
        <v>-</v>
      </c>
      <c r="BB244" s="220" t="str">
        <f>IF('Design Fee'!CX247&gt;0,"✔","-")</f>
        <v>-</v>
      </c>
      <c r="BC244" s="199"/>
      <c r="BD244" s="198" t="str">
        <f>IF('Design Fee'!CZ247&gt;0,"✔","-")</f>
        <v>-</v>
      </c>
      <c r="BE244" s="198" t="str">
        <f>IF('Design Fee'!DA247&gt;0,"✔","-")</f>
        <v>-</v>
      </c>
      <c r="BF244" s="198" t="str">
        <f>IF('Design Fee'!DB247&gt;0,"✔","-")</f>
        <v>-</v>
      </c>
      <c r="BG244" s="198" t="str">
        <f>IF('Design Fee'!DC247&gt;0,"✔","-")</f>
        <v>-</v>
      </c>
      <c r="BH244" s="198" t="str">
        <f>IF('Design Fee'!DD247&gt;0,"✔","-")</f>
        <v>-</v>
      </c>
      <c r="BI244" s="199"/>
      <c r="BJ244" s="195"/>
      <c r="BK244" s="196"/>
      <c r="BL244" s="197" t="str">
        <f>IF('Design Fee'!EA247&gt;0,"✔","-")</f>
        <v>-</v>
      </c>
      <c r="BM244" s="197" t="str">
        <f>IF('Design Fee'!EB247&gt;0,"✔","-")</f>
        <v>-</v>
      </c>
      <c r="BN244" s="198" t="str">
        <f>IF('Design Fee'!EC247&gt;0,"✔","-")</f>
        <v>-</v>
      </c>
      <c r="BO244" s="198" t="str">
        <f>IF('Design Fee'!ED247&gt;0,"✔","-")</f>
        <v>-</v>
      </c>
      <c r="BP244" s="198" t="str">
        <f>IF('Design Fee'!EE247&gt;0,"✔","-")</f>
        <v>-</v>
      </c>
      <c r="BQ244" s="198" t="str">
        <f>IF('Design Fee'!EF247&gt;0,"✔","-")</f>
        <v>-</v>
      </c>
      <c r="BR244" s="198" t="str">
        <f>IF('Design Fee'!EG247&gt;0,"✔","-")</f>
        <v>-</v>
      </c>
      <c r="BS244" s="220" t="str">
        <f>IF('Design Fee'!EH247&gt;0,"✔","-")</f>
        <v>-</v>
      </c>
      <c r="BT244" s="137"/>
      <c r="BU244" s="198" t="str">
        <f>IF('Design Fee'!EJ247&gt;0,"✔","-")</f>
        <v>-</v>
      </c>
      <c r="BV244" s="198" t="str">
        <f>IF('Design Fee'!EK247&gt;0,"✔","-")</f>
        <v>-</v>
      </c>
      <c r="BW244" s="198" t="str">
        <f>IF('Design Fee'!EL247&gt;0,"✔","-")</f>
        <v>-</v>
      </c>
      <c r="BX244" s="198" t="str">
        <f>IF('Design Fee'!EM247&gt;0,"✔","-")</f>
        <v>-</v>
      </c>
      <c r="BY244" s="198" t="str">
        <f>IF('Design Fee'!EN247&gt;0,"✔","-")</f>
        <v>-</v>
      </c>
      <c r="BZ244" s="137"/>
    </row>
    <row r="245" spans="2:78" ht="12.75" hidden="1" outlineLevel="2">
      <c r="B245" s="217" t="s">
        <v>103</v>
      </c>
      <c r="C245" s="218">
        <v>8</v>
      </c>
      <c r="D245" s="219" t="s">
        <v>67</v>
      </c>
      <c r="E245" s="137"/>
      <c r="F245" s="197"/>
      <c r="G245" s="198"/>
      <c r="H245" s="198"/>
      <c r="I245" s="198"/>
      <c r="J245" s="184"/>
      <c r="K245" s="195"/>
      <c r="L245" s="196">
        <v>0</v>
      </c>
      <c r="M245" s="197" t="str">
        <f>IF('Design Fee'!W248&gt;0,"✔","-")</f>
        <v>-</v>
      </c>
      <c r="N245" s="197" t="str">
        <f>IF('Design Fee'!X248&gt;0,"✔","-")</f>
        <v>-</v>
      </c>
      <c r="O245" s="198" t="str">
        <f>IF('Design Fee'!Y248&gt;0,"✔","-")</f>
        <v>-</v>
      </c>
      <c r="P245" s="198" t="str">
        <f>IF('Design Fee'!Z248&gt;0,"✔","-")</f>
        <v>-</v>
      </c>
      <c r="Q245" s="198" t="str">
        <f>IF('Design Fee'!AA248&gt;0,"✔","-")</f>
        <v>-</v>
      </c>
      <c r="R245" s="198" t="str">
        <f>IF('Design Fee'!AB248&gt;0,"✔","-")</f>
        <v>-</v>
      </c>
      <c r="S245" s="198" t="str">
        <f>IF('Design Fee'!AC248&gt;0,"✔","-")</f>
        <v>-</v>
      </c>
      <c r="T245" s="220" t="str">
        <f>IF('Design Fee'!AD248&gt;0,"✔","-")</f>
        <v>-</v>
      </c>
      <c r="U245" s="184"/>
      <c r="V245" s="198" t="str">
        <f>IF('Design Fee'!AF248&gt;0,"✔","-")</f>
        <v>-</v>
      </c>
      <c r="W245" s="198" t="str">
        <f>IF('Design Fee'!AG248&gt;0,"✔","-")</f>
        <v>-</v>
      </c>
      <c r="X245" s="198" t="str">
        <f>IF('Design Fee'!AH248&gt;0,"✔","-")</f>
        <v>-</v>
      </c>
      <c r="Y245" s="198" t="str">
        <f>IF('Design Fee'!AI248&gt;0,"✔","-")</f>
        <v>-</v>
      </c>
      <c r="Z245" s="198" t="str">
        <f>IF('Design Fee'!AJ248&gt;0,"✔","-")</f>
        <v>-</v>
      </c>
      <c r="AA245" s="184"/>
      <c r="AB245" s="195"/>
      <c r="AC245" s="196"/>
      <c r="AD245" s="197" t="str">
        <f>IF('Design Fee'!BG248&gt;0,"✔","-")</f>
        <v>-</v>
      </c>
      <c r="AE245" s="197" t="str">
        <f>IF('Design Fee'!BH248&gt;0,"✔","-")</f>
        <v>-</v>
      </c>
      <c r="AF245" s="198" t="str">
        <f>IF('Design Fee'!BI248&gt;0,"✔","-")</f>
        <v>-</v>
      </c>
      <c r="AG245" s="198" t="str">
        <f>IF('Design Fee'!BJ248&gt;0,"✔","-")</f>
        <v>-</v>
      </c>
      <c r="AH245" s="198" t="str">
        <f>IF('Design Fee'!BK248&gt;0,"✔","-")</f>
        <v>-</v>
      </c>
      <c r="AI245" s="198" t="str">
        <f>IF('Design Fee'!BL248&gt;0,"✔","-")</f>
        <v>-</v>
      </c>
      <c r="AJ245" s="198" t="str">
        <f>IF('Design Fee'!BM248&gt;0,"✔","-")</f>
        <v>-</v>
      </c>
      <c r="AK245" s="220" t="str">
        <f>IF('Design Fee'!BN248&gt;0,"✔","-")</f>
        <v>-</v>
      </c>
      <c r="AL245" s="199"/>
      <c r="AM245" s="198" t="str">
        <f>IF('Design Fee'!BP248&gt;0,"✔","-")</f>
        <v>-</v>
      </c>
      <c r="AN245" s="198" t="str">
        <f>IF('Design Fee'!BQ248&gt;0,"✔","-")</f>
        <v>-</v>
      </c>
      <c r="AO245" s="198" t="str">
        <f>IF('Design Fee'!BR248&gt;0,"✔","-")</f>
        <v>-</v>
      </c>
      <c r="AP245" s="198" t="str">
        <f>IF('Design Fee'!BS248&gt;0,"✔","-")</f>
        <v>-</v>
      </c>
      <c r="AQ245" s="198" t="str">
        <f>IF('Design Fee'!BT248&gt;0,"✔","-")</f>
        <v>-</v>
      </c>
      <c r="AR245" s="199"/>
      <c r="AS245" s="195"/>
      <c r="AT245" s="196"/>
      <c r="AU245" s="197" t="str">
        <f>IF('Design Fee'!CQ248&gt;0,"✔","-")</f>
        <v>-</v>
      </c>
      <c r="AV245" s="197" t="str">
        <f>IF('Design Fee'!CR248&gt;0,"✔","-")</f>
        <v>-</v>
      </c>
      <c r="AW245" s="198" t="str">
        <f>IF('Design Fee'!CS248&gt;0,"✔","-")</f>
        <v>-</v>
      </c>
      <c r="AX245" s="198" t="str">
        <f>IF('Design Fee'!CT248&gt;0,"✔","-")</f>
        <v>-</v>
      </c>
      <c r="AY245" s="198" t="str">
        <f>IF('Design Fee'!CU248&gt;0,"✔","-")</f>
        <v>-</v>
      </c>
      <c r="AZ245" s="198" t="str">
        <f>IF('Design Fee'!CV248&gt;0,"✔","-")</f>
        <v>-</v>
      </c>
      <c r="BA245" s="198" t="str">
        <f>IF('Design Fee'!CW248&gt;0,"✔","-")</f>
        <v>-</v>
      </c>
      <c r="BB245" s="220" t="str">
        <f>IF('Design Fee'!CX248&gt;0,"✔","-")</f>
        <v>-</v>
      </c>
      <c r="BC245" s="199"/>
      <c r="BD245" s="198" t="str">
        <f>IF('Design Fee'!CZ248&gt;0,"✔","-")</f>
        <v>-</v>
      </c>
      <c r="BE245" s="198" t="str">
        <f>IF('Design Fee'!DA248&gt;0,"✔","-")</f>
        <v>-</v>
      </c>
      <c r="BF245" s="198" t="str">
        <f>IF('Design Fee'!DB248&gt;0,"✔","-")</f>
        <v>-</v>
      </c>
      <c r="BG245" s="198" t="str">
        <f>IF('Design Fee'!DC248&gt;0,"✔","-")</f>
        <v>-</v>
      </c>
      <c r="BH245" s="198" t="str">
        <f>IF('Design Fee'!DD248&gt;0,"✔","-")</f>
        <v>-</v>
      </c>
      <c r="BI245" s="199"/>
      <c r="BJ245" s="195"/>
      <c r="BK245" s="196"/>
      <c r="BL245" s="197" t="str">
        <f>IF('Design Fee'!EA248&gt;0,"✔","-")</f>
        <v>-</v>
      </c>
      <c r="BM245" s="197" t="str">
        <f>IF('Design Fee'!EB248&gt;0,"✔","-")</f>
        <v>-</v>
      </c>
      <c r="BN245" s="198" t="str">
        <f>IF('Design Fee'!EC248&gt;0,"✔","-")</f>
        <v>-</v>
      </c>
      <c r="BO245" s="198" t="str">
        <f>IF('Design Fee'!ED248&gt;0,"✔","-")</f>
        <v>-</v>
      </c>
      <c r="BP245" s="198" t="str">
        <f>IF('Design Fee'!EE248&gt;0,"✔","-")</f>
        <v>-</v>
      </c>
      <c r="BQ245" s="198" t="str">
        <f>IF('Design Fee'!EF248&gt;0,"✔","-")</f>
        <v>-</v>
      </c>
      <c r="BR245" s="198" t="str">
        <f>IF('Design Fee'!EG248&gt;0,"✔","-")</f>
        <v>-</v>
      </c>
      <c r="BS245" s="220" t="str">
        <f>IF('Design Fee'!EH248&gt;0,"✔","-")</f>
        <v>-</v>
      </c>
      <c r="BT245" s="137"/>
      <c r="BU245" s="198" t="str">
        <f>IF('Design Fee'!EJ248&gt;0,"✔","-")</f>
        <v>-</v>
      </c>
      <c r="BV245" s="198" t="str">
        <f>IF('Design Fee'!EK248&gt;0,"✔","-")</f>
        <v>-</v>
      </c>
      <c r="BW245" s="198" t="str">
        <f>IF('Design Fee'!EL248&gt;0,"✔","-")</f>
        <v>-</v>
      </c>
      <c r="BX245" s="198" t="str">
        <f>IF('Design Fee'!EM248&gt;0,"✔","-")</f>
        <v>-</v>
      </c>
      <c r="BY245" s="198" t="str">
        <f>IF('Design Fee'!EN248&gt;0,"✔","-")</f>
        <v>-</v>
      </c>
      <c r="BZ245" s="137"/>
    </row>
    <row r="246" spans="2:78" ht="12.75" hidden="1" outlineLevel="2">
      <c r="B246" s="217" t="s">
        <v>104</v>
      </c>
      <c r="C246" s="218">
        <v>9</v>
      </c>
      <c r="D246" s="219" t="s">
        <v>69</v>
      </c>
      <c r="E246" s="137"/>
      <c r="F246" s="197"/>
      <c r="G246" s="198"/>
      <c r="H246" s="198"/>
      <c r="I246" s="198"/>
      <c r="J246" s="184"/>
      <c r="K246" s="195"/>
      <c r="L246" s="196">
        <v>0</v>
      </c>
      <c r="M246" s="197" t="str">
        <f>IF('Design Fee'!W249&gt;0,"✔","-")</f>
        <v>-</v>
      </c>
      <c r="N246" s="197" t="str">
        <f>IF('Design Fee'!X249&gt;0,"✔","-")</f>
        <v>-</v>
      </c>
      <c r="O246" s="198" t="str">
        <f>IF('Design Fee'!Y249&gt;0,"✔","-")</f>
        <v>-</v>
      </c>
      <c r="P246" s="198" t="str">
        <f>IF('Design Fee'!Z249&gt;0,"✔","-")</f>
        <v>-</v>
      </c>
      <c r="Q246" s="198" t="str">
        <f>IF('Design Fee'!AA249&gt;0,"✔","-")</f>
        <v>-</v>
      </c>
      <c r="R246" s="198" t="str">
        <f>IF('Design Fee'!AB249&gt;0,"✔","-")</f>
        <v>-</v>
      </c>
      <c r="S246" s="198" t="str">
        <f>IF('Design Fee'!AC249&gt;0,"✔","-")</f>
        <v>-</v>
      </c>
      <c r="T246" s="220" t="str">
        <f>IF('Design Fee'!AD249&gt;0,"✔","-")</f>
        <v>-</v>
      </c>
      <c r="U246" s="184"/>
      <c r="V246" s="198" t="str">
        <f>IF('Design Fee'!AF249&gt;0,"✔","-")</f>
        <v>-</v>
      </c>
      <c r="W246" s="198" t="str">
        <f>IF('Design Fee'!AG249&gt;0,"✔","-")</f>
        <v>-</v>
      </c>
      <c r="X246" s="198" t="str">
        <f>IF('Design Fee'!AH249&gt;0,"✔","-")</f>
        <v>-</v>
      </c>
      <c r="Y246" s="198" t="str">
        <f>IF('Design Fee'!AI249&gt;0,"✔","-")</f>
        <v>-</v>
      </c>
      <c r="Z246" s="198" t="str">
        <f>IF('Design Fee'!AJ249&gt;0,"✔","-")</f>
        <v>-</v>
      </c>
      <c r="AA246" s="184"/>
      <c r="AB246" s="195"/>
      <c r="AC246" s="196"/>
      <c r="AD246" s="197" t="str">
        <f>IF('Design Fee'!BG249&gt;0,"✔","-")</f>
        <v>-</v>
      </c>
      <c r="AE246" s="197" t="str">
        <f>IF('Design Fee'!BH249&gt;0,"✔","-")</f>
        <v>-</v>
      </c>
      <c r="AF246" s="198" t="str">
        <f>IF('Design Fee'!BI249&gt;0,"✔","-")</f>
        <v>-</v>
      </c>
      <c r="AG246" s="198" t="str">
        <f>IF('Design Fee'!BJ249&gt;0,"✔","-")</f>
        <v>-</v>
      </c>
      <c r="AH246" s="198" t="str">
        <f>IF('Design Fee'!BK249&gt;0,"✔","-")</f>
        <v>-</v>
      </c>
      <c r="AI246" s="198" t="str">
        <f>IF('Design Fee'!BL249&gt;0,"✔","-")</f>
        <v>-</v>
      </c>
      <c r="AJ246" s="198" t="str">
        <f>IF('Design Fee'!BM249&gt;0,"✔","-")</f>
        <v>-</v>
      </c>
      <c r="AK246" s="220" t="str">
        <f>IF('Design Fee'!BN249&gt;0,"✔","-")</f>
        <v>-</v>
      </c>
      <c r="AL246" s="199"/>
      <c r="AM246" s="198" t="str">
        <f>IF('Design Fee'!BP249&gt;0,"✔","-")</f>
        <v>-</v>
      </c>
      <c r="AN246" s="198" t="str">
        <f>IF('Design Fee'!BQ249&gt;0,"✔","-")</f>
        <v>-</v>
      </c>
      <c r="AO246" s="198" t="str">
        <f>IF('Design Fee'!BR249&gt;0,"✔","-")</f>
        <v>-</v>
      </c>
      <c r="AP246" s="198" t="str">
        <f>IF('Design Fee'!BS249&gt;0,"✔","-")</f>
        <v>-</v>
      </c>
      <c r="AQ246" s="198" t="str">
        <f>IF('Design Fee'!BT249&gt;0,"✔","-")</f>
        <v>-</v>
      </c>
      <c r="AR246" s="199"/>
      <c r="AS246" s="195"/>
      <c r="AT246" s="196"/>
      <c r="AU246" s="197" t="str">
        <f>IF('Design Fee'!CQ249&gt;0,"✔","-")</f>
        <v>-</v>
      </c>
      <c r="AV246" s="197" t="str">
        <f>IF('Design Fee'!CR249&gt;0,"✔","-")</f>
        <v>-</v>
      </c>
      <c r="AW246" s="198" t="str">
        <f>IF('Design Fee'!CS249&gt;0,"✔","-")</f>
        <v>-</v>
      </c>
      <c r="AX246" s="198" t="str">
        <f>IF('Design Fee'!CT249&gt;0,"✔","-")</f>
        <v>-</v>
      </c>
      <c r="AY246" s="198" t="str">
        <f>IF('Design Fee'!CU249&gt;0,"✔","-")</f>
        <v>-</v>
      </c>
      <c r="AZ246" s="198" t="str">
        <f>IF('Design Fee'!CV249&gt;0,"✔","-")</f>
        <v>-</v>
      </c>
      <c r="BA246" s="198" t="str">
        <f>IF('Design Fee'!CW249&gt;0,"✔","-")</f>
        <v>-</v>
      </c>
      <c r="BB246" s="220" t="str">
        <f>IF('Design Fee'!CX249&gt;0,"✔","-")</f>
        <v>-</v>
      </c>
      <c r="BC246" s="199"/>
      <c r="BD246" s="198" t="str">
        <f>IF('Design Fee'!CZ249&gt;0,"✔","-")</f>
        <v>-</v>
      </c>
      <c r="BE246" s="198" t="str">
        <f>IF('Design Fee'!DA249&gt;0,"✔","-")</f>
        <v>-</v>
      </c>
      <c r="BF246" s="198" t="str">
        <f>IF('Design Fee'!DB249&gt;0,"✔","-")</f>
        <v>-</v>
      </c>
      <c r="BG246" s="198" t="str">
        <f>IF('Design Fee'!DC249&gt;0,"✔","-")</f>
        <v>-</v>
      </c>
      <c r="BH246" s="198" t="str">
        <f>IF('Design Fee'!DD249&gt;0,"✔","-")</f>
        <v>-</v>
      </c>
      <c r="BI246" s="199"/>
      <c r="BJ246" s="195"/>
      <c r="BK246" s="196"/>
      <c r="BL246" s="197" t="str">
        <f>IF('Design Fee'!EA249&gt;0,"✔","-")</f>
        <v>-</v>
      </c>
      <c r="BM246" s="197" t="str">
        <f>IF('Design Fee'!EB249&gt;0,"✔","-")</f>
        <v>-</v>
      </c>
      <c r="BN246" s="198" t="str">
        <f>IF('Design Fee'!EC249&gt;0,"✔","-")</f>
        <v>-</v>
      </c>
      <c r="BO246" s="198" t="str">
        <f>IF('Design Fee'!ED249&gt;0,"✔","-")</f>
        <v>-</v>
      </c>
      <c r="BP246" s="198" t="str">
        <f>IF('Design Fee'!EE249&gt;0,"✔","-")</f>
        <v>-</v>
      </c>
      <c r="BQ246" s="198" t="str">
        <f>IF('Design Fee'!EF249&gt;0,"✔","-")</f>
        <v>-</v>
      </c>
      <c r="BR246" s="198" t="str">
        <f>IF('Design Fee'!EG249&gt;0,"✔","-")</f>
        <v>-</v>
      </c>
      <c r="BS246" s="220" t="str">
        <f>IF('Design Fee'!EH249&gt;0,"✔","-")</f>
        <v>-</v>
      </c>
      <c r="BT246" s="137"/>
      <c r="BU246" s="198" t="str">
        <f>IF('Design Fee'!EJ249&gt;0,"✔","-")</f>
        <v>-</v>
      </c>
      <c r="BV246" s="198" t="str">
        <f>IF('Design Fee'!EK249&gt;0,"✔","-")</f>
        <v>-</v>
      </c>
      <c r="BW246" s="198" t="str">
        <f>IF('Design Fee'!EL249&gt;0,"✔","-")</f>
        <v>-</v>
      </c>
      <c r="BX246" s="198" t="str">
        <f>IF('Design Fee'!EM249&gt;0,"✔","-")</f>
        <v>-</v>
      </c>
      <c r="BY246" s="198" t="str">
        <f>IF('Design Fee'!EN249&gt;0,"✔","-")</f>
        <v>-</v>
      </c>
      <c r="BZ246" s="137"/>
    </row>
    <row r="247" spans="2:78" ht="12.75" hidden="1" outlineLevel="2">
      <c r="B247" s="217" t="s">
        <v>105</v>
      </c>
      <c r="C247" s="218">
        <v>10</v>
      </c>
      <c r="D247" s="219" t="s">
        <v>71</v>
      </c>
      <c r="E247" s="137"/>
      <c r="F247" s="197"/>
      <c r="G247" s="198"/>
      <c r="H247" s="198"/>
      <c r="I247" s="198"/>
      <c r="J247" s="184"/>
      <c r="K247" s="195"/>
      <c r="L247" s="196">
        <v>0</v>
      </c>
      <c r="M247" s="197" t="str">
        <f>IF('Design Fee'!W250&gt;0,"✔","-")</f>
        <v>-</v>
      </c>
      <c r="N247" s="197" t="str">
        <f>IF('Design Fee'!X250&gt;0,"✔","-")</f>
        <v>-</v>
      </c>
      <c r="O247" s="198" t="str">
        <f>IF('Design Fee'!Y250&gt;0,"✔","-")</f>
        <v>-</v>
      </c>
      <c r="P247" s="198" t="str">
        <f>IF('Design Fee'!Z250&gt;0,"✔","-")</f>
        <v>-</v>
      </c>
      <c r="Q247" s="198" t="str">
        <f>IF('Design Fee'!AA250&gt;0,"✔","-")</f>
        <v>-</v>
      </c>
      <c r="R247" s="198" t="str">
        <f>IF('Design Fee'!AB250&gt;0,"✔","-")</f>
        <v>-</v>
      </c>
      <c r="S247" s="198" t="str">
        <f>IF('Design Fee'!AC250&gt;0,"✔","-")</f>
        <v>-</v>
      </c>
      <c r="T247" s="220" t="str">
        <f>IF('Design Fee'!AD250&gt;0,"✔","-")</f>
        <v>-</v>
      </c>
      <c r="U247" s="184"/>
      <c r="V247" s="198" t="str">
        <f>IF('Design Fee'!AF250&gt;0,"✔","-")</f>
        <v>-</v>
      </c>
      <c r="W247" s="198" t="str">
        <f>IF('Design Fee'!AG250&gt;0,"✔","-")</f>
        <v>-</v>
      </c>
      <c r="X247" s="198" t="str">
        <f>IF('Design Fee'!AH250&gt;0,"✔","-")</f>
        <v>-</v>
      </c>
      <c r="Y247" s="198" t="str">
        <f>IF('Design Fee'!AI250&gt;0,"✔","-")</f>
        <v>-</v>
      </c>
      <c r="Z247" s="198" t="str">
        <f>IF('Design Fee'!AJ250&gt;0,"✔","-")</f>
        <v>-</v>
      </c>
      <c r="AA247" s="184"/>
      <c r="AB247" s="195"/>
      <c r="AC247" s="196"/>
      <c r="AD247" s="197" t="str">
        <f>IF('Design Fee'!BG250&gt;0,"✔","-")</f>
        <v>-</v>
      </c>
      <c r="AE247" s="197" t="str">
        <f>IF('Design Fee'!BH250&gt;0,"✔","-")</f>
        <v>-</v>
      </c>
      <c r="AF247" s="198" t="str">
        <f>IF('Design Fee'!BI250&gt;0,"✔","-")</f>
        <v>-</v>
      </c>
      <c r="AG247" s="198" t="str">
        <f>IF('Design Fee'!BJ250&gt;0,"✔","-")</f>
        <v>-</v>
      </c>
      <c r="AH247" s="198" t="str">
        <f>IF('Design Fee'!BK250&gt;0,"✔","-")</f>
        <v>-</v>
      </c>
      <c r="AI247" s="198" t="str">
        <f>IF('Design Fee'!BL250&gt;0,"✔","-")</f>
        <v>-</v>
      </c>
      <c r="AJ247" s="198" t="str">
        <f>IF('Design Fee'!BM250&gt;0,"✔","-")</f>
        <v>-</v>
      </c>
      <c r="AK247" s="220" t="str">
        <f>IF('Design Fee'!BN250&gt;0,"✔","-")</f>
        <v>-</v>
      </c>
      <c r="AL247" s="199"/>
      <c r="AM247" s="198" t="str">
        <f>IF('Design Fee'!BP250&gt;0,"✔","-")</f>
        <v>-</v>
      </c>
      <c r="AN247" s="198" t="str">
        <f>IF('Design Fee'!BQ250&gt;0,"✔","-")</f>
        <v>-</v>
      </c>
      <c r="AO247" s="198" t="str">
        <f>IF('Design Fee'!BR250&gt;0,"✔","-")</f>
        <v>-</v>
      </c>
      <c r="AP247" s="198" t="str">
        <f>IF('Design Fee'!BS250&gt;0,"✔","-")</f>
        <v>-</v>
      </c>
      <c r="AQ247" s="198" t="str">
        <f>IF('Design Fee'!BT250&gt;0,"✔","-")</f>
        <v>-</v>
      </c>
      <c r="AR247" s="199"/>
      <c r="AS247" s="195"/>
      <c r="AT247" s="196"/>
      <c r="AU247" s="197" t="str">
        <f>IF('Design Fee'!CQ250&gt;0,"✔","-")</f>
        <v>-</v>
      </c>
      <c r="AV247" s="197" t="str">
        <f>IF('Design Fee'!CR250&gt;0,"✔","-")</f>
        <v>-</v>
      </c>
      <c r="AW247" s="198" t="str">
        <f>IF('Design Fee'!CS250&gt;0,"✔","-")</f>
        <v>-</v>
      </c>
      <c r="AX247" s="198" t="str">
        <f>IF('Design Fee'!CT250&gt;0,"✔","-")</f>
        <v>-</v>
      </c>
      <c r="AY247" s="198" t="str">
        <f>IF('Design Fee'!CU250&gt;0,"✔","-")</f>
        <v>-</v>
      </c>
      <c r="AZ247" s="198" t="str">
        <f>IF('Design Fee'!CV250&gt;0,"✔","-")</f>
        <v>-</v>
      </c>
      <c r="BA247" s="198" t="str">
        <f>IF('Design Fee'!CW250&gt;0,"✔","-")</f>
        <v>-</v>
      </c>
      <c r="BB247" s="220" t="str">
        <f>IF('Design Fee'!CX250&gt;0,"✔","-")</f>
        <v>-</v>
      </c>
      <c r="BC247" s="199"/>
      <c r="BD247" s="198" t="str">
        <f>IF('Design Fee'!CZ250&gt;0,"✔","-")</f>
        <v>-</v>
      </c>
      <c r="BE247" s="198" t="str">
        <f>IF('Design Fee'!DA250&gt;0,"✔","-")</f>
        <v>-</v>
      </c>
      <c r="BF247" s="198" t="str">
        <f>IF('Design Fee'!DB250&gt;0,"✔","-")</f>
        <v>-</v>
      </c>
      <c r="BG247" s="198" t="str">
        <f>IF('Design Fee'!DC250&gt;0,"✔","-")</f>
        <v>-</v>
      </c>
      <c r="BH247" s="198" t="str">
        <f>IF('Design Fee'!DD250&gt;0,"✔","-")</f>
        <v>-</v>
      </c>
      <c r="BI247" s="199"/>
      <c r="BJ247" s="195"/>
      <c r="BK247" s="196"/>
      <c r="BL247" s="197" t="str">
        <f>IF('Design Fee'!EA250&gt;0,"✔","-")</f>
        <v>-</v>
      </c>
      <c r="BM247" s="197" t="str">
        <f>IF('Design Fee'!EB250&gt;0,"✔","-")</f>
        <v>-</v>
      </c>
      <c r="BN247" s="198" t="str">
        <f>IF('Design Fee'!EC250&gt;0,"✔","-")</f>
        <v>-</v>
      </c>
      <c r="BO247" s="198" t="str">
        <f>IF('Design Fee'!ED250&gt;0,"✔","-")</f>
        <v>-</v>
      </c>
      <c r="BP247" s="198" t="str">
        <f>IF('Design Fee'!EE250&gt;0,"✔","-")</f>
        <v>-</v>
      </c>
      <c r="BQ247" s="198" t="str">
        <f>IF('Design Fee'!EF250&gt;0,"✔","-")</f>
        <v>-</v>
      </c>
      <c r="BR247" s="198" t="str">
        <f>IF('Design Fee'!EG250&gt;0,"✔","-")</f>
        <v>-</v>
      </c>
      <c r="BS247" s="220" t="str">
        <f>IF('Design Fee'!EH250&gt;0,"✔","-")</f>
        <v>-</v>
      </c>
      <c r="BT247" s="137"/>
      <c r="BU247" s="198" t="str">
        <f>IF('Design Fee'!EJ250&gt;0,"✔","-")</f>
        <v>-</v>
      </c>
      <c r="BV247" s="198" t="str">
        <f>IF('Design Fee'!EK250&gt;0,"✔","-")</f>
        <v>-</v>
      </c>
      <c r="BW247" s="198" t="str">
        <f>IF('Design Fee'!EL250&gt;0,"✔","-")</f>
        <v>-</v>
      </c>
      <c r="BX247" s="198" t="str">
        <f>IF('Design Fee'!EM250&gt;0,"✔","-")</f>
        <v>-</v>
      </c>
      <c r="BY247" s="198" t="str">
        <f>IF('Design Fee'!EN250&gt;0,"✔","-")</f>
        <v>-</v>
      </c>
      <c r="BZ247" s="137"/>
    </row>
    <row r="248" spans="2:78" ht="3" customHeight="1"/>
  </sheetData>
  <sheetProtection formatColumns="0" formatRows="0"/>
  <mergeCells count="5">
    <mergeCell ref="C2:D2"/>
    <mergeCell ref="C7:D7"/>
    <mergeCell ref="C47:D47"/>
    <mergeCell ref="C231:D231"/>
    <mergeCell ref="C236:D236"/>
  </mergeCells>
  <phoneticPr fontId="37" type="noConversion"/>
  <conditionalFormatting sqref="V238:Z247 O233 Q233:R233 T233 V143:Z195 V219:Z223 V207:Z217 V202:Z205 V197:Z200 V131:Z141 V120:Z129 V108:Z118 V97:Z106 V85:Z95 V74:Z83 V62:Z72 V50:Z60 V225:Z236 V48:Z48 V4:Z46 M4:T46 M238:T247 M48:T48 M50:T60 M62:T72 M74:T83 M85:T95 M97:T106 M108:T118 M120:T129 M131:T141 M197:T200 M202:T205 M207:T217 M219:T223 M225:T232 M234:T236 M143:T195">
    <cfRule type="iconSet" priority="383">
      <iconSet iconSet="3Symbols2" showValue="0">
        <cfvo type="percent" val="0"/>
        <cfvo type="num" val="0"/>
        <cfvo type="num" val="1"/>
      </iconSet>
    </cfRule>
  </conditionalFormatting>
  <conditionalFormatting sqref="AF238:AK247 AF50:AK59 AF4:AK7 AF62:AK71 AF74:AK82 AF85:AK94 AF97:AK105 AF108:AK117 AF120:AK128 AF131:AK140 AF143:AK194 AF197:AK199 AF202:AK204 AF219:AK222 AF225:AK229 AF9:AK13 AF15:AK19 AF21:AK26 AF28:AK35 AF37:AK45 AF231:AK231 AF236:AK236 AF234:AK234 AF207:AK216 AM207:AQ216 AM234:AQ234 AM236:AQ236 AM231:AQ231 AM37:AQ45 AM28:AQ35 AM21:AQ26 AM15:AQ19 AM9:AQ13 AM238:AQ247 AM225:AQ229 AM219:AQ222 AM202:AQ204 AM197:AQ199 AM143:AQ194 AM131:AQ140 AM120:AQ128 AM108:AQ117 AM97:AQ105 AM85:AQ94 AM74:AQ82 AM62:AQ71 AM4:AQ7 AM50:AQ59">
    <cfRule type="iconSet" priority="382">
      <iconSet iconSet="3Symbols2" showValue="0">
        <cfvo type="percent" val="0"/>
        <cfvo type="num" val="0"/>
        <cfvo type="num" val="1"/>
      </iconSet>
    </cfRule>
  </conditionalFormatting>
  <conditionalFormatting sqref="BD238:BH247 AW50:BB59 AW4:BB7 AW62:BB71 AW74:BB82 AW85:BB94 AW97:BB105 AW108:BB117 AW120:BB128 AW131:BB140 AW143:BB194 AW197:BB199 AW202:BB204 AW219:BB222 AW225:BB229 AW9:BB13 AW15:BB19 AW21:BB26 AW28:BB35 AW37:BB45 AW231:BB231 AW234:BB234 AW236:BB236 AW207:BB216 BD207:BH216 BD236:BH236 BD234:BH234 BD231:BH231 BD37:BH45 BD28:BH35 BD21:BH26 BD15:BH19 BD9:BH13 BD225:BH229 BD219:BH222 BD202:BH204 BD197:BH199 BD143:BH194 BD131:BH140 BD120:BH128 BD108:BH117 BD97:BH105 BD85:BH94 BD74:BH82 BD62:BH71 BD4:BH7 BD50:BH59 AW238:BB247">
    <cfRule type="iconSet" priority="381">
      <iconSet iconSet="3Symbols2" showValue="0">
        <cfvo type="percent" val="0"/>
        <cfvo type="num" val="0"/>
        <cfvo type="num" val="1"/>
      </iconSet>
    </cfRule>
  </conditionalFormatting>
  <conditionalFormatting sqref="BN238:BS247 BN50:BS59 BN4:BS7 BN62:BS71 BN74:BS82 BN85:BS94 BN97:BS105 BN108:BS117 BN120:BS128 BN131:BS140 BN143:BS194 BN197:BS199 BN202:BS204 BN219:BS222 BN225:BS229 BN9:BS13 BN15:BS19 BN21:BS26 BN28:BS35 BN37:BS45 BN231:BS231 BN234:BS234 BN236:BS236 BN207:BS216 BU207:BY216 BU236:BY236 BU234:BY234 BU231:BY231 BU37:BY45 BU28:BY35 BU21:BY26 BU15:BY19 BU9:BY13 BU238:BY247 BU225:BY229 BU219:BY222 BU202:BY204 BU197:BY199 BU143:BY194 BU131:BY140 BU120:BY128 BU108:BY117 BU97:BY105 BU85:BY94 BU74:BY82 BU62:BY71 BU4:BY7 BU50:BY59">
    <cfRule type="iconSet" priority="380">
      <iconSet iconSet="3Symbols2" showValue="0">
        <cfvo type="percent" val="0"/>
        <cfvo type="num" val="0"/>
        <cfvo type="num" val="1"/>
      </iconSet>
    </cfRule>
  </conditionalFormatting>
  <conditionalFormatting sqref="K9">
    <cfRule type="iconSet" priority="377">
      <iconSet iconSet="3Symbols2" showValue="0">
        <cfvo type="percent" val="0"/>
        <cfvo type="num" val="0"/>
        <cfvo type="num" val="1"/>
      </iconSet>
    </cfRule>
  </conditionalFormatting>
  <conditionalFormatting sqref="K15">
    <cfRule type="iconSet" priority="376">
      <iconSet iconSet="3Symbols2" showValue="0">
        <cfvo type="percent" val="0"/>
        <cfvo type="num" val="0"/>
        <cfvo type="num" val="1"/>
      </iconSet>
    </cfRule>
  </conditionalFormatting>
  <conditionalFormatting sqref="K21">
    <cfRule type="iconSet" priority="375">
      <iconSet iconSet="3Symbols2" showValue="0">
        <cfvo type="percent" val="0"/>
        <cfvo type="num" val="0"/>
        <cfvo type="num" val="1"/>
      </iconSet>
    </cfRule>
  </conditionalFormatting>
  <conditionalFormatting sqref="K28">
    <cfRule type="iconSet" priority="374">
      <iconSet iconSet="3Symbols2" showValue="0">
        <cfvo type="percent" val="0"/>
        <cfvo type="num" val="0"/>
        <cfvo type="num" val="1"/>
      </iconSet>
    </cfRule>
  </conditionalFormatting>
  <conditionalFormatting sqref="K37">
    <cfRule type="iconSet" priority="373">
      <iconSet iconSet="3Symbols2" showValue="0">
        <cfvo type="percent" val="0"/>
        <cfvo type="num" val="0"/>
        <cfvo type="num" val="1"/>
      </iconSet>
    </cfRule>
  </conditionalFormatting>
  <conditionalFormatting sqref="AB9">
    <cfRule type="iconSet" priority="372">
      <iconSet iconSet="3Symbols2" showValue="0">
        <cfvo type="percent" val="0"/>
        <cfvo type="num" val="0"/>
        <cfvo type="num" val="1"/>
      </iconSet>
    </cfRule>
  </conditionalFormatting>
  <conditionalFormatting sqref="AB15">
    <cfRule type="iconSet" priority="371">
      <iconSet iconSet="3Symbols2" showValue="0">
        <cfvo type="percent" val="0"/>
        <cfvo type="num" val="0"/>
        <cfvo type="num" val="1"/>
      </iconSet>
    </cfRule>
  </conditionalFormatting>
  <conditionalFormatting sqref="AB21">
    <cfRule type="iconSet" priority="370">
      <iconSet iconSet="3Symbols2" showValue="0">
        <cfvo type="percent" val="0"/>
        <cfvo type="num" val="0"/>
        <cfvo type="num" val="1"/>
      </iconSet>
    </cfRule>
  </conditionalFormatting>
  <conditionalFormatting sqref="AB28">
    <cfRule type="iconSet" priority="369">
      <iconSet iconSet="3Symbols2" showValue="0">
        <cfvo type="percent" val="0"/>
        <cfvo type="num" val="0"/>
        <cfvo type="num" val="1"/>
      </iconSet>
    </cfRule>
  </conditionalFormatting>
  <conditionalFormatting sqref="AB37">
    <cfRule type="iconSet" priority="368">
      <iconSet iconSet="3Symbols2" showValue="0">
        <cfvo type="percent" val="0"/>
        <cfvo type="num" val="0"/>
        <cfvo type="num" val="1"/>
      </iconSet>
    </cfRule>
  </conditionalFormatting>
  <conditionalFormatting sqref="AS9">
    <cfRule type="iconSet" priority="367">
      <iconSet iconSet="3Symbols2" showValue="0">
        <cfvo type="percent" val="0"/>
        <cfvo type="num" val="0"/>
        <cfvo type="num" val="1"/>
      </iconSet>
    </cfRule>
  </conditionalFormatting>
  <conditionalFormatting sqref="AS15">
    <cfRule type="iconSet" priority="366">
      <iconSet iconSet="3Symbols2" showValue="0">
        <cfvo type="percent" val="0"/>
        <cfvo type="num" val="0"/>
        <cfvo type="num" val="1"/>
      </iconSet>
    </cfRule>
  </conditionalFormatting>
  <conditionalFormatting sqref="AS21">
    <cfRule type="iconSet" priority="365">
      <iconSet iconSet="3Symbols2" showValue="0">
        <cfvo type="percent" val="0"/>
        <cfvo type="num" val="0"/>
        <cfvo type="num" val="1"/>
      </iconSet>
    </cfRule>
  </conditionalFormatting>
  <conditionalFormatting sqref="AS28">
    <cfRule type="iconSet" priority="364">
      <iconSet iconSet="3Symbols2" showValue="0">
        <cfvo type="percent" val="0"/>
        <cfvo type="num" val="0"/>
        <cfvo type="num" val="1"/>
      </iconSet>
    </cfRule>
  </conditionalFormatting>
  <conditionalFormatting sqref="AS37">
    <cfRule type="iconSet" priority="363">
      <iconSet iconSet="3Symbols2" showValue="0">
        <cfvo type="percent" val="0"/>
        <cfvo type="num" val="0"/>
        <cfvo type="num" val="1"/>
      </iconSet>
    </cfRule>
  </conditionalFormatting>
  <conditionalFormatting sqref="BJ9">
    <cfRule type="iconSet" priority="362">
      <iconSet iconSet="3Symbols2" showValue="0">
        <cfvo type="percent" val="0"/>
        <cfvo type="num" val="0"/>
        <cfvo type="num" val="1"/>
      </iconSet>
    </cfRule>
  </conditionalFormatting>
  <conditionalFormatting sqref="BJ15">
    <cfRule type="iconSet" priority="361">
      <iconSet iconSet="3Symbols2" showValue="0">
        <cfvo type="percent" val="0"/>
        <cfvo type="num" val="0"/>
        <cfvo type="num" val="1"/>
      </iconSet>
    </cfRule>
  </conditionalFormatting>
  <conditionalFormatting sqref="BJ21">
    <cfRule type="iconSet" priority="360">
      <iconSet iconSet="3Symbols2" showValue="0">
        <cfvo type="percent" val="0"/>
        <cfvo type="num" val="0"/>
        <cfvo type="num" val="1"/>
      </iconSet>
    </cfRule>
  </conditionalFormatting>
  <conditionalFormatting sqref="BJ28">
    <cfRule type="iconSet" priority="359">
      <iconSet iconSet="3Symbols2" showValue="0">
        <cfvo type="percent" val="0"/>
        <cfvo type="num" val="0"/>
        <cfvo type="num" val="1"/>
      </iconSet>
    </cfRule>
  </conditionalFormatting>
  <conditionalFormatting sqref="BJ37">
    <cfRule type="iconSet" priority="358">
      <iconSet iconSet="3Symbols2" showValue="0">
        <cfvo type="percent" val="0"/>
        <cfvo type="num" val="0"/>
        <cfvo type="num" val="1"/>
      </iconSet>
    </cfRule>
  </conditionalFormatting>
  <conditionalFormatting sqref="AD238:AE247 AD4:AE46 AD48:AE48 AD50:AE60 AD62:AE72 AD74:AE83 AD85:AE95 AD97:AE106 AD108:AE118 AD120:AE129 AD131:AE141 AD197:AE200 AD202:AE205 AD207:AE217 AD219:AE223 AD225:AE232 AD234:AE236 AD143:AE195">
    <cfRule type="iconSet" priority="210">
      <iconSet iconSet="3Symbols2" showValue="0">
        <cfvo type="percent" val="0"/>
        <cfvo type="num" val="0"/>
        <cfvo type="num" val="1"/>
      </iconSet>
    </cfRule>
  </conditionalFormatting>
  <conditionalFormatting sqref="AU238:AV247 AU4:AV46 AU48:AV48 AU50:AV60 AU62:AV72 AU74:AV83 AU85:AV95 AU97:AV106 AU108:AV118 AU120:AV129 AU131:AV141 AU197:AV200 AU202:AV205 AU207:AV217 AU219:AV223 AU225:AV232 AU234:AV236 AU143:AV195">
    <cfRule type="iconSet" priority="140">
      <iconSet iconSet="3Symbols2" showValue="0">
        <cfvo type="percent" val="0"/>
        <cfvo type="num" val="0"/>
        <cfvo type="num" val="1"/>
      </iconSet>
    </cfRule>
  </conditionalFormatting>
  <conditionalFormatting sqref="BL238:BM247 BL4:BM46 BL48:BM48 BL50:BM60 BL62:BM72 BL74:BM83 BL85:BM95 BL97:BM106 BL108:BM118 BL120:BM129 BL131:BM141 BL197:BM200 BL202:BM205 BL207:BM217 BL219:BM223 BL225:BM232 BL234:BM236 BL143:BM195">
    <cfRule type="iconSet" priority="70">
      <iconSet iconSet="3Symbols2" showValue="0">
        <cfvo type="percent" val="0"/>
        <cfvo type="num" val="0"/>
        <cfvo type="num" val="1"/>
      </iconSet>
    </cfRule>
  </conditionalFormatting>
  <conditionalFormatting sqref="M50:N59 M62:N71 M74:N82 M85:N94 M97:N105 M108:N117 M120:N128 M131:N140 M197:N199 M202:N204 M207:N216 M219:N222 M225:N229 M234:N234 M143:N150 M152:N154 M156:N158 M160:N162 M164:N166 M168:N170 M172:N174 M176:N178 M180:N182 M184:N186 M188:N190 M192:N194 AD50:AE59 AD62:AE71 AD74:AE82 AD85:AE94 AD97:AE105 AD108:AE117 AD120:AE128 AD131:AE140 AD197:AE199 AD202:AE204 AD207:AE216 AD219:AE222 AD225:AE229 AD234:AE234 AD143:AE150 AD152:AE154 AD156:AE158 AD160:AE162 AD164:AE166 AD168:AE170 AD172:AE174 AD176:AE178 AD180:AE182 AD184:AE186 AD188:AE190 AD192:AE194 AU50:AV59 AU62:AV71 AU74:AV82 AU85:AV94 AU97:AV105 AU108:AV117 AU120:AV128 AU131:AV140 AU197:AV199 AU202:AV204 AU207:AV216 AU219:AV222 AU225:AV229 AU234:AV234 AU143:AV150 AU152:AV154 AU156:AV158 AU160:AV162 AU164:AV166 AU168:AV170 AU172:AV174 AU176:AV178 AU180:AV182 AU184:AV186 AU188:AV190 AU192:AV194 BL50:BM59 BL62:BM71 BL74:BM82 BL85:BM94 BL97:BM105 BL108:BM117 BL120:BM128 BL131:BM140 BL197:BM199 BL202:BM204 BL207:BM216 BL219:BM222 BL225:BM229 BL234:BM234 BL143:BM150 BL152:BM154 BL156:BM158 BL160:BM162 BL164:BM166 BL168:BM170 BL172:BM174 BL176:BM178 BL180:BM182 BL184:BM186 BL188:BM190 BL192:BM194">
    <cfRule type="expression" dxfId="118" priority="104519">
      <formula>AND(O50="-",V50="-",M50="-")</formula>
    </cfRule>
  </conditionalFormatting>
  <conditionalFormatting sqref="M50:N59 M62:N71 M74:N82 M85:N94 M97:N105 M108:N117 M120:N128 M131:N140 M197:N199 M202:N204 M207:N216 M219:N222 M225:N229 M234:N234 M143:N150 M152:N154 M156:N158 M160:N162 M164:N166 M168:N170 M172:N174 M176:N178 M180:N182 M184:N186 M188:N190 M192:N194 AD50:AE59 AD62:AE71 AD74:AE82 AD85:AE94 AD97:AE105 AD108:AE117 AD120:AE128 AD131:AE140 AD197:AE199 AD202:AE204 AD207:AE216 AD219:AE222 AD225:AE229 AD234:AE234 AD143:AE150 AD152:AE154 AD156:AE158 AD160:AE162 AD164:AE166 AD168:AE170 AD172:AE174 AD176:AE178 AD180:AE182 AD184:AE186 AD188:AE190 AD192:AE194 AU50:AV59 AU62:AV71 AU74:AV82 AU85:AV94 AU97:AV105 AU108:AV117 AU120:AV128 AU131:AV140 AU197:AV199 AU202:AV204 AU207:AV216 AU219:AV222 AU225:AV229 AU234:AV234 AU143:AV150 AU152:AV154 AU156:AV158 AU160:AV162 AU164:AV166 AU168:AV170 AU172:AV174 AU176:AV178 AU180:AV182 AU184:AV186 AU188:AV190 AU192:AV194 BL50:BM59 BL62:BM71 BL74:BM82 BL85:BM94 BL97:BM105 BL108:BM117 BL120:BM128 BL131:BM140 BL197:BM199 BL202:BM204 BL207:BM216 BL219:BM222 BL225:BM229 BL234:BM234 BL143:BM150 BL152:BM154 BL156:BM158 BL160:BM162 BL164:BM166 BL168:BM170 BL172:BM174 BL176:BM178 BL180:BM182 BL184:BM186 BL188:BM190 BL192:BM194">
    <cfRule type="expression" dxfId="117" priority="104545">
      <formula>OR(O50=2,V50=2)</formula>
    </cfRule>
  </conditionalFormatting>
  <conditionalFormatting sqref="AT46 AT48 AT60 AT72 AT83 AT95 AT106 AT118 AT129 AT141 AT195 AT200 AT205 AT217 AT223 AT230 AT232 AT235 BK235 BK232 BK230 BK223 BK217 BK205 BK200 BK195 BK141 BK129 BK118 BK106 BK95 BK83 BK72 BK60 BK48 BK46 AT14 AT20 AT27 AT36 BK36 BK27 BK20 BK14 BN8:BS8 BN14:BS14 BN20:BS20 BN27:BS27 BN36:BS36 BN46:BS46 BN48:BS48 BN60:BS60 BN72:BS72 BN83:BS83 BN95:BS95 BN106:BS106 BN118:BS118 BN129:BS129 BN141:BS141 BN195:BS195 BN200:BS200 BN205:BS205 BN217:BS217 BN223:BS223 BN230:BS230 BN232:BS232 BN235:BS235 AF235:AR235 AF232:AR232 AF230:AR230 AF223:AR223 AF217:AR217 AF205:AR205 AF200:AR200 AF195:AR195 AF141:AR141 AF129:AR129 AF118:AR118 AF106:AR106 AF95:AR95 AF83:AR83 AF72:AR72 AF60:AR60 AF48:AR48 AF46:AR46 AF36:AR36 AF27:AR27 AF20:AR20 AF14:AR14 AF8:AT8 AW36:BI36 AW27:BI27 AW20:BI20 AW14:BI14 AW235:BI235 AW232:BI232 AW230:BI230 AW223:BI223 AW217:BI217 AW205:BI205 AW200:BI200 AW195:BI195 AW141:BI141 AW129:BI129 AW118:BI118 AW106:BI106 AW95:BI95 AW83:BI83 AW72:BI72 AW60:BI60 AW48:BI48 AW46:BI46 AW8:BK8 BU235:BY235 BU232:BY232 BU230:BY230 BU223:BY223 BU217:BY217 BU205:BY205 BU200:BY200 BU195:BY195 BU141:BY141 BU129:BY129 BU118:BY118 BU106:BY106 BU95:BY95 BU83:BY83 BU72:BY72 BU60:BY60 BU48:BY48 BU46:BY46 BU36:BY36 BU27:BY27 BU20:BY20 BU14:BY14 BU8:BY8">
    <cfRule type="iconSet" priority="109527">
      <iconSet iconSet="3Symbols2" showValue="0">
        <cfvo type="percent" val="0"/>
        <cfvo type="num" val="0"/>
        <cfvo type="num" val="1"/>
      </iconSet>
    </cfRule>
  </conditionalFormatting>
  <printOptions horizontalCentered="1"/>
  <pageMargins left="0.23622047244094491" right="0.23622047244094491" top="0.27559055118110237" bottom="0.19685039370078741" header="0" footer="0"/>
  <pageSetup paperSize="8" fitToHeight="0"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FI274"/>
  <sheetViews>
    <sheetView zoomScaleNormal="70" zoomScaleSheetLayoutView="115" workbookViewId="0">
      <pane xSplit="5" ySplit="8" topLeftCell="Q141" activePane="bottomRight" state="frozen"/>
      <selection pane="bottomRight" activeCell="B148" sqref="B148"/>
      <selection pane="bottomLeft" activeCell="A9" sqref="A9"/>
      <selection pane="topRight" activeCell="F1" sqref="F1"/>
    </sheetView>
  </sheetViews>
  <sheetFormatPr defaultColWidth="11.42578125" defaultRowHeight="11.85" customHeight="1" outlineLevelRow="3" outlineLevelCol="2"/>
  <cols>
    <col min="1" max="1" width="0.5703125" style="48" customWidth="1"/>
    <col min="2" max="2" width="8.28515625" style="53" bestFit="1" customWidth="1"/>
    <col min="3" max="3" width="6.7109375" style="53" bestFit="1" customWidth="1"/>
    <col min="4" max="4" width="67.28515625" style="50" bestFit="1" customWidth="1"/>
    <col min="5" max="5" width="0.42578125" style="48" customWidth="1"/>
    <col min="6" max="6" width="10.5703125" style="56" customWidth="1"/>
    <col min="7" max="7" width="12.5703125" style="56" customWidth="1" outlineLevel="1"/>
    <col min="8" max="8" width="12.42578125" style="57" customWidth="1" outlineLevel="1"/>
    <col min="9" max="9" width="12.5703125" style="57" customWidth="1" outlineLevel="1"/>
    <col min="10" max="10" width="9" style="57" customWidth="1" outlineLevel="2"/>
    <col min="11" max="11" width="9.5703125" style="57" customWidth="1" outlineLevel="2"/>
    <col min="12" max="12" width="8.28515625" style="57" customWidth="1" outlineLevel="2"/>
    <col min="13" max="13" width="7.5703125" style="57" customWidth="1" outlineLevel="2"/>
    <col min="14" max="14" width="0.5703125" style="57" customWidth="1" outlineLevel="1"/>
    <col min="15" max="15" width="15.28515625" style="57" customWidth="1" outlineLevel="1"/>
    <col min="16" max="16" width="9.28515625" style="57" customWidth="1" outlineLevel="2"/>
    <col min="17" max="17" width="9.140625" style="57" customWidth="1" outlineLevel="2"/>
    <col min="18" max="19" width="7.5703125" style="57" customWidth="1" outlineLevel="2"/>
    <col min="20" max="20" width="0.42578125" style="48" customWidth="1"/>
    <col min="21" max="21" width="7.5703125" style="54" customWidth="1"/>
    <col min="22" max="22" width="0.5703125" style="55" customWidth="1"/>
    <col min="23" max="23" width="10.5703125" style="56" customWidth="1"/>
    <col min="24" max="24" width="11" style="56" customWidth="1" outlineLevel="1"/>
    <col min="25" max="25" width="12.42578125" style="57" customWidth="1" outlineLevel="1" collapsed="1"/>
    <col min="26" max="26" width="12.5703125" style="57" customWidth="1" outlineLevel="1"/>
    <col min="27" max="27" width="9" style="57" customWidth="1" outlineLevel="2"/>
    <col min="28" max="28" width="9.5703125" style="57" customWidth="1" outlineLevel="2"/>
    <col min="29" max="29" width="8.28515625" style="57" customWidth="1" outlineLevel="2"/>
    <col min="30" max="30" width="6.42578125" style="57" customWidth="1" outlineLevel="2"/>
    <col min="31" max="31" width="0.5703125" style="57" customWidth="1" outlineLevel="1"/>
    <col min="32" max="32" width="13.85546875" style="57" customWidth="1" outlineLevel="1"/>
    <col min="33" max="33" width="9.28515625" style="57" customWidth="1" outlineLevel="2"/>
    <col min="34" max="34" width="8.42578125" style="57" customWidth="1" outlineLevel="2"/>
    <col min="35" max="36" width="7.5703125" style="57" customWidth="1" outlineLevel="2"/>
    <col min="37" max="37" width="0.5703125" style="57" customWidth="1" outlineLevel="1"/>
    <col min="38" max="40" width="13" style="57" customWidth="1" outlineLevel="1"/>
    <col min="41" max="41" width="0.5703125" style="393" customWidth="1" outlineLevel="1"/>
    <col min="42" max="42" width="12.7109375" style="58" customWidth="1" outlineLevel="1"/>
    <col min="43" max="43" width="11.85546875" style="58" customWidth="1" outlineLevel="1"/>
    <col min="44" max="44" width="13.5703125" style="58" customWidth="1" outlineLevel="1"/>
    <col min="45" max="45" width="10.28515625" style="58" customWidth="1" outlineLevel="1"/>
    <col min="46" max="46" width="11" style="58" customWidth="1" outlineLevel="1"/>
    <col min="47" max="47" width="10.5703125" style="58" customWidth="1" outlineLevel="1"/>
    <col min="48" max="48" width="6.42578125" style="58" customWidth="1" outlineLevel="1"/>
    <col min="49" max="49" width="0.5703125" style="58" customWidth="1" outlineLevel="1"/>
    <col min="50" max="50" width="11" style="58" customWidth="1" outlineLevel="1"/>
    <col min="51" max="51" width="10.140625" style="58" customWidth="1" outlineLevel="1"/>
    <col min="52" max="52" width="9.7109375" style="58" customWidth="1" outlineLevel="1"/>
    <col min="53" max="53" width="8.7109375" style="58" customWidth="1" outlineLevel="1"/>
    <col min="54" max="54" width="8.5703125" style="58" customWidth="1" outlineLevel="1"/>
    <col min="55" max="56" width="0.5703125" style="58" customWidth="1"/>
    <col min="57" max="57" width="8.28515625" style="59" customWidth="1"/>
    <col min="58" max="58" width="0.5703125" style="55" customWidth="1"/>
    <col min="59" max="59" width="9.5703125" style="60" customWidth="1"/>
    <col min="60" max="60" width="14.5703125" style="60" customWidth="1" outlineLevel="1"/>
    <col min="61" max="61" width="12.42578125" style="57" customWidth="1" outlineLevel="1" collapsed="1"/>
    <col min="62" max="62" width="14.5703125" style="57" customWidth="1" outlineLevel="1"/>
    <col min="63" max="63" width="9.5703125" style="57" customWidth="1" outlineLevel="1"/>
    <col min="64" max="64" width="8" style="57" customWidth="1" outlineLevel="1"/>
    <col min="65" max="65" width="6.7109375" style="57" customWidth="1" outlineLevel="1"/>
    <col min="66" max="66" width="12.5703125" style="57" customWidth="1" outlineLevel="1"/>
    <col min="67" max="67" width="0.5703125" style="57" customWidth="1" outlineLevel="1"/>
    <col min="68" max="68" width="14.5703125" style="57" customWidth="1" outlineLevel="1"/>
    <col min="69" max="69" width="15.42578125" style="57" customWidth="1" outlineLevel="1"/>
    <col min="70" max="70" width="14.5703125" style="57" customWidth="1" outlineLevel="1"/>
    <col min="71" max="71" width="15.42578125" style="57" customWidth="1" outlineLevel="1"/>
    <col min="72" max="72" width="7.42578125" style="57" customWidth="1" outlineLevel="1"/>
    <col min="73" max="73" width="0.5703125" style="57" customWidth="1" outlineLevel="1"/>
    <col min="74" max="76" width="11.28515625" style="57" customWidth="1" outlineLevel="1"/>
    <col min="77" max="77" width="0.5703125" style="393" customWidth="1" outlineLevel="1"/>
    <col min="78" max="78" width="12.5703125" style="58" customWidth="1" outlineLevel="1"/>
    <col min="79" max="79" width="16.42578125" style="58" customWidth="1" outlineLevel="1"/>
    <col min="80" max="80" width="14" style="394" customWidth="1" outlineLevel="1"/>
    <col min="81" max="82" width="9.5703125" style="57" customWidth="1" outlineLevel="1"/>
    <col min="83" max="84" width="7.28515625" style="57" customWidth="1" outlineLevel="1"/>
    <col min="85" max="85" width="0.5703125" style="57" customWidth="1" outlineLevel="1"/>
    <col min="86" max="86" width="14" style="394" customWidth="1" outlineLevel="1"/>
    <col min="87" max="87" width="8.7109375" style="57" customWidth="1" outlineLevel="1"/>
    <col min="88" max="88" width="7.42578125" style="57" customWidth="1" outlineLevel="1"/>
    <col min="89" max="90" width="6.42578125" style="57" customWidth="1" outlineLevel="1"/>
    <col min="91" max="92" width="0.5703125" style="55" customWidth="1"/>
    <col min="93" max="93" width="7.5703125" style="59" customWidth="1"/>
    <col min="94" max="94" width="0.5703125" style="55" customWidth="1"/>
    <col min="95" max="95" width="9.5703125" style="60" customWidth="1"/>
    <col min="96" max="96" width="11" style="60" customWidth="1" outlineLevel="1"/>
    <col min="97" max="97" width="12.42578125" style="57" customWidth="1" outlineLevel="1" collapsed="1"/>
    <col min="98" max="98" width="12" style="57" customWidth="1" outlineLevel="1"/>
    <col min="99" max="99" width="8.7109375" style="57" customWidth="1" outlineLevel="1"/>
    <col min="100" max="102" width="8.5703125" style="57" customWidth="1" outlineLevel="1"/>
    <col min="103" max="103" width="0.5703125" style="57" customWidth="1" outlineLevel="1"/>
    <col min="104" max="104" width="18.42578125" style="57" customWidth="1" outlineLevel="1"/>
    <col min="105" max="105" width="13.42578125" style="57" customWidth="1" outlineLevel="1"/>
    <col min="106" max="106" width="13.5703125" style="57" customWidth="1" outlineLevel="1"/>
    <col min="107" max="107" width="13.42578125" style="57" customWidth="1" outlineLevel="1"/>
    <col min="108" max="108" width="12.42578125" style="57" customWidth="1" outlineLevel="1"/>
    <col min="109" max="109" width="0.5703125" style="57" customWidth="1" outlineLevel="1"/>
    <col min="110" max="112" width="11.5703125" style="57" customWidth="1" outlineLevel="1"/>
    <col min="113" max="113" width="0.5703125" style="393" customWidth="1" outlineLevel="1"/>
    <col min="114" max="114" width="12.7109375" style="58" customWidth="1" outlineLevel="1"/>
    <col min="115" max="116" width="11.5703125" style="58" customWidth="1" outlineLevel="1"/>
    <col min="117" max="117" width="10.28515625" style="57" customWidth="1" outlineLevel="1"/>
    <col min="118" max="118" width="10" style="57" customWidth="1" outlineLevel="1"/>
    <col min="119" max="119" width="9.5703125" style="57" customWidth="1" outlineLevel="1"/>
    <col min="120" max="120" width="8.5703125" style="57" customWidth="1" outlineLevel="1"/>
    <col min="121" max="121" width="0.5703125" style="57" customWidth="1" outlineLevel="1"/>
    <col min="122" max="122" width="16.5703125" style="58" customWidth="1" outlineLevel="1"/>
    <col min="123" max="124" width="9" style="57" customWidth="1" outlineLevel="1"/>
    <col min="125" max="125" width="9.5703125" style="57" customWidth="1" outlineLevel="1"/>
    <col min="126" max="126" width="8.5703125" style="57" customWidth="1" outlineLevel="1"/>
    <col min="127" max="128" width="0.5703125" style="55" customWidth="1"/>
    <col min="129" max="129" width="7.5703125" style="54" customWidth="1"/>
    <col min="130" max="130" width="0.5703125" style="55" customWidth="1"/>
    <col min="131" max="131" width="9.5703125" style="60" customWidth="1"/>
    <col min="132" max="132" width="11.7109375" style="60" customWidth="1" outlineLevel="1"/>
    <col min="133" max="133" width="12.42578125" style="57" customWidth="1" outlineLevel="1" collapsed="1"/>
    <col min="134" max="134" width="17.42578125" style="57" customWidth="1" outlineLevel="1"/>
    <col min="135" max="138" width="10.42578125" style="57" customWidth="1" outlineLevel="1"/>
    <col min="139" max="139" width="0.5703125" style="57" customWidth="1" outlineLevel="1"/>
    <col min="140" max="140" width="17.42578125" style="57" customWidth="1" outlineLevel="1"/>
    <col min="141" max="144" width="10.42578125" style="57" customWidth="1" outlineLevel="1"/>
    <col min="145" max="145" width="0.5703125" style="57" customWidth="1" outlineLevel="1"/>
    <col min="146" max="148" width="11.42578125" style="57" customWidth="1" outlineLevel="1"/>
    <col min="149" max="149" width="0.42578125" style="393" customWidth="1" outlineLevel="1"/>
    <col min="150" max="150" width="10.5703125" style="58" customWidth="1" outlineLevel="1"/>
    <col min="151" max="151" width="16" style="58" customWidth="1" outlineLevel="1"/>
    <col min="152" max="152" width="15.5703125" style="58" customWidth="1" outlineLevel="1"/>
    <col min="153" max="155" width="9.5703125" style="57" customWidth="1" outlineLevel="1"/>
    <col min="156" max="156" width="7.28515625" style="57" customWidth="1" outlineLevel="1"/>
    <col min="157" max="157" width="0.5703125" style="57" customWidth="1" outlineLevel="1"/>
    <col min="158" max="158" width="9.5703125" style="58" customWidth="1" outlineLevel="1"/>
    <col min="159" max="159" width="9.28515625" style="57" customWidth="1" outlineLevel="1"/>
    <col min="160" max="160" width="8.7109375" style="57" customWidth="1" outlineLevel="1"/>
    <col min="161" max="161" width="7.28515625" style="57" customWidth="1" outlineLevel="1"/>
    <col min="162" max="162" width="8.7109375" style="57" customWidth="1" outlineLevel="1"/>
    <col min="163" max="163" width="0.5703125" style="48" customWidth="1"/>
    <col min="164" max="164" width="11.42578125" style="48" customWidth="1"/>
    <col min="165" max="165" width="15.140625" style="48" bestFit="1" customWidth="1"/>
    <col min="166" max="16384" width="11.42578125" style="48"/>
  </cols>
  <sheetData>
    <row r="1" spans="1:163" ht="3" customHeight="1"/>
    <row r="2" spans="1:163" s="49" customFormat="1" ht="37.5" customHeight="1">
      <c r="A2" s="395"/>
      <c r="B2" s="396"/>
      <c r="C2" s="691" t="s">
        <v>225</v>
      </c>
      <c r="D2" s="691"/>
      <c r="E2" s="397"/>
      <c r="F2" s="398" t="s">
        <v>226</v>
      </c>
      <c r="G2" s="399" t="s">
        <v>227</v>
      </c>
      <c r="H2" s="400" t="s">
        <v>4</v>
      </c>
      <c r="I2" s="401" t="s">
        <v>228</v>
      </c>
      <c r="J2" s="402" t="s">
        <v>7</v>
      </c>
      <c r="K2" s="402" t="s">
        <v>8</v>
      </c>
      <c r="L2" s="402" t="s">
        <v>9</v>
      </c>
      <c r="M2" s="402" t="s">
        <v>10</v>
      </c>
      <c r="N2" s="403"/>
      <c r="O2" s="404" t="s">
        <v>229</v>
      </c>
      <c r="P2" s="402" t="s">
        <v>7</v>
      </c>
      <c r="Q2" s="402" t="s">
        <v>8</v>
      </c>
      <c r="R2" s="402" t="s">
        <v>9</v>
      </c>
      <c r="S2" s="402" t="s">
        <v>10</v>
      </c>
      <c r="T2" s="397"/>
      <c r="U2" s="687" t="s">
        <v>5</v>
      </c>
      <c r="V2" s="405"/>
      <c r="W2" s="406" t="s">
        <v>230</v>
      </c>
      <c r="X2" s="407" t="s">
        <v>231</v>
      </c>
      <c r="Y2" s="407" t="s">
        <v>232</v>
      </c>
      <c r="Z2" s="401" t="s">
        <v>228</v>
      </c>
      <c r="AA2" s="402" t="s">
        <v>7</v>
      </c>
      <c r="AB2" s="402" t="s">
        <v>8</v>
      </c>
      <c r="AC2" s="402" t="s">
        <v>9</v>
      </c>
      <c r="AD2" s="402" t="s">
        <v>10</v>
      </c>
      <c r="AE2" s="403"/>
      <c r="AF2" s="404" t="s">
        <v>229</v>
      </c>
      <c r="AG2" s="402" t="s">
        <v>7</v>
      </c>
      <c r="AH2" s="402" t="s">
        <v>8</v>
      </c>
      <c r="AI2" s="402" t="s">
        <v>9</v>
      </c>
      <c r="AJ2" s="402" t="s">
        <v>10</v>
      </c>
      <c r="AK2" s="408"/>
      <c r="AL2" s="409" t="s">
        <v>233</v>
      </c>
      <c r="AM2" s="410" t="s">
        <v>234</v>
      </c>
      <c r="AN2" s="409" t="s">
        <v>235</v>
      </c>
      <c r="AO2" s="408"/>
      <c r="AP2" s="410" t="s">
        <v>226</v>
      </c>
      <c r="AQ2" s="409" t="s">
        <v>236</v>
      </c>
      <c r="AR2" s="410" t="s">
        <v>237</v>
      </c>
      <c r="AS2" s="406" t="s">
        <v>7</v>
      </c>
      <c r="AT2" s="406" t="s">
        <v>8</v>
      </c>
      <c r="AU2" s="406" t="s">
        <v>9</v>
      </c>
      <c r="AV2" s="406" t="s">
        <v>10</v>
      </c>
      <c r="AW2" s="411"/>
      <c r="AX2" s="409" t="s">
        <v>238</v>
      </c>
      <c r="AY2" s="406" t="s">
        <v>7</v>
      </c>
      <c r="AZ2" s="406" t="s">
        <v>8</v>
      </c>
      <c r="BA2" s="406" t="s">
        <v>9</v>
      </c>
      <c r="BB2" s="406" t="s">
        <v>10</v>
      </c>
      <c r="BC2" s="408"/>
      <c r="BD2" s="412"/>
      <c r="BE2" s="687" t="s">
        <v>12</v>
      </c>
      <c r="BF2" s="408"/>
      <c r="BG2" s="406" t="s">
        <v>230</v>
      </c>
      <c r="BH2" s="407" t="s">
        <v>231</v>
      </c>
      <c r="BI2" s="407" t="s">
        <v>232</v>
      </c>
      <c r="BJ2" s="401" t="s">
        <v>239</v>
      </c>
      <c r="BK2" s="402" t="s">
        <v>7</v>
      </c>
      <c r="BL2" s="402" t="s">
        <v>8</v>
      </c>
      <c r="BM2" s="402" t="s">
        <v>9</v>
      </c>
      <c r="BN2" s="402" t="s">
        <v>10</v>
      </c>
      <c r="BO2" s="403"/>
      <c r="BP2" s="404" t="s">
        <v>240</v>
      </c>
      <c r="BQ2" s="402" t="s">
        <v>7</v>
      </c>
      <c r="BR2" s="402" t="s">
        <v>8</v>
      </c>
      <c r="BS2" s="402" t="s">
        <v>9</v>
      </c>
      <c r="BT2" s="402" t="s">
        <v>10</v>
      </c>
      <c r="BU2" s="408"/>
      <c r="BV2" s="409" t="s">
        <v>233</v>
      </c>
      <c r="BW2" s="410" t="s">
        <v>234</v>
      </c>
      <c r="BX2" s="409" t="s">
        <v>241</v>
      </c>
      <c r="BY2" s="408"/>
      <c r="BZ2" s="410" t="s">
        <v>226</v>
      </c>
      <c r="CA2" s="409" t="s">
        <v>236</v>
      </c>
      <c r="CB2" s="410" t="s">
        <v>237</v>
      </c>
      <c r="CC2" s="406" t="s">
        <v>7</v>
      </c>
      <c r="CD2" s="406" t="s">
        <v>8</v>
      </c>
      <c r="CE2" s="406" t="s">
        <v>9</v>
      </c>
      <c r="CF2" s="406" t="s">
        <v>10</v>
      </c>
      <c r="CG2" s="411"/>
      <c r="CH2" s="409" t="s">
        <v>238</v>
      </c>
      <c r="CI2" s="406" t="s">
        <v>7</v>
      </c>
      <c r="CJ2" s="406" t="s">
        <v>8</v>
      </c>
      <c r="CK2" s="406" t="s">
        <v>9</v>
      </c>
      <c r="CL2" s="406" t="s">
        <v>10</v>
      </c>
      <c r="CM2" s="408"/>
      <c r="CN2" s="412"/>
      <c r="CO2" s="687" t="s">
        <v>17</v>
      </c>
      <c r="CP2" s="408"/>
      <c r="CQ2" s="406" t="s">
        <v>230</v>
      </c>
      <c r="CR2" s="407" t="s">
        <v>231</v>
      </c>
      <c r="CS2" s="407" t="s">
        <v>232</v>
      </c>
      <c r="CT2" s="401" t="s">
        <v>239</v>
      </c>
      <c r="CU2" s="402" t="s">
        <v>7</v>
      </c>
      <c r="CV2" s="402" t="s">
        <v>8</v>
      </c>
      <c r="CW2" s="402" t="s">
        <v>9</v>
      </c>
      <c r="CX2" s="402" t="s">
        <v>10</v>
      </c>
      <c r="CY2" s="403"/>
      <c r="CZ2" s="404" t="s">
        <v>240</v>
      </c>
      <c r="DA2" s="402" t="s">
        <v>7</v>
      </c>
      <c r="DB2" s="402" t="s">
        <v>8</v>
      </c>
      <c r="DC2" s="402" t="s">
        <v>9</v>
      </c>
      <c r="DD2" s="402" t="s">
        <v>10</v>
      </c>
      <c r="DE2" s="408"/>
      <c r="DF2" s="409" t="s">
        <v>233</v>
      </c>
      <c r="DG2" s="410" t="s">
        <v>234</v>
      </c>
      <c r="DH2" s="409" t="s">
        <v>241</v>
      </c>
      <c r="DI2" s="408"/>
      <c r="DJ2" s="410" t="s">
        <v>226</v>
      </c>
      <c r="DK2" s="409" t="s">
        <v>236</v>
      </c>
      <c r="DL2" s="410" t="s">
        <v>242</v>
      </c>
      <c r="DM2" s="406" t="s">
        <v>7</v>
      </c>
      <c r="DN2" s="406" t="s">
        <v>8</v>
      </c>
      <c r="DO2" s="406" t="s">
        <v>9</v>
      </c>
      <c r="DP2" s="406" t="s">
        <v>10</v>
      </c>
      <c r="DQ2" s="411"/>
      <c r="DR2" s="409" t="s">
        <v>243</v>
      </c>
      <c r="DS2" s="406" t="s">
        <v>7</v>
      </c>
      <c r="DT2" s="406" t="s">
        <v>8</v>
      </c>
      <c r="DU2" s="406" t="s">
        <v>9</v>
      </c>
      <c r="DV2" s="406" t="s">
        <v>10</v>
      </c>
      <c r="DW2" s="408"/>
      <c r="DX2" s="412"/>
      <c r="DY2" s="687" t="s">
        <v>19</v>
      </c>
      <c r="DZ2" s="408"/>
      <c r="EA2" s="406" t="s">
        <v>230</v>
      </c>
      <c r="EB2" s="407" t="s">
        <v>231</v>
      </c>
      <c r="EC2" s="407" t="s">
        <v>232</v>
      </c>
      <c r="ED2" s="401" t="s">
        <v>244</v>
      </c>
      <c r="EE2" s="402" t="s">
        <v>7</v>
      </c>
      <c r="EF2" s="402" t="s">
        <v>8</v>
      </c>
      <c r="EG2" s="402" t="s">
        <v>9</v>
      </c>
      <c r="EH2" s="402" t="s">
        <v>10</v>
      </c>
      <c r="EI2" s="403"/>
      <c r="EJ2" s="404" t="s">
        <v>245</v>
      </c>
      <c r="EK2" s="402" t="s">
        <v>7</v>
      </c>
      <c r="EL2" s="402" t="s">
        <v>8</v>
      </c>
      <c r="EM2" s="402" t="s">
        <v>9</v>
      </c>
      <c r="EN2" s="402" t="s">
        <v>10</v>
      </c>
      <c r="EO2" s="408"/>
      <c r="EP2" s="409" t="s">
        <v>233</v>
      </c>
      <c r="EQ2" s="410" t="s">
        <v>234</v>
      </c>
      <c r="ER2" s="409" t="s">
        <v>246</v>
      </c>
      <c r="ES2" s="408"/>
      <c r="ET2" s="410" t="s">
        <v>226</v>
      </c>
      <c r="EU2" s="409" t="s">
        <v>247</v>
      </c>
      <c r="EV2" s="410" t="s">
        <v>242</v>
      </c>
      <c r="EW2" s="406" t="s">
        <v>7</v>
      </c>
      <c r="EX2" s="406" t="s">
        <v>8</v>
      </c>
      <c r="EY2" s="406" t="s">
        <v>9</v>
      </c>
      <c r="EZ2" s="406" t="s">
        <v>10</v>
      </c>
      <c r="FA2" s="411"/>
      <c r="FB2" s="409" t="s">
        <v>243</v>
      </c>
      <c r="FC2" s="406" t="s">
        <v>7</v>
      </c>
      <c r="FD2" s="406" t="s">
        <v>8</v>
      </c>
      <c r="FE2" s="406" t="s">
        <v>9</v>
      </c>
      <c r="FF2" s="406" t="s">
        <v>10</v>
      </c>
      <c r="FG2" s="408"/>
    </row>
    <row r="3" spans="1:163" s="49" customFormat="1" ht="3" customHeight="1">
      <c r="A3" s="395"/>
      <c r="B3" s="396"/>
      <c r="C3" s="691"/>
      <c r="D3" s="691"/>
      <c r="E3" s="397"/>
      <c r="F3" s="413"/>
      <c r="G3" s="414"/>
      <c r="H3" s="414"/>
      <c r="I3" s="415"/>
      <c r="J3" s="416"/>
      <c r="K3" s="416"/>
      <c r="L3" s="416"/>
      <c r="M3" s="416"/>
      <c r="N3" s="403"/>
      <c r="O3" s="415"/>
      <c r="P3" s="416"/>
      <c r="Q3" s="416"/>
      <c r="R3" s="416"/>
      <c r="S3" s="416"/>
      <c r="T3" s="397"/>
      <c r="U3" s="687"/>
      <c r="V3" s="405"/>
      <c r="W3" s="413"/>
      <c r="X3" s="414"/>
      <c r="Y3" s="414"/>
      <c r="Z3" s="415"/>
      <c r="AA3" s="416"/>
      <c r="AB3" s="416"/>
      <c r="AC3" s="416"/>
      <c r="AD3" s="416"/>
      <c r="AE3" s="403"/>
      <c r="AF3" s="415"/>
      <c r="AG3" s="416"/>
      <c r="AH3" s="416"/>
      <c r="AI3" s="416"/>
      <c r="AJ3" s="416"/>
      <c r="AK3" s="408"/>
      <c r="AL3" s="417"/>
      <c r="AM3" s="417"/>
      <c r="AN3" s="417"/>
      <c r="AO3" s="408"/>
      <c r="AP3" s="418"/>
      <c r="AQ3" s="417"/>
      <c r="AR3" s="417"/>
      <c r="AS3" s="413"/>
      <c r="AT3" s="413"/>
      <c r="AU3" s="413"/>
      <c r="AV3" s="413"/>
      <c r="AW3" s="419"/>
      <c r="AX3" s="417"/>
      <c r="AY3" s="413"/>
      <c r="AZ3" s="413"/>
      <c r="BA3" s="413"/>
      <c r="BB3" s="413"/>
      <c r="BC3" s="408"/>
      <c r="BD3" s="408"/>
      <c r="BE3" s="687"/>
      <c r="BF3" s="408"/>
      <c r="BG3" s="413"/>
      <c r="BH3" s="414"/>
      <c r="BI3" s="414"/>
      <c r="BJ3" s="415"/>
      <c r="BK3" s="416"/>
      <c r="BL3" s="416"/>
      <c r="BM3" s="416"/>
      <c r="BN3" s="416"/>
      <c r="BO3" s="403"/>
      <c r="BP3" s="415"/>
      <c r="BQ3" s="416"/>
      <c r="BR3" s="416"/>
      <c r="BS3" s="416"/>
      <c r="BT3" s="416"/>
      <c r="BU3" s="408"/>
      <c r="BV3" s="417"/>
      <c r="BW3" s="417"/>
      <c r="BX3" s="417"/>
      <c r="BY3" s="408"/>
      <c r="BZ3" s="418"/>
      <c r="CA3" s="417"/>
      <c r="CB3" s="417"/>
      <c r="CC3" s="413"/>
      <c r="CD3" s="413"/>
      <c r="CE3" s="413"/>
      <c r="CF3" s="413"/>
      <c r="CG3" s="419"/>
      <c r="CH3" s="417"/>
      <c r="CI3" s="413"/>
      <c r="CJ3" s="413"/>
      <c r="CK3" s="413"/>
      <c r="CL3" s="413"/>
      <c r="CM3" s="408"/>
      <c r="CN3" s="408"/>
      <c r="CO3" s="687"/>
      <c r="CP3" s="408"/>
      <c r="CQ3" s="413"/>
      <c r="CR3" s="414"/>
      <c r="CS3" s="414"/>
      <c r="CT3" s="415"/>
      <c r="CU3" s="416"/>
      <c r="CV3" s="416"/>
      <c r="CW3" s="416"/>
      <c r="CX3" s="416"/>
      <c r="CY3" s="403"/>
      <c r="CZ3" s="415"/>
      <c r="DA3" s="416"/>
      <c r="DB3" s="416"/>
      <c r="DC3" s="416"/>
      <c r="DD3" s="416"/>
      <c r="DE3" s="408"/>
      <c r="DF3" s="417"/>
      <c r="DG3" s="417"/>
      <c r="DH3" s="417"/>
      <c r="DI3" s="408"/>
      <c r="DJ3" s="418"/>
      <c r="DK3" s="417"/>
      <c r="DL3" s="417"/>
      <c r="DM3" s="413"/>
      <c r="DN3" s="413"/>
      <c r="DO3" s="413"/>
      <c r="DP3" s="413"/>
      <c r="DQ3" s="419"/>
      <c r="DR3" s="417"/>
      <c r="DS3" s="413"/>
      <c r="DT3" s="413"/>
      <c r="DU3" s="413"/>
      <c r="DV3" s="413"/>
      <c r="DW3" s="408"/>
      <c r="DX3" s="408"/>
      <c r="DY3" s="687"/>
      <c r="DZ3" s="408"/>
      <c r="EA3" s="413"/>
      <c r="EB3" s="414"/>
      <c r="EC3" s="414"/>
      <c r="ED3" s="415"/>
      <c r="EE3" s="416"/>
      <c r="EF3" s="416"/>
      <c r="EG3" s="416"/>
      <c r="EH3" s="416"/>
      <c r="EI3" s="403"/>
      <c r="EJ3" s="415"/>
      <c r="EK3" s="416"/>
      <c r="EL3" s="416"/>
      <c r="EM3" s="416"/>
      <c r="EN3" s="416"/>
      <c r="EO3" s="408"/>
      <c r="EP3" s="417"/>
      <c r="EQ3" s="417"/>
      <c r="ER3" s="417"/>
      <c r="ES3" s="408"/>
      <c r="ET3" s="418"/>
      <c r="EU3" s="417"/>
      <c r="EV3" s="417"/>
      <c r="EW3" s="413"/>
      <c r="EX3" s="413"/>
      <c r="EY3" s="413"/>
      <c r="EZ3" s="413"/>
      <c r="FA3" s="419"/>
      <c r="FB3" s="417"/>
      <c r="FC3" s="413"/>
      <c r="FD3" s="413"/>
      <c r="FE3" s="413"/>
      <c r="FF3" s="413"/>
      <c r="FG3" s="408"/>
    </row>
    <row r="4" spans="1:163" s="395" customFormat="1" ht="15">
      <c r="B4" s="396"/>
      <c r="C4" s="688" t="s">
        <v>248</v>
      </c>
      <c r="D4" s="688"/>
      <c r="F4" s="420">
        <f>W4+BG4+CQ4+EA4</f>
        <v>293</v>
      </c>
      <c r="G4" s="420">
        <f t="shared" ref="G4" si="0">X4+BH4+CR4+EB4</f>
        <v>274</v>
      </c>
      <c r="H4" s="420">
        <f t="shared" ref="H4" si="1">Y4+BI4+CS4+EC4</f>
        <v>267</v>
      </c>
      <c r="I4" s="420">
        <f t="shared" ref="I4" si="2">Z4+BJ4+CT4+ED4</f>
        <v>26</v>
      </c>
      <c r="J4" s="420">
        <f t="shared" ref="J4" si="3">AA4+BK4+CU4+EE4</f>
        <v>22</v>
      </c>
      <c r="K4" s="420">
        <f t="shared" ref="K4" si="4">AB4+BL4+CV4+EF4</f>
        <v>4</v>
      </c>
      <c r="L4" s="420">
        <f t="shared" ref="L4" si="5">AC4+BM4+CW4+EG4</f>
        <v>0</v>
      </c>
      <c r="M4" s="420">
        <f t="shared" ref="M4" si="6">AD4+BN4+CX4+EH4</f>
        <v>0</v>
      </c>
      <c r="N4" s="421">
        <f t="shared" ref="N4" si="7">COUNTIF(N64:N73,"&gt;0")+COUNTIF(N76:N84,"&gt;0")+COUNTIF(N87:N96,"&gt;0")+COUNTIF(N52:N61,"&gt;0")+COUNTIF(N99:N107,"&gt;0")+COUNTIF(N110:N119,"&gt;0")+COUNTIF(N122:N130,"&gt;0")+COUNTIF(N133:N142,"&gt;0")+COUNTIF(N145:N148,"&gt;0")+COUNTIF(N151:N152,"&gt;0")+COUNTIF(N159:N160,"&gt;0")+COUNTIF(N163:N164,"&gt;0")+COUNTIF(N167:N168,"&gt;0")+COUNTIF(N171:N172,"&gt;0")+COUNTIF(N175:N176,"&gt;0")+COUNTIF(N183:N184,"&gt;0")+COUNTIF(N155:N156,"&gt;0")+COUNTIF(N187:N188,"&gt;0")+COUNTIF(N204:N206,"&gt;0")+COUNTIF(N179:N180,"&gt;0")+COUNTIF(N209:N218,"&gt;0")+COUNTIF(N221:N224,"&gt;0")+COUNTIF(N227:N231,"&gt;0")+COUNTIF(N199:N201,"&gt;0")+COUNTIF(N236,"&gt;0")+COUNTIF(N11,"&gt;0")+COUNTIF(N17,"&gt;0")+COUNTIF(N23,"&gt;0")+COUNTIF(N30,"&gt;0")+COUNTIF(N39,"&gt;0")+COUNTIF(N191:N192,"&gt;0")+COUNTIF(N195:N196,"&gt;0")</f>
        <v>0</v>
      </c>
      <c r="O4" s="420">
        <f t="shared" ref="O4" si="8">AF4+BP4+CZ4+EJ4</f>
        <v>7</v>
      </c>
      <c r="P4" s="420">
        <f t="shared" ref="P4" si="9">AG4+BQ4+DA4+EK4</f>
        <v>5</v>
      </c>
      <c r="Q4" s="420">
        <f>AH4+BR4+DB4+EL4</f>
        <v>1</v>
      </c>
      <c r="R4" s="420">
        <f t="shared" ref="R4" si="10">AI4+BS4+DC4+EM4</f>
        <v>1</v>
      </c>
      <c r="S4" s="420">
        <f t="shared" ref="S4" si="11">AJ4+BT4+DD4+EN4</f>
        <v>0</v>
      </c>
      <c r="U4" s="687"/>
      <c r="W4" s="420">
        <f t="shared" ref="W4:AO4" si="12">COUNTIF(W64:W73,"&gt;0")+COUNTIF(W76:W84,"&gt;0")+COUNTIF(W87:W96,"&gt;0")+COUNTIF(W52:W61,"&gt;0")+COUNTIF(W99:W107,"&gt;0")+COUNTIF(W110:W119,"&gt;0")+COUNTIF(W122:W130,"&gt;0")+COUNTIF(W133:W142,"&gt;0")+COUNTIF(W145:W148,"&gt;0")+COUNTIF(W151:W152,"&gt;0")+COUNTIF(W159:W160,"&gt;0")+COUNTIF(W163:W164,"&gt;0")+COUNTIF(W167:W168,"&gt;0")+COUNTIF(W171:W172,"&gt;0")+COUNTIF(W175:W176,"&gt;0")+COUNTIF(W183:W184,"&gt;0")+COUNTIF(W155:W156,"&gt;0")+COUNTIF(W187:W188,"&gt;0")+COUNTIF(W204:W206,"&gt;0")+COUNTIF(W179:W180,"&gt;0")+COUNTIF(W209:W218,"&gt;0")+COUNTIF(W221:W224,"&gt;0")+COUNTIF(W227:W231,"&gt;0")+COUNTIF(W199:W201,"&gt;0")+COUNTIF(W236,"&gt;0")+COUNTIF(W11,"&gt;0")+COUNTIF(W17,"&gt;0")+COUNTIF(W23,"&gt;0")+COUNTIF(W30,"&gt;0")+COUNTIF(W39,"&gt;0")+COUNTIF(W191:W192,"&gt;0")+COUNTIF(W195:W196,"&gt;0")</f>
        <v>108</v>
      </c>
      <c r="X4" s="420">
        <f t="shared" si="12"/>
        <v>99</v>
      </c>
      <c r="Y4" s="420">
        <f t="shared" si="12"/>
        <v>96</v>
      </c>
      <c r="Z4" s="420">
        <f t="shared" si="12"/>
        <v>12</v>
      </c>
      <c r="AA4" s="420">
        <f>COUNTIF(AA64:AA73,"&gt;0")+COUNTIF(AA76:AA84,"&gt;0")+COUNTIF(AA87:AA96,"&gt;0")+COUNTIF(AA52:AA61,"&gt;0")+COUNTIF(AA99:AA107,"&gt;0")+COUNTIF(AA110:AA119,"&gt;0")+COUNTIF(AA122:AA130,"&gt;0")+COUNTIF(AA133:AA142,"&gt;0")+COUNTIF(AA145:AA148,"&gt;0")+COUNTIF(AA151:AA152,"&gt;0")+COUNTIF(AA159:AA160,"&gt;0")+COUNTIF(AA163:AA164,"&gt;0")+COUNTIF(AA167:AA168,"&gt;0")+COUNTIF(AA171:AA172,"&gt;0")+COUNTIF(AA175:AA176,"&gt;0")+COUNTIF(AA183:AA184,"&gt;0")+COUNTIF(AA155:AA156,"&gt;0")+COUNTIF(AA187:AA188,"&gt;0")+COUNTIF(AA204:AA206,"&gt;0")+COUNTIF(AA179:AA180,"&gt;0")+COUNTIF(AA209:AA218,"&gt;0")+COUNTIF(AA221:AA224,"&gt;0")+COUNTIF(AA227:AA231,"&gt;0")+COUNTIF(AA199:AA201,"&gt;0")+COUNTIF(AA236,"&gt;0")+COUNTIF(AA11,"&gt;0")+COUNTIF(AA17,"&gt;0")+COUNTIF(AA23,"&gt;0")+COUNTIF(AA30,"&gt;0")+COUNTIF(AA39,"&gt;0")+COUNTIF(AA191:AA192,"&gt;0")+COUNTIF(AA195:AA196,"&gt;0")</f>
        <v>11</v>
      </c>
      <c r="AB4" s="420">
        <f t="shared" si="12"/>
        <v>1</v>
      </c>
      <c r="AC4" s="420">
        <f t="shared" si="12"/>
        <v>0</v>
      </c>
      <c r="AD4" s="420">
        <f t="shared" si="12"/>
        <v>0</v>
      </c>
      <c r="AE4" s="421">
        <f t="shared" si="12"/>
        <v>0</v>
      </c>
      <c r="AF4" s="420">
        <f t="shared" si="12"/>
        <v>3</v>
      </c>
      <c r="AG4" s="420">
        <f t="shared" si="12"/>
        <v>3</v>
      </c>
      <c r="AH4" s="420">
        <f t="shared" si="12"/>
        <v>0</v>
      </c>
      <c r="AI4" s="420">
        <f t="shared" si="12"/>
        <v>0</v>
      </c>
      <c r="AJ4" s="420">
        <f t="shared" si="12"/>
        <v>0</v>
      </c>
      <c r="AK4" s="422">
        <f t="shared" si="12"/>
        <v>0</v>
      </c>
      <c r="AL4" s="689">
        <f t="shared" si="12"/>
        <v>99</v>
      </c>
      <c r="AM4" s="689">
        <f t="shared" si="12"/>
        <v>11</v>
      </c>
      <c r="AN4" s="689">
        <f t="shared" si="12"/>
        <v>3</v>
      </c>
      <c r="AO4" s="422">
        <f t="shared" si="12"/>
        <v>0</v>
      </c>
      <c r="AP4" s="423"/>
      <c r="AQ4" s="423"/>
      <c r="AR4" s="423"/>
      <c r="AS4" s="423"/>
      <c r="AT4" s="423"/>
      <c r="AU4" s="423"/>
      <c r="AV4" s="423"/>
      <c r="AW4" s="424"/>
      <c r="AX4" s="423"/>
      <c r="AY4" s="423"/>
      <c r="AZ4" s="423"/>
      <c r="BA4" s="423"/>
      <c r="BB4" s="423"/>
      <c r="BC4" s="422">
        <f>COUNTIF(BC64:BC73,"&gt;0")+COUNTIF(BC76:BC84,"&gt;0")+COUNTIF(BC87:BC96,"&gt;0")+COUNTIF(BC52:BC61,"&gt;0")+COUNTIF(BC99:BC107,"&gt;0")+COUNTIF(BC110:BC119,"&gt;0")+COUNTIF(BC122:BC130,"&gt;0")+COUNTIF(BC133:BC142,"&gt;0")+COUNTIF(BC145:BC148,"&gt;0")+COUNTIF(BC151:BC152,"&gt;0")+COUNTIF(BC159:BC160,"&gt;0")+COUNTIF(BC163:BC164,"&gt;0")+COUNTIF(BC167:BC168,"&gt;0")+COUNTIF(BC171:BC172,"&gt;0")+COUNTIF(BC175:BC176,"&gt;0")+COUNTIF(BC183:BC184,"&gt;0")+COUNTIF(BC155:BC156,"&gt;0")+COUNTIF(BC187:BC188,"&gt;0")+COUNTIF(BC204:BC206,"&gt;0")+COUNTIF(BC179:BC180,"&gt;0")+COUNTIF(BC209:BC218,"&gt;0")+COUNTIF(BC221:BC224,"&gt;0")+COUNTIF(BC227:BC231,"&gt;0")+COUNTIF(BC199:BC201,"&gt;0")+COUNTIF(BC236,"&gt;0")+COUNTIF(BC11,"&gt;0")+COUNTIF(BC17,"&gt;0")+COUNTIF(BC23,"&gt;0")+COUNTIF(BC30,"&gt;0")+COUNTIF(BC39,"&gt;0")+COUNTIF(BC191:BC192,"&gt;0")+COUNTIF(BC195:BC196,"&gt;0")</f>
        <v>0</v>
      </c>
      <c r="BD4" s="425"/>
      <c r="BE4" s="687"/>
      <c r="BF4" s="422"/>
      <c r="BG4" s="420">
        <f t="shared" ref="BG4:BY4" si="13">COUNTIF(BG64:BG73,"&gt;0")+COUNTIF(BG76:BG84,"&gt;0")+COUNTIF(BG87:BG96,"&gt;0")+COUNTIF(BG52:BG61,"&gt;0")+COUNTIF(BG99:BG107,"&gt;0")+COUNTIF(BG110:BG119,"&gt;0")+COUNTIF(BG122:BG130,"&gt;0")+COUNTIF(BG133:BG142,"&gt;0")+COUNTIF(BG145:BG148,"&gt;0")+COUNTIF(BG151:BG152,"&gt;0")+COUNTIF(BG159:BG160,"&gt;0")+COUNTIF(BG163:BG164,"&gt;0")+COUNTIF(BG167:BG168,"&gt;0")+COUNTIF(BG171:BG172,"&gt;0")+COUNTIF(BG175:BG176,"&gt;0")+COUNTIF(BG183:BG184,"&gt;0")+COUNTIF(BG155:BG156,"&gt;0")+COUNTIF(BG187:BG188,"&gt;0")+COUNTIF(BG204:BG206,"&gt;0")+COUNTIF(BG179:BG180,"&gt;0")+COUNTIF(BG209:BG218,"&gt;0")+COUNTIF(BG221:BG224,"&gt;0")+COUNTIF(BG227:BG231,"&gt;0")+COUNTIF(BG199:BG201,"&gt;0")+COUNTIF(BG236,"&gt;0")+COUNTIF(BG11,"&gt;0")+COUNTIF(BG17,"&gt;0")+COUNTIF(BG23,"&gt;0")+COUNTIF(BG30,"&gt;0")+COUNTIF(BG39,"&gt;0")+COUNTIF(BG191:BG192,"&gt;0")+COUNTIF(BG195:BG196,"&gt;0")</f>
        <v>91</v>
      </c>
      <c r="BH4" s="420">
        <f t="shared" si="13"/>
        <v>87</v>
      </c>
      <c r="BI4" s="420">
        <f t="shared" si="13"/>
        <v>85</v>
      </c>
      <c r="BJ4" s="420">
        <f t="shared" si="13"/>
        <v>6</v>
      </c>
      <c r="BK4" s="420">
        <f t="shared" si="13"/>
        <v>5</v>
      </c>
      <c r="BL4" s="420">
        <f t="shared" si="13"/>
        <v>1</v>
      </c>
      <c r="BM4" s="420">
        <f t="shared" si="13"/>
        <v>0</v>
      </c>
      <c r="BN4" s="420">
        <f t="shared" si="13"/>
        <v>0</v>
      </c>
      <c r="BO4" s="421">
        <f t="shared" si="13"/>
        <v>0</v>
      </c>
      <c r="BP4" s="420">
        <f t="shared" si="13"/>
        <v>2</v>
      </c>
      <c r="BQ4" s="420">
        <f t="shared" si="13"/>
        <v>2</v>
      </c>
      <c r="BR4" s="420">
        <f t="shared" si="13"/>
        <v>0</v>
      </c>
      <c r="BS4" s="420">
        <f t="shared" si="13"/>
        <v>0</v>
      </c>
      <c r="BT4" s="420">
        <f t="shared" si="13"/>
        <v>0</v>
      </c>
      <c r="BU4" s="422">
        <f t="shared" si="13"/>
        <v>0</v>
      </c>
      <c r="BV4" s="689">
        <f t="shared" si="13"/>
        <v>87</v>
      </c>
      <c r="BW4" s="689">
        <f t="shared" si="13"/>
        <v>5</v>
      </c>
      <c r="BX4" s="689">
        <f t="shared" si="13"/>
        <v>2</v>
      </c>
      <c r="BY4" s="422">
        <f t="shared" si="13"/>
        <v>0</v>
      </c>
      <c r="BZ4" s="423"/>
      <c r="CA4" s="423"/>
      <c r="CB4" s="423"/>
      <c r="CC4" s="423"/>
      <c r="CD4" s="423"/>
      <c r="CE4" s="423"/>
      <c r="CF4" s="423"/>
      <c r="CG4" s="424"/>
      <c r="CH4" s="423"/>
      <c r="CI4" s="423"/>
      <c r="CJ4" s="423"/>
      <c r="CK4" s="423"/>
      <c r="CL4" s="423"/>
      <c r="CM4" s="422">
        <f>COUNTIF(CM64:CM73,"&gt;0")+COUNTIF(CM76:CM84,"&gt;0")+COUNTIF(CM87:CM96,"&gt;0")+COUNTIF(CM52:CM61,"&gt;0")+COUNTIF(CM99:CM107,"&gt;0")+COUNTIF(CM110:CM119,"&gt;0")+COUNTIF(CM122:CM130,"&gt;0")+COUNTIF(CM133:CM142,"&gt;0")+COUNTIF(CM145:CM148,"&gt;0")+COUNTIF(CM151:CM152,"&gt;0")+COUNTIF(CM159:CM160,"&gt;0")+COUNTIF(CM163:CM164,"&gt;0")+COUNTIF(CM167:CM168,"&gt;0")+COUNTIF(CM171:CM172,"&gt;0")+COUNTIF(CM175:CM176,"&gt;0")+COUNTIF(CM183:CM184,"&gt;0")+COUNTIF(CM155:CM156,"&gt;0")+COUNTIF(CM187:CM188,"&gt;0")+COUNTIF(CM204:CM206,"&gt;0")+COUNTIF(CM179:CM180,"&gt;0")+COUNTIF(CM209:CM218,"&gt;0")+COUNTIF(CM221:CM224,"&gt;0")+COUNTIF(CM227:CM231,"&gt;0")+COUNTIF(CM199:CM201,"&gt;0")+COUNTIF(CM236,"&gt;0")+COUNTIF(CM11,"&gt;0")+COUNTIF(CM17,"&gt;0")+COUNTIF(CM23,"&gt;0")+COUNTIF(CM30,"&gt;0")+COUNTIF(CM39,"&gt;0")+COUNTIF(CM191:CM192,"&gt;0")+COUNTIF(CM195:CM196,"&gt;0")</f>
        <v>0</v>
      </c>
      <c r="CN4" s="425"/>
      <c r="CO4" s="687"/>
      <c r="CP4" s="422"/>
      <c r="CQ4" s="420">
        <f t="shared" ref="CQ4:DW4" si="14">COUNTIF(CQ64:CQ73,"&gt;0")+COUNTIF(CQ76:CQ84,"&gt;0")+COUNTIF(CQ87:CQ96,"&gt;0")+COUNTIF(CQ52:CQ61,"&gt;0")+COUNTIF(CQ99:CQ107,"&gt;0")+COUNTIF(CQ110:CQ119,"&gt;0")+COUNTIF(CQ122:CQ130,"&gt;0")+COUNTIF(CQ133:CQ142,"&gt;0")+COUNTIF(CQ145:CQ148,"&gt;0")+COUNTIF(CQ151:CQ152,"&gt;0")+COUNTIF(CQ159:CQ160,"&gt;0")+COUNTIF(CQ163:CQ164,"&gt;0")+COUNTIF(CQ167:CQ168,"&gt;0")+COUNTIF(CQ171:CQ172,"&gt;0")+COUNTIF(CQ175:CQ176,"&gt;0")+COUNTIF(CQ183:CQ184,"&gt;0")+COUNTIF(CQ155:CQ156,"&gt;0")+COUNTIF(CQ187:CQ188,"&gt;0")+COUNTIF(CQ204:CQ206,"&gt;0")+COUNTIF(CQ179:CQ180,"&gt;0")+COUNTIF(CQ209:CQ218,"&gt;0")+COUNTIF(CQ221:CQ224,"&gt;0")+COUNTIF(CQ227:CQ231,"&gt;0")+COUNTIF(CQ199:CQ201,"&gt;0")+COUNTIF(CQ236,"&gt;0")+COUNTIF(CQ11,"&gt;0")+COUNTIF(CQ17,"&gt;0")+COUNTIF(CQ23,"&gt;0")+COUNTIF(CQ30,"&gt;0")+COUNTIF(CQ39,"&gt;0")+COUNTIF(CQ191:CQ192,"&gt;0")+COUNTIF(CQ195:CQ196,"&gt;0")</f>
        <v>66</v>
      </c>
      <c r="CR4" s="420">
        <f t="shared" si="14"/>
        <v>62</v>
      </c>
      <c r="CS4" s="420">
        <f t="shared" si="14"/>
        <v>60</v>
      </c>
      <c r="CT4" s="420">
        <f t="shared" si="14"/>
        <v>6</v>
      </c>
      <c r="CU4" s="420">
        <f t="shared" si="14"/>
        <v>5</v>
      </c>
      <c r="CV4" s="420">
        <f t="shared" si="14"/>
        <v>1</v>
      </c>
      <c r="CW4" s="420">
        <f t="shared" si="14"/>
        <v>0</v>
      </c>
      <c r="CX4" s="420">
        <f t="shared" si="14"/>
        <v>0</v>
      </c>
      <c r="CY4" s="421">
        <f t="shared" si="14"/>
        <v>0</v>
      </c>
      <c r="CZ4" s="420">
        <f t="shared" si="14"/>
        <v>2</v>
      </c>
      <c r="DA4" s="420">
        <f t="shared" si="14"/>
        <v>0</v>
      </c>
      <c r="DB4" s="420">
        <f t="shared" si="14"/>
        <v>1</v>
      </c>
      <c r="DC4" s="420">
        <f t="shared" si="14"/>
        <v>1</v>
      </c>
      <c r="DD4" s="420">
        <f t="shared" si="14"/>
        <v>0</v>
      </c>
      <c r="DE4" s="422">
        <f t="shared" si="14"/>
        <v>0</v>
      </c>
      <c r="DF4" s="689">
        <f t="shared" si="14"/>
        <v>66</v>
      </c>
      <c r="DG4" s="689">
        <f t="shared" si="14"/>
        <v>5</v>
      </c>
      <c r="DH4" s="689">
        <f t="shared" si="14"/>
        <v>3</v>
      </c>
      <c r="DI4" s="422">
        <f t="shared" si="14"/>
        <v>0</v>
      </c>
      <c r="DJ4" s="423">
        <f t="shared" si="14"/>
        <v>68</v>
      </c>
      <c r="DK4" s="423">
        <f t="shared" si="14"/>
        <v>66</v>
      </c>
      <c r="DL4" s="423">
        <f t="shared" si="14"/>
        <v>5</v>
      </c>
      <c r="DM4" s="423">
        <f t="shared" si="14"/>
        <v>5</v>
      </c>
      <c r="DN4" s="423">
        <f t="shared" si="14"/>
        <v>0</v>
      </c>
      <c r="DO4" s="423">
        <f t="shared" si="14"/>
        <v>0</v>
      </c>
      <c r="DP4" s="423">
        <f t="shared" si="14"/>
        <v>0</v>
      </c>
      <c r="DQ4" s="424">
        <f t="shared" si="14"/>
        <v>0</v>
      </c>
      <c r="DR4" s="423">
        <f t="shared" si="14"/>
        <v>3</v>
      </c>
      <c r="DS4" s="423">
        <f t="shared" si="14"/>
        <v>2</v>
      </c>
      <c r="DT4" s="423">
        <f t="shared" si="14"/>
        <v>3</v>
      </c>
      <c r="DU4" s="423">
        <f t="shared" si="14"/>
        <v>2</v>
      </c>
      <c r="DV4" s="423">
        <f t="shared" si="14"/>
        <v>0</v>
      </c>
      <c r="DW4" s="422">
        <f t="shared" si="14"/>
        <v>0</v>
      </c>
      <c r="DX4" s="425"/>
      <c r="DY4" s="687"/>
      <c r="DZ4" s="408"/>
      <c r="EA4" s="420">
        <f t="shared" ref="EA4:FG4" si="15">COUNTIF(EA64:EA73,"&gt;0")+COUNTIF(EA76:EA84,"&gt;0")+COUNTIF(EA87:EA96,"&gt;0")+COUNTIF(EA52:EA61,"&gt;0")+COUNTIF(EA99:EA107,"&gt;0")+COUNTIF(EA110:EA119,"&gt;0")+COUNTIF(EA122:EA130,"&gt;0")+COUNTIF(EA133:EA142,"&gt;0")+COUNTIF(EA145:EA148,"&gt;0")+COUNTIF(EA151:EA152,"&gt;0")+COUNTIF(EA159:EA160,"&gt;0")+COUNTIF(EA163:EA164,"&gt;0")+COUNTIF(EA167:EA168,"&gt;0")+COUNTIF(EA171:EA172,"&gt;0")+COUNTIF(EA175:EA176,"&gt;0")+COUNTIF(EA183:EA184,"&gt;0")+COUNTIF(EA155:EA156,"&gt;0")+COUNTIF(EA187:EA188,"&gt;0")+COUNTIF(EA204:EA206,"&gt;0")+COUNTIF(EA179:EA180,"&gt;0")+COUNTIF(EA209:EA218,"&gt;0")+COUNTIF(EA221:EA224,"&gt;0")+COUNTIF(EA227:EA231,"&gt;0")+COUNTIF(EA199:EA201,"&gt;0")+COUNTIF(EA236,"&gt;0")+COUNTIF(EA11,"&gt;0")+COUNTIF(EA17,"&gt;0")+COUNTIF(EA23,"&gt;0")+COUNTIF(EA30,"&gt;0")+COUNTIF(EA39,"&gt;0")+COUNTIF(EA191:EA192,"&gt;0")+COUNTIF(EA195:EA196,"&gt;0")</f>
        <v>28</v>
      </c>
      <c r="EB4" s="420">
        <f t="shared" si="15"/>
        <v>26</v>
      </c>
      <c r="EC4" s="420">
        <f t="shared" si="15"/>
        <v>26</v>
      </c>
      <c r="ED4" s="420">
        <f t="shared" si="15"/>
        <v>2</v>
      </c>
      <c r="EE4" s="420">
        <f t="shared" si="15"/>
        <v>1</v>
      </c>
      <c r="EF4" s="420">
        <f t="shared" si="15"/>
        <v>1</v>
      </c>
      <c r="EG4" s="420">
        <f t="shared" si="15"/>
        <v>0</v>
      </c>
      <c r="EH4" s="420">
        <f t="shared" si="15"/>
        <v>0</v>
      </c>
      <c r="EI4" s="421">
        <f t="shared" si="15"/>
        <v>0</v>
      </c>
      <c r="EJ4" s="420">
        <f t="shared" si="15"/>
        <v>0</v>
      </c>
      <c r="EK4" s="420">
        <f t="shared" si="15"/>
        <v>0</v>
      </c>
      <c r="EL4" s="420">
        <f t="shared" si="15"/>
        <v>0</v>
      </c>
      <c r="EM4" s="420">
        <f t="shared" si="15"/>
        <v>0</v>
      </c>
      <c r="EN4" s="420">
        <f t="shared" si="15"/>
        <v>0</v>
      </c>
      <c r="EO4" s="422">
        <f t="shared" si="15"/>
        <v>0</v>
      </c>
      <c r="EP4" s="689">
        <f t="shared" si="15"/>
        <v>26</v>
      </c>
      <c r="EQ4" s="689">
        <f t="shared" si="15"/>
        <v>1</v>
      </c>
      <c r="ER4" s="689">
        <f t="shared" si="15"/>
        <v>0</v>
      </c>
      <c r="ES4" s="422">
        <f t="shared" si="15"/>
        <v>0</v>
      </c>
      <c r="ET4" s="423">
        <f t="shared" si="15"/>
        <v>26</v>
      </c>
      <c r="EU4" s="423">
        <f t="shared" si="15"/>
        <v>26</v>
      </c>
      <c r="EV4" s="423">
        <f t="shared" si="15"/>
        <v>1</v>
      </c>
      <c r="EW4" s="423">
        <f t="shared" si="15"/>
        <v>1</v>
      </c>
      <c r="EX4" s="423">
        <f t="shared" si="15"/>
        <v>0</v>
      </c>
      <c r="EY4" s="423">
        <f t="shared" si="15"/>
        <v>0</v>
      </c>
      <c r="EZ4" s="423">
        <f t="shared" si="15"/>
        <v>0</v>
      </c>
      <c r="FA4" s="424">
        <f t="shared" si="15"/>
        <v>0</v>
      </c>
      <c r="FB4" s="423">
        <f t="shared" si="15"/>
        <v>0</v>
      </c>
      <c r="FC4" s="423">
        <f t="shared" si="15"/>
        <v>0</v>
      </c>
      <c r="FD4" s="423">
        <f t="shared" si="15"/>
        <v>0</v>
      </c>
      <c r="FE4" s="423">
        <f t="shared" si="15"/>
        <v>0</v>
      </c>
      <c r="FF4" s="423">
        <f t="shared" si="15"/>
        <v>0</v>
      </c>
      <c r="FG4" s="422">
        <f t="shared" si="15"/>
        <v>0</v>
      </c>
    </row>
    <row r="5" spans="1:163" s="431" customFormat="1" ht="23.25" customHeight="1">
      <c r="A5" s="395"/>
      <c r="B5" s="396"/>
      <c r="C5" s="688" t="s">
        <v>249</v>
      </c>
      <c r="D5" s="688"/>
      <c r="E5" s="426"/>
      <c r="F5" s="427">
        <f>W5+BG5+CQ5+EA5</f>
        <v>77.216342254613593</v>
      </c>
      <c r="G5" s="427">
        <f t="shared" ref="G5:M5" si="16">X5+BH5+CR5+EB5</f>
        <v>69.007640901632385</v>
      </c>
      <c r="H5" s="427">
        <f t="shared" si="16"/>
        <v>65.060464823809355</v>
      </c>
      <c r="I5" s="427">
        <f t="shared" si="16"/>
        <v>11.940594368304234</v>
      </c>
      <c r="J5" s="427">
        <f t="shared" si="16"/>
        <v>8.0797772555735552</v>
      </c>
      <c r="K5" s="427">
        <f t="shared" si="16"/>
        <v>3.8608171127306794</v>
      </c>
      <c r="L5" s="427">
        <f t="shared" si="16"/>
        <v>0</v>
      </c>
      <c r="M5" s="427">
        <f t="shared" si="16"/>
        <v>0</v>
      </c>
      <c r="N5" s="246"/>
      <c r="O5" s="427">
        <f>AF5+BP5+CZ5+EJ5</f>
        <v>3.9471760778230296</v>
      </c>
      <c r="P5" s="427">
        <f t="shared" ref="P5:S5" si="17">AG5+BQ5+DA5+EK5</f>
        <v>3.7272397058823525</v>
      </c>
      <c r="Q5" s="427">
        <f t="shared" si="17"/>
        <v>0.16008637194067718</v>
      </c>
      <c r="R5" s="427">
        <f t="shared" si="17"/>
        <v>5.9850000000000007E-2</v>
      </c>
      <c r="S5" s="427">
        <f t="shared" si="17"/>
        <v>0</v>
      </c>
      <c r="T5" s="426"/>
      <c r="U5" s="687"/>
      <c r="V5" s="426"/>
      <c r="W5" s="427">
        <f t="shared" ref="W5:AJ5" si="18">W9+W49+W233</f>
        <v>57.594310000000007</v>
      </c>
      <c r="X5" s="427">
        <f t="shared" ref="X5:X68" si="19">Y5+AF5</f>
        <v>51.347247514492757</v>
      </c>
      <c r="Y5" s="427">
        <f t="shared" si="18"/>
        <v>47.801022514492757</v>
      </c>
      <c r="Z5" s="427">
        <f t="shared" si="18"/>
        <v>9.7932874855072463</v>
      </c>
      <c r="AA5" s="427">
        <f t="shared" si="18"/>
        <v>6.9135719855072466</v>
      </c>
      <c r="AB5" s="427">
        <f t="shared" si="18"/>
        <v>2.8797155000000001</v>
      </c>
      <c r="AC5" s="427">
        <f t="shared" si="18"/>
        <v>0</v>
      </c>
      <c r="AD5" s="427">
        <f t="shared" si="18"/>
        <v>0</v>
      </c>
      <c r="AE5" s="246"/>
      <c r="AF5" s="427">
        <f t="shared" si="18"/>
        <v>3.5462249999999997</v>
      </c>
      <c r="AG5" s="427">
        <f t="shared" si="18"/>
        <v>3.5462249999999997</v>
      </c>
      <c r="AH5" s="427">
        <f t="shared" si="18"/>
        <v>0</v>
      </c>
      <c r="AI5" s="427">
        <f t="shared" si="18"/>
        <v>0</v>
      </c>
      <c r="AJ5" s="427">
        <f t="shared" si="18"/>
        <v>0</v>
      </c>
      <c r="AK5" s="428"/>
      <c r="AL5" s="429"/>
      <c r="AM5" s="429"/>
      <c r="AN5" s="429"/>
      <c r="AO5" s="428"/>
      <c r="AP5" s="246"/>
      <c r="AQ5" s="246"/>
      <c r="AR5" s="427">
        <f t="shared" ref="AR5:BB5" si="20">AR9+AR49+AR233</f>
        <v>883</v>
      </c>
      <c r="AS5" s="427">
        <f t="shared" si="20"/>
        <v>883</v>
      </c>
      <c r="AT5" s="427">
        <f t="shared" si="20"/>
        <v>0</v>
      </c>
      <c r="AU5" s="427">
        <f t="shared" si="20"/>
        <v>0</v>
      </c>
      <c r="AV5" s="427">
        <f t="shared" si="20"/>
        <v>0</v>
      </c>
      <c r="AW5" s="430"/>
      <c r="AX5" s="427">
        <f t="shared" si="20"/>
        <v>733</v>
      </c>
      <c r="AY5" s="427">
        <f t="shared" si="20"/>
        <v>733</v>
      </c>
      <c r="AZ5" s="427">
        <f t="shared" si="20"/>
        <v>0</v>
      </c>
      <c r="BA5" s="427">
        <f t="shared" si="20"/>
        <v>0</v>
      </c>
      <c r="BB5" s="427">
        <f t="shared" si="20"/>
        <v>0</v>
      </c>
      <c r="BC5" s="428"/>
      <c r="BD5" s="428"/>
      <c r="BE5" s="687"/>
      <c r="BF5" s="428"/>
      <c r="BG5" s="427">
        <f t="shared" ref="BG5:BT5" si="21">BG9+BG49+BG233</f>
        <v>13.476580894987778</v>
      </c>
      <c r="BH5" s="427">
        <f t="shared" ref="BH5:BH68" si="22">BI5+BP5</f>
        <v>12.224604095495112</v>
      </c>
      <c r="BI5" s="427">
        <f t="shared" si="21"/>
        <v>12.043589389612759</v>
      </c>
      <c r="BJ5" s="427">
        <f t="shared" si="21"/>
        <v>1.2177084428750198</v>
      </c>
      <c r="BK5" s="427">
        <f t="shared" si="21"/>
        <v>0.54387939812563069</v>
      </c>
      <c r="BL5" s="427">
        <f t="shared" si="21"/>
        <v>0.67382904474938898</v>
      </c>
      <c r="BM5" s="427">
        <f t="shared" si="21"/>
        <v>0</v>
      </c>
      <c r="BN5" s="427">
        <f t="shared" si="21"/>
        <v>0</v>
      </c>
      <c r="BO5" s="246"/>
      <c r="BP5" s="427">
        <f t="shared" si="21"/>
        <v>0.18101470588235291</v>
      </c>
      <c r="BQ5" s="427">
        <f t="shared" si="21"/>
        <v>0.18101470588235291</v>
      </c>
      <c r="BR5" s="427">
        <f t="shared" si="21"/>
        <v>0</v>
      </c>
      <c r="BS5" s="427">
        <f t="shared" si="21"/>
        <v>0</v>
      </c>
      <c r="BT5" s="427">
        <f t="shared" si="21"/>
        <v>0</v>
      </c>
      <c r="BU5" s="428"/>
      <c r="BV5" s="429"/>
      <c r="BW5" s="429"/>
      <c r="BX5" s="429"/>
      <c r="BY5" s="428"/>
      <c r="BZ5" s="429"/>
      <c r="CA5" s="246"/>
      <c r="CB5" s="427">
        <f t="shared" ref="CB5:CL5" si="23">CB9+CB49+CB233</f>
        <v>43</v>
      </c>
      <c r="CC5" s="427">
        <f t="shared" si="23"/>
        <v>43</v>
      </c>
      <c r="CD5" s="427">
        <f t="shared" si="23"/>
        <v>0</v>
      </c>
      <c r="CE5" s="427">
        <f t="shared" si="23"/>
        <v>0</v>
      </c>
      <c r="CF5" s="427">
        <f t="shared" si="23"/>
        <v>0</v>
      </c>
      <c r="CG5" s="430"/>
      <c r="CH5" s="427">
        <f t="shared" si="23"/>
        <v>28</v>
      </c>
      <c r="CI5" s="427">
        <f t="shared" si="23"/>
        <v>28</v>
      </c>
      <c r="CJ5" s="427">
        <f t="shared" si="23"/>
        <v>0</v>
      </c>
      <c r="CK5" s="427">
        <f t="shared" si="23"/>
        <v>0</v>
      </c>
      <c r="CL5" s="427">
        <f t="shared" si="23"/>
        <v>0</v>
      </c>
      <c r="CM5" s="428"/>
      <c r="CN5" s="428"/>
      <c r="CO5" s="687"/>
      <c r="CP5" s="428"/>
      <c r="CQ5" s="427">
        <f t="shared" ref="CQ5:DD5" si="24">CQ9+CQ49+CQ233</f>
        <v>4.8108652606258024</v>
      </c>
      <c r="CR5" s="427">
        <f t="shared" ref="CR5:CR68" si="25">CS5+CZ5</f>
        <v>4.2095964975945126</v>
      </c>
      <c r="CS5" s="427">
        <f t="shared" si="24"/>
        <v>3.9896601256538355</v>
      </c>
      <c r="CT5" s="427">
        <f t="shared" si="24"/>
        <v>0.82120513497196734</v>
      </c>
      <c r="CU5" s="427">
        <f t="shared" si="24"/>
        <v>0.5806618719406772</v>
      </c>
      <c r="CV5" s="427">
        <f t="shared" si="24"/>
        <v>0.24054326303129014</v>
      </c>
      <c r="CW5" s="427">
        <f t="shared" si="24"/>
        <v>0</v>
      </c>
      <c r="CX5" s="427">
        <f t="shared" si="24"/>
        <v>0</v>
      </c>
      <c r="CY5" s="246"/>
      <c r="CZ5" s="427">
        <f t="shared" si="24"/>
        <v>0.21993637194067719</v>
      </c>
      <c r="DA5" s="427">
        <f t="shared" si="24"/>
        <v>0</v>
      </c>
      <c r="DB5" s="427">
        <f t="shared" si="24"/>
        <v>0.16008637194067718</v>
      </c>
      <c r="DC5" s="427">
        <f t="shared" si="24"/>
        <v>5.9850000000000007E-2</v>
      </c>
      <c r="DD5" s="427">
        <f t="shared" si="24"/>
        <v>0</v>
      </c>
      <c r="DE5" s="428"/>
      <c r="DF5" s="429"/>
      <c r="DG5" s="429"/>
      <c r="DH5" s="429"/>
      <c r="DI5" s="428"/>
      <c r="DJ5" s="246"/>
      <c r="DK5" s="246"/>
      <c r="DL5" s="427">
        <f t="shared" ref="DL5:DV5" si="26">DL9+DL49+DL233</f>
        <v>39</v>
      </c>
      <c r="DM5" s="427">
        <f t="shared" si="26"/>
        <v>39</v>
      </c>
      <c r="DN5" s="427">
        <f t="shared" si="26"/>
        <v>0</v>
      </c>
      <c r="DO5" s="427">
        <f t="shared" si="26"/>
        <v>0</v>
      </c>
      <c r="DP5" s="427">
        <f t="shared" si="26"/>
        <v>0</v>
      </c>
      <c r="DQ5" s="430"/>
      <c r="DR5" s="427">
        <f t="shared" si="26"/>
        <v>36</v>
      </c>
      <c r="DS5" s="427">
        <f t="shared" si="26"/>
        <v>21</v>
      </c>
      <c r="DT5" s="427">
        <f t="shared" si="26"/>
        <v>12</v>
      </c>
      <c r="DU5" s="427">
        <f t="shared" si="26"/>
        <v>3</v>
      </c>
      <c r="DV5" s="427">
        <f t="shared" si="26"/>
        <v>0</v>
      </c>
      <c r="DW5" s="428"/>
      <c r="DX5" s="428"/>
      <c r="DY5" s="687"/>
      <c r="DZ5" s="408"/>
      <c r="EA5" s="427">
        <f t="shared" ref="EA5:EN5" si="27">EA9+EA49+EA233</f>
        <v>1.334586099</v>
      </c>
      <c r="EB5" s="427">
        <f t="shared" ref="EB5:EB68" si="28">EC5+EJ5</f>
        <v>1.2261927940500001</v>
      </c>
      <c r="EC5" s="427">
        <f t="shared" si="27"/>
        <v>1.2261927940500001</v>
      </c>
      <c r="ED5" s="427">
        <f t="shared" si="27"/>
        <v>0.10839330494999999</v>
      </c>
      <c r="EE5" s="427">
        <f t="shared" si="27"/>
        <v>4.1664E-2</v>
      </c>
      <c r="EF5" s="427">
        <f t="shared" si="27"/>
        <v>6.6729304949999999E-2</v>
      </c>
      <c r="EG5" s="427">
        <f t="shared" si="27"/>
        <v>0</v>
      </c>
      <c r="EH5" s="427">
        <f t="shared" si="27"/>
        <v>0</v>
      </c>
      <c r="EI5" s="246"/>
      <c r="EJ5" s="427">
        <f t="shared" si="27"/>
        <v>0</v>
      </c>
      <c r="EK5" s="427">
        <f t="shared" si="27"/>
        <v>0</v>
      </c>
      <c r="EL5" s="427">
        <f t="shared" si="27"/>
        <v>0</v>
      </c>
      <c r="EM5" s="427">
        <f t="shared" si="27"/>
        <v>0</v>
      </c>
      <c r="EN5" s="427">
        <f t="shared" si="27"/>
        <v>0</v>
      </c>
      <c r="EO5" s="428"/>
      <c r="EP5" s="429"/>
      <c r="EQ5" s="429"/>
      <c r="ER5" s="429"/>
      <c r="ES5" s="428"/>
      <c r="ET5" s="246"/>
      <c r="EU5" s="246"/>
      <c r="EV5" s="427">
        <f t="shared" ref="EV5:FF5" si="29">EV9+EV49+EV233</f>
        <v>10</v>
      </c>
      <c r="EW5" s="427">
        <f t="shared" si="29"/>
        <v>10</v>
      </c>
      <c r="EX5" s="427">
        <f t="shared" si="29"/>
        <v>0</v>
      </c>
      <c r="EY5" s="427">
        <f t="shared" si="29"/>
        <v>0</v>
      </c>
      <c r="EZ5" s="427">
        <f t="shared" si="29"/>
        <v>0</v>
      </c>
      <c r="FA5" s="430"/>
      <c r="FB5" s="427">
        <f t="shared" si="29"/>
        <v>0</v>
      </c>
      <c r="FC5" s="427">
        <f t="shared" si="29"/>
        <v>0</v>
      </c>
      <c r="FD5" s="427">
        <f t="shared" si="29"/>
        <v>0</v>
      </c>
      <c r="FE5" s="427">
        <f t="shared" si="29"/>
        <v>0</v>
      </c>
      <c r="FF5" s="427">
        <f t="shared" si="29"/>
        <v>0</v>
      </c>
      <c r="FG5" s="428"/>
    </row>
    <row r="6" spans="1:163" ht="3" customHeight="1">
      <c r="D6" s="432"/>
      <c r="E6" s="433"/>
      <c r="F6" s="434"/>
      <c r="G6" s="435"/>
      <c r="H6" s="436"/>
      <c r="I6" s="436"/>
      <c r="J6" s="436"/>
      <c r="K6" s="436"/>
      <c r="L6" s="436"/>
      <c r="M6" s="437"/>
      <c r="N6" s="437"/>
      <c r="O6" s="436"/>
      <c r="P6" s="436"/>
      <c r="Q6" s="436"/>
      <c r="R6" s="436"/>
      <c r="S6" s="437"/>
      <c r="T6" s="433"/>
      <c r="V6" s="438"/>
      <c r="W6" s="434"/>
      <c r="X6" s="435"/>
      <c r="Y6" s="435"/>
      <c r="Z6" s="435"/>
      <c r="AA6" s="435"/>
      <c r="AB6" s="435"/>
      <c r="AC6" s="435"/>
      <c r="AD6" s="435"/>
      <c r="AE6" s="435"/>
      <c r="AF6" s="435"/>
      <c r="AG6" s="435"/>
      <c r="AH6" s="435"/>
      <c r="AI6" s="435"/>
      <c r="AJ6" s="435"/>
      <c r="AK6" s="435"/>
      <c r="AL6" s="435"/>
      <c r="AM6" s="435"/>
      <c r="AN6" s="435"/>
      <c r="AO6" s="435"/>
      <c r="AP6" s="435"/>
      <c r="AQ6" s="435"/>
      <c r="AR6" s="435"/>
      <c r="AS6" s="435"/>
      <c r="AT6" s="435"/>
      <c r="AU6" s="435"/>
      <c r="AV6" s="435"/>
      <c r="AW6" s="435"/>
      <c r="AX6" s="435"/>
      <c r="AY6" s="435"/>
      <c r="AZ6" s="435"/>
      <c r="BA6" s="435"/>
      <c r="BB6" s="435"/>
      <c r="BC6" s="435"/>
      <c r="BD6" s="435"/>
      <c r="BE6" s="435"/>
      <c r="BF6" s="435"/>
      <c r="BG6" s="435"/>
      <c r="BH6" s="435"/>
      <c r="BI6" s="435"/>
      <c r="BJ6" s="435"/>
      <c r="BK6" s="435"/>
      <c r="BL6" s="435"/>
      <c r="BM6" s="435"/>
      <c r="BN6" s="435"/>
      <c r="BO6" s="435"/>
      <c r="BP6" s="435"/>
      <c r="BQ6" s="435"/>
      <c r="BR6" s="435"/>
      <c r="BS6" s="435"/>
      <c r="BT6" s="435"/>
      <c r="BU6" s="435"/>
      <c r="BV6" s="435"/>
      <c r="BW6" s="435"/>
      <c r="BX6" s="435"/>
      <c r="BY6" s="435"/>
      <c r="BZ6" s="435"/>
      <c r="CA6" s="435"/>
      <c r="CB6" s="435"/>
      <c r="CC6" s="435"/>
      <c r="CD6" s="435"/>
      <c r="CE6" s="435"/>
      <c r="CF6" s="435"/>
      <c r="CG6" s="435"/>
      <c r="CH6" s="435"/>
      <c r="CI6" s="435"/>
      <c r="CJ6" s="435"/>
      <c r="CK6" s="435"/>
      <c r="CL6" s="435"/>
      <c r="CM6" s="435"/>
      <c r="CN6" s="435"/>
      <c r="CO6" s="435"/>
      <c r="CP6" s="435"/>
      <c r="CQ6" s="435"/>
      <c r="CR6" s="435"/>
      <c r="CS6" s="435"/>
      <c r="CT6" s="435"/>
      <c r="CU6" s="435"/>
      <c r="CV6" s="435"/>
      <c r="CW6" s="435"/>
      <c r="CX6" s="435"/>
      <c r="CY6" s="435"/>
      <c r="CZ6" s="435"/>
      <c r="DA6" s="435"/>
      <c r="DB6" s="435"/>
      <c r="DC6" s="435"/>
      <c r="DD6" s="435"/>
      <c r="DE6" s="435"/>
      <c r="DF6" s="435"/>
      <c r="DG6" s="435"/>
      <c r="DH6" s="435"/>
      <c r="DI6" s="435"/>
      <c r="DJ6" s="435"/>
      <c r="DK6" s="435"/>
      <c r="DL6" s="435"/>
      <c r="DM6" s="435"/>
      <c r="DN6" s="435"/>
      <c r="DO6" s="435"/>
      <c r="DP6" s="435"/>
      <c r="DQ6" s="435"/>
      <c r="DR6" s="435"/>
      <c r="DS6" s="435"/>
      <c r="DT6" s="435"/>
      <c r="DU6" s="435"/>
      <c r="DV6" s="435"/>
      <c r="DW6" s="435"/>
      <c r="DX6" s="435"/>
      <c r="DY6" s="435"/>
      <c r="DZ6" s="435"/>
      <c r="EA6" s="435"/>
      <c r="EB6" s="435"/>
      <c r="EC6" s="435"/>
      <c r="ED6" s="435"/>
      <c r="EE6" s="435"/>
      <c r="EF6" s="435"/>
      <c r="EG6" s="435"/>
      <c r="EH6" s="435"/>
      <c r="EI6" s="435"/>
      <c r="EJ6" s="435"/>
      <c r="EK6" s="435"/>
      <c r="EL6" s="435"/>
      <c r="EM6" s="435"/>
      <c r="EN6" s="435"/>
      <c r="EO6" s="435"/>
      <c r="EP6" s="435"/>
      <c r="EQ6" s="435"/>
      <c r="ER6" s="435"/>
      <c r="ES6" s="435"/>
      <c r="ET6" s="435"/>
      <c r="EU6" s="435"/>
      <c r="EV6" s="435"/>
      <c r="EW6" s="435"/>
      <c r="EX6" s="435"/>
      <c r="EY6" s="435"/>
      <c r="EZ6" s="435"/>
      <c r="FA6" s="435"/>
      <c r="FB6" s="435"/>
      <c r="FC6" s="435"/>
      <c r="FD6" s="435"/>
      <c r="FE6" s="435"/>
      <c r="FF6" s="435"/>
      <c r="FG6" s="435"/>
    </row>
    <row r="7" spans="1:163" ht="3" customHeight="1">
      <c r="B7" s="439"/>
      <c r="C7" s="439"/>
      <c r="D7" s="440"/>
      <c r="E7" s="441"/>
      <c r="F7" s="442"/>
      <c r="G7" s="443"/>
      <c r="H7" s="444"/>
      <c r="I7" s="444"/>
      <c r="J7" s="444"/>
      <c r="K7" s="444"/>
      <c r="L7" s="444"/>
      <c r="M7" s="445"/>
      <c r="N7" s="445"/>
      <c r="O7" s="444"/>
      <c r="P7" s="444"/>
      <c r="Q7" s="444"/>
      <c r="R7" s="444"/>
      <c r="S7" s="445"/>
      <c r="T7" s="441"/>
      <c r="U7" s="446"/>
      <c r="V7" s="446"/>
      <c r="W7" s="442"/>
      <c r="X7" s="443"/>
      <c r="Y7" s="443"/>
      <c r="Z7" s="443"/>
      <c r="AA7" s="443"/>
      <c r="AB7" s="443"/>
      <c r="AC7" s="443"/>
      <c r="AD7" s="443"/>
      <c r="AE7" s="443"/>
      <c r="AF7" s="443"/>
      <c r="AG7" s="443"/>
      <c r="AH7" s="443"/>
      <c r="AI7" s="443"/>
      <c r="AJ7" s="443"/>
      <c r="AK7" s="443"/>
      <c r="AL7" s="443"/>
      <c r="AM7" s="443"/>
      <c r="AN7" s="443"/>
      <c r="AO7" s="443"/>
      <c r="AP7" s="443"/>
      <c r="AQ7" s="443"/>
      <c r="AR7" s="443"/>
      <c r="AS7" s="443"/>
      <c r="AT7" s="443"/>
      <c r="AU7" s="443"/>
      <c r="AV7" s="443"/>
      <c r="AW7" s="443"/>
      <c r="AX7" s="443"/>
      <c r="AY7" s="443"/>
      <c r="AZ7" s="443"/>
      <c r="BA7" s="443"/>
      <c r="BB7" s="443"/>
      <c r="BC7" s="443"/>
      <c r="BD7" s="443"/>
      <c r="BE7" s="443"/>
      <c r="BF7" s="443"/>
      <c r="BG7" s="443"/>
      <c r="BH7" s="443"/>
      <c r="BI7" s="443"/>
      <c r="BJ7" s="443"/>
      <c r="BK7" s="443"/>
      <c r="BL7" s="443"/>
      <c r="BM7" s="443"/>
      <c r="BN7" s="443"/>
      <c r="BO7" s="443"/>
      <c r="BP7" s="443"/>
      <c r="BQ7" s="443"/>
      <c r="BR7" s="443"/>
      <c r="BS7" s="443"/>
      <c r="BT7" s="443"/>
      <c r="BU7" s="443"/>
      <c r="BV7" s="443"/>
      <c r="BW7" s="443"/>
      <c r="BX7" s="443"/>
      <c r="BY7" s="443"/>
      <c r="BZ7" s="443"/>
      <c r="CA7" s="443"/>
      <c r="CB7" s="443"/>
      <c r="CC7" s="443"/>
      <c r="CD7" s="443"/>
      <c r="CE7" s="443"/>
      <c r="CF7" s="443"/>
      <c r="CG7" s="443"/>
      <c r="CH7" s="443"/>
      <c r="CI7" s="443"/>
      <c r="CJ7" s="443"/>
      <c r="CK7" s="443"/>
      <c r="CL7" s="443"/>
      <c r="CM7" s="443"/>
      <c r="CN7" s="443"/>
      <c r="CO7" s="443"/>
      <c r="CP7" s="443"/>
      <c r="CQ7" s="443"/>
      <c r="CR7" s="443"/>
      <c r="CS7" s="443"/>
      <c r="CT7" s="443"/>
      <c r="CU7" s="443"/>
      <c r="CV7" s="443"/>
      <c r="CW7" s="443"/>
      <c r="CX7" s="443"/>
      <c r="CY7" s="443"/>
      <c r="CZ7" s="443"/>
      <c r="DA7" s="443"/>
      <c r="DB7" s="443"/>
      <c r="DC7" s="443"/>
      <c r="DD7" s="443"/>
      <c r="DE7" s="443"/>
      <c r="DF7" s="443"/>
      <c r="DG7" s="443"/>
      <c r="DH7" s="443"/>
      <c r="DI7" s="443"/>
      <c r="DJ7" s="443"/>
      <c r="DK7" s="443"/>
      <c r="DL7" s="443"/>
      <c r="DM7" s="443"/>
      <c r="DN7" s="443"/>
      <c r="DO7" s="443"/>
      <c r="DP7" s="443"/>
      <c r="DQ7" s="443"/>
      <c r="DR7" s="443"/>
      <c r="DS7" s="443"/>
      <c r="DT7" s="443"/>
      <c r="DU7" s="443"/>
      <c r="DV7" s="443"/>
      <c r="DW7" s="443"/>
      <c r="DX7" s="443"/>
      <c r="DY7" s="443"/>
      <c r="DZ7" s="443"/>
      <c r="EA7" s="443"/>
      <c r="EB7" s="443"/>
      <c r="EC7" s="443"/>
      <c r="ED7" s="443"/>
      <c r="EE7" s="443"/>
      <c r="EF7" s="443"/>
      <c r="EG7" s="443"/>
      <c r="EH7" s="443"/>
      <c r="EI7" s="443"/>
      <c r="EJ7" s="443"/>
      <c r="EK7" s="443"/>
      <c r="EL7" s="443"/>
      <c r="EM7" s="443"/>
      <c r="EN7" s="443"/>
      <c r="EO7" s="443"/>
      <c r="EP7" s="443"/>
      <c r="EQ7" s="443"/>
      <c r="ER7" s="443"/>
      <c r="ES7" s="443"/>
      <c r="ET7" s="443"/>
      <c r="EU7" s="443"/>
      <c r="EV7" s="443"/>
      <c r="EW7" s="443"/>
      <c r="EX7" s="443"/>
      <c r="EY7" s="443"/>
      <c r="EZ7" s="443"/>
      <c r="FA7" s="443"/>
      <c r="FB7" s="443"/>
      <c r="FC7" s="443"/>
      <c r="FD7" s="443"/>
      <c r="FE7" s="443"/>
      <c r="FF7" s="443"/>
      <c r="FG7" s="443"/>
    </row>
    <row r="8" spans="1:163" ht="3" customHeight="1">
      <c r="D8" s="432"/>
      <c r="E8" s="433"/>
      <c r="F8" s="434"/>
      <c r="G8" s="435"/>
      <c r="H8" s="447"/>
      <c r="I8" s="447"/>
      <c r="J8" s="447"/>
      <c r="K8" s="447"/>
      <c r="L8" s="447"/>
      <c r="M8" s="448"/>
      <c r="N8" s="448"/>
      <c r="O8" s="447"/>
      <c r="P8" s="447"/>
      <c r="Q8" s="447"/>
      <c r="R8" s="447"/>
      <c r="S8" s="448"/>
      <c r="T8" s="433"/>
      <c r="U8" s="449"/>
      <c r="V8" s="438"/>
      <c r="W8" s="434"/>
      <c r="X8" s="435"/>
      <c r="Y8" s="435"/>
      <c r="Z8" s="435"/>
      <c r="AA8" s="435"/>
      <c r="AB8" s="435"/>
      <c r="AC8" s="435"/>
      <c r="AD8" s="435"/>
      <c r="AE8" s="435"/>
      <c r="AF8" s="435"/>
      <c r="AG8" s="435"/>
      <c r="AH8" s="435"/>
      <c r="AI8" s="435"/>
      <c r="AJ8" s="435"/>
      <c r="AK8" s="435"/>
      <c r="AL8" s="435"/>
      <c r="AM8" s="435"/>
      <c r="AN8" s="435"/>
      <c r="AO8" s="435"/>
      <c r="AP8" s="435"/>
      <c r="AQ8" s="435"/>
      <c r="AR8" s="435"/>
      <c r="AS8" s="435"/>
      <c r="AT8" s="435"/>
      <c r="AU8" s="435"/>
      <c r="AV8" s="435"/>
      <c r="AW8" s="435"/>
      <c r="AX8" s="435"/>
      <c r="AY8" s="435"/>
      <c r="AZ8" s="435"/>
      <c r="BA8" s="435"/>
      <c r="BB8" s="435"/>
      <c r="BC8" s="435"/>
      <c r="BD8" s="435"/>
      <c r="BE8" s="435"/>
      <c r="BF8" s="435"/>
      <c r="BG8" s="435"/>
      <c r="BH8" s="435"/>
      <c r="BI8" s="435"/>
      <c r="BJ8" s="435"/>
      <c r="BK8" s="435"/>
      <c r="BL8" s="435"/>
      <c r="BM8" s="435"/>
      <c r="BN8" s="435"/>
      <c r="BO8" s="435"/>
      <c r="BP8" s="435"/>
      <c r="BQ8" s="435"/>
      <c r="BR8" s="435"/>
      <c r="BS8" s="435"/>
      <c r="BT8" s="435"/>
      <c r="BU8" s="435"/>
      <c r="BV8" s="435"/>
      <c r="BW8" s="435"/>
      <c r="BX8" s="435"/>
      <c r="BY8" s="435"/>
      <c r="BZ8" s="435"/>
      <c r="CA8" s="435"/>
      <c r="CB8" s="435"/>
      <c r="CC8" s="435"/>
      <c r="CD8" s="435"/>
      <c r="CE8" s="435"/>
      <c r="CF8" s="435"/>
      <c r="CG8" s="435"/>
      <c r="CH8" s="435"/>
      <c r="CI8" s="435"/>
      <c r="CJ8" s="435"/>
      <c r="CK8" s="435"/>
      <c r="CL8" s="435"/>
      <c r="CM8" s="435"/>
      <c r="CN8" s="435"/>
      <c r="CO8" s="435"/>
      <c r="CP8" s="435"/>
      <c r="CQ8" s="435"/>
      <c r="CR8" s="435"/>
      <c r="CS8" s="435"/>
      <c r="CT8" s="435"/>
      <c r="CU8" s="435"/>
      <c r="CV8" s="435"/>
      <c r="CW8" s="435"/>
      <c r="CX8" s="435"/>
      <c r="CY8" s="435"/>
      <c r="CZ8" s="435"/>
      <c r="DA8" s="435"/>
      <c r="DB8" s="435"/>
      <c r="DC8" s="435"/>
      <c r="DD8" s="435"/>
      <c r="DE8" s="435"/>
      <c r="DF8" s="435"/>
      <c r="DG8" s="435"/>
      <c r="DH8" s="435"/>
      <c r="DI8" s="435"/>
      <c r="DJ8" s="435"/>
      <c r="DK8" s="435"/>
      <c r="DL8" s="435"/>
      <c r="DM8" s="435"/>
      <c r="DN8" s="435"/>
      <c r="DO8" s="435"/>
      <c r="DP8" s="435"/>
      <c r="DQ8" s="435"/>
      <c r="DR8" s="435"/>
      <c r="DS8" s="435"/>
      <c r="DT8" s="435"/>
      <c r="DU8" s="435"/>
      <c r="DV8" s="435"/>
      <c r="DW8" s="435"/>
      <c r="DX8" s="435"/>
      <c r="DY8" s="435"/>
      <c r="DZ8" s="435"/>
      <c r="EA8" s="435"/>
      <c r="EB8" s="435"/>
      <c r="EC8" s="435"/>
      <c r="ED8" s="435"/>
      <c r="EE8" s="435"/>
      <c r="EF8" s="435"/>
      <c r="EG8" s="435"/>
      <c r="EH8" s="435"/>
      <c r="EI8" s="435"/>
      <c r="EJ8" s="435"/>
      <c r="EK8" s="435"/>
      <c r="EL8" s="435"/>
      <c r="EM8" s="435"/>
      <c r="EN8" s="435"/>
      <c r="EO8" s="435"/>
      <c r="EP8" s="435"/>
      <c r="EQ8" s="435"/>
      <c r="ER8" s="435"/>
      <c r="ES8" s="435"/>
      <c r="ET8" s="435"/>
      <c r="EU8" s="435"/>
      <c r="EV8" s="435"/>
      <c r="EW8" s="435"/>
      <c r="EX8" s="435"/>
      <c r="EY8" s="435"/>
      <c r="EZ8" s="435"/>
      <c r="FA8" s="435"/>
      <c r="FB8" s="435"/>
      <c r="FC8" s="435"/>
      <c r="FD8" s="435"/>
      <c r="FE8" s="435"/>
      <c r="FF8" s="435"/>
      <c r="FG8" s="435"/>
    </row>
    <row r="9" spans="1:163" ht="18">
      <c r="B9" s="48"/>
      <c r="C9" s="692" t="s">
        <v>20</v>
      </c>
      <c r="D9" s="692"/>
      <c r="E9" s="433"/>
      <c r="F9" s="450"/>
      <c r="G9" s="450"/>
      <c r="H9" s="450"/>
      <c r="I9" s="450"/>
      <c r="J9" s="451"/>
      <c r="K9" s="451"/>
      <c r="L9" s="451"/>
      <c r="M9" s="451"/>
      <c r="N9" s="451"/>
      <c r="O9" s="450"/>
      <c r="P9" s="451"/>
      <c r="Q9" s="451"/>
      <c r="R9" s="451"/>
      <c r="S9" s="451"/>
      <c r="T9" s="433"/>
      <c r="U9" s="452"/>
      <c r="V9" s="453"/>
      <c r="W9" s="450">
        <f>W11+W17+W30+W39+W23</f>
        <v>25.9174395</v>
      </c>
      <c r="X9" s="450">
        <f t="shared" si="19"/>
        <v>25.9174395</v>
      </c>
      <c r="Y9" s="450">
        <f>Y11+Y17+Y30+Y39+Y23</f>
        <v>25.9174395</v>
      </c>
      <c r="Z9" s="450">
        <f>Z11+Z17+Z30+Z39+Z23</f>
        <v>0</v>
      </c>
      <c r="AA9" s="451"/>
      <c r="AB9" s="451"/>
      <c r="AC9" s="451"/>
      <c r="AD9" s="451"/>
      <c r="AE9" s="451"/>
      <c r="AF9" s="450">
        <f>AF11+AF17+AF30+AF39+AF23</f>
        <v>0</v>
      </c>
      <c r="AG9" s="451"/>
      <c r="AH9" s="451"/>
      <c r="AI9" s="451"/>
      <c r="AJ9" s="451"/>
      <c r="AK9" s="451"/>
      <c r="AL9" s="454"/>
      <c r="AM9" s="454"/>
      <c r="AN9" s="454"/>
      <c r="AO9" s="454"/>
      <c r="AP9" s="455"/>
      <c r="AQ9" s="455"/>
      <c r="AR9" s="455"/>
      <c r="AS9" s="455"/>
      <c r="AT9" s="455"/>
      <c r="AU9" s="455"/>
      <c r="AV9" s="455"/>
      <c r="AW9" s="455"/>
      <c r="AX9" s="455"/>
      <c r="AY9" s="455"/>
      <c r="AZ9" s="455"/>
      <c r="BA9" s="455"/>
      <c r="BB9" s="455"/>
      <c r="BC9" s="455"/>
      <c r="BD9" s="455"/>
      <c r="BE9" s="456"/>
      <c r="BF9" s="453"/>
      <c r="BG9" s="450">
        <f>BG11+BG17+BG30+BG39+BG23</f>
        <v>5.3906323579951119</v>
      </c>
      <c r="BH9" s="450">
        <f t="shared" si="22"/>
        <v>5.3906323579951119</v>
      </c>
      <c r="BI9" s="450">
        <f>BI11+BI17+BI30+BI39+BI23</f>
        <v>5.3906323579951119</v>
      </c>
      <c r="BJ9" s="450">
        <f>BJ11+BJ17+BJ30+BJ39+BJ23</f>
        <v>0</v>
      </c>
      <c r="BK9" s="451"/>
      <c r="BL9" s="451"/>
      <c r="BM9" s="451"/>
      <c r="BN9" s="451"/>
      <c r="BO9" s="451"/>
      <c r="BP9" s="450">
        <f>BP11+BP17+BP30+BP39+BP23</f>
        <v>0</v>
      </c>
      <c r="BQ9" s="451"/>
      <c r="BR9" s="451"/>
      <c r="BS9" s="451"/>
      <c r="BT9" s="451"/>
      <c r="BU9" s="451"/>
      <c r="BV9" s="457"/>
      <c r="BW9" s="457"/>
      <c r="BX9" s="457"/>
      <c r="BY9" s="454"/>
      <c r="BZ9" s="458"/>
      <c r="CA9" s="458"/>
      <c r="CB9" s="459"/>
      <c r="CC9" s="460"/>
      <c r="CD9" s="460"/>
      <c r="CE9" s="460"/>
      <c r="CF9" s="460"/>
      <c r="CG9" s="460"/>
      <c r="CH9" s="459"/>
      <c r="CI9" s="460"/>
      <c r="CJ9" s="460"/>
      <c r="CK9" s="460"/>
      <c r="CL9" s="460"/>
      <c r="CM9" s="453"/>
      <c r="CN9" s="453"/>
      <c r="CO9" s="456"/>
      <c r="CP9" s="453"/>
      <c r="CQ9" s="450">
        <f>CQ11+CQ17+CQ30+CQ39+CQ23</f>
        <v>1.4432595781877409</v>
      </c>
      <c r="CR9" s="450">
        <f t="shared" si="25"/>
        <v>1.4432595781877409</v>
      </c>
      <c r="CS9" s="450">
        <f>CS11+CS17+CS30+CS39+CS23</f>
        <v>1.4432595781877409</v>
      </c>
      <c r="CT9" s="450">
        <f>CT11+CT17+CT30+CT39+CT23</f>
        <v>0</v>
      </c>
      <c r="CU9" s="451"/>
      <c r="CV9" s="451"/>
      <c r="CW9" s="451"/>
      <c r="CX9" s="451"/>
      <c r="CY9" s="451"/>
      <c r="CZ9" s="450">
        <f>CZ11+CZ17+CZ30+CZ39+CZ23</f>
        <v>0</v>
      </c>
      <c r="DA9" s="451"/>
      <c r="DB9" s="451"/>
      <c r="DC9" s="451"/>
      <c r="DD9" s="451"/>
      <c r="DE9" s="451"/>
      <c r="DF9" s="461"/>
      <c r="DG9" s="461"/>
      <c r="DH9" s="461"/>
      <c r="DI9" s="454"/>
      <c r="DJ9" s="455"/>
      <c r="DK9" s="455"/>
      <c r="DL9" s="455"/>
      <c r="DM9" s="451"/>
      <c r="DN9" s="451"/>
      <c r="DO9" s="451"/>
      <c r="DP9" s="451"/>
      <c r="DQ9" s="451"/>
      <c r="DR9" s="455"/>
      <c r="DS9" s="451"/>
      <c r="DT9" s="451"/>
      <c r="DU9" s="451"/>
      <c r="DV9" s="451"/>
      <c r="DW9" s="453"/>
      <c r="DX9" s="453"/>
      <c r="DY9" s="452"/>
      <c r="DZ9" s="453"/>
      <c r="EA9" s="450">
        <f>EA11+EA17+EA30+EA39+EA23</f>
        <v>0.53383443959999999</v>
      </c>
      <c r="EB9" s="450">
        <f t="shared" si="28"/>
        <v>0.53383443959999999</v>
      </c>
      <c r="EC9" s="450">
        <f>EC11+EC17+EC30+EC39+EC23</f>
        <v>0.53383443959999999</v>
      </c>
      <c r="ED9" s="450">
        <f>ED11+ED17+ED30+ED39+ED23</f>
        <v>0</v>
      </c>
      <c r="EE9" s="462"/>
      <c r="EF9" s="462"/>
      <c r="EG9" s="462"/>
      <c r="EH9" s="462"/>
      <c r="EI9" s="462"/>
      <c r="EJ9" s="450">
        <f>EJ11+EJ17+EJ30+EJ39+EJ23</f>
        <v>0</v>
      </c>
      <c r="EK9" s="462"/>
      <c r="EL9" s="462"/>
      <c r="EM9" s="462"/>
      <c r="EN9" s="462"/>
      <c r="EO9" s="462"/>
      <c r="EP9" s="463"/>
      <c r="EQ9" s="463"/>
      <c r="ER9" s="463"/>
      <c r="ES9" s="462"/>
      <c r="ET9" s="462"/>
      <c r="EU9" s="462"/>
      <c r="EV9" s="462"/>
      <c r="EW9" s="462"/>
      <c r="EX9" s="462"/>
      <c r="EY9" s="462"/>
      <c r="EZ9" s="462"/>
      <c r="FA9" s="462"/>
      <c r="FB9" s="462"/>
      <c r="FC9" s="462"/>
      <c r="FD9" s="462"/>
      <c r="FE9" s="462"/>
      <c r="FF9" s="462"/>
      <c r="FG9" s="462"/>
    </row>
    <row r="10" spans="1:163" ht="3" customHeight="1" outlineLevel="1">
      <c r="D10" s="433"/>
      <c r="E10" s="433"/>
      <c r="F10" s="434"/>
      <c r="G10" s="435"/>
      <c r="H10" s="447"/>
      <c r="I10" s="447"/>
      <c r="J10" s="447"/>
      <c r="K10" s="447"/>
      <c r="L10" s="447"/>
      <c r="M10" s="447"/>
      <c r="N10" s="447"/>
      <c r="O10" s="447"/>
      <c r="P10" s="447"/>
      <c r="Q10" s="447"/>
      <c r="R10" s="447"/>
      <c r="S10" s="447"/>
      <c r="T10" s="433"/>
      <c r="U10" s="449"/>
      <c r="V10" s="464"/>
      <c r="W10" s="434"/>
      <c r="X10" s="435">
        <f t="shared" si="19"/>
        <v>0</v>
      </c>
      <c r="Y10" s="447"/>
      <c r="Z10" s="447"/>
      <c r="AA10" s="447"/>
      <c r="AB10" s="447"/>
      <c r="AC10" s="447"/>
      <c r="AD10" s="447"/>
      <c r="AE10" s="447"/>
      <c r="AF10" s="447"/>
      <c r="AG10" s="447"/>
      <c r="AH10" s="447"/>
      <c r="AI10" s="447"/>
      <c r="AJ10" s="447"/>
      <c r="AK10" s="447"/>
      <c r="AL10" s="465"/>
      <c r="AM10" s="465"/>
      <c r="AN10" s="465"/>
      <c r="AO10" s="465"/>
      <c r="AP10" s="466"/>
      <c r="AQ10" s="466"/>
      <c r="AR10" s="466"/>
      <c r="AS10" s="466"/>
      <c r="AT10" s="466"/>
      <c r="AU10" s="466"/>
      <c r="AV10" s="466"/>
      <c r="AW10" s="466"/>
      <c r="AX10" s="466"/>
      <c r="AY10" s="466"/>
      <c r="AZ10" s="466"/>
      <c r="BA10" s="466"/>
      <c r="BB10" s="466"/>
      <c r="BC10" s="466"/>
      <c r="BD10" s="466"/>
      <c r="BE10" s="467"/>
      <c r="BF10" s="468"/>
      <c r="BG10" s="469"/>
      <c r="BH10" s="450">
        <f t="shared" si="22"/>
        <v>0</v>
      </c>
      <c r="BI10" s="447"/>
      <c r="BJ10" s="447"/>
      <c r="BK10" s="447"/>
      <c r="BL10" s="447"/>
      <c r="BM10" s="447"/>
      <c r="BN10" s="447"/>
      <c r="BO10" s="447"/>
      <c r="BP10" s="447"/>
      <c r="BQ10" s="447"/>
      <c r="BR10" s="447"/>
      <c r="BS10" s="447"/>
      <c r="BT10" s="447"/>
      <c r="BU10" s="447"/>
      <c r="BV10" s="470"/>
      <c r="BW10" s="470"/>
      <c r="BX10" s="470"/>
      <c r="BY10" s="465"/>
      <c r="BZ10" s="471"/>
      <c r="CA10" s="471"/>
      <c r="CB10" s="471"/>
      <c r="CC10" s="472"/>
      <c r="CD10" s="472"/>
      <c r="CE10" s="472"/>
      <c r="CF10" s="472"/>
      <c r="CG10" s="472"/>
      <c r="CH10" s="471"/>
      <c r="CI10" s="472"/>
      <c r="CJ10" s="472"/>
      <c r="CK10" s="472"/>
      <c r="CL10" s="472"/>
      <c r="CM10" s="468"/>
      <c r="CN10" s="468"/>
      <c r="CO10" s="467"/>
      <c r="CP10" s="468"/>
      <c r="CQ10" s="469"/>
      <c r="CR10" s="450">
        <f t="shared" si="25"/>
        <v>0</v>
      </c>
      <c r="CS10" s="447"/>
      <c r="CT10" s="447"/>
      <c r="CU10" s="447"/>
      <c r="CV10" s="447"/>
      <c r="CW10" s="447"/>
      <c r="CX10" s="447"/>
      <c r="CY10" s="447"/>
      <c r="CZ10" s="447"/>
      <c r="DA10" s="447"/>
      <c r="DB10" s="447"/>
      <c r="DC10" s="447"/>
      <c r="DD10" s="447"/>
      <c r="DE10" s="447"/>
      <c r="DF10" s="473"/>
      <c r="DG10" s="473"/>
      <c r="DH10" s="473"/>
      <c r="DI10" s="465"/>
      <c r="DJ10" s="466"/>
      <c r="DK10" s="466"/>
      <c r="DL10" s="466"/>
      <c r="DM10" s="447"/>
      <c r="DN10" s="447"/>
      <c r="DO10" s="447"/>
      <c r="DP10" s="447"/>
      <c r="DQ10" s="447"/>
      <c r="DR10" s="466"/>
      <c r="DS10" s="447"/>
      <c r="DT10" s="447"/>
      <c r="DU10" s="447"/>
      <c r="DV10" s="447"/>
      <c r="DW10" s="468"/>
      <c r="DX10" s="468"/>
      <c r="DY10" s="449"/>
      <c r="DZ10" s="468"/>
      <c r="EA10" s="469"/>
      <c r="EB10" s="450">
        <f t="shared" si="28"/>
        <v>0</v>
      </c>
      <c r="EC10" s="448"/>
      <c r="ED10" s="448"/>
      <c r="EE10" s="448"/>
      <c r="EF10" s="448"/>
      <c r="EG10" s="448"/>
      <c r="EH10" s="448"/>
      <c r="EI10" s="448"/>
      <c r="EJ10" s="448"/>
      <c r="EK10" s="448"/>
      <c r="EL10" s="448"/>
      <c r="EM10" s="448"/>
      <c r="EN10" s="448"/>
      <c r="EO10" s="448"/>
      <c r="EP10" s="474"/>
      <c r="EQ10" s="474"/>
      <c r="ER10" s="474"/>
      <c r="ES10" s="475"/>
      <c r="ET10" s="476"/>
      <c r="EU10" s="476"/>
      <c r="EV10" s="476"/>
      <c r="EW10" s="448"/>
      <c r="EX10" s="448"/>
      <c r="EY10" s="448"/>
      <c r="EZ10" s="448"/>
      <c r="FA10" s="448"/>
      <c r="FB10" s="476"/>
      <c r="FC10" s="448"/>
      <c r="FD10" s="448"/>
      <c r="FE10" s="448"/>
      <c r="FF10" s="448"/>
      <c r="FG10" s="433"/>
    </row>
    <row r="11" spans="1:163" ht="14.25" outlineLevel="1" collapsed="1">
      <c r="B11" s="477"/>
      <c r="C11" s="477">
        <v>1</v>
      </c>
      <c r="D11" s="478" t="s">
        <v>21</v>
      </c>
      <c r="E11" s="479"/>
      <c r="F11" s="480">
        <f>W11+BG11+CQ11+EA11</f>
        <v>5.7594310000000002</v>
      </c>
      <c r="G11" s="480">
        <f>X11+BH11+CR11+EB11</f>
        <v>5.7594310000000002</v>
      </c>
      <c r="H11" s="481">
        <f>F11-G11</f>
        <v>0</v>
      </c>
      <c r="I11" s="480">
        <f t="shared" ref="I11:M11" si="30">Z11+BJ11+CT11+ED11</f>
        <v>0</v>
      </c>
      <c r="J11" s="480">
        <f t="shared" si="30"/>
        <v>0</v>
      </c>
      <c r="K11" s="480">
        <f t="shared" si="30"/>
        <v>0</v>
      </c>
      <c r="L11" s="480">
        <f t="shared" si="30"/>
        <v>0</v>
      </c>
      <c r="M11" s="480">
        <f t="shared" si="30"/>
        <v>0</v>
      </c>
      <c r="N11" s="482"/>
      <c r="O11" s="480">
        <f t="shared" ref="O11:S11" si="31">AF11+BP11+CZ11+EJ11</f>
        <v>0</v>
      </c>
      <c r="P11" s="480">
        <f t="shared" si="31"/>
        <v>0</v>
      </c>
      <c r="Q11" s="480">
        <f t="shared" si="31"/>
        <v>0</v>
      </c>
      <c r="R11" s="480">
        <f t="shared" si="31"/>
        <v>0</v>
      </c>
      <c r="S11" s="480">
        <f t="shared" si="31"/>
        <v>0</v>
      </c>
      <c r="T11" s="479"/>
      <c r="U11" s="483">
        <v>0.1</v>
      </c>
      <c r="V11" s="483"/>
      <c r="W11" s="480">
        <f>U11*(5%*'BOQ COST'!$E$4)*1</f>
        <v>5.7594310000000002</v>
      </c>
      <c r="X11" s="480">
        <f t="shared" si="19"/>
        <v>5.7594310000000002</v>
      </c>
      <c r="Y11" s="481">
        <f>W11</f>
        <v>5.7594310000000002</v>
      </c>
      <c r="Z11" s="481">
        <f>SUM(Z12:Z15)</f>
        <v>0</v>
      </c>
      <c r="AA11" s="482"/>
      <c r="AB11" s="482"/>
      <c r="AC11" s="482"/>
      <c r="AD11" s="482"/>
      <c r="AE11" s="482"/>
      <c r="AF11" s="481">
        <f>SUM(AF12:AF15)</f>
        <v>0</v>
      </c>
      <c r="AG11" s="482"/>
      <c r="AH11" s="482"/>
      <c r="AI11" s="482"/>
      <c r="AJ11" s="482"/>
      <c r="AK11" s="482"/>
      <c r="AL11" s="484"/>
      <c r="AM11" s="484"/>
      <c r="AN11" s="484"/>
      <c r="AO11" s="485"/>
      <c r="AP11" s="486"/>
      <c r="AQ11" s="487"/>
      <c r="AR11" s="481">
        <f t="shared" ref="AR11:AR69" si="32">SUM(AS11:AV11)</f>
        <v>0</v>
      </c>
      <c r="AS11" s="487"/>
      <c r="AT11" s="487"/>
      <c r="AU11" s="487"/>
      <c r="AV11" s="487"/>
      <c r="AW11" s="487"/>
      <c r="AX11" s="481">
        <f t="shared" ref="AX11:AX47" si="33">SUM(AY11:BB11)</f>
        <v>0</v>
      </c>
      <c r="AY11" s="487"/>
      <c r="AZ11" s="487"/>
      <c r="BA11" s="487"/>
      <c r="BB11" s="487"/>
      <c r="BC11" s="487"/>
      <c r="BD11" s="487"/>
      <c r="BE11" s="483">
        <v>0</v>
      </c>
      <c r="BF11" s="483"/>
      <c r="BG11" s="481">
        <f>BE11*(3%*'BOQ COST'!$F$4)*1</f>
        <v>0</v>
      </c>
      <c r="BH11" s="480">
        <f t="shared" si="22"/>
        <v>0</v>
      </c>
      <c r="BI11" s="481">
        <f>SUM(BI12:BI15)</f>
        <v>0</v>
      </c>
      <c r="BJ11" s="481">
        <f>SUM(BJ12:BJ15)</f>
        <v>0</v>
      </c>
      <c r="BK11" s="482"/>
      <c r="BL11" s="482"/>
      <c r="BM11" s="482"/>
      <c r="BN11" s="482"/>
      <c r="BO11" s="482"/>
      <c r="BP11" s="481">
        <f>SUM(BP12:BP15)</f>
        <v>0</v>
      </c>
      <c r="BQ11" s="482"/>
      <c r="BR11" s="482"/>
      <c r="BS11" s="482"/>
      <c r="BT11" s="482"/>
      <c r="BU11" s="482"/>
      <c r="BV11" s="488"/>
      <c r="BW11" s="488"/>
      <c r="BX11" s="488"/>
      <c r="BY11" s="485"/>
      <c r="BZ11" s="489"/>
      <c r="CA11" s="490"/>
      <c r="CB11" s="490"/>
      <c r="CC11" s="490"/>
      <c r="CD11" s="490"/>
      <c r="CE11" s="490"/>
      <c r="CF11" s="490"/>
      <c r="CG11" s="490"/>
      <c r="CH11" s="490"/>
      <c r="CI11" s="490"/>
      <c r="CJ11" s="490"/>
      <c r="CK11" s="490"/>
      <c r="CL11" s="490"/>
      <c r="CM11" s="483"/>
      <c r="CN11" s="483"/>
      <c r="CO11" s="483">
        <v>0</v>
      </c>
      <c r="CP11" s="483"/>
      <c r="CQ11" s="491">
        <v>0</v>
      </c>
      <c r="CR11" s="480">
        <f t="shared" si="25"/>
        <v>0</v>
      </c>
      <c r="CS11" s="481">
        <f>SUM(CS12:CS15)</f>
        <v>0</v>
      </c>
      <c r="CT11" s="481">
        <f>SUM(CT12:CT15)</f>
        <v>0</v>
      </c>
      <c r="CU11" s="482"/>
      <c r="CV11" s="482"/>
      <c r="CW11" s="482"/>
      <c r="CX11" s="482"/>
      <c r="CY11" s="482"/>
      <c r="CZ11" s="481">
        <f>SUM(CZ12:CZ15)</f>
        <v>0</v>
      </c>
      <c r="DA11" s="482"/>
      <c r="DB11" s="482"/>
      <c r="DC11" s="482"/>
      <c r="DD11" s="482"/>
      <c r="DE11" s="482"/>
      <c r="DF11" s="492"/>
      <c r="DG11" s="492"/>
      <c r="DH11" s="492"/>
      <c r="DI11" s="485"/>
      <c r="DJ11" s="486"/>
      <c r="DK11" s="487"/>
      <c r="DL11" s="487"/>
      <c r="DM11" s="482"/>
      <c r="DN11" s="482"/>
      <c r="DO11" s="482"/>
      <c r="DP11" s="482"/>
      <c r="DQ11" s="482"/>
      <c r="DR11" s="487"/>
      <c r="DS11" s="482"/>
      <c r="DT11" s="482"/>
      <c r="DU11" s="482"/>
      <c r="DV11" s="482"/>
      <c r="DW11" s="483"/>
      <c r="DX11" s="483"/>
      <c r="DY11" s="483">
        <v>0</v>
      </c>
      <c r="DZ11" s="483"/>
      <c r="EA11" s="491">
        <v>0</v>
      </c>
      <c r="EB11" s="480">
        <f t="shared" si="28"/>
        <v>0</v>
      </c>
      <c r="EC11" s="493">
        <v>0</v>
      </c>
      <c r="ED11" s="493">
        <v>0</v>
      </c>
      <c r="EE11" s="494"/>
      <c r="EF11" s="494"/>
      <c r="EG11" s="494"/>
      <c r="EH11" s="494"/>
      <c r="EI11" s="494"/>
      <c r="EJ11" s="493">
        <v>0</v>
      </c>
      <c r="EK11" s="494"/>
      <c r="EL11" s="494"/>
      <c r="EM11" s="494"/>
      <c r="EN11" s="494"/>
      <c r="EO11" s="494"/>
      <c r="EP11" s="495"/>
      <c r="EQ11" s="495"/>
      <c r="ER11" s="495"/>
      <c r="ES11" s="496"/>
      <c r="ET11" s="497"/>
      <c r="EU11" s="497"/>
      <c r="EV11" s="497"/>
      <c r="EW11" s="494"/>
      <c r="EX11" s="494"/>
      <c r="EY11" s="494"/>
      <c r="EZ11" s="494"/>
      <c r="FA11" s="494"/>
      <c r="FB11" s="497"/>
      <c r="FC11" s="494"/>
      <c r="FD11" s="494"/>
      <c r="FE11" s="494"/>
      <c r="FF11" s="494"/>
    </row>
    <row r="12" spans="1:163" ht="13.35" hidden="1" customHeight="1" outlineLevel="2">
      <c r="B12" s="498">
        <v>1</v>
      </c>
      <c r="C12" s="498">
        <v>1</v>
      </c>
      <c r="D12" s="295" t="s">
        <v>22</v>
      </c>
      <c r="F12" s="499"/>
      <c r="G12" s="500"/>
      <c r="H12" s="501"/>
      <c r="I12" s="501"/>
      <c r="J12" s="501"/>
      <c r="K12" s="501"/>
      <c r="L12" s="501"/>
      <c r="M12" s="501"/>
      <c r="N12" s="501"/>
      <c r="O12" s="501"/>
      <c r="P12" s="501"/>
      <c r="Q12" s="501"/>
      <c r="R12" s="501"/>
      <c r="S12" s="501"/>
      <c r="U12" s="502"/>
      <c r="V12" s="503"/>
      <c r="W12" s="499"/>
      <c r="X12" s="500">
        <f t="shared" si="19"/>
        <v>0</v>
      </c>
      <c r="Y12" s="501"/>
      <c r="Z12" s="501"/>
      <c r="AA12" s="501"/>
      <c r="AB12" s="501"/>
      <c r="AC12" s="501"/>
      <c r="AD12" s="501"/>
      <c r="AE12" s="501"/>
      <c r="AF12" s="501"/>
      <c r="AG12" s="501"/>
      <c r="AH12" s="501"/>
      <c r="AI12" s="501"/>
      <c r="AJ12" s="501"/>
      <c r="AK12" s="501"/>
      <c r="AL12" s="504"/>
      <c r="AM12" s="504"/>
      <c r="AN12" s="504"/>
      <c r="AO12" s="505"/>
      <c r="AP12" s="466"/>
      <c r="AQ12" s="466"/>
      <c r="AR12" s="506">
        <f t="shared" si="32"/>
        <v>0</v>
      </c>
      <c r="AS12" s="466"/>
      <c r="AT12" s="466"/>
      <c r="AU12" s="466"/>
      <c r="AV12" s="466"/>
      <c r="AW12" s="466"/>
      <c r="AX12" s="506">
        <f t="shared" si="33"/>
        <v>0</v>
      </c>
      <c r="AY12" s="466"/>
      <c r="AZ12" s="466"/>
      <c r="BA12" s="466"/>
      <c r="BB12" s="466"/>
      <c r="BC12" s="466"/>
      <c r="BD12" s="466"/>
      <c r="BE12" s="507"/>
      <c r="BF12" s="508"/>
      <c r="BG12" s="509"/>
      <c r="BH12" s="510">
        <f t="shared" si="22"/>
        <v>0</v>
      </c>
      <c r="BI12" s="501"/>
      <c r="BJ12" s="501"/>
      <c r="BK12" s="501"/>
      <c r="BL12" s="501"/>
      <c r="BM12" s="501"/>
      <c r="BN12" s="501"/>
      <c r="BO12" s="501"/>
      <c r="BP12" s="501"/>
      <c r="BQ12" s="501"/>
      <c r="BR12" s="501"/>
      <c r="BS12" s="501"/>
      <c r="BT12" s="501"/>
      <c r="BU12" s="501"/>
      <c r="BV12" s="511"/>
      <c r="BW12" s="511"/>
      <c r="BX12" s="511"/>
      <c r="BY12" s="505"/>
      <c r="BZ12" s="471"/>
      <c r="CA12" s="471"/>
      <c r="CB12" s="471"/>
      <c r="CC12" s="512"/>
      <c r="CD12" s="512"/>
      <c r="CE12" s="512"/>
      <c r="CF12" s="512"/>
      <c r="CG12" s="512"/>
      <c r="CH12" s="471"/>
      <c r="CI12" s="512"/>
      <c r="CJ12" s="512"/>
      <c r="CK12" s="512"/>
      <c r="CL12" s="512"/>
      <c r="CM12" s="508"/>
      <c r="CN12" s="508"/>
      <c r="CO12" s="507"/>
      <c r="CP12" s="508"/>
      <c r="CQ12" s="509"/>
      <c r="CR12" s="510">
        <f t="shared" si="25"/>
        <v>0</v>
      </c>
      <c r="CS12" s="501"/>
      <c r="CT12" s="501"/>
      <c r="CU12" s="501"/>
      <c r="CV12" s="501"/>
      <c r="CW12" s="501"/>
      <c r="CX12" s="501"/>
      <c r="CY12" s="501"/>
      <c r="CZ12" s="501"/>
      <c r="DA12" s="501"/>
      <c r="DB12" s="501"/>
      <c r="DC12" s="501"/>
      <c r="DD12" s="501"/>
      <c r="DE12" s="501"/>
      <c r="DF12" s="513"/>
      <c r="DG12" s="513"/>
      <c r="DH12" s="513"/>
      <c r="DI12" s="505"/>
      <c r="DJ12" s="466"/>
      <c r="DK12" s="466"/>
      <c r="DL12" s="466"/>
      <c r="DM12" s="501"/>
      <c r="DN12" s="501"/>
      <c r="DO12" s="501"/>
      <c r="DP12" s="501"/>
      <c r="DQ12" s="501"/>
      <c r="DR12" s="466"/>
      <c r="DS12" s="501"/>
      <c r="DT12" s="501"/>
      <c r="DU12" s="501"/>
      <c r="DV12" s="501"/>
      <c r="DW12" s="508"/>
      <c r="DX12" s="508"/>
      <c r="DY12" s="507"/>
      <c r="DZ12" s="508"/>
      <c r="EA12" s="509"/>
      <c r="EB12" s="510">
        <f t="shared" si="28"/>
        <v>0</v>
      </c>
      <c r="EC12" s="514">
        <f>IFERROR(IF(EP12=100%,EA12,0),0)</f>
        <v>0</v>
      </c>
      <c r="ED12" s="514">
        <f>IFERROR(IF(AND((EP12+EQ12)=100%,EP12&lt;1),EA12,0),0)</f>
        <v>0</v>
      </c>
      <c r="EE12" s="515"/>
      <c r="EF12" s="515"/>
      <c r="EG12" s="515"/>
      <c r="EH12" s="515"/>
      <c r="EI12" s="515"/>
      <c r="EJ12" s="514">
        <f>IFERROR(IF(AND((EU12+EV12)=100%,EU12&lt;1),EG12,0),0)</f>
        <v>0</v>
      </c>
      <c r="EK12" s="515"/>
      <c r="EL12" s="515"/>
      <c r="EM12" s="515"/>
      <c r="EN12" s="515"/>
      <c r="EO12" s="515"/>
      <c r="EP12" s="52"/>
      <c r="EQ12" s="52"/>
      <c r="ER12" s="52"/>
      <c r="ES12" s="516"/>
      <c r="ET12" s="476"/>
      <c r="EU12" s="476"/>
      <c r="EV12" s="476"/>
      <c r="EW12" s="515"/>
      <c r="EX12" s="515"/>
      <c r="EY12" s="515"/>
      <c r="EZ12" s="515"/>
      <c r="FA12" s="515"/>
      <c r="FB12" s="476"/>
      <c r="FC12" s="515"/>
      <c r="FD12" s="515"/>
      <c r="FE12" s="515"/>
      <c r="FF12" s="515"/>
    </row>
    <row r="13" spans="1:163" ht="15" hidden="1" customHeight="1" outlineLevel="2">
      <c r="B13" s="498">
        <v>2</v>
      </c>
      <c r="C13" s="498">
        <v>2</v>
      </c>
      <c r="D13" s="517" t="s">
        <v>23</v>
      </c>
      <c r="F13" s="499"/>
      <c r="G13" s="500"/>
      <c r="H13" s="501"/>
      <c r="I13" s="501"/>
      <c r="J13" s="501"/>
      <c r="K13" s="501"/>
      <c r="L13" s="501"/>
      <c r="M13" s="501"/>
      <c r="N13" s="501"/>
      <c r="O13" s="501"/>
      <c r="P13" s="501"/>
      <c r="Q13" s="501"/>
      <c r="R13" s="501"/>
      <c r="S13" s="501"/>
      <c r="U13" s="502"/>
      <c r="V13" s="503"/>
      <c r="W13" s="499"/>
      <c r="X13" s="500">
        <f t="shared" si="19"/>
        <v>0</v>
      </c>
      <c r="Y13" s="501"/>
      <c r="Z13" s="501"/>
      <c r="AA13" s="501"/>
      <c r="AB13" s="501"/>
      <c r="AC13" s="501"/>
      <c r="AD13" s="501"/>
      <c r="AE13" s="501"/>
      <c r="AF13" s="501"/>
      <c r="AG13" s="501"/>
      <c r="AH13" s="501"/>
      <c r="AI13" s="501"/>
      <c r="AJ13" s="501"/>
      <c r="AK13" s="501"/>
      <c r="AL13" s="504"/>
      <c r="AM13" s="504"/>
      <c r="AN13" s="504"/>
      <c r="AO13" s="505"/>
      <c r="AP13" s="466"/>
      <c r="AQ13" s="466"/>
      <c r="AR13" s="506">
        <f t="shared" si="32"/>
        <v>0</v>
      </c>
      <c r="AS13" s="466"/>
      <c r="AT13" s="466"/>
      <c r="AU13" s="466"/>
      <c r="AV13" s="466"/>
      <c r="AW13" s="466"/>
      <c r="AX13" s="506">
        <f t="shared" si="33"/>
        <v>0</v>
      </c>
      <c r="AY13" s="466"/>
      <c r="AZ13" s="466"/>
      <c r="BA13" s="466"/>
      <c r="BB13" s="466"/>
      <c r="BC13" s="466"/>
      <c r="BD13" s="466"/>
      <c r="BE13" s="507"/>
      <c r="BF13" s="508"/>
      <c r="BG13" s="509"/>
      <c r="BH13" s="510">
        <f t="shared" si="22"/>
        <v>0</v>
      </c>
      <c r="BI13" s="501"/>
      <c r="BJ13" s="501"/>
      <c r="BK13" s="501"/>
      <c r="BL13" s="501"/>
      <c r="BM13" s="501"/>
      <c r="BN13" s="501"/>
      <c r="BO13" s="501"/>
      <c r="BP13" s="501"/>
      <c r="BQ13" s="501"/>
      <c r="BR13" s="501"/>
      <c r="BS13" s="501"/>
      <c r="BT13" s="501"/>
      <c r="BU13" s="501"/>
      <c r="BV13" s="511"/>
      <c r="BW13" s="511"/>
      <c r="BX13" s="511"/>
      <c r="BY13" s="505"/>
      <c r="BZ13" s="471"/>
      <c r="CA13" s="471"/>
      <c r="CB13" s="471"/>
      <c r="CC13" s="512"/>
      <c r="CD13" s="512"/>
      <c r="CE13" s="512"/>
      <c r="CF13" s="512"/>
      <c r="CG13" s="512"/>
      <c r="CH13" s="471"/>
      <c r="CI13" s="512"/>
      <c r="CJ13" s="512"/>
      <c r="CK13" s="512"/>
      <c r="CL13" s="512"/>
      <c r="CM13" s="508"/>
      <c r="CN13" s="508"/>
      <c r="CO13" s="507"/>
      <c r="CP13" s="508"/>
      <c r="CQ13" s="509"/>
      <c r="CR13" s="510">
        <f t="shared" si="25"/>
        <v>0</v>
      </c>
      <c r="CS13" s="501"/>
      <c r="CT13" s="501"/>
      <c r="CU13" s="501"/>
      <c r="CV13" s="501"/>
      <c r="CW13" s="501"/>
      <c r="CX13" s="501"/>
      <c r="CY13" s="501"/>
      <c r="CZ13" s="501"/>
      <c r="DA13" s="501"/>
      <c r="DB13" s="501"/>
      <c r="DC13" s="501"/>
      <c r="DD13" s="501"/>
      <c r="DE13" s="501"/>
      <c r="DF13" s="513"/>
      <c r="DG13" s="513"/>
      <c r="DH13" s="513"/>
      <c r="DI13" s="505"/>
      <c r="DJ13" s="466"/>
      <c r="DK13" s="466"/>
      <c r="DL13" s="466"/>
      <c r="DM13" s="501"/>
      <c r="DN13" s="501"/>
      <c r="DO13" s="501"/>
      <c r="DP13" s="501"/>
      <c r="DQ13" s="501"/>
      <c r="DR13" s="466"/>
      <c r="DS13" s="501"/>
      <c r="DT13" s="501"/>
      <c r="DU13" s="501"/>
      <c r="DV13" s="501"/>
      <c r="DW13" s="508"/>
      <c r="DX13" s="508"/>
      <c r="DY13" s="507"/>
      <c r="DZ13" s="508"/>
      <c r="EA13" s="509"/>
      <c r="EB13" s="510">
        <f t="shared" si="28"/>
        <v>0</v>
      </c>
      <c r="EC13" s="514">
        <f>IFERROR(IF(EP13=100%,EA13,0),0)</f>
        <v>0</v>
      </c>
      <c r="ED13" s="514">
        <f>IFERROR(IF(AND((EP13+EQ13)=100%,EP13&lt;1),EA13,0),0)</f>
        <v>0</v>
      </c>
      <c r="EE13" s="515"/>
      <c r="EF13" s="515"/>
      <c r="EG13" s="515"/>
      <c r="EH13" s="515"/>
      <c r="EI13" s="515"/>
      <c r="EJ13" s="514">
        <f>IFERROR(IF(AND((EU13+EV13)=100%,EU13&lt;1),EG13,0),0)</f>
        <v>0</v>
      </c>
      <c r="EK13" s="515"/>
      <c r="EL13" s="515"/>
      <c r="EM13" s="515"/>
      <c r="EN13" s="515"/>
      <c r="EO13" s="515"/>
      <c r="EP13" s="52"/>
      <c r="EQ13" s="52"/>
      <c r="ER13" s="52"/>
      <c r="ES13" s="516"/>
      <c r="ET13" s="476"/>
      <c r="EU13" s="476"/>
      <c r="EV13" s="476"/>
      <c r="EW13" s="515"/>
      <c r="EX13" s="515"/>
      <c r="EY13" s="515"/>
      <c r="EZ13" s="515"/>
      <c r="FA13" s="515"/>
      <c r="FB13" s="476"/>
      <c r="FC13" s="515"/>
      <c r="FD13" s="515"/>
      <c r="FE13" s="515"/>
      <c r="FF13" s="515"/>
    </row>
    <row r="14" spans="1:163" ht="13.35" hidden="1" customHeight="1" outlineLevel="2">
      <c r="B14" s="498">
        <v>3</v>
      </c>
      <c r="C14" s="498">
        <v>3</v>
      </c>
      <c r="D14" s="295" t="s">
        <v>24</v>
      </c>
      <c r="F14" s="499"/>
      <c r="G14" s="500"/>
      <c r="H14" s="501"/>
      <c r="I14" s="501"/>
      <c r="J14" s="501"/>
      <c r="K14" s="501"/>
      <c r="L14" s="501"/>
      <c r="M14" s="501"/>
      <c r="N14" s="501"/>
      <c r="O14" s="501"/>
      <c r="P14" s="501"/>
      <c r="Q14" s="501"/>
      <c r="R14" s="501"/>
      <c r="S14" s="501"/>
      <c r="U14" s="502"/>
      <c r="V14" s="503"/>
      <c r="W14" s="499"/>
      <c r="X14" s="500">
        <f t="shared" si="19"/>
        <v>0</v>
      </c>
      <c r="Y14" s="501"/>
      <c r="Z14" s="501"/>
      <c r="AA14" s="501"/>
      <c r="AB14" s="501"/>
      <c r="AC14" s="501"/>
      <c r="AD14" s="501"/>
      <c r="AE14" s="501"/>
      <c r="AF14" s="501"/>
      <c r="AG14" s="501"/>
      <c r="AH14" s="501"/>
      <c r="AI14" s="501"/>
      <c r="AJ14" s="501"/>
      <c r="AK14" s="501"/>
      <c r="AL14" s="504"/>
      <c r="AM14" s="504"/>
      <c r="AN14" s="504"/>
      <c r="AO14" s="505"/>
      <c r="AP14" s="466"/>
      <c r="AQ14" s="466"/>
      <c r="AR14" s="506">
        <f t="shared" si="32"/>
        <v>0</v>
      </c>
      <c r="AS14" s="466"/>
      <c r="AT14" s="466"/>
      <c r="AU14" s="466"/>
      <c r="AV14" s="466"/>
      <c r="AW14" s="466"/>
      <c r="AX14" s="506">
        <f t="shared" si="33"/>
        <v>0</v>
      </c>
      <c r="AY14" s="466"/>
      <c r="AZ14" s="466"/>
      <c r="BA14" s="466"/>
      <c r="BB14" s="466"/>
      <c r="BC14" s="466"/>
      <c r="BD14" s="466"/>
      <c r="BE14" s="507"/>
      <c r="BF14" s="508"/>
      <c r="BG14" s="509"/>
      <c r="BH14" s="510">
        <f t="shared" si="22"/>
        <v>0</v>
      </c>
      <c r="BI14" s="501"/>
      <c r="BJ14" s="501"/>
      <c r="BK14" s="501"/>
      <c r="BL14" s="501"/>
      <c r="BM14" s="501"/>
      <c r="BN14" s="501"/>
      <c r="BO14" s="501"/>
      <c r="BP14" s="501"/>
      <c r="BQ14" s="501"/>
      <c r="BR14" s="501"/>
      <c r="BS14" s="501"/>
      <c r="BT14" s="501"/>
      <c r="BU14" s="501"/>
      <c r="BV14" s="511"/>
      <c r="BW14" s="511"/>
      <c r="BX14" s="511"/>
      <c r="BY14" s="505"/>
      <c r="BZ14" s="471"/>
      <c r="CA14" s="471"/>
      <c r="CB14" s="471"/>
      <c r="CC14" s="512"/>
      <c r="CD14" s="512"/>
      <c r="CE14" s="512"/>
      <c r="CF14" s="512"/>
      <c r="CG14" s="512"/>
      <c r="CH14" s="471"/>
      <c r="CI14" s="512"/>
      <c r="CJ14" s="512"/>
      <c r="CK14" s="512"/>
      <c r="CL14" s="512"/>
      <c r="CM14" s="508"/>
      <c r="CN14" s="508"/>
      <c r="CO14" s="507"/>
      <c r="CP14" s="508"/>
      <c r="CQ14" s="509"/>
      <c r="CR14" s="510">
        <f t="shared" si="25"/>
        <v>0</v>
      </c>
      <c r="CS14" s="501"/>
      <c r="CT14" s="501"/>
      <c r="CU14" s="501"/>
      <c r="CV14" s="501"/>
      <c r="CW14" s="501"/>
      <c r="CX14" s="501"/>
      <c r="CY14" s="501"/>
      <c r="CZ14" s="501"/>
      <c r="DA14" s="501"/>
      <c r="DB14" s="501"/>
      <c r="DC14" s="501"/>
      <c r="DD14" s="501"/>
      <c r="DE14" s="501"/>
      <c r="DF14" s="513"/>
      <c r="DG14" s="513"/>
      <c r="DH14" s="513"/>
      <c r="DI14" s="505"/>
      <c r="DJ14" s="466"/>
      <c r="DK14" s="466"/>
      <c r="DL14" s="466"/>
      <c r="DM14" s="501"/>
      <c r="DN14" s="501"/>
      <c r="DO14" s="501"/>
      <c r="DP14" s="501"/>
      <c r="DQ14" s="501"/>
      <c r="DR14" s="466"/>
      <c r="DS14" s="501"/>
      <c r="DT14" s="501"/>
      <c r="DU14" s="501"/>
      <c r="DV14" s="501"/>
      <c r="DW14" s="508"/>
      <c r="DX14" s="508"/>
      <c r="DY14" s="507"/>
      <c r="DZ14" s="508"/>
      <c r="EA14" s="509"/>
      <c r="EB14" s="510">
        <f t="shared" si="28"/>
        <v>0</v>
      </c>
      <c r="EC14" s="514">
        <f>IFERROR(IF(EP14=100%,EA14,0),0)</f>
        <v>0</v>
      </c>
      <c r="ED14" s="514">
        <f>IFERROR(IF(AND((EP14+EQ14)=100%,EP14&lt;1),EA14,0),0)</f>
        <v>0</v>
      </c>
      <c r="EE14" s="515"/>
      <c r="EF14" s="515"/>
      <c r="EG14" s="515"/>
      <c r="EH14" s="515"/>
      <c r="EI14" s="515"/>
      <c r="EJ14" s="514">
        <f>IFERROR(IF(AND((EU14+EV14)=100%,EU14&lt;1),EG14,0),0)</f>
        <v>0</v>
      </c>
      <c r="EK14" s="515"/>
      <c r="EL14" s="515"/>
      <c r="EM14" s="515"/>
      <c r="EN14" s="515"/>
      <c r="EO14" s="515"/>
      <c r="EP14" s="52"/>
      <c r="EQ14" s="52"/>
      <c r="ER14" s="52"/>
      <c r="ES14" s="516"/>
      <c r="ET14" s="476"/>
      <c r="EU14" s="476"/>
      <c r="EV14" s="476"/>
      <c r="EW14" s="515"/>
      <c r="EX14" s="515"/>
      <c r="EY14" s="515"/>
      <c r="EZ14" s="515"/>
      <c r="FA14" s="515"/>
      <c r="FB14" s="476"/>
      <c r="FC14" s="515"/>
      <c r="FD14" s="515"/>
      <c r="FE14" s="515"/>
      <c r="FF14" s="515"/>
    </row>
    <row r="15" spans="1:163" ht="13.35" hidden="1" customHeight="1" outlineLevel="2">
      <c r="B15" s="498">
        <v>4</v>
      </c>
      <c r="C15" s="498">
        <v>4</v>
      </c>
      <c r="D15" s="295" t="s">
        <v>25</v>
      </c>
      <c r="F15" s="499"/>
      <c r="G15" s="500"/>
      <c r="H15" s="501"/>
      <c r="I15" s="501"/>
      <c r="J15" s="501"/>
      <c r="K15" s="501"/>
      <c r="L15" s="501"/>
      <c r="M15" s="501"/>
      <c r="N15" s="501"/>
      <c r="O15" s="501"/>
      <c r="P15" s="501"/>
      <c r="Q15" s="501"/>
      <c r="R15" s="501"/>
      <c r="S15" s="501"/>
      <c r="U15" s="502"/>
      <c r="V15" s="503"/>
      <c r="W15" s="499"/>
      <c r="X15" s="500">
        <f t="shared" si="19"/>
        <v>0</v>
      </c>
      <c r="Y15" s="501"/>
      <c r="Z15" s="501"/>
      <c r="AA15" s="501"/>
      <c r="AB15" s="501"/>
      <c r="AC15" s="501"/>
      <c r="AD15" s="501"/>
      <c r="AE15" s="501"/>
      <c r="AF15" s="501"/>
      <c r="AG15" s="501"/>
      <c r="AH15" s="501"/>
      <c r="AI15" s="501"/>
      <c r="AJ15" s="501"/>
      <c r="AK15" s="501"/>
      <c r="AL15" s="504"/>
      <c r="AM15" s="504"/>
      <c r="AN15" s="504"/>
      <c r="AO15" s="518"/>
      <c r="AP15" s="466"/>
      <c r="AQ15" s="466"/>
      <c r="AR15" s="506">
        <f t="shared" si="32"/>
        <v>0</v>
      </c>
      <c r="AS15" s="466"/>
      <c r="AT15" s="466"/>
      <c r="AU15" s="466"/>
      <c r="AV15" s="466"/>
      <c r="AW15" s="466"/>
      <c r="AX15" s="506">
        <f t="shared" si="33"/>
        <v>0</v>
      </c>
      <c r="AY15" s="466"/>
      <c r="AZ15" s="466"/>
      <c r="BA15" s="466"/>
      <c r="BB15" s="466"/>
      <c r="BC15" s="466"/>
      <c r="BD15" s="466"/>
      <c r="BE15" s="507"/>
      <c r="BF15" s="508"/>
      <c r="BG15" s="469"/>
      <c r="BH15" s="510">
        <f t="shared" si="22"/>
        <v>0</v>
      </c>
      <c r="BI15" s="501"/>
      <c r="BJ15" s="501"/>
      <c r="BK15" s="501"/>
      <c r="BL15" s="501"/>
      <c r="BM15" s="501"/>
      <c r="BN15" s="501"/>
      <c r="BO15" s="501"/>
      <c r="BP15" s="501"/>
      <c r="BQ15" s="501"/>
      <c r="BR15" s="501"/>
      <c r="BS15" s="501"/>
      <c r="BT15" s="501"/>
      <c r="BU15" s="501"/>
      <c r="BV15" s="511"/>
      <c r="BW15" s="511"/>
      <c r="BX15" s="511"/>
      <c r="BY15" s="518"/>
      <c r="BZ15" s="471"/>
      <c r="CA15" s="471"/>
      <c r="CB15" s="471"/>
      <c r="CC15" s="512"/>
      <c r="CD15" s="512"/>
      <c r="CE15" s="512"/>
      <c r="CF15" s="512"/>
      <c r="CG15" s="512"/>
      <c r="CH15" s="471"/>
      <c r="CI15" s="512"/>
      <c r="CJ15" s="512"/>
      <c r="CK15" s="512"/>
      <c r="CL15" s="512"/>
      <c r="CM15" s="508"/>
      <c r="CN15" s="508"/>
      <c r="CO15" s="507"/>
      <c r="CP15" s="508"/>
      <c r="CQ15" s="469"/>
      <c r="CR15" s="510">
        <f t="shared" si="25"/>
        <v>0</v>
      </c>
      <c r="CS15" s="501"/>
      <c r="CT15" s="501"/>
      <c r="CU15" s="501"/>
      <c r="CV15" s="501"/>
      <c r="CW15" s="501"/>
      <c r="CX15" s="501"/>
      <c r="CY15" s="501"/>
      <c r="CZ15" s="501"/>
      <c r="DA15" s="501"/>
      <c r="DB15" s="501"/>
      <c r="DC15" s="501"/>
      <c r="DD15" s="501"/>
      <c r="DE15" s="501"/>
      <c r="DF15" s="513"/>
      <c r="DG15" s="513"/>
      <c r="DH15" s="513"/>
      <c r="DI15" s="518"/>
      <c r="DJ15" s="466"/>
      <c r="DK15" s="466"/>
      <c r="DL15" s="466"/>
      <c r="DM15" s="501"/>
      <c r="DN15" s="501"/>
      <c r="DO15" s="501"/>
      <c r="DP15" s="501"/>
      <c r="DQ15" s="501"/>
      <c r="DR15" s="466"/>
      <c r="DS15" s="501"/>
      <c r="DT15" s="501"/>
      <c r="DU15" s="501"/>
      <c r="DV15" s="501"/>
      <c r="DW15" s="508"/>
      <c r="DX15" s="508"/>
      <c r="DY15" s="507"/>
      <c r="DZ15" s="508"/>
      <c r="EA15" s="469"/>
      <c r="EB15" s="510">
        <f t="shared" si="28"/>
        <v>0</v>
      </c>
      <c r="EC15" s="514">
        <f>IFERROR(IF(EP15=100%,EA15,0),0)</f>
        <v>0</v>
      </c>
      <c r="ED15" s="514">
        <f>IFERROR(IF(AND((EP15+EQ15)=100%,EP15&lt;1),EA15,0),0)</f>
        <v>0</v>
      </c>
      <c r="EE15" s="515"/>
      <c r="EF15" s="515"/>
      <c r="EG15" s="515"/>
      <c r="EH15" s="515"/>
      <c r="EI15" s="515"/>
      <c r="EJ15" s="514">
        <f>IFERROR(IF(AND((EU15+EV15)=100%,EU15&lt;1),EG15,0),0)</f>
        <v>0</v>
      </c>
      <c r="EK15" s="515"/>
      <c r="EL15" s="515"/>
      <c r="EM15" s="515"/>
      <c r="EN15" s="515"/>
      <c r="EO15" s="515"/>
      <c r="EP15" s="52"/>
      <c r="EQ15" s="52"/>
      <c r="ER15" s="52"/>
      <c r="ET15" s="476"/>
      <c r="EU15" s="476"/>
      <c r="EV15" s="476"/>
      <c r="EW15" s="515"/>
      <c r="EX15" s="515"/>
      <c r="EY15" s="515"/>
      <c r="EZ15" s="515"/>
      <c r="FA15" s="515"/>
      <c r="FB15" s="476"/>
      <c r="FC15" s="515"/>
      <c r="FD15" s="515"/>
      <c r="FE15" s="515"/>
      <c r="FF15" s="515"/>
    </row>
    <row r="16" spans="1:163" ht="3" customHeight="1" outlineLevel="1">
      <c r="D16" s="48"/>
      <c r="F16" s="434"/>
      <c r="G16" s="435"/>
      <c r="H16" s="447"/>
      <c r="I16" s="447"/>
      <c r="J16" s="447"/>
      <c r="K16" s="447"/>
      <c r="L16" s="447"/>
      <c r="M16" s="447"/>
      <c r="N16" s="447"/>
      <c r="O16" s="447"/>
      <c r="P16" s="447"/>
      <c r="Q16" s="447"/>
      <c r="R16" s="447"/>
      <c r="S16" s="447"/>
      <c r="U16" s="502"/>
      <c r="V16" s="503"/>
      <c r="W16" s="434"/>
      <c r="X16" s="435">
        <f t="shared" si="19"/>
        <v>0</v>
      </c>
      <c r="Y16" s="447"/>
      <c r="Z16" s="447"/>
      <c r="AA16" s="447"/>
      <c r="AB16" s="447"/>
      <c r="AC16" s="447"/>
      <c r="AD16" s="447"/>
      <c r="AE16" s="447"/>
      <c r="AF16" s="447"/>
      <c r="AG16" s="447"/>
      <c r="AH16" s="447"/>
      <c r="AI16" s="447"/>
      <c r="AJ16" s="447"/>
      <c r="AK16" s="447"/>
      <c r="AL16" s="519"/>
      <c r="AM16" s="519"/>
      <c r="AN16" s="519"/>
      <c r="AO16" s="520"/>
      <c r="AP16" s="466"/>
      <c r="AQ16" s="466"/>
      <c r="AR16" s="506">
        <f t="shared" si="32"/>
        <v>0</v>
      </c>
      <c r="AS16" s="466"/>
      <c r="AT16" s="466"/>
      <c r="AU16" s="466"/>
      <c r="AV16" s="466"/>
      <c r="AW16" s="466"/>
      <c r="AX16" s="521"/>
      <c r="AY16" s="466"/>
      <c r="AZ16" s="466"/>
      <c r="BA16" s="466"/>
      <c r="BB16" s="466"/>
      <c r="BC16" s="466"/>
      <c r="BD16" s="466"/>
      <c r="BE16" s="507"/>
      <c r="BF16" s="508"/>
      <c r="BG16" s="469"/>
      <c r="BH16" s="522"/>
      <c r="BI16" s="447"/>
      <c r="BJ16" s="447"/>
      <c r="BK16" s="447"/>
      <c r="BL16" s="447"/>
      <c r="BM16" s="447"/>
      <c r="BN16" s="447"/>
      <c r="BO16" s="447"/>
      <c r="BP16" s="447"/>
      <c r="BQ16" s="447"/>
      <c r="BR16" s="447"/>
      <c r="BS16" s="447"/>
      <c r="BT16" s="447"/>
      <c r="BU16" s="447"/>
      <c r="BV16" s="511"/>
      <c r="BW16" s="511"/>
      <c r="BX16" s="511"/>
      <c r="BY16" s="520"/>
      <c r="BZ16" s="471"/>
      <c r="CA16" s="471"/>
      <c r="CB16" s="471"/>
      <c r="CC16" s="472"/>
      <c r="CD16" s="472"/>
      <c r="CE16" s="472"/>
      <c r="CF16" s="472"/>
      <c r="CG16" s="472"/>
      <c r="CH16" s="471"/>
      <c r="CI16" s="472"/>
      <c r="CJ16" s="472"/>
      <c r="CK16" s="472"/>
      <c r="CL16" s="472"/>
      <c r="CM16" s="508"/>
      <c r="CN16" s="508"/>
      <c r="CO16" s="507"/>
      <c r="CP16" s="508"/>
      <c r="CQ16" s="469"/>
      <c r="CR16" s="450">
        <f t="shared" si="25"/>
        <v>0</v>
      </c>
      <c r="CS16" s="447"/>
      <c r="CT16" s="447"/>
      <c r="CU16" s="447"/>
      <c r="CV16" s="447"/>
      <c r="CW16" s="447"/>
      <c r="CX16" s="447"/>
      <c r="CY16" s="447"/>
      <c r="CZ16" s="447"/>
      <c r="DA16" s="447"/>
      <c r="DB16" s="447"/>
      <c r="DC16" s="447"/>
      <c r="DD16" s="447"/>
      <c r="DE16" s="447"/>
      <c r="DF16" s="513"/>
      <c r="DG16" s="513"/>
      <c r="DH16" s="513"/>
      <c r="DI16" s="520"/>
      <c r="DJ16" s="466"/>
      <c r="DK16" s="466"/>
      <c r="DL16" s="466"/>
      <c r="DM16" s="447"/>
      <c r="DN16" s="447"/>
      <c r="DO16" s="447"/>
      <c r="DP16" s="447"/>
      <c r="DQ16" s="447"/>
      <c r="DR16" s="466"/>
      <c r="DS16" s="447"/>
      <c r="DT16" s="447"/>
      <c r="DU16" s="447"/>
      <c r="DV16" s="447"/>
      <c r="DW16" s="508"/>
      <c r="DX16" s="508"/>
      <c r="DY16" s="449"/>
      <c r="DZ16" s="508"/>
      <c r="EA16" s="469"/>
      <c r="EB16" s="450">
        <f t="shared" si="28"/>
        <v>0</v>
      </c>
      <c r="EC16" s="448"/>
      <c r="ED16" s="448"/>
      <c r="EE16" s="448"/>
      <c r="EF16" s="448"/>
      <c r="EG16" s="448"/>
      <c r="EH16" s="448"/>
      <c r="EI16" s="448"/>
      <c r="EJ16" s="448"/>
      <c r="EK16" s="448"/>
      <c r="EL16" s="448"/>
      <c r="EM16" s="448"/>
      <c r="EN16" s="448"/>
      <c r="EO16" s="448"/>
      <c r="EP16" s="52"/>
      <c r="EQ16" s="52"/>
      <c r="ER16" s="52"/>
      <c r="ES16" s="523"/>
      <c r="ET16" s="476"/>
      <c r="EU16" s="476"/>
      <c r="EV16" s="476"/>
      <c r="EW16" s="448"/>
      <c r="EX16" s="448"/>
      <c r="EY16" s="448"/>
      <c r="EZ16" s="448"/>
      <c r="FA16" s="448"/>
      <c r="FB16" s="476"/>
      <c r="FC16" s="448"/>
      <c r="FD16" s="448"/>
      <c r="FE16" s="448"/>
      <c r="FF16" s="448"/>
    </row>
    <row r="17" spans="2:163" ht="14.25" outlineLevel="1" collapsed="1">
      <c r="B17" s="477"/>
      <c r="C17" s="477">
        <v>2</v>
      </c>
      <c r="D17" s="478" t="s">
        <v>26</v>
      </c>
      <c r="E17" s="479"/>
      <c r="F17" s="480">
        <f>W17+BG17+CQ17+EA17</f>
        <v>9.1360216199101352</v>
      </c>
      <c r="G17" s="480">
        <f>X17+BH17+CR17+EB17</f>
        <v>9.1360216199101352</v>
      </c>
      <c r="H17" s="481">
        <f>F17-G17</f>
        <v>0</v>
      </c>
      <c r="I17" s="480">
        <f t="shared" ref="I17" si="34">Z17+BJ17+CT17+ED17</f>
        <v>0</v>
      </c>
      <c r="J17" s="480">
        <f t="shared" ref="J17" si="35">AA17+BK17+CU17+EE17</f>
        <v>0</v>
      </c>
      <c r="K17" s="480">
        <f t="shared" ref="K17" si="36">AB17+BL17+CV17+EF17</f>
        <v>0</v>
      </c>
      <c r="L17" s="480">
        <f t="shared" ref="L17" si="37">AC17+BM17+CW17+EG17</f>
        <v>0</v>
      </c>
      <c r="M17" s="480">
        <f t="shared" ref="M17" si="38">AD17+BN17+CX17+EH17</f>
        <v>0</v>
      </c>
      <c r="N17" s="482"/>
      <c r="O17" s="480">
        <f t="shared" ref="O17" si="39">AF17+BP17+CZ17+EJ17</f>
        <v>0</v>
      </c>
      <c r="P17" s="480">
        <f t="shared" ref="P17" si="40">AG17+BQ17+DA17+EK17</f>
        <v>0</v>
      </c>
      <c r="Q17" s="480">
        <f t="shared" ref="Q17" si="41">AH17+BR17+DB17+EL17</f>
        <v>0</v>
      </c>
      <c r="R17" s="480">
        <f t="shared" ref="R17" si="42">AI17+BS17+DC17+EM17</f>
        <v>0</v>
      </c>
      <c r="S17" s="480">
        <f t="shared" ref="S17" si="43">AJ17+BT17+DD17+EN17</f>
        <v>0</v>
      </c>
      <c r="T17" s="479"/>
      <c r="U17" s="483">
        <v>0.1</v>
      </c>
      <c r="V17" s="483"/>
      <c r="W17" s="480">
        <f>U17*(5%*'BOQ COST'!$E$4)*1</f>
        <v>5.7594310000000002</v>
      </c>
      <c r="X17" s="480">
        <f t="shared" si="19"/>
        <v>5.7594310000000002</v>
      </c>
      <c r="Y17" s="480">
        <f>W17</f>
        <v>5.7594310000000002</v>
      </c>
      <c r="Z17" s="481">
        <f>SUM(Z24:Z26)</f>
        <v>0</v>
      </c>
      <c r="AA17" s="482"/>
      <c r="AB17" s="482"/>
      <c r="AC17" s="482"/>
      <c r="AD17" s="482"/>
      <c r="AE17" s="482"/>
      <c r="AF17" s="481">
        <f>SUM(AF24:AF26)</f>
        <v>0</v>
      </c>
      <c r="AG17" s="482"/>
      <c r="AH17" s="482"/>
      <c r="AI17" s="482"/>
      <c r="AJ17" s="482"/>
      <c r="AK17" s="482"/>
      <c r="AL17" s="484"/>
      <c r="AM17" s="484"/>
      <c r="AN17" s="484"/>
      <c r="AO17" s="485"/>
      <c r="AP17" s="486"/>
      <c r="AQ17" s="487"/>
      <c r="AR17" s="481">
        <f t="shared" si="32"/>
        <v>0</v>
      </c>
      <c r="AS17" s="487"/>
      <c r="AT17" s="487"/>
      <c r="AU17" s="487"/>
      <c r="AV17" s="487"/>
      <c r="AW17" s="487"/>
      <c r="AX17" s="481">
        <f t="shared" si="33"/>
        <v>0</v>
      </c>
      <c r="AY17" s="487"/>
      <c r="AZ17" s="487"/>
      <c r="BA17" s="487"/>
      <c r="BB17" s="487"/>
      <c r="BC17" s="487"/>
      <c r="BD17" s="487"/>
      <c r="BE17" s="483">
        <v>0.2</v>
      </c>
      <c r="BF17" s="483"/>
      <c r="BG17" s="481">
        <f>BE17*(3%*'BOQ COST'!$F$4)*1</f>
        <v>2.6953161789975559</v>
      </c>
      <c r="BH17" s="480">
        <f t="shared" si="22"/>
        <v>2.6953161789975559</v>
      </c>
      <c r="BI17" s="481">
        <f>BG17</f>
        <v>2.6953161789975559</v>
      </c>
      <c r="BJ17" s="481">
        <f>SUM(BJ24:BJ26)</f>
        <v>0</v>
      </c>
      <c r="BK17" s="482"/>
      <c r="BL17" s="482"/>
      <c r="BM17" s="482"/>
      <c r="BN17" s="482"/>
      <c r="BO17" s="482"/>
      <c r="BP17" s="481">
        <f>SUM(BP24:BP26)</f>
        <v>0</v>
      </c>
      <c r="BQ17" s="482"/>
      <c r="BR17" s="482"/>
      <c r="BS17" s="482"/>
      <c r="BT17" s="482"/>
      <c r="BU17" s="482"/>
      <c r="BV17" s="488"/>
      <c r="BW17" s="488"/>
      <c r="BX17" s="488"/>
      <c r="BY17" s="485"/>
      <c r="BZ17" s="489"/>
      <c r="CA17" s="490"/>
      <c r="CB17" s="490"/>
      <c r="CC17" s="490"/>
      <c r="CD17" s="490"/>
      <c r="CE17" s="490"/>
      <c r="CF17" s="490"/>
      <c r="CG17" s="490"/>
      <c r="CH17" s="490"/>
      <c r="CI17" s="490"/>
      <c r="CJ17" s="490"/>
      <c r="CK17" s="490"/>
      <c r="CL17" s="490"/>
      <c r="CM17" s="483"/>
      <c r="CN17" s="483"/>
      <c r="CO17" s="483">
        <v>0.1</v>
      </c>
      <c r="CP17" s="483"/>
      <c r="CQ17" s="481">
        <f>CO17*(2%*'BOQ COST'!$G$4)*1</f>
        <v>0.48108652606258029</v>
      </c>
      <c r="CR17" s="480">
        <f t="shared" si="25"/>
        <v>0.48108652606258029</v>
      </c>
      <c r="CS17" s="481">
        <f>CQ17</f>
        <v>0.48108652606258029</v>
      </c>
      <c r="CT17" s="481">
        <f>SUM(CT24:CT26)</f>
        <v>0</v>
      </c>
      <c r="CU17" s="482"/>
      <c r="CV17" s="482"/>
      <c r="CW17" s="482"/>
      <c r="CX17" s="482"/>
      <c r="CY17" s="482"/>
      <c r="CZ17" s="481">
        <f>SUM(CZ24:CZ26)</f>
        <v>0</v>
      </c>
      <c r="DA17" s="482"/>
      <c r="DB17" s="482"/>
      <c r="DC17" s="482"/>
      <c r="DD17" s="482"/>
      <c r="DE17" s="482"/>
      <c r="DF17" s="492"/>
      <c r="DG17" s="492"/>
      <c r="DH17" s="492"/>
      <c r="DI17" s="485"/>
      <c r="DJ17" s="486"/>
      <c r="DK17" s="487"/>
      <c r="DL17" s="487"/>
      <c r="DM17" s="482"/>
      <c r="DN17" s="482"/>
      <c r="DO17" s="482"/>
      <c r="DP17" s="482"/>
      <c r="DQ17" s="482"/>
      <c r="DR17" s="487"/>
      <c r="DS17" s="482"/>
      <c r="DT17" s="482"/>
      <c r="DU17" s="482"/>
      <c r="DV17" s="482"/>
      <c r="DW17" s="483"/>
      <c r="DX17" s="483"/>
      <c r="DY17" s="483">
        <v>0.15</v>
      </c>
      <c r="DZ17" s="483"/>
      <c r="EA17" s="481">
        <f>DY17*(7%*'BOQ COST'!$H$4)*1</f>
        <v>0.20018791485000001</v>
      </c>
      <c r="EB17" s="480">
        <f t="shared" si="28"/>
        <v>0.20018791485000001</v>
      </c>
      <c r="EC17" s="481">
        <f>EA17</f>
        <v>0.20018791485000001</v>
      </c>
      <c r="ED17" s="481">
        <f>SUM(ED24:ED26)</f>
        <v>0</v>
      </c>
      <c r="EE17" s="494"/>
      <c r="EF17" s="494"/>
      <c r="EG17" s="494"/>
      <c r="EH17" s="494"/>
      <c r="EI17" s="494"/>
      <c r="EJ17" s="481">
        <f>SUM(EJ24:EJ26)</f>
        <v>0</v>
      </c>
      <c r="EK17" s="494"/>
      <c r="EL17" s="494"/>
      <c r="EM17" s="494"/>
      <c r="EN17" s="494"/>
      <c r="EO17" s="494"/>
      <c r="EP17" s="495"/>
      <c r="EQ17" s="495"/>
      <c r="ER17" s="495"/>
      <c r="ES17" s="524"/>
      <c r="ET17" s="497"/>
      <c r="EU17" s="497"/>
      <c r="EV17" s="497"/>
      <c r="EW17" s="494"/>
      <c r="EX17" s="494"/>
      <c r="EY17" s="494"/>
      <c r="EZ17" s="494"/>
      <c r="FA17" s="494"/>
      <c r="FB17" s="497"/>
      <c r="FC17" s="494"/>
      <c r="FD17" s="494"/>
      <c r="FE17" s="494"/>
      <c r="FF17" s="494"/>
    </row>
    <row r="18" spans="2:163" ht="13.35" hidden="1" customHeight="1" outlineLevel="2">
      <c r="B18" s="498">
        <v>1</v>
      </c>
      <c r="C18" s="498">
        <v>1</v>
      </c>
      <c r="D18" s="525" t="s">
        <v>27</v>
      </c>
      <c r="E18" s="526"/>
      <c r="F18" s="499"/>
      <c r="G18" s="500"/>
      <c r="H18" s="501"/>
      <c r="I18" s="501"/>
      <c r="J18" s="501"/>
      <c r="K18" s="501"/>
      <c r="L18" s="501"/>
      <c r="M18" s="501"/>
      <c r="N18" s="501"/>
      <c r="O18" s="501"/>
      <c r="P18" s="501"/>
      <c r="Q18" s="501"/>
      <c r="R18" s="501"/>
      <c r="S18" s="501"/>
      <c r="T18" s="526"/>
      <c r="U18" s="527"/>
      <c r="V18" s="528"/>
      <c r="W18" s="499"/>
      <c r="X18" s="500">
        <f t="shared" si="19"/>
        <v>0</v>
      </c>
      <c r="Y18" s="501"/>
      <c r="Z18" s="501"/>
      <c r="AA18" s="501"/>
      <c r="AB18" s="501"/>
      <c r="AC18" s="501"/>
      <c r="AD18" s="501"/>
      <c r="AE18" s="501"/>
      <c r="AF18" s="501"/>
      <c r="AG18" s="501"/>
      <c r="AH18" s="501"/>
      <c r="AI18" s="501"/>
      <c r="AJ18" s="501"/>
      <c r="AK18" s="501"/>
      <c r="AL18" s="504"/>
      <c r="AM18" s="504"/>
      <c r="AN18" s="504"/>
      <c r="AO18" s="505"/>
      <c r="AP18" s="466"/>
      <c r="AQ18" s="466"/>
      <c r="AR18" s="506">
        <f t="shared" si="32"/>
        <v>0</v>
      </c>
      <c r="AS18" s="466"/>
      <c r="AT18" s="466"/>
      <c r="AU18" s="466"/>
      <c r="AV18" s="466"/>
      <c r="AW18" s="466"/>
      <c r="AX18" s="506">
        <f t="shared" si="33"/>
        <v>0</v>
      </c>
      <c r="AY18" s="466"/>
      <c r="AZ18" s="466"/>
      <c r="BA18" s="466"/>
      <c r="BB18" s="466"/>
      <c r="BC18" s="466"/>
      <c r="BD18" s="466"/>
      <c r="BE18" s="449"/>
      <c r="BF18" s="529"/>
      <c r="BG18" s="509"/>
      <c r="BH18" s="510">
        <f t="shared" si="22"/>
        <v>0</v>
      </c>
      <c r="BI18" s="501"/>
      <c r="BJ18" s="501"/>
      <c r="BK18" s="501"/>
      <c r="BL18" s="501"/>
      <c r="BM18" s="501"/>
      <c r="BN18" s="501"/>
      <c r="BO18" s="501"/>
      <c r="BP18" s="501"/>
      <c r="BQ18" s="501"/>
      <c r="BR18" s="501"/>
      <c r="BS18" s="501"/>
      <c r="BT18" s="501"/>
      <c r="BU18" s="501"/>
      <c r="BV18" s="511"/>
      <c r="BW18" s="511"/>
      <c r="BX18" s="511"/>
      <c r="BY18" s="505"/>
      <c r="BZ18" s="471"/>
      <c r="CA18" s="471"/>
      <c r="CB18" s="471"/>
      <c r="CC18" s="512"/>
      <c r="CD18" s="512"/>
      <c r="CE18" s="512"/>
      <c r="CF18" s="512"/>
      <c r="CG18" s="512"/>
      <c r="CH18" s="471"/>
      <c r="CI18" s="512"/>
      <c r="CJ18" s="512"/>
      <c r="CK18" s="512"/>
      <c r="CL18" s="512"/>
      <c r="CM18" s="529"/>
      <c r="CN18" s="529"/>
      <c r="CO18" s="507"/>
      <c r="CP18" s="529"/>
      <c r="CQ18" s="509"/>
      <c r="CR18" s="510">
        <f t="shared" si="25"/>
        <v>0</v>
      </c>
      <c r="CS18" s="501"/>
      <c r="CT18" s="501"/>
      <c r="CU18" s="501"/>
      <c r="CV18" s="501"/>
      <c r="CW18" s="501"/>
      <c r="CX18" s="501"/>
      <c r="CY18" s="501"/>
      <c r="CZ18" s="501"/>
      <c r="DA18" s="501"/>
      <c r="DB18" s="501"/>
      <c r="DC18" s="501"/>
      <c r="DD18" s="501"/>
      <c r="DE18" s="501"/>
      <c r="DF18" s="513"/>
      <c r="DG18" s="513"/>
      <c r="DH18" s="513"/>
      <c r="DI18" s="505"/>
      <c r="DJ18" s="466"/>
      <c r="DK18" s="466"/>
      <c r="DL18" s="466"/>
      <c r="DM18" s="501"/>
      <c r="DN18" s="501"/>
      <c r="DO18" s="501"/>
      <c r="DP18" s="501"/>
      <c r="DQ18" s="501"/>
      <c r="DR18" s="466"/>
      <c r="DS18" s="501"/>
      <c r="DT18" s="501"/>
      <c r="DU18" s="501"/>
      <c r="DV18" s="501"/>
      <c r="DW18" s="529"/>
      <c r="DX18" s="529"/>
      <c r="DY18" s="507"/>
      <c r="DZ18" s="529"/>
      <c r="EA18" s="509"/>
      <c r="EB18" s="510">
        <f t="shared" si="28"/>
        <v>0</v>
      </c>
      <c r="EC18" s="514">
        <f>IFERROR(IF(EP18=100%,EA18,0),0)</f>
        <v>0</v>
      </c>
      <c r="ED18" s="514">
        <f>IFERROR(IF(AND((EP18+EQ18)=100%,EP18&lt;1),EA18,0),0)</f>
        <v>0</v>
      </c>
      <c r="EE18" s="515"/>
      <c r="EF18" s="515"/>
      <c r="EG18" s="515"/>
      <c r="EH18" s="515"/>
      <c r="EI18" s="515"/>
      <c r="EJ18" s="514">
        <f>IFERROR(IF(AND((EU18+EV18)=100%,EU18&lt;1),EG18,0),0)</f>
        <v>0</v>
      </c>
      <c r="EK18" s="515"/>
      <c r="EL18" s="515"/>
      <c r="EM18" s="515"/>
      <c r="EN18" s="515"/>
      <c r="EO18" s="515"/>
      <c r="EP18" s="52"/>
      <c r="EQ18" s="52"/>
      <c r="ER18" s="52"/>
      <c r="ES18" s="516"/>
      <c r="ET18" s="476"/>
      <c r="EU18" s="476"/>
      <c r="EV18" s="476"/>
      <c r="EW18" s="515"/>
      <c r="EX18" s="515"/>
      <c r="EY18" s="515"/>
      <c r="EZ18" s="515"/>
      <c r="FA18" s="515"/>
      <c r="FB18" s="476"/>
      <c r="FC18" s="515"/>
      <c r="FD18" s="515"/>
      <c r="FE18" s="515"/>
      <c r="FF18" s="515"/>
      <c r="FG18" s="526"/>
    </row>
    <row r="19" spans="2:163" ht="13.35" hidden="1" customHeight="1" outlineLevel="2">
      <c r="B19" s="498">
        <v>2</v>
      </c>
      <c r="C19" s="498">
        <v>2</v>
      </c>
      <c r="D19" s="525" t="s">
        <v>28</v>
      </c>
      <c r="E19" s="526"/>
      <c r="F19" s="499"/>
      <c r="G19" s="500"/>
      <c r="H19" s="501"/>
      <c r="I19" s="501"/>
      <c r="J19" s="501"/>
      <c r="K19" s="501"/>
      <c r="L19" s="501"/>
      <c r="M19" s="501"/>
      <c r="N19" s="501"/>
      <c r="O19" s="501"/>
      <c r="P19" s="501"/>
      <c r="Q19" s="501"/>
      <c r="R19" s="501"/>
      <c r="S19" s="501"/>
      <c r="T19" s="526"/>
      <c r="U19" s="527"/>
      <c r="V19" s="528"/>
      <c r="W19" s="499"/>
      <c r="X19" s="500">
        <f t="shared" si="19"/>
        <v>0</v>
      </c>
      <c r="Y19" s="501"/>
      <c r="Z19" s="501"/>
      <c r="AA19" s="501"/>
      <c r="AB19" s="501"/>
      <c r="AC19" s="501"/>
      <c r="AD19" s="501"/>
      <c r="AE19" s="501"/>
      <c r="AF19" s="501"/>
      <c r="AG19" s="501"/>
      <c r="AH19" s="501"/>
      <c r="AI19" s="501"/>
      <c r="AJ19" s="501"/>
      <c r="AK19" s="501"/>
      <c r="AL19" s="504"/>
      <c r="AM19" s="504"/>
      <c r="AN19" s="504"/>
      <c r="AO19" s="505"/>
      <c r="AP19" s="466"/>
      <c r="AQ19" s="466"/>
      <c r="AR19" s="506">
        <f t="shared" si="32"/>
        <v>0</v>
      </c>
      <c r="AS19" s="466"/>
      <c r="AT19" s="466"/>
      <c r="AU19" s="466"/>
      <c r="AV19" s="466"/>
      <c r="AW19" s="466"/>
      <c r="AX19" s="506">
        <f t="shared" si="33"/>
        <v>0</v>
      </c>
      <c r="AY19" s="466"/>
      <c r="AZ19" s="466"/>
      <c r="BA19" s="466"/>
      <c r="BB19" s="466"/>
      <c r="BC19" s="466"/>
      <c r="BD19" s="466"/>
      <c r="BE19" s="449"/>
      <c r="BF19" s="529"/>
      <c r="BG19" s="509"/>
      <c r="BH19" s="510">
        <f t="shared" si="22"/>
        <v>0</v>
      </c>
      <c r="BI19" s="501"/>
      <c r="BJ19" s="501"/>
      <c r="BK19" s="501"/>
      <c r="BL19" s="501"/>
      <c r="BM19" s="501"/>
      <c r="BN19" s="501"/>
      <c r="BO19" s="501"/>
      <c r="BP19" s="501"/>
      <c r="BQ19" s="501"/>
      <c r="BR19" s="501"/>
      <c r="BS19" s="501"/>
      <c r="BT19" s="501"/>
      <c r="BU19" s="501"/>
      <c r="BV19" s="511"/>
      <c r="BW19" s="511"/>
      <c r="BX19" s="511"/>
      <c r="BY19" s="505"/>
      <c r="BZ19" s="471"/>
      <c r="CA19" s="471"/>
      <c r="CB19" s="471"/>
      <c r="CC19" s="512"/>
      <c r="CD19" s="512"/>
      <c r="CE19" s="512"/>
      <c r="CF19" s="512"/>
      <c r="CG19" s="512"/>
      <c r="CH19" s="471"/>
      <c r="CI19" s="512"/>
      <c r="CJ19" s="512"/>
      <c r="CK19" s="512"/>
      <c r="CL19" s="512"/>
      <c r="CM19" s="529"/>
      <c r="CN19" s="529"/>
      <c r="CO19" s="507"/>
      <c r="CP19" s="529"/>
      <c r="CQ19" s="509"/>
      <c r="CR19" s="510">
        <f t="shared" si="25"/>
        <v>0</v>
      </c>
      <c r="CS19" s="501"/>
      <c r="CT19" s="501"/>
      <c r="CU19" s="501"/>
      <c r="CV19" s="501"/>
      <c r="CW19" s="501"/>
      <c r="CX19" s="501"/>
      <c r="CY19" s="501"/>
      <c r="CZ19" s="501"/>
      <c r="DA19" s="501"/>
      <c r="DB19" s="501"/>
      <c r="DC19" s="501"/>
      <c r="DD19" s="501"/>
      <c r="DE19" s="501"/>
      <c r="DF19" s="513"/>
      <c r="DG19" s="513"/>
      <c r="DH19" s="513"/>
      <c r="DI19" s="505"/>
      <c r="DJ19" s="466"/>
      <c r="DK19" s="466"/>
      <c r="DL19" s="466"/>
      <c r="DM19" s="501"/>
      <c r="DN19" s="501"/>
      <c r="DO19" s="501"/>
      <c r="DP19" s="501"/>
      <c r="DQ19" s="501"/>
      <c r="DR19" s="466"/>
      <c r="DS19" s="501"/>
      <c r="DT19" s="501"/>
      <c r="DU19" s="501"/>
      <c r="DV19" s="501"/>
      <c r="DW19" s="529"/>
      <c r="DX19" s="529"/>
      <c r="DY19" s="507"/>
      <c r="DZ19" s="529"/>
      <c r="EA19" s="509"/>
      <c r="EB19" s="510">
        <f t="shared" si="28"/>
        <v>0</v>
      </c>
      <c r="EC19" s="514">
        <f>IFERROR(IF(EP19=100%,EA19,0),0)</f>
        <v>0</v>
      </c>
      <c r="ED19" s="514">
        <f>IFERROR(IF(AND((EP19+EQ19)=100%,EP19&lt;1),EA19,0),0)</f>
        <v>0</v>
      </c>
      <c r="EE19" s="515"/>
      <c r="EF19" s="515"/>
      <c r="EG19" s="515"/>
      <c r="EH19" s="515"/>
      <c r="EI19" s="515"/>
      <c r="EJ19" s="514">
        <f>IFERROR(IF(AND((EU19+EV19)=100%,EU19&lt;1),EG19,0),0)</f>
        <v>0</v>
      </c>
      <c r="EK19" s="515"/>
      <c r="EL19" s="515"/>
      <c r="EM19" s="515"/>
      <c r="EN19" s="515"/>
      <c r="EO19" s="515"/>
      <c r="EP19" s="52"/>
      <c r="EQ19" s="52"/>
      <c r="ER19" s="52"/>
      <c r="ES19" s="516"/>
      <c r="ET19" s="476"/>
      <c r="EU19" s="476"/>
      <c r="EV19" s="476"/>
      <c r="EW19" s="515"/>
      <c r="EX19" s="515"/>
      <c r="EY19" s="515"/>
      <c r="EZ19" s="515"/>
      <c r="FA19" s="515"/>
      <c r="FB19" s="476"/>
      <c r="FC19" s="515"/>
      <c r="FD19" s="515"/>
      <c r="FE19" s="515"/>
      <c r="FF19" s="515"/>
      <c r="FG19" s="526"/>
    </row>
    <row r="20" spans="2:163" ht="13.35" hidden="1" customHeight="1" outlineLevel="2">
      <c r="B20" s="498">
        <v>3</v>
      </c>
      <c r="C20" s="498">
        <v>3</v>
      </c>
      <c r="D20" s="525" t="s">
        <v>29</v>
      </c>
      <c r="E20" s="526"/>
      <c r="F20" s="499"/>
      <c r="G20" s="500"/>
      <c r="H20" s="501"/>
      <c r="I20" s="501"/>
      <c r="J20" s="501"/>
      <c r="K20" s="501"/>
      <c r="L20" s="501"/>
      <c r="M20" s="501"/>
      <c r="N20" s="501"/>
      <c r="O20" s="501"/>
      <c r="P20" s="501"/>
      <c r="Q20" s="501"/>
      <c r="R20" s="501"/>
      <c r="S20" s="501"/>
      <c r="T20" s="526"/>
      <c r="U20" s="527"/>
      <c r="V20" s="528"/>
      <c r="W20" s="499"/>
      <c r="X20" s="500">
        <f t="shared" si="19"/>
        <v>0</v>
      </c>
      <c r="Y20" s="501"/>
      <c r="Z20" s="501"/>
      <c r="AA20" s="501"/>
      <c r="AB20" s="501"/>
      <c r="AC20" s="501"/>
      <c r="AD20" s="501"/>
      <c r="AE20" s="501"/>
      <c r="AF20" s="501"/>
      <c r="AG20" s="501"/>
      <c r="AH20" s="501"/>
      <c r="AI20" s="501"/>
      <c r="AJ20" s="501"/>
      <c r="AK20" s="501"/>
      <c r="AL20" s="504"/>
      <c r="AM20" s="504"/>
      <c r="AN20" s="504"/>
      <c r="AO20" s="505"/>
      <c r="AP20" s="466"/>
      <c r="AQ20" s="466"/>
      <c r="AR20" s="506">
        <f t="shared" si="32"/>
        <v>0</v>
      </c>
      <c r="AS20" s="466"/>
      <c r="AT20" s="466"/>
      <c r="AU20" s="466"/>
      <c r="AV20" s="466"/>
      <c r="AW20" s="466"/>
      <c r="AX20" s="506">
        <f t="shared" si="33"/>
        <v>0</v>
      </c>
      <c r="AY20" s="466"/>
      <c r="AZ20" s="466"/>
      <c r="BA20" s="466"/>
      <c r="BB20" s="466"/>
      <c r="BC20" s="466"/>
      <c r="BD20" s="466"/>
      <c r="BE20" s="449"/>
      <c r="BF20" s="529"/>
      <c r="BG20" s="509"/>
      <c r="BH20" s="510">
        <f t="shared" si="22"/>
        <v>0</v>
      </c>
      <c r="BI20" s="501"/>
      <c r="BJ20" s="501"/>
      <c r="BK20" s="501"/>
      <c r="BL20" s="501"/>
      <c r="BM20" s="501"/>
      <c r="BN20" s="501"/>
      <c r="BO20" s="501"/>
      <c r="BP20" s="501"/>
      <c r="BQ20" s="501"/>
      <c r="BR20" s="501"/>
      <c r="BS20" s="501"/>
      <c r="BT20" s="501"/>
      <c r="BU20" s="501"/>
      <c r="BV20" s="511"/>
      <c r="BW20" s="511"/>
      <c r="BX20" s="511"/>
      <c r="BY20" s="505"/>
      <c r="BZ20" s="471"/>
      <c r="CA20" s="471"/>
      <c r="CB20" s="471"/>
      <c r="CC20" s="512"/>
      <c r="CD20" s="512"/>
      <c r="CE20" s="512"/>
      <c r="CF20" s="512"/>
      <c r="CG20" s="512"/>
      <c r="CH20" s="471"/>
      <c r="CI20" s="512"/>
      <c r="CJ20" s="512"/>
      <c r="CK20" s="512"/>
      <c r="CL20" s="512"/>
      <c r="CM20" s="529"/>
      <c r="CN20" s="529"/>
      <c r="CO20" s="507"/>
      <c r="CP20" s="529"/>
      <c r="CQ20" s="509"/>
      <c r="CR20" s="510">
        <f t="shared" si="25"/>
        <v>0</v>
      </c>
      <c r="CS20" s="501"/>
      <c r="CT20" s="501"/>
      <c r="CU20" s="501"/>
      <c r="CV20" s="501"/>
      <c r="CW20" s="501"/>
      <c r="CX20" s="501"/>
      <c r="CY20" s="501"/>
      <c r="CZ20" s="501"/>
      <c r="DA20" s="501"/>
      <c r="DB20" s="501"/>
      <c r="DC20" s="501"/>
      <c r="DD20" s="501"/>
      <c r="DE20" s="501"/>
      <c r="DF20" s="513"/>
      <c r="DG20" s="513"/>
      <c r="DH20" s="513"/>
      <c r="DI20" s="505"/>
      <c r="DJ20" s="466"/>
      <c r="DK20" s="466"/>
      <c r="DL20" s="466"/>
      <c r="DM20" s="501"/>
      <c r="DN20" s="501"/>
      <c r="DO20" s="501"/>
      <c r="DP20" s="501"/>
      <c r="DQ20" s="501"/>
      <c r="DR20" s="466"/>
      <c r="DS20" s="501"/>
      <c r="DT20" s="501"/>
      <c r="DU20" s="501"/>
      <c r="DV20" s="501"/>
      <c r="DW20" s="529"/>
      <c r="DX20" s="529"/>
      <c r="DY20" s="507"/>
      <c r="DZ20" s="529"/>
      <c r="EA20" s="509"/>
      <c r="EB20" s="510">
        <f t="shared" si="28"/>
        <v>0</v>
      </c>
      <c r="EC20" s="514">
        <f>IFERROR(IF(EP20=100%,EA20,0),0)</f>
        <v>0</v>
      </c>
      <c r="ED20" s="514">
        <f>IFERROR(IF(AND((EP20+EQ20)=100%,EP20&lt;1),EA20,0),0)</f>
        <v>0</v>
      </c>
      <c r="EE20" s="515"/>
      <c r="EF20" s="515"/>
      <c r="EG20" s="515"/>
      <c r="EH20" s="515"/>
      <c r="EI20" s="515"/>
      <c r="EJ20" s="514">
        <f>IFERROR(IF(AND((EU20+EV20)=100%,EU20&lt;1),EG20,0),0)</f>
        <v>0</v>
      </c>
      <c r="EK20" s="515"/>
      <c r="EL20" s="515"/>
      <c r="EM20" s="515"/>
      <c r="EN20" s="515"/>
      <c r="EO20" s="515"/>
      <c r="EP20" s="52"/>
      <c r="EQ20" s="52"/>
      <c r="ER20" s="52"/>
      <c r="ES20" s="516"/>
      <c r="ET20" s="476"/>
      <c r="EU20" s="476"/>
      <c r="EV20" s="476"/>
      <c r="EW20" s="515"/>
      <c r="EX20" s="515"/>
      <c r="EY20" s="515"/>
      <c r="EZ20" s="515"/>
      <c r="FA20" s="515"/>
      <c r="FB20" s="476"/>
      <c r="FC20" s="515"/>
      <c r="FD20" s="515"/>
      <c r="FE20" s="515"/>
      <c r="FF20" s="515"/>
      <c r="FG20" s="526"/>
    </row>
    <row r="21" spans="2:163" ht="13.35" hidden="1" customHeight="1" outlineLevel="2">
      <c r="B21" s="498">
        <v>4</v>
      </c>
      <c r="C21" s="498">
        <v>4</v>
      </c>
      <c r="D21" s="525" t="s">
        <v>30</v>
      </c>
      <c r="E21" s="526"/>
      <c r="F21" s="499"/>
      <c r="G21" s="500"/>
      <c r="H21" s="501"/>
      <c r="I21" s="501"/>
      <c r="J21" s="501"/>
      <c r="K21" s="501"/>
      <c r="L21" s="501"/>
      <c r="M21" s="501"/>
      <c r="N21" s="501"/>
      <c r="O21" s="501"/>
      <c r="P21" s="501"/>
      <c r="Q21" s="501"/>
      <c r="R21" s="501"/>
      <c r="S21" s="501"/>
      <c r="T21" s="526"/>
      <c r="U21" s="527"/>
      <c r="V21" s="528"/>
      <c r="W21" s="499"/>
      <c r="X21" s="500">
        <f t="shared" si="19"/>
        <v>0</v>
      </c>
      <c r="Y21" s="501"/>
      <c r="Z21" s="501"/>
      <c r="AA21" s="501"/>
      <c r="AB21" s="501"/>
      <c r="AC21" s="501"/>
      <c r="AD21" s="501"/>
      <c r="AE21" s="501"/>
      <c r="AF21" s="501"/>
      <c r="AG21" s="501"/>
      <c r="AH21" s="501"/>
      <c r="AI21" s="501"/>
      <c r="AJ21" s="501"/>
      <c r="AK21" s="501"/>
      <c r="AL21" s="504"/>
      <c r="AM21" s="504"/>
      <c r="AN21" s="504"/>
      <c r="AO21" s="505"/>
      <c r="AP21" s="466"/>
      <c r="AQ21" s="466"/>
      <c r="AR21" s="506">
        <f t="shared" si="32"/>
        <v>0</v>
      </c>
      <c r="AS21" s="466"/>
      <c r="AT21" s="466"/>
      <c r="AU21" s="466"/>
      <c r="AV21" s="466"/>
      <c r="AW21" s="466"/>
      <c r="AX21" s="506">
        <f t="shared" si="33"/>
        <v>0</v>
      </c>
      <c r="AY21" s="466"/>
      <c r="AZ21" s="466"/>
      <c r="BA21" s="466"/>
      <c r="BB21" s="466"/>
      <c r="BC21" s="466"/>
      <c r="BD21" s="466"/>
      <c r="BE21" s="449"/>
      <c r="BF21" s="529"/>
      <c r="BG21" s="509"/>
      <c r="BH21" s="510">
        <f t="shared" si="22"/>
        <v>0</v>
      </c>
      <c r="BI21" s="501"/>
      <c r="BJ21" s="501"/>
      <c r="BK21" s="501"/>
      <c r="BL21" s="501"/>
      <c r="BM21" s="501"/>
      <c r="BN21" s="501"/>
      <c r="BO21" s="501"/>
      <c r="BP21" s="501"/>
      <c r="BQ21" s="501"/>
      <c r="BR21" s="501"/>
      <c r="BS21" s="501"/>
      <c r="BT21" s="501"/>
      <c r="BU21" s="501"/>
      <c r="BV21" s="511"/>
      <c r="BW21" s="511"/>
      <c r="BX21" s="511"/>
      <c r="BY21" s="505"/>
      <c r="BZ21" s="471"/>
      <c r="CA21" s="471"/>
      <c r="CB21" s="471"/>
      <c r="CC21" s="512"/>
      <c r="CD21" s="512"/>
      <c r="CE21" s="512"/>
      <c r="CF21" s="512"/>
      <c r="CG21" s="512"/>
      <c r="CH21" s="471"/>
      <c r="CI21" s="512"/>
      <c r="CJ21" s="512"/>
      <c r="CK21" s="512"/>
      <c r="CL21" s="512"/>
      <c r="CM21" s="529"/>
      <c r="CN21" s="529"/>
      <c r="CO21" s="507"/>
      <c r="CP21" s="529"/>
      <c r="CQ21" s="509"/>
      <c r="CR21" s="510">
        <f t="shared" si="25"/>
        <v>0</v>
      </c>
      <c r="CS21" s="501"/>
      <c r="CT21" s="501"/>
      <c r="CU21" s="501"/>
      <c r="CV21" s="501"/>
      <c r="CW21" s="501"/>
      <c r="CX21" s="501"/>
      <c r="CY21" s="501"/>
      <c r="CZ21" s="501"/>
      <c r="DA21" s="501"/>
      <c r="DB21" s="501"/>
      <c r="DC21" s="501"/>
      <c r="DD21" s="501"/>
      <c r="DE21" s="501"/>
      <c r="DF21" s="513"/>
      <c r="DG21" s="513"/>
      <c r="DH21" s="513"/>
      <c r="DI21" s="505"/>
      <c r="DJ21" s="466"/>
      <c r="DK21" s="466"/>
      <c r="DL21" s="466"/>
      <c r="DM21" s="501"/>
      <c r="DN21" s="501"/>
      <c r="DO21" s="501"/>
      <c r="DP21" s="501"/>
      <c r="DQ21" s="501"/>
      <c r="DR21" s="466"/>
      <c r="DS21" s="501"/>
      <c r="DT21" s="501"/>
      <c r="DU21" s="501"/>
      <c r="DV21" s="501"/>
      <c r="DW21" s="529"/>
      <c r="DX21" s="529"/>
      <c r="DY21" s="507"/>
      <c r="DZ21" s="529"/>
      <c r="EA21" s="509"/>
      <c r="EB21" s="510">
        <f t="shared" si="28"/>
        <v>0</v>
      </c>
      <c r="EC21" s="514">
        <f>IFERROR(IF(EP21=100%,EA21,0),0)</f>
        <v>0</v>
      </c>
      <c r="ED21" s="514">
        <f>IFERROR(IF(AND((EP21+EQ21)=100%,EP21&lt;1),EA21,0),0)</f>
        <v>0</v>
      </c>
      <c r="EE21" s="515"/>
      <c r="EF21" s="515"/>
      <c r="EG21" s="515"/>
      <c r="EH21" s="515"/>
      <c r="EI21" s="515"/>
      <c r="EJ21" s="514">
        <f>IFERROR(IF(AND((EU21+EV21)=100%,EU21&lt;1),EG21,0),0)</f>
        <v>0</v>
      </c>
      <c r="EK21" s="515"/>
      <c r="EL21" s="515"/>
      <c r="EM21" s="515"/>
      <c r="EN21" s="515"/>
      <c r="EO21" s="515"/>
      <c r="EP21" s="52"/>
      <c r="EQ21" s="52"/>
      <c r="ER21" s="52"/>
      <c r="ES21" s="516"/>
      <c r="ET21" s="476"/>
      <c r="EU21" s="476"/>
      <c r="EV21" s="476"/>
      <c r="EW21" s="515"/>
      <c r="EX21" s="515"/>
      <c r="EY21" s="515"/>
      <c r="EZ21" s="515"/>
      <c r="FA21" s="515"/>
      <c r="FB21" s="476"/>
      <c r="FC21" s="515"/>
      <c r="FD21" s="515"/>
      <c r="FE21" s="515"/>
      <c r="FF21" s="515"/>
      <c r="FG21" s="526"/>
    </row>
    <row r="22" spans="2:163" ht="3" customHeight="1" outlineLevel="1">
      <c r="D22" s="48"/>
      <c r="F22" s="499"/>
      <c r="G22" s="500"/>
      <c r="H22" s="530"/>
      <c r="I22" s="530"/>
      <c r="J22" s="530"/>
      <c r="K22" s="530"/>
      <c r="L22" s="530"/>
      <c r="M22" s="530"/>
      <c r="N22" s="530"/>
      <c r="O22" s="530"/>
      <c r="P22" s="530"/>
      <c r="Q22" s="530"/>
      <c r="R22" s="530"/>
      <c r="S22" s="530"/>
      <c r="U22" s="502"/>
      <c r="V22" s="503"/>
      <c r="W22" s="499"/>
      <c r="X22" s="500">
        <f t="shared" si="19"/>
        <v>0</v>
      </c>
      <c r="Y22" s="530"/>
      <c r="Z22" s="530"/>
      <c r="AA22" s="530"/>
      <c r="AB22" s="530"/>
      <c r="AC22" s="530"/>
      <c r="AD22" s="530"/>
      <c r="AE22" s="530"/>
      <c r="AF22" s="530"/>
      <c r="AG22" s="530"/>
      <c r="AH22" s="530"/>
      <c r="AI22" s="530"/>
      <c r="AJ22" s="530"/>
      <c r="AK22" s="530"/>
      <c r="AL22" s="531"/>
      <c r="AM22" s="531"/>
      <c r="AN22" s="531"/>
      <c r="AO22" s="505"/>
      <c r="AP22" s="466"/>
      <c r="AQ22" s="466"/>
      <c r="AR22" s="506">
        <f t="shared" si="32"/>
        <v>0</v>
      </c>
      <c r="AS22" s="466"/>
      <c r="AT22" s="466"/>
      <c r="AU22" s="466"/>
      <c r="AV22" s="466"/>
      <c r="AW22" s="466"/>
      <c r="AX22" s="506">
        <f t="shared" si="33"/>
        <v>0</v>
      </c>
      <c r="AY22" s="466"/>
      <c r="AZ22" s="466"/>
      <c r="BA22" s="466"/>
      <c r="BB22" s="466"/>
      <c r="BC22" s="532"/>
      <c r="BD22" s="532"/>
      <c r="BE22" s="449"/>
      <c r="BF22" s="508"/>
      <c r="BG22" s="509"/>
      <c r="BH22" s="510">
        <f t="shared" si="22"/>
        <v>0</v>
      </c>
      <c r="BI22" s="530"/>
      <c r="BJ22" s="530"/>
      <c r="BK22" s="530"/>
      <c r="BL22" s="530"/>
      <c r="BM22" s="530"/>
      <c r="BN22" s="530"/>
      <c r="BO22" s="530"/>
      <c r="BP22" s="530"/>
      <c r="BQ22" s="530"/>
      <c r="BR22" s="530"/>
      <c r="BS22" s="530"/>
      <c r="BT22" s="530"/>
      <c r="BU22" s="530"/>
      <c r="BV22" s="470"/>
      <c r="BW22" s="470"/>
      <c r="BX22" s="470"/>
      <c r="BY22" s="505"/>
      <c r="BZ22" s="471"/>
      <c r="CA22" s="471"/>
      <c r="CB22" s="471"/>
      <c r="CC22" s="471"/>
      <c r="CD22" s="471"/>
      <c r="CE22" s="471"/>
      <c r="CF22" s="471"/>
      <c r="CG22" s="471"/>
      <c r="CH22" s="471"/>
      <c r="CI22" s="471"/>
      <c r="CJ22" s="471"/>
      <c r="CK22" s="471"/>
      <c r="CL22" s="471"/>
      <c r="CM22" s="508"/>
      <c r="CN22" s="508"/>
      <c r="CO22" s="449"/>
      <c r="CP22" s="508"/>
      <c r="CQ22" s="509"/>
      <c r="CR22" s="510">
        <f t="shared" si="25"/>
        <v>0</v>
      </c>
      <c r="CS22" s="530"/>
      <c r="CT22" s="530"/>
      <c r="CU22" s="530"/>
      <c r="CV22" s="530"/>
      <c r="CW22" s="530"/>
      <c r="CX22" s="530"/>
      <c r="CY22" s="530"/>
      <c r="CZ22" s="530"/>
      <c r="DA22" s="530"/>
      <c r="DB22" s="530"/>
      <c r="DC22" s="530"/>
      <c r="DD22" s="530"/>
      <c r="DE22" s="530"/>
      <c r="DF22" s="473"/>
      <c r="DG22" s="473"/>
      <c r="DH22" s="473"/>
      <c r="DI22" s="505"/>
      <c r="DJ22" s="466"/>
      <c r="DK22" s="466"/>
      <c r="DL22" s="466"/>
      <c r="DM22" s="530"/>
      <c r="DN22" s="530"/>
      <c r="DO22" s="530"/>
      <c r="DP22" s="530"/>
      <c r="DQ22" s="530"/>
      <c r="DR22" s="466"/>
      <c r="DS22" s="530"/>
      <c r="DT22" s="530"/>
      <c r="DU22" s="530"/>
      <c r="DV22" s="530"/>
      <c r="DW22" s="508"/>
      <c r="DX22" s="508"/>
      <c r="DY22" s="449"/>
      <c r="DZ22" s="508"/>
      <c r="EA22" s="509"/>
      <c r="EB22" s="510">
        <f t="shared" si="28"/>
        <v>0</v>
      </c>
      <c r="EC22" s="533"/>
      <c r="ED22" s="533"/>
      <c r="EE22" s="533"/>
      <c r="EF22" s="533"/>
      <c r="EG22" s="533"/>
      <c r="EH22" s="533"/>
      <c r="EI22" s="533"/>
      <c r="EJ22" s="533"/>
      <c r="EK22" s="533"/>
      <c r="EL22" s="533"/>
      <c r="EM22" s="533"/>
      <c r="EN22" s="533"/>
      <c r="EO22" s="533"/>
      <c r="EP22" s="474"/>
      <c r="EQ22" s="474"/>
      <c r="ER22" s="474"/>
      <c r="ES22" s="516"/>
      <c r="ET22" s="476"/>
      <c r="EU22" s="476"/>
      <c r="EV22" s="476"/>
      <c r="EW22" s="533"/>
      <c r="EX22" s="533"/>
      <c r="EY22" s="533"/>
      <c r="EZ22" s="533"/>
      <c r="FA22" s="533"/>
      <c r="FB22" s="476"/>
      <c r="FC22" s="533"/>
      <c r="FD22" s="533"/>
      <c r="FE22" s="533"/>
      <c r="FF22" s="533"/>
    </row>
    <row r="23" spans="2:163" ht="14.25" outlineLevel="1" collapsed="1">
      <c r="B23" s="477"/>
      <c r="C23" s="477">
        <v>3</v>
      </c>
      <c r="D23" s="478" t="s">
        <v>31</v>
      </c>
      <c r="E23" s="479"/>
      <c r="F23" s="480">
        <f>W23+BG23+CQ23+EA23</f>
        <v>9.1360216199101352</v>
      </c>
      <c r="G23" s="480">
        <f>X23+BH23+CR23+EB23</f>
        <v>9.1360216199101352</v>
      </c>
      <c r="H23" s="481">
        <f>F23-G23</f>
        <v>0</v>
      </c>
      <c r="I23" s="480">
        <f t="shared" ref="I23" si="44">Z23+BJ23+CT23+ED23</f>
        <v>0</v>
      </c>
      <c r="J23" s="480">
        <f t="shared" ref="J23" si="45">AA23+BK23+CU23+EE23</f>
        <v>0</v>
      </c>
      <c r="K23" s="480">
        <f t="shared" ref="K23" si="46">AB23+BL23+CV23+EF23</f>
        <v>0</v>
      </c>
      <c r="L23" s="480">
        <f t="shared" ref="L23" si="47">AC23+BM23+CW23+EG23</f>
        <v>0</v>
      </c>
      <c r="M23" s="480">
        <f t="shared" ref="M23" si="48">AD23+BN23+CX23+EH23</f>
        <v>0</v>
      </c>
      <c r="N23" s="482"/>
      <c r="O23" s="480">
        <f t="shared" ref="O23" si="49">AF23+BP23+CZ23+EJ23</f>
        <v>0</v>
      </c>
      <c r="P23" s="480">
        <f t="shared" ref="P23" si="50">AG23+BQ23+DA23+EK23</f>
        <v>0</v>
      </c>
      <c r="Q23" s="480">
        <f t="shared" ref="Q23" si="51">AH23+BR23+DB23+EL23</f>
        <v>0</v>
      </c>
      <c r="R23" s="480">
        <f t="shared" ref="R23" si="52">AI23+BS23+DC23+EM23</f>
        <v>0</v>
      </c>
      <c r="S23" s="480">
        <f t="shared" ref="S23" si="53">AJ23+BT23+DD23+EN23</f>
        <v>0</v>
      </c>
      <c r="T23" s="479"/>
      <c r="U23" s="534">
        <v>0.1</v>
      </c>
      <c r="V23" s="535"/>
      <c r="W23" s="480">
        <f>U23*(5%*'BOQ COST'!$E$4)*1</f>
        <v>5.7594310000000002</v>
      </c>
      <c r="X23" s="480">
        <f t="shared" si="19"/>
        <v>5.7594310000000002</v>
      </c>
      <c r="Y23" s="481">
        <f>W23</f>
        <v>5.7594310000000002</v>
      </c>
      <c r="Z23" s="536">
        <f>SUM(Z29:Z31)</f>
        <v>0</v>
      </c>
      <c r="AA23" s="537"/>
      <c r="AB23" s="537"/>
      <c r="AC23" s="537"/>
      <c r="AD23" s="537"/>
      <c r="AE23" s="537"/>
      <c r="AF23" s="536">
        <f>SUM(AF29:AF31)</f>
        <v>0</v>
      </c>
      <c r="AG23" s="537"/>
      <c r="AH23" s="537"/>
      <c r="AI23" s="537"/>
      <c r="AJ23" s="537"/>
      <c r="AK23" s="537"/>
      <c r="AL23" s="538"/>
      <c r="AM23" s="538"/>
      <c r="AN23" s="538"/>
      <c r="AO23" s="539"/>
      <c r="AP23" s="540"/>
      <c r="AQ23" s="541"/>
      <c r="AR23" s="536">
        <f t="shared" si="32"/>
        <v>0</v>
      </c>
      <c r="AS23" s="541"/>
      <c r="AT23" s="541"/>
      <c r="AU23" s="541"/>
      <c r="AV23" s="541"/>
      <c r="AW23" s="541"/>
      <c r="AX23" s="536">
        <f t="shared" si="33"/>
        <v>0</v>
      </c>
      <c r="AY23" s="541"/>
      <c r="AZ23" s="541"/>
      <c r="BA23" s="541"/>
      <c r="BB23" s="541"/>
      <c r="BC23" s="541"/>
      <c r="BD23" s="541"/>
      <c r="BE23" s="483">
        <v>0.2</v>
      </c>
      <c r="BF23" s="542"/>
      <c r="BG23" s="481">
        <f>BE23*(3%*'BOQ COST'!$F$4)*1</f>
        <v>2.6953161789975559</v>
      </c>
      <c r="BH23" s="480">
        <f t="shared" si="22"/>
        <v>2.6953161789975559</v>
      </c>
      <c r="BI23" s="536">
        <f>BG23</f>
        <v>2.6953161789975559</v>
      </c>
      <c r="BJ23" s="536">
        <f>SUM(BJ29:BJ31)</f>
        <v>0</v>
      </c>
      <c r="BK23" s="537"/>
      <c r="BL23" s="537"/>
      <c r="BM23" s="537"/>
      <c r="BN23" s="537"/>
      <c r="BO23" s="537"/>
      <c r="BP23" s="536">
        <f>SUM(BP29:BP31)</f>
        <v>0</v>
      </c>
      <c r="BQ23" s="537"/>
      <c r="BR23" s="537"/>
      <c r="BS23" s="537"/>
      <c r="BT23" s="537"/>
      <c r="BU23" s="537"/>
      <c r="BV23" s="543"/>
      <c r="BW23" s="543"/>
      <c r="BX23" s="543"/>
      <c r="BY23" s="539"/>
      <c r="BZ23" s="544"/>
      <c r="CA23" s="545"/>
      <c r="CB23" s="545"/>
      <c r="CC23" s="545"/>
      <c r="CD23" s="545"/>
      <c r="CE23" s="545"/>
      <c r="CF23" s="545"/>
      <c r="CG23" s="545"/>
      <c r="CH23" s="545"/>
      <c r="CI23" s="545"/>
      <c r="CJ23" s="545"/>
      <c r="CK23" s="545"/>
      <c r="CL23" s="545"/>
      <c r="CM23" s="542"/>
      <c r="CN23" s="542"/>
      <c r="CO23" s="483">
        <v>0.1</v>
      </c>
      <c r="CP23" s="542"/>
      <c r="CQ23" s="481">
        <f>CO23*(2%*'BOQ COST'!$G$4)*1</f>
        <v>0.48108652606258029</v>
      </c>
      <c r="CR23" s="480">
        <f t="shared" si="25"/>
        <v>0.48108652606258029</v>
      </c>
      <c r="CS23" s="536">
        <f>CQ23</f>
        <v>0.48108652606258029</v>
      </c>
      <c r="CT23" s="536">
        <f>SUM(CT29:CT31)</f>
        <v>0</v>
      </c>
      <c r="CU23" s="537"/>
      <c r="CV23" s="537"/>
      <c r="CW23" s="537"/>
      <c r="CX23" s="537"/>
      <c r="CY23" s="537"/>
      <c r="CZ23" s="536">
        <f>SUM(CZ29:CZ31)</f>
        <v>0</v>
      </c>
      <c r="DA23" s="537"/>
      <c r="DB23" s="537"/>
      <c r="DC23" s="537"/>
      <c r="DD23" s="537"/>
      <c r="DE23" s="537"/>
      <c r="DF23" s="546"/>
      <c r="DG23" s="546"/>
      <c r="DH23" s="546"/>
      <c r="DI23" s="539"/>
      <c r="DJ23" s="540"/>
      <c r="DK23" s="541"/>
      <c r="DL23" s="541"/>
      <c r="DM23" s="537"/>
      <c r="DN23" s="537"/>
      <c r="DO23" s="537"/>
      <c r="DP23" s="537"/>
      <c r="DQ23" s="537"/>
      <c r="DR23" s="541"/>
      <c r="DS23" s="537"/>
      <c r="DT23" s="537"/>
      <c r="DU23" s="537"/>
      <c r="DV23" s="537"/>
      <c r="DW23" s="542"/>
      <c r="DX23" s="542"/>
      <c r="DY23" s="483">
        <v>0.15</v>
      </c>
      <c r="DZ23" s="542"/>
      <c r="EA23" s="481">
        <f>DY23*(7%*'BOQ COST'!$H$4)*1</f>
        <v>0.20018791485000001</v>
      </c>
      <c r="EB23" s="480">
        <f t="shared" si="28"/>
        <v>0.20018791485000001</v>
      </c>
      <c r="EC23" s="481">
        <f>EA23</f>
        <v>0.20018791485000001</v>
      </c>
      <c r="ED23" s="481">
        <f>SUM(ED29:ED31)</f>
        <v>0</v>
      </c>
      <c r="EE23" s="494"/>
      <c r="EF23" s="494"/>
      <c r="EG23" s="494"/>
      <c r="EH23" s="494"/>
      <c r="EI23" s="494"/>
      <c r="EJ23" s="481">
        <f>SUM(EJ29:EJ31)</f>
        <v>0</v>
      </c>
      <c r="EK23" s="494"/>
      <c r="EL23" s="494"/>
      <c r="EM23" s="494"/>
      <c r="EN23" s="494"/>
      <c r="EO23" s="494"/>
      <c r="EP23" s="495"/>
      <c r="EQ23" s="495"/>
      <c r="ER23" s="495"/>
      <c r="ES23" s="524"/>
      <c r="ET23" s="497"/>
      <c r="EU23" s="497"/>
      <c r="EV23" s="497"/>
      <c r="EW23" s="494"/>
      <c r="EX23" s="494"/>
      <c r="EY23" s="494"/>
      <c r="EZ23" s="494"/>
      <c r="FA23" s="494"/>
      <c r="FB23" s="497"/>
      <c r="FC23" s="494"/>
      <c r="FD23" s="494"/>
      <c r="FE23" s="494"/>
      <c r="FF23" s="494"/>
    </row>
    <row r="24" spans="2:163" ht="13.35" hidden="1" customHeight="1" outlineLevel="2">
      <c r="B24" s="498">
        <v>1</v>
      </c>
      <c r="C24" s="498">
        <v>1</v>
      </c>
      <c r="D24" s="525" t="s">
        <v>27</v>
      </c>
      <c r="F24" s="499"/>
      <c r="G24" s="500"/>
      <c r="H24" s="547"/>
      <c r="I24" s="501"/>
      <c r="J24" s="501"/>
      <c r="K24" s="501"/>
      <c r="L24" s="501"/>
      <c r="M24" s="501"/>
      <c r="N24" s="501"/>
      <c r="O24" s="501"/>
      <c r="P24" s="501"/>
      <c r="Q24" s="501"/>
      <c r="R24" s="501"/>
      <c r="S24" s="501"/>
      <c r="U24" s="502"/>
      <c r="V24" s="503"/>
      <c r="W24" s="499"/>
      <c r="X24" s="500">
        <f t="shared" si="19"/>
        <v>0</v>
      </c>
      <c r="Y24" s="547"/>
      <c r="Z24" s="501"/>
      <c r="AA24" s="501"/>
      <c r="AB24" s="501"/>
      <c r="AC24" s="501"/>
      <c r="AD24" s="501"/>
      <c r="AE24" s="501"/>
      <c r="AF24" s="501"/>
      <c r="AG24" s="501"/>
      <c r="AH24" s="501"/>
      <c r="AI24" s="501"/>
      <c r="AJ24" s="501"/>
      <c r="AK24" s="501"/>
      <c r="AL24" s="504"/>
      <c r="AM24" s="504"/>
      <c r="AN24" s="504"/>
      <c r="AO24" s="518"/>
      <c r="AP24" s="466"/>
      <c r="AQ24" s="466"/>
      <c r="AR24" s="506">
        <f t="shared" si="32"/>
        <v>0</v>
      </c>
      <c r="AS24" s="466"/>
      <c r="AT24" s="466"/>
      <c r="AU24" s="466"/>
      <c r="AV24" s="466"/>
      <c r="AW24" s="466"/>
      <c r="AX24" s="506">
        <f t="shared" si="33"/>
        <v>0</v>
      </c>
      <c r="AY24" s="466"/>
      <c r="AZ24" s="466"/>
      <c r="BA24" s="466"/>
      <c r="BB24" s="466"/>
      <c r="BC24" s="466"/>
      <c r="BD24" s="466"/>
      <c r="BE24" s="449"/>
      <c r="BF24" s="508"/>
      <c r="BG24" s="509"/>
      <c r="BH24" s="510">
        <f t="shared" si="22"/>
        <v>0</v>
      </c>
      <c r="BI24" s="501"/>
      <c r="BJ24" s="501"/>
      <c r="BK24" s="501"/>
      <c r="BL24" s="501"/>
      <c r="BM24" s="501"/>
      <c r="BN24" s="501"/>
      <c r="BO24" s="501"/>
      <c r="BP24" s="501"/>
      <c r="BQ24" s="501"/>
      <c r="BR24" s="501"/>
      <c r="BS24" s="501"/>
      <c r="BT24" s="501"/>
      <c r="BU24" s="501"/>
      <c r="BV24" s="511"/>
      <c r="BW24" s="511"/>
      <c r="BX24" s="511"/>
      <c r="BY24" s="518"/>
      <c r="BZ24" s="471"/>
      <c r="CA24" s="471"/>
      <c r="CB24" s="471"/>
      <c r="CC24" s="512"/>
      <c r="CD24" s="512"/>
      <c r="CE24" s="512"/>
      <c r="CF24" s="512"/>
      <c r="CG24" s="512"/>
      <c r="CH24" s="471"/>
      <c r="CI24" s="512"/>
      <c r="CJ24" s="512"/>
      <c r="CK24" s="512"/>
      <c r="CL24" s="512"/>
      <c r="CM24" s="508"/>
      <c r="CN24" s="508"/>
      <c r="CO24" s="449"/>
      <c r="CP24" s="508"/>
      <c r="CQ24" s="509"/>
      <c r="CR24" s="510">
        <f t="shared" si="25"/>
        <v>0</v>
      </c>
      <c r="CS24" s="501"/>
      <c r="CT24" s="501"/>
      <c r="CU24" s="501"/>
      <c r="CV24" s="501"/>
      <c r="CW24" s="501"/>
      <c r="CX24" s="501"/>
      <c r="CY24" s="501"/>
      <c r="CZ24" s="501"/>
      <c r="DA24" s="501"/>
      <c r="DB24" s="501"/>
      <c r="DC24" s="501"/>
      <c r="DD24" s="501"/>
      <c r="DE24" s="501"/>
      <c r="DF24" s="513"/>
      <c r="DG24" s="513"/>
      <c r="DH24" s="513"/>
      <c r="DI24" s="518"/>
      <c r="DJ24" s="466"/>
      <c r="DK24" s="466"/>
      <c r="DL24" s="466"/>
      <c r="DM24" s="501"/>
      <c r="DN24" s="501"/>
      <c r="DO24" s="501"/>
      <c r="DP24" s="501"/>
      <c r="DQ24" s="501"/>
      <c r="DR24" s="466"/>
      <c r="DS24" s="501"/>
      <c r="DT24" s="501"/>
      <c r="DU24" s="501"/>
      <c r="DV24" s="501"/>
      <c r="DW24" s="508"/>
      <c r="DX24" s="508"/>
      <c r="DY24" s="449"/>
      <c r="DZ24" s="508"/>
      <c r="EA24" s="509"/>
      <c r="EB24" s="510">
        <f t="shared" si="28"/>
        <v>0</v>
      </c>
      <c r="EC24" s="514">
        <f>IFERROR(IF(EP24=100%,EA24,0),0)</f>
        <v>0</v>
      </c>
      <c r="ED24" s="514">
        <f>IFERROR(IF(AND((EP24+EQ24)=100%,EP24&lt;1),EA24,0),0)</f>
        <v>0</v>
      </c>
      <c r="EE24" s="515"/>
      <c r="EF24" s="515"/>
      <c r="EG24" s="515"/>
      <c r="EH24" s="515"/>
      <c r="EI24" s="515"/>
      <c r="EJ24" s="514">
        <f>IFERROR(IF(AND((EU24+EV24)=100%,EU24&lt;1),EG24,0),0)</f>
        <v>0</v>
      </c>
      <c r="EK24" s="515"/>
      <c r="EL24" s="515"/>
      <c r="EM24" s="515"/>
      <c r="EN24" s="515"/>
      <c r="EO24" s="515"/>
      <c r="EP24" s="52"/>
      <c r="EQ24" s="52"/>
      <c r="ER24" s="52"/>
      <c r="ET24" s="476"/>
      <c r="EU24" s="476"/>
      <c r="EV24" s="476"/>
      <c r="EW24" s="515"/>
      <c r="EX24" s="515"/>
      <c r="EY24" s="515"/>
      <c r="EZ24" s="515"/>
      <c r="FA24" s="515"/>
      <c r="FB24" s="476"/>
      <c r="FC24" s="515"/>
      <c r="FD24" s="515"/>
      <c r="FE24" s="515"/>
      <c r="FF24" s="515"/>
    </row>
    <row r="25" spans="2:163" ht="13.35" hidden="1" customHeight="1" outlineLevel="2">
      <c r="B25" s="498">
        <v>2</v>
      </c>
      <c r="C25" s="498">
        <v>2</v>
      </c>
      <c r="D25" s="525" t="s">
        <v>32</v>
      </c>
      <c r="F25" s="499"/>
      <c r="G25" s="500"/>
      <c r="H25" s="547"/>
      <c r="I25" s="501"/>
      <c r="J25" s="501"/>
      <c r="K25" s="501"/>
      <c r="L25" s="501"/>
      <c r="M25" s="501"/>
      <c r="N25" s="501"/>
      <c r="O25" s="501"/>
      <c r="P25" s="501"/>
      <c r="Q25" s="501"/>
      <c r="R25" s="501"/>
      <c r="S25" s="501"/>
      <c r="U25" s="502"/>
      <c r="V25" s="503"/>
      <c r="W25" s="499"/>
      <c r="X25" s="500">
        <f t="shared" si="19"/>
        <v>0</v>
      </c>
      <c r="Y25" s="547"/>
      <c r="Z25" s="501"/>
      <c r="AA25" s="501"/>
      <c r="AB25" s="501"/>
      <c r="AC25" s="501"/>
      <c r="AD25" s="501"/>
      <c r="AE25" s="501"/>
      <c r="AF25" s="501"/>
      <c r="AG25" s="501"/>
      <c r="AH25" s="501"/>
      <c r="AI25" s="501"/>
      <c r="AJ25" s="501"/>
      <c r="AK25" s="501"/>
      <c r="AL25" s="504"/>
      <c r="AM25" s="504"/>
      <c r="AN25" s="504"/>
      <c r="AO25" s="518"/>
      <c r="AP25" s="466"/>
      <c r="AQ25" s="466"/>
      <c r="AR25" s="506">
        <f t="shared" si="32"/>
        <v>0</v>
      </c>
      <c r="AS25" s="466"/>
      <c r="AT25" s="466"/>
      <c r="AU25" s="466"/>
      <c r="AV25" s="466"/>
      <c r="AW25" s="466"/>
      <c r="AX25" s="506">
        <f t="shared" si="33"/>
        <v>0</v>
      </c>
      <c r="AY25" s="466"/>
      <c r="AZ25" s="466"/>
      <c r="BA25" s="466"/>
      <c r="BB25" s="466"/>
      <c r="BC25" s="466"/>
      <c r="BD25" s="466"/>
      <c r="BE25" s="449"/>
      <c r="BF25" s="508"/>
      <c r="BG25" s="509"/>
      <c r="BH25" s="510">
        <f t="shared" si="22"/>
        <v>0</v>
      </c>
      <c r="BI25" s="501"/>
      <c r="BJ25" s="501"/>
      <c r="BK25" s="501"/>
      <c r="BL25" s="501"/>
      <c r="BM25" s="501"/>
      <c r="BN25" s="501"/>
      <c r="BO25" s="501"/>
      <c r="BP25" s="501"/>
      <c r="BQ25" s="501"/>
      <c r="BR25" s="501"/>
      <c r="BS25" s="501"/>
      <c r="BT25" s="501"/>
      <c r="BU25" s="501"/>
      <c r="BV25" s="511"/>
      <c r="BW25" s="511"/>
      <c r="BX25" s="511"/>
      <c r="BY25" s="518"/>
      <c r="BZ25" s="471"/>
      <c r="CA25" s="471"/>
      <c r="CB25" s="548"/>
      <c r="CC25" s="512"/>
      <c r="CD25" s="512"/>
      <c r="CE25" s="512"/>
      <c r="CF25" s="512"/>
      <c r="CG25" s="512"/>
      <c r="CH25" s="548"/>
      <c r="CI25" s="512"/>
      <c r="CJ25" s="512"/>
      <c r="CK25" s="512"/>
      <c r="CL25" s="512"/>
      <c r="CM25" s="508"/>
      <c r="CN25" s="508"/>
      <c r="CO25" s="449"/>
      <c r="CP25" s="508"/>
      <c r="CQ25" s="509"/>
      <c r="CR25" s="510">
        <f t="shared" si="25"/>
        <v>0</v>
      </c>
      <c r="CS25" s="501"/>
      <c r="CT25" s="501"/>
      <c r="CU25" s="501"/>
      <c r="CV25" s="501"/>
      <c r="CW25" s="501"/>
      <c r="CX25" s="501"/>
      <c r="CY25" s="501"/>
      <c r="CZ25" s="501"/>
      <c r="DA25" s="501"/>
      <c r="DB25" s="501"/>
      <c r="DC25" s="501"/>
      <c r="DD25" s="501"/>
      <c r="DE25" s="501"/>
      <c r="DF25" s="513"/>
      <c r="DG25" s="513"/>
      <c r="DH25" s="513"/>
      <c r="DI25" s="518"/>
      <c r="DJ25" s="466"/>
      <c r="DK25" s="466"/>
      <c r="DL25" s="466"/>
      <c r="DM25" s="501"/>
      <c r="DN25" s="501"/>
      <c r="DO25" s="501"/>
      <c r="DP25" s="501"/>
      <c r="DQ25" s="501"/>
      <c r="DR25" s="466"/>
      <c r="DS25" s="501"/>
      <c r="DT25" s="501"/>
      <c r="DU25" s="501"/>
      <c r="DV25" s="501"/>
      <c r="DW25" s="508"/>
      <c r="DX25" s="508"/>
      <c r="DY25" s="449"/>
      <c r="DZ25" s="508"/>
      <c r="EA25" s="509"/>
      <c r="EB25" s="510">
        <f t="shared" si="28"/>
        <v>0</v>
      </c>
      <c r="EC25" s="514">
        <f>IFERROR(IF(EP25=100%,EA25,0),0)</f>
        <v>0</v>
      </c>
      <c r="ED25" s="514">
        <f>IFERROR(IF(AND((EP25+EQ25)=100%,EP25&lt;1),EA25,0),0)</f>
        <v>0</v>
      </c>
      <c r="EE25" s="515"/>
      <c r="EF25" s="515"/>
      <c r="EG25" s="515"/>
      <c r="EH25" s="515"/>
      <c r="EI25" s="515"/>
      <c r="EJ25" s="514">
        <f>IFERROR(IF(AND((EU25+EV25)=100%,EU25&lt;1),EG25,0),0)</f>
        <v>0</v>
      </c>
      <c r="EK25" s="515"/>
      <c r="EL25" s="515"/>
      <c r="EM25" s="515"/>
      <c r="EN25" s="515"/>
      <c r="EO25" s="515"/>
      <c r="EP25" s="52"/>
      <c r="EQ25" s="52"/>
      <c r="ER25" s="52"/>
      <c r="ET25" s="476"/>
      <c r="EU25" s="476"/>
      <c r="EV25" s="476"/>
      <c r="EW25" s="515"/>
      <c r="EX25" s="515"/>
      <c r="EY25" s="515"/>
      <c r="EZ25" s="515"/>
      <c r="FA25" s="515"/>
      <c r="FB25" s="476"/>
      <c r="FC25" s="515"/>
      <c r="FD25" s="515"/>
      <c r="FE25" s="515"/>
      <c r="FF25" s="515"/>
    </row>
    <row r="26" spans="2:163" ht="13.35" hidden="1" customHeight="1" outlineLevel="2">
      <c r="B26" s="498">
        <v>3</v>
      </c>
      <c r="C26" s="498">
        <v>3</v>
      </c>
      <c r="D26" s="525" t="s">
        <v>33</v>
      </c>
      <c r="F26" s="499"/>
      <c r="G26" s="500"/>
      <c r="H26" s="547"/>
      <c r="I26" s="501"/>
      <c r="J26" s="501"/>
      <c r="K26" s="501"/>
      <c r="L26" s="501"/>
      <c r="M26" s="501"/>
      <c r="N26" s="501"/>
      <c r="O26" s="501"/>
      <c r="P26" s="501"/>
      <c r="Q26" s="501"/>
      <c r="R26" s="501"/>
      <c r="S26" s="501"/>
      <c r="U26" s="502"/>
      <c r="V26" s="503"/>
      <c r="W26" s="499"/>
      <c r="X26" s="500">
        <f t="shared" si="19"/>
        <v>0</v>
      </c>
      <c r="Y26" s="547"/>
      <c r="Z26" s="501"/>
      <c r="AA26" s="501"/>
      <c r="AB26" s="501"/>
      <c r="AC26" s="501"/>
      <c r="AD26" s="501"/>
      <c r="AE26" s="501"/>
      <c r="AF26" s="501"/>
      <c r="AG26" s="501"/>
      <c r="AH26" s="501"/>
      <c r="AI26" s="501"/>
      <c r="AJ26" s="501"/>
      <c r="AK26" s="501"/>
      <c r="AL26" s="504"/>
      <c r="AM26" s="504"/>
      <c r="AN26" s="504"/>
      <c r="AO26" s="518"/>
      <c r="AP26" s="466"/>
      <c r="AQ26" s="466"/>
      <c r="AR26" s="506">
        <f t="shared" si="32"/>
        <v>0</v>
      </c>
      <c r="AS26" s="466"/>
      <c r="AT26" s="466"/>
      <c r="AU26" s="466"/>
      <c r="AV26" s="466"/>
      <c r="AW26" s="466"/>
      <c r="AX26" s="506">
        <f t="shared" si="33"/>
        <v>0</v>
      </c>
      <c r="AY26" s="466"/>
      <c r="AZ26" s="466"/>
      <c r="BA26" s="466"/>
      <c r="BB26" s="466"/>
      <c r="BC26" s="466"/>
      <c r="BD26" s="466"/>
      <c r="BE26" s="449"/>
      <c r="BF26" s="508"/>
      <c r="BG26" s="509"/>
      <c r="BH26" s="510">
        <f t="shared" si="22"/>
        <v>0</v>
      </c>
      <c r="BI26" s="501"/>
      <c r="BJ26" s="501"/>
      <c r="BK26" s="501"/>
      <c r="BL26" s="501"/>
      <c r="BM26" s="501"/>
      <c r="BN26" s="501"/>
      <c r="BO26" s="501"/>
      <c r="BP26" s="501"/>
      <c r="BQ26" s="501"/>
      <c r="BR26" s="501"/>
      <c r="BS26" s="501"/>
      <c r="BT26" s="501"/>
      <c r="BU26" s="501"/>
      <c r="BV26" s="511"/>
      <c r="BW26" s="511"/>
      <c r="BX26" s="511"/>
      <c r="BY26" s="518"/>
      <c r="BZ26" s="471"/>
      <c r="CA26" s="471"/>
      <c r="CB26" s="548"/>
      <c r="CC26" s="512"/>
      <c r="CD26" s="512"/>
      <c r="CE26" s="512"/>
      <c r="CF26" s="512"/>
      <c r="CG26" s="512"/>
      <c r="CH26" s="548"/>
      <c r="CI26" s="512"/>
      <c r="CJ26" s="512"/>
      <c r="CK26" s="512"/>
      <c r="CL26" s="512"/>
      <c r="CM26" s="508"/>
      <c r="CN26" s="508"/>
      <c r="CO26" s="449"/>
      <c r="CP26" s="508"/>
      <c r="CQ26" s="509"/>
      <c r="CR26" s="510">
        <f t="shared" si="25"/>
        <v>0</v>
      </c>
      <c r="CS26" s="501"/>
      <c r="CT26" s="501"/>
      <c r="CU26" s="501"/>
      <c r="CV26" s="501"/>
      <c r="CW26" s="501"/>
      <c r="CX26" s="501"/>
      <c r="CY26" s="501"/>
      <c r="CZ26" s="501"/>
      <c r="DA26" s="501"/>
      <c r="DB26" s="501"/>
      <c r="DC26" s="501"/>
      <c r="DD26" s="501"/>
      <c r="DE26" s="501"/>
      <c r="DF26" s="513"/>
      <c r="DG26" s="513"/>
      <c r="DH26" s="513"/>
      <c r="DI26" s="518"/>
      <c r="DJ26" s="466"/>
      <c r="DK26" s="466"/>
      <c r="DL26" s="466"/>
      <c r="DM26" s="501"/>
      <c r="DN26" s="501"/>
      <c r="DO26" s="501"/>
      <c r="DP26" s="501"/>
      <c r="DQ26" s="501"/>
      <c r="DR26" s="466"/>
      <c r="DS26" s="501"/>
      <c r="DT26" s="501"/>
      <c r="DU26" s="501"/>
      <c r="DV26" s="501"/>
      <c r="DW26" s="508"/>
      <c r="DX26" s="508"/>
      <c r="DY26" s="449"/>
      <c r="DZ26" s="508"/>
      <c r="EA26" s="509"/>
      <c r="EB26" s="510">
        <f t="shared" si="28"/>
        <v>0</v>
      </c>
      <c r="EC26" s="514">
        <f>IFERROR(IF(EP26=100%,EA26,0),0)</f>
        <v>0</v>
      </c>
      <c r="ED26" s="514">
        <f>IFERROR(IF(AND((EP26+EQ26)=100%,EP26&lt;1),EA26,0),0)</f>
        <v>0</v>
      </c>
      <c r="EE26" s="515"/>
      <c r="EF26" s="515"/>
      <c r="EG26" s="515"/>
      <c r="EH26" s="515"/>
      <c r="EI26" s="515"/>
      <c r="EJ26" s="514">
        <f>IFERROR(IF(AND((EU26+EV26)=100%,EU26&lt;1),EG26,0),0)</f>
        <v>0</v>
      </c>
      <c r="EK26" s="515"/>
      <c r="EL26" s="515"/>
      <c r="EM26" s="515"/>
      <c r="EN26" s="515"/>
      <c r="EO26" s="515"/>
      <c r="EP26" s="52"/>
      <c r="EQ26" s="52"/>
      <c r="ER26" s="52"/>
      <c r="ET26" s="476"/>
      <c r="EU26" s="476"/>
      <c r="EV26" s="476"/>
      <c r="EW26" s="515"/>
      <c r="EX26" s="515"/>
      <c r="EY26" s="515"/>
      <c r="EZ26" s="515"/>
      <c r="FA26" s="515"/>
      <c r="FB26" s="476"/>
      <c r="FC26" s="515"/>
      <c r="FD26" s="515"/>
      <c r="FE26" s="515"/>
      <c r="FF26" s="515"/>
    </row>
    <row r="27" spans="2:163" ht="13.35" hidden="1" customHeight="1" outlineLevel="2">
      <c r="B27" s="498">
        <v>4</v>
      </c>
      <c r="C27" s="498">
        <v>4</v>
      </c>
      <c r="D27" s="525" t="s">
        <v>29</v>
      </c>
      <c r="F27" s="499"/>
      <c r="G27" s="500"/>
      <c r="H27" s="547"/>
      <c r="I27" s="501"/>
      <c r="J27" s="501"/>
      <c r="K27" s="501"/>
      <c r="L27" s="501"/>
      <c r="M27" s="501"/>
      <c r="N27" s="501"/>
      <c r="O27" s="501"/>
      <c r="P27" s="501"/>
      <c r="Q27" s="501"/>
      <c r="R27" s="501"/>
      <c r="S27" s="501"/>
      <c r="U27" s="502"/>
      <c r="V27" s="503"/>
      <c r="W27" s="499"/>
      <c r="X27" s="500">
        <f t="shared" si="19"/>
        <v>0</v>
      </c>
      <c r="Y27" s="547"/>
      <c r="Z27" s="501"/>
      <c r="AA27" s="501"/>
      <c r="AB27" s="501"/>
      <c r="AC27" s="501"/>
      <c r="AD27" s="501"/>
      <c r="AE27" s="501"/>
      <c r="AF27" s="501"/>
      <c r="AG27" s="501"/>
      <c r="AH27" s="501"/>
      <c r="AI27" s="501"/>
      <c r="AJ27" s="501"/>
      <c r="AK27" s="501"/>
      <c r="AL27" s="504"/>
      <c r="AM27" s="504"/>
      <c r="AN27" s="504"/>
      <c r="AO27" s="518"/>
      <c r="AP27" s="466"/>
      <c r="AQ27" s="466"/>
      <c r="AR27" s="506">
        <f t="shared" si="32"/>
        <v>0</v>
      </c>
      <c r="AS27" s="466"/>
      <c r="AT27" s="466"/>
      <c r="AU27" s="466"/>
      <c r="AV27" s="466"/>
      <c r="AW27" s="466"/>
      <c r="AX27" s="506">
        <f t="shared" si="33"/>
        <v>0</v>
      </c>
      <c r="AY27" s="466"/>
      <c r="AZ27" s="466"/>
      <c r="BA27" s="466"/>
      <c r="BB27" s="466"/>
      <c r="BC27" s="466"/>
      <c r="BD27" s="466"/>
      <c r="BE27" s="449"/>
      <c r="BF27" s="508"/>
      <c r="BG27" s="509"/>
      <c r="BH27" s="510">
        <f t="shared" si="22"/>
        <v>0</v>
      </c>
      <c r="BI27" s="501"/>
      <c r="BJ27" s="501"/>
      <c r="BK27" s="501"/>
      <c r="BL27" s="501"/>
      <c r="BM27" s="501"/>
      <c r="BN27" s="501"/>
      <c r="BO27" s="501"/>
      <c r="BP27" s="501"/>
      <c r="BQ27" s="501"/>
      <c r="BR27" s="501"/>
      <c r="BS27" s="501"/>
      <c r="BT27" s="501"/>
      <c r="BU27" s="501"/>
      <c r="BV27" s="511"/>
      <c r="BW27" s="511"/>
      <c r="BX27" s="511"/>
      <c r="BY27" s="518"/>
      <c r="BZ27" s="471"/>
      <c r="CA27" s="471"/>
      <c r="CB27" s="548"/>
      <c r="CC27" s="512"/>
      <c r="CD27" s="512"/>
      <c r="CE27" s="512"/>
      <c r="CF27" s="512"/>
      <c r="CG27" s="512"/>
      <c r="CH27" s="548"/>
      <c r="CI27" s="512"/>
      <c r="CJ27" s="512"/>
      <c r="CK27" s="512"/>
      <c r="CL27" s="512"/>
      <c r="CM27" s="508"/>
      <c r="CN27" s="508"/>
      <c r="CO27" s="449"/>
      <c r="CP27" s="508"/>
      <c r="CQ27" s="509"/>
      <c r="CR27" s="510">
        <f t="shared" si="25"/>
        <v>0</v>
      </c>
      <c r="CS27" s="501"/>
      <c r="CT27" s="501"/>
      <c r="CU27" s="501"/>
      <c r="CV27" s="501"/>
      <c r="CW27" s="501"/>
      <c r="CX27" s="501"/>
      <c r="CY27" s="501"/>
      <c r="CZ27" s="501"/>
      <c r="DA27" s="501"/>
      <c r="DB27" s="501"/>
      <c r="DC27" s="501"/>
      <c r="DD27" s="501"/>
      <c r="DE27" s="501"/>
      <c r="DF27" s="513"/>
      <c r="DG27" s="513"/>
      <c r="DH27" s="513"/>
      <c r="DI27" s="518"/>
      <c r="DJ27" s="466"/>
      <c r="DK27" s="466"/>
      <c r="DL27" s="466"/>
      <c r="DM27" s="501"/>
      <c r="DN27" s="501"/>
      <c r="DO27" s="501"/>
      <c r="DP27" s="501"/>
      <c r="DQ27" s="501"/>
      <c r="DR27" s="466"/>
      <c r="DS27" s="501"/>
      <c r="DT27" s="501"/>
      <c r="DU27" s="501"/>
      <c r="DV27" s="501"/>
      <c r="DW27" s="508"/>
      <c r="DX27" s="508"/>
      <c r="DY27" s="449"/>
      <c r="DZ27" s="508"/>
      <c r="EA27" s="509"/>
      <c r="EB27" s="510">
        <f t="shared" si="28"/>
        <v>0</v>
      </c>
      <c r="EC27" s="514">
        <f>IFERROR(IF(EP27=100%,EA27,0),0)</f>
        <v>0</v>
      </c>
      <c r="ED27" s="514">
        <f>IFERROR(IF(AND((EP27+EQ27)=100%,EP27&lt;1),EA27,0),0)</f>
        <v>0</v>
      </c>
      <c r="EE27" s="515"/>
      <c r="EF27" s="515"/>
      <c r="EG27" s="515"/>
      <c r="EH27" s="515"/>
      <c r="EI27" s="515"/>
      <c r="EJ27" s="514">
        <f>IFERROR(IF(AND((EU27+EV27)=100%,EU27&lt;1),EG27,0),0)</f>
        <v>0</v>
      </c>
      <c r="EK27" s="515"/>
      <c r="EL27" s="515"/>
      <c r="EM27" s="515"/>
      <c r="EN27" s="515"/>
      <c r="EO27" s="515"/>
      <c r="EP27" s="52"/>
      <c r="EQ27" s="52"/>
      <c r="ER27" s="52"/>
      <c r="ET27" s="476"/>
      <c r="EU27" s="476"/>
      <c r="EV27" s="476"/>
      <c r="EW27" s="515"/>
      <c r="EX27" s="515"/>
      <c r="EY27" s="515"/>
      <c r="EZ27" s="515"/>
      <c r="FA27" s="515"/>
      <c r="FB27" s="476"/>
      <c r="FC27" s="515"/>
      <c r="FD27" s="515"/>
      <c r="FE27" s="515"/>
      <c r="FF27" s="515"/>
    </row>
    <row r="28" spans="2:163" ht="13.35" hidden="1" customHeight="1" outlineLevel="2">
      <c r="B28" s="498">
        <v>5</v>
      </c>
      <c r="C28" s="498">
        <v>5</v>
      </c>
      <c r="D28" s="525" t="s">
        <v>30</v>
      </c>
      <c r="E28" s="526"/>
      <c r="F28" s="499"/>
      <c r="G28" s="500"/>
      <c r="H28" s="547"/>
      <c r="I28" s="501"/>
      <c r="J28" s="501"/>
      <c r="K28" s="501"/>
      <c r="L28" s="501"/>
      <c r="M28" s="501"/>
      <c r="N28" s="501"/>
      <c r="O28" s="501"/>
      <c r="P28" s="501"/>
      <c r="Q28" s="501"/>
      <c r="R28" s="501"/>
      <c r="S28" s="501"/>
      <c r="T28" s="526"/>
      <c r="U28" s="527"/>
      <c r="V28" s="528"/>
      <c r="W28" s="499"/>
      <c r="X28" s="500">
        <f t="shared" si="19"/>
        <v>0</v>
      </c>
      <c r="Y28" s="547"/>
      <c r="Z28" s="501"/>
      <c r="AA28" s="501"/>
      <c r="AB28" s="501"/>
      <c r="AC28" s="501"/>
      <c r="AD28" s="501"/>
      <c r="AE28" s="501"/>
      <c r="AF28" s="501"/>
      <c r="AG28" s="501"/>
      <c r="AH28" s="501"/>
      <c r="AI28" s="501"/>
      <c r="AJ28" s="501"/>
      <c r="AK28" s="501"/>
      <c r="AL28" s="504"/>
      <c r="AM28" s="504"/>
      <c r="AN28" s="504"/>
      <c r="AO28" s="520"/>
      <c r="AP28" s="466"/>
      <c r="AQ28" s="466"/>
      <c r="AR28" s="506">
        <f t="shared" si="32"/>
        <v>0</v>
      </c>
      <c r="AS28" s="466"/>
      <c r="AT28" s="466"/>
      <c r="AU28" s="466"/>
      <c r="AV28" s="466"/>
      <c r="AW28" s="466"/>
      <c r="AX28" s="506">
        <f t="shared" si="33"/>
        <v>0</v>
      </c>
      <c r="AY28" s="466"/>
      <c r="AZ28" s="466"/>
      <c r="BA28" s="466"/>
      <c r="BB28" s="466"/>
      <c r="BC28" s="466"/>
      <c r="BD28" s="466"/>
      <c r="BE28" s="449"/>
      <c r="BF28" s="529"/>
      <c r="BG28" s="509"/>
      <c r="BH28" s="510">
        <f t="shared" si="22"/>
        <v>0</v>
      </c>
      <c r="BI28" s="501"/>
      <c r="BJ28" s="501"/>
      <c r="BK28" s="501"/>
      <c r="BL28" s="501"/>
      <c r="BM28" s="501"/>
      <c r="BN28" s="501"/>
      <c r="BO28" s="501"/>
      <c r="BP28" s="501"/>
      <c r="BQ28" s="501"/>
      <c r="BR28" s="501"/>
      <c r="BS28" s="501"/>
      <c r="BT28" s="501"/>
      <c r="BU28" s="501"/>
      <c r="BV28" s="511"/>
      <c r="BW28" s="511"/>
      <c r="BX28" s="511"/>
      <c r="BY28" s="520"/>
      <c r="BZ28" s="471"/>
      <c r="CA28" s="471"/>
      <c r="CB28" s="548"/>
      <c r="CC28" s="512"/>
      <c r="CD28" s="512"/>
      <c r="CE28" s="512"/>
      <c r="CF28" s="512"/>
      <c r="CG28" s="512"/>
      <c r="CH28" s="548"/>
      <c r="CI28" s="512"/>
      <c r="CJ28" s="512"/>
      <c r="CK28" s="512"/>
      <c r="CL28" s="512"/>
      <c r="CM28" s="529"/>
      <c r="CN28" s="529"/>
      <c r="CO28" s="507"/>
      <c r="CP28" s="529"/>
      <c r="CQ28" s="509"/>
      <c r="CR28" s="510">
        <f t="shared" si="25"/>
        <v>0</v>
      </c>
      <c r="CS28" s="501"/>
      <c r="CT28" s="501"/>
      <c r="CU28" s="501"/>
      <c r="CV28" s="501"/>
      <c r="CW28" s="501"/>
      <c r="CX28" s="501"/>
      <c r="CY28" s="501"/>
      <c r="CZ28" s="501"/>
      <c r="DA28" s="501"/>
      <c r="DB28" s="501"/>
      <c r="DC28" s="501"/>
      <c r="DD28" s="501"/>
      <c r="DE28" s="501"/>
      <c r="DF28" s="513"/>
      <c r="DG28" s="513"/>
      <c r="DH28" s="513"/>
      <c r="DI28" s="520"/>
      <c r="DJ28" s="466"/>
      <c r="DK28" s="466"/>
      <c r="DL28" s="466"/>
      <c r="DM28" s="501"/>
      <c r="DN28" s="501"/>
      <c r="DO28" s="501"/>
      <c r="DP28" s="501"/>
      <c r="DQ28" s="501"/>
      <c r="DR28" s="466"/>
      <c r="DS28" s="501"/>
      <c r="DT28" s="501"/>
      <c r="DU28" s="501"/>
      <c r="DV28" s="501"/>
      <c r="DW28" s="529"/>
      <c r="DX28" s="529"/>
      <c r="DY28" s="507"/>
      <c r="DZ28" s="529"/>
      <c r="EA28" s="509"/>
      <c r="EB28" s="510">
        <f t="shared" si="28"/>
        <v>0</v>
      </c>
      <c r="EC28" s="514">
        <f>IFERROR(IF(EP28=100%,EA28,0),0)</f>
        <v>0</v>
      </c>
      <c r="ED28" s="514">
        <f>IFERROR(IF(AND((EP28+EQ28)=100%,EP28&lt;1),EA28,0),0)</f>
        <v>0</v>
      </c>
      <c r="EE28" s="515"/>
      <c r="EF28" s="515"/>
      <c r="EG28" s="515"/>
      <c r="EH28" s="515"/>
      <c r="EI28" s="515"/>
      <c r="EJ28" s="514">
        <f>IFERROR(IF(AND((EU28+EV28)=100%,EU28&lt;1),EG28,0),0)</f>
        <v>0</v>
      </c>
      <c r="EK28" s="515"/>
      <c r="EL28" s="515"/>
      <c r="EM28" s="515"/>
      <c r="EN28" s="515"/>
      <c r="EO28" s="515"/>
      <c r="EP28" s="52"/>
      <c r="EQ28" s="52"/>
      <c r="ER28" s="52"/>
      <c r="ES28" s="523"/>
      <c r="ET28" s="476"/>
      <c r="EU28" s="476"/>
      <c r="EV28" s="476"/>
      <c r="EW28" s="515"/>
      <c r="EX28" s="515"/>
      <c r="EY28" s="515"/>
      <c r="EZ28" s="515"/>
      <c r="FA28" s="515"/>
      <c r="FB28" s="476"/>
      <c r="FC28" s="515"/>
      <c r="FD28" s="515"/>
      <c r="FE28" s="515"/>
      <c r="FF28" s="515"/>
      <c r="FG28" s="526"/>
    </row>
    <row r="29" spans="2:163" ht="3" customHeight="1" outlineLevel="1">
      <c r="D29" s="48"/>
      <c r="F29" s="499"/>
      <c r="G29" s="500"/>
      <c r="H29" s="447"/>
      <c r="I29" s="530"/>
      <c r="J29" s="530"/>
      <c r="K29" s="530"/>
      <c r="L29" s="530"/>
      <c r="M29" s="530"/>
      <c r="N29" s="530"/>
      <c r="O29" s="530"/>
      <c r="P29" s="530"/>
      <c r="Q29" s="530"/>
      <c r="R29" s="530"/>
      <c r="S29" s="530"/>
      <c r="U29" s="502"/>
      <c r="V29" s="503"/>
      <c r="W29" s="499"/>
      <c r="X29" s="500">
        <f t="shared" si="19"/>
        <v>0</v>
      </c>
      <c r="Y29" s="447"/>
      <c r="Z29" s="530"/>
      <c r="AA29" s="530"/>
      <c r="AB29" s="530"/>
      <c r="AC29" s="530"/>
      <c r="AD29" s="530"/>
      <c r="AE29" s="530"/>
      <c r="AF29" s="530"/>
      <c r="AG29" s="530"/>
      <c r="AH29" s="530"/>
      <c r="AI29" s="530"/>
      <c r="AJ29" s="530"/>
      <c r="AK29" s="530"/>
      <c r="AL29" s="531"/>
      <c r="AM29" s="531"/>
      <c r="AN29" s="531"/>
      <c r="AO29" s="505"/>
      <c r="AP29" s="466"/>
      <c r="AQ29" s="466"/>
      <c r="AR29" s="506">
        <f t="shared" si="32"/>
        <v>0</v>
      </c>
      <c r="AS29" s="466"/>
      <c r="AT29" s="466"/>
      <c r="AU29" s="466"/>
      <c r="AV29" s="466"/>
      <c r="AW29" s="466"/>
      <c r="AX29" s="506">
        <f t="shared" si="33"/>
        <v>0</v>
      </c>
      <c r="AY29" s="466"/>
      <c r="AZ29" s="466"/>
      <c r="BA29" s="466"/>
      <c r="BB29" s="466"/>
      <c r="BC29" s="532"/>
      <c r="BD29" s="532"/>
      <c r="BE29" s="449"/>
      <c r="BF29" s="508"/>
      <c r="BG29" s="509"/>
      <c r="BH29" s="510">
        <f t="shared" si="22"/>
        <v>0</v>
      </c>
      <c r="BI29" s="530"/>
      <c r="BJ29" s="530"/>
      <c r="BK29" s="530"/>
      <c r="BL29" s="530"/>
      <c r="BM29" s="530"/>
      <c r="BN29" s="530"/>
      <c r="BO29" s="530"/>
      <c r="BP29" s="530"/>
      <c r="BQ29" s="530"/>
      <c r="BR29" s="530"/>
      <c r="BS29" s="530"/>
      <c r="BT29" s="530"/>
      <c r="BU29" s="530"/>
      <c r="BV29" s="470"/>
      <c r="BW29" s="470"/>
      <c r="BX29" s="470"/>
      <c r="BY29" s="505"/>
      <c r="BZ29" s="471"/>
      <c r="CA29" s="471"/>
      <c r="CB29" s="548"/>
      <c r="CC29" s="471"/>
      <c r="CD29" s="471"/>
      <c r="CE29" s="471"/>
      <c r="CF29" s="471"/>
      <c r="CG29" s="471"/>
      <c r="CH29" s="548"/>
      <c r="CI29" s="471"/>
      <c r="CJ29" s="471"/>
      <c r="CK29" s="471"/>
      <c r="CL29" s="471"/>
      <c r="CM29" s="508"/>
      <c r="CN29" s="508"/>
      <c r="CO29" s="449"/>
      <c r="CP29" s="508"/>
      <c r="CQ29" s="509"/>
      <c r="CR29" s="510">
        <f t="shared" si="25"/>
        <v>0</v>
      </c>
      <c r="CS29" s="530"/>
      <c r="CT29" s="530"/>
      <c r="CU29" s="530"/>
      <c r="CV29" s="530"/>
      <c r="CW29" s="530"/>
      <c r="CX29" s="530"/>
      <c r="CY29" s="530"/>
      <c r="CZ29" s="530"/>
      <c r="DA29" s="530"/>
      <c r="DB29" s="530"/>
      <c r="DC29" s="530"/>
      <c r="DD29" s="530"/>
      <c r="DE29" s="530"/>
      <c r="DF29" s="473"/>
      <c r="DG29" s="473"/>
      <c r="DH29" s="473"/>
      <c r="DI29" s="505"/>
      <c r="DJ29" s="466"/>
      <c r="DK29" s="466"/>
      <c r="DL29" s="466"/>
      <c r="DM29" s="530"/>
      <c r="DN29" s="530"/>
      <c r="DO29" s="530"/>
      <c r="DP29" s="530"/>
      <c r="DQ29" s="530"/>
      <c r="DR29" s="466"/>
      <c r="DS29" s="530"/>
      <c r="DT29" s="530"/>
      <c r="DU29" s="530"/>
      <c r="DV29" s="530"/>
      <c r="DW29" s="508"/>
      <c r="DX29" s="508"/>
      <c r="DY29" s="449"/>
      <c r="DZ29" s="508"/>
      <c r="EA29" s="509"/>
      <c r="EB29" s="510">
        <f t="shared" si="28"/>
        <v>0</v>
      </c>
      <c r="EC29" s="533"/>
      <c r="ED29" s="533"/>
      <c r="EE29" s="533"/>
      <c r="EF29" s="533"/>
      <c r="EG29" s="533"/>
      <c r="EH29" s="533"/>
      <c r="EI29" s="533"/>
      <c r="EJ29" s="533"/>
      <c r="EK29" s="533"/>
      <c r="EL29" s="533"/>
      <c r="EM29" s="533"/>
      <c r="EN29" s="533"/>
      <c r="EO29" s="533"/>
      <c r="EP29" s="474"/>
      <c r="EQ29" s="474"/>
      <c r="ER29" s="474"/>
      <c r="ES29" s="516"/>
      <c r="ET29" s="476"/>
      <c r="EU29" s="476"/>
      <c r="EV29" s="476"/>
      <c r="EW29" s="533"/>
      <c r="EX29" s="533"/>
      <c r="EY29" s="533"/>
      <c r="EZ29" s="533"/>
      <c r="FA29" s="533"/>
      <c r="FB29" s="476"/>
      <c r="FC29" s="533"/>
      <c r="FD29" s="533"/>
      <c r="FE29" s="533"/>
      <c r="FF29" s="533"/>
    </row>
    <row r="30" spans="2:163" ht="14.25" outlineLevel="1" collapsed="1">
      <c r="B30" s="477"/>
      <c r="C30" s="477">
        <v>4</v>
      </c>
      <c r="D30" s="478" t="s">
        <v>34</v>
      </c>
      <c r="E30" s="479"/>
      <c r="F30" s="480">
        <f>W30+BG30+CQ30+EA30</f>
        <v>3.4275313310125801</v>
      </c>
      <c r="G30" s="480">
        <f>X30+BH30+CR30+EB30</f>
        <v>3.4275313310125801</v>
      </c>
      <c r="H30" s="481">
        <f>F30-G30</f>
        <v>0</v>
      </c>
      <c r="I30" s="480">
        <f t="shared" ref="I30" si="54">Z30+BJ30+CT30+ED30</f>
        <v>0</v>
      </c>
      <c r="J30" s="480">
        <f t="shared" ref="J30" si="55">AA30+BK30+CU30+EE30</f>
        <v>0</v>
      </c>
      <c r="K30" s="480">
        <f t="shared" ref="K30" si="56">AB30+BL30+CV30+EF30</f>
        <v>0</v>
      </c>
      <c r="L30" s="480">
        <f t="shared" ref="L30" si="57">AC30+BM30+CW30+EG30</f>
        <v>0</v>
      </c>
      <c r="M30" s="480">
        <f t="shared" ref="M30" si="58">AD30+BN30+CX30+EH30</f>
        <v>0</v>
      </c>
      <c r="N30" s="482"/>
      <c r="O30" s="480">
        <f t="shared" ref="O30" si="59">AF30+BP30+CZ30+EJ30</f>
        <v>0</v>
      </c>
      <c r="P30" s="480">
        <f t="shared" ref="P30" si="60">AG30+BQ30+DA30+EK30</f>
        <v>0</v>
      </c>
      <c r="Q30" s="480">
        <f t="shared" ref="Q30" si="61">AH30+BR30+DB30+EL30</f>
        <v>0</v>
      </c>
      <c r="R30" s="480">
        <f t="shared" ref="R30" si="62">AI30+BS30+DC30+EM30</f>
        <v>0</v>
      </c>
      <c r="S30" s="480">
        <f t="shared" ref="S30" si="63">AJ30+BT30+DD30+EN30</f>
        <v>0</v>
      </c>
      <c r="T30" s="479"/>
      <c r="U30" s="534">
        <v>0.05</v>
      </c>
      <c r="V30" s="535"/>
      <c r="W30" s="480">
        <f>U30*(5%*'BOQ COST'!$E$4)*1</f>
        <v>2.8797155000000001</v>
      </c>
      <c r="X30" s="480">
        <f t="shared" si="19"/>
        <v>2.8797155000000001</v>
      </c>
      <c r="Y30" s="481">
        <f>W30</f>
        <v>2.8797155000000001</v>
      </c>
      <c r="Z30" s="536">
        <f>SUM(Z31:Z36)</f>
        <v>0</v>
      </c>
      <c r="AA30" s="537"/>
      <c r="AB30" s="537"/>
      <c r="AC30" s="537"/>
      <c r="AD30" s="537"/>
      <c r="AE30" s="537"/>
      <c r="AF30" s="536">
        <f>SUM(AF31:AF36)</f>
        <v>0</v>
      </c>
      <c r="AG30" s="537"/>
      <c r="AH30" s="537"/>
      <c r="AI30" s="537"/>
      <c r="AJ30" s="537"/>
      <c r="AK30" s="537"/>
      <c r="AL30" s="538"/>
      <c r="AM30" s="538"/>
      <c r="AN30" s="538"/>
      <c r="AO30" s="539"/>
      <c r="AP30" s="540"/>
      <c r="AQ30" s="541"/>
      <c r="AR30" s="536">
        <f t="shared" si="32"/>
        <v>0</v>
      </c>
      <c r="AS30" s="541"/>
      <c r="AT30" s="541"/>
      <c r="AU30" s="541"/>
      <c r="AV30" s="541"/>
      <c r="AW30" s="541"/>
      <c r="AX30" s="536">
        <f t="shared" si="33"/>
        <v>0</v>
      </c>
      <c r="AY30" s="541"/>
      <c r="AZ30" s="541"/>
      <c r="BA30" s="541"/>
      <c r="BB30" s="541"/>
      <c r="BC30" s="541"/>
      <c r="BD30" s="541"/>
      <c r="BE30" s="542">
        <v>0</v>
      </c>
      <c r="BF30" s="542"/>
      <c r="BG30" s="536">
        <f>BE30*(3%*'BOQ COST'!$F$4)*1</f>
        <v>0</v>
      </c>
      <c r="BH30" s="480">
        <f t="shared" si="22"/>
        <v>0</v>
      </c>
      <c r="BI30" s="536">
        <f>BG30</f>
        <v>0</v>
      </c>
      <c r="BJ30" s="536">
        <f>SUM(BJ31:BJ36)</f>
        <v>0</v>
      </c>
      <c r="BK30" s="537"/>
      <c r="BL30" s="537"/>
      <c r="BM30" s="537"/>
      <c r="BN30" s="537"/>
      <c r="BO30" s="537"/>
      <c r="BP30" s="536">
        <f>SUM(BP31:BP36)</f>
        <v>0</v>
      </c>
      <c r="BQ30" s="537"/>
      <c r="BR30" s="537"/>
      <c r="BS30" s="537"/>
      <c r="BT30" s="537"/>
      <c r="BU30" s="537"/>
      <c r="BV30" s="543"/>
      <c r="BW30" s="543"/>
      <c r="BX30" s="543"/>
      <c r="BY30" s="539"/>
      <c r="BZ30" s="544"/>
      <c r="CA30" s="545"/>
      <c r="CB30" s="545"/>
      <c r="CC30" s="545"/>
      <c r="CD30" s="545"/>
      <c r="CE30" s="545"/>
      <c r="CF30" s="545"/>
      <c r="CG30" s="545"/>
      <c r="CH30" s="545"/>
      <c r="CI30" s="545"/>
      <c r="CJ30" s="545"/>
      <c r="CK30" s="545"/>
      <c r="CL30" s="545"/>
      <c r="CM30" s="542"/>
      <c r="CN30" s="542"/>
      <c r="CO30" s="483">
        <v>0.1</v>
      </c>
      <c r="CP30" s="542"/>
      <c r="CQ30" s="481">
        <f>CO30*(2%*'BOQ COST'!$G$4)*1</f>
        <v>0.48108652606258029</v>
      </c>
      <c r="CR30" s="480">
        <f t="shared" si="25"/>
        <v>0.48108652606258029</v>
      </c>
      <c r="CS30" s="536">
        <f>CQ30</f>
        <v>0.48108652606258029</v>
      </c>
      <c r="CT30" s="536">
        <f>SUM(CT31:CT36)</f>
        <v>0</v>
      </c>
      <c r="CU30" s="537"/>
      <c r="CV30" s="537"/>
      <c r="CW30" s="537"/>
      <c r="CX30" s="537"/>
      <c r="CY30" s="537"/>
      <c r="CZ30" s="536">
        <f>SUM(CZ31:CZ36)</f>
        <v>0</v>
      </c>
      <c r="DA30" s="537"/>
      <c r="DB30" s="537"/>
      <c r="DC30" s="537"/>
      <c r="DD30" s="537"/>
      <c r="DE30" s="537"/>
      <c r="DF30" s="546"/>
      <c r="DG30" s="546"/>
      <c r="DH30" s="546"/>
      <c r="DI30" s="539"/>
      <c r="DJ30" s="540"/>
      <c r="DK30" s="541"/>
      <c r="DL30" s="541"/>
      <c r="DM30" s="537"/>
      <c r="DN30" s="537"/>
      <c r="DO30" s="537"/>
      <c r="DP30" s="537"/>
      <c r="DQ30" s="537"/>
      <c r="DR30" s="541"/>
      <c r="DS30" s="537"/>
      <c r="DT30" s="537"/>
      <c r="DU30" s="537"/>
      <c r="DV30" s="537"/>
      <c r="DW30" s="542"/>
      <c r="DX30" s="542"/>
      <c r="DY30" s="483">
        <v>0.05</v>
      </c>
      <c r="DZ30" s="542"/>
      <c r="EA30" s="481">
        <f>DY30*(7%*'BOQ COST'!$H$4)*1</f>
        <v>6.6729304949999999E-2</v>
      </c>
      <c r="EB30" s="480">
        <f t="shared" si="28"/>
        <v>6.6729304949999999E-2</v>
      </c>
      <c r="EC30" s="481">
        <f>EA30</f>
        <v>6.6729304949999999E-2</v>
      </c>
      <c r="ED30" s="481">
        <f>SUM(ED31:ED36)</f>
        <v>0</v>
      </c>
      <c r="EE30" s="494"/>
      <c r="EF30" s="494"/>
      <c r="EG30" s="494"/>
      <c r="EH30" s="494"/>
      <c r="EI30" s="494"/>
      <c r="EJ30" s="481">
        <f>SUM(EJ31:EJ36)</f>
        <v>0</v>
      </c>
      <c r="EK30" s="494"/>
      <c r="EL30" s="494"/>
      <c r="EM30" s="494"/>
      <c r="EN30" s="494"/>
      <c r="EO30" s="494"/>
      <c r="EP30" s="495"/>
      <c r="EQ30" s="495"/>
      <c r="ER30" s="495"/>
      <c r="ES30" s="496"/>
      <c r="ET30" s="497"/>
      <c r="EU30" s="497"/>
      <c r="EV30" s="497"/>
      <c r="EW30" s="494"/>
      <c r="EX30" s="494"/>
      <c r="EY30" s="494"/>
      <c r="EZ30" s="494"/>
      <c r="FA30" s="494"/>
      <c r="FB30" s="497"/>
      <c r="FC30" s="494"/>
      <c r="FD30" s="494"/>
      <c r="FE30" s="494"/>
      <c r="FF30" s="494"/>
    </row>
    <row r="31" spans="2:163" ht="13.35" hidden="1" customHeight="1" outlineLevel="2">
      <c r="B31" s="498">
        <v>1</v>
      </c>
      <c r="C31" s="498">
        <v>1</v>
      </c>
      <c r="D31" s="295" t="s">
        <v>35</v>
      </c>
      <c r="F31" s="499"/>
      <c r="G31" s="500"/>
      <c r="H31" s="547"/>
      <c r="I31" s="501"/>
      <c r="J31" s="501"/>
      <c r="K31" s="501"/>
      <c r="L31" s="501"/>
      <c r="M31" s="501"/>
      <c r="N31" s="501"/>
      <c r="O31" s="501"/>
      <c r="P31" s="501"/>
      <c r="Q31" s="501"/>
      <c r="R31" s="501"/>
      <c r="S31" s="501"/>
      <c r="U31" s="502"/>
      <c r="V31" s="503"/>
      <c r="W31" s="499"/>
      <c r="X31" s="500">
        <f t="shared" si="19"/>
        <v>0</v>
      </c>
      <c r="Y31" s="547"/>
      <c r="Z31" s="501"/>
      <c r="AA31" s="501"/>
      <c r="AB31" s="501"/>
      <c r="AC31" s="501"/>
      <c r="AD31" s="501"/>
      <c r="AE31" s="501"/>
      <c r="AF31" s="501"/>
      <c r="AG31" s="501"/>
      <c r="AH31" s="501"/>
      <c r="AI31" s="501"/>
      <c r="AJ31" s="501"/>
      <c r="AK31" s="501"/>
      <c r="AL31" s="504"/>
      <c r="AM31" s="504"/>
      <c r="AN31" s="504"/>
      <c r="AO31" s="505"/>
      <c r="AP31" s="466"/>
      <c r="AQ31" s="466"/>
      <c r="AR31" s="506">
        <f t="shared" si="32"/>
        <v>0</v>
      </c>
      <c r="AS31" s="466"/>
      <c r="AT31" s="466"/>
      <c r="AU31" s="466"/>
      <c r="AV31" s="466"/>
      <c r="AW31" s="466"/>
      <c r="AX31" s="506">
        <f t="shared" si="33"/>
        <v>0</v>
      </c>
      <c r="AY31" s="466"/>
      <c r="AZ31" s="466"/>
      <c r="BA31" s="466"/>
      <c r="BB31" s="466"/>
      <c r="BC31" s="466"/>
      <c r="BD31" s="466"/>
      <c r="BE31" s="507"/>
      <c r="BF31" s="508"/>
      <c r="BG31" s="549"/>
      <c r="BH31" s="510">
        <f t="shared" si="22"/>
        <v>0</v>
      </c>
      <c r="BI31" s="501"/>
      <c r="BJ31" s="501"/>
      <c r="BK31" s="501"/>
      <c r="BL31" s="501"/>
      <c r="BM31" s="501"/>
      <c r="BN31" s="501"/>
      <c r="BO31" s="501"/>
      <c r="BP31" s="501"/>
      <c r="BQ31" s="501"/>
      <c r="BR31" s="501"/>
      <c r="BS31" s="501"/>
      <c r="BT31" s="501"/>
      <c r="BU31" s="501"/>
      <c r="BV31" s="511"/>
      <c r="BW31" s="511"/>
      <c r="BX31" s="511"/>
      <c r="BY31" s="505"/>
      <c r="BZ31" s="471"/>
      <c r="CA31" s="471"/>
      <c r="CB31" s="548"/>
      <c r="CC31" s="512"/>
      <c r="CD31" s="512"/>
      <c r="CE31" s="512"/>
      <c r="CF31" s="512"/>
      <c r="CG31" s="512"/>
      <c r="CH31" s="548"/>
      <c r="CI31" s="512"/>
      <c r="CJ31" s="512"/>
      <c r="CK31" s="512"/>
      <c r="CL31" s="512"/>
      <c r="CM31" s="508"/>
      <c r="CN31" s="508"/>
      <c r="CO31" s="507"/>
      <c r="CP31" s="508"/>
      <c r="CQ31" s="509"/>
      <c r="CR31" s="510">
        <f t="shared" si="25"/>
        <v>0</v>
      </c>
      <c r="CS31" s="501"/>
      <c r="CT31" s="501"/>
      <c r="CU31" s="501"/>
      <c r="CV31" s="501"/>
      <c r="CW31" s="501"/>
      <c r="CX31" s="501"/>
      <c r="CY31" s="501"/>
      <c r="CZ31" s="501"/>
      <c r="DA31" s="501"/>
      <c r="DB31" s="501"/>
      <c r="DC31" s="501"/>
      <c r="DD31" s="501"/>
      <c r="DE31" s="501"/>
      <c r="DF31" s="513"/>
      <c r="DG31" s="513"/>
      <c r="DH31" s="513"/>
      <c r="DI31" s="505"/>
      <c r="DJ31" s="466"/>
      <c r="DK31" s="466"/>
      <c r="DL31" s="466"/>
      <c r="DM31" s="501"/>
      <c r="DN31" s="501"/>
      <c r="DO31" s="501"/>
      <c r="DP31" s="501"/>
      <c r="DQ31" s="501"/>
      <c r="DR31" s="466"/>
      <c r="DS31" s="501"/>
      <c r="DT31" s="501"/>
      <c r="DU31" s="501"/>
      <c r="DV31" s="501"/>
      <c r="DW31" s="508"/>
      <c r="DX31" s="508"/>
      <c r="DY31" s="507">
        <v>0</v>
      </c>
      <c r="DZ31" s="508"/>
      <c r="EA31" s="509"/>
      <c r="EB31" s="510">
        <f t="shared" si="28"/>
        <v>0</v>
      </c>
      <c r="EC31" s="515"/>
      <c r="ED31" s="515"/>
      <c r="EE31" s="515"/>
      <c r="EF31" s="515"/>
      <c r="EG31" s="515"/>
      <c r="EH31" s="515"/>
      <c r="EI31" s="515"/>
      <c r="EJ31" s="515"/>
      <c r="EK31" s="515"/>
      <c r="EL31" s="515"/>
      <c r="EM31" s="515"/>
      <c r="EN31" s="515"/>
      <c r="EO31" s="515"/>
      <c r="EP31" s="52"/>
      <c r="EQ31" s="52"/>
      <c r="ER31" s="52"/>
      <c r="ES31" s="516"/>
      <c r="ET31" s="476"/>
      <c r="EU31" s="476"/>
      <c r="EV31" s="476"/>
      <c r="EW31" s="515"/>
      <c r="EX31" s="515"/>
      <c r="EY31" s="515"/>
      <c r="EZ31" s="515"/>
      <c r="FA31" s="515"/>
      <c r="FB31" s="476"/>
      <c r="FC31" s="515"/>
      <c r="FD31" s="515"/>
      <c r="FE31" s="515"/>
      <c r="FF31" s="515"/>
    </row>
    <row r="32" spans="2:163" ht="13.35" hidden="1" customHeight="1" outlineLevel="2">
      <c r="B32" s="498">
        <v>2</v>
      </c>
      <c r="C32" s="498">
        <v>2</v>
      </c>
      <c r="D32" s="295" t="s">
        <v>36</v>
      </c>
      <c r="F32" s="499"/>
      <c r="G32" s="500"/>
      <c r="H32" s="547"/>
      <c r="I32" s="501"/>
      <c r="J32" s="501"/>
      <c r="K32" s="501"/>
      <c r="L32" s="501"/>
      <c r="M32" s="501"/>
      <c r="N32" s="501"/>
      <c r="O32" s="501"/>
      <c r="P32" s="501"/>
      <c r="Q32" s="501"/>
      <c r="R32" s="501"/>
      <c r="S32" s="501"/>
      <c r="U32" s="502"/>
      <c r="V32" s="503"/>
      <c r="W32" s="499"/>
      <c r="X32" s="500">
        <f t="shared" si="19"/>
        <v>0</v>
      </c>
      <c r="Y32" s="547"/>
      <c r="Z32" s="501"/>
      <c r="AA32" s="501"/>
      <c r="AB32" s="501"/>
      <c r="AC32" s="501"/>
      <c r="AD32" s="501"/>
      <c r="AE32" s="501"/>
      <c r="AF32" s="501"/>
      <c r="AG32" s="501"/>
      <c r="AH32" s="501"/>
      <c r="AI32" s="501"/>
      <c r="AJ32" s="501"/>
      <c r="AK32" s="501"/>
      <c r="AL32" s="504"/>
      <c r="AM32" s="504"/>
      <c r="AN32" s="504"/>
      <c r="AO32" s="505"/>
      <c r="AP32" s="466"/>
      <c r="AQ32" s="466"/>
      <c r="AR32" s="506">
        <f t="shared" si="32"/>
        <v>0</v>
      </c>
      <c r="AS32" s="466"/>
      <c r="AT32" s="466"/>
      <c r="AU32" s="466"/>
      <c r="AV32" s="466"/>
      <c r="AW32" s="466"/>
      <c r="AX32" s="506">
        <f t="shared" si="33"/>
        <v>0</v>
      </c>
      <c r="AY32" s="466"/>
      <c r="AZ32" s="466"/>
      <c r="BA32" s="466"/>
      <c r="BB32" s="466"/>
      <c r="BC32" s="466"/>
      <c r="BD32" s="466"/>
      <c r="BE32" s="507"/>
      <c r="BF32" s="508"/>
      <c r="BG32" s="549"/>
      <c r="BH32" s="510">
        <f t="shared" si="22"/>
        <v>0</v>
      </c>
      <c r="BI32" s="501"/>
      <c r="BJ32" s="501"/>
      <c r="BK32" s="501"/>
      <c r="BL32" s="501"/>
      <c r="BM32" s="501"/>
      <c r="BN32" s="501"/>
      <c r="BO32" s="501"/>
      <c r="BP32" s="501"/>
      <c r="BQ32" s="501"/>
      <c r="BR32" s="501"/>
      <c r="BS32" s="501"/>
      <c r="BT32" s="501"/>
      <c r="BU32" s="501"/>
      <c r="BV32" s="511"/>
      <c r="BW32" s="511"/>
      <c r="BX32" s="511"/>
      <c r="BY32" s="505"/>
      <c r="BZ32" s="471"/>
      <c r="CA32" s="471"/>
      <c r="CB32" s="548"/>
      <c r="CC32" s="512"/>
      <c r="CD32" s="512"/>
      <c r="CE32" s="512"/>
      <c r="CF32" s="512"/>
      <c r="CG32" s="512"/>
      <c r="CH32" s="548"/>
      <c r="CI32" s="512"/>
      <c r="CJ32" s="512"/>
      <c r="CK32" s="512"/>
      <c r="CL32" s="512"/>
      <c r="CM32" s="508"/>
      <c r="CN32" s="508"/>
      <c r="CO32" s="507"/>
      <c r="CP32" s="508"/>
      <c r="CQ32" s="509"/>
      <c r="CR32" s="510">
        <f t="shared" si="25"/>
        <v>0</v>
      </c>
      <c r="CS32" s="501"/>
      <c r="CT32" s="501"/>
      <c r="CU32" s="501"/>
      <c r="CV32" s="501"/>
      <c r="CW32" s="501"/>
      <c r="CX32" s="501"/>
      <c r="CY32" s="501"/>
      <c r="CZ32" s="501"/>
      <c r="DA32" s="501"/>
      <c r="DB32" s="501"/>
      <c r="DC32" s="501"/>
      <c r="DD32" s="501"/>
      <c r="DE32" s="501"/>
      <c r="DF32" s="513"/>
      <c r="DG32" s="513"/>
      <c r="DH32" s="513"/>
      <c r="DI32" s="505"/>
      <c r="DJ32" s="466"/>
      <c r="DK32" s="466"/>
      <c r="DL32" s="466"/>
      <c r="DM32" s="501"/>
      <c r="DN32" s="501"/>
      <c r="DO32" s="501"/>
      <c r="DP32" s="501"/>
      <c r="DQ32" s="501"/>
      <c r="DR32" s="466"/>
      <c r="DS32" s="501"/>
      <c r="DT32" s="501"/>
      <c r="DU32" s="501"/>
      <c r="DV32" s="501"/>
      <c r="DW32" s="508"/>
      <c r="DX32" s="508"/>
      <c r="DY32" s="507">
        <v>0</v>
      </c>
      <c r="DZ32" s="508"/>
      <c r="EA32" s="509"/>
      <c r="EB32" s="510">
        <f t="shared" si="28"/>
        <v>0</v>
      </c>
      <c r="EC32" s="515"/>
      <c r="ED32" s="515"/>
      <c r="EE32" s="515"/>
      <c r="EF32" s="515"/>
      <c r="EG32" s="515"/>
      <c r="EH32" s="515"/>
      <c r="EI32" s="515"/>
      <c r="EJ32" s="515"/>
      <c r="EK32" s="515"/>
      <c r="EL32" s="515"/>
      <c r="EM32" s="515"/>
      <c r="EN32" s="515"/>
      <c r="EO32" s="515"/>
      <c r="EP32" s="52"/>
      <c r="EQ32" s="52"/>
      <c r="ER32" s="52"/>
      <c r="ES32" s="516"/>
      <c r="ET32" s="476"/>
      <c r="EU32" s="476"/>
      <c r="EV32" s="476"/>
      <c r="EW32" s="515"/>
      <c r="EX32" s="515"/>
      <c r="EY32" s="515"/>
      <c r="EZ32" s="515"/>
      <c r="FA32" s="515"/>
      <c r="FB32" s="476"/>
      <c r="FC32" s="515"/>
      <c r="FD32" s="515"/>
      <c r="FE32" s="515"/>
      <c r="FF32" s="515"/>
    </row>
    <row r="33" spans="2:162" ht="13.35" hidden="1" customHeight="1" outlineLevel="2">
      <c r="B33" s="498">
        <v>3</v>
      </c>
      <c r="C33" s="498">
        <v>3</v>
      </c>
      <c r="D33" s="295" t="s">
        <v>37</v>
      </c>
      <c r="F33" s="499"/>
      <c r="G33" s="500"/>
      <c r="H33" s="547"/>
      <c r="I33" s="501"/>
      <c r="J33" s="501"/>
      <c r="K33" s="501"/>
      <c r="L33" s="501"/>
      <c r="M33" s="501"/>
      <c r="N33" s="501"/>
      <c r="O33" s="501"/>
      <c r="P33" s="501"/>
      <c r="Q33" s="501"/>
      <c r="R33" s="501"/>
      <c r="S33" s="501"/>
      <c r="U33" s="502"/>
      <c r="V33" s="503"/>
      <c r="W33" s="499"/>
      <c r="X33" s="500">
        <f t="shared" si="19"/>
        <v>0</v>
      </c>
      <c r="Y33" s="547"/>
      <c r="Z33" s="501"/>
      <c r="AA33" s="501"/>
      <c r="AB33" s="501"/>
      <c r="AC33" s="501"/>
      <c r="AD33" s="501"/>
      <c r="AE33" s="501"/>
      <c r="AF33" s="501"/>
      <c r="AG33" s="501"/>
      <c r="AH33" s="501"/>
      <c r="AI33" s="501"/>
      <c r="AJ33" s="501"/>
      <c r="AK33" s="501"/>
      <c r="AL33" s="504"/>
      <c r="AM33" s="504"/>
      <c r="AN33" s="504"/>
      <c r="AO33" s="518"/>
      <c r="AP33" s="466"/>
      <c r="AQ33" s="466"/>
      <c r="AR33" s="506">
        <f t="shared" si="32"/>
        <v>0</v>
      </c>
      <c r="AS33" s="466"/>
      <c r="AT33" s="466"/>
      <c r="AU33" s="466"/>
      <c r="AV33" s="466"/>
      <c r="AW33" s="466"/>
      <c r="AX33" s="506">
        <f t="shared" si="33"/>
        <v>0</v>
      </c>
      <c r="AY33" s="466"/>
      <c r="AZ33" s="466"/>
      <c r="BA33" s="466"/>
      <c r="BB33" s="466"/>
      <c r="BC33" s="532"/>
      <c r="BD33" s="532"/>
      <c r="BE33" s="507"/>
      <c r="BF33" s="508"/>
      <c r="BG33" s="549"/>
      <c r="BH33" s="510">
        <f t="shared" si="22"/>
        <v>0</v>
      </c>
      <c r="BI33" s="501"/>
      <c r="BJ33" s="501"/>
      <c r="BK33" s="501"/>
      <c r="BL33" s="501"/>
      <c r="BM33" s="501"/>
      <c r="BN33" s="501"/>
      <c r="BO33" s="501"/>
      <c r="BP33" s="501"/>
      <c r="BQ33" s="501"/>
      <c r="BR33" s="501"/>
      <c r="BS33" s="501"/>
      <c r="BT33" s="501"/>
      <c r="BU33" s="501"/>
      <c r="BV33" s="511"/>
      <c r="BW33" s="511"/>
      <c r="BX33" s="511"/>
      <c r="BY33" s="518"/>
      <c r="BZ33" s="471"/>
      <c r="CA33" s="471"/>
      <c r="CB33" s="548"/>
      <c r="CC33" s="512"/>
      <c r="CD33" s="512"/>
      <c r="CE33" s="512"/>
      <c r="CF33" s="512"/>
      <c r="CG33" s="512"/>
      <c r="CH33" s="548"/>
      <c r="CI33" s="512"/>
      <c r="CJ33" s="512"/>
      <c r="CK33" s="512"/>
      <c r="CL33" s="512"/>
      <c r="CM33" s="508"/>
      <c r="CN33" s="508"/>
      <c r="CO33" s="550"/>
      <c r="CP33" s="508"/>
      <c r="CQ33" s="509"/>
      <c r="CR33" s="510">
        <f t="shared" si="25"/>
        <v>0</v>
      </c>
      <c r="CS33" s="501"/>
      <c r="CT33" s="501"/>
      <c r="CU33" s="501"/>
      <c r="CV33" s="501"/>
      <c r="CW33" s="501"/>
      <c r="CX33" s="501"/>
      <c r="CY33" s="501"/>
      <c r="CZ33" s="501"/>
      <c r="DA33" s="501"/>
      <c r="DB33" s="501"/>
      <c r="DC33" s="501"/>
      <c r="DD33" s="501"/>
      <c r="DE33" s="501"/>
      <c r="DF33" s="513"/>
      <c r="DG33" s="513"/>
      <c r="DH33" s="513"/>
      <c r="DI33" s="518"/>
      <c r="DJ33" s="466"/>
      <c r="DK33" s="466"/>
      <c r="DL33" s="466"/>
      <c r="DM33" s="501"/>
      <c r="DN33" s="501"/>
      <c r="DO33" s="501"/>
      <c r="DP33" s="501"/>
      <c r="DQ33" s="501"/>
      <c r="DR33" s="466"/>
      <c r="DS33" s="501"/>
      <c r="DT33" s="501"/>
      <c r="DU33" s="501"/>
      <c r="DV33" s="501"/>
      <c r="DW33" s="508"/>
      <c r="DX33" s="508"/>
      <c r="DY33" s="507">
        <v>0</v>
      </c>
      <c r="DZ33" s="508"/>
      <c r="EA33" s="509"/>
      <c r="EB33" s="510">
        <f t="shared" si="28"/>
        <v>0</v>
      </c>
      <c r="EC33" s="515"/>
      <c r="ED33" s="515"/>
      <c r="EE33" s="515"/>
      <c r="EF33" s="515"/>
      <c r="EG33" s="515"/>
      <c r="EH33" s="515"/>
      <c r="EI33" s="515"/>
      <c r="EJ33" s="515"/>
      <c r="EK33" s="515"/>
      <c r="EL33" s="515"/>
      <c r="EM33" s="515"/>
      <c r="EN33" s="515"/>
      <c r="EO33" s="515"/>
      <c r="EP33" s="52"/>
      <c r="EQ33" s="52"/>
      <c r="ER33" s="52"/>
      <c r="ET33" s="476"/>
      <c r="EU33" s="476"/>
      <c r="EV33" s="476"/>
      <c r="EW33" s="515"/>
      <c r="EX33" s="515"/>
      <c r="EY33" s="515"/>
      <c r="EZ33" s="515"/>
      <c r="FA33" s="515"/>
      <c r="FB33" s="476"/>
      <c r="FC33" s="515"/>
      <c r="FD33" s="515"/>
      <c r="FE33" s="515"/>
      <c r="FF33" s="515"/>
    </row>
    <row r="34" spans="2:162" ht="13.35" hidden="1" customHeight="1" outlineLevel="2">
      <c r="B34" s="498">
        <v>4</v>
      </c>
      <c r="C34" s="498">
        <v>4</v>
      </c>
      <c r="D34" s="295" t="s">
        <v>38</v>
      </c>
      <c r="F34" s="499"/>
      <c r="G34" s="500"/>
      <c r="H34" s="547"/>
      <c r="I34" s="501"/>
      <c r="J34" s="501"/>
      <c r="K34" s="501"/>
      <c r="L34" s="501"/>
      <c r="M34" s="501"/>
      <c r="N34" s="501"/>
      <c r="O34" s="501"/>
      <c r="P34" s="501"/>
      <c r="Q34" s="501"/>
      <c r="R34" s="501"/>
      <c r="S34" s="501"/>
      <c r="U34" s="502"/>
      <c r="V34" s="503"/>
      <c r="W34" s="499"/>
      <c r="X34" s="500">
        <f t="shared" si="19"/>
        <v>0</v>
      </c>
      <c r="Y34" s="547"/>
      <c r="Z34" s="501"/>
      <c r="AA34" s="501"/>
      <c r="AB34" s="501"/>
      <c r="AC34" s="501"/>
      <c r="AD34" s="501"/>
      <c r="AE34" s="501"/>
      <c r="AF34" s="501"/>
      <c r="AG34" s="501"/>
      <c r="AH34" s="501"/>
      <c r="AI34" s="501"/>
      <c r="AJ34" s="501"/>
      <c r="AK34" s="501"/>
      <c r="AL34" s="504"/>
      <c r="AM34" s="504"/>
      <c r="AN34" s="504"/>
      <c r="AO34" s="520"/>
      <c r="AP34" s="466"/>
      <c r="AQ34" s="466"/>
      <c r="AR34" s="506">
        <f t="shared" si="32"/>
        <v>0</v>
      </c>
      <c r="AS34" s="466"/>
      <c r="AT34" s="466"/>
      <c r="AU34" s="466"/>
      <c r="AV34" s="466"/>
      <c r="AW34" s="466"/>
      <c r="AX34" s="506">
        <f t="shared" si="33"/>
        <v>0</v>
      </c>
      <c r="AY34" s="466"/>
      <c r="AZ34" s="466"/>
      <c r="BA34" s="466"/>
      <c r="BB34" s="466"/>
      <c r="BC34" s="532"/>
      <c r="BD34" s="532"/>
      <c r="BE34" s="507"/>
      <c r="BF34" s="508"/>
      <c r="BG34" s="549"/>
      <c r="BH34" s="510">
        <f t="shared" si="22"/>
        <v>0</v>
      </c>
      <c r="BI34" s="501"/>
      <c r="BJ34" s="501"/>
      <c r="BK34" s="501"/>
      <c r="BL34" s="501"/>
      <c r="BM34" s="501"/>
      <c r="BN34" s="501"/>
      <c r="BO34" s="501"/>
      <c r="BP34" s="501"/>
      <c r="BQ34" s="501"/>
      <c r="BR34" s="501"/>
      <c r="BS34" s="501"/>
      <c r="BT34" s="501"/>
      <c r="BU34" s="501"/>
      <c r="BV34" s="511"/>
      <c r="BW34" s="511"/>
      <c r="BX34" s="511"/>
      <c r="BY34" s="520"/>
      <c r="BZ34" s="471"/>
      <c r="CA34" s="471"/>
      <c r="CB34" s="548"/>
      <c r="CC34" s="512"/>
      <c r="CD34" s="512"/>
      <c r="CE34" s="512"/>
      <c r="CF34" s="512"/>
      <c r="CG34" s="512"/>
      <c r="CH34" s="548"/>
      <c r="CI34" s="512"/>
      <c r="CJ34" s="512"/>
      <c r="CK34" s="512"/>
      <c r="CL34" s="512"/>
      <c r="CM34" s="508"/>
      <c r="CN34" s="508"/>
      <c r="CO34" s="550"/>
      <c r="CP34" s="508"/>
      <c r="CQ34" s="509"/>
      <c r="CR34" s="510">
        <f t="shared" si="25"/>
        <v>0</v>
      </c>
      <c r="CS34" s="501"/>
      <c r="CT34" s="501"/>
      <c r="CU34" s="501"/>
      <c r="CV34" s="501"/>
      <c r="CW34" s="501"/>
      <c r="CX34" s="501"/>
      <c r="CY34" s="501"/>
      <c r="CZ34" s="501"/>
      <c r="DA34" s="501"/>
      <c r="DB34" s="501"/>
      <c r="DC34" s="501"/>
      <c r="DD34" s="501"/>
      <c r="DE34" s="501"/>
      <c r="DF34" s="513"/>
      <c r="DG34" s="513"/>
      <c r="DH34" s="513"/>
      <c r="DI34" s="520"/>
      <c r="DJ34" s="466"/>
      <c r="DK34" s="466"/>
      <c r="DL34" s="466"/>
      <c r="DM34" s="501"/>
      <c r="DN34" s="501"/>
      <c r="DO34" s="501"/>
      <c r="DP34" s="501"/>
      <c r="DQ34" s="501"/>
      <c r="DR34" s="466"/>
      <c r="DS34" s="501"/>
      <c r="DT34" s="501"/>
      <c r="DU34" s="501"/>
      <c r="DV34" s="501"/>
      <c r="DW34" s="508"/>
      <c r="DX34" s="508"/>
      <c r="DY34" s="507"/>
      <c r="DZ34" s="508"/>
      <c r="EA34" s="509"/>
      <c r="EB34" s="510">
        <f t="shared" si="28"/>
        <v>0</v>
      </c>
      <c r="EC34" s="515"/>
      <c r="ED34" s="515"/>
      <c r="EE34" s="515"/>
      <c r="EF34" s="515"/>
      <c r="EG34" s="515"/>
      <c r="EH34" s="515"/>
      <c r="EI34" s="515"/>
      <c r="EJ34" s="515"/>
      <c r="EK34" s="515"/>
      <c r="EL34" s="515"/>
      <c r="EM34" s="515"/>
      <c r="EN34" s="515"/>
      <c r="EO34" s="515"/>
      <c r="EP34" s="52"/>
      <c r="EQ34" s="52"/>
      <c r="ER34" s="52"/>
      <c r="ES34" s="523"/>
      <c r="ET34" s="476"/>
      <c r="EU34" s="476"/>
      <c r="EV34" s="476"/>
      <c r="EW34" s="515"/>
      <c r="EX34" s="515"/>
      <c r="EY34" s="515"/>
      <c r="EZ34" s="515"/>
      <c r="FA34" s="515"/>
      <c r="FB34" s="476"/>
      <c r="FC34" s="515"/>
      <c r="FD34" s="515"/>
      <c r="FE34" s="515"/>
      <c r="FF34" s="515"/>
    </row>
    <row r="35" spans="2:162" ht="13.35" hidden="1" customHeight="1" outlineLevel="2">
      <c r="B35" s="498">
        <v>5</v>
      </c>
      <c r="C35" s="498">
        <v>5</v>
      </c>
      <c r="D35" s="295" t="s">
        <v>39</v>
      </c>
      <c r="F35" s="499"/>
      <c r="G35" s="500"/>
      <c r="H35" s="547"/>
      <c r="I35" s="501"/>
      <c r="J35" s="501"/>
      <c r="K35" s="501"/>
      <c r="L35" s="501"/>
      <c r="M35" s="501"/>
      <c r="N35" s="501"/>
      <c r="O35" s="501"/>
      <c r="P35" s="501"/>
      <c r="Q35" s="501"/>
      <c r="R35" s="501"/>
      <c r="S35" s="501"/>
      <c r="U35" s="502"/>
      <c r="V35" s="503"/>
      <c r="W35" s="499"/>
      <c r="X35" s="500">
        <f t="shared" si="19"/>
        <v>0</v>
      </c>
      <c r="Y35" s="547"/>
      <c r="Z35" s="501"/>
      <c r="AA35" s="501"/>
      <c r="AB35" s="501"/>
      <c r="AC35" s="501"/>
      <c r="AD35" s="501"/>
      <c r="AE35" s="501"/>
      <c r="AF35" s="501"/>
      <c r="AG35" s="501"/>
      <c r="AH35" s="501"/>
      <c r="AI35" s="501"/>
      <c r="AJ35" s="501"/>
      <c r="AK35" s="501"/>
      <c r="AL35" s="504"/>
      <c r="AM35" s="504"/>
      <c r="AN35" s="504"/>
      <c r="AO35" s="518"/>
      <c r="AP35" s="466"/>
      <c r="AQ35" s="466"/>
      <c r="AR35" s="506">
        <f t="shared" si="32"/>
        <v>0</v>
      </c>
      <c r="AS35" s="466"/>
      <c r="AT35" s="466"/>
      <c r="AU35" s="466"/>
      <c r="AV35" s="466"/>
      <c r="AW35" s="466"/>
      <c r="AX35" s="506">
        <f t="shared" si="33"/>
        <v>0</v>
      </c>
      <c r="AY35" s="466"/>
      <c r="AZ35" s="466"/>
      <c r="BA35" s="466"/>
      <c r="BB35" s="466"/>
      <c r="BC35" s="532"/>
      <c r="BD35" s="532"/>
      <c r="BE35" s="507"/>
      <c r="BF35" s="508"/>
      <c r="BG35" s="549"/>
      <c r="BH35" s="510">
        <f t="shared" si="22"/>
        <v>0</v>
      </c>
      <c r="BI35" s="501"/>
      <c r="BJ35" s="501"/>
      <c r="BK35" s="501"/>
      <c r="BL35" s="501"/>
      <c r="BM35" s="501"/>
      <c r="BN35" s="501"/>
      <c r="BO35" s="501"/>
      <c r="BP35" s="501"/>
      <c r="BQ35" s="501"/>
      <c r="BR35" s="501"/>
      <c r="BS35" s="501"/>
      <c r="BT35" s="501"/>
      <c r="BU35" s="501"/>
      <c r="BV35" s="511"/>
      <c r="BW35" s="511"/>
      <c r="BX35" s="511"/>
      <c r="BY35" s="518"/>
      <c r="BZ35" s="471"/>
      <c r="CA35" s="471"/>
      <c r="CB35" s="548"/>
      <c r="CC35" s="512"/>
      <c r="CD35" s="512"/>
      <c r="CE35" s="512"/>
      <c r="CF35" s="512"/>
      <c r="CG35" s="512"/>
      <c r="CH35" s="548"/>
      <c r="CI35" s="512"/>
      <c r="CJ35" s="512"/>
      <c r="CK35" s="512"/>
      <c r="CL35" s="512"/>
      <c r="CM35" s="508"/>
      <c r="CN35" s="508"/>
      <c r="CO35" s="550"/>
      <c r="CP35" s="508"/>
      <c r="CQ35" s="509"/>
      <c r="CR35" s="510">
        <f t="shared" si="25"/>
        <v>0</v>
      </c>
      <c r="CS35" s="501"/>
      <c r="CT35" s="501"/>
      <c r="CU35" s="501"/>
      <c r="CV35" s="501"/>
      <c r="CW35" s="501"/>
      <c r="CX35" s="501"/>
      <c r="CY35" s="501"/>
      <c r="CZ35" s="501"/>
      <c r="DA35" s="501"/>
      <c r="DB35" s="501"/>
      <c r="DC35" s="501"/>
      <c r="DD35" s="501"/>
      <c r="DE35" s="501"/>
      <c r="DF35" s="513"/>
      <c r="DG35" s="513"/>
      <c r="DH35" s="513"/>
      <c r="DI35" s="518"/>
      <c r="DJ35" s="466"/>
      <c r="DK35" s="466"/>
      <c r="DL35" s="466"/>
      <c r="DM35" s="501"/>
      <c r="DN35" s="501"/>
      <c r="DO35" s="501"/>
      <c r="DP35" s="501"/>
      <c r="DQ35" s="501"/>
      <c r="DR35" s="466"/>
      <c r="DS35" s="501"/>
      <c r="DT35" s="501"/>
      <c r="DU35" s="501"/>
      <c r="DV35" s="501"/>
      <c r="DW35" s="508"/>
      <c r="DX35" s="508"/>
      <c r="DY35" s="507">
        <v>0</v>
      </c>
      <c r="DZ35" s="508"/>
      <c r="EA35" s="509"/>
      <c r="EB35" s="510">
        <f t="shared" si="28"/>
        <v>0</v>
      </c>
      <c r="EC35" s="515"/>
      <c r="ED35" s="515"/>
      <c r="EE35" s="515"/>
      <c r="EF35" s="515"/>
      <c r="EG35" s="515"/>
      <c r="EH35" s="515"/>
      <c r="EI35" s="515"/>
      <c r="EJ35" s="515"/>
      <c r="EK35" s="515"/>
      <c r="EL35" s="515"/>
      <c r="EM35" s="515"/>
      <c r="EN35" s="515"/>
      <c r="EO35" s="515"/>
      <c r="EP35" s="52"/>
      <c r="EQ35" s="52"/>
      <c r="ER35" s="52"/>
      <c r="ET35" s="476"/>
      <c r="EU35" s="476"/>
      <c r="EV35" s="476"/>
      <c r="EW35" s="515"/>
      <c r="EX35" s="515"/>
      <c r="EY35" s="515"/>
      <c r="EZ35" s="515"/>
      <c r="FA35" s="515"/>
      <c r="FB35" s="476"/>
      <c r="FC35" s="515"/>
      <c r="FD35" s="515"/>
      <c r="FE35" s="515"/>
      <c r="FF35" s="515"/>
    </row>
    <row r="36" spans="2:162" ht="13.35" hidden="1" customHeight="1" outlineLevel="2">
      <c r="B36" s="498">
        <v>6</v>
      </c>
      <c r="C36" s="498">
        <v>6</v>
      </c>
      <c r="D36" s="295" t="s">
        <v>40</v>
      </c>
      <c r="F36" s="499"/>
      <c r="G36" s="500"/>
      <c r="H36" s="547"/>
      <c r="I36" s="501"/>
      <c r="J36" s="501"/>
      <c r="K36" s="501"/>
      <c r="L36" s="501"/>
      <c r="M36" s="501"/>
      <c r="N36" s="501"/>
      <c r="O36" s="501"/>
      <c r="P36" s="501"/>
      <c r="Q36" s="501"/>
      <c r="R36" s="501"/>
      <c r="S36" s="501"/>
      <c r="U36" s="502"/>
      <c r="V36" s="503"/>
      <c r="W36" s="499"/>
      <c r="X36" s="500">
        <f t="shared" si="19"/>
        <v>0</v>
      </c>
      <c r="Y36" s="547"/>
      <c r="Z36" s="501"/>
      <c r="AA36" s="501"/>
      <c r="AB36" s="501"/>
      <c r="AC36" s="501"/>
      <c r="AD36" s="501"/>
      <c r="AE36" s="501"/>
      <c r="AF36" s="501"/>
      <c r="AG36" s="501"/>
      <c r="AH36" s="501"/>
      <c r="AI36" s="501"/>
      <c r="AJ36" s="501"/>
      <c r="AK36" s="501"/>
      <c r="AL36" s="504"/>
      <c r="AM36" s="504"/>
      <c r="AN36" s="504"/>
      <c r="AO36" s="518"/>
      <c r="AP36" s="551"/>
      <c r="AQ36" s="466"/>
      <c r="AR36" s="506">
        <f t="shared" si="32"/>
        <v>0</v>
      </c>
      <c r="AS36" s="466"/>
      <c r="AT36" s="466"/>
      <c r="AU36" s="466"/>
      <c r="AV36" s="466"/>
      <c r="AW36" s="466"/>
      <c r="AX36" s="506">
        <f t="shared" si="33"/>
        <v>0</v>
      </c>
      <c r="AY36" s="466"/>
      <c r="AZ36" s="466"/>
      <c r="BA36" s="466"/>
      <c r="BB36" s="466"/>
      <c r="BC36" s="466"/>
      <c r="BD36" s="466"/>
      <c r="BE36" s="507"/>
      <c r="BF36" s="508"/>
      <c r="BG36" s="549"/>
      <c r="BH36" s="510">
        <f t="shared" si="22"/>
        <v>0</v>
      </c>
      <c r="BI36" s="501"/>
      <c r="BJ36" s="501"/>
      <c r="BK36" s="501"/>
      <c r="BL36" s="501"/>
      <c r="BM36" s="501"/>
      <c r="BN36" s="501"/>
      <c r="BO36" s="501"/>
      <c r="BP36" s="501"/>
      <c r="BQ36" s="501"/>
      <c r="BR36" s="501"/>
      <c r="BS36" s="501"/>
      <c r="BT36" s="501"/>
      <c r="BU36" s="501"/>
      <c r="BV36" s="511"/>
      <c r="BW36" s="511"/>
      <c r="BX36" s="511"/>
      <c r="BY36" s="518"/>
      <c r="BZ36" s="552"/>
      <c r="CA36" s="471"/>
      <c r="CB36" s="548"/>
      <c r="CC36" s="512"/>
      <c r="CD36" s="512"/>
      <c r="CE36" s="512"/>
      <c r="CF36" s="512"/>
      <c r="CG36" s="512"/>
      <c r="CH36" s="548"/>
      <c r="CI36" s="512"/>
      <c r="CJ36" s="512"/>
      <c r="CK36" s="512"/>
      <c r="CL36" s="512"/>
      <c r="CM36" s="508"/>
      <c r="CN36" s="508"/>
      <c r="CO36" s="550"/>
      <c r="CP36" s="508"/>
      <c r="CQ36" s="509"/>
      <c r="CR36" s="510">
        <f t="shared" si="25"/>
        <v>0</v>
      </c>
      <c r="CS36" s="501"/>
      <c r="CT36" s="501"/>
      <c r="CU36" s="501"/>
      <c r="CV36" s="501"/>
      <c r="CW36" s="501"/>
      <c r="CX36" s="501"/>
      <c r="CY36" s="501"/>
      <c r="CZ36" s="501"/>
      <c r="DA36" s="501"/>
      <c r="DB36" s="501"/>
      <c r="DC36" s="501"/>
      <c r="DD36" s="501"/>
      <c r="DE36" s="501"/>
      <c r="DF36" s="513"/>
      <c r="DG36" s="513"/>
      <c r="DH36" s="513"/>
      <c r="DI36" s="518"/>
      <c r="DJ36" s="551"/>
      <c r="DK36" s="466"/>
      <c r="DL36" s="466"/>
      <c r="DM36" s="501"/>
      <c r="DN36" s="501"/>
      <c r="DO36" s="501"/>
      <c r="DP36" s="501"/>
      <c r="DQ36" s="501"/>
      <c r="DR36" s="466"/>
      <c r="DS36" s="501"/>
      <c r="DT36" s="501"/>
      <c r="DU36" s="501"/>
      <c r="DV36" s="501"/>
      <c r="DW36" s="508"/>
      <c r="DX36" s="508"/>
      <c r="DY36" s="507">
        <v>0</v>
      </c>
      <c r="DZ36" s="508"/>
      <c r="EA36" s="509"/>
      <c r="EB36" s="510">
        <f t="shared" si="28"/>
        <v>0</v>
      </c>
      <c r="EC36" s="515"/>
      <c r="ED36" s="515"/>
      <c r="EE36" s="515"/>
      <c r="EF36" s="515"/>
      <c r="EG36" s="515"/>
      <c r="EH36" s="515"/>
      <c r="EI36" s="515"/>
      <c r="EJ36" s="515"/>
      <c r="EK36" s="515"/>
      <c r="EL36" s="515"/>
      <c r="EM36" s="515"/>
      <c r="EN36" s="515"/>
      <c r="EO36" s="515"/>
      <c r="EP36" s="52"/>
      <c r="EQ36" s="52"/>
      <c r="ER36" s="52"/>
      <c r="EU36" s="476"/>
      <c r="EV36" s="476"/>
      <c r="EW36" s="515"/>
      <c r="EX36" s="515"/>
      <c r="EY36" s="515"/>
      <c r="EZ36" s="515"/>
      <c r="FA36" s="515"/>
      <c r="FB36" s="476"/>
      <c r="FC36" s="515"/>
      <c r="FD36" s="515"/>
      <c r="FE36" s="515"/>
      <c r="FF36" s="515"/>
    </row>
    <row r="37" spans="2:162" ht="13.35" hidden="1" customHeight="1" outlineLevel="2">
      <c r="B37" s="498">
        <v>7</v>
      </c>
      <c r="C37" s="498">
        <v>7</v>
      </c>
      <c r="D37" s="295" t="s">
        <v>41</v>
      </c>
      <c r="F37" s="500"/>
      <c r="G37" s="500"/>
      <c r="H37" s="547"/>
      <c r="I37" s="501"/>
      <c r="J37" s="501"/>
      <c r="K37" s="501"/>
      <c r="L37" s="501"/>
      <c r="M37" s="501"/>
      <c r="N37" s="501"/>
      <c r="O37" s="501"/>
      <c r="P37" s="501"/>
      <c r="Q37" s="501"/>
      <c r="R37" s="501"/>
      <c r="S37" s="501"/>
      <c r="U37" s="502"/>
      <c r="V37" s="503"/>
      <c r="W37" s="500">
        <f>$W$30/$U$30*U37</f>
        <v>0</v>
      </c>
      <c r="X37" s="500">
        <f t="shared" si="19"/>
        <v>0</v>
      </c>
      <c r="Y37" s="547"/>
      <c r="Z37" s="501"/>
      <c r="AA37" s="501"/>
      <c r="AB37" s="501"/>
      <c r="AC37" s="501"/>
      <c r="AD37" s="501"/>
      <c r="AE37" s="501"/>
      <c r="AF37" s="501"/>
      <c r="AG37" s="501"/>
      <c r="AH37" s="501"/>
      <c r="AI37" s="501"/>
      <c r="AJ37" s="501"/>
      <c r="AK37" s="501"/>
      <c r="AL37" s="504"/>
      <c r="AM37" s="504"/>
      <c r="AN37" s="504"/>
      <c r="AO37" s="518"/>
      <c r="AP37" s="551"/>
      <c r="AQ37" s="466"/>
      <c r="AR37" s="506">
        <f t="shared" si="32"/>
        <v>0</v>
      </c>
      <c r="AS37" s="466"/>
      <c r="AT37" s="466"/>
      <c r="AU37" s="466"/>
      <c r="AV37" s="466"/>
      <c r="AW37" s="466"/>
      <c r="AX37" s="506">
        <f t="shared" si="33"/>
        <v>0</v>
      </c>
      <c r="AY37" s="466"/>
      <c r="AZ37" s="466"/>
      <c r="BA37" s="466"/>
      <c r="BB37" s="466"/>
      <c r="BC37" s="466"/>
      <c r="BD37" s="466"/>
      <c r="BE37" s="507">
        <v>0</v>
      </c>
      <c r="BF37" s="508"/>
      <c r="BG37" s="549">
        <v>0</v>
      </c>
      <c r="BH37" s="510">
        <f t="shared" si="22"/>
        <v>0</v>
      </c>
      <c r="BI37" s="501"/>
      <c r="BJ37" s="501"/>
      <c r="BK37" s="501"/>
      <c r="BL37" s="501"/>
      <c r="BM37" s="501"/>
      <c r="BN37" s="501"/>
      <c r="BO37" s="501"/>
      <c r="BP37" s="501"/>
      <c r="BQ37" s="501"/>
      <c r="BR37" s="501"/>
      <c r="BS37" s="501"/>
      <c r="BT37" s="501"/>
      <c r="BU37" s="501"/>
      <c r="BV37" s="511"/>
      <c r="BW37" s="511"/>
      <c r="BX37" s="511"/>
      <c r="BY37" s="518"/>
      <c r="BZ37" s="552"/>
      <c r="CA37" s="471"/>
      <c r="CB37" s="548"/>
      <c r="CC37" s="512"/>
      <c r="CD37" s="512"/>
      <c r="CE37" s="512"/>
      <c r="CF37" s="512"/>
      <c r="CG37" s="512"/>
      <c r="CH37" s="548"/>
      <c r="CI37" s="512"/>
      <c r="CJ37" s="512"/>
      <c r="CK37" s="512"/>
      <c r="CL37" s="512"/>
      <c r="CM37" s="508"/>
      <c r="CN37" s="508"/>
      <c r="CO37" s="507">
        <v>0</v>
      </c>
      <c r="CP37" s="508"/>
      <c r="CQ37" s="506">
        <f>$CQ$30/$CO$30*CO37</f>
        <v>0</v>
      </c>
      <c r="CR37" s="510">
        <f t="shared" si="25"/>
        <v>0</v>
      </c>
      <c r="CS37" s="501"/>
      <c r="CT37" s="501"/>
      <c r="CU37" s="501"/>
      <c r="CV37" s="501"/>
      <c r="CW37" s="501"/>
      <c r="CX37" s="501"/>
      <c r="CY37" s="501"/>
      <c r="CZ37" s="501"/>
      <c r="DA37" s="501"/>
      <c r="DB37" s="501"/>
      <c r="DC37" s="501"/>
      <c r="DD37" s="501"/>
      <c r="DE37" s="501"/>
      <c r="DF37" s="513"/>
      <c r="DG37" s="513"/>
      <c r="DH37" s="513"/>
      <c r="DI37" s="518"/>
      <c r="DJ37" s="551"/>
      <c r="DK37" s="466"/>
      <c r="DL37" s="466"/>
      <c r="DM37" s="501"/>
      <c r="DN37" s="501"/>
      <c r="DO37" s="501"/>
      <c r="DP37" s="501"/>
      <c r="DQ37" s="501"/>
      <c r="DR37" s="466"/>
      <c r="DS37" s="501"/>
      <c r="DT37" s="501"/>
      <c r="DU37" s="501"/>
      <c r="DV37" s="501"/>
      <c r="DW37" s="508"/>
      <c r="DX37" s="508"/>
      <c r="DY37" s="507">
        <v>0</v>
      </c>
      <c r="DZ37" s="508"/>
      <c r="EA37" s="509"/>
      <c r="EB37" s="510">
        <f t="shared" si="28"/>
        <v>0</v>
      </c>
      <c r="EC37" s="515"/>
      <c r="ED37" s="515"/>
      <c r="EE37" s="515"/>
      <c r="EF37" s="515"/>
      <c r="EG37" s="515"/>
      <c r="EH37" s="515"/>
      <c r="EI37" s="515"/>
      <c r="EJ37" s="515"/>
      <c r="EK37" s="515"/>
      <c r="EL37" s="515"/>
      <c r="EM37" s="515"/>
      <c r="EN37" s="515"/>
      <c r="EO37" s="515"/>
      <c r="EP37" s="52"/>
      <c r="EQ37" s="52"/>
      <c r="ER37" s="52"/>
      <c r="EU37" s="476"/>
      <c r="EV37" s="476"/>
      <c r="EW37" s="515"/>
      <c r="EX37" s="515"/>
      <c r="EY37" s="515"/>
      <c r="EZ37" s="515"/>
      <c r="FA37" s="515"/>
      <c r="FB37" s="476"/>
      <c r="FC37" s="515"/>
      <c r="FD37" s="515"/>
      <c r="FE37" s="515"/>
      <c r="FF37" s="515"/>
    </row>
    <row r="38" spans="2:162" ht="3" customHeight="1" outlineLevel="1">
      <c r="D38" s="48"/>
      <c r="F38" s="499"/>
      <c r="G38" s="500"/>
      <c r="H38" s="547"/>
      <c r="I38" s="501"/>
      <c r="J38" s="501"/>
      <c r="K38" s="501"/>
      <c r="L38" s="501"/>
      <c r="M38" s="501"/>
      <c r="N38" s="501"/>
      <c r="O38" s="501"/>
      <c r="P38" s="501"/>
      <c r="Q38" s="501"/>
      <c r="R38" s="501"/>
      <c r="S38" s="501"/>
      <c r="U38" s="502"/>
      <c r="V38" s="503"/>
      <c r="W38" s="499"/>
      <c r="X38" s="500">
        <f t="shared" si="19"/>
        <v>0</v>
      </c>
      <c r="Y38" s="547"/>
      <c r="Z38" s="501"/>
      <c r="AA38" s="501"/>
      <c r="AB38" s="501"/>
      <c r="AC38" s="501"/>
      <c r="AD38" s="501"/>
      <c r="AE38" s="501"/>
      <c r="AF38" s="501"/>
      <c r="AG38" s="501"/>
      <c r="AH38" s="501"/>
      <c r="AI38" s="501"/>
      <c r="AJ38" s="501"/>
      <c r="AK38" s="501"/>
      <c r="AL38" s="504"/>
      <c r="AM38" s="504"/>
      <c r="AN38" s="504"/>
      <c r="AO38" s="518"/>
      <c r="AP38" s="551"/>
      <c r="AQ38" s="466"/>
      <c r="AR38" s="506">
        <f t="shared" si="32"/>
        <v>0</v>
      </c>
      <c r="AS38" s="466"/>
      <c r="AT38" s="466"/>
      <c r="AU38" s="466"/>
      <c r="AV38" s="466"/>
      <c r="AW38" s="466"/>
      <c r="AX38" s="506">
        <f t="shared" si="33"/>
        <v>0</v>
      </c>
      <c r="AY38" s="466"/>
      <c r="AZ38" s="466"/>
      <c r="BA38" s="466"/>
      <c r="BB38" s="466"/>
      <c r="BC38" s="466"/>
      <c r="BD38" s="466"/>
      <c r="BE38" s="507"/>
      <c r="BF38" s="508"/>
      <c r="BG38" s="509"/>
      <c r="BH38" s="510">
        <f t="shared" si="22"/>
        <v>0</v>
      </c>
      <c r="BI38" s="501"/>
      <c r="BJ38" s="501"/>
      <c r="BK38" s="501"/>
      <c r="BL38" s="501"/>
      <c r="BM38" s="501"/>
      <c r="BN38" s="501"/>
      <c r="BO38" s="501"/>
      <c r="BP38" s="501"/>
      <c r="BQ38" s="501"/>
      <c r="BR38" s="501"/>
      <c r="BS38" s="501"/>
      <c r="BT38" s="501"/>
      <c r="BU38" s="501"/>
      <c r="BV38" s="511"/>
      <c r="BW38" s="511"/>
      <c r="BX38" s="511"/>
      <c r="BY38" s="518"/>
      <c r="BZ38" s="552"/>
      <c r="CA38" s="471"/>
      <c r="CB38" s="548"/>
      <c r="CC38" s="512"/>
      <c r="CD38" s="512"/>
      <c r="CE38" s="512"/>
      <c r="CF38" s="512"/>
      <c r="CG38" s="512"/>
      <c r="CH38" s="548"/>
      <c r="CI38" s="512"/>
      <c r="CJ38" s="512"/>
      <c r="CK38" s="512"/>
      <c r="CL38" s="512"/>
      <c r="CM38" s="508"/>
      <c r="CN38" s="508"/>
      <c r="CO38" s="507"/>
      <c r="CP38" s="508"/>
      <c r="CQ38" s="509"/>
      <c r="CR38" s="510">
        <f t="shared" si="25"/>
        <v>0</v>
      </c>
      <c r="CS38" s="501"/>
      <c r="CT38" s="501"/>
      <c r="CU38" s="501"/>
      <c r="CV38" s="501"/>
      <c r="CW38" s="501"/>
      <c r="CX38" s="501"/>
      <c r="CY38" s="501"/>
      <c r="CZ38" s="501"/>
      <c r="DA38" s="501"/>
      <c r="DB38" s="501"/>
      <c r="DC38" s="501"/>
      <c r="DD38" s="501"/>
      <c r="DE38" s="501"/>
      <c r="DF38" s="513"/>
      <c r="DG38" s="513"/>
      <c r="DH38" s="513"/>
      <c r="DI38" s="518"/>
      <c r="DJ38" s="551"/>
      <c r="DK38" s="466"/>
      <c r="DL38" s="466"/>
      <c r="DM38" s="501"/>
      <c r="DN38" s="501"/>
      <c r="DO38" s="501"/>
      <c r="DP38" s="501"/>
      <c r="DQ38" s="501"/>
      <c r="DR38" s="466"/>
      <c r="DS38" s="501"/>
      <c r="DT38" s="501"/>
      <c r="DU38" s="501"/>
      <c r="DV38" s="501"/>
      <c r="DW38" s="508"/>
      <c r="DX38" s="508"/>
      <c r="DY38" s="449"/>
      <c r="DZ38" s="508"/>
      <c r="EA38" s="509"/>
      <c r="EB38" s="510">
        <f t="shared" si="28"/>
        <v>0</v>
      </c>
      <c r="EC38" s="515"/>
      <c r="ED38" s="515"/>
      <c r="EE38" s="515"/>
      <c r="EF38" s="515"/>
      <c r="EG38" s="515"/>
      <c r="EH38" s="515"/>
      <c r="EI38" s="515"/>
      <c r="EJ38" s="515"/>
      <c r="EK38" s="515"/>
      <c r="EL38" s="515"/>
      <c r="EM38" s="515"/>
      <c r="EN38" s="515"/>
      <c r="EO38" s="515"/>
      <c r="EP38" s="52"/>
      <c r="EQ38" s="52"/>
      <c r="ER38" s="52"/>
      <c r="EU38" s="476"/>
      <c r="EV38" s="476"/>
      <c r="EW38" s="515"/>
      <c r="EX38" s="515"/>
      <c r="EY38" s="515"/>
      <c r="EZ38" s="515"/>
      <c r="FA38" s="515"/>
      <c r="FB38" s="476"/>
      <c r="FC38" s="515"/>
      <c r="FD38" s="515"/>
      <c r="FE38" s="515"/>
      <c r="FF38" s="515"/>
    </row>
    <row r="39" spans="2:162" ht="14.25" outlineLevel="1" collapsed="1">
      <c r="B39" s="477"/>
      <c r="C39" s="477">
        <v>5</v>
      </c>
      <c r="D39" s="478" t="s">
        <v>42</v>
      </c>
      <c r="E39" s="479"/>
      <c r="F39" s="480">
        <f>W39+BG39+CQ39+EA39</f>
        <v>5.8261603049500001</v>
      </c>
      <c r="G39" s="480">
        <f>X39+BH39+CR39+EB39</f>
        <v>5.8261603049500001</v>
      </c>
      <c r="H39" s="481">
        <f>F39-G39</f>
        <v>0</v>
      </c>
      <c r="I39" s="480">
        <f t="shared" ref="I39" si="64">Z39+BJ39+CT39+ED39</f>
        <v>0</v>
      </c>
      <c r="J39" s="480">
        <f t="shared" ref="J39" si="65">AA39+BK39+CU39+EE39</f>
        <v>0</v>
      </c>
      <c r="K39" s="480">
        <f t="shared" ref="K39" si="66">AB39+BL39+CV39+EF39</f>
        <v>0</v>
      </c>
      <c r="L39" s="480">
        <f t="shared" ref="L39" si="67">AC39+BM39+CW39+EG39</f>
        <v>0</v>
      </c>
      <c r="M39" s="480">
        <f t="shared" ref="M39" si="68">AD39+BN39+CX39+EH39</f>
        <v>0</v>
      </c>
      <c r="N39" s="482"/>
      <c r="O39" s="480">
        <f t="shared" ref="O39" si="69">AF39+BP39+CZ39+EJ39</f>
        <v>0</v>
      </c>
      <c r="P39" s="480">
        <f t="shared" ref="P39" si="70">AG39+BQ39+DA39+EK39</f>
        <v>0</v>
      </c>
      <c r="Q39" s="480">
        <f t="shared" ref="Q39" si="71">AH39+BR39+DB39+EL39</f>
        <v>0</v>
      </c>
      <c r="R39" s="480">
        <f t="shared" ref="R39" si="72">AI39+BS39+DC39+EM39</f>
        <v>0</v>
      </c>
      <c r="S39" s="480">
        <f t="shared" ref="S39" si="73">AJ39+BT39+DD39+EN39</f>
        <v>0</v>
      </c>
      <c r="T39" s="479"/>
      <c r="U39" s="534">
        <v>0.1</v>
      </c>
      <c r="V39" s="535"/>
      <c r="W39" s="480">
        <f>U39*(5%*'BOQ COST'!$E$4)*1</f>
        <v>5.7594310000000002</v>
      </c>
      <c r="X39" s="480">
        <f t="shared" si="19"/>
        <v>5.7594310000000002</v>
      </c>
      <c r="Y39" s="481">
        <f>W39</f>
        <v>5.7594310000000002</v>
      </c>
      <c r="Z39" s="536">
        <f>SUM(Z40:Z45)</f>
        <v>0</v>
      </c>
      <c r="AA39" s="537"/>
      <c r="AB39" s="537"/>
      <c r="AC39" s="537"/>
      <c r="AD39" s="537"/>
      <c r="AE39" s="537"/>
      <c r="AF39" s="536">
        <f>SUM(AF40:AF45)</f>
        <v>0</v>
      </c>
      <c r="AG39" s="537"/>
      <c r="AH39" s="537"/>
      <c r="AI39" s="537"/>
      <c r="AJ39" s="537"/>
      <c r="AK39" s="537"/>
      <c r="AL39" s="538"/>
      <c r="AM39" s="538"/>
      <c r="AN39" s="538"/>
      <c r="AO39" s="539"/>
      <c r="AP39" s="540"/>
      <c r="AQ39" s="541"/>
      <c r="AR39" s="536">
        <f t="shared" si="32"/>
        <v>0</v>
      </c>
      <c r="AS39" s="541"/>
      <c r="AT39" s="541"/>
      <c r="AU39" s="541"/>
      <c r="AV39" s="541"/>
      <c r="AW39" s="541"/>
      <c r="AX39" s="536">
        <f t="shared" si="33"/>
        <v>0</v>
      </c>
      <c r="AY39" s="541"/>
      <c r="AZ39" s="541"/>
      <c r="BA39" s="541"/>
      <c r="BB39" s="541"/>
      <c r="BC39" s="541"/>
      <c r="BD39" s="541"/>
      <c r="BE39" s="542">
        <v>0</v>
      </c>
      <c r="BF39" s="542"/>
      <c r="BG39" s="536">
        <f>BE39*(3%*'BOQ COST'!$F$4)*1</f>
        <v>0</v>
      </c>
      <c r="BH39" s="480">
        <f t="shared" si="22"/>
        <v>0</v>
      </c>
      <c r="BI39" s="536">
        <f>SUM(BI40:BI45)</f>
        <v>0</v>
      </c>
      <c r="BJ39" s="536">
        <f>SUM(BJ40:BJ45)</f>
        <v>0</v>
      </c>
      <c r="BK39" s="537"/>
      <c r="BL39" s="537"/>
      <c r="BM39" s="537"/>
      <c r="BN39" s="537"/>
      <c r="BO39" s="537"/>
      <c r="BP39" s="536">
        <f>SUM(BP40:BP45)</f>
        <v>0</v>
      </c>
      <c r="BQ39" s="537"/>
      <c r="BR39" s="537"/>
      <c r="BS39" s="537"/>
      <c r="BT39" s="537"/>
      <c r="BU39" s="537"/>
      <c r="BV39" s="543"/>
      <c r="BW39" s="543"/>
      <c r="BX39" s="543"/>
      <c r="BY39" s="539"/>
      <c r="BZ39" s="544"/>
      <c r="CA39" s="545"/>
      <c r="CB39" s="545"/>
      <c r="CC39" s="545"/>
      <c r="CD39" s="545"/>
      <c r="CE39" s="545"/>
      <c r="CF39" s="545"/>
      <c r="CG39" s="545"/>
      <c r="CH39" s="545"/>
      <c r="CI39" s="545"/>
      <c r="CJ39" s="545"/>
      <c r="CK39" s="545"/>
      <c r="CL39" s="545"/>
      <c r="CM39" s="542"/>
      <c r="CN39" s="542"/>
      <c r="CO39" s="542">
        <v>0</v>
      </c>
      <c r="CP39" s="542"/>
      <c r="CQ39" s="553">
        <v>0</v>
      </c>
      <c r="CR39" s="480">
        <f t="shared" si="25"/>
        <v>0</v>
      </c>
      <c r="CS39" s="536">
        <f>SUM(CS40:CS45)</f>
        <v>0</v>
      </c>
      <c r="CT39" s="536">
        <f>SUM(CT40:CT45)</f>
        <v>0</v>
      </c>
      <c r="CU39" s="537"/>
      <c r="CV39" s="537"/>
      <c r="CW39" s="537"/>
      <c r="CX39" s="537"/>
      <c r="CY39" s="537"/>
      <c r="CZ39" s="536">
        <f>SUM(CZ40:CZ45)</f>
        <v>0</v>
      </c>
      <c r="DA39" s="537"/>
      <c r="DB39" s="537"/>
      <c r="DC39" s="537"/>
      <c r="DD39" s="537"/>
      <c r="DE39" s="537"/>
      <c r="DF39" s="546"/>
      <c r="DG39" s="546"/>
      <c r="DH39" s="546"/>
      <c r="DI39" s="539"/>
      <c r="DJ39" s="540"/>
      <c r="DK39" s="541"/>
      <c r="DL39" s="541"/>
      <c r="DM39" s="537"/>
      <c r="DN39" s="537"/>
      <c r="DO39" s="537"/>
      <c r="DP39" s="537"/>
      <c r="DQ39" s="537"/>
      <c r="DR39" s="541"/>
      <c r="DS39" s="537"/>
      <c r="DT39" s="537"/>
      <c r="DU39" s="537"/>
      <c r="DV39" s="537"/>
      <c r="DW39" s="542"/>
      <c r="DX39" s="542"/>
      <c r="DY39" s="483">
        <v>0.05</v>
      </c>
      <c r="DZ39" s="542"/>
      <c r="EA39" s="481">
        <f>DY39*(7%*'BOQ COST'!$H$4)*1</f>
        <v>6.6729304949999999E-2</v>
      </c>
      <c r="EB39" s="480">
        <f t="shared" si="28"/>
        <v>6.6729304949999999E-2</v>
      </c>
      <c r="EC39" s="481">
        <f>EA39</f>
        <v>6.6729304949999999E-2</v>
      </c>
      <c r="ED39" s="481">
        <f>SUM(ED40:ED45)</f>
        <v>0</v>
      </c>
      <c r="EE39" s="494"/>
      <c r="EF39" s="494"/>
      <c r="EG39" s="494"/>
      <c r="EH39" s="494"/>
      <c r="EI39" s="494"/>
      <c r="EJ39" s="481">
        <f>SUM(EJ40:EJ45)</f>
        <v>0</v>
      </c>
      <c r="EK39" s="494"/>
      <c r="EL39" s="494"/>
      <c r="EM39" s="494"/>
      <c r="EN39" s="494"/>
      <c r="EO39" s="494"/>
      <c r="EP39" s="495"/>
      <c r="EQ39" s="495"/>
      <c r="ER39" s="495"/>
      <c r="ES39" s="524"/>
      <c r="ET39" s="554"/>
      <c r="EU39" s="497"/>
      <c r="EV39" s="497"/>
      <c r="EW39" s="494"/>
      <c r="EX39" s="494"/>
      <c r="EY39" s="494"/>
      <c r="EZ39" s="494"/>
      <c r="FA39" s="494"/>
      <c r="FB39" s="497"/>
      <c r="FC39" s="494"/>
      <c r="FD39" s="494"/>
      <c r="FE39" s="494"/>
      <c r="FF39" s="494"/>
    </row>
    <row r="40" spans="2:162" ht="13.35" hidden="1" customHeight="1" outlineLevel="2">
      <c r="B40" s="498">
        <v>1</v>
      </c>
      <c r="C40" s="498">
        <v>1</v>
      </c>
      <c r="D40" s="295" t="s">
        <v>43</v>
      </c>
      <c r="F40" s="499"/>
      <c r="G40" s="500"/>
      <c r="H40" s="501"/>
      <c r="I40" s="501"/>
      <c r="J40" s="501"/>
      <c r="K40" s="501"/>
      <c r="L40" s="501"/>
      <c r="M40" s="501"/>
      <c r="N40" s="501"/>
      <c r="O40" s="501"/>
      <c r="P40" s="501"/>
      <c r="Q40" s="501"/>
      <c r="R40" s="501"/>
      <c r="S40" s="501"/>
      <c r="U40" s="502"/>
      <c r="V40" s="503"/>
      <c r="W40" s="499"/>
      <c r="X40" s="500">
        <f t="shared" si="19"/>
        <v>0</v>
      </c>
      <c r="Y40" s="501"/>
      <c r="Z40" s="501"/>
      <c r="AA40" s="501"/>
      <c r="AB40" s="501"/>
      <c r="AC40" s="501"/>
      <c r="AD40" s="501"/>
      <c r="AE40" s="501"/>
      <c r="AF40" s="501"/>
      <c r="AG40" s="501"/>
      <c r="AH40" s="501"/>
      <c r="AI40" s="501"/>
      <c r="AJ40" s="501"/>
      <c r="AK40" s="501"/>
      <c r="AL40" s="504"/>
      <c r="AM40" s="504"/>
      <c r="AN40" s="504"/>
      <c r="AO40" s="518"/>
      <c r="AP40" s="551"/>
      <c r="AQ40" s="466"/>
      <c r="AR40" s="506">
        <f t="shared" si="32"/>
        <v>0</v>
      </c>
      <c r="AS40" s="466"/>
      <c r="AT40" s="466"/>
      <c r="AU40" s="466"/>
      <c r="AV40" s="466"/>
      <c r="AW40" s="466"/>
      <c r="AX40" s="506">
        <f t="shared" si="33"/>
        <v>0</v>
      </c>
      <c r="AY40" s="466"/>
      <c r="AZ40" s="466"/>
      <c r="BA40" s="466"/>
      <c r="BB40" s="466"/>
      <c r="BC40" s="466"/>
      <c r="BD40" s="466"/>
      <c r="BE40" s="507"/>
      <c r="BF40" s="508"/>
      <c r="BG40" s="549"/>
      <c r="BH40" s="510">
        <f t="shared" si="22"/>
        <v>0</v>
      </c>
      <c r="BI40" s="501"/>
      <c r="BJ40" s="501"/>
      <c r="BK40" s="501"/>
      <c r="BL40" s="501"/>
      <c r="BM40" s="501"/>
      <c r="BN40" s="501"/>
      <c r="BO40" s="501"/>
      <c r="BP40" s="501"/>
      <c r="BQ40" s="501"/>
      <c r="BR40" s="501"/>
      <c r="BS40" s="501"/>
      <c r="BT40" s="501"/>
      <c r="BU40" s="501"/>
      <c r="BV40" s="511"/>
      <c r="BW40" s="511"/>
      <c r="BX40" s="511"/>
      <c r="BY40" s="518"/>
      <c r="BZ40" s="552"/>
      <c r="CA40" s="471"/>
      <c r="CB40" s="548"/>
      <c r="CC40" s="512"/>
      <c r="CD40" s="512"/>
      <c r="CE40" s="512"/>
      <c r="CF40" s="512"/>
      <c r="CG40" s="512"/>
      <c r="CH40" s="548"/>
      <c r="CI40" s="512"/>
      <c r="CJ40" s="512"/>
      <c r="CK40" s="512"/>
      <c r="CL40" s="512"/>
      <c r="CM40" s="508"/>
      <c r="CN40" s="508"/>
      <c r="CO40" s="507"/>
      <c r="CP40" s="508"/>
      <c r="CQ40" s="509"/>
      <c r="CR40" s="510">
        <f t="shared" si="25"/>
        <v>0</v>
      </c>
      <c r="CS40" s="501"/>
      <c r="CT40" s="501"/>
      <c r="CU40" s="501"/>
      <c r="CV40" s="501"/>
      <c r="CW40" s="501"/>
      <c r="CX40" s="501"/>
      <c r="CY40" s="501"/>
      <c r="CZ40" s="501"/>
      <c r="DA40" s="501"/>
      <c r="DB40" s="501"/>
      <c r="DC40" s="501"/>
      <c r="DD40" s="501"/>
      <c r="DE40" s="501"/>
      <c r="DF40" s="513"/>
      <c r="DG40" s="513"/>
      <c r="DH40" s="513"/>
      <c r="DI40" s="518"/>
      <c r="DJ40" s="551"/>
      <c r="DK40" s="466"/>
      <c r="DL40" s="466"/>
      <c r="DM40" s="501"/>
      <c r="DN40" s="501"/>
      <c r="DO40" s="501"/>
      <c r="DP40" s="501"/>
      <c r="DQ40" s="501"/>
      <c r="DR40" s="466"/>
      <c r="DS40" s="501"/>
      <c r="DT40" s="501"/>
      <c r="DU40" s="501"/>
      <c r="DV40" s="501"/>
      <c r="DW40" s="508"/>
      <c r="DX40" s="508"/>
      <c r="DY40" s="507"/>
      <c r="DZ40" s="508"/>
      <c r="EA40" s="509"/>
      <c r="EB40" s="510">
        <f t="shared" si="28"/>
        <v>0</v>
      </c>
      <c r="EC40" s="514">
        <f>IFERROR(IF(EP40=100%,EA40,0),0)</f>
        <v>0</v>
      </c>
      <c r="ED40" s="514">
        <f>IFERROR(IF(AND((EP40+EQ40)=100%,EP40&lt;1),EA40,0),0)</f>
        <v>0</v>
      </c>
      <c r="EE40" s="515"/>
      <c r="EF40" s="515"/>
      <c r="EG40" s="515"/>
      <c r="EH40" s="515"/>
      <c r="EI40" s="515"/>
      <c r="EJ40" s="514">
        <f>IFERROR(IF(AND((EU40+EV40)=100%,EU40&lt;1),EG40,0),0)</f>
        <v>0</v>
      </c>
      <c r="EK40" s="515"/>
      <c r="EL40" s="515"/>
      <c r="EM40" s="515"/>
      <c r="EN40" s="515"/>
      <c r="EO40" s="515"/>
      <c r="EP40" s="52"/>
      <c r="EQ40" s="52"/>
      <c r="ER40" s="52"/>
      <c r="EU40" s="476"/>
      <c r="EV40" s="476"/>
      <c r="EW40" s="515"/>
      <c r="EX40" s="515"/>
      <c r="EY40" s="515"/>
      <c r="EZ40" s="515"/>
      <c r="FA40" s="515"/>
      <c r="FB40" s="476"/>
      <c r="FC40" s="515"/>
      <c r="FD40" s="515"/>
      <c r="FE40" s="515"/>
      <c r="FF40" s="515"/>
    </row>
    <row r="41" spans="2:162" ht="13.35" hidden="1" customHeight="1" outlineLevel="2">
      <c r="B41" s="498"/>
      <c r="C41" s="498">
        <v>2</v>
      </c>
      <c r="D41" s="295" t="s">
        <v>32</v>
      </c>
      <c r="F41" s="499"/>
      <c r="G41" s="500"/>
      <c r="H41" s="501"/>
      <c r="I41" s="501"/>
      <c r="J41" s="501"/>
      <c r="K41" s="501"/>
      <c r="L41" s="501"/>
      <c r="M41" s="501"/>
      <c r="N41" s="501"/>
      <c r="O41" s="501"/>
      <c r="P41" s="501"/>
      <c r="Q41" s="501"/>
      <c r="R41" s="501"/>
      <c r="S41" s="501"/>
      <c r="U41" s="502"/>
      <c r="V41" s="503"/>
      <c r="W41" s="499"/>
      <c r="X41" s="500">
        <f t="shared" si="19"/>
        <v>0</v>
      </c>
      <c r="Y41" s="501"/>
      <c r="Z41" s="501"/>
      <c r="AA41" s="501"/>
      <c r="AB41" s="501"/>
      <c r="AC41" s="501"/>
      <c r="AD41" s="501"/>
      <c r="AE41" s="501"/>
      <c r="AF41" s="501"/>
      <c r="AG41" s="501"/>
      <c r="AH41" s="501"/>
      <c r="AI41" s="501"/>
      <c r="AJ41" s="501"/>
      <c r="AK41" s="501"/>
      <c r="AL41" s="504"/>
      <c r="AM41" s="504"/>
      <c r="AN41" s="504"/>
      <c r="AO41" s="518"/>
      <c r="AP41" s="551"/>
      <c r="AQ41" s="466"/>
      <c r="AR41" s="506">
        <f t="shared" si="32"/>
        <v>0</v>
      </c>
      <c r="AS41" s="466"/>
      <c r="AT41" s="466"/>
      <c r="AU41" s="466"/>
      <c r="AV41" s="466"/>
      <c r="AW41" s="466"/>
      <c r="AX41" s="506">
        <f t="shared" si="33"/>
        <v>0</v>
      </c>
      <c r="AY41" s="466"/>
      <c r="AZ41" s="466"/>
      <c r="BA41" s="466"/>
      <c r="BB41" s="466"/>
      <c r="BC41" s="466"/>
      <c r="BD41" s="466"/>
      <c r="BE41" s="507"/>
      <c r="BF41" s="508"/>
      <c r="BG41" s="549"/>
      <c r="BH41" s="510">
        <f t="shared" si="22"/>
        <v>0</v>
      </c>
      <c r="BI41" s="501"/>
      <c r="BJ41" s="501"/>
      <c r="BK41" s="501"/>
      <c r="BL41" s="501"/>
      <c r="BM41" s="501"/>
      <c r="BN41" s="501"/>
      <c r="BO41" s="501"/>
      <c r="BP41" s="501"/>
      <c r="BQ41" s="501"/>
      <c r="BR41" s="501"/>
      <c r="BS41" s="501"/>
      <c r="BT41" s="501"/>
      <c r="BU41" s="501"/>
      <c r="BV41" s="511"/>
      <c r="BW41" s="511"/>
      <c r="BX41" s="511"/>
      <c r="BY41" s="518"/>
      <c r="BZ41" s="552"/>
      <c r="CA41" s="471"/>
      <c r="CB41" s="548"/>
      <c r="CC41" s="512"/>
      <c r="CD41" s="512"/>
      <c r="CE41" s="512"/>
      <c r="CF41" s="512"/>
      <c r="CG41" s="512"/>
      <c r="CH41" s="548"/>
      <c r="CI41" s="512"/>
      <c r="CJ41" s="512"/>
      <c r="CK41" s="512"/>
      <c r="CL41" s="512"/>
      <c r="CM41" s="508"/>
      <c r="CN41" s="508"/>
      <c r="CO41" s="507"/>
      <c r="CP41" s="508"/>
      <c r="CQ41" s="509"/>
      <c r="CR41" s="510">
        <f t="shared" si="25"/>
        <v>0</v>
      </c>
      <c r="CS41" s="501"/>
      <c r="CT41" s="501"/>
      <c r="CU41" s="501"/>
      <c r="CV41" s="501"/>
      <c r="CW41" s="501"/>
      <c r="CX41" s="501"/>
      <c r="CY41" s="501"/>
      <c r="CZ41" s="501"/>
      <c r="DA41" s="501"/>
      <c r="DB41" s="501"/>
      <c r="DC41" s="501"/>
      <c r="DD41" s="501"/>
      <c r="DE41" s="501"/>
      <c r="DF41" s="513"/>
      <c r="DG41" s="513"/>
      <c r="DH41" s="513"/>
      <c r="DI41" s="518"/>
      <c r="DJ41" s="551"/>
      <c r="DK41" s="466"/>
      <c r="DL41" s="466"/>
      <c r="DM41" s="501"/>
      <c r="DN41" s="501"/>
      <c r="DO41" s="501"/>
      <c r="DP41" s="501"/>
      <c r="DQ41" s="501"/>
      <c r="DR41" s="466"/>
      <c r="DS41" s="501"/>
      <c r="DT41" s="501"/>
      <c r="DU41" s="501"/>
      <c r="DV41" s="501"/>
      <c r="DW41" s="508"/>
      <c r="DX41" s="508"/>
      <c r="DY41" s="507"/>
      <c r="DZ41" s="508"/>
      <c r="EA41" s="509"/>
      <c r="EB41" s="510">
        <f t="shared" si="28"/>
        <v>0</v>
      </c>
      <c r="EC41" s="515"/>
      <c r="ED41" s="515"/>
      <c r="EE41" s="515"/>
      <c r="EF41" s="515"/>
      <c r="EG41" s="515"/>
      <c r="EH41" s="515"/>
      <c r="EI41" s="515"/>
      <c r="EJ41" s="515"/>
      <c r="EK41" s="515"/>
      <c r="EL41" s="515"/>
      <c r="EM41" s="515"/>
      <c r="EN41" s="515"/>
      <c r="EO41" s="515"/>
      <c r="EP41" s="52"/>
      <c r="EQ41" s="52"/>
      <c r="ER41" s="52"/>
      <c r="EU41" s="476"/>
      <c r="EV41" s="476"/>
      <c r="EW41" s="515"/>
      <c r="EX41" s="515"/>
      <c r="EY41" s="515"/>
      <c r="EZ41" s="515"/>
      <c r="FA41" s="515"/>
      <c r="FB41" s="476"/>
      <c r="FC41" s="515"/>
      <c r="FD41" s="515"/>
      <c r="FE41" s="515"/>
      <c r="FF41" s="515"/>
    </row>
    <row r="42" spans="2:162" ht="13.35" hidden="1" customHeight="1" outlineLevel="2">
      <c r="B42" s="498"/>
      <c r="C42" s="498">
        <v>3</v>
      </c>
      <c r="D42" s="295" t="s">
        <v>33</v>
      </c>
      <c r="F42" s="499"/>
      <c r="G42" s="500"/>
      <c r="H42" s="501"/>
      <c r="I42" s="501"/>
      <c r="J42" s="501"/>
      <c r="K42" s="501"/>
      <c r="L42" s="501"/>
      <c r="M42" s="501"/>
      <c r="N42" s="501"/>
      <c r="O42" s="501"/>
      <c r="P42" s="501"/>
      <c r="Q42" s="501"/>
      <c r="R42" s="501"/>
      <c r="S42" s="501"/>
      <c r="U42" s="502"/>
      <c r="V42" s="503"/>
      <c r="W42" s="499"/>
      <c r="X42" s="500">
        <f t="shared" si="19"/>
        <v>0</v>
      </c>
      <c r="Y42" s="501"/>
      <c r="Z42" s="501"/>
      <c r="AA42" s="501"/>
      <c r="AB42" s="501"/>
      <c r="AC42" s="501"/>
      <c r="AD42" s="501"/>
      <c r="AE42" s="501"/>
      <c r="AF42" s="501"/>
      <c r="AG42" s="501"/>
      <c r="AH42" s="501"/>
      <c r="AI42" s="501"/>
      <c r="AJ42" s="501"/>
      <c r="AK42" s="501"/>
      <c r="AL42" s="504"/>
      <c r="AM42" s="504"/>
      <c r="AN42" s="504"/>
      <c r="AO42" s="518"/>
      <c r="AP42" s="551"/>
      <c r="AQ42" s="466"/>
      <c r="AR42" s="506">
        <f t="shared" si="32"/>
        <v>0</v>
      </c>
      <c r="AS42" s="466"/>
      <c r="AT42" s="466"/>
      <c r="AU42" s="466"/>
      <c r="AV42" s="466"/>
      <c r="AW42" s="466"/>
      <c r="AX42" s="506">
        <f t="shared" si="33"/>
        <v>0</v>
      </c>
      <c r="AY42" s="466"/>
      <c r="AZ42" s="466"/>
      <c r="BA42" s="466"/>
      <c r="BB42" s="466"/>
      <c r="BC42" s="466"/>
      <c r="BD42" s="466"/>
      <c r="BE42" s="507"/>
      <c r="BF42" s="508"/>
      <c r="BG42" s="549"/>
      <c r="BH42" s="510">
        <f t="shared" si="22"/>
        <v>0</v>
      </c>
      <c r="BI42" s="501"/>
      <c r="BJ42" s="501"/>
      <c r="BK42" s="501"/>
      <c r="BL42" s="501"/>
      <c r="BM42" s="501"/>
      <c r="BN42" s="501"/>
      <c r="BO42" s="501"/>
      <c r="BP42" s="501"/>
      <c r="BQ42" s="501"/>
      <c r="BR42" s="501"/>
      <c r="BS42" s="501"/>
      <c r="BT42" s="501"/>
      <c r="BU42" s="501"/>
      <c r="BV42" s="511"/>
      <c r="BW42" s="511"/>
      <c r="BX42" s="511"/>
      <c r="BY42" s="518"/>
      <c r="BZ42" s="552"/>
      <c r="CA42" s="471"/>
      <c r="CB42" s="548"/>
      <c r="CC42" s="512"/>
      <c r="CD42" s="512"/>
      <c r="CE42" s="512"/>
      <c r="CF42" s="512"/>
      <c r="CG42" s="512"/>
      <c r="CH42" s="548"/>
      <c r="CI42" s="512"/>
      <c r="CJ42" s="512"/>
      <c r="CK42" s="512"/>
      <c r="CL42" s="512"/>
      <c r="CM42" s="508"/>
      <c r="CN42" s="508"/>
      <c r="CO42" s="507"/>
      <c r="CP42" s="508"/>
      <c r="CQ42" s="509"/>
      <c r="CR42" s="510">
        <f t="shared" si="25"/>
        <v>0</v>
      </c>
      <c r="CS42" s="501"/>
      <c r="CT42" s="501"/>
      <c r="CU42" s="501"/>
      <c r="CV42" s="501"/>
      <c r="CW42" s="501"/>
      <c r="CX42" s="501"/>
      <c r="CY42" s="501"/>
      <c r="CZ42" s="501"/>
      <c r="DA42" s="501"/>
      <c r="DB42" s="501"/>
      <c r="DC42" s="501"/>
      <c r="DD42" s="501"/>
      <c r="DE42" s="501"/>
      <c r="DF42" s="513"/>
      <c r="DG42" s="513"/>
      <c r="DH42" s="513"/>
      <c r="DI42" s="518"/>
      <c r="DJ42" s="551"/>
      <c r="DK42" s="466"/>
      <c r="DL42" s="466"/>
      <c r="DM42" s="501"/>
      <c r="DN42" s="501"/>
      <c r="DO42" s="501"/>
      <c r="DP42" s="501"/>
      <c r="DQ42" s="501"/>
      <c r="DR42" s="466"/>
      <c r="DS42" s="501"/>
      <c r="DT42" s="501"/>
      <c r="DU42" s="501"/>
      <c r="DV42" s="501"/>
      <c r="DW42" s="508"/>
      <c r="DX42" s="508"/>
      <c r="DY42" s="507"/>
      <c r="DZ42" s="508"/>
      <c r="EA42" s="509"/>
      <c r="EB42" s="510">
        <f t="shared" si="28"/>
        <v>0</v>
      </c>
      <c r="EC42" s="515"/>
      <c r="ED42" s="515"/>
      <c r="EE42" s="515"/>
      <c r="EF42" s="515"/>
      <c r="EG42" s="515"/>
      <c r="EH42" s="515"/>
      <c r="EI42" s="515"/>
      <c r="EJ42" s="515"/>
      <c r="EK42" s="515"/>
      <c r="EL42" s="515"/>
      <c r="EM42" s="515"/>
      <c r="EN42" s="515"/>
      <c r="EO42" s="515"/>
      <c r="EP42" s="52"/>
      <c r="EQ42" s="52"/>
      <c r="ER42" s="52"/>
      <c r="EU42" s="476"/>
      <c r="EV42" s="476"/>
      <c r="EW42" s="515"/>
      <c r="EX42" s="515"/>
      <c r="EY42" s="515"/>
      <c r="EZ42" s="515"/>
      <c r="FA42" s="515"/>
      <c r="FB42" s="476"/>
      <c r="FC42" s="515"/>
      <c r="FD42" s="515"/>
      <c r="FE42" s="515"/>
      <c r="FF42" s="515"/>
    </row>
    <row r="43" spans="2:162" ht="13.35" hidden="1" customHeight="1" outlineLevel="2">
      <c r="B43" s="498">
        <v>3</v>
      </c>
      <c r="C43" s="498">
        <v>4</v>
      </c>
      <c r="D43" s="295" t="s">
        <v>44</v>
      </c>
      <c r="F43" s="499"/>
      <c r="G43" s="500"/>
      <c r="H43" s="501"/>
      <c r="I43" s="501"/>
      <c r="J43" s="501"/>
      <c r="K43" s="501"/>
      <c r="L43" s="501"/>
      <c r="M43" s="501"/>
      <c r="N43" s="501"/>
      <c r="O43" s="501"/>
      <c r="P43" s="501"/>
      <c r="Q43" s="501"/>
      <c r="R43" s="501"/>
      <c r="S43" s="501"/>
      <c r="U43" s="502"/>
      <c r="V43" s="503"/>
      <c r="W43" s="499"/>
      <c r="X43" s="500">
        <f t="shared" si="19"/>
        <v>0</v>
      </c>
      <c r="Y43" s="501"/>
      <c r="Z43" s="501"/>
      <c r="AA43" s="501"/>
      <c r="AB43" s="501"/>
      <c r="AC43" s="501"/>
      <c r="AD43" s="501"/>
      <c r="AE43" s="501"/>
      <c r="AF43" s="501"/>
      <c r="AG43" s="501"/>
      <c r="AH43" s="501"/>
      <c r="AI43" s="501"/>
      <c r="AJ43" s="501"/>
      <c r="AK43" s="501"/>
      <c r="AL43" s="504"/>
      <c r="AM43" s="504"/>
      <c r="AN43" s="504"/>
      <c r="AO43" s="518"/>
      <c r="AP43" s="466"/>
      <c r="AQ43" s="466"/>
      <c r="AR43" s="506">
        <f t="shared" si="32"/>
        <v>0</v>
      </c>
      <c r="AS43" s="466"/>
      <c r="AT43" s="466"/>
      <c r="AU43" s="466"/>
      <c r="AV43" s="466"/>
      <c r="AW43" s="466"/>
      <c r="AX43" s="506">
        <f t="shared" si="33"/>
        <v>0</v>
      </c>
      <c r="AY43" s="466"/>
      <c r="AZ43" s="466"/>
      <c r="BA43" s="466"/>
      <c r="BB43" s="466"/>
      <c r="BC43" s="532"/>
      <c r="BD43" s="532"/>
      <c r="BE43" s="507"/>
      <c r="BF43" s="508"/>
      <c r="BG43" s="549"/>
      <c r="BH43" s="510">
        <f t="shared" si="22"/>
        <v>0</v>
      </c>
      <c r="BI43" s="501"/>
      <c r="BJ43" s="501"/>
      <c r="BK43" s="501"/>
      <c r="BL43" s="501"/>
      <c r="BM43" s="501"/>
      <c r="BN43" s="501"/>
      <c r="BO43" s="501"/>
      <c r="BP43" s="501"/>
      <c r="BQ43" s="501"/>
      <c r="BR43" s="501"/>
      <c r="BS43" s="501"/>
      <c r="BT43" s="501"/>
      <c r="BU43" s="501"/>
      <c r="BV43" s="511"/>
      <c r="BW43" s="511"/>
      <c r="BX43" s="511"/>
      <c r="BY43" s="518"/>
      <c r="BZ43" s="471"/>
      <c r="CA43" s="471"/>
      <c r="CB43" s="548"/>
      <c r="CC43" s="512"/>
      <c r="CD43" s="512"/>
      <c r="CE43" s="512"/>
      <c r="CF43" s="512"/>
      <c r="CG43" s="512"/>
      <c r="CH43" s="548"/>
      <c r="CI43" s="512"/>
      <c r="CJ43" s="512"/>
      <c r="CK43" s="512"/>
      <c r="CL43" s="512"/>
      <c r="CM43" s="508"/>
      <c r="CN43" s="508"/>
      <c r="CO43" s="507"/>
      <c r="CP43" s="508"/>
      <c r="CQ43" s="509"/>
      <c r="CR43" s="510">
        <f t="shared" si="25"/>
        <v>0</v>
      </c>
      <c r="CS43" s="501"/>
      <c r="CT43" s="501"/>
      <c r="CU43" s="501"/>
      <c r="CV43" s="501"/>
      <c r="CW43" s="501"/>
      <c r="CX43" s="501"/>
      <c r="CY43" s="501"/>
      <c r="CZ43" s="501"/>
      <c r="DA43" s="501"/>
      <c r="DB43" s="501"/>
      <c r="DC43" s="501"/>
      <c r="DD43" s="501"/>
      <c r="DE43" s="501"/>
      <c r="DF43" s="513"/>
      <c r="DG43" s="513"/>
      <c r="DH43" s="513"/>
      <c r="DI43" s="518"/>
      <c r="DJ43" s="466"/>
      <c r="DK43" s="466"/>
      <c r="DL43" s="466"/>
      <c r="DM43" s="501"/>
      <c r="DN43" s="501"/>
      <c r="DO43" s="501"/>
      <c r="DP43" s="501"/>
      <c r="DQ43" s="501"/>
      <c r="DR43" s="466"/>
      <c r="DS43" s="501"/>
      <c r="DT43" s="501"/>
      <c r="DU43" s="501"/>
      <c r="DV43" s="501"/>
      <c r="DW43" s="508"/>
      <c r="DX43" s="508"/>
      <c r="DY43" s="507"/>
      <c r="DZ43" s="508"/>
      <c r="EA43" s="509"/>
      <c r="EB43" s="510">
        <f t="shared" si="28"/>
        <v>0</v>
      </c>
      <c r="EC43" s="514">
        <f>IFERROR(IF(EP43=100%,EA43,0),0)</f>
        <v>0</v>
      </c>
      <c r="ED43" s="514">
        <f>IFERROR(IF(AND((EP43+EQ43)=100%,EP43&lt;1),EA43,0),0)</f>
        <v>0</v>
      </c>
      <c r="EE43" s="515"/>
      <c r="EF43" s="515"/>
      <c r="EG43" s="515"/>
      <c r="EH43" s="515"/>
      <c r="EI43" s="515"/>
      <c r="EJ43" s="514">
        <f>IFERROR(IF(AND((EU43+EV43)=100%,EU43&lt;1),EG43,0),0)</f>
        <v>0</v>
      </c>
      <c r="EK43" s="515"/>
      <c r="EL43" s="515"/>
      <c r="EM43" s="515"/>
      <c r="EN43" s="515"/>
      <c r="EO43" s="515"/>
      <c r="EP43" s="52"/>
      <c r="EQ43" s="52"/>
      <c r="ER43" s="52"/>
      <c r="ET43" s="476"/>
      <c r="EU43" s="476"/>
      <c r="EV43" s="476"/>
      <c r="EW43" s="515"/>
      <c r="EX43" s="515"/>
      <c r="EY43" s="515"/>
      <c r="EZ43" s="515"/>
      <c r="FA43" s="515"/>
      <c r="FB43" s="476"/>
      <c r="FC43" s="515"/>
      <c r="FD43" s="515"/>
      <c r="FE43" s="515"/>
      <c r="FF43" s="515"/>
    </row>
    <row r="44" spans="2:162" ht="13.35" hidden="1" customHeight="1" outlineLevel="2">
      <c r="B44" s="498">
        <v>4</v>
      </c>
      <c r="C44" s="498">
        <v>5</v>
      </c>
      <c r="D44" s="295" t="s">
        <v>45</v>
      </c>
      <c r="F44" s="499"/>
      <c r="G44" s="500"/>
      <c r="H44" s="501"/>
      <c r="I44" s="501"/>
      <c r="J44" s="501"/>
      <c r="K44" s="501"/>
      <c r="L44" s="501"/>
      <c r="M44" s="501"/>
      <c r="N44" s="501"/>
      <c r="O44" s="501"/>
      <c r="P44" s="501"/>
      <c r="Q44" s="501"/>
      <c r="R44" s="501"/>
      <c r="S44" s="501"/>
      <c r="U44" s="502"/>
      <c r="V44" s="503"/>
      <c r="W44" s="499"/>
      <c r="X44" s="500">
        <f t="shared" si="19"/>
        <v>0</v>
      </c>
      <c r="Y44" s="501"/>
      <c r="Z44" s="501"/>
      <c r="AA44" s="501"/>
      <c r="AB44" s="501"/>
      <c r="AC44" s="501"/>
      <c r="AD44" s="501"/>
      <c r="AE44" s="501"/>
      <c r="AF44" s="501"/>
      <c r="AG44" s="501"/>
      <c r="AH44" s="501"/>
      <c r="AI44" s="501"/>
      <c r="AJ44" s="501"/>
      <c r="AK44" s="501"/>
      <c r="AL44" s="504"/>
      <c r="AM44" s="504"/>
      <c r="AN44" s="504"/>
      <c r="AO44" s="520"/>
      <c r="AP44" s="466"/>
      <c r="AQ44" s="466"/>
      <c r="AR44" s="506">
        <f t="shared" si="32"/>
        <v>0</v>
      </c>
      <c r="AS44" s="466"/>
      <c r="AT44" s="466"/>
      <c r="AU44" s="466"/>
      <c r="AV44" s="466"/>
      <c r="AW44" s="466"/>
      <c r="AX44" s="506">
        <f t="shared" si="33"/>
        <v>0</v>
      </c>
      <c r="AY44" s="466"/>
      <c r="AZ44" s="466"/>
      <c r="BA44" s="466"/>
      <c r="BB44" s="466"/>
      <c r="BC44" s="532"/>
      <c r="BD44" s="532"/>
      <c r="BE44" s="507"/>
      <c r="BF44" s="508"/>
      <c r="BG44" s="549"/>
      <c r="BH44" s="510">
        <f t="shared" si="22"/>
        <v>0</v>
      </c>
      <c r="BI44" s="501"/>
      <c r="BJ44" s="501"/>
      <c r="BK44" s="501"/>
      <c r="BL44" s="501"/>
      <c r="BM44" s="501"/>
      <c r="BN44" s="501"/>
      <c r="BO44" s="501"/>
      <c r="BP44" s="501"/>
      <c r="BQ44" s="501"/>
      <c r="BR44" s="501"/>
      <c r="BS44" s="501"/>
      <c r="BT44" s="501"/>
      <c r="BU44" s="501"/>
      <c r="BV44" s="511"/>
      <c r="BW44" s="511"/>
      <c r="BX44" s="511"/>
      <c r="BY44" s="520"/>
      <c r="BZ44" s="471"/>
      <c r="CA44" s="471"/>
      <c r="CB44" s="548"/>
      <c r="CC44" s="512"/>
      <c r="CD44" s="512"/>
      <c r="CE44" s="512"/>
      <c r="CF44" s="512"/>
      <c r="CG44" s="512"/>
      <c r="CH44" s="548"/>
      <c r="CI44" s="512"/>
      <c r="CJ44" s="512"/>
      <c r="CK44" s="512"/>
      <c r="CL44" s="512"/>
      <c r="CM44" s="508"/>
      <c r="CN44" s="508"/>
      <c r="CO44" s="507"/>
      <c r="CP44" s="508"/>
      <c r="CQ44" s="509"/>
      <c r="CR44" s="510">
        <f t="shared" si="25"/>
        <v>0</v>
      </c>
      <c r="CS44" s="501"/>
      <c r="CT44" s="501"/>
      <c r="CU44" s="501"/>
      <c r="CV44" s="501"/>
      <c r="CW44" s="501"/>
      <c r="CX44" s="501"/>
      <c r="CY44" s="501"/>
      <c r="CZ44" s="501"/>
      <c r="DA44" s="501"/>
      <c r="DB44" s="501"/>
      <c r="DC44" s="501"/>
      <c r="DD44" s="501"/>
      <c r="DE44" s="501"/>
      <c r="DF44" s="513"/>
      <c r="DG44" s="513"/>
      <c r="DH44" s="513"/>
      <c r="DI44" s="520"/>
      <c r="DJ44" s="466"/>
      <c r="DK44" s="466"/>
      <c r="DL44" s="466"/>
      <c r="DM44" s="501"/>
      <c r="DN44" s="501"/>
      <c r="DO44" s="501"/>
      <c r="DP44" s="501"/>
      <c r="DQ44" s="501"/>
      <c r="DR44" s="466"/>
      <c r="DS44" s="501"/>
      <c r="DT44" s="501"/>
      <c r="DU44" s="501"/>
      <c r="DV44" s="501"/>
      <c r="DW44" s="508"/>
      <c r="DX44" s="508"/>
      <c r="DY44" s="507"/>
      <c r="DZ44" s="508"/>
      <c r="EA44" s="509"/>
      <c r="EB44" s="510">
        <f t="shared" si="28"/>
        <v>0</v>
      </c>
      <c r="EC44" s="514">
        <f>IFERROR(IF(EP44=100%,EA44,0),0)</f>
        <v>0</v>
      </c>
      <c r="ED44" s="514">
        <f>IFERROR(IF(AND((EP44+EQ44)=100%,EP44&lt;1),EA44,0),0)</f>
        <v>0</v>
      </c>
      <c r="EE44" s="515"/>
      <c r="EF44" s="515"/>
      <c r="EG44" s="515"/>
      <c r="EH44" s="515"/>
      <c r="EI44" s="515"/>
      <c r="EJ44" s="514">
        <f>IFERROR(IF(AND((EU44+EV44)=100%,EU44&lt;1),EG44,0),0)</f>
        <v>0</v>
      </c>
      <c r="EK44" s="515"/>
      <c r="EL44" s="515"/>
      <c r="EM44" s="515"/>
      <c r="EN44" s="515"/>
      <c r="EO44" s="515"/>
      <c r="EP44" s="52"/>
      <c r="EQ44" s="52"/>
      <c r="ER44" s="52"/>
      <c r="ES44" s="523"/>
      <c r="ET44" s="476"/>
      <c r="EU44" s="476"/>
      <c r="EV44" s="476"/>
      <c r="EW44" s="515"/>
      <c r="EX44" s="515"/>
      <c r="EY44" s="515"/>
      <c r="EZ44" s="515"/>
      <c r="FA44" s="515"/>
      <c r="FB44" s="476"/>
      <c r="FC44" s="515"/>
      <c r="FD44" s="515"/>
      <c r="FE44" s="515"/>
      <c r="FF44" s="515"/>
    </row>
    <row r="45" spans="2:162" ht="13.35" hidden="1" customHeight="1" outlineLevel="2">
      <c r="B45" s="498">
        <v>5</v>
      </c>
      <c r="C45" s="498">
        <v>6</v>
      </c>
      <c r="D45" s="295" t="s">
        <v>46</v>
      </c>
      <c r="F45" s="499"/>
      <c r="G45" s="500"/>
      <c r="H45" s="501"/>
      <c r="I45" s="501"/>
      <c r="J45" s="501"/>
      <c r="K45" s="501"/>
      <c r="L45" s="501"/>
      <c r="M45" s="501"/>
      <c r="N45" s="501"/>
      <c r="O45" s="501"/>
      <c r="P45" s="501"/>
      <c r="Q45" s="501"/>
      <c r="R45" s="501"/>
      <c r="S45" s="501"/>
      <c r="U45" s="527"/>
      <c r="V45" s="503"/>
      <c r="W45" s="499"/>
      <c r="X45" s="500">
        <f t="shared" si="19"/>
        <v>0</v>
      </c>
      <c r="Y45" s="501"/>
      <c r="Z45" s="501"/>
      <c r="AA45" s="501"/>
      <c r="AB45" s="501"/>
      <c r="AC45" s="501"/>
      <c r="AD45" s="501"/>
      <c r="AE45" s="501"/>
      <c r="AF45" s="501"/>
      <c r="AG45" s="501"/>
      <c r="AH45" s="501"/>
      <c r="AI45" s="501"/>
      <c r="AJ45" s="501"/>
      <c r="AK45" s="501"/>
      <c r="AL45" s="504"/>
      <c r="AM45" s="504"/>
      <c r="AN45" s="504"/>
      <c r="AO45" s="505"/>
      <c r="AP45" s="466"/>
      <c r="AQ45" s="466"/>
      <c r="AR45" s="506">
        <f t="shared" si="32"/>
        <v>0</v>
      </c>
      <c r="AS45" s="466"/>
      <c r="AT45" s="466"/>
      <c r="AU45" s="466"/>
      <c r="AV45" s="466"/>
      <c r="AW45" s="466"/>
      <c r="AX45" s="506">
        <f t="shared" si="33"/>
        <v>0</v>
      </c>
      <c r="AY45" s="466"/>
      <c r="AZ45" s="466"/>
      <c r="BA45" s="466"/>
      <c r="BB45" s="466"/>
      <c r="BC45" s="532"/>
      <c r="BD45" s="532"/>
      <c r="BE45" s="507"/>
      <c r="BF45" s="508"/>
      <c r="BG45" s="549"/>
      <c r="BH45" s="510">
        <f t="shared" si="22"/>
        <v>0</v>
      </c>
      <c r="BI45" s="501"/>
      <c r="BJ45" s="501"/>
      <c r="BK45" s="501"/>
      <c r="BL45" s="501"/>
      <c r="BM45" s="501"/>
      <c r="BN45" s="501"/>
      <c r="BO45" s="501"/>
      <c r="BP45" s="501"/>
      <c r="BQ45" s="501"/>
      <c r="BR45" s="501"/>
      <c r="BS45" s="501"/>
      <c r="BT45" s="501"/>
      <c r="BU45" s="501"/>
      <c r="BV45" s="511"/>
      <c r="BW45" s="511"/>
      <c r="BX45" s="511"/>
      <c r="BY45" s="505"/>
      <c r="BZ45" s="471"/>
      <c r="CA45" s="471"/>
      <c r="CB45" s="548"/>
      <c r="CC45" s="512"/>
      <c r="CD45" s="512"/>
      <c r="CE45" s="512"/>
      <c r="CF45" s="512"/>
      <c r="CG45" s="512"/>
      <c r="CH45" s="548"/>
      <c r="CI45" s="512"/>
      <c r="CJ45" s="512"/>
      <c r="CK45" s="512"/>
      <c r="CL45" s="512"/>
      <c r="CM45" s="508"/>
      <c r="CN45" s="508"/>
      <c r="CO45" s="507"/>
      <c r="CP45" s="508"/>
      <c r="CQ45" s="509"/>
      <c r="CR45" s="510">
        <f t="shared" si="25"/>
        <v>0</v>
      </c>
      <c r="CS45" s="501"/>
      <c r="CT45" s="501"/>
      <c r="CU45" s="501"/>
      <c r="CV45" s="501"/>
      <c r="CW45" s="501"/>
      <c r="CX45" s="501"/>
      <c r="CY45" s="501"/>
      <c r="CZ45" s="501"/>
      <c r="DA45" s="501"/>
      <c r="DB45" s="501"/>
      <c r="DC45" s="501"/>
      <c r="DD45" s="501"/>
      <c r="DE45" s="501"/>
      <c r="DF45" s="513"/>
      <c r="DG45" s="513"/>
      <c r="DH45" s="513"/>
      <c r="DI45" s="505"/>
      <c r="DJ45" s="466"/>
      <c r="DK45" s="466"/>
      <c r="DL45" s="466"/>
      <c r="DM45" s="501"/>
      <c r="DN45" s="501"/>
      <c r="DO45" s="501"/>
      <c r="DP45" s="501"/>
      <c r="DQ45" s="501"/>
      <c r="DR45" s="466"/>
      <c r="DS45" s="501"/>
      <c r="DT45" s="501"/>
      <c r="DU45" s="501"/>
      <c r="DV45" s="501"/>
      <c r="DW45" s="508"/>
      <c r="DX45" s="508"/>
      <c r="DY45" s="507"/>
      <c r="DZ45" s="508"/>
      <c r="EA45" s="509"/>
      <c r="EB45" s="510">
        <f t="shared" si="28"/>
        <v>0</v>
      </c>
      <c r="EC45" s="514">
        <f>IFERROR(IF(EP45=100%,EA45,0),0)</f>
        <v>0</v>
      </c>
      <c r="ED45" s="514">
        <f>IFERROR(IF(AND((EP45+EQ45)=100%,EP45&lt;1),EA45,0),0)</f>
        <v>0</v>
      </c>
      <c r="EE45" s="515"/>
      <c r="EF45" s="515"/>
      <c r="EG45" s="515"/>
      <c r="EH45" s="515"/>
      <c r="EI45" s="515"/>
      <c r="EJ45" s="514">
        <f>IFERROR(IF(AND((EU45+EV45)=100%,EU45&lt;1),EG45,0),0)</f>
        <v>0</v>
      </c>
      <c r="EK45" s="515"/>
      <c r="EL45" s="515"/>
      <c r="EM45" s="515"/>
      <c r="EN45" s="515"/>
      <c r="EO45" s="515"/>
      <c r="EP45" s="52"/>
      <c r="EQ45" s="52"/>
      <c r="ER45" s="52"/>
      <c r="ES45" s="516"/>
      <c r="ET45" s="476"/>
      <c r="EU45" s="476"/>
      <c r="EV45" s="476"/>
      <c r="EW45" s="515"/>
      <c r="EX45" s="515"/>
      <c r="EY45" s="515"/>
      <c r="EZ45" s="515"/>
      <c r="FA45" s="515"/>
      <c r="FB45" s="476"/>
      <c r="FC45" s="515"/>
      <c r="FD45" s="515"/>
      <c r="FE45" s="515"/>
      <c r="FF45" s="515"/>
    </row>
    <row r="46" spans="2:162" ht="13.35" hidden="1" customHeight="1" outlineLevel="2">
      <c r="B46" s="498"/>
      <c r="C46" s="498">
        <v>7</v>
      </c>
      <c r="D46" s="295" t="s">
        <v>47</v>
      </c>
      <c r="F46" s="499"/>
      <c r="G46" s="500"/>
      <c r="H46" s="501"/>
      <c r="I46" s="501"/>
      <c r="J46" s="501"/>
      <c r="K46" s="501"/>
      <c r="L46" s="501"/>
      <c r="M46" s="501"/>
      <c r="N46" s="501"/>
      <c r="O46" s="501"/>
      <c r="P46" s="501"/>
      <c r="Q46" s="501"/>
      <c r="R46" s="501"/>
      <c r="S46" s="501"/>
      <c r="U46" s="527"/>
      <c r="V46" s="503"/>
      <c r="W46" s="499"/>
      <c r="X46" s="500">
        <f t="shared" si="19"/>
        <v>0</v>
      </c>
      <c r="Y46" s="501"/>
      <c r="Z46" s="501"/>
      <c r="AA46" s="501"/>
      <c r="AB46" s="501"/>
      <c r="AC46" s="501"/>
      <c r="AD46" s="501"/>
      <c r="AE46" s="501"/>
      <c r="AF46" s="501"/>
      <c r="AG46" s="501"/>
      <c r="AH46" s="501"/>
      <c r="AI46" s="501"/>
      <c r="AJ46" s="501"/>
      <c r="AK46" s="501"/>
      <c r="AL46" s="504"/>
      <c r="AM46" s="504"/>
      <c r="AN46" s="504"/>
      <c r="AO46" s="505"/>
      <c r="AP46" s="466"/>
      <c r="AQ46" s="466"/>
      <c r="AR46" s="506">
        <f t="shared" si="32"/>
        <v>0</v>
      </c>
      <c r="AS46" s="466"/>
      <c r="AT46" s="466"/>
      <c r="AU46" s="466"/>
      <c r="AV46" s="466"/>
      <c r="AW46" s="466"/>
      <c r="AX46" s="506">
        <f t="shared" si="33"/>
        <v>0</v>
      </c>
      <c r="AY46" s="466"/>
      <c r="AZ46" s="466"/>
      <c r="BA46" s="466"/>
      <c r="BB46" s="466"/>
      <c r="BC46" s="532"/>
      <c r="BD46" s="532"/>
      <c r="BE46" s="507"/>
      <c r="BF46" s="508"/>
      <c r="BG46" s="549"/>
      <c r="BH46" s="510">
        <f t="shared" si="22"/>
        <v>0</v>
      </c>
      <c r="BI46" s="501"/>
      <c r="BJ46" s="501"/>
      <c r="BK46" s="501"/>
      <c r="BL46" s="501"/>
      <c r="BM46" s="501"/>
      <c r="BN46" s="501"/>
      <c r="BO46" s="501"/>
      <c r="BP46" s="501"/>
      <c r="BQ46" s="501"/>
      <c r="BR46" s="501"/>
      <c r="BS46" s="501"/>
      <c r="BT46" s="501"/>
      <c r="BU46" s="501"/>
      <c r="BV46" s="511"/>
      <c r="BW46" s="511"/>
      <c r="BX46" s="511"/>
      <c r="BY46" s="505"/>
      <c r="BZ46" s="471"/>
      <c r="CA46" s="471"/>
      <c r="CB46" s="548"/>
      <c r="CC46" s="512"/>
      <c r="CD46" s="512"/>
      <c r="CE46" s="512"/>
      <c r="CF46" s="512"/>
      <c r="CG46" s="512"/>
      <c r="CH46" s="548"/>
      <c r="CI46" s="512"/>
      <c r="CJ46" s="512"/>
      <c r="CK46" s="512"/>
      <c r="CL46" s="512"/>
      <c r="CM46" s="508"/>
      <c r="CN46" s="508"/>
      <c r="CO46" s="507"/>
      <c r="CP46" s="508"/>
      <c r="CQ46" s="509"/>
      <c r="CR46" s="510">
        <f t="shared" si="25"/>
        <v>0</v>
      </c>
      <c r="CS46" s="501"/>
      <c r="CT46" s="501"/>
      <c r="CU46" s="501"/>
      <c r="CV46" s="501"/>
      <c r="CW46" s="501"/>
      <c r="CX46" s="501"/>
      <c r="CY46" s="501"/>
      <c r="CZ46" s="501"/>
      <c r="DA46" s="501"/>
      <c r="DB46" s="501"/>
      <c r="DC46" s="501"/>
      <c r="DD46" s="501"/>
      <c r="DE46" s="501"/>
      <c r="DF46" s="513"/>
      <c r="DG46" s="513"/>
      <c r="DH46" s="513"/>
      <c r="DI46" s="505"/>
      <c r="DJ46" s="466"/>
      <c r="DK46" s="466"/>
      <c r="DL46" s="466"/>
      <c r="DM46" s="501"/>
      <c r="DN46" s="501"/>
      <c r="DO46" s="501"/>
      <c r="DP46" s="501"/>
      <c r="DQ46" s="501"/>
      <c r="DR46" s="466"/>
      <c r="DS46" s="501"/>
      <c r="DT46" s="501"/>
      <c r="DU46" s="501"/>
      <c r="DV46" s="501"/>
      <c r="DW46" s="508"/>
      <c r="DX46" s="508"/>
      <c r="DY46" s="507"/>
      <c r="DZ46" s="508"/>
      <c r="EA46" s="509"/>
      <c r="EB46" s="510">
        <f t="shared" si="28"/>
        <v>0</v>
      </c>
      <c r="EC46" s="515"/>
      <c r="ED46" s="515"/>
      <c r="EE46" s="515"/>
      <c r="EF46" s="515"/>
      <c r="EG46" s="515"/>
      <c r="EH46" s="515"/>
      <c r="EI46" s="515"/>
      <c r="EJ46" s="515"/>
      <c r="EK46" s="515"/>
      <c r="EL46" s="515"/>
      <c r="EM46" s="515"/>
      <c r="EN46" s="515"/>
      <c r="EO46" s="515"/>
      <c r="EP46" s="52"/>
      <c r="EQ46" s="52"/>
      <c r="ER46" s="52"/>
      <c r="ES46" s="516"/>
      <c r="ET46" s="476"/>
      <c r="EU46" s="476"/>
      <c r="EV46" s="476"/>
      <c r="EW46" s="515"/>
      <c r="EX46" s="515"/>
      <c r="EY46" s="515"/>
      <c r="EZ46" s="515"/>
      <c r="FA46" s="515"/>
      <c r="FB46" s="476"/>
      <c r="FC46" s="515"/>
      <c r="FD46" s="515"/>
      <c r="FE46" s="515"/>
      <c r="FF46" s="515"/>
    </row>
    <row r="47" spans="2:162" ht="13.35" hidden="1" customHeight="1" outlineLevel="2">
      <c r="B47" s="498"/>
      <c r="C47" s="498">
        <v>8</v>
      </c>
      <c r="D47" s="295" t="s">
        <v>48</v>
      </c>
      <c r="F47" s="499"/>
      <c r="G47" s="500"/>
      <c r="H47" s="501"/>
      <c r="I47" s="501"/>
      <c r="J47" s="501"/>
      <c r="K47" s="501"/>
      <c r="L47" s="501"/>
      <c r="M47" s="501"/>
      <c r="N47" s="501"/>
      <c r="O47" s="501"/>
      <c r="P47" s="501"/>
      <c r="Q47" s="501"/>
      <c r="R47" s="501"/>
      <c r="S47" s="501"/>
      <c r="U47" s="527"/>
      <c r="V47" s="503"/>
      <c r="W47" s="499"/>
      <c r="X47" s="500">
        <f t="shared" si="19"/>
        <v>0</v>
      </c>
      <c r="Y47" s="501"/>
      <c r="Z47" s="501"/>
      <c r="AA47" s="501"/>
      <c r="AB47" s="501"/>
      <c r="AC47" s="501"/>
      <c r="AD47" s="501"/>
      <c r="AE47" s="501"/>
      <c r="AF47" s="501"/>
      <c r="AG47" s="501"/>
      <c r="AH47" s="501"/>
      <c r="AI47" s="501"/>
      <c r="AJ47" s="501"/>
      <c r="AK47" s="501"/>
      <c r="AL47" s="504"/>
      <c r="AM47" s="504"/>
      <c r="AN47" s="504"/>
      <c r="AO47" s="505"/>
      <c r="AP47" s="466"/>
      <c r="AQ47" s="466"/>
      <c r="AR47" s="506">
        <f t="shared" si="32"/>
        <v>0</v>
      </c>
      <c r="AS47" s="466"/>
      <c r="AT47" s="466"/>
      <c r="AU47" s="466"/>
      <c r="AV47" s="466"/>
      <c r="AW47" s="466"/>
      <c r="AX47" s="506">
        <f t="shared" si="33"/>
        <v>0</v>
      </c>
      <c r="AY47" s="466"/>
      <c r="AZ47" s="466"/>
      <c r="BA47" s="466"/>
      <c r="BB47" s="466"/>
      <c r="BC47" s="532"/>
      <c r="BD47" s="532"/>
      <c r="BE47" s="507"/>
      <c r="BF47" s="508"/>
      <c r="BG47" s="549"/>
      <c r="BH47" s="510">
        <f t="shared" si="22"/>
        <v>0</v>
      </c>
      <c r="BI47" s="501"/>
      <c r="BJ47" s="501"/>
      <c r="BK47" s="501"/>
      <c r="BL47" s="501"/>
      <c r="BM47" s="501"/>
      <c r="BN47" s="501"/>
      <c r="BO47" s="501"/>
      <c r="BP47" s="501"/>
      <c r="BQ47" s="501"/>
      <c r="BR47" s="501"/>
      <c r="BS47" s="501"/>
      <c r="BT47" s="501"/>
      <c r="BU47" s="501"/>
      <c r="BV47" s="511"/>
      <c r="BW47" s="511"/>
      <c r="BX47" s="511"/>
      <c r="BY47" s="505"/>
      <c r="BZ47" s="471"/>
      <c r="CA47" s="471"/>
      <c r="CB47" s="548"/>
      <c r="CC47" s="512"/>
      <c r="CD47" s="512"/>
      <c r="CE47" s="512"/>
      <c r="CF47" s="512"/>
      <c r="CG47" s="512"/>
      <c r="CH47" s="548"/>
      <c r="CI47" s="512"/>
      <c r="CJ47" s="512"/>
      <c r="CK47" s="512"/>
      <c r="CL47" s="512"/>
      <c r="CM47" s="508"/>
      <c r="CN47" s="508"/>
      <c r="CO47" s="507"/>
      <c r="CP47" s="508"/>
      <c r="CQ47" s="509"/>
      <c r="CR47" s="510">
        <f t="shared" si="25"/>
        <v>0</v>
      </c>
      <c r="CS47" s="501"/>
      <c r="CT47" s="501"/>
      <c r="CU47" s="501"/>
      <c r="CV47" s="501"/>
      <c r="CW47" s="501"/>
      <c r="CX47" s="501"/>
      <c r="CY47" s="501"/>
      <c r="CZ47" s="501"/>
      <c r="DA47" s="501"/>
      <c r="DB47" s="501"/>
      <c r="DC47" s="501"/>
      <c r="DD47" s="501"/>
      <c r="DE47" s="501"/>
      <c r="DF47" s="513"/>
      <c r="DG47" s="513"/>
      <c r="DH47" s="513"/>
      <c r="DI47" s="505"/>
      <c r="DJ47" s="466"/>
      <c r="DK47" s="466"/>
      <c r="DL47" s="466"/>
      <c r="DM47" s="501"/>
      <c r="DN47" s="501"/>
      <c r="DO47" s="501"/>
      <c r="DP47" s="501"/>
      <c r="DQ47" s="501"/>
      <c r="DR47" s="466"/>
      <c r="DS47" s="501"/>
      <c r="DT47" s="501"/>
      <c r="DU47" s="501"/>
      <c r="DV47" s="501"/>
      <c r="DW47" s="508"/>
      <c r="DX47" s="508"/>
      <c r="DY47" s="507"/>
      <c r="DZ47" s="508"/>
      <c r="EA47" s="509"/>
      <c r="EB47" s="510">
        <f t="shared" si="28"/>
        <v>0</v>
      </c>
      <c r="EC47" s="515"/>
      <c r="ED47" s="515"/>
      <c r="EE47" s="515"/>
      <c r="EF47" s="515"/>
      <c r="EG47" s="515"/>
      <c r="EH47" s="515"/>
      <c r="EI47" s="515"/>
      <c r="EJ47" s="515"/>
      <c r="EK47" s="515"/>
      <c r="EL47" s="515"/>
      <c r="EM47" s="515"/>
      <c r="EN47" s="515"/>
      <c r="EO47" s="515"/>
      <c r="EP47" s="52"/>
      <c r="EQ47" s="52"/>
      <c r="ER47" s="52"/>
      <c r="ES47" s="516"/>
      <c r="ET47" s="476"/>
      <c r="EU47" s="476"/>
      <c r="EV47" s="476"/>
      <c r="EW47" s="515"/>
      <c r="EX47" s="515"/>
      <c r="EY47" s="515"/>
      <c r="EZ47" s="515"/>
      <c r="FA47" s="515"/>
      <c r="FB47" s="476"/>
      <c r="FC47" s="515"/>
      <c r="FD47" s="515"/>
      <c r="FE47" s="515"/>
      <c r="FF47" s="515"/>
    </row>
    <row r="48" spans="2:162" ht="3" customHeight="1">
      <c r="C48" s="498"/>
      <c r="D48" s="48"/>
      <c r="F48" s="499"/>
      <c r="G48" s="500"/>
      <c r="H48" s="501"/>
      <c r="I48" s="501"/>
      <c r="J48" s="501"/>
      <c r="K48" s="501"/>
      <c r="L48" s="501"/>
      <c r="M48" s="501"/>
      <c r="N48" s="501"/>
      <c r="O48" s="501"/>
      <c r="P48" s="501"/>
      <c r="Q48" s="501"/>
      <c r="R48" s="501"/>
      <c r="S48" s="501"/>
      <c r="U48" s="502"/>
      <c r="V48" s="503"/>
      <c r="W48" s="499"/>
      <c r="X48" s="500">
        <f t="shared" si="19"/>
        <v>0</v>
      </c>
      <c r="Y48" s="501"/>
      <c r="Z48" s="501"/>
      <c r="AA48" s="501"/>
      <c r="AB48" s="501"/>
      <c r="AC48" s="501"/>
      <c r="AD48" s="501"/>
      <c r="AE48" s="501"/>
      <c r="AF48" s="501"/>
      <c r="AG48" s="501"/>
      <c r="AH48" s="501"/>
      <c r="AI48" s="501"/>
      <c r="AJ48" s="501"/>
      <c r="AK48" s="501"/>
      <c r="AL48" s="504"/>
      <c r="AM48" s="504"/>
      <c r="AN48" s="504"/>
      <c r="AO48" s="505"/>
      <c r="AP48" s="551"/>
      <c r="AQ48" s="466"/>
      <c r="AR48" s="466"/>
      <c r="AS48" s="466"/>
      <c r="AT48" s="466"/>
      <c r="AU48" s="466"/>
      <c r="AV48" s="466"/>
      <c r="AW48" s="466"/>
      <c r="AX48" s="466"/>
      <c r="AY48" s="466"/>
      <c r="AZ48" s="466"/>
      <c r="BA48" s="466"/>
      <c r="BB48" s="466"/>
      <c r="BC48" s="466"/>
      <c r="BD48" s="466"/>
      <c r="BE48" s="507"/>
      <c r="BF48" s="508"/>
      <c r="BG48" s="509"/>
      <c r="BH48" s="510">
        <f t="shared" si="22"/>
        <v>0</v>
      </c>
      <c r="BI48" s="501"/>
      <c r="BJ48" s="501"/>
      <c r="BK48" s="501"/>
      <c r="BL48" s="501"/>
      <c r="BM48" s="501"/>
      <c r="BN48" s="501"/>
      <c r="BO48" s="501"/>
      <c r="BP48" s="501"/>
      <c r="BQ48" s="501"/>
      <c r="BR48" s="501"/>
      <c r="BS48" s="501"/>
      <c r="BT48" s="501"/>
      <c r="BU48" s="501"/>
      <c r="BV48" s="511"/>
      <c r="BW48" s="511"/>
      <c r="BX48" s="511"/>
      <c r="BY48" s="505"/>
      <c r="BZ48" s="552"/>
      <c r="CA48" s="471"/>
      <c r="CB48" s="548"/>
      <c r="CC48" s="512"/>
      <c r="CD48" s="512"/>
      <c r="CE48" s="512"/>
      <c r="CF48" s="512"/>
      <c r="CG48" s="512"/>
      <c r="CH48" s="548"/>
      <c r="CI48" s="512"/>
      <c r="CJ48" s="512"/>
      <c r="CK48" s="512"/>
      <c r="CL48" s="512"/>
      <c r="CM48" s="508"/>
      <c r="CN48" s="508"/>
      <c r="CO48" s="507"/>
      <c r="CP48" s="508"/>
      <c r="CQ48" s="509"/>
      <c r="CR48" s="510">
        <f t="shared" si="25"/>
        <v>0</v>
      </c>
      <c r="CS48" s="501"/>
      <c r="CT48" s="501"/>
      <c r="CU48" s="501"/>
      <c r="CV48" s="501"/>
      <c r="CW48" s="501"/>
      <c r="CX48" s="501"/>
      <c r="CY48" s="501"/>
      <c r="CZ48" s="501"/>
      <c r="DA48" s="501"/>
      <c r="DB48" s="501"/>
      <c r="DC48" s="501"/>
      <c r="DD48" s="501"/>
      <c r="DE48" s="501"/>
      <c r="DF48" s="513"/>
      <c r="DG48" s="513"/>
      <c r="DH48" s="513"/>
      <c r="DI48" s="505"/>
      <c r="DJ48" s="551"/>
      <c r="DK48" s="466"/>
      <c r="DL48" s="466"/>
      <c r="DM48" s="501"/>
      <c r="DN48" s="501"/>
      <c r="DO48" s="501"/>
      <c r="DP48" s="501"/>
      <c r="DQ48" s="501"/>
      <c r="DR48" s="466"/>
      <c r="DS48" s="501"/>
      <c r="DT48" s="501"/>
      <c r="DU48" s="501"/>
      <c r="DV48" s="501"/>
      <c r="DW48" s="508"/>
      <c r="DX48" s="508"/>
      <c r="DY48" s="449"/>
      <c r="DZ48" s="508"/>
      <c r="EA48" s="509"/>
      <c r="EB48" s="510">
        <f t="shared" si="28"/>
        <v>0</v>
      </c>
      <c r="EC48" s="515"/>
      <c r="ED48" s="515"/>
      <c r="EE48" s="515"/>
      <c r="EF48" s="515"/>
      <c r="EG48" s="515"/>
      <c r="EH48" s="515"/>
      <c r="EI48" s="515"/>
      <c r="EJ48" s="515"/>
      <c r="EK48" s="515"/>
      <c r="EL48" s="515"/>
      <c r="EM48" s="515"/>
      <c r="EN48" s="515"/>
      <c r="EO48" s="515"/>
      <c r="EP48" s="52"/>
      <c r="EQ48" s="52"/>
      <c r="ER48" s="52"/>
      <c r="ES48" s="516"/>
      <c r="EU48" s="476"/>
      <c r="EV48" s="476"/>
      <c r="EW48" s="515"/>
      <c r="EX48" s="515"/>
      <c r="EY48" s="515"/>
      <c r="EZ48" s="515"/>
      <c r="FA48" s="515"/>
      <c r="FB48" s="476"/>
      <c r="FC48" s="515"/>
      <c r="FD48" s="515"/>
      <c r="FE48" s="515"/>
      <c r="FF48" s="515"/>
    </row>
    <row r="49" spans="2:163" ht="18">
      <c r="B49" s="48"/>
      <c r="C49" s="692" t="s">
        <v>49</v>
      </c>
      <c r="D49" s="692"/>
      <c r="E49" s="433"/>
      <c r="F49" s="450"/>
      <c r="G49" s="450"/>
      <c r="H49" s="450"/>
      <c r="I49" s="450"/>
      <c r="J49" s="450"/>
      <c r="K49" s="450"/>
      <c r="L49" s="450"/>
      <c r="M49" s="450"/>
      <c r="N49" s="451"/>
      <c r="O49" s="450"/>
      <c r="P49" s="450"/>
      <c r="Q49" s="450"/>
      <c r="R49" s="450"/>
      <c r="S49" s="450"/>
      <c r="T49" s="433"/>
      <c r="U49" s="452"/>
      <c r="V49" s="453"/>
      <c r="W49" s="450">
        <f t="shared" ref="W49:AJ49" si="74">W144+W51+W63+W75+W86+W98+W109+W121+W132+W198+W203+W208+W220+W226</f>
        <v>28.797155</v>
      </c>
      <c r="X49" s="450">
        <f t="shared" si="19"/>
        <v>25.429808014492753</v>
      </c>
      <c r="Y49" s="450">
        <f>Y144+Y51+Y63+Y75+Y86+Y98+Y109+Y121+Y132+Y198+Y203+Y208+Y220+Y226</f>
        <v>21.883583014492753</v>
      </c>
      <c r="Z49" s="450">
        <f t="shared" si="74"/>
        <v>6.9135719855072466</v>
      </c>
      <c r="AA49" s="450">
        <f t="shared" si="74"/>
        <v>6.9135719855072466</v>
      </c>
      <c r="AB49" s="450">
        <f t="shared" si="74"/>
        <v>0</v>
      </c>
      <c r="AC49" s="450">
        <f t="shared" si="74"/>
        <v>0</v>
      </c>
      <c r="AD49" s="450">
        <f t="shared" si="74"/>
        <v>0</v>
      </c>
      <c r="AE49" s="451"/>
      <c r="AF49" s="450">
        <f t="shared" si="74"/>
        <v>3.5462249999999997</v>
      </c>
      <c r="AG49" s="450">
        <f t="shared" si="74"/>
        <v>3.5462249999999997</v>
      </c>
      <c r="AH49" s="450">
        <f t="shared" si="74"/>
        <v>0</v>
      </c>
      <c r="AI49" s="450">
        <f t="shared" si="74"/>
        <v>0</v>
      </c>
      <c r="AJ49" s="450">
        <f t="shared" si="74"/>
        <v>0</v>
      </c>
      <c r="AK49" s="451"/>
      <c r="AL49" s="451"/>
      <c r="AM49" s="451"/>
      <c r="AN49" s="451"/>
      <c r="AO49" s="450">
        <f>AO144+AO51+AO63+AO75+AO86+AO98+AO109+AO121+AO132+AO198+AO203+AO208+AO220+AO226</f>
        <v>0</v>
      </c>
      <c r="AP49" s="450">
        <f>AP144+AP51+AP63+AP75+AP86+AP98+AP109+AP121+AP132+AP198+AP203+AP208+AP220+AP226</f>
        <v>3203</v>
      </c>
      <c r="AQ49" s="450">
        <f>AQ144+AQ51+AQ63+AQ75+AQ86+AQ98+AQ109+AQ121+AQ132+AQ198+AQ203+AQ208+AQ220+AQ226</f>
        <v>2320</v>
      </c>
      <c r="AR49" s="450">
        <f t="shared" si="32"/>
        <v>883</v>
      </c>
      <c r="AS49" s="450">
        <f>AS144+AS51+AS63+AS75+AS86+AS98+AS109+AS121+AS132+AS198+AS203+AS208+AS220+AS226</f>
        <v>883</v>
      </c>
      <c r="AT49" s="450">
        <f>AT144+AT51+AT63+AT75+AT86+AT98+AT109+AT121+AT132+AT198+AT203+AT208+AT220+AT226</f>
        <v>0</v>
      </c>
      <c r="AU49" s="450">
        <f>AU144+AU51+AU63+AU75+AU86+AU98+AU109+AU121+AU132+AU198+AU203+AU208+AU220+AU226</f>
        <v>0</v>
      </c>
      <c r="AV49" s="450">
        <f>AV144+AV51+AV63+AV75+AV86+AV98+AV109+AV121+AV132+AV198+AV203+AV208+AV220+AV226</f>
        <v>0</v>
      </c>
      <c r="AW49" s="451"/>
      <c r="AX49" s="450">
        <f t="shared" ref="AX49" si="75">SUM(AY49:BB49)</f>
        <v>733</v>
      </c>
      <c r="AY49" s="450">
        <f>AY144+AY51+AY63+AY75+AY86+AY98+AY109+AY121+AY132+AY198+AY203+AY208+AY220+AY226</f>
        <v>733</v>
      </c>
      <c r="AZ49" s="450">
        <f>AZ144+AZ51+AZ63+AZ75+AZ86+AZ98+AZ109+AZ121+AZ132+AZ198+AZ203+AZ208+AZ220+AZ226</f>
        <v>0</v>
      </c>
      <c r="BA49" s="450">
        <f>BA144+BA51+BA63+BA75+BA86+BA98+BA109+BA121+BA132+BA198+BA203+BA208+BA220+BA226</f>
        <v>0</v>
      </c>
      <c r="BB49" s="450">
        <f>BB144+BB51+BB63+BB75+BB86+BB98+BB109+BB121+BB132+BB198+BB203+BB208+BB220+BB226</f>
        <v>0</v>
      </c>
      <c r="BC49" s="455"/>
      <c r="BD49" s="455"/>
      <c r="BE49" s="456"/>
      <c r="BF49" s="453"/>
      <c r="BG49" s="450">
        <f t="shared" ref="BG49:BT49" si="76">BG144+BG51+BG63+BG75+BG86+BG98+BG109+BG121+BG132+BG198+BG203+BG208+BG220+BG226</f>
        <v>7.4121194922432769</v>
      </c>
      <c r="BH49" s="450">
        <f t="shared" si="22"/>
        <v>6.8339717375000006</v>
      </c>
      <c r="BI49" s="450">
        <f t="shared" si="76"/>
        <v>6.6529570316176478</v>
      </c>
      <c r="BJ49" s="450">
        <f t="shared" si="76"/>
        <v>0.54387939812563069</v>
      </c>
      <c r="BK49" s="450">
        <f t="shared" si="76"/>
        <v>0.54387939812563069</v>
      </c>
      <c r="BL49" s="450">
        <f t="shared" si="76"/>
        <v>0</v>
      </c>
      <c r="BM49" s="450">
        <f t="shared" si="76"/>
        <v>0</v>
      </c>
      <c r="BN49" s="450">
        <f t="shared" si="76"/>
        <v>0</v>
      </c>
      <c r="BO49" s="451"/>
      <c r="BP49" s="450">
        <f t="shared" si="76"/>
        <v>0.18101470588235291</v>
      </c>
      <c r="BQ49" s="450">
        <f t="shared" si="76"/>
        <v>0.18101470588235291</v>
      </c>
      <c r="BR49" s="450">
        <f t="shared" si="76"/>
        <v>0</v>
      </c>
      <c r="BS49" s="450">
        <f t="shared" si="76"/>
        <v>0</v>
      </c>
      <c r="BT49" s="450">
        <f t="shared" si="76"/>
        <v>0</v>
      </c>
      <c r="BU49" s="451"/>
      <c r="BV49" s="555"/>
      <c r="BW49" s="555"/>
      <c r="BX49" s="555"/>
      <c r="BY49" s="450">
        <f t="shared" ref="BY49:CL49" si="77">BY144+BY51+BY63+BY75+BY86+BY98+BY109+BY121+BY132+BY198+BY203+BY208+BY220+BY226</f>
        <v>0</v>
      </c>
      <c r="BZ49" s="450">
        <f t="shared" si="77"/>
        <v>6732</v>
      </c>
      <c r="CA49" s="450">
        <f t="shared" si="77"/>
        <v>6689</v>
      </c>
      <c r="CB49" s="450">
        <f t="shared" si="77"/>
        <v>43</v>
      </c>
      <c r="CC49" s="450">
        <f t="shared" si="77"/>
        <v>43</v>
      </c>
      <c r="CD49" s="450">
        <f t="shared" si="77"/>
        <v>0</v>
      </c>
      <c r="CE49" s="450">
        <f t="shared" si="77"/>
        <v>0</v>
      </c>
      <c r="CF49" s="450">
        <f t="shared" si="77"/>
        <v>0</v>
      </c>
      <c r="CG49" s="460"/>
      <c r="CH49" s="450">
        <f t="shared" si="77"/>
        <v>28</v>
      </c>
      <c r="CI49" s="450">
        <f t="shared" si="77"/>
        <v>28</v>
      </c>
      <c r="CJ49" s="450">
        <f t="shared" si="77"/>
        <v>0</v>
      </c>
      <c r="CK49" s="450">
        <f t="shared" si="77"/>
        <v>0</v>
      </c>
      <c r="CL49" s="450">
        <f t="shared" si="77"/>
        <v>0</v>
      </c>
      <c r="CM49" s="453"/>
      <c r="CN49" s="453"/>
      <c r="CO49" s="456"/>
      <c r="CP49" s="453"/>
      <c r="CQ49" s="450">
        <f t="shared" ref="CQ49:DD49" si="78">CQ144+CQ51+CQ63+CQ75+CQ86+CQ98+CQ109+CQ121+CQ132+CQ198+CQ203+CQ208+CQ220+CQ226</f>
        <v>3.127062419406772</v>
      </c>
      <c r="CR49" s="450">
        <f t="shared" si="25"/>
        <v>2.7663369194067715</v>
      </c>
      <c r="CS49" s="450">
        <f t="shared" si="78"/>
        <v>2.5464005474660945</v>
      </c>
      <c r="CT49" s="450">
        <f t="shared" si="78"/>
        <v>0.5806618719406772</v>
      </c>
      <c r="CU49" s="450">
        <f t="shared" si="78"/>
        <v>0.5806618719406772</v>
      </c>
      <c r="CV49" s="450">
        <f t="shared" si="78"/>
        <v>0</v>
      </c>
      <c r="CW49" s="556">
        <f t="shared" si="78"/>
        <v>0</v>
      </c>
      <c r="CX49" s="556">
        <f t="shared" si="78"/>
        <v>0</v>
      </c>
      <c r="CY49" s="557"/>
      <c r="CZ49" s="450">
        <f t="shared" si="78"/>
        <v>0.21993637194067719</v>
      </c>
      <c r="DA49" s="450">
        <f t="shared" si="78"/>
        <v>0</v>
      </c>
      <c r="DB49" s="450">
        <f t="shared" si="78"/>
        <v>0.16008637194067718</v>
      </c>
      <c r="DC49" s="556">
        <f t="shared" si="78"/>
        <v>5.9850000000000007E-2</v>
      </c>
      <c r="DD49" s="556">
        <f t="shared" si="78"/>
        <v>0</v>
      </c>
      <c r="DE49" s="557"/>
      <c r="DF49" s="461"/>
      <c r="DG49" s="461"/>
      <c r="DH49" s="461"/>
      <c r="DI49" s="556">
        <f t="shared" ref="DI49:DV49" si="79">DI144+DI51+DI63+DI75+DI86+DI98+DI109+DI121+DI132+DI198+DI203+DI208+DI220+DI226</f>
        <v>0</v>
      </c>
      <c r="DJ49" s="450">
        <f t="shared" si="79"/>
        <v>1536</v>
      </c>
      <c r="DK49" s="450">
        <f t="shared" si="79"/>
        <v>1497</v>
      </c>
      <c r="DL49" s="450">
        <f t="shared" si="79"/>
        <v>39</v>
      </c>
      <c r="DM49" s="450">
        <f t="shared" si="79"/>
        <v>39</v>
      </c>
      <c r="DN49" s="450">
        <f t="shared" si="79"/>
        <v>0</v>
      </c>
      <c r="DO49" s="450">
        <f t="shared" si="79"/>
        <v>0</v>
      </c>
      <c r="DP49" s="450">
        <f t="shared" si="79"/>
        <v>0</v>
      </c>
      <c r="DQ49" s="451"/>
      <c r="DR49" s="450">
        <f t="shared" si="79"/>
        <v>36</v>
      </c>
      <c r="DS49" s="450">
        <f t="shared" si="79"/>
        <v>21</v>
      </c>
      <c r="DT49" s="450">
        <f t="shared" si="79"/>
        <v>12</v>
      </c>
      <c r="DU49" s="450">
        <f t="shared" si="79"/>
        <v>3</v>
      </c>
      <c r="DV49" s="450">
        <f t="shared" si="79"/>
        <v>0</v>
      </c>
      <c r="DW49" s="453"/>
      <c r="DX49" s="453"/>
      <c r="DY49" s="452"/>
      <c r="DZ49" s="453"/>
      <c r="EA49" s="450">
        <f t="shared" ref="EA49:EN49" si="80">EA144+EA51+EA63+EA75+EA86+EA98+EA109+EA121+EA132+EA198+EA203+EA208+EA220+EA226</f>
        <v>0.73402235445000008</v>
      </c>
      <c r="EB49" s="450">
        <f t="shared" si="28"/>
        <v>0.69235835445000005</v>
      </c>
      <c r="EC49" s="450">
        <f t="shared" si="80"/>
        <v>0.69235835445000005</v>
      </c>
      <c r="ED49" s="450">
        <f t="shared" si="80"/>
        <v>4.1664E-2</v>
      </c>
      <c r="EE49" s="450">
        <f t="shared" si="80"/>
        <v>4.1664E-2</v>
      </c>
      <c r="EF49" s="450">
        <f t="shared" si="80"/>
        <v>0</v>
      </c>
      <c r="EG49" s="450">
        <f t="shared" si="80"/>
        <v>0</v>
      </c>
      <c r="EH49" s="450">
        <f t="shared" si="80"/>
        <v>0</v>
      </c>
      <c r="EI49" s="558"/>
      <c r="EJ49" s="450">
        <f t="shared" si="80"/>
        <v>0</v>
      </c>
      <c r="EK49" s="450">
        <f t="shared" si="80"/>
        <v>0</v>
      </c>
      <c r="EL49" s="450">
        <f t="shared" si="80"/>
        <v>0</v>
      </c>
      <c r="EM49" s="450">
        <f t="shared" si="80"/>
        <v>0</v>
      </c>
      <c r="EN49" s="450">
        <f t="shared" si="80"/>
        <v>0</v>
      </c>
      <c r="EO49" s="558"/>
      <c r="EP49" s="463"/>
      <c r="EQ49" s="463"/>
      <c r="ER49" s="463"/>
      <c r="ES49" s="450">
        <f t="shared" ref="ES49:FF49" si="81">ES144+ES51+ES63+ES75+ES86+ES98+ES109+ES121+ES132+ES198+ES203+ES208+ES220+ES226</f>
        <v>0</v>
      </c>
      <c r="ET49" s="450">
        <f t="shared" si="81"/>
        <v>321</v>
      </c>
      <c r="EU49" s="450">
        <f t="shared" si="81"/>
        <v>311</v>
      </c>
      <c r="EV49" s="450">
        <f t="shared" si="81"/>
        <v>10</v>
      </c>
      <c r="EW49" s="450">
        <f t="shared" si="81"/>
        <v>10</v>
      </c>
      <c r="EX49" s="450">
        <f t="shared" si="81"/>
        <v>0</v>
      </c>
      <c r="EY49" s="450">
        <f t="shared" si="81"/>
        <v>0</v>
      </c>
      <c r="EZ49" s="450">
        <f t="shared" si="81"/>
        <v>0</v>
      </c>
      <c r="FA49" s="558"/>
      <c r="FB49" s="450">
        <f t="shared" si="81"/>
        <v>0</v>
      </c>
      <c r="FC49" s="450">
        <f t="shared" si="81"/>
        <v>0</v>
      </c>
      <c r="FD49" s="450">
        <f t="shared" si="81"/>
        <v>0</v>
      </c>
      <c r="FE49" s="450">
        <f t="shared" si="81"/>
        <v>0</v>
      </c>
      <c r="FF49" s="450">
        <f t="shared" si="81"/>
        <v>0</v>
      </c>
      <c r="FG49" s="433"/>
    </row>
    <row r="50" spans="2:163" ht="3" customHeight="1" outlineLevel="1">
      <c r="D50" s="433"/>
      <c r="E50" s="433"/>
      <c r="F50" s="434"/>
      <c r="G50" s="435"/>
      <c r="H50" s="447"/>
      <c r="I50" s="447"/>
      <c r="J50" s="447"/>
      <c r="K50" s="447"/>
      <c r="L50" s="447"/>
      <c r="M50" s="447"/>
      <c r="N50" s="447"/>
      <c r="O50" s="447"/>
      <c r="P50" s="447"/>
      <c r="Q50" s="447"/>
      <c r="R50" s="447"/>
      <c r="S50" s="447"/>
      <c r="T50" s="433"/>
      <c r="U50" s="449"/>
      <c r="V50" s="464"/>
      <c r="W50" s="434"/>
      <c r="X50" s="435">
        <f t="shared" si="19"/>
        <v>0</v>
      </c>
      <c r="Y50" s="447"/>
      <c r="Z50" s="447"/>
      <c r="AA50" s="447"/>
      <c r="AB50" s="447"/>
      <c r="AC50" s="447"/>
      <c r="AD50" s="447"/>
      <c r="AE50" s="447"/>
      <c r="AF50" s="447"/>
      <c r="AG50" s="447"/>
      <c r="AH50" s="447"/>
      <c r="AI50" s="447"/>
      <c r="AJ50" s="447"/>
      <c r="AK50" s="447"/>
      <c r="AL50" s="465"/>
      <c r="AM50" s="465"/>
      <c r="AN50" s="465"/>
      <c r="AO50" s="465"/>
      <c r="AP50" s="466"/>
      <c r="AQ50" s="466"/>
      <c r="AR50" s="466"/>
      <c r="AS50" s="466"/>
      <c r="AT50" s="466"/>
      <c r="AU50" s="466"/>
      <c r="AV50" s="466"/>
      <c r="AW50" s="466"/>
      <c r="AX50" s="466"/>
      <c r="AY50" s="466"/>
      <c r="AZ50" s="466"/>
      <c r="BA50" s="466"/>
      <c r="BB50" s="466"/>
      <c r="BC50" s="466"/>
      <c r="BD50" s="466"/>
      <c r="BE50" s="467"/>
      <c r="BF50" s="468"/>
      <c r="BG50" s="469"/>
      <c r="BH50" s="450">
        <f t="shared" si="22"/>
        <v>0</v>
      </c>
      <c r="BI50" s="447"/>
      <c r="BJ50" s="447"/>
      <c r="BK50" s="447"/>
      <c r="BL50" s="447"/>
      <c r="BM50" s="447"/>
      <c r="BN50" s="447"/>
      <c r="BO50" s="447"/>
      <c r="BP50" s="447"/>
      <c r="BQ50" s="447"/>
      <c r="BR50" s="447"/>
      <c r="BS50" s="447"/>
      <c r="BT50" s="447"/>
      <c r="BU50" s="447"/>
      <c r="BV50" s="470"/>
      <c r="BW50" s="470"/>
      <c r="BX50" s="470"/>
      <c r="BY50" s="465"/>
      <c r="BZ50" s="471"/>
      <c r="CA50" s="471"/>
      <c r="CB50" s="548"/>
      <c r="CC50" s="472"/>
      <c r="CD50" s="472"/>
      <c r="CE50" s="472"/>
      <c r="CF50" s="472"/>
      <c r="CG50" s="472"/>
      <c r="CH50" s="548"/>
      <c r="CI50" s="472"/>
      <c r="CJ50" s="472"/>
      <c r="CK50" s="472"/>
      <c r="CL50" s="472"/>
      <c r="CM50" s="468"/>
      <c r="CN50" s="468"/>
      <c r="CO50" s="467"/>
      <c r="CP50" s="468"/>
      <c r="CQ50" s="469"/>
      <c r="CR50" s="450">
        <f t="shared" si="25"/>
        <v>0</v>
      </c>
      <c r="CS50" s="447"/>
      <c r="CT50" s="447"/>
      <c r="CU50" s="447"/>
      <c r="CV50" s="447"/>
      <c r="CW50" s="447"/>
      <c r="CX50" s="447"/>
      <c r="CY50" s="447"/>
      <c r="CZ50" s="447"/>
      <c r="DA50" s="447"/>
      <c r="DB50" s="447"/>
      <c r="DC50" s="447"/>
      <c r="DD50" s="447"/>
      <c r="DE50" s="447"/>
      <c r="DF50" s="473"/>
      <c r="DG50" s="473"/>
      <c r="DH50" s="473"/>
      <c r="DI50" s="465"/>
      <c r="DJ50" s="466"/>
      <c r="DK50" s="466"/>
      <c r="DL50" s="466"/>
      <c r="DM50" s="447"/>
      <c r="DN50" s="447"/>
      <c r="DO50" s="447"/>
      <c r="DP50" s="447"/>
      <c r="DQ50" s="447"/>
      <c r="DR50" s="466"/>
      <c r="DS50" s="447"/>
      <c r="DT50" s="447"/>
      <c r="DU50" s="447"/>
      <c r="DV50" s="447"/>
      <c r="DW50" s="468"/>
      <c r="DX50" s="468"/>
      <c r="DY50" s="511"/>
      <c r="DZ50" s="468"/>
      <c r="EA50" s="469"/>
      <c r="EB50" s="450">
        <f t="shared" si="28"/>
        <v>0</v>
      </c>
      <c r="EC50" s="448"/>
      <c r="ED50" s="448"/>
      <c r="EE50" s="448"/>
      <c r="EF50" s="448"/>
      <c r="EG50" s="448"/>
      <c r="EH50" s="448"/>
      <c r="EI50" s="448"/>
      <c r="EJ50" s="448"/>
      <c r="EK50" s="448"/>
      <c r="EL50" s="448"/>
      <c r="EM50" s="448"/>
      <c r="EN50" s="448"/>
      <c r="EO50" s="448"/>
      <c r="EP50" s="474"/>
      <c r="EQ50" s="474"/>
      <c r="ER50" s="474"/>
      <c r="ES50" s="475"/>
      <c r="ET50" s="476"/>
      <c r="EU50" s="476"/>
      <c r="EV50" s="476"/>
      <c r="EW50" s="448"/>
      <c r="EX50" s="448"/>
      <c r="EY50" s="448"/>
      <c r="EZ50" s="448"/>
      <c r="FA50" s="448"/>
      <c r="FB50" s="476"/>
      <c r="FC50" s="448"/>
      <c r="FD50" s="448"/>
      <c r="FE50" s="448"/>
      <c r="FF50" s="448"/>
      <c r="FG50" s="433"/>
    </row>
    <row r="51" spans="2:163" ht="14.25" outlineLevel="1">
      <c r="B51" s="477"/>
      <c r="C51" s="559">
        <v>1</v>
      </c>
      <c r="D51" s="560" t="s">
        <v>50</v>
      </c>
      <c r="E51" s="479"/>
      <c r="F51" s="480">
        <f t="shared" ref="F51:F61" si="82">W51+BG51+CQ51+EA51</f>
        <v>1.8736440000000001</v>
      </c>
      <c r="G51" s="480">
        <f t="shared" ref="G51:G61" si="83">X51+BH51+CR51+EB51</f>
        <v>1.8736440000000001</v>
      </c>
      <c r="H51" s="481">
        <f t="shared" ref="H51:H61" si="84">F51-G51</f>
        <v>0</v>
      </c>
      <c r="I51" s="480">
        <f t="shared" ref="I51:I61" si="85">Z51+BJ51+CT51+ED51</f>
        <v>0</v>
      </c>
      <c r="J51" s="480">
        <f t="shared" ref="J51:J61" si="86">AA51+BK51+CU51+EE51</f>
        <v>0</v>
      </c>
      <c r="K51" s="480">
        <f t="shared" ref="K51:K61" si="87">AB51+BL51+CV51+EF51</f>
        <v>0</v>
      </c>
      <c r="L51" s="480">
        <f t="shared" ref="L51:L61" si="88">AC51+BM51+CW51+EG51</f>
        <v>0</v>
      </c>
      <c r="M51" s="480">
        <f t="shared" ref="M51:M61" si="89">AD51+BN51+CX51+EH51</f>
        <v>0</v>
      </c>
      <c r="N51" s="482"/>
      <c r="O51" s="480">
        <f t="shared" ref="O51:O61" si="90">AF51+BP51+CZ51+EJ51</f>
        <v>0</v>
      </c>
      <c r="P51" s="480">
        <f t="shared" ref="P51:P61" si="91">AG51+BQ51+DA51+EK51</f>
        <v>0</v>
      </c>
      <c r="Q51" s="480">
        <f t="shared" ref="Q51:Q61" si="92">AH51+BR51+DB51+EL51</f>
        <v>0</v>
      </c>
      <c r="R51" s="480">
        <f t="shared" ref="R51:R61" si="93">AI51+BS51+DC51+EM51</f>
        <v>0</v>
      </c>
      <c r="S51" s="480">
        <f t="shared" ref="S51:S61" si="94">AJ51+BT51+DD51+EN51</f>
        <v>0</v>
      </c>
      <c r="T51" s="479"/>
      <c r="U51" s="561">
        <f>SUM(U52:U61)</f>
        <v>0.5</v>
      </c>
      <c r="V51" s="483"/>
      <c r="W51" s="480">
        <f>U51*(5%*'BOQ COST'!E8)*1</f>
        <v>1.2295500000000001</v>
      </c>
      <c r="X51" s="480">
        <f t="shared" si="19"/>
        <v>1.2295500000000001</v>
      </c>
      <c r="Y51" s="481">
        <f>SUM(Y52:Y61)</f>
        <v>1.2295500000000001</v>
      </c>
      <c r="Z51" s="481">
        <f>SUM(Z52:Z61)</f>
        <v>0</v>
      </c>
      <c r="AA51" s="481">
        <f>SUM(AA52:AA61)</f>
        <v>0</v>
      </c>
      <c r="AB51" s="481">
        <f>SUM(AB52:AB61)</f>
        <v>0</v>
      </c>
      <c r="AC51" s="481">
        <f t="shared" ref="AC51:AD51" si="95">SUM(AC52:AC61)</f>
        <v>0</v>
      </c>
      <c r="AD51" s="481">
        <f t="shared" si="95"/>
        <v>0</v>
      </c>
      <c r="AE51" s="482"/>
      <c r="AF51" s="481">
        <f>SUM(AF52:AF61)</f>
        <v>0</v>
      </c>
      <c r="AG51" s="481">
        <f>SUM(AG52:AG61)</f>
        <v>0</v>
      </c>
      <c r="AH51" s="481">
        <f>SUM(AH52:AH61)</f>
        <v>0</v>
      </c>
      <c r="AI51" s="481">
        <f t="shared" ref="AI51:AJ51" si="96">SUM(AI52:AI61)</f>
        <v>0</v>
      </c>
      <c r="AJ51" s="481">
        <f t="shared" si="96"/>
        <v>0</v>
      </c>
      <c r="AK51" s="482"/>
      <c r="AL51" s="482"/>
      <c r="AM51" s="482"/>
      <c r="AN51" s="482"/>
      <c r="AO51" s="481">
        <f t="shared" ref="AO51:AQ51" si="97">SUM(AO52:AO61)</f>
        <v>0</v>
      </c>
      <c r="AP51" s="481">
        <f t="shared" si="97"/>
        <v>60</v>
      </c>
      <c r="AQ51" s="481">
        <f t="shared" si="97"/>
        <v>60</v>
      </c>
      <c r="AR51" s="481">
        <f t="shared" si="32"/>
        <v>0</v>
      </c>
      <c r="AS51" s="481">
        <f>SUM(AS52:AS61)</f>
        <v>0</v>
      </c>
      <c r="AT51" s="481">
        <f t="shared" ref="AT51:BC51" si="98">SUM(AT52:AT61)</f>
        <v>0</v>
      </c>
      <c r="AU51" s="481">
        <f t="shared" si="98"/>
        <v>0</v>
      </c>
      <c r="AV51" s="481">
        <f t="shared" si="98"/>
        <v>0</v>
      </c>
      <c r="AW51" s="482"/>
      <c r="AX51" s="481">
        <f>SUM(AX52:AX61)</f>
        <v>0</v>
      </c>
      <c r="AY51" s="481">
        <f>SUM(AY52:AY61)</f>
        <v>0</v>
      </c>
      <c r="AZ51" s="481">
        <f t="shared" ref="AZ51:BB51" si="99">SUM(AZ52:AZ61)</f>
        <v>0</v>
      </c>
      <c r="BA51" s="481">
        <f t="shared" si="99"/>
        <v>0</v>
      </c>
      <c r="BB51" s="481">
        <f t="shared" si="99"/>
        <v>0</v>
      </c>
      <c r="BC51" s="481">
        <f t="shared" si="98"/>
        <v>0</v>
      </c>
      <c r="BD51" s="482"/>
      <c r="BE51" s="483">
        <f>SUM(BE52:BE61)</f>
        <v>0.55000000000000004</v>
      </c>
      <c r="BF51" s="483"/>
      <c r="BG51" s="480">
        <f>BE51*(3%*'BOQ COST'!F8)*1</f>
        <v>0.5407050000000001</v>
      </c>
      <c r="BH51" s="480">
        <f t="shared" si="22"/>
        <v>0.54070499999999999</v>
      </c>
      <c r="BI51" s="481">
        <f>SUM(BI52:BI61)</f>
        <v>0.54070499999999999</v>
      </c>
      <c r="BJ51" s="481">
        <f>SUM(BJ52:BJ61)</f>
        <v>0</v>
      </c>
      <c r="BK51" s="481">
        <f t="shared" ref="BK51:CF51" si="100">SUM(BK52:BK61)</f>
        <v>0</v>
      </c>
      <c r="BL51" s="481">
        <f t="shared" si="100"/>
        <v>0</v>
      </c>
      <c r="BM51" s="481">
        <f t="shared" si="100"/>
        <v>0</v>
      </c>
      <c r="BN51" s="481">
        <f t="shared" si="100"/>
        <v>0</v>
      </c>
      <c r="BO51" s="482"/>
      <c r="BP51" s="481">
        <f>SUM(BP52:BP61)</f>
        <v>0</v>
      </c>
      <c r="BQ51" s="481">
        <f t="shared" ref="BQ51:BT51" si="101">SUM(BQ52:BQ61)</f>
        <v>0</v>
      </c>
      <c r="BR51" s="481">
        <f t="shared" si="101"/>
        <v>0</v>
      </c>
      <c r="BS51" s="481">
        <f t="shared" si="101"/>
        <v>0</v>
      </c>
      <c r="BT51" s="481">
        <f t="shared" si="101"/>
        <v>0</v>
      </c>
      <c r="BU51" s="482"/>
      <c r="BV51" s="488"/>
      <c r="BW51" s="488"/>
      <c r="BX51" s="488"/>
      <c r="BY51" s="481">
        <f t="shared" si="100"/>
        <v>0</v>
      </c>
      <c r="BZ51" s="481">
        <f t="shared" si="100"/>
        <v>532</v>
      </c>
      <c r="CA51" s="481">
        <f t="shared" si="100"/>
        <v>532</v>
      </c>
      <c r="CB51" s="481">
        <f t="shared" si="100"/>
        <v>0</v>
      </c>
      <c r="CC51" s="481">
        <f t="shared" si="100"/>
        <v>0</v>
      </c>
      <c r="CD51" s="481">
        <f t="shared" si="100"/>
        <v>0</v>
      </c>
      <c r="CE51" s="481">
        <f t="shared" si="100"/>
        <v>0</v>
      </c>
      <c r="CF51" s="481">
        <f t="shared" si="100"/>
        <v>0</v>
      </c>
      <c r="CG51" s="490"/>
      <c r="CH51" s="481">
        <f t="shared" ref="CH51:CL51" si="102">SUM(CH52:CH61)</f>
        <v>0</v>
      </c>
      <c r="CI51" s="481">
        <f t="shared" si="102"/>
        <v>0</v>
      </c>
      <c r="CJ51" s="481">
        <f t="shared" si="102"/>
        <v>0</v>
      </c>
      <c r="CK51" s="481">
        <f t="shared" si="102"/>
        <v>0</v>
      </c>
      <c r="CL51" s="481">
        <f t="shared" si="102"/>
        <v>0</v>
      </c>
      <c r="CM51" s="483"/>
      <c r="CN51" s="483"/>
      <c r="CO51" s="483">
        <f>SUM(CO52:CO61)</f>
        <v>0.65</v>
      </c>
      <c r="CP51" s="483"/>
      <c r="CQ51" s="480">
        <f>CO51*(2%*'BOQ COST'!G8)*1</f>
        <v>0.10338900000000001</v>
      </c>
      <c r="CR51" s="480">
        <f t="shared" si="25"/>
        <v>0.10338900000000001</v>
      </c>
      <c r="CS51" s="481">
        <f>SUM(CS52:CS61)</f>
        <v>0.10338900000000001</v>
      </c>
      <c r="CT51" s="481">
        <f>SUM(CT52:CT61)</f>
        <v>0</v>
      </c>
      <c r="CU51" s="481">
        <f t="shared" ref="CU51:DP51" si="103">SUM(CU52:CU61)</f>
        <v>0</v>
      </c>
      <c r="CV51" s="481">
        <f t="shared" si="103"/>
        <v>0</v>
      </c>
      <c r="CW51" s="481">
        <f t="shared" si="103"/>
        <v>0</v>
      </c>
      <c r="CX51" s="481">
        <f t="shared" si="103"/>
        <v>0</v>
      </c>
      <c r="CY51" s="482"/>
      <c r="CZ51" s="481">
        <f>SUM(CZ52:CZ61)</f>
        <v>0</v>
      </c>
      <c r="DA51" s="481">
        <f t="shared" ref="DA51:DD51" si="104">SUM(DA52:DA61)</f>
        <v>0</v>
      </c>
      <c r="DB51" s="481">
        <f t="shared" si="104"/>
        <v>0</v>
      </c>
      <c r="DC51" s="481">
        <f t="shared" si="104"/>
        <v>0</v>
      </c>
      <c r="DD51" s="481">
        <f t="shared" si="104"/>
        <v>0</v>
      </c>
      <c r="DE51" s="482"/>
      <c r="DF51" s="492"/>
      <c r="DG51" s="492"/>
      <c r="DH51" s="492"/>
      <c r="DI51" s="481">
        <f t="shared" si="103"/>
        <v>0</v>
      </c>
      <c r="DJ51" s="481">
        <f t="shared" si="103"/>
        <v>75</v>
      </c>
      <c r="DK51" s="481">
        <f t="shared" si="103"/>
        <v>75</v>
      </c>
      <c r="DL51" s="481">
        <f t="shared" si="103"/>
        <v>0</v>
      </c>
      <c r="DM51" s="481">
        <f t="shared" si="103"/>
        <v>0</v>
      </c>
      <c r="DN51" s="481">
        <f t="shared" si="103"/>
        <v>0</v>
      </c>
      <c r="DO51" s="481">
        <f t="shared" si="103"/>
        <v>0</v>
      </c>
      <c r="DP51" s="481">
        <f t="shared" si="103"/>
        <v>0</v>
      </c>
      <c r="DQ51" s="482"/>
      <c r="DR51" s="481">
        <f t="shared" ref="DR51:DV51" si="105">SUM(DR52:DR61)</f>
        <v>0</v>
      </c>
      <c r="DS51" s="481">
        <f t="shared" si="105"/>
        <v>0</v>
      </c>
      <c r="DT51" s="481">
        <f t="shared" si="105"/>
        <v>0</v>
      </c>
      <c r="DU51" s="481">
        <f t="shared" si="105"/>
        <v>0</v>
      </c>
      <c r="DV51" s="481">
        <f t="shared" si="105"/>
        <v>0</v>
      </c>
      <c r="DW51" s="483"/>
      <c r="DX51" s="483"/>
      <c r="DY51" s="480">
        <f>SUM(DY52:DY61)</f>
        <v>0</v>
      </c>
      <c r="DZ51" s="483"/>
      <c r="EA51" s="491">
        <v>0</v>
      </c>
      <c r="EB51" s="480">
        <f t="shared" si="28"/>
        <v>0</v>
      </c>
      <c r="EC51" s="536">
        <f>SUM(EC52:EC61)</f>
        <v>0</v>
      </c>
      <c r="ED51" s="536">
        <f>SUM(ED52:ED61)</f>
        <v>0</v>
      </c>
      <c r="EE51" s="536">
        <f t="shared" ref="EE51:EZ51" si="106">SUM(EE52:EE61)</f>
        <v>0</v>
      </c>
      <c r="EF51" s="536">
        <f t="shared" si="106"/>
        <v>0</v>
      </c>
      <c r="EG51" s="536">
        <f t="shared" si="106"/>
        <v>0</v>
      </c>
      <c r="EH51" s="536">
        <f t="shared" si="106"/>
        <v>0</v>
      </c>
      <c r="EI51" s="562"/>
      <c r="EJ51" s="536">
        <f>SUM(EJ52:EJ61)</f>
        <v>0</v>
      </c>
      <c r="EK51" s="536">
        <f t="shared" ref="EK51:EN51" si="107">SUM(EK52:EK61)</f>
        <v>0</v>
      </c>
      <c r="EL51" s="536">
        <f t="shared" si="107"/>
        <v>0</v>
      </c>
      <c r="EM51" s="536">
        <f t="shared" si="107"/>
        <v>0</v>
      </c>
      <c r="EN51" s="536">
        <f t="shared" si="107"/>
        <v>0</v>
      </c>
      <c r="EO51" s="562"/>
      <c r="EP51" s="563"/>
      <c r="EQ51" s="563"/>
      <c r="ER51" s="563"/>
      <c r="ES51" s="536">
        <f t="shared" si="106"/>
        <v>0</v>
      </c>
      <c r="ET51" s="536">
        <f t="shared" si="106"/>
        <v>0</v>
      </c>
      <c r="EU51" s="536">
        <f t="shared" si="106"/>
        <v>0</v>
      </c>
      <c r="EV51" s="536">
        <f t="shared" si="106"/>
        <v>0</v>
      </c>
      <c r="EW51" s="536">
        <f t="shared" si="106"/>
        <v>0</v>
      </c>
      <c r="EX51" s="536">
        <f t="shared" si="106"/>
        <v>0</v>
      </c>
      <c r="EY51" s="536">
        <f t="shared" si="106"/>
        <v>0</v>
      </c>
      <c r="EZ51" s="536">
        <f t="shared" si="106"/>
        <v>0</v>
      </c>
      <c r="FA51" s="562"/>
      <c r="FB51" s="536">
        <f t="shared" ref="FB51:FF51" si="108">SUM(FB52:FB61)</f>
        <v>0</v>
      </c>
      <c r="FC51" s="536">
        <f t="shared" si="108"/>
        <v>0</v>
      </c>
      <c r="FD51" s="536">
        <f t="shared" si="108"/>
        <v>0</v>
      </c>
      <c r="FE51" s="536">
        <f t="shared" si="108"/>
        <v>0</v>
      </c>
      <c r="FF51" s="536">
        <f t="shared" si="108"/>
        <v>0</v>
      </c>
    </row>
    <row r="52" spans="2:163" ht="14.25" outlineLevel="2">
      <c r="B52" s="564" t="s">
        <v>51</v>
      </c>
      <c r="C52" s="565">
        <v>1</v>
      </c>
      <c r="D52" s="566" t="s">
        <v>52</v>
      </c>
      <c r="F52" s="500">
        <f t="shared" si="82"/>
        <v>0.17569350000000003</v>
      </c>
      <c r="G52" s="500">
        <f t="shared" si="83"/>
        <v>0.17569350000000003</v>
      </c>
      <c r="H52" s="514">
        <f t="shared" si="84"/>
        <v>0</v>
      </c>
      <c r="I52" s="514">
        <f t="shared" si="85"/>
        <v>0</v>
      </c>
      <c r="J52" s="514">
        <f t="shared" si="86"/>
        <v>0</v>
      </c>
      <c r="K52" s="514">
        <f t="shared" si="87"/>
        <v>0</v>
      </c>
      <c r="L52" s="514">
        <f t="shared" si="88"/>
        <v>0</v>
      </c>
      <c r="M52" s="567">
        <f t="shared" si="89"/>
        <v>0</v>
      </c>
      <c r="N52" s="568"/>
      <c r="O52" s="514">
        <f t="shared" si="90"/>
        <v>0</v>
      </c>
      <c r="P52" s="514">
        <f t="shared" si="91"/>
        <v>0</v>
      </c>
      <c r="Q52" s="514">
        <f t="shared" si="92"/>
        <v>0</v>
      </c>
      <c r="R52" s="514">
        <f t="shared" si="93"/>
        <v>0</v>
      </c>
      <c r="S52" s="514">
        <f t="shared" si="94"/>
        <v>0</v>
      </c>
      <c r="U52" s="569">
        <v>2.5000000000000001E-2</v>
      </c>
      <c r="V52" s="503"/>
      <c r="W52" s="500">
        <f>$W$51/$U$51*U52</f>
        <v>6.1477500000000011E-2</v>
      </c>
      <c r="X52" s="500">
        <f t="shared" si="19"/>
        <v>6.1477500000000011E-2</v>
      </c>
      <c r="Y52" s="514">
        <f t="shared" ref="Y52:Y61" si="109">IFERROR(IF(AL52=100%,W52,0),0)</f>
        <v>6.1477500000000011E-2</v>
      </c>
      <c r="Z52" s="514">
        <f t="shared" ref="Z52:Z61" si="110">IFERROR(IF(AND((AL52+AM52)=100%,AL52&lt;1),W52,0),0)</f>
        <v>0</v>
      </c>
      <c r="AA52" s="514">
        <f t="shared" ref="AA52:AA61" si="111">IFERROR(IF(AND((AQ52+AS52)=AP52,Y52=0),W52,0),0)</f>
        <v>0</v>
      </c>
      <c r="AB52" s="514">
        <f t="shared" ref="AB52:AB61" si="112">IFERROR(IF(AND((AQ52+AS52+AT52)=AP52,Y52=0,AA52=0),W52,0),0)</f>
        <v>0</v>
      </c>
      <c r="AC52" s="514">
        <f t="shared" ref="AC52:AC61" si="113">IFERROR(IF(AND((AQ52+AS52+AT52+AU52)=AP52,Y52=0,AA52=0,AB52=0),W52,0),0)</f>
        <v>0</v>
      </c>
      <c r="AD52" s="567">
        <f t="shared" ref="AD52:AD61" si="114">IFERROR(IF(AND((AQ52+AS52+AT52+AU52+AV52)=AP52,Y52=0,AA52=0,AB52=0,AC52=0),W52,0),0)</f>
        <v>0</v>
      </c>
      <c r="AE52" s="568"/>
      <c r="AF52" s="514">
        <f t="shared" ref="AF52:AF61" si="115">IFERROR(IF(AND((AL52+AN52)=100%,AL52&lt;1),W52,0),0)</f>
        <v>0</v>
      </c>
      <c r="AG52" s="514">
        <f t="shared" ref="AG52:AG61" si="116">IFERROR(IF(AND((AQ52+AY52)=AP52,Y52=0),W52,0),0)</f>
        <v>0</v>
      </c>
      <c r="AH52" s="514">
        <f t="shared" ref="AH52:AH61" si="117">IFERROR(IF(AND((AQ52+AY52+AZ52)=AP52,Y52=0,AG52=0),W52,0),0)</f>
        <v>0</v>
      </c>
      <c r="AI52" s="514">
        <f t="shared" ref="AI52:AI61" si="118">IFERROR(IF(AND((AQ52+AY52+AZ52+BA52)=AP52,Y52=0,AG52=0,AH52=0),W52,0),0)</f>
        <v>0</v>
      </c>
      <c r="AJ52" s="514">
        <f t="shared" ref="AJ52:AJ61" si="119">IFERROR(IF(AND((AQ52+AY52+AZ52+BA52+BB52)=AP52,Y52=0,AG52=0,AH52=0,AI52=0),W52,0),0)</f>
        <v>0</v>
      </c>
      <c r="AK52" s="501"/>
      <c r="AL52" s="570">
        <f t="shared" ref="AL52:AL61" si="120">IFERROR(AQ52/AP52,0)</f>
        <v>1</v>
      </c>
      <c r="AM52" s="570">
        <f t="shared" ref="AM52:AM61" si="121">IFERROR(AR52/AP52,0)</f>
        <v>0</v>
      </c>
      <c r="AN52" s="570">
        <f t="shared" ref="AN52:AN61" si="122">IFERROR(AX52/AP52,0)</f>
        <v>0</v>
      </c>
      <c r="AO52" s="505"/>
      <c r="AP52" s="514">
        <f>COUNTIF('AR | Drawing List'!$G:$G,"AR-T01-1")</f>
        <v>16</v>
      </c>
      <c r="AQ52" s="506">
        <f>COUNTIFS('AR | Drawing List'!$G:$G,"AR-T01-1",'AR | Drawing List'!$I:$I,1)</f>
        <v>16</v>
      </c>
      <c r="AR52" s="506">
        <f t="shared" si="32"/>
        <v>0</v>
      </c>
      <c r="AS52" s="506">
        <f>COUNTIFS('AR | Drawing List'!$G:$G,"AR-T01-1",'AR | Drawing List'!M:M,1)</f>
        <v>0</v>
      </c>
      <c r="AT52" s="506">
        <f>COUNTIFS('AR | Drawing List'!$G:$G,"AR-T01-1",'AR | Drawing List'!N:N,1)</f>
        <v>0</v>
      </c>
      <c r="AU52" s="506">
        <f>COUNTIFS('AR | Drawing List'!$G:$G,"AR-T01-1",'AR | Drawing List'!O:O,1)</f>
        <v>0</v>
      </c>
      <c r="AV52" s="506">
        <f>COUNTIFS('AR | Drawing List'!$G:$G,"AR-T01-1",'AR | Drawing List'!P:P,1)</f>
        <v>0</v>
      </c>
      <c r="AW52" s="466"/>
      <c r="AX52" s="506">
        <f t="shared" ref="AX52:AX61" si="123">SUM(AY52:BB52)</f>
        <v>0</v>
      </c>
      <c r="AY52" s="506">
        <f>COUNTIFS('AR | Drawing List'!$G:$G,"AR-T01-1",'AR | Drawing List'!R:R,1)</f>
        <v>0</v>
      </c>
      <c r="AZ52" s="506">
        <f>COUNTIFS('AR | Drawing List'!$G:$G,"AR-T01-1",'AR | Drawing List'!S:S,1)</f>
        <v>0</v>
      </c>
      <c r="BA52" s="506">
        <f>COUNTIFS('AR | Drawing List'!$G:$G,"AR-T01-1",'AR | Drawing List'!T:T,1)</f>
        <v>0</v>
      </c>
      <c r="BB52" s="506">
        <f>COUNTIFS('AR | Drawing List'!$G:$G,"AR-T01-1",'AR | Drawing List'!U:U,1)</f>
        <v>0</v>
      </c>
      <c r="BC52" s="466"/>
      <c r="BD52" s="466"/>
      <c r="BE52" s="511">
        <v>0.1</v>
      </c>
      <c r="BF52" s="508"/>
      <c r="BG52" s="506">
        <f t="shared" ref="BG52:BG61" si="124">$BG$51/$BE$51*BE52</f>
        <v>9.8310000000000008E-2</v>
      </c>
      <c r="BH52" s="510">
        <f t="shared" si="22"/>
        <v>9.8310000000000008E-2</v>
      </c>
      <c r="BI52" s="514">
        <f t="shared" ref="BI52:BI61" si="125">IFERROR(IF(BV52=100%,BG52,0),0)</f>
        <v>9.8310000000000008E-2</v>
      </c>
      <c r="BJ52" s="514">
        <f t="shared" ref="BJ52:BJ61" si="126">IFERROR(IF(AND((BV52+BW52)=100%,BV52&lt;1),BG52,0),0)</f>
        <v>0</v>
      </c>
      <c r="BK52" s="514">
        <f t="shared" ref="BK52:BK61" si="127">IFERROR(IF(AND((CA52+CC52)=BZ52,BI52=0),BG52,0),0)</f>
        <v>0</v>
      </c>
      <c r="BL52" s="514">
        <f t="shared" ref="BL52:BL61" si="128">IFERROR(IF(AND((CA52+CC52+CD52)=BZ52,BI52=0,BK52=0),BG52,0),0)</f>
        <v>0</v>
      </c>
      <c r="BM52" s="514">
        <f t="shared" ref="BM52:BM61" si="129">IFERROR(IF(AND((CA52+CC52+CD52+CE52)=BZ52,BI52=0,BK52=0,BL52=0),BG52,0),0)</f>
        <v>0</v>
      </c>
      <c r="BN52" s="514">
        <f t="shared" ref="BN52:BN61" si="130">IFERROR(IF(AND((CA52+CC52+CD52+CE52+CF52)=BZ52,BI52=0,BK52=0,BL52=0,BM52=0),BG52,0),0)</f>
        <v>0</v>
      </c>
      <c r="BO52" s="501"/>
      <c r="BP52" s="514">
        <f t="shared" ref="BP52:BP61" si="131">IFERROR(IF(AND((BV52+BX52)=100%,BV52&lt;1),BG52,0),0)</f>
        <v>0</v>
      </c>
      <c r="BQ52" s="514">
        <f t="shared" ref="BQ52:BQ61" si="132">IFERROR(IF(AND((CA52+CI52)=BZ52,BI52=0),BG52,0),0)</f>
        <v>0</v>
      </c>
      <c r="BR52" s="514">
        <f t="shared" ref="BR52:BR61" si="133">IFERROR(IF(AND((CA52+CI52+CJ52)=BZ52,BI52=0,BQ52=0),BG52,0),0)</f>
        <v>0</v>
      </c>
      <c r="BS52" s="514">
        <f t="shared" ref="BS52:BS61" si="134">IFERROR(IF(AND((CA52+CI52+CJ52+CK52)=BZ52,BI52=0,BQ52=0,BR52=0),BG52,0),0)</f>
        <v>0</v>
      </c>
      <c r="BT52" s="514">
        <f t="shared" ref="BT52:BT61" si="135">IFERROR(IF(AND((CA52+CI52+CJ52+CK52+CL52)=BZ52,BI52=0,BQ52=0,BR52=0,BS52=0),BG52,0),0)</f>
        <v>0</v>
      </c>
      <c r="BU52" s="501"/>
      <c r="BV52" s="571">
        <f t="shared" ref="BV52" si="136">IFERROR(CA52/BZ52,0)</f>
        <v>1</v>
      </c>
      <c r="BW52" s="571">
        <f t="shared" ref="BW52" si="137">IFERROR(CB52/BZ52,0)</f>
        <v>0</v>
      </c>
      <c r="BX52" s="571">
        <f>IFERROR(CH52/BZ52,0)</f>
        <v>0</v>
      </c>
      <c r="BY52" s="505"/>
      <c r="BZ52" s="514">
        <f>COUNTIF('ST | Drawing List'!$G:$G,"ST-T01-1")</f>
        <v>134</v>
      </c>
      <c r="CA52" s="506">
        <f>COUNTIFS('ST | Drawing List'!$G:$G,"ST-T01-1",'ST | Drawing List'!$I:$I,1)</f>
        <v>134</v>
      </c>
      <c r="CB52" s="572">
        <f>COUNTIFS('ST | Drawing List'!$G:$G,"ST-T01-1",'ST | Drawing List'!$K:$K,1)</f>
        <v>0</v>
      </c>
      <c r="CC52" s="506">
        <f>COUNTIFS('ST | Drawing List'!$G:$G,"ST-T01-1",'ST | Drawing List'!L:L,1)</f>
        <v>0</v>
      </c>
      <c r="CD52" s="506">
        <f>COUNTIFS('ST | Drawing List'!$G:$G,"ST-T01-1",'ST | Drawing List'!M:M,1)</f>
        <v>0</v>
      </c>
      <c r="CE52" s="506">
        <f>COUNTIFS('ST | Drawing List'!$G:$G,"ST-T01-1",'ST | Drawing List'!N:N,1)</f>
        <v>0</v>
      </c>
      <c r="CF52" s="506">
        <f>COUNTIFS('ST | Drawing List'!$G:$G,"ST-T01-1",'ST | Drawing List'!O:O,1)</f>
        <v>0</v>
      </c>
      <c r="CG52" s="471"/>
      <c r="CH52" s="572">
        <f>COUNTIFS('ST | Drawing List'!$G:$G,"ST-T01-1",'ST | Drawing List'!$P:$P,1)</f>
        <v>0</v>
      </c>
      <c r="CI52" s="506">
        <f>COUNTIFS('ST | Drawing List'!$G:$G,"ST-T01-1",'ST | Drawing List'!Q:Q,1)</f>
        <v>0</v>
      </c>
      <c r="CJ52" s="506">
        <f>COUNTIFS('ST | Drawing List'!$G:$G,"ST-T01-1",'ST | Drawing List'!R:R,1)</f>
        <v>0</v>
      </c>
      <c r="CK52" s="506">
        <f>COUNTIFS('ST | Drawing List'!$G:$G,"ST-T01-1",'ST | Drawing List'!S:S,1)</f>
        <v>0</v>
      </c>
      <c r="CL52" s="506">
        <f>COUNTIFS('ST | Drawing List'!$G:$G,"ST-T01-1",'ST | Drawing List'!T:T,1)</f>
        <v>0</v>
      </c>
      <c r="CM52" s="508"/>
      <c r="CN52" s="508"/>
      <c r="CO52" s="573">
        <v>0.1</v>
      </c>
      <c r="CP52" s="508"/>
      <c r="CQ52" s="506">
        <f t="shared" ref="CQ52:CQ61" si="138">$CQ$51/$CO$51*CO52</f>
        <v>1.5906E-2</v>
      </c>
      <c r="CR52" s="510">
        <f t="shared" si="25"/>
        <v>1.5906E-2</v>
      </c>
      <c r="CS52" s="514">
        <f t="shared" ref="CS52:CS61" si="139">IFERROR(IF(DF52=100%,CQ52,0),0)</f>
        <v>1.5906E-2</v>
      </c>
      <c r="CT52" s="514">
        <f>IFERROR(IF(AND((DF52+DG52)=100%,DF52&lt;1),CQ52,0),0)</f>
        <v>0</v>
      </c>
      <c r="CU52" s="514">
        <f>IFERROR(IF(AND((DK52+DM52)=DJ52,CS52=0),CQ52,0),0)</f>
        <v>0</v>
      </c>
      <c r="CV52" s="514">
        <f>IFERROR(IF(AND((DK52+DM52+DN52)=DJ52,CS52=0,CU52=0),CQ52,0),0)</f>
        <v>0</v>
      </c>
      <c r="CW52" s="514">
        <f>IFERROR(IF(AND((DK52+DM52+DN52+DO52)=DJ52,CS52=0,CU52=0,CV52=0),CQ52,0),0)</f>
        <v>0</v>
      </c>
      <c r="CX52" s="514">
        <f>IFERROR(IF(AND((DK52+DM52+DN52+DO52+DP52)=DJ52,CS52=0,CU52=0,CV52=0,CW52=0),CQ52,0),0)</f>
        <v>0</v>
      </c>
      <c r="CY52" s="501"/>
      <c r="CZ52" s="514">
        <f>IFERROR(IF(AND((DF52+DH52)=100%,DF52&lt;1),CQ52,0),0)</f>
        <v>0</v>
      </c>
      <c r="DA52" s="514">
        <f>IFERROR(IF(AND((DK52+DS52)=DJ52,CS52=0),CQ52,0),0)</f>
        <v>0</v>
      </c>
      <c r="DB52" s="514">
        <f>IFERROR(IF(AND((DK52+DS52+DT52)=DJ52,CS52=0,DA52=0),CQ52,0),0)</f>
        <v>0</v>
      </c>
      <c r="DC52" s="514">
        <f>IFERROR(IF(AND((DK52+DS52+DT52+DU52)=DJ52,CS52=0,DA52=0,DB52=0),CQ52,0),0)</f>
        <v>0</v>
      </c>
      <c r="DD52" s="514">
        <f>IFERROR(IF(AND((DK52+DS52+DT52+DU52+DV52)=DJ52,CS52=0,DA52=0,DB52=0,DC52=0),CQ52,0),0)</f>
        <v>0</v>
      </c>
      <c r="DE52" s="501"/>
      <c r="DF52" s="570">
        <f t="shared" ref="DF52" si="140">IFERROR(DK52/DJ52,0)</f>
        <v>1</v>
      </c>
      <c r="DG52" s="570">
        <f t="shared" ref="DG52" si="141">IFERROR(DL52/DJ52,0)</f>
        <v>0</v>
      </c>
      <c r="DH52" s="570">
        <f>IFERROR(DR52/DJ52,0)</f>
        <v>0</v>
      </c>
      <c r="DI52" s="505"/>
      <c r="DJ52" s="514">
        <f>COUNTIF('MEP | Drawing List'!$G:$G,"MEP-T01-07-1")</f>
        <v>3</v>
      </c>
      <c r="DK52" s="506">
        <f>COUNTIFS('MEP | Drawing List'!$G:$G,"MEP-T01-07-1",'MEP | Drawing List'!$I:$I,1)</f>
        <v>3</v>
      </c>
      <c r="DL52" s="506">
        <f>COUNTIFS('MEP | Drawing List'!$G:$G,"MEP-T01-07-1",'MEP | Drawing List'!$K:$K,1)</f>
        <v>0</v>
      </c>
      <c r="DM52" s="514">
        <f>COUNTIFS('MEP | Drawing List'!$G:$G,"MEP-T01-07-1",'MEP | Drawing List'!L:L,1)</f>
        <v>0</v>
      </c>
      <c r="DN52" s="514">
        <f>COUNTIFS('MEP | Drawing List'!$G:$G,"MEP-T01-07-1",'MEP | Drawing List'!M:M,1)</f>
        <v>0</v>
      </c>
      <c r="DO52" s="514">
        <f>COUNTIFS('MEP | Drawing List'!$G:$G,"MEP-T01-07-1",'MEP | Drawing List'!N:N,1)</f>
        <v>0</v>
      </c>
      <c r="DP52" s="514">
        <f>COUNTIFS('MEP | Drawing List'!$G:$G,"MEP-T01-07-1",'MEP | Drawing List'!O:O,1)</f>
        <v>0</v>
      </c>
      <c r="DQ52" s="501"/>
      <c r="DR52" s="506">
        <f>COUNTIFS('MEP | Drawing List'!$G:$G,"MEP-T01-07-1",'MEP | Drawing List'!$P:$P,1)</f>
        <v>0</v>
      </c>
      <c r="DS52" s="514">
        <f>COUNTIFS('MEP | Drawing List'!$G:$G,"MEP-T01-07-1",'MEP | Drawing List'!Q:Q,1)</f>
        <v>0</v>
      </c>
      <c r="DT52" s="514">
        <f>COUNTIFS('MEP | Drawing List'!$G:$G,"MEP-T01-07-1",'MEP | Drawing List'!R:R,1)</f>
        <v>0</v>
      </c>
      <c r="DU52" s="514">
        <f>COUNTIFS('MEP | Drawing List'!$G:$G,"MEP-T01-07-1",'MEP | Drawing List'!S:S,1)</f>
        <v>0</v>
      </c>
      <c r="DV52" s="514">
        <f>COUNTIFS('MEP | Drawing List'!$G:$G,"MEP-T01-07-1",'MEP | Drawing List'!T:T,1)</f>
        <v>0</v>
      </c>
      <c r="DW52" s="508"/>
      <c r="DX52" s="508"/>
      <c r="DY52" s="511">
        <v>0</v>
      </c>
      <c r="DZ52" s="508"/>
      <c r="EA52" s="509"/>
      <c r="EB52" s="510">
        <f t="shared" si="28"/>
        <v>0</v>
      </c>
      <c r="EC52" s="574"/>
      <c r="ED52" s="515"/>
      <c r="EE52" s="501"/>
      <c r="EF52" s="501"/>
      <c r="EG52" s="501"/>
      <c r="EH52" s="501"/>
      <c r="EI52" s="501"/>
      <c r="EJ52" s="515"/>
      <c r="EK52" s="501"/>
      <c r="EL52" s="501"/>
      <c r="EM52" s="501"/>
      <c r="EN52" s="501"/>
      <c r="EO52" s="501"/>
      <c r="EP52" s="575"/>
      <c r="EQ52" s="575"/>
      <c r="ER52" s="575"/>
      <c r="ES52" s="516"/>
      <c r="ET52" s="514">
        <f>COUNTIF('LS | Drawing List'!$G:$G,"LS-T01-1")</f>
        <v>0</v>
      </c>
      <c r="EU52" s="506">
        <f>COUNTIFS('LS | Drawing List'!$G:$G,"LS-T01-1",'LS | Drawing List'!$I:$I,1)</f>
        <v>0</v>
      </c>
      <c r="EV52" s="506">
        <f>COUNTIFS('LS | Drawing List'!$G:$G,"LS-T01-1",'LS | Drawing List'!$K:$K,1)</f>
        <v>0</v>
      </c>
      <c r="EW52" s="514">
        <f>COUNTIFS('LS | Drawing List'!$G:$G,"LS-T01-1",'LS | Drawing List'!L:L,1)</f>
        <v>0</v>
      </c>
      <c r="EX52" s="514">
        <f>COUNTIFS('LS | Drawing List'!$G:$G,"LS-T01-1",'LS | Drawing List'!M:M,1)</f>
        <v>0</v>
      </c>
      <c r="EY52" s="514">
        <f>COUNTIFS('LS | Drawing List'!$G:$G,"LS-T01-1",'LS | Drawing List'!N:N,1)</f>
        <v>0</v>
      </c>
      <c r="EZ52" s="514">
        <f>COUNTIFS('LS | Drawing List'!$G:$G,"LS-T01-1",'LS | Drawing List'!O:O,1)</f>
        <v>0</v>
      </c>
      <c r="FA52" s="515"/>
      <c r="FB52" s="506">
        <f>COUNTIFS('LS | Drawing List'!$G:$G,"LS-T01-1",'LS | Drawing List'!$P:$P,1)</f>
        <v>0</v>
      </c>
      <c r="FC52" s="514">
        <f>COUNTIFS('LS | Drawing List'!$G:$G,"LS-T01-1",'LS | Drawing List'!Q:Q,1)</f>
        <v>0</v>
      </c>
      <c r="FD52" s="514">
        <f>COUNTIFS('LS | Drawing List'!$G:$G,"LS-T01-1",'LS | Drawing List'!R:R,1)</f>
        <v>0</v>
      </c>
      <c r="FE52" s="514">
        <f>COUNTIFS('LS | Drawing List'!$G:$G,"LS-T01-1",'LS | Drawing List'!S:S,1)</f>
        <v>0</v>
      </c>
      <c r="FF52" s="514">
        <f>COUNTIFS('LS | Drawing List'!$G:$G,"LS-T01-1",'LS | Drawing List'!T:T,1)</f>
        <v>0</v>
      </c>
    </row>
    <row r="53" spans="2:163" ht="14.25" outlineLevel="2">
      <c r="B53" s="564" t="s">
        <v>53</v>
      </c>
      <c r="C53" s="565">
        <v>2</v>
      </c>
      <c r="D53" s="566" t="s">
        <v>54</v>
      </c>
      <c r="F53" s="500">
        <f t="shared" si="82"/>
        <v>0.22126500000000004</v>
      </c>
      <c r="G53" s="500">
        <f t="shared" si="83"/>
        <v>0.22126500000000004</v>
      </c>
      <c r="H53" s="514">
        <f t="shared" si="84"/>
        <v>0</v>
      </c>
      <c r="I53" s="514">
        <f t="shared" si="85"/>
        <v>0</v>
      </c>
      <c r="J53" s="514">
        <f t="shared" si="86"/>
        <v>0</v>
      </c>
      <c r="K53" s="514">
        <f t="shared" si="87"/>
        <v>0</v>
      </c>
      <c r="L53" s="514">
        <f t="shared" si="88"/>
        <v>0</v>
      </c>
      <c r="M53" s="567">
        <f t="shared" si="89"/>
        <v>0</v>
      </c>
      <c r="N53" s="568"/>
      <c r="O53" s="514">
        <f t="shared" si="90"/>
        <v>0</v>
      </c>
      <c r="P53" s="514">
        <f t="shared" si="91"/>
        <v>0</v>
      </c>
      <c r="Q53" s="514">
        <f t="shared" si="92"/>
        <v>0</v>
      </c>
      <c r="R53" s="514">
        <f t="shared" si="93"/>
        <v>0</v>
      </c>
      <c r="S53" s="514">
        <f t="shared" si="94"/>
        <v>0</v>
      </c>
      <c r="U53" s="569">
        <v>0.05</v>
      </c>
      <c r="V53" s="503"/>
      <c r="W53" s="500">
        <f t="shared" ref="W53:W61" si="142">$W$51/$U$51*U53</f>
        <v>0.12295500000000002</v>
      </c>
      <c r="X53" s="500">
        <f t="shared" si="19"/>
        <v>0.12295500000000002</v>
      </c>
      <c r="Y53" s="514">
        <f t="shared" si="109"/>
        <v>0.12295500000000002</v>
      </c>
      <c r="Z53" s="514">
        <f t="shared" si="110"/>
        <v>0</v>
      </c>
      <c r="AA53" s="514">
        <f t="shared" si="111"/>
        <v>0</v>
      </c>
      <c r="AB53" s="514">
        <f t="shared" si="112"/>
        <v>0</v>
      </c>
      <c r="AC53" s="514">
        <f t="shared" si="113"/>
        <v>0</v>
      </c>
      <c r="AD53" s="567">
        <f t="shared" si="114"/>
        <v>0</v>
      </c>
      <c r="AE53" s="568"/>
      <c r="AF53" s="514">
        <f t="shared" si="115"/>
        <v>0</v>
      </c>
      <c r="AG53" s="514">
        <f t="shared" si="116"/>
        <v>0</v>
      </c>
      <c r="AH53" s="514">
        <f t="shared" si="117"/>
        <v>0</v>
      </c>
      <c r="AI53" s="514">
        <f t="shared" si="118"/>
        <v>0</v>
      </c>
      <c r="AJ53" s="514">
        <f t="shared" si="119"/>
        <v>0</v>
      </c>
      <c r="AK53" s="501"/>
      <c r="AL53" s="570">
        <f t="shared" si="120"/>
        <v>1</v>
      </c>
      <c r="AM53" s="570">
        <f t="shared" si="121"/>
        <v>0</v>
      </c>
      <c r="AN53" s="570">
        <f t="shared" si="122"/>
        <v>0</v>
      </c>
      <c r="AO53" s="505"/>
      <c r="AP53" s="514">
        <f>COUNTIF('AR | Drawing List'!$G:$G,"AR-T01-2")</f>
        <v>3</v>
      </c>
      <c r="AQ53" s="506">
        <f>COUNTIFS('AR | Drawing List'!$G:$G,"AR-T01-2",'AR | Drawing List'!$I:$I,1)</f>
        <v>3</v>
      </c>
      <c r="AR53" s="506">
        <f t="shared" si="32"/>
        <v>0</v>
      </c>
      <c r="AS53" s="506">
        <f>COUNTIFS('AR | Drawing List'!$G:$G,"AR-T01-2",'AR | Drawing List'!M:M,1)</f>
        <v>0</v>
      </c>
      <c r="AT53" s="506">
        <f>COUNTIFS('AR | Drawing List'!$G:$G,"AR-T01-2",'AR | Drawing List'!N:N,1)</f>
        <v>0</v>
      </c>
      <c r="AU53" s="506">
        <f>COUNTIFS('AR | Drawing List'!$G:$G,"AR-T01-2",'AR | Drawing List'!O:O,1)</f>
        <v>0</v>
      </c>
      <c r="AV53" s="506">
        <f>COUNTIFS('AR | Drawing List'!$G:$G,"AR-T01-2",'AR | Drawing List'!P:P,1)</f>
        <v>0</v>
      </c>
      <c r="AW53" s="466"/>
      <c r="AX53" s="506">
        <f t="shared" si="123"/>
        <v>0</v>
      </c>
      <c r="AY53" s="506">
        <f>COUNTIFS('AR | Drawing List'!$G:$G,"AR-T01-2",'AR | Drawing List'!R:R,1)</f>
        <v>0</v>
      </c>
      <c r="AZ53" s="506">
        <f>COUNTIFS('AR | Drawing List'!$G:$G,"AR-T01-2",'AR | Drawing List'!S:S,1)</f>
        <v>0</v>
      </c>
      <c r="BA53" s="506">
        <f>COUNTIFS('AR | Drawing List'!$G:$G,"AR-T01-2",'AR | Drawing List'!T:T,1)</f>
        <v>0</v>
      </c>
      <c r="BB53" s="506">
        <f>COUNTIFS('AR | Drawing List'!$G:$G,"AR-T01-2",'AR | Drawing List'!U:U,1)</f>
        <v>0</v>
      </c>
      <c r="BC53" s="551"/>
      <c r="BD53" s="551"/>
      <c r="BE53" s="511">
        <v>0.1</v>
      </c>
      <c r="BF53" s="508"/>
      <c r="BG53" s="506">
        <f t="shared" si="124"/>
        <v>9.8310000000000008E-2</v>
      </c>
      <c r="BH53" s="510">
        <f t="shared" si="22"/>
        <v>9.8310000000000008E-2</v>
      </c>
      <c r="BI53" s="514">
        <f t="shared" si="125"/>
        <v>9.8310000000000008E-2</v>
      </c>
      <c r="BJ53" s="514">
        <f t="shared" si="126"/>
        <v>0</v>
      </c>
      <c r="BK53" s="514">
        <f t="shared" si="127"/>
        <v>0</v>
      </c>
      <c r="BL53" s="514">
        <f t="shared" si="128"/>
        <v>0</v>
      </c>
      <c r="BM53" s="514">
        <f t="shared" si="129"/>
        <v>0</v>
      </c>
      <c r="BN53" s="514">
        <f t="shared" si="130"/>
        <v>0</v>
      </c>
      <c r="BO53" s="501"/>
      <c r="BP53" s="514">
        <f t="shared" si="131"/>
        <v>0</v>
      </c>
      <c r="BQ53" s="514">
        <f t="shared" si="132"/>
        <v>0</v>
      </c>
      <c r="BR53" s="514">
        <f t="shared" si="133"/>
        <v>0</v>
      </c>
      <c r="BS53" s="514">
        <f t="shared" si="134"/>
        <v>0</v>
      </c>
      <c r="BT53" s="514">
        <f t="shared" si="135"/>
        <v>0</v>
      </c>
      <c r="BU53" s="501"/>
      <c r="BV53" s="571">
        <f t="shared" ref="BV53:BV61" si="143">IFERROR(CA53/BZ53,0)</f>
        <v>1</v>
      </c>
      <c r="BW53" s="571">
        <f t="shared" ref="BW53:BW61" si="144">IFERROR(CB53/BZ53,0)</f>
        <v>0</v>
      </c>
      <c r="BX53" s="571">
        <f t="shared" ref="BX53:BX61" si="145">IFERROR(CH53/BZ53,0)</f>
        <v>0</v>
      </c>
      <c r="BY53" s="518"/>
      <c r="BZ53" s="514">
        <f>COUNTIF('ST | Drawing List'!$G:$G,"ST-T01-2")</f>
        <v>102</v>
      </c>
      <c r="CA53" s="506">
        <f>COUNTIFS('ST | Drawing List'!$G:$G,"ST-T01-2",'ST | Drawing List'!$I:$I,1)</f>
        <v>102</v>
      </c>
      <c r="CB53" s="572">
        <f>COUNTIFS('ST | Drawing List'!$G:$G,"ST-T01-2",'ST | Drawing List'!$K:$K,1)</f>
        <v>0</v>
      </c>
      <c r="CC53" s="506">
        <f>COUNTIFS('ST | Drawing List'!$G:$G,"ST-T01-2",'ST | Drawing List'!L:L,1)</f>
        <v>0</v>
      </c>
      <c r="CD53" s="506">
        <f>COUNTIFS('ST | Drawing List'!$G:$G,"ST-T01-2",'ST | Drawing List'!M:M,1)</f>
        <v>0</v>
      </c>
      <c r="CE53" s="506">
        <f>COUNTIFS('ST | Drawing List'!$G:$G,"ST-T01-2",'ST | Drawing List'!N:N,1)</f>
        <v>0</v>
      </c>
      <c r="CF53" s="506">
        <f>COUNTIFS('ST | Drawing List'!$G:$G,"ST-T01-2",'ST | Drawing List'!O:O,1)</f>
        <v>0</v>
      </c>
      <c r="CG53" s="471"/>
      <c r="CH53" s="572">
        <f>COUNTIFS('ST | Drawing List'!$G:$G,"ST-T01-2",'ST | Drawing List'!$P:$P,1)</f>
        <v>0</v>
      </c>
      <c r="CI53" s="506">
        <f>COUNTIFS('ST | Drawing List'!$G:$G,"ST-T01-2",'ST | Drawing List'!Q:Q,1)</f>
        <v>0</v>
      </c>
      <c r="CJ53" s="506">
        <f>COUNTIFS('ST | Drawing List'!$G:$G,"ST-T01-2",'ST | Drawing List'!R:R,1)</f>
        <v>0</v>
      </c>
      <c r="CK53" s="506">
        <f>COUNTIFS('ST | Drawing List'!$G:$G,"ST-T01-2",'ST | Drawing List'!S:S,1)</f>
        <v>0</v>
      </c>
      <c r="CL53" s="506">
        <f>COUNTIFS('ST | Drawing List'!$G:$G,"ST-T01-2",'ST | Drawing List'!T:T,1)</f>
        <v>0</v>
      </c>
      <c r="CM53" s="508"/>
      <c r="CN53" s="508"/>
      <c r="CO53" s="576">
        <v>0</v>
      </c>
      <c r="CP53" s="508"/>
      <c r="CQ53" s="506">
        <f t="shared" si="138"/>
        <v>0</v>
      </c>
      <c r="CR53" s="510">
        <f t="shared" si="25"/>
        <v>0</v>
      </c>
      <c r="CS53" s="514">
        <f t="shared" si="139"/>
        <v>0</v>
      </c>
      <c r="CT53" s="514">
        <f t="shared" ref="CT53:CT61" si="146">IFERROR(IF(AND((DF53+DG53)=100%,DF53&lt;1),CQ53,0),0)</f>
        <v>0</v>
      </c>
      <c r="CU53" s="514">
        <f t="shared" ref="CU53:CU61" si="147">IFERROR(IF(AND((DK53+DM53)=DJ53,CS53=0),CQ53,0),0)</f>
        <v>0</v>
      </c>
      <c r="CV53" s="514">
        <f t="shared" ref="CV53:CV61" si="148">IFERROR(IF(AND((DK53+DM53+DN53)=DJ53,CS53=0,CU53=0),CQ53,0),0)</f>
        <v>0</v>
      </c>
      <c r="CW53" s="514">
        <f t="shared" ref="CW53:CW61" si="149">IFERROR(IF(AND((DK53+DM53+DN53+DO53)=DJ53,CS53=0,CU53=0,CV53=0),CQ53,0),0)</f>
        <v>0</v>
      </c>
      <c r="CX53" s="514">
        <f t="shared" ref="CX53:CX61" si="150">IFERROR(IF(AND((DK53+DM53+DN53+DO53+DP53)=DJ53,CS53=0,CU53=0,CV53=0,CW53=0),CQ53,0),0)</f>
        <v>0</v>
      </c>
      <c r="CY53" s="501"/>
      <c r="CZ53" s="514">
        <f t="shared" ref="CZ53:CZ61" si="151">IFERROR(IF(AND((DF53+DH53)=100%,DF53&lt;1),CQ53,0),0)</f>
        <v>0</v>
      </c>
      <c r="DA53" s="514">
        <f t="shared" ref="DA53:DA61" si="152">IFERROR(IF(AND((DK53+DS53)=DJ53,CS53=0),CQ53,0),0)</f>
        <v>0</v>
      </c>
      <c r="DB53" s="514">
        <f t="shared" ref="DB53:DB61" si="153">IFERROR(IF(AND((DK53+DS53+DT53)=DJ53,CS53=0,DA53=0),CQ53,0),0)</f>
        <v>0</v>
      </c>
      <c r="DC53" s="514">
        <f t="shared" ref="DC53:DC61" si="154">IFERROR(IF(AND((DK53+DS53+DT53+DU53)=DJ53,CS53=0,DA53=0,DB53=0),CQ53,0),0)</f>
        <v>0</v>
      </c>
      <c r="DD53" s="514">
        <f t="shared" ref="DD53:DD61" si="155">IFERROR(IF(AND((DK53+DS53+DT53+DU53+DV53)=DJ53,CS53=0,DA53=0,DB53=0,DC53=0),CQ53,0),0)</f>
        <v>0</v>
      </c>
      <c r="DE53" s="501"/>
      <c r="DF53" s="570">
        <f t="shared" ref="DF53:DF61" si="156">IFERROR(DK53/DJ53,0)</f>
        <v>0</v>
      </c>
      <c r="DG53" s="570">
        <f t="shared" ref="DG53:DG61" si="157">IFERROR(DL53/DJ53,0)</f>
        <v>0</v>
      </c>
      <c r="DH53" s="570">
        <f t="shared" ref="DH53:DH61" si="158">IFERROR(DR53/DJ53,0)</f>
        <v>0</v>
      </c>
      <c r="DI53" s="505"/>
      <c r="DJ53" s="514">
        <f>COUNTIF('MEP | Drawing List'!$G:$G,"MEP-T01-07-2")</f>
        <v>0</v>
      </c>
      <c r="DK53" s="506">
        <f>COUNTIFS('MEP | Drawing List'!$G:$G,"MEP-T01-07-2",'MEP | Drawing List'!$I:$I,1)</f>
        <v>0</v>
      </c>
      <c r="DL53" s="506">
        <f>COUNTIFS('MEP | Drawing List'!$G:$G,"MEP-T01-07-2",'MEP | Drawing List'!$K:$K,1)</f>
        <v>0</v>
      </c>
      <c r="DM53" s="514">
        <f>COUNTIFS('MEP | Drawing List'!$G:$G,"MEP-T01-07-2",'MEP | Drawing List'!L:L,1)</f>
        <v>0</v>
      </c>
      <c r="DN53" s="514">
        <f>COUNTIFS('MEP | Drawing List'!$G:$G,"MEP-T01-07-2",'MEP | Drawing List'!M:M,1)</f>
        <v>0</v>
      </c>
      <c r="DO53" s="514">
        <f>COUNTIFS('MEP | Drawing List'!$G:$G,"MEP-T01-07-2",'MEP | Drawing List'!N:N,1)</f>
        <v>0</v>
      </c>
      <c r="DP53" s="514">
        <f>COUNTIFS('MEP | Drawing List'!$G:$G,"MEP-T01-07-2",'MEP | Drawing List'!O:O,1)</f>
        <v>0</v>
      </c>
      <c r="DQ53" s="501"/>
      <c r="DR53" s="506">
        <f>COUNTIFS('MEP | Drawing List'!$G:$G,"MEP-T01-07-2",'MEP | Drawing List'!$P:$P,1)</f>
        <v>0</v>
      </c>
      <c r="DS53" s="514">
        <f>COUNTIFS('MEP | Drawing List'!$G:$G,"MEP-T01-07-2",'MEP | Drawing List'!Q:Q,1)</f>
        <v>0</v>
      </c>
      <c r="DT53" s="514">
        <f>COUNTIFS('MEP | Drawing List'!$G:$G,"MEP-T01-07-2",'MEP | Drawing List'!R:R,1)</f>
        <v>0</v>
      </c>
      <c r="DU53" s="514">
        <f>COUNTIFS('MEP | Drawing List'!$G:$G,"MEP-T01-07-2",'MEP | Drawing List'!S:S,1)</f>
        <v>0</v>
      </c>
      <c r="DV53" s="514">
        <f>COUNTIFS('MEP | Drawing List'!$G:$G,"MEP-T01-07-2",'MEP | Drawing List'!T:T,1)</f>
        <v>0</v>
      </c>
      <c r="DW53" s="508"/>
      <c r="DX53" s="508"/>
      <c r="DY53" s="511">
        <v>0</v>
      </c>
      <c r="DZ53" s="508"/>
      <c r="EA53" s="509"/>
      <c r="EB53" s="510">
        <f t="shared" si="28"/>
        <v>0</v>
      </c>
      <c r="EC53" s="574"/>
      <c r="ED53" s="577"/>
      <c r="EE53" s="501"/>
      <c r="EF53" s="501"/>
      <c r="EG53" s="501"/>
      <c r="EH53" s="501"/>
      <c r="EI53" s="501"/>
      <c r="EJ53" s="577"/>
      <c r="EK53" s="501"/>
      <c r="EL53" s="501"/>
      <c r="EM53" s="501"/>
      <c r="EN53" s="501"/>
      <c r="EO53" s="501"/>
      <c r="EP53" s="474"/>
      <c r="EQ53" s="474"/>
      <c r="ER53" s="474"/>
      <c r="ET53" s="514">
        <f>COUNTIF('LS | Drawing List'!$G:$G,"LS-T01-2")</f>
        <v>0</v>
      </c>
      <c r="EU53" s="506">
        <f>COUNTIFS('LS | Drawing List'!$G:$G,"LS-T01-2",'LS | Drawing List'!$I:$I,1)</f>
        <v>0</v>
      </c>
      <c r="EV53" s="506">
        <f>COUNTIFS('LS | Drawing List'!$G:$G,"LS-T01-2",'LS | Drawing List'!$K:$K,1)</f>
        <v>0</v>
      </c>
      <c r="EW53" s="514">
        <f>COUNTIFS('LS | Drawing List'!$G:$G,"LS-T01-2",'LS | Drawing List'!L:L,1)</f>
        <v>0</v>
      </c>
      <c r="EX53" s="514">
        <f>COUNTIFS('LS | Drawing List'!$G:$G,"LS-T01-2",'LS | Drawing List'!M:M,1)</f>
        <v>0</v>
      </c>
      <c r="EY53" s="514">
        <f>COUNTIFS('LS | Drawing List'!$G:$G,"LS-T01-2",'LS | Drawing List'!N:N,1)</f>
        <v>0</v>
      </c>
      <c r="EZ53" s="514">
        <f>COUNTIFS('LS | Drawing List'!$G:$G,"LS-T01-2",'LS | Drawing List'!O:O,1)</f>
        <v>0</v>
      </c>
      <c r="FA53" s="515"/>
      <c r="FB53" s="506">
        <f>COUNTIFS('LS | Drawing List'!$G:$G,"LS-T01-2",'LS | Drawing List'!$P:$P,1)</f>
        <v>0</v>
      </c>
      <c r="FC53" s="514">
        <f>COUNTIFS('LS | Drawing List'!$G:$G,"LS-T01-2",'LS | Drawing List'!Q:Q,1)</f>
        <v>0</v>
      </c>
      <c r="FD53" s="514">
        <f>COUNTIFS('LS | Drawing List'!$G:$G,"LS-T01-2",'LS | Drawing List'!R:R,1)</f>
        <v>0</v>
      </c>
      <c r="FE53" s="514">
        <f>COUNTIFS('LS | Drawing List'!$G:$G,"LS-T01-2",'LS | Drawing List'!S:S,1)</f>
        <v>0</v>
      </c>
      <c r="FF53" s="514">
        <f>COUNTIFS('LS | Drawing List'!$G:$G,"LS-T01-2",'LS | Drawing List'!T:T,1)</f>
        <v>0</v>
      </c>
    </row>
    <row r="54" spans="2:163" ht="14.25" outlineLevel="2">
      <c r="B54" s="564" t="s">
        <v>55</v>
      </c>
      <c r="C54" s="565">
        <v>3</v>
      </c>
      <c r="D54" s="566" t="s">
        <v>56</v>
      </c>
      <c r="F54" s="500">
        <f t="shared" si="82"/>
        <v>0.12295500000000002</v>
      </c>
      <c r="G54" s="500">
        <f t="shared" si="83"/>
        <v>0.12295500000000002</v>
      </c>
      <c r="H54" s="514">
        <f t="shared" si="84"/>
        <v>0</v>
      </c>
      <c r="I54" s="514">
        <f t="shared" si="85"/>
        <v>0</v>
      </c>
      <c r="J54" s="514">
        <f t="shared" si="86"/>
        <v>0</v>
      </c>
      <c r="K54" s="514">
        <f t="shared" si="87"/>
        <v>0</v>
      </c>
      <c r="L54" s="514">
        <f t="shared" si="88"/>
        <v>0</v>
      </c>
      <c r="M54" s="567">
        <f t="shared" si="89"/>
        <v>0</v>
      </c>
      <c r="N54" s="568"/>
      <c r="O54" s="514">
        <f t="shared" si="90"/>
        <v>0</v>
      </c>
      <c r="P54" s="514">
        <f t="shared" si="91"/>
        <v>0</v>
      </c>
      <c r="Q54" s="514">
        <f t="shared" si="92"/>
        <v>0</v>
      </c>
      <c r="R54" s="514">
        <f t="shared" si="93"/>
        <v>0</v>
      </c>
      <c r="S54" s="514">
        <f t="shared" si="94"/>
        <v>0</v>
      </c>
      <c r="U54" s="569">
        <v>0.05</v>
      </c>
      <c r="V54" s="503"/>
      <c r="W54" s="500">
        <f t="shared" si="142"/>
        <v>0.12295500000000002</v>
      </c>
      <c r="X54" s="500">
        <f t="shared" si="19"/>
        <v>0.12295500000000002</v>
      </c>
      <c r="Y54" s="514">
        <f t="shared" si="109"/>
        <v>0.12295500000000002</v>
      </c>
      <c r="Z54" s="514">
        <f t="shared" si="110"/>
        <v>0</v>
      </c>
      <c r="AA54" s="514">
        <f t="shared" si="111"/>
        <v>0</v>
      </c>
      <c r="AB54" s="514">
        <f t="shared" si="112"/>
        <v>0</v>
      </c>
      <c r="AC54" s="514">
        <f t="shared" si="113"/>
        <v>0</v>
      </c>
      <c r="AD54" s="567">
        <f t="shared" si="114"/>
        <v>0</v>
      </c>
      <c r="AE54" s="568"/>
      <c r="AF54" s="514">
        <f t="shared" si="115"/>
        <v>0</v>
      </c>
      <c r="AG54" s="514">
        <f t="shared" si="116"/>
        <v>0</v>
      </c>
      <c r="AH54" s="514">
        <f t="shared" si="117"/>
        <v>0</v>
      </c>
      <c r="AI54" s="514">
        <f t="shared" si="118"/>
        <v>0</v>
      </c>
      <c r="AJ54" s="514">
        <f t="shared" si="119"/>
        <v>0</v>
      </c>
      <c r="AK54" s="501"/>
      <c r="AL54" s="570">
        <f t="shared" si="120"/>
        <v>1</v>
      </c>
      <c r="AM54" s="570">
        <f t="shared" si="121"/>
        <v>0</v>
      </c>
      <c r="AN54" s="570">
        <f t="shared" si="122"/>
        <v>0</v>
      </c>
      <c r="AO54" s="505"/>
      <c r="AP54" s="514">
        <f>COUNTIF('AR | Drawing List'!$G:$G,"AR-T01-3")</f>
        <v>3</v>
      </c>
      <c r="AQ54" s="506">
        <f>COUNTIFS('AR | Drawing List'!$G:$G,"AR-T01-3",'AR | Drawing List'!$I:$I,1)</f>
        <v>3</v>
      </c>
      <c r="AR54" s="506">
        <f t="shared" si="32"/>
        <v>0</v>
      </c>
      <c r="AS54" s="506">
        <f>COUNTIFS('AR | Drawing List'!$G:$G,"AR-T01-3",'AR | Drawing List'!M:M,1)</f>
        <v>0</v>
      </c>
      <c r="AT54" s="506">
        <f>COUNTIFS('AR | Drawing List'!$G:$G,"AR-T01-3",'AR | Drawing List'!N:N,1)</f>
        <v>0</v>
      </c>
      <c r="AU54" s="506">
        <f>COUNTIFS('AR | Drawing List'!$G:$G,"AR-T01-3",'AR | Drawing List'!O:O,1)</f>
        <v>0</v>
      </c>
      <c r="AV54" s="506">
        <f>COUNTIFS('AR | Drawing List'!$G:$G,"AR-T01-3",'AR | Drawing List'!P:P,1)</f>
        <v>0</v>
      </c>
      <c r="AW54" s="466"/>
      <c r="AX54" s="506">
        <f t="shared" si="123"/>
        <v>0</v>
      </c>
      <c r="AY54" s="506">
        <f>COUNTIFS('AR | Drawing List'!$G:$G,"AR-T01-3",'AR | Drawing List'!R:R,1)</f>
        <v>0</v>
      </c>
      <c r="AZ54" s="506">
        <f>COUNTIFS('AR | Drawing List'!$G:$G,"AR-T01-3",'AR | Drawing List'!S:S,1)</f>
        <v>0</v>
      </c>
      <c r="BA54" s="506">
        <f>COUNTIFS('AR | Drawing List'!$G:$G,"AR-T01-3",'AR | Drawing List'!T:T,1)</f>
        <v>0</v>
      </c>
      <c r="BB54" s="506">
        <f>COUNTIFS('AR | Drawing List'!$G:$G,"AR-T01-3",'AR | Drawing List'!U:U,1)</f>
        <v>0</v>
      </c>
      <c r="BC54" s="551"/>
      <c r="BD54" s="551"/>
      <c r="BE54" s="576">
        <v>0</v>
      </c>
      <c r="BF54" s="508"/>
      <c r="BG54" s="506">
        <f t="shared" si="124"/>
        <v>0</v>
      </c>
      <c r="BH54" s="510">
        <f t="shared" si="22"/>
        <v>0</v>
      </c>
      <c r="BI54" s="514">
        <f t="shared" si="125"/>
        <v>0</v>
      </c>
      <c r="BJ54" s="514">
        <f t="shared" si="126"/>
        <v>0</v>
      </c>
      <c r="BK54" s="514">
        <f t="shared" si="127"/>
        <v>0</v>
      </c>
      <c r="BL54" s="514">
        <f t="shared" si="128"/>
        <v>0</v>
      </c>
      <c r="BM54" s="514">
        <f t="shared" si="129"/>
        <v>0</v>
      </c>
      <c r="BN54" s="514">
        <f t="shared" si="130"/>
        <v>0</v>
      </c>
      <c r="BO54" s="501"/>
      <c r="BP54" s="514">
        <f t="shared" si="131"/>
        <v>0</v>
      </c>
      <c r="BQ54" s="514">
        <f t="shared" si="132"/>
        <v>0</v>
      </c>
      <c r="BR54" s="514">
        <f t="shared" si="133"/>
        <v>0</v>
      </c>
      <c r="BS54" s="514">
        <f t="shared" si="134"/>
        <v>0</v>
      </c>
      <c r="BT54" s="514">
        <f t="shared" si="135"/>
        <v>0</v>
      </c>
      <c r="BU54" s="501"/>
      <c r="BV54" s="571">
        <f t="shared" si="143"/>
        <v>0</v>
      </c>
      <c r="BW54" s="571">
        <f t="shared" si="144"/>
        <v>0</v>
      </c>
      <c r="BX54" s="571">
        <f t="shared" si="145"/>
        <v>0</v>
      </c>
      <c r="BY54" s="520"/>
      <c r="BZ54" s="514">
        <f>COUNTIF('ST | Drawing List'!$G:$G,"ST-T01-3")</f>
        <v>0</v>
      </c>
      <c r="CA54" s="506">
        <f>COUNTIFS('ST | Drawing List'!$G:$G,"ST-T01-3",'ST | Drawing List'!$I:$I,1)</f>
        <v>0</v>
      </c>
      <c r="CB54" s="572">
        <f>COUNTIFS('ST | Drawing List'!$G:$G,"ST-T01-3",'ST | Drawing List'!$K:$K,1)</f>
        <v>0</v>
      </c>
      <c r="CC54" s="506">
        <f>COUNTIFS('ST | Drawing List'!$G:$G,"ST-T01-3",'ST | Drawing List'!L:L,1)</f>
        <v>0</v>
      </c>
      <c r="CD54" s="506">
        <f>COUNTIFS('ST | Drawing List'!$G:$G,"ST-T01-3",'ST | Drawing List'!M:M,1)</f>
        <v>0</v>
      </c>
      <c r="CE54" s="506">
        <f>COUNTIFS('ST | Drawing List'!$G:$G,"ST-T01-3",'ST | Drawing List'!N:N,1)</f>
        <v>0</v>
      </c>
      <c r="CF54" s="506">
        <f>COUNTIFS('ST | Drawing List'!$G:$G,"ST-T01-3",'ST | Drawing List'!O:O,1)</f>
        <v>0</v>
      </c>
      <c r="CG54" s="471"/>
      <c r="CH54" s="572">
        <f>COUNTIFS('ST | Drawing List'!$G:$G,"ST-T01-3",'ST | Drawing List'!$P:$P,1)</f>
        <v>0</v>
      </c>
      <c r="CI54" s="506">
        <f>COUNTIFS('ST | Drawing List'!$G:$G,"ST-T01-3",'ST | Drawing List'!Q:Q,1)</f>
        <v>0</v>
      </c>
      <c r="CJ54" s="506">
        <f>COUNTIFS('ST | Drawing List'!$G:$G,"ST-T01-3",'ST | Drawing List'!R:R,1)</f>
        <v>0</v>
      </c>
      <c r="CK54" s="506">
        <f>COUNTIFS('ST | Drawing List'!$G:$G,"ST-T01-3",'ST | Drawing List'!S:S,1)</f>
        <v>0</v>
      </c>
      <c r="CL54" s="506">
        <f>COUNTIFS('ST | Drawing List'!$G:$G,"ST-T01-3",'ST | Drawing List'!T:T,1)</f>
        <v>0</v>
      </c>
      <c r="CM54" s="508"/>
      <c r="CN54" s="508"/>
      <c r="CO54" s="576">
        <v>0</v>
      </c>
      <c r="CP54" s="508"/>
      <c r="CQ54" s="506">
        <f t="shared" si="138"/>
        <v>0</v>
      </c>
      <c r="CR54" s="510">
        <f t="shared" si="25"/>
        <v>0</v>
      </c>
      <c r="CS54" s="514">
        <f t="shared" si="139"/>
        <v>0</v>
      </c>
      <c r="CT54" s="514">
        <f t="shared" si="146"/>
        <v>0</v>
      </c>
      <c r="CU54" s="514">
        <f t="shared" si="147"/>
        <v>0</v>
      </c>
      <c r="CV54" s="514">
        <f t="shared" si="148"/>
        <v>0</v>
      </c>
      <c r="CW54" s="514">
        <f t="shared" si="149"/>
        <v>0</v>
      </c>
      <c r="CX54" s="514">
        <f t="shared" si="150"/>
        <v>0</v>
      </c>
      <c r="CY54" s="501"/>
      <c r="CZ54" s="514">
        <f t="shared" si="151"/>
        <v>0</v>
      </c>
      <c r="DA54" s="514">
        <f t="shared" si="152"/>
        <v>0</v>
      </c>
      <c r="DB54" s="514">
        <f t="shared" si="153"/>
        <v>0</v>
      </c>
      <c r="DC54" s="514">
        <f t="shared" si="154"/>
        <v>0</v>
      </c>
      <c r="DD54" s="514">
        <f t="shared" si="155"/>
        <v>0</v>
      </c>
      <c r="DE54" s="501"/>
      <c r="DF54" s="570">
        <f t="shared" si="156"/>
        <v>0</v>
      </c>
      <c r="DG54" s="570">
        <f t="shared" si="157"/>
        <v>0</v>
      </c>
      <c r="DH54" s="570">
        <f t="shared" si="158"/>
        <v>0</v>
      </c>
      <c r="DI54" s="505"/>
      <c r="DJ54" s="514">
        <f>COUNTIF('MEP | Drawing List'!$G:$G,"MEP-T01-07-3")</f>
        <v>0</v>
      </c>
      <c r="DK54" s="506">
        <f>COUNTIFS('MEP | Drawing List'!$G:$G,"MEP-T01-07-3",'MEP | Drawing List'!$I:$I,1)</f>
        <v>0</v>
      </c>
      <c r="DL54" s="506">
        <f>COUNTIFS('MEP | Drawing List'!$G:$G,"MEP-T01-07-3",'MEP | Drawing List'!$K:$K,1)</f>
        <v>0</v>
      </c>
      <c r="DM54" s="514">
        <f>COUNTIFS('MEP | Drawing List'!$G:$G,"MEP-T01-07-3",'MEP | Drawing List'!L:L,1)</f>
        <v>0</v>
      </c>
      <c r="DN54" s="514">
        <f>COUNTIFS('MEP | Drawing List'!$G:$G,"MEP-T01-07-3",'MEP | Drawing List'!M:M,1)</f>
        <v>0</v>
      </c>
      <c r="DO54" s="514">
        <f>COUNTIFS('MEP | Drawing List'!$G:$G,"MEP-T01-07-3",'MEP | Drawing List'!N:N,1)</f>
        <v>0</v>
      </c>
      <c r="DP54" s="514">
        <f>COUNTIFS('MEP | Drawing List'!$G:$G,"MEP-T01-07-3",'MEP | Drawing List'!O:O,1)</f>
        <v>0</v>
      </c>
      <c r="DQ54" s="501"/>
      <c r="DR54" s="506">
        <f>COUNTIFS('MEP | Drawing List'!$G:$G,"MEP-T01-07-3",'MEP | Drawing List'!$P:$P,1)</f>
        <v>0</v>
      </c>
      <c r="DS54" s="514">
        <f>COUNTIFS('MEP | Drawing List'!$G:$G,"MEP-T01-07-3",'MEP | Drawing List'!Q:Q,1)</f>
        <v>0</v>
      </c>
      <c r="DT54" s="514">
        <f>COUNTIFS('MEP | Drawing List'!$G:$G,"MEP-T01-07-3",'MEP | Drawing List'!R:R,1)</f>
        <v>0</v>
      </c>
      <c r="DU54" s="514">
        <f>COUNTIFS('MEP | Drawing List'!$G:$G,"MEP-T01-07-3",'MEP | Drawing List'!S:S,1)</f>
        <v>0</v>
      </c>
      <c r="DV54" s="514">
        <f>COUNTIFS('MEP | Drawing List'!$G:$G,"MEP-T01-07-3",'MEP | Drawing List'!T:T,1)</f>
        <v>0</v>
      </c>
      <c r="DW54" s="508"/>
      <c r="DX54" s="508"/>
      <c r="DY54" s="511">
        <v>0</v>
      </c>
      <c r="DZ54" s="508"/>
      <c r="EA54" s="509"/>
      <c r="EB54" s="510">
        <f t="shared" si="28"/>
        <v>0</v>
      </c>
      <c r="EC54" s="574"/>
      <c r="ED54" s="448"/>
      <c r="EE54" s="501"/>
      <c r="EF54" s="501"/>
      <c r="EG54" s="501"/>
      <c r="EH54" s="501"/>
      <c r="EI54" s="501"/>
      <c r="EJ54" s="448"/>
      <c r="EK54" s="501"/>
      <c r="EL54" s="501"/>
      <c r="EM54" s="501"/>
      <c r="EN54" s="501"/>
      <c r="EO54" s="501"/>
      <c r="EP54" s="52"/>
      <c r="EQ54" s="52"/>
      <c r="ER54" s="52"/>
      <c r="ES54" s="523"/>
      <c r="ET54" s="514">
        <f>COUNTIF('LS | Drawing List'!$G:$G,"LS-T01-3")</f>
        <v>0</v>
      </c>
      <c r="EU54" s="506">
        <f>COUNTIFS('LS | Drawing List'!$G:$G,"LS-T01-3",'LS | Drawing List'!$I:$I,1)</f>
        <v>0</v>
      </c>
      <c r="EV54" s="506">
        <f>COUNTIFS('LS | Drawing List'!$G:$G,"LS-T01-3",'LS | Drawing List'!$K:$K,1)</f>
        <v>0</v>
      </c>
      <c r="EW54" s="514">
        <f>COUNTIFS('LS | Drawing List'!$G:$G,"LS-T01-3",'LS | Drawing List'!L:L,1)</f>
        <v>0</v>
      </c>
      <c r="EX54" s="514">
        <f>COUNTIFS('LS | Drawing List'!$G:$G,"LS-T01-3",'LS | Drawing List'!M:M,1)</f>
        <v>0</v>
      </c>
      <c r="EY54" s="514">
        <f>COUNTIFS('LS | Drawing List'!$G:$G,"LS-T01-3",'LS | Drawing List'!N:N,1)</f>
        <v>0</v>
      </c>
      <c r="EZ54" s="514">
        <f>COUNTIFS('LS | Drawing List'!$G:$G,"LS-T01-3",'LS | Drawing List'!O:O,1)</f>
        <v>0</v>
      </c>
      <c r="FA54" s="515"/>
      <c r="FB54" s="506">
        <f>COUNTIFS('LS | Drawing List'!$G:$G,"LS-T01-3",'LS | Drawing List'!$P:$P,1)</f>
        <v>0</v>
      </c>
      <c r="FC54" s="514">
        <f>COUNTIFS('LS | Drawing List'!$G:$G,"LS-T01-3",'LS | Drawing List'!Q:Q,1)</f>
        <v>0</v>
      </c>
      <c r="FD54" s="514">
        <f>COUNTIFS('LS | Drawing List'!$G:$G,"LS-T01-3",'LS | Drawing List'!R:R,1)</f>
        <v>0</v>
      </c>
      <c r="FE54" s="514">
        <f>COUNTIFS('LS | Drawing List'!$G:$G,"LS-T01-3",'LS | Drawing List'!S:S,1)</f>
        <v>0</v>
      </c>
      <c r="FF54" s="514">
        <f>COUNTIFS('LS | Drawing List'!$G:$G,"LS-T01-3",'LS | Drawing List'!T:T,1)</f>
        <v>0</v>
      </c>
    </row>
    <row r="55" spans="2:163" ht="14.25" outlineLevel="2">
      <c r="B55" s="564" t="s">
        <v>57</v>
      </c>
      <c r="C55" s="565">
        <v>4</v>
      </c>
      <c r="D55" s="566" t="s">
        <v>58</v>
      </c>
      <c r="F55" s="500">
        <f t="shared" si="82"/>
        <v>0.24512400000000004</v>
      </c>
      <c r="G55" s="500">
        <f t="shared" si="83"/>
        <v>0.24512400000000004</v>
      </c>
      <c r="H55" s="506">
        <f t="shared" si="84"/>
        <v>0</v>
      </c>
      <c r="I55" s="506">
        <f t="shared" si="85"/>
        <v>0</v>
      </c>
      <c r="J55" s="506">
        <f t="shared" si="86"/>
        <v>0</v>
      </c>
      <c r="K55" s="506">
        <f t="shared" si="87"/>
        <v>0</v>
      </c>
      <c r="L55" s="506">
        <f t="shared" si="88"/>
        <v>0</v>
      </c>
      <c r="M55" s="567">
        <f t="shared" si="89"/>
        <v>0</v>
      </c>
      <c r="N55" s="568"/>
      <c r="O55" s="514">
        <f t="shared" si="90"/>
        <v>0</v>
      </c>
      <c r="P55" s="514">
        <f t="shared" si="91"/>
        <v>0</v>
      </c>
      <c r="Q55" s="514">
        <f t="shared" si="92"/>
        <v>0</v>
      </c>
      <c r="R55" s="514">
        <f t="shared" si="93"/>
        <v>0</v>
      </c>
      <c r="S55" s="514">
        <f t="shared" si="94"/>
        <v>0</v>
      </c>
      <c r="U55" s="569">
        <v>0.05</v>
      </c>
      <c r="V55" s="503"/>
      <c r="W55" s="500">
        <f t="shared" si="142"/>
        <v>0.12295500000000002</v>
      </c>
      <c r="X55" s="500">
        <f>Y55+AF55</f>
        <v>0.12295500000000002</v>
      </c>
      <c r="Y55" s="506">
        <f t="shared" si="109"/>
        <v>0.12295500000000002</v>
      </c>
      <c r="Z55" s="506">
        <f t="shared" si="110"/>
        <v>0</v>
      </c>
      <c r="AA55" s="506">
        <f t="shared" si="111"/>
        <v>0</v>
      </c>
      <c r="AB55" s="506">
        <f t="shared" si="112"/>
        <v>0</v>
      </c>
      <c r="AC55" s="506">
        <f t="shared" si="113"/>
        <v>0</v>
      </c>
      <c r="AD55" s="567">
        <f t="shared" si="114"/>
        <v>0</v>
      </c>
      <c r="AE55" s="568"/>
      <c r="AF55" s="514">
        <f t="shared" si="115"/>
        <v>0</v>
      </c>
      <c r="AG55" s="514">
        <f t="shared" si="116"/>
        <v>0</v>
      </c>
      <c r="AH55" s="514">
        <f t="shared" si="117"/>
        <v>0</v>
      </c>
      <c r="AI55" s="514">
        <f t="shared" si="118"/>
        <v>0</v>
      </c>
      <c r="AJ55" s="514">
        <f t="shared" si="119"/>
        <v>0</v>
      </c>
      <c r="AK55" s="501"/>
      <c r="AL55" s="578">
        <f t="shared" si="120"/>
        <v>1</v>
      </c>
      <c r="AM55" s="578">
        <f t="shared" si="121"/>
        <v>0</v>
      </c>
      <c r="AN55" s="570">
        <f t="shared" si="122"/>
        <v>0</v>
      </c>
      <c r="AO55" s="505"/>
      <c r="AP55" s="514">
        <f>COUNTIF('AR | Drawing List'!$G:$G,"AR-T01-4")</f>
        <v>5</v>
      </c>
      <c r="AQ55" s="506">
        <f>COUNTIFS('AR | Drawing List'!$G:$G,"AR-T01-4",'AR | Drawing List'!$I:$I,1)</f>
        <v>5</v>
      </c>
      <c r="AR55" s="506">
        <f t="shared" si="32"/>
        <v>0</v>
      </c>
      <c r="AS55" s="506">
        <f>COUNTIFS('AR | Drawing List'!$G:$G,"AR-T01-4",'AR | Drawing List'!M:M,1)</f>
        <v>0</v>
      </c>
      <c r="AT55" s="506">
        <f>COUNTIFS('AR | Drawing List'!$G:$G,"AR-T01-4",'AR | Drawing List'!N:N,1)</f>
        <v>0</v>
      </c>
      <c r="AU55" s="506">
        <f>COUNTIFS('AR | Drawing List'!$G:$G,"AR-T01-4",'AR | Drawing List'!O:O,1)</f>
        <v>0</v>
      </c>
      <c r="AV55" s="506">
        <f>COUNTIFS('AR | Drawing List'!$G:$G,"AR-T01-4",'AR | Drawing List'!P:P,1)</f>
        <v>0</v>
      </c>
      <c r="AW55" s="466"/>
      <c r="AX55" s="506">
        <f t="shared" si="123"/>
        <v>0</v>
      </c>
      <c r="AY55" s="506">
        <f>COUNTIFS('AR | Drawing List'!$G:$G,"AR-T01-4",'AR | Drawing List'!R:R,1)</f>
        <v>0</v>
      </c>
      <c r="AZ55" s="506">
        <f>COUNTIFS('AR | Drawing List'!$G:$G,"AR-T01-4",'AR | Drawing List'!S:S,1)</f>
        <v>0</v>
      </c>
      <c r="BA55" s="506">
        <f>COUNTIFS('AR | Drawing List'!$G:$G,"AR-T01-4",'AR | Drawing List'!T:T,1)</f>
        <v>0</v>
      </c>
      <c r="BB55" s="506">
        <f>COUNTIFS('AR | Drawing List'!$G:$G,"AR-T01-4",'AR | Drawing List'!U:U,1)</f>
        <v>0</v>
      </c>
      <c r="BC55" s="551"/>
      <c r="BD55" s="551"/>
      <c r="BE55" s="470">
        <v>0.1</v>
      </c>
      <c r="BF55" s="508"/>
      <c r="BG55" s="506">
        <f t="shared" si="124"/>
        <v>9.8310000000000008E-2</v>
      </c>
      <c r="BH55" s="510">
        <f t="shared" si="22"/>
        <v>9.8310000000000008E-2</v>
      </c>
      <c r="BI55" s="506">
        <f t="shared" si="125"/>
        <v>9.8310000000000008E-2</v>
      </c>
      <c r="BJ55" s="506">
        <f t="shared" si="126"/>
        <v>0</v>
      </c>
      <c r="BK55" s="506">
        <f t="shared" si="127"/>
        <v>0</v>
      </c>
      <c r="BL55" s="506">
        <f t="shared" si="128"/>
        <v>0</v>
      </c>
      <c r="BM55" s="506">
        <f t="shared" si="129"/>
        <v>0</v>
      </c>
      <c r="BN55" s="506">
        <f t="shared" si="130"/>
        <v>0</v>
      </c>
      <c r="BO55" s="530"/>
      <c r="BP55" s="514">
        <f t="shared" si="131"/>
        <v>0</v>
      </c>
      <c r="BQ55" s="514">
        <f t="shared" si="132"/>
        <v>0</v>
      </c>
      <c r="BR55" s="514">
        <f t="shared" si="133"/>
        <v>0</v>
      </c>
      <c r="BS55" s="514">
        <f t="shared" si="134"/>
        <v>0</v>
      </c>
      <c r="BT55" s="514">
        <f t="shared" si="135"/>
        <v>0</v>
      </c>
      <c r="BU55" s="501"/>
      <c r="BV55" s="571">
        <f t="shared" si="143"/>
        <v>1</v>
      </c>
      <c r="BW55" s="571">
        <f t="shared" si="144"/>
        <v>0</v>
      </c>
      <c r="BX55" s="571">
        <f t="shared" si="145"/>
        <v>0</v>
      </c>
      <c r="BY55" s="505"/>
      <c r="BZ55" s="514">
        <f>COUNTIF('ST | Drawing List'!$G:$G,"ST-T01-4")</f>
        <v>11</v>
      </c>
      <c r="CA55" s="506">
        <f>COUNTIFS('ST | Drawing List'!$G:$G,"ST-T01-4",'ST | Drawing List'!$I:$I,1)</f>
        <v>11</v>
      </c>
      <c r="CB55" s="506">
        <f>COUNTIFS('ST | Drawing List'!$G:$G,"ST-T01-4",'ST | Drawing List'!$K:$K,1)</f>
        <v>0</v>
      </c>
      <c r="CC55" s="506">
        <f>COUNTIFS('ST | Drawing List'!$G:$G,"ST-T01-4",'ST | Drawing List'!L:L,1)</f>
        <v>0</v>
      </c>
      <c r="CD55" s="506">
        <f>COUNTIFS('ST | Drawing List'!$G:$G,"ST-T01-4",'ST | Drawing List'!M:M,1)</f>
        <v>0</v>
      </c>
      <c r="CE55" s="506">
        <f>COUNTIFS('ST | Drawing List'!$G:$G,"ST-T01-4",'ST | Drawing List'!N:N,1)</f>
        <v>0</v>
      </c>
      <c r="CF55" s="506">
        <f>COUNTIFS('ST | Drawing List'!$G:$G,"ST-T01-4",'ST | Drawing List'!O:O,1)</f>
        <v>0</v>
      </c>
      <c r="CG55" s="471"/>
      <c r="CH55" s="506">
        <f>COUNTIFS('ST | Drawing List'!$G:$G,"ST-T01-4",'ST | Drawing List'!$P:$P,1)</f>
        <v>0</v>
      </c>
      <c r="CI55" s="506">
        <f>COUNTIFS('ST | Drawing List'!$G:$G,"ST-T01-4",'ST | Drawing List'!Q:Q,1)</f>
        <v>0</v>
      </c>
      <c r="CJ55" s="506">
        <f>COUNTIFS('ST | Drawing List'!$G:$G,"ST-T01-4",'ST | Drawing List'!R:R,1)</f>
        <v>0</v>
      </c>
      <c r="CK55" s="506">
        <f>COUNTIFS('ST | Drawing List'!$G:$G,"ST-T01-4",'ST | Drawing List'!S:S,1)</f>
        <v>0</v>
      </c>
      <c r="CL55" s="506">
        <f>COUNTIFS('ST | Drawing List'!$G:$G,"ST-T01-4",'ST | Drawing List'!T:T,1)</f>
        <v>0</v>
      </c>
      <c r="CM55" s="508"/>
      <c r="CN55" s="508"/>
      <c r="CO55" s="573">
        <v>0.15</v>
      </c>
      <c r="CP55" s="508"/>
      <c r="CQ55" s="506">
        <f t="shared" si="138"/>
        <v>2.3859000000000002E-2</v>
      </c>
      <c r="CR55" s="510">
        <f t="shared" si="25"/>
        <v>2.3859000000000002E-2</v>
      </c>
      <c r="CS55" s="506">
        <f t="shared" si="139"/>
        <v>2.3859000000000002E-2</v>
      </c>
      <c r="CT55" s="514">
        <f t="shared" si="146"/>
        <v>0</v>
      </c>
      <c r="CU55" s="514">
        <f t="shared" si="147"/>
        <v>0</v>
      </c>
      <c r="CV55" s="514">
        <f t="shared" si="148"/>
        <v>0</v>
      </c>
      <c r="CW55" s="514">
        <f t="shared" si="149"/>
        <v>0</v>
      </c>
      <c r="CX55" s="514">
        <f t="shared" si="150"/>
        <v>0</v>
      </c>
      <c r="CY55" s="501"/>
      <c r="CZ55" s="514">
        <f t="shared" si="151"/>
        <v>0</v>
      </c>
      <c r="DA55" s="514">
        <f t="shared" si="152"/>
        <v>0</v>
      </c>
      <c r="DB55" s="514">
        <f t="shared" si="153"/>
        <v>0</v>
      </c>
      <c r="DC55" s="514">
        <f t="shared" si="154"/>
        <v>0</v>
      </c>
      <c r="DD55" s="514">
        <f t="shared" si="155"/>
        <v>0</v>
      </c>
      <c r="DE55" s="501"/>
      <c r="DF55" s="570">
        <f t="shared" si="156"/>
        <v>1</v>
      </c>
      <c r="DG55" s="570">
        <f t="shared" si="157"/>
        <v>0</v>
      </c>
      <c r="DH55" s="570">
        <f t="shared" si="158"/>
        <v>0</v>
      </c>
      <c r="DI55" s="505"/>
      <c r="DJ55" s="514">
        <f>COUNTIF('MEP | Drawing List'!$G:$G,"MEP-T01-07-4")</f>
        <v>45</v>
      </c>
      <c r="DK55" s="506">
        <f>COUNTIFS('MEP | Drawing List'!$G:$G,"MEP-T01-07-4",'MEP | Drawing List'!$I:$I,1)</f>
        <v>45</v>
      </c>
      <c r="DL55" s="506">
        <f>COUNTIFS('MEP | Drawing List'!$G:$G,"MEP-T01-07-4",'MEP | Drawing List'!$K:$K,1)</f>
        <v>0</v>
      </c>
      <c r="DM55" s="506">
        <f>COUNTIFS('MEP | Drawing List'!$G:$G,"MEP-T01-07-4",'MEP | Drawing List'!L:L,1)</f>
        <v>0</v>
      </c>
      <c r="DN55" s="506">
        <f>COUNTIFS('MEP | Drawing List'!$G:$G,"MEP-T01-07-4",'MEP | Drawing List'!M:M,1)</f>
        <v>0</v>
      </c>
      <c r="DO55" s="506">
        <f>COUNTIFS('MEP | Drawing List'!$G:$G,"MEP-T01-07-4",'MEP | Drawing List'!N:N,1)</f>
        <v>0</v>
      </c>
      <c r="DP55" s="506">
        <f>COUNTIFS('MEP | Drawing List'!$G:$G,"MEP-T01-07-4",'MEP | Drawing List'!O:O,1)</f>
        <v>0</v>
      </c>
      <c r="DQ55" s="530"/>
      <c r="DR55" s="506">
        <f>COUNTIFS('MEP | Drawing List'!$G:$G,"MEP-T01-07-4",'MEP | Drawing List'!$P:$P,1)</f>
        <v>0</v>
      </c>
      <c r="DS55" s="506">
        <f>COUNTIFS('MEP | Drawing List'!$G:$G,"MEP-T01-07-4",'MEP | Drawing List'!Q:Q,1)</f>
        <v>0</v>
      </c>
      <c r="DT55" s="506">
        <f>COUNTIFS('MEP | Drawing List'!$G:$G,"MEP-T01-07-4",'MEP | Drawing List'!R:R,1)</f>
        <v>0</v>
      </c>
      <c r="DU55" s="506">
        <f>COUNTIFS('MEP | Drawing List'!$G:$G,"MEP-T01-07-4",'MEP | Drawing List'!S:S,1)</f>
        <v>0</v>
      </c>
      <c r="DV55" s="506">
        <f>COUNTIFS('MEP | Drawing List'!$G:$G,"MEP-T01-07-4",'MEP | Drawing List'!T:T,1)</f>
        <v>0</v>
      </c>
      <c r="DW55" s="508"/>
      <c r="DX55" s="508"/>
      <c r="DY55" s="470">
        <v>0</v>
      </c>
      <c r="DZ55" s="508"/>
      <c r="EA55" s="509"/>
      <c r="EB55" s="510">
        <f t="shared" si="28"/>
        <v>0</v>
      </c>
      <c r="EC55" s="574"/>
      <c r="ED55" s="533"/>
      <c r="EE55" s="501"/>
      <c r="EF55" s="501"/>
      <c r="EG55" s="501"/>
      <c r="EH55" s="501"/>
      <c r="EI55" s="501"/>
      <c r="EJ55" s="533"/>
      <c r="EK55" s="501"/>
      <c r="EL55" s="501"/>
      <c r="EM55" s="501"/>
      <c r="EN55" s="501"/>
      <c r="EO55" s="501"/>
      <c r="EP55" s="52"/>
      <c r="EQ55" s="52"/>
      <c r="ER55" s="52"/>
      <c r="ES55" s="516"/>
      <c r="ET55" s="514">
        <f>COUNTIF('LS | Drawing List'!$G:$G,"LS-T01-4")</f>
        <v>0</v>
      </c>
      <c r="EU55" s="506">
        <f>COUNTIFS('LS | Drawing List'!$G:$G,"LS-T01-4",'LS | Drawing List'!$I:$I,1)</f>
        <v>0</v>
      </c>
      <c r="EV55" s="506">
        <f>COUNTIFS('LS | Drawing List'!$G:$G,"LS-T01-4",'LS | Drawing List'!$K:$K,1)</f>
        <v>0</v>
      </c>
      <c r="EW55" s="506">
        <f>COUNTIFS('LS | Drawing List'!$G:$G,"LS-T01-4",'LS | Drawing List'!L:L,1)</f>
        <v>0</v>
      </c>
      <c r="EX55" s="506">
        <f>COUNTIFS('LS | Drawing List'!$G:$G,"LS-T01-4",'LS | Drawing List'!M:M,1)</f>
        <v>0</v>
      </c>
      <c r="EY55" s="506">
        <f>COUNTIFS('LS | Drawing List'!$G:$G,"LS-T01-4",'LS | Drawing List'!N:N,1)</f>
        <v>0</v>
      </c>
      <c r="EZ55" s="506">
        <f>COUNTIFS('LS | Drawing List'!$G:$G,"LS-T01-4",'LS | Drawing List'!O:O,1)</f>
        <v>0</v>
      </c>
      <c r="FA55" s="533"/>
      <c r="FB55" s="506">
        <f>COUNTIFS('LS | Drawing List'!$G:$G,"LS-T01-4",'LS | Drawing List'!$P:$P,1)</f>
        <v>0</v>
      </c>
      <c r="FC55" s="506">
        <f>COUNTIFS('LS | Drawing List'!$G:$G,"LS-T01-4",'LS | Drawing List'!Q:Q,1)</f>
        <v>0</v>
      </c>
      <c r="FD55" s="506">
        <f>COUNTIFS('LS | Drawing List'!$G:$G,"LS-T01-4",'LS | Drawing List'!R:R,1)</f>
        <v>0</v>
      </c>
      <c r="FE55" s="506">
        <f>COUNTIFS('LS | Drawing List'!$G:$G,"LS-T01-4",'LS | Drawing List'!S:S,1)</f>
        <v>0</v>
      </c>
      <c r="FF55" s="506">
        <f>COUNTIFS('LS | Drawing List'!$G:$G,"LS-T01-4",'LS | Drawing List'!T:T,1)</f>
        <v>0</v>
      </c>
    </row>
    <row r="56" spans="2:163" ht="14.25" outlineLevel="2">
      <c r="B56" s="564" t="s">
        <v>59</v>
      </c>
      <c r="C56" s="565">
        <v>5</v>
      </c>
      <c r="D56" s="566" t="s">
        <v>60</v>
      </c>
      <c r="F56" s="500">
        <f t="shared" si="82"/>
        <v>0.11063250000000002</v>
      </c>
      <c r="G56" s="500">
        <f t="shared" si="83"/>
        <v>0.11063250000000002</v>
      </c>
      <c r="H56" s="506">
        <f t="shared" si="84"/>
        <v>0</v>
      </c>
      <c r="I56" s="506">
        <f t="shared" si="85"/>
        <v>0</v>
      </c>
      <c r="J56" s="506">
        <f t="shared" si="86"/>
        <v>0</v>
      </c>
      <c r="K56" s="506">
        <f t="shared" si="87"/>
        <v>0</v>
      </c>
      <c r="L56" s="506">
        <f t="shared" si="88"/>
        <v>0</v>
      </c>
      <c r="M56" s="567">
        <f t="shared" si="89"/>
        <v>0</v>
      </c>
      <c r="N56" s="568"/>
      <c r="O56" s="514">
        <f t="shared" si="90"/>
        <v>0</v>
      </c>
      <c r="P56" s="514">
        <f t="shared" si="91"/>
        <v>0</v>
      </c>
      <c r="Q56" s="514">
        <f t="shared" si="92"/>
        <v>0</v>
      </c>
      <c r="R56" s="514">
        <f t="shared" si="93"/>
        <v>0</v>
      </c>
      <c r="S56" s="514">
        <f t="shared" si="94"/>
        <v>0</v>
      </c>
      <c r="U56" s="569">
        <v>2.5000000000000001E-2</v>
      </c>
      <c r="V56" s="503"/>
      <c r="W56" s="500">
        <f t="shared" si="142"/>
        <v>6.1477500000000011E-2</v>
      </c>
      <c r="X56" s="500">
        <f t="shared" si="19"/>
        <v>6.1477500000000011E-2</v>
      </c>
      <c r="Y56" s="506">
        <f t="shared" si="109"/>
        <v>6.1477500000000011E-2</v>
      </c>
      <c r="Z56" s="506">
        <f t="shared" si="110"/>
        <v>0</v>
      </c>
      <c r="AA56" s="506">
        <f t="shared" si="111"/>
        <v>0</v>
      </c>
      <c r="AB56" s="506">
        <f t="shared" si="112"/>
        <v>0</v>
      </c>
      <c r="AC56" s="506">
        <f t="shared" si="113"/>
        <v>0</v>
      </c>
      <c r="AD56" s="567">
        <f t="shared" si="114"/>
        <v>0</v>
      </c>
      <c r="AE56" s="568"/>
      <c r="AF56" s="514">
        <f t="shared" si="115"/>
        <v>0</v>
      </c>
      <c r="AG56" s="514">
        <f t="shared" si="116"/>
        <v>0</v>
      </c>
      <c r="AH56" s="514">
        <f t="shared" si="117"/>
        <v>0</v>
      </c>
      <c r="AI56" s="514">
        <f t="shared" si="118"/>
        <v>0</v>
      </c>
      <c r="AJ56" s="514">
        <f t="shared" si="119"/>
        <v>0</v>
      </c>
      <c r="AK56" s="501"/>
      <c r="AL56" s="578">
        <f t="shared" si="120"/>
        <v>1</v>
      </c>
      <c r="AM56" s="578">
        <f t="shared" si="121"/>
        <v>0</v>
      </c>
      <c r="AN56" s="570">
        <f t="shared" si="122"/>
        <v>0</v>
      </c>
      <c r="AO56" s="505"/>
      <c r="AP56" s="514">
        <f>COUNTIF('AR | Drawing List'!$G:$G,"AR-T01-5")</f>
        <v>2</v>
      </c>
      <c r="AQ56" s="506">
        <f>COUNTIFS('AR | Drawing List'!$G:$G,"AR-T01-5",'AR | Drawing List'!$I:$I,1)</f>
        <v>2</v>
      </c>
      <c r="AR56" s="506">
        <f t="shared" si="32"/>
        <v>0</v>
      </c>
      <c r="AS56" s="506">
        <f>COUNTIFS('AR | Drawing List'!$G:$G,"AR-T01-5",'AR | Drawing List'!M:M,1)</f>
        <v>0</v>
      </c>
      <c r="AT56" s="506">
        <f>COUNTIFS('AR | Drawing List'!$G:$G,"AR-T01-5",'AR | Drawing List'!N:N,1)</f>
        <v>0</v>
      </c>
      <c r="AU56" s="506">
        <f>COUNTIFS('AR | Drawing List'!$G:$G,"AR-T01-5",'AR | Drawing List'!O:O,1)</f>
        <v>0</v>
      </c>
      <c r="AV56" s="506">
        <f>COUNTIFS('AR | Drawing List'!$G:$G,"AR-T01-5",'AR | Drawing List'!P:P,1)</f>
        <v>0</v>
      </c>
      <c r="AW56" s="466"/>
      <c r="AX56" s="506">
        <f t="shared" si="123"/>
        <v>0</v>
      </c>
      <c r="AY56" s="506">
        <f>COUNTIFS('AR | Drawing List'!$G:$G,"AR-T01-5",'AR | Drawing List'!R:R,1)</f>
        <v>0</v>
      </c>
      <c r="AZ56" s="506">
        <f>COUNTIFS('AR | Drawing List'!$G:$G,"AR-T01-5",'AR | Drawing List'!S:S,1)</f>
        <v>0</v>
      </c>
      <c r="BA56" s="506">
        <f>COUNTIFS('AR | Drawing List'!$G:$G,"AR-T01-5",'AR | Drawing List'!T:T,1)</f>
        <v>0</v>
      </c>
      <c r="BB56" s="506">
        <f>COUNTIFS('AR | Drawing List'!$G:$G,"AR-T01-5",'AR | Drawing List'!U:U,1)</f>
        <v>0</v>
      </c>
      <c r="BC56" s="466"/>
      <c r="BD56" s="466"/>
      <c r="BE56" s="470">
        <v>0.05</v>
      </c>
      <c r="BF56" s="508"/>
      <c r="BG56" s="506">
        <f t="shared" si="124"/>
        <v>4.9155000000000004E-2</v>
      </c>
      <c r="BH56" s="510">
        <f t="shared" si="22"/>
        <v>4.9155000000000004E-2</v>
      </c>
      <c r="BI56" s="506">
        <f t="shared" si="125"/>
        <v>4.9155000000000004E-2</v>
      </c>
      <c r="BJ56" s="506">
        <f t="shared" si="126"/>
        <v>0</v>
      </c>
      <c r="BK56" s="506">
        <f t="shared" si="127"/>
        <v>0</v>
      </c>
      <c r="BL56" s="506">
        <f t="shared" si="128"/>
        <v>0</v>
      </c>
      <c r="BM56" s="506">
        <f t="shared" si="129"/>
        <v>0</v>
      </c>
      <c r="BN56" s="506">
        <f t="shared" si="130"/>
        <v>0</v>
      </c>
      <c r="BO56" s="530"/>
      <c r="BP56" s="514">
        <f t="shared" si="131"/>
        <v>0</v>
      </c>
      <c r="BQ56" s="514">
        <f t="shared" si="132"/>
        <v>0</v>
      </c>
      <c r="BR56" s="514">
        <f t="shared" si="133"/>
        <v>0</v>
      </c>
      <c r="BS56" s="514">
        <f t="shared" si="134"/>
        <v>0</v>
      </c>
      <c r="BT56" s="514">
        <f t="shared" si="135"/>
        <v>0</v>
      </c>
      <c r="BU56" s="501"/>
      <c r="BV56" s="571">
        <f t="shared" si="143"/>
        <v>1</v>
      </c>
      <c r="BW56" s="571">
        <f t="shared" si="144"/>
        <v>0</v>
      </c>
      <c r="BX56" s="571">
        <f t="shared" si="145"/>
        <v>0</v>
      </c>
      <c r="BY56" s="505"/>
      <c r="BZ56" s="514">
        <f>COUNTIF('ST | Drawing List'!$G:$G,"ST-T01-5")</f>
        <v>165</v>
      </c>
      <c r="CA56" s="506">
        <f>COUNTIFS('ST | Drawing List'!$G:$G,"ST-T01-5",'ST | Drawing List'!$I:$I,1)</f>
        <v>165</v>
      </c>
      <c r="CB56" s="506">
        <f>COUNTIFS('ST | Drawing List'!$G:$G,"ST-T01-5",'ST | Drawing List'!$K:$K,1)</f>
        <v>0</v>
      </c>
      <c r="CC56" s="506">
        <f>COUNTIFS('ST | Drawing List'!$G:$G,"ST-T01-5",'ST | Drawing List'!L:L,1)</f>
        <v>0</v>
      </c>
      <c r="CD56" s="506">
        <f>COUNTIFS('ST | Drawing List'!$G:$G,"ST-T01-5",'ST | Drawing List'!M:M,1)</f>
        <v>0</v>
      </c>
      <c r="CE56" s="506">
        <f>COUNTIFS('ST | Drawing List'!$G:$G,"ST-T01-5",'ST | Drawing List'!N:N,1)</f>
        <v>0</v>
      </c>
      <c r="CF56" s="506">
        <f>COUNTIFS('ST | Drawing List'!$G:$G,"ST-T01-5",'ST | Drawing List'!O:O,1)</f>
        <v>0</v>
      </c>
      <c r="CG56" s="471"/>
      <c r="CH56" s="506">
        <f>COUNTIFS('ST | Drawing List'!$G:$G,"ST-T01-5",'ST | Drawing List'!$P:$P,1)</f>
        <v>0</v>
      </c>
      <c r="CI56" s="506">
        <f>COUNTIFS('ST | Drawing List'!$G:$G,"ST-T01-5",'ST | Drawing List'!Q:Q,1)</f>
        <v>0</v>
      </c>
      <c r="CJ56" s="506">
        <f>COUNTIFS('ST | Drawing List'!$G:$G,"ST-T01-5",'ST | Drawing List'!R:R,1)</f>
        <v>0</v>
      </c>
      <c r="CK56" s="506">
        <f>COUNTIFS('ST | Drawing List'!$G:$G,"ST-T01-5",'ST | Drawing List'!S:S,1)</f>
        <v>0</v>
      </c>
      <c r="CL56" s="506">
        <f>COUNTIFS('ST | Drawing List'!$G:$G,"ST-T01-5",'ST | Drawing List'!T:T,1)</f>
        <v>0</v>
      </c>
      <c r="CM56" s="508"/>
      <c r="CN56" s="508"/>
      <c r="CO56" s="576">
        <v>0</v>
      </c>
      <c r="CP56" s="508"/>
      <c r="CQ56" s="506">
        <f t="shared" si="138"/>
        <v>0</v>
      </c>
      <c r="CR56" s="510">
        <f t="shared" si="25"/>
        <v>0</v>
      </c>
      <c r="CS56" s="506">
        <f t="shared" si="139"/>
        <v>0</v>
      </c>
      <c r="CT56" s="514">
        <f t="shared" si="146"/>
        <v>0</v>
      </c>
      <c r="CU56" s="514">
        <f t="shared" si="147"/>
        <v>0</v>
      </c>
      <c r="CV56" s="514">
        <f t="shared" si="148"/>
        <v>0</v>
      </c>
      <c r="CW56" s="514">
        <f t="shared" si="149"/>
        <v>0</v>
      </c>
      <c r="CX56" s="514">
        <f t="shared" si="150"/>
        <v>0</v>
      </c>
      <c r="CY56" s="501"/>
      <c r="CZ56" s="514">
        <f t="shared" si="151"/>
        <v>0</v>
      </c>
      <c r="DA56" s="514">
        <f t="shared" si="152"/>
        <v>0</v>
      </c>
      <c r="DB56" s="514">
        <f t="shared" si="153"/>
        <v>0</v>
      </c>
      <c r="DC56" s="514">
        <f t="shared" si="154"/>
        <v>0</v>
      </c>
      <c r="DD56" s="514">
        <f t="shared" si="155"/>
        <v>0</v>
      </c>
      <c r="DE56" s="501"/>
      <c r="DF56" s="570">
        <f t="shared" si="156"/>
        <v>0</v>
      </c>
      <c r="DG56" s="570">
        <f t="shared" si="157"/>
        <v>0</v>
      </c>
      <c r="DH56" s="570">
        <f t="shared" si="158"/>
        <v>0</v>
      </c>
      <c r="DI56" s="505"/>
      <c r="DJ56" s="514">
        <f>COUNTIF('MEP | Drawing List'!$G:$G,"MEP-T01-07-5")</f>
        <v>0</v>
      </c>
      <c r="DK56" s="506">
        <f>COUNTIFS('MEP | Drawing List'!$G:$G,"MEP-T01-07-5",'MEP | Drawing List'!$I:$I,1)</f>
        <v>0</v>
      </c>
      <c r="DL56" s="506">
        <f>COUNTIFS('MEP | Drawing List'!$G:$G,"MEP-T01-07-5",'MEP | Drawing List'!$K:$K,1)</f>
        <v>0</v>
      </c>
      <c r="DM56" s="506">
        <f>COUNTIFS('MEP | Drawing List'!$G:$G,"MEP-T01-07-5",'MEP | Drawing List'!L:L,1)</f>
        <v>0</v>
      </c>
      <c r="DN56" s="506">
        <f>COUNTIFS('MEP | Drawing List'!$G:$G,"MEP-T01-07-5",'MEP | Drawing List'!M:M,1)</f>
        <v>0</v>
      </c>
      <c r="DO56" s="506">
        <f>COUNTIFS('MEP | Drawing List'!$G:$G,"MEP-T01-07-5",'MEP | Drawing List'!N:N,1)</f>
        <v>0</v>
      </c>
      <c r="DP56" s="506">
        <f>COUNTIFS('MEP | Drawing List'!$G:$G,"MEP-T01-07-5",'MEP | Drawing List'!O:O,1)</f>
        <v>0</v>
      </c>
      <c r="DQ56" s="530"/>
      <c r="DR56" s="506">
        <f>COUNTIFS('MEP | Drawing List'!$G:$G,"MEP-T01-07-5",'MEP | Drawing List'!$P:$P,1)</f>
        <v>0</v>
      </c>
      <c r="DS56" s="506">
        <f>COUNTIFS('MEP | Drawing List'!$G:$G,"MEP-T01-07-5",'MEP | Drawing List'!Q:Q,1)</f>
        <v>0</v>
      </c>
      <c r="DT56" s="506">
        <f>COUNTIFS('MEP | Drawing List'!$G:$G,"MEP-T01-07-5",'MEP | Drawing List'!R:R,1)</f>
        <v>0</v>
      </c>
      <c r="DU56" s="506">
        <f>COUNTIFS('MEP | Drawing List'!$G:$G,"MEP-T01-07-5",'MEP | Drawing List'!S:S,1)</f>
        <v>0</v>
      </c>
      <c r="DV56" s="506">
        <f>COUNTIFS('MEP | Drawing List'!$G:$G,"MEP-T01-07-5",'MEP | Drawing List'!T:T,1)</f>
        <v>0</v>
      </c>
      <c r="DW56" s="508"/>
      <c r="DX56" s="508"/>
      <c r="DY56" s="470">
        <v>0</v>
      </c>
      <c r="DZ56" s="508"/>
      <c r="EA56" s="509"/>
      <c r="EB56" s="510">
        <f t="shared" si="28"/>
        <v>0</v>
      </c>
      <c r="EC56" s="574"/>
      <c r="ED56" s="533"/>
      <c r="EE56" s="501"/>
      <c r="EF56" s="501"/>
      <c r="EG56" s="501"/>
      <c r="EH56" s="501"/>
      <c r="EI56" s="501"/>
      <c r="EJ56" s="533"/>
      <c r="EK56" s="501"/>
      <c r="EL56" s="501"/>
      <c r="EM56" s="501"/>
      <c r="EN56" s="501"/>
      <c r="EO56" s="501"/>
      <c r="EP56" s="575"/>
      <c r="EQ56" s="575"/>
      <c r="ER56" s="575"/>
      <c r="ES56" s="516"/>
      <c r="ET56" s="514">
        <f>COUNTIF('LS | Drawing List'!$G:$G,"LS-T01-5")</f>
        <v>0</v>
      </c>
      <c r="EU56" s="506">
        <f>COUNTIFS('LS | Drawing List'!$G:$G,"LS-T01-5",'LS | Drawing List'!$I:$I,1)</f>
        <v>0</v>
      </c>
      <c r="EV56" s="506">
        <f>COUNTIFS('LS | Drawing List'!$G:$G,"LS-T01-5",'LS | Drawing List'!$K:$K,1)</f>
        <v>0</v>
      </c>
      <c r="EW56" s="506">
        <f>COUNTIFS('LS | Drawing List'!$G:$G,"LS-T01-5",'LS | Drawing List'!L:L,1)</f>
        <v>0</v>
      </c>
      <c r="EX56" s="506">
        <f>COUNTIFS('LS | Drawing List'!$G:$G,"LS-T01-5",'LS | Drawing List'!M:M,1)</f>
        <v>0</v>
      </c>
      <c r="EY56" s="506">
        <f>COUNTIFS('LS | Drawing List'!$G:$G,"LS-T01-5",'LS | Drawing List'!N:N,1)</f>
        <v>0</v>
      </c>
      <c r="EZ56" s="506">
        <f>COUNTIFS('LS | Drawing List'!$G:$G,"LS-T01-5",'LS | Drawing List'!O:O,1)</f>
        <v>0</v>
      </c>
      <c r="FA56" s="533"/>
      <c r="FB56" s="506">
        <f>COUNTIFS('LS | Drawing List'!$G:$G,"LS-T01-5",'LS | Drawing List'!$P:$P,1)</f>
        <v>0</v>
      </c>
      <c r="FC56" s="506">
        <f>COUNTIFS('LS | Drawing List'!$G:$G,"LS-T01-5",'LS | Drawing List'!Q:Q,1)</f>
        <v>0</v>
      </c>
      <c r="FD56" s="506">
        <f>COUNTIFS('LS | Drawing List'!$G:$G,"LS-T01-5",'LS | Drawing List'!R:R,1)</f>
        <v>0</v>
      </c>
      <c r="FE56" s="506">
        <f>COUNTIFS('LS | Drawing List'!$G:$G,"LS-T01-5",'LS | Drawing List'!S:S,1)</f>
        <v>0</v>
      </c>
      <c r="FF56" s="506">
        <f>COUNTIFS('LS | Drawing List'!$G:$G,"LS-T01-5",'LS | Drawing List'!T:T,1)</f>
        <v>0</v>
      </c>
    </row>
    <row r="57" spans="2:163" ht="14.25" outlineLevel="2">
      <c r="B57" s="564" t="s">
        <v>61</v>
      </c>
      <c r="C57" s="565">
        <v>6</v>
      </c>
      <c r="D57" s="566" t="s">
        <v>62</v>
      </c>
      <c r="F57" s="500">
        <f t="shared" si="82"/>
        <v>0.11063250000000002</v>
      </c>
      <c r="G57" s="500">
        <f t="shared" si="83"/>
        <v>0.11063250000000002</v>
      </c>
      <c r="H57" s="506">
        <f t="shared" si="84"/>
        <v>0</v>
      </c>
      <c r="I57" s="506">
        <f t="shared" si="85"/>
        <v>0</v>
      </c>
      <c r="J57" s="506">
        <f t="shared" si="86"/>
        <v>0</v>
      </c>
      <c r="K57" s="506">
        <f t="shared" si="87"/>
        <v>0</v>
      </c>
      <c r="L57" s="506">
        <f t="shared" si="88"/>
        <v>0</v>
      </c>
      <c r="M57" s="567">
        <f t="shared" si="89"/>
        <v>0</v>
      </c>
      <c r="N57" s="568"/>
      <c r="O57" s="514">
        <f t="shared" si="90"/>
        <v>0</v>
      </c>
      <c r="P57" s="514">
        <f t="shared" si="91"/>
        <v>0</v>
      </c>
      <c r="Q57" s="514">
        <f t="shared" si="92"/>
        <v>0</v>
      </c>
      <c r="R57" s="514">
        <f t="shared" si="93"/>
        <v>0</v>
      </c>
      <c r="S57" s="514">
        <f t="shared" si="94"/>
        <v>0</v>
      </c>
      <c r="U57" s="569">
        <v>2.5000000000000001E-2</v>
      </c>
      <c r="V57" s="503"/>
      <c r="W57" s="500">
        <f t="shared" si="142"/>
        <v>6.1477500000000011E-2</v>
      </c>
      <c r="X57" s="500">
        <f t="shared" si="19"/>
        <v>6.1477500000000011E-2</v>
      </c>
      <c r="Y57" s="506">
        <f t="shared" si="109"/>
        <v>6.1477500000000011E-2</v>
      </c>
      <c r="Z57" s="506">
        <f t="shared" si="110"/>
        <v>0</v>
      </c>
      <c r="AA57" s="506">
        <f t="shared" si="111"/>
        <v>0</v>
      </c>
      <c r="AB57" s="506">
        <f t="shared" si="112"/>
        <v>0</v>
      </c>
      <c r="AC57" s="506">
        <f t="shared" si="113"/>
        <v>0</v>
      </c>
      <c r="AD57" s="567">
        <f t="shared" si="114"/>
        <v>0</v>
      </c>
      <c r="AE57" s="568"/>
      <c r="AF57" s="514">
        <f t="shared" si="115"/>
        <v>0</v>
      </c>
      <c r="AG57" s="514">
        <f t="shared" si="116"/>
        <v>0</v>
      </c>
      <c r="AH57" s="514">
        <f t="shared" si="117"/>
        <v>0</v>
      </c>
      <c r="AI57" s="514">
        <f t="shared" si="118"/>
        <v>0</v>
      </c>
      <c r="AJ57" s="514">
        <f t="shared" si="119"/>
        <v>0</v>
      </c>
      <c r="AK57" s="501"/>
      <c r="AL57" s="578">
        <f t="shared" si="120"/>
        <v>1</v>
      </c>
      <c r="AM57" s="578">
        <f t="shared" si="121"/>
        <v>0</v>
      </c>
      <c r="AN57" s="570">
        <f t="shared" si="122"/>
        <v>0</v>
      </c>
      <c r="AO57" s="505"/>
      <c r="AP57" s="514">
        <f>COUNTIF('AR | Drawing List'!$G:$G,"AR-T01-6")</f>
        <v>2</v>
      </c>
      <c r="AQ57" s="506">
        <f>COUNTIFS('AR | Drawing List'!$G:$G,"AR-T01-6",'AR | Drawing List'!$I:$I,1)</f>
        <v>2</v>
      </c>
      <c r="AR57" s="506">
        <f t="shared" si="32"/>
        <v>0</v>
      </c>
      <c r="AS57" s="506">
        <f>COUNTIFS('AR | Drawing List'!$G:$G,"AR-T01-6",'AR | Drawing List'!M:M,1)</f>
        <v>0</v>
      </c>
      <c r="AT57" s="506">
        <f>COUNTIFS('AR | Drawing List'!$G:$G,"AR-T01-6",'AR | Drawing List'!N:N,1)</f>
        <v>0</v>
      </c>
      <c r="AU57" s="506">
        <f>COUNTIFS('AR | Drawing List'!$G:$G,"AR-T01-6",'AR | Drawing List'!O:O,1)</f>
        <v>0</v>
      </c>
      <c r="AV57" s="506">
        <f>COUNTIFS('AR | Drawing List'!$G:$G,"AR-T01-6",'AR | Drawing List'!P:P,1)</f>
        <v>0</v>
      </c>
      <c r="AW57" s="466"/>
      <c r="AX57" s="506">
        <f t="shared" si="123"/>
        <v>0</v>
      </c>
      <c r="AY57" s="506">
        <f>COUNTIFS('AR | Drawing List'!$G:$G,"AR-T01-6",'AR | Drawing List'!R:R,1)</f>
        <v>0</v>
      </c>
      <c r="AZ57" s="506">
        <f>COUNTIFS('AR | Drawing List'!$G:$G,"AR-T01-6",'AR | Drawing List'!S:S,1)</f>
        <v>0</v>
      </c>
      <c r="BA57" s="506">
        <f>COUNTIFS('AR | Drawing List'!$G:$G,"AR-T01-6",'AR | Drawing List'!T:T,1)</f>
        <v>0</v>
      </c>
      <c r="BB57" s="506">
        <f>COUNTIFS('AR | Drawing List'!$G:$G,"AR-T01-6",'AR | Drawing List'!U:U,1)</f>
        <v>0</v>
      </c>
      <c r="BC57" s="466"/>
      <c r="BD57" s="466"/>
      <c r="BE57" s="470">
        <v>0.05</v>
      </c>
      <c r="BF57" s="508"/>
      <c r="BG57" s="506">
        <f t="shared" si="124"/>
        <v>4.9155000000000004E-2</v>
      </c>
      <c r="BH57" s="510">
        <f t="shared" si="22"/>
        <v>4.9155000000000004E-2</v>
      </c>
      <c r="BI57" s="506">
        <f t="shared" si="125"/>
        <v>4.9155000000000004E-2</v>
      </c>
      <c r="BJ57" s="506">
        <f t="shared" si="126"/>
        <v>0</v>
      </c>
      <c r="BK57" s="506">
        <f t="shared" si="127"/>
        <v>0</v>
      </c>
      <c r="BL57" s="506">
        <f t="shared" si="128"/>
        <v>0</v>
      </c>
      <c r="BM57" s="506">
        <f t="shared" si="129"/>
        <v>0</v>
      </c>
      <c r="BN57" s="506">
        <f t="shared" si="130"/>
        <v>0</v>
      </c>
      <c r="BO57" s="530"/>
      <c r="BP57" s="514">
        <f t="shared" si="131"/>
        <v>0</v>
      </c>
      <c r="BQ57" s="514">
        <f t="shared" si="132"/>
        <v>0</v>
      </c>
      <c r="BR57" s="514">
        <f t="shared" si="133"/>
        <v>0</v>
      </c>
      <c r="BS57" s="514">
        <f t="shared" si="134"/>
        <v>0</v>
      </c>
      <c r="BT57" s="514">
        <f t="shared" si="135"/>
        <v>0</v>
      </c>
      <c r="BU57" s="501"/>
      <c r="BV57" s="571">
        <f t="shared" si="143"/>
        <v>1</v>
      </c>
      <c r="BW57" s="571">
        <f t="shared" si="144"/>
        <v>0</v>
      </c>
      <c r="BX57" s="571">
        <f t="shared" si="145"/>
        <v>0</v>
      </c>
      <c r="BY57" s="505"/>
      <c r="BZ57" s="514">
        <f>COUNTIF('ST | Drawing List'!$G:$G,"ST-T01-6")</f>
        <v>51</v>
      </c>
      <c r="CA57" s="506">
        <f>COUNTIFS('ST | Drawing List'!$G:$G,"ST-T01-6",'ST | Drawing List'!$I:$I,1)</f>
        <v>51</v>
      </c>
      <c r="CB57" s="506">
        <f>COUNTIFS('ST | Drawing List'!$G:$G,"ST-T01-6",'ST | Drawing List'!$K:$K,1)</f>
        <v>0</v>
      </c>
      <c r="CC57" s="506">
        <f>COUNTIFS('ST | Drawing List'!$G:$G,"ST-T01-6",'ST | Drawing List'!L:L,1)</f>
        <v>0</v>
      </c>
      <c r="CD57" s="506">
        <f>COUNTIFS('ST | Drawing List'!$G:$G,"ST-T01-6",'ST | Drawing List'!M:M,1)</f>
        <v>0</v>
      </c>
      <c r="CE57" s="506">
        <f>COUNTIFS('ST | Drawing List'!$G:$G,"ST-T01-6",'ST | Drawing List'!N:N,1)</f>
        <v>0</v>
      </c>
      <c r="CF57" s="506">
        <f>COUNTIFS('ST | Drawing List'!$G:$G,"ST-T01-6",'ST | Drawing List'!O:O,1)</f>
        <v>0</v>
      </c>
      <c r="CG57" s="471"/>
      <c r="CH57" s="506">
        <f>COUNTIFS('ST | Drawing List'!$G:$G,"ST-T01-6",'ST | Drawing List'!$P:$P,1)</f>
        <v>0</v>
      </c>
      <c r="CI57" s="506">
        <f>COUNTIFS('ST | Drawing List'!$G:$G,"ST-T01-6",'ST | Drawing List'!Q:Q,1)</f>
        <v>0</v>
      </c>
      <c r="CJ57" s="506">
        <f>COUNTIFS('ST | Drawing List'!$G:$G,"ST-T01-6",'ST | Drawing List'!R:R,1)</f>
        <v>0</v>
      </c>
      <c r="CK57" s="506">
        <f>COUNTIFS('ST | Drawing List'!$G:$G,"ST-T01-6",'ST | Drawing List'!S:S,1)</f>
        <v>0</v>
      </c>
      <c r="CL57" s="506">
        <f>COUNTIFS('ST | Drawing List'!$G:$G,"ST-T01-6",'ST | Drawing List'!T:T,1)</f>
        <v>0</v>
      </c>
      <c r="CM57" s="508"/>
      <c r="CN57" s="508"/>
      <c r="CO57" s="576">
        <v>0</v>
      </c>
      <c r="CP57" s="508"/>
      <c r="CQ57" s="506">
        <f t="shared" si="138"/>
        <v>0</v>
      </c>
      <c r="CR57" s="510">
        <f t="shared" si="25"/>
        <v>0</v>
      </c>
      <c r="CS57" s="506">
        <f t="shared" si="139"/>
        <v>0</v>
      </c>
      <c r="CT57" s="514">
        <f t="shared" si="146"/>
        <v>0</v>
      </c>
      <c r="CU57" s="514">
        <f t="shared" si="147"/>
        <v>0</v>
      </c>
      <c r="CV57" s="514">
        <f t="shared" si="148"/>
        <v>0</v>
      </c>
      <c r="CW57" s="514">
        <f t="shared" si="149"/>
        <v>0</v>
      </c>
      <c r="CX57" s="514">
        <f t="shared" si="150"/>
        <v>0</v>
      </c>
      <c r="CY57" s="501"/>
      <c r="CZ57" s="514">
        <f t="shared" si="151"/>
        <v>0</v>
      </c>
      <c r="DA57" s="514">
        <f t="shared" si="152"/>
        <v>0</v>
      </c>
      <c r="DB57" s="514">
        <f t="shared" si="153"/>
        <v>0</v>
      </c>
      <c r="DC57" s="514">
        <f t="shared" si="154"/>
        <v>0</v>
      </c>
      <c r="DD57" s="514">
        <f t="shared" si="155"/>
        <v>0</v>
      </c>
      <c r="DE57" s="501"/>
      <c r="DF57" s="570">
        <f t="shared" si="156"/>
        <v>0</v>
      </c>
      <c r="DG57" s="570">
        <f t="shared" si="157"/>
        <v>0</v>
      </c>
      <c r="DH57" s="570">
        <f t="shared" si="158"/>
        <v>0</v>
      </c>
      <c r="DI57" s="505"/>
      <c r="DJ57" s="514">
        <f>COUNTIF('MEP | Drawing List'!$G:$G,"MEP-T01-07-6")</f>
        <v>0</v>
      </c>
      <c r="DK57" s="506">
        <f>COUNTIFS('MEP | Drawing List'!$G:$G,"MEP-T01-07-6",'MEP | Drawing List'!$I:$I,1)</f>
        <v>0</v>
      </c>
      <c r="DL57" s="506">
        <f>COUNTIFS('MEP | Drawing List'!$G:$G,"MEP-T01-07-6",'MEP | Drawing List'!$K:$K,1)</f>
        <v>0</v>
      </c>
      <c r="DM57" s="506">
        <f>COUNTIFS('MEP | Drawing List'!$G:$G,"MEP-T01-07-6",'MEP | Drawing List'!L:L,1)</f>
        <v>0</v>
      </c>
      <c r="DN57" s="506">
        <f>COUNTIFS('MEP | Drawing List'!$G:$G,"MEP-T01-07-6",'MEP | Drawing List'!M:M,1)</f>
        <v>0</v>
      </c>
      <c r="DO57" s="506">
        <f>COUNTIFS('MEP | Drawing List'!$G:$G,"MEP-T01-07-6",'MEP | Drawing List'!N:N,1)</f>
        <v>0</v>
      </c>
      <c r="DP57" s="506">
        <f>COUNTIFS('MEP | Drawing List'!$G:$G,"MEP-T01-07-6",'MEP | Drawing List'!O:O,1)</f>
        <v>0</v>
      </c>
      <c r="DQ57" s="530"/>
      <c r="DR57" s="506">
        <f>COUNTIFS('MEP | Drawing List'!$G:$G,"MEP-T01-07-6",'MEP | Drawing List'!$P:$P,1)</f>
        <v>0</v>
      </c>
      <c r="DS57" s="506">
        <f>COUNTIFS('MEP | Drawing List'!$G:$G,"MEP-T01-07-6",'MEP | Drawing List'!Q:Q,1)</f>
        <v>0</v>
      </c>
      <c r="DT57" s="506">
        <f>COUNTIFS('MEP | Drawing List'!$G:$G,"MEP-T01-07-6",'MEP | Drawing List'!R:R,1)</f>
        <v>0</v>
      </c>
      <c r="DU57" s="506">
        <f>COUNTIFS('MEP | Drawing List'!$G:$G,"MEP-T01-07-6",'MEP | Drawing List'!S:S,1)</f>
        <v>0</v>
      </c>
      <c r="DV57" s="506">
        <f>COUNTIFS('MEP | Drawing List'!$G:$G,"MEP-T01-07-6",'MEP | Drawing List'!T:T,1)</f>
        <v>0</v>
      </c>
      <c r="DW57" s="508"/>
      <c r="DX57" s="508"/>
      <c r="DY57" s="470">
        <v>0</v>
      </c>
      <c r="DZ57" s="508"/>
      <c r="EA57" s="509"/>
      <c r="EB57" s="510">
        <f t="shared" si="28"/>
        <v>0</v>
      </c>
      <c r="EC57" s="574"/>
      <c r="ED57" s="533"/>
      <c r="EE57" s="501"/>
      <c r="EF57" s="501"/>
      <c r="EG57" s="501"/>
      <c r="EH57" s="501"/>
      <c r="EI57" s="501"/>
      <c r="EJ57" s="533"/>
      <c r="EK57" s="501"/>
      <c r="EL57" s="501"/>
      <c r="EM57" s="501"/>
      <c r="EN57" s="501"/>
      <c r="EO57" s="501"/>
      <c r="EP57" s="575"/>
      <c r="EQ57" s="575"/>
      <c r="ER57" s="575"/>
      <c r="ES57" s="516"/>
      <c r="ET57" s="514">
        <f>COUNTIF('LS | Drawing List'!$G:$G,"LS-T01-6")</f>
        <v>0</v>
      </c>
      <c r="EU57" s="506">
        <f>COUNTIFS('LS | Drawing List'!$G:$G,"LS-T01-6",'LS | Drawing List'!$I:$I,1)</f>
        <v>0</v>
      </c>
      <c r="EV57" s="506">
        <f>COUNTIFS('LS | Drawing List'!$G:$G,"LS-T01-6",'LS | Drawing List'!$K:$K,1)</f>
        <v>0</v>
      </c>
      <c r="EW57" s="506">
        <f>COUNTIFS('LS | Drawing List'!$G:$G,"LS-T01-6",'LS | Drawing List'!L:L,1)</f>
        <v>0</v>
      </c>
      <c r="EX57" s="506">
        <f>COUNTIFS('LS | Drawing List'!$G:$G,"LS-T01-6",'LS | Drawing List'!M:M,1)</f>
        <v>0</v>
      </c>
      <c r="EY57" s="506">
        <f>COUNTIFS('LS | Drawing List'!$G:$G,"LS-T01-6",'LS | Drawing List'!N:N,1)</f>
        <v>0</v>
      </c>
      <c r="EZ57" s="506">
        <f>COUNTIFS('LS | Drawing List'!$G:$G,"LS-T01-6",'LS | Drawing List'!O:O,1)</f>
        <v>0</v>
      </c>
      <c r="FA57" s="533"/>
      <c r="FB57" s="506">
        <f>COUNTIFS('LS | Drawing List'!$G:$G,"LS-T01-6",'LS | Drawing List'!$P:$P,1)</f>
        <v>0</v>
      </c>
      <c r="FC57" s="506">
        <f>COUNTIFS('LS | Drawing List'!$G:$G,"LS-T01-6",'LS | Drawing List'!Q:Q,1)</f>
        <v>0</v>
      </c>
      <c r="FD57" s="506">
        <f>COUNTIFS('LS | Drawing List'!$G:$G,"LS-T01-6",'LS | Drawing List'!R:R,1)</f>
        <v>0</v>
      </c>
      <c r="FE57" s="506">
        <f>COUNTIFS('LS | Drawing List'!$G:$G,"LS-T01-6",'LS | Drawing List'!S:S,1)</f>
        <v>0</v>
      </c>
      <c r="FF57" s="506">
        <f>COUNTIFS('LS | Drawing List'!$G:$G,"LS-T01-6",'LS | Drawing List'!T:T,1)</f>
        <v>0</v>
      </c>
    </row>
    <row r="58" spans="2:163" s="51" customFormat="1" ht="14.25" outlineLevel="2">
      <c r="B58" s="564" t="s">
        <v>63</v>
      </c>
      <c r="C58" s="579">
        <v>7</v>
      </c>
      <c r="D58" s="580" t="s">
        <v>64</v>
      </c>
      <c r="F58" s="581">
        <f t="shared" si="82"/>
        <v>0.26181600000000005</v>
      </c>
      <c r="G58" s="581">
        <f t="shared" si="83"/>
        <v>0.26181600000000005</v>
      </c>
      <c r="H58" s="567">
        <f t="shared" si="84"/>
        <v>0</v>
      </c>
      <c r="I58" s="567">
        <f t="shared" si="85"/>
        <v>0</v>
      </c>
      <c r="J58" s="582">
        <f t="shared" si="86"/>
        <v>0</v>
      </c>
      <c r="K58" s="514">
        <f t="shared" si="87"/>
        <v>0</v>
      </c>
      <c r="L58" s="514">
        <f t="shared" si="88"/>
        <v>0</v>
      </c>
      <c r="M58" s="567">
        <f t="shared" si="89"/>
        <v>0</v>
      </c>
      <c r="N58" s="568"/>
      <c r="O58" s="514">
        <f t="shared" si="90"/>
        <v>0</v>
      </c>
      <c r="P58" s="514">
        <f t="shared" si="91"/>
        <v>0</v>
      </c>
      <c r="Q58" s="514">
        <f t="shared" si="92"/>
        <v>0</v>
      </c>
      <c r="R58" s="514">
        <f t="shared" si="93"/>
        <v>0</v>
      </c>
      <c r="S58" s="514">
        <f t="shared" si="94"/>
        <v>0</v>
      </c>
      <c r="U58" s="583">
        <v>0.1</v>
      </c>
      <c r="V58" s="584"/>
      <c r="W58" s="581">
        <f t="shared" si="142"/>
        <v>0.24591000000000005</v>
      </c>
      <c r="X58" s="581">
        <f t="shared" si="19"/>
        <v>0.24591000000000005</v>
      </c>
      <c r="Y58" s="567">
        <f t="shared" si="109"/>
        <v>0.24591000000000005</v>
      </c>
      <c r="Z58" s="567">
        <f t="shared" si="110"/>
        <v>0</v>
      </c>
      <c r="AA58" s="582">
        <f t="shared" si="111"/>
        <v>0</v>
      </c>
      <c r="AB58" s="514">
        <f t="shared" si="112"/>
        <v>0</v>
      </c>
      <c r="AC58" s="514">
        <f t="shared" si="113"/>
        <v>0</v>
      </c>
      <c r="AD58" s="567">
        <f t="shared" si="114"/>
        <v>0</v>
      </c>
      <c r="AE58" s="568"/>
      <c r="AF58" s="514">
        <f t="shared" si="115"/>
        <v>0</v>
      </c>
      <c r="AG58" s="514">
        <f t="shared" si="116"/>
        <v>0</v>
      </c>
      <c r="AH58" s="514">
        <f t="shared" si="117"/>
        <v>0</v>
      </c>
      <c r="AI58" s="514">
        <f t="shared" si="118"/>
        <v>0</v>
      </c>
      <c r="AJ58" s="514">
        <f t="shared" si="119"/>
        <v>0</v>
      </c>
      <c r="AK58" s="501"/>
      <c r="AL58" s="585">
        <f t="shared" si="120"/>
        <v>1</v>
      </c>
      <c r="AM58" s="585">
        <f t="shared" si="121"/>
        <v>0</v>
      </c>
      <c r="AN58" s="570">
        <f t="shared" si="122"/>
        <v>0</v>
      </c>
      <c r="AO58" s="586"/>
      <c r="AP58" s="567">
        <f>COUNTIF('AR | Drawing List'!$G:$G,"AR-T01-7")</f>
        <v>19</v>
      </c>
      <c r="AQ58" s="582">
        <f>COUNTIFS('AR | Drawing List'!$G:$G,"AR-T01-7",'AR | Drawing List'!$I:$I,1)</f>
        <v>19</v>
      </c>
      <c r="AR58" s="582">
        <f t="shared" si="32"/>
        <v>0</v>
      </c>
      <c r="AS58" s="582">
        <f>COUNTIFS('AR | Drawing List'!$G:$G,"AR-T01-7",'AR | Drawing List'!M:M,1)</f>
        <v>0</v>
      </c>
      <c r="AT58" s="582">
        <f>COUNTIFS('AR | Drawing List'!$G:$G,"AR-T01-7",'AR | Drawing List'!N:N,1)</f>
        <v>0</v>
      </c>
      <c r="AU58" s="582">
        <f>COUNTIFS('AR | Drawing List'!$G:$G,"AR-T01-7",'AR | Drawing List'!O:O,1)</f>
        <v>0</v>
      </c>
      <c r="AV58" s="582">
        <f>COUNTIFS('AR | Drawing List'!$G:$G,"AR-T01-7",'AR | Drawing List'!P:P,1)</f>
        <v>0</v>
      </c>
      <c r="AW58" s="587"/>
      <c r="AX58" s="582">
        <f t="shared" si="123"/>
        <v>0</v>
      </c>
      <c r="AY58" s="582">
        <f>COUNTIFS('AR | Drawing List'!$G:$G,"AR-T01-7",'AR | Drawing List'!R:R,1)</f>
        <v>0</v>
      </c>
      <c r="AZ58" s="582">
        <f>COUNTIFS('AR | Drawing List'!$G:$G,"AR-T01-7",'AR | Drawing List'!S:S,1)</f>
        <v>0</v>
      </c>
      <c r="BA58" s="582">
        <f>COUNTIFS('AR | Drawing List'!$G:$G,"AR-T01-7",'AR | Drawing List'!T:T,1)</f>
        <v>0</v>
      </c>
      <c r="BB58" s="582">
        <f>COUNTIFS('AR | Drawing List'!$G:$G,"AR-T01-7",'AR | Drawing List'!U:U,1)</f>
        <v>0</v>
      </c>
      <c r="BC58" s="587"/>
      <c r="BD58" s="587"/>
      <c r="BE58" s="576">
        <v>0</v>
      </c>
      <c r="BF58" s="588"/>
      <c r="BG58" s="582">
        <f t="shared" si="124"/>
        <v>0</v>
      </c>
      <c r="BH58" s="589">
        <f t="shared" si="22"/>
        <v>0</v>
      </c>
      <c r="BI58" s="567">
        <f t="shared" si="125"/>
        <v>0</v>
      </c>
      <c r="BJ58" s="567">
        <f t="shared" si="126"/>
        <v>0</v>
      </c>
      <c r="BK58" s="514">
        <f t="shared" si="127"/>
        <v>0</v>
      </c>
      <c r="BL58" s="514">
        <f t="shared" si="128"/>
        <v>0</v>
      </c>
      <c r="BM58" s="514">
        <f t="shared" si="129"/>
        <v>0</v>
      </c>
      <c r="BN58" s="514">
        <f t="shared" si="130"/>
        <v>0</v>
      </c>
      <c r="BO58" s="501"/>
      <c r="BP58" s="514">
        <f t="shared" si="131"/>
        <v>0</v>
      </c>
      <c r="BQ58" s="514">
        <f t="shared" si="132"/>
        <v>0</v>
      </c>
      <c r="BR58" s="514">
        <f t="shared" si="133"/>
        <v>0</v>
      </c>
      <c r="BS58" s="514">
        <f t="shared" si="134"/>
        <v>0</v>
      </c>
      <c r="BT58" s="514">
        <f t="shared" si="135"/>
        <v>0</v>
      </c>
      <c r="BU58" s="501"/>
      <c r="BV58" s="571">
        <f t="shared" si="143"/>
        <v>0</v>
      </c>
      <c r="BW58" s="571">
        <f t="shared" si="144"/>
        <v>0</v>
      </c>
      <c r="BX58" s="571">
        <f t="shared" si="145"/>
        <v>0</v>
      </c>
      <c r="BY58" s="586"/>
      <c r="BZ58" s="567">
        <f>COUNTIF('ST | Drawing List'!$G:$G,"ST-T01-7")</f>
        <v>0</v>
      </c>
      <c r="CA58" s="582">
        <f>COUNTIFS('ST | Drawing List'!$G:$G,"ST-T01-7",'ST | Drawing List'!$I:$I,1)</f>
        <v>0</v>
      </c>
      <c r="CB58" s="590">
        <f>COUNTIFS('ST | Drawing List'!$G:$G,"ST-T01-7",'ST | Drawing List'!$K:$K,1)</f>
        <v>0</v>
      </c>
      <c r="CC58" s="582">
        <f>COUNTIFS('ST | Drawing List'!$G:$G,"ST-T01-7",'ST | Drawing List'!L:L,1)</f>
        <v>0</v>
      </c>
      <c r="CD58" s="582">
        <f>COUNTIFS('ST | Drawing List'!$G:$G,"ST-T01-7",'ST | Drawing List'!M:M,1)</f>
        <v>0</v>
      </c>
      <c r="CE58" s="582">
        <f>COUNTIFS('ST | Drawing List'!$G:$G,"ST-T01-7",'ST | Drawing List'!N:N,1)</f>
        <v>0</v>
      </c>
      <c r="CF58" s="582">
        <f>COUNTIFS('ST | Drawing List'!$G:$G,"ST-T01-7",'ST | Drawing List'!O:O,1)</f>
        <v>0</v>
      </c>
      <c r="CG58" s="591"/>
      <c r="CH58" s="590">
        <f>COUNTIFS('ST | Drawing List'!$G:$G,"ST-T01-7",'ST | Drawing List'!$P:$P,1)</f>
        <v>0</v>
      </c>
      <c r="CI58" s="582">
        <f>COUNTIFS('ST | Drawing List'!$G:$G,"ST-T01-7",'ST | Drawing List'!Q:Q,1)</f>
        <v>0</v>
      </c>
      <c r="CJ58" s="582">
        <f>COUNTIFS('ST | Drawing List'!$G:$G,"ST-T01-7",'ST | Drawing List'!R:R,1)</f>
        <v>0</v>
      </c>
      <c r="CK58" s="582">
        <f>COUNTIFS('ST | Drawing List'!$G:$G,"ST-T01-7",'ST | Drawing List'!S:S,1)</f>
        <v>0</v>
      </c>
      <c r="CL58" s="582">
        <f>COUNTIFS('ST | Drawing List'!$G:$G,"ST-T01-7",'ST | Drawing List'!T:T,1)</f>
        <v>0</v>
      </c>
      <c r="CM58" s="588"/>
      <c r="CN58" s="588"/>
      <c r="CO58" s="592">
        <v>0.1</v>
      </c>
      <c r="CP58" s="588"/>
      <c r="CQ58" s="582">
        <f t="shared" si="138"/>
        <v>1.5906E-2</v>
      </c>
      <c r="CR58" s="589">
        <f t="shared" si="25"/>
        <v>1.5906E-2</v>
      </c>
      <c r="CS58" s="567">
        <f t="shared" si="139"/>
        <v>1.5906E-2</v>
      </c>
      <c r="CT58" s="514">
        <f t="shared" si="146"/>
        <v>0</v>
      </c>
      <c r="CU58" s="514">
        <f t="shared" si="147"/>
        <v>0</v>
      </c>
      <c r="CV58" s="514">
        <f t="shared" si="148"/>
        <v>0</v>
      </c>
      <c r="CW58" s="514">
        <f t="shared" si="149"/>
        <v>0</v>
      </c>
      <c r="CX58" s="514">
        <f t="shared" si="150"/>
        <v>0</v>
      </c>
      <c r="CY58" s="501"/>
      <c r="CZ58" s="514">
        <f t="shared" si="151"/>
        <v>0</v>
      </c>
      <c r="DA58" s="514">
        <f t="shared" si="152"/>
        <v>0</v>
      </c>
      <c r="DB58" s="514">
        <f t="shared" si="153"/>
        <v>0</v>
      </c>
      <c r="DC58" s="514">
        <f t="shared" si="154"/>
        <v>0</v>
      </c>
      <c r="DD58" s="514">
        <f t="shared" si="155"/>
        <v>0</v>
      </c>
      <c r="DE58" s="501"/>
      <c r="DF58" s="570">
        <f t="shared" si="156"/>
        <v>1</v>
      </c>
      <c r="DG58" s="570">
        <f t="shared" si="157"/>
        <v>0</v>
      </c>
      <c r="DH58" s="570">
        <f t="shared" si="158"/>
        <v>0</v>
      </c>
      <c r="DI58" s="586"/>
      <c r="DJ58" s="567">
        <f>COUNTIF('MEP | Drawing List'!$G:$G,"MEP-T01-07-7")</f>
        <v>1</v>
      </c>
      <c r="DK58" s="582">
        <f>COUNTIFS('MEP | Drawing List'!$G:$G,"MEP-T01-07-7",'MEP | Drawing List'!$I:$I,1)</f>
        <v>1</v>
      </c>
      <c r="DL58" s="582">
        <f>COUNTIFS('MEP | Drawing List'!$G:$G,"MEP-T01-07-7",'MEP | Drawing List'!$K:$K,1)</f>
        <v>0</v>
      </c>
      <c r="DM58" s="567">
        <f>COUNTIFS('MEP | Drawing List'!$G:$G,"MEP-T01-07-7",'MEP | Drawing List'!L:L,1)</f>
        <v>0</v>
      </c>
      <c r="DN58" s="567">
        <f>COUNTIFS('MEP | Drawing List'!$G:$G,"MEP-T01-07-7",'MEP | Drawing List'!M:M,1)</f>
        <v>0</v>
      </c>
      <c r="DO58" s="567">
        <f>COUNTIFS('MEP | Drawing List'!$G:$G,"MEP-T01-07-7",'MEP | Drawing List'!N:N,1)</f>
        <v>0</v>
      </c>
      <c r="DP58" s="567">
        <f>COUNTIFS('MEP | Drawing List'!$G:$G,"MEP-T01-07-7",'MEP | Drawing List'!O:O,1)</f>
        <v>0</v>
      </c>
      <c r="DQ58" s="568"/>
      <c r="DR58" s="582">
        <f>COUNTIFS('MEP | Drawing List'!$G:$G,"MEP-T01-07-7",'MEP | Drawing List'!$P:$P,1)</f>
        <v>0</v>
      </c>
      <c r="DS58" s="567">
        <f>COUNTIFS('MEP | Drawing List'!$G:$G,"MEP-T01-07-7",'MEP | Drawing List'!Q:Q,1)</f>
        <v>0</v>
      </c>
      <c r="DT58" s="567">
        <f>COUNTIFS('MEP | Drawing List'!$G:$G,"MEP-T01-07-7",'MEP | Drawing List'!R:R,1)</f>
        <v>0</v>
      </c>
      <c r="DU58" s="567">
        <f>COUNTIFS('MEP | Drawing List'!$G:$G,"MEP-T01-07-7",'MEP | Drawing List'!S:S,1)</f>
        <v>0</v>
      </c>
      <c r="DV58" s="567">
        <f>COUNTIFS('MEP | Drawing List'!$G:$G,"MEP-T01-07-7",'MEP | Drawing List'!T:T,1)</f>
        <v>0</v>
      </c>
      <c r="DW58" s="588"/>
      <c r="DX58" s="588"/>
      <c r="DY58" s="592">
        <v>0</v>
      </c>
      <c r="DZ58" s="588"/>
      <c r="EA58" s="509"/>
      <c r="EB58" s="589">
        <f t="shared" si="28"/>
        <v>0</v>
      </c>
      <c r="EC58" s="574"/>
      <c r="ED58" s="574"/>
      <c r="EE58" s="501"/>
      <c r="EF58" s="501"/>
      <c r="EG58" s="501"/>
      <c r="EH58" s="501"/>
      <c r="EI58" s="501"/>
      <c r="EJ58" s="574"/>
      <c r="EK58" s="501"/>
      <c r="EL58" s="501"/>
      <c r="EM58" s="501"/>
      <c r="EN58" s="501"/>
      <c r="EO58" s="501"/>
      <c r="EP58" s="52"/>
      <c r="EQ58" s="52"/>
      <c r="ER58" s="52"/>
      <c r="ES58" s="593"/>
      <c r="ET58" s="567">
        <f>COUNTIF('LS | Drawing List'!$G:$G,"LS-T01-7")</f>
        <v>0</v>
      </c>
      <c r="EU58" s="582">
        <f>COUNTIFS('LS | Drawing List'!$G:$G,"LS-T01-7",'LS | Drawing List'!$I:$I,1)</f>
        <v>0</v>
      </c>
      <c r="EV58" s="582">
        <f>COUNTIFS('LS | Drawing List'!$G:$G,"LS-T01-7",'LS | Drawing List'!$K:$K,1)</f>
        <v>0</v>
      </c>
      <c r="EW58" s="567">
        <f>COUNTIFS('LS | Drawing List'!$G:$G,"LS-T01-7",'LS | Drawing List'!L:L,1)</f>
        <v>0</v>
      </c>
      <c r="EX58" s="567">
        <f>COUNTIFS('LS | Drawing List'!$G:$G,"LS-T01-7",'LS | Drawing List'!M:M,1)</f>
        <v>0</v>
      </c>
      <c r="EY58" s="567">
        <f>COUNTIFS('LS | Drawing List'!$G:$G,"LS-T01-7",'LS | Drawing List'!N:N,1)</f>
        <v>0</v>
      </c>
      <c r="EZ58" s="567">
        <f>COUNTIFS('LS | Drawing List'!$G:$G,"LS-T01-7",'LS | Drawing List'!O:O,1)</f>
        <v>0</v>
      </c>
      <c r="FA58" s="574"/>
      <c r="FB58" s="582">
        <f>COUNTIFS('LS | Drawing List'!$G:$G,"LS-T01-7",'LS | Drawing List'!$P:$P,1)</f>
        <v>0</v>
      </c>
      <c r="FC58" s="567">
        <f>COUNTIFS('LS | Drawing List'!$G:$G,"LS-T01-7",'LS | Drawing List'!Q:Q,1)</f>
        <v>0</v>
      </c>
      <c r="FD58" s="567">
        <f>COUNTIFS('LS | Drawing List'!$G:$G,"LS-T01-7",'LS | Drawing List'!R:R,1)</f>
        <v>0</v>
      </c>
      <c r="FE58" s="567">
        <f>COUNTIFS('LS | Drawing List'!$G:$G,"LS-T01-7",'LS | Drawing List'!S:S,1)</f>
        <v>0</v>
      </c>
      <c r="FF58" s="567">
        <f>COUNTIFS('LS | Drawing List'!$G:$G,"LS-T01-7",'LS | Drawing List'!T:T,1)</f>
        <v>0</v>
      </c>
    </row>
    <row r="59" spans="2:163" ht="14.25" outlineLevel="2">
      <c r="B59" s="564" t="s">
        <v>66</v>
      </c>
      <c r="C59" s="565">
        <v>8</v>
      </c>
      <c r="D59" s="566" t="s">
        <v>67</v>
      </c>
      <c r="F59" s="500">
        <f t="shared" si="82"/>
        <v>0.19596900000000003</v>
      </c>
      <c r="G59" s="500">
        <f t="shared" si="83"/>
        <v>0.19596900000000003</v>
      </c>
      <c r="H59" s="514">
        <f t="shared" si="84"/>
        <v>0</v>
      </c>
      <c r="I59" s="514">
        <f t="shared" si="85"/>
        <v>0</v>
      </c>
      <c r="J59" s="514">
        <f t="shared" si="86"/>
        <v>0</v>
      </c>
      <c r="K59" s="514">
        <f t="shared" si="87"/>
        <v>0</v>
      </c>
      <c r="L59" s="514">
        <f t="shared" si="88"/>
        <v>0</v>
      </c>
      <c r="M59" s="567">
        <f t="shared" si="89"/>
        <v>0</v>
      </c>
      <c r="N59" s="568"/>
      <c r="O59" s="514">
        <f t="shared" si="90"/>
        <v>0</v>
      </c>
      <c r="P59" s="514">
        <f t="shared" si="91"/>
        <v>0</v>
      </c>
      <c r="Q59" s="514">
        <f t="shared" si="92"/>
        <v>0</v>
      </c>
      <c r="R59" s="514">
        <f t="shared" si="93"/>
        <v>0</v>
      </c>
      <c r="S59" s="514">
        <f t="shared" si="94"/>
        <v>0</v>
      </c>
      <c r="U59" s="569">
        <v>0.05</v>
      </c>
      <c r="V59" s="503"/>
      <c r="W59" s="500">
        <f t="shared" si="142"/>
        <v>0.12295500000000002</v>
      </c>
      <c r="X59" s="500">
        <f t="shared" si="19"/>
        <v>0.12295500000000002</v>
      </c>
      <c r="Y59" s="514">
        <f t="shared" si="109"/>
        <v>0.12295500000000002</v>
      </c>
      <c r="Z59" s="514">
        <f t="shared" si="110"/>
        <v>0</v>
      </c>
      <c r="AA59" s="514">
        <f t="shared" si="111"/>
        <v>0</v>
      </c>
      <c r="AB59" s="514">
        <f t="shared" si="112"/>
        <v>0</v>
      </c>
      <c r="AC59" s="514">
        <f t="shared" si="113"/>
        <v>0</v>
      </c>
      <c r="AD59" s="567">
        <f t="shared" si="114"/>
        <v>0</v>
      </c>
      <c r="AE59" s="568"/>
      <c r="AF59" s="514">
        <f t="shared" si="115"/>
        <v>0</v>
      </c>
      <c r="AG59" s="514">
        <f t="shared" si="116"/>
        <v>0</v>
      </c>
      <c r="AH59" s="514">
        <f t="shared" si="117"/>
        <v>0</v>
      </c>
      <c r="AI59" s="514">
        <f t="shared" si="118"/>
        <v>0</v>
      </c>
      <c r="AJ59" s="514">
        <f t="shared" si="119"/>
        <v>0</v>
      </c>
      <c r="AK59" s="501"/>
      <c r="AL59" s="570">
        <f t="shared" si="120"/>
        <v>1</v>
      </c>
      <c r="AM59" s="570">
        <f t="shared" si="121"/>
        <v>0</v>
      </c>
      <c r="AN59" s="570">
        <f t="shared" si="122"/>
        <v>0</v>
      </c>
      <c r="AO59" s="505"/>
      <c r="AP59" s="514">
        <f>COUNTIF('AR | Drawing List'!$G:$G,"AR-T01-8")</f>
        <v>5</v>
      </c>
      <c r="AQ59" s="506">
        <f>COUNTIFS('AR | Drawing List'!$G:$G,"AR-T01-8",'AR | Drawing List'!$I:$I,1)</f>
        <v>5</v>
      </c>
      <c r="AR59" s="506">
        <f t="shared" si="32"/>
        <v>0</v>
      </c>
      <c r="AS59" s="506">
        <f>COUNTIFS('AR | Drawing List'!$G:$G,"AR-T01-8",'AR | Drawing List'!M:M,1)</f>
        <v>0</v>
      </c>
      <c r="AT59" s="506">
        <f>COUNTIFS('AR | Drawing List'!$G:$G,"AR-T01-8",'AR | Drawing List'!N:N,1)</f>
        <v>0</v>
      </c>
      <c r="AU59" s="506">
        <f>COUNTIFS('AR | Drawing List'!$G:$G,"AR-T01-8",'AR | Drawing List'!O:O,1)</f>
        <v>0</v>
      </c>
      <c r="AV59" s="506">
        <f>COUNTIFS('AR | Drawing List'!$G:$G,"AR-T01-8",'AR | Drawing List'!P:P,1)</f>
        <v>0</v>
      </c>
      <c r="AW59" s="466"/>
      <c r="AX59" s="506">
        <f t="shared" si="123"/>
        <v>0</v>
      </c>
      <c r="AY59" s="506">
        <f>COUNTIFS('AR | Drawing List'!$G:$G,"AR-T01-8",'AR | Drawing List'!R:R,1)</f>
        <v>0</v>
      </c>
      <c r="AZ59" s="506">
        <f>COUNTIFS('AR | Drawing List'!$G:$G,"AR-T01-8",'AR | Drawing List'!S:S,1)</f>
        <v>0</v>
      </c>
      <c r="BA59" s="506">
        <f>COUNTIFS('AR | Drawing List'!$G:$G,"AR-T01-8",'AR | Drawing List'!T:T,1)</f>
        <v>0</v>
      </c>
      <c r="BB59" s="506">
        <f>COUNTIFS('AR | Drawing List'!$G:$G,"AR-T01-8",'AR | Drawing List'!U:U,1)</f>
        <v>0</v>
      </c>
      <c r="BC59" s="466"/>
      <c r="BD59" s="466"/>
      <c r="BE59" s="511">
        <v>0.05</v>
      </c>
      <c r="BF59" s="508"/>
      <c r="BG59" s="506">
        <f t="shared" si="124"/>
        <v>4.9155000000000004E-2</v>
      </c>
      <c r="BH59" s="510">
        <f t="shared" si="22"/>
        <v>4.9155000000000004E-2</v>
      </c>
      <c r="BI59" s="514">
        <f t="shared" si="125"/>
        <v>4.9155000000000004E-2</v>
      </c>
      <c r="BJ59" s="514">
        <f t="shared" si="126"/>
        <v>0</v>
      </c>
      <c r="BK59" s="514">
        <f t="shared" si="127"/>
        <v>0</v>
      </c>
      <c r="BL59" s="514">
        <f t="shared" si="128"/>
        <v>0</v>
      </c>
      <c r="BM59" s="514">
        <f t="shared" si="129"/>
        <v>0</v>
      </c>
      <c r="BN59" s="514">
        <f t="shared" si="130"/>
        <v>0</v>
      </c>
      <c r="BO59" s="501"/>
      <c r="BP59" s="514">
        <f t="shared" si="131"/>
        <v>0</v>
      </c>
      <c r="BQ59" s="514">
        <f t="shared" si="132"/>
        <v>0</v>
      </c>
      <c r="BR59" s="514">
        <f t="shared" si="133"/>
        <v>0</v>
      </c>
      <c r="BS59" s="514">
        <f t="shared" si="134"/>
        <v>0</v>
      </c>
      <c r="BT59" s="514">
        <f t="shared" si="135"/>
        <v>0</v>
      </c>
      <c r="BU59" s="501"/>
      <c r="BV59" s="571">
        <f t="shared" si="143"/>
        <v>1</v>
      </c>
      <c r="BW59" s="571">
        <f t="shared" si="144"/>
        <v>0</v>
      </c>
      <c r="BX59" s="571">
        <f t="shared" si="145"/>
        <v>0</v>
      </c>
      <c r="BY59" s="505"/>
      <c r="BZ59" s="514">
        <f>COUNTIF('ST | Drawing List'!$G:$G,"ST-T01-8")</f>
        <v>51</v>
      </c>
      <c r="CA59" s="506">
        <f>COUNTIFS('ST | Drawing List'!$G:$G,"ST-T01-8",'ST | Drawing List'!$I:$I,1)</f>
        <v>51</v>
      </c>
      <c r="CB59" s="572">
        <f>COUNTIFS('ST | Drawing List'!$G:$G,"ST-T01-8",'ST | Drawing List'!$K:$K,1)</f>
        <v>0</v>
      </c>
      <c r="CC59" s="506">
        <f>COUNTIFS('ST | Drawing List'!$G:$G,"ST-T01-8",'ST | Drawing List'!L:L,1)</f>
        <v>0</v>
      </c>
      <c r="CD59" s="506">
        <f>COUNTIFS('ST | Drawing List'!$G:$G,"ST-T01-8",'ST | Drawing List'!M:M,1)</f>
        <v>0</v>
      </c>
      <c r="CE59" s="506">
        <f>COUNTIFS('ST | Drawing List'!$G:$G,"ST-T01-8",'ST | Drawing List'!N:N,1)</f>
        <v>0</v>
      </c>
      <c r="CF59" s="506">
        <f>COUNTIFS('ST | Drawing List'!$G:$G,"ST-T01-8",'ST | Drawing List'!O:O,1)</f>
        <v>0</v>
      </c>
      <c r="CG59" s="471"/>
      <c r="CH59" s="572">
        <f>COUNTIFS('ST | Drawing List'!$G:$G,"ST-T01-8",'ST | Drawing List'!$P:$P,1)</f>
        <v>0</v>
      </c>
      <c r="CI59" s="506">
        <f>COUNTIFS('ST | Drawing List'!$G:$G,"ST-T01-8",'ST | Drawing List'!Q:Q,1)</f>
        <v>0</v>
      </c>
      <c r="CJ59" s="506">
        <f>COUNTIFS('ST | Drawing List'!$G:$G,"ST-T01-8",'ST | Drawing List'!R:R,1)</f>
        <v>0</v>
      </c>
      <c r="CK59" s="506">
        <f>COUNTIFS('ST | Drawing List'!$G:$G,"ST-T01-8",'ST | Drawing List'!S:S,1)</f>
        <v>0</v>
      </c>
      <c r="CL59" s="506">
        <f>COUNTIFS('ST | Drawing List'!$G:$G,"ST-T01-8",'ST | Drawing List'!T:T,1)</f>
        <v>0</v>
      </c>
      <c r="CM59" s="508"/>
      <c r="CN59" s="508"/>
      <c r="CO59" s="573">
        <v>0.15</v>
      </c>
      <c r="CP59" s="508"/>
      <c r="CQ59" s="506">
        <f t="shared" si="138"/>
        <v>2.3859000000000002E-2</v>
      </c>
      <c r="CR59" s="510">
        <f t="shared" si="25"/>
        <v>2.3859000000000002E-2</v>
      </c>
      <c r="CS59" s="514">
        <f t="shared" si="139"/>
        <v>2.3859000000000002E-2</v>
      </c>
      <c r="CT59" s="514">
        <f t="shared" si="146"/>
        <v>0</v>
      </c>
      <c r="CU59" s="514">
        <f t="shared" si="147"/>
        <v>0</v>
      </c>
      <c r="CV59" s="514">
        <f t="shared" si="148"/>
        <v>0</v>
      </c>
      <c r="CW59" s="514">
        <f t="shared" si="149"/>
        <v>0</v>
      </c>
      <c r="CX59" s="514">
        <f t="shared" si="150"/>
        <v>0</v>
      </c>
      <c r="CY59" s="501"/>
      <c r="CZ59" s="514">
        <f t="shared" si="151"/>
        <v>0</v>
      </c>
      <c r="DA59" s="514">
        <f t="shared" si="152"/>
        <v>0</v>
      </c>
      <c r="DB59" s="514">
        <f t="shared" si="153"/>
        <v>0</v>
      </c>
      <c r="DC59" s="514">
        <f t="shared" si="154"/>
        <v>0</v>
      </c>
      <c r="DD59" s="514">
        <f t="shared" si="155"/>
        <v>0</v>
      </c>
      <c r="DE59" s="501"/>
      <c r="DF59" s="570">
        <f t="shared" si="156"/>
        <v>1</v>
      </c>
      <c r="DG59" s="570">
        <f t="shared" si="157"/>
        <v>0</v>
      </c>
      <c r="DH59" s="570">
        <f t="shared" si="158"/>
        <v>0</v>
      </c>
      <c r="DI59" s="505"/>
      <c r="DJ59" s="514">
        <f>COUNTIF('MEP | Drawing List'!$G:$G,"MEP-T01-07-8")</f>
        <v>16</v>
      </c>
      <c r="DK59" s="506">
        <f>COUNTIFS('MEP | Drawing List'!$G:$G,"MEP-T01-07-8",'MEP | Drawing List'!$I:$I,1)</f>
        <v>16</v>
      </c>
      <c r="DL59" s="506">
        <f>COUNTIFS('MEP | Drawing List'!$G:$G,"MEP-T01-07-8",'MEP | Drawing List'!$K:$K,1)</f>
        <v>0</v>
      </c>
      <c r="DM59" s="514">
        <f>COUNTIFS('MEP | Drawing List'!$G:$G,"MEP-T01-07-8",'MEP | Drawing List'!L:L,1)</f>
        <v>0</v>
      </c>
      <c r="DN59" s="514">
        <f>COUNTIFS('MEP | Drawing List'!$G:$G,"MEP-T01-07-8",'MEP | Drawing List'!M:M,1)</f>
        <v>0</v>
      </c>
      <c r="DO59" s="514">
        <f>COUNTIFS('MEP | Drawing List'!$G:$G,"MEP-T01-07-8",'MEP | Drawing List'!N:N,1)</f>
        <v>0</v>
      </c>
      <c r="DP59" s="514">
        <f>COUNTIFS('MEP | Drawing List'!$G:$G,"MEP-T01-07-8",'MEP | Drawing List'!O:O,1)</f>
        <v>0</v>
      </c>
      <c r="DQ59" s="501"/>
      <c r="DR59" s="506">
        <f>COUNTIFS('MEP | Drawing List'!$G:$G,"MEP-T01-07-8",'MEP | Drawing List'!$P:$P,1)</f>
        <v>0</v>
      </c>
      <c r="DS59" s="514">
        <f>COUNTIFS('MEP | Drawing List'!$G:$G,"MEP-T01-07-8",'MEP | Drawing List'!Q:Q,1)</f>
        <v>0</v>
      </c>
      <c r="DT59" s="514">
        <f>COUNTIFS('MEP | Drawing List'!$G:$G,"MEP-T01-07-8",'MEP | Drawing List'!R:R,1)</f>
        <v>0</v>
      </c>
      <c r="DU59" s="514">
        <f>COUNTIFS('MEP | Drawing List'!$G:$G,"MEP-T01-07-8",'MEP | Drawing List'!S:S,1)</f>
        <v>0</v>
      </c>
      <c r="DV59" s="514">
        <f>COUNTIFS('MEP | Drawing List'!$G:$G,"MEP-T01-07-8",'MEP | Drawing List'!T:T,1)</f>
        <v>0</v>
      </c>
      <c r="DW59" s="508"/>
      <c r="DX59" s="508"/>
      <c r="DY59" s="511">
        <v>0</v>
      </c>
      <c r="DZ59" s="508"/>
      <c r="EA59" s="509"/>
      <c r="EB59" s="510">
        <f t="shared" si="28"/>
        <v>0</v>
      </c>
      <c r="EC59" s="574"/>
      <c r="ED59" s="515"/>
      <c r="EE59" s="501"/>
      <c r="EF59" s="501"/>
      <c r="EG59" s="501"/>
      <c r="EH59" s="501"/>
      <c r="EI59" s="501"/>
      <c r="EJ59" s="515"/>
      <c r="EK59" s="501"/>
      <c r="EL59" s="501"/>
      <c r="EM59" s="501"/>
      <c r="EN59" s="501"/>
      <c r="EO59" s="501"/>
      <c r="EP59" s="474"/>
      <c r="EQ59" s="474"/>
      <c r="ER59" s="474"/>
      <c r="ES59" s="516"/>
      <c r="ET59" s="514">
        <f>COUNTIF('LS | Drawing List'!$G:$G,"LS-T01-8")</f>
        <v>0</v>
      </c>
      <c r="EU59" s="506">
        <f>COUNTIFS('LS | Drawing List'!$G:$G,"LS-T01-8",'LS | Drawing List'!$I:$I,1)</f>
        <v>0</v>
      </c>
      <c r="EV59" s="506">
        <f>COUNTIFS('LS | Drawing List'!$G:$G,"LS-T01-8",'LS | Drawing List'!$K:$K,1)</f>
        <v>0</v>
      </c>
      <c r="EW59" s="514">
        <f>COUNTIFS('LS | Drawing List'!$G:$G,"LS-T01-8",'LS | Drawing List'!L:L,1)</f>
        <v>0</v>
      </c>
      <c r="EX59" s="514">
        <f>COUNTIFS('LS | Drawing List'!$G:$G,"LS-T01-8",'LS | Drawing List'!M:M,1)</f>
        <v>0</v>
      </c>
      <c r="EY59" s="514">
        <f>COUNTIFS('LS | Drawing List'!$G:$G,"LS-T01-8",'LS | Drawing List'!N:N,1)</f>
        <v>0</v>
      </c>
      <c r="EZ59" s="514">
        <f>COUNTIFS('LS | Drawing List'!$G:$G,"LS-T01-8",'LS | Drawing List'!O:O,1)</f>
        <v>0</v>
      </c>
      <c r="FA59" s="515"/>
      <c r="FB59" s="506">
        <f>COUNTIFS('LS | Drawing List'!$G:$G,"LS-T01-8",'LS | Drawing List'!$P:$P,1)</f>
        <v>0</v>
      </c>
      <c r="FC59" s="514">
        <f>COUNTIFS('LS | Drawing List'!$G:$G,"LS-T01-8",'LS | Drawing List'!Q:Q,1)</f>
        <v>0</v>
      </c>
      <c r="FD59" s="514">
        <f>COUNTIFS('LS | Drawing List'!$G:$G,"LS-T01-8",'LS | Drawing List'!R:R,1)</f>
        <v>0</v>
      </c>
      <c r="FE59" s="514">
        <f>COUNTIFS('LS | Drawing List'!$G:$G,"LS-T01-8",'LS | Drawing List'!S:S,1)</f>
        <v>0</v>
      </c>
      <c r="FF59" s="514">
        <f>COUNTIFS('LS | Drawing List'!$G:$G,"LS-T01-8",'LS | Drawing List'!T:T,1)</f>
        <v>0</v>
      </c>
    </row>
    <row r="60" spans="2:163" s="51" customFormat="1" ht="14.25" outlineLevel="2">
      <c r="B60" s="564" t="s">
        <v>68</v>
      </c>
      <c r="C60" s="579">
        <v>9</v>
      </c>
      <c r="D60" s="580" t="s">
        <v>69</v>
      </c>
      <c r="F60" s="581">
        <f t="shared" si="82"/>
        <v>0.18364650000000002</v>
      </c>
      <c r="G60" s="581">
        <f t="shared" si="83"/>
        <v>0.18364650000000002</v>
      </c>
      <c r="H60" s="567">
        <f t="shared" si="84"/>
        <v>0</v>
      </c>
      <c r="I60" s="567">
        <f t="shared" si="85"/>
        <v>0</v>
      </c>
      <c r="J60" s="567">
        <f t="shared" si="86"/>
        <v>0</v>
      </c>
      <c r="K60" s="514">
        <f t="shared" si="87"/>
        <v>0</v>
      </c>
      <c r="L60" s="514">
        <f t="shared" si="88"/>
        <v>0</v>
      </c>
      <c r="M60" s="567">
        <f t="shared" si="89"/>
        <v>0</v>
      </c>
      <c r="N60" s="568"/>
      <c r="O60" s="514">
        <f t="shared" si="90"/>
        <v>0</v>
      </c>
      <c r="P60" s="514">
        <f t="shared" si="91"/>
        <v>0</v>
      </c>
      <c r="Q60" s="514">
        <f t="shared" si="92"/>
        <v>0</v>
      </c>
      <c r="R60" s="514">
        <f t="shared" si="93"/>
        <v>0</v>
      </c>
      <c r="S60" s="514">
        <f t="shared" si="94"/>
        <v>0</v>
      </c>
      <c r="U60" s="583">
        <v>2.5000000000000001E-2</v>
      </c>
      <c r="V60" s="584"/>
      <c r="W60" s="581">
        <f t="shared" si="142"/>
        <v>6.1477500000000011E-2</v>
      </c>
      <c r="X60" s="581">
        <f t="shared" si="19"/>
        <v>6.1477500000000011E-2</v>
      </c>
      <c r="Y60" s="567">
        <f t="shared" si="109"/>
        <v>6.1477500000000011E-2</v>
      </c>
      <c r="Z60" s="567">
        <f t="shared" si="110"/>
        <v>0</v>
      </c>
      <c r="AA60" s="567">
        <f t="shared" si="111"/>
        <v>0</v>
      </c>
      <c r="AB60" s="514">
        <f t="shared" si="112"/>
        <v>0</v>
      </c>
      <c r="AC60" s="514">
        <f t="shared" si="113"/>
        <v>0</v>
      </c>
      <c r="AD60" s="567">
        <f t="shared" si="114"/>
        <v>0</v>
      </c>
      <c r="AE60" s="568"/>
      <c r="AF60" s="514">
        <f t="shared" si="115"/>
        <v>0</v>
      </c>
      <c r="AG60" s="514">
        <f t="shared" si="116"/>
        <v>0</v>
      </c>
      <c r="AH60" s="514">
        <f t="shared" si="117"/>
        <v>0</v>
      </c>
      <c r="AI60" s="514">
        <f t="shared" si="118"/>
        <v>0</v>
      </c>
      <c r="AJ60" s="514">
        <f t="shared" si="119"/>
        <v>0</v>
      </c>
      <c r="AK60" s="501"/>
      <c r="AL60" s="585">
        <f t="shared" si="120"/>
        <v>1</v>
      </c>
      <c r="AM60" s="585">
        <f t="shared" si="121"/>
        <v>0</v>
      </c>
      <c r="AN60" s="570">
        <f t="shared" si="122"/>
        <v>0</v>
      </c>
      <c r="AO60" s="586"/>
      <c r="AP60" s="567">
        <f>COUNTIF('AR | Drawing List'!$G:$G,"AR-T01-9")</f>
        <v>1</v>
      </c>
      <c r="AQ60" s="582">
        <f>COUNTIFS('AR | Drawing List'!$G:$G,"AR-T01-9",'AR | Drawing List'!$I:$I,1)</f>
        <v>1</v>
      </c>
      <c r="AR60" s="582">
        <f t="shared" si="32"/>
        <v>0</v>
      </c>
      <c r="AS60" s="582">
        <f>COUNTIFS('AR | Drawing List'!$G:$G,"AR-T01-9",'AR | Drawing List'!M:M,1)</f>
        <v>0</v>
      </c>
      <c r="AT60" s="582">
        <f>COUNTIFS('AR | Drawing List'!$G:$G,"AR-T01-9",'AR | Drawing List'!N:N,1)</f>
        <v>0</v>
      </c>
      <c r="AU60" s="582">
        <f>COUNTIFS('AR | Drawing List'!$G:$G,"AR-T01-9",'AR | Drawing List'!O:O,1)</f>
        <v>0</v>
      </c>
      <c r="AV60" s="582">
        <f>COUNTIFS('AR | Drawing List'!$G:$G,"AR-T01-9",'AR | Drawing List'!P:P,1)</f>
        <v>0</v>
      </c>
      <c r="AW60" s="587"/>
      <c r="AX60" s="582">
        <f t="shared" si="123"/>
        <v>0</v>
      </c>
      <c r="AY60" s="582">
        <f>COUNTIFS('AR | Drawing List'!$G:$G,"AR-T01-9",'AR | Drawing List'!R:R,1)</f>
        <v>0</v>
      </c>
      <c r="AZ60" s="582">
        <f>COUNTIFS('AR | Drawing List'!$G:$G,"AR-T01-9",'AR | Drawing List'!S:S,1)</f>
        <v>0</v>
      </c>
      <c r="BA60" s="582">
        <f>COUNTIFS('AR | Drawing List'!$G:$G,"AR-T01-9",'AR | Drawing List'!T:T,1)</f>
        <v>0</v>
      </c>
      <c r="BB60" s="582">
        <f>COUNTIFS('AR | Drawing List'!$G:$G,"AR-T01-9",'AR | Drawing List'!U:U,1)</f>
        <v>0</v>
      </c>
      <c r="BC60" s="587"/>
      <c r="BD60" s="587"/>
      <c r="BE60" s="592">
        <v>0.1</v>
      </c>
      <c r="BF60" s="588"/>
      <c r="BG60" s="582">
        <f t="shared" si="124"/>
        <v>9.8310000000000008E-2</v>
      </c>
      <c r="BH60" s="589">
        <f t="shared" si="22"/>
        <v>9.8310000000000008E-2</v>
      </c>
      <c r="BI60" s="567">
        <f t="shared" si="125"/>
        <v>9.8310000000000008E-2</v>
      </c>
      <c r="BJ60" s="567">
        <f t="shared" si="126"/>
        <v>0</v>
      </c>
      <c r="BK60" s="514">
        <f t="shared" si="127"/>
        <v>0</v>
      </c>
      <c r="BL60" s="514">
        <f t="shared" si="128"/>
        <v>0</v>
      </c>
      <c r="BM60" s="514">
        <f t="shared" si="129"/>
        <v>0</v>
      </c>
      <c r="BN60" s="514">
        <f t="shared" si="130"/>
        <v>0</v>
      </c>
      <c r="BO60" s="501"/>
      <c r="BP60" s="514">
        <f t="shared" si="131"/>
        <v>0</v>
      </c>
      <c r="BQ60" s="514">
        <f t="shared" si="132"/>
        <v>0</v>
      </c>
      <c r="BR60" s="514">
        <f t="shared" si="133"/>
        <v>0</v>
      </c>
      <c r="BS60" s="514">
        <f t="shared" si="134"/>
        <v>0</v>
      </c>
      <c r="BT60" s="514">
        <f t="shared" si="135"/>
        <v>0</v>
      </c>
      <c r="BU60" s="501"/>
      <c r="BV60" s="571">
        <f t="shared" si="143"/>
        <v>1</v>
      </c>
      <c r="BW60" s="571">
        <f t="shared" si="144"/>
        <v>0</v>
      </c>
      <c r="BX60" s="571">
        <f t="shared" si="145"/>
        <v>0</v>
      </c>
      <c r="BY60" s="586"/>
      <c r="BZ60" s="567">
        <f>COUNTIF('ST | Drawing List'!$G:$G,"ST-T01-9")</f>
        <v>18</v>
      </c>
      <c r="CA60" s="582">
        <f>COUNTIFS('ST | Drawing List'!$G:$G,"ST-T01-9",'ST | Drawing List'!$I:$I,1)</f>
        <v>18</v>
      </c>
      <c r="CB60" s="590">
        <f>COUNTIFS('ST | Drawing List'!$G:$G,"ST-T01-9",'ST | Drawing List'!$K:$K,1)</f>
        <v>0</v>
      </c>
      <c r="CC60" s="582">
        <f>COUNTIFS('ST | Drawing List'!$G:$G,"ST-T01-9",'ST | Drawing List'!L:L,1)</f>
        <v>0</v>
      </c>
      <c r="CD60" s="582">
        <f>COUNTIFS('ST | Drawing List'!$G:$G,"ST-T01-9",'ST | Drawing List'!M:M,1)</f>
        <v>0</v>
      </c>
      <c r="CE60" s="582">
        <f>COUNTIFS('ST | Drawing List'!$G:$G,"ST-T01-9",'ST | Drawing List'!N:N,1)</f>
        <v>0</v>
      </c>
      <c r="CF60" s="582">
        <f>COUNTIFS('ST | Drawing List'!$G:$G,"ST-T01-9",'ST | Drawing List'!O:O,1)</f>
        <v>0</v>
      </c>
      <c r="CG60" s="591"/>
      <c r="CH60" s="590">
        <f>COUNTIFS('ST | Drawing List'!$G:$G,"ST-T01-9",'ST | Drawing List'!$P:$P,1)</f>
        <v>0</v>
      </c>
      <c r="CI60" s="582">
        <f>COUNTIFS('ST | Drawing List'!$G:$G,"ST-T01-9",'ST | Drawing List'!Q:Q,1)</f>
        <v>0</v>
      </c>
      <c r="CJ60" s="582">
        <f>COUNTIFS('ST | Drawing List'!$G:$G,"ST-T01-9",'ST | Drawing List'!R:R,1)</f>
        <v>0</v>
      </c>
      <c r="CK60" s="582">
        <f>COUNTIFS('ST | Drawing List'!$G:$G,"ST-T01-9",'ST | Drawing List'!S:S,1)</f>
        <v>0</v>
      </c>
      <c r="CL60" s="582">
        <f>COUNTIFS('ST | Drawing List'!$G:$G,"ST-T01-9",'ST | Drawing List'!T:T,1)</f>
        <v>0</v>
      </c>
      <c r="CM60" s="588"/>
      <c r="CN60" s="588"/>
      <c r="CO60" s="592">
        <v>0.15</v>
      </c>
      <c r="CP60" s="588"/>
      <c r="CQ60" s="582">
        <f t="shared" si="138"/>
        <v>2.3859000000000002E-2</v>
      </c>
      <c r="CR60" s="589">
        <f t="shared" si="25"/>
        <v>2.3859000000000002E-2</v>
      </c>
      <c r="CS60" s="567">
        <f t="shared" si="139"/>
        <v>2.3859000000000002E-2</v>
      </c>
      <c r="CT60" s="514">
        <f t="shared" si="146"/>
        <v>0</v>
      </c>
      <c r="CU60" s="514">
        <f t="shared" si="147"/>
        <v>0</v>
      </c>
      <c r="CV60" s="514">
        <f t="shared" si="148"/>
        <v>0</v>
      </c>
      <c r="CW60" s="514">
        <f t="shared" si="149"/>
        <v>0</v>
      </c>
      <c r="CX60" s="514">
        <f t="shared" si="150"/>
        <v>0</v>
      </c>
      <c r="CY60" s="501"/>
      <c r="CZ60" s="514">
        <f t="shared" si="151"/>
        <v>0</v>
      </c>
      <c r="DA60" s="514">
        <f t="shared" si="152"/>
        <v>0</v>
      </c>
      <c r="DB60" s="514">
        <f t="shared" si="153"/>
        <v>0</v>
      </c>
      <c r="DC60" s="514">
        <f t="shared" si="154"/>
        <v>0</v>
      </c>
      <c r="DD60" s="514">
        <f t="shared" si="155"/>
        <v>0</v>
      </c>
      <c r="DE60" s="501"/>
      <c r="DF60" s="570">
        <f t="shared" si="156"/>
        <v>1</v>
      </c>
      <c r="DG60" s="570">
        <f t="shared" si="157"/>
        <v>0</v>
      </c>
      <c r="DH60" s="570">
        <f t="shared" si="158"/>
        <v>0</v>
      </c>
      <c r="DI60" s="586"/>
      <c r="DJ60" s="567">
        <f>COUNTIF('MEP | Drawing List'!$G:$G,"MEP-T01-07-9")</f>
        <v>10</v>
      </c>
      <c r="DK60" s="582">
        <f>COUNTIFS('MEP | Drawing List'!$G:$G,"MEP-T01-07-9",'MEP | Drawing List'!$I:$I,1)</f>
        <v>10</v>
      </c>
      <c r="DL60" s="582">
        <f>COUNTIFS('MEP | Drawing List'!$G:$G,"MEP-T01-07-9",'MEP | Drawing List'!$K:$K,1)</f>
        <v>0</v>
      </c>
      <c r="DM60" s="567">
        <f>COUNTIFS('MEP | Drawing List'!$G:$G,"MEP-T01-07-9",'MEP | Drawing List'!L:L,1)</f>
        <v>0</v>
      </c>
      <c r="DN60" s="567">
        <f>COUNTIFS('MEP | Drawing List'!$G:$G,"MEP-T01-07-9",'MEP | Drawing List'!M:M,1)</f>
        <v>0</v>
      </c>
      <c r="DO60" s="567">
        <f>COUNTIFS('MEP | Drawing List'!$G:$G,"MEP-T01-07-9",'MEP | Drawing List'!N:N,1)</f>
        <v>0</v>
      </c>
      <c r="DP60" s="567">
        <f>COUNTIFS('MEP | Drawing List'!$G:$G,"MEP-T01-07-9",'MEP | Drawing List'!O:O,1)</f>
        <v>0</v>
      </c>
      <c r="DQ60" s="568"/>
      <c r="DR60" s="582">
        <f>COUNTIFS('MEP | Drawing List'!$G:$G,"MEP-T01-07-9",'MEP | Drawing List'!$P:$P,1)</f>
        <v>0</v>
      </c>
      <c r="DS60" s="567">
        <f>COUNTIFS('MEP | Drawing List'!$G:$G,"MEP-T01-07-9",'MEP | Drawing List'!Q:Q,1)</f>
        <v>0</v>
      </c>
      <c r="DT60" s="567">
        <f>COUNTIFS('MEP | Drawing List'!$G:$G,"MEP-T01-07-9",'MEP | Drawing List'!R:R,1)</f>
        <v>0</v>
      </c>
      <c r="DU60" s="567">
        <f>COUNTIFS('MEP | Drawing List'!$G:$G,"MEP-T01-07-9",'MEP | Drawing List'!S:S,1)</f>
        <v>0</v>
      </c>
      <c r="DV60" s="567">
        <f>COUNTIFS('MEP | Drawing List'!$G:$G,"MEP-T01-07-9",'MEP | Drawing List'!T:T,1)</f>
        <v>0</v>
      </c>
      <c r="DW60" s="588"/>
      <c r="DX60" s="588"/>
      <c r="DY60" s="592">
        <v>0</v>
      </c>
      <c r="DZ60" s="588"/>
      <c r="EA60" s="509"/>
      <c r="EB60" s="589">
        <f t="shared" si="28"/>
        <v>0</v>
      </c>
      <c r="EC60" s="574"/>
      <c r="ED60" s="574"/>
      <c r="EE60" s="501"/>
      <c r="EF60" s="501"/>
      <c r="EG60" s="501"/>
      <c r="EH60" s="501"/>
      <c r="EI60" s="501"/>
      <c r="EJ60" s="574"/>
      <c r="EK60" s="501"/>
      <c r="EL60" s="501"/>
      <c r="EM60" s="501"/>
      <c r="EN60" s="501"/>
      <c r="EO60" s="501"/>
      <c r="EP60" s="52"/>
      <c r="EQ60" s="52"/>
      <c r="ER60" s="52"/>
      <c r="ES60" s="593"/>
      <c r="ET60" s="567">
        <f>COUNTIF('LS | Drawing List'!$G:$G,"LS-T01-9")</f>
        <v>0</v>
      </c>
      <c r="EU60" s="582">
        <f>COUNTIFS('LS | Drawing List'!$G:$G,"LS-T01-9",'LS | Drawing List'!$I:$I,1)</f>
        <v>0</v>
      </c>
      <c r="EV60" s="582">
        <f>COUNTIFS('LS | Drawing List'!$G:$G,"LS-T01-9",'LS | Drawing List'!$K:$K,1)</f>
        <v>0</v>
      </c>
      <c r="EW60" s="567">
        <f>COUNTIFS('LS | Drawing List'!$G:$G,"LS-T01-9",'LS | Drawing List'!L:L,1)</f>
        <v>0</v>
      </c>
      <c r="EX60" s="567">
        <f>COUNTIFS('LS | Drawing List'!$G:$G,"LS-T01-9",'LS | Drawing List'!M:M,1)</f>
        <v>0</v>
      </c>
      <c r="EY60" s="567">
        <f>COUNTIFS('LS | Drawing List'!$G:$G,"LS-T01-9",'LS | Drawing List'!N:N,1)</f>
        <v>0</v>
      </c>
      <c r="EZ60" s="567">
        <f>COUNTIFS('LS | Drawing List'!$G:$G,"LS-T01-9",'LS | Drawing List'!O:O,1)</f>
        <v>0</v>
      </c>
      <c r="FA60" s="574"/>
      <c r="FB60" s="582">
        <f>COUNTIFS('LS | Drawing List'!$G:$G,"LS-T01-9",'LS | Drawing List'!$P:$P,1)</f>
        <v>0</v>
      </c>
      <c r="FC60" s="567">
        <f>COUNTIFS('LS | Drawing List'!$G:$G,"LS-T01-9",'LS | Drawing List'!Q:Q,1)</f>
        <v>0</v>
      </c>
      <c r="FD60" s="567">
        <f>COUNTIFS('LS | Drawing List'!$G:$G,"LS-T01-9",'LS | Drawing List'!R:R,1)</f>
        <v>0</v>
      </c>
      <c r="FE60" s="567">
        <f>COUNTIFS('LS | Drawing List'!$G:$G,"LS-T01-9",'LS | Drawing List'!S:S,1)</f>
        <v>0</v>
      </c>
      <c r="FF60" s="567">
        <f>COUNTIFS('LS | Drawing List'!$G:$G,"LS-T01-9",'LS | Drawing List'!T:T,1)</f>
        <v>0</v>
      </c>
    </row>
    <row r="61" spans="2:163" s="51" customFormat="1" ht="14.25" outlineLevel="2">
      <c r="B61" s="564" t="s">
        <v>70</v>
      </c>
      <c r="C61" s="579">
        <v>10</v>
      </c>
      <c r="D61" s="580" t="s">
        <v>71</v>
      </c>
      <c r="F61" s="581">
        <f t="shared" si="82"/>
        <v>0.24591000000000005</v>
      </c>
      <c r="G61" s="581">
        <f t="shared" si="83"/>
        <v>0.24591000000000005</v>
      </c>
      <c r="H61" s="567">
        <f t="shared" si="84"/>
        <v>0</v>
      </c>
      <c r="I61" s="567">
        <f t="shared" si="85"/>
        <v>0</v>
      </c>
      <c r="J61" s="567">
        <f t="shared" si="86"/>
        <v>0</v>
      </c>
      <c r="K61" s="567">
        <f t="shared" si="87"/>
        <v>0</v>
      </c>
      <c r="L61" s="567">
        <f t="shared" si="88"/>
        <v>0</v>
      </c>
      <c r="M61" s="567">
        <f t="shared" si="89"/>
        <v>0</v>
      </c>
      <c r="N61" s="568"/>
      <c r="O61" s="514">
        <f t="shared" si="90"/>
        <v>0</v>
      </c>
      <c r="P61" s="514">
        <f t="shared" si="91"/>
        <v>0</v>
      </c>
      <c r="Q61" s="514">
        <f t="shared" si="92"/>
        <v>0</v>
      </c>
      <c r="R61" s="514">
        <f t="shared" si="93"/>
        <v>0</v>
      </c>
      <c r="S61" s="514">
        <f t="shared" si="94"/>
        <v>0</v>
      </c>
      <c r="U61" s="583">
        <v>0.1</v>
      </c>
      <c r="V61" s="584"/>
      <c r="W61" s="581">
        <f t="shared" si="142"/>
        <v>0.24591000000000005</v>
      </c>
      <c r="X61" s="581">
        <f t="shared" si="19"/>
        <v>0.24591000000000005</v>
      </c>
      <c r="Y61" s="567">
        <f t="shared" si="109"/>
        <v>0.24591000000000005</v>
      </c>
      <c r="Z61" s="567">
        <f t="shared" si="110"/>
        <v>0</v>
      </c>
      <c r="AA61" s="567">
        <f t="shared" si="111"/>
        <v>0</v>
      </c>
      <c r="AB61" s="567">
        <f t="shared" si="112"/>
        <v>0</v>
      </c>
      <c r="AC61" s="567">
        <f t="shared" si="113"/>
        <v>0</v>
      </c>
      <c r="AD61" s="567">
        <f t="shared" si="114"/>
        <v>0</v>
      </c>
      <c r="AE61" s="568"/>
      <c r="AF61" s="514">
        <f t="shared" si="115"/>
        <v>0</v>
      </c>
      <c r="AG61" s="514">
        <f t="shared" si="116"/>
        <v>0</v>
      </c>
      <c r="AH61" s="514">
        <f t="shared" si="117"/>
        <v>0</v>
      </c>
      <c r="AI61" s="514">
        <f t="shared" si="118"/>
        <v>0</v>
      </c>
      <c r="AJ61" s="514">
        <f t="shared" si="119"/>
        <v>0</v>
      </c>
      <c r="AK61" s="501"/>
      <c r="AL61" s="585">
        <f t="shared" si="120"/>
        <v>1</v>
      </c>
      <c r="AM61" s="585">
        <f t="shared" si="121"/>
        <v>0</v>
      </c>
      <c r="AN61" s="570">
        <f t="shared" si="122"/>
        <v>0</v>
      </c>
      <c r="AO61" s="586"/>
      <c r="AP61" s="567">
        <f>COUNTIF('AR | Drawing List'!$G:$G,"AR-T01-10")</f>
        <v>4</v>
      </c>
      <c r="AQ61" s="582">
        <f>COUNTIFS('AR | Drawing List'!$G:$G,"AR-T01-10",'AR | Drawing List'!$I:$I,1)</f>
        <v>4</v>
      </c>
      <c r="AR61" s="582">
        <f t="shared" si="32"/>
        <v>0</v>
      </c>
      <c r="AS61" s="582">
        <f>COUNTIFS('AR | Drawing List'!$G:$G,"AR-T01-10",'AR | Drawing List'!M:M,1)</f>
        <v>0</v>
      </c>
      <c r="AT61" s="582">
        <f>COUNTIFS('AR | Drawing List'!$G:$G,"AR-T01-10",'AR | Drawing List'!N:N,1)</f>
        <v>0</v>
      </c>
      <c r="AU61" s="582">
        <f>COUNTIFS('AR | Drawing List'!$G:$G,"AR-T01-10",'AR | Drawing List'!O:O,1)</f>
        <v>0</v>
      </c>
      <c r="AV61" s="582">
        <f>COUNTIFS('AR | Drawing List'!$G:$G,"AR-T01-10",'AR | Drawing List'!P:P,1)</f>
        <v>0</v>
      </c>
      <c r="AW61" s="587"/>
      <c r="AX61" s="582">
        <f t="shared" si="123"/>
        <v>0</v>
      </c>
      <c r="AY61" s="582">
        <f>COUNTIFS('AR | Drawing List'!$G:$G,"AR-T01-10",'AR | Drawing List'!R:R,1)</f>
        <v>0</v>
      </c>
      <c r="AZ61" s="582">
        <f>COUNTIFS('AR | Drawing List'!$G:$G,"AR-T01-10",'AR | Drawing List'!S:S,1)</f>
        <v>0</v>
      </c>
      <c r="BA61" s="582">
        <f>COUNTIFS('AR | Drawing List'!$G:$G,"AR-T01-10",'AR | Drawing List'!T:T,1)</f>
        <v>0</v>
      </c>
      <c r="BB61" s="582">
        <f>COUNTIFS('AR | Drawing List'!$G:$G,"AR-T01-10",'AR | Drawing List'!U:U,1)</f>
        <v>0</v>
      </c>
      <c r="BC61" s="587"/>
      <c r="BD61" s="587"/>
      <c r="BE61" s="576">
        <v>0</v>
      </c>
      <c r="BF61" s="588"/>
      <c r="BG61" s="582">
        <f t="shared" si="124"/>
        <v>0</v>
      </c>
      <c r="BH61" s="589">
        <f t="shared" si="22"/>
        <v>0</v>
      </c>
      <c r="BI61" s="567">
        <f t="shared" si="125"/>
        <v>0</v>
      </c>
      <c r="BJ61" s="567">
        <f t="shared" si="126"/>
        <v>0</v>
      </c>
      <c r="BK61" s="514">
        <f t="shared" si="127"/>
        <v>0</v>
      </c>
      <c r="BL61" s="514">
        <f t="shared" si="128"/>
        <v>0</v>
      </c>
      <c r="BM61" s="514">
        <f t="shared" si="129"/>
        <v>0</v>
      </c>
      <c r="BN61" s="514">
        <f t="shared" si="130"/>
        <v>0</v>
      </c>
      <c r="BO61" s="501"/>
      <c r="BP61" s="514">
        <f t="shared" si="131"/>
        <v>0</v>
      </c>
      <c r="BQ61" s="514">
        <f t="shared" si="132"/>
        <v>0</v>
      </c>
      <c r="BR61" s="514">
        <f t="shared" si="133"/>
        <v>0</v>
      </c>
      <c r="BS61" s="514">
        <f t="shared" si="134"/>
        <v>0</v>
      </c>
      <c r="BT61" s="514">
        <f t="shared" si="135"/>
        <v>0</v>
      </c>
      <c r="BU61" s="501"/>
      <c r="BV61" s="571">
        <f t="shared" si="143"/>
        <v>0</v>
      </c>
      <c r="BW61" s="571">
        <f t="shared" si="144"/>
        <v>0</v>
      </c>
      <c r="BX61" s="571">
        <f t="shared" si="145"/>
        <v>0</v>
      </c>
      <c r="BY61" s="586"/>
      <c r="BZ61" s="567">
        <f>COUNTIF('ST | Drawing List'!$G:$G,"ST-T01-10")</f>
        <v>0</v>
      </c>
      <c r="CA61" s="582">
        <f>COUNTIFS('ST | Drawing List'!$G:$G,"ST-T01-10",'ST | Drawing List'!$I:$I,1)</f>
        <v>0</v>
      </c>
      <c r="CB61" s="590">
        <f>COUNTIFS('ST | Drawing List'!$G:$G,"ST-T01-10",'ST | Drawing List'!$K:$K,1)</f>
        <v>0</v>
      </c>
      <c r="CC61" s="582">
        <f>COUNTIFS('ST | Drawing List'!$G:$G,"ST-T01-10",'ST | Drawing List'!L:L,1)</f>
        <v>0</v>
      </c>
      <c r="CD61" s="582">
        <f>COUNTIFS('ST | Drawing List'!$G:$G,"ST-T01-10",'ST | Drawing List'!M:M,1)</f>
        <v>0</v>
      </c>
      <c r="CE61" s="582">
        <f>COUNTIFS('ST | Drawing List'!$G:$G,"ST-T01-10",'ST | Drawing List'!N:N,1)</f>
        <v>0</v>
      </c>
      <c r="CF61" s="582">
        <f>COUNTIFS('ST | Drawing List'!$G:$G,"ST-T01-10",'ST | Drawing List'!O:O,1)</f>
        <v>0</v>
      </c>
      <c r="CG61" s="591"/>
      <c r="CH61" s="590">
        <f>COUNTIFS('ST | Drawing List'!$G:$G,"ST-T01-10",'ST | Drawing List'!$P:$P,1)</f>
        <v>0</v>
      </c>
      <c r="CI61" s="582">
        <f>COUNTIFS('ST | Drawing List'!$G:$G,"ST-T01-10",'ST | Drawing List'!Q:Q,1)</f>
        <v>0</v>
      </c>
      <c r="CJ61" s="582">
        <f>COUNTIFS('ST | Drawing List'!$G:$G,"ST-T01-10",'ST | Drawing List'!R:R,1)</f>
        <v>0</v>
      </c>
      <c r="CK61" s="582">
        <f>COUNTIFS('ST | Drawing List'!$G:$G,"ST-T01-10",'ST | Drawing List'!S:S,1)</f>
        <v>0</v>
      </c>
      <c r="CL61" s="582">
        <f>COUNTIFS('ST | Drawing List'!$G:$G,"ST-T01-10",'ST | Drawing List'!T:T,1)</f>
        <v>0</v>
      </c>
      <c r="CM61" s="588"/>
      <c r="CN61" s="588"/>
      <c r="CO61" s="576">
        <v>0</v>
      </c>
      <c r="CP61" s="588"/>
      <c r="CQ61" s="582">
        <f t="shared" si="138"/>
        <v>0</v>
      </c>
      <c r="CR61" s="589">
        <f t="shared" si="25"/>
        <v>0</v>
      </c>
      <c r="CS61" s="567">
        <f t="shared" si="139"/>
        <v>0</v>
      </c>
      <c r="CT61" s="514">
        <f t="shared" si="146"/>
        <v>0</v>
      </c>
      <c r="CU61" s="514">
        <f t="shared" si="147"/>
        <v>0</v>
      </c>
      <c r="CV61" s="514">
        <f t="shared" si="148"/>
        <v>0</v>
      </c>
      <c r="CW61" s="514">
        <f t="shared" si="149"/>
        <v>0</v>
      </c>
      <c r="CX61" s="514">
        <f t="shared" si="150"/>
        <v>0</v>
      </c>
      <c r="CY61" s="501"/>
      <c r="CZ61" s="514">
        <f t="shared" si="151"/>
        <v>0</v>
      </c>
      <c r="DA61" s="514">
        <f t="shared" si="152"/>
        <v>0</v>
      </c>
      <c r="DB61" s="514">
        <f t="shared" si="153"/>
        <v>0</v>
      </c>
      <c r="DC61" s="514">
        <f t="shared" si="154"/>
        <v>0</v>
      </c>
      <c r="DD61" s="514">
        <f t="shared" si="155"/>
        <v>0</v>
      </c>
      <c r="DE61" s="501"/>
      <c r="DF61" s="570">
        <f t="shared" si="156"/>
        <v>0</v>
      </c>
      <c r="DG61" s="570">
        <f t="shared" si="157"/>
        <v>0</v>
      </c>
      <c r="DH61" s="570">
        <f t="shared" si="158"/>
        <v>0</v>
      </c>
      <c r="DI61" s="586"/>
      <c r="DJ61" s="567">
        <f>COUNTIF('MEP | Drawing List'!$G:$G,"MEP-T01-07-10")</f>
        <v>0</v>
      </c>
      <c r="DK61" s="582">
        <f>COUNTIFS('MEP | Drawing List'!$G:$G,"MEP-T01-07-10",'MEP | Drawing List'!$I:$I,1)</f>
        <v>0</v>
      </c>
      <c r="DL61" s="582">
        <f>COUNTIFS('MEP | Drawing List'!$G:$G,"MEP-T01-07-10",'MEP | Drawing List'!$K:$K,1)</f>
        <v>0</v>
      </c>
      <c r="DM61" s="567">
        <f>COUNTIFS('MEP | Drawing List'!$G:$G,"MEP-T01-07-10",'MEP | Drawing List'!L:L,1)</f>
        <v>0</v>
      </c>
      <c r="DN61" s="567">
        <f>COUNTIFS('MEP | Drawing List'!$G:$G,"MEP-T01-07-10",'MEP | Drawing List'!M:M,1)</f>
        <v>0</v>
      </c>
      <c r="DO61" s="567">
        <f>COUNTIFS('MEP | Drawing List'!$G:$G,"MEP-T01-07-10",'MEP | Drawing List'!N:N,1)</f>
        <v>0</v>
      </c>
      <c r="DP61" s="567">
        <f>COUNTIFS('MEP | Drawing List'!$G:$G,"MEP-T01-07-10",'MEP | Drawing List'!O:O,1)</f>
        <v>0</v>
      </c>
      <c r="DQ61" s="568"/>
      <c r="DR61" s="582">
        <f>COUNTIFS('MEP | Drawing List'!$G:$G,"MEP-T01-07-10",'MEP | Drawing List'!$P:$P,1)</f>
        <v>0</v>
      </c>
      <c r="DS61" s="567">
        <f>COUNTIFS('MEP | Drawing List'!$G:$G,"MEP-T01-07-10",'MEP | Drawing List'!Q:Q,1)</f>
        <v>0</v>
      </c>
      <c r="DT61" s="567">
        <f>COUNTIFS('MEP | Drawing List'!$G:$G,"MEP-T01-07-10",'MEP | Drawing List'!R:R,1)</f>
        <v>0</v>
      </c>
      <c r="DU61" s="567">
        <f>COUNTIFS('MEP | Drawing List'!$G:$G,"MEP-T01-07-10",'MEP | Drawing List'!S:S,1)</f>
        <v>0</v>
      </c>
      <c r="DV61" s="567">
        <f>COUNTIFS('MEP | Drawing List'!$G:$G,"MEP-T01-07-10",'MEP | Drawing List'!T:T,1)</f>
        <v>0</v>
      </c>
      <c r="DW61" s="588"/>
      <c r="DX61" s="588"/>
      <c r="DY61" s="592">
        <v>0</v>
      </c>
      <c r="DZ61" s="588"/>
      <c r="EA61" s="509"/>
      <c r="EB61" s="589">
        <f t="shared" si="28"/>
        <v>0</v>
      </c>
      <c r="EC61" s="574"/>
      <c r="ED61" s="574"/>
      <c r="EE61" s="501"/>
      <c r="EF61" s="501"/>
      <c r="EG61" s="501"/>
      <c r="EH61" s="501"/>
      <c r="EI61" s="501"/>
      <c r="EJ61" s="574"/>
      <c r="EK61" s="501"/>
      <c r="EL61" s="501"/>
      <c r="EM61" s="501"/>
      <c r="EN61" s="501"/>
      <c r="EO61" s="501"/>
      <c r="EP61" s="52"/>
      <c r="EQ61" s="52"/>
      <c r="ER61" s="52"/>
      <c r="ES61" s="593"/>
      <c r="ET61" s="567">
        <f>COUNTIF('LS | Drawing List'!$G:$G,"LS-T01-10")</f>
        <v>0</v>
      </c>
      <c r="EU61" s="582">
        <f>COUNTIFS('LS | Drawing List'!$G:$G,"LS-T01-10",'LS | Drawing List'!$I:$I,1)</f>
        <v>0</v>
      </c>
      <c r="EV61" s="582">
        <f>COUNTIFS('LS | Drawing List'!$G:$G,"LS-T01-10",'LS | Drawing List'!$K:$K,1)</f>
        <v>0</v>
      </c>
      <c r="EW61" s="567">
        <f>COUNTIFS('LS | Drawing List'!$G:$G,"LS-T01-10",'LS | Drawing List'!L:L,1)</f>
        <v>0</v>
      </c>
      <c r="EX61" s="567">
        <f>COUNTIFS('LS | Drawing List'!$G:$G,"LS-T01-10",'LS | Drawing List'!M:M,1)</f>
        <v>0</v>
      </c>
      <c r="EY61" s="567">
        <f>COUNTIFS('LS | Drawing List'!$G:$G,"LS-T01-10",'LS | Drawing List'!N:N,1)</f>
        <v>0</v>
      </c>
      <c r="EZ61" s="567">
        <f>COUNTIFS('LS | Drawing List'!$G:$G,"LS-T01-10",'LS | Drawing List'!O:O,1)</f>
        <v>0</v>
      </c>
      <c r="FA61" s="574"/>
      <c r="FB61" s="582">
        <f>COUNTIFS('LS | Drawing List'!$G:$G,"LS-T01-10",'LS | Drawing List'!$P:$P,1)</f>
        <v>0</v>
      </c>
      <c r="FC61" s="567">
        <f>COUNTIFS('LS | Drawing List'!$G:$G,"LS-T01-10",'LS | Drawing List'!Q:Q,1)</f>
        <v>0</v>
      </c>
      <c r="FD61" s="567">
        <f>COUNTIFS('LS | Drawing List'!$G:$G,"LS-T01-10",'LS | Drawing List'!R:R,1)</f>
        <v>0</v>
      </c>
      <c r="FE61" s="567">
        <f>COUNTIFS('LS | Drawing List'!$G:$G,"LS-T01-10",'LS | Drawing List'!S:S,1)</f>
        <v>0</v>
      </c>
      <c r="FF61" s="567">
        <f>COUNTIFS('LS | Drawing List'!$G:$G,"LS-T01-10",'LS | Drawing List'!T:T,1)</f>
        <v>0</v>
      </c>
    </row>
    <row r="62" spans="2:163" ht="3" customHeight="1" outlineLevel="1">
      <c r="B62" s="594"/>
      <c r="C62" s="595"/>
      <c r="D62" s="566"/>
      <c r="F62" s="499"/>
      <c r="G62" s="500"/>
      <c r="H62" s="501"/>
      <c r="I62" s="501"/>
      <c r="J62" s="501"/>
      <c r="K62" s="501"/>
      <c r="L62" s="501"/>
      <c r="M62" s="501"/>
      <c r="N62" s="501"/>
      <c r="O62" s="501"/>
      <c r="P62" s="501"/>
      <c r="Q62" s="501"/>
      <c r="R62" s="501"/>
      <c r="S62" s="501"/>
      <c r="U62" s="596"/>
      <c r="V62" s="597"/>
      <c r="W62" s="499"/>
      <c r="X62" s="500">
        <f t="shared" si="19"/>
        <v>0</v>
      </c>
      <c r="Y62" s="501"/>
      <c r="Z62" s="501"/>
      <c r="AA62" s="501"/>
      <c r="AB62" s="501"/>
      <c r="AC62" s="501"/>
      <c r="AD62" s="501"/>
      <c r="AE62" s="501"/>
      <c r="AF62" s="501"/>
      <c r="AG62" s="501"/>
      <c r="AH62" s="501"/>
      <c r="AI62" s="501"/>
      <c r="AJ62" s="501"/>
      <c r="AK62" s="501"/>
      <c r="AL62" s="513"/>
      <c r="AM62" s="513"/>
      <c r="AN62" s="513"/>
      <c r="AO62" s="505"/>
      <c r="AP62" s="551"/>
      <c r="AQ62" s="466"/>
      <c r="AR62" s="466"/>
      <c r="AS62" s="466"/>
      <c r="AT62" s="466"/>
      <c r="AU62" s="466"/>
      <c r="AV62" s="466"/>
      <c r="AW62" s="466"/>
      <c r="AX62" s="466"/>
      <c r="AY62" s="466"/>
      <c r="AZ62" s="466"/>
      <c r="BA62" s="466"/>
      <c r="BB62" s="466"/>
      <c r="BC62" s="466"/>
      <c r="BD62" s="466"/>
      <c r="BE62" s="596"/>
      <c r="BF62" s="597"/>
      <c r="BG62" s="509"/>
      <c r="BH62" s="598"/>
      <c r="BI62" s="501"/>
      <c r="BJ62" s="501"/>
      <c r="BK62" s="501"/>
      <c r="BL62" s="501"/>
      <c r="BM62" s="501"/>
      <c r="BN62" s="501"/>
      <c r="BO62" s="501"/>
      <c r="BP62" s="501"/>
      <c r="BQ62" s="501"/>
      <c r="BR62" s="501"/>
      <c r="BS62" s="501"/>
      <c r="BT62" s="501"/>
      <c r="BU62" s="501"/>
      <c r="BV62" s="511"/>
      <c r="BW62" s="511"/>
      <c r="BX62" s="511"/>
      <c r="BY62" s="505"/>
      <c r="BZ62" s="552"/>
      <c r="CA62" s="471"/>
      <c r="CB62" s="548"/>
      <c r="CC62" s="512"/>
      <c r="CD62" s="512"/>
      <c r="CE62" s="512"/>
      <c r="CF62" s="512"/>
      <c r="CG62" s="512"/>
      <c r="CH62" s="548"/>
      <c r="CI62" s="512"/>
      <c r="CJ62" s="512"/>
      <c r="CK62" s="512"/>
      <c r="CL62" s="512"/>
      <c r="CM62" s="597"/>
      <c r="CN62" s="597"/>
      <c r="CO62" s="596"/>
      <c r="CP62" s="597"/>
      <c r="CQ62" s="509"/>
      <c r="CR62" s="598"/>
      <c r="CS62" s="501"/>
      <c r="CT62" s="501"/>
      <c r="CU62" s="501"/>
      <c r="CV62" s="501"/>
      <c r="CW62" s="501"/>
      <c r="CX62" s="501"/>
      <c r="CY62" s="501"/>
      <c r="CZ62" s="501"/>
      <c r="DA62" s="501"/>
      <c r="DB62" s="501"/>
      <c r="DC62" s="501"/>
      <c r="DD62" s="501"/>
      <c r="DE62" s="501"/>
      <c r="DF62" s="513"/>
      <c r="DG62" s="513"/>
      <c r="DH62" s="513"/>
      <c r="DI62" s="505"/>
      <c r="DJ62" s="551"/>
      <c r="DK62" s="466"/>
      <c r="DL62" s="466"/>
      <c r="DM62" s="501"/>
      <c r="DN62" s="501"/>
      <c r="DO62" s="501"/>
      <c r="DP62" s="501"/>
      <c r="DQ62" s="501"/>
      <c r="DR62" s="466"/>
      <c r="DS62" s="501"/>
      <c r="DT62" s="501"/>
      <c r="DU62" s="501"/>
      <c r="DV62" s="501"/>
      <c r="DW62" s="597"/>
      <c r="DX62" s="597"/>
      <c r="DY62" s="596"/>
      <c r="DZ62" s="597"/>
      <c r="EA62" s="509"/>
      <c r="EB62" s="598"/>
      <c r="EC62" s="515"/>
      <c r="ED62" s="515"/>
      <c r="EE62" s="515"/>
      <c r="EF62" s="515"/>
      <c r="EG62" s="515"/>
      <c r="EH62" s="515"/>
      <c r="EI62" s="515"/>
      <c r="EJ62" s="515"/>
      <c r="EK62" s="515"/>
      <c r="EL62" s="515"/>
      <c r="EM62" s="515"/>
      <c r="EN62" s="515"/>
      <c r="EO62" s="515"/>
      <c r="EP62" s="52"/>
      <c r="EQ62" s="52"/>
      <c r="ER62" s="52"/>
      <c r="ES62" s="516"/>
      <c r="EU62" s="476"/>
      <c r="EV62" s="476"/>
      <c r="EW62" s="515"/>
      <c r="EX62" s="515"/>
      <c r="EY62" s="515"/>
      <c r="EZ62" s="515"/>
      <c r="FA62" s="515"/>
      <c r="FB62" s="476"/>
      <c r="FC62" s="515"/>
      <c r="FD62" s="515"/>
      <c r="FE62" s="515"/>
      <c r="FF62" s="515"/>
    </row>
    <row r="63" spans="2:163" ht="14.25" outlineLevel="1">
      <c r="B63" s="477"/>
      <c r="C63" s="559">
        <v>2</v>
      </c>
      <c r="D63" s="560" t="s">
        <v>72</v>
      </c>
      <c r="E63" s="479"/>
      <c r="F63" s="480">
        <f t="shared" ref="F63:F73" si="159">W63+BG63+CQ63+EA63</f>
        <v>1.6715288960000003</v>
      </c>
      <c r="G63" s="480">
        <f t="shared" ref="G63:G73" si="160">X63+BH63+CR63+EB63</f>
        <v>1.6715288960000005</v>
      </c>
      <c r="H63" s="481">
        <f t="shared" ref="H63:H73" si="161">F63-G63</f>
        <v>0</v>
      </c>
      <c r="I63" s="480">
        <f t="shared" ref="I63:I73" si="162">Z63+BJ63+CT63+ED63</f>
        <v>0</v>
      </c>
      <c r="J63" s="480">
        <f t="shared" ref="J63:J73" si="163">AA63+BK63+CU63+EE63</f>
        <v>0</v>
      </c>
      <c r="K63" s="480">
        <f t="shared" ref="K63:K73" si="164">AB63+BL63+CV63+EF63</f>
        <v>0</v>
      </c>
      <c r="L63" s="480">
        <f t="shared" ref="L63:L73" si="165">AC63+BM63+CW63+EG63</f>
        <v>0</v>
      </c>
      <c r="M63" s="480">
        <f t="shared" ref="M63:M73" si="166">AD63+BN63+CX63+EH63</f>
        <v>0</v>
      </c>
      <c r="N63" s="482"/>
      <c r="O63" s="480">
        <f t="shared" ref="O63:O73" si="167">AF63+BP63+CZ63+EJ63</f>
        <v>0</v>
      </c>
      <c r="P63" s="480">
        <f t="shared" ref="P63:P73" si="168">AG63+BQ63+DA63+EK63</f>
        <v>0</v>
      </c>
      <c r="Q63" s="480">
        <f t="shared" ref="Q63:Q73" si="169">AH63+BR63+DB63+EL63</f>
        <v>0</v>
      </c>
      <c r="R63" s="480">
        <f t="shared" ref="R63:R73" si="170">AI63+BS63+DC63+EM63</f>
        <v>0</v>
      </c>
      <c r="S63" s="480">
        <f t="shared" ref="S63:S73" si="171">AJ63+BT63+DD63+EN63</f>
        <v>0</v>
      </c>
      <c r="T63" s="479"/>
      <c r="U63" s="561">
        <f>SUM(U64:U73)</f>
        <v>0.5</v>
      </c>
      <c r="V63" s="483"/>
      <c r="W63" s="480">
        <f>U63*(5%*'BOQ COST'!E9*0.64)*1</f>
        <v>1.0908800000000003</v>
      </c>
      <c r="X63" s="480">
        <f t="shared" si="19"/>
        <v>1.0908800000000005</v>
      </c>
      <c r="Y63" s="481">
        <f>SUM(Y64:Y73)</f>
        <v>1.0908800000000005</v>
      </c>
      <c r="Z63" s="481">
        <f>SUM(Z64:Z73)</f>
        <v>0</v>
      </c>
      <c r="AA63" s="481">
        <f t="shared" ref="AA63:AD63" si="172">SUM(AA64:AA73)</f>
        <v>0</v>
      </c>
      <c r="AB63" s="481">
        <f t="shared" si="172"/>
        <v>0</v>
      </c>
      <c r="AC63" s="481">
        <f t="shared" si="172"/>
        <v>0</v>
      </c>
      <c r="AD63" s="481">
        <f t="shared" si="172"/>
        <v>0</v>
      </c>
      <c r="AE63" s="482"/>
      <c r="AF63" s="481">
        <f>SUM(AF64:AF73)</f>
        <v>0</v>
      </c>
      <c r="AG63" s="481">
        <f t="shared" ref="AG63:AJ63" si="173">SUM(AG64:AG73)</f>
        <v>0</v>
      </c>
      <c r="AH63" s="481">
        <f t="shared" si="173"/>
        <v>0</v>
      </c>
      <c r="AI63" s="481">
        <f t="shared" si="173"/>
        <v>0</v>
      </c>
      <c r="AJ63" s="481">
        <f t="shared" si="173"/>
        <v>0</v>
      </c>
      <c r="AK63" s="482"/>
      <c r="AL63" s="492"/>
      <c r="AM63" s="492"/>
      <c r="AN63" s="492"/>
      <c r="AO63" s="481">
        <f t="shared" ref="AO63" si="174">SUM(AO64:AO73)</f>
        <v>0</v>
      </c>
      <c r="AP63" s="481">
        <f t="shared" ref="AP63" si="175">SUM(AP64:AP73)</f>
        <v>103</v>
      </c>
      <c r="AQ63" s="481">
        <f t="shared" ref="AQ63" si="176">SUM(AQ64:AQ73)</f>
        <v>103</v>
      </c>
      <c r="AR63" s="481">
        <f t="shared" si="32"/>
        <v>0</v>
      </c>
      <c r="AS63" s="481">
        <f>SUM(AS64:AS73)</f>
        <v>0</v>
      </c>
      <c r="AT63" s="481">
        <f t="shared" ref="AT63:AX63" si="177">SUM(AT64:AT73)</f>
        <v>0</v>
      </c>
      <c r="AU63" s="481">
        <f t="shared" si="177"/>
        <v>0</v>
      </c>
      <c r="AV63" s="481">
        <f t="shared" si="177"/>
        <v>0</v>
      </c>
      <c r="AW63" s="482"/>
      <c r="AX63" s="481">
        <f t="shared" si="177"/>
        <v>0</v>
      </c>
      <c r="AY63" s="481">
        <f>SUM(AY64:AY73)</f>
        <v>0</v>
      </c>
      <c r="AZ63" s="481">
        <f t="shared" ref="AZ63:BB63" si="178">SUM(AZ64:AZ73)</f>
        <v>0</v>
      </c>
      <c r="BA63" s="481">
        <f t="shared" si="178"/>
        <v>0</v>
      </c>
      <c r="BB63" s="481">
        <f t="shared" si="178"/>
        <v>0</v>
      </c>
      <c r="BC63" s="487"/>
      <c r="BD63" s="487"/>
      <c r="BE63" s="483">
        <f>SUM(BE64:BE73)</f>
        <v>0.55000000000000004</v>
      </c>
      <c r="BF63" s="483"/>
      <c r="BG63" s="480">
        <f>BE63*(3%*'BOQ COST'!$F$9*0.64)*1</f>
        <v>0.49927680000000002</v>
      </c>
      <c r="BH63" s="480">
        <f t="shared" si="22"/>
        <v>0.49927680000000002</v>
      </c>
      <c r="BI63" s="481">
        <f>SUM(BI64:BI73)</f>
        <v>0.49927680000000002</v>
      </c>
      <c r="BJ63" s="481">
        <f>SUM(BJ64:BJ73)</f>
        <v>0</v>
      </c>
      <c r="BK63" s="481">
        <f t="shared" ref="BK63:CF63" si="179">SUM(BK64:BK73)</f>
        <v>0</v>
      </c>
      <c r="BL63" s="481">
        <f t="shared" si="179"/>
        <v>0</v>
      </c>
      <c r="BM63" s="481">
        <f t="shared" si="179"/>
        <v>0</v>
      </c>
      <c r="BN63" s="481">
        <f t="shared" si="179"/>
        <v>0</v>
      </c>
      <c r="BO63" s="482"/>
      <c r="BP63" s="481">
        <f>SUM(BP64:BP73)</f>
        <v>0</v>
      </c>
      <c r="BQ63" s="481">
        <f t="shared" ref="BQ63:BT63" si="180">SUM(BQ64:BQ73)</f>
        <v>0</v>
      </c>
      <c r="BR63" s="481">
        <f t="shared" si="180"/>
        <v>0</v>
      </c>
      <c r="BS63" s="481">
        <f t="shared" si="180"/>
        <v>0</v>
      </c>
      <c r="BT63" s="481">
        <f t="shared" si="180"/>
        <v>0</v>
      </c>
      <c r="BU63" s="482"/>
      <c r="BV63" s="488"/>
      <c r="BW63" s="488"/>
      <c r="BX63" s="488"/>
      <c r="BY63" s="481">
        <f t="shared" si="179"/>
        <v>0</v>
      </c>
      <c r="BZ63" s="481">
        <f t="shared" si="179"/>
        <v>709</v>
      </c>
      <c r="CA63" s="481">
        <f t="shared" si="179"/>
        <v>709</v>
      </c>
      <c r="CB63" s="481">
        <f t="shared" si="179"/>
        <v>0</v>
      </c>
      <c r="CC63" s="481">
        <f t="shared" si="179"/>
        <v>0</v>
      </c>
      <c r="CD63" s="481">
        <f t="shared" si="179"/>
        <v>0</v>
      </c>
      <c r="CE63" s="481">
        <f t="shared" si="179"/>
        <v>0</v>
      </c>
      <c r="CF63" s="481">
        <f t="shared" si="179"/>
        <v>0</v>
      </c>
      <c r="CG63" s="490"/>
      <c r="CH63" s="481">
        <f t="shared" ref="CH63:CL63" si="181">SUM(CH64:CH73)</f>
        <v>0</v>
      </c>
      <c r="CI63" s="481">
        <f t="shared" si="181"/>
        <v>0</v>
      </c>
      <c r="CJ63" s="481">
        <f t="shared" si="181"/>
        <v>0</v>
      </c>
      <c r="CK63" s="481">
        <f t="shared" si="181"/>
        <v>0</v>
      </c>
      <c r="CL63" s="481">
        <f t="shared" si="181"/>
        <v>0</v>
      </c>
      <c r="CM63" s="483"/>
      <c r="CN63" s="483"/>
      <c r="CO63" s="483">
        <f>SUM(CO64:CO73)</f>
        <v>0.65</v>
      </c>
      <c r="CP63" s="483"/>
      <c r="CQ63" s="480">
        <f>CO63*(2%*'BOQ COST'!$G$9*0.64)*1</f>
        <v>8.1372096000000005E-2</v>
      </c>
      <c r="CR63" s="480">
        <f t="shared" si="25"/>
        <v>8.1372095999999991E-2</v>
      </c>
      <c r="CS63" s="481">
        <f>SUM(CS64:CS73)</f>
        <v>8.1372095999999991E-2</v>
      </c>
      <c r="CT63" s="481">
        <f>SUM(CT64:CT73)</f>
        <v>0</v>
      </c>
      <c r="CU63" s="481">
        <f t="shared" ref="CU63:DP63" si="182">SUM(CU64:CU73)</f>
        <v>0</v>
      </c>
      <c r="CV63" s="481">
        <f t="shared" si="182"/>
        <v>0</v>
      </c>
      <c r="CW63" s="481">
        <f t="shared" si="182"/>
        <v>0</v>
      </c>
      <c r="CX63" s="481">
        <f t="shared" si="182"/>
        <v>0</v>
      </c>
      <c r="CY63" s="482"/>
      <c r="CZ63" s="481">
        <f>SUM(CZ64:CZ73)</f>
        <v>0</v>
      </c>
      <c r="DA63" s="481">
        <f t="shared" ref="DA63:DD63" si="183">SUM(DA64:DA73)</f>
        <v>0</v>
      </c>
      <c r="DB63" s="481">
        <f t="shared" si="183"/>
        <v>0</v>
      </c>
      <c r="DC63" s="481">
        <f t="shared" si="183"/>
        <v>0</v>
      </c>
      <c r="DD63" s="481">
        <f t="shared" si="183"/>
        <v>0</v>
      </c>
      <c r="DE63" s="482"/>
      <c r="DF63" s="492"/>
      <c r="DG63" s="492"/>
      <c r="DH63" s="492"/>
      <c r="DI63" s="481">
        <f t="shared" si="182"/>
        <v>0</v>
      </c>
      <c r="DJ63" s="481">
        <f t="shared" si="182"/>
        <v>173</v>
      </c>
      <c r="DK63" s="481">
        <f t="shared" si="182"/>
        <v>173</v>
      </c>
      <c r="DL63" s="481">
        <f t="shared" si="182"/>
        <v>0</v>
      </c>
      <c r="DM63" s="481">
        <f t="shared" si="182"/>
        <v>0</v>
      </c>
      <c r="DN63" s="481">
        <f t="shared" si="182"/>
        <v>0</v>
      </c>
      <c r="DO63" s="481">
        <f t="shared" si="182"/>
        <v>0</v>
      </c>
      <c r="DP63" s="481">
        <f t="shared" si="182"/>
        <v>0</v>
      </c>
      <c r="DQ63" s="482"/>
      <c r="DR63" s="481">
        <f t="shared" ref="DR63:DV63" si="184">SUM(DR64:DR73)</f>
        <v>0</v>
      </c>
      <c r="DS63" s="481">
        <f t="shared" si="184"/>
        <v>0</v>
      </c>
      <c r="DT63" s="481">
        <f t="shared" si="184"/>
        <v>0</v>
      </c>
      <c r="DU63" s="481">
        <f t="shared" si="184"/>
        <v>0</v>
      </c>
      <c r="DV63" s="481">
        <f t="shared" si="184"/>
        <v>0</v>
      </c>
      <c r="DW63" s="483"/>
      <c r="DX63" s="483"/>
      <c r="DY63" s="480">
        <f>SUM(DY64:DY73)</f>
        <v>0</v>
      </c>
      <c r="DZ63" s="483"/>
      <c r="EA63" s="491">
        <v>0</v>
      </c>
      <c r="EB63" s="480">
        <f t="shared" si="28"/>
        <v>0</v>
      </c>
      <c r="EC63" s="536">
        <f>SUM(EC64:EC73)</f>
        <v>0</v>
      </c>
      <c r="ED63" s="536">
        <f>SUM(ED64:ED73)</f>
        <v>0</v>
      </c>
      <c r="EE63" s="536">
        <f t="shared" ref="EE63:EZ63" si="185">SUM(EE64:EE73)</f>
        <v>0</v>
      </c>
      <c r="EF63" s="536">
        <f t="shared" si="185"/>
        <v>0</v>
      </c>
      <c r="EG63" s="536">
        <f t="shared" si="185"/>
        <v>0</v>
      </c>
      <c r="EH63" s="536">
        <f t="shared" si="185"/>
        <v>0</v>
      </c>
      <c r="EI63" s="562"/>
      <c r="EJ63" s="536">
        <f>SUM(EJ64:EJ73)</f>
        <v>0</v>
      </c>
      <c r="EK63" s="536">
        <f t="shared" ref="EK63:EN63" si="186">SUM(EK64:EK73)</f>
        <v>0</v>
      </c>
      <c r="EL63" s="536">
        <f t="shared" si="186"/>
        <v>0</v>
      </c>
      <c r="EM63" s="536">
        <f t="shared" si="186"/>
        <v>0</v>
      </c>
      <c r="EN63" s="536">
        <f t="shared" si="186"/>
        <v>0</v>
      </c>
      <c r="EO63" s="562"/>
      <c r="EP63" s="563"/>
      <c r="EQ63" s="563"/>
      <c r="ER63" s="563"/>
      <c r="ES63" s="536">
        <f t="shared" si="185"/>
        <v>0</v>
      </c>
      <c r="ET63" s="536">
        <f t="shared" si="185"/>
        <v>0</v>
      </c>
      <c r="EU63" s="536">
        <f t="shared" si="185"/>
        <v>0</v>
      </c>
      <c r="EV63" s="536">
        <f t="shared" si="185"/>
        <v>0</v>
      </c>
      <c r="EW63" s="536">
        <f t="shared" si="185"/>
        <v>0</v>
      </c>
      <c r="EX63" s="536">
        <f t="shared" si="185"/>
        <v>0</v>
      </c>
      <c r="EY63" s="536">
        <f t="shared" si="185"/>
        <v>0</v>
      </c>
      <c r="EZ63" s="536">
        <f t="shared" si="185"/>
        <v>0</v>
      </c>
      <c r="FA63" s="562"/>
      <c r="FB63" s="536">
        <f t="shared" ref="FB63:FF63" si="187">SUM(FB64:FB73)</f>
        <v>0</v>
      </c>
      <c r="FC63" s="536">
        <f t="shared" si="187"/>
        <v>0</v>
      </c>
      <c r="FD63" s="536">
        <f t="shared" si="187"/>
        <v>0</v>
      </c>
      <c r="FE63" s="536">
        <f t="shared" si="187"/>
        <v>0</v>
      </c>
      <c r="FF63" s="536">
        <f t="shared" si="187"/>
        <v>0</v>
      </c>
    </row>
    <row r="64" spans="2:163" ht="14.25" outlineLevel="2">
      <c r="B64" s="564" t="s">
        <v>73</v>
      </c>
      <c r="C64" s="565">
        <v>1</v>
      </c>
      <c r="D64" s="566" t="s">
        <v>52</v>
      </c>
      <c r="F64" s="500">
        <f t="shared" si="159"/>
        <v>0.15784038400000003</v>
      </c>
      <c r="G64" s="500">
        <f t="shared" si="160"/>
        <v>0.15784038400000003</v>
      </c>
      <c r="H64" s="514">
        <f t="shared" si="161"/>
        <v>0</v>
      </c>
      <c r="I64" s="514">
        <f t="shared" si="162"/>
        <v>0</v>
      </c>
      <c r="J64" s="514">
        <f t="shared" si="163"/>
        <v>0</v>
      </c>
      <c r="K64" s="514">
        <f t="shared" si="164"/>
        <v>0</v>
      </c>
      <c r="L64" s="514">
        <f t="shared" si="165"/>
        <v>0</v>
      </c>
      <c r="M64" s="567">
        <f t="shared" si="166"/>
        <v>0</v>
      </c>
      <c r="N64" s="568"/>
      <c r="O64" s="514">
        <f t="shared" si="167"/>
        <v>0</v>
      </c>
      <c r="P64" s="514">
        <f t="shared" si="168"/>
        <v>0</v>
      </c>
      <c r="Q64" s="514">
        <f t="shared" si="169"/>
        <v>0</v>
      </c>
      <c r="R64" s="514">
        <f t="shared" si="170"/>
        <v>0</v>
      </c>
      <c r="S64" s="514">
        <f t="shared" si="171"/>
        <v>0</v>
      </c>
      <c r="U64" s="569">
        <v>2.5000000000000001E-2</v>
      </c>
      <c r="V64" s="503"/>
      <c r="W64" s="500">
        <f t="shared" ref="W64:W73" si="188">$W$63/$U$63*U64</f>
        <v>5.4544000000000016E-2</v>
      </c>
      <c r="X64" s="500">
        <f t="shared" si="19"/>
        <v>5.4544000000000016E-2</v>
      </c>
      <c r="Y64" s="514">
        <f t="shared" ref="Y64:Y73" si="189">IFERROR(IF(AL64=100%,W64,0),0)</f>
        <v>5.4544000000000016E-2</v>
      </c>
      <c r="Z64" s="514">
        <f t="shared" ref="Z64:Z73" si="190">IFERROR(IF(AND((AL64+AM64)=100%,AL64&lt;1),W64,0),0)</f>
        <v>0</v>
      </c>
      <c r="AA64" s="514">
        <f t="shared" ref="AA64:AA73" si="191">IFERROR(IF(AND((AQ64+AS64)=AP64,Y64=0),W64,0),0)</f>
        <v>0</v>
      </c>
      <c r="AB64" s="514">
        <f t="shared" ref="AB64:AB73" si="192">IFERROR(IF(AND((AQ64+AS64+AT64)=AP64,Y64=0,AA64=0),W64,0),0)</f>
        <v>0</v>
      </c>
      <c r="AC64" s="514">
        <f t="shared" ref="AC64:AC73" si="193">IFERROR(IF(AND((AQ64+AS64+AT64+AU64)=AP64,Y64=0,AA64=0,AB64=0),W64,0),0)</f>
        <v>0</v>
      </c>
      <c r="AD64" s="567">
        <f t="shared" ref="AD64:AD73" si="194">IFERROR(IF(AND((AQ64+AS64+AT64+AU64+AV64)=AP64,Y64=0,AA64=0,AB64=0,AC64=0),W64,0),0)</f>
        <v>0</v>
      </c>
      <c r="AE64" s="568"/>
      <c r="AF64" s="514">
        <f t="shared" ref="AF64:AF73" si="195">IFERROR(IF(AND((AL64+AN64)=100%,AL64&lt;1),W64,0),0)</f>
        <v>0</v>
      </c>
      <c r="AG64" s="514">
        <f t="shared" ref="AG64:AG73" si="196">IFERROR(IF(AND((AQ64+AY64)=AP64,Y64=0),W64,0),0)</f>
        <v>0</v>
      </c>
      <c r="AH64" s="514">
        <f t="shared" ref="AH64:AH73" si="197">IFERROR(IF(AND((AQ64+AY64+AZ64)=AP64,Y64=0,AG64=0),W64,0),0)</f>
        <v>0</v>
      </c>
      <c r="AI64" s="514">
        <f t="shared" ref="AI64:AI73" si="198">IFERROR(IF(AND((AQ64+AY64+AZ64+BA64)=AP64,Y64=0,AG64=0,AH64=0),W64,0),0)</f>
        <v>0</v>
      </c>
      <c r="AJ64" s="514">
        <f t="shared" ref="AJ64:AJ73" si="199">IFERROR(IF(AND((AQ64+AY64+AZ64+BA64+BB64)=AP64,Y64=0,AG64=0,AH64=0,AI64=0),W64,0),0)</f>
        <v>0</v>
      </c>
      <c r="AK64" s="501"/>
      <c r="AL64" s="570">
        <f t="shared" ref="AL64:AL73" si="200">IFERROR(AQ64/AP64,0)</f>
        <v>1</v>
      </c>
      <c r="AM64" s="570">
        <f t="shared" ref="AM64:AM73" si="201">IFERROR(AR64/AP64,0)</f>
        <v>0</v>
      </c>
      <c r="AN64" s="570">
        <f t="shared" ref="AN64:AN73" si="202">IFERROR(AX64/AP64,0)</f>
        <v>0</v>
      </c>
      <c r="AO64" s="505"/>
      <c r="AP64" s="514">
        <f>COUNTIF('AR | Drawing List'!$G:$G,"AR-T2V-1")</f>
        <v>23</v>
      </c>
      <c r="AQ64" s="506">
        <f>COUNTIFS('AR | Drawing List'!$G:$G,"AR-T2V-1",'AR | Drawing List'!$I:$I,1)</f>
        <v>23</v>
      </c>
      <c r="AR64" s="506">
        <f t="shared" si="32"/>
        <v>0</v>
      </c>
      <c r="AS64" s="506">
        <f>COUNTIFS('AR | Drawing List'!$G:$G,"AR-T2V-1",'AR | Drawing List'!M:M,1)</f>
        <v>0</v>
      </c>
      <c r="AT64" s="506">
        <f>COUNTIFS('AR | Drawing List'!$G:$G,"AR-T2V-1",'AR | Drawing List'!N:N,1)</f>
        <v>0</v>
      </c>
      <c r="AU64" s="506">
        <f>COUNTIFS('AR | Drawing List'!$G:$G,"AR-T2V-1",'AR | Drawing List'!O:O,1)</f>
        <v>0</v>
      </c>
      <c r="AV64" s="506">
        <f>COUNTIFS('AR | Drawing List'!$G:$G,"AR-T2V-1",'AR | Drawing List'!P:P,1)</f>
        <v>0</v>
      </c>
      <c r="AW64" s="466"/>
      <c r="AX64" s="506">
        <f t="shared" ref="AX64:AX69" si="203">SUM(AY64:BB64)</f>
        <v>0</v>
      </c>
      <c r="AY64" s="506">
        <f>COUNTIFS('AR | Drawing List'!$G:$G,"AR-T2V-1",'AR | Drawing List'!R:R,1)</f>
        <v>0</v>
      </c>
      <c r="AZ64" s="506">
        <f>COUNTIFS('AR | Drawing List'!$G:$G,"AR-T2V-1",'AR | Drawing List'!S:S,1)</f>
        <v>0</v>
      </c>
      <c r="BA64" s="506">
        <f>COUNTIFS('AR | Drawing List'!$G:$G,"AR-T2V-1",'AR | Drawing List'!T:T,1)</f>
        <v>0</v>
      </c>
      <c r="BB64" s="506">
        <f>COUNTIFS('AR | Drawing List'!$G:$G,"AR-T2V-1",'AR | Drawing List'!U:U,1)</f>
        <v>0</v>
      </c>
      <c r="BC64" s="466"/>
      <c r="BD64" s="466"/>
      <c r="BE64" s="511">
        <v>0.1</v>
      </c>
      <c r="BF64" s="508"/>
      <c r="BG64" s="506">
        <f t="shared" ref="BG64:BG73" si="204">$BG$63/$BE$63*BE64</f>
        <v>9.07776E-2</v>
      </c>
      <c r="BH64" s="510">
        <f t="shared" si="22"/>
        <v>9.07776E-2</v>
      </c>
      <c r="BI64" s="514">
        <f t="shared" ref="BI64:BI73" si="205">IFERROR(IF(BV64=100%,BG64,0),0)</f>
        <v>9.07776E-2</v>
      </c>
      <c r="BJ64" s="514">
        <f t="shared" ref="BJ64:BJ73" si="206">IFERROR(IF(AND((BV64+BW64)=100%,BV64&lt;1),BG64,0),0)</f>
        <v>0</v>
      </c>
      <c r="BK64" s="514">
        <f t="shared" ref="BK64:BK73" si="207">IFERROR(IF(AND((CA64+CC64)=BZ64,BI64=0),BG64,0),0)</f>
        <v>0</v>
      </c>
      <c r="BL64" s="514">
        <f t="shared" ref="BL64:BL73" si="208">IFERROR(IF(AND((CA64+CC64+CD64)=BZ64,BI64=0,BK64=0),BG64,0),0)</f>
        <v>0</v>
      </c>
      <c r="BM64" s="514">
        <f t="shared" ref="BM64:BM73" si="209">IFERROR(IF(AND((CA64+CC64+CD64+CE64)=BZ64,BI64=0,BK64=0,BL64=0),BG64,0),0)</f>
        <v>0</v>
      </c>
      <c r="BN64" s="514">
        <f t="shared" ref="BN64:BN73" si="210">IFERROR(IF(AND((CA64+CC64+CD64+CE64+CF64)=BZ64,BI64=0,BK64=0,BL64=0,BM64=0),BG64,0),0)</f>
        <v>0</v>
      </c>
      <c r="BO64" s="501"/>
      <c r="BP64" s="514">
        <f t="shared" ref="BP64:BP73" si="211">IFERROR(IF(AND((BV64+BX64)=100%,BV64&lt;1),BG64,0),0)</f>
        <v>0</v>
      </c>
      <c r="BQ64" s="514">
        <f t="shared" ref="BQ64:BQ73" si="212">IFERROR(IF(AND((CA64+CI64)=BZ64,BI64=0),BG64,0),0)</f>
        <v>0</v>
      </c>
      <c r="BR64" s="514">
        <f t="shared" ref="BR64:BR73" si="213">IFERROR(IF(AND((CA64+CI64+CJ64)=BZ64,BI64=0,BQ64=0),BG64,0),0)</f>
        <v>0</v>
      </c>
      <c r="BS64" s="514">
        <f t="shared" ref="BS64:BS73" si="214">IFERROR(IF(AND((CA64+CI64+CJ64+CK64)=BZ64,BI64=0,BQ64=0,BR64=0),BG64,0),0)</f>
        <v>0</v>
      </c>
      <c r="BT64" s="514">
        <f t="shared" ref="BT64:BT73" si="215">IFERROR(IF(AND((CA64+CI64+CJ64+CK64+CL64)=BZ64,BI64=0,BQ64=0,BR64=0,BS64=0),BG64,0),0)</f>
        <v>0</v>
      </c>
      <c r="BU64" s="501"/>
      <c r="BV64" s="571">
        <f t="shared" ref="BV64:BV73" si="216">IFERROR(CA64/BZ64,0)</f>
        <v>1</v>
      </c>
      <c r="BW64" s="571">
        <f t="shared" ref="BW64:BW73" si="217">IFERROR(CB64/BZ64,0)</f>
        <v>0</v>
      </c>
      <c r="BX64" s="571">
        <f t="shared" ref="BX64:BX73" si="218">IFERROR(CH64/BZ64,0)</f>
        <v>0</v>
      </c>
      <c r="BY64" s="505"/>
      <c r="BZ64" s="514">
        <f>COUNTIF('ST | Drawing List'!$G:$G,"ST-T2V-1")</f>
        <v>107</v>
      </c>
      <c r="CA64" s="506">
        <f>COUNTIFS('ST | Drawing List'!$G:$G,"ST-T2V-1",'ST | Drawing List'!$I:$I,1)</f>
        <v>107</v>
      </c>
      <c r="CB64" s="572">
        <f>COUNTIFS('ST | Drawing List'!$G:$G,"ST-T2V-1",'ST | Drawing List'!$K:$K,1)</f>
        <v>0</v>
      </c>
      <c r="CC64" s="506">
        <f>COUNTIFS('ST | Drawing List'!$G:$G,"ST-T2V-1",'ST | Drawing List'!L:L,1)</f>
        <v>0</v>
      </c>
      <c r="CD64" s="506">
        <f>COUNTIFS('ST | Drawing List'!$G:$G,"ST-T2V-1",'ST | Drawing List'!M:M,1)</f>
        <v>0</v>
      </c>
      <c r="CE64" s="506">
        <f>COUNTIFS('ST | Drawing List'!$G:$G,"ST-T2V-1",'ST | Drawing List'!N:N,1)</f>
        <v>0</v>
      </c>
      <c r="CF64" s="506">
        <f>COUNTIFS('ST | Drawing List'!$G:$G,"ST-T2V-1",'ST | Drawing List'!O:O,1)</f>
        <v>0</v>
      </c>
      <c r="CG64" s="471"/>
      <c r="CH64" s="572">
        <f>COUNTIFS('ST | Drawing List'!$G:$G,"ST-T2V-1",'ST | Drawing List'!$P:$P,1)</f>
        <v>0</v>
      </c>
      <c r="CI64" s="506">
        <f>COUNTIFS('ST | Drawing List'!$G:$G,"ST-T2V-1",'ST | Drawing List'!Q:Q,1)</f>
        <v>0</v>
      </c>
      <c r="CJ64" s="506">
        <f>COUNTIFS('ST | Drawing List'!$G:$G,"ST-T2V-1",'ST | Drawing List'!R:R,1)</f>
        <v>0</v>
      </c>
      <c r="CK64" s="506">
        <f>COUNTIFS('ST | Drawing List'!$G:$G,"ST-T2V-1",'ST | Drawing List'!S:S,1)</f>
        <v>0</v>
      </c>
      <c r="CL64" s="506">
        <f>COUNTIFS('ST | Drawing List'!$G:$G,"ST-T2V-1",'ST | Drawing List'!T:T,1)</f>
        <v>0</v>
      </c>
      <c r="CM64" s="508"/>
      <c r="CN64" s="508"/>
      <c r="CO64" s="511">
        <v>0.1</v>
      </c>
      <c r="CP64" s="508"/>
      <c r="CQ64" s="506">
        <f t="shared" ref="CQ64:CQ73" si="219">$CQ$63/$CO$63*CO64</f>
        <v>1.2518784E-2</v>
      </c>
      <c r="CR64" s="510">
        <f t="shared" si="25"/>
        <v>1.2518784E-2</v>
      </c>
      <c r="CS64" s="514">
        <f t="shared" ref="CS64:CS73" si="220">IFERROR(IF(DF64=100%,CQ64,0),0)</f>
        <v>1.2518784E-2</v>
      </c>
      <c r="CT64" s="514">
        <f t="shared" ref="CT64:CT73" si="221">IFERROR(IF(AND((DF64+DG64)=100%,DF64&lt;1),CQ64,0),0)</f>
        <v>0</v>
      </c>
      <c r="CU64" s="514">
        <f t="shared" ref="CU64:CU73" si="222">IFERROR(IF(AND((DK64+DM64)=DJ64,CS64=0),CQ64,0),0)</f>
        <v>0</v>
      </c>
      <c r="CV64" s="514">
        <f t="shared" ref="CV64:CV73" si="223">IFERROR(IF(AND((DK64+DM64+DN64)=DJ64,CS64=0,CU64=0),CQ64,0),0)</f>
        <v>0</v>
      </c>
      <c r="CW64" s="514">
        <f t="shared" ref="CW64:CW73" si="224">IFERROR(IF(AND((DK64+DM64+DN64+DO64)=DJ64,CS64=0,CU64=0,CV64=0),CQ64,0),0)</f>
        <v>0</v>
      </c>
      <c r="CX64" s="514">
        <f t="shared" ref="CX64:CX73" si="225">IFERROR(IF(AND((DK64+DM64+DN64+DO64+DP64)=DJ64,CS64=0,CU64=0,CV64=0,CW64=0),CQ64,0),0)</f>
        <v>0</v>
      </c>
      <c r="CY64" s="501"/>
      <c r="CZ64" s="514">
        <f t="shared" ref="CZ64:CZ73" si="226">IFERROR(IF(AND((DF64+DH64)=100%,DF64&lt;1),CQ64,0),0)</f>
        <v>0</v>
      </c>
      <c r="DA64" s="514">
        <f t="shared" ref="DA64:DA73" si="227">IFERROR(IF(AND((DK64+DS64)=DJ64,CS64=0),CQ64,0),0)</f>
        <v>0</v>
      </c>
      <c r="DB64" s="514">
        <f t="shared" ref="DB64:DB73" si="228">IFERROR(IF(AND((DK64+DS64+DT64)=DJ64,CS64=0,DA64=0),CQ64,0),0)</f>
        <v>0</v>
      </c>
      <c r="DC64" s="514">
        <f t="shared" ref="DC64:DC73" si="229">IFERROR(IF(AND((DK64+DS64+DT64+DU64)=DJ64,CS64=0,DA64=0,DB64=0),CQ64,0),0)</f>
        <v>0</v>
      </c>
      <c r="DD64" s="514">
        <f t="shared" ref="DD64:DD73" si="230">IFERROR(IF(AND((DK64+DS64+DT64+DU64+DV64)=DJ64,CS64=0,DA64=0,DB64=0,DC64=0),CQ64,0),0)</f>
        <v>0</v>
      </c>
      <c r="DE64" s="501"/>
      <c r="DF64" s="570">
        <f t="shared" ref="DF64:DF73" si="231">IFERROR(DK64/DJ64,0)</f>
        <v>1</v>
      </c>
      <c r="DG64" s="570">
        <f t="shared" ref="DG64:DG73" si="232">IFERROR(DL64/DJ64,0)</f>
        <v>0</v>
      </c>
      <c r="DH64" s="570">
        <f t="shared" ref="DH64:DH73" si="233">IFERROR(DR64/DJ64,0)</f>
        <v>0</v>
      </c>
      <c r="DI64" s="505"/>
      <c r="DJ64" s="514">
        <f>COUNTIF('MEP | Drawing List'!$G:$G,"MEP-T2V-6V-1")</f>
        <v>9</v>
      </c>
      <c r="DK64" s="506">
        <f>COUNTIFS('MEP | Drawing List'!$G:$G,"MEP-T2V-6V-1",'MEP | Drawing List'!$I:$I,1)</f>
        <v>9</v>
      </c>
      <c r="DL64" s="506">
        <f>COUNTIFS('MEP | Drawing List'!$G:$G,"MEP-T2V-6V-1",'MEP | Drawing List'!$K:$K,1)</f>
        <v>0</v>
      </c>
      <c r="DM64" s="514">
        <f>COUNTIFS('MEP | Drawing List'!$G:$G,"MEP-T2V-6V-1",'MEP | Drawing List'!L:L,1)</f>
        <v>0</v>
      </c>
      <c r="DN64" s="514">
        <f>COUNTIFS('MEP | Drawing List'!$G:$G,"MEP-T2V-6V-1",'MEP | Drawing List'!M:M,1)</f>
        <v>0</v>
      </c>
      <c r="DO64" s="514">
        <f>COUNTIFS('MEP | Drawing List'!$G:$G,"MEP-T2V-6V-1",'MEP | Drawing List'!N:N,1)</f>
        <v>0</v>
      </c>
      <c r="DP64" s="514">
        <f>COUNTIFS('MEP | Drawing List'!$G:$G,"MEP-T2V-6V-1",'MEP | Drawing List'!O:O,1)</f>
        <v>0</v>
      </c>
      <c r="DQ64" s="501"/>
      <c r="DR64" s="506">
        <f>COUNTIFS('MEP | Drawing List'!$G:$G,"MEP-T2V-6V-1",'MEP | Drawing List'!$P:$P,1)</f>
        <v>0</v>
      </c>
      <c r="DS64" s="514">
        <f>COUNTIFS('MEP | Drawing List'!$G:$G,"MEP-T2V-6V-1",'MEP | Drawing List'!Q:Q,1)</f>
        <v>0</v>
      </c>
      <c r="DT64" s="514">
        <f>COUNTIFS('MEP | Drawing List'!$G:$G,"MEP-T2V-6V-1",'MEP | Drawing List'!R:R,1)</f>
        <v>0</v>
      </c>
      <c r="DU64" s="514">
        <f>COUNTIFS('MEP | Drawing List'!$G:$G,"MEP-T2V-6V-1",'MEP | Drawing List'!S:S,1)</f>
        <v>0</v>
      </c>
      <c r="DV64" s="514">
        <f>COUNTIFS('MEP | Drawing List'!$G:$G,"MEP-T2V-6V-1",'MEP | Drawing List'!T:T,1)</f>
        <v>0</v>
      </c>
      <c r="DW64" s="508"/>
      <c r="DX64" s="508"/>
      <c r="DY64" s="511">
        <v>0</v>
      </c>
      <c r="DZ64" s="508"/>
      <c r="EA64" s="509">
        <v>0</v>
      </c>
      <c r="EB64" s="510">
        <f t="shared" si="28"/>
        <v>0</v>
      </c>
      <c r="EC64" s="515"/>
      <c r="ED64" s="515"/>
      <c r="EE64" s="501"/>
      <c r="EF64" s="501"/>
      <c r="EG64" s="501"/>
      <c r="EH64" s="501"/>
      <c r="EI64" s="501"/>
      <c r="EJ64" s="515"/>
      <c r="EK64" s="501"/>
      <c r="EL64" s="501"/>
      <c r="EM64" s="501"/>
      <c r="EN64" s="501"/>
      <c r="EO64" s="501"/>
      <c r="EP64" s="575"/>
      <c r="EQ64" s="575"/>
      <c r="ER64" s="575"/>
      <c r="ES64" s="516"/>
      <c r="ET64" s="514">
        <f>COUNTIF('LS | Drawing List'!$G:$G,"LS-T2V-1")</f>
        <v>0</v>
      </c>
      <c r="EU64" s="506">
        <f>COUNTIFS('LS | Drawing List'!$G:$G,"LS-T2V-1",'LS | Drawing List'!$I:$I,1)</f>
        <v>0</v>
      </c>
      <c r="EV64" s="506">
        <f>COUNTIFS('LS | Drawing List'!$G:$G,"LS-T2V-1",'LS | Drawing List'!$K:$K,1)</f>
        <v>0</v>
      </c>
      <c r="EW64" s="514">
        <f>COUNTIFS('LS | Drawing List'!$G:$G,"LS-T2V-1",'LS | Drawing List'!L:L,1)</f>
        <v>0</v>
      </c>
      <c r="EX64" s="514">
        <f>COUNTIFS('LS | Drawing List'!$G:$G,"LS-T2V-1",'LS | Drawing List'!M:M,1)</f>
        <v>0</v>
      </c>
      <c r="EY64" s="514">
        <f>COUNTIFS('LS | Drawing List'!$G:$G,"LS-T2V-1",'LS | Drawing List'!N:N,1)</f>
        <v>0</v>
      </c>
      <c r="EZ64" s="514">
        <f>COUNTIFS('LS | Drawing List'!$G:$G,"LS-T2V-1",'LS | Drawing List'!O:O,1)</f>
        <v>0</v>
      </c>
      <c r="FA64" s="515"/>
      <c r="FB64" s="506">
        <f>COUNTIFS('LS | Drawing List'!$G:$G,"LS-T2V-1",'LS | Drawing List'!$P:$P,1)</f>
        <v>0</v>
      </c>
      <c r="FC64" s="514">
        <f>COUNTIFS('LS | Drawing List'!$G:$G,"LS-T2V-1",'LS | Drawing List'!Q:Q,1)</f>
        <v>0</v>
      </c>
      <c r="FD64" s="514">
        <f>COUNTIFS('LS | Drawing List'!$G:$G,"LS-T2V-1",'LS | Drawing List'!R:R,1)</f>
        <v>0</v>
      </c>
      <c r="FE64" s="514">
        <f>COUNTIFS('LS | Drawing List'!$G:$G,"LS-T2V-1",'LS | Drawing List'!S:S,1)</f>
        <v>0</v>
      </c>
      <c r="FF64" s="514">
        <f>COUNTIFS('LS | Drawing List'!$G:$G,"LS-T2V-1",'LS | Drawing List'!T:T,1)</f>
        <v>0</v>
      </c>
    </row>
    <row r="65" spans="2:162" ht="14.25" outlineLevel="2">
      <c r="B65" s="564" t="s">
        <v>74</v>
      </c>
      <c r="C65" s="565">
        <v>2</v>
      </c>
      <c r="D65" s="566" t="s">
        <v>54</v>
      </c>
      <c r="F65" s="500">
        <f t="shared" si="159"/>
        <v>0.19986560000000003</v>
      </c>
      <c r="G65" s="500">
        <f t="shared" si="160"/>
        <v>0.19986560000000003</v>
      </c>
      <c r="H65" s="514">
        <f t="shared" si="161"/>
        <v>0</v>
      </c>
      <c r="I65" s="514">
        <f t="shared" si="162"/>
        <v>0</v>
      </c>
      <c r="J65" s="514">
        <f t="shared" si="163"/>
        <v>0</v>
      </c>
      <c r="K65" s="514">
        <f t="shared" si="164"/>
        <v>0</v>
      </c>
      <c r="L65" s="514">
        <f t="shared" si="165"/>
        <v>0</v>
      </c>
      <c r="M65" s="567">
        <f t="shared" si="166"/>
        <v>0</v>
      </c>
      <c r="N65" s="568"/>
      <c r="O65" s="514">
        <f t="shared" si="167"/>
        <v>0</v>
      </c>
      <c r="P65" s="514">
        <f t="shared" si="168"/>
        <v>0</v>
      </c>
      <c r="Q65" s="514">
        <f t="shared" si="169"/>
        <v>0</v>
      </c>
      <c r="R65" s="514">
        <f t="shared" si="170"/>
        <v>0</v>
      </c>
      <c r="S65" s="514">
        <f t="shared" si="171"/>
        <v>0</v>
      </c>
      <c r="U65" s="569">
        <v>0.05</v>
      </c>
      <c r="V65" s="503"/>
      <c r="W65" s="500">
        <f t="shared" si="188"/>
        <v>0.10908800000000003</v>
      </c>
      <c r="X65" s="500">
        <f t="shared" si="19"/>
        <v>0.10908800000000003</v>
      </c>
      <c r="Y65" s="514">
        <f t="shared" si="189"/>
        <v>0.10908800000000003</v>
      </c>
      <c r="Z65" s="514">
        <f t="shared" si="190"/>
        <v>0</v>
      </c>
      <c r="AA65" s="514">
        <f t="shared" si="191"/>
        <v>0</v>
      </c>
      <c r="AB65" s="514">
        <f t="shared" si="192"/>
        <v>0</v>
      </c>
      <c r="AC65" s="514">
        <f t="shared" si="193"/>
        <v>0</v>
      </c>
      <c r="AD65" s="567">
        <f t="shared" si="194"/>
        <v>0</v>
      </c>
      <c r="AE65" s="568"/>
      <c r="AF65" s="514">
        <f t="shared" si="195"/>
        <v>0</v>
      </c>
      <c r="AG65" s="514">
        <f t="shared" si="196"/>
        <v>0</v>
      </c>
      <c r="AH65" s="514">
        <f t="shared" si="197"/>
        <v>0</v>
      </c>
      <c r="AI65" s="514">
        <f t="shared" si="198"/>
        <v>0</v>
      </c>
      <c r="AJ65" s="514">
        <f t="shared" si="199"/>
        <v>0</v>
      </c>
      <c r="AK65" s="501"/>
      <c r="AL65" s="570">
        <f t="shared" si="200"/>
        <v>1</v>
      </c>
      <c r="AM65" s="570">
        <f t="shared" si="201"/>
        <v>0</v>
      </c>
      <c r="AN65" s="570">
        <f t="shared" si="202"/>
        <v>0</v>
      </c>
      <c r="AO65" s="505"/>
      <c r="AP65" s="514">
        <f>COUNTIF('AR | Drawing List'!$G:$G,"AR-T2V-2")</f>
        <v>3</v>
      </c>
      <c r="AQ65" s="506">
        <f>COUNTIFS('AR | Drawing List'!$G:$G,"AR-T2V-2",'AR | Drawing List'!$I:$I,1)</f>
        <v>3</v>
      </c>
      <c r="AR65" s="506">
        <f t="shared" si="32"/>
        <v>0</v>
      </c>
      <c r="AS65" s="506">
        <f>COUNTIFS('AR | Drawing List'!$G:$G,"AR-T2V-2",'AR | Drawing List'!M:M,1)</f>
        <v>0</v>
      </c>
      <c r="AT65" s="506">
        <f>COUNTIFS('AR | Drawing List'!$G:$G,"AR-T2V-2",'AR | Drawing List'!N:N,1)</f>
        <v>0</v>
      </c>
      <c r="AU65" s="506">
        <f>COUNTIFS('AR | Drawing List'!$G:$G,"AR-T2V-2",'AR | Drawing List'!O:O,1)</f>
        <v>0</v>
      </c>
      <c r="AV65" s="506">
        <f>COUNTIFS('AR | Drawing List'!$G:$G,"AR-T2V-2",'AR | Drawing List'!P:P,1)</f>
        <v>0</v>
      </c>
      <c r="AW65" s="466"/>
      <c r="AX65" s="506">
        <f t="shared" si="203"/>
        <v>0</v>
      </c>
      <c r="AY65" s="506">
        <f>COUNTIFS('AR | Drawing List'!$G:$G,"AR-T2V-2",'AR | Drawing List'!R:R,1)</f>
        <v>0</v>
      </c>
      <c r="AZ65" s="506">
        <f>COUNTIFS('AR | Drawing List'!$G:$G,"AR-T2V-2",'AR | Drawing List'!S:S,1)</f>
        <v>0</v>
      </c>
      <c r="BA65" s="506">
        <f>COUNTIFS('AR | Drawing List'!$G:$G,"AR-T2V-2",'AR | Drawing List'!T:T,1)</f>
        <v>0</v>
      </c>
      <c r="BB65" s="506">
        <f>COUNTIFS('AR | Drawing List'!$G:$G,"AR-T2V-2",'AR | Drawing List'!U:U,1)</f>
        <v>0</v>
      </c>
      <c r="BC65" s="551"/>
      <c r="BD65" s="551"/>
      <c r="BE65" s="511">
        <v>0.1</v>
      </c>
      <c r="BF65" s="508"/>
      <c r="BG65" s="506">
        <f t="shared" si="204"/>
        <v>9.07776E-2</v>
      </c>
      <c r="BH65" s="510">
        <f t="shared" si="22"/>
        <v>9.07776E-2</v>
      </c>
      <c r="BI65" s="514">
        <f t="shared" si="205"/>
        <v>9.07776E-2</v>
      </c>
      <c r="BJ65" s="514">
        <f t="shared" si="206"/>
        <v>0</v>
      </c>
      <c r="BK65" s="514">
        <f t="shared" si="207"/>
        <v>0</v>
      </c>
      <c r="BL65" s="514">
        <f t="shared" si="208"/>
        <v>0</v>
      </c>
      <c r="BM65" s="514">
        <f t="shared" si="209"/>
        <v>0</v>
      </c>
      <c r="BN65" s="514">
        <f t="shared" si="210"/>
        <v>0</v>
      </c>
      <c r="BO65" s="501"/>
      <c r="BP65" s="514">
        <f t="shared" si="211"/>
        <v>0</v>
      </c>
      <c r="BQ65" s="514">
        <f t="shared" si="212"/>
        <v>0</v>
      </c>
      <c r="BR65" s="514">
        <f t="shared" si="213"/>
        <v>0</v>
      </c>
      <c r="BS65" s="514">
        <f t="shared" si="214"/>
        <v>0</v>
      </c>
      <c r="BT65" s="514">
        <f t="shared" si="215"/>
        <v>0</v>
      </c>
      <c r="BU65" s="501"/>
      <c r="BV65" s="571">
        <f t="shared" si="216"/>
        <v>1</v>
      </c>
      <c r="BW65" s="571">
        <f t="shared" si="217"/>
        <v>0</v>
      </c>
      <c r="BX65" s="571">
        <f t="shared" si="218"/>
        <v>0</v>
      </c>
      <c r="BY65" s="518"/>
      <c r="BZ65" s="514">
        <f>COUNTIF('ST | Drawing List'!$G:$G,"ST-T2V-2")</f>
        <v>11</v>
      </c>
      <c r="CA65" s="506">
        <f>COUNTIFS('ST | Drawing List'!$G:$G,"ST-T2V-2",'ST | Drawing List'!$I:$I,1)</f>
        <v>11</v>
      </c>
      <c r="CB65" s="572">
        <f>COUNTIFS('ST | Drawing List'!$G:$G,"ST-T2V-2",'ST | Drawing List'!$K:$K,1)</f>
        <v>0</v>
      </c>
      <c r="CC65" s="506">
        <f>COUNTIFS('ST | Drawing List'!$G:$G,"ST-T2V-2",'ST | Drawing List'!L:L,1)</f>
        <v>0</v>
      </c>
      <c r="CD65" s="506">
        <f>COUNTIFS('ST | Drawing List'!$G:$G,"ST-T2V-2",'ST | Drawing List'!M:M,1)</f>
        <v>0</v>
      </c>
      <c r="CE65" s="506">
        <f>COUNTIFS('ST | Drawing List'!$G:$G,"ST-T2V-2",'ST | Drawing List'!N:N,1)</f>
        <v>0</v>
      </c>
      <c r="CF65" s="506">
        <f>COUNTIFS('ST | Drawing List'!$G:$G,"ST-T2V-2",'ST | Drawing List'!O:O,1)</f>
        <v>0</v>
      </c>
      <c r="CG65" s="471"/>
      <c r="CH65" s="572">
        <f>COUNTIFS('ST | Drawing List'!$G:$G,"ST-T2V-2",'ST | Drawing List'!$P:$P,1)</f>
        <v>0</v>
      </c>
      <c r="CI65" s="506">
        <f>COUNTIFS('ST | Drawing List'!$G:$G,"ST-T2V-2",'ST | Drawing List'!Q:Q,1)</f>
        <v>0</v>
      </c>
      <c r="CJ65" s="506">
        <f>COUNTIFS('ST | Drawing List'!$G:$G,"ST-T2V-2",'ST | Drawing List'!R:R,1)</f>
        <v>0</v>
      </c>
      <c r="CK65" s="506">
        <f>COUNTIFS('ST | Drawing List'!$G:$G,"ST-T2V-2",'ST | Drawing List'!S:S,1)</f>
        <v>0</v>
      </c>
      <c r="CL65" s="506">
        <f>COUNTIFS('ST | Drawing List'!$G:$G,"ST-T2V-2",'ST | Drawing List'!T:T,1)</f>
        <v>0</v>
      </c>
      <c r="CM65" s="508"/>
      <c r="CN65" s="508"/>
      <c r="CO65" s="576">
        <v>0</v>
      </c>
      <c r="CP65" s="508"/>
      <c r="CQ65" s="506">
        <f t="shared" si="219"/>
        <v>0</v>
      </c>
      <c r="CR65" s="510">
        <f t="shared" si="25"/>
        <v>0</v>
      </c>
      <c r="CS65" s="514">
        <f t="shared" si="220"/>
        <v>0</v>
      </c>
      <c r="CT65" s="514">
        <f t="shared" si="221"/>
        <v>0</v>
      </c>
      <c r="CU65" s="514">
        <f t="shared" si="222"/>
        <v>0</v>
      </c>
      <c r="CV65" s="514">
        <f t="shared" si="223"/>
        <v>0</v>
      </c>
      <c r="CW65" s="514">
        <f t="shared" si="224"/>
        <v>0</v>
      </c>
      <c r="CX65" s="514">
        <f t="shared" si="225"/>
        <v>0</v>
      </c>
      <c r="CY65" s="501"/>
      <c r="CZ65" s="514">
        <f t="shared" si="226"/>
        <v>0</v>
      </c>
      <c r="DA65" s="514">
        <f t="shared" si="227"/>
        <v>0</v>
      </c>
      <c r="DB65" s="514">
        <f t="shared" si="228"/>
        <v>0</v>
      </c>
      <c r="DC65" s="514">
        <f t="shared" si="229"/>
        <v>0</v>
      </c>
      <c r="DD65" s="514">
        <f t="shared" si="230"/>
        <v>0</v>
      </c>
      <c r="DE65" s="501"/>
      <c r="DF65" s="570">
        <f t="shared" si="231"/>
        <v>0</v>
      </c>
      <c r="DG65" s="570">
        <f t="shared" si="232"/>
        <v>0</v>
      </c>
      <c r="DH65" s="570">
        <f t="shared" si="233"/>
        <v>0</v>
      </c>
      <c r="DI65" s="518"/>
      <c r="DJ65" s="514">
        <f>COUNTIF('MEP | Drawing List'!$G:$G,"MEP-T2V-6V-2")</f>
        <v>0</v>
      </c>
      <c r="DK65" s="506">
        <f>COUNTIFS('MEP | Drawing List'!$G:$G,"MEP-T2V-6V-2",'MEP | Drawing List'!$I:$I,1)</f>
        <v>0</v>
      </c>
      <c r="DL65" s="506">
        <f>COUNTIFS('MEP | Drawing List'!$G:$G,"MEP-T2V-6V-2",'MEP | Drawing List'!$K:$K,1)</f>
        <v>0</v>
      </c>
      <c r="DM65" s="514">
        <f>COUNTIFS('MEP | Drawing List'!$G:$G,"MEP-T2V-6V-2",'MEP | Drawing List'!L:L,1)</f>
        <v>0</v>
      </c>
      <c r="DN65" s="514">
        <f>COUNTIFS('MEP | Drawing List'!$G:$G,"MEP-T2V-6V-2",'MEP | Drawing List'!M:M,1)</f>
        <v>0</v>
      </c>
      <c r="DO65" s="514">
        <f>COUNTIFS('MEP | Drawing List'!$G:$G,"MEP-T2V-6V-2",'MEP | Drawing List'!N:N,1)</f>
        <v>0</v>
      </c>
      <c r="DP65" s="514">
        <f>COUNTIFS('MEP | Drawing List'!$G:$G,"MEP-T2V-6V-2",'MEP | Drawing List'!O:O,1)</f>
        <v>0</v>
      </c>
      <c r="DQ65" s="501"/>
      <c r="DR65" s="506">
        <f>COUNTIFS('MEP | Drawing List'!$G:$G,"MEP-T2V-6V-2",'MEP | Drawing List'!$P:$P,1)</f>
        <v>0</v>
      </c>
      <c r="DS65" s="514">
        <f>COUNTIFS('MEP | Drawing List'!$G:$G,"MEP-T2V-6V-2",'MEP | Drawing List'!Q:Q,1)</f>
        <v>0</v>
      </c>
      <c r="DT65" s="514">
        <f>COUNTIFS('MEP | Drawing List'!$G:$G,"MEP-T2V-6V-2",'MEP | Drawing List'!R:R,1)</f>
        <v>0</v>
      </c>
      <c r="DU65" s="514">
        <f>COUNTIFS('MEP | Drawing List'!$G:$G,"MEP-T2V-6V-2",'MEP | Drawing List'!S:S,1)</f>
        <v>0</v>
      </c>
      <c r="DV65" s="514">
        <f>COUNTIFS('MEP | Drawing List'!$G:$G,"MEP-T2V-6V-2",'MEP | Drawing List'!T:T,1)</f>
        <v>0</v>
      </c>
      <c r="DW65" s="508"/>
      <c r="DX65" s="508"/>
      <c r="DY65" s="511">
        <v>0</v>
      </c>
      <c r="DZ65" s="508"/>
      <c r="EA65" s="509">
        <v>0</v>
      </c>
      <c r="EB65" s="510">
        <f t="shared" si="28"/>
        <v>0</v>
      </c>
      <c r="EC65" s="577"/>
      <c r="ED65" s="577"/>
      <c r="EE65" s="501"/>
      <c r="EF65" s="501"/>
      <c r="EG65" s="501"/>
      <c r="EH65" s="501"/>
      <c r="EI65" s="501"/>
      <c r="EJ65" s="577"/>
      <c r="EK65" s="501"/>
      <c r="EL65" s="501"/>
      <c r="EM65" s="501"/>
      <c r="EN65" s="501"/>
      <c r="EO65" s="501"/>
      <c r="EP65" s="474"/>
      <c r="EQ65" s="474"/>
      <c r="ER65" s="474"/>
      <c r="ET65" s="514">
        <f>COUNTIF('LS | Drawing List'!$G:$G,"LS-T2V-2")</f>
        <v>0</v>
      </c>
      <c r="EU65" s="506">
        <f>COUNTIFS('LS | Drawing List'!$G:$G,"LS-T2V-2",'LS | Drawing List'!$I:$I,1)</f>
        <v>0</v>
      </c>
      <c r="EV65" s="506">
        <f>COUNTIFS('LS | Drawing List'!$G:$G,"LS-T2V-2",'LS | Drawing List'!$K:$K,1)</f>
        <v>0</v>
      </c>
      <c r="EW65" s="514">
        <f>COUNTIFS('LS | Drawing List'!$G:$G,"LS-T2V-2",'LS | Drawing List'!L:L,1)</f>
        <v>0</v>
      </c>
      <c r="EX65" s="514">
        <f>COUNTIFS('LS | Drawing List'!$G:$G,"LS-T2V-2",'LS | Drawing List'!M:M,1)</f>
        <v>0</v>
      </c>
      <c r="EY65" s="514">
        <f>COUNTIFS('LS | Drawing List'!$G:$G,"LS-T2V-2",'LS | Drawing List'!N:N,1)</f>
        <v>0</v>
      </c>
      <c r="EZ65" s="514">
        <f>COUNTIFS('LS | Drawing List'!$G:$G,"LS-T2V-2",'LS | Drawing List'!O:O,1)</f>
        <v>0</v>
      </c>
      <c r="FA65" s="515"/>
      <c r="FB65" s="506">
        <f>COUNTIFS('LS | Drawing List'!$G:$G,"LS-T2V-2",'LS | Drawing List'!$P:$P,1)</f>
        <v>0</v>
      </c>
      <c r="FC65" s="514">
        <f>COUNTIFS('LS | Drawing List'!$G:$G,"LS-T2V-2",'LS | Drawing List'!Q:Q,1)</f>
        <v>0</v>
      </c>
      <c r="FD65" s="514">
        <f>COUNTIFS('LS | Drawing List'!$G:$G,"LS-T2V-2",'LS | Drawing List'!R:R,1)</f>
        <v>0</v>
      </c>
      <c r="FE65" s="514">
        <f>COUNTIFS('LS | Drawing List'!$G:$G,"LS-T2V-2",'LS | Drawing List'!S:S,1)</f>
        <v>0</v>
      </c>
      <c r="FF65" s="514">
        <f>COUNTIFS('LS | Drawing List'!$G:$G,"LS-T2V-2",'LS | Drawing List'!T:T,1)</f>
        <v>0</v>
      </c>
    </row>
    <row r="66" spans="2:162" s="51" customFormat="1" ht="14.25" outlineLevel="2">
      <c r="B66" s="564" t="s">
        <v>75</v>
      </c>
      <c r="C66" s="579">
        <v>3</v>
      </c>
      <c r="D66" s="580" t="s">
        <v>56</v>
      </c>
      <c r="F66" s="581">
        <f t="shared" si="159"/>
        <v>0.10908800000000003</v>
      </c>
      <c r="G66" s="581">
        <f t="shared" si="160"/>
        <v>0.10908800000000003</v>
      </c>
      <c r="H66" s="567">
        <f t="shared" si="161"/>
        <v>0</v>
      </c>
      <c r="I66" s="567">
        <f t="shared" si="162"/>
        <v>0</v>
      </c>
      <c r="J66" s="567">
        <f t="shared" si="163"/>
        <v>0</v>
      </c>
      <c r="K66" s="567">
        <f t="shared" si="164"/>
        <v>0</v>
      </c>
      <c r="L66" s="567">
        <f t="shared" si="165"/>
        <v>0</v>
      </c>
      <c r="M66" s="567">
        <f t="shared" si="166"/>
        <v>0</v>
      </c>
      <c r="N66" s="568"/>
      <c r="O66" s="514">
        <f t="shared" si="167"/>
        <v>0</v>
      </c>
      <c r="P66" s="514">
        <f t="shared" si="168"/>
        <v>0</v>
      </c>
      <c r="Q66" s="514">
        <f t="shared" si="169"/>
        <v>0</v>
      </c>
      <c r="R66" s="514">
        <f t="shared" si="170"/>
        <v>0</v>
      </c>
      <c r="S66" s="514">
        <f t="shared" si="171"/>
        <v>0</v>
      </c>
      <c r="U66" s="583">
        <v>0.05</v>
      </c>
      <c r="V66" s="584"/>
      <c r="W66" s="581">
        <f t="shared" si="188"/>
        <v>0.10908800000000003</v>
      </c>
      <c r="X66" s="581">
        <f t="shared" si="19"/>
        <v>0.10908800000000003</v>
      </c>
      <c r="Y66" s="567">
        <f t="shared" si="189"/>
        <v>0.10908800000000003</v>
      </c>
      <c r="Z66" s="567">
        <f t="shared" si="190"/>
        <v>0</v>
      </c>
      <c r="AA66" s="567">
        <f t="shared" si="191"/>
        <v>0</v>
      </c>
      <c r="AB66" s="567">
        <f t="shared" si="192"/>
        <v>0</v>
      </c>
      <c r="AC66" s="567">
        <f t="shared" si="193"/>
        <v>0</v>
      </c>
      <c r="AD66" s="567">
        <f t="shared" si="194"/>
        <v>0</v>
      </c>
      <c r="AE66" s="568"/>
      <c r="AF66" s="514">
        <f t="shared" si="195"/>
        <v>0</v>
      </c>
      <c r="AG66" s="514">
        <f t="shared" si="196"/>
        <v>0</v>
      </c>
      <c r="AH66" s="514">
        <f t="shared" si="197"/>
        <v>0</v>
      </c>
      <c r="AI66" s="514">
        <f t="shared" si="198"/>
        <v>0</v>
      </c>
      <c r="AJ66" s="514">
        <f t="shared" si="199"/>
        <v>0</v>
      </c>
      <c r="AK66" s="501"/>
      <c r="AL66" s="585">
        <f t="shared" si="200"/>
        <v>1</v>
      </c>
      <c r="AM66" s="585">
        <f t="shared" si="201"/>
        <v>0</v>
      </c>
      <c r="AN66" s="570">
        <f t="shared" si="202"/>
        <v>0</v>
      </c>
      <c r="AO66" s="586"/>
      <c r="AP66" s="567">
        <f>COUNTIF('AR | Drawing List'!$G:$G,"AR-T2V-3")</f>
        <v>3</v>
      </c>
      <c r="AQ66" s="582">
        <f>COUNTIFS('AR | Drawing List'!$G:$G,"AR-T2V-3",'AR | Drawing List'!$I:$I,1)</f>
        <v>3</v>
      </c>
      <c r="AR66" s="582">
        <f t="shared" si="32"/>
        <v>0</v>
      </c>
      <c r="AS66" s="582">
        <f>COUNTIFS('AR | Drawing List'!$G:$G,"AR-T2V-3",'AR | Drawing List'!M:M,1)</f>
        <v>0</v>
      </c>
      <c r="AT66" s="582">
        <f>COUNTIFS('AR | Drawing List'!$G:$G,"AR-T2V-3",'AR | Drawing List'!N:N,1)</f>
        <v>0</v>
      </c>
      <c r="AU66" s="582">
        <f>COUNTIFS('AR | Drawing List'!$G:$G,"AR-T2V-3",'AR | Drawing List'!O:O,1)</f>
        <v>0</v>
      </c>
      <c r="AV66" s="582">
        <f>COUNTIFS('AR | Drawing List'!$G:$G,"AR-T2V-3",'AR | Drawing List'!P:P,1)</f>
        <v>0</v>
      </c>
      <c r="AW66" s="587"/>
      <c r="AX66" s="582">
        <f t="shared" si="203"/>
        <v>0</v>
      </c>
      <c r="AY66" s="582">
        <f>COUNTIFS('AR | Drawing List'!$G:$G,"AR-T2V-3",'AR | Drawing List'!R:R,1)</f>
        <v>0</v>
      </c>
      <c r="AZ66" s="582">
        <f>COUNTIFS('AR | Drawing List'!$G:$G,"AR-T2V-3",'AR | Drawing List'!S:S,1)</f>
        <v>0</v>
      </c>
      <c r="BA66" s="582">
        <f>COUNTIFS('AR | Drawing List'!$G:$G,"AR-T2V-3",'AR | Drawing List'!T:T,1)</f>
        <v>0</v>
      </c>
      <c r="BB66" s="582">
        <f>COUNTIFS('AR | Drawing List'!$G:$G,"AR-T2V-3",'AR | Drawing List'!U:U,1)</f>
        <v>0</v>
      </c>
      <c r="BC66" s="599"/>
      <c r="BD66" s="599"/>
      <c r="BE66" s="576">
        <v>0</v>
      </c>
      <c r="BF66" s="588"/>
      <c r="BG66" s="582">
        <f t="shared" si="204"/>
        <v>0</v>
      </c>
      <c r="BH66" s="589">
        <f t="shared" si="22"/>
        <v>0</v>
      </c>
      <c r="BI66" s="567">
        <f t="shared" si="205"/>
        <v>0</v>
      </c>
      <c r="BJ66" s="567">
        <f t="shared" si="206"/>
        <v>0</v>
      </c>
      <c r="BK66" s="514">
        <f t="shared" si="207"/>
        <v>0</v>
      </c>
      <c r="BL66" s="514">
        <f t="shared" si="208"/>
        <v>0</v>
      </c>
      <c r="BM66" s="514">
        <f t="shared" si="209"/>
        <v>0</v>
      </c>
      <c r="BN66" s="514">
        <f t="shared" si="210"/>
        <v>0</v>
      </c>
      <c r="BO66" s="501"/>
      <c r="BP66" s="514">
        <f t="shared" si="211"/>
        <v>0</v>
      </c>
      <c r="BQ66" s="514">
        <f t="shared" si="212"/>
        <v>0</v>
      </c>
      <c r="BR66" s="514">
        <f t="shared" si="213"/>
        <v>0</v>
      </c>
      <c r="BS66" s="514">
        <f t="shared" si="214"/>
        <v>0</v>
      </c>
      <c r="BT66" s="514">
        <f t="shared" si="215"/>
        <v>0</v>
      </c>
      <c r="BU66" s="501"/>
      <c r="BV66" s="571">
        <f t="shared" si="216"/>
        <v>0</v>
      </c>
      <c r="BW66" s="571">
        <f t="shared" si="217"/>
        <v>0</v>
      </c>
      <c r="BX66" s="571">
        <f t="shared" si="218"/>
        <v>0</v>
      </c>
      <c r="BY66" s="600"/>
      <c r="BZ66" s="567">
        <f>COUNTIF('ST | Drawing List'!$G:$G,"ST-T2V-3")</f>
        <v>0</v>
      </c>
      <c r="CA66" s="582">
        <f>COUNTIFS('ST | Drawing List'!$G:$G,"ST-T2V-3",'ST | Drawing List'!$I:$I,1)</f>
        <v>0</v>
      </c>
      <c r="CB66" s="590">
        <f>COUNTIFS('ST | Drawing List'!$G:$G,"ST-T2V-3",'ST | Drawing List'!$K:$K,1)</f>
        <v>0</v>
      </c>
      <c r="CC66" s="582">
        <f>COUNTIFS('ST | Drawing List'!$G:$G,"ST-T2V-3",'ST | Drawing List'!L:L,1)</f>
        <v>0</v>
      </c>
      <c r="CD66" s="582">
        <f>COUNTIFS('ST | Drawing List'!$G:$G,"ST-T2V-3",'ST | Drawing List'!M:M,1)</f>
        <v>0</v>
      </c>
      <c r="CE66" s="582">
        <f>COUNTIFS('ST | Drawing List'!$G:$G,"ST-T2V-3",'ST | Drawing List'!N:N,1)</f>
        <v>0</v>
      </c>
      <c r="CF66" s="582">
        <f>COUNTIFS('ST | Drawing List'!$G:$G,"ST-T2V-3",'ST | Drawing List'!O:O,1)</f>
        <v>0</v>
      </c>
      <c r="CG66" s="591"/>
      <c r="CH66" s="590">
        <f>COUNTIFS('ST | Drawing List'!$G:$G,"ST-T2V-3",'ST | Drawing List'!$P:$P,1)</f>
        <v>0</v>
      </c>
      <c r="CI66" s="582">
        <f>COUNTIFS('ST | Drawing List'!$G:$G,"ST-T2V-3",'ST | Drawing List'!Q:Q,1)</f>
        <v>0</v>
      </c>
      <c r="CJ66" s="582">
        <f>COUNTIFS('ST | Drawing List'!$G:$G,"ST-T2V-3",'ST | Drawing List'!R:R,1)</f>
        <v>0</v>
      </c>
      <c r="CK66" s="582">
        <f>COUNTIFS('ST | Drawing List'!$G:$G,"ST-T2V-3",'ST | Drawing List'!S:S,1)</f>
        <v>0</v>
      </c>
      <c r="CL66" s="582">
        <f>COUNTIFS('ST | Drawing List'!$G:$G,"ST-T2V-3",'ST | Drawing List'!T:T,1)</f>
        <v>0</v>
      </c>
      <c r="CM66" s="588"/>
      <c r="CN66" s="588"/>
      <c r="CO66" s="576">
        <v>0</v>
      </c>
      <c r="CP66" s="588"/>
      <c r="CQ66" s="582">
        <f t="shared" si="219"/>
        <v>0</v>
      </c>
      <c r="CR66" s="589">
        <f t="shared" si="25"/>
        <v>0</v>
      </c>
      <c r="CS66" s="567">
        <f t="shared" si="220"/>
        <v>0</v>
      </c>
      <c r="CT66" s="514">
        <f t="shared" si="221"/>
        <v>0</v>
      </c>
      <c r="CU66" s="514">
        <f t="shared" si="222"/>
        <v>0</v>
      </c>
      <c r="CV66" s="514">
        <f t="shared" si="223"/>
        <v>0</v>
      </c>
      <c r="CW66" s="514">
        <f t="shared" si="224"/>
        <v>0</v>
      </c>
      <c r="CX66" s="514">
        <f t="shared" si="225"/>
        <v>0</v>
      </c>
      <c r="CY66" s="501"/>
      <c r="CZ66" s="514">
        <f t="shared" si="226"/>
        <v>0</v>
      </c>
      <c r="DA66" s="514">
        <f t="shared" si="227"/>
        <v>0</v>
      </c>
      <c r="DB66" s="514">
        <f t="shared" si="228"/>
        <v>0</v>
      </c>
      <c r="DC66" s="514">
        <f t="shared" si="229"/>
        <v>0</v>
      </c>
      <c r="DD66" s="514">
        <f t="shared" si="230"/>
        <v>0</v>
      </c>
      <c r="DE66" s="501"/>
      <c r="DF66" s="570">
        <f t="shared" si="231"/>
        <v>0</v>
      </c>
      <c r="DG66" s="570">
        <f t="shared" si="232"/>
        <v>0</v>
      </c>
      <c r="DH66" s="570">
        <f t="shared" si="233"/>
        <v>0</v>
      </c>
      <c r="DI66" s="600"/>
      <c r="DJ66" s="567">
        <f>COUNTIF('MEP | Drawing List'!$G:$G,"MEP-T2V-6V-3")</f>
        <v>0</v>
      </c>
      <c r="DK66" s="582">
        <f>COUNTIFS('MEP | Drawing List'!$G:$G,"MEP-T2V-6V-3",'MEP | Drawing List'!$I:$I,1)</f>
        <v>0</v>
      </c>
      <c r="DL66" s="582">
        <f>COUNTIFS('MEP | Drawing List'!$G:$G,"MEP-T2V-6V-3",'MEP | Drawing List'!$K:$K,1)</f>
        <v>0</v>
      </c>
      <c r="DM66" s="567">
        <f>COUNTIFS('MEP | Drawing List'!$G:$G,"MEP-T2V-6V-3",'MEP | Drawing List'!L:L,1)</f>
        <v>0</v>
      </c>
      <c r="DN66" s="567">
        <f>COUNTIFS('MEP | Drawing List'!$G:$G,"MEP-T2V-6V-3",'MEP | Drawing List'!M:M,1)</f>
        <v>0</v>
      </c>
      <c r="DO66" s="567">
        <f>COUNTIFS('MEP | Drawing List'!$G:$G,"MEP-T2V-6V-3",'MEP | Drawing List'!N:N,1)</f>
        <v>0</v>
      </c>
      <c r="DP66" s="567">
        <f>COUNTIFS('MEP | Drawing List'!$G:$G,"MEP-T2V-6V-3",'MEP | Drawing List'!O:O,1)</f>
        <v>0</v>
      </c>
      <c r="DQ66" s="568"/>
      <c r="DR66" s="582">
        <f>COUNTIFS('MEP | Drawing List'!$G:$G,"MEP-T2V-6V-3",'MEP | Drawing List'!$P:$P,1)</f>
        <v>0</v>
      </c>
      <c r="DS66" s="567">
        <f>COUNTIFS('MEP | Drawing List'!$G:$G,"MEP-T2V-6V-3",'MEP | Drawing List'!Q:Q,1)</f>
        <v>0</v>
      </c>
      <c r="DT66" s="567">
        <f>COUNTIFS('MEP | Drawing List'!$G:$G,"MEP-T2V-6V-3",'MEP | Drawing List'!R:R,1)</f>
        <v>0</v>
      </c>
      <c r="DU66" s="567">
        <f>COUNTIFS('MEP | Drawing List'!$G:$G,"MEP-T2V-6V-3",'MEP | Drawing List'!S:S,1)</f>
        <v>0</v>
      </c>
      <c r="DV66" s="567">
        <f>COUNTIFS('MEP | Drawing List'!$G:$G,"MEP-T2V-6V-3",'MEP | Drawing List'!T:T,1)</f>
        <v>0</v>
      </c>
      <c r="DW66" s="588"/>
      <c r="DX66" s="588"/>
      <c r="DY66" s="592">
        <v>0</v>
      </c>
      <c r="DZ66" s="588"/>
      <c r="EA66" s="509">
        <v>0</v>
      </c>
      <c r="EB66" s="589">
        <f t="shared" si="28"/>
        <v>0</v>
      </c>
      <c r="EC66" s="601"/>
      <c r="ED66" s="601"/>
      <c r="EE66" s="501"/>
      <c r="EF66" s="501"/>
      <c r="EG66" s="501"/>
      <c r="EH66" s="501"/>
      <c r="EI66" s="501"/>
      <c r="EJ66" s="601"/>
      <c r="EK66" s="501"/>
      <c r="EL66" s="501"/>
      <c r="EM66" s="501"/>
      <c r="EN66" s="501"/>
      <c r="EO66" s="501"/>
      <c r="EP66" s="52"/>
      <c r="EQ66" s="52"/>
      <c r="ER66" s="52"/>
      <c r="ES66" s="602"/>
      <c r="ET66" s="567">
        <f>COUNTIF('LS | Drawing List'!$G:$G,"LS-T2V-3")</f>
        <v>0</v>
      </c>
      <c r="EU66" s="582">
        <f>COUNTIFS('LS | Drawing List'!$G:$G,"LS-T2V-3",'LS | Drawing List'!$I:$I,1)</f>
        <v>0</v>
      </c>
      <c r="EV66" s="582">
        <f>COUNTIFS('LS | Drawing List'!$G:$G,"LS-T2V-3",'LS | Drawing List'!$K:$K,1)</f>
        <v>0</v>
      </c>
      <c r="EW66" s="567">
        <f>COUNTIFS('LS | Drawing List'!$G:$G,"LS-T2V-3",'LS | Drawing List'!L:L,1)</f>
        <v>0</v>
      </c>
      <c r="EX66" s="567">
        <f>COUNTIFS('LS | Drawing List'!$G:$G,"LS-T2V-3",'LS | Drawing List'!M:M,1)</f>
        <v>0</v>
      </c>
      <c r="EY66" s="567">
        <f>COUNTIFS('LS | Drawing List'!$G:$G,"LS-T2V-3",'LS | Drawing List'!N:N,1)</f>
        <v>0</v>
      </c>
      <c r="EZ66" s="567">
        <f>COUNTIFS('LS | Drawing List'!$G:$G,"LS-T2V-3",'LS | Drawing List'!O:O,1)</f>
        <v>0</v>
      </c>
      <c r="FA66" s="574"/>
      <c r="FB66" s="582">
        <f>COUNTIFS('LS | Drawing List'!$G:$G,"LS-T2V-3",'LS | Drawing List'!$P:$P,1)</f>
        <v>0</v>
      </c>
      <c r="FC66" s="567">
        <f>COUNTIFS('LS | Drawing List'!$G:$G,"LS-T2V-3",'LS | Drawing List'!Q:Q,1)</f>
        <v>0</v>
      </c>
      <c r="FD66" s="567">
        <f>COUNTIFS('LS | Drawing List'!$G:$G,"LS-T2V-3",'LS | Drawing List'!R:R,1)</f>
        <v>0</v>
      </c>
      <c r="FE66" s="567">
        <f>COUNTIFS('LS | Drawing List'!$G:$G,"LS-T2V-3",'LS | Drawing List'!S:S,1)</f>
        <v>0</v>
      </c>
      <c r="FF66" s="567">
        <f>COUNTIFS('LS | Drawing List'!$G:$G,"LS-T2V-3",'LS | Drawing List'!T:T,1)</f>
        <v>0</v>
      </c>
    </row>
    <row r="67" spans="2:162" ht="14.25" outlineLevel="2">
      <c r="B67" s="564" t="s">
        <v>76</v>
      </c>
      <c r="C67" s="565">
        <v>4</v>
      </c>
      <c r="D67" s="566" t="s">
        <v>58</v>
      </c>
      <c r="F67" s="500">
        <f t="shared" si="159"/>
        <v>0.21864377600000004</v>
      </c>
      <c r="G67" s="500">
        <f t="shared" si="160"/>
        <v>0.21864377600000004</v>
      </c>
      <c r="H67" s="506">
        <f t="shared" si="161"/>
        <v>0</v>
      </c>
      <c r="I67" s="506">
        <f t="shared" si="162"/>
        <v>0</v>
      </c>
      <c r="J67" s="506">
        <f t="shared" si="163"/>
        <v>0</v>
      </c>
      <c r="K67" s="506">
        <f t="shared" si="164"/>
        <v>0</v>
      </c>
      <c r="L67" s="506">
        <f t="shared" si="165"/>
        <v>0</v>
      </c>
      <c r="M67" s="567">
        <f t="shared" si="166"/>
        <v>0</v>
      </c>
      <c r="N67" s="568"/>
      <c r="O67" s="514">
        <f t="shared" si="167"/>
        <v>0</v>
      </c>
      <c r="P67" s="514">
        <f t="shared" si="168"/>
        <v>0</v>
      </c>
      <c r="Q67" s="514">
        <f t="shared" si="169"/>
        <v>0</v>
      </c>
      <c r="R67" s="514">
        <f t="shared" si="170"/>
        <v>0</v>
      </c>
      <c r="S67" s="514">
        <f t="shared" si="171"/>
        <v>0</v>
      </c>
      <c r="U67" s="569">
        <v>0.05</v>
      </c>
      <c r="V67" s="503"/>
      <c r="W67" s="500">
        <f t="shared" si="188"/>
        <v>0.10908800000000003</v>
      </c>
      <c r="X67" s="500">
        <f t="shared" si="19"/>
        <v>0.10908800000000003</v>
      </c>
      <c r="Y67" s="506">
        <f t="shared" si="189"/>
        <v>0.10908800000000003</v>
      </c>
      <c r="Z67" s="506">
        <f t="shared" si="190"/>
        <v>0</v>
      </c>
      <c r="AA67" s="506">
        <f t="shared" si="191"/>
        <v>0</v>
      </c>
      <c r="AB67" s="506">
        <f t="shared" si="192"/>
        <v>0</v>
      </c>
      <c r="AC67" s="506">
        <f t="shared" si="193"/>
        <v>0</v>
      </c>
      <c r="AD67" s="567">
        <f t="shared" si="194"/>
        <v>0</v>
      </c>
      <c r="AE67" s="568"/>
      <c r="AF67" s="514">
        <f t="shared" si="195"/>
        <v>0</v>
      </c>
      <c r="AG67" s="514">
        <f t="shared" si="196"/>
        <v>0</v>
      </c>
      <c r="AH67" s="514">
        <f t="shared" si="197"/>
        <v>0</v>
      </c>
      <c r="AI67" s="514">
        <f t="shared" si="198"/>
        <v>0</v>
      </c>
      <c r="AJ67" s="514">
        <f t="shared" si="199"/>
        <v>0</v>
      </c>
      <c r="AK67" s="501"/>
      <c r="AL67" s="578">
        <f t="shared" si="200"/>
        <v>1</v>
      </c>
      <c r="AM67" s="578">
        <f t="shared" si="201"/>
        <v>0</v>
      </c>
      <c r="AN67" s="570">
        <f t="shared" si="202"/>
        <v>0</v>
      </c>
      <c r="AO67" s="505"/>
      <c r="AP67" s="514">
        <f>COUNTIF('AR | Drawing List'!$G:$G,"AR-T2V-4")</f>
        <v>3</v>
      </c>
      <c r="AQ67" s="506">
        <f>COUNTIFS('AR | Drawing List'!$G:$G,"AR-T2V-4",'AR | Drawing List'!$I:$I,1)</f>
        <v>3</v>
      </c>
      <c r="AR67" s="506">
        <f t="shared" si="32"/>
        <v>0</v>
      </c>
      <c r="AS67" s="506">
        <f>COUNTIFS('AR | Drawing List'!$G:$G,"AR-T2V-4",'AR | Drawing List'!M:M,1)</f>
        <v>0</v>
      </c>
      <c r="AT67" s="506">
        <f>COUNTIFS('AR | Drawing List'!$G:$G,"AR-T2V-4",'AR | Drawing List'!N:N,1)</f>
        <v>0</v>
      </c>
      <c r="AU67" s="506">
        <f>COUNTIFS('AR | Drawing List'!$G:$G,"AR-T2V-4",'AR | Drawing List'!O:O,1)</f>
        <v>0</v>
      </c>
      <c r="AV67" s="506">
        <f>COUNTIFS('AR | Drawing List'!$G:$G,"AR-T2V-4",'AR | Drawing List'!P:P,1)</f>
        <v>0</v>
      </c>
      <c r="AW67" s="466"/>
      <c r="AX67" s="506">
        <f t="shared" si="203"/>
        <v>0</v>
      </c>
      <c r="AY67" s="506">
        <f>COUNTIFS('AR | Drawing List'!$G:$G,"AR-T2V-4",'AR | Drawing List'!R:R,1)</f>
        <v>0</v>
      </c>
      <c r="AZ67" s="506">
        <f>COUNTIFS('AR | Drawing List'!$G:$G,"AR-T2V-4",'AR | Drawing List'!S:S,1)</f>
        <v>0</v>
      </c>
      <c r="BA67" s="506">
        <f>COUNTIFS('AR | Drawing List'!$G:$G,"AR-T2V-4",'AR | Drawing List'!T:T,1)</f>
        <v>0</v>
      </c>
      <c r="BB67" s="506">
        <f>COUNTIFS('AR | Drawing List'!$G:$G,"AR-T2V-4",'AR | Drawing List'!U:U,1)</f>
        <v>0</v>
      </c>
      <c r="BC67" s="551"/>
      <c r="BD67" s="551"/>
      <c r="BE67" s="470">
        <v>0.1</v>
      </c>
      <c r="BF67" s="508"/>
      <c r="BG67" s="506">
        <f t="shared" si="204"/>
        <v>9.07776E-2</v>
      </c>
      <c r="BH67" s="510">
        <f t="shared" si="22"/>
        <v>9.07776E-2</v>
      </c>
      <c r="BI67" s="506">
        <f t="shared" si="205"/>
        <v>9.07776E-2</v>
      </c>
      <c r="BJ67" s="506">
        <f t="shared" si="206"/>
        <v>0</v>
      </c>
      <c r="BK67" s="506">
        <f t="shared" si="207"/>
        <v>0</v>
      </c>
      <c r="BL67" s="506">
        <f t="shared" si="208"/>
        <v>0</v>
      </c>
      <c r="BM67" s="506">
        <f t="shared" si="209"/>
        <v>0</v>
      </c>
      <c r="BN67" s="506">
        <f t="shared" si="210"/>
        <v>0</v>
      </c>
      <c r="BO67" s="530"/>
      <c r="BP67" s="514">
        <f t="shared" si="211"/>
        <v>0</v>
      </c>
      <c r="BQ67" s="514">
        <f t="shared" si="212"/>
        <v>0</v>
      </c>
      <c r="BR67" s="514">
        <f t="shared" si="213"/>
        <v>0</v>
      </c>
      <c r="BS67" s="514">
        <f t="shared" si="214"/>
        <v>0</v>
      </c>
      <c r="BT67" s="514">
        <f t="shared" si="215"/>
        <v>0</v>
      </c>
      <c r="BU67" s="501"/>
      <c r="BV67" s="571">
        <f t="shared" si="216"/>
        <v>1</v>
      </c>
      <c r="BW67" s="571">
        <f t="shared" si="217"/>
        <v>0</v>
      </c>
      <c r="BX67" s="571">
        <f t="shared" si="218"/>
        <v>0</v>
      </c>
      <c r="BY67" s="505"/>
      <c r="BZ67" s="514">
        <f>COUNTIF('ST | Drawing List'!$G:$G,"ST-T2V-4")</f>
        <v>1</v>
      </c>
      <c r="CA67" s="506">
        <f>COUNTIFS('ST | Drawing List'!$G:$G,"ST-T2V-4",'ST | Drawing List'!$I:$I,1)</f>
        <v>1</v>
      </c>
      <c r="CB67" s="506">
        <f>COUNTIFS('ST | Drawing List'!$G:$G,"ST-T2V-4",'ST | Drawing List'!$K:$K,1)</f>
        <v>0</v>
      </c>
      <c r="CC67" s="506">
        <f>COUNTIFS('ST | Drawing List'!$G:$G,"ST-T2V-4",'ST | Drawing List'!L:L,1)</f>
        <v>0</v>
      </c>
      <c r="CD67" s="506">
        <f>COUNTIFS('ST | Drawing List'!$G:$G,"ST-T2V-4",'ST | Drawing List'!M:M,1)</f>
        <v>0</v>
      </c>
      <c r="CE67" s="506">
        <f>COUNTIFS('ST | Drawing List'!$G:$G,"ST-T2V-4",'ST | Drawing List'!N:N,1)</f>
        <v>0</v>
      </c>
      <c r="CF67" s="506">
        <f>COUNTIFS('ST | Drawing List'!$G:$G,"ST-T2V-4",'ST | Drawing List'!O:O,1)</f>
        <v>0</v>
      </c>
      <c r="CG67" s="471"/>
      <c r="CH67" s="506">
        <f>COUNTIFS('ST | Drawing List'!$G:$G,"ST-T2V-4",'ST | Drawing List'!$P:$P,1)</f>
        <v>0</v>
      </c>
      <c r="CI67" s="506">
        <f>COUNTIFS('ST | Drawing List'!$G:$G,"ST-T2V-4",'ST | Drawing List'!Q:Q,1)</f>
        <v>0</v>
      </c>
      <c r="CJ67" s="506">
        <f>COUNTIFS('ST | Drawing List'!$G:$G,"ST-T2V-4",'ST | Drawing List'!R:R,1)</f>
        <v>0</v>
      </c>
      <c r="CK67" s="506">
        <f>COUNTIFS('ST | Drawing List'!$G:$G,"ST-T2V-4",'ST | Drawing List'!S:S,1)</f>
        <v>0</v>
      </c>
      <c r="CL67" s="506">
        <f>COUNTIFS('ST | Drawing List'!$G:$G,"ST-T2V-4",'ST | Drawing List'!T:T,1)</f>
        <v>0</v>
      </c>
      <c r="CM67" s="508"/>
      <c r="CN67" s="508"/>
      <c r="CO67" s="470">
        <v>0.15</v>
      </c>
      <c r="CP67" s="508"/>
      <c r="CQ67" s="506">
        <f t="shared" si="219"/>
        <v>1.8778175999999997E-2</v>
      </c>
      <c r="CR67" s="510">
        <f t="shared" si="25"/>
        <v>1.8778175999999997E-2</v>
      </c>
      <c r="CS67" s="506">
        <f t="shared" si="220"/>
        <v>1.8778175999999997E-2</v>
      </c>
      <c r="CT67" s="514">
        <f t="shared" si="221"/>
        <v>0</v>
      </c>
      <c r="CU67" s="514">
        <f t="shared" si="222"/>
        <v>0</v>
      </c>
      <c r="CV67" s="514">
        <f t="shared" si="223"/>
        <v>0</v>
      </c>
      <c r="CW67" s="514">
        <f t="shared" si="224"/>
        <v>0</v>
      </c>
      <c r="CX67" s="514">
        <f t="shared" si="225"/>
        <v>0</v>
      </c>
      <c r="CY67" s="501"/>
      <c r="CZ67" s="514">
        <f t="shared" si="226"/>
        <v>0</v>
      </c>
      <c r="DA67" s="514">
        <f t="shared" si="227"/>
        <v>0</v>
      </c>
      <c r="DB67" s="514">
        <f t="shared" si="228"/>
        <v>0</v>
      </c>
      <c r="DC67" s="514">
        <f t="shared" si="229"/>
        <v>0</v>
      </c>
      <c r="DD67" s="514">
        <f t="shared" si="230"/>
        <v>0</v>
      </c>
      <c r="DE67" s="501"/>
      <c r="DF67" s="570">
        <f t="shared" si="231"/>
        <v>1</v>
      </c>
      <c r="DG67" s="570">
        <f t="shared" si="232"/>
        <v>0</v>
      </c>
      <c r="DH67" s="570">
        <f t="shared" si="233"/>
        <v>0</v>
      </c>
      <c r="DI67" s="505"/>
      <c r="DJ67" s="514">
        <f>COUNTIF('MEP | Drawing List'!$G:$G,"MEP-T2V-6V-4")</f>
        <v>101</v>
      </c>
      <c r="DK67" s="506">
        <f>COUNTIFS('MEP | Drawing List'!$G:$G,"MEP-T2V-6V-4",'MEP | Drawing List'!$I:$I,1)</f>
        <v>101</v>
      </c>
      <c r="DL67" s="506">
        <f>COUNTIFS('MEP | Drawing List'!$G:$G,"MEP-T2V-6V-4",'MEP | Drawing List'!$K:$K,1)</f>
        <v>0</v>
      </c>
      <c r="DM67" s="506">
        <f>COUNTIFS('MEP | Drawing List'!$G:$G,"MEP-T2V-6V-4",'MEP | Drawing List'!L:L,1)</f>
        <v>0</v>
      </c>
      <c r="DN67" s="506">
        <f>COUNTIFS('MEP | Drawing List'!$G:$G,"MEP-T2V-6V-4",'MEP | Drawing List'!M:M,1)</f>
        <v>0</v>
      </c>
      <c r="DO67" s="506">
        <f>COUNTIFS('MEP | Drawing List'!$G:$G,"MEP-T2V-6V-4",'MEP | Drawing List'!N:N,1)</f>
        <v>0</v>
      </c>
      <c r="DP67" s="506">
        <f>COUNTIFS('MEP | Drawing List'!$G:$G,"MEP-T2V-6V-4",'MEP | Drawing List'!O:O,1)</f>
        <v>0</v>
      </c>
      <c r="DQ67" s="530"/>
      <c r="DR67" s="506">
        <f>COUNTIFS('MEP | Drawing List'!$G:$G,"MEP-T2V-6V-4",'MEP | Drawing List'!$P:$P,1)</f>
        <v>0</v>
      </c>
      <c r="DS67" s="506">
        <f>COUNTIFS('MEP | Drawing List'!$G:$G,"MEP-T2V-6V-4",'MEP | Drawing List'!Q:Q,1)</f>
        <v>0</v>
      </c>
      <c r="DT67" s="506">
        <f>COUNTIFS('MEP | Drawing List'!$G:$G,"MEP-T2V-6V-4",'MEP | Drawing List'!R:R,1)</f>
        <v>0</v>
      </c>
      <c r="DU67" s="506">
        <f>COUNTIFS('MEP | Drawing List'!$G:$G,"MEP-T2V-6V-4",'MEP | Drawing List'!S:S,1)</f>
        <v>0</v>
      </c>
      <c r="DV67" s="506">
        <f>COUNTIFS('MEP | Drawing List'!$G:$G,"MEP-T2V-6V-4",'MEP | Drawing List'!T:T,1)</f>
        <v>0</v>
      </c>
      <c r="DW67" s="508"/>
      <c r="DX67" s="508"/>
      <c r="DY67" s="470">
        <v>0</v>
      </c>
      <c r="DZ67" s="508"/>
      <c r="EA67" s="509">
        <v>0</v>
      </c>
      <c r="EB67" s="510">
        <f t="shared" si="28"/>
        <v>0</v>
      </c>
      <c r="EC67" s="574"/>
      <c r="ED67" s="533"/>
      <c r="EE67" s="501"/>
      <c r="EF67" s="501"/>
      <c r="EG67" s="501"/>
      <c r="EH67" s="501"/>
      <c r="EI67" s="501"/>
      <c r="EJ67" s="533"/>
      <c r="EK67" s="501"/>
      <c r="EL67" s="501"/>
      <c r="EM67" s="501"/>
      <c r="EN67" s="501"/>
      <c r="EO67" s="501"/>
      <c r="EP67" s="52"/>
      <c r="EQ67" s="52"/>
      <c r="ER67" s="52"/>
      <c r="ES67" s="516"/>
      <c r="ET67" s="514">
        <f>COUNTIF('LS | Drawing List'!$G:$G,"LS-T2V-4")</f>
        <v>0</v>
      </c>
      <c r="EU67" s="506">
        <f>COUNTIFS('LS | Drawing List'!$G:$G,"LS-T2V-4",'LS | Drawing List'!$I:$I,1)</f>
        <v>0</v>
      </c>
      <c r="EV67" s="506">
        <f>COUNTIFS('LS | Drawing List'!$G:$G,"LS-T2V-4",'LS | Drawing List'!$K:$K,1)</f>
        <v>0</v>
      </c>
      <c r="EW67" s="506">
        <f>COUNTIFS('LS | Drawing List'!$G:$G,"LS-T2V-4",'LS | Drawing List'!L:L,1)</f>
        <v>0</v>
      </c>
      <c r="EX67" s="506">
        <f>COUNTIFS('LS | Drawing List'!$G:$G,"LS-T2V-4",'LS | Drawing List'!M:M,1)</f>
        <v>0</v>
      </c>
      <c r="EY67" s="506">
        <f>COUNTIFS('LS | Drawing List'!$G:$G,"LS-T2V-4",'LS | Drawing List'!N:N,1)</f>
        <v>0</v>
      </c>
      <c r="EZ67" s="506">
        <f>COUNTIFS('LS | Drawing List'!$G:$G,"LS-T2V-4",'LS | Drawing List'!O:O,1)</f>
        <v>0</v>
      </c>
      <c r="FA67" s="533"/>
      <c r="FB67" s="506">
        <f>COUNTIFS('LS | Drawing List'!$G:$G,"LS-T2V-4",'LS | Drawing List'!$P:$P,1)</f>
        <v>0</v>
      </c>
      <c r="FC67" s="506">
        <f>COUNTIFS('LS | Drawing List'!$G:$G,"LS-T2V-4",'LS | Drawing List'!Q:Q,1)</f>
        <v>0</v>
      </c>
      <c r="FD67" s="506">
        <f>COUNTIFS('LS | Drawing List'!$G:$G,"LS-T2V-4",'LS | Drawing List'!R:R,1)</f>
        <v>0</v>
      </c>
      <c r="FE67" s="506">
        <f>COUNTIFS('LS | Drawing List'!$G:$G,"LS-T2V-4",'LS | Drawing List'!S:S,1)</f>
        <v>0</v>
      </c>
      <c r="FF67" s="506">
        <f>COUNTIFS('LS | Drawing List'!$G:$G,"LS-T2V-4",'LS | Drawing List'!T:T,1)</f>
        <v>0</v>
      </c>
    </row>
    <row r="68" spans="2:162" ht="14.25" outlineLevel="2">
      <c r="B68" s="564" t="s">
        <v>77</v>
      </c>
      <c r="C68" s="565">
        <v>5</v>
      </c>
      <c r="D68" s="566" t="s">
        <v>60</v>
      </c>
      <c r="F68" s="500">
        <f t="shared" si="159"/>
        <v>9.9932800000000016E-2</v>
      </c>
      <c r="G68" s="500">
        <f t="shared" si="160"/>
        <v>9.9932800000000016E-2</v>
      </c>
      <c r="H68" s="506">
        <f t="shared" si="161"/>
        <v>0</v>
      </c>
      <c r="I68" s="506">
        <f t="shared" si="162"/>
        <v>0</v>
      </c>
      <c r="J68" s="506">
        <f t="shared" si="163"/>
        <v>0</v>
      </c>
      <c r="K68" s="506">
        <f t="shared" si="164"/>
        <v>0</v>
      </c>
      <c r="L68" s="506">
        <f t="shared" si="165"/>
        <v>0</v>
      </c>
      <c r="M68" s="567">
        <f t="shared" si="166"/>
        <v>0</v>
      </c>
      <c r="N68" s="568"/>
      <c r="O68" s="514">
        <f t="shared" si="167"/>
        <v>0</v>
      </c>
      <c r="P68" s="514">
        <f t="shared" si="168"/>
        <v>0</v>
      </c>
      <c r="Q68" s="514">
        <f t="shared" si="169"/>
        <v>0</v>
      </c>
      <c r="R68" s="514">
        <f t="shared" si="170"/>
        <v>0</v>
      </c>
      <c r="S68" s="514">
        <f t="shared" si="171"/>
        <v>0</v>
      </c>
      <c r="U68" s="569">
        <v>2.5000000000000001E-2</v>
      </c>
      <c r="V68" s="503"/>
      <c r="W68" s="500">
        <f t="shared" si="188"/>
        <v>5.4544000000000016E-2</v>
      </c>
      <c r="X68" s="500">
        <f t="shared" si="19"/>
        <v>5.4544000000000016E-2</v>
      </c>
      <c r="Y68" s="506">
        <f t="shared" si="189"/>
        <v>5.4544000000000016E-2</v>
      </c>
      <c r="Z68" s="506">
        <f t="shared" si="190"/>
        <v>0</v>
      </c>
      <c r="AA68" s="506">
        <f t="shared" si="191"/>
        <v>0</v>
      </c>
      <c r="AB68" s="506">
        <f t="shared" si="192"/>
        <v>0</v>
      </c>
      <c r="AC68" s="506">
        <f t="shared" si="193"/>
        <v>0</v>
      </c>
      <c r="AD68" s="567">
        <f t="shared" si="194"/>
        <v>0</v>
      </c>
      <c r="AE68" s="568"/>
      <c r="AF68" s="514">
        <f t="shared" si="195"/>
        <v>0</v>
      </c>
      <c r="AG68" s="514">
        <f t="shared" si="196"/>
        <v>0</v>
      </c>
      <c r="AH68" s="514">
        <f t="shared" si="197"/>
        <v>0</v>
      </c>
      <c r="AI68" s="514">
        <f t="shared" si="198"/>
        <v>0</v>
      </c>
      <c r="AJ68" s="514">
        <f t="shared" si="199"/>
        <v>0</v>
      </c>
      <c r="AK68" s="501"/>
      <c r="AL68" s="578">
        <f t="shared" si="200"/>
        <v>1</v>
      </c>
      <c r="AM68" s="578">
        <f t="shared" si="201"/>
        <v>0</v>
      </c>
      <c r="AN68" s="570">
        <f t="shared" si="202"/>
        <v>0</v>
      </c>
      <c r="AO68" s="505"/>
      <c r="AP68" s="514">
        <f>COUNTIF('AR | Drawing List'!$G:$G,"AR-T2V-5")</f>
        <v>10</v>
      </c>
      <c r="AQ68" s="506">
        <f>COUNTIFS('AR | Drawing List'!$G:$G,"AR-T2V-5",'AR | Drawing List'!$I:$I,1)</f>
        <v>10</v>
      </c>
      <c r="AR68" s="506">
        <f t="shared" si="32"/>
        <v>0</v>
      </c>
      <c r="AS68" s="506">
        <f>COUNTIFS('AR | Drawing List'!$G:$G,"AR-T2V-5",'AR | Drawing List'!M:M,1)</f>
        <v>0</v>
      </c>
      <c r="AT68" s="506">
        <f>COUNTIFS('AR | Drawing List'!$G:$G,"AR-T2V-5",'AR | Drawing List'!N:N,1)</f>
        <v>0</v>
      </c>
      <c r="AU68" s="506">
        <f>COUNTIFS('AR | Drawing List'!$G:$G,"AR-T2V-5",'AR | Drawing List'!O:O,1)</f>
        <v>0</v>
      </c>
      <c r="AV68" s="506">
        <f>COUNTIFS('AR | Drawing List'!$G:$G,"AR-T2V-5",'AR | Drawing List'!P:P,1)</f>
        <v>0</v>
      </c>
      <c r="AW68" s="466"/>
      <c r="AX68" s="506">
        <f t="shared" si="203"/>
        <v>0</v>
      </c>
      <c r="AY68" s="506">
        <f>COUNTIFS('AR | Drawing List'!$G:$G,"AR-T2V-5",'AR | Drawing List'!R:R,1)</f>
        <v>0</v>
      </c>
      <c r="AZ68" s="506">
        <f>COUNTIFS('AR | Drawing List'!$G:$G,"AR-T2V-5",'AR | Drawing List'!S:S,1)</f>
        <v>0</v>
      </c>
      <c r="BA68" s="506">
        <f>COUNTIFS('AR | Drawing List'!$G:$G,"AR-T2V-5",'AR | Drawing List'!T:T,1)</f>
        <v>0</v>
      </c>
      <c r="BB68" s="506">
        <f>COUNTIFS('AR | Drawing List'!$G:$G,"AR-T2V-5",'AR | Drawing List'!U:U,1)</f>
        <v>0</v>
      </c>
      <c r="BC68" s="466"/>
      <c r="BD68" s="466"/>
      <c r="BE68" s="470">
        <v>0.05</v>
      </c>
      <c r="BF68" s="508"/>
      <c r="BG68" s="506">
        <f t="shared" si="204"/>
        <v>4.53888E-2</v>
      </c>
      <c r="BH68" s="510">
        <f t="shared" si="22"/>
        <v>4.53888E-2</v>
      </c>
      <c r="BI68" s="506">
        <f t="shared" si="205"/>
        <v>4.53888E-2</v>
      </c>
      <c r="BJ68" s="506">
        <f t="shared" si="206"/>
        <v>0</v>
      </c>
      <c r="BK68" s="506">
        <f t="shared" si="207"/>
        <v>0</v>
      </c>
      <c r="BL68" s="506">
        <f t="shared" si="208"/>
        <v>0</v>
      </c>
      <c r="BM68" s="506">
        <f t="shared" si="209"/>
        <v>0</v>
      </c>
      <c r="BN68" s="506">
        <f t="shared" si="210"/>
        <v>0</v>
      </c>
      <c r="BO68" s="530"/>
      <c r="BP68" s="514">
        <f t="shared" si="211"/>
        <v>0</v>
      </c>
      <c r="BQ68" s="514">
        <f t="shared" si="212"/>
        <v>0</v>
      </c>
      <c r="BR68" s="514">
        <f t="shared" si="213"/>
        <v>0</v>
      </c>
      <c r="BS68" s="514">
        <f t="shared" si="214"/>
        <v>0</v>
      </c>
      <c r="BT68" s="514">
        <f t="shared" si="215"/>
        <v>0</v>
      </c>
      <c r="BU68" s="501"/>
      <c r="BV68" s="571">
        <f t="shared" si="216"/>
        <v>1</v>
      </c>
      <c r="BW68" s="571">
        <f t="shared" si="217"/>
        <v>0</v>
      </c>
      <c r="BX68" s="571">
        <f t="shared" si="218"/>
        <v>0</v>
      </c>
      <c r="BY68" s="505"/>
      <c r="BZ68" s="514">
        <f>COUNTIF('ST | Drawing List'!$G:$G,"ST-T2V-5")</f>
        <v>264</v>
      </c>
      <c r="CA68" s="506">
        <f>COUNTIFS('ST | Drawing List'!$G:$G,"ST-T2V-5",'ST | Drawing List'!$I:$I,1)</f>
        <v>264</v>
      </c>
      <c r="CB68" s="506">
        <f>COUNTIFS('ST | Drawing List'!$G:$G,"ST-T2V-5",'ST | Drawing List'!$K:$K,1)</f>
        <v>0</v>
      </c>
      <c r="CC68" s="506">
        <f>COUNTIFS('ST | Drawing List'!$G:$G,"ST-T2V-5",'ST | Drawing List'!L:L,1)</f>
        <v>0</v>
      </c>
      <c r="CD68" s="506">
        <f>COUNTIFS('ST | Drawing List'!$G:$G,"ST-T2V-5",'ST | Drawing List'!M:M,1)</f>
        <v>0</v>
      </c>
      <c r="CE68" s="506">
        <f>COUNTIFS('ST | Drawing List'!$G:$G,"ST-T2V-5",'ST | Drawing List'!N:N,1)</f>
        <v>0</v>
      </c>
      <c r="CF68" s="506">
        <f>COUNTIFS('ST | Drawing List'!$G:$G,"ST-T2V-5",'ST | Drawing List'!O:O,1)</f>
        <v>0</v>
      </c>
      <c r="CG68" s="471"/>
      <c r="CH68" s="506">
        <f>COUNTIFS('ST | Drawing List'!$G:$G,"ST-T2V-5",'ST | Drawing List'!$P:$P,1)</f>
        <v>0</v>
      </c>
      <c r="CI68" s="506">
        <f>COUNTIFS('ST | Drawing List'!$G:$G,"ST-T2V-5",'ST | Drawing List'!Q:Q,1)</f>
        <v>0</v>
      </c>
      <c r="CJ68" s="506">
        <f>COUNTIFS('ST | Drawing List'!$G:$G,"ST-T2V-5",'ST | Drawing List'!R:R,1)</f>
        <v>0</v>
      </c>
      <c r="CK68" s="506">
        <f>COUNTIFS('ST | Drawing List'!$G:$G,"ST-T2V-5",'ST | Drawing List'!S:S,1)</f>
        <v>0</v>
      </c>
      <c r="CL68" s="506">
        <f>COUNTIFS('ST | Drawing List'!$G:$G,"ST-T2V-5",'ST | Drawing List'!T:T,1)</f>
        <v>0</v>
      </c>
      <c r="CM68" s="508"/>
      <c r="CN68" s="508"/>
      <c r="CO68" s="576">
        <v>0</v>
      </c>
      <c r="CP68" s="508"/>
      <c r="CQ68" s="506">
        <f t="shared" si="219"/>
        <v>0</v>
      </c>
      <c r="CR68" s="510">
        <f t="shared" si="25"/>
        <v>0</v>
      </c>
      <c r="CS68" s="506">
        <f t="shared" si="220"/>
        <v>0</v>
      </c>
      <c r="CT68" s="514">
        <f t="shared" si="221"/>
        <v>0</v>
      </c>
      <c r="CU68" s="514">
        <f t="shared" si="222"/>
        <v>0</v>
      </c>
      <c r="CV68" s="514">
        <f t="shared" si="223"/>
        <v>0</v>
      </c>
      <c r="CW68" s="514">
        <f t="shared" si="224"/>
        <v>0</v>
      </c>
      <c r="CX68" s="514">
        <f t="shared" si="225"/>
        <v>0</v>
      </c>
      <c r="CY68" s="501"/>
      <c r="CZ68" s="514">
        <f t="shared" si="226"/>
        <v>0</v>
      </c>
      <c r="DA68" s="514">
        <f t="shared" si="227"/>
        <v>0</v>
      </c>
      <c r="DB68" s="514">
        <f t="shared" si="228"/>
        <v>0</v>
      </c>
      <c r="DC68" s="514">
        <f t="shared" si="229"/>
        <v>0</v>
      </c>
      <c r="DD68" s="514">
        <f t="shared" si="230"/>
        <v>0</v>
      </c>
      <c r="DE68" s="501"/>
      <c r="DF68" s="570">
        <f t="shared" si="231"/>
        <v>0</v>
      </c>
      <c r="DG68" s="570">
        <f t="shared" si="232"/>
        <v>0</v>
      </c>
      <c r="DH68" s="570">
        <f t="shared" si="233"/>
        <v>0</v>
      </c>
      <c r="DI68" s="505"/>
      <c r="DJ68" s="514">
        <f>COUNTIF('MEP | Drawing List'!$G:$G,"MEP-T2V-6V-5")</f>
        <v>0</v>
      </c>
      <c r="DK68" s="506">
        <f>COUNTIFS('MEP | Drawing List'!$G:$G,"MEP-T2V-6V-5",'MEP | Drawing List'!$I:$I,1)</f>
        <v>0</v>
      </c>
      <c r="DL68" s="506">
        <f>COUNTIFS('MEP | Drawing List'!$G:$G,"MEP-T2V-6V-5",'MEP | Drawing List'!$K:$K,1)</f>
        <v>0</v>
      </c>
      <c r="DM68" s="506">
        <f>COUNTIFS('MEP | Drawing List'!$G:$G,"MEP-T2V-6V-5",'MEP | Drawing List'!L:L,1)</f>
        <v>0</v>
      </c>
      <c r="DN68" s="506">
        <f>COUNTIFS('MEP | Drawing List'!$G:$G,"MEP-T2V-6V-5",'MEP | Drawing List'!M:M,1)</f>
        <v>0</v>
      </c>
      <c r="DO68" s="506">
        <f>COUNTIFS('MEP | Drawing List'!$G:$G,"MEP-T2V-6V-5",'MEP | Drawing List'!N:N,1)</f>
        <v>0</v>
      </c>
      <c r="DP68" s="506">
        <f>COUNTIFS('MEP | Drawing List'!$G:$G,"MEP-T2V-6V-5",'MEP | Drawing List'!O:O,1)</f>
        <v>0</v>
      </c>
      <c r="DQ68" s="530"/>
      <c r="DR68" s="506">
        <f>COUNTIFS('MEP | Drawing List'!$G:$G,"MEP-T2V-6V-5",'MEP | Drawing List'!$P:$P,1)</f>
        <v>0</v>
      </c>
      <c r="DS68" s="506">
        <f>COUNTIFS('MEP | Drawing List'!$G:$G,"MEP-T2V-6V-5",'MEP | Drawing List'!Q:Q,1)</f>
        <v>0</v>
      </c>
      <c r="DT68" s="506">
        <f>COUNTIFS('MEP | Drawing List'!$G:$G,"MEP-T2V-6V-5",'MEP | Drawing List'!R:R,1)</f>
        <v>0</v>
      </c>
      <c r="DU68" s="506">
        <f>COUNTIFS('MEP | Drawing List'!$G:$G,"MEP-T2V-6V-5",'MEP | Drawing List'!S:S,1)</f>
        <v>0</v>
      </c>
      <c r="DV68" s="506">
        <f>COUNTIFS('MEP | Drawing List'!$G:$G,"MEP-T2V-6V-5",'MEP | Drawing List'!T:T,1)</f>
        <v>0</v>
      </c>
      <c r="DW68" s="508"/>
      <c r="DX68" s="508"/>
      <c r="DY68" s="470">
        <v>0</v>
      </c>
      <c r="DZ68" s="508"/>
      <c r="EA68" s="509">
        <v>0</v>
      </c>
      <c r="EB68" s="510">
        <f t="shared" si="28"/>
        <v>0</v>
      </c>
      <c r="EC68" s="533"/>
      <c r="ED68" s="533"/>
      <c r="EE68" s="501"/>
      <c r="EF68" s="501"/>
      <c r="EG68" s="501"/>
      <c r="EH68" s="501"/>
      <c r="EI68" s="501"/>
      <c r="EJ68" s="533"/>
      <c r="EK68" s="501"/>
      <c r="EL68" s="501"/>
      <c r="EM68" s="501"/>
      <c r="EN68" s="501"/>
      <c r="EO68" s="501"/>
      <c r="EP68" s="575"/>
      <c r="EQ68" s="575"/>
      <c r="ER68" s="575"/>
      <c r="ES68" s="516"/>
      <c r="ET68" s="514">
        <f>COUNTIF('LS | Drawing List'!$G:$G,"LS-T2V-5")</f>
        <v>0</v>
      </c>
      <c r="EU68" s="506">
        <f>COUNTIFS('LS | Drawing List'!$G:$G,"LS-T2V-5",'LS | Drawing List'!$I:$I,1)</f>
        <v>0</v>
      </c>
      <c r="EV68" s="506">
        <f>COUNTIFS('LS | Drawing List'!$G:$G,"LS-T2V-5",'LS | Drawing List'!$K:$K,1)</f>
        <v>0</v>
      </c>
      <c r="EW68" s="506">
        <f>COUNTIFS('LS | Drawing List'!$G:$G,"LS-T2V-5",'LS | Drawing List'!L:L,1)</f>
        <v>0</v>
      </c>
      <c r="EX68" s="506">
        <f>COUNTIFS('LS | Drawing List'!$G:$G,"LS-T2V-5",'LS | Drawing List'!M:M,1)</f>
        <v>0</v>
      </c>
      <c r="EY68" s="506">
        <f>COUNTIFS('LS | Drawing List'!$G:$G,"LS-T2V-5",'LS | Drawing List'!N:N,1)</f>
        <v>0</v>
      </c>
      <c r="EZ68" s="506">
        <f>COUNTIFS('LS | Drawing List'!$G:$G,"LS-T2V-5",'LS | Drawing List'!O:O,1)</f>
        <v>0</v>
      </c>
      <c r="FA68" s="533"/>
      <c r="FB68" s="506">
        <f>COUNTIFS('LS | Drawing List'!$G:$G,"LS-T2V-5",'LS | Drawing List'!$P:$P,1)</f>
        <v>0</v>
      </c>
      <c r="FC68" s="506">
        <f>COUNTIFS('LS | Drawing List'!$G:$G,"LS-T2V-5",'LS | Drawing List'!Q:Q,1)</f>
        <v>0</v>
      </c>
      <c r="FD68" s="506">
        <f>COUNTIFS('LS | Drawing List'!$G:$G,"LS-T2V-5",'LS | Drawing List'!R:R,1)</f>
        <v>0</v>
      </c>
      <c r="FE68" s="506">
        <f>COUNTIFS('LS | Drawing List'!$G:$G,"LS-T2V-5",'LS | Drawing List'!S:S,1)</f>
        <v>0</v>
      </c>
      <c r="FF68" s="506">
        <f>COUNTIFS('LS | Drawing List'!$G:$G,"LS-T2V-5",'LS | Drawing List'!T:T,1)</f>
        <v>0</v>
      </c>
    </row>
    <row r="69" spans="2:162" ht="14.25" outlineLevel="2">
      <c r="B69" s="564" t="s">
        <v>78</v>
      </c>
      <c r="C69" s="565">
        <v>6</v>
      </c>
      <c r="D69" s="566" t="s">
        <v>62</v>
      </c>
      <c r="F69" s="500">
        <f t="shared" si="159"/>
        <v>9.9932800000000016E-2</v>
      </c>
      <c r="G69" s="500">
        <f t="shared" si="160"/>
        <v>9.9932800000000016E-2</v>
      </c>
      <c r="H69" s="506">
        <f t="shared" si="161"/>
        <v>0</v>
      </c>
      <c r="I69" s="506">
        <f t="shared" si="162"/>
        <v>0</v>
      </c>
      <c r="J69" s="506">
        <f t="shared" si="163"/>
        <v>0</v>
      </c>
      <c r="K69" s="506">
        <f t="shared" si="164"/>
        <v>0</v>
      </c>
      <c r="L69" s="506">
        <f t="shared" si="165"/>
        <v>0</v>
      </c>
      <c r="M69" s="567">
        <f t="shared" si="166"/>
        <v>0</v>
      </c>
      <c r="N69" s="568"/>
      <c r="O69" s="514">
        <f t="shared" si="167"/>
        <v>0</v>
      </c>
      <c r="P69" s="514">
        <f t="shared" si="168"/>
        <v>0</v>
      </c>
      <c r="Q69" s="514">
        <f t="shared" si="169"/>
        <v>0</v>
      </c>
      <c r="R69" s="514">
        <f t="shared" si="170"/>
        <v>0</v>
      </c>
      <c r="S69" s="514">
        <f t="shared" si="171"/>
        <v>0</v>
      </c>
      <c r="U69" s="569">
        <v>2.5000000000000001E-2</v>
      </c>
      <c r="V69" s="503"/>
      <c r="W69" s="500">
        <f t="shared" si="188"/>
        <v>5.4544000000000016E-2</v>
      </c>
      <c r="X69" s="500">
        <f t="shared" ref="X69:X132" si="234">Y69+AF69</f>
        <v>5.4544000000000016E-2</v>
      </c>
      <c r="Y69" s="506">
        <f t="shared" si="189"/>
        <v>5.4544000000000016E-2</v>
      </c>
      <c r="Z69" s="506">
        <f t="shared" si="190"/>
        <v>0</v>
      </c>
      <c r="AA69" s="506">
        <f t="shared" si="191"/>
        <v>0</v>
      </c>
      <c r="AB69" s="506">
        <f t="shared" si="192"/>
        <v>0</v>
      </c>
      <c r="AC69" s="506">
        <f t="shared" si="193"/>
        <v>0</v>
      </c>
      <c r="AD69" s="567">
        <f t="shared" si="194"/>
        <v>0</v>
      </c>
      <c r="AE69" s="568"/>
      <c r="AF69" s="514">
        <f t="shared" si="195"/>
        <v>0</v>
      </c>
      <c r="AG69" s="514">
        <f t="shared" si="196"/>
        <v>0</v>
      </c>
      <c r="AH69" s="514">
        <f t="shared" si="197"/>
        <v>0</v>
      </c>
      <c r="AI69" s="514">
        <f t="shared" si="198"/>
        <v>0</v>
      </c>
      <c r="AJ69" s="514">
        <f t="shared" si="199"/>
        <v>0</v>
      </c>
      <c r="AK69" s="501"/>
      <c r="AL69" s="578">
        <f t="shared" si="200"/>
        <v>1</v>
      </c>
      <c r="AM69" s="578">
        <f t="shared" si="201"/>
        <v>0</v>
      </c>
      <c r="AN69" s="570">
        <f t="shared" si="202"/>
        <v>0</v>
      </c>
      <c r="AO69" s="505"/>
      <c r="AP69" s="514">
        <f>COUNTIF('AR | Drawing List'!$G:$G,"AR-T2V-6")</f>
        <v>2</v>
      </c>
      <c r="AQ69" s="506">
        <f>COUNTIFS('AR | Drawing List'!$G:$G,"AR-T2V-6",'AR | Drawing List'!$I:$I,1)</f>
        <v>2</v>
      </c>
      <c r="AR69" s="506">
        <f t="shared" si="32"/>
        <v>0</v>
      </c>
      <c r="AS69" s="506">
        <f>COUNTIFS('AR | Drawing List'!$G:$G,"AR-T2V-6",'AR | Drawing List'!M:M,1)</f>
        <v>0</v>
      </c>
      <c r="AT69" s="506">
        <f>COUNTIFS('AR | Drawing List'!$G:$G,"AR-T2V-6",'AR | Drawing List'!N:N,1)</f>
        <v>0</v>
      </c>
      <c r="AU69" s="506">
        <f>COUNTIFS('AR | Drawing List'!$G:$G,"AR-T2V-6",'AR | Drawing List'!O:O,1)</f>
        <v>0</v>
      </c>
      <c r="AV69" s="506">
        <f>COUNTIFS('AR | Drawing List'!$G:$G,"AR-T2V-6",'AR | Drawing List'!P:P,1)</f>
        <v>0</v>
      </c>
      <c r="AW69" s="466"/>
      <c r="AX69" s="506">
        <f t="shared" si="203"/>
        <v>0</v>
      </c>
      <c r="AY69" s="506">
        <f>COUNTIFS('AR | Drawing List'!$G:$G,"AR-T2V-6",'AR | Drawing List'!R:R,1)</f>
        <v>0</v>
      </c>
      <c r="AZ69" s="506">
        <f>COUNTIFS('AR | Drawing List'!$G:$G,"AR-T2V-6",'AR | Drawing List'!S:S,1)</f>
        <v>0</v>
      </c>
      <c r="BA69" s="506">
        <f>COUNTIFS('AR | Drawing List'!$G:$G,"AR-T2V-6",'AR | Drawing List'!T:T,1)</f>
        <v>0</v>
      </c>
      <c r="BB69" s="506">
        <f>COUNTIFS('AR | Drawing List'!$G:$G,"AR-T2V-6",'AR | Drawing List'!U:U,1)</f>
        <v>0</v>
      </c>
      <c r="BC69" s="466"/>
      <c r="BD69" s="466"/>
      <c r="BE69" s="470">
        <v>0.05</v>
      </c>
      <c r="BF69" s="508"/>
      <c r="BG69" s="506">
        <f t="shared" si="204"/>
        <v>4.53888E-2</v>
      </c>
      <c r="BH69" s="510">
        <f t="shared" ref="BH69:BH132" si="235">BI69+BP69</f>
        <v>4.53888E-2</v>
      </c>
      <c r="BI69" s="506">
        <f t="shared" si="205"/>
        <v>4.53888E-2</v>
      </c>
      <c r="BJ69" s="506">
        <f t="shared" si="206"/>
        <v>0</v>
      </c>
      <c r="BK69" s="506">
        <f t="shared" si="207"/>
        <v>0</v>
      </c>
      <c r="BL69" s="506">
        <f t="shared" si="208"/>
        <v>0</v>
      </c>
      <c r="BM69" s="506">
        <f t="shared" si="209"/>
        <v>0</v>
      </c>
      <c r="BN69" s="506">
        <f t="shared" si="210"/>
        <v>0</v>
      </c>
      <c r="BO69" s="530"/>
      <c r="BP69" s="514">
        <f t="shared" si="211"/>
        <v>0</v>
      </c>
      <c r="BQ69" s="514">
        <f t="shared" si="212"/>
        <v>0</v>
      </c>
      <c r="BR69" s="514">
        <f t="shared" si="213"/>
        <v>0</v>
      </c>
      <c r="BS69" s="514">
        <f t="shared" si="214"/>
        <v>0</v>
      </c>
      <c r="BT69" s="514">
        <f t="shared" si="215"/>
        <v>0</v>
      </c>
      <c r="BU69" s="501"/>
      <c r="BV69" s="571">
        <f t="shared" si="216"/>
        <v>1</v>
      </c>
      <c r="BW69" s="571">
        <f t="shared" si="217"/>
        <v>0</v>
      </c>
      <c r="BX69" s="571">
        <f t="shared" si="218"/>
        <v>0</v>
      </c>
      <c r="BY69" s="505"/>
      <c r="BZ69" s="514">
        <f>COUNTIF('ST | Drawing List'!$G:$G,"ST-T2V-6")</f>
        <v>253</v>
      </c>
      <c r="CA69" s="506">
        <f>COUNTIFS('ST | Drawing List'!$G:$G,"ST-T2V-6",'ST | Drawing List'!$I:$I,1)</f>
        <v>253</v>
      </c>
      <c r="CB69" s="506">
        <f>COUNTIFS('ST | Drawing List'!$G:$G,"ST-T2V-6",'ST | Drawing List'!$K:$K,1)</f>
        <v>0</v>
      </c>
      <c r="CC69" s="506">
        <f>COUNTIFS('ST | Drawing List'!$G:$G,"ST-T2V-6",'ST | Drawing List'!L:L,1)</f>
        <v>0</v>
      </c>
      <c r="CD69" s="506">
        <f>COUNTIFS('ST | Drawing List'!$G:$G,"ST-T2V-6",'ST | Drawing List'!M:M,1)</f>
        <v>0</v>
      </c>
      <c r="CE69" s="506">
        <f>COUNTIFS('ST | Drawing List'!$G:$G,"ST-T2V-6",'ST | Drawing List'!N:N,1)</f>
        <v>0</v>
      </c>
      <c r="CF69" s="506">
        <f>COUNTIFS('ST | Drawing List'!$G:$G,"ST-T2V-6",'ST | Drawing List'!O:O,1)</f>
        <v>0</v>
      </c>
      <c r="CG69" s="471"/>
      <c r="CH69" s="506">
        <f>COUNTIFS('ST | Drawing List'!$G:$G,"ST-T2V-6",'ST | Drawing List'!$P:$P,1)</f>
        <v>0</v>
      </c>
      <c r="CI69" s="506">
        <f>COUNTIFS('ST | Drawing List'!$G:$G,"ST-T2V-6",'ST | Drawing List'!Q:Q,1)</f>
        <v>0</v>
      </c>
      <c r="CJ69" s="506">
        <f>COUNTIFS('ST | Drawing List'!$G:$G,"ST-T2V-6",'ST | Drawing List'!R:R,1)</f>
        <v>0</v>
      </c>
      <c r="CK69" s="506">
        <f>COUNTIFS('ST | Drawing List'!$G:$G,"ST-T2V-6",'ST | Drawing List'!S:S,1)</f>
        <v>0</v>
      </c>
      <c r="CL69" s="506">
        <f>COUNTIFS('ST | Drawing List'!$G:$G,"ST-T2V-6",'ST | Drawing List'!T:T,1)</f>
        <v>0</v>
      </c>
      <c r="CM69" s="508"/>
      <c r="CN69" s="508"/>
      <c r="CO69" s="576">
        <v>0</v>
      </c>
      <c r="CP69" s="508"/>
      <c r="CQ69" s="506">
        <f t="shared" si="219"/>
        <v>0</v>
      </c>
      <c r="CR69" s="510">
        <f t="shared" ref="CR69:CR132" si="236">CS69+CZ69</f>
        <v>0</v>
      </c>
      <c r="CS69" s="506">
        <f t="shared" si="220"/>
        <v>0</v>
      </c>
      <c r="CT69" s="514">
        <f t="shared" si="221"/>
        <v>0</v>
      </c>
      <c r="CU69" s="514">
        <f t="shared" si="222"/>
        <v>0</v>
      </c>
      <c r="CV69" s="514">
        <f t="shared" si="223"/>
        <v>0</v>
      </c>
      <c r="CW69" s="514">
        <f t="shared" si="224"/>
        <v>0</v>
      </c>
      <c r="CX69" s="514">
        <f t="shared" si="225"/>
        <v>0</v>
      </c>
      <c r="CY69" s="501"/>
      <c r="CZ69" s="514">
        <f t="shared" si="226"/>
        <v>0</v>
      </c>
      <c r="DA69" s="514">
        <f t="shared" si="227"/>
        <v>0</v>
      </c>
      <c r="DB69" s="514">
        <f t="shared" si="228"/>
        <v>0</v>
      </c>
      <c r="DC69" s="514">
        <f t="shared" si="229"/>
        <v>0</v>
      </c>
      <c r="DD69" s="514">
        <f t="shared" si="230"/>
        <v>0</v>
      </c>
      <c r="DE69" s="501"/>
      <c r="DF69" s="570">
        <f t="shared" si="231"/>
        <v>0</v>
      </c>
      <c r="DG69" s="570">
        <f t="shared" si="232"/>
        <v>0</v>
      </c>
      <c r="DH69" s="570">
        <f t="shared" si="233"/>
        <v>0</v>
      </c>
      <c r="DI69" s="505"/>
      <c r="DJ69" s="514">
        <f>COUNTIF('MEP | Drawing List'!$G:$G,"MEP-T2V-6V-6")</f>
        <v>0</v>
      </c>
      <c r="DK69" s="506">
        <f>COUNTIFS('MEP | Drawing List'!$G:$G,"MEP-T2V-6V-6",'MEP | Drawing List'!$I:$I,1)</f>
        <v>0</v>
      </c>
      <c r="DL69" s="506">
        <f>COUNTIFS('MEP | Drawing List'!$G:$G,"MEP-T2V-6V-6",'MEP | Drawing List'!$K:$K,1)</f>
        <v>0</v>
      </c>
      <c r="DM69" s="506">
        <f>COUNTIFS('MEP | Drawing List'!$G:$G,"MEP-T2V-6V-6",'MEP | Drawing List'!L:L,1)</f>
        <v>0</v>
      </c>
      <c r="DN69" s="506">
        <f>COUNTIFS('MEP | Drawing List'!$G:$G,"MEP-T2V-6V-6",'MEP | Drawing List'!M:M,1)</f>
        <v>0</v>
      </c>
      <c r="DO69" s="506">
        <f>COUNTIFS('MEP | Drawing List'!$G:$G,"MEP-T2V-6V-6",'MEP | Drawing List'!N:N,1)</f>
        <v>0</v>
      </c>
      <c r="DP69" s="506">
        <f>COUNTIFS('MEP | Drawing List'!$G:$G,"MEP-T2V-6V-6",'MEP | Drawing List'!O:O,1)</f>
        <v>0</v>
      </c>
      <c r="DQ69" s="530"/>
      <c r="DR69" s="506">
        <f>COUNTIFS('MEP | Drawing List'!$G:$G,"MEP-T2V-6V-6",'MEP | Drawing List'!$P:$P,1)</f>
        <v>0</v>
      </c>
      <c r="DS69" s="506">
        <f>COUNTIFS('MEP | Drawing List'!$G:$G,"MEP-T2V-6V-6",'MEP | Drawing List'!Q:Q,1)</f>
        <v>0</v>
      </c>
      <c r="DT69" s="506">
        <f>COUNTIFS('MEP | Drawing List'!$G:$G,"MEP-T2V-6V-6",'MEP | Drawing List'!R:R,1)</f>
        <v>0</v>
      </c>
      <c r="DU69" s="506">
        <f>COUNTIFS('MEP | Drawing List'!$G:$G,"MEP-T2V-6V-6",'MEP | Drawing List'!S:S,1)</f>
        <v>0</v>
      </c>
      <c r="DV69" s="506">
        <f>COUNTIFS('MEP | Drawing List'!$G:$G,"MEP-T2V-6V-6",'MEP | Drawing List'!T:T,1)</f>
        <v>0</v>
      </c>
      <c r="DW69" s="508"/>
      <c r="DX69" s="508"/>
      <c r="DY69" s="470">
        <v>0</v>
      </c>
      <c r="DZ69" s="508"/>
      <c r="EA69" s="509">
        <v>0</v>
      </c>
      <c r="EB69" s="510">
        <f t="shared" ref="EB69:EB132" si="237">EC69+EJ69</f>
        <v>0</v>
      </c>
      <c r="EC69" s="533"/>
      <c r="ED69" s="533"/>
      <c r="EE69" s="501"/>
      <c r="EF69" s="501"/>
      <c r="EG69" s="501"/>
      <c r="EH69" s="501"/>
      <c r="EI69" s="501"/>
      <c r="EJ69" s="533"/>
      <c r="EK69" s="501"/>
      <c r="EL69" s="501"/>
      <c r="EM69" s="501"/>
      <c r="EN69" s="501"/>
      <c r="EO69" s="501"/>
      <c r="EP69" s="575"/>
      <c r="EQ69" s="575"/>
      <c r="ER69" s="575"/>
      <c r="ES69" s="516"/>
      <c r="ET69" s="514">
        <f>COUNTIF('LS | Drawing List'!$G:$G,"LS-T2V-6")</f>
        <v>0</v>
      </c>
      <c r="EU69" s="506">
        <f>COUNTIFS('LS | Drawing List'!$G:$G,"LS-T2V-6",'LS | Drawing List'!$I:$I,1)</f>
        <v>0</v>
      </c>
      <c r="EV69" s="506">
        <f>COUNTIFS('LS | Drawing List'!$G:$G,"LS-T2V-6",'LS | Drawing List'!$K:$K,1)</f>
        <v>0</v>
      </c>
      <c r="EW69" s="506">
        <f>COUNTIFS('LS | Drawing List'!$G:$G,"LS-T2V-6",'LS | Drawing List'!L:L,1)</f>
        <v>0</v>
      </c>
      <c r="EX69" s="506">
        <f>COUNTIFS('LS | Drawing List'!$G:$G,"LS-T2V-6",'LS | Drawing List'!M:M,1)</f>
        <v>0</v>
      </c>
      <c r="EY69" s="506">
        <f>COUNTIFS('LS | Drawing List'!$G:$G,"LS-T2V-6",'LS | Drawing List'!N:N,1)</f>
        <v>0</v>
      </c>
      <c r="EZ69" s="506">
        <f>COUNTIFS('LS | Drawing List'!$G:$G,"LS-T2V-6",'LS | Drawing List'!O:O,1)</f>
        <v>0</v>
      </c>
      <c r="FA69" s="533"/>
      <c r="FB69" s="506">
        <f>COUNTIFS('LS | Drawing List'!$G:$G,"LS-T2V-6",'LS | Drawing List'!$P:$P,1)</f>
        <v>0</v>
      </c>
      <c r="FC69" s="506">
        <f>COUNTIFS('LS | Drawing List'!$G:$G,"LS-T2V-6",'LS | Drawing List'!Q:Q,1)</f>
        <v>0</v>
      </c>
      <c r="FD69" s="506">
        <f>COUNTIFS('LS | Drawing List'!$G:$G,"LS-T2V-6",'LS | Drawing List'!R:R,1)</f>
        <v>0</v>
      </c>
      <c r="FE69" s="506">
        <f>COUNTIFS('LS | Drawing List'!$G:$G,"LS-T2V-6",'LS | Drawing List'!S:S,1)</f>
        <v>0</v>
      </c>
      <c r="FF69" s="506">
        <f>COUNTIFS('LS | Drawing List'!$G:$G,"LS-T2V-6",'LS | Drawing List'!T:T,1)</f>
        <v>0</v>
      </c>
    </row>
    <row r="70" spans="2:162" s="51" customFormat="1" ht="14.25" outlineLevel="2">
      <c r="B70" s="564" t="s">
        <v>79</v>
      </c>
      <c r="C70" s="579">
        <v>7</v>
      </c>
      <c r="D70" s="580" t="s">
        <v>64</v>
      </c>
      <c r="F70" s="581">
        <f t="shared" si="159"/>
        <v>0.24321356800000007</v>
      </c>
      <c r="G70" s="581">
        <f t="shared" si="160"/>
        <v>0.24321356800000007</v>
      </c>
      <c r="H70" s="567">
        <f t="shared" si="161"/>
        <v>0</v>
      </c>
      <c r="I70" s="567">
        <f t="shared" si="162"/>
        <v>0</v>
      </c>
      <c r="J70" s="567">
        <f t="shared" si="163"/>
        <v>0</v>
      </c>
      <c r="K70" s="567">
        <f t="shared" si="164"/>
        <v>0</v>
      </c>
      <c r="L70" s="567">
        <f t="shared" si="165"/>
        <v>0</v>
      </c>
      <c r="M70" s="567">
        <f t="shared" si="166"/>
        <v>0</v>
      </c>
      <c r="N70" s="568"/>
      <c r="O70" s="514">
        <f t="shared" si="167"/>
        <v>0</v>
      </c>
      <c r="P70" s="514">
        <f t="shared" si="168"/>
        <v>0</v>
      </c>
      <c r="Q70" s="514">
        <f t="shared" si="169"/>
        <v>0</v>
      </c>
      <c r="R70" s="514">
        <f t="shared" si="170"/>
        <v>0</v>
      </c>
      <c r="S70" s="514">
        <f t="shared" si="171"/>
        <v>0</v>
      </c>
      <c r="U70" s="583">
        <v>0.1</v>
      </c>
      <c r="V70" s="584"/>
      <c r="W70" s="581">
        <f t="shared" si="188"/>
        <v>0.21817600000000006</v>
      </c>
      <c r="X70" s="581">
        <f t="shared" si="234"/>
        <v>0.21817600000000006</v>
      </c>
      <c r="Y70" s="567">
        <f t="shared" si="189"/>
        <v>0.21817600000000006</v>
      </c>
      <c r="Z70" s="567">
        <f t="shared" si="190"/>
        <v>0</v>
      </c>
      <c r="AA70" s="567">
        <f t="shared" si="191"/>
        <v>0</v>
      </c>
      <c r="AB70" s="567">
        <f t="shared" si="192"/>
        <v>0</v>
      </c>
      <c r="AC70" s="567">
        <f t="shared" si="193"/>
        <v>0</v>
      </c>
      <c r="AD70" s="567">
        <f t="shared" si="194"/>
        <v>0</v>
      </c>
      <c r="AE70" s="568"/>
      <c r="AF70" s="514">
        <f t="shared" si="195"/>
        <v>0</v>
      </c>
      <c r="AG70" s="514">
        <f t="shared" si="196"/>
        <v>0</v>
      </c>
      <c r="AH70" s="514">
        <f t="shared" si="197"/>
        <v>0</v>
      </c>
      <c r="AI70" s="514">
        <f t="shared" si="198"/>
        <v>0</v>
      </c>
      <c r="AJ70" s="514">
        <f t="shared" si="199"/>
        <v>0</v>
      </c>
      <c r="AK70" s="501"/>
      <c r="AL70" s="585">
        <f t="shared" si="200"/>
        <v>1</v>
      </c>
      <c r="AM70" s="585">
        <f t="shared" si="201"/>
        <v>0</v>
      </c>
      <c r="AN70" s="570">
        <f t="shared" si="202"/>
        <v>0</v>
      </c>
      <c r="AO70" s="586"/>
      <c r="AP70" s="567">
        <f>COUNTIF('AR | Drawing List'!$G:$G,"AR-T2V-7")</f>
        <v>44</v>
      </c>
      <c r="AQ70" s="582">
        <f>COUNTIFS('AR | Drawing List'!$G:$G,"AR-T2V-7",'AR | Drawing List'!$I:$I,1)</f>
        <v>44</v>
      </c>
      <c r="AR70" s="582">
        <f t="shared" ref="AR70:AR130" si="238">SUM(AS70:AV70)</f>
        <v>0</v>
      </c>
      <c r="AS70" s="582">
        <f>COUNTIFS('AR | Drawing List'!$G:$G,"AR-T2V-7",'AR | Drawing List'!M:M,1)</f>
        <v>0</v>
      </c>
      <c r="AT70" s="582">
        <f>COUNTIFS('AR | Drawing List'!$G:$G,"AR-T2V-7",'AR | Drawing List'!N:N,1)</f>
        <v>0</v>
      </c>
      <c r="AU70" s="582">
        <f>COUNTIFS('AR | Drawing List'!$G:$G,"AR-T2V-7",'AR | Drawing List'!O:O,1)</f>
        <v>0</v>
      </c>
      <c r="AV70" s="582">
        <f>COUNTIFS('AR | Drawing List'!$G:$G,"AR-T2V-7",'AR | Drawing List'!P:P,1)</f>
        <v>0</v>
      </c>
      <c r="AW70" s="587"/>
      <c r="AX70" s="603">
        <f t="shared" ref="AX70:AX73" si="239">SUM(AY70:BB70)</f>
        <v>0</v>
      </c>
      <c r="AY70" s="603">
        <f>COUNTIFS('AR | Drawing List'!$G:$G,"AR-T2V-7",'AR | Drawing List'!R:R,1)</f>
        <v>0</v>
      </c>
      <c r="AZ70" s="603">
        <f>COUNTIFS('AR | Drawing List'!$G:$G,"AR-T2V-7",'AR | Drawing List'!S:S,1)</f>
        <v>0</v>
      </c>
      <c r="BA70" s="582">
        <f>COUNTIFS('AR | Drawing List'!$G:$G,"AR-T2V-7",'AR | Drawing List'!T:T,1)</f>
        <v>0</v>
      </c>
      <c r="BB70" s="582">
        <f>COUNTIFS('AR | Drawing List'!$G:$G,"AR-T2V-7",'AR | Drawing List'!U:U,1)</f>
        <v>0</v>
      </c>
      <c r="BC70" s="587"/>
      <c r="BD70" s="587"/>
      <c r="BE70" s="576">
        <v>0</v>
      </c>
      <c r="BF70" s="588"/>
      <c r="BG70" s="582">
        <f t="shared" si="204"/>
        <v>0</v>
      </c>
      <c r="BH70" s="589">
        <f t="shared" si="235"/>
        <v>0</v>
      </c>
      <c r="BI70" s="567">
        <f t="shared" si="205"/>
        <v>0</v>
      </c>
      <c r="BJ70" s="567">
        <f t="shared" si="206"/>
        <v>0</v>
      </c>
      <c r="BK70" s="514">
        <f t="shared" si="207"/>
        <v>0</v>
      </c>
      <c r="BL70" s="514">
        <f t="shared" si="208"/>
        <v>0</v>
      </c>
      <c r="BM70" s="514">
        <f t="shared" si="209"/>
        <v>0</v>
      </c>
      <c r="BN70" s="514">
        <f t="shared" si="210"/>
        <v>0</v>
      </c>
      <c r="BO70" s="501"/>
      <c r="BP70" s="514">
        <f t="shared" si="211"/>
        <v>0</v>
      </c>
      <c r="BQ70" s="514">
        <f t="shared" si="212"/>
        <v>0</v>
      </c>
      <c r="BR70" s="514">
        <f t="shared" si="213"/>
        <v>0</v>
      </c>
      <c r="BS70" s="514">
        <f t="shared" si="214"/>
        <v>0</v>
      </c>
      <c r="BT70" s="514">
        <f t="shared" si="215"/>
        <v>0</v>
      </c>
      <c r="BU70" s="501"/>
      <c r="BV70" s="571">
        <f t="shared" si="216"/>
        <v>0</v>
      </c>
      <c r="BW70" s="571">
        <f t="shared" si="217"/>
        <v>0</v>
      </c>
      <c r="BX70" s="571">
        <f t="shared" si="218"/>
        <v>0</v>
      </c>
      <c r="BY70" s="586"/>
      <c r="BZ70" s="567">
        <f>COUNTIF('ST | Drawing List'!$G:$G,"ST-T2V-7")</f>
        <v>0</v>
      </c>
      <c r="CA70" s="582">
        <f>COUNTIFS('ST | Drawing List'!$G:$G,"ST-T2V-7",'ST | Drawing List'!$I:$I,1)</f>
        <v>0</v>
      </c>
      <c r="CB70" s="590">
        <f>COUNTIFS('ST | Drawing List'!$G:$G,"ST-T2V-7",'ST | Drawing List'!$K:$K,1)</f>
        <v>0</v>
      </c>
      <c r="CC70" s="582">
        <f>COUNTIFS('ST | Drawing List'!$G:$G,"ST-T2V-7",'ST | Drawing List'!L:L,1)</f>
        <v>0</v>
      </c>
      <c r="CD70" s="582">
        <f>COUNTIFS('ST | Drawing List'!$G:$G,"ST-T2V-7",'ST | Drawing List'!M:M,1)</f>
        <v>0</v>
      </c>
      <c r="CE70" s="582">
        <f>COUNTIFS('ST | Drawing List'!$G:$G,"ST-T2V-7",'ST | Drawing List'!N:N,1)</f>
        <v>0</v>
      </c>
      <c r="CF70" s="582">
        <f>COUNTIFS('ST | Drawing List'!$G:$G,"ST-T2V-7",'ST | Drawing List'!O:O,1)</f>
        <v>0</v>
      </c>
      <c r="CG70" s="591"/>
      <c r="CH70" s="590">
        <f>COUNTIFS('ST | Drawing List'!$G:$G,"ST-T2V-7",'ST | Drawing List'!$P:$P,1)</f>
        <v>0</v>
      </c>
      <c r="CI70" s="582">
        <f>COUNTIFS('ST | Drawing List'!$G:$G,"ST-T2V-7",'ST | Drawing List'!Q:Q,1)</f>
        <v>0</v>
      </c>
      <c r="CJ70" s="582">
        <f>COUNTIFS('ST | Drawing List'!$G:$G,"ST-T2V-7",'ST | Drawing List'!R:R,1)</f>
        <v>0</v>
      </c>
      <c r="CK70" s="582">
        <f>COUNTIFS('ST | Drawing List'!$G:$G,"ST-T2V-7",'ST | Drawing List'!S:S,1)</f>
        <v>0</v>
      </c>
      <c r="CL70" s="582">
        <f>COUNTIFS('ST | Drawing List'!$G:$G,"ST-T2V-7",'ST | Drawing List'!T:T,1)</f>
        <v>0</v>
      </c>
      <c r="CM70" s="588"/>
      <c r="CN70" s="588"/>
      <c r="CO70" s="592">
        <v>0.2</v>
      </c>
      <c r="CP70" s="588"/>
      <c r="CQ70" s="582">
        <f t="shared" si="219"/>
        <v>2.5037568E-2</v>
      </c>
      <c r="CR70" s="589">
        <f t="shared" si="236"/>
        <v>2.5037568E-2</v>
      </c>
      <c r="CS70" s="567">
        <f t="shared" si="220"/>
        <v>2.5037568E-2</v>
      </c>
      <c r="CT70" s="514">
        <f t="shared" si="221"/>
        <v>0</v>
      </c>
      <c r="CU70" s="514">
        <f t="shared" si="222"/>
        <v>0</v>
      </c>
      <c r="CV70" s="514">
        <f t="shared" si="223"/>
        <v>0</v>
      </c>
      <c r="CW70" s="514">
        <f t="shared" si="224"/>
        <v>0</v>
      </c>
      <c r="CX70" s="514">
        <f t="shared" si="225"/>
        <v>0</v>
      </c>
      <c r="CY70" s="501"/>
      <c r="CZ70" s="514">
        <f t="shared" si="226"/>
        <v>0</v>
      </c>
      <c r="DA70" s="514">
        <f t="shared" si="227"/>
        <v>0</v>
      </c>
      <c r="DB70" s="514">
        <f t="shared" si="228"/>
        <v>0</v>
      </c>
      <c r="DC70" s="514">
        <f t="shared" si="229"/>
        <v>0</v>
      </c>
      <c r="DD70" s="514">
        <f t="shared" si="230"/>
        <v>0</v>
      </c>
      <c r="DE70" s="501"/>
      <c r="DF70" s="570">
        <f t="shared" si="231"/>
        <v>1</v>
      </c>
      <c r="DG70" s="570">
        <f t="shared" si="232"/>
        <v>0</v>
      </c>
      <c r="DH70" s="570">
        <f t="shared" si="233"/>
        <v>0</v>
      </c>
      <c r="DI70" s="586"/>
      <c r="DJ70" s="567">
        <f>COUNTIF('MEP | Drawing List'!$G:$G,"MEP-T2V-6V-7")</f>
        <v>1</v>
      </c>
      <c r="DK70" s="582">
        <f>COUNTIFS('MEP | Drawing List'!$G:$G,"MEP-T2V-6V-7",'MEP | Drawing List'!$I:$I,1)</f>
        <v>1</v>
      </c>
      <c r="DL70" s="582">
        <f>COUNTIFS('MEP | Drawing List'!$G:$G,"MEP-T2V-6V-7",'MEP | Drawing List'!$K:$K,1)</f>
        <v>0</v>
      </c>
      <c r="DM70" s="567">
        <f>COUNTIFS('MEP | Drawing List'!$G:$G,"MEP-T2V-6V-7",'MEP | Drawing List'!L:L,1)</f>
        <v>0</v>
      </c>
      <c r="DN70" s="567">
        <f>COUNTIFS('MEP | Drawing List'!$G:$G,"MEP-T2V-6V-7",'MEP | Drawing List'!M:M,1)</f>
        <v>0</v>
      </c>
      <c r="DO70" s="567">
        <f>COUNTIFS('MEP | Drawing List'!$G:$G,"MEP-T2V-6V-7",'MEP | Drawing List'!N:N,1)</f>
        <v>0</v>
      </c>
      <c r="DP70" s="567">
        <f>COUNTIFS('MEP | Drawing List'!$G:$G,"MEP-T2V-6V-7",'MEP | Drawing List'!O:O,1)</f>
        <v>0</v>
      </c>
      <c r="DQ70" s="568"/>
      <c r="DR70" s="582">
        <f>COUNTIFS('MEP | Drawing List'!$G:$G,"MEP-T2V-6V-7",'MEP | Drawing List'!$P:$P,1)</f>
        <v>0</v>
      </c>
      <c r="DS70" s="567">
        <f>COUNTIFS('MEP | Drawing List'!$G:$G,"MEP-T2V-6V-7",'MEP | Drawing List'!Q:Q,1)</f>
        <v>0</v>
      </c>
      <c r="DT70" s="567">
        <f>COUNTIFS('MEP | Drawing List'!$G:$G,"MEP-T2V-6V-7",'MEP | Drawing List'!R:R,1)</f>
        <v>0</v>
      </c>
      <c r="DU70" s="567">
        <f>COUNTIFS('MEP | Drawing List'!$G:$G,"MEP-T2V-6V-7",'MEP | Drawing List'!S:S,1)</f>
        <v>0</v>
      </c>
      <c r="DV70" s="567">
        <f>COUNTIFS('MEP | Drawing List'!$G:$G,"MEP-T2V-6V-7",'MEP | Drawing List'!T:T,1)</f>
        <v>0</v>
      </c>
      <c r="DW70" s="588"/>
      <c r="DX70" s="588"/>
      <c r="DY70" s="592">
        <v>0</v>
      </c>
      <c r="DZ70" s="588"/>
      <c r="EA70" s="509">
        <v>0</v>
      </c>
      <c r="EB70" s="589">
        <f t="shared" si="237"/>
        <v>0</v>
      </c>
      <c r="EC70" s="574"/>
      <c r="ED70" s="574"/>
      <c r="EE70" s="501"/>
      <c r="EF70" s="501"/>
      <c r="EG70" s="501"/>
      <c r="EH70" s="501"/>
      <c r="EI70" s="501"/>
      <c r="EJ70" s="574"/>
      <c r="EK70" s="501"/>
      <c r="EL70" s="501"/>
      <c r="EM70" s="501"/>
      <c r="EN70" s="501"/>
      <c r="EO70" s="501"/>
      <c r="EP70" s="52"/>
      <c r="EQ70" s="52"/>
      <c r="ER70" s="52"/>
      <c r="ES70" s="593"/>
      <c r="ET70" s="567">
        <f>COUNTIF('LS | Drawing List'!$G:$G,"LS-T2V-7")</f>
        <v>0</v>
      </c>
      <c r="EU70" s="582">
        <f>COUNTIFS('LS | Drawing List'!$G:$G,"LS-T2V-7",'LS | Drawing List'!$I:$I,1)</f>
        <v>0</v>
      </c>
      <c r="EV70" s="582">
        <f>COUNTIFS('LS | Drawing List'!$G:$G,"LS-T2V-7",'LS | Drawing List'!$K:$K,1)</f>
        <v>0</v>
      </c>
      <c r="EW70" s="567">
        <f>COUNTIFS('LS | Drawing List'!$G:$G,"LS-T2V-7",'LS | Drawing List'!L:L,1)</f>
        <v>0</v>
      </c>
      <c r="EX70" s="567">
        <f>COUNTIFS('LS | Drawing List'!$G:$G,"LS-T2V-7",'LS | Drawing List'!M:M,1)</f>
        <v>0</v>
      </c>
      <c r="EY70" s="567">
        <f>COUNTIFS('LS | Drawing List'!$G:$G,"LS-T2V-7",'LS | Drawing List'!N:N,1)</f>
        <v>0</v>
      </c>
      <c r="EZ70" s="567">
        <f>COUNTIFS('LS | Drawing List'!$G:$G,"LS-T2V-7",'LS | Drawing List'!O:O,1)</f>
        <v>0</v>
      </c>
      <c r="FA70" s="574"/>
      <c r="FB70" s="582">
        <f>COUNTIFS('LS | Drawing List'!$G:$G,"LS-T2V-7",'LS | Drawing List'!$P:$P,1)</f>
        <v>0</v>
      </c>
      <c r="FC70" s="567">
        <f>COUNTIFS('LS | Drawing List'!$G:$G,"LS-T2V-7",'LS | Drawing List'!Q:Q,1)</f>
        <v>0</v>
      </c>
      <c r="FD70" s="567">
        <f>COUNTIFS('LS | Drawing List'!$G:$G,"LS-T2V-7",'LS | Drawing List'!R:R,1)</f>
        <v>0</v>
      </c>
      <c r="FE70" s="567">
        <f>COUNTIFS('LS | Drawing List'!$G:$G,"LS-T2V-7",'LS | Drawing List'!S:S,1)</f>
        <v>0</v>
      </c>
      <c r="FF70" s="567">
        <f>COUNTIFS('LS | Drawing List'!$G:$G,"LS-T2V-7",'LS | Drawing List'!T:T,1)</f>
        <v>0</v>
      </c>
    </row>
    <row r="71" spans="2:162" ht="14.25" outlineLevel="2">
      <c r="B71" s="564" t="s">
        <v>80</v>
      </c>
      <c r="C71" s="565">
        <v>8</v>
      </c>
      <c r="D71" s="566" t="s">
        <v>67</v>
      </c>
      <c r="F71" s="500">
        <f t="shared" si="159"/>
        <v>0.15447680000000003</v>
      </c>
      <c r="G71" s="500">
        <f t="shared" si="160"/>
        <v>0.15447680000000003</v>
      </c>
      <c r="H71" s="514">
        <f t="shared" si="161"/>
        <v>0</v>
      </c>
      <c r="I71" s="514">
        <f t="shared" si="162"/>
        <v>0</v>
      </c>
      <c r="J71" s="514">
        <f t="shared" si="163"/>
        <v>0</v>
      </c>
      <c r="K71" s="514">
        <f t="shared" si="164"/>
        <v>0</v>
      </c>
      <c r="L71" s="514">
        <f t="shared" si="165"/>
        <v>0</v>
      </c>
      <c r="M71" s="567">
        <f t="shared" si="166"/>
        <v>0</v>
      </c>
      <c r="N71" s="568"/>
      <c r="O71" s="514">
        <f t="shared" si="167"/>
        <v>0</v>
      </c>
      <c r="P71" s="514">
        <f t="shared" si="168"/>
        <v>0</v>
      </c>
      <c r="Q71" s="514">
        <f t="shared" si="169"/>
        <v>0</v>
      </c>
      <c r="R71" s="514">
        <f t="shared" si="170"/>
        <v>0</v>
      </c>
      <c r="S71" s="514">
        <f t="shared" si="171"/>
        <v>0</v>
      </c>
      <c r="U71" s="569">
        <v>0.05</v>
      </c>
      <c r="V71" s="503"/>
      <c r="W71" s="500">
        <f t="shared" si="188"/>
        <v>0.10908800000000003</v>
      </c>
      <c r="X71" s="500">
        <f t="shared" si="234"/>
        <v>0.10908800000000003</v>
      </c>
      <c r="Y71" s="514">
        <f t="shared" si="189"/>
        <v>0.10908800000000003</v>
      </c>
      <c r="Z71" s="514">
        <f t="shared" si="190"/>
        <v>0</v>
      </c>
      <c r="AA71" s="514">
        <f t="shared" si="191"/>
        <v>0</v>
      </c>
      <c r="AB71" s="514">
        <f t="shared" si="192"/>
        <v>0</v>
      </c>
      <c r="AC71" s="514">
        <f t="shared" si="193"/>
        <v>0</v>
      </c>
      <c r="AD71" s="567">
        <f t="shared" si="194"/>
        <v>0</v>
      </c>
      <c r="AE71" s="568"/>
      <c r="AF71" s="514">
        <f t="shared" si="195"/>
        <v>0</v>
      </c>
      <c r="AG71" s="514">
        <f t="shared" si="196"/>
        <v>0</v>
      </c>
      <c r="AH71" s="514">
        <f t="shared" si="197"/>
        <v>0</v>
      </c>
      <c r="AI71" s="514">
        <f t="shared" si="198"/>
        <v>0</v>
      </c>
      <c r="AJ71" s="514">
        <f t="shared" si="199"/>
        <v>0</v>
      </c>
      <c r="AK71" s="501"/>
      <c r="AL71" s="570">
        <f t="shared" si="200"/>
        <v>1</v>
      </c>
      <c r="AM71" s="570">
        <f t="shared" si="201"/>
        <v>0</v>
      </c>
      <c r="AN71" s="570">
        <f t="shared" si="202"/>
        <v>0</v>
      </c>
      <c r="AO71" s="505"/>
      <c r="AP71" s="514">
        <f>COUNTIF('AR | Drawing List'!$G:$G,"AR-T2V-8")</f>
        <v>2</v>
      </c>
      <c r="AQ71" s="506">
        <f>COUNTIFS('AR | Drawing List'!$G:$G,"AR-T2V-8",'AR | Drawing List'!$I:$I,1)</f>
        <v>2</v>
      </c>
      <c r="AR71" s="506">
        <f t="shared" si="238"/>
        <v>0</v>
      </c>
      <c r="AS71" s="506">
        <f>COUNTIFS('AR | Drawing List'!$G:$G,"AR-T2V-8",'AR | Drawing List'!M:M,1)</f>
        <v>0</v>
      </c>
      <c r="AT71" s="506">
        <f>COUNTIFS('AR | Drawing List'!$G:$G,"AR-T2V-8",'AR | Drawing List'!N:N,1)</f>
        <v>0</v>
      </c>
      <c r="AU71" s="506">
        <f>COUNTIFS('AR | Drawing List'!$G:$G,"AR-T2V-8",'AR | Drawing List'!O:O,1)</f>
        <v>0</v>
      </c>
      <c r="AV71" s="506">
        <f>COUNTIFS('AR | Drawing List'!$G:$G,"AR-T2V-8",'AR | Drawing List'!P:P,1)</f>
        <v>0</v>
      </c>
      <c r="AW71" s="466"/>
      <c r="AX71" s="506">
        <f t="shared" si="239"/>
        <v>0</v>
      </c>
      <c r="AY71" s="506">
        <f>COUNTIFS('AR | Drawing List'!$G:$G,"AR-T2V-8",'AR | Drawing List'!R:R,1)</f>
        <v>0</v>
      </c>
      <c r="AZ71" s="506">
        <f>COUNTIFS('AR | Drawing List'!$G:$G,"AR-T2V-8",'AR | Drawing List'!S:S,1)</f>
        <v>0</v>
      </c>
      <c r="BA71" s="506">
        <f>COUNTIFS('AR | Drawing List'!$G:$G,"AR-T2V-8",'AR | Drawing List'!T:T,1)</f>
        <v>0</v>
      </c>
      <c r="BB71" s="506">
        <f>COUNTIFS('AR | Drawing List'!$G:$G,"AR-T2V-8",'AR | Drawing List'!U:U,1)</f>
        <v>0</v>
      </c>
      <c r="BC71" s="466"/>
      <c r="BD71" s="466"/>
      <c r="BE71" s="511">
        <v>0.05</v>
      </c>
      <c r="BF71" s="508"/>
      <c r="BG71" s="506">
        <f t="shared" si="204"/>
        <v>4.53888E-2</v>
      </c>
      <c r="BH71" s="510">
        <f t="shared" si="235"/>
        <v>4.53888E-2</v>
      </c>
      <c r="BI71" s="514">
        <f t="shared" si="205"/>
        <v>4.53888E-2</v>
      </c>
      <c r="BJ71" s="514">
        <f t="shared" si="206"/>
        <v>0</v>
      </c>
      <c r="BK71" s="514">
        <f t="shared" si="207"/>
        <v>0</v>
      </c>
      <c r="BL71" s="514">
        <f t="shared" si="208"/>
        <v>0</v>
      </c>
      <c r="BM71" s="514">
        <f t="shared" si="209"/>
        <v>0</v>
      </c>
      <c r="BN71" s="514">
        <f t="shared" si="210"/>
        <v>0</v>
      </c>
      <c r="BO71" s="501"/>
      <c r="BP71" s="514">
        <f t="shared" si="211"/>
        <v>0</v>
      </c>
      <c r="BQ71" s="514">
        <f t="shared" si="212"/>
        <v>0</v>
      </c>
      <c r="BR71" s="514">
        <f t="shared" si="213"/>
        <v>0</v>
      </c>
      <c r="BS71" s="514">
        <f t="shared" si="214"/>
        <v>0</v>
      </c>
      <c r="BT71" s="514">
        <f t="shared" si="215"/>
        <v>0</v>
      </c>
      <c r="BU71" s="501"/>
      <c r="BV71" s="571">
        <f t="shared" si="216"/>
        <v>1</v>
      </c>
      <c r="BW71" s="571">
        <f t="shared" si="217"/>
        <v>0</v>
      </c>
      <c r="BX71" s="571">
        <f t="shared" si="218"/>
        <v>0</v>
      </c>
      <c r="BY71" s="505"/>
      <c r="BZ71" s="514">
        <f>COUNTIF('ST | Drawing List'!$G:$G,"ST-T2V-8")</f>
        <v>64</v>
      </c>
      <c r="CA71" s="506">
        <f>COUNTIFS('ST | Drawing List'!$G:$G,"ST-T2V-8",'ST | Drawing List'!$I:$I,1)</f>
        <v>64</v>
      </c>
      <c r="CB71" s="572">
        <f>COUNTIFS('ST | Drawing List'!$G:$G,"ST-T2V-8",'ST | Drawing List'!$K:$K,1)</f>
        <v>0</v>
      </c>
      <c r="CC71" s="506">
        <f>COUNTIFS('ST | Drawing List'!$G:$G,"ST-T2V-8",'ST | Drawing List'!L:L,1)</f>
        <v>0</v>
      </c>
      <c r="CD71" s="506">
        <f>COUNTIFS('ST | Drawing List'!$G:$G,"ST-T2V-8",'ST | Drawing List'!M:M,1)</f>
        <v>0</v>
      </c>
      <c r="CE71" s="506">
        <f>COUNTIFS('ST | Drawing List'!$G:$G,"ST-T2V-8",'ST | Drawing List'!N:N,1)</f>
        <v>0</v>
      </c>
      <c r="CF71" s="506">
        <f>COUNTIFS('ST | Drawing List'!$G:$G,"ST-T2V-8",'ST | Drawing List'!O:O,1)</f>
        <v>0</v>
      </c>
      <c r="CG71" s="471"/>
      <c r="CH71" s="572">
        <f>COUNTIFS('ST | Drawing List'!$G:$G,"ST-T2V-8",'ST | Drawing List'!$P:$P,1)</f>
        <v>0</v>
      </c>
      <c r="CI71" s="506">
        <f>COUNTIFS('ST | Drawing List'!$G:$G,"ST-T2V-8",'ST | Drawing List'!Q:Q,1)</f>
        <v>0</v>
      </c>
      <c r="CJ71" s="506">
        <f>COUNTIFS('ST | Drawing List'!$G:$G,"ST-T2V-8",'ST | Drawing List'!R:R,1)</f>
        <v>0</v>
      </c>
      <c r="CK71" s="506">
        <f>COUNTIFS('ST | Drawing List'!$G:$G,"ST-T2V-8",'ST | Drawing List'!S:S,1)</f>
        <v>0</v>
      </c>
      <c r="CL71" s="506">
        <f>COUNTIFS('ST | Drawing List'!$G:$G,"ST-T2V-8",'ST | Drawing List'!T:T,1)</f>
        <v>0</v>
      </c>
      <c r="CM71" s="508"/>
      <c r="CN71" s="508"/>
      <c r="CO71" s="576">
        <v>0</v>
      </c>
      <c r="CP71" s="508"/>
      <c r="CQ71" s="506">
        <f t="shared" si="219"/>
        <v>0</v>
      </c>
      <c r="CR71" s="510">
        <f t="shared" si="236"/>
        <v>0</v>
      </c>
      <c r="CS71" s="514">
        <f t="shared" si="220"/>
        <v>0</v>
      </c>
      <c r="CT71" s="514">
        <f t="shared" si="221"/>
        <v>0</v>
      </c>
      <c r="CU71" s="514">
        <f t="shared" si="222"/>
        <v>0</v>
      </c>
      <c r="CV71" s="514">
        <f t="shared" si="223"/>
        <v>0</v>
      </c>
      <c r="CW71" s="514">
        <f t="shared" si="224"/>
        <v>0</v>
      </c>
      <c r="CX71" s="514">
        <f t="shared" si="225"/>
        <v>0</v>
      </c>
      <c r="CY71" s="501"/>
      <c r="CZ71" s="514">
        <f t="shared" si="226"/>
        <v>0</v>
      </c>
      <c r="DA71" s="514">
        <f t="shared" si="227"/>
        <v>0</v>
      </c>
      <c r="DB71" s="514">
        <f t="shared" si="228"/>
        <v>0</v>
      </c>
      <c r="DC71" s="514">
        <f t="shared" si="229"/>
        <v>0</v>
      </c>
      <c r="DD71" s="514">
        <f t="shared" si="230"/>
        <v>0</v>
      </c>
      <c r="DE71" s="501"/>
      <c r="DF71" s="570">
        <f t="shared" si="231"/>
        <v>1</v>
      </c>
      <c r="DG71" s="570">
        <f t="shared" si="232"/>
        <v>0</v>
      </c>
      <c r="DH71" s="570">
        <f t="shared" si="233"/>
        <v>0</v>
      </c>
      <c r="DI71" s="505"/>
      <c r="DJ71" s="514">
        <f>COUNTIF('MEP | Drawing List'!$G:$G,"MEP-T2V-6V-8")</f>
        <v>31</v>
      </c>
      <c r="DK71" s="506">
        <f>COUNTIFS('MEP | Drawing List'!$G:$G,"MEP-T2V-6V-8",'MEP | Drawing List'!$I:$I,1)</f>
        <v>31</v>
      </c>
      <c r="DL71" s="506">
        <f>COUNTIFS('MEP | Drawing List'!$G:$G,"MEP-T2V-6V-8",'MEP | Drawing List'!$K:$K,1)</f>
        <v>0</v>
      </c>
      <c r="DM71" s="514">
        <f>COUNTIFS('MEP | Drawing List'!$G:$G,"MEP-T2V-6V-8",'MEP | Drawing List'!L:L,1)</f>
        <v>0</v>
      </c>
      <c r="DN71" s="514">
        <f>COUNTIFS('MEP | Drawing List'!$G:$G,"MEP-T2V-6V-8",'MEP | Drawing List'!M:M,1)</f>
        <v>0</v>
      </c>
      <c r="DO71" s="514">
        <f>COUNTIFS('MEP | Drawing List'!$G:$G,"MEP-T2V-6V-8",'MEP | Drawing List'!N:N,1)</f>
        <v>0</v>
      </c>
      <c r="DP71" s="514">
        <f>COUNTIFS('MEP | Drawing List'!$G:$G,"MEP-T2V-6V-8",'MEP | Drawing List'!O:O,1)</f>
        <v>0</v>
      </c>
      <c r="DQ71" s="501"/>
      <c r="DR71" s="506">
        <f>COUNTIFS('MEP | Drawing List'!$G:$G,"MEP-T2V-6V-8",'MEP | Drawing List'!$P:$P,1)</f>
        <v>0</v>
      </c>
      <c r="DS71" s="514">
        <f>COUNTIFS('MEP | Drawing List'!$G:$G,"MEP-T2V-6V-8",'MEP | Drawing List'!Q:Q,1)</f>
        <v>0</v>
      </c>
      <c r="DT71" s="514">
        <f>COUNTIFS('MEP | Drawing List'!$G:$G,"MEP-T2V-6V-8",'MEP | Drawing List'!R:R,1)</f>
        <v>0</v>
      </c>
      <c r="DU71" s="514">
        <f>COUNTIFS('MEP | Drawing List'!$G:$G,"MEP-T2V-6V-8",'MEP | Drawing List'!S:S,1)</f>
        <v>0</v>
      </c>
      <c r="DV71" s="514">
        <f>COUNTIFS('MEP | Drawing List'!$G:$G,"MEP-T2V-6V-8",'MEP | Drawing List'!T:T,1)</f>
        <v>0</v>
      </c>
      <c r="DW71" s="508"/>
      <c r="DX71" s="508"/>
      <c r="DY71" s="511">
        <v>0</v>
      </c>
      <c r="DZ71" s="508"/>
      <c r="EA71" s="509">
        <v>0</v>
      </c>
      <c r="EB71" s="510">
        <f t="shared" si="237"/>
        <v>0</v>
      </c>
      <c r="EC71" s="515"/>
      <c r="ED71" s="515"/>
      <c r="EE71" s="501"/>
      <c r="EF71" s="501"/>
      <c r="EG71" s="501"/>
      <c r="EH71" s="501"/>
      <c r="EI71" s="501"/>
      <c r="EJ71" s="515"/>
      <c r="EK71" s="501"/>
      <c r="EL71" s="501"/>
      <c r="EM71" s="501"/>
      <c r="EN71" s="501"/>
      <c r="EO71" s="501"/>
      <c r="EP71" s="474"/>
      <c r="EQ71" s="474"/>
      <c r="ER71" s="474"/>
      <c r="ES71" s="516"/>
      <c r="ET71" s="514">
        <f>COUNTIF('LS | Drawing List'!$G:$G,"LS-T2V-8")</f>
        <v>0</v>
      </c>
      <c r="EU71" s="506">
        <f>COUNTIFS('LS | Drawing List'!$G:$G,"LS-T2V-8",'LS | Drawing List'!$I:$I,1)</f>
        <v>0</v>
      </c>
      <c r="EV71" s="506">
        <f>COUNTIFS('LS | Drawing List'!$G:$G,"LS-T2V-8",'LS | Drawing List'!$K:$K,1)</f>
        <v>0</v>
      </c>
      <c r="EW71" s="514">
        <f>COUNTIFS('LS | Drawing List'!$G:$G,"LS-T2V-8",'LS | Drawing List'!L:L,1)</f>
        <v>0</v>
      </c>
      <c r="EX71" s="514">
        <f>COUNTIFS('LS | Drawing List'!$G:$G,"LS-T2V-8",'LS | Drawing List'!M:M,1)</f>
        <v>0</v>
      </c>
      <c r="EY71" s="514">
        <f>COUNTIFS('LS | Drawing List'!$G:$G,"LS-T2V-8",'LS | Drawing List'!N:N,1)</f>
        <v>0</v>
      </c>
      <c r="EZ71" s="514">
        <f>COUNTIFS('LS | Drawing List'!$G:$G,"LS-T2V-8",'LS | Drawing List'!O:O,1)</f>
        <v>0</v>
      </c>
      <c r="FA71" s="515"/>
      <c r="FB71" s="506">
        <f>COUNTIFS('LS | Drawing List'!$G:$G,"LS-T2V-8",'LS | Drawing List'!$P:$P,1)</f>
        <v>0</v>
      </c>
      <c r="FC71" s="514">
        <f>COUNTIFS('LS | Drawing List'!$G:$G,"LS-T2V-8",'LS | Drawing List'!Q:Q,1)</f>
        <v>0</v>
      </c>
      <c r="FD71" s="514">
        <f>COUNTIFS('LS | Drawing List'!$G:$G,"LS-T2V-8",'LS | Drawing List'!R:R,1)</f>
        <v>0</v>
      </c>
      <c r="FE71" s="514">
        <f>COUNTIFS('LS | Drawing List'!$G:$G,"LS-T2V-8",'LS | Drawing List'!S:S,1)</f>
        <v>0</v>
      </c>
      <c r="FF71" s="514">
        <f>COUNTIFS('LS | Drawing List'!$G:$G,"LS-T2V-8",'LS | Drawing List'!T:T,1)</f>
        <v>0</v>
      </c>
    </row>
    <row r="72" spans="2:162" ht="14.25" outlineLevel="2">
      <c r="B72" s="564" t="s">
        <v>81</v>
      </c>
      <c r="C72" s="565">
        <v>9</v>
      </c>
      <c r="D72" s="580" t="s">
        <v>69</v>
      </c>
      <c r="F72" s="500">
        <f t="shared" si="159"/>
        <v>0.17035916800000003</v>
      </c>
      <c r="G72" s="500">
        <f t="shared" si="160"/>
        <v>0.17035916800000003</v>
      </c>
      <c r="H72" s="514">
        <f t="shared" si="161"/>
        <v>0</v>
      </c>
      <c r="I72" s="514">
        <f t="shared" si="162"/>
        <v>0</v>
      </c>
      <c r="J72" s="514">
        <f t="shared" si="163"/>
        <v>0</v>
      </c>
      <c r="K72" s="514">
        <f t="shared" si="164"/>
        <v>0</v>
      </c>
      <c r="L72" s="514">
        <f t="shared" si="165"/>
        <v>0</v>
      </c>
      <c r="M72" s="567">
        <f t="shared" si="166"/>
        <v>0</v>
      </c>
      <c r="N72" s="568"/>
      <c r="O72" s="514">
        <f t="shared" si="167"/>
        <v>0</v>
      </c>
      <c r="P72" s="514">
        <f t="shared" si="168"/>
        <v>0</v>
      </c>
      <c r="Q72" s="514">
        <f t="shared" si="169"/>
        <v>0</v>
      </c>
      <c r="R72" s="514">
        <f t="shared" si="170"/>
        <v>0</v>
      </c>
      <c r="S72" s="514">
        <f t="shared" si="171"/>
        <v>0</v>
      </c>
      <c r="U72" s="569">
        <v>2.5000000000000001E-2</v>
      </c>
      <c r="V72" s="503"/>
      <c r="W72" s="500">
        <f t="shared" si="188"/>
        <v>5.4544000000000016E-2</v>
      </c>
      <c r="X72" s="500">
        <f t="shared" si="234"/>
        <v>5.4544000000000016E-2</v>
      </c>
      <c r="Y72" s="514">
        <f t="shared" si="189"/>
        <v>5.4544000000000016E-2</v>
      </c>
      <c r="Z72" s="514">
        <f t="shared" si="190"/>
        <v>0</v>
      </c>
      <c r="AA72" s="514">
        <f t="shared" si="191"/>
        <v>0</v>
      </c>
      <c r="AB72" s="514">
        <f t="shared" si="192"/>
        <v>0</v>
      </c>
      <c r="AC72" s="514">
        <f t="shared" si="193"/>
        <v>0</v>
      </c>
      <c r="AD72" s="567">
        <f t="shared" si="194"/>
        <v>0</v>
      </c>
      <c r="AE72" s="568"/>
      <c r="AF72" s="514">
        <f t="shared" si="195"/>
        <v>0</v>
      </c>
      <c r="AG72" s="514">
        <f t="shared" si="196"/>
        <v>0</v>
      </c>
      <c r="AH72" s="514">
        <f t="shared" si="197"/>
        <v>0</v>
      </c>
      <c r="AI72" s="514">
        <f t="shared" si="198"/>
        <v>0</v>
      </c>
      <c r="AJ72" s="514">
        <f t="shared" si="199"/>
        <v>0</v>
      </c>
      <c r="AK72" s="501"/>
      <c r="AL72" s="570">
        <f t="shared" si="200"/>
        <v>1</v>
      </c>
      <c r="AM72" s="570">
        <f t="shared" si="201"/>
        <v>0</v>
      </c>
      <c r="AN72" s="570">
        <f t="shared" si="202"/>
        <v>0</v>
      </c>
      <c r="AO72" s="505"/>
      <c r="AP72" s="514">
        <f>COUNTIF('AR | Drawing List'!$G:$G,"AR-T2V-9")</f>
        <v>3</v>
      </c>
      <c r="AQ72" s="506">
        <f>COUNTIFS('AR | Drawing List'!$G:$G,"AR-T2V-9",'AR | Drawing List'!$I:$I,1)</f>
        <v>3</v>
      </c>
      <c r="AR72" s="506">
        <f t="shared" si="238"/>
        <v>0</v>
      </c>
      <c r="AS72" s="506">
        <f>COUNTIFS('AR | Drawing List'!$G:$G,"AR-T2V-9",'AR | Drawing List'!M:M,1)</f>
        <v>0</v>
      </c>
      <c r="AT72" s="506">
        <f>COUNTIFS('AR | Drawing List'!$G:$G,"AR-T2V-9",'AR | Drawing List'!N:N,1)</f>
        <v>0</v>
      </c>
      <c r="AU72" s="506">
        <f>COUNTIFS('AR | Drawing List'!$G:$G,"AR-T2V-9",'AR | Drawing List'!O:O,1)</f>
        <v>0</v>
      </c>
      <c r="AV72" s="506">
        <f>COUNTIFS('AR | Drawing List'!$G:$G,"AR-T2V-9",'AR | Drawing List'!P:P,1)</f>
        <v>0</v>
      </c>
      <c r="AW72" s="466"/>
      <c r="AX72" s="506">
        <f t="shared" si="239"/>
        <v>0</v>
      </c>
      <c r="AY72" s="506">
        <f>COUNTIFS('AR | Drawing List'!$G:$G,"AR-T2V-9",'AR | Drawing List'!R:R,1)</f>
        <v>0</v>
      </c>
      <c r="AZ72" s="506">
        <f>COUNTIFS('AR | Drawing List'!$G:$G,"AR-T2V-9",'AR | Drawing List'!S:S,1)</f>
        <v>0</v>
      </c>
      <c r="BA72" s="506">
        <f>COUNTIFS('AR | Drawing List'!$G:$G,"AR-T2V-9",'AR | Drawing List'!T:T,1)</f>
        <v>0</v>
      </c>
      <c r="BB72" s="506">
        <f>COUNTIFS('AR | Drawing List'!$G:$G,"AR-T2V-9",'AR | Drawing List'!U:U,1)</f>
        <v>0</v>
      </c>
      <c r="BC72" s="466"/>
      <c r="BD72" s="466"/>
      <c r="BE72" s="592">
        <v>0.1</v>
      </c>
      <c r="BF72" s="508"/>
      <c r="BG72" s="506">
        <f t="shared" si="204"/>
        <v>9.07776E-2</v>
      </c>
      <c r="BH72" s="510">
        <f t="shared" si="235"/>
        <v>9.07776E-2</v>
      </c>
      <c r="BI72" s="514">
        <f t="shared" si="205"/>
        <v>9.07776E-2</v>
      </c>
      <c r="BJ72" s="514">
        <f t="shared" si="206"/>
        <v>0</v>
      </c>
      <c r="BK72" s="514">
        <f t="shared" si="207"/>
        <v>0</v>
      </c>
      <c r="BL72" s="514">
        <f t="shared" si="208"/>
        <v>0</v>
      </c>
      <c r="BM72" s="514">
        <f t="shared" si="209"/>
        <v>0</v>
      </c>
      <c r="BN72" s="514">
        <f t="shared" si="210"/>
        <v>0</v>
      </c>
      <c r="BO72" s="501"/>
      <c r="BP72" s="514">
        <f t="shared" si="211"/>
        <v>0</v>
      </c>
      <c r="BQ72" s="514">
        <f t="shared" si="212"/>
        <v>0</v>
      </c>
      <c r="BR72" s="514">
        <f t="shared" si="213"/>
        <v>0</v>
      </c>
      <c r="BS72" s="514">
        <f t="shared" si="214"/>
        <v>0</v>
      </c>
      <c r="BT72" s="514">
        <f t="shared" si="215"/>
        <v>0</v>
      </c>
      <c r="BU72" s="501"/>
      <c r="BV72" s="571">
        <f t="shared" si="216"/>
        <v>1</v>
      </c>
      <c r="BW72" s="571">
        <f t="shared" si="217"/>
        <v>0</v>
      </c>
      <c r="BX72" s="571">
        <f t="shared" si="218"/>
        <v>0</v>
      </c>
      <c r="BY72" s="505"/>
      <c r="BZ72" s="514">
        <f>COUNTIF('ST | Drawing List'!$G:$G,"ST-T2V-9")</f>
        <v>9</v>
      </c>
      <c r="CA72" s="506">
        <f>COUNTIFS('ST | Drawing List'!$G:$G,"ST-T2V-9",'ST | Drawing List'!$I:$I,1)</f>
        <v>9</v>
      </c>
      <c r="CB72" s="572">
        <f>COUNTIFS('ST | Drawing List'!$G:$G,"ST-T2V-9",'ST | Drawing List'!$K:$K,1)</f>
        <v>0</v>
      </c>
      <c r="CC72" s="506">
        <f>COUNTIFS('ST | Drawing List'!$G:$G,"ST-T2V-9",'ST | Drawing List'!L:L,1)</f>
        <v>0</v>
      </c>
      <c r="CD72" s="506">
        <f>COUNTIFS('ST | Drawing List'!$G:$G,"ST-T2V-9",'ST | Drawing List'!M:M,1)</f>
        <v>0</v>
      </c>
      <c r="CE72" s="506">
        <f>COUNTIFS('ST | Drawing List'!$G:$G,"ST-T2V-9",'ST | Drawing List'!N:N,1)</f>
        <v>0</v>
      </c>
      <c r="CF72" s="506">
        <f>COUNTIFS('ST | Drawing List'!$G:$G,"ST-T2V-9",'ST | Drawing List'!O:O,1)</f>
        <v>0</v>
      </c>
      <c r="CG72" s="471"/>
      <c r="CH72" s="572">
        <f>COUNTIFS('ST | Drawing List'!$G:$G,"ST-T2V-9",'ST | Drawing List'!$P:$P,1)</f>
        <v>0</v>
      </c>
      <c r="CI72" s="506">
        <f>COUNTIFS('ST | Drawing List'!$G:$G,"ST-T2V-9",'ST | Drawing List'!Q:Q,1)</f>
        <v>0</v>
      </c>
      <c r="CJ72" s="506">
        <f>COUNTIFS('ST | Drawing List'!$G:$G,"ST-T2V-9",'ST | Drawing List'!R:R,1)</f>
        <v>0</v>
      </c>
      <c r="CK72" s="506">
        <f>COUNTIFS('ST | Drawing List'!$G:$G,"ST-T2V-9",'ST | Drawing List'!S:S,1)</f>
        <v>0</v>
      </c>
      <c r="CL72" s="506">
        <f>COUNTIFS('ST | Drawing List'!$G:$G,"ST-T2V-9",'ST | Drawing List'!T:T,1)</f>
        <v>0</v>
      </c>
      <c r="CM72" s="508"/>
      <c r="CN72" s="508"/>
      <c r="CO72" s="511">
        <v>0.2</v>
      </c>
      <c r="CP72" s="508"/>
      <c r="CQ72" s="506">
        <f t="shared" si="219"/>
        <v>2.5037568E-2</v>
      </c>
      <c r="CR72" s="510">
        <f t="shared" si="236"/>
        <v>2.5037568E-2</v>
      </c>
      <c r="CS72" s="514">
        <f t="shared" si="220"/>
        <v>2.5037568E-2</v>
      </c>
      <c r="CT72" s="514">
        <f t="shared" si="221"/>
        <v>0</v>
      </c>
      <c r="CU72" s="514">
        <f t="shared" si="222"/>
        <v>0</v>
      </c>
      <c r="CV72" s="514">
        <f t="shared" si="223"/>
        <v>0</v>
      </c>
      <c r="CW72" s="514">
        <f t="shared" si="224"/>
        <v>0</v>
      </c>
      <c r="CX72" s="514">
        <f t="shared" si="225"/>
        <v>0</v>
      </c>
      <c r="CY72" s="501"/>
      <c r="CZ72" s="514">
        <f t="shared" si="226"/>
        <v>0</v>
      </c>
      <c r="DA72" s="514">
        <f t="shared" si="227"/>
        <v>0</v>
      </c>
      <c r="DB72" s="514">
        <f t="shared" si="228"/>
        <v>0</v>
      </c>
      <c r="DC72" s="514">
        <f t="shared" si="229"/>
        <v>0</v>
      </c>
      <c r="DD72" s="514">
        <f t="shared" si="230"/>
        <v>0</v>
      </c>
      <c r="DE72" s="501"/>
      <c r="DF72" s="570">
        <f t="shared" si="231"/>
        <v>1</v>
      </c>
      <c r="DG72" s="570">
        <f t="shared" si="232"/>
        <v>0</v>
      </c>
      <c r="DH72" s="570">
        <f t="shared" si="233"/>
        <v>0</v>
      </c>
      <c r="DI72" s="505"/>
      <c r="DJ72" s="514">
        <f>COUNTIF('MEP | Drawing List'!$G:$G,"MEP-T2V-6V-9")</f>
        <v>31</v>
      </c>
      <c r="DK72" s="506">
        <f>COUNTIFS('MEP | Drawing List'!$G:$G,"MEP-T2V-6V-9",'MEP | Drawing List'!$I:$I,1)</f>
        <v>31</v>
      </c>
      <c r="DL72" s="506">
        <f>COUNTIFS('MEP | Drawing List'!$G:$G,"MEP-T2V-6V-9",'MEP | Drawing List'!$K:$K,1)</f>
        <v>0</v>
      </c>
      <c r="DM72" s="514">
        <f>COUNTIFS('MEP | Drawing List'!$G:$G,"MEP-T2V-6V-9",'MEP | Drawing List'!L:L,1)</f>
        <v>0</v>
      </c>
      <c r="DN72" s="514">
        <f>COUNTIFS('MEP | Drawing List'!$G:$G,"MEP-T2V-6V-9",'MEP | Drawing List'!M:M,1)</f>
        <v>0</v>
      </c>
      <c r="DO72" s="514">
        <f>COUNTIFS('MEP | Drawing List'!$G:$G,"MEP-T2V-6V-9",'MEP | Drawing List'!N:N,1)</f>
        <v>0</v>
      </c>
      <c r="DP72" s="514">
        <f>COUNTIFS('MEP | Drawing List'!$G:$G,"MEP-T2V-6V-9",'MEP | Drawing List'!O:O,1)</f>
        <v>0</v>
      </c>
      <c r="DQ72" s="501"/>
      <c r="DR72" s="506">
        <f>COUNTIFS('MEP | Drawing List'!$G:$G,"MEP-T2V-6V-9",'MEP | Drawing List'!$P:$P,1)</f>
        <v>0</v>
      </c>
      <c r="DS72" s="514">
        <f>COUNTIFS('MEP | Drawing List'!$G:$G,"MEP-T2V-6V-9",'MEP | Drawing List'!Q:Q,1)</f>
        <v>0</v>
      </c>
      <c r="DT72" s="514">
        <f>COUNTIFS('MEP | Drawing List'!$G:$G,"MEP-T2V-6V-9",'MEP | Drawing List'!R:R,1)</f>
        <v>0</v>
      </c>
      <c r="DU72" s="514">
        <f>COUNTIFS('MEP | Drawing List'!$G:$G,"MEP-T2V-6V-9",'MEP | Drawing List'!S:S,1)</f>
        <v>0</v>
      </c>
      <c r="DV72" s="514">
        <f>COUNTIFS('MEP | Drawing List'!$G:$G,"MEP-T2V-6V-9",'MEP | Drawing List'!T:T,1)</f>
        <v>0</v>
      </c>
      <c r="DW72" s="508"/>
      <c r="DX72" s="508"/>
      <c r="DY72" s="511">
        <v>0</v>
      </c>
      <c r="DZ72" s="508"/>
      <c r="EA72" s="509">
        <v>0</v>
      </c>
      <c r="EB72" s="510">
        <f t="shared" si="237"/>
        <v>0</v>
      </c>
      <c r="EC72" s="515"/>
      <c r="ED72" s="515"/>
      <c r="EE72" s="501"/>
      <c r="EF72" s="501"/>
      <c r="EG72" s="501"/>
      <c r="EH72" s="501"/>
      <c r="EI72" s="501"/>
      <c r="EJ72" s="515"/>
      <c r="EK72" s="501"/>
      <c r="EL72" s="501"/>
      <c r="EM72" s="501"/>
      <c r="EN72" s="501"/>
      <c r="EO72" s="501"/>
      <c r="EP72" s="52"/>
      <c r="EQ72" s="52"/>
      <c r="ER72" s="52"/>
      <c r="ES72" s="516"/>
      <c r="ET72" s="514">
        <f>COUNTIF('LS | Drawing List'!$G:$G,"LS-T2V-9")</f>
        <v>0</v>
      </c>
      <c r="EU72" s="506">
        <f>COUNTIFS('LS | Drawing List'!$G:$G,"LS-T2V-9",'LS | Drawing List'!$I:$I,1)</f>
        <v>0</v>
      </c>
      <c r="EV72" s="506">
        <f>COUNTIFS('LS | Drawing List'!$G:$G,"LS-T2V-9",'LS | Drawing List'!$K:$K,1)</f>
        <v>0</v>
      </c>
      <c r="EW72" s="514">
        <f>COUNTIFS('LS | Drawing List'!$G:$G,"LS-T2V-9",'LS | Drawing List'!L:L,1)</f>
        <v>0</v>
      </c>
      <c r="EX72" s="514">
        <f>COUNTIFS('LS | Drawing List'!$G:$G,"LS-T2V-9",'LS | Drawing List'!M:M,1)</f>
        <v>0</v>
      </c>
      <c r="EY72" s="514">
        <f>COUNTIFS('LS | Drawing List'!$G:$G,"LS-T2V-9",'LS | Drawing List'!N:N,1)</f>
        <v>0</v>
      </c>
      <c r="EZ72" s="514">
        <f>COUNTIFS('LS | Drawing List'!$G:$G,"LS-T2V-9",'LS | Drawing List'!O:O,1)</f>
        <v>0</v>
      </c>
      <c r="FA72" s="515"/>
      <c r="FB72" s="506">
        <f>COUNTIFS('LS | Drawing List'!$G:$G,"LS-T2V-9",'LS | Drawing List'!$P:$P,1)</f>
        <v>0</v>
      </c>
      <c r="FC72" s="514">
        <f>COUNTIFS('LS | Drawing List'!$G:$G,"LS-T2V-9",'LS | Drawing List'!Q:Q,1)</f>
        <v>0</v>
      </c>
      <c r="FD72" s="514">
        <f>COUNTIFS('LS | Drawing List'!$G:$G,"LS-T2V-9",'LS | Drawing List'!R:R,1)</f>
        <v>0</v>
      </c>
      <c r="FE72" s="514">
        <f>COUNTIFS('LS | Drawing List'!$G:$G,"LS-T2V-9",'LS | Drawing List'!S:S,1)</f>
        <v>0</v>
      </c>
      <c r="FF72" s="514">
        <f>COUNTIFS('LS | Drawing List'!$G:$G,"LS-T2V-9",'LS | Drawing List'!T:T,1)</f>
        <v>0</v>
      </c>
    </row>
    <row r="73" spans="2:162" ht="14.25" outlineLevel="2">
      <c r="B73" s="564" t="s">
        <v>82</v>
      </c>
      <c r="C73" s="565">
        <v>10</v>
      </c>
      <c r="D73" s="566" t="s">
        <v>71</v>
      </c>
      <c r="F73" s="500">
        <f t="shared" si="159"/>
        <v>0.21817600000000006</v>
      </c>
      <c r="G73" s="500">
        <f t="shared" si="160"/>
        <v>0.21817600000000006</v>
      </c>
      <c r="H73" s="514">
        <f t="shared" si="161"/>
        <v>0</v>
      </c>
      <c r="I73" s="514">
        <f t="shared" si="162"/>
        <v>0</v>
      </c>
      <c r="J73" s="514">
        <f t="shared" si="163"/>
        <v>0</v>
      </c>
      <c r="K73" s="514">
        <f t="shared" si="164"/>
        <v>0</v>
      </c>
      <c r="L73" s="514">
        <f t="shared" si="165"/>
        <v>0</v>
      </c>
      <c r="M73" s="567">
        <f t="shared" si="166"/>
        <v>0</v>
      </c>
      <c r="N73" s="568"/>
      <c r="O73" s="514">
        <f t="shared" si="167"/>
        <v>0</v>
      </c>
      <c r="P73" s="514">
        <f t="shared" si="168"/>
        <v>0</v>
      </c>
      <c r="Q73" s="514">
        <f t="shared" si="169"/>
        <v>0</v>
      </c>
      <c r="R73" s="514">
        <f t="shared" si="170"/>
        <v>0</v>
      </c>
      <c r="S73" s="514">
        <f t="shared" si="171"/>
        <v>0</v>
      </c>
      <c r="U73" s="569">
        <v>0.1</v>
      </c>
      <c r="V73" s="503"/>
      <c r="W73" s="500">
        <f t="shared" si="188"/>
        <v>0.21817600000000006</v>
      </c>
      <c r="X73" s="500">
        <f t="shared" si="234"/>
        <v>0.21817600000000006</v>
      </c>
      <c r="Y73" s="514">
        <f t="shared" si="189"/>
        <v>0.21817600000000006</v>
      </c>
      <c r="Z73" s="514">
        <f t="shared" si="190"/>
        <v>0</v>
      </c>
      <c r="AA73" s="514">
        <f t="shared" si="191"/>
        <v>0</v>
      </c>
      <c r="AB73" s="514">
        <f t="shared" si="192"/>
        <v>0</v>
      </c>
      <c r="AC73" s="514">
        <f t="shared" si="193"/>
        <v>0</v>
      </c>
      <c r="AD73" s="567">
        <f t="shared" si="194"/>
        <v>0</v>
      </c>
      <c r="AE73" s="568"/>
      <c r="AF73" s="514">
        <f t="shared" si="195"/>
        <v>0</v>
      </c>
      <c r="AG73" s="514">
        <f t="shared" si="196"/>
        <v>0</v>
      </c>
      <c r="AH73" s="514">
        <f t="shared" si="197"/>
        <v>0</v>
      </c>
      <c r="AI73" s="514">
        <f t="shared" si="198"/>
        <v>0</v>
      </c>
      <c r="AJ73" s="514">
        <f t="shared" si="199"/>
        <v>0</v>
      </c>
      <c r="AK73" s="501"/>
      <c r="AL73" s="570">
        <f t="shared" si="200"/>
        <v>1</v>
      </c>
      <c r="AM73" s="570">
        <f t="shared" si="201"/>
        <v>0</v>
      </c>
      <c r="AN73" s="570">
        <f t="shared" si="202"/>
        <v>0</v>
      </c>
      <c r="AO73" s="505"/>
      <c r="AP73" s="514">
        <f>COUNTIF('AR | Drawing List'!$G:$G,"AR-T2V-10")</f>
        <v>10</v>
      </c>
      <c r="AQ73" s="506">
        <f>COUNTIFS('AR | Drawing List'!$G:$G,"AR-T2V-10",'AR | Drawing List'!$I:$I,1)</f>
        <v>10</v>
      </c>
      <c r="AR73" s="506">
        <f t="shared" si="238"/>
        <v>0</v>
      </c>
      <c r="AS73" s="506">
        <f>COUNTIFS('AR | Drawing List'!$G:$G,"AR-T2V-10",'AR | Drawing List'!M:M,1)</f>
        <v>0</v>
      </c>
      <c r="AT73" s="506">
        <f>COUNTIFS('AR | Drawing List'!$G:$G,"AR-T2V-10",'AR | Drawing List'!N:N,1)</f>
        <v>0</v>
      </c>
      <c r="AU73" s="506">
        <f>COUNTIFS('AR | Drawing List'!$G:$G,"AR-T2V-10",'AR | Drawing List'!O:O,1)</f>
        <v>0</v>
      </c>
      <c r="AV73" s="506">
        <f>COUNTIFS('AR | Drawing List'!$G:$G,"AR-T2V-10",'AR | Drawing List'!P:P,1)</f>
        <v>0</v>
      </c>
      <c r="AW73" s="466"/>
      <c r="AX73" s="506">
        <f t="shared" si="239"/>
        <v>0</v>
      </c>
      <c r="AY73" s="506">
        <f>COUNTIFS('AR | Drawing List'!$G:$G,"AR-T2V-10",'AR | Drawing List'!R:R,1)</f>
        <v>0</v>
      </c>
      <c r="AZ73" s="506">
        <f>COUNTIFS('AR | Drawing List'!$G:$G,"AR-T2V-10",'AR | Drawing List'!S:S,1)</f>
        <v>0</v>
      </c>
      <c r="BA73" s="506">
        <f>COUNTIFS('AR | Drawing List'!$G:$G,"AR-T2V-10",'AR | Drawing List'!T:T,1)</f>
        <v>0</v>
      </c>
      <c r="BB73" s="506">
        <f>COUNTIFS('AR | Drawing List'!$G:$G,"AR-T2V-10",'AR | Drawing List'!U:U,1)</f>
        <v>0</v>
      </c>
      <c r="BC73" s="466"/>
      <c r="BD73" s="466"/>
      <c r="BE73" s="576">
        <v>0</v>
      </c>
      <c r="BF73" s="508"/>
      <c r="BG73" s="506">
        <f t="shared" si="204"/>
        <v>0</v>
      </c>
      <c r="BH73" s="510">
        <f t="shared" si="235"/>
        <v>0</v>
      </c>
      <c r="BI73" s="514">
        <f t="shared" si="205"/>
        <v>0</v>
      </c>
      <c r="BJ73" s="514">
        <f t="shared" si="206"/>
        <v>0</v>
      </c>
      <c r="BK73" s="514">
        <f t="shared" si="207"/>
        <v>0</v>
      </c>
      <c r="BL73" s="514">
        <f t="shared" si="208"/>
        <v>0</v>
      </c>
      <c r="BM73" s="514">
        <f t="shared" si="209"/>
        <v>0</v>
      </c>
      <c r="BN73" s="514">
        <f t="shared" si="210"/>
        <v>0</v>
      </c>
      <c r="BO73" s="501"/>
      <c r="BP73" s="514">
        <f t="shared" si="211"/>
        <v>0</v>
      </c>
      <c r="BQ73" s="514">
        <f t="shared" si="212"/>
        <v>0</v>
      </c>
      <c r="BR73" s="514">
        <f t="shared" si="213"/>
        <v>0</v>
      </c>
      <c r="BS73" s="514">
        <f t="shared" si="214"/>
        <v>0</v>
      </c>
      <c r="BT73" s="514">
        <f t="shared" si="215"/>
        <v>0</v>
      </c>
      <c r="BU73" s="501"/>
      <c r="BV73" s="571">
        <f t="shared" si="216"/>
        <v>0</v>
      </c>
      <c r="BW73" s="571">
        <f t="shared" si="217"/>
        <v>0</v>
      </c>
      <c r="BX73" s="571">
        <f t="shared" si="218"/>
        <v>0</v>
      </c>
      <c r="BY73" s="505"/>
      <c r="BZ73" s="514">
        <f>COUNTIF('ST | Drawing List'!$G:$G,"ST-T2V-10")</f>
        <v>0</v>
      </c>
      <c r="CA73" s="506">
        <f>COUNTIFS('ST | Drawing List'!$G:$G,"ST-T2V-10",'ST | Drawing List'!$I:$I,1)</f>
        <v>0</v>
      </c>
      <c r="CB73" s="572">
        <f>COUNTIFS('ST | Drawing List'!$G:$G,"ST-T2V-10",'ST | Drawing List'!$K:$K,1)</f>
        <v>0</v>
      </c>
      <c r="CC73" s="506">
        <f>COUNTIFS('ST | Drawing List'!$G:$G,"ST-T2V-10",'ST | Drawing List'!L:L,1)</f>
        <v>0</v>
      </c>
      <c r="CD73" s="506">
        <f>COUNTIFS('ST | Drawing List'!$G:$G,"ST-T2V-10",'ST | Drawing List'!M:M,1)</f>
        <v>0</v>
      </c>
      <c r="CE73" s="506">
        <f>COUNTIFS('ST | Drawing List'!$G:$G,"ST-T2V-10",'ST | Drawing List'!N:N,1)</f>
        <v>0</v>
      </c>
      <c r="CF73" s="506">
        <f>COUNTIFS('ST | Drawing List'!$G:$G,"ST-T2V-10",'ST | Drawing List'!O:O,1)</f>
        <v>0</v>
      </c>
      <c r="CG73" s="471"/>
      <c r="CH73" s="572">
        <f>COUNTIFS('ST | Drawing List'!$G:$G,"ST-T2V-10",'ST | Drawing List'!$P:$P,1)</f>
        <v>0</v>
      </c>
      <c r="CI73" s="506">
        <f>COUNTIFS('ST | Drawing List'!$G:$G,"ST-T2V-10",'ST | Drawing List'!Q:Q,1)</f>
        <v>0</v>
      </c>
      <c r="CJ73" s="506">
        <f>COUNTIFS('ST | Drawing List'!$G:$G,"ST-T2V-10",'ST | Drawing List'!R:R,1)</f>
        <v>0</v>
      </c>
      <c r="CK73" s="506">
        <f>COUNTIFS('ST | Drawing List'!$G:$G,"ST-T2V-10",'ST | Drawing List'!S:S,1)</f>
        <v>0</v>
      </c>
      <c r="CL73" s="506">
        <f>COUNTIFS('ST | Drawing List'!$G:$G,"ST-T2V-10",'ST | Drawing List'!T:T,1)</f>
        <v>0</v>
      </c>
      <c r="CM73" s="508"/>
      <c r="CN73" s="508"/>
      <c r="CO73" s="576">
        <v>0</v>
      </c>
      <c r="CP73" s="508"/>
      <c r="CQ73" s="506">
        <f t="shared" si="219"/>
        <v>0</v>
      </c>
      <c r="CR73" s="510">
        <f t="shared" si="236"/>
        <v>0</v>
      </c>
      <c r="CS73" s="514">
        <f t="shared" si="220"/>
        <v>0</v>
      </c>
      <c r="CT73" s="514">
        <f t="shared" si="221"/>
        <v>0</v>
      </c>
      <c r="CU73" s="514">
        <f t="shared" si="222"/>
        <v>0</v>
      </c>
      <c r="CV73" s="514">
        <f t="shared" si="223"/>
        <v>0</v>
      </c>
      <c r="CW73" s="514">
        <f t="shared" si="224"/>
        <v>0</v>
      </c>
      <c r="CX73" s="514">
        <f t="shared" si="225"/>
        <v>0</v>
      </c>
      <c r="CY73" s="501"/>
      <c r="CZ73" s="514">
        <f t="shared" si="226"/>
        <v>0</v>
      </c>
      <c r="DA73" s="514">
        <f t="shared" si="227"/>
        <v>0</v>
      </c>
      <c r="DB73" s="514">
        <f t="shared" si="228"/>
        <v>0</v>
      </c>
      <c r="DC73" s="514">
        <f t="shared" si="229"/>
        <v>0</v>
      </c>
      <c r="DD73" s="514">
        <f t="shared" si="230"/>
        <v>0</v>
      </c>
      <c r="DE73" s="501"/>
      <c r="DF73" s="570">
        <f t="shared" si="231"/>
        <v>0</v>
      </c>
      <c r="DG73" s="570">
        <f t="shared" si="232"/>
        <v>0</v>
      </c>
      <c r="DH73" s="570">
        <f t="shared" si="233"/>
        <v>0</v>
      </c>
      <c r="DI73" s="505"/>
      <c r="DJ73" s="514">
        <f>COUNTIF('MEP | Drawing List'!$G:$G,"MEP-T2V-6V-10")</f>
        <v>0</v>
      </c>
      <c r="DK73" s="506">
        <f>COUNTIFS('MEP | Drawing List'!$G:$G,"MEP-T2V-6V-10",'MEP | Drawing List'!$I:$I,1)</f>
        <v>0</v>
      </c>
      <c r="DL73" s="506">
        <f>COUNTIFS('MEP | Drawing List'!$G:$G,"MEP-T2V-6V-10",'MEP | Drawing List'!$K:$K,1)</f>
        <v>0</v>
      </c>
      <c r="DM73" s="514">
        <f>COUNTIFS('MEP | Drawing List'!$G:$G,"MEP-T2V-6V-10",'MEP | Drawing List'!L:L,1)</f>
        <v>0</v>
      </c>
      <c r="DN73" s="514">
        <f>COUNTIFS('MEP | Drawing List'!$G:$G,"MEP-T2V-6V-10",'MEP | Drawing List'!M:M,1)</f>
        <v>0</v>
      </c>
      <c r="DO73" s="514">
        <f>COUNTIFS('MEP | Drawing List'!$G:$G,"MEP-T2V-6V-10",'MEP | Drawing List'!N:N,1)</f>
        <v>0</v>
      </c>
      <c r="DP73" s="514">
        <f>COUNTIFS('MEP | Drawing List'!$G:$G,"MEP-T2V-6V-10",'MEP | Drawing List'!O:O,1)</f>
        <v>0</v>
      </c>
      <c r="DQ73" s="501"/>
      <c r="DR73" s="506">
        <f>COUNTIFS('MEP | Drawing List'!$G:$G,"MEP-T2V-6V-10",'MEP | Drawing List'!$P:$P,1)</f>
        <v>0</v>
      </c>
      <c r="DS73" s="514">
        <f>COUNTIFS('MEP | Drawing List'!$G:$G,"MEP-T2V-6V-10",'MEP | Drawing List'!Q:Q,1)</f>
        <v>0</v>
      </c>
      <c r="DT73" s="514">
        <f>COUNTIFS('MEP | Drawing List'!$G:$G,"MEP-T2V-6V-10",'MEP | Drawing List'!R:R,1)</f>
        <v>0</v>
      </c>
      <c r="DU73" s="514">
        <f>COUNTIFS('MEP | Drawing List'!$G:$G,"MEP-T2V-6V-10",'MEP | Drawing List'!S:S,1)</f>
        <v>0</v>
      </c>
      <c r="DV73" s="514">
        <f>COUNTIFS('MEP | Drawing List'!$G:$G,"MEP-T2V-6V-10",'MEP | Drawing List'!T:T,1)</f>
        <v>0</v>
      </c>
      <c r="DW73" s="508"/>
      <c r="DX73" s="508"/>
      <c r="DY73" s="511">
        <v>0</v>
      </c>
      <c r="DZ73" s="508"/>
      <c r="EA73" s="509">
        <v>0</v>
      </c>
      <c r="EB73" s="510">
        <f t="shared" si="237"/>
        <v>0</v>
      </c>
      <c r="EC73" s="515"/>
      <c r="ED73" s="515"/>
      <c r="EE73" s="501"/>
      <c r="EF73" s="501"/>
      <c r="EG73" s="501"/>
      <c r="EH73" s="501"/>
      <c r="EI73" s="501"/>
      <c r="EJ73" s="515"/>
      <c r="EK73" s="501"/>
      <c r="EL73" s="501"/>
      <c r="EM73" s="501"/>
      <c r="EN73" s="501"/>
      <c r="EO73" s="501"/>
      <c r="EP73" s="52"/>
      <c r="EQ73" s="52"/>
      <c r="ER73" s="52"/>
      <c r="ES73" s="516"/>
      <c r="ET73" s="514">
        <f>COUNTIF('LS | Drawing List'!$G:$G,"LS-T2V-10")</f>
        <v>0</v>
      </c>
      <c r="EU73" s="506">
        <f>COUNTIFS('LS | Drawing List'!$G:$G,"LS-T2V-10",'LS | Drawing List'!$I:$I,1)</f>
        <v>0</v>
      </c>
      <c r="EV73" s="506">
        <f>COUNTIFS('LS | Drawing List'!$G:$G,"LS-T2V-10",'LS | Drawing List'!$K:$K,1)</f>
        <v>0</v>
      </c>
      <c r="EW73" s="514">
        <f>COUNTIFS('LS | Drawing List'!$G:$G,"LS-T2V-10",'LS | Drawing List'!L:L,1)</f>
        <v>0</v>
      </c>
      <c r="EX73" s="514">
        <f>COUNTIFS('LS | Drawing List'!$G:$G,"LS-T2V-10",'LS | Drawing List'!M:M,1)</f>
        <v>0</v>
      </c>
      <c r="EY73" s="514">
        <f>COUNTIFS('LS | Drawing List'!$G:$G,"LS-T2V-10",'LS | Drawing List'!N:N,1)</f>
        <v>0</v>
      </c>
      <c r="EZ73" s="514">
        <f>COUNTIFS('LS | Drawing List'!$G:$G,"LS-T2V-10",'LS | Drawing List'!O:O,1)</f>
        <v>0</v>
      </c>
      <c r="FA73" s="515"/>
      <c r="FB73" s="506">
        <f>COUNTIFS('LS | Drawing List'!$G:$G,"LS-T2V-10",'LS | Drawing List'!$P:$P,1)</f>
        <v>0</v>
      </c>
      <c r="FC73" s="514">
        <f>COUNTIFS('LS | Drawing List'!$G:$G,"LS-T2V-10",'LS | Drawing List'!Q:Q,1)</f>
        <v>0</v>
      </c>
      <c r="FD73" s="514">
        <f>COUNTIFS('LS | Drawing List'!$G:$G,"LS-T2V-10",'LS | Drawing List'!R:R,1)</f>
        <v>0</v>
      </c>
      <c r="FE73" s="514">
        <f>COUNTIFS('LS | Drawing List'!$G:$G,"LS-T2V-10",'LS | Drawing List'!S:S,1)</f>
        <v>0</v>
      </c>
      <c r="FF73" s="514">
        <f>COUNTIFS('LS | Drawing List'!$G:$G,"LS-T2V-10",'LS | Drawing List'!T:T,1)</f>
        <v>0</v>
      </c>
    </row>
    <row r="74" spans="2:162" ht="3" customHeight="1" outlineLevel="1">
      <c r="B74" s="594"/>
      <c r="C74" s="595"/>
      <c r="D74" s="566"/>
      <c r="F74" s="499"/>
      <c r="G74" s="500"/>
      <c r="H74" s="501"/>
      <c r="I74" s="501"/>
      <c r="J74" s="501"/>
      <c r="K74" s="501"/>
      <c r="L74" s="501"/>
      <c r="M74" s="501"/>
      <c r="N74" s="501"/>
      <c r="O74" s="501"/>
      <c r="P74" s="501"/>
      <c r="Q74" s="501"/>
      <c r="R74" s="501"/>
      <c r="S74" s="501"/>
      <c r="U74" s="569"/>
      <c r="V74" s="503"/>
      <c r="W74" s="499"/>
      <c r="X74" s="500">
        <f t="shared" si="234"/>
        <v>0</v>
      </c>
      <c r="Y74" s="501"/>
      <c r="Z74" s="501"/>
      <c r="AA74" s="501"/>
      <c r="AB74" s="501"/>
      <c r="AC74" s="501"/>
      <c r="AD74" s="501"/>
      <c r="AE74" s="501"/>
      <c r="AF74" s="501"/>
      <c r="AG74" s="501"/>
      <c r="AH74" s="501"/>
      <c r="AI74" s="501"/>
      <c r="AJ74" s="501"/>
      <c r="AK74" s="501"/>
      <c r="AL74" s="513"/>
      <c r="AM74" s="513"/>
      <c r="AN74" s="513"/>
      <c r="AO74" s="505"/>
      <c r="AP74" s="551"/>
      <c r="AQ74" s="466"/>
      <c r="AR74" s="466"/>
      <c r="AS74" s="466"/>
      <c r="AT74" s="466"/>
      <c r="AU74" s="466"/>
      <c r="AV74" s="466"/>
      <c r="AW74" s="466"/>
      <c r="AX74" s="466"/>
      <c r="AY74" s="466"/>
      <c r="AZ74" s="466"/>
      <c r="BA74" s="466"/>
      <c r="BB74" s="466"/>
      <c r="BC74" s="466"/>
      <c r="BD74" s="466"/>
      <c r="BE74" s="511"/>
      <c r="BF74" s="508"/>
      <c r="BG74" s="509"/>
      <c r="BH74" s="510">
        <f t="shared" si="235"/>
        <v>0</v>
      </c>
      <c r="BI74" s="501"/>
      <c r="BJ74" s="501"/>
      <c r="BK74" s="501"/>
      <c r="BL74" s="501"/>
      <c r="BM74" s="501"/>
      <c r="BN74" s="501"/>
      <c r="BO74" s="501"/>
      <c r="BP74" s="501"/>
      <c r="BQ74" s="501"/>
      <c r="BR74" s="501"/>
      <c r="BS74" s="501"/>
      <c r="BT74" s="501"/>
      <c r="BU74" s="501"/>
      <c r="BV74" s="511"/>
      <c r="BW74" s="511"/>
      <c r="BX74" s="511"/>
      <c r="BY74" s="505"/>
      <c r="BZ74" s="552"/>
      <c r="CA74" s="471"/>
      <c r="CB74" s="548"/>
      <c r="CC74" s="512"/>
      <c r="CD74" s="512"/>
      <c r="CE74" s="512"/>
      <c r="CF74" s="512"/>
      <c r="CG74" s="512"/>
      <c r="CH74" s="548"/>
      <c r="CI74" s="512"/>
      <c r="CJ74" s="512"/>
      <c r="CK74" s="512"/>
      <c r="CL74" s="512"/>
      <c r="CM74" s="508"/>
      <c r="CN74" s="508"/>
      <c r="CO74" s="511"/>
      <c r="CP74" s="508"/>
      <c r="CQ74" s="509"/>
      <c r="CR74" s="510">
        <f t="shared" si="236"/>
        <v>0</v>
      </c>
      <c r="CS74" s="501"/>
      <c r="CT74" s="501"/>
      <c r="CU74" s="501"/>
      <c r="CV74" s="501"/>
      <c r="CW74" s="501"/>
      <c r="CX74" s="501"/>
      <c r="CY74" s="501"/>
      <c r="CZ74" s="501"/>
      <c r="DA74" s="501"/>
      <c r="DB74" s="501"/>
      <c r="DC74" s="501"/>
      <c r="DD74" s="501"/>
      <c r="DE74" s="501"/>
      <c r="DF74" s="513"/>
      <c r="DG74" s="513"/>
      <c r="DH74" s="513"/>
      <c r="DI74" s="505"/>
      <c r="DJ74" s="551"/>
      <c r="DK74" s="466"/>
      <c r="DL74" s="466"/>
      <c r="DM74" s="501"/>
      <c r="DN74" s="501"/>
      <c r="DO74" s="501"/>
      <c r="DP74" s="501"/>
      <c r="DQ74" s="501"/>
      <c r="DR74" s="466"/>
      <c r="DS74" s="501"/>
      <c r="DT74" s="501"/>
      <c r="DU74" s="501"/>
      <c r="DV74" s="501"/>
      <c r="DW74" s="508"/>
      <c r="DX74" s="508"/>
      <c r="DY74" s="511"/>
      <c r="DZ74" s="508"/>
      <c r="EA74" s="509"/>
      <c r="EB74" s="510">
        <f t="shared" si="237"/>
        <v>0</v>
      </c>
      <c r="EC74" s="515"/>
      <c r="ED74" s="515"/>
      <c r="EE74" s="515"/>
      <c r="EF74" s="515"/>
      <c r="EG74" s="515"/>
      <c r="EH74" s="515"/>
      <c r="EI74" s="515"/>
      <c r="EJ74" s="515"/>
      <c r="EK74" s="515"/>
      <c r="EL74" s="515"/>
      <c r="EM74" s="515"/>
      <c r="EN74" s="515"/>
      <c r="EO74" s="515"/>
      <c r="EP74" s="52"/>
      <c r="EQ74" s="52"/>
      <c r="ER74" s="52"/>
      <c r="ES74" s="516"/>
      <c r="EU74" s="476"/>
      <c r="EV74" s="476"/>
      <c r="EW74" s="515"/>
      <c r="EX74" s="515"/>
      <c r="EY74" s="515"/>
      <c r="EZ74" s="515"/>
      <c r="FA74" s="515"/>
      <c r="FB74" s="476"/>
      <c r="FC74" s="515"/>
      <c r="FD74" s="515"/>
      <c r="FE74" s="515"/>
      <c r="FF74" s="515"/>
    </row>
    <row r="75" spans="2:162" ht="14.25" outlineLevel="1">
      <c r="B75" s="477"/>
      <c r="C75" s="559">
        <v>3</v>
      </c>
      <c r="D75" s="560" t="s">
        <v>83</v>
      </c>
      <c r="E75" s="479"/>
      <c r="F75" s="480">
        <f>W75+BG75+CQ75+EA75</f>
        <v>0.95540400399999992</v>
      </c>
      <c r="G75" s="480">
        <f>X75+BH75+CR75+EB75</f>
        <v>0.95540400400000014</v>
      </c>
      <c r="H75" s="481">
        <f>F75-G75</f>
        <v>0</v>
      </c>
      <c r="I75" s="480">
        <f t="shared" ref="I75:I84" si="240">Z75+BJ75+CT75+ED75</f>
        <v>0</v>
      </c>
      <c r="J75" s="480">
        <f t="shared" ref="J75:J84" si="241">AA75+BK75+CU75+EE75</f>
        <v>0</v>
      </c>
      <c r="K75" s="480">
        <f t="shared" ref="K75:K84" si="242">AB75+BL75+CV75+EF75</f>
        <v>0</v>
      </c>
      <c r="L75" s="480">
        <f t="shared" ref="L75:L84" si="243">AC75+BM75+CW75+EG75</f>
        <v>0</v>
      </c>
      <c r="M75" s="480">
        <f t="shared" ref="M75:M84" si="244">AD75+BN75+CX75+EH75</f>
        <v>0</v>
      </c>
      <c r="N75" s="482"/>
      <c r="O75" s="480">
        <f t="shared" ref="O75:O84" si="245">AF75+BP75+CZ75+EJ75</f>
        <v>0</v>
      </c>
      <c r="P75" s="480">
        <f t="shared" ref="P75:P84" si="246">AG75+BQ75+DA75+EK75</f>
        <v>0</v>
      </c>
      <c r="Q75" s="480">
        <f t="shared" ref="Q75:Q84" si="247">AH75+BR75+DB75+EL75</f>
        <v>0</v>
      </c>
      <c r="R75" s="480">
        <f t="shared" ref="R75:R84" si="248">AI75+BS75+DC75+EM75</f>
        <v>0</v>
      </c>
      <c r="S75" s="480">
        <f t="shared" ref="S75:S84" si="249">AJ75+BT75+DD75+EN75</f>
        <v>0</v>
      </c>
      <c r="T75" s="479"/>
      <c r="U75" s="561">
        <f>SUM(U76:U84)</f>
        <v>0.49999999999999994</v>
      </c>
      <c r="V75" s="483"/>
      <c r="W75" s="480">
        <f>U75*(5%*'BOQ COST'!E9*0.36)*1</f>
        <v>0.61361999999999994</v>
      </c>
      <c r="X75" s="480">
        <f t="shared" si="234"/>
        <v>0.61362000000000005</v>
      </c>
      <c r="Y75" s="481">
        <f t="shared" ref="Y75:AD75" si="250">SUM(Y76:Y84)</f>
        <v>0.61362000000000005</v>
      </c>
      <c r="Z75" s="481">
        <f t="shared" si="250"/>
        <v>0</v>
      </c>
      <c r="AA75" s="481">
        <f t="shared" si="250"/>
        <v>0</v>
      </c>
      <c r="AB75" s="481">
        <f t="shared" si="250"/>
        <v>0</v>
      </c>
      <c r="AC75" s="481">
        <f t="shared" si="250"/>
        <v>0</v>
      </c>
      <c r="AD75" s="481">
        <f t="shared" si="250"/>
        <v>0</v>
      </c>
      <c r="AE75" s="482"/>
      <c r="AF75" s="481">
        <f t="shared" ref="AF75:AJ75" si="251">SUM(AF76:AF84)</f>
        <v>0</v>
      </c>
      <c r="AG75" s="481">
        <f t="shared" si="251"/>
        <v>0</v>
      </c>
      <c r="AH75" s="481">
        <f t="shared" si="251"/>
        <v>0</v>
      </c>
      <c r="AI75" s="481">
        <f t="shared" si="251"/>
        <v>0</v>
      </c>
      <c r="AJ75" s="481">
        <f t="shared" si="251"/>
        <v>0</v>
      </c>
      <c r="AK75" s="482"/>
      <c r="AL75" s="492"/>
      <c r="AM75" s="492"/>
      <c r="AN75" s="492"/>
      <c r="AO75" s="481">
        <f>SUM(AO76:AO84)</f>
        <v>0</v>
      </c>
      <c r="AP75" s="481">
        <f>SUM(AP76:AP84)</f>
        <v>103</v>
      </c>
      <c r="AQ75" s="481">
        <f>SUM(AQ76:AQ84)</f>
        <v>103</v>
      </c>
      <c r="AR75" s="481">
        <f t="shared" si="238"/>
        <v>0</v>
      </c>
      <c r="AS75" s="481">
        <f t="shared" ref="AS75:BB75" si="252">SUM(AS76:AS84)</f>
        <v>0</v>
      </c>
      <c r="AT75" s="481">
        <f t="shared" si="252"/>
        <v>0</v>
      </c>
      <c r="AU75" s="481">
        <f t="shared" si="252"/>
        <v>0</v>
      </c>
      <c r="AV75" s="481">
        <f t="shared" si="252"/>
        <v>0</v>
      </c>
      <c r="AW75" s="482"/>
      <c r="AX75" s="481">
        <f t="shared" si="252"/>
        <v>0</v>
      </c>
      <c r="AY75" s="481">
        <f t="shared" si="252"/>
        <v>0</v>
      </c>
      <c r="AZ75" s="481">
        <f t="shared" si="252"/>
        <v>0</v>
      </c>
      <c r="BA75" s="481">
        <f t="shared" si="252"/>
        <v>0</v>
      </c>
      <c r="BB75" s="481">
        <f t="shared" si="252"/>
        <v>0</v>
      </c>
      <c r="BC75" s="487"/>
      <c r="BD75" s="487"/>
      <c r="BE75" s="483">
        <f>SUM(BE76:BE84)</f>
        <v>0.54999999999999993</v>
      </c>
      <c r="BF75" s="483"/>
      <c r="BG75" s="480">
        <f>BE75*(3%*'BOQ COST'!$F$9*0.36)*1</f>
        <v>0.28084319999999996</v>
      </c>
      <c r="BH75" s="480">
        <f t="shared" si="235"/>
        <v>0.28084320000000002</v>
      </c>
      <c r="BI75" s="481">
        <f t="shared" ref="BI75:BN75" si="253">SUM(BI76:BI84)</f>
        <v>0.28084320000000002</v>
      </c>
      <c r="BJ75" s="481">
        <f t="shared" si="253"/>
        <v>0</v>
      </c>
      <c r="BK75" s="481">
        <f t="shared" si="253"/>
        <v>0</v>
      </c>
      <c r="BL75" s="481">
        <f t="shared" si="253"/>
        <v>0</v>
      </c>
      <c r="BM75" s="481">
        <f t="shared" si="253"/>
        <v>0</v>
      </c>
      <c r="BN75" s="481">
        <f t="shared" si="253"/>
        <v>0</v>
      </c>
      <c r="BO75" s="482"/>
      <c r="BP75" s="481">
        <f t="shared" ref="BP75:BT75" si="254">SUM(BP76:BP84)</f>
        <v>0</v>
      </c>
      <c r="BQ75" s="481">
        <f t="shared" si="254"/>
        <v>0</v>
      </c>
      <c r="BR75" s="481">
        <f t="shared" si="254"/>
        <v>0</v>
      </c>
      <c r="BS75" s="481">
        <f t="shared" si="254"/>
        <v>0</v>
      </c>
      <c r="BT75" s="481">
        <f t="shared" si="254"/>
        <v>0</v>
      </c>
      <c r="BU75" s="482"/>
      <c r="BV75" s="488"/>
      <c r="BW75" s="488"/>
      <c r="BX75" s="488"/>
      <c r="BY75" s="481">
        <f t="shared" ref="BY75:CF75" si="255">SUM(BY76:BY84)</f>
        <v>0</v>
      </c>
      <c r="BZ75" s="481">
        <f t="shared" si="255"/>
        <v>656</v>
      </c>
      <c r="CA75" s="481">
        <f t="shared" si="255"/>
        <v>656</v>
      </c>
      <c r="CB75" s="481">
        <f t="shared" si="255"/>
        <v>0</v>
      </c>
      <c r="CC75" s="481">
        <f t="shared" si="255"/>
        <v>0</v>
      </c>
      <c r="CD75" s="481">
        <f t="shared" si="255"/>
        <v>0</v>
      </c>
      <c r="CE75" s="481">
        <f t="shared" si="255"/>
        <v>0</v>
      </c>
      <c r="CF75" s="481">
        <f t="shared" si="255"/>
        <v>0</v>
      </c>
      <c r="CG75" s="490"/>
      <c r="CH75" s="481">
        <f t="shared" ref="CH75:CL75" si="256">SUM(CH76:CH84)</f>
        <v>0</v>
      </c>
      <c r="CI75" s="481">
        <f t="shared" si="256"/>
        <v>0</v>
      </c>
      <c r="CJ75" s="481">
        <f t="shared" si="256"/>
        <v>0</v>
      </c>
      <c r="CK75" s="481">
        <f t="shared" si="256"/>
        <v>0</v>
      </c>
      <c r="CL75" s="481">
        <f t="shared" si="256"/>
        <v>0</v>
      </c>
      <c r="CM75" s="483"/>
      <c r="CN75" s="483"/>
      <c r="CO75" s="483">
        <f>SUM(CO76:CO84)</f>
        <v>0.65</v>
      </c>
      <c r="CP75" s="483"/>
      <c r="CQ75" s="480">
        <f>CO75*(2%*'BOQ COST'!$G$9*0.36)*1</f>
        <v>4.5771803999999999E-2</v>
      </c>
      <c r="CR75" s="480">
        <f t="shared" si="236"/>
        <v>4.5771803999999999E-2</v>
      </c>
      <c r="CS75" s="481">
        <f t="shared" ref="CS75:CX75" si="257">SUM(CS76:CS84)</f>
        <v>4.5771803999999999E-2</v>
      </c>
      <c r="CT75" s="481">
        <f t="shared" si="257"/>
        <v>0</v>
      </c>
      <c r="CU75" s="481">
        <f t="shared" si="257"/>
        <v>0</v>
      </c>
      <c r="CV75" s="481">
        <f t="shared" si="257"/>
        <v>0</v>
      </c>
      <c r="CW75" s="481">
        <f t="shared" si="257"/>
        <v>0</v>
      </c>
      <c r="CX75" s="481">
        <f t="shared" si="257"/>
        <v>0</v>
      </c>
      <c r="CY75" s="482"/>
      <c r="CZ75" s="481">
        <f t="shared" ref="CZ75:DD75" si="258">SUM(CZ76:CZ84)</f>
        <v>0</v>
      </c>
      <c r="DA75" s="481">
        <f t="shared" si="258"/>
        <v>0</v>
      </c>
      <c r="DB75" s="481">
        <f t="shared" si="258"/>
        <v>0</v>
      </c>
      <c r="DC75" s="481">
        <f t="shared" si="258"/>
        <v>0</v>
      </c>
      <c r="DD75" s="481">
        <f t="shared" si="258"/>
        <v>0</v>
      </c>
      <c r="DE75" s="482"/>
      <c r="DF75" s="492"/>
      <c r="DG75" s="492"/>
      <c r="DH75" s="492"/>
      <c r="DI75" s="481">
        <f t="shared" ref="DI75:DP75" si="259">SUM(DI76:DI84)</f>
        <v>0</v>
      </c>
      <c r="DJ75" s="481">
        <f t="shared" si="259"/>
        <v>122</v>
      </c>
      <c r="DK75" s="481">
        <f t="shared" si="259"/>
        <v>122</v>
      </c>
      <c r="DL75" s="481">
        <f t="shared" si="259"/>
        <v>0</v>
      </c>
      <c r="DM75" s="481">
        <f t="shared" si="259"/>
        <v>0</v>
      </c>
      <c r="DN75" s="481">
        <f t="shared" si="259"/>
        <v>0</v>
      </c>
      <c r="DO75" s="481">
        <f t="shared" si="259"/>
        <v>0</v>
      </c>
      <c r="DP75" s="481">
        <f t="shared" si="259"/>
        <v>0</v>
      </c>
      <c r="DQ75" s="482"/>
      <c r="DR75" s="481">
        <f t="shared" ref="DR75:DV75" si="260">SUM(DR76:DR84)</f>
        <v>0</v>
      </c>
      <c r="DS75" s="481">
        <f t="shared" si="260"/>
        <v>0</v>
      </c>
      <c r="DT75" s="481">
        <f t="shared" si="260"/>
        <v>0</v>
      </c>
      <c r="DU75" s="481">
        <f t="shared" si="260"/>
        <v>0</v>
      </c>
      <c r="DV75" s="481">
        <f t="shared" si="260"/>
        <v>0</v>
      </c>
      <c r="DW75" s="483"/>
      <c r="DX75" s="483"/>
      <c r="DY75" s="483">
        <f>SUM(DY76:DY84)</f>
        <v>0.55000000000000004</v>
      </c>
      <c r="DZ75" s="483"/>
      <c r="EA75" s="481">
        <f>DY75*(7%*'BOQ COST'!$H$9)*1</f>
        <v>1.5169000000000004E-2</v>
      </c>
      <c r="EB75" s="480">
        <f t="shared" si="237"/>
        <v>1.5169000000000002E-2</v>
      </c>
      <c r="EC75" s="481">
        <f t="shared" ref="EC75:EH75" si="261">SUM(EC76:EC84)</f>
        <v>1.5169000000000002E-2</v>
      </c>
      <c r="ED75" s="481">
        <f t="shared" si="261"/>
        <v>0</v>
      </c>
      <c r="EE75" s="481">
        <f t="shared" si="261"/>
        <v>0</v>
      </c>
      <c r="EF75" s="481">
        <f t="shared" si="261"/>
        <v>0</v>
      </c>
      <c r="EG75" s="481">
        <f t="shared" si="261"/>
        <v>0</v>
      </c>
      <c r="EH75" s="481">
        <f t="shared" si="261"/>
        <v>0</v>
      </c>
      <c r="EI75" s="491"/>
      <c r="EJ75" s="481">
        <f t="shared" ref="EJ75:EN75" si="262">SUM(EJ76:EJ84)</f>
        <v>0</v>
      </c>
      <c r="EK75" s="481">
        <f t="shared" si="262"/>
        <v>0</v>
      </c>
      <c r="EL75" s="481">
        <f t="shared" si="262"/>
        <v>0</v>
      </c>
      <c r="EM75" s="481">
        <f t="shared" si="262"/>
        <v>0</v>
      </c>
      <c r="EN75" s="481">
        <f t="shared" si="262"/>
        <v>0</v>
      </c>
      <c r="EO75" s="491"/>
      <c r="EP75" s="492"/>
      <c r="EQ75" s="492"/>
      <c r="ER75" s="492"/>
      <c r="ES75" s="481">
        <f t="shared" ref="ES75:EZ75" si="263">SUM(ES76:ES84)</f>
        <v>0</v>
      </c>
      <c r="ET75" s="481">
        <f t="shared" si="263"/>
        <v>18</v>
      </c>
      <c r="EU75" s="481">
        <f t="shared" si="263"/>
        <v>18</v>
      </c>
      <c r="EV75" s="481">
        <f t="shared" si="263"/>
        <v>0</v>
      </c>
      <c r="EW75" s="481">
        <f t="shared" si="263"/>
        <v>0</v>
      </c>
      <c r="EX75" s="481">
        <f t="shared" si="263"/>
        <v>0</v>
      </c>
      <c r="EY75" s="481">
        <f t="shared" si="263"/>
        <v>0</v>
      </c>
      <c r="EZ75" s="481">
        <f t="shared" si="263"/>
        <v>0</v>
      </c>
      <c r="FA75" s="491"/>
      <c r="FB75" s="481">
        <f t="shared" ref="FB75:FF75" si="264">SUM(FB76:FB84)</f>
        <v>0</v>
      </c>
      <c r="FC75" s="481">
        <f t="shared" si="264"/>
        <v>0</v>
      </c>
      <c r="FD75" s="481">
        <f t="shared" si="264"/>
        <v>0</v>
      </c>
      <c r="FE75" s="481">
        <f t="shared" si="264"/>
        <v>0</v>
      </c>
      <c r="FF75" s="481">
        <f t="shared" si="264"/>
        <v>0</v>
      </c>
    </row>
    <row r="76" spans="2:162" s="51" customFormat="1" ht="14.25" outlineLevel="2">
      <c r="B76" s="604" t="s">
        <v>84</v>
      </c>
      <c r="C76" s="579">
        <v>1</v>
      </c>
      <c r="D76" s="580" t="s">
        <v>52</v>
      </c>
      <c r="F76" s="500">
        <f t="shared" ref="F76:F84" si="265">W76+BG76+CQ76+EA76</f>
        <v>0.11946621600000001</v>
      </c>
      <c r="G76" s="500">
        <f t="shared" ref="G76:G84" si="266">X76+BH76+CR76+EB76</f>
        <v>0.11946621600000001</v>
      </c>
      <c r="H76" s="514">
        <f t="shared" ref="H76:H84" si="267">F76-G76</f>
        <v>0</v>
      </c>
      <c r="I76" s="514">
        <f t="shared" si="240"/>
        <v>0</v>
      </c>
      <c r="J76" s="514">
        <f t="shared" si="241"/>
        <v>0</v>
      </c>
      <c r="K76" s="514">
        <f t="shared" si="242"/>
        <v>0</v>
      </c>
      <c r="L76" s="514">
        <f t="shared" si="243"/>
        <v>0</v>
      </c>
      <c r="M76" s="567">
        <f t="shared" si="244"/>
        <v>0</v>
      </c>
      <c r="N76" s="568"/>
      <c r="O76" s="514">
        <f t="shared" si="245"/>
        <v>0</v>
      </c>
      <c r="P76" s="514">
        <f t="shared" si="246"/>
        <v>0</v>
      </c>
      <c r="Q76" s="514">
        <f t="shared" si="247"/>
        <v>0</v>
      </c>
      <c r="R76" s="514">
        <f t="shared" si="248"/>
        <v>0</v>
      </c>
      <c r="S76" s="514">
        <f t="shared" si="249"/>
        <v>0</v>
      </c>
      <c r="U76" s="583">
        <v>0.05</v>
      </c>
      <c r="V76" s="584"/>
      <c r="W76" s="581">
        <f t="shared" ref="W76:W84" si="268">$W$75/$U$75*U76</f>
        <v>6.1362000000000007E-2</v>
      </c>
      <c r="X76" s="581">
        <f t="shared" si="234"/>
        <v>6.1362000000000007E-2</v>
      </c>
      <c r="Y76" s="567">
        <f t="shared" ref="Y76:Y84" si="269">IFERROR(IF(AL76=100%,W76,0),0)</f>
        <v>6.1362000000000007E-2</v>
      </c>
      <c r="Z76" s="567">
        <f t="shared" ref="Z76:Z84" si="270">IFERROR(IF(AND((AL76+AM76)=100%,AL76&lt;1),W76,0),0)</f>
        <v>0</v>
      </c>
      <c r="AA76" s="567">
        <f t="shared" ref="AA76:AA84" si="271">IFERROR(IF(AND((AQ76+AS76)=AP76,Y76=0),W76,0),0)</f>
        <v>0</v>
      </c>
      <c r="AB76" s="514">
        <f t="shared" ref="AB76:AB84" si="272">IFERROR(IF(AND((AQ76+AS76+AT76)=AP76,Y76=0,AA76=0),W76,0),0)</f>
        <v>0</v>
      </c>
      <c r="AC76" s="514">
        <f t="shared" ref="AC76:AC84" si="273">IFERROR(IF(AND((AQ76+AS76+AT76+AU76)=AP76,Y76=0,AA76=0,AB76=0),W76,0),0)</f>
        <v>0</v>
      </c>
      <c r="AD76" s="567">
        <f t="shared" ref="AD76:AD84" si="274">IFERROR(IF(AND((AQ76+AS76+AT76+AU76+AV76)=AP76,Y76=0,AA76=0,AB76=0,AC76=0),W76,0),0)</f>
        <v>0</v>
      </c>
      <c r="AE76" s="568"/>
      <c r="AF76" s="514">
        <f t="shared" ref="AF76:AF84" si="275">IFERROR(IF(AND((AL76+AN76)=100%,AL76&lt;1),W76,0),0)</f>
        <v>0</v>
      </c>
      <c r="AG76" s="514">
        <f t="shared" ref="AG76:AG84" si="276">IFERROR(IF(AND((AQ76+AY76)=AP76,Y76=0),W76,0),0)</f>
        <v>0</v>
      </c>
      <c r="AH76" s="514">
        <f t="shared" ref="AH76:AH84" si="277">IFERROR(IF(AND((AQ76+AY76+AZ76)=AP76,Y76=0,AG76=0),W76,0),0)</f>
        <v>0</v>
      </c>
      <c r="AI76" s="514">
        <f t="shared" ref="AI76:AI84" si="278">IFERROR(IF(AND((AQ76+AY76+AZ76+BA76)=AP76,Y76=0,AG76=0,AH76=0),W76,0),0)</f>
        <v>0</v>
      </c>
      <c r="AJ76" s="514">
        <f t="shared" ref="AJ76:AJ84" si="279">IFERROR(IF(AND((AQ76+AY76+AZ76+BA76+BB76)=AP76,Y76=0,AG76=0,AH76=0,AI76=0),W76,0),0)</f>
        <v>0</v>
      </c>
      <c r="AK76" s="501"/>
      <c r="AL76" s="585">
        <f t="shared" ref="AL76:AL84" si="280">IFERROR(AQ76/AP76,0)</f>
        <v>1</v>
      </c>
      <c r="AM76" s="585">
        <f t="shared" ref="AM76:AM84" si="281">IFERROR(AR76/AP76,0)</f>
        <v>0</v>
      </c>
      <c r="AN76" s="570">
        <f t="shared" ref="AN76:AN84" si="282">IFERROR(AX76/AP76,0)</f>
        <v>0</v>
      </c>
      <c r="AO76" s="586"/>
      <c r="AP76" s="567">
        <f>COUNTIF('AR | Drawing List'!$G:$G,"AR-T2S-1")</f>
        <v>29</v>
      </c>
      <c r="AQ76" s="582">
        <f>COUNTIFS('AR | Drawing List'!$G:$G,"AR-T2S-1",'AR | Drawing List'!$I:$I,1)</f>
        <v>29</v>
      </c>
      <c r="AR76" s="582">
        <f t="shared" si="238"/>
        <v>0</v>
      </c>
      <c r="AS76" s="582">
        <f>COUNTIFS('AR | Drawing List'!$G:$G,"AR-T2S-1",'AR | Drawing List'!M:M,1)</f>
        <v>0</v>
      </c>
      <c r="AT76" s="582">
        <f>COUNTIFS('AR | Drawing List'!$G:$G,"AR-T2S-1",'AR | Drawing List'!N:N,1)</f>
        <v>0</v>
      </c>
      <c r="AU76" s="582">
        <f>COUNTIFS('AR | Drawing List'!$G:$G,"AR-T2S-1",'AR | Drawing List'!O:O,1)</f>
        <v>0</v>
      </c>
      <c r="AV76" s="582">
        <f>COUNTIFS('AR | Drawing List'!$G:$G,"AR-T2S-1",'AR | Drawing List'!P:P,1)</f>
        <v>0</v>
      </c>
      <c r="AW76" s="587"/>
      <c r="AX76" s="582">
        <f t="shared" ref="AX76:AX81" si="283">SUM(AY76:BB76)</f>
        <v>0</v>
      </c>
      <c r="AY76" s="582">
        <f>COUNTIFS('AR | Drawing List'!$G:$G,"AR-T2S-1",'AR | Drawing List'!R:R,1)</f>
        <v>0</v>
      </c>
      <c r="AZ76" s="582">
        <f>COUNTIFS('AR | Drawing List'!$G:$G,"AR-T2S-1",'AR | Drawing List'!S:S,1)</f>
        <v>0</v>
      </c>
      <c r="BA76" s="582">
        <f>COUNTIFS('AR | Drawing List'!$G:$G,"AR-T2S-1",'AR | Drawing List'!T:T,1)</f>
        <v>0</v>
      </c>
      <c r="BB76" s="582">
        <f>COUNTIFS('AR | Drawing List'!$G:$G,"AR-T2S-1",'AR | Drawing List'!U:U,1)</f>
        <v>0</v>
      </c>
      <c r="BC76" s="587"/>
      <c r="BD76" s="587"/>
      <c r="BE76" s="592">
        <v>0.1</v>
      </c>
      <c r="BF76" s="588"/>
      <c r="BG76" s="582">
        <f t="shared" ref="BG76:BG84" si="284">$BG$75/$BE$75*BE76</f>
        <v>5.1062400000000001E-2</v>
      </c>
      <c r="BH76" s="589">
        <f t="shared" si="235"/>
        <v>5.1062400000000001E-2</v>
      </c>
      <c r="BI76" s="567">
        <f t="shared" ref="BI76:BI84" si="285">IFERROR(IF(BV76=100%,BG76,0),0)</f>
        <v>5.1062400000000001E-2</v>
      </c>
      <c r="BJ76" s="567">
        <f t="shared" ref="BJ76:BJ84" si="286">IFERROR(IF(AND((BV76+BW76)=100%,BV76&lt;1),BG76,0),0)</f>
        <v>0</v>
      </c>
      <c r="BK76" s="514">
        <f t="shared" ref="BK76:BK84" si="287">IFERROR(IF(AND((CA76+CC76)=BZ76,BI76=0),BG76,0),0)</f>
        <v>0</v>
      </c>
      <c r="BL76" s="514">
        <f t="shared" ref="BL76:BL84" si="288">IFERROR(IF(AND((CA76+CC76+CD76)=BZ76,BI76=0,BK76=0),BG76,0),0)</f>
        <v>0</v>
      </c>
      <c r="BM76" s="514">
        <f t="shared" ref="BM76:BM84" si="289">IFERROR(IF(AND((CA76+CC76+CD76+CE76)=BZ76,BI76=0,BK76=0,BL76=0),BG76,0),0)</f>
        <v>0</v>
      </c>
      <c r="BN76" s="514">
        <f t="shared" ref="BN76:BN84" si="290">IFERROR(IF(AND((CA76+CC76+CD76+CE76+CF76)=BZ76,BI76=0,BK76=0,BL76=0,BM76=0),BG76,0),0)</f>
        <v>0</v>
      </c>
      <c r="BO76" s="501"/>
      <c r="BP76" s="514">
        <f t="shared" ref="BP76:BP84" si="291">IFERROR(IF(AND((BV76+BX76)=100%,BV76&lt;1),BG76,0),0)</f>
        <v>0</v>
      </c>
      <c r="BQ76" s="514">
        <f t="shared" ref="BQ76:BQ84" si="292">IFERROR(IF(AND((CA76+CI76)=BZ76,BI76=0),BG76,0),0)</f>
        <v>0</v>
      </c>
      <c r="BR76" s="514">
        <f t="shared" ref="BR76:BR84" si="293">IFERROR(IF(AND((CA76+CI76+CJ76)=BZ76,BI76=0,BQ76=0),BG76,0),0)</f>
        <v>0</v>
      </c>
      <c r="BS76" s="514">
        <f t="shared" ref="BS76:BS84" si="294">IFERROR(IF(AND((CA76+CI76+CJ76+CK76)=BZ76,BI76=0,BQ76=0,BR76=0),BG76,0),0)</f>
        <v>0</v>
      </c>
      <c r="BT76" s="514">
        <f t="shared" ref="BT76:BT84" si="295">IFERROR(IF(AND((CA76+CI76+CJ76+CK76+CL76)=BZ76,BI76=0,BQ76=0,BR76=0,BS76=0),BG76,0),0)</f>
        <v>0</v>
      </c>
      <c r="BU76" s="501"/>
      <c r="BV76" s="571">
        <f t="shared" ref="BV76:BV84" si="296">IFERROR(CA76/BZ76,0)</f>
        <v>1</v>
      </c>
      <c r="BW76" s="571">
        <f t="shared" ref="BW76:BW84" si="297">IFERROR(CB76/BZ76,0)</f>
        <v>0</v>
      </c>
      <c r="BX76" s="571">
        <f t="shared" ref="BX76:BX84" si="298">IFERROR(CH76/BZ76,0)</f>
        <v>0</v>
      </c>
      <c r="BY76" s="586"/>
      <c r="BZ76" s="567">
        <f>COUNTIF('ST | Drawing List'!$G:$G,"ST-T2S-1")</f>
        <v>130</v>
      </c>
      <c r="CA76" s="582">
        <f>COUNTIFS('ST | Drawing List'!$G:$G,"ST-T2S-1",'ST | Drawing List'!$I:$I,1)</f>
        <v>130</v>
      </c>
      <c r="CB76" s="590">
        <f>COUNTIFS('ST | Drawing List'!$G:$G,"ST-T2S-1",'ST | Drawing List'!$K:$K,1)</f>
        <v>0</v>
      </c>
      <c r="CC76" s="582">
        <f>COUNTIFS('ST | Drawing List'!$G:$G,"ST-T2S-1",'ST | Drawing List'!L:L,1)</f>
        <v>0</v>
      </c>
      <c r="CD76" s="582">
        <f>COUNTIFS('ST | Drawing List'!$G:$G,"ST-T2S-1",'ST | Drawing List'!M:M,1)</f>
        <v>0</v>
      </c>
      <c r="CE76" s="582">
        <f>COUNTIFS('ST | Drawing List'!$G:$G,"ST-T2S-1",'ST | Drawing List'!N:N,1)</f>
        <v>0</v>
      </c>
      <c r="CF76" s="582">
        <f>COUNTIFS('ST | Drawing List'!$G:$G,"ST-T2S-1",'ST | Drawing List'!O:O,1)</f>
        <v>0</v>
      </c>
      <c r="CG76" s="591"/>
      <c r="CH76" s="590">
        <f>COUNTIFS('ST | Drawing List'!$G:$G,"ST-T2S-1",'ST | Drawing List'!$P:$P,1)</f>
        <v>0</v>
      </c>
      <c r="CI76" s="582">
        <f>COUNTIFS('ST | Drawing List'!$G:$G,"ST-T2S-1",'ST | Drawing List'!Q:Q,1)</f>
        <v>0</v>
      </c>
      <c r="CJ76" s="582">
        <f>COUNTIFS('ST | Drawing List'!$G:$G,"ST-T2S-1",'ST | Drawing List'!R:R,1)</f>
        <v>0</v>
      </c>
      <c r="CK76" s="582">
        <f>COUNTIFS('ST | Drawing List'!$G:$G,"ST-T2S-1",'ST | Drawing List'!S:S,1)</f>
        <v>0</v>
      </c>
      <c r="CL76" s="582">
        <f>COUNTIFS('ST | Drawing List'!$G:$G,"ST-T2S-1",'ST | Drawing List'!T:T,1)</f>
        <v>0</v>
      </c>
      <c r="CM76" s="588"/>
      <c r="CN76" s="588"/>
      <c r="CO76" s="592">
        <v>0.1</v>
      </c>
      <c r="CP76" s="588"/>
      <c r="CQ76" s="582">
        <f t="shared" ref="CQ76:CQ84" si="299">$CQ$75/$CO$75*CO76</f>
        <v>7.0418159999999994E-3</v>
      </c>
      <c r="CR76" s="589">
        <f t="shared" si="236"/>
        <v>7.0418159999999994E-3</v>
      </c>
      <c r="CS76" s="567">
        <f t="shared" ref="CS76:CS84" si="300">IFERROR(IF(DF76=100%,CQ76,0),0)</f>
        <v>7.0418159999999994E-3</v>
      </c>
      <c r="CT76" s="514">
        <f t="shared" ref="CT76:CT84" si="301">IFERROR(IF(AND((DF76+DG76)=100%,DF76&lt;1),CQ76,0),0)</f>
        <v>0</v>
      </c>
      <c r="CU76" s="514">
        <f t="shared" ref="CU76:CU84" si="302">IFERROR(IF(AND((DK76+DM76)=DJ76,CS76=0),CQ76,0),0)</f>
        <v>0</v>
      </c>
      <c r="CV76" s="514">
        <f t="shared" ref="CV76:CV84" si="303">IFERROR(IF(AND((DK76+DM76+DN76)=DJ76,CS76=0,CU76=0),CQ76,0),0)</f>
        <v>0</v>
      </c>
      <c r="CW76" s="514">
        <f t="shared" ref="CW76:CW84" si="304">IFERROR(IF(AND((DK76+DM76+DN76+DO76)=DJ76,CS76=0,CU76=0,CV76=0),CQ76,0),0)</f>
        <v>0</v>
      </c>
      <c r="CX76" s="514">
        <f t="shared" ref="CX76:CX84" si="305">IFERROR(IF(AND((DK76+DM76+DN76+DO76+DP76)=DJ76,CS76=0,CU76=0,CV76=0,CW76=0),CQ76,0),0)</f>
        <v>0</v>
      </c>
      <c r="CY76" s="501"/>
      <c r="CZ76" s="514">
        <f t="shared" ref="CZ76:CZ84" si="306">IFERROR(IF(AND((DF76+DH76)=100%,DF76&lt;1),CQ76,0),0)</f>
        <v>0</v>
      </c>
      <c r="DA76" s="514">
        <f t="shared" ref="DA76:DA84" si="307">IFERROR(IF(AND((DK76+DS76)=DJ76,CS76=0),CQ76,0),0)</f>
        <v>0</v>
      </c>
      <c r="DB76" s="514">
        <f t="shared" ref="DB76:DB84" si="308">IFERROR(IF(AND((DK76+DS76+DT76)=DJ76,CS76=0,DA76=0),CQ76,0),0)</f>
        <v>0</v>
      </c>
      <c r="DC76" s="514">
        <f t="shared" ref="DC76:DC84" si="309">IFERROR(IF(AND((DK76+DS76+DT76+DU76)=DJ76,CS76=0,DA76=0,DB76=0),CQ76,0),0)</f>
        <v>0</v>
      </c>
      <c r="DD76" s="514">
        <f t="shared" ref="DD76:DD84" si="310">IFERROR(IF(AND((DK76+DS76+DT76+DU76+DV76)=DJ76,CS76=0,DA76=0,DB76=0,DC76=0),CQ76,0),0)</f>
        <v>0</v>
      </c>
      <c r="DE76" s="501"/>
      <c r="DF76" s="570">
        <f t="shared" ref="DF76:DF84" si="311">IFERROR(DK76/DJ76,0)</f>
        <v>1</v>
      </c>
      <c r="DG76" s="570">
        <f t="shared" ref="DG76:DG84" si="312">IFERROR(DL76/DJ76,0)</f>
        <v>0</v>
      </c>
      <c r="DH76" s="570">
        <f t="shared" ref="DH76:DH84" si="313">IFERROR(DR76/DJ76,0)</f>
        <v>0</v>
      </c>
      <c r="DI76" s="586"/>
      <c r="DJ76" s="567">
        <f>COUNTIF('MEP | Drawing List'!$G:$G,"MEP-T2S-6S-1")</f>
        <v>25</v>
      </c>
      <c r="DK76" s="582">
        <f>COUNTIFS('MEP | Drawing List'!$G:$G,"MEP-T2S-6S-1",'MEP | Drawing List'!$I:$I,1)</f>
        <v>25</v>
      </c>
      <c r="DL76" s="582">
        <f>COUNTIFS('MEP | Drawing List'!$G:$G,"MEP-T2S-6S-1",'MEP | Drawing List'!$K:$K,1)</f>
        <v>0</v>
      </c>
      <c r="DM76" s="567">
        <f>COUNTIFS('MEP | Drawing List'!$G:$G,"MEP-T2S-6S-1",'MEP | Drawing List'!L:L,1)</f>
        <v>0</v>
      </c>
      <c r="DN76" s="567">
        <f>COUNTIFS('MEP | Drawing List'!$G:$G,"MEP-T2S-6S-1",'MEP | Drawing List'!M:M,1)</f>
        <v>0</v>
      </c>
      <c r="DO76" s="567">
        <f>COUNTIFS('MEP | Drawing List'!$G:$G,"MEP-T2S-6S-1",'MEP | Drawing List'!N:N,1)</f>
        <v>0</v>
      </c>
      <c r="DP76" s="567">
        <f>COUNTIFS('MEP | Drawing List'!$G:$G,"MEP-T2S-6S-1",'MEP | Drawing List'!O:O,1)</f>
        <v>0</v>
      </c>
      <c r="DQ76" s="568"/>
      <c r="DR76" s="582">
        <f>COUNTIFS('MEP | Drawing List'!$G:$G,"MEP-T2S-6S-1",'MEP | Drawing List'!$P:$P,1)</f>
        <v>0</v>
      </c>
      <c r="DS76" s="567">
        <f>COUNTIFS('MEP | Drawing List'!$G:$G,"MEP-T2S-6S-1",'MEP | Drawing List'!Q:Q,1)</f>
        <v>0</v>
      </c>
      <c r="DT76" s="567">
        <f>COUNTIFS('MEP | Drawing List'!$G:$G,"MEP-T2S-6S-1",'MEP | Drawing List'!R:R,1)</f>
        <v>0</v>
      </c>
      <c r="DU76" s="567">
        <f>COUNTIFS('MEP | Drawing List'!$G:$G,"MEP-T2S-6S-1",'MEP | Drawing List'!S:S,1)</f>
        <v>0</v>
      </c>
      <c r="DV76" s="567">
        <f>COUNTIFS('MEP | Drawing List'!$G:$G,"MEP-T2S-6S-1",'MEP | Drawing List'!T:T,1)</f>
        <v>0</v>
      </c>
      <c r="DW76" s="588"/>
      <c r="DX76" s="588"/>
      <c r="DY76" s="592">
        <v>0</v>
      </c>
      <c r="DZ76" s="588"/>
      <c r="EA76" s="582">
        <f t="shared" ref="EA76:EA84" si="314">$EA$75/$DY$75*DY76</f>
        <v>0</v>
      </c>
      <c r="EB76" s="589">
        <f t="shared" si="237"/>
        <v>0</v>
      </c>
      <c r="EC76" s="567">
        <f t="shared" ref="EC76:EC84" si="315">IFERROR(IF(EP76=100%,EA76,0),0)</f>
        <v>0</v>
      </c>
      <c r="ED76" s="567">
        <f t="shared" ref="ED76:ED84" si="316">IFERROR(IF(AND((EP76+EQ76)=100%,EP76&lt;1),EA76,0),0)</f>
        <v>0</v>
      </c>
      <c r="EE76" s="514">
        <f t="shared" ref="EE76:EE84" si="317">IFERROR(IF(AND((EU76+EW76)=ET76,EC76=0),EA76,0),0)</f>
        <v>0</v>
      </c>
      <c r="EF76" s="514">
        <f t="shared" ref="EF76:EF84" si="318">IFERROR(IF(AND((EU76+EW76+EX76)=ET76,EC76=0,EE76=0),EA76,0),0)</f>
        <v>0</v>
      </c>
      <c r="EG76" s="514">
        <f t="shared" ref="EG76:EG84" si="319">IFERROR(IF(AND((EU76+EW76+EX76+EY76)=ET76,EC76=0,EE76=0,EF76=0),EA76,0),0)</f>
        <v>0</v>
      </c>
      <c r="EH76" s="514">
        <f t="shared" ref="EH76:EH84" si="320">IFERROR(IF(AND((EU76+EW76+EX76+EY76+EZ76)=ET76,EC76=0,EE76=0,EF76=0,EG76=0),EA76,0),0)</f>
        <v>0</v>
      </c>
      <c r="EI76" s="501"/>
      <c r="EJ76" s="567">
        <f>IFERROR(IF(AND((EP76+ER76)=100%,EP76&lt;1),EA76,0),0)</f>
        <v>0</v>
      </c>
      <c r="EK76" s="514">
        <f>IFERROR(IF(AND((EU76+FC76)=ET76,EC76=0),EA76,0),0)</f>
        <v>0</v>
      </c>
      <c r="EL76" s="514">
        <f>IFERROR(IF(AND((EU76+FC76+FD76)=ET76,EC76=0,EK76=0),EA76,0),0)</f>
        <v>0</v>
      </c>
      <c r="EM76" s="514">
        <f>IFERROR(IF(AND((EU76+FC76+FD76+FE76)=ET76,EC76=0,EK76=0,EL76=0),EA76,0),0)</f>
        <v>0</v>
      </c>
      <c r="EN76" s="514">
        <f>IFERROR(IF(AND((EU76+FC76+FD76+FE76+FF76)=ET76,EC76=0,EK76=0,EL76=0,EM76=0),EA76,0),0)</f>
        <v>0</v>
      </c>
      <c r="EO76" s="501"/>
      <c r="EP76" s="585">
        <f t="shared" ref="EP76" si="321">IFERROR(EU76/ET76,0)</f>
        <v>0</v>
      </c>
      <c r="EQ76" s="585">
        <f t="shared" ref="EQ76" si="322">IFERROR(EV76/ET76,0)</f>
        <v>0</v>
      </c>
      <c r="ER76" s="585">
        <f>IFERROR(FB76/ET76,0)</f>
        <v>0</v>
      </c>
      <c r="ES76" s="593"/>
      <c r="ET76" s="567">
        <f>COUNTIF('LS | Drawing List'!$G:$G,"LS-T2S-1")</f>
        <v>0</v>
      </c>
      <c r="EU76" s="582">
        <f>COUNTIFS('LS | Drawing List'!$G:$G,"LS-T2S-1",'LS | Drawing List'!$I:$I,1)</f>
        <v>0</v>
      </c>
      <c r="EV76" s="582">
        <f>COUNTIFS('LS | Drawing List'!$G:$G,"LS-T2S-1",'LS | Drawing List'!$K:$K,1)</f>
        <v>0</v>
      </c>
      <c r="EW76" s="567">
        <f>COUNTIFS('LS | Drawing List'!$G:$G,"LS-T2S-1",'LS | Drawing List'!L:L,1)</f>
        <v>0</v>
      </c>
      <c r="EX76" s="567">
        <f>COUNTIFS('LS | Drawing List'!$G:$G,"LS-T2S-1",'LS | Drawing List'!M:M,1)</f>
        <v>0</v>
      </c>
      <c r="EY76" s="567">
        <f>COUNTIFS('LS | Drawing List'!$G:$G,"LS-T2S-1",'LS | Drawing List'!N:N,1)</f>
        <v>0</v>
      </c>
      <c r="EZ76" s="567">
        <f>COUNTIFS('LS | Drawing List'!$G:$G,"LS-T2S-1",'LS | Drawing List'!O:O,1)</f>
        <v>0</v>
      </c>
      <c r="FA76" s="574"/>
      <c r="FB76" s="582">
        <f>COUNTIFS('LS | Drawing List'!$G:$G,"LS-T2S-1",'LS | Drawing List'!$P:$P,1)</f>
        <v>0</v>
      </c>
      <c r="FC76" s="567">
        <f>COUNTIFS('LS | Drawing List'!$G:$G,"LS-T2S-1",'LS | Drawing List'!Q:Q,1)</f>
        <v>0</v>
      </c>
      <c r="FD76" s="567">
        <f>COUNTIFS('LS | Drawing List'!$G:$G,"LS-T2S-1",'LS | Drawing List'!R:R,1)</f>
        <v>0</v>
      </c>
      <c r="FE76" s="567">
        <f>COUNTIFS('LS | Drawing List'!$G:$G,"LS-T2S-1",'LS | Drawing List'!S:S,1)</f>
        <v>0</v>
      </c>
      <c r="FF76" s="567">
        <f>COUNTIFS('LS | Drawing List'!$G:$G,"LS-T2S-1",'LS | Drawing List'!T:T,1)</f>
        <v>0</v>
      </c>
    </row>
    <row r="77" spans="2:162" ht="14.25" outlineLevel="2">
      <c r="B77" s="604" t="s">
        <v>85</v>
      </c>
      <c r="C77" s="565">
        <v>2</v>
      </c>
      <c r="D77" s="566" t="s">
        <v>54</v>
      </c>
      <c r="F77" s="500">
        <f t="shared" si="265"/>
        <v>5.1062400000000001E-2</v>
      </c>
      <c r="G77" s="500">
        <f t="shared" si="266"/>
        <v>5.1062400000000001E-2</v>
      </c>
      <c r="H77" s="514">
        <f t="shared" si="267"/>
        <v>0</v>
      </c>
      <c r="I77" s="514">
        <f t="shared" si="240"/>
        <v>0</v>
      </c>
      <c r="J77" s="514">
        <f t="shared" si="241"/>
        <v>0</v>
      </c>
      <c r="K77" s="514">
        <f t="shared" si="242"/>
        <v>0</v>
      </c>
      <c r="L77" s="514">
        <f t="shared" si="243"/>
        <v>0</v>
      </c>
      <c r="M77" s="567">
        <f t="shared" si="244"/>
        <v>0</v>
      </c>
      <c r="N77" s="568"/>
      <c r="O77" s="514">
        <f t="shared" si="245"/>
        <v>0</v>
      </c>
      <c r="P77" s="514">
        <f t="shared" si="246"/>
        <v>0</v>
      </c>
      <c r="Q77" s="514">
        <f t="shared" si="247"/>
        <v>0</v>
      </c>
      <c r="R77" s="514">
        <f t="shared" si="248"/>
        <v>0</v>
      </c>
      <c r="S77" s="514">
        <f t="shared" si="249"/>
        <v>0</v>
      </c>
      <c r="U77" s="500">
        <v>0</v>
      </c>
      <c r="V77" s="503"/>
      <c r="W77" s="500">
        <f t="shared" si="268"/>
        <v>0</v>
      </c>
      <c r="X77" s="500">
        <f t="shared" si="234"/>
        <v>0</v>
      </c>
      <c r="Y77" s="506">
        <f t="shared" si="269"/>
        <v>0</v>
      </c>
      <c r="Z77" s="506">
        <f t="shared" si="270"/>
        <v>0</v>
      </c>
      <c r="AA77" s="514">
        <f t="shared" si="271"/>
        <v>0</v>
      </c>
      <c r="AB77" s="514">
        <f t="shared" si="272"/>
        <v>0</v>
      </c>
      <c r="AC77" s="514">
        <f t="shared" si="273"/>
        <v>0</v>
      </c>
      <c r="AD77" s="567">
        <f t="shared" si="274"/>
        <v>0</v>
      </c>
      <c r="AE77" s="568"/>
      <c r="AF77" s="514">
        <f t="shared" si="275"/>
        <v>0</v>
      </c>
      <c r="AG77" s="514">
        <f t="shared" si="276"/>
        <v>0</v>
      </c>
      <c r="AH77" s="514">
        <f t="shared" si="277"/>
        <v>0</v>
      </c>
      <c r="AI77" s="514">
        <f t="shared" si="278"/>
        <v>0</v>
      </c>
      <c r="AJ77" s="514">
        <f t="shared" si="279"/>
        <v>0</v>
      </c>
      <c r="AK77" s="501"/>
      <c r="AL77" s="578">
        <f t="shared" si="280"/>
        <v>1</v>
      </c>
      <c r="AM77" s="578">
        <f t="shared" si="281"/>
        <v>0</v>
      </c>
      <c r="AN77" s="570">
        <f t="shared" si="282"/>
        <v>0</v>
      </c>
      <c r="AO77" s="505"/>
      <c r="AP77" s="514">
        <f>COUNTIF('AR | Drawing List'!$G:$G,"AR-T2S-2")</f>
        <v>1</v>
      </c>
      <c r="AQ77" s="506">
        <f>COUNTIFS('AR | Drawing List'!$G:$G,"AR-T2S-2",'AR | Drawing List'!$I:$I,1)</f>
        <v>1</v>
      </c>
      <c r="AR77" s="506">
        <f t="shared" si="238"/>
        <v>0</v>
      </c>
      <c r="AS77" s="506">
        <f>COUNTIFS('AR | Drawing List'!$G:$G,"AR-T2S-2",'AR | Drawing List'!M:M,1)</f>
        <v>0</v>
      </c>
      <c r="AT77" s="506">
        <f>COUNTIFS('AR | Drawing List'!$G:$G,"AR-T2S-2",'AR | Drawing List'!N:N,1)</f>
        <v>0</v>
      </c>
      <c r="AU77" s="506">
        <f>COUNTIFS('AR | Drawing List'!$G:$G,"AR-T2S-2",'AR | Drawing List'!O:O,1)</f>
        <v>0</v>
      </c>
      <c r="AV77" s="506">
        <f>COUNTIFS('AR | Drawing List'!$G:$G,"AR-T2S-2",'AR | Drawing List'!P:P,1)</f>
        <v>0</v>
      </c>
      <c r="AW77" s="466"/>
      <c r="AX77" s="506">
        <f t="shared" si="283"/>
        <v>0</v>
      </c>
      <c r="AY77" s="506">
        <f>COUNTIFS('AR | Drawing List'!$G:$G,"AR-T2S-2",'AR | Drawing List'!R:R,1)</f>
        <v>0</v>
      </c>
      <c r="AZ77" s="506">
        <f>COUNTIFS('AR | Drawing List'!$G:$G,"AR-T2S-2",'AR | Drawing List'!S:S,1)</f>
        <v>0</v>
      </c>
      <c r="BA77" s="506">
        <f>COUNTIFS('AR | Drawing List'!$G:$G,"AR-T2S-2",'AR | Drawing List'!T:T,1)</f>
        <v>0</v>
      </c>
      <c r="BB77" s="506">
        <f>COUNTIFS('AR | Drawing List'!$G:$G,"AR-T2S-2",'AR | Drawing List'!U:U,1)</f>
        <v>0</v>
      </c>
      <c r="BC77" s="551"/>
      <c r="BD77" s="551"/>
      <c r="BE77" s="511">
        <v>0.1</v>
      </c>
      <c r="BF77" s="508"/>
      <c r="BG77" s="506">
        <f t="shared" si="284"/>
        <v>5.1062400000000001E-2</v>
      </c>
      <c r="BH77" s="510">
        <f t="shared" si="235"/>
        <v>5.1062400000000001E-2</v>
      </c>
      <c r="BI77" s="506">
        <f t="shared" si="285"/>
        <v>5.1062400000000001E-2</v>
      </c>
      <c r="BJ77" s="506">
        <f t="shared" si="286"/>
        <v>0</v>
      </c>
      <c r="BK77" s="514">
        <f t="shared" si="287"/>
        <v>0</v>
      </c>
      <c r="BL77" s="514">
        <f t="shared" si="288"/>
        <v>0</v>
      </c>
      <c r="BM77" s="514">
        <f t="shared" si="289"/>
        <v>0</v>
      </c>
      <c r="BN77" s="514">
        <f t="shared" si="290"/>
        <v>0</v>
      </c>
      <c r="BO77" s="501"/>
      <c r="BP77" s="514">
        <f t="shared" si="291"/>
        <v>0</v>
      </c>
      <c r="BQ77" s="514">
        <f t="shared" si="292"/>
        <v>0</v>
      </c>
      <c r="BR77" s="514">
        <f t="shared" si="293"/>
        <v>0</v>
      </c>
      <c r="BS77" s="514">
        <f t="shared" si="294"/>
        <v>0</v>
      </c>
      <c r="BT77" s="514">
        <f t="shared" si="295"/>
        <v>0</v>
      </c>
      <c r="BU77" s="501"/>
      <c r="BV77" s="571">
        <f t="shared" si="296"/>
        <v>1</v>
      </c>
      <c r="BW77" s="571">
        <f t="shared" si="297"/>
        <v>0</v>
      </c>
      <c r="BX77" s="571">
        <f t="shared" si="298"/>
        <v>0</v>
      </c>
      <c r="BY77" s="518"/>
      <c r="BZ77" s="514">
        <f>COUNTIF('ST | Drawing List'!$G:$G,"ST-T2S-2")</f>
        <v>117</v>
      </c>
      <c r="CA77" s="506">
        <f>COUNTIFS('ST | Drawing List'!$G:$G,"ST-T2S-2",'ST | Drawing List'!$I:$I,1)</f>
        <v>117</v>
      </c>
      <c r="CB77" s="572">
        <f>COUNTIFS('ST | Drawing List'!$G:$G,"ST-T2S-2",'ST | Drawing List'!$K:$K,1)</f>
        <v>0</v>
      </c>
      <c r="CC77" s="506">
        <f>COUNTIFS('ST | Drawing List'!$G:$G,"ST-T2S-2",'ST | Drawing List'!L:L,1)</f>
        <v>0</v>
      </c>
      <c r="CD77" s="506">
        <f>COUNTIFS('ST | Drawing List'!$G:$G,"ST-T2S-2",'ST | Drawing List'!M:M,1)</f>
        <v>0</v>
      </c>
      <c r="CE77" s="506">
        <f>COUNTIFS('ST | Drawing List'!$G:$G,"ST-T2S-2",'ST | Drawing List'!N:N,1)</f>
        <v>0</v>
      </c>
      <c r="CF77" s="506">
        <f>COUNTIFS('ST | Drawing List'!$G:$G,"ST-T2S-2",'ST | Drawing List'!O:O,1)</f>
        <v>0</v>
      </c>
      <c r="CG77" s="471"/>
      <c r="CH77" s="572">
        <f>COUNTIFS('ST | Drawing List'!$G:$G,"ST-T2S-2",'ST | Drawing List'!$P:$P,1)</f>
        <v>0</v>
      </c>
      <c r="CI77" s="506">
        <f>COUNTIFS('ST | Drawing List'!$G:$G,"ST-T2S-2",'ST | Drawing List'!Q:Q,1)</f>
        <v>0</v>
      </c>
      <c r="CJ77" s="506">
        <f>COUNTIFS('ST | Drawing List'!$G:$G,"ST-T2S-2",'ST | Drawing List'!R:R,1)</f>
        <v>0</v>
      </c>
      <c r="CK77" s="506">
        <f>COUNTIFS('ST | Drawing List'!$G:$G,"ST-T2S-2",'ST | Drawing List'!S:S,1)</f>
        <v>0</v>
      </c>
      <c r="CL77" s="506">
        <f>COUNTIFS('ST | Drawing List'!$G:$G,"ST-T2S-2",'ST | Drawing List'!T:T,1)</f>
        <v>0</v>
      </c>
      <c r="CM77" s="508"/>
      <c r="CN77" s="508"/>
      <c r="CO77" s="576">
        <v>0</v>
      </c>
      <c r="CP77" s="508"/>
      <c r="CQ77" s="506">
        <f t="shared" si="299"/>
        <v>0</v>
      </c>
      <c r="CR77" s="510">
        <f t="shared" si="236"/>
        <v>0</v>
      </c>
      <c r="CS77" s="506">
        <f t="shared" si="300"/>
        <v>0</v>
      </c>
      <c r="CT77" s="514">
        <f t="shared" si="301"/>
        <v>0</v>
      </c>
      <c r="CU77" s="514">
        <f t="shared" si="302"/>
        <v>0</v>
      </c>
      <c r="CV77" s="514">
        <f t="shared" si="303"/>
        <v>0</v>
      </c>
      <c r="CW77" s="514">
        <f t="shared" si="304"/>
        <v>0</v>
      </c>
      <c r="CX77" s="514">
        <f t="shared" si="305"/>
        <v>0</v>
      </c>
      <c r="CY77" s="501"/>
      <c r="CZ77" s="514">
        <f t="shared" si="306"/>
        <v>0</v>
      </c>
      <c r="DA77" s="514">
        <f t="shared" si="307"/>
        <v>0</v>
      </c>
      <c r="DB77" s="514">
        <f t="shared" si="308"/>
        <v>0</v>
      </c>
      <c r="DC77" s="514">
        <f t="shared" si="309"/>
        <v>0</v>
      </c>
      <c r="DD77" s="514">
        <f t="shared" si="310"/>
        <v>0</v>
      </c>
      <c r="DE77" s="501"/>
      <c r="DF77" s="570">
        <f t="shared" si="311"/>
        <v>1</v>
      </c>
      <c r="DG77" s="570">
        <f t="shared" si="312"/>
        <v>0</v>
      </c>
      <c r="DH77" s="570">
        <f t="shared" si="313"/>
        <v>0</v>
      </c>
      <c r="DI77" s="518"/>
      <c r="DJ77" s="514">
        <f>COUNTIF('MEP | Drawing List'!$G:$G,"MEP-T2S-6S-2")</f>
        <v>1</v>
      </c>
      <c r="DK77" s="506">
        <f>COUNTIFS('MEP | Drawing List'!$G:$G,"MEP-T2S-6S-2",'MEP | Drawing List'!$I:$I,1)</f>
        <v>1</v>
      </c>
      <c r="DL77" s="506">
        <f>COUNTIFS('MEP | Drawing List'!$G:$G,"MEP-T2S-6S-2",'MEP | Drawing List'!$K:$K,1)</f>
        <v>0</v>
      </c>
      <c r="DM77" s="514">
        <f>COUNTIFS('MEP | Drawing List'!$G:$G,"MEP-T2S-6S-2",'MEP | Drawing List'!L:L,1)</f>
        <v>0</v>
      </c>
      <c r="DN77" s="514">
        <f>COUNTIFS('MEP | Drawing List'!$G:$G,"MEP-T2S-6S-2",'MEP | Drawing List'!M:M,1)</f>
        <v>0</v>
      </c>
      <c r="DO77" s="514">
        <f>COUNTIFS('MEP | Drawing List'!$G:$G,"MEP-T2S-6S-2",'MEP | Drawing List'!N:N,1)</f>
        <v>0</v>
      </c>
      <c r="DP77" s="514">
        <f>COUNTIFS('MEP | Drawing List'!$G:$G,"MEP-T2S-6S-2",'MEP | Drawing List'!O:O,1)</f>
        <v>0</v>
      </c>
      <c r="DQ77" s="501"/>
      <c r="DR77" s="506">
        <f>COUNTIFS('MEP | Drawing List'!$G:$G,"MEP-T2S-6S-2",'MEP | Drawing List'!$P:$P,1)</f>
        <v>0</v>
      </c>
      <c r="DS77" s="514">
        <f>COUNTIFS('MEP | Drawing List'!$G:$G,"MEP-T2S-6S-2",'MEP | Drawing List'!Q:Q,1)</f>
        <v>0</v>
      </c>
      <c r="DT77" s="514">
        <f>COUNTIFS('MEP | Drawing List'!$G:$G,"MEP-T2S-6S-2",'MEP | Drawing List'!R:R,1)</f>
        <v>0</v>
      </c>
      <c r="DU77" s="514">
        <f>COUNTIFS('MEP | Drawing List'!$G:$G,"MEP-T2S-6S-2",'MEP | Drawing List'!S:S,1)</f>
        <v>0</v>
      </c>
      <c r="DV77" s="514">
        <f>COUNTIFS('MEP | Drawing List'!$G:$G,"MEP-T2S-6S-2",'MEP | Drawing List'!T:T,1)</f>
        <v>0</v>
      </c>
      <c r="DW77" s="508"/>
      <c r="DX77" s="508"/>
      <c r="DY77" s="470">
        <v>0</v>
      </c>
      <c r="DZ77" s="508"/>
      <c r="EA77" s="506">
        <f t="shared" si="314"/>
        <v>0</v>
      </c>
      <c r="EB77" s="510">
        <f t="shared" si="237"/>
        <v>0</v>
      </c>
      <c r="EC77" s="506">
        <f t="shared" si="315"/>
        <v>0</v>
      </c>
      <c r="ED77" s="506">
        <f t="shared" si="316"/>
        <v>0</v>
      </c>
      <c r="EE77" s="514">
        <f t="shared" si="317"/>
        <v>0</v>
      </c>
      <c r="EF77" s="514">
        <f t="shared" si="318"/>
        <v>0</v>
      </c>
      <c r="EG77" s="514">
        <f t="shared" si="319"/>
        <v>0</v>
      </c>
      <c r="EH77" s="514">
        <f t="shared" si="320"/>
        <v>0</v>
      </c>
      <c r="EI77" s="501"/>
      <c r="EJ77" s="567">
        <f t="shared" ref="EJ77:EJ84" si="323">IFERROR(IF(AND((EP77+ER77)=100%,EP77&lt;1),EA77,0),0)</f>
        <v>0</v>
      </c>
      <c r="EK77" s="514">
        <f t="shared" ref="EK77:EK84" si="324">IFERROR(IF(AND((EU77+FC77)=ET77,EC77=0),EA77,0),0)</f>
        <v>0</v>
      </c>
      <c r="EL77" s="514">
        <f t="shared" ref="EL77:EL84" si="325">IFERROR(IF(AND((EU77+FC77+FD77)=ET77,EC77=0,EK77=0),EA77,0),0)</f>
        <v>0</v>
      </c>
      <c r="EM77" s="514">
        <f t="shared" ref="EM77:EM84" si="326">IFERROR(IF(AND((EU77+FC77+FD77+FE77)=ET77,EC77=0,EK77=0,EL77=0),EA77,0),0)</f>
        <v>0</v>
      </c>
      <c r="EN77" s="514">
        <f t="shared" ref="EN77:EN84" si="327">IFERROR(IF(AND((EU77+FC77+FD77+FE77+FF77)=ET77,EC77=0,EK77=0,EL77=0,EM77=0),EA77,0),0)</f>
        <v>0</v>
      </c>
      <c r="EO77" s="501"/>
      <c r="EP77" s="585">
        <f t="shared" ref="EP77:EP84" si="328">IFERROR(EU77/ET77,0)</f>
        <v>0</v>
      </c>
      <c r="EQ77" s="585">
        <f t="shared" ref="EQ77:EQ84" si="329">IFERROR(EV77/ET77,0)</f>
        <v>0</v>
      </c>
      <c r="ER77" s="585">
        <f t="shared" ref="ER77:ER84" si="330">IFERROR(FB77/ET77,0)</f>
        <v>0</v>
      </c>
      <c r="ET77" s="514">
        <f>COUNTIF('LS | Drawing List'!$G:$G,"LS-T2S-2")</f>
        <v>0</v>
      </c>
      <c r="EU77" s="506">
        <f>COUNTIFS('LS | Drawing List'!$G:$G,"LS-T2S-2",'LS | Drawing List'!$I:$I,1)</f>
        <v>0</v>
      </c>
      <c r="EV77" s="506">
        <f>COUNTIFS('LS | Drawing List'!$G:$G,"LS-T2S-2",'LS | Drawing List'!$K:$K,1)</f>
        <v>0</v>
      </c>
      <c r="EW77" s="514">
        <f>COUNTIFS('LS | Drawing List'!$G:$G,"LS-T2S-2",'LS | Drawing List'!L:L,1)</f>
        <v>0</v>
      </c>
      <c r="EX77" s="514">
        <f>COUNTIFS('LS | Drawing List'!$G:$G,"LS-T2S-2",'LS | Drawing List'!M:M,1)</f>
        <v>0</v>
      </c>
      <c r="EY77" s="514">
        <f>COUNTIFS('LS | Drawing List'!$G:$G,"LS-T2S-2",'LS | Drawing List'!N:N,1)</f>
        <v>0</v>
      </c>
      <c r="EZ77" s="514">
        <f>COUNTIFS('LS | Drawing List'!$G:$G,"LS-T2S-2",'LS | Drawing List'!O:O,1)</f>
        <v>0</v>
      </c>
      <c r="FA77" s="515"/>
      <c r="FB77" s="506">
        <f>COUNTIFS('LS | Drawing List'!$G:$G,"LS-T2S-2",'LS | Drawing List'!$P:$P,1)</f>
        <v>0</v>
      </c>
      <c r="FC77" s="514">
        <f>COUNTIFS('LS | Drawing List'!$G:$G,"LS-T2S-2",'LS | Drawing List'!Q:Q,1)</f>
        <v>0</v>
      </c>
      <c r="FD77" s="514">
        <f>COUNTIFS('LS | Drawing List'!$G:$G,"LS-T2S-2",'LS | Drawing List'!R:R,1)</f>
        <v>0</v>
      </c>
      <c r="FE77" s="514">
        <f>COUNTIFS('LS | Drawing List'!$G:$G,"LS-T2S-2",'LS | Drawing List'!S:S,1)</f>
        <v>0</v>
      </c>
      <c r="FF77" s="514">
        <f>COUNTIFS('LS | Drawing List'!$G:$G,"LS-T2S-2",'LS | Drawing List'!T:T,1)</f>
        <v>0</v>
      </c>
    </row>
    <row r="78" spans="2:162" ht="14.25" outlineLevel="2">
      <c r="B78" s="604" t="s">
        <v>86</v>
      </c>
      <c r="C78" s="565">
        <v>3</v>
      </c>
      <c r="D78" s="566" t="s">
        <v>56</v>
      </c>
      <c r="F78" s="500">
        <f t="shared" si="265"/>
        <v>0.12272400000000001</v>
      </c>
      <c r="G78" s="500">
        <f t="shared" si="266"/>
        <v>0.12272400000000001</v>
      </c>
      <c r="H78" s="514">
        <f t="shared" si="267"/>
        <v>0</v>
      </c>
      <c r="I78" s="514">
        <f t="shared" si="240"/>
        <v>0</v>
      </c>
      <c r="J78" s="514">
        <f t="shared" si="241"/>
        <v>0</v>
      </c>
      <c r="K78" s="514">
        <f t="shared" si="242"/>
        <v>0</v>
      </c>
      <c r="L78" s="514">
        <f t="shared" si="243"/>
        <v>0</v>
      </c>
      <c r="M78" s="567">
        <f t="shared" si="244"/>
        <v>0</v>
      </c>
      <c r="N78" s="568"/>
      <c r="O78" s="514">
        <f t="shared" si="245"/>
        <v>0</v>
      </c>
      <c r="P78" s="514">
        <f t="shared" si="246"/>
        <v>0</v>
      </c>
      <c r="Q78" s="514">
        <f t="shared" si="247"/>
        <v>0</v>
      </c>
      <c r="R78" s="514">
        <f t="shared" si="248"/>
        <v>0</v>
      </c>
      <c r="S78" s="514">
        <f t="shared" si="249"/>
        <v>0</v>
      </c>
      <c r="U78" s="569">
        <v>0.1</v>
      </c>
      <c r="V78" s="503"/>
      <c r="W78" s="500">
        <f t="shared" si="268"/>
        <v>0.12272400000000001</v>
      </c>
      <c r="X78" s="500">
        <f t="shared" si="234"/>
        <v>0.12272400000000001</v>
      </c>
      <c r="Y78" s="514">
        <f t="shared" si="269"/>
        <v>0.12272400000000001</v>
      </c>
      <c r="Z78" s="514">
        <f t="shared" si="270"/>
        <v>0</v>
      </c>
      <c r="AA78" s="514">
        <f t="shared" si="271"/>
        <v>0</v>
      </c>
      <c r="AB78" s="514">
        <f t="shared" si="272"/>
        <v>0</v>
      </c>
      <c r="AC78" s="514">
        <f t="shared" si="273"/>
        <v>0</v>
      </c>
      <c r="AD78" s="567">
        <f t="shared" si="274"/>
        <v>0</v>
      </c>
      <c r="AE78" s="568"/>
      <c r="AF78" s="514">
        <f t="shared" si="275"/>
        <v>0</v>
      </c>
      <c r="AG78" s="514">
        <f t="shared" si="276"/>
        <v>0</v>
      </c>
      <c r="AH78" s="514">
        <f t="shared" si="277"/>
        <v>0</v>
      </c>
      <c r="AI78" s="514">
        <f t="shared" si="278"/>
        <v>0</v>
      </c>
      <c r="AJ78" s="514">
        <f t="shared" si="279"/>
        <v>0</v>
      </c>
      <c r="AK78" s="501"/>
      <c r="AL78" s="570">
        <f t="shared" si="280"/>
        <v>1</v>
      </c>
      <c r="AM78" s="570">
        <f t="shared" si="281"/>
        <v>0</v>
      </c>
      <c r="AN78" s="570">
        <f t="shared" si="282"/>
        <v>0</v>
      </c>
      <c r="AO78" s="505"/>
      <c r="AP78" s="514">
        <f>COUNTIF('AR | Drawing List'!$G:$G,"AR-T2S-3")</f>
        <v>19</v>
      </c>
      <c r="AQ78" s="506">
        <f>COUNTIFS('AR | Drawing List'!$G:$G,"AR-T2S-3",'AR | Drawing List'!$I:$I,1)</f>
        <v>19</v>
      </c>
      <c r="AR78" s="506">
        <f t="shared" si="238"/>
        <v>0</v>
      </c>
      <c r="AS78" s="506">
        <f>COUNTIFS('AR | Drawing List'!$G:$G,"AR-T2S-3",'AR | Drawing List'!M:M,1)</f>
        <v>0</v>
      </c>
      <c r="AT78" s="506">
        <f>COUNTIFS('AR | Drawing List'!$G:$G,"AR-T2S-3",'AR | Drawing List'!N:N,1)</f>
        <v>0</v>
      </c>
      <c r="AU78" s="506">
        <f>COUNTIFS('AR | Drawing List'!$G:$G,"AR-T2S-3",'AR | Drawing List'!O:O,1)</f>
        <v>0</v>
      </c>
      <c r="AV78" s="506">
        <f>COUNTIFS('AR | Drawing List'!$G:$G,"AR-T2S-3",'AR | Drawing List'!P:P,1)</f>
        <v>0</v>
      </c>
      <c r="AW78" s="466"/>
      <c r="AX78" s="506">
        <f t="shared" si="283"/>
        <v>0</v>
      </c>
      <c r="AY78" s="506">
        <f>COUNTIFS('AR | Drawing List'!$G:$G,"AR-T2S-3",'AR | Drawing List'!R:R,1)</f>
        <v>0</v>
      </c>
      <c r="AZ78" s="506">
        <f>COUNTIFS('AR | Drawing List'!$G:$G,"AR-T2S-3",'AR | Drawing List'!S:S,1)</f>
        <v>0</v>
      </c>
      <c r="BA78" s="506">
        <f>COUNTIFS('AR | Drawing List'!$G:$G,"AR-T2S-3",'AR | Drawing List'!T:T,1)</f>
        <v>0</v>
      </c>
      <c r="BB78" s="506">
        <f>COUNTIFS('AR | Drawing List'!$G:$G,"AR-T2S-3",'AR | Drawing List'!U:U,1)</f>
        <v>0</v>
      </c>
      <c r="BC78" s="551"/>
      <c r="BD78" s="551"/>
      <c r="BE78" s="576">
        <v>0</v>
      </c>
      <c r="BF78" s="508"/>
      <c r="BG78" s="506">
        <f t="shared" si="284"/>
        <v>0</v>
      </c>
      <c r="BH78" s="510">
        <f t="shared" si="235"/>
        <v>0</v>
      </c>
      <c r="BI78" s="514">
        <f t="shared" si="285"/>
        <v>0</v>
      </c>
      <c r="BJ78" s="514">
        <f t="shared" si="286"/>
        <v>0</v>
      </c>
      <c r="BK78" s="514">
        <f t="shared" si="287"/>
        <v>0</v>
      </c>
      <c r="BL78" s="514">
        <f t="shared" si="288"/>
        <v>0</v>
      </c>
      <c r="BM78" s="514">
        <f t="shared" si="289"/>
        <v>0</v>
      </c>
      <c r="BN78" s="514">
        <f t="shared" si="290"/>
        <v>0</v>
      </c>
      <c r="BO78" s="501"/>
      <c r="BP78" s="514">
        <f t="shared" si="291"/>
        <v>0</v>
      </c>
      <c r="BQ78" s="514">
        <f t="shared" si="292"/>
        <v>0</v>
      </c>
      <c r="BR78" s="514">
        <f t="shared" si="293"/>
        <v>0</v>
      </c>
      <c r="BS78" s="514">
        <f t="shared" si="294"/>
        <v>0</v>
      </c>
      <c r="BT78" s="514">
        <f t="shared" si="295"/>
        <v>0</v>
      </c>
      <c r="BU78" s="501"/>
      <c r="BV78" s="571">
        <f t="shared" si="296"/>
        <v>0</v>
      </c>
      <c r="BW78" s="571">
        <f t="shared" si="297"/>
        <v>0</v>
      </c>
      <c r="BX78" s="571">
        <f t="shared" si="298"/>
        <v>0</v>
      </c>
      <c r="BY78" s="520"/>
      <c r="BZ78" s="514">
        <f>COUNTIF('ST | Drawing List'!$G:$G,"ST-T2S-3")</f>
        <v>0</v>
      </c>
      <c r="CA78" s="506">
        <f>COUNTIFS('ST | Drawing List'!$G:$G,"ST-T2S-3",'ST | Drawing List'!$I:$I,1)</f>
        <v>0</v>
      </c>
      <c r="CB78" s="572">
        <f>COUNTIFS('ST | Drawing List'!$G:$G,"ST-T2S-3",'ST | Drawing List'!$K:$K,1)</f>
        <v>0</v>
      </c>
      <c r="CC78" s="506">
        <f>COUNTIFS('ST | Drawing List'!$G:$G,"ST-T2S-3",'ST | Drawing List'!L:L,1)</f>
        <v>0</v>
      </c>
      <c r="CD78" s="506">
        <f>COUNTIFS('ST | Drawing List'!$G:$G,"ST-T2S-3",'ST | Drawing List'!M:M,1)</f>
        <v>0</v>
      </c>
      <c r="CE78" s="506">
        <f>COUNTIFS('ST | Drawing List'!$G:$G,"ST-T2S-3",'ST | Drawing List'!N:N,1)</f>
        <v>0</v>
      </c>
      <c r="CF78" s="506">
        <f>COUNTIFS('ST | Drawing List'!$G:$G,"ST-T2S-3",'ST | Drawing List'!O:O,1)</f>
        <v>0</v>
      </c>
      <c r="CG78" s="471"/>
      <c r="CH78" s="572">
        <f>COUNTIFS('ST | Drawing List'!$G:$G,"ST-T2S-3",'ST | Drawing List'!$P:$P,1)</f>
        <v>0</v>
      </c>
      <c r="CI78" s="506">
        <f>COUNTIFS('ST | Drawing List'!$G:$G,"ST-T2S-3",'ST | Drawing List'!Q:Q,1)</f>
        <v>0</v>
      </c>
      <c r="CJ78" s="506">
        <f>COUNTIFS('ST | Drawing List'!$G:$G,"ST-T2S-3",'ST | Drawing List'!R:R,1)</f>
        <v>0</v>
      </c>
      <c r="CK78" s="506">
        <f>COUNTIFS('ST | Drawing List'!$G:$G,"ST-T2S-3",'ST | Drawing List'!S:S,1)</f>
        <v>0</v>
      </c>
      <c r="CL78" s="506">
        <f>COUNTIFS('ST | Drawing List'!$G:$G,"ST-T2S-3",'ST | Drawing List'!T:T,1)</f>
        <v>0</v>
      </c>
      <c r="CM78" s="508"/>
      <c r="CN78" s="508"/>
      <c r="CO78" s="576">
        <v>0</v>
      </c>
      <c r="CP78" s="508"/>
      <c r="CQ78" s="506">
        <f t="shared" si="299"/>
        <v>0</v>
      </c>
      <c r="CR78" s="510">
        <f t="shared" si="236"/>
        <v>0</v>
      </c>
      <c r="CS78" s="514">
        <f t="shared" si="300"/>
        <v>0</v>
      </c>
      <c r="CT78" s="514">
        <f t="shared" si="301"/>
        <v>0</v>
      </c>
      <c r="CU78" s="514">
        <f t="shared" si="302"/>
        <v>0</v>
      </c>
      <c r="CV78" s="514">
        <f t="shared" si="303"/>
        <v>0</v>
      </c>
      <c r="CW78" s="514">
        <f t="shared" si="304"/>
        <v>0</v>
      </c>
      <c r="CX78" s="514">
        <f t="shared" si="305"/>
        <v>0</v>
      </c>
      <c r="CY78" s="501"/>
      <c r="CZ78" s="514">
        <f t="shared" si="306"/>
        <v>0</v>
      </c>
      <c r="DA78" s="514">
        <f t="shared" si="307"/>
        <v>0</v>
      </c>
      <c r="DB78" s="514">
        <f t="shared" si="308"/>
        <v>0</v>
      </c>
      <c r="DC78" s="514">
        <f t="shared" si="309"/>
        <v>0</v>
      </c>
      <c r="DD78" s="514">
        <f t="shared" si="310"/>
        <v>0</v>
      </c>
      <c r="DE78" s="501"/>
      <c r="DF78" s="570">
        <f t="shared" si="311"/>
        <v>0</v>
      </c>
      <c r="DG78" s="570">
        <f t="shared" si="312"/>
        <v>0</v>
      </c>
      <c r="DH78" s="570">
        <f t="shared" si="313"/>
        <v>0</v>
      </c>
      <c r="DI78" s="520"/>
      <c r="DJ78" s="514">
        <f>COUNTIF('MEP | Drawing List'!$G:$G,"MEP-T2S-6S-3")</f>
        <v>0</v>
      </c>
      <c r="DK78" s="506">
        <f>COUNTIFS('MEP | Drawing List'!$G:$G,"MEP-T2S-6S-3",'MEP | Drawing List'!$I:$I,1)</f>
        <v>0</v>
      </c>
      <c r="DL78" s="506">
        <f>COUNTIFS('MEP | Drawing List'!$G:$G,"MEP-T2S-6S-3",'MEP | Drawing List'!$K:$K,1)</f>
        <v>0</v>
      </c>
      <c r="DM78" s="514">
        <f>COUNTIFS('MEP | Drawing List'!$G:$G,"MEP-T2S-6S-3",'MEP | Drawing List'!L:L,1)</f>
        <v>0</v>
      </c>
      <c r="DN78" s="514">
        <f>COUNTIFS('MEP | Drawing List'!$G:$G,"MEP-T2S-6S-3",'MEP | Drawing List'!M:M,1)</f>
        <v>0</v>
      </c>
      <c r="DO78" s="514">
        <f>COUNTIFS('MEP | Drawing List'!$G:$G,"MEP-T2S-6S-3",'MEP | Drawing List'!N:N,1)</f>
        <v>0</v>
      </c>
      <c r="DP78" s="514">
        <f>COUNTIFS('MEP | Drawing List'!$G:$G,"MEP-T2S-6S-3",'MEP | Drawing List'!O:O,1)</f>
        <v>0</v>
      </c>
      <c r="DQ78" s="501"/>
      <c r="DR78" s="506">
        <f>COUNTIFS('MEP | Drawing List'!$G:$G,"MEP-T2S-6S-3",'MEP | Drawing List'!$P:$P,1)</f>
        <v>0</v>
      </c>
      <c r="DS78" s="514">
        <f>COUNTIFS('MEP | Drawing List'!$G:$G,"MEP-T2S-6S-3",'MEP | Drawing List'!Q:Q,1)</f>
        <v>0</v>
      </c>
      <c r="DT78" s="514">
        <f>COUNTIFS('MEP | Drawing List'!$G:$G,"MEP-T2S-6S-3",'MEP | Drawing List'!R:R,1)</f>
        <v>0</v>
      </c>
      <c r="DU78" s="514">
        <f>COUNTIFS('MEP | Drawing List'!$G:$G,"MEP-T2S-6S-3",'MEP | Drawing List'!S:S,1)</f>
        <v>0</v>
      </c>
      <c r="DV78" s="514">
        <f>COUNTIFS('MEP | Drawing List'!$G:$G,"MEP-T2S-6S-3",'MEP | Drawing List'!T:T,1)</f>
        <v>0</v>
      </c>
      <c r="DW78" s="508"/>
      <c r="DX78" s="508"/>
      <c r="DY78" s="511">
        <v>0</v>
      </c>
      <c r="DZ78" s="508"/>
      <c r="EA78" s="506">
        <f t="shared" si="314"/>
        <v>0</v>
      </c>
      <c r="EB78" s="510">
        <f t="shared" si="237"/>
        <v>0</v>
      </c>
      <c r="EC78" s="514">
        <f t="shared" si="315"/>
        <v>0</v>
      </c>
      <c r="ED78" s="514">
        <f t="shared" si="316"/>
        <v>0</v>
      </c>
      <c r="EE78" s="514">
        <f t="shared" si="317"/>
        <v>0</v>
      </c>
      <c r="EF78" s="514">
        <f t="shared" si="318"/>
        <v>0</v>
      </c>
      <c r="EG78" s="514">
        <f t="shared" si="319"/>
        <v>0</v>
      </c>
      <c r="EH78" s="514">
        <f t="shared" si="320"/>
        <v>0</v>
      </c>
      <c r="EI78" s="501"/>
      <c r="EJ78" s="567">
        <f t="shared" si="323"/>
        <v>0</v>
      </c>
      <c r="EK78" s="514">
        <f t="shared" si="324"/>
        <v>0</v>
      </c>
      <c r="EL78" s="514">
        <f t="shared" si="325"/>
        <v>0</v>
      </c>
      <c r="EM78" s="514">
        <f t="shared" si="326"/>
        <v>0</v>
      </c>
      <c r="EN78" s="514">
        <f t="shared" si="327"/>
        <v>0</v>
      </c>
      <c r="EO78" s="501"/>
      <c r="EP78" s="585">
        <f t="shared" si="328"/>
        <v>0</v>
      </c>
      <c r="EQ78" s="585">
        <f t="shared" si="329"/>
        <v>0</v>
      </c>
      <c r="ER78" s="585">
        <f t="shared" si="330"/>
        <v>0</v>
      </c>
      <c r="ES78" s="523"/>
      <c r="ET78" s="514">
        <f>COUNTIF('LS | Drawing List'!$G:$G,"LS-T2S-3")</f>
        <v>0</v>
      </c>
      <c r="EU78" s="506">
        <f>COUNTIFS('LS | Drawing List'!$G:$G,"LS-T2S-3",'LS | Drawing List'!$I:$I,1)</f>
        <v>0</v>
      </c>
      <c r="EV78" s="506">
        <f>COUNTIFS('LS | Drawing List'!$G:$G,"LS-T2S-3",'LS | Drawing List'!$K:$K,1)</f>
        <v>0</v>
      </c>
      <c r="EW78" s="514">
        <f>COUNTIFS('LS | Drawing List'!$G:$G,"LS-T2S-3",'LS | Drawing List'!L:L,1)</f>
        <v>0</v>
      </c>
      <c r="EX78" s="514">
        <f>COUNTIFS('LS | Drawing List'!$G:$G,"LS-T2S-3",'LS | Drawing List'!M:M,1)</f>
        <v>0</v>
      </c>
      <c r="EY78" s="514">
        <f>COUNTIFS('LS | Drawing List'!$G:$G,"LS-T2S-3",'LS | Drawing List'!N:N,1)</f>
        <v>0</v>
      </c>
      <c r="EZ78" s="514">
        <f>COUNTIFS('LS | Drawing List'!$G:$G,"LS-T2S-3",'LS | Drawing List'!O:O,1)</f>
        <v>0</v>
      </c>
      <c r="FA78" s="515"/>
      <c r="FB78" s="506">
        <f>COUNTIFS('LS | Drawing List'!$G:$G,"LS-T2S-3",'LS | Drawing List'!$P:$P,1)</f>
        <v>0</v>
      </c>
      <c r="FC78" s="514">
        <f>COUNTIFS('LS | Drawing List'!$G:$G,"LS-T2S-3",'LS | Drawing List'!Q:Q,1)</f>
        <v>0</v>
      </c>
      <c r="FD78" s="514">
        <f>COUNTIFS('LS | Drawing List'!$G:$G,"LS-T2S-3",'LS | Drawing List'!R:R,1)</f>
        <v>0</v>
      </c>
      <c r="FE78" s="514">
        <f>COUNTIFS('LS | Drawing List'!$G:$G,"LS-T2S-3",'LS | Drawing List'!S:S,1)</f>
        <v>0</v>
      </c>
      <c r="FF78" s="514">
        <f>COUNTIFS('LS | Drawing List'!$G:$G,"LS-T2S-3",'LS | Drawing List'!T:T,1)</f>
        <v>0</v>
      </c>
    </row>
    <row r="79" spans="2:162" ht="14.25" outlineLevel="2">
      <c r="B79" s="604" t="s">
        <v>87</v>
      </c>
      <c r="C79" s="579">
        <v>4</v>
      </c>
      <c r="D79" s="580" t="s">
        <v>88</v>
      </c>
      <c r="F79" s="500">
        <f t="shared" si="265"/>
        <v>9.7455923999999999E-2</v>
      </c>
      <c r="G79" s="500">
        <f t="shared" si="266"/>
        <v>9.7455923999999999E-2</v>
      </c>
      <c r="H79" s="514">
        <f t="shared" si="267"/>
        <v>0</v>
      </c>
      <c r="I79" s="514">
        <f t="shared" si="240"/>
        <v>0</v>
      </c>
      <c r="J79" s="514">
        <f t="shared" si="241"/>
        <v>0</v>
      </c>
      <c r="K79" s="514">
        <f t="shared" si="242"/>
        <v>0</v>
      </c>
      <c r="L79" s="514">
        <f t="shared" si="243"/>
        <v>0</v>
      </c>
      <c r="M79" s="567">
        <f t="shared" si="244"/>
        <v>0</v>
      </c>
      <c r="N79" s="568"/>
      <c r="O79" s="514">
        <f t="shared" si="245"/>
        <v>0</v>
      </c>
      <c r="P79" s="514">
        <f t="shared" si="246"/>
        <v>0</v>
      </c>
      <c r="Q79" s="514">
        <f t="shared" si="247"/>
        <v>0</v>
      </c>
      <c r="R79" s="514">
        <f t="shared" si="248"/>
        <v>0</v>
      </c>
      <c r="S79" s="514">
        <f t="shared" si="249"/>
        <v>0</v>
      </c>
      <c r="U79" s="569">
        <v>0.05</v>
      </c>
      <c r="V79" s="503"/>
      <c r="W79" s="500">
        <f t="shared" si="268"/>
        <v>6.1362000000000007E-2</v>
      </c>
      <c r="X79" s="500">
        <f t="shared" si="234"/>
        <v>6.1362000000000007E-2</v>
      </c>
      <c r="Y79" s="514">
        <f t="shared" si="269"/>
        <v>6.1362000000000007E-2</v>
      </c>
      <c r="Z79" s="514">
        <f t="shared" si="270"/>
        <v>0</v>
      </c>
      <c r="AA79" s="514">
        <f t="shared" si="271"/>
        <v>0</v>
      </c>
      <c r="AB79" s="514">
        <f t="shared" si="272"/>
        <v>0</v>
      </c>
      <c r="AC79" s="514">
        <f t="shared" si="273"/>
        <v>0</v>
      </c>
      <c r="AD79" s="567">
        <f t="shared" si="274"/>
        <v>0</v>
      </c>
      <c r="AE79" s="568"/>
      <c r="AF79" s="514">
        <f t="shared" si="275"/>
        <v>0</v>
      </c>
      <c r="AG79" s="514">
        <f t="shared" si="276"/>
        <v>0</v>
      </c>
      <c r="AH79" s="514">
        <f t="shared" si="277"/>
        <v>0</v>
      </c>
      <c r="AI79" s="514">
        <f t="shared" si="278"/>
        <v>0</v>
      </c>
      <c r="AJ79" s="514">
        <f t="shared" si="279"/>
        <v>0</v>
      </c>
      <c r="AK79" s="501"/>
      <c r="AL79" s="570">
        <f t="shared" si="280"/>
        <v>1</v>
      </c>
      <c r="AM79" s="570">
        <f t="shared" si="281"/>
        <v>0</v>
      </c>
      <c r="AN79" s="570">
        <f t="shared" si="282"/>
        <v>0</v>
      </c>
      <c r="AO79" s="505"/>
      <c r="AP79" s="514">
        <f>COUNTIF('AR | Drawing List'!$G:$G,"AR-T2S-4")</f>
        <v>4</v>
      </c>
      <c r="AQ79" s="506">
        <f>COUNTIFS('AR | Drawing List'!$G:$G,"AR-T2S-4",'AR | Drawing List'!$I:$I,1)</f>
        <v>4</v>
      </c>
      <c r="AR79" s="506">
        <f t="shared" si="238"/>
        <v>0</v>
      </c>
      <c r="AS79" s="506">
        <f>COUNTIFS('AR | Drawing List'!$G:$G,"AR-T2S-4",'AR | Drawing List'!M:M,1)</f>
        <v>0</v>
      </c>
      <c r="AT79" s="506">
        <f>COUNTIFS('AR | Drawing List'!$G:$G,"AR-T2S-4",'AR | Drawing List'!N:N,1)</f>
        <v>0</v>
      </c>
      <c r="AU79" s="506">
        <f>COUNTIFS('AR | Drawing List'!$G:$G,"AR-T2S-4",'AR | Drawing List'!O:O,1)</f>
        <v>0</v>
      </c>
      <c r="AV79" s="506">
        <f>COUNTIFS('AR | Drawing List'!$G:$G,"AR-T2S-4",'AR | Drawing List'!P:P,1)</f>
        <v>0</v>
      </c>
      <c r="AW79" s="466"/>
      <c r="AX79" s="506">
        <f t="shared" si="283"/>
        <v>0</v>
      </c>
      <c r="AY79" s="506">
        <f>COUNTIFS('AR | Drawing List'!$G:$G,"AR-T2S-4",'AR | Drawing List'!R:R,1)</f>
        <v>0</v>
      </c>
      <c r="AZ79" s="506">
        <f>COUNTIFS('AR | Drawing List'!$G:$G,"AR-T2S-4",'AR | Drawing List'!S:S,1)</f>
        <v>0</v>
      </c>
      <c r="BA79" s="506">
        <f>COUNTIFS('AR | Drawing List'!$G:$G,"AR-T2S-4",'AR | Drawing List'!T:T,1)</f>
        <v>0</v>
      </c>
      <c r="BB79" s="506">
        <f>COUNTIFS('AR | Drawing List'!$G:$G,"AR-T2S-4",'AR | Drawing List'!U:U,1)</f>
        <v>0</v>
      </c>
      <c r="BC79" s="551"/>
      <c r="BD79" s="551"/>
      <c r="BE79" s="592">
        <v>0.05</v>
      </c>
      <c r="BF79" s="508"/>
      <c r="BG79" s="506">
        <f t="shared" si="284"/>
        <v>2.55312E-2</v>
      </c>
      <c r="BH79" s="510">
        <f t="shared" si="235"/>
        <v>2.55312E-2</v>
      </c>
      <c r="BI79" s="514">
        <f t="shared" si="285"/>
        <v>2.55312E-2</v>
      </c>
      <c r="BJ79" s="514">
        <f t="shared" si="286"/>
        <v>0</v>
      </c>
      <c r="BK79" s="514">
        <f t="shared" si="287"/>
        <v>0</v>
      </c>
      <c r="BL79" s="514">
        <f t="shared" si="288"/>
        <v>0</v>
      </c>
      <c r="BM79" s="514">
        <f t="shared" si="289"/>
        <v>0</v>
      </c>
      <c r="BN79" s="514">
        <f t="shared" si="290"/>
        <v>0</v>
      </c>
      <c r="BO79" s="501"/>
      <c r="BP79" s="514">
        <f t="shared" si="291"/>
        <v>0</v>
      </c>
      <c r="BQ79" s="514">
        <f t="shared" si="292"/>
        <v>0</v>
      </c>
      <c r="BR79" s="514">
        <f t="shared" si="293"/>
        <v>0</v>
      </c>
      <c r="BS79" s="514">
        <f t="shared" si="294"/>
        <v>0</v>
      </c>
      <c r="BT79" s="514">
        <f t="shared" si="295"/>
        <v>0</v>
      </c>
      <c r="BU79" s="501"/>
      <c r="BV79" s="571">
        <f t="shared" si="296"/>
        <v>1</v>
      </c>
      <c r="BW79" s="571">
        <f t="shared" si="297"/>
        <v>0</v>
      </c>
      <c r="BX79" s="571">
        <f t="shared" si="298"/>
        <v>0</v>
      </c>
      <c r="BY79" s="518"/>
      <c r="BZ79" s="514">
        <f>COUNTIF('ST | Drawing List'!$G:$G,"ST-T2S-4")</f>
        <v>211</v>
      </c>
      <c r="CA79" s="506">
        <f>COUNTIFS('ST | Drawing List'!$G:$G,"ST-T2S-4",'ST | Drawing List'!$I:$I,1)</f>
        <v>211</v>
      </c>
      <c r="CB79" s="572">
        <f>COUNTIFS('ST | Drawing List'!$G:$G,"ST-T2S-4",'ST | Drawing List'!$K:$K,1)</f>
        <v>0</v>
      </c>
      <c r="CC79" s="506">
        <f>COUNTIFS('ST | Drawing List'!$G:$G,"ST-T2S-4",'ST | Drawing List'!L:L,1)</f>
        <v>0</v>
      </c>
      <c r="CD79" s="506">
        <f>COUNTIFS('ST | Drawing List'!$G:$G,"ST-T2S-4",'ST | Drawing List'!M:M,1)</f>
        <v>0</v>
      </c>
      <c r="CE79" s="506">
        <f>COUNTIFS('ST | Drawing List'!$G:$G,"ST-T2S-4",'ST | Drawing List'!N:N,1)</f>
        <v>0</v>
      </c>
      <c r="CF79" s="506">
        <f>COUNTIFS('ST | Drawing List'!$G:$G,"ST-T2S-4",'ST | Drawing List'!O:O,1)</f>
        <v>0</v>
      </c>
      <c r="CG79" s="471"/>
      <c r="CH79" s="572">
        <f>COUNTIFS('ST | Drawing List'!$G:$G,"ST-T2S-4",'ST | Drawing List'!$P:$P,1)</f>
        <v>0</v>
      </c>
      <c r="CI79" s="506">
        <f>COUNTIFS('ST | Drawing List'!$G:$G,"ST-T2S-4",'ST | Drawing List'!Q:Q,1)</f>
        <v>0</v>
      </c>
      <c r="CJ79" s="506">
        <f>COUNTIFS('ST | Drawing List'!$G:$G,"ST-T2S-4",'ST | Drawing List'!R:R,1)</f>
        <v>0</v>
      </c>
      <c r="CK79" s="506">
        <f>COUNTIFS('ST | Drawing List'!$G:$G,"ST-T2S-4",'ST | Drawing List'!S:S,1)</f>
        <v>0</v>
      </c>
      <c r="CL79" s="506">
        <f>COUNTIFS('ST | Drawing List'!$G:$G,"ST-T2S-4",'ST | Drawing List'!T:T,1)</f>
        <v>0</v>
      </c>
      <c r="CM79" s="508"/>
      <c r="CN79" s="508"/>
      <c r="CO79" s="511">
        <v>0.15</v>
      </c>
      <c r="CP79" s="508"/>
      <c r="CQ79" s="506">
        <f t="shared" si="299"/>
        <v>1.0562723999999999E-2</v>
      </c>
      <c r="CR79" s="510">
        <f t="shared" si="236"/>
        <v>1.0562723999999999E-2</v>
      </c>
      <c r="CS79" s="514">
        <f t="shared" si="300"/>
        <v>1.0562723999999999E-2</v>
      </c>
      <c r="CT79" s="514">
        <f t="shared" si="301"/>
        <v>0</v>
      </c>
      <c r="CU79" s="514">
        <f t="shared" si="302"/>
        <v>0</v>
      </c>
      <c r="CV79" s="514">
        <f t="shared" si="303"/>
        <v>0</v>
      </c>
      <c r="CW79" s="514">
        <f t="shared" si="304"/>
        <v>0</v>
      </c>
      <c r="CX79" s="514">
        <f t="shared" si="305"/>
        <v>0</v>
      </c>
      <c r="CY79" s="501"/>
      <c r="CZ79" s="514">
        <f t="shared" si="306"/>
        <v>0</v>
      </c>
      <c r="DA79" s="514">
        <f t="shared" si="307"/>
        <v>0</v>
      </c>
      <c r="DB79" s="514">
        <f t="shared" si="308"/>
        <v>0</v>
      </c>
      <c r="DC79" s="514">
        <f t="shared" si="309"/>
        <v>0</v>
      </c>
      <c r="DD79" s="514">
        <f t="shared" si="310"/>
        <v>0</v>
      </c>
      <c r="DE79" s="501"/>
      <c r="DF79" s="570">
        <f t="shared" si="311"/>
        <v>1</v>
      </c>
      <c r="DG79" s="570">
        <f t="shared" si="312"/>
        <v>0</v>
      </c>
      <c r="DH79" s="570">
        <f t="shared" si="313"/>
        <v>0</v>
      </c>
      <c r="DI79" s="518"/>
      <c r="DJ79" s="514">
        <f>COUNTIF('MEP | Drawing List'!$G:$G,"MEP-T2S-6S-4")</f>
        <v>81</v>
      </c>
      <c r="DK79" s="506">
        <f>COUNTIFS('MEP | Drawing List'!$G:$G,"MEP-T2S-6S-4",'MEP | Drawing List'!$I:$I,1)</f>
        <v>81</v>
      </c>
      <c r="DL79" s="506">
        <f>COUNTIFS('MEP | Drawing List'!$G:$G,"MEP-T2S-6S-4",'MEP | Drawing List'!$K:$K,1)</f>
        <v>0</v>
      </c>
      <c r="DM79" s="514">
        <f>COUNTIFS('MEP | Drawing List'!$G:$G,"MEP-T2S-6S-4",'MEP | Drawing List'!L:L,1)</f>
        <v>0</v>
      </c>
      <c r="DN79" s="514">
        <f>COUNTIFS('MEP | Drawing List'!$G:$G,"MEP-T2S-6S-4",'MEP | Drawing List'!M:M,1)</f>
        <v>0</v>
      </c>
      <c r="DO79" s="514">
        <f>COUNTIFS('MEP | Drawing List'!$G:$G,"MEP-T2S-6S-4",'MEP | Drawing List'!N:N,1)</f>
        <v>0</v>
      </c>
      <c r="DP79" s="514">
        <f>COUNTIFS('MEP | Drawing List'!$G:$G,"MEP-T2S-6S-4",'MEP | Drawing List'!O:O,1)</f>
        <v>0</v>
      </c>
      <c r="DQ79" s="501"/>
      <c r="DR79" s="506">
        <f>COUNTIFS('MEP | Drawing List'!$G:$G,"MEP-T2S-6S-4",'MEP | Drawing List'!$P:$P,1)</f>
        <v>0</v>
      </c>
      <c r="DS79" s="514">
        <f>COUNTIFS('MEP | Drawing List'!$G:$G,"MEP-T2S-6S-4",'MEP | Drawing List'!Q:Q,1)</f>
        <v>0</v>
      </c>
      <c r="DT79" s="514">
        <f>COUNTIFS('MEP | Drawing List'!$G:$G,"MEP-T2S-6S-4",'MEP | Drawing List'!R:R,1)</f>
        <v>0</v>
      </c>
      <c r="DU79" s="514">
        <f>COUNTIFS('MEP | Drawing List'!$G:$G,"MEP-T2S-6S-4",'MEP | Drawing List'!S:S,1)</f>
        <v>0</v>
      </c>
      <c r="DV79" s="514">
        <f>COUNTIFS('MEP | Drawing List'!$G:$G,"MEP-T2S-6S-4",'MEP | Drawing List'!T:T,1)</f>
        <v>0</v>
      </c>
      <c r="DW79" s="508"/>
      <c r="DX79" s="508"/>
      <c r="DY79" s="511">
        <v>0</v>
      </c>
      <c r="DZ79" s="508"/>
      <c r="EA79" s="506">
        <f t="shared" si="314"/>
        <v>0</v>
      </c>
      <c r="EB79" s="510">
        <f t="shared" si="237"/>
        <v>0</v>
      </c>
      <c r="EC79" s="506">
        <f t="shared" si="315"/>
        <v>0</v>
      </c>
      <c r="ED79" s="506">
        <f t="shared" si="316"/>
        <v>0</v>
      </c>
      <c r="EE79" s="506">
        <f t="shared" si="317"/>
        <v>0</v>
      </c>
      <c r="EF79" s="506">
        <f t="shared" si="318"/>
        <v>0</v>
      </c>
      <c r="EG79" s="506">
        <f t="shared" si="319"/>
        <v>0</v>
      </c>
      <c r="EH79" s="506">
        <f t="shared" si="320"/>
        <v>0</v>
      </c>
      <c r="EI79" s="509"/>
      <c r="EJ79" s="506">
        <f t="shared" si="323"/>
        <v>0</v>
      </c>
      <c r="EK79" s="506">
        <f t="shared" si="324"/>
        <v>0</v>
      </c>
      <c r="EL79" s="506">
        <f t="shared" si="325"/>
        <v>0</v>
      </c>
      <c r="EM79" s="506">
        <f t="shared" si="326"/>
        <v>0</v>
      </c>
      <c r="EN79" s="506">
        <f t="shared" si="327"/>
        <v>0</v>
      </c>
      <c r="EO79" s="509"/>
      <c r="EP79" s="585">
        <f t="shared" si="328"/>
        <v>1</v>
      </c>
      <c r="EQ79" s="585">
        <f t="shared" si="329"/>
        <v>0</v>
      </c>
      <c r="ER79" s="585">
        <f t="shared" si="330"/>
        <v>0</v>
      </c>
      <c r="ET79" s="514">
        <f>COUNTIF('LS | Drawing List'!$G:$G,"LS-T2S-4")</f>
        <v>6</v>
      </c>
      <c r="EU79" s="506">
        <f>COUNTIFS('LS | Drawing List'!$G:$G,"LS-T2S-4",'LS | Drawing List'!$I:$I,1)</f>
        <v>6</v>
      </c>
      <c r="EV79" s="506">
        <f>COUNTIFS('LS | Drawing List'!$G:$G,"LS-T2S-4",'LS | Drawing List'!$K:$K,1)</f>
        <v>0</v>
      </c>
      <c r="EW79" s="514">
        <f>COUNTIFS('LS | Drawing List'!$G:$G,"LS-T2S-4",'LS | Drawing List'!L:L,1)</f>
        <v>0</v>
      </c>
      <c r="EX79" s="514">
        <f>COUNTIFS('LS | Drawing List'!$G:$G,"LS-T2S-4",'LS | Drawing List'!M:M,1)</f>
        <v>0</v>
      </c>
      <c r="EY79" s="514">
        <f>COUNTIFS('LS | Drawing List'!$G:$G,"LS-T2S-4",'LS | Drawing List'!N:N,1)</f>
        <v>0</v>
      </c>
      <c r="EZ79" s="514">
        <f>COUNTIFS('LS | Drawing List'!$G:$G,"LS-T2S-4",'LS | Drawing List'!O:O,1)</f>
        <v>0</v>
      </c>
      <c r="FA79" s="515"/>
      <c r="FB79" s="506">
        <f>COUNTIFS('LS | Drawing List'!$G:$G,"LS-T2S-4",'LS | Drawing List'!$P:$P,1)</f>
        <v>0</v>
      </c>
      <c r="FC79" s="514">
        <f>COUNTIFS('LS | Drawing List'!$G:$G,"LS-T2S-4",'LS | Drawing List'!Q:Q,1)</f>
        <v>0</v>
      </c>
      <c r="FD79" s="514">
        <f>COUNTIFS('LS | Drawing List'!$G:$G,"LS-T2S-4",'LS | Drawing List'!R:R,1)</f>
        <v>0</v>
      </c>
      <c r="FE79" s="514">
        <f>COUNTIFS('LS | Drawing List'!$G:$G,"LS-T2S-4",'LS | Drawing List'!S:S,1)</f>
        <v>0</v>
      </c>
      <c r="FF79" s="514">
        <f>COUNTIFS('LS | Drawing List'!$G:$G,"LS-T2S-4",'LS | Drawing List'!T:T,1)</f>
        <v>0</v>
      </c>
    </row>
    <row r="80" spans="2:162" s="51" customFormat="1" ht="14.25" outlineLevel="2">
      <c r="B80" s="604" t="s">
        <v>89</v>
      </c>
      <c r="C80" s="579">
        <v>5</v>
      </c>
      <c r="D80" s="580" t="s">
        <v>250</v>
      </c>
      <c r="F80" s="500">
        <f t="shared" si="265"/>
        <v>0.11242440000000001</v>
      </c>
      <c r="G80" s="500">
        <f t="shared" si="266"/>
        <v>0.11242440000000001</v>
      </c>
      <c r="H80" s="514">
        <f t="shared" si="267"/>
        <v>0</v>
      </c>
      <c r="I80" s="514">
        <f t="shared" si="240"/>
        <v>0</v>
      </c>
      <c r="J80" s="514">
        <f t="shared" si="241"/>
        <v>0</v>
      </c>
      <c r="K80" s="514">
        <f t="shared" si="242"/>
        <v>0</v>
      </c>
      <c r="L80" s="514">
        <f t="shared" si="243"/>
        <v>0</v>
      </c>
      <c r="M80" s="567">
        <f t="shared" si="244"/>
        <v>0</v>
      </c>
      <c r="N80" s="568"/>
      <c r="O80" s="514">
        <f t="shared" si="245"/>
        <v>0</v>
      </c>
      <c r="P80" s="514">
        <f t="shared" si="246"/>
        <v>0</v>
      </c>
      <c r="Q80" s="514">
        <f t="shared" si="247"/>
        <v>0</v>
      </c>
      <c r="R80" s="514">
        <f t="shared" si="248"/>
        <v>0</v>
      </c>
      <c r="S80" s="514">
        <f t="shared" si="249"/>
        <v>0</v>
      </c>
      <c r="U80" s="583">
        <v>0.05</v>
      </c>
      <c r="V80" s="584"/>
      <c r="W80" s="581">
        <f t="shared" si="268"/>
        <v>6.1362000000000007E-2</v>
      </c>
      <c r="X80" s="581">
        <f t="shared" si="234"/>
        <v>6.1362000000000007E-2</v>
      </c>
      <c r="Y80" s="567">
        <f t="shared" si="269"/>
        <v>6.1362000000000007E-2</v>
      </c>
      <c r="Z80" s="567">
        <f t="shared" si="270"/>
        <v>0</v>
      </c>
      <c r="AA80" s="567">
        <f t="shared" si="271"/>
        <v>0</v>
      </c>
      <c r="AB80" s="567">
        <f t="shared" si="272"/>
        <v>0</v>
      </c>
      <c r="AC80" s="567">
        <f t="shared" si="273"/>
        <v>0</v>
      </c>
      <c r="AD80" s="567">
        <f t="shared" si="274"/>
        <v>0</v>
      </c>
      <c r="AE80" s="568"/>
      <c r="AF80" s="514">
        <f t="shared" si="275"/>
        <v>0</v>
      </c>
      <c r="AG80" s="514">
        <f t="shared" si="276"/>
        <v>0</v>
      </c>
      <c r="AH80" s="514">
        <f t="shared" si="277"/>
        <v>0</v>
      </c>
      <c r="AI80" s="514">
        <f t="shared" si="278"/>
        <v>0</v>
      </c>
      <c r="AJ80" s="514">
        <f t="shared" si="279"/>
        <v>0</v>
      </c>
      <c r="AK80" s="501"/>
      <c r="AL80" s="585">
        <f t="shared" si="280"/>
        <v>1</v>
      </c>
      <c r="AM80" s="585">
        <f t="shared" si="281"/>
        <v>0</v>
      </c>
      <c r="AN80" s="570">
        <f t="shared" si="282"/>
        <v>0</v>
      </c>
      <c r="AO80" s="586"/>
      <c r="AP80" s="567">
        <f>COUNTIF('AR | Drawing List'!$G:$G,"AR-T2S-5")</f>
        <v>4</v>
      </c>
      <c r="AQ80" s="582">
        <f>COUNTIFS('AR | Drawing List'!$G:$G,"AR-T2S-5",'AR | Drawing List'!$I:$I,1)</f>
        <v>4</v>
      </c>
      <c r="AR80" s="582">
        <f t="shared" si="238"/>
        <v>0</v>
      </c>
      <c r="AS80" s="582">
        <f>COUNTIFS('AR | Drawing List'!$G:$G,"AR-T2S-5",'AR | Drawing List'!M:M,1)</f>
        <v>0</v>
      </c>
      <c r="AT80" s="582">
        <f>COUNTIFS('AR | Drawing List'!$G:$G,"AR-T2S-5",'AR | Drawing List'!N:N,1)</f>
        <v>0</v>
      </c>
      <c r="AU80" s="582">
        <f>COUNTIFS('AR | Drawing List'!$G:$G,"AR-T2S-5",'AR | Drawing List'!O:O,1)</f>
        <v>0</v>
      </c>
      <c r="AV80" s="582">
        <f>COUNTIFS('AR | Drawing List'!$G:$G,"AR-T2S-5",'AR | Drawing List'!P:P,1)</f>
        <v>0</v>
      </c>
      <c r="AW80" s="587"/>
      <c r="AX80" s="582">
        <f t="shared" si="283"/>
        <v>0</v>
      </c>
      <c r="AY80" s="582">
        <f>COUNTIFS('AR | Drawing List'!$G:$G,"AR-T2S-5",'AR | Drawing List'!R:R,1)</f>
        <v>0</v>
      </c>
      <c r="AZ80" s="582">
        <f>COUNTIFS('AR | Drawing List'!$G:$G,"AR-T2S-5",'AR | Drawing List'!S:S,1)</f>
        <v>0</v>
      </c>
      <c r="BA80" s="582">
        <f>COUNTIFS('AR | Drawing List'!$G:$G,"AR-T2S-5",'AR | Drawing List'!T:T,1)</f>
        <v>0</v>
      </c>
      <c r="BB80" s="582">
        <f>COUNTIFS('AR | Drawing List'!$G:$G,"AR-T2S-5",'AR | Drawing List'!U:U,1)</f>
        <v>0</v>
      </c>
      <c r="BC80" s="587"/>
      <c r="BD80" s="587"/>
      <c r="BE80" s="511">
        <v>0.1</v>
      </c>
      <c r="BF80" s="588"/>
      <c r="BG80" s="582">
        <f t="shared" si="284"/>
        <v>5.1062400000000001E-2</v>
      </c>
      <c r="BH80" s="589">
        <f t="shared" si="235"/>
        <v>5.1062400000000001E-2</v>
      </c>
      <c r="BI80" s="567">
        <f t="shared" si="285"/>
        <v>5.1062400000000001E-2</v>
      </c>
      <c r="BJ80" s="567">
        <f t="shared" si="286"/>
        <v>0</v>
      </c>
      <c r="BK80" s="514">
        <f t="shared" si="287"/>
        <v>0</v>
      </c>
      <c r="BL80" s="514">
        <f t="shared" si="288"/>
        <v>0</v>
      </c>
      <c r="BM80" s="514">
        <f t="shared" si="289"/>
        <v>0</v>
      </c>
      <c r="BN80" s="514">
        <f t="shared" si="290"/>
        <v>0</v>
      </c>
      <c r="BO80" s="501"/>
      <c r="BP80" s="514">
        <f t="shared" si="291"/>
        <v>0</v>
      </c>
      <c r="BQ80" s="514">
        <f t="shared" si="292"/>
        <v>0</v>
      </c>
      <c r="BR80" s="514">
        <f t="shared" si="293"/>
        <v>0</v>
      </c>
      <c r="BS80" s="514">
        <f t="shared" si="294"/>
        <v>0</v>
      </c>
      <c r="BT80" s="514">
        <f t="shared" si="295"/>
        <v>0</v>
      </c>
      <c r="BU80" s="501"/>
      <c r="BV80" s="571">
        <f t="shared" si="296"/>
        <v>1</v>
      </c>
      <c r="BW80" s="571">
        <f t="shared" si="297"/>
        <v>0</v>
      </c>
      <c r="BX80" s="571">
        <f t="shared" si="298"/>
        <v>0</v>
      </c>
      <c r="BY80" s="605"/>
      <c r="BZ80" s="567">
        <f>COUNTIF('ST | Drawing List'!$G:$G,"ST-T2S-5")</f>
        <v>167</v>
      </c>
      <c r="CA80" s="582">
        <f>COUNTIFS('ST | Drawing List'!$G:$G,"ST-T2S-5",'ST | Drawing List'!$I:$I,1)</f>
        <v>167</v>
      </c>
      <c r="CB80" s="590">
        <f>COUNTIFS('ST | Drawing List'!$G:$G,"ST-T2S-5",'ST | Drawing List'!$K:$K,1)</f>
        <v>0</v>
      </c>
      <c r="CC80" s="582">
        <f>COUNTIFS('ST | Drawing List'!$G:$G,"ST-T2S-5",'ST | Drawing List'!L:L,1)</f>
        <v>0</v>
      </c>
      <c r="CD80" s="582">
        <f>COUNTIFS('ST | Drawing List'!$G:$G,"ST-T2S-5",'ST | Drawing List'!M:M,1)</f>
        <v>0</v>
      </c>
      <c r="CE80" s="582">
        <f>COUNTIFS('ST | Drawing List'!$G:$G,"ST-T2S-5",'ST | Drawing List'!N:N,1)</f>
        <v>0</v>
      </c>
      <c r="CF80" s="582">
        <f>COUNTIFS('ST | Drawing List'!$G:$G,"ST-T2S-5",'ST | Drawing List'!O:O,1)</f>
        <v>0</v>
      </c>
      <c r="CG80" s="591"/>
      <c r="CH80" s="590">
        <f>COUNTIFS('ST | Drawing List'!$G:$G,"ST-T2S-5",'ST | Drawing List'!$P:$P,1)</f>
        <v>0</v>
      </c>
      <c r="CI80" s="582">
        <f>COUNTIFS('ST | Drawing List'!$G:$G,"ST-T2S-5",'ST | Drawing List'!Q:Q,1)</f>
        <v>0</v>
      </c>
      <c r="CJ80" s="582">
        <f>COUNTIFS('ST | Drawing List'!$G:$G,"ST-T2S-5",'ST | Drawing List'!R:R,1)</f>
        <v>0</v>
      </c>
      <c r="CK80" s="582">
        <f>COUNTIFS('ST | Drawing List'!$G:$G,"ST-T2S-5",'ST | Drawing List'!S:S,1)</f>
        <v>0</v>
      </c>
      <c r="CL80" s="582">
        <f>COUNTIFS('ST | Drawing List'!$G:$G,"ST-T2S-5",'ST | Drawing List'!T:T,1)</f>
        <v>0</v>
      </c>
      <c r="CM80" s="588"/>
      <c r="CN80" s="588"/>
      <c r="CO80" s="576">
        <v>0</v>
      </c>
      <c r="CP80" s="588"/>
      <c r="CQ80" s="582">
        <f t="shared" si="299"/>
        <v>0</v>
      </c>
      <c r="CR80" s="589">
        <f t="shared" si="236"/>
        <v>0</v>
      </c>
      <c r="CS80" s="567">
        <f t="shared" si="300"/>
        <v>0</v>
      </c>
      <c r="CT80" s="514">
        <f t="shared" si="301"/>
        <v>0</v>
      </c>
      <c r="CU80" s="514">
        <f t="shared" si="302"/>
        <v>0</v>
      </c>
      <c r="CV80" s="514">
        <f t="shared" si="303"/>
        <v>0</v>
      </c>
      <c r="CW80" s="514">
        <f t="shared" si="304"/>
        <v>0</v>
      </c>
      <c r="CX80" s="514">
        <f t="shared" si="305"/>
        <v>0</v>
      </c>
      <c r="CY80" s="501"/>
      <c r="CZ80" s="514">
        <f t="shared" si="306"/>
        <v>0</v>
      </c>
      <c r="DA80" s="514">
        <f t="shared" si="307"/>
        <v>0</v>
      </c>
      <c r="DB80" s="514">
        <f t="shared" si="308"/>
        <v>0</v>
      </c>
      <c r="DC80" s="514">
        <f t="shared" si="309"/>
        <v>0</v>
      </c>
      <c r="DD80" s="514">
        <f t="shared" si="310"/>
        <v>0</v>
      </c>
      <c r="DE80" s="501"/>
      <c r="DF80" s="570">
        <f t="shared" si="311"/>
        <v>0</v>
      </c>
      <c r="DG80" s="570">
        <f t="shared" si="312"/>
        <v>0</v>
      </c>
      <c r="DH80" s="570">
        <f t="shared" si="313"/>
        <v>0</v>
      </c>
      <c r="DI80" s="605"/>
      <c r="DJ80" s="567">
        <f>COUNTIF('MEP | Drawing List'!$G:$G,"MEP-T2S-6S-5")</f>
        <v>0</v>
      </c>
      <c r="DK80" s="582">
        <f>COUNTIFS('MEP | Drawing List'!$G:$G,"MEP-T2S-6S-5",'MEP | Drawing List'!$I:$I,1)</f>
        <v>0</v>
      </c>
      <c r="DL80" s="582">
        <f>COUNTIFS('MEP | Drawing List'!$G:$G,"MEP-T2S-6S-5",'MEP | Drawing List'!$K:$K,1)</f>
        <v>0</v>
      </c>
      <c r="DM80" s="567">
        <f>COUNTIFS('MEP | Drawing List'!$G:$G,"MEP-T2S-6S-5",'MEP | Drawing List'!L:L,1)</f>
        <v>0</v>
      </c>
      <c r="DN80" s="567">
        <f>COUNTIFS('MEP | Drawing List'!$G:$G,"MEP-T2S-6S-5",'MEP | Drawing List'!M:M,1)</f>
        <v>0</v>
      </c>
      <c r="DO80" s="567">
        <f>COUNTIFS('MEP | Drawing List'!$G:$G,"MEP-T2S-6S-5",'MEP | Drawing List'!N:N,1)</f>
        <v>0</v>
      </c>
      <c r="DP80" s="567">
        <f>COUNTIFS('MEP | Drawing List'!$G:$G,"MEP-T2S-6S-5",'MEP | Drawing List'!O:O,1)</f>
        <v>0</v>
      </c>
      <c r="DQ80" s="568"/>
      <c r="DR80" s="582">
        <f>COUNTIFS('MEP | Drawing List'!$G:$G,"MEP-T2S-6S-5",'MEP | Drawing List'!$P:$P,1)</f>
        <v>0</v>
      </c>
      <c r="DS80" s="567">
        <f>COUNTIFS('MEP | Drawing List'!$G:$G,"MEP-T2S-6S-5",'MEP | Drawing List'!Q:Q,1)</f>
        <v>0</v>
      </c>
      <c r="DT80" s="567">
        <f>COUNTIFS('MEP | Drawing List'!$G:$G,"MEP-T2S-6S-5",'MEP | Drawing List'!R:R,1)</f>
        <v>0</v>
      </c>
      <c r="DU80" s="567">
        <f>COUNTIFS('MEP | Drawing List'!$G:$G,"MEP-T2S-6S-5",'MEP | Drawing List'!S:S,1)</f>
        <v>0</v>
      </c>
      <c r="DV80" s="567">
        <f>COUNTIFS('MEP | Drawing List'!$G:$G,"MEP-T2S-6S-5",'MEP | Drawing List'!T:T,1)</f>
        <v>0</v>
      </c>
      <c r="DW80" s="588"/>
      <c r="DX80" s="588"/>
      <c r="DY80" s="592">
        <v>0</v>
      </c>
      <c r="DZ80" s="588"/>
      <c r="EA80" s="582">
        <f t="shared" si="314"/>
        <v>0</v>
      </c>
      <c r="EB80" s="589">
        <f t="shared" si="237"/>
        <v>0</v>
      </c>
      <c r="EC80" s="567">
        <f t="shared" si="315"/>
        <v>0</v>
      </c>
      <c r="ED80" s="567">
        <f t="shared" si="316"/>
        <v>0</v>
      </c>
      <c r="EE80" s="514">
        <f t="shared" si="317"/>
        <v>0</v>
      </c>
      <c r="EF80" s="514">
        <f t="shared" si="318"/>
        <v>0</v>
      </c>
      <c r="EG80" s="514">
        <f t="shared" si="319"/>
        <v>0</v>
      </c>
      <c r="EH80" s="514">
        <f t="shared" si="320"/>
        <v>0</v>
      </c>
      <c r="EI80" s="501"/>
      <c r="EJ80" s="567">
        <f t="shared" si="323"/>
        <v>0</v>
      </c>
      <c r="EK80" s="514">
        <f t="shared" si="324"/>
        <v>0</v>
      </c>
      <c r="EL80" s="514">
        <f t="shared" si="325"/>
        <v>0</v>
      </c>
      <c r="EM80" s="514">
        <f t="shared" si="326"/>
        <v>0</v>
      </c>
      <c r="EN80" s="514">
        <f t="shared" si="327"/>
        <v>0</v>
      </c>
      <c r="EO80" s="501"/>
      <c r="EP80" s="585">
        <f t="shared" si="328"/>
        <v>0</v>
      </c>
      <c r="EQ80" s="585">
        <f t="shared" si="329"/>
        <v>0</v>
      </c>
      <c r="ER80" s="585">
        <f t="shared" si="330"/>
        <v>0</v>
      </c>
      <c r="ES80" s="606"/>
      <c r="ET80" s="567">
        <f>COUNTIF('LS | Drawing List'!$G:$G,"LS-T2S-5")</f>
        <v>0</v>
      </c>
      <c r="EU80" s="582">
        <f>COUNTIFS('LS | Drawing List'!$G:$G,"LS-T2S-5",'LS | Drawing List'!$I:$I,1)</f>
        <v>0</v>
      </c>
      <c r="EV80" s="582">
        <f>COUNTIFS('LS | Drawing List'!$G:$G,"LS-T2S-5",'LS | Drawing List'!$K:$K,1)</f>
        <v>0</v>
      </c>
      <c r="EW80" s="567">
        <f>COUNTIFS('LS | Drawing List'!$G:$G,"LS-T2S-5",'LS | Drawing List'!L:L,1)</f>
        <v>0</v>
      </c>
      <c r="EX80" s="567">
        <f>COUNTIFS('LS | Drawing List'!$G:$G,"LS-T2S-5",'LS | Drawing List'!M:M,1)</f>
        <v>0</v>
      </c>
      <c r="EY80" s="567">
        <f>COUNTIFS('LS | Drawing List'!$G:$G,"LS-T2S-5",'LS | Drawing List'!N:N,1)</f>
        <v>0</v>
      </c>
      <c r="EZ80" s="567">
        <f>COUNTIFS('LS | Drawing List'!$G:$G,"LS-T2S-5",'LS | Drawing List'!O:O,1)</f>
        <v>0</v>
      </c>
      <c r="FA80" s="574"/>
      <c r="FB80" s="582">
        <f>COUNTIFS('LS | Drawing List'!$G:$G,"LS-T2S-5",'LS | Drawing List'!$P:$P,1)</f>
        <v>0</v>
      </c>
      <c r="FC80" s="567">
        <f>COUNTIFS('LS | Drawing List'!$G:$G,"LS-T2S-5",'LS | Drawing List'!Q:Q,1)</f>
        <v>0</v>
      </c>
      <c r="FD80" s="567">
        <f>COUNTIFS('LS | Drawing List'!$G:$G,"LS-T2S-5",'LS | Drawing List'!R:R,1)</f>
        <v>0</v>
      </c>
      <c r="FE80" s="567">
        <f>COUNTIFS('LS | Drawing List'!$G:$G,"LS-T2S-5",'LS | Drawing List'!S:S,1)</f>
        <v>0</v>
      </c>
      <c r="FF80" s="567">
        <f>COUNTIFS('LS | Drawing List'!$G:$G,"LS-T2S-5",'LS | Drawing List'!T:T,1)</f>
        <v>0</v>
      </c>
    </row>
    <row r="81" spans="2:162" ht="14.25" outlineLevel="2">
      <c r="B81" s="604" t="s">
        <v>91</v>
      </c>
      <c r="C81" s="579">
        <v>6</v>
      </c>
      <c r="D81" s="566" t="s">
        <v>64</v>
      </c>
      <c r="F81" s="500">
        <f t="shared" si="265"/>
        <v>0.139418816</v>
      </c>
      <c r="G81" s="500">
        <f t="shared" si="266"/>
        <v>0.139418816</v>
      </c>
      <c r="H81" s="514">
        <f t="shared" si="267"/>
        <v>0</v>
      </c>
      <c r="I81" s="514">
        <f t="shared" si="240"/>
        <v>0</v>
      </c>
      <c r="J81" s="514">
        <f t="shared" si="241"/>
        <v>0</v>
      </c>
      <c r="K81" s="514">
        <f t="shared" si="242"/>
        <v>0</v>
      </c>
      <c r="L81" s="514">
        <f t="shared" si="243"/>
        <v>0</v>
      </c>
      <c r="M81" s="567">
        <f t="shared" si="244"/>
        <v>0</v>
      </c>
      <c r="N81" s="568"/>
      <c r="O81" s="514">
        <f t="shared" si="245"/>
        <v>0</v>
      </c>
      <c r="P81" s="514">
        <f t="shared" si="246"/>
        <v>0</v>
      </c>
      <c r="Q81" s="514">
        <f t="shared" si="247"/>
        <v>0</v>
      </c>
      <c r="R81" s="514">
        <f t="shared" si="248"/>
        <v>0</v>
      </c>
      <c r="S81" s="514">
        <f t="shared" si="249"/>
        <v>0</v>
      </c>
      <c r="U81" s="569">
        <v>0.1</v>
      </c>
      <c r="V81" s="503"/>
      <c r="W81" s="500">
        <f t="shared" si="268"/>
        <v>0.12272400000000001</v>
      </c>
      <c r="X81" s="500">
        <f t="shared" si="234"/>
        <v>0.12272400000000001</v>
      </c>
      <c r="Y81" s="506">
        <f t="shared" si="269"/>
        <v>0.12272400000000001</v>
      </c>
      <c r="Z81" s="506">
        <f t="shared" si="270"/>
        <v>0</v>
      </c>
      <c r="AA81" s="506">
        <f t="shared" si="271"/>
        <v>0</v>
      </c>
      <c r="AB81" s="506">
        <f t="shared" si="272"/>
        <v>0</v>
      </c>
      <c r="AC81" s="506">
        <f t="shared" si="273"/>
        <v>0</v>
      </c>
      <c r="AD81" s="567">
        <f t="shared" si="274"/>
        <v>0</v>
      </c>
      <c r="AE81" s="568"/>
      <c r="AF81" s="514">
        <f t="shared" si="275"/>
        <v>0</v>
      </c>
      <c r="AG81" s="514">
        <f t="shared" si="276"/>
        <v>0</v>
      </c>
      <c r="AH81" s="514">
        <f t="shared" si="277"/>
        <v>0</v>
      </c>
      <c r="AI81" s="514">
        <f t="shared" si="278"/>
        <v>0</v>
      </c>
      <c r="AJ81" s="514">
        <f t="shared" si="279"/>
        <v>0</v>
      </c>
      <c r="AK81" s="501"/>
      <c r="AL81" s="578">
        <f t="shared" si="280"/>
        <v>1</v>
      </c>
      <c r="AM81" s="578">
        <f t="shared" si="281"/>
        <v>0</v>
      </c>
      <c r="AN81" s="570">
        <f t="shared" si="282"/>
        <v>0</v>
      </c>
      <c r="AO81" s="505"/>
      <c r="AP81" s="514">
        <f>COUNTIF('AR | Drawing List'!$G:$G,"AR-T2S-6")</f>
        <v>35</v>
      </c>
      <c r="AQ81" s="506">
        <f>COUNTIFS('AR | Drawing List'!$G:$G,"AR-T2S-6",'AR | Drawing List'!$I:$I,1)</f>
        <v>35</v>
      </c>
      <c r="AR81" s="506">
        <f t="shared" si="238"/>
        <v>0</v>
      </c>
      <c r="AS81" s="506">
        <f>COUNTIFS('AR | Drawing List'!$G:$G,"AR-T2S-6",'AR | Drawing List'!M:M,1)</f>
        <v>0</v>
      </c>
      <c r="AT81" s="506">
        <f>COUNTIFS('AR | Drawing List'!$G:$G,"AR-T2S-6",'AR | Drawing List'!N:N,1)</f>
        <v>0</v>
      </c>
      <c r="AU81" s="506">
        <f>COUNTIFS('AR | Drawing List'!$G:$G,"AR-T2S-6",'AR | Drawing List'!O:O,1)</f>
        <v>0</v>
      </c>
      <c r="AV81" s="506">
        <f>COUNTIFS('AR | Drawing List'!$G:$G,"AR-T2S-6",'AR | Drawing List'!P:P,1)</f>
        <v>0</v>
      </c>
      <c r="AW81" s="466"/>
      <c r="AX81" s="506">
        <f t="shared" si="283"/>
        <v>0</v>
      </c>
      <c r="AY81" s="506">
        <f>COUNTIFS('AR | Drawing List'!$G:$G,"AR-T2S-6",'AR | Drawing List'!R:R,1)</f>
        <v>0</v>
      </c>
      <c r="AZ81" s="506">
        <f>COUNTIFS('AR | Drawing List'!$G:$G,"AR-T2S-6",'AR | Drawing List'!S:S,1)</f>
        <v>0</v>
      </c>
      <c r="BA81" s="506">
        <f>COUNTIFS('AR | Drawing List'!$G:$G,"AR-T2S-6",'AR | Drawing List'!T:T,1)</f>
        <v>0</v>
      </c>
      <c r="BB81" s="506">
        <f>COUNTIFS('AR | Drawing List'!$G:$G,"AR-T2S-6",'AR | Drawing List'!U:U,1)</f>
        <v>0</v>
      </c>
      <c r="BC81" s="466"/>
      <c r="BD81" s="466"/>
      <c r="BE81" s="576">
        <v>0</v>
      </c>
      <c r="BF81" s="508"/>
      <c r="BG81" s="506">
        <f t="shared" si="284"/>
        <v>0</v>
      </c>
      <c r="BH81" s="510">
        <f t="shared" si="235"/>
        <v>0</v>
      </c>
      <c r="BI81" s="506">
        <f t="shared" si="285"/>
        <v>0</v>
      </c>
      <c r="BJ81" s="506">
        <f t="shared" si="286"/>
        <v>0</v>
      </c>
      <c r="BK81" s="506">
        <f t="shared" si="287"/>
        <v>0</v>
      </c>
      <c r="BL81" s="506">
        <f t="shared" si="288"/>
        <v>0</v>
      </c>
      <c r="BM81" s="506">
        <f t="shared" si="289"/>
        <v>0</v>
      </c>
      <c r="BN81" s="506">
        <f t="shared" si="290"/>
        <v>0</v>
      </c>
      <c r="BO81" s="530"/>
      <c r="BP81" s="514">
        <f t="shared" si="291"/>
        <v>0</v>
      </c>
      <c r="BQ81" s="514">
        <f t="shared" si="292"/>
        <v>0</v>
      </c>
      <c r="BR81" s="514">
        <f t="shared" si="293"/>
        <v>0</v>
      </c>
      <c r="BS81" s="514">
        <f t="shared" si="294"/>
        <v>0</v>
      </c>
      <c r="BT81" s="514">
        <f t="shared" si="295"/>
        <v>0</v>
      </c>
      <c r="BU81" s="501"/>
      <c r="BV81" s="571">
        <f t="shared" si="296"/>
        <v>0</v>
      </c>
      <c r="BW81" s="571">
        <f t="shared" si="297"/>
        <v>0</v>
      </c>
      <c r="BX81" s="571">
        <f t="shared" si="298"/>
        <v>0</v>
      </c>
      <c r="BY81" s="518"/>
      <c r="BZ81" s="514">
        <f>COUNTIF('ST | Drawing List'!$G:$G,"ST-T2S-6")</f>
        <v>0</v>
      </c>
      <c r="CA81" s="506">
        <f>COUNTIFS('ST | Drawing List'!$G:$G,"ST-T2S-6",'ST | Drawing List'!$I:$I,1)</f>
        <v>0</v>
      </c>
      <c r="CB81" s="506">
        <f>COUNTIFS('ST | Drawing List'!$G:$G,"ST-T2S-6",'ST | Drawing List'!$K:$K,1)</f>
        <v>0</v>
      </c>
      <c r="CC81" s="506">
        <f>COUNTIFS('ST | Drawing List'!$G:$G,"ST-T2S-6",'ST | Drawing List'!L:L,1)</f>
        <v>0</v>
      </c>
      <c r="CD81" s="506">
        <f>COUNTIFS('ST | Drawing List'!$G:$G,"ST-T2S-6",'ST | Drawing List'!M:M,1)</f>
        <v>0</v>
      </c>
      <c r="CE81" s="506">
        <f>COUNTIFS('ST | Drawing List'!$G:$G,"ST-T2S-6",'ST | Drawing List'!N:N,1)</f>
        <v>0</v>
      </c>
      <c r="CF81" s="506">
        <f>COUNTIFS('ST | Drawing List'!$G:$G,"ST-T2S-6",'ST | Drawing List'!O:O,1)</f>
        <v>0</v>
      </c>
      <c r="CG81" s="471"/>
      <c r="CH81" s="506">
        <f>COUNTIFS('ST | Drawing List'!$G:$G,"ST-T2S-6",'ST | Drawing List'!$P:$P,1)</f>
        <v>0</v>
      </c>
      <c r="CI81" s="506">
        <f>COUNTIFS('ST | Drawing List'!$G:$G,"ST-T2S-6",'ST | Drawing List'!Q:Q,1)</f>
        <v>0</v>
      </c>
      <c r="CJ81" s="506">
        <f>COUNTIFS('ST | Drawing List'!$G:$G,"ST-T2S-6",'ST | Drawing List'!R:R,1)</f>
        <v>0</v>
      </c>
      <c r="CK81" s="506">
        <f>COUNTIFS('ST | Drawing List'!$G:$G,"ST-T2S-6",'ST | Drawing List'!S:S,1)</f>
        <v>0</v>
      </c>
      <c r="CL81" s="506">
        <f>COUNTIFS('ST | Drawing List'!$G:$G,"ST-T2S-6",'ST | Drawing List'!T:T,1)</f>
        <v>0</v>
      </c>
      <c r="CM81" s="508"/>
      <c r="CN81" s="508"/>
      <c r="CO81" s="470">
        <v>0.1</v>
      </c>
      <c r="CP81" s="508"/>
      <c r="CQ81" s="506">
        <f t="shared" si="299"/>
        <v>7.0418159999999994E-3</v>
      </c>
      <c r="CR81" s="510">
        <f t="shared" si="236"/>
        <v>7.0418159999999994E-3</v>
      </c>
      <c r="CS81" s="506">
        <f t="shared" si="300"/>
        <v>7.0418159999999994E-3</v>
      </c>
      <c r="CT81" s="514">
        <f t="shared" si="301"/>
        <v>0</v>
      </c>
      <c r="CU81" s="514">
        <f t="shared" si="302"/>
        <v>0</v>
      </c>
      <c r="CV81" s="514">
        <f t="shared" si="303"/>
        <v>0</v>
      </c>
      <c r="CW81" s="514">
        <f t="shared" si="304"/>
        <v>0</v>
      </c>
      <c r="CX81" s="514">
        <f t="shared" si="305"/>
        <v>0</v>
      </c>
      <c r="CY81" s="501"/>
      <c r="CZ81" s="514">
        <f t="shared" si="306"/>
        <v>0</v>
      </c>
      <c r="DA81" s="514">
        <f t="shared" si="307"/>
        <v>0</v>
      </c>
      <c r="DB81" s="514">
        <f t="shared" si="308"/>
        <v>0</v>
      </c>
      <c r="DC81" s="514">
        <f t="shared" si="309"/>
        <v>0</v>
      </c>
      <c r="DD81" s="514">
        <f t="shared" si="310"/>
        <v>0</v>
      </c>
      <c r="DE81" s="501"/>
      <c r="DF81" s="570">
        <f t="shared" si="311"/>
        <v>1</v>
      </c>
      <c r="DG81" s="570">
        <f t="shared" si="312"/>
        <v>0</v>
      </c>
      <c r="DH81" s="570">
        <f t="shared" si="313"/>
        <v>0</v>
      </c>
      <c r="DI81" s="518"/>
      <c r="DJ81" s="514">
        <f>COUNTIF('MEP | Drawing List'!$G:$G,"MEP-T2S-6S-6")</f>
        <v>4</v>
      </c>
      <c r="DK81" s="506">
        <f>COUNTIFS('MEP | Drawing List'!$G:$G,"MEP-T2S-6S-6",'MEP | Drawing List'!$I:$I,1)</f>
        <v>4</v>
      </c>
      <c r="DL81" s="506">
        <f>COUNTIFS('MEP | Drawing List'!$G:$G,"MEP-T2S-6S-6",'MEP | Drawing List'!$K:$K,1)</f>
        <v>0</v>
      </c>
      <c r="DM81" s="506">
        <f>COUNTIFS('MEP | Drawing List'!$G:$G,"MEP-T2S-6S-6",'MEP | Drawing List'!L:L,1)</f>
        <v>0</v>
      </c>
      <c r="DN81" s="506">
        <f>COUNTIFS('MEP | Drawing List'!$G:$G,"MEP-T2S-6S-6",'MEP | Drawing List'!M:M,1)</f>
        <v>0</v>
      </c>
      <c r="DO81" s="506">
        <f>COUNTIFS('MEP | Drawing List'!$G:$G,"MEP-T2S-6S-6",'MEP | Drawing List'!N:N,1)</f>
        <v>0</v>
      </c>
      <c r="DP81" s="506">
        <f>COUNTIFS('MEP | Drawing List'!$G:$G,"MEP-T2S-6S-6",'MEP | Drawing List'!O:O,1)</f>
        <v>0</v>
      </c>
      <c r="DQ81" s="530"/>
      <c r="DR81" s="506">
        <f>COUNTIFS('MEP | Drawing List'!$G:$G,"MEP-T2S-6S-6",'MEP | Drawing List'!$P:$P,1)</f>
        <v>0</v>
      </c>
      <c r="DS81" s="506">
        <f>COUNTIFS('MEP | Drawing List'!$G:$G,"MEP-T2S-6S-6",'MEP | Drawing List'!Q:Q,1)</f>
        <v>0</v>
      </c>
      <c r="DT81" s="506">
        <f>COUNTIFS('MEP | Drawing List'!$G:$G,"MEP-T2S-6S-6",'MEP | Drawing List'!R:R,1)</f>
        <v>0</v>
      </c>
      <c r="DU81" s="506">
        <f>COUNTIFS('MEP | Drawing List'!$G:$G,"MEP-T2S-6S-6",'MEP | Drawing List'!S:S,1)</f>
        <v>0</v>
      </c>
      <c r="DV81" s="506">
        <f>COUNTIFS('MEP | Drawing List'!$G:$G,"MEP-T2S-6S-6",'MEP | Drawing List'!T:T,1)</f>
        <v>0</v>
      </c>
      <c r="DW81" s="508"/>
      <c r="DX81" s="508"/>
      <c r="DY81" s="470">
        <v>0.35</v>
      </c>
      <c r="DZ81" s="508"/>
      <c r="EA81" s="506">
        <f t="shared" si="314"/>
        <v>9.6530000000000001E-3</v>
      </c>
      <c r="EB81" s="510">
        <f t="shared" si="237"/>
        <v>9.6530000000000001E-3</v>
      </c>
      <c r="EC81" s="506">
        <f t="shared" si="315"/>
        <v>9.6530000000000001E-3</v>
      </c>
      <c r="ED81" s="506">
        <f t="shared" si="316"/>
        <v>0</v>
      </c>
      <c r="EE81" s="506">
        <f t="shared" si="317"/>
        <v>0</v>
      </c>
      <c r="EF81" s="506">
        <f t="shared" si="318"/>
        <v>0</v>
      </c>
      <c r="EG81" s="506">
        <f t="shared" si="319"/>
        <v>0</v>
      </c>
      <c r="EH81" s="506">
        <f t="shared" si="320"/>
        <v>0</v>
      </c>
      <c r="EI81" s="530"/>
      <c r="EJ81" s="567">
        <f t="shared" si="323"/>
        <v>0</v>
      </c>
      <c r="EK81" s="514">
        <f t="shared" si="324"/>
        <v>0</v>
      </c>
      <c r="EL81" s="514">
        <f t="shared" si="325"/>
        <v>0</v>
      </c>
      <c r="EM81" s="514">
        <f t="shared" si="326"/>
        <v>0</v>
      </c>
      <c r="EN81" s="514">
        <f t="shared" si="327"/>
        <v>0</v>
      </c>
      <c r="EO81" s="501"/>
      <c r="EP81" s="585">
        <f t="shared" si="328"/>
        <v>1</v>
      </c>
      <c r="EQ81" s="585">
        <f t="shared" si="329"/>
        <v>0</v>
      </c>
      <c r="ER81" s="585">
        <f t="shared" si="330"/>
        <v>0</v>
      </c>
      <c r="ET81" s="514">
        <f>COUNTIF('LS | Drawing List'!$G:$G,"LS-T2S-6")</f>
        <v>6</v>
      </c>
      <c r="EU81" s="506">
        <f>COUNTIFS('LS | Drawing List'!$G:$G,"LS-T2S-6",'LS | Drawing List'!$I:$I,1)</f>
        <v>6</v>
      </c>
      <c r="EV81" s="506">
        <f>COUNTIFS('LS | Drawing List'!$G:$G,"LS-T2S-6",'LS | Drawing List'!$K:$K,1)</f>
        <v>0</v>
      </c>
      <c r="EW81" s="506">
        <f>COUNTIFS('LS | Drawing List'!$G:$G,"LS-T2S-6",'LS | Drawing List'!L:L,1)</f>
        <v>0</v>
      </c>
      <c r="EX81" s="506">
        <f>COUNTIFS('LS | Drawing List'!$G:$G,"LS-T2S-6",'LS | Drawing List'!M:M,1)</f>
        <v>0</v>
      </c>
      <c r="EY81" s="506">
        <f>COUNTIFS('LS | Drawing List'!$G:$G,"LS-T2S-6",'LS | Drawing List'!N:N,1)</f>
        <v>0</v>
      </c>
      <c r="EZ81" s="506">
        <f>COUNTIFS('LS | Drawing List'!$G:$G,"LS-T2S-6",'LS | Drawing List'!O:O,1)</f>
        <v>0</v>
      </c>
      <c r="FA81" s="533"/>
      <c r="FB81" s="506">
        <f>COUNTIFS('LS | Drawing List'!$G:$G,"LS-T2S-6",'LS | Drawing List'!$P:$P,1)</f>
        <v>0</v>
      </c>
      <c r="FC81" s="506">
        <f>COUNTIFS('LS | Drawing List'!$G:$G,"LS-T2S-6",'LS | Drawing List'!Q:Q,1)</f>
        <v>0</v>
      </c>
      <c r="FD81" s="506">
        <f>COUNTIFS('LS | Drawing List'!$G:$G,"LS-T2S-6",'LS | Drawing List'!R:R,1)</f>
        <v>0</v>
      </c>
      <c r="FE81" s="506">
        <f>COUNTIFS('LS | Drawing List'!$G:$G,"LS-T2S-6",'LS | Drawing List'!S:S,1)</f>
        <v>0</v>
      </c>
      <c r="FF81" s="506">
        <f>COUNTIFS('LS | Drawing List'!$G:$G,"LS-T2S-6",'LS | Drawing List'!T:T,1)</f>
        <v>0</v>
      </c>
    </row>
    <row r="82" spans="2:162" ht="14.25" outlineLevel="2">
      <c r="B82" s="604" t="s">
        <v>92</v>
      </c>
      <c r="C82" s="579">
        <v>7</v>
      </c>
      <c r="D82" s="580" t="s">
        <v>67</v>
      </c>
      <c r="F82" s="500">
        <f t="shared" si="265"/>
        <v>0.122987124</v>
      </c>
      <c r="G82" s="500">
        <f t="shared" si="266"/>
        <v>0.122987124</v>
      </c>
      <c r="H82" s="514">
        <f t="shared" si="267"/>
        <v>0</v>
      </c>
      <c r="I82" s="514">
        <f t="shared" si="240"/>
        <v>0</v>
      </c>
      <c r="J82" s="514">
        <f t="shared" si="241"/>
        <v>0</v>
      </c>
      <c r="K82" s="514">
        <f t="shared" si="242"/>
        <v>0</v>
      </c>
      <c r="L82" s="514">
        <f t="shared" si="243"/>
        <v>0</v>
      </c>
      <c r="M82" s="567">
        <f t="shared" si="244"/>
        <v>0</v>
      </c>
      <c r="N82" s="568"/>
      <c r="O82" s="514">
        <f t="shared" si="245"/>
        <v>0</v>
      </c>
      <c r="P82" s="514">
        <f t="shared" si="246"/>
        <v>0</v>
      </c>
      <c r="Q82" s="514">
        <f t="shared" si="247"/>
        <v>0</v>
      </c>
      <c r="R82" s="514">
        <f t="shared" si="248"/>
        <v>0</v>
      </c>
      <c r="S82" s="514">
        <f t="shared" si="249"/>
        <v>0</v>
      </c>
      <c r="U82" s="569">
        <v>0.05</v>
      </c>
      <c r="V82" s="503"/>
      <c r="W82" s="500">
        <f t="shared" si="268"/>
        <v>6.1362000000000007E-2</v>
      </c>
      <c r="X82" s="500">
        <f t="shared" si="234"/>
        <v>6.1362000000000007E-2</v>
      </c>
      <c r="Y82" s="506">
        <f t="shared" si="269"/>
        <v>6.1362000000000007E-2</v>
      </c>
      <c r="Z82" s="506">
        <f t="shared" si="270"/>
        <v>0</v>
      </c>
      <c r="AA82" s="506">
        <f t="shared" si="271"/>
        <v>0</v>
      </c>
      <c r="AB82" s="506">
        <f t="shared" si="272"/>
        <v>0</v>
      </c>
      <c r="AC82" s="506">
        <f t="shared" si="273"/>
        <v>0</v>
      </c>
      <c r="AD82" s="567">
        <f t="shared" si="274"/>
        <v>0</v>
      </c>
      <c r="AE82" s="568"/>
      <c r="AF82" s="514">
        <f t="shared" si="275"/>
        <v>0</v>
      </c>
      <c r="AG82" s="514">
        <f t="shared" si="276"/>
        <v>0</v>
      </c>
      <c r="AH82" s="514">
        <f t="shared" si="277"/>
        <v>0</v>
      </c>
      <c r="AI82" s="514">
        <f t="shared" si="278"/>
        <v>0</v>
      </c>
      <c r="AJ82" s="514">
        <f t="shared" si="279"/>
        <v>0</v>
      </c>
      <c r="AK82" s="501"/>
      <c r="AL82" s="578">
        <f t="shared" si="280"/>
        <v>1</v>
      </c>
      <c r="AM82" s="578">
        <f t="shared" si="281"/>
        <v>0</v>
      </c>
      <c r="AN82" s="570">
        <f t="shared" si="282"/>
        <v>0</v>
      </c>
      <c r="AO82" s="505"/>
      <c r="AP82" s="514">
        <f>COUNTIF('AR | Drawing List'!$G:$G,"AR-T2S-7")</f>
        <v>3</v>
      </c>
      <c r="AQ82" s="506">
        <f>COUNTIFS('AR | Drawing List'!$G:$G,"AR-T2S-7",'AR | Drawing List'!$I:$I,1)</f>
        <v>3</v>
      </c>
      <c r="AR82" s="506">
        <f t="shared" si="238"/>
        <v>0</v>
      </c>
      <c r="AS82" s="506">
        <f>COUNTIFS('AR | Drawing List'!$G:$G,"AR-T2S-7",'AR | Drawing List'!M:M,1)</f>
        <v>0</v>
      </c>
      <c r="AT82" s="506">
        <f>COUNTIFS('AR | Drawing List'!$G:$G,"AR-T2S-7",'AR | Drawing List'!N:N,1)</f>
        <v>0</v>
      </c>
      <c r="AU82" s="506">
        <f>COUNTIFS('AR | Drawing List'!$G:$G,"AR-T2S-7",'AR | Drawing List'!O:O,1)</f>
        <v>0</v>
      </c>
      <c r="AV82" s="506">
        <f>COUNTIFS('AR | Drawing List'!$G:$G,"AR-T2S-7",'AR | Drawing List'!P:P,1)</f>
        <v>0</v>
      </c>
      <c r="AW82" s="466"/>
      <c r="AX82" s="506">
        <f>SUM(AY82:BB82)</f>
        <v>0</v>
      </c>
      <c r="AY82" s="506">
        <f>COUNTIFS('AR | Drawing List'!$G:$G,"AR-T2S-7",'AR | Drawing List'!R:R,1)</f>
        <v>0</v>
      </c>
      <c r="AZ82" s="506">
        <f>COUNTIFS('AR | Drawing List'!$G:$G,"AR-T2S-7",'AR | Drawing List'!S:S,1)</f>
        <v>0</v>
      </c>
      <c r="BA82" s="506">
        <f>COUNTIFS('AR | Drawing List'!$G:$G,"AR-T2S-7",'AR | Drawing List'!T:T,1)</f>
        <v>0</v>
      </c>
      <c r="BB82" s="506">
        <f>COUNTIFS('AR | Drawing List'!$G:$G,"AR-T2S-7",'AR | Drawing List'!U:U,1)</f>
        <v>0</v>
      </c>
      <c r="BC82" s="466"/>
      <c r="BD82" s="466"/>
      <c r="BE82" s="607">
        <v>0.1</v>
      </c>
      <c r="BF82" s="508"/>
      <c r="BG82" s="506">
        <f t="shared" si="284"/>
        <v>5.1062400000000001E-2</v>
      </c>
      <c r="BH82" s="510">
        <f t="shared" si="235"/>
        <v>5.1062400000000001E-2</v>
      </c>
      <c r="BI82" s="506">
        <f t="shared" si="285"/>
        <v>5.1062400000000001E-2</v>
      </c>
      <c r="BJ82" s="506">
        <f t="shared" si="286"/>
        <v>0</v>
      </c>
      <c r="BK82" s="506">
        <f t="shared" si="287"/>
        <v>0</v>
      </c>
      <c r="BL82" s="506">
        <f t="shared" si="288"/>
        <v>0</v>
      </c>
      <c r="BM82" s="506">
        <f t="shared" si="289"/>
        <v>0</v>
      </c>
      <c r="BN82" s="506">
        <f t="shared" si="290"/>
        <v>0</v>
      </c>
      <c r="BO82" s="530"/>
      <c r="BP82" s="514">
        <f t="shared" si="291"/>
        <v>0</v>
      </c>
      <c r="BQ82" s="514">
        <f t="shared" si="292"/>
        <v>0</v>
      </c>
      <c r="BR82" s="514">
        <f t="shared" si="293"/>
        <v>0</v>
      </c>
      <c r="BS82" s="514">
        <f t="shared" si="294"/>
        <v>0</v>
      </c>
      <c r="BT82" s="514">
        <f t="shared" si="295"/>
        <v>0</v>
      </c>
      <c r="BU82" s="501"/>
      <c r="BV82" s="571">
        <f t="shared" si="296"/>
        <v>1</v>
      </c>
      <c r="BW82" s="571">
        <f t="shared" si="297"/>
        <v>0</v>
      </c>
      <c r="BX82" s="571">
        <f t="shared" si="298"/>
        <v>0</v>
      </c>
      <c r="BY82" s="518"/>
      <c r="BZ82" s="514">
        <f>COUNTIF('ST | Drawing List'!$G:$G,"ST-T2S-7")</f>
        <v>12</v>
      </c>
      <c r="CA82" s="506">
        <f>COUNTIFS('ST | Drawing List'!$G:$G,"ST-T2S-7",'ST | Drawing List'!$I:$I,1)</f>
        <v>12</v>
      </c>
      <c r="CB82" s="506">
        <f>COUNTIFS('ST | Drawing List'!$G:$G,"ST-T2S-7",'ST | Drawing List'!$K:$K,1)</f>
        <v>0</v>
      </c>
      <c r="CC82" s="506">
        <f>COUNTIFS('ST | Drawing List'!$G:$G,"ST-T2S-7",'ST | Drawing List'!L:L,1)</f>
        <v>0</v>
      </c>
      <c r="CD82" s="506">
        <f>COUNTIFS('ST | Drawing List'!$G:$G,"ST-T2S-7",'ST | Drawing List'!M:M,1)</f>
        <v>0</v>
      </c>
      <c r="CE82" s="506">
        <f>COUNTIFS('ST | Drawing List'!$G:$G,"ST-T2S-7",'ST | Drawing List'!N:N,1)</f>
        <v>0</v>
      </c>
      <c r="CF82" s="506">
        <f>COUNTIFS('ST | Drawing List'!$G:$G,"ST-T2S-7",'ST | Drawing List'!O:O,1)</f>
        <v>0</v>
      </c>
      <c r="CG82" s="471"/>
      <c r="CH82" s="506">
        <f>COUNTIFS('ST | Drawing List'!$G:$G,"ST-T2S-7",'ST | Drawing List'!$P:$P,1)</f>
        <v>0</v>
      </c>
      <c r="CI82" s="506">
        <f>COUNTIFS('ST | Drawing List'!$G:$G,"ST-T2S-7",'ST | Drawing List'!Q:Q,1)</f>
        <v>0</v>
      </c>
      <c r="CJ82" s="506">
        <f>COUNTIFS('ST | Drawing List'!$G:$G,"ST-T2S-7",'ST | Drawing List'!R:R,1)</f>
        <v>0</v>
      </c>
      <c r="CK82" s="506">
        <f>COUNTIFS('ST | Drawing List'!$G:$G,"ST-T2S-7",'ST | Drawing List'!S:S,1)</f>
        <v>0</v>
      </c>
      <c r="CL82" s="506">
        <f>COUNTIFS('ST | Drawing List'!$G:$G,"ST-T2S-7",'ST | Drawing List'!T:T,1)</f>
        <v>0</v>
      </c>
      <c r="CM82" s="508"/>
      <c r="CN82" s="508"/>
      <c r="CO82" s="470">
        <v>0.15</v>
      </c>
      <c r="CP82" s="508"/>
      <c r="CQ82" s="506">
        <f t="shared" si="299"/>
        <v>1.0562723999999999E-2</v>
      </c>
      <c r="CR82" s="510">
        <f t="shared" si="236"/>
        <v>1.0562723999999999E-2</v>
      </c>
      <c r="CS82" s="506">
        <f t="shared" si="300"/>
        <v>1.0562723999999999E-2</v>
      </c>
      <c r="CT82" s="514">
        <f t="shared" si="301"/>
        <v>0</v>
      </c>
      <c r="CU82" s="514">
        <f t="shared" si="302"/>
        <v>0</v>
      </c>
      <c r="CV82" s="514">
        <f t="shared" si="303"/>
        <v>0</v>
      </c>
      <c r="CW82" s="514">
        <f t="shared" si="304"/>
        <v>0</v>
      </c>
      <c r="CX82" s="514">
        <f t="shared" si="305"/>
        <v>0</v>
      </c>
      <c r="CY82" s="501"/>
      <c r="CZ82" s="514">
        <f t="shared" si="306"/>
        <v>0</v>
      </c>
      <c r="DA82" s="514">
        <f t="shared" si="307"/>
        <v>0</v>
      </c>
      <c r="DB82" s="514">
        <f t="shared" si="308"/>
        <v>0</v>
      </c>
      <c r="DC82" s="514">
        <f t="shared" si="309"/>
        <v>0</v>
      </c>
      <c r="DD82" s="514">
        <f t="shared" si="310"/>
        <v>0</v>
      </c>
      <c r="DE82" s="501"/>
      <c r="DF82" s="570">
        <f t="shared" si="311"/>
        <v>1</v>
      </c>
      <c r="DG82" s="570">
        <f t="shared" si="312"/>
        <v>0</v>
      </c>
      <c r="DH82" s="570">
        <f t="shared" si="313"/>
        <v>0</v>
      </c>
      <c r="DI82" s="518"/>
      <c r="DJ82" s="514">
        <f>COUNTIF('MEP | Drawing List'!$G:$G,"MEP-T2S-6S-7")</f>
        <v>8</v>
      </c>
      <c r="DK82" s="506">
        <f>COUNTIFS('MEP | Drawing List'!$G:$G,"MEP-T2S-6S-7",'MEP | Drawing List'!$I:$I,1)</f>
        <v>8</v>
      </c>
      <c r="DL82" s="506">
        <f>COUNTIFS('MEP | Drawing List'!$G:$G,"MEP-T2S-6S-7",'MEP | Drawing List'!$K:$K,1)</f>
        <v>0</v>
      </c>
      <c r="DM82" s="506">
        <f>COUNTIFS('MEP | Drawing List'!$G:$G,"MEP-T2S-6S-7",'MEP | Drawing List'!L:L,1)</f>
        <v>0</v>
      </c>
      <c r="DN82" s="506">
        <f>COUNTIFS('MEP | Drawing List'!$G:$G,"MEP-T2S-6S-7",'MEP | Drawing List'!M:M,1)</f>
        <v>0</v>
      </c>
      <c r="DO82" s="506">
        <f>COUNTIFS('MEP | Drawing List'!$G:$G,"MEP-T2S-6S-7",'MEP | Drawing List'!N:N,1)</f>
        <v>0</v>
      </c>
      <c r="DP82" s="506">
        <f>COUNTIFS('MEP | Drawing List'!$G:$G,"MEP-T2S-6S-7",'MEP | Drawing List'!O:O,1)</f>
        <v>0</v>
      </c>
      <c r="DQ82" s="530"/>
      <c r="DR82" s="506">
        <f>COUNTIFS('MEP | Drawing List'!$G:$G,"MEP-T2S-6S-7",'MEP | Drawing List'!$P:$P,1)</f>
        <v>0</v>
      </c>
      <c r="DS82" s="506">
        <f>COUNTIFS('MEP | Drawing List'!$G:$G,"MEP-T2S-6S-7",'MEP | Drawing List'!Q:Q,1)</f>
        <v>0</v>
      </c>
      <c r="DT82" s="506">
        <f>COUNTIFS('MEP | Drawing List'!$G:$G,"MEP-T2S-6S-7",'MEP | Drawing List'!R:R,1)</f>
        <v>0</v>
      </c>
      <c r="DU82" s="506">
        <f>COUNTIFS('MEP | Drawing List'!$G:$G,"MEP-T2S-6S-7",'MEP | Drawing List'!S:S,1)</f>
        <v>0</v>
      </c>
      <c r="DV82" s="506">
        <f>COUNTIFS('MEP | Drawing List'!$G:$G,"MEP-T2S-6S-7",'MEP | Drawing List'!T:T,1)</f>
        <v>0</v>
      </c>
      <c r="DW82" s="508"/>
      <c r="DX82" s="508"/>
      <c r="DY82" s="470">
        <v>0</v>
      </c>
      <c r="DZ82" s="508"/>
      <c r="EA82" s="506">
        <f t="shared" si="314"/>
        <v>0</v>
      </c>
      <c r="EB82" s="510">
        <f t="shared" si="237"/>
        <v>0</v>
      </c>
      <c r="EC82" s="506">
        <f t="shared" si="315"/>
        <v>0</v>
      </c>
      <c r="ED82" s="506">
        <f t="shared" si="316"/>
        <v>0</v>
      </c>
      <c r="EE82" s="506">
        <f t="shared" si="317"/>
        <v>0</v>
      </c>
      <c r="EF82" s="506">
        <f t="shared" si="318"/>
        <v>0</v>
      </c>
      <c r="EG82" s="506">
        <f t="shared" si="319"/>
        <v>0</v>
      </c>
      <c r="EH82" s="506">
        <f t="shared" si="320"/>
        <v>0</v>
      </c>
      <c r="EI82" s="530"/>
      <c r="EJ82" s="567">
        <f t="shared" si="323"/>
        <v>0</v>
      </c>
      <c r="EK82" s="514">
        <f t="shared" si="324"/>
        <v>0</v>
      </c>
      <c r="EL82" s="514">
        <f t="shared" si="325"/>
        <v>0</v>
      </c>
      <c r="EM82" s="514">
        <f t="shared" si="326"/>
        <v>0</v>
      </c>
      <c r="EN82" s="514">
        <f t="shared" si="327"/>
        <v>0</v>
      </c>
      <c r="EO82" s="501"/>
      <c r="EP82" s="585">
        <f t="shared" si="328"/>
        <v>0</v>
      </c>
      <c r="EQ82" s="585">
        <f t="shared" si="329"/>
        <v>0</v>
      </c>
      <c r="ER82" s="585">
        <f t="shared" si="330"/>
        <v>0</v>
      </c>
      <c r="ET82" s="514">
        <f>COUNTIF('LS | Drawing List'!$G:$G,"LS-T2S-7")</f>
        <v>0</v>
      </c>
      <c r="EU82" s="506">
        <f>COUNTIFS('LS | Drawing List'!$G:$G,"LS-T2S-7",'LS | Drawing List'!$I:$I,1)</f>
        <v>0</v>
      </c>
      <c r="EV82" s="506">
        <f>COUNTIFS('LS | Drawing List'!$G:$G,"LS-T2S-7",'LS | Drawing List'!$K:$K,1)</f>
        <v>0</v>
      </c>
      <c r="EW82" s="506">
        <f>COUNTIFS('LS | Drawing List'!$G:$G,"LS-T2S-7",'LS | Drawing List'!L:L,1)</f>
        <v>0</v>
      </c>
      <c r="EX82" s="506">
        <f>COUNTIFS('LS | Drawing List'!$G:$G,"LS-T2S-7",'LS | Drawing List'!M:M,1)</f>
        <v>0</v>
      </c>
      <c r="EY82" s="506">
        <f>COUNTIFS('LS | Drawing List'!$G:$G,"LS-T2S-7",'LS | Drawing List'!N:N,1)</f>
        <v>0</v>
      </c>
      <c r="EZ82" s="506">
        <f>COUNTIFS('LS | Drawing List'!$G:$G,"LS-T2S-7",'LS | Drawing List'!O:O,1)</f>
        <v>0</v>
      </c>
      <c r="FA82" s="533"/>
      <c r="FB82" s="506">
        <f>COUNTIFS('LS | Drawing List'!$G:$G,"LS-T2S-7",'LS | Drawing List'!$P:$P,1)</f>
        <v>0</v>
      </c>
      <c r="FC82" s="506">
        <f>COUNTIFS('LS | Drawing List'!$G:$G,"LS-T2S-7",'LS | Drawing List'!Q:Q,1)</f>
        <v>0</v>
      </c>
      <c r="FD82" s="506">
        <f>COUNTIFS('LS | Drawing List'!$G:$G,"LS-T2S-7",'LS | Drawing List'!R:R,1)</f>
        <v>0</v>
      </c>
      <c r="FE82" s="506">
        <f>COUNTIFS('LS | Drawing List'!$G:$G,"LS-T2S-7",'LS | Drawing List'!S:S,1)</f>
        <v>0</v>
      </c>
      <c r="FF82" s="506">
        <f>COUNTIFS('LS | Drawing List'!$G:$G,"LS-T2S-7",'LS | Drawing List'!T:T,1)</f>
        <v>0</v>
      </c>
    </row>
    <row r="83" spans="2:162" ht="14.25" outlineLevel="2">
      <c r="B83" s="604" t="s">
        <v>93</v>
      </c>
      <c r="C83" s="579">
        <v>8</v>
      </c>
      <c r="D83" s="580" t="s">
        <v>69</v>
      </c>
      <c r="F83" s="500">
        <f t="shared" si="265"/>
        <v>0.122987124</v>
      </c>
      <c r="G83" s="500">
        <f t="shared" si="266"/>
        <v>0.122987124</v>
      </c>
      <c r="H83" s="514">
        <f t="shared" si="267"/>
        <v>0</v>
      </c>
      <c r="I83" s="514">
        <f t="shared" si="240"/>
        <v>0</v>
      </c>
      <c r="J83" s="514">
        <f t="shared" si="241"/>
        <v>0</v>
      </c>
      <c r="K83" s="514">
        <f t="shared" si="242"/>
        <v>0</v>
      </c>
      <c r="L83" s="514">
        <f t="shared" si="243"/>
        <v>0</v>
      </c>
      <c r="M83" s="567">
        <f t="shared" si="244"/>
        <v>0</v>
      </c>
      <c r="N83" s="568"/>
      <c r="O83" s="514">
        <f t="shared" si="245"/>
        <v>0</v>
      </c>
      <c r="P83" s="514">
        <f t="shared" si="246"/>
        <v>0</v>
      </c>
      <c r="Q83" s="514">
        <f t="shared" si="247"/>
        <v>0</v>
      </c>
      <c r="R83" s="514">
        <f t="shared" si="248"/>
        <v>0</v>
      </c>
      <c r="S83" s="514">
        <f t="shared" si="249"/>
        <v>0</v>
      </c>
      <c r="U83" s="569">
        <v>0.05</v>
      </c>
      <c r="V83" s="503"/>
      <c r="W83" s="500">
        <f t="shared" si="268"/>
        <v>6.1362000000000007E-2</v>
      </c>
      <c r="X83" s="500">
        <f t="shared" si="234"/>
        <v>6.1362000000000007E-2</v>
      </c>
      <c r="Y83" s="506">
        <f t="shared" si="269"/>
        <v>6.1362000000000007E-2</v>
      </c>
      <c r="Z83" s="506">
        <f t="shared" si="270"/>
        <v>0</v>
      </c>
      <c r="AA83" s="506">
        <f t="shared" si="271"/>
        <v>0</v>
      </c>
      <c r="AB83" s="506">
        <f t="shared" si="272"/>
        <v>0</v>
      </c>
      <c r="AC83" s="506">
        <f t="shared" si="273"/>
        <v>0</v>
      </c>
      <c r="AD83" s="567">
        <f t="shared" si="274"/>
        <v>0</v>
      </c>
      <c r="AE83" s="568"/>
      <c r="AF83" s="514">
        <f t="shared" si="275"/>
        <v>0</v>
      </c>
      <c r="AG83" s="514">
        <f t="shared" si="276"/>
        <v>0</v>
      </c>
      <c r="AH83" s="514">
        <f t="shared" si="277"/>
        <v>0</v>
      </c>
      <c r="AI83" s="514">
        <f t="shared" si="278"/>
        <v>0</v>
      </c>
      <c r="AJ83" s="514">
        <f t="shared" si="279"/>
        <v>0</v>
      </c>
      <c r="AK83" s="501"/>
      <c r="AL83" s="578">
        <f t="shared" si="280"/>
        <v>1</v>
      </c>
      <c r="AM83" s="578">
        <f t="shared" si="281"/>
        <v>0</v>
      </c>
      <c r="AN83" s="570">
        <f t="shared" si="282"/>
        <v>0</v>
      </c>
      <c r="AO83" s="505"/>
      <c r="AP83" s="514">
        <f>COUNTIF('AR | Drawing List'!$G:$G,"AR-T2S-8")</f>
        <v>1</v>
      </c>
      <c r="AQ83" s="506">
        <f>COUNTIFS('AR | Drawing List'!$G:$G,"AR-T2S-8",'AR | Drawing List'!$I:$I,1)</f>
        <v>1</v>
      </c>
      <c r="AR83" s="506">
        <f t="shared" si="238"/>
        <v>0</v>
      </c>
      <c r="AS83" s="506">
        <f>COUNTIFS('AR | Drawing List'!$G:$G,"AR-T2S-8",'AR | Drawing List'!M:M,1)</f>
        <v>0</v>
      </c>
      <c r="AT83" s="506">
        <f>COUNTIFS('AR | Drawing List'!$G:$G,"AR-T2S-8",'AR | Drawing List'!N:N,1)</f>
        <v>0</v>
      </c>
      <c r="AU83" s="506">
        <f>COUNTIFS('AR | Drawing List'!$G:$G,"AR-T2S-8",'AR | Drawing List'!O:O,1)</f>
        <v>0</v>
      </c>
      <c r="AV83" s="506">
        <f>COUNTIFS('AR | Drawing List'!$G:$G,"AR-T2S-8",'AR | Drawing List'!P:P,1)</f>
        <v>0</v>
      </c>
      <c r="AW83" s="466"/>
      <c r="AX83" s="506">
        <f t="shared" ref="AX83:AX84" si="331">SUM(AY83:BB83)</f>
        <v>0</v>
      </c>
      <c r="AY83" s="506">
        <f>COUNTIFS('AR | Drawing List'!$G:$G,"AR-T2S-8",'AR | Drawing List'!R:R,1)</f>
        <v>0</v>
      </c>
      <c r="AZ83" s="506">
        <f>COUNTIFS('AR | Drawing List'!$G:$G,"AR-T2S-8",'AR | Drawing List'!S:S,1)</f>
        <v>0</v>
      </c>
      <c r="BA83" s="506">
        <f>COUNTIFS('AR | Drawing List'!$G:$G,"AR-T2S-8",'AR | Drawing List'!T:T,1)</f>
        <v>0</v>
      </c>
      <c r="BB83" s="506">
        <f>COUNTIFS('AR | Drawing List'!$G:$G,"AR-T2S-8",'AR | Drawing List'!U:U,1)</f>
        <v>0</v>
      </c>
      <c r="BC83" s="551"/>
      <c r="BD83" s="551"/>
      <c r="BE83" s="607">
        <v>0.1</v>
      </c>
      <c r="BF83" s="508"/>
      <c r="BG83" s="506">
        <f t="shared" si="284"/>
        <v>5.1062400000000001E-2</v>
      </c>
      <c r="BH83" s="510">
        <f t="shared" si="235"/>
        <v>5.1062400000000001E-2</v>
      </c>
      <c r="BI83" s="506">
        <f t="shared" si="285"/>
        <v>5.1062400000000001E-2</v>
      </c>
      <c r="BJ83" s="506">
        <f t="shared" si="286"/>
        <v>0</v>
      </c>
      <c r="BK83" s="506">
        <f t="shared" si="287"/>
        <v>0</v>
      </c>
      <c r="BL83" s="506">
        <f t="shared" si="288"/>
        <v>0</v>
      </c>
      <c r="BM83" s="506">
        <f t="shared" si="289"/>
        <v>0</v>
      </c>
      <c r="BN83" s="506">
        <f t="shared" si="290"/>
        <v>0</v>
      </c>
      <c r="BO83" s="530"/>
      <c r="BP83" s="514">
        <f t="shared" si="291"/>
        <v>0</v>
      </c>
      <c r="BQ83" s="514">
        <f t="shared" si="292"/>
        <v>0</v>
      </c>
      <c r="BR83" s="514">
        <f t="shared" si="293"/>
        <v>0</v>
      </c>
      <c r="BS83" s="514">
        <f t="shared" si="294"/>
        <v>0</v>
      </c>
      <c r="BT83" s="514">
        <f t="shared" si="295"/>
        <v>0</v>
      </c>
      <c r="BU83" s="501"/>
      <c r="BV83" s="571">
        <f t="shared" si="296"/>
        <v>1</v>
      </c>
      <c r="BW83" s="571">
        <f t="shared" si="297"/>
        <v>0</v>
      </c>
      <c r="BX83" s="571">
        <f t="shared" si="298"/>
        <v>0</v>
      </c>
      <c r="BY83" s="518"/>
      <c r="BZ83" s="514">
        <f>COUNTIF('ST | Drawing List'!$G:$G,"ST-T2S-8")</f>
        <v>19</v>
      </c>
      <c r="CA83" s="506">
        <f>COUNTIFS('ST | Drawing List'!$G:$G,"ST-T2S-8",'ST | Drawing List'!$I:$I,1)</f>
        <v>19</v>
      </c>
      <c r="CB83" s="506">
        <f>COUNTIFS('ST | Drawing List'!$G:$G,"ST-T2S-8",'ST | Drawing List'!$K:$K,1)</f>
        <v>0</v>
      </c>
      <c r="CC83" s="506">
        <f>COUNTIFS('ST | Drawing List'!$G:$G,"ST-T2S-8",'ST | Drawing List'!L:L,1)</f>
        <v>0</v>
      </c>
      <c r="CD83" s="506">
        <f>COUNTIFS('ST | Drawing List'!$G:$G,"ST-T2S-8",'ST | Drawing List'!M:M,1)</f>
        <v>0</v>
      </c>
      <c r="CE83" s="506">
        <f>COUNTIFS('ST | Drawing List'!$G:$G,"ST-T2S-8",'ST | Drawing List'!N:N,1)</f>
        <v>0</v>
      </c>
      <c r="CF83" s="506">
        <f>COUNTIFS('ST | Drawing List'!$G:$G,"ST-T2S-8",'ST | Drawing List'!O:O,1)</f>
        <v>0</v>
      </c>
      <c r="CG83" s="471"/>
      <c r="CH83" s="506">
        <f>COUNTIFS('ST | Drawing List'!$G:$G,"ST-T2S-8",'ST | Drawing List'!$P:$P,1)</f>
        <v>0</v>
      </c>
      <c r="CI83" s="506">
        <f>COUNTIFS('ST | Drawing List'!$G:$G,"ST-T2S-8",'ST | Drawing List'!Q:Q,1)</f>
        <v>0</v>
      </c>
      <c r="CJ83" s="506">
        <f>COUNTIFS('ST | Drawing List'!$G:$G,"ST-T2S-8",'ST | Drawing List'!R:R,1)</f>
        <v>0</v>
      </c>
      <c r="CK83" s="506">
        <f>COUNTIFS('ST | Drawing List'!$G:$G,"ST-T2S-8",'ST | Drawing List'!S:S,1)</f>
        <v>0</v>
      </c>
      <c r="CL83" s="506">
        <f>COUNTIFS('ST | Drawing List'!$G:$G,"ST-T2S-8",'ST | Drawing List'!T:T,1)</f>
        <v>0</v>
      </c>
      <c r="CM83" s="508"/>
      <c r="CN83" s="508"/>
      <c r="CO83" s="470">
        <v>0.15</v>
      </c>
      <c r="CP83" s="508"/>
      <c r="CQ83" s="506">
        <f t="shared" si="299"/>
        <v>1.0562723999999999E-2</v>
      </c>
      <c r="CR83" s="510">
        <f t="shared" si="236"/>
        <v>1.0562723999999999E-2</v>
      </c>
      <c r="CS83" s="506">
        <f t="shared" si="300"/>
        <v>1.0562723999999999E-2</v>
      </c>
      <c r="CT83" s="514">
        <f t="shared" si="301"/>
        <v>0</v>
      </c>
      <c r="CU83" s="514">
        <f t="shared" si="302"/>
        <v>0</v>
      </c>
      <c r="CV83" s="514">
        <f t="shared" si="303"/>
        <v>0</v>
      </c>
      <c r="CW83" s="514">
        <f t="shared" si="304"/>
        <v>0</v>
      </c>
      <c r="CX83" s="514">
        <f t="shared" si="305"/>
        <v>0</v>
      </c>
      <c r="CY83" s="501"/>
      <c r="CZ83" s="514">
        <f t="shared" si="306"/>
        <v>0</v>
      </c>
      <c r="DA83" s="514">
        <f t="shared" si="307"/>
        <v>0</v>
      </c>
      <c r="DB83" s="514">
        <f t="shared" si="308"/>
        <v>0</v>
      </c>
      <c r="DC83" s="514">
        <f t="shared" si="309"/>
        <v>0</v>
      </c>
      <c r="DD83" s="514">
        <f t="shared" si="310"/>
        <v>0</v>
      </c>
      <c r="DE83" s="501"/>
      <c r="DF83" s="570">
        <f t="shared" si="311"/>
        <v>1</v>
      </c>
      <c r="DG83" s="570">
        <f t="shared" si="312"/>
        <v>0</v>
      </c>
      <c r="DH83" s="570">
        <f t="shared" si="313"/>
        <v>0</v>
      </c>
      <c r="DI83" s="518"/>
      <c r="DJ83" s="514">
        <f>COUNTIF('MEP | Drawing List'!$G:$G,"MEP-T2S-6S-8")</f>
        <v>3</v>
      </c>
      <c r="DK83" s="506">
        <f>COUNTIFS('MEP | Drawing List'!$G:$G,"MEP-T2S-6S-8",'MEP | Drawing List'!$I:$I,1)</f>
        <v>3</v>
      </c>
      <c r="DL83" s="506">
        <f>COUNTIFS('MEP | Drawing List'!$G:$G,"MEP-T2S-6S-8",'MEP | Drawing List'!$K:$K,1)</f>
        <v>0</v>
      </c>
      <c r="DM83" s="506">
        <f>COUNTIFS('MEP | Drawing List'!$G:$G,"MEP-T2S-6S-8",'MEP | Drawing List'!L:L,1)</f>
        <v>0</v>
      </c>
      <c r="DN83" s="506">
        <f>COUNTIFS('MEP | Drawing List'!$G:$G,"MEP-T2S-6S-8",'MEP | Drawing List'!M:M,1)</f>
        <v>0</v>
      </c>
      <c r="DO83" s="506">
        <f>COUNTIFS('MEP | Drawing List'!$G:$G,"MEP-T2S-6S-8",'MEP | Drawing List'!N:N,1)</f>
        <v>0</v>
      </c>
      <c r="DP83" s="506">
        <f>COUNTIFS('MEP | Drawing List'!$G:$G,"MEP-T2S-6S-8",'MEP | Drawing List'!O:O,1)</f>
        <v>0</v>
      </c>
      <c r="DQ83" s="530"/>
      <c r="DR83" s="506">
        <f>COUNTIFS('MEP | Drawing List'!$G:$G,"MEP-T2S-6S-8",'MEP | Drawing List'!$P:$P,1)</f>
        <v>0</v>
      </c>
      <c r="DS83" s="506">
        <f>COUNTIFS('MEP | Drawing List'!$G:$G,"MEP-T2S-6S-8",'MEP | Drawing List'!Q:Q,1)</f>
        <v>0</v>
      </c>
      <c r="DT83" s="506">
        <f>COUNTIFS('MEP | Drawing List'!$G:$G,"MEP-T2S-6S-8",'MEP | Drawing List'!R:R,1)</f>
        <v>0</v>
      </c>
      <c r="DU83" s="506">
        <f>COUNTIFS('MEP | Drawing List'!$G:$G,"MEP-T2S-6S-8",'MEP | Drawing List'!S:S,1)</f>
        <v>0</v>
      </c>
      <c r="DV83" s="506">
        <f>COUNTIFS('MEP | Drawing List'!$G:$G,"MEP-T2S-6S-8",'MEP | Drawing List'!T:T,1)</f>
        <v>0</v>
      </c>
      <c r="DW83" s="508"/>
      <c r="DX83" s="508"/>
      <c r="DY83" s="470">
        <v>0</v>
      </c>
      <c r="DZ83" s="508"/>
      <c r="EA83" s="506">
        <f t="shared" si="314"/>
        <v>0</v>
      </c>
      <c r="EB83" s="510">
        <f t="shared" si="237"/>
        <v>0</v>
      </c>
      <c r="EC83" s="506">
        <f t="shared" si="315"/>
        <v>0</v>
      </c>
      <c r="ED83" s="506">
        <f t="shared" si="316"/>
        <v>0</v>
      </c>
      <c r="EE83" s="506">
        <f t="shared" si="317"/>
        <v>0</v>
      </c>
      <c r="EF83" s="506">
        <f t="shared" si="318"/>
        <v>0</v>
      </c>
      <c r="EG83" s="506">
        <f t="shared" si="319"/>
        <v>0</v>
      </c>
      <c r="EH83" s="506">
        <f t="shared" si="320"/>
        <v>0</v>
      </c>
      <c r="EI83" s="530"/>
      <c r="EJ83" s="567">
        <f t="shared" si="323"/>
        <v>0</v>
      </c>
      <c r="EK83" s="514">
        <f t="shared" si="324"/>
        <v>0</v>
      </c>
      <c r="EL83" s="514">
        <f t="shared" si="325"/>
        <v>0</v>
      </c>
      <c r="EM83" s="514">
        <f t="shared" si="326"/>
        <v>0</v>
      </c>
      <c r="EN83" s="514">
        <f t="shared" si="327"/>
        <v>0</v>
      </c>
      <c r="EO83" s="501"/>
      <c r="EP83" s="585">
        <f t="shared" si="328"/>
        <v>0</v>
      </c>
      <c r="EQ83" s="585">
        <f t="shared" si="329"/>
        <v>0</v>
      </c>
      <c r="ER83" s="585">
        <f t="shared" si="330"/>
        <v>0</v>
      </c>
      <c r="ET83" s="514">
        <f>COUNTIF('LS | Drawing List'!$G:$G,"LS-T2S-8")</f>
        <v>0</v>
      </c>
      <c r="EU83" s="506">
        <f>COUNTIFS('LS | Drawing List'!$G:$G,"LS-T2S-8",'LS | Drawing List'!$I:$I,1)</f>
        <v>0</v>
      </c>
      <c r="EV83" s="506">
        <f>COUNTIFS('LS | Drawing List'!$G:$G,"LS-T2S-8",'LS | Drawing List'!$K:$K,1)</f>
        <v>0</v>
      </c>
      <c r="EW83" s="506">
        <f>COUNTIFS('LS | Drawing List'!$G:$G,"LS-T2S-8",'LS | Drawing List'!L:L,1)</f>
        <v>0</v>
      </c>
      <c r="EX83" s="506">
        <f>COUNTIFS('LS | Drawing List'!$G:$G,"LS-T2S-8",'LS | Drawing List'!M:M,1)</f>
        <v>0</v>
      </c>
      <c r="EY83" s="506">
        <f>COUNTIFS('LS | Drawing List'!$G:$G,"LS-T2S-8",'LS | Drawing List'!N:N,1)</f>
        <v>0</v>
      </c>
      <c r="EZ83" s="506">
        <f>COUNTIFS('LS | Drawing List'!$G:$G,"LS-T2S-8",'LS | Drawing List'!O:O,1)</f>
        <v>0</v>
      </c>
      <c r="FA83" s="533"/>
      <c r="FB83" s="506">
        <f>COUNTIFS('LS | Drawing List'!$G:$G,"LS-T2S-8",'LS | Drawing List'!$P:$P,1)</f>
        <v>0</v>
      </c>
      <c r="FC83" s="506">
        <f>COUNTIFS('LS | Drawing List'!$G:$G,"LS-T2S-8",'LS | Drawing List'!Q:Q,1)</f>
        <v>0</v>
      </c>
      <c r="FD83" s="506">
        <f>COUNTIFS('LS | Drawing List'!$G:$G,"LS-T2S-8",'LS | Drawing List'!R:R,1)</f>
        <v>0</v>
      </c>
      <c r="FE83" s="506">
        <f>COUNTIFS('LS | Drawing List'!$G:$G,"LS-T2S-8",'LS | Drawing List'!S:S,1)</f>
        <v>0</v>
      </c>
      <c r="FF83" s="506">
        <f>COUNTIFS('LS | Drawing List'!$G:$G,"LS-T2S-8",'LS | Drawing List'!T:T,1)</f>
        <v>0</v>
      </c>
    </row>
    <row r="84" spans="2:162" ht="14.25" outlineLevel="2">
      <c r="B84" s="604" t="s">
        <v>94</v>
      </c>
      <c r="C84" s="579">
        <v>9</v>
      </c>
      <c r="D84" s="566" t="s">
        <v>71</v>
      </c>
      <c r="F84" s="500">
        <f t="shared" si="265"/>
        <v>6.6878000000000007E-2</v>
      </c>
      <c r="G84" s="500">
        <f t="shared" si="266"/>
        <v>6.6878000000000007E-2</v>
      </c>
      <c r="H84" s="514">
        <f t="shared" si="267"/>
        <v>0</v>
      </c>
      <c r="I84" s="514">
        <f t="shared" si="240"/>
        <v>0</v>
      </c>
      <c r="J84" s="514">
        <f t="shared" si="241"/>
        <v>0</v>
      </c>
      <c r="K84" s="514">
        <f t="shared" si="242"/>
        <v>0</v>
      </c>
      <c r="L84" s="514">
        <f t="shared" si="243"/>
        <v>0</v>
      </c>
      <c r="M84" s="567">
        <f t="shared" si="244"/>
        <v>0</v>
      </c>
      <c r="N84" s="568"/>
      <c r="O84" s="514">
        <f t="shared" si="245"/>
        <v>0</v>
      </c>
      <c r="P84" s="514">
        <f t="shared" si="246"/>
        <v>0</v>
      </c>
      <c r="Q84" s="514">
        <f t="shared" si="247"/>
        <v>0</v>
      </c>
      <c r="R84" s="514">
        <f t="shared" si="248"/>
        <v>0</v>
      </c>
      <c r="S84" s="514">
        <f t="shared" si="249"/>
        <v>0</v>
      </c>
      <c r="U84" s="569">
        <v>0.05</v>
      </c>
      <c r="V84" s="503"/>
      <c r="W84" s="500">
        <f t="shared" si="268"/>
        <v>6.1362000000000007E-2</v>
      </c>
      <c r="X84" s="500">
        <f t="shared" si="234"/>
        <v>6.1362000000000007E-2</v>
      </c>
      <c r="Y84" s="506">
        <f t="shared" si="269"/>
        <v>6.1362000000000007E-2</v>
      </c>
      <c r="Z84" s="506">
        <f t="shared" si="270"/>
        <v>0</v>
      </c>
      <c r="AA84" s="506">
        <f t="shared" si="271"/>
        <v>0</v>
      </c>
      <c r="AB84" s="506">
        <f t="shared" si="272"/>
        <v>0</v>
      </c>
      <c r="AC84" s="506">
        <f t="shared" si="273"/>
        <v>0</v>
      </c>
      <c r="AD84" s="567">
        <f t="shared" si="274"/>
        <v>0</v>
      </c>
      <c r="AE84" s="568"/>
      <c r="AF84" s="514">
        <f t="shared" si="275"/>
        <v>0</v>
      </c>
      <c r="AG84" s="514">
        <f t="shared" si="276"/>
        <v>0</v>
      </c>
      <c r="AH84" s="514">
        <f t="shared" si="277"/>
        <v>0</v>
      </c>
      <c r="AI84" s="514">
        <f t="shared" si="278"/>
        <v>0</v>
      </c>
      <c r="AJ84" s="514">
        <f t="shared" si="279"/>
        <v>0</v>
      </c>
      <c r="AK84" s="501"/>
      <c r="AL84" s="578">
        <f t="shared" si="280"/>
        <v>1</v>
      </c>
      <c r="AM84" s="578">
        <f t="shared" si="281"/>
        <v>0</v>
      </c>
      <c r="AN84" s="570">
        <f t="shared" si="282"/>
        <v>0</v>
      </c>
      <c r="AO84" s="505"/>
      <c r="AP84" s="514">
        <f>COUNTIF('AR | Drawing List'!$G:$G,"AR-T2S-9")</f>
        <v>7</v>
      </c>
      <c r="AQ84" s="506">
        <f>COUNTIFS('AR | Drawing List'!$G:$G,"AR-T2S-9",'AR | Drawing List'!$I:$I,1)</f>
        <v>7</v>
      </c>
      <c r="AR84" s="506">
        <f t="shared" si="238"/>
        <v>0</v>
      </c>
      <c r="AS84" s="506">
        <f>COUNTIFS('AR | Drawing List'!$G:$G,"AR-T2S-9",'AR | Drawing List'!M:M,1)</f>
        <v>0</v>
      </c>
      <c r="AT84" s="506">
        <f>COUNTIFS('AR | Drawing List'!$G:$G,"AR-T2S-9",'AR | Drawing List'!N:N,1)</f>
        <v>0</v>
      </c>
      <c r="AU84" s="506">
        <f>COUNTIFS('AR | Drawing List'!$G:$G,"AR-T2S-9",'AR | Drawing List'!O:O,1)</f>
        <v>0</v>
      </c>
      <c r="AV84" s="506">
        <f>COUNTIFS('AR | Drawing List'!$G:$G,"AR-T2S-9",'AR | Drawing List'!P:P,1)</f>
        <v>0</v>
      </c>
      <c r="AW84" s="466"/>
      <c r="AX84" s="506">
        <f t="shared" si="331"/>
        <v>0</v>
      </c>
      <c r="AY84" s="506">
        <f>COUNTIFS('AR | Drawing List'!$G:$G,"AR-T2S-9",'AR | Drawing List'!R:R,1)</f>
        <v>0</v>
      </c>
      <c r="AZ84" s="506">
        <f>COUNTIFS('AR | Drawing List'!$G:$G,"AR-T2S-9",'AR | Drawing List'!S:S,1)</f>
        <v>0</v>
      </c>
      <c r="BA84" s="506">
        <f>COUNTIFS('AR | Drawing List'!$G:$G,"AR-T2S-9",'AR | Drawing List'!T:T,1)</f>
        <v>0</v>
      </c>
      <c r="BB84" s="506">
        <f>COUNTIFS('AR | Drawing List'!$G:$G,"AR-T2S-9",'AR | Drawing List'!U:U,1)</f>
        <v>0</v>
      </c>
      <c r="BC84" s="551"/>
      <c r="BD84" s="551"/>
      <c r="BE84" s="576">
        <v>0</v>
      </c>
      <c r="BF84" s="508"/>
      <c r="BG84" s="506">
        <f t="shared" si="284"/>
        <v>0</v>
      </c>
      <c r="BH84" s="510">
        <f t="shared" si="235"/>
        <v>0</v>
      </c>
      <c r="BI84" s="506">
        <f t="shared" si="285"/>
        <v>0</v>
      </c>
      <c r="BJ84" s="506">
        <f t="shared" si="286"/>
        <v>0</v>
      </c>
      <c r="BK84" s="506">
        <f t="shared" si="287"/>
        <v>0</v>
      </c>
      <c r="BL84" s="506">
        <f t="shared" si="288"/>
        <v>0</v>
      </c>
      <c r="BM84" s="506">
        <f t="shared" si="289"/>
        <v>0</v>
      </c>
      <c r="BN84" s="506">
        <f t="shared" si="290"/>
        <v>0</v>
      </c>
      <c r="BO84" s="530"/>
      <c r="BP84" s="514">
        <f t="shared" si="291"/>
        <v>0</v>
      </c>
      <c r="BQ84" s="514">
        <f t="shared" si="292"/>
        <v>0</v>
      </c>
      <c r="BR84" s="514">
        <f t="shared" si="293"/>
        <v>0</v>
      </c>
      <c r="BS84" s="514">
        <f t="shared" si="294"/>
        <v>0</v>
      </c>
      <c r="BT84" s="514">
        <f t="shared" si="295"/>
        <v>0</v>
      </c>
      <c r="BU84" s="501"/>
      <c r="BV84" s="571">
        <f t="shared" si="296"/>
        <v>0</v>
      </c>
      <c r="BW84" s="571">
        <f t="shared" si="297"/>
        <v>0</v>
      </c>
      <c r="BX84" s="571">
        <f t="shared" si="298"/>
        <v>0</v>
      </c>
      <c r="BY84" s="520"/>
      <c r="BZ84" s="514">
        <f>COUNTIF('ST | Drawing List'!$G:$G,"ST-T2S-9")</f>
        <v>0</v>
      </c>
      <c r="CA84" s="506">
        <f>COUNTIFS('ST | Drawing List'!$G:$G,"ST-T2S-9",'ST | Drawing List'!$I:$I,1)</f>
        <v>0</v>
      </c>
      <c r="CB84" s="506">
        <f>COUNTIFS('ST | Drawing List'!$G:$G,"ST-T2S-9",'ST | Drawing List'!$K:$K,1)</f>
        <v>0</v>
      </c>
      <c r="CC84" s="506">
        <f>COUNTIFS('ST | Drawing List'!$G:$G,"ST-T2S-9",'ST | Drawing List'!L:L,1)</f>
        <v>0</v>
      </c>
      <c r="CD84" s="506">
        <f>COUNTIFS('ST | Drawing List'!$G:$G,"ST-T2S-9",'ST | Drawing List'!M:M,1)</f>
        <v>0</v>
      </c>
      <c r="CE84" s="506">
        <f>COUNTIFS('ST | Drawing List'!$G:$G,"ST-T2S-9",'ST | Drawing List'!N:N,1)</f>
        <v>0</v>
      </c>
      <c r="CF84" s="506">
        <f>COUNTIFS('ST | Drawing List'!$G:$G,"ST-T2S-9",'ST | Drawing List'!O:O,1)</f>
        <v>0</v>
      </c>
      <c r="CG84" s="471"/>
      <c r="CH84" s="506">
        <f>COUNTIFS('ST | Drawing List'!$G:$G,"ST-T2S-9",'ST | Drawing List'!$P:$P,1)</f>
        <v>0</v>
      </c>
      <c r="CI84" s="506">
        <f>COUNTIFS('ST | Drawing List'!$G:$G,"ST-T2S-9",'ST | Drawing List'!Q:Q,1)</f>
        <v>0</v>
      </c>
      <c r="CJ84" s="506">
        <f>COUNTIFS('ST | Drawing List'!$G:$G,"ST-T2S-9",'ST | Drawing List'!R:R,1)</f>
        <v>0</v>
      </c>
      <c r="CK84" s="506">
        <f>COUNTIFS('ST | Drawing List'!$G:$G,"ST-T2S-9",'ST | Drawing List'!S:S,1)</f>
        <v>0</v>
      </c>
      <c r="CL84" s="506">
        <f>COUNTIFS('ST | Drawing List'!$G:$G,"ST-T2S-9",'ST | Drawing List'!T:T,1)</f>
        <v>0</v>
      </c>
      <c r="CM84" s="508"/>
      <c r="CN84" s="508"/>
      <c r="CO84" s="576">
        <v>0</v>
      </c>
      <c r="CP84" s="508"/>
      <c r="CQ84" s="506">
        <f t="shared" si="299"/>
        <v>0</v>
      </c>
      <c r="CR84" s="510">
        <f t="shared" si="236"/>
        <v>0</v>
      </c>
      <c r="CS84" s="506">
        <f t="shared" si="300"/>
        <v>0</v>
      </c>
      <c r="CT84" s="514">
        <f t="shared" si="301"/>
        <v>0</v>
      </c>
      <c r="CU84" s="514">
        <f t="shared" si="302"/>
        <v>0</v>
      </c>
      <c r="CV84" s="514">
        <f t="shared" si="303"/>
        <v>0</v>
      </c>
      <c r="CW84" s="514">
        <f t="shared" si="304"/>
        <v>0</v>
      </c>
      <c r="CX84" s="514">
        <f t="shared" si="305"/>
        <v>0</v>
      </c>
      <c r="CY84" s="501"/>
      <c r="CZ84" s="514">
        <f t="shared" si="306"/>
        <v>0</v>
      </c>
      <c r="DA84" s="514">
        <f t="shared" si="307"/>
        <v>0</v>
      </c>
      <c r="DB84" s="514">
        <f t="shared" si="308"/>
        <v>0</v>
      </c>
      <c r="DC84" s="514">
        <f t="shared" si="309"/>
        <v>0</v>
      </c>
      <c r="DD84" s="514">
        <f t="shared" si="310"/>
        <v>0</v>
      </c>
      <c r="DE84" s="501"/>
      <c r="DF84" s="570">
        <f t="shared" si="311"/>
        <v>0</v>
      </c>
      <c r="DG84" s="570">
        <f t="shared" si="312"/>
        <v>0</v>
      </c>
      <c r="DH84" s="570">
        <f t="shared" si="313"/>
        <v>0</v>
      </c>
      <c r="DI84" s="520"/>
      <c r="DJ84" s="514">
        <f>COUNTIF('MEP | Drawing List'!$G:$G,"MEP-T2S-6S-9")</f>
        <v>0</v>
      </c>
      <c r="DK84" s="506">
        <f>COUNTIFS('MEP | Drawing List'!$G:$G,"MEP-T2S-6S-9",'MEP | Drawing List'!$I:$I,1)</f>
        <v>0</v>
      </c>
      <c r="DL84" s="506">
        <f>COUNTIFS('MEP | Drawing List'!$G:$G,"MEP-T2S-6S-9",'MEP | Drawing List'!$K:$K,1)</f>
        <v>0</v>
      </c>
      <c r="DM84" s="506">
        <f>COUNTIFS('MEP | Drawing List'!$G:$G,"MEP-T2S-6S-9",'MEP | Drawing List'!L:L,1)</f>
        <v>0</v>
      </c>
      <c r="DN84" s="506">
        <f>COUNTIFS('MEP | Drawing List'!$G:$G,"MEP-T2S-6S-9",'MEP | Drawing List'!M:M,1)</f>
        <v>0</v>
      </c>
      <c r="DO84" s="506">
        <f>COUNTIFS('MEP | Drawing List'!$G:$G,"MEP-T2S-6S-9",'MEP | Drawing List'!N:N,1)</f>
        <v>0</v>
      </c>
      <c r="DP84" s="506">
        <f>COUNTIFS('MEP | Drawing List'!$G:$G,"MEP-T2S-6S-9",'MEP | Drawing List'!O:O,1)</f>
        <v>0</v>
      </c>
      <c r="DQ84" s="530"/>
      <c r="DR84" s="506">
        <f>COUNTIFS('MEP | Drawing List'!$G:$G,"MEP-T2S-6S-9",'MEP | Drawing List'!$P:$P,1)</f>
        <v>0</v>
      </c>
      <c r="DS84" s="506">
        <f>COUNTIFS('MEP | Drawing List'!$G:$G,"MEP-T2S-6S-9",'MEP | Drawing List'!Q:Q,1)</f>
        <v>0</v>
      </c>
      <c r="DT84" s="506">
        <f>COUNTIFS('MEP | Drawing List'!$G:$G,"MEP-T2S-6S-9",'MEP | Drawing List'!R:R,1)</f>
        <v>0</v>
      </c>
      <c r="DU84" s="506">
        <f>COUNTIFS('MEP | Drawing List'!$G:$G,"MEP-T2S-6S-9",'MEP | Drawing List'!S:S,1)</f>
        <v>0</v>
      </c>
      <c r="DV84" s="506">
        <f>COUNTIFS('MEP | Drawing List'!$G:$G,"MEP-T2S-6S-9",'MEP | Drawing List'!T:T,1)</f>
        <v>0</v>
      </c>
      <c r="DW84" s="508"/>
      <c r="DX84" s="508"/>
      <c r="DY84" s="470">
        <v>0.2</v>
      </c>
      <c r="DZ84" s="508"/>
      <c r="EA84" s="506">
        <f t="shared" si="314"/>
        <v>5.5160000000000009E-3</v>
      </c>
      <c r="EB84" s="510">
        <f t="shared" si="237"/>
        <v>5.5160000000000009E-3</v>
      </c>
      <c r="EC84" s="506">
        <f t="shared" si="315"/>
        <v>5.5160000000000009E-3</v>
      </c>
      <c r="ED84" s="506">
        <f t="shared" si="316"/>
        <v>0</v>
      </c>
      <c r="EE84" s="506">
        <f t="shared" si="317"/>
        <v>0</v>
      </c>
      <c r="EF84" s="506">
        <f t="shared" si="318"/>
        <v>0</v>
      </c>
      <c r="EG84" s="506">
        <f t="shared" si="319"/>
        <v>0</v>
      </c>
      <c r="EH84" s="506">
        <f t="shared" si="320"/>
        <v>0</v>
      </c>
      <c r="EI84" s="530"/>
      <c r="EJ84" s="567">
        <f t="shared" si="323"/>
        <v>0</v>
      </c>
      <c r="EK84" s="514">
        <f t="shared" si="324"/>
        <v>0</v>
      </c>
      <c r="EL84" s="514">
        <f t="shared" si="325"/>
        <v>0</v>
      </c>
      <c r="EM84" s="514">
        <f t="shared" si="326"/>
        <v>0</v>
      </c>
      <c r="EN84" s="514">
        <f t="shared" si="327"/>
        <v>0</v>
      </c>
      <c r="EO84" s="501"/>
      <c r="EP84" s="585">
        <f t="shared" si="328"/>
        <v>1</v>
      </c>
      <c r="EQ84" s="585">
        <f t="shared" si="329"/>
        <v>0</v>
      </c>
      <c r="ER84" s="585">
        <f t="shared" si="330"/>
        <v>0</v>
      </c>
      <c r="ES84" s="523"/>
      <c r="ET84" s="514">
        <f>COUNTIF('LS | Drawing List'!$G:$G,"LS-T2S-9")</f>
        <v>6</v>
      </c>
      <c r="EU84" s="506">
        <f>COUNTIFS('LS | Drawing List'!$G:$G,"LS-T2S-9",'LS | Drawing List'!$I:$I,1)</f>
        <v>6</v>
      </c>
      <c r="EV84" s="506">
        <f>COUNTIFS('LS | Drawing List'!$G:$G,"LS-T2S-9",'LS | Drawing List'!$K:$K,1)</f>
        <v>0</v>
      </c>
      <c r="EW84" s="506">
        <f>COUNTIFS('LS | Drawing List'!$G:$G,"LS-T2S-9",'LS | Drawing List'!L:L,1)</f>
        <v>0</v>
      </c>
      <c r="EX84" s="506">
        <f>COUNTIFS('LS | Drawing List'!$G:$G,"LS-T2S-9",'LS | Drawing List'!M:M,1)</f>
        <v>0</v>
      </c>
      <c r="EY84" s="506">
        <f>COUNTIFS('LS | Drawing List'!$G:$G,"LS-T2S-9",'LS | Drawing List'!N:N,1)</f>
        <v>0</v>
      </c>
      <c r="EZ84" s="506">
        <f>COUNTIFS('LS | Drawing List'!$G:$G,"LS-T2S-9",'LS | Drawing List'!O:O,1)</f>
        <v>0</v>
      </c>
      <c r="FA84" s="533"/>
      <c r="FB84" s="506">
        <f>COUNTIFS('LS | Drawing List'!$G:$G,"LS-T2S-9",'LS | Drawing List'!$P:$P,1)</f>
        <v>0</v>
      </c>
      <c r="FC84" s="506">
        <f>COUNTIFS('LS | Drawing List'!$G:$G,"LS-T2S-9",'LS | Drawing List'!Q:Q,1)</f>
        <v>0</v>
      </c>
      <c r="FD84" s="506">
        <f>COUNTIFS('LS | Drawing List'!$G:$G,"LS-T2S-9",'LS | Drawing List'!R:R,1)</f>
        <v>0</v>
      </c>
      <c r="FE84" s="506">
        <f>COUNTIFS('LS | Drawing List'!$G:$G,"LS-T2S-9",'LS | Drawing List'!S:S,1)</f>
        <v>0</v>
      </c>
      <c r="FF84" s="506">
        <f>COUNTIFS('LS | Drawing List'!$G:$G,"LS-T2S-9",'LS | Drawing List'!T:T,1)</f>
        <v>0</v>
      </c>
    </row>
    <row r="85" spans="2:162" ht="3" customHeight="1" outlineLevel="1">
      <c r="B85" s="594"/>
      <c r="C85" s="595"/>
      <c r="D85" s="566"/>
      <c r="F85" s="499"/>
      <c r="G85" s="500"/>
      <c r="H85" s="501"/>
      <c r="I85" s="501"/>
      <c r="J85" s="501"/>
      <c r="K85" s="501"/>
      <c r="L85" s="501"/>
      <c r="M85" s="501"/>
      <c r="N85" s="501"/>
      <c r="O85" s="501"/>
      <c r="P85" s="501"/>
      <c r="Q85" s="501"/>
      <c r="R85" s="501"/>
      <c r="S85" s="501"/>
      <c r="U85" s="569"/>
      <c r="V85" s="503"/>
      <c r="W85" s="499"/>
      <c r="X85" s="500">
        <f t="shared" si="234"/>
        <v>0</v>
      </c>
      <c r="Y85" s="501"/>
      <c r="Z85" s="501"/>
      <c r="AA85" s="501"/>
      <c r="AB85" s="501"/>
      <c r="AC85" s="501"/>
      <c r="AD85" s="501"/>
      <c r="AE85" s="501"/>
      <c r="AF85" s="501"/>
      <c r="AG85" s="501"/>
      <c r="AH85" s="501"/>
      <c r="AI85" s="501"/>
      <c r="AJ85" s="501"/>
      <c r="AK85" s="501"/>
      <c r="AL85" s="513"/>
      <c r="AM85" s="513"/>
      <c r="AN85" s="513"/>
      <c r="AO85" s="518"/>
      <c r="AP85" s="551"/>
      <c r="AQ85" s="551"/>
      <c r="AR85" s="551"/>
      <c r="AS85" s="551"/>
      <c r="AT85" s="551"/>
      <c r="AU85" s="551"/>
      <c r="AV85" s="551"/>
      <c r="AW85" s="551"/>
      <c r="AX85" s="551"/>
      <c r="AY85" s="551"/>
      <c r="AZ85" s="551"/>
      <c r="BA85" s="551"/>
      <c r="BB85" s="551"/>
      <c r="BC85" s="551"/>
      <c r="BD85" s="551"/>
      <c r="BE85" s="511"/>
      <c r="BF85" s="508"/>
      <c r="BG85" s="509"/>
      <c r="BH85" s="510">
        <f t="shared" si="235"/>
        <v>0</v>
      </c>
      <c r="BI85" s="501"/>
      <c r="BJ85" s="501"/>
      <c r="BK85" s="501"/>
      <c r="BL85" s="501"/>
      <c r="BM85" s="501"/>
      <c r="BN85" s="501"/>
      <c r="BO85" s="501"/>
      <c r="BP85" s="501"/>
      <c r="BQ85" s="501"/>
      <c r="BR85" s="501"/>
      <c r="BS85" s="501"/>
      <c r="BT85" s="501"/>
      <c r="BU85" s="501"/>
      <c r="BV85" s="511"/>
      <c r="BW85" s="511"/>
      <c r="BX85" s="511"/>
      <c r="BY85" s="518"/>
      <c r="BZ85" s="552"/>
      <c r="CA85" s="552"/>
      <c r="CB85" s="608"/>
      <c r="CC85" s="512"/>
      <c r="CD85" s="512"/>
      <c r="CE85" s="512"/>
      <c r="CF85" s="512"/>
      <c r="CG85" s="512"/>
      <c r="CH85" s="608"/>
      <c r="CI85" s="512"/>
      <c r="CJ85" s="512"/>
      <c r="CK85" s="512"/>
      <c r="CL85" s="512"/>
      <c r="CM85" s="508"/>
      <c r="CN85" s="508"/>
      <c r="CO85" s="511"/>
      <c r="CP85" s="508"/>
      <c r="CQ85" s="509"/>
      <c r="CR85" s="510">
        <f t="shared" si="236"/>
        <v>0</v>
      </c>
      <c r="CS85" s="501"/>
      <c r="CT85" s="501"/>
      <c r="CU85" s="501"/>
      <c r="CV85" s="501"/>
      <c r="CW85" s="501"/>
      <c r="CX85" s="501"/>
      <c r="CY85" s="501"/>
      <c r="CZ85" s="501"/>
      <c r="DA85" s="501"/>
      <c r="DB85" s="501"/>
      <c r="DC85" s="501"/>
      <c r="DD85" s="501"/>
      <c r="DE85" s="501"/>
      <c r="DF85" s="513"/>
      <c r="DG85" s="513"/>
      <c r="DH85" s="513"/>
      <c r="DI85" s="518"/>
      <c r="DJ85" s="551"/>
      <c r="DK85" s="551"/>
      <c r="DL85" s="551"/>
      <c r="DM85" s="501"/>
      <c r="DN85" s="501"/>
      <c r="DO85" s="501"/>
      <c r="DP85" s="501"/>
      <c r="DQ85" s="501"/>
      <c r="DR85" s="551"/>
      <c r="DS85" s="501"/>
      <c r="DT85" s="501"/>
      <c r="DU85" s="501"/>
      <c r="DV85" s="501"/>
      <c r="DW85" s="508"/>
      <c r="DX85" s="508"/>
      <c r="DY85" s="511"/>
      <c r="DZ85" s="508"/>
      <c r="EA85" s="509"/>
      <c r="EB85" s="510">
        <f t="shared" si="237"/>
        <v>0</v>
      </c>
      <c r="EC85" s="515"/>
      <c r="ED85" s="515"/>
      <c r="EE85" s="515"/>
      <c r="EF85" s="515"/>
      <c r="EG85" s="515"/>
      <c r="EH85" s="515"/>
      <c r="EI85" s="515"/>
      <c r="EJ85" s="515"/>
      <c r="EK85" s="515"/>
      <c r="EL85" s="515"/>
      <c r="EM85" s="515"/>
      <c r="EN85" s="515"/>
      <c r="EO85" s="515"/>
      <c r="EP85" s="52"/>
      <c r="EQ85" s="52"/>
      <c r="ER85" s="52"/>
      <c r="ET85" s="57"/>
      <c r="EW85" s="515"/>
      <c r="EX85" s="515"/>
      <c r="EY85" s="515"/>
      <c r="EZ85" s="515"/>
      <c r="FA85" s="515"/>
      <c r="FC85" s="515"/>
      <c r="FD85" s="515"/>
      <c r="FE85" s="515"/>
      <c r="FF85" s="515"/>
    </row>
    <row r="86" spans="2:162" ht="14.25" outlineLevel="1">
      <c r="B86" s="477"/>
      <c r="C86" s="559">
        <v>4</v>
      </c>
      <c r="D86" s="560" t="s">
        <v>95</v>
      </c>
      <c r="E86" s="479"/>
      <c r="F86" s="480">
        <f>W86+BG86+CQ86+EA86</f>
        <v>5.0729227200000002</v>
      </c>
      <c r="G86" s="480">
        <f>X86+BH86+CR86+EB86</f>
        <v>5.0729227200000011</v>
      </c>
      <c r="H86" s="481">
        <f>F86-G86</f>
        <v>0</v>
      </c>
      <c r="I86" s="480">
        <f t="shared" ref="I86:I96" si="332">Z86+BJ86+CT86+ED86</f>
        <v>0</v>
      </c>
      <c r="J86" s="480">
        <f t="shared" ref="J86:J96" si="333">AA86+BK86+CU86+EE86</f>
        <v>0</v>
      </c>
      <c r="K86" s="480">
        <f t="shared" ref="K86:K96" si="334">AB86+BL86+CV86+EF86</f>
        <v>0</v>
      </c>
      <c r="L86" s="480">
        <f t="shared" ref="L86:L96" si="335">AC86+BM86+CW86+EG86</f>
        <v>0</v>
      </c>
      <c r="M86" s="480">
        <f t="shared" ref="M86:M96" si="336">AD86+BN86+CX86+EH86</f>
        <v>0</v>
      </c>
      <c r="N86" s="482"/>
      <c r="O86" s="480">
        <f t="shared" ref="O86:O96" si="337">AF86+BP86+CZ86+EJ86</f>
        <v>0</v>
      </c>
      <c r="P86" s="480">
        <f t="shared" ref="P86:P96" si="338">AG86+BQ86+DA86+EK86</f>
        <v>0</v>
      </c>
      <c r="Q86" s="480">
        <f t="shared" ref="Q86:Q96" si="339">AH86+BR86+DB86+EL86</f>
        <v>0</v>
      </c>
      <c r="R86" s="480">
        <f t="shared" ref="R86:R96" si="340">AI86+BS86+DC86+EM86</f>
        <v>0</v>
      </c>
      <c r="S86" s="480">
        <f t="shared" ref="S86:S96" si="341">AJ86+BT86+DD86+EN86</f>
        <v>0</v>
      </c>
      <c r="T86" s="479"/>
      <c r="U86" s="561">
        <f>SUM(U87:U96)</f>
        <v>0.5</v>
      </c>
      <c r="V86" s="483"/>
      <c r="W86" s="480">
        <f>U86*(5%*0.64*SUM('BOQ COST'!E10:E12))*1</f>
        <v>3.3054720000000004</v>
      </c>
      <c r="X86" s="480">
        <f t="shared" si="234"/>
        <v>3.3054720000000004</v>
      </c>
      <c r="Y86" s="481">
        <f>SUM(Y87:Y96)</f>
        <v>3.3054720000000004</v>
      </c>
      <c r="Z86" s="481">
        <f>SUM(Z87:Z96)</f>
        <v>0</v>
      </c>
      <c r="AA86" s="481">
        <f t="shared" ref="AA86:AD86" si="342">SUM(AA87:AA96)</f>
        <v>0</v>
      </c>
      <c r="AB86" s="481">
        <f t="shared" si="342"/>
        <v>0</v>
      </c>
      <c r="AC86" s="481">
        <f t="shared" si="342"/>
        <v>0</v>
      </c>
      <c r="AD86" s="481">
        <f t="shared" si="342"/>
        <v>0</v>
      </c>
      <c r="AE86" s="482"/>
      <c r="AF86" s="481">
        <f>SUM(AF87:AF96)</f>
        <v>0</v>
      </c>
      <c r="AG86" s="481">
        <f t="shared" ref="AG86:AJ86" si="343">SUM(AG87:AG96)</f>
        <v>0</v>
      </c>
      <c r="AH86" s="481">
        <f t="shared" si="343"/>
        <v>0</v>
      </c>
      <c r="AI86" s="481">
        <f t="shared" si="343"/>
        <v>0</v>
      </c>
      <c r="AJ86" s="481">
        <f t="shared" si="343"/>
        <v>0</v>
      </c>
      <c r="AK86" s="482"/>
      <c r="AL86" s="492"/>
      <c r="AM86" s="492"/>
      <c r="AN86" s="492"/>
      <c r="AO86" s="481">
        <f t="shared" ref="AO86" si="344">SUM(AO87:AO96)</f>
        <v>0</v>
      </c>
      <c r="AP86" s="481">
        <f t="shared" ref="AP86" si="345">SUM(AP87:AP96)</f>
        <v>77</v>
      </c>
      <c r="AQ86" s="481">
        <f t="shared" ref="AQ86" si="346">SUM(AQ87:AQ96)</f>
        <v>77</v>
      </c>
      <c r="AR86" s="481">
        <f t="shared" si="238"/>
        <v>0</v>
      </c>
      <c r="AS86" s="481">
        <f>SUM(AS87:AS96)</f>
        <v>0</v>
      </c>
      <c r="AT86" s="481">
        <f t="shared" ref="AT86:AX86" si="347">SUM(AT87:AT96)</f>
        <v>0</v>
      </c>
      <c r="AU86" s="481">
        <f t="shared" si="347"/>
        <v>0</v>
      </c>
      <c r="AV86" s="481">
        <f t="shared" si="347"/>
        <v>0</v>
      </c>
      <c r="AW86" s="482"/>
      <c r="AX86" s="481">
        <f t="shared" si="347"/>
        <v>0</v>
      </c>
      <c r="AY86" s="481">
        <f>SUM(AY87:AY96)</f>
        <v>0</v>
      </c>
      <c r="AZ86" s="481">
        <f t="shared" ref="AZ86:BB86" si="348">SUM(AZ87:AZ96)</f>
        <v>0</v>
      </c>
      <c r="BA86" s="481">
        <f t="shared" si="348"/>
        <v>0</v>
      </c>
      <c r="BB86" s="481">
        <f t="shared" si="348"/>
        <v>0</v>
      </c>
      <c r="BC86" s="487"/>
      <c r="BD86" s="487"/>
      <c r="BE86" s="483">
        <f>SUM(BE87:BE96)</f>
        <v>0.55000000000000004</v>
      </c>
      <c r="BF86" s="483"/>
      <c r="BG86" s="480">
        <f>BE86*(3%*0.64*('BOQ COST'!$F$10+'BOQ COST'!$F$11+'BOQ COST'!$F$12))*1</f>
        <v>1.52084592</v>
      </c>
      <c r="BH86" s="480">
        <f t="shared" si="235"/>
        <v>1.5208459200000002</v>
      </c>
      <c r="BI86" s="481">
        <f>SUM(BI87:BI96)</f>
        <v>1.5208459200000002</v>
      </c>
      <c r="BJ86" s="481">
        <f>SUM(BJ87:BJ96)</f>
        <v>0</v>
      </c>
      <c r="BK86" s="481">
        <f t="shared" ref="BK86:CF86" si="349">SUM(BK87:BK96)</f>
        <v>0</v>
      </c>
      <c r="BL86" s="481">
        <f t="shared" si="349"/>
        <v>0</v>
      </c>
      <c r="BM86" s="481">
        <f t="shared" si="349"/>
        <v>0</v>
      </c>
      <c r="BN86" s="481">
        <f t="shared" si="349"/>
        <v>0</v>
      </c>
      <c r="BO86" s="482"/>
      <c r="BP86" s="481">
        <f>SUM(BP87:BP96)</f>
        <v>0</v>
      </c>
      <c r="BQ86" s="481">
        <f t="shared" ref="BQ86:BT86" si="350">SUM(BQ87:BQ96)</f>
        <v>0</v>
      </c>
      <c r="BR86" s="481">
        <f t="shared" si="350"/>
        <v>0</v>
      </c>
      <c r="BS86" s="481">
        <f t="shared" si="350"/>
        <v>0</v>
      </c>
      <c r="BT86" s="481">
        <f t="shared" si="350"/>
        <v>0</v>
      </c>
      <c r="BU86" s="482"/>
      <c r="BV86" s="488"/>
      <c r="BW86" s="488"/>
      <c r="BX86" s="488"/>
      <c r="BY86" s="481">
        <f t="shared" si="349"/>
        <v>0</v>
      </c>
      <c r="BZ86" s="481">
        <f t="shared" si="349"/>
        <v>2026</v>
      </c>
      <c r="CA86" s="481">
        <f t="shared" si="349"/>
        <v>2026</v>
      </c>
      <c r="CB86" s="481">
        <f t="shared" si="349"/>
        <v>0</v>
      </c>
      <c r="CC86" s="481">
        <f t="shared" si="349"/>
        <v>0</v>
      </c>
      <c r="CD86" s="481">
        <f t="shared" si="349"/>
        <v>0</v>
      </c>
      <c r="CE86" s="481">
        <f t="shared" si="349"/>
        <v>0</v>
      </c>
      <c r="CF86" s="481">
        <f t="shared" si="349"/>
        <v>0</v>
      </c>
      <c r="CG86" s="490"/>
      <c r="CH86" s="481">
        <f t="shared" ref="CH86:CL86" si="351">SUM(CH87:CH96)</f>
        <v>0</v>
      </c>
      <c r="CI86" s="481">
        <f t="shared" si="351"/>
        <v>0</v>
      </c>
      <c r="CJ86" s="481">
        <f t="shared" si="351"/>
        <v>0</v>
      </c>
      <c r="CK86" s="481">
        <f t="shared" si="351"/>
        <v>0</v>
      </c>
      <c r="CL86" s="481">
        <f t="shared" si="351"/>
        <v>0</v>
      </c>
      <c r="CM86" s="483"/>
      <c r="CN86" s="483"/>
      <c r="CO86" s="483">
        <f>SUM(CO87:CO96)</f>
        <v>0.65</v>
      </c>
      <c r="CP86" s="483"/>
      <c r="CQ86" s="480">
        <f>CO86*(2%*0.64*('BOQ COST'!$G$10+'BOQ COST'!$G$11+'BOQ COST'!$G$12))*1</f>
        <v>0.24660480000000001</v>
      </c>
      <c r="CR86" s="480">
        <f t="shared" si="236"/>
        <v>0.24660480000000001</v>
      </c>
      <c r="CS86" s="481">
        <f>SUM(CS87:CS96)</f>
        <v>0.24660480000000001</v>
      </c>
      <c r="CT86" s="481">
        <f>SUM(CT87:CT96)</f>
        <v>0</v>
      </c>
      <c r="CU86" s="481">
        <f t="shared" ref="CU86:DP86" si="352">SUM(CU87:CU96)</f>
        <v>0</v>
      </c>
      <c r="CV86" s="481">
        <f t="shared" si="352"/>
        <v>0</v>
      </c>
      <c r="CW86" s="481">
        <f t="shared" si="352"/>
        <v>0</v>
      </c>
      <c r="CX86" s="481">
        <f t="shared" si="352"/>
        <v>0</v>
      </c>
      <c r="CY86" s="482"/>
      <c r="CZ86" s="481">
        <f>SUM(CZ87:CZ96)</f>
        <v>0</v>
      </c>
      <c r="DA86" s="481">
        <f t="shared" ref="DA86:DD86" si="353">SUM(DA87:DA96)</f>
        <v>0</v>
      </c>
      <c r="DB86" s="481">
        <f t="shared" si="353"/>
        <v>0</v>
      </c>
      <c r="DC86" s="481">
        <f t="shared" si="353"/>
        <v>0</v>
      </c>
      <c r="DD86" s="481">
        <f t="shared" si="353"/>
        <v>0</v>
      </c>
      <c r="DE86" s="482"/>
      <c r="DF86" s="492"/>
      <c r="DG86" s="492"/>
      <c r="DH86" s="492"/>
      <c r="DI86" s="481">
        <f t="shared" si="352"/>
        <v>0</v>
      </c>
      <c r="DJ86" s="481">
        <f t="shared" si="352"/>
        <v>173</v>
      </c>
      <c r="DK86" s="481">
        <f t="shared" si="352"/>
        <v>173</v>
      </c>
      <c r="DL86" s="481">
        <f t="shared" si="352"/>
        <v>0</v>
      </c>
      <c r="DM86" s="481">
        <f t="shared" si="352"/>
        <v>0</v>
      </c>
      <c r="DN86" s="481">
        <f t="shared" si="352"/>
        <v>0</v>
      </c>
      <c r="DO86" s="481">
        <f t="shared" si="352"/>
        <v>0</v>
      </c>
      <c r="DP86" s="481">
        <f t="shared" si="352"/>
        <v>0</v>
      </c>
      <c r="DQ86" s="482"/>
      <c r="DR86" s="481">
        <f t="shared" ref="DR86:DV86" si="354">SUM(DR87:DR96)</f>
        <v>0</v>
      </c>
      <c r="DS86" s="481">
        <f t="shared" si="354"/>
        <v>0</v>
      </c>
      <c r="DT86" s="481">
        <f t="shared" si="354"/>
        <v>0</v>
      </c>
      <c r="DU86" s="481">
        <f t="shared" si="354"/>
        <v>0</v>
      </c>
      <c r="DV86" s="481">
        <f t="shared" si="354"/>
        <v>0</v>
      </c>
      <c r="DW86" s="483"/>
      <c r="DX86" s="483"/>
      <c r="DY86" s="480">
        <f>SUM(DY87:DY96)</f>
        <v>0</v>
      </c>
      <c r="DZ86" s="483"/>
      <c r="EA86" s="491">
        <v>0</v>
      </c>
      <c r="EB86" s="480">
        <f t="shared" si="237"/>
        <v>0</v>
      </c>
      <c r="EC86" s="536">
        <f>SUM(EC87:EC96)</f>
        <v>0</v>
      </c>
      <c r="ED86" s="536">
        <f>SUM(ED87:ED96)</f>
        <v>0</v>
      </c>
      <c r="EE86" s="536">
        <f t="shared" ref="EE86:EZ86" si="355">SUM(EE87:EE96)</f>
        <v>0</v>
      </c>
      <c r="EF86" s="536">
        <f t="shared" si="355"/>
        <v>0</v>
      </c>
      <c r="EG86" s="536">
        <f t="shared" si="355"/>
        <v>0</v>
      </c>
      <c r="EH86" s="536">
        <f t="shared" si="355"/>
        <v>0</v>
      </c>
      <c r="EI86" s="562"/>
      <c r="EJ86" s="536">
        <f>SUM(EJ87:EJ96)</f>
        <v>0</v>
      </c>
      <c r="EK86" s="536">
        <f t="shared" ref="EK86:EN86" si="356">SUM(EK87:EK96)</f>
        <v>0</v>
      </c>
      <c r="EL86" s="536">
        <f t="shared" si="356"/>
        <v>0</v>
      </c>
      <c r="EM86" s="536">
        <f t="shared" si="356"/>
        <v>0</v>
      </c>
      <c r="EN86" s="536">
        <f t="shared" si="356"/>
        <v>0</v>
      </c>
      <c r="EO86" s="562"/>
      <c r="EP86" s="563"/>
      <c r="EQ86" s="563"/>
      <c r="ER86" s="563"/>
      <c r="ES86" s="536">
        <f t="shared" si="355"/>
        <v>0</v>
      </c>
      <c r="ET86" s="536">
        <f t="shared" si="355"/>
        <v>0</v>
      </c>
      <c r="EU86" s="536">
        <f t="shared" si="355"/>
        <v>0</v>
      </c>
      <c r="EV86" s="536">
        <f t="shared" si="355"/>
        <v>0</v>
      </c>
      <c r="EW86" s="536">
        <f t="shared" si="355"/>
        <v>0</v>
      </c>
      <c r="EX86" s="536">
        <f t="shared" si="355"/>
        <v>0</v>
      </c>
      <c r="EY86" s="536">
        <f t="shared" si="355"/>
        <v>0</v>
      </c>
      <c r="EZ86" s="536">
        <f t="shared" si="355"/>
        <v>0</v>
      </c>
      <c r="FA86" s="562"/>
      <c r="FB86" s="536">
        <f t="shared" ref="FB86:FF86" si="357">SUM(FB87:FB96)</f>
        <v>0</v>
      </c>
      <c r="FC86" s="536">
        <f t="shared" si="357"/>
        <v>0</v>
      </c>
      <c r="FD86" s="536">
        <f t="shared" si="357"/>
        <v>0</v>
      </c>
      <c r="FE86" s="536">
        <f t="shared" si="357"/>
        <v>0</v>
      </c>
      <c r="FF86" s="536">
        <f t="shared" si="357"/>
        <v>0</v>
      </c>
    </row>
    <row r="87" spans="2:162" ht="14.25" outlineLevel="2">
      <c r="B87" s="564" t="s">
        <v>96</v>
      </c>
      <c r="C87" s="565">
        <v>1</v>
      </c>
      <c r="D87" s="566" t="s">
        <v>52</v>
      </c>
      <c r="F87" s="500">
        <f t="shared" ref="F87:F96" si="358">W87+BG87+CQ87+EA87</f>
        <v>0.47973024000000003</v>
      </c>
      <c r="G87" s="500">
        <f t="shared" ref="G87:G96" si="359">X87+BH87+CR87+EB87</f>
        <v>0.47973024000000003</v>
      </c>
      <c r="H87" s="514">
        <f t="shared" ref="H87:H96" si="360">F87-G87</f>
        <v>0</v>
      </c>
      <c r="I87" s="514">
        <f t="shared" si="332"/>
        <v>0</v>
      </c>
      <c r="J87" s="514">
        <f t="shared" si="333"/>
        <v>0</v>
      </c>
      <c r="K87" s="514">
        <f t="shared" si="334"/>
        <v>0</v>
      </c>
      <c r="L87" s="514">
        <f t="shared" si="335"/>
        <v>0</v>
      </c>
      <c r="M87" s="567">
        <f t="shared" si="336"/>
        <v>0</v>
      </c>
      <c r="N87" s="568"/>
      <c r="O87" s="514">
        <f t="shared" si="337"/>
        <v>0</v>
      </c>
      <c r="P87" s="514">
        <f t="shared" si="338"/>
        <v>0</v>
      </c>
      <c r="Q87" s="514">
        <f t="shared" si="339"/>
        <v>0</v>
      </c>
      <c r="R87" s="514">
        <f t="shared" si="340"/>
        <v>0</v>
      </c>
      <c r="S87" s="514">
        <f t="shared" si="341"/>
        <v>0</v>
      </c>
      <c r="U87" s="569">
        <v>2.5000000000000001E-2</v>
      </c>
      <c r="V87" s="503"/>
      <c r="W87" s="500">
        <f t="shared" ref="W87:W96" si="361">$W$86/$U$86*U87</f>
        <v>0.16527360000000002</v>
      </c>
      <c r="X87" s="500">
        <f t="shared" si="234"/>
        <v>0.16527360000000002</v>
      </c>
      <c r="Y87" s="514">
        <f t="shared" ref="Y87:Y96" si="362">IFERROR(IF(AL87=100%,W87,0),0)</f>
        <v>0.16527360000000002</v>
      </c>
      <c r="Z87" s="514">
        <f t="shared" ref="Z87:Z96" si="363">IFERROR(IF(AND((AL87+AM87)=100%,AL87&lt;1),W87,0),0)</f>
        <v>0</v>
      </c>
      <c r="AA87" s="514">
        <f t="shared" ref="AA87:AA96" si="364">IFERROR(IF(AND((AQ87+AS87)=AP87,Y87=0),W87,0),0)</f>
        <v>0</v>
      </c>
      <c r="AB87" s="514">
        <f t="shared" ref="AB87:AB96" si="365">IFERROR(IF(AND((AQ87+AS87+AT87)=AP87,Y87=0,AA87=0),W87,0),0)</f>
        <v>0</v>
      </c>
      <c r="AC87" s="514">
        <f t="shared" ref="AC87:AC96" si="366">IFERROR(IF(AND((AQ87+AS87+AT87+AU87)=AP87,Y87=0,AA87=0,AB87=0),W87,0),0)</f>
        <v>0</v>
      </c>
      <c r="AD87" s="567">
        <f t="shared" ref="AD87:AD96" si="367">IFERROR(IF(AND((AQ87+AS87+AT87+AU87+AV87)=AP87,Y87=0,AA87=0,AB87=0,AC87=0),W87,0),0)</f>
        <v>0</v>
      </c>
      <c r="AE87" s="568"/>
      <c r="AF87" s="514">
        <f t="shared" ref="AF87:AF96" si="368">IFERROR(IF(AND((AL87+AN87)=100%,AL87&lt;1),W87,0),0)</f>
        <v>0</v>
      </c>
      <c r="AG87" s="514">
        <f t="shared" ref="AG87:AG96" si="369">IFERROR(IF(AND((AQ87+AY87)=AP87,Y87=0),W87,0),0)</f>
        <v>0</v>
      </c>
      <c r="AH87" s="514">
        <f t="shared" ref="AH87:AH96" si="370">IFERROR(IF(AND((AQ87+AY87+AZ87)=AP87,Y87=0,AG87=0),W87,0),0)</f>
        <v>0</v>
      </c>
      <c r="AI87" s="514">
        <f t="shared" ref="AI87:AI96" si="371">IFERROR(IF(AND((AQ87+AY87+AZ87+BA87)=AP87,Y87=0,AG87=0,AH87=0),W87,0),0)</f>
        <v>0</v>
      </c>
      <c r="AJ87" s="514">
        <f t="shared" ref="AJ87:AJ96" si="372">IFERROR(IF(AND((AQ87+AY87+AZ87+BA87+BB87)=AP87,Y87=0,AG87=0,AH87=0,AI87=0),W87,0),0)</f>
        <v>0</v>
      </c>
      <c r="AK87" s="501"/>
      <c r="AL87" s="570">
        <f t="shared" ref="AL87:AL96" si="373">IFERROR(AQ87/AP87,0)</f>
        <v>1</v>
      </c>
      <c r="AM87" s="570">
        <f t="shared" ref="AM87:AM96" si="374">IFERROR(AR87/AP87,0)</f>
        <v>0</v>
      </c>
      <c r="AN87" s="570">
        <f t="shared" ref="AN87:AN96" si="375">IFERROR(AX87/AP87,0)</f>
        <v>0</v>
      </c>
      <c r="AO87" s="518"/>
      <c r="AP87" s="514">
        <f>COUNTIF('AR | Drawing List'!$G:$G,"AR-TXV-1")</f>
        <v>27</v>
      </c>
      <c r="AQ87" s="506">
        <f>COUNTIFS('AR | Drawing List'!$G:$G,"AR-TXV-1",'AR | Drawing List'!$I:$I,1)</f>
        <v>27</v>
      </c>
      <c r="AR87" s="506">
        <f t="shared" si="238"/>
        <v>0</v>
      </c>
      <c r="AS87" s="506">
        <f>COUNTIFS('AR | Drawing List'!$G:$G,"AR-TXV-1",'AR | Drawing List'!M:M,1)</f>
        <v>0</v>
      </c>
      <c r="AT87" s="506">
        <f>COUNTIFS('AR | Drawing List'!$G:$G,"AR-TXV-1",'AR | Drawing List'!N:N,1)</f>
        <v>0</v>
      </c>
      <c r="AU87" s="506">
        <f>COUNTIFS('AR | Drawing List'!$G:$G,"AR-TXV-1",'AR | Drawing List'!O:O,1)</f>
        <v>0</v>
      </c>
      <c r="AV87" s="506">
        <f>COUNTIFS('AR | Drawing List'!$G:$G,"AR-TXV-1",'AR | Drawing List'!P:P,1)</f>
        <v>0</v>
      </c>
      <c r="AW87" s="466"/>
      <c r="AX87" s="506">
        <f t="shared" ref="AX87:AX96" si="376">SUM(AY87:BB87)</f>
        <v>0</v>
      </c>
      <c r="AY87" s="506">
        <f>COUNTIFS('AR | Drawing List'!$G:$G,"AR-TXV-1",'AR | Drawing List'!R:R,1)</f>
        <v>0</v>
      </c>
      <c r="AZ87" s="506">
        <f>COUNTIFS('AR | Drawing List'!$G:$G,"AR-TXV-1",'AR | Drawing List'!S:S,1)</f>
        <v>0</v>
      </c>
      <c r="BA87" s="506">
        <f>COUNTIFS('AR | Drawing List'!$G:$G,"AR-TXV-1",'AR | Drawing List'!T:T,1)</f>
        <v>0</v>
      </c>
      <c r="BB87" s="506">
        <f>COUNTIFS('AR | Drawing List'!$G:$G,"AR-TXV-1",'AR | Drawing List'!U:U,1)</f>
        <v>0</v>
      </c>
      <c r="BC87" s="466"/>
      <c r="BD87" s="466"/>
      <c r="BE87" s="511">
        <v>0.1</v>
      </c>
      <c r="BF87" s="508"/>
      <c r="BG87" s="506">
        <f t="shared" ref="BG87:BG96" si="377">$BG$86/$BE$86*BE87</f>
        <v>0.27651744</v>
      </c>
      <c r="BH87" s="510">
        <f t="shared" si="235"/>
        <v>0.27651744</v>
      </c>
      <c r="BI87" s="514">
        <f t="shared" ref="BI87:BI96" si="378">IFERROR(IF(BV87=100%,BG87,0),0)</f>
        <v>0.27651744</v>
      </c>
      <c r="BJ87" s="514">
        <f t="shared" ref="BJ87:BJ96" si="379">IFERROR(IF(AND((BV87+BW87)=100%,BV87&lt;1),BG87,0),0)</f>
        <v>0</v>
      </c>
      <c r="BK87" s="514">
        <f t="shared" ref="BK87:BK96" si="380">IFERROR(IF(AND((CA87+CC87)=BZ87,BI87=0),BG87,0),0)</f>
        <v>0</v>
      </c>
      <c r="BL87" s="514">
        <f t="shared" ref="BL87:BL96" si="381">IFERROR(IF(AND((CA87+CC87+CD87)=BZ87,BI87=0,BK87=0),BG87,0),0)</f>
        <v>0</v>
      </c>
      <c r="BM87" s="514">
        <f t="shared" ref="BM87:BM96" si="382">IFERROR(IF(AND((CA87+CC87+CD87+CE87)=BZ87,BI87=0,BK87=0,BL87=0),BG87,0),0)</f>
        <v>0</v>
      </c>
      <c r="BN87" s="514">
        <f t="shared" ref="BN87:BN96" si="383">IFERROR(IF(AND((CA87+CC87+CD87+CE87+CF87)=BZ87,BI87=0,BK87=0,BL87=0,BM87=0),BG87,0),0)</f>
        <v>0</v>
      </c>
      <c r="BO87" s="501"/>
      <c r="BP87" s="514">
        <f t="shared" ref="BP87:BP96" si="384">IFERROR(IF(AND((BV87+BX87)=100%,BV87&lt;1),BG87,0),0)</f>
        <v>0</v>
      </c>
      <c r="BQ87" s="514">
        <f t="shared" ref="BQ87:BQ96" si="385">IFERROR(IF(AND((CA87+CI87)=BZ87,BI87=0),BG87,0),0)</f>
        <v>0</v>
      </c>
      <c r="BR87" s="514">
        <f t="shared" ref="BR87:BR96" si="386">IFERROR(IF(AND((CA87+CI87+CJ87)=BZ87,BI87=0,BQ87=0),BG87,0),0)</f>
        <v>0</v>
      </c>
      <c r="BS87" s="514">
        <f t="shared" ref="BS87:BS96" si="387">IFERROR(IF(AND((CA87+CI87+CJ87+CK87)=BZ87,BI87=0,BQ87=0,BR87=0),BG87,0),0)</f>
        <v>0</v>
      </c>
      <c r="BT87" s="514">
        <f t="shared" ref="BT87:BT96" si="388">IFERROR(IF(AND((CA87+CI87+CJ87+CK87+CL87)=BZ87,BI87=0,BQ87=0,BR87=0,BS87=0),BG87,0),0)</f>
        <v>0</v>
      </c>
      <c r="BU87" s="501"/>
      <c r="BV87" s="571">
        <f t="shared" ref="BV87:BV96" si="389">IFERROR(CA87/BZ87,0)</f>
        <v>1</v>
      </c>
      <c r="BW87" s="571">
        <f t="shared" ref="BW87:BW96" si="390">IFERROR(CB87/BZ87,0)</f>
        <v>0</v>
      </c>
      <c r="BX87" s="571">
        <f t="shared" ref="BX87:BX96" si="391">IFERROR(CH87/BZ87,0)</f>
        <v>0</v>
      </c>
      <c r="BY87" s="518"/>
      <c r="BZ87" s="514">
        <f>COUNTIF('ST | Drawing List'!$G:$G,"ST-TXV-1")</f>
        <v>307</v>
      </c>
      <c r="CA87" s="506">
        <f>COUNTIFS('ST | Drawing List'!$G:$G,"ST-TXV-1",'ST | Drawing List'!$I:$I,1)</f>
        <v>307</v>
      </c>
      <c r="CB87" s="572">
        <f>COUNTIFS('ST | Drawing List'!$G:$G,"ST-TXV-1",'ST | Drawing List'!$K:$K,1)</f>
        <v>0</v>
      </c>
      <c r="CC87" s="506">
        <f>COUNTIFS('ST | Drawing List'!$G:$G,"ST-TXV-1",'ST | Drawing List'!L:L,1)</f>
        <v>0</v>
      </c>
      <c r="CD87" s="506">
        <f>COUNTIFS('ST | Drawing List'!$G:$G,"ST-TXV-1",'ST | Drawing List'!M:M,1)</f>
        <v>0</v>
      </c>
      <c r="CE87" s="506">
        <f>COUNTIFS('ST | Drawing List'!$G:$G,"ST-TXV-1",'ST | Drawing List'!N:N,1)</f>
        <v>0</v>
      </c>
      <c r="CF87" s="506">
        <f>COUNTIFS('ST | Drawing List'!$G:$G,"ST-TXV-1",'ST | Drawing List'!O:O,1)</f>
        <v>0</v>
      </c>
      <c r="CG87" s="471"/>
      <c r="CH87" s="572">
        <f>COUNTIFS('ST | Drawing List'!$G:$G,"ST-TXV-1",'ST | Drawing List'!$P:$P,1)</f>
        <v>0</v>
      </c>
      <c r="CI87" s="506">
        <f>COUNTIFS('ST | Drawing List'!$G:$G,"ST-TXV-1",'ST | Drawing List'!Q:Q,1)</f>
        <v>0</v>
      </c>
      <c r="CJ87" s="506">
        <f>COUNTIFS('ST | Drawing List'!$G:$G,"ST-TXV-1",'ST | Drawing List'!R:R,1)</f>
        <v>0</v>
      </c>
      <c r="CK87" s="506">
        <f>COUNTIFS('ST | Drawing List'!$G:$G,"ST-TXV-1",'ST | Drawing List'!S:S,1)</f>
        <v>0</v>
      </c>
      <c r="CL87" s="506">
        <f>COUNTIFS('ST | Drawing List'!$G:$G,"ST-TXV-1",'ST | Drawing List'!T:T,1)</f>
        <v>0</v>
      </c>
      <c r="CM87" s="508"/>
      <c r="CN87" s="508"/>
      <c r="CO87" s="511">
        <v>0.1</v>
      </c>
      <c r="CP87" s="508"/>
      <c r="CQ87" s="506">
        <f t="shared" ref="CQ87:CQ96" si="392">$CQ$86/$CO$86*CO87</f>
        <v>3.7939200000000006E-2</v>
      </c>
      <c r="CR87" s="510">
        <f t="shared" si="236"/>
        <v>3.7939200000000006E-2</v>
      </c>
      <c r="CS87" s="514">
        <f t="shared" ref="CS87:CS96" si="393">IFERROR(IF(DF87=100%,CQ87,0),0)</f>
        <v>3.7939200000000006E-2</v>
      </c>
      <c r="CT87" s="514">
        <f t="shared" ref="CT87:CT96" si="394">IFERROR(IF(AND((DF87+DG87)=100%,DF87&lt;1),CQ87,0),0)</f>
        <v>0</v>
      </c>
      <c r="CU87" s="514">
        <f t="shared" ref="CU87:CU96" si="395">IFERROR(IF(AND((DK87+DM87)=DJ87,CS87=0),CQ87,0),0)</f>
        <v>0</v>
      </c>
      <c r="CV87" s="514">
        <f t="shared" ref="CV87:CV96" si="396">IFERROR(IF(AND((DK87+DM87+DN87)=DJ87,CS87=0,CU87=0),CQ87,0),0)</f>
        <v>0</v>
      </c>
      <c r="CW87" s="514">
        <f t="shared" ref="CW87:CW96" si="397">IFERROR(IF(AND((DK87+DM87+DN87+DO87)=DJ87,CS87=0,CU87=0,CV87=0),CQ87,0),0)</f>
        <v>0</v>
      </c>
      <c r="CX87" s="514">
        <f t="shared" ref="CX87:CX96" si="398">IFERROR(IF(AND((DK87+DM87+DN87+DO87+DP87)=DJ87,CS87=0,CU87=0,CV87=0,CW87=0),CQ87,0),0)</f>
        <v>0</v>
      </c>
      <c r="CY87" s="501"/>
      <c r="CZ87" s="514">
        <f t="shared" ref="CZ87:CZ96" si="399">IFERROR(IF(AND((DF87+DH87)=100%,DF87&lt;1),CQ87,0),0)</f>
        <v>0</v>
      </c>
      <c r="DA87" s="514">
        <f t="shared" ref="DA87:DA96" si="400">IFERROR(IF(AND((DK87+DS87)=DJ87,CS87=0),CQ87,0),0)</f>
        <v>0</v>
      </c>
      <c r="DB87" s="514">
        <f t="shared" ref="DB87:DB96" si="401">IFERROR(IF(AND((DK87+DS87+DT87)=DJ87,CS87=0,DA87=0),CQ87,0),0)</f>
        <v>0</v>
      </c>
      <c r="DC87" s="514">
        <f t="shared" ref="DC87:DC96" si="402">IFERROR(IF(AND((DK87+DS87+DT87+DU87)=DJ87,CS87=0,DA87=0,DB87=0),CQ87,0),0)</f>
        <v>0</v>
      </c>
      <c r="DD87" s="514">
        <f t="shared" ref="DD87:DD96" si="403">IFERROR(IF(AND((DK87+DS87+DT87+DU87+DV87)=DJ87,CS87=0,DA87=0,DB87=0,DC87=0),CQ87,0),0)</f>
        <v>0</v>
      </c>
      <c r="DE87" s="501"/>
      <c r="DF87" s="570">
        <f t="shared" ref="DF87:DF96" si="404">IFERROR(DK87/DJ87,0)</f>
        <v>1</v>
      </c>
      <c r="DG87" s="570">
        <f t="shared" ref="DG87:DG96" si="405">IFERROR(DL87/DJ87,0)</f>
        <v>0</v>
      </c>
      <c r="DH87" s="570">
        <f t="shared" ref="DH87:DH96" si="406">IFERROR(DR87/DJ87,0)</f>
        <v>0</v>
      </c>
      <c r="DI87" s="518"/>
      <c r="DJ87" s="514">
        <f>COUNTIF('MEP | Drawing List'!$G:$G,"MEP-T2V-6V-1")</f>
        <v>9</v>
      </c>
      <c r="DK87" s="506">
        <f>COUNTIFS('MEP | Drawing List'!$G:$G,"MEP-T2V-6V-1",'MEP | Drawing List'!$I:$I,1)</f>
        <v>9</v>
      </c>
      <c r="DL87" s="506">
        <f>COUNTIFS('MEP | Drawing List'!$G:$G,"MEP-T2V-6V-1",'MEP | Drawing List'!$K:$K,1)</f>
        <v>0</v>
      </c>
      <c r="DM87" s="514">
        <f>COUNTIFS('MEP | Drawing List'!$G:$G,"MEP-T2V-6V-1",'MEP | Drawing List'!L:L,1)</f>
        <v>0</v>
      </c>
      <c r="DN87" s="514">
        <f>COUNTIFS('MEP | Drawing List'!$G:$G,"MEP-T2V-6V-1",'MEP | Drawing List'!M:M,1)</f>
        <v>0</v>
      </c>
      <c r="DO87" s="514">
        <f>COUNTIFS('MEP | Drawing List'!$G:$G,"MEP-T2V-6V-1",'MEP | Drawing List'!N:N,1)</f>
        <v>0</v>
      </c>
      <c r="DP87" s="514">
        <f>COUNTIFS('MEP | Drawing List'!$G:$G,"MEP-T2V-6V-1",'MEP | Drawing List'!O:O,1)</f>
        <v>0</v>
      </c>
      <c r="DQ87" s="501"/>
      <c r="DR87" s="506">
        <f>COUNTIFS('MEP | Drawing List'!$G:$G,"MEP-T2V-6V-1",'MEP | Drawing List'!$P:$P,1)</f>
        <v>0</v>
      </c>
      <c r="DS87" s="514">
        <f>COUNTIFS('MEP | Drawing List'!$G:$G,"MEP-T2V-6V-1",'MEP | Drawing List'!Q:Q,1)</f>
        <v>0</v>
      </c>
      <c r="DT87" s="514">
        <f>COUNTIFS('MEP | Drawing List'!$G:$G,"MEP-T2V-6V-1",'MEP | Drawing List'!R:R,1)</f>
        <v>0</v>
      </c>
      <c r="DU87" s="514">
        <f>COUNTIFS('MEP | Drawing List'!$G:$G,"MEP-T2V-6V-1",'MEP | Drawing List'!S:S,1)</f>
        <v>0</v>
      </c>
      <c r="DV87" s="514">
        <f>COUNTIFS('MEP | Drawing List'!$G:$G,"MEP-T2V-6V-1",'MEP | Drawing List'!T:T,1)</f>
        <v>0</v>
      </c>
      <c r="DW87" s="508"/>
      <c r="DX87" s="508"/>
      <c r="DY87" s="511">
        <v>0</v>
      </c>
      <c r="DZ87" s="508"/>
      <c r="EA87" s="509">
        <v>0</v>
      </c>
      <c r="EB87" s="510">
        <f t="shared" si="237"/>
        <v>0</v>
      </c>
      <c r="EC87" s="574"/>
      <c r="ED87" s="574"/>
      <c r="EE87" s="501"/>
      <c r="EF87" s="501"/>
      <c r="EG87" s="501"/>
      <c r="EH87" s="501"/>
      <c r="EI87" s="501"/>
      <c r="EJ87" s="574"/>
      <c r="EK87" s="501"/>
      <c r="EL87" s="501"/>
      <c r="EM87" s="501"/>
      <c r="EN87" s="501"/>
      <c r="EO87" s="501"/>
      <c r="EP87" s="575"/>
      <c r="EQ87" s="575"/>
      <c r="ER87" s="575"/>
      <c r="ET87" s="514">
        <f>COUNTIF('LS | Drawing List'!$G:$G,"LS-TXV-1")</f>
        <v>0</v>
      </c>
      <c r="EU87" s="506">
        <f>COUNTIFS('LS | Drawing List'!$G:$G,"LS-TXV-1",'LS | Drawing List'!$I:$I,1)</f>
        <v>0</v>
      </c>
      <c r="EV87" s="506">
        <f>COUNTIFS('LS | Drawing List'!$G:$G,"LS-TXV-1",'LS | Drawing List'!$K:$K,1)</f>
        <v>0</v>
      </c>
      <c r="EW87" s="514">
        <f>COUNTIFS('LS | Drawing List'!$G:$G,"LS-TXV-1",'LS | Drawing List'!L:L,1)</f>
        <v>0</v>
      </c>
      <c r="EX87" s="514">
        <f>COUNTIFS('LS | Drawing List'!$G:$G,"LS-TXV-1",'LS | Drawing List'!M:M,1)</f>
        <v>0</v>
      </c>
      <c r="EY87" s="514">
        <f>COUNTIFS('LS | Drawing List'!$G:$G,"LS-TXV-1",'LS | Drawing List'!N:N,1)</f>
        <v>0</v>
      </c>
      <c r="EZ87" s="514">
        <f>COUNTIFS('LS | Drawing List'!$G:$G,"LS-TXV-1",'LS | Drawing List'!O:O,1)</f>
        <v>0</v>
      </c>
      <c r="FA87" s="515"/>
      <c r="FB87" s="506">
        <f>COUNTIFS('LS | Drawing List'!$G:$G,"LS-TXV-1",'LS | Drawing List'!$P:$P,1)</f>
        <v>0</v>
      </c>
      <c r="FC87" s="514">
        <f>COUNTIFS('LS | Drawing List'!$G:$G,"LS-TXV-1",'LS | Drawing List'!Q:Q,1)</f>
        <v>0</v>
      </c>
      <c r="FD87" s="514">
        <f>COUNTIFS('LS | Drawing List'!$G:$G,"LS-TXV-1",'LS | Drawing List'!R:R,1)</f>
        <v>0</v>
      </c>
      <c r="FE87" s="514">
        <f>COUNTIFS('LS | Drawing List'!$G:$G,"LS-TXV-1",'LS | Drawing List'!S:S,1)</f>
        <v>0</v>
      </c>
      <c r="FF87" s="514">
        <f>COUNTIFS('LS | Drawing List'!$G:$G,"LS-TXV-1",'LS | Drawing List'!T:T,1)</f>
        <v>0</v>
      </c>
    </row>
    <row r="88" spans="2:162" ht="14.25" outlineLevel="2">
      <c r="B88" s="564" t="s">
        <v>97</v>
      </c>
      <c r="C88" s="565">
        <v>2</v>
      </c>
      <c r="D88" s="566" t="s">
        <v>54</v>
      </c>
      <c r="F88" s="500">
        <f t="shared" si="358"/>
        <v>0.60706464000000004</v>
      </c>
      <c r="G88" s="500">
        <f t="shared" si="359"/>
        <v>0.60706464000000004</v>
      </c>
      <c r="H88" s="514">
        <f t="shared" si="360"/>
        <v>0</v>
      </c>
      <c r="I88" s="514">
        <f t="shared" si="332"/>
        <v>0</v>
      </c>
      <c r="J88" s="514">
        <f t="shared" si="333"/>
        <v>0</v>
      </c>
      <c r="K88" s="514">
        <f t="shared" si="334"/>
        <v>0</v>
      </c>
      <c r="L88" s="514">
        <f t="shared" si="335"/>
        <v>0</v>
      </c>
      <c r="M88" s="567">
        <f t="shared" si="336"/>
        <v>0</v>
      </c>
      <c r="N88" s="568"/>
      <c r="O88" s="514">
        <f t="shared" si="337"/>
        <v>0</v>
      </c>
      <c r="P88" s="514">
        <f t="shared" si="338"/>
        <v>0</v>
      </c>
      <c r="Q88" s="514">
        <f t="shared" si="339"/>
        <v>0</v>
      </c>
      <c r="R88" s="514">
        <f t="shared" si="340"/>
        <v>0</v>
      </c>
      <c r="S88" s="514">
        <f t="shared" si="341"/>
        <v>0</v>
      </c>
      <c r="U88" s="569">
        <v>0.05</v>
      </c>
      <c r="V88" s="503"/>
      <c r="W88" s="500">
        <f t="shared" si="361"/>
        <v>0.33054720000000004</v>
      </c>
      <c r="X88" s="500">
        <f t="shared" si="234"/>
        <v>0.33054720000000004</v>
      </c>
      <c r="Y88" s="514">
        <f t="shared" si="362"/>
        <v>0.33054720000000004</v>
      </c>
      <c r="Z88" s="514">
        <f t="shared" si="363"/>
        <v>0</v>
      </c>
      <c r="AA88" s="514">
        <f t="shared" si="364"/>
        <v>0</v>
      </c>
      <c r="AB88" s="514">
        <f t="shared" si="365"/>
        <v>0</v>
      </c>
      <c r="AC88" s="514">
        <f t="shared" si="366"/>
        <v>0</v>
      </c>
      <c r="AD88" s="567">
        <f t="shared" si="367"/>
        <v>0</v>
      </c>
      <c r="AE88" s="568"/>
      <c r="AF88" s="514">
        <f t="shared" si="368"/>
        <v>0</v>
      </c>
      <c r="AG88" s="514">
        <f t="shared" si="369"/>
        <v>0</v>
      </c>
      <c r="AH88" s="514">
        <f t="shared" si="370"/>
        <v>0</v>
      </c>
      <c r="AI88" s="514">
        <f t="shared" si="371"/>
        <v>0</v>
      </c>
      <c r="AJ88" s="514">
        <f t="shared" si="372"/>
        <v>0</v>
      </c>
      <c r="AK88" s="501"/>
      <c r="AL88" s="570">
        <f t="shared" si="373"/>
        <v>1</v>
      </c>
      <c r="AM88" s="570">
        <f t="shared" si="374"/>
        <v>0</v>
      </c>
      <c r="AN88" s="570">
        <f t="shared" si="375"/>
        <v>0</v>
      </c>
      <c r="AO88" s="518"/>
      <c r="AP88" s="514">
        <f>COUNTIF('AR | Drawing List'!$G:$G,"AR-TXV-2")</f>
        <v>2</v>
      </c>
      <c r="AQ88" s="506">
        <f>COUNTIFS('AR | Drawing List'!$G:$G,"AR-TXV-2",'AR | Drawing List'!$I:$I,1)</f>
        <v>2</v>
      </c>
      <c r="AR88" s="506">
        <f t="shared" si="238"/>
        <v>0</v>
      </c>
      <c r="AS88" s="506">
        <f>COUNTIFS('AR | Drawing List'!$G:$G,"AR-TXV-2",'AR | Drawing List'!M:M,1)</f>
        <v>0</v>
      </c>
      <c r="AT88" s="506">
        <f>COUNTIFS('AR | Drawing List'!$G:$G,"AR-TXV-2",'AR | Drawing List'!N:N,1)</f>
        <v>0</v>
      </c>
      <c r="AU88" s="506">
        <f>COUNTIFS('AR | Drawing List'!$G:$G,"AR-TXV-2",'AR | Drawing List'!O:O,1)</f>
        <v>0</v>
      </c>
      <c r="AV88" s="506">
        <f>COUNTIFS('AR | Drawing List'!$G:$G,"AR-TXV-2",'AR | Drawing List'!P:P,1)</f>
        <v>0</v>
      </c>
      <c r="AW88" s="466"/>
      <c r="AX88" s="506">
        <f t="shared" si="376"/>
        <v>0</v>
      </c>
      <c r="AY88" s="506">
        <f>COUNTIFS('AR | Drawing List'!$G:$G,"AR-TXV-2",'AR | Drawing List'!R:R,1)</f>
        <v>0</v>
      </c>
      <c r="AZ88" s="506">
        <f>COUNTIFS('AR | Drawing List'!$G:$G,"AR-TXV-2",'AR | Drawing List'!S:S,1)</f>
        <v>0</v>
      </c>
      <c r="BA88" s="506">
        <f>COUNTIFS('AR | Drawing List'!$G:$G,"AR-TXV-2",'AR | Drawing List'!T:T,1)</f>
        <v>0</v>
      </c>
      <c r="BB88" s="506">
        <f>COUNTIFS('AR | Drawing List'!$G:$G,"AR-TXV-2",'AR | Drawing List'!U:U,1)</f>
        <v>0</v>
      </c>
      <c r="BC88" s="551"/>
      <c r="BD88" s="551"/>
      <c r="BE88" s="511">
        <v>0.1</v>
      </c>
      <c r="BF88" s="508"/>
      <c r="BG88" s="506">
        <f t="shared" si="377"/>
        <v>0.27651744</v>
      </c>
      <c r="BH88" s="510">
        <f t="shared" si="235"/>
        <v>0.27651744</v>
      </c>
      <c r="BI88" s="514">
        <f t="shared" si="378"/>
        <v>0.27651744</v>
      </c>
      <c r="BJ88" s="514">
        <f t="shared" si="379"/>
        <v>0</v>
      </c>
      <c r="BK88" s="514">
        <f t="shared" si="380"/>
        <v>0</v>
      </c>
      <c r="BL88" s="514">
        <f t="shared" si="381"/>
        <v>0</v>
      </c>
      <c r="BM88" s="514">
        <f t="shared" si="382"/>
        <v>0</v>
      </c>
      <c r="BN88" s="514">
        <f t="shared" si="383"/>
        <v>0</v>
      </c>
      <c r="BO88" s="501"/>
      <c r="BP88" s="514">
        <f t="shared" si="384"/>
        <v>0</v>
      </c>
      <c r="BQ88" s="514">
        <f t="shared" si="385"/>
        <v>0</v>
      </c>
      <c r="BR88" s="514">
        <f t="shared" si="386"/>
        <v>0</v>
      </c>
      <c r="BS88" s="514">
        <f t="shared" si="387"/>
        <v>0</v>
      </c>
      <c r="BT88" s="514">
        <f t="shared" si="388"/>
        <v>0</v>
      </c>
      <c r="BU88" s="501"/>
      <c r="BV88" s="571">
        <f t="shared" si="389"/>
        <v>1</v>
      </c>
      <c r="BW88" s="571">
        <f t="shared" si="390"/>
        <v>0</v>
      </c>
      <c r="BX88" s="571">
        <f t="shared" si="391"/>
        <v>0</v>
      </c>
      <c r="BY88" s="518"/>
      <c r="BZ88" s="514">
        <f>COUNTIF('ST | Drawing List'!$G:$G,"ST-TXV-2")</f>
        <v>50</v>
      </c>
      <c r="CA88" s="506">
        <f>COUNTIFS('ST | Drawing List'!$G:$G,"ST-TXV-2",'ST | Drawing List'!$I:$I,1)</f>
        <v>50</v>
      </c>
      <c r="CB88" s="572">
        <f>COUNTIFS('ST | Drawing List'!$G:$G,"ST-TXV-2",'ST | Drawing List'!$K:$K,1)</f>
        <v>0</v>
      </c>
      <c r="CC88" s="506">
        <f>COUNTIFS('ST | Drawing List'!$G:$G,"ST-TXV-2",'ST | Drawing List'!L:L,1)</f>
        <v>0</v>
      </c>
      <c r="CD88" s="506">
        <f>COUNTIFS('ST | Drawing List'!$G:$G,"ST-TXV-2",'ST | Drawing List'!M:M,1)</f>
        <v>0</v>
      </c>
      <c r="CE88" s="506">
        <f>COUNTIFS('ST | Drawing List'!$G:$G,"ST-TXV-2",'ST | Drawing List'!N:N,1)</f>
        <v>0</v>
      </c>
      <c r="CF88" s="506">
        <f>COUNTIFS('ST | Drawing List'!$G:$G,"ST-TXV-2",'ST | Drawing List'!O:O,1)</f>
        <v>0</v>
      </c>
      <c r="CG88" s="471"/>
      <c r="CH88" s="572">
        <f>COUNTIFS('ST | Drawing List'!$G:$G,"ST-TXV-2",'ST | Drawing List'!$P:$P,1)</f>
        <v>0</v>
      </c>
      <c r="CI88" s="506">
        <f>COUNTIFS('ST | Drawing List'!$G:$G,"ST-TXV-2",'ST | Drawing List'!Q:Q,1)</f>
        <v>0</v>
      </c>
      <c r="CJ88" s="506">
        <f>COUNTIFS('ST | Drawing List'!$G:$G,"ST-TXV-2",'ST | Drawing List'!R:R,1)</f>
        <v>0</v>
      </c>
      <c r="CK88" s="506">
        <f>COUNTIFS('ST | Drawing List'!$G:$G,"ST-TXV-2",'ST | Drawing List'!S:S,1)</f>
        <v>0</v>
      </c>
      <c r="CL88" s="506">
        <f>COUNTIFS('ST | Drawing List'!$G:$G,"ST-TXV-2",'ST | Drawing List'!T:T,1)</f>
        <v>0</v>
      </c>
      <c r="CM88" s="508"/>
      <c r="CN88" s="508"/>
      <c r="CO88" s="576">
        <v>0</v>
      </c>
      <c r="CP88" s="508"/>
      <c r="CQ88" s="506">
        <f t="shared" si="392"/>
        <v>0</v>
      </c>
      <c r="CR88" s="510">
        <f t="shared" si="236"/>
        <v>0</v>
      </c>
      <c r="CS88" s="514">
        <f t="shared" si="393"/>
        <v>0</v>
      </c>
      <c r="CT88" s="514">
        <f t="shared" si="394"/>
        <v>0</v>
      </c>
      <c r="CU88" s="514">
        <f t="shared" si="395"/>
        <v>0</v>
      </c>
      <c r="CV88" s="514">
        <f t="shared" si="396"/>
        <v>0</v>
      </c>
      <c r="CW88" s="514">
        <f t="shared" si="397"/>
        <v>0</v>
      </c>
      <c r="CX88" s="514">
        <f t="shared" si="398"/>
        <v>0</v>
      </c>
      <c r="CY88" s="501"/>
      <c r="CZ88" s="514">
        <f t="shared" si="399"/>
        <v>0</v>
      </c>
      <c r="DA88" s="514">
        <f t="shared" si="400"/>
        <v>0</v>
      </c>
      <c r="DB88" s="514">
        <f t="shared" si="401"/>
        <v>0</v>
      </c>
      <c r="DC88" s="514">
        <f t="shared" si="402"/>
        <v>0</v>
      </c>
      <c r="DD88" s="514">
        <f t="shared" si="403"/>
        <v>0</v>
      </c>
      <c r="DE88" s="501"/>
      <c r="DF88" s="570">
        <f t="shared" si="404"/>
        <v>0</v>
      </c>
      <c r="DG88" s="570">
        <f t="shared" si="405"/>
        <v>0</v>
      </c>
      <c r="DH88" s="570">
        <f t="shared" si="406"/>
        <v>0</v>
      </c>
      <c r="DI88" s="518"/>
      <c r="DJ88" s="514">
        <f>COUNTIF('MEP | Drawing List'!$G:$G,"MEP-T2V-6V-2")</f>
        <v>0</v>
      </c>
      <c r="DK88" s="506">
        <f>COUNTIFS('MEP | Drawing List'!$G:$G,"MEP-T2V-6V-2",'MEP | Drawing List'!$I:$I,1)</f>
        <v>0</v>
      </c>
      <c r="DL88" s="506">
        <f>COUNTIFS('MEP | Drawing List'!$G:$G,"MEP-T2V-6V-2",'MEP | Drawing List'!$K:$K,1)</f>
        <v>0</v>
      </c>
      <c r="DM88" s="514">
        <f>COUNTIFS('MEP | Drawing List'!$G:$G,"MEP-T2V-6V-2",'MEP | Drawing List'!L:L,1)</f>
        <v>0</v>
      </c>
      <c r="DN88" s="514">
        <f>COUNTIFS('MEP | Drawing List'!$G:$G,"MEP-T2V-6V-2",'MEP | Drawing List'!M:M,1)</f>
        <v>0</v>
      </c>
      <c r="DO88" s="514">
        <f>COUNTIFS('MEP | Drawing List'!$G:$G,"MEP-T2V-6V-2",'MEP | Drawing List'!N:N,1)</f>
        <v>0</v>
      </c>
      <c r="DP88" s="514">
        <f>COUNTIFS('MEP | Drawing List'!$G:$G,"MEP-T2V-6V-2",'MEP | Drawing List'!O:O,1)</f>
        <v>0</v>
      </c>
      <c r="DQ88" s="501"/>
      <c r="DR88" s="506">
        <f>COUNTIFS('MEP | Drawing List'!$G:$G,"MEP-T2V-6V-2",'MEP | Drawing List'!$P:$P,1)</f>
        <v>0</v>
      </c>
      <c r="DS88" s="514">
        <f>COUNTIFS('MEP | Drawing List'!$G:$G,"MEP-T2V-6V-2",'MEP | Drawing List'!Q:Q,1)</f>
        <v>0</v>
      </c>
      <c r="DT88" s="514">
        <f>COUNTIFS('MEP | Drawing List'!$G:$G,"MEP-T2V-6V-2",'MEP | Drawing List'!R:R,1)</f>
        <v>0</v>
      </c>
      <c r="DU88" s="514">
        <f>COUNTIFS('MEP | Drawing List'!$G:$G,"MEP-T2V-6V-2",'MEP | Drawing List'!S:S,1)</f>
        <v>0</v>
      </c>
      <c r="DV88" s="514">
        <f>COUNTIFS('MEP | Drawing List'!$G:$G,"MEP-T2V-6V-2",'MEP | Drawing List'!T:T,1)</f>
        <v>0</v>
      </c>
      <c r="DW88" s="508"/>
      <c r="DX88" s="508"/>
      <c r="DY88" s="511">
        <v>0</v>
      </c>
      <c r="DZ88" s="508"/>
      <c r="EA88" s="509">
        <v>0</v>
      </c>
      <c r="EB88" s="510">
        <f t="shared" si="237"/>
        <v>0</v>
      </c>
      <c r="EC88" s="533"/>
      <c r="ED88" s="533"/>
      <c r="EE88" s="501"/>
      <c r="EF88" s="501"/>
      <c r="EG88" s="501"/>
      <c r="EH88" s="501"/>
      <c r="EI88" s="501"/>
      <c r="EJ88" s="533"/>
      <c r="EK88" s="501"/>
      <c r="EL88" s="501"/>
      <c r="EM88" s="501"/>
      <c r="EN88" s="501"/>
      <c r="EO88" s="501"/>
      <c r="EP88" s="474"/>
      <c r="EQ88" s="474"/>
      <c r="ER88" s="474"/>
      <c r="ET88" s="514">
        <f>COUNTIF('LS | Drawing List'!$G:$G,"LS-TXV-2")</f>
        <v>0</v>
      </c>
      <c r="EU88" s="506">
        <f>COUNTIFS('LS | Drawing List'!$G:$G,"LS-TXV-2",'LS | Drawing List'!$I:$I,1)</f>
        <v>0</v>
      </c>
      <c r="EV88" s="506">
        <f>COUNTIFS('LS | Drawing List'!$G:$G,"LS-TXV-2",'LS | Drawing List'!$K:$K,1)</f>
        <v>0</v>
      </c>
      <c r="EW88" s="514">
        <f>COUNTIFS('LS | Drawing List'!$G:$G,"LS-TXV-2",'LS | Drawing List'!L:L,1)</f>
        <v>0</v>
      </c>
      <c r="EX88" s="514">
        <f>COUNTIFS('LS | Drawing List'!$G:$G,"LS-TXV-2",'LS | Drawing List'!M:M,1)</f>
        <v>0</v>
      </c>
      <c r="EY88" s="514">
        <f>COUNTIFS('LS | Drawing List'!$G:$G,"LS-TXV-2",'LS | Drawing List'!N:N,1)</f>
        <v>0</v>
      </c>
      <c r="EZ88" s="514">
        <f>COUNTIFS('LS | Drawing List'!$G:$G,"LS-TXV-2",'LS | Drawing List'!O:O,1)</f>
        <v>0</v>
      </c>
      <c r="FA88" s="515"/>
      <c r="FB88" s="506">
        <f>COUNTIFS('LS | Drawing List'!$G:$G,"LS-TXV-2",'LS | Drawing List'!$P:$P,1)</f>
        <v>0</v>
      </c>
      <c r="FC88" s="514">
        <f>COUNTIFS('LS | Drawing List'!$G:$G,"LS-TXV-2",'LS | Drawing List'!Q:Q,1)</f>
        <v>0</v>
      </c>
      <c r="FD88" s="514">
        <f>COUNTIFS('LS | Drawing List'!$G:$G,"LS-TXV-2",'LS | Drawing List'!R:R,1)</f>
        <v>0</v>
      </c>
      <c r="FE88" s="514">
        <f>COUNTIFS('LS | Drawing List'!$G:$G,"LS-TXV-2",'LS | Drawing List'!S:S,1)</f>
        <v>0</v>
      </c>
      <c r="FF88" s="514">
        <f>COUNTIFS('LS | Drawing List'!$G:$G,"LS-TXV-2",'LS | Drawing List'!T:T,1)</f>
        <v>0</v>
      </c>
    </row>
    <row r="89" spans="2:162" ht="14.25" outlineLevel="2">
      <c r="B89" s="564" t="s">
        <v>98</v>
      </c>
      <c r="C89" s="565">
        <v>3</v>
      </c>
      <c r="D89" s="566" t="s">
        <v>56</v>
      </c>
      <c r="F89" s="500">
        <f t="shared" si="358"/>
        <v>0.33054720000000004</v>
      </c>
      <c r="G89" s="500">
        <f t="shared" si="359"/>
        <v>0.33054720000000004</v>
      </c>
      <c r="H89" s="514">
        <f t="shared" si="360"/>
        <v>0</v>
      </c>
      <c r="I89" s="514">
        <f t="shared" si="332"/>
        <v>0</v>
      </c>
      <c r="J89" s="514">
        <f t="shared" si="333"/>
        <v>0</v>
      </c>
      <c r="K89" s="514">
        <f t="shared" si="334"/>
        <v>0</v>
      </c>
      <c r="L89" s="514">
        <f t="shared" si="335"/>
        <v>0</v>
      </c>
      <c r="M89" s="567">
        <f t="shared" si="336"/>
        <v>0</v>
      </c>
      <c r="N89" s="568"/>
      <c r="O89" s="514">
        <f t="shared" si="337"/>
        <v>0</v>
      </c>
      <c r="P89" s="514">
        <f t="shared" si="338"/>
        <v>0</v>
      </c>
      <c r="Q89" s="514">
        <f t="shared" si="339"/>
        <v>0</v>
      </c>
      <c r="R89" s="514">
        <f t="shared" si="340"/>
        <v>0</v>
      </c>
      <c r="S89" s="514">
        <f t="shared" si="341"/>
        <v>0</v>
      </c>
      <c r="U89" s="569">
        <v>0.05</v>
      </c>
      <c r="V89" s="503"/>
      <c r="W89" s="500">
        <f t="shared" si="361"/>
        <v>0.33054720000000004</v>
      </c>
      <c r="X89" s="500">
        <f t="shared" si="234"/>
        <v>0.33054720000000004</v>
      </c>
      <c r="Y89" s="514">
        <f t="shared" si="362"/>
        <v>0.33054720000000004</v>
      </c>
      <c r="Z89" s="514">
        <f t="shared" si="363"/>
        <v>0</v>
      </c>
      <c r="AA89" s="514">
        <f t="shared" si="364"/>
        <v>0</v>
      </c>
      <c r="AB89" s="514">
        <f t="shared" si="365"/>
        <v>0</v>
      </c>
      <c r="AC89" s="514">
        <f t="shared" si="366"/>
        <v>0</v>
      </c>
      <c r="AD89" s="567">
        <f t="shared" si="367"/>
        <v>0</v>
      </c>
      <c r="AE89" s="568"/>
      <c r="AF89" s="514">
        <f t="shared" si="368"/>
        <v>0</v>
      </c>
      <c r="AG89" s="514">
        <f t="shared" si="369"/>
        <v>0</v>
      </c>
      <c r="AH89" s="514">
        <f t="shared" si="370"/>
        <v>0</v>
      </c>
      <c r="AI89" s="514">
        <f t="shared" si="371"/>
        <v>0</v>
      </c>
      <c r="AJ89" s="514">
        <f t="shared" si="372"/>
        <v>0</v>
      </c>
      <c r="AK89" s="501"/>
      <c r="AL89" s="570">
        <f t="shared" si="373"/>
        <v>1</v>
      </c>
      <c r="AM89" s="570">
        <f t="shared" si="374"/>
        <v>0</v>
      </c>
      <c r="AN89" s="570">
        <f t="shared" si="375"/>
        <v>0</v>
      </c>
      <c r="AO89" s="518"/>
      <c r="AP89" s="514">
        <f>COUNTIF('AR | Drawing List'!$G:$G,"AR-TXV-3")</f>
        <v>9</v>
      </c>
      <c r="AQ89" s="506">
        <f>COUNTIFS('AR | Drawing List'!$G:$G,"AR-TXV-3",'AR | Drawing List'!$I:$I,1)</f>
        <v>9</v>
      </c>
      <c r="AR89" s="506">
        <f t="shared" si="238"/>
        <v>0</v>
      </c>
      <c r="AS89" s="506">
        <f>COUNTIFS('AR | Drawing List'!$G:$G,"AR-TXV-3",'AR | Drawing List'!M:M,1)</f>
        <v>0</v>
      </c>
      <c r="AT89" s="506">
        <f>COUNTIFS('AR | Drawing List'!$G:$G,"AR-TXV-3",'AR | Drawing List'!N:N,1)</f>
        <v>0</v>
      </c>
      <c r="AU89" s="506">
        <f>COUNTIFS('AR | Drawing List'!$G:$G,"AR-TXV-3",'AR | Drawing List'!O:O,1)</f>
        <v>0</v>
      </c>
      <c r="AV89" s="506">
        <f>COUNTIFS('AR | Drawing List'!$G:$G,"AR-TXV-3",'AR | Drawing List'!P:P,1)</f>
        <v>0</v>
      </c>
      <c r="AW89" s="466"/>
      <c r="AX89" s="506">
        <f t="shared" si="376"/>
        <v>0</v>
      </c>
      <c r="AY89" s="506">
        <f>COUNTIFS('AR | Drawing List'!$G:$G,"AR-TXV-3",'AR | Drawing List'!R:R,1)</f>
        <v>0</v>
      </c>
      <c r="AZ89" s="506">
        <f>COUNTIFS('AR | Drawing List'!$G:$G,"AR-TXV-3",'AR | Drawing List'!S:S,1)</f>
        <v>0</v>
      </c>
      <c r="BA89" s="506">
        <f>COUNTIFS('AR | Drawing List'!$G:$G,"AR-TXV-3",'AR | Drawing List'!T:T,1)</f>
        <v>0</v>
      </c>
      <c r="BB89" s="506">
        <f>COUNTIFS('AR | Drawing List'!$G:$G,"AR-TXV-3",'AR | Drawing List'!U:U,1)</f>
        <v>0</v>
      </c>
      <c r="BC89" s="551"/>
      <c r="BD89" s="551"/>
      <c r="BE89" s="576">
        <v>0</v>
      </c>
      <c r="BF89" s="508"/>
      <c r="BG89" s="506">
        <f t="shared" si="377"/>
        <v>0</v>
      </c>
      <c r="BH89" s="510">
        <f t="shared" si="235"/>
        <v>0</v>
      </c>
      <c r="BI89" s="514">
        <f t="shared" si="378"/>
        <v>0</v>
      </c>
      <c r="BJ89" s="514">
        <f t="shared" si="379"/>
        <v>0</v>
      </c>
      <c r="BK89" s="514">
        <f t="shared" si="380"/>
        <v>0</v>
      </c>
      <c r="BL89" s="514">
        <f t="shared" si="381"/>
        <v>0</v>
      </c>
      <c r="BM89" s="514">
        <f t="shared" si="382"/>
        <v>0</v>
      </c>
      <c r="BN89" s="514">
        <f t="shared" si="383"/>
        <v>0</v>
      </c>
      <c r="BO89" s="501"/>
      <c r="BP89" s="514">
        <f t="shared" si="384"/>
        <v>0</v>
      </c>
      <c r="BQ89" s="514">
        <f t="shared" si="385"/>
        <v>0</v>
      </c>
      <c r="BR89" s="514">
        <f t="shared" si="386"/>
        <v>0</v>
      </c>
      <c r="BS89" s="514">
        <f t="shared" si="387"/>
        <v>0</v>
      </c>
      <c r="BT89" s="514">
        <f t="shared" si="388"/>
        <v>0</v>
      </c>
      <c r="BU89" s="501"/>
      <c r="BV89" s="571">
        <f t="shared" si="389"/>
        <v>0</v>
      </c>
      <c r="BW89" s="571">
        <f t="shared" si="390"/>
        <v>0</v>
      </c>
      <c r="BX89" s="571">
        <f t="shared" si="391"/>
        <v>0</v>
      </c>
      <c r="BY89" s="520"/>
      <c r="BZ89" s="514">
        <f>COUNTIF('ST | Drawing List'!$G:$G,"ST-TXV-3")</f>
        <v>0</v>
      </c>
      <c r="CA89" s="506">
        <f>COUNTIFS('ST | Drawing List'!$G:$G,"ST-TXV-3",'ST | Drawing List'!$I:$I,1)</f>
        <v>0</v>
      </c>
      <c r="CB89" s="572">
        <f>COUNTIFS('ST | Drawing List'!$G:$G,"ST-TXV-3",'ST | Drawing List'!$K:$K,1)</f>
        <v>0</v>
      </c>
      <c r="CC89" s="506">
        <f>COUNTIFS('ST | Drawing List'!$G:$G,"ST-TXV-3",'ST | Drawing List'!L:L,1)</f>
        <v>0</v>
      </c>
      <c r="CD89" s="506">
        <f>COUNTIFS('ST | Drawing List'!$G:$G,"ST-TXV-3",'ST | Drawing List'!M:M,1)</f>
        <v>0</v>
      </c>
      <c r="CE89" s="506">
        <f>COUNTIFS('ST | Drawing List'!$G:$G,"ST-TXV-3",'ST | Drawing List'!N:N,1)</f>
        <v>0</v>
      </c>
      <c r="CF89" s="506">
        <f>COUNTIFS('ST | Drawing List'!$G:$G,"ST-TXV-3",'ST | Drawing List'!O:O,1)</f>
        <v>0</v>
      </c>
      <c r="CG89" s="471"/>
      <c r="CH89" s="572">
        <f>COUNTIFS('ST | Drawing List'!$G:$G,"ST-TXV-3",'ST | Drawing List'!$P:$P,1)</f>
        <v>0</v>
      </c>
      <c r="CI89" s="506">
        <f>COUNTIFS('ST | Drawing List'!$G:$G,"ST-TXV-3",'ST | Drawing List'!Q:Q,1)</f>
        <v>0</v>
      </c>
      <c r="CJ89" s="506">
        <f>COUNTIFS('ST | Drawing List'!$G:$G,"ST-TXV-3",'ST | Drawing List'!R:R,1)</f>
        <v>0</v>
      </c>
      <c r="CK89" s="506">
        <f>COUNTIFS('ST | Drawing List'!$G:$G,"ST-TXV-3",'ST | Drawing List'!S:S,1)</f>
        <v>0</v>
      </c>
      <c r="CL89" s="506">
        <f>COUNTIFS('ST | Drawing List'!$G:$G,"ST-TXV-3",'ST | Drawing List'!T:T,1)</f>
        <v>0</v>
      </c>
      <c r="CM89" s="508"/>
      <c r="CN89" s="508"/>
      <c r="CO89" s="576">
        <v>0</v>
      </c>
      <c r="CP89" s="508"/>
      <c r="CQ89" s="506">
        <f t="shared" si="392"/>
        <v>0</v>
      </c>
      <c r="CR89" s="510">
        <f t="shared" si="236"/>
        <v>0</v>
      </c>
      <c r="CS89" s="514">
        <f t="shared" si="393"/>
        <v>0</v>
      </c>
      <c r="CT89" s="514">
        <f t="shared" si="394"/>
        <v>0</v>
      </c>
      <c r="CU89" s="514">
        <f t="shared" si="395"/>
        <v>0</v>
      </c>
      <c r="CV89" s="514">
        <f t="shared" si="396"/>
        <v>0</v>
      </c>
      <c r="CW89" s="514">
        <f t="shared" si="397"/>
        <v>0</v>
      </c>
      <c r="CX89" s="514">
        <f t="shared" si="398"/>
        <v>0</v>
      </c>
      <c r="CY89" s="501"/>
      <c r="CZ89" s="514">
        <f t="shared" si="399"/>
        <v>0</v>
      </c>
      <c r="DA89" s="514">
        <f t="shared" si="400"/>
        <v>0</v>
      </c>
      <c r="DB89" s="514">
        <f t="shared" si="401"/>
        <v>0</v>
      </c>
      <c r="DC89" s="514">
        <f t="shared" si="402"/>
        <v>0</v>
      </c>
      <c r="DD89" s="514">
        <f t="shared" si="403"/>
        <v>0</v>
      </c>
      <c r="DE89" s="501"/>
      <c r="DF89" s="570">
        <f t="shared" si="404"/>
        <v>0</v>
      </c>
      <c r="DG89" s="570">
        <f t="shared" si="405"/>
        <v>0</v>
      </c>
      <c r="DH89" s="570">
        <f t="shared" si="406"/>
        <v>0</v>
      </c>
      <c r="DI89" s="520"/>
      <c r="DJ89" s="514">
        <f>COUNTIF('MEP | Drawing List'!$G:$G,"MEP-T2V-6V-3")</f>
        <v>0</v>
      </c>
      <c r="DK89" s="506">
        <f>COUNTIFS('MEP | Drawing List'!$G:$G,"MEP-T2V-6V-3",'MEP | Drawing List'!$I:$I,1)</f>
        <v>0</v>
      </c>
      <c r="DL89" s="506">
        <f>COUNTIFS('MEP | Drawing List'!$G:$G,"MEP-T2V-6V-3",'MEP | Drawing List'!$K:$K,1)</f>
        <v>0</v>
      </c>
      <c r="DM89" s="514">
        <f>COUNTIFS('MEP | Drawing List'!$G:$G,"MEP-T2V-6V-3",'MEP | Drawing List'!L:L,1)</f>
        <v>0</v>
      </c>
      <c r="DN89" s="514">
        <f>COUNTIFS('MEP | Drawing List'!$G:$G,"MEP-T2V-6V-3",'MEP | Drawing List'!M:M,1)</f>
        <v>0</v>
      </c>
      <c r="DO89" s="514">
        <f>COUNTIFS('MEP | Drawing List'!$G:$G,"MEP-T2V-6V-3",'MEP | Drawing List'!N:N,1)</f>
        <v>0</v>
      </c>
      <c r="DP89" s="514">
        <f>COUNTIFS('MEP | Drawing List'!$G:$G,"MEP-T2V-6V-3",'MEP | Drawing List'!O:O,1)</f>
        <v>0</v>
      </c>
      <c r="DQ89" s="501"/>
      <c r="DR89" s="506">
        <f>COUNTIFS('MEP | Drawing List'!$G:$G,"MEP-T2V-6V-3",'MEP | Drawing List'!$P:$P,1)</f>
        <v>0</v>
      </c>
      <c r="DS89" s="514">
        <f>COUNTIFS('MEP | Drawing List'!$G:$G,"MEP-T2V-6V-3",'MEP | Drawing List'!Q:Q,1)</f>
        <v>0</v>
      </c>
      <c r="DT89" s="514">
        <f>COUNTIFS('MEP | Drawing List'!$G:$G,"MEP-T2V-6V-3",'MEP | Drawing List'!R:R,1)</f>
        <v>0</v>
      </c>
      <c r="DU89" s="514">
        <f>COUNTIFS('MEP | Drawing List'!$G:$G,"MEP-T2V-6V-3",'MEP | Drawing List'!S:S,1)</f>
        <v>0</v>
      </c>
      <c r="DV89" s="514">
        <f>COUNTIFS('MEP | Drawing List'!$G:$G,"MEP-T2V-6V-3",'MEP | Drawing List'!T:T,1)</f>
        <v>0</v>
      </c>
      <c r="DW89" s="508"/>
      <c r="DX89" s="508"/>
      <c r="DY89" s="511">
        <v>0</v>
      </c>
      <c r="DZ89" s="508"/>
      <c r="EA89" s="509">
        <v>0</v>
      </c>
      <c r="EB89" s="510">
        <f t="shared" si="237"/>
        <v>0</v>
      </c>
      <c r="EC89" s="515"/>
      <c r="ED89" s="515"/>
      <c r="EE89" s="501"/>
      <c r="EF89" s="501"/>
      <c r="EG89" s="501"/>
      <c r="EH89" s="501"/>
      <c r="EI89" s="501"/>
      <c r="EJ89" s="515"/>
      <c r="EK89" s="501"/>
      <c r="EL89" s="501"/>
      <c r="EM89" s="501"/>
      <c r="EN89" s="501"/>
      <c r="EO89" s="501"/>
      <c r="EP89" s="52"/>
      <c r="EQ89" s="52"/>
      <c r="ER89" s="52"/>
      <c r="ES89" s="523"/>
      <c r="ET89" s="514">
        <f>COUNTIF('LS | Drawing List'!$G:$G,"LS-TXV-3")</f>
        <v>0</v>
      </c>
      <c r="EU89" s="506">
        <f>COUNTIFS('LS | Drawing List'!$G:$G,"LS-TXV-3",'LS | Drawing List'!$I:$I,1)</f>
        <v>0</v>
      </c>
      <c r="EV89" s="506">
        <f>COUNTIFS('LS | Drawing List'!$G:$G,"LS-TXV-3",'LS | Drawing List'!$K:$K,1)</f>
        <v>0</v>
      </c>
      <c r="EW89" s="514">
        <f>COUNTIFS('LS | Drawing List'!$G:$G,"LS-TXV-3",'LS | Drawing List'!L:L,1)</f>
        <v>0</v>
      </c>
      <c r="EX89" s="514">
        <f>COUNTIFS('LS | Drawing List'!$G:$G,"LS-TXV-3",'LS | Drawing List'!M:M,1)</f>
        <v>0</v>
      </c>
      <c r="EY89" s="514">
        <f>COUNTIFS('LS | Drawing List'!$G:$G,"LS-TXV-3",'LS | Drawing List'!N:N,1)</f>
        <v>0</v>
      </c>
      <c r="EZ89" s="514">
        <f>COUNTIFS('LS | Drawing List'!$G:$G,"LS-TXV-3",'LS | Drawing List'!O:O,1)</f>
        <v>0</v>
      </c>
      <c r="FA89" s="515"/>
      <c r="FB89" s="506">
        <f>COUNTIFS('LS | Drawing List'!$G:$G,"LS-TXV-3",'LS | Drawing List'!$P:$P,1)</f>
        <v>0</v>
      </c>
      <c r="FC89" s="514">
        <f>COUNTIFS('LS | Drawing List'!$G:$G,"LS-TXV-3",'LS | Drawing List'!Q:Q,1)</f>
        <v>0</v>
      </c>
      <c r="FD89" s="514">
        <f>COUNTIFS('LS | Drawing List'!$G:$G,"LS-TXV-3",'LS | Drawing List'!R:R,1)</f>
        <v>0</v>
      </c>
      <c r="FE89" s="514">
        <f>COUNTIFS('LS | Drawing List'!$G:$G,"LS-TXV-3",'LS | Drawing List'!S:S,1)</f>
        <v>0</v>
      </c>
      <c r="FF89" s="514">
        <f>COUNTIFS('LS | Drawing List'!$G:$G,"LS-TXV-3",'LS | Drawing List'!T:T,1)</f>
        <v>0</v>
      </c>
    </row>
    <row r="90" spans="2:162" ht="14.25" outlineLevel="2">
      <c r="B90" s="564" t="s">
        <v>99</v>
      </c>
      <c r="C90" s="565">
        <v>4</v>
      </c>
      <c r="D90" s="566" t="s">
        <v>58</v>
      </c>
      <c r="F90" s="500">
        <f t="shared" si="358"/>
        <v>0.66397344000000003</v>
      </c>
      <c r="G90" s="500">
        <f t="shared" si="359"/>
        <v>0.66397344000000003</v>
      </c>
      <c r="H90" s="514">
        <f t="shared" si="360"/>
        <v>0</v>
      </c>
      <c r="I90" s="514">
        <f t="shared" si="332"/>
        <v>0</v>
      </c>
      <c r="J90" s="514">
        <f t="shared" si="333"/>
        <v>0</v>
      </c>
      <c r="K90" s="514">
        <f t="shared" si="334"/>
        <v>0</v>
      </c>
      <c r="L90" s="514">
        <f t="shared" si="335"/>
        <v>0</v>
      </c>
      <c r="M90" s="567">
        <f t="shared" si="336"/>
        <v>0</v>
      </c>
      <c r="N90" s="568"/>
      <c r="O90" s="514">
        <f t="shared" si="337"/>
        <v>0</v>
      </c>
      <c r="P90" s="514">
        <f t="shared" si="338"/>
        <v>0</v>
      </c>
      <c r="Q90" s="514">
        <f t="shared" si="339"/>
        <v>0</v>
      </c>
      <c r="R90" s="514">
        <f t="shared" si="340"/>
        <v>0</v>
      </c>
      <c r="S90" s="514">
        <f t="shared" si="341"/>
        <v>0</v>
      </c>
      <c r="U90" s="569">
        <v>0.05</v>
      </c>
      <c r="V90" s="503"/>
      <c r="W90" s="500">
        <f t="shared" si="361"/>
        <v>0.33054720000000004</v>
      </c>
      <c r="X90" s="500">
        <f t="shared" si="234"/>
        <v>0.33054720000000004</v>
      </c>
      <c r="Y90" s="514">
        <f t="shared" si="362"/>
        <v>0.33054720000000004</v>
      </c>
      <c r="Z90" s="514">
        <f t="shared" si="363"/>
        <v>0</v>
      </c>
      <c r="AA90" s="514">
        <f t="shared" si="364"/>
        <v>0</v>
      </c>
      <c r="AB90" s="514">
        <f t="shared" si="365"/>
        <v>0</v>
      </c>
      <c r="AC90" s="514">
        <f t="shared" si="366"/>
        <v>0</v>
      </c>
      <c r="AD90" s="567">
        <f t="shared" si="367"/>
        <v>0</v>
      </c>
      <c r="AE90" s="568"/>
      <c r="AF90" s="514">
        <f t="shared" si="368"/>
        <v>0</v>
      </c>
      <c r="AG90" s="514">
        <f t="shared" si="369"/>
        <v>0</v>
      </c>
      <c r="AH90" s="514">
        <f t="shared" si="370"/>
        <v>0</v>
      </c>
      <c r="AI90" s="514">
        <f t="shared" si="371"/>
        <v>0</v>
      </c>
      <c r="AJ90" s="514">
        <f t="shared" si="372"/>
        <v>0</v>
      </c>
      <c r="AK90" s="501"/>
      <c r="AL90" s="570">
        <f t="shared" si="373"/>
        <v>1</v>
      </c>
      <c r="AM90" s="570">
        <f t="shared" si="374"/>
        <v>0</v>
      </c>
      <c r="AN90" s="570">
        <f t="shared" si="375"/>
        <v>0</v>
      </c>
      <c r="AO90" s="518"/>
      <c r="AP90" s="514">
        <f>COUNTIF('AR | Drawing List'!$G:$G,"AR-TXV-4")</f>
        <v>19</v>
      </c>
      <c r="AQ90" s="506">
        <f>COUNTIFS('AR | Drawing List'!$G:$G,"AR-TXV-4",'AR | Drawing List'!$I:$I,1)</f>
        <v>19</v>
      </c>
      <c r="AR90" s="506">
        <f t="shared" si="238"/>
        <v>0</v>
      </c>
      <c r="AS90" s="506">
        <f>COUNTIFS('AR | Drawing List'!$G:$G,"AR-TXV-4",'AR | Drawing List'!M:M,1)</f>
        <v>0</v>
      </c>
      <c r="AT90" s="506">
        <f>COUNTIFS('AR | Drawing List'!$G:$G,"AR-TXV-4",'AR | Drawing List'!N:N,1)</f>
        <v>0</v>
      </c>
      <c r="AU90" s="506">
        <f>COUNTIFS('AR | Drawing List'!$G:$G,"AR-TXV-4",'AR | Drawing List'!O:O,1)</f>
        <v>0</v>
      </c>
      <c r="AV90" s="506">
        <f>COUNTIFS('AR | Drawing List'!$G:$G,"AR-TXV-4",'AR | Drawing List'!P:P,1)</f>
        <v>0</v>
      </c>
      <c r="AW90" s="466"/>
      <c r="AX90" s="506">
        <f t="shared" si="376"/>
        <v>0</v>
      </c>
      <c r="AY90" s="506">
        <f>COUNTIFS('AR | Drawing List'!$G:$G,"AR-TXV-4",'AR | Drawing List'!R:R,1)</f>
        <v>0</v>
      </c>
      <c r="AZ90" s="506">
        <f>COUNTIFS('AR | Drawing List'!$G:$G,"AR-TXV-4",'AR | Drawing List'!S:S,1)</f>
        <v>0</v>
      </c>
      <c r="BA90" s="506">
        <f>COUNTIFS('AR | Drawing List'!$G:$G,"AR-TXV-4",'AR | Drawing List'!T:T,1)</f>
        <v>0</v>
      </c>
      <c r="BB90" s="506">
        <f>COUNTIFS('AR | Drawing List'!$G:$G,"AR-TXV-4",'AR | Drawing List'!U:U,1)</f>
        <v>0</v>
      </c>
      <c r="BC90" s="551"/>
      <c r="BD90" s="551"/>
      <c r="BE90" s="470">
        <v>0.1</v>
      </c>
      <c r="BF90" s="508"/>
      <c r="BG90" s="506">
        <f t="shared" si="377"/>
        <v>0.27651744</v>
      </c>
      <c r="BH90" s="510">
        <f t="shared" si="235"/>
        <v>0.27651744</v>
      </c>
      <c r="BI90" s="514">
        <f t="shared" si="378"/>
        <v>0.27651744</v>
      </c>
      <c r="BJ90" s="514">
        <f t="shared" si="379"/>
        <v>0</v>
      </c>
      <c r="BK90" s="514">
        <f t="shared" si="380"/>
        <v>0</v>
      </c>
      <c r="BL90" s="514">
        <f t="shared" si="381"/>
        <v>0</v>
      </c>
      <c r="BM90" s="514">
        <f t="shared" si="382"/>
        <v>0</v>
      </c>
      <c r="BN90" s="514">
        <f t="shared" si="383"/>
        <v>0</v>
      </c>
      <c r="BO90" s="501"/>
      <c r="BP90" s="514">
        <f t="shared" si="384"/>
        <v>0</v>
      </c>
      <c r="BQ90" s="514">
        <f t="shared" si="385"/>
        <v>0</v>
      </c>
      <c r="BR90" s="514">
        <f t="shared" si="386"/>
        <v>0</v>
      </c>
      <c r="BS90" s="514">
        <f t="shared" si="387"/>
        <v>0</v>
      </c>
      <c r="BT90" s="514">
        <f t="shared" si="388"/>
        <v>0</v>
      </c>
      <c r="BU90" s="501"/>
      <c r="BV90" s="571">
        <f t="shared" si="389"/>
        <v>1</v>
      </c>
      <c r="BW90" s="571">
        <f t="shared" si="390"/>
        <v>0</v>
      </c>
      <c r="BX90" s="571">
        <f t="shared" si="391"/>
        <v>0</v>
      </c>
      <c r="BY90" s="505"/>
      <c r="BZ90" s="514">
        <f>COUNTIF('ST | Drawing List'!$G:$G,"ST-TXV-4")</f>
        <v>56</v>
      </c>
      <c r="CA90" s="506">
        <f>COUNTIFS('ST | Drawing List'!$G:$G,"ST-TXV-4",'ST | Drawing List'!$I:$I,1)</f>
        <v>56</v>
      </c>
      <c r="CB90" s="572">
        <f>COUNTIFS('ST | Drawing List'!$G:$G,"ST-TXV-4",'ST | Drawing List'!$K:$K,1)</f>
        <v>0</v>
      </c>
      <c r="CC90" s="506">
        <f>COUNTIFS('ST | Drawing List'!$G:$G,"ST-TXV-4",'ST | Drawing List'!L:L,1)</f>
        <v>0</v>
      </c>
      <c r="CD90" s="506">
        <f>COUNTIFS('ST | Drawing List'!$G:$G,"ST-TXV-4",'ST | Drawing List'!M:M,1)</f>
        <v>0</v>
      </c>
      <c r="CE90" s="506">
        <f>COUNTIFS('ST | Drawing List'!$G:$G,"ST-TXV-4",'ST | Drawing List'!N:N,1)</f>
        <v>0</v>
      </c>
      <c r="CF90" s="506">
        <f>COUNTIFS('ST | Drawing List'!$G:$G,"ST-TXV-4",'ST | Drawing List'!O:O,1)</f>
        <v>0</v>
      </c>
      <c r="CG90" s="471"/>
      <c r="CH90" s="572">
        <f>COUNTIFS('ST | Drawing List'!$G:$G,"ST-TXV-4",'ST | Drawing List'!$P:$P,1)</f>
        <v>0</v>
      </c>
      <c r="CI90" s="506">
        <f>COUNTIFS('ST | Drawing List'!$G:$G,"ST-TXV-4",'ST | Drawing List'!Q:Q,1)</f>
        <v>0</v>
      </c>
      <c r="CJ90" s="506">
        <f>COUNTIFS('ST | Drawing List'!$G:$G,"ST-TXV-4",'ST | Drawing List'!R:R,1)</f>
        <v>0</v>
      </c>
      <c r="CK90" s="506">
        <f>COUNTIFS('ST | Drawing List'!$G:$G,"ST-TXV-4",'ST | Drawing List'!S:S,1)</f>
        <v>0</v>
      </c>
      <c r="CL90" s="506">
        <f>COUNTIFS('ST | Drawing List'!$G:$G,"ST-TXV-4",'ST | Drawing List'!T:T,1)</f>
        <v>0</v>
      </c>
      <c r="CM90" s="508"/>
      <c r="CN90" s="508"/>
      <c r="CO90" s="470">
        <v>0.15</v>
      </c>
      <c r="CP90" s="508"/>
      <c r="CQ90" s="506">
        <f t="shared" si="392"/>
        <v>5.6908799999999996E-2</v>
      </c>
      <c r="CR90" s="510">
        <f t="shared" si="236"/>
        <v>5.6908799999999996E-2</v>
      </c>
      <c r="CS90" s="514">
        <f t="shared" si="393"/>
        <v>5.6908799999999996E-2</v>
      </c>
      <c r="CT90" s="514">
        <f t="shared" si="394"/>
        <v>0</v>
      </c>
      <c r="CU90" s="514">
        <f t="shared" si="395"/>
        <v>0</v>
      </c>
      <c r="CV90" s="514">
        <f t="shared" si="396"/>
        <v>0</v>
      </c>
      <c r="CW90" s="514">
        <f t="shared" si="397"/>
        <v>0</v>
      </c>
      <c r="CX90" s="514">
        <f t="shared" si="398"/>
        <v>0</v>
      </c>
      <c r="CY90" s="501"/>
      <c r="CZ90" s="514">
        <f t="shared" si="399"/>
        <v>0</v>
      </c>
      <c r="DA90" s="514">
        <f t="shared" si="400"/>
        <v>0</v>
      </c>
      <c r="DB90" s="514">
        <f t="shared" si="401"/>
        <v>0</v>
      </c>
      <c r="DC90" s="514">
        <f t="shared" si="402"/>
        <v>0</v>
      </c>
      <c r="DD90" s="514">
        <f t="shared" si="403"/>
        <v>0</v>
      </c>
      <c r="DE90" s="501"/>
      <c r="DF90" s="570">
        <f t="shared" si="404"/>
        <v>1</v>
      </c>
      <c r="DG90" s="570">
        <f t="shared" si="405"/>
        <v>0</v>
      </c>
      <c r="DH90" s="570">
        <f t="shared" si="406"/>
        <v>0</v>
      </c>
      <c r="DI90" s="505"/>
      <c r="DJ90" s="514">
        <f>COUNTIF('MEP | Drawing List'!$G:$G,"MEP-T2V-6V-4")</f>
        <v>101</v>
      </c>
      <c r="DK90" s="506">
        <f>COUNTIFS('MEP | Drawing List'!$G:$G,"MEP-T2V-6V-4",'MEP | Drawing List'!$I:$I,1)</f>
        <v>101</v>
      </c>
      <c r="DL90" s="506">
        <f>COUNTIFS('MEP | Drawing List'!$G:$G,"MEP-T2V-6V-4",'MEP | Drawing List'!$K:$K,1)</f>
        <v>0</v>
      </c>
      <c r="DM90" s="514">
        <f>COUNTIFS('MEP | Drawing List'!$G:$G,"MEP-T2V-6V-4",'MEP | Drawing List'!L:L,1)</f>
        <v>0</v>
      </c>
      <c r="DN90" s="514">
        <f>COUNTIFS('MEP | Drawing List'!$G:$G,"MEP-T2V-6V-4",'MEP | Drawing List'!M:M,1)</f>
        <v>0</v>
      </c>
      <c r="DO90" s="514">
        <f>COUNTIFS('MEP | Drawing List'!$G:$G,"MEP-T2V-6V-4",'MEP | Drawing List'!N:N,1)</f>
        <v>0</v>
      </c>
      <c r="DP90" s="514">
        <f>COUNTIFS('MEP | Drawing List'!$G:$G,"MEP-T2V-6V-4",'MEP | Drawing List'!O:O,1)</f>
        <v>0</v>
      </c>
      <c r="DQ90" s="501"/>
      <c r="DR90" s="506">
        <f>COUNTIFS('MEP | Drawing List'!$G:$G,"MEP-T2V-6V-4",'MEP | Drawing List'!$P:$P,1)</f>
        <v>0</v>
      </c>
      <c r="DS90" s="514">
        <f>COUNTIFS('MEP | Drawing List'!$G:$G,"MEP-T2V-6V-4",'MEP | Drawing List'!Q:Q,1)</f>
        <v>0</v>
      </c>
      <c r="DT90" s="514">
        <f>COUNTIFS('MEP | Drawing List'!$G:$G,"MEP-T2V-6V-4",'MEP | Drawing List'!R:R,1)</f>
        <v>0</v>
      </c>
      <c r="DU90" s="514">
        <f>COUNTIFS('MEP | Drawing List'!$G:$G,"MEP-T2V-6V-4",'MEP | Drawing List'!S:S,1)</f>
        <v>0</v>
      </c>
      <c r="DV90" s="514">
        <f>COUNTIFS('MEP | Drawing List'!$G:$G,"MEP-T2V-6V-4",'MEP | Drawing List'!T:T,1)</f>
        <v>0</v>
      </c>
      <c r="DW90" s="508"/>
      <c r="DX90" s="508"/>
      <c r="DY90" s="511">
        <v>0</v>
      </c>
      <c r="DZ90" s="508"/>
      <c r="EA90" s="509">
        <v>0</v>
      </c>
      <c r="EB90" s="510">
        <f t="shared" si="237"/>
        <v>0</v>
      </c>
      <c r="EC90" s="515"/>
      <c r="ED90" s="515"/>
      <c r="EE90" s="501"/>
      <c r="EF90" s="501"/>
      <c r="EG90" s="501"/>
      <c r="EH90" s="501"/>
      <c r="EI90" s="501"/>
      <c r="EJ90" s="515"/>
      <c r="EK90" s="501"/>
      <c r="EL90" s="501"/>
      <c r="EM90" s="501"/>
      <c r="EN90" s="501"/>
      <c r="EO90" s="501"/>
      <c r="EP90" s="52"/>
      <c r="EQ90" s="52"/>
      <c r="ER90" s="52"/>
      <c r="ES90" s="516"/>
      <c r="ET90" s="514">
        <f>COUNTIF('LS | Drawing List'!$G:$G,"LS-TXV-4")</f>
        <v>0</v>
      </c>
      <c r="EU90" s="506">
        <f>COUNTIFS('LS | Drawing List'!$G:$G,"LS-TXV-4",'LS | Drawing List'!$I:$I,1)</f>
        <v>0</v>
      </c>
      <c r="EV90" s="506">
        <f>COUNTIFS('LS | Drawing List'!$G:$G,"LS-TXV-4",'LS | Drawing List'!$K:$K,1)</f>
        <v>0</v>
      </c>
      <c r="EW90" s="514">
        <f>COUNTIFS('LS | Drawing List'!$G:$G,"LS-TXV-4",'LS | Drawing List'!L:L,1)</f>
        <v>0</v>
      </c>
      <c r="EX90" s="514">
        <f>COUNTIFS('LS | Drawing List'!$G:$G,"LS-TXV-4",'LS | Drawing List'!M:M,1)</f>
        <v>0</v>
      </c>
      <c r="EY90" s="514">
        <f>COUNTIFS('LS | Drawing List'!$G:$G,"LS-TXV-4",'LS | Drawing List'!N:N,1)</f>
        <v>0</v>
      </c>
      <c r="EZ90" s="514">
        <f>COUNTIFS('LS | Drawing List'!$G:$G,"LS-TXV-4",'LS | Drawing List'!O:O,1)</f>
        <v>0</v>
      </c>
      <c r="FA90" s="515"/>
      <c r="FB90" s="506">
        <f>COUNTIFS('LS | Drawing List'!$G:$G,"LS-TXV-4",'LS | Drawing List'!$P:$P,1)</f>
        <v>0</v>
      </c>
      <c r="FC90" s="514">
        <f>COUNTIFS('LS | Drawing List'!$G:$G,"LS-TXV-4",'LS | Drawing List'!Q:Q,1)</f>
        <v>0</v>
      </c>
      <c r="FD90" s="514">
        <f>COUNTIFS('LS | Drawing List'!$G:$G,"LS-TXV-4",'LS | Drawing List'!R:R,1)</f>
        <v>0</v>
      </c>
      <c r="FE90" s="514">
        <f>COUNTIFS('LS | Drawing List'!$G:$G,"LS-TXV-4",'LS | Drawing List'!S:S,1)</f>
        <v>0</v>
      </c>
      <c r="FF90" s="514">
        <f>COUNTIFS('LS | Drawing List'!$G:$G,"LS-TXV-4",'LS | Drawing List'!T:T,1)</f>
        <v>0</v>
      </c>
    </row>
    <row r="91" spans="2:162" ht="14.25" outlineLevel="2">
      <c r="B91" s="564" t="s">
        <v>100</v>
      </c>
      <c r="C91" s="565">
        <v>5</v>
      </c>
      <c r="D91" s="580" t="s">
        <v>60</v>
      </c>
      <c r="F91" s="500">
        <f t="shared" si="358"/>
        <v>0.30353232000000002</v>
      </c>
      <c r="G91" s="500">
        <f t="shared" si="359"/>
        <v>0.30353232000000002</v>
      </c>
      <c r="H91" s="514">
        <f t="shared" si="360"/>
        <v>0</v>
      </c>
      <c r="I91" s="514">
        <f t="shared" si="332"/>
        <v>0</v>
      </c>
      <c r="J91" s="514">
        <f t="shared" si="333"/>
        <v>0</v>
      </c>
      <c r="K91" s="514">
        <f t="shared" si="334"/>
        <v>0</v>
      </c>
      <c r="L91" s="514">
        <f t="shared" si="335"/>
        <v>0</v>
      </c>
      <c r="M91" s="567">
        <f t="shared" si="336"/>
        <v>0</v>
      </c>
      <c r="N91" s="568"/>
      <c r="O91" s="514">
        <f t="shared" si="337"/>
        <v>0</v>
      </c>
      <c r="P91" s="514">
        <f t="shared" si="338"/>
        <v>0</v>
      </c>
      <c r="Q91" s="514">
        <f t="shared" si="339"/>
        <v>0</v>
      </c>
      <c r="R91" s="514">
        <f t="shared" si="340"/>
        <v>0</v>
      </c>
      <c r="S91" s="514">
        <f t="shared" si="341"/>
        <v>0</v>
      </c>
      <c r="U91" s="569">
        <v>2.5000000000000001E-2</v>
      </c>
      <c r="V91" s="503"/>
      <c r="W91" s="500">
        <f t="shared" si="361"/>
        <v>0.16527360000000002</v>
      </c>
      <c r="X91" s="500">
        <f t="shared" si="234"/>
        <v>0.16527360000000002</v>
      </c>
      <c r="Y91" s="514">
        <f t="shared" si="362"/>
        <v>0.16527360000000002</v>
      </c>
      <c r="Z91" s="514">
        <f t="shared" si="363"/>
        <v>0</v>
      </c>
      <c r="AA91" s="514">
        <f t="shared" si="364"/>
        <v>0</v>
      </c>
      <c r="AB91" s="514">
        <f t="shared" si="365"/>
        <v>0</v>
      </c>
      <c r="AC91" s="514">
        <f t="shared" si="366"/>
        <v>0</v>
      </c>
      <c r="AD91" s="567">
        <f t="shared" si="367"/>
        <v>0</v>
      </c>
      <c r="AE91" s="568"/>
      <c r="AF91" s="514">
        <f t="shared" si="368"/>
        <v>0</v>
      </c>
      <c r="AG91" s="514">
        <f t="shared" si="369"/>
        <v>0</v>
      </c>
      <c r="AH91" s="514">
        <f t="shared" si="370"/>
        <v>0</v>
      </c>
      <c r="AI91" s="514">
        <f t="shared" si="371"/>
        <v>0</v>
      </c>
      <c r="AJ91" s="514">
        <f t="shared" si="372"/>
        <v>0</v>
      </c>
      <c r="AK91" s="501"/>
      <c r="AL91" s="570">
        <f t="shared" si="373"/>
        <v>1</v>
      </c>
      <c r="AM91" s="570">
        <f t="shared" si="374"/>
        <v>0</v>
      </c>
      <c r="AN91" s="570">
        <f t="shared" si="375"/>
        <v>0</v>
      </c>
      <c r="AO91" s="518"/>
      <c r="AP91" s="514">
        <f>COUNTIF('AR | Drawing List'!$G:$G,"AR-TXV-5")</f>
        <v>3</v>
      </c>
      <c r="AQ91" s="506">
        <f>COUNTIFS('AR | Drawing List'!$G:$G,"AR-TXV-5",'AR | Drawing List'!$I:$I,1)</f>
        <v>3</v>
      </c>
      <c r="AR91" s="506">
        <f t="shared" si="238"/>
        <v>0</v>
      </c>
      <c r="AS91" s="506">
        <f>COUNTIFS('AR | Drawing List'!$G:$G,"AR-TXV-5",'AR | Drawing List'!M:M,1)</f>
        <v>0</v>
      </c>
      <c r="AT91" s="506">
        <f>COUNTIFS('AR | Drawing List'!$G:$G,"AR-TXV-5",'AR | Drawing List'!N:N,1)</f>
        <v>0</v>
      </c>
      <c r="AU91" s="506">
        <f>COUNTIFS('AR | Drawing List'!$G:$G,"AR-TXV-5",'AR | Drawing List'!O:O,1)</f>
        <v>0</v>
      </c>
      <c r="AV91" s="506">
        <f>COUNTIFS('AR | Drawing List'!$G:$G,"AR-TXV-5",'AR | Drawing List'!P:P,1)</f>
        <v>0</v>
      </c>
      <c r="AW91" s="466"/>
      <c r="AX91" s="506">
        <f t="shared" si="376"/>
        <v>0</v>
      </c>
      <c r="AY91" s="506">
        <f>COUNTIFS('AR | Drawing List'!$G:$G,"AR-TXV-5",'AR | Drawing List'!R:R,1)</f>
        <v>0</v>
      </c>
      <c r="AZ91" s="506">
        <f>COUNTIFS('AR | Drawing List'!$G:$G,"AR-TXV-5",'AR | Drawing List'!S:S,1)</f>
        <v>0</v>
      </c>
      <c r="BA91" s="506">
        <f>COUNTIFS('AR | Drawing List'!$G:$G,"AR-TXV-5",'AR | Drawing List'!T:T,1)</f>
        <v>0</v>
      </c>
      <c r="BB91" s="506">
        <f>COUNTIFS('AR | Drawing List'!$G:$G,"AR-TXV-5",'AR | Drawing List'!U:U,1)</f>
        <v>0</v>
      </c>
      <c r="BC91" s="466"/>
      <c r="BD91" s="466"/>
      <c r="BE91" s="470">
        <v>0.05</v>
      </c>
      <c r="BF91" s="508"/>
      <c r="BG91" s="506">
        <f t="shared" si="377"/>
        <v>0.13825872</v>
      </c>
      <c r="BH91" s="510">
        <f t="shared" si="235"/>
        <v>0.13825872</v>
      </c>
      <c r="BI91" s="514">
        <f t="shared" si="378"/>
        <v>0.13825872</v>
      </c>
      <c r="BJ91" s="514">
        <f t="shared" si="379"/>
        <v>0</v>
      </c>
      <c r="BK91" s="514">
        <f t="shared" si="380"/>
        <v>0</v>
      </c>
      <c r="BL91" s="514">
        <f t="shared" si="381"/>
        <v>0</v>
      </c>
      <c r="BM91" s="514">
        <f t="shared" si="382"/>
        <v>0</v>
      </c>
      <c r="BN91" s="514">
        <f t="shared" si="383"/>
        <v>0</v>
      </c>
      <c r="BO91" s="501"/>
      <c r="BP91" s="514">
        <f t="shared" si="384"/>
        <v>0</v>
      </c>
      <c r="BQ91" s="514">
        <f t="shared" si="385"/>
        <v>0</v>
      </c>
      <c r="BR91" s="514">
        <f t="shared" si="386"/>
        <v>0</v>
      </c>
      <c r="BS91" s="514">
        <f t="shared" si="387"/>
        <v>0</v>
      </c>
      <c r="BT91" s="514">
        <f t="shared" si="388"/>
        <v>0</v>
      </c>
      <c r="BU91" s="501"/>
      <c r="BV91" s="571">
        <f t="shared" si="389"/>
        <v>1</v>
      </c>
      <c r="BW91" s="571">
        <f t="shared" si="390"/>
        <v>0</v>
      </c>
      <c r="BX91" s="571">
        <f t="shared" si="391"/>
        <v>0</v>
      </c>
      <c r="BY91" s="505"/>
      <c r="BZ91" s="514">
        <f>COUNTIF('ST | Drawing List'!$G:$G,"ST-TXV-5")</f>
        <v>712</v>
      </c>
      <c r="CA91" s="506">
        <f>COUNTIFS('ST | Drawing List'!$G:$G,"ST-TXV-5",'ST | Drawing List'!$I:$I,1)</f>
        <v>712</v>
      </c>
      <c r="CB91" s="572">
        <f>COUNTIFS('ST | Drawing List'!$G:$G,"ST-TXV-5",'ST | Drawing List'!$K:$K,1)</f>
        <v>0</v>
      </c>
      <c r="CC91" s="506">
        <f>COUNTIFS('ST | Drawing List'!$G:$G,"ST-TXV-5",'ST | Drawing List'!L:L,1)</f>
        <v>0</v>
      </c>
      <c r="CD91" s="506">
        <f>COUNTIFS('ST | Drawing List'!$G:$G,"ST-TXV-5",'ST | Drawing List'!M:M,1)</f>
        <v>0</v>
      </c>
      <c r="CE91" s="506">
        <f>COUNTIFS('ST | Drawing List'!$G:$G,"ST-TXV-5",'ST | Drawing List'!N:N,1)</f>
        <v>0</v>
      </c>
      <c r="CF91" s="506">
        <f>COUNTIFS('ST | Drawing List'!$G:$G,"ST-TXV-5",'ST | Drawing List'!O:O,1)</f>
        <v>0</v>
      </c>
      <c r="CG91" s="471"/>
      <c r="CH91" s="572">
        <f>COUNTIFS('ST | Drawing List'!$G:$G,"ST-TXV-5",'ST | Drawing List'!$P:$P,1)</f>
        <v>0</v>
      </c>
      <c r="CI91" s="506">
        <f>COUNTIFS('ST | Drawing List'!$G:$G,"ST-TXV-5",'ST | Drawing List'!Q:Q,1)</f>
        <v>0</v>
      </c>
      <c r="CJ91" s="506">
        <f>COUNTIFS('ST | Drawing List'!$G:$G,"ST-TXV-5",'ST | Drawing List'!R:R,1)</f>
        <v>0</v>
      </c>
      <c r="CK91" s="506">
        <f>COUNTIFS('ST | Drawing List'!$G:$G,"ST-TXV-5",'ST | Drawing List'!S:S,1)</f>
        <v>0</v>
      </c>
      <c r="CL91" s="506">
        <f>COUNTIFS('ST | Drawing List'!$G:$G,"ST-TXV-5",'ST | Drawing List'!T:T,1)</f>
        <v>0</v>
      </c>
      <c r="CM91" s="508"/>
      <c r="CN91" s="508"/>
      <c r="CO91" s="576">
        <v>0</v>
      </c>
      <c r="CP91" s="508"/>
      <c r="CQ91" s="506">
        <f t="shared" si="392"/>
        <v>0</v>
      </c>
      <c r="CR91" s="510">
        <f t="shared" si="236"/>
        <v>0</v>
      </c>
      <c r="CS91" s="514">
        <f t="shared" si="393"/>
        <v>0</v>
      </c>
      <c r="CT91" s="514">
        <f t="shared" si="394"/>
        <v>0</v>
      </c>
      <c r="CU91" s="514">
        <f t="shared" si="395"/>
        <v>0</v>
      </c>
      <c r="CV91" s="514">
        <f t="shared" si="396"/>
        <v>0</v>
      </c>
      <c r="CW91" s="514">
        <f t="shared" si="397"/>
        <v>0</v>
      </c>
      <c r="CX91" s="514">
        <f t="shared" si="398"/>
        <v>0</v>
      </c>
      <c r="CY91" s="501"/>
      <c r="CZ91" s="514">
        <f t="shared" si="399"/>
        <v>0</v>
      </c>
      <c r="DA91" s="514">
        <f t="shared" si="400"/>
        <v>0</v>
      </c>
      <c r="DB91" s="514">
        <f t="shared" si="401"/>
        <v>0</v>
      </c>
      <c r="DC91" s="514">
        <f t="shared" si="402"/>
        <v>0</v>
      </c>
      <c r="DD91" s="514">
        <f t="shared" si="403"/>
        <v>0</v>
      </c>
      <c r="DE91" s="501"/>
      <c r="DF91" s="570">
        <f t="shared" si="404"/>
        <v>0</v>
      </c>
      <c r="DG91" s="570">
        <f t="shared" si="405"/>
        <v>0</v>
      </c>
      <c r="DH91" s="570">
        <f t="shared" si="406"/>
        <v>0</v>
      </c>
      <c r="DI91" s="505"/>
      <c r="DJ91" s="514">
        <f>COUNTIF('MEP | Drawing List'!$G:$G,"MEP-T2V-6V-5")</f>
        <v>0</v>
      </c>
      <c r="DK91" s="506">
        <f>COUNTIFS('MEP | Drawing List'!$G:$G,"MEP-T2V-6V-5",'MEP | Drawing List'!$I:$I,1)</f>
        <v>0</v>
      </c>
      <c r="DL91" s="506">
        <f>COUNTIFS('MEP | Drawing List'!$G:$G,"MEP-T2V-6V-5",'MEP | Drawing List'!$K:$K,1)</f>
        <v>0</v>
      </c>
      <c r="DM91" s="514">
        <f>COUNTIFS('MEP | Drawing List'!$G:$G,"MEP-T2V-6V-5",'MEP | Drawing List'!L:L,1)</f>
        <v>0</v>
      </c>
      <c r="DN91" s="514">
        <f>COUNTIFS('MEP | Drawing List'!$G:$G,"MEP-T2V-6V-5",'MEP | Drawing List'!M:M,1)</f>
        <v>0</v>
      </c>
      <c r="DO91" s="514">
        <f>COUNTIFS('MEP | Drawing List'!$G:$G,"MEP-T2V-6V-5",'MEP | Drawing List'!N:N,1)</f>
        <v>0</v>
      </c>
      <c r="DP91" s="514">
        <f>COUNTIFS('MEP | Drawing List'!$G:$G,"MEP-T2V-6V-5",'MEP | Drawing List'!O:O,1)</f>
        <v>0</v>
      </c>
      <c r="DQ91" s="501"/>
      <c r="DR91" s="506">
        <f>COUNTIFS('MEP | Drawing List'!$G:$G,"MEP-T2V-6V-5",'MEP | Drawing List'!$P:$P,1)</f>
        <v>0</v>
      </c>
      <c r="DS91" s="514">
        <f>COUNTIFS('MEP | Drawing List'!$G:$G,"MEP-T2V-6V-5",'MEP | Drawing List'!Q:Q,1)</f>
        <v>0</v>
      </c>
      <c r="DT91" s="514">
        <f>COUNTIFS('MEP | Drawing List'!$G:$G,"MEP-T2V-6V-5",'MEP | Drawing List'!R:R,1)</f>
        <v>0</v>
      </c>
      <c r="DU91" s="514">
        <f>COUNTIFS('MEP | Drawing List'!$G:$G,"MEP-T2V-6V-5",'MEP | Drawing List'!S:S,1)</f>
        <v>0</v>
      </c>
      <c r="DV91" s="514">
        <f>COUNTIFS('MEP | Drawing List'!$G:$G,"MEP-T2V-6V-5",'MEP | Drawing List'!T:T,1)</f>
        <v>0</v>
      </c>
      <c r="DW91" s="508"/>
      <c r="DX91" s="508"/>
      <c r="DY91" s="511">
        <v>0</v>
      </c>
      <c r="DZ91" s="508"/>
      <c r="EA91" s="509">
        <v>0</v>
      </c>
      <c r="EB91" s="510">
        <f t="shared" si="237"/>
        <v>0</v>
      </c>
      <c r="EC91" s="574"/>
      <c r="ED91" s="574"/>
      <c r="EE91" s="501"/>
      <c r="EF91" s="501"/>
      <c r="EG91" s="501"/>
      <c r="EH91" s="501"/>
      <c r="EI91" s="501"/>
      <c r="EJ91" s="574"/>
      <c r="EK91" s="501"/>
      <c r="EL91" s="501"/>
      <c r="EM91" s="501"/>
      <c r="EN91" s="501"/>
      <c r="EO91" s="501"/>
      <c r="EP91" s="575"/>
      <c r="EQ91" s="575"/>
      <c r="ER91" s="575"/>
      <c r="ES91" s="516"/>
      <c r="ET91" s="514">
        <f>COUNTIF('LS | Drawing List'!$G:$G,"LS-TXV-5")</f>
        <v>0</v>
      </c>
      <c r="EU91" s="506">
        <f>COUNTIFS('LS | Drawing List'!$G:$G,"LS-TXV-5",'LS | Drawing List'!$I:$I,1)</f>
        <v>0</v>
      </c>
      <c r="EV91" s="506">
        <f>COUNTIFS('LS | Drawing List'!$G:$G,"LS-TXV-5",'LS | Drawing List'!$K:$K,1)</f>
        <v>0</v>
      </c>
      <c r="EW91" s="514">
        <f>COUNTIFS('LS | Drawing List'!$G:$G,"LS-TXV-5",'LS | Drawing List'!L:L,1)</f>
        <v>0</v>
      </c>
      <c r="EX91" s="514">
        <f>COUNTIFS('LS | Drawing List'!$G:$G,"LS-TXV-5",'LS | Drawing List'!M:M,1)</f>
        <v>0</v>
      </c>
      <c r="EY91" s="514">
        <f>COUNTIFS('LS | Drawing List'!$G:$G,"LS-TXV-5",'LS | Drawing List'!N:N,1)</f>
        <v>0</v>
      </c>
      <c r="EZ91" s="514">
        <f>COUNTIFS('LS | Drawing List'!$G:$G,"LS-TXV-5",'LS | Drawing List'!O:O,1)</f>
        <v>0</v>
      </c>
      <c r="FA91" s="515"/>
      <c r="FB91" s="506">
        <f>COUNTIFS('LS | Drawing List'!$G:$G,"LS-TXV-5",'LS | Drawing List'!$P:$P,1)</f>
        <v>0</v>
      </c>
      <c r="FC91" s="514">
        <f>COUNTIFS('LS | Drawing List'!$G:$G,"LS-TXV-5",'LS | Drawing List'!Q:Q,1)</f>
        <v>0</v>
      </c>
      <c r="FD91" s="514">
        <f>COUNTIFS('LS | Drawing List'!$G:$G,"LS-TXV-5",'LS | Drawing List'!R:R,1)</f>
        <v>0</v>
      </c>
      <c r="FE91" s="514">
        <f>COUNTIFS('LS | Drawing List'!$G:$G,"LS-TXV-5",'LS | Drawing List'!S:S,1)</f>
        <v>0</v>
      </c>
      <c r="FF91" s="514">
        <f>COUNTIFS('LS | Drawing List'!$G:$G,"LS-TXV-5",'LS | Drawing List'!T:T,1)</f>
        <v>0</v>
      </c>
    </row>
    <row r="92" spans="2:162" s="51" customFormat="1" ht="14.25" outlineLevel="2">
      <c r="B92" s="564" t="s">
        <v>101</v>
      </c>
      <c r="C92" s="579">
        <v>6</v>
      </c>
      <c r="D92" s="580" t="s">
        <v>62</v>
      </c>
      <c r="F92" s="500">
        <f t="shared" si="358"/>
        <v>0.30353232000000002</v>
      </c>
      <c r="G92" s="500">
        <f t="shared" si="359"/>
        <v>0.30353232000000002</v>
      </c>
      <c r="H92" s="514">
        <f t="shared" si="360"/>
        <v>0</v>
      </c>
      <c r="I92" s="514">
        <f t="shared" si="332"/>
        <v>0</v>
      </c>
      <c r="J92" s="514">
        <f t="shared" si="333"/>
        <v>0</v>
      </c>
      <c r="K92" s="514">
        <f t="shared" si="334"/>
        <v>0</v>
      </c>
      <c r="L92" s="514">
        <f t="shared" si="335"/>
        <v>0</v>
      </c>
      <c r="M92" s="567">
        <f t="shared" si="336"/>
        <v>0</v>
      </c>
      <c r="N92" s="568"/>
      <c r="O92" s="514">
        <f t="shared" si="337"/>
        <v>0</v>
      </c>
      <c r="P92" s="514">
        <f t="shared" si="338"/>
        <v>0</v>
      </c>
      <c r="Q92" s="514">
        <f t="shared" si="339"/>
        <v>0</v>
      </c>
      <c r="R92" s="514">
        <f t="shared" si="340"/>
        <v>0</v>
      </c>
      <c r="S92" s="514">
        <f t="shared" si="341"/>
        <v>0</v>
      </c>
      <c r="U92" s="583">
        <v>2.5000000000000001E-2</v>
      </c>
      <c r="V92" s="584"/>
      <c r="W92" s="581">
        <f t="shared" si="361"/>
        <v>0.16527360000000002</v>
      </c>
      <c r="X92" s="581">
        <f t="shared" si="234"/>
        <v>0.16527360000000002</v>
      </c>
      <c r="Y92" s="567">
        <f t="shared" si="362"/>
        <v>0.16527360000000002</v>
      </c>
      <c r="Z92" s="567">
        <f t="shared" si="363"/>
        <v>0</v>
      </c>
      <c r="AA92" s="567">
        <f t="shared" si="364"/>
        <v>0</v>
      </c>
      <c r="AB92" s="567">
        <f t="shared" si="365"/>
        <v>0</v>
      </c>
      <c r="AC92" s="567">
        <f t="shared" si="366"/>
        <v>0</v>
      </c>
      <c r="AD92" s="567">
        <f t="shared" si="367"/>
        <v>0</v>
      </c>
      <c r="AE92" s="568"/>
      <c r="AF92" s="514">
        <f t="shared" si="368"/>
        <v>0</v>
      </c>
      <c r="AG92" s="514">
        <f t="shared" si="369"/>
        <v>0</v>
      </c>
      <c r="AH92" s="514">
        <f t="shared" si="370"/>
        <v>0</v>
      </c>
      <c r="AI92" s="514">
        <f t="shared" si="371"/>
        <v>0</v>
      </c>
      <c r="AJ92" s="514">
        <f t="shared" si="372"/>
        <v>0</v>
      </c>
      <c r="AK92" s="501"/>
      <c r="AL92" s="585">
        <f t="shared" si="373"/>
        <v>1</v>
      </c>
      <c r="AM92" s="585">
        <f t="shared" si="374"/>
        <v>0</v>
      </c>
      <c r="AN92" s="570">
        <f t="shared" si="375"/>
        <v>0</v>
      </c>
      <c r="AO92" s="605"/>
      <c r="AP92" s="567">
        <f>COUNTIF('AR | Drawing List'!$G:$G,"AR-TXV-6")</f>
        <v>2</v>
      </c>
      <c r="AQ92" s="582">
        <f>COUNTIFS('AR | Drawing List'!$G:$G,"AR-TXV-6",'AR | Drawing List'!$I:$I,1)</f>
        <v>2</v>
      </c>
      <c r="AR92" s="582">
        <f t="shared" si="238"/>
        <v>0</v>
      </c>
      <c r="AS92" s="582">
        <f>COUNTIFS('AR | Drawing List'!$G:$G,"AR-TXV-6",'AR | Drawing List'!M:M,1)</f>
        <v>0</v>
      </c>
      <c r="AT92" s="582">
        <f>COUNTIFS('AR | Drawing List'!$G:$G,"AR-TXV-6",'AR | Drawing List'!N:N,1)</f>
        <v>0</v>
      </c>
      <c r="AU92" s="582">
        <f>COUNTIFS('AR | Drawing List'!$G:$G,"AR-TXV-6",'AR | Drawing List'!O:O,1)</f>
        <v>0</v>
      </c>
      <c r="AV92" s="582">
        <f>COUNTIFS('AR | Drawing List'!$G:$G,"AR-TXV-6",'AR | Drawing List'!P:P,1)</f>
        <v>0</v>
      </c>
      <c r="AW92" s="587"/>
      <c r="AX92" s="582">
        <f t="shared" si="376"/>
        <v>0</v>
      </c>
      <c r="AY92" s="582">
        <f>COUNTIFS('AR | Drawing List'!$G:$G,"AR-TXV-6",'AR | Drawing List'!R:R,1)</f>
        <v>0</v>
      </c>
      <c r="AZ92" s="582">
        <f>COUNTIFS('AR | Drawing List'!$G:$G,"AR-TXV-6",'AR | Drawing List'!S:S,1)</f>
        <v>0</v>
      </c>
      <c r="BA92" s="582">
        <f>COUNTIFS('AR | Drawing List'!$G:$G,"AR-TXV-6",'AR | Drawing List'!T:T,1)</f>
        <v>0</v>
      </c>
      <c r="BB92" s="582">
        <f>COUNTIFS('AR | Drawing List'!$G:$G,"AR-TXV-6",'AR | Drawing List'!U:U,1)</f>
        <v>0</v>
      </c>
      <c r="BC92" s="587"/>
      <c r="BD92" s="587"/>
      <c r="BE92" s="470">
        <v>0.05</v>
      </c>
      <c r="BF92" s="588"/>
      <c r="BG92" s="582">
        <f t="shared" si="377"/>
        <v>0.13825872</v>
      </c>
      <c r="BH92" s="589">
        <f t="shared" si="235"/>
        <v>0.13825872</v>
      </c>
      <c r="BI92" s="567">
        <f t="shared" si="378"/>
        <v>0.13825872</v>
      </c>
      <c r="BJ92" s="567">
        <f t="shared" si="379"/>
        <v>0</v>
      </c>
      <c r="BK92" s="514">
        <f t="shared" si="380"/>
        <v>0</v>
      </c>
      <c r="BL92" s="514">
        <f t="shared" si="381"/>
        <v>0</v>
      </c>
      <c r="BM92" s="514">
        <f t="shared" si="382"/>
        <v>0</v>
      </c>
      <c r="BN92" s="514">
        <f t="shared" si="383"/>
        <v>0</v>
      </c>
      <c r="BO92" s="501"/>
      <c r="BP92" s="514">
        <f t="shared" si="384"/>
        <v>0</v>
      </c>
      <c r="BQ92" s="514">
        <f t="shared" si="385"/>
        <v>0</v>
      </c>
      <c r="BR92" s="514">
        <f t="shared" si="386"/>
        <v>0</v>
      </c>
      <c r="BS92" s="514">
        <f t="shared" si="387"/>
        <v>0</v>
      </c>
      <c r="BT92" s="514">
        <f t="shared" si="388"/>
        <v>0</v>
      </c>
      <c r="BU92" s="501"/>
      <c r="BV92" s="571">
        <f t="shared" si="389"/>
        <v>1</v>
      </c>
      <c r="BW92" s="571">
        <f t="shared" si="390"/>
        <v>0</v>
      </c>
      <c r="BX92" s="571">
        <f t="shared" si="391"/>
        <v>0</v>
      </c>
      <c r="BY92" s="586"/>
      <c r="BZ92" s="567">
        <f>COUNTIF('ST | Drawing List'!$G:$G,"ST-TXV-6")</f>
        <v>866</v>
      </c>
      <c r="CA92" s="582">
        <f>COUNTIFS('ST | Drawing List'!$G:$G,"ST-TXV-6",'ST | Drawing List'!$I:$I,1)</f>
        <v>866</v>
      </c>
      <c r="CB92" s="590">
        <f>COUNTIFS('ST | Drawing List'!$G:$G,"ST-TXV-6",'ST | Drawing List'!$K:$K,1)</f>
        <v>0</v>
      </c>
      <c r="CC92" s="582">
        <f>COUNTIFS('ST | Drawing List'!$G:$G,"ST-TXV-6",'ST | Drawing List'!L:L,1)</f>
        <v>0</v>
      </c>
      <c r="CD92" s="582">
        <f>COUNTIFS('ST | Drawing List'!$G:$G,"ST-TXV-6",'ST | Drawing List'!M:M,1)</f>
        <v>0</v>
      </c>
      <c r="CE92" s="582">
        <f>COUNTIFS('ST | Drawing List'!$G:$G,"ST-TXV-6",'ST | Drawing List'!N:N,1)</f>
        <v>0</v>
      </c>
      <c r="CF92" s="582">
        <f>COUNTIFS('ST | Drawing List'!$G:$G,"ST-TXV-6",'ST | Drawing List'!O:O,1)</f>
        <v>0</v>
      </c>
      <c r="CG92" s="591"/>
      <c r="CH92" s="590">
        <f>COUNTIFS('ST | Drawing List'!$G:$G,"ST-TXV-6",'ST | Drawing List'!$P:$P,1)</f>
        <v>0</v>
      </c>
      <c r="CI92" s="582">
        <f>COUNTIFS('ST | Drawing List'!$G:$G,"ST-TXV-6",'ST | Drawing List'!Q:Q,1)</f>
        <v>0</v>
      </c>
      <c r="CJ92" s="582">
        <f>COUNTIFS('ST | Drawing List'!$G:$G,"ST-TXV-6",'ST | Drawing List'!R:R,1)</f>
        <v>0</v>
      </c>
      <c r="CK92" s="582">
        <f>COUNTIFS('ST | Drawing List'!$G:$G,"ST-TXV-6",'ST | Drawing List'!S:S,1)</f>
        <v>0</v>
      </c>
      <c r="CL92" s="582">
        <f>COUNTIFS('ST | Drawing List'!$G:$G,"ST-TXV-6",'ST | Drawing List'!T:T,1)</f>
        <v>0</v>
      </c>
      <c r="CM92" s="588"/>
      <c r="CN92" s="588"/>
      <c r="CO92" s="576">
        <v>0</v>
      </c>
      <c r="CP92" s="588"/>
      <c r="CQ92" s="582">
        <f t="shared" si="392"/>
        <v>0</v>
      </c>
      <c r="CR92" s="589">
        <f t="shared" si="236"/>
        <v>0</v>
      </c>
      <c r="CS92" s="567">
        <f t="shared" si="393"/>
        <v>0</v>
      </c>
      <c r="CT92" s="514">
        <f t="shared" si="394"/>
        <v>0</v>
      </c>
      <c r="CU92" s="514">
        <f t="shared" si="395"/>
        <v>0</v>
      </c>
      <c r="CV92" s="514">
        <f t="shared" si="396"/>
        <v>0</v>
      </c>
      <c r="CW92" s="514">
        <f t="shared" si="397"/>
        <v>0</v>
      </c>
      <c r="CX92" s="514">
        <f t="shared" si="398"/>
        <v>0</v>
      </c>
      <c r="CY92" s="501"/>
      <c r="CZ92" s="514">
        <f t="shared" si="399"/>
        <v>0</v>
      </c>
      <c r="DA92" s="514">
        <f t="shared" si="400"/>
        <v>0</v>
      </c>
      <c r="DB92" s="514">
        <f t="shared" si="401"/>
        <v>0</v>
      </c>
      <c r="DC92" s="514">
        <f t="shared" si="402"/>
        <v>0</v>
      </c>
      <c r="DD92" s="514">
        <f t="shared" si="403"/>
        <v>0</v>
      </c>
      <c r="DE92" s="501"/>
      <c r="DF92" s="570">
        <f t="shared" si="404"/>
        <v>0</v>
      </c>
      <c r="DG92" s="570">
        <f t="shared" si="405"/>
        <v>0</v>
      </c>
      <c r="DH92" s="570">
        <f t="shared" si="406"/>
        <v>0</v>
      </c>
      <c r="DI92" s="586"/>
      <c r="DJ92" s="567">
        <f>COUNTIF('MEP | Drawing List'!$G:$G,"MEP-T2V-6V-6")</f>
        <v>0</v>
      </c>
      <c r="DK92" s="582">
        <f>COUNTIFS('MEP | Drawing List'!$G:$G,"MEP-T2V-6V-6",'MEP | Drawing List'!$I:$I,1)</f>
        <v>0</v>
      </c>
      <c r="DL92" s="582">
        <f>COUNTIFS('MEP | Drawing List'!$G:$G,"MEP-T2V-6V-6",'MEP | Drawing List'!$K:$K,1)</f>
        <v>0</v>
      </c>
      <c r="DM92" s="567">
        <f>COUNTIFS('MEP | Drawing List'!$G:$G,"MEP-T2V-6V-6",'MEP | Drawing List'!L:L,1)</f>
        <v>0</v>
      </c>
      <c r="DN92" s="567">
        <f>COUNTIFS('MEP | Drawing List'!$G:$G,"MEP-T2V-6V-6",'MEP | Drawing List'!M:M,1)</f>
        <v>0</v>
      </c>
      <c r="DO92" s="567">
        <f>COUNTIFS('MEP | Drawing List'!$G:$G,"MEP-T2V-6V-6",'MEP | Drawing List'!N:N,1)</f>
        <v>0</v>
      </c>
      <c r="DP92" s="567">
        <f>COUNTIFS('MEP | Drawing List'!$G:$G,"MEP-T2V-6V-6",'MEP | Drawing List'!O:O,1)</f>
        <v>0</v>
      </c>
      <c r="DQ92" s="568"/>
      <c r="DR92" s="582">
        <f>COUNTIFS('MEP | Drawing List'!$G:$G,"MEP-T2V-6V-6",'MEP | Drawing List'!$P:$P,1)</f>
        <v>0</v>
      </c>
      <c r="DS92" s="567">
        <f>COUNTIFS('MEP | Drawing List'!$G:$G,"MEP-T2V-6V-6",'MEP | Drawing List'!Q:Q,1)</f>
        <v>0</v>
      </c>
      <c r="DT92" s="567">
        <f>COUNTIFS('MEP | Drawing List'!$G:$G,"MEP-T2V-6V-6",'MEP | Drawing List'!R:R,1)</f>
        <v>0</v>
      </c>
      <c r="DU92" s="567">
        <f>COUNTIFS('MEP | Drawing List'!$G:$G,"MEP-T2V-6V-6",'MEP | Drawing List'!S:S,1)</f>
        <v>0</v>
      </c>
      <c r="DV92" s="567">
        <f>COUNTIFS('MEP | Drawing List'!$G:$G,"MEP-T2V-6V-6",'MEP | Drawing List'!T:T,1)</f>
        <v>0</v>
      </c>
      <c r="DW92" s="588"/>
      <c r="DX92" s="588"/>
      <c r="DY92" s="592">
        <v>0</v>
      </c>
      <c r="DZ92" s="588"/>
      <c r="EA92" s="509">
        <v>0</v>
      </c>
      <c r="EB92" s="589">
        <f t="shared" si="237"/>
        <v>0</v>
      </c>
      <c r="EC92" s="574"/>
      <c r="ED92" s="574"/>
      <c r="EE92" s="501"/>
      <c r="EF92" s="501"/>
      <c r="EG92" s="501"/>
      <c r="EH92" s="501"/>
      <c r="EI92" s="501"/>
      <c r="EJ92" s="574"/>
      <c r="EK92" s="501"/>
      <c r="EL92" s="501"/>
      <c r="EM92" s="501"/>
      <c r="EN92" s="501"/>
      <c r="EO92" s="501"/>
      <c r="EP92" s="575"/>
      <c r="EQ92" s="575"/>
      <c r="ER92" s="575"/>
      <c r="ES92" s="593"/>
      <c r="ET92" s="567">
        <f>COUNTIF('LS | Drawing List'!$G:$G,"LS-TXV-6")</f>
        <v>0</v>
      </c>
      <c r="EU92" s="582">
        <f>COUNTIFS('LS | Drawing List'!$G:$G,"LS-TXV-6",'LS | Drawing List'!$I:$I,1)</f>
        <v>0</v>
      </c>
      <c r="EV92" s="582">
        <f>COUNTIFS('LS | Drawing List'!$G:$G,"LS-TXV-6",'LS | Drawing List'!$K:$K,1)</f>
        <v>0</v>
      </c>
      <c r="EW92" s="567">
        <f>COUNTIFS('LS | Drawing List'!$G:$G,"LS-TXV-6",'LS | Drawing List'!L:L,1)</f>
        <v>0</v>
      </c>
      <c r="EX92" s="567">
        <f>COUNTIFS('LS | Drawing List'!$G:$G,"LS-TXV-6",'LS | Drawing List'!M:M,1)</f>
        <v>0</v>
      </c>
      <c r="EY92" s="567">
        <f>COUNTIFS('LS | Drawing List'!$G:$G,"LS-TXV-6",'LS | Drawing List'!N:N,1)</f>
        <v>0</v>
      </c>
      <c r="EZ92" s="567">
        <f>COUNTIFS('LS | Drawing List'!$G:$G,"LS-TXV-6",'LS | Drawing List'!O:O,1)</f>
        <v>0</v>
      </c>
      <c r="FA92" s="574"/>
      <c r="FB92" s="582">
        <f>COUNTIFS('LS | Drawing List'!$G:$G,"LS-TXV-6",'LS | Drawing List'!$P:$P,1)</f>
        <v>0</v>
      </c>
      <c r="FC92" s="567">
        <f>COUNTIFS('LS | Drawing List'!$G:$G,"LS-TXV-6",'LS | Drawing List'!Q:Q,1)</f>
        <v>0</v>
      </c>
      <c r="FD92" s="567">
        <f>COUNTIFS('LS | Drawing List'!$G:$G,"LS-TXV-6",'LS | Drawing List'!R:R,1)</f>
        <v>0</v>
      </c>
      <c r="FE92" s="567">
        <f>COUNTIFS('LS | Drawing List'!$G:$G,"LS-TXV-6",'LS | Drawing List'!S:S,1)</f>
        <v>0</v>
      </c>
      <c r="FF92" s="567">
        <f>COUNTIFS('LS | Drawing List'!$G:$G,"LS-TXV-6",'LS | Drawing List'!T:T,1)</f>
        <v>0</v>
      </c>
    </row>
    <row r="93" spans="2:162" ht="14.25" outlineLevel="2">
      <c r="B93" s="564" t="s">
        <v>102</v>
      </c>
      <c r="C93" s="565">
        <v>7</v>
      </c>
      <c r="D93" s="566" t="s">
        <v>64</v>
      </c>
      <c r="F93" s="500">
        <f t="shared" si="358"/>
        <v>0.73697280000000009</v>
      </c>
      <c r="G93" s="500">
        <f t="shared" si="359"/>
        <v>0.73697280000000009</v>
      </c>
      <c r="H93" s="514">
        <f t="shared" si="360"/>
        <v>0</v>
      </c>
      <c r="I93" s="514">
        <f t="shared" si="332"/>
        <v>0</v>
      </c>
      <c r="J93" s="514">
        <f t="shared" si="333"/>
        <v>0</v>
      </c>
      <c r="K93" s="514">
        <f t="shared" si="334"/>
        <v>0</v>
      </c>
      <c r="L93" s="514">
        <f t="shared" si="335"/>
        <v>0</v>
      </c>
      <c r="M93" s="567">
        <f t="shared" si="336"/>
        <v>0</v>
      </c>
      <c r="N93" s="568"/>
      <c r="O93" s="514">
        <f t="shared" si="337"/>
        <v>0</v>
      </c>
      <c r="P93" s="514">
        <f t="shared" si="338"/>
        <v>0</v>
      </c>
      <c r="Q93" s="514">
        <f t="shared" si="339"/>
        <v>0</v>
      </c>
      <c r="R93" s="514">
        <f t="shared" si="340"/>
        <v>0</v>
      </c>
      <c r="S93" s="514">
        <f t="shared" si="341"/>
        <v>0</v>
      </c>
      <c r="U93" s="569">
        <v>0.1</v>
      </c>
      <c r="V93" s="503"/>
      <c r="W93" s="500">
        <f t="shared" si="361"/>
        <v>0.66109440000000008</v>
      </c>
      <c r="X93" s="500">
        <f t="shared" si="234"/>
        <v>0.66109440000000008</v>
      </c>
      <c r="Y93" s="514">
        <f t="shared" si="362"/>
        <v>0.66109440000000008</v>
      </c>
      <c r="Z93" s="514">
        <f t="shared" si="363"/>
        <v>0</v>
      </c>
      <c r="AA93" s="514">
        <f t="shared" si="364"/>
        <v>0</v>
      </c>
      <c r="AB93" s="514">
        <f t="shared" si="365"/>
        <v>0</v>
      </c>
      <c r="AC93" s="514">
        <f t="shared" si="366"/>
        <v>0</v>
      </c>
      <c r="AD93" s="567">
        <f t="shared" si="367"/>
        <v>0</v>
      </c>
      <c r="AE93" s="568"/>
      <c r="AF93" s="514">
        <f t="shared" si="368"/>
        <v>0</v>
      </c>
      <c r="AG93" s="514">
        <f t="shared" si="369"/>
        <v>0</v>
      </c>
      <c r="AH93" s="514">
        <f t="shared" si="370"/>
        <v>0</v>
      </c>
      <c r="AI93" s="514">
        <f t="shared" si="371"/>
        <v>0</v>
      </c>
      <c r="AJ93" s="514">
        <f t="shared" si="372"/>
        <v>0</v>
      </c>
      <c r="AK93" s="501"/>
      <c r="AL93" s="570">
        <f t="shared" si="373"/>
        <v>1</v>
      </c>
      <c r="AM93" s="570">
        <f t="shared" si="374"/>
        <v>0</v>
      </c>
      <c r="AN93" s="570">
        <f t="shared" si="375"/>
        <v>0</v>
      </c>
      <c r="AO93" s="518"/>
      <c r="AP93" s="514">
        <f>COUNTIF('AR | Drawing List'!$G:$G,"AR-TXV-7")</f>
        <v>9</v>
      </c>
      <c r="AQ93" s="506">
        <f>COUNTIFS('AR | Drawing List'!$G:$G,"AR-TXV-7",'AR | Drawing List'!$I:$I,1)</f>
        <v>9</v>
      </c>
      <c r="AR93" s="506">
        <f t="shared" si="238"/>
        <v>0</v>
      </c>
      <c r="AS93" s="506">
        <f>COUNTIFS('AR | Drawing List'!$G:$G,"AR-TXV-7",'AR | Drawing List'!M:M,1)</f>
        <v>0</v>
      </c>
      <c r="AT93" s="506">
        <f>COUNTIFS('AR | Drawing List'!$G:$G,"AR-TXV-7",'AR | Drawing List'!N:N,1)</f>
        <v>0</v>
      </c>
      <c r="AU93" s="506">
        <f>COUNTIFS('AR | Drawing List'!$G:$G,"AR-TXV-7",'AR | Drawing List'!O:O,1)</f>
        <v>0</v>
      </c>
      <c r="AV93" s="506">
        <f>COUNTIFS('AR | Drawing List'!$G:$G,"AR-TXV-7",'AR | Drawing List'!P:P,1)</f>
        <v>0</v>
      </c>
      <c r="AW93" s="466"/>
      <c r="AX93" s="506">
        <f t="shared" si="376"/>
        <v>0</v>
      </c>
      <c r="AY93" s="506">
        <f>COUNTIFS('AR | Drawing List'!$G:$G,"AR-TXV-7",'AR | Drawing List'!R:R,1)</f>
        <v>0</v>
      </c>
      <c r="AZ93" s="506">
        <f>COUNTIFS('AR | Drawing List'!$G:$G,"AR-TXV-7",'AR | Drawing List'!S:S,1)</f>
        <v>0</v>
      </c>
      <c r="BA93" s="506">
        <f>COUNTIFS('AR | Drawing List'!$G:$G,"AR-TXV-7",'AR | Drawing List'!T:T,1)</f>
        <v>0</v>
      </c>
      <c r="BB93" s="506">
        <f>COUNTIFS('AR | Drawing List'!$G:$G,"AR-TXV-7",'AR | Drawing List'!U:U,1)</f>
        <v>0</v>
      </c>
      <c r="BC93" s="466"/>
      <c r="BD93" s="466"/>
      <c r="BE93" s="576">
        <v>0</v>
      </c>
      <c r="BF93" s="508"/>
      <c r="BG93" s="506">
        <f t="shared" si="377"/>
        <v>0</v>
      </c>
      <c r="BH93" s="510">
        <f t="shared" si="235"/>
        <v>0</v>
      </c>
      <c r="BI93" s="514">
        <f t="shared" si="378"/>
        <v>0</v>
      </c>
      <c r="BJ93" s="514">
        <f t="shared" si="379"/>
        <v>0</v>
      </c>
      <c r="BK93" s="514">
        <f t="shared" si="380"/>
        <v>0</v>
      </c>
      <c r="BL93" s="514">
        <f t="shared" si="381"/>
        <v>0</v>
      </c>
      <c r="BM93" s="514">
        <f t="shared" si="382"/>
        <v>0</v>
      </c>
      <c r="BN93" s="514">
        <f t="shared" si="383"/>
        <v>0</v>
      </c>
      <c r="BO93" s="501"/>
      <c r="BP93" s="514">
        <f t="shared" si="384"/>
        <v>0</v>
      </c>
      <c r="BQ93" s="514">
        <f t="shared" si="385"/>
        <v>0</v>
      </c>
      <c r="BR93" s="514">
        <f t="shared" si="386"/>
        <v>0</v>
      </c>
      <c r="BS93" s="514">
        <f t="shared" si="387"/>
        <v>0</v>
      </c>
      <c r="BT93" s="514">
        <f t="shared" si="388"/>
        <v>0</v>
      </c>
      <c r="BU93" s="501"/>
      <c r="BV93" s="571">
        <f t="shared" si="389"/>
        <v>0</v>
      </c>
      <c r="BW93" s="571">
        <f t="shared" si="390"/>
        <v>0</v>
      </c>
      <c r="BX93" s="571">
        <f t="shared" si="391"/>
        <v>0</v>
      </c>
      <c r="BY93" s="505"/>
      <c r="BZ93" s="514">
        <f>COUNTIF('ST | Drawing List'!$G:$G,"ST-TXV-7")</f>
        <v>0</v>
      </c>
      <c r="CA93" s="506">
        <f>COUNTIFS('ST | Drawing List'!$G:$G,"ST-TXV-7",'ST | Drawing List'!$I:$I,1)</f>
        <v>0</v>
      </c>
      <c r="CB93" s="572">
        <f>COUNTIFS('ST | Drawing List'!$G:$G,"ST-TXV-7",'ST | Drawing List'!$K:$K,1)</f>
        <v>0</v>
      </c>
      <c r="CC93" s="506">
        <f>COUNTIFS('ST | Drawing List'!$G:$G,"ST-TXV-7",'ST | Drawing List'!L:L,1)</f>
        <v>0</v>
      </c>
      <c r="CD93" s="506">
        <f>COUNTIFS('ST | Drawing List'!$G:$G,"ST-TXV-7",'ST | Drawing List'!M:M,1)</f>
        <v>0</v>
      </c>
      <c r="CE93" s="506">
        <f>COUNTIFS('ST | Drawing List'!$G:$G,"ST-TXV-7",'ST | Drawing List'!N:N,1)</f>
        <v>0</v>
      </c>
      <c r="CF93" s="506">
        <f>COUNTIFS('ST | Drawing List'!$G:$G,"ST-TXV-7",'ST | Drawing List'!O:O,1)</f>
        <v>0</v>
      </c>
      <c r="CG93" s="471"/>
      <c r="CH93" s="572">
        <f>COUNTIFS('ST | Drawing List'!$G:$G,"ST-TXV-7",'ST | Drawing List'!$P:$P,1)</f>
        <v>0</v>
      </c>
      <c r="CI93" s="506">
        <f>COUNTIFS('ST | Drawing List'!$G:$G,"ST-TXV-7",'ST | Drawing List'!Q:Q,1)</f>
        <v>0</v>
      </c>
      <c r="CJ93" s="506">
        <f>COUNTIFS('ST | Drawing List'!$G:$G,"ST-TXV-7",'ST | Drawing List'!R:R,1)</f>
        <v>0</v>
      </c>
      <c r="CK93" s="506">
        <f>COUNTIFS('ST | Drawing List'!$G:$G,"ST-TXV-7",'ST | Drawing List'!S:S,1)</f>
        <v>0</v>
      </c>
      <c r="CL93" s="506">
        <f>COUNTIFS('ST | Drawing List'!$G:$G,"ST-TXV-7",'ST | Drawing List'!T:T,1)</f>
        <v>0</v>
      </c>
      <c r="CM93" s="508"/>
      <c r="CN93" s="508"/>
      <c r="CO93" s="592">
        <v>0.2</v>
      </c>
      <c r="CP93" s="508"/>
      <c r="CQ93" s="506">
        <f t="shared" si="392"/>
        <v>7.5878400000000013E-2</v>
      </c>
      <c r="CR93" s="510">
        <f t="shared" si="236"/>
        <v>7.5878400000000013E-2</v>
      </c>
      <c r="CS93" s="514">
        <f t="shared" si="393"/>
        <v>7.5878400000000013E-2</v>
      </c>
      <c r="CT93" s="514">
        <f t="shared" si="394"/>
        <v>0</v>
      </c>
      <c r="CU93" s="514">
        <f t="shared" si="395"/>
        <v>0</v>
      </c>
      <c r="CV93" s="514">
        <f t="shared" si="396"/>
        <v>0</v>
      </c>
      <c r="CW93" s="514">
        <f t="shared" si="397"/>
        <v>0</v>
      </c>
      <c r="CX93" s="514">
        <f t="shared" si="398"/>
        <v>0</v>
      </c>
      <c r="CY93" s="501"/>
      <c r="CZ93" s="514">
        <f t="shared" si="399"/>
        <v>0</v>
      </c>
      <c r="DA93" s="514">
        <f t="shared" si="400"/>
        <v>0</v>
      </c>
      <c r="DB93" s="514">
        <f t="shared" si="401"/>
        <v>0</v>
      </c>
      <c r="DC93" s="514">
        <f t="shared" si="402"/>
        <v>0</v>
      </c>
      <c r="DD93" s="514">
        <f t="shared" si="403"/>
        <v>0</v>
      </c>
      <c r="DE93" s="501"/>
      <c r="DF93" s="570">
        <f t="shared" si="404"/>
        <v>1</v>
      </c>
      <c r="DG93" s="570">
        <f t="shared" si="405"/>
        <v>0</v>
      </c>
      <c r="DH93" s="570">
        <f t="shared" si="406"/>
        <v>0</v>
      </c>
      <c r="DI93" s="505"/>
      <c r="DJ93" s="514">
        <f>COUNTIF('MEP | Drawing List'!$G:$G,"MEP-T2V-6V-7")</f>
        <v>1</v>
      </c>
      <c r="DK93" s="506">
        <f>COUNTIFS('MEP | Drawing List'!$G:$G,"MEP-T2V-6V-7",'MEP | Drawing List'!$I:$I,1)</f>
        <v>1</v>
      </c>
      <c r="DL93" s="506">
        <f>COUNTIFS('MEP | Drawing List'!$G:$G,"MEP-T2V-6V-7",'MEP | Drawing List'!$K:$K,1)</f>
        <v>0</v>
      </c>
      <c r="DM93" s="514">
        <f>COUNTIFS('MEP | Drawing List'!$G:$G,"MEP-T2V-6V-7",'MEP | Drawing List'!L:L,1)</f>
        <v>0</v>
      </c>
      <c r="DN93" s="514">
        <f>COUNTIFS('MEP | Drawing List'!$G:$G,"MEP-T2V-6V-7",'MEP | Drawing List'!M:M,1)</f>
        <v>0</v>
      </c>
      <c r="DO93" s="514">
        <f>COUNTIFS('MEP | Drawing List'!$G:$G,"MEP-T2V-6V-7",'MEP | Drawing List'!N:N,1)</f>
        <v>0</v>
      </c>
      <c r="DP93" s="514">
        <f>COUNTIFS('MEP | Drawing List'!$G:$G,"MEP-T2V-6V-7",'MEP | Drawing List'!O:O,1)</f>
        <v>0</v>
      </c>
      <c r="DQ93" s="501"/>
      <c r="DR93" s="506">
        <f>COUNTIFS('MEP | Drawing List'!$G:$G,"MEP-T2V-6V-7",'MEP | Drawing List'!$P:$P,1)</f>
        <v>0</v>
      </c>
      <c r="DS93" s="514">
        <f>COUNTIFS('MEP | Drawing List'!$G:$G,"MEP-T2V-6V-7",'MEP | Drawing List'!Q:Q,1)</f>
        <v>0</v>
      </c>
      <c r="DT93" s="514">
        <f>COUNTIFS('MEP | Drawing List'!$G:$G,"MEP-T2V-6V-7",'MEP | Drawing List'!R:R,1)</f>
        <v>0</v>
      </c>
      <c r="DU93" s="514">
        <f>COUNTIFS('MEP | Drawing List'!$G:$G,"MEP-T2V-6V-7",'MEP | Drawing List'!S:S,1)</f>
        <v>0</v>
      </c>
      <c r="DV93" s="514">
        <f>COUNTIFS('MEP | Drawing List'!$G:$G,"MEP-T2V-6V-7",'MEP | Drawing List'!T:T,1)</f>
        <v>0</v>
      </c>
      <c r="DW93" s="508"/>
      <c r="DX93" s="508"/>
      <c r="DY93" s="511">
        <v>0</v>
      </c>
      <c r="DZ93" s="508"/>
      <c r="EA93" s="509">
        <v>0</v>
      </c>
      <c r="EB93" s="510">
        <f t="shared" si="237"/>
        <v>0</v>
      </c>
      <c r="EC93" s="515"/>
      <c r="ED93" s="515"/>
      <c r="EE93" s="501"/>
      <c r="EF93" s="501"/>
      <c r="EG93" s="501"/>
      <c r="EH93" s="501"/>
      <c r="EI93" s="501"/>
      <c r="EJ93" s="515"/>
      <c r="EK93" s="501"/>
      <c r="EL93" s="501"/>
      <c r="EM93" s="501"/>
      <c r="EN93" s="501"/>
      <c r="EO93" s="501"/>
      <c r="EP93" s="52"/>
      <c r="EQ93" s="52"/>
      <c r="ER93" s="52"/>
      <c r="ES93" s="516"/>
      <c r="ET93" s="514">
        <f>COUNTIF('LS | Drawing List'!$G:$G,"LS-TXV-7")</f>
        <v>0</v>
      </c>
      <c r="EU93" s="506">
        <f>COUNTIFS('LS | Drawing List'!$G:$G,"LS-TXV-7",'LS | Drawing List'!$I:$I,1)</f>
        <v>0</v>
      </c>
      <c r="EV93" s="506">
        <f>COUNTIFS('LS | Drawing List'!$G:$G,"LS-TXV-7",'LS | Drawing List'!$K:$K,1)</f>
        <v>0</v>
      </c>
      <c r="EW93" s="514">
        <f>COUNTIFS('LS | Drawing List'!$G:$G,"LS-TXV-7",'LS | Drawing List'!L:L,1)</f>
        <v>0</v>
      </c>
      <c r="EX93" s="514">
        <f>COUNTIFS('LS | Drawing List'!$G:$G,"LS-TXV-7",'LS | Drawing List'!M:M,1)</f>
        <v>0</v>
      </c>
      <c r="EY93" s="514">
        <f>COUNTIFS('LS | Drawing List'!$G:$G,"LS-TXV-7",'LS | Drawing List'!N:N,1)</f>
        <v>0</v>
      </c>
      <c r="EZ93" s="514">
        <f>COUNTIFS('LS | Drawing List'!$G:$G,"LS-TXV-7",'LS | Drawing List'!O:O,1)</f>
        <v>0</v>
      </c>
      <c r="FA93" s="515"/>
      <c r="FB93" s="506">
        <f>COUNTIFS('LS | Drawing List'!$G:$G,"LS-TXV-7",'LS | Drawing List'!$P:$P,1)</f>
        <v>0</v>
      </c>
      <c r="FC93" s="514">
        <f>COUNTIFS('LS | Drawing List'!$G:$G,"LS-TXV-7",'LS | Drawing List'!Q:Q,1)</f>
        <v>0</v>
      </c>
      <c r="FD93" s="514">
        <f>COUNTIFS('LS | Drawing List'!$G:$G,"LS-TXV-7",'LS | Drawing List'!R:R,1)</f>
        <v>0</v>
      </c>
      <c r="FE93" s="514">
        <f>COUNTIFS('LS | Drawing List'!$G:$G,"LS-TXV-7",'LS | Drawing List'!S:S,1)</f>
        <v>0</v>
      </c>
      <c r="FF93" s="514">
        <f>COUNTIFS('LS | Drawing List'!$G:$G,"LS-TXV-7",'LS | Drawing List'!T:T,1)</f>
        <v>0</v>
      </c>
    </row>
    <row r="94" spans="2:162" ht="14.25" outlineLevel="2">
      <c r="B94" s="564" t="s">
        <v>103</v>
      </c>
      <c r="C94" s="565">
        <v>8</v>
      </c>
      <c r="D94" s="566" t="s">
        <v>67</v>
      </c>
      <c r="F94" s="500">
        <f t="shared" si="358"/>
        <v>0.46880592000000004</v>
      </c>
      <c r="G94" s="500">
        <f t="shared" si="359"/>
        <v>0.46880592000000004</v>
      </c>
      <c r="H94" s="514">
        <f t="shared" si="360"/>
        <v>0</v>
      </c>
      <c r="I94" s="514">
        <f t="shared" si="332"/>
        <v>0</v>
      </c>
      <c r="J94" s="514">
        <f t="shared" si="333"/>
        <v>0</v>
      </c>
      <c r="K94" s="514">
        <f t="shared" si="334"/>
        <v>0</v>
      </c>
      <c r="L94" s="514">
        <f t="shared" si="335"/>
        <v>0</v>
      </c>
      <c r="M94" s="567">
        <f t="shared" si="336"/>
        <v>0</v>
      </c>
      <c r="N94" s="568"/>
      <c r="O94" s="514">
        <f t="shared" si="337"/>
        <v>0</v>
      </c>
      <c r="P94" s="514">
        <f t="shared" si="338"/>
        <v>0</v>
      </c>
      <c r="Q94" s="514">
        <f t="shared" si="339"/>
        <v>0</v>
      </c>
      <c r="R94" s="514">
        <f t="shared" si="340"/>
        <v>0</v>
      </c>
      <c r="S94" s="514">
        <f t="shared" si="341"/>
        <v>0</v>
      </c>
      <c r="U94" s="569">
        <v>0.05</v>
      </c>
      <c r="V94" s="503"/>
      <c r="W94" s="500">
        <f t="shared" si="361"/>
        <v>0.33054720000000004</v>
      </c>
      <c r="X94" s="500">
        <f t="shared" si="234"/>
        <v>0.33054720000000004</v>
      </c>
      <c r="Y94" s="514">
        <f t="shared" si="362"/>
        <v>0.33054720000000004</v>
      </c>
      <c r="Z94" s="514">
        <f t="shared" si="363"/>
        <v>0</v>
      </c>
      <c r="AA94" s="514">
        <f t="shared" si="364"/>
        <v>0</v>
      </c>
      <c r="AB94" s="514">
        <f t="shared" si="365"/>
        <v>0</v>
      </c>
      <c r="AC94" s="514">
        <f t="shared" si="366"/>
        <v>0</v>
      </c>
      <c r="AD94" s="567">
        <f t="shared" si="367"/>
        <v>0</v>
      </c>
      <c r="AE94" s="568"/>
      <c r="AF94" s="514">
        <f t="shared" si="368"/>
        <v>0</v>
      </c>
      <c r="AG94" s="514">
        <f t="shared" si="369"/>
        <v>0</v>
      </c>
      <c r="AH94" s="514">
        <f t="shared" si="370"/>
        <v>0</v>
      </c>
      <c r="AI94" s="514">
        <f t="shared" si="371"/>
        <v>0</v>
      </c>
      <c r="AJ94" s="514">
        <f t="shared" si="372"/>
        <v>0</v>
      </c>
      <c r="AK94" s="501"/>
      <c r="AL94" s="570">
        <f t="shared" si="373"/>
        <v>1</v>
      </c>
      <c r="AM94" s="570">
        <f t="shared" si="374"/>
        <v>0</v>
      </c>
      <c r="AN94" s="570">
        <f t="shared" si="375"/>
        <v>0</v>
      </c>
      <c r="AO94" s="518"/>
      <c r="AP94" s="514">
        <f>COUNTIF('AR | Drawing List'!$G:$G,"AR-TXV-8")</f>
        <v>2</v>
      </c>
      <c r="AQ94" s="506">
        <f>COUNTIFS('AR | Drawing List'!$G:$G,"AR-TXV-8",'AR | Drawing List'!$I:$I,1)</f>
        <v>2</v>
      </c>
      <c r="AR94" s="506">
        <f t="shared" si="238"/>
        <v>0</v>
      </c>
      <c r="AS94" s="506">
        <f>COUNTIFS('AR | Drawing List'!$G:$G,"AR-TXV-8",'AR | Drawing List'!M:M,1)</f>
        <v>0</v>
      </c>
      <c r="AT94" s="506">
        <f>COUNTIFS('AR | Drawing List'!$G:$G,"AR-TXV-8",'AR | Drawing List'!N:N,1)</f>
        <v>0</v>
      </c>
      <c r="AU94" s="506">
        <f>COUNTIFS('AR | Drawing List'!$G:$G,"AR-TXV-8",'AR | Drawing List'!O:O,1)</f>
        <v>0</v>
      </c>
      <c r="AV94" s="506">
        <f>COUNTIFS('AR | Drawing List'!$G:$G,"AR-TXV-8",'AR | Drawing List'!P:P,1)</f>
        <v>0</v>
      </c>
      <c r="AW94" s="466"/>
      <c r="AX94" s="506">
        <f t="shared" si="376"/>
        <v>0</v>
      </c>
      <c r="AY94" s="506">
        <f>COUNTIFS('AR | Drawing List'!$G:$G,"AR-TXV-8",'AR | Drawing List'!R:R,1)</f>
        <v>0</v>
      </c>
      <c r="AZ94" s="506">
        <f>COUNTIFS('AR | Drawing List'!$G:$G,"AR-TXV-8",'AR | Drawing List'!S:S,1)</f>
        <v>0</v>
      </c>
      <c r="BA94" s="506">
        <f>COUNTIFS('AR | Drawing List'!$G:$G,"AR-TXV-8",'AR | Drawing List'!T:T,1)</f>
        <v>0</v>
      </c>
      <c r="BB94" s="506">
        <f>COUNTIFS('AR | Drawing List'!$G:$G,"AR-TXV-8",'AR | Drawing List'!U:U,1)</f>
        <v>0</v>
      </c>
      <c r="BC94" s="466"/>
      <c r="BD94" s="466"/>
      <c r="BE94" s="511">
        <v>0.05</v>
      </c>
      <c r="BF94" s="508"/>
      <c r="BG94" s="506">
        <f t="shared" si="377"/>
        <v>0.13825872</v>
      </c>
      <c r="BH94" s="510">
        <f t="shared" si="235"/>
        <v>0.13825872</v>
      </c>
      <c r="BI94" s="514">
        <f t="shared" si="378"/>
        <v>0.13825872</v>
      </c>
      <c r="BJ94" s="514">
        <f t="shared" si="379"/>
        <v>0</v>
      </c>
      <c r="BK94" s="514">
        <f t="shared" si="380"/>
        <v>0</v>
      </c>
      <c r="BL94" s="514">
        <f t="shared" si="381"/>
        <v>0</v>
      </c>
      <c r="BM94" s="514">
        <f t="shared" si="382"/>
        <v>0</v>
      </c>
      <c r="BN94" s="514">
        <f t="shared" si="383"/>
        <v>0</v>
      </c>
      <c r="BO94" s="501"/>
      <c r="BP94" s="514">
        <f t="shared" si="384"/>
        <v>0</v>
      </c>
      <c r="BQ94" s="514">
        <f t="shared" si="385"/>
        <v>0</v>
      </c>
      <c r="BR94" s="514">
        <f t="shared" si="386"/>
        <v>0</v>
      </c>
      <c r="BS94" s="514">
        <f t="shared" si="387"/>
        <v>0</v>
      </c>
      <c r="BT94" s="514">
        <f t="shared" si="388"/>
        <v>0</v>
      </c>
      <c r="BU94" s="501"/>
      <c r="BV94" s="571">
        <f t="shared" si="389"/>
        <v>1</v>
      </c>
      <c r="BW94" s="571">
        <f t="shared" si="390"/>
        <v>0</v>
      </c>
      <c r="BX94" s="571">
        <f t="shared" si="391"/>
        <v>0</v>
      </c>
      <c r="BY94" s="505"/>
      <c r="BZ94" s="514">
        <f>COUNTIF('ST | Drawing List'!$G:$G,"ST-TXV-8")</f>
        <v>21</v>
      </c>
      <c r="CA94" s="506">
        <f>COUNTIFS('ST | Drawing List'!$G:$G,"ST-TXV-8",'ST | Drawing List'!$I:$I,1)</f>
        <v>21</v>
      </c>
      <c r="CB94" s="572">
        <f>COUNTIFS('ST | Drawing List'!$G:$G,"ST-TXV-8",'ST | Drawing List'!$K:$K,1)</f>
        <v>0</v>
      </c>
      <c r="CC94" s="506">
        <f>COUNTIFS('ST | Drawing List'!$G:$G,"ST-TXV-8",'ST | Drawing List'!L:L,1)</f>
        <v>0</v>
      </c>
      <c r="CD94" s="506">
        <f>COUNTIFS('ST | Drawing List'!$G:$G,"ST-TXV-8",'ST | Drawing List'!M:M,1)</f>
        <v>0</v>
      </c>
      <c r="CE94" s="506">
        <f>COUNTIFS('ST | Drawing List'!$G:$G,"ST-TXV-8",'ST | Drawing List'!N:N,1)</f>
        <v>0</v>
      </c>
      <c r="CF94" s="506">
        <f>COUNTIFS('ST | Drawing List'!$G:$G,"ST-TXV-8",'ST | Drawing List'!O:O,1)</f>
        <v>0</v>
      </c>
      <c r="CG94" s="471"/>
      <c r="CH94" s="572">
        <f>COUNTIFS('ST | Drawing List'!$G:$G,"ST-TXV-8",'ST | Drawing List'!$P:$P,1)</f>
        <v>0</v>
      </c>
      <c r="CI94" s="506">
        <f>COUNTIFS('ST | Drawing List'!$G:$G,"ST-TXV-8",'ST | Drawing List'!Q:Q,1)</f>
        <v>0</v>
      </c>
      <c r="CJ94" s="506">
        <f>COUNTIFS('ST | Drawing List'!$G:$G,"ST-TXV-8",'ST | Drawing List'!R:R,1)</f>
        <v>0</v>
      </c>
      <c r="CK94" s="506">
        <f>COUNTIFS('ST | Drawing List'!$G:$G,"ST-TXV-8",'ST | Drawing List'!S:S,1)</f>
        <v>0</v>
      </c>
      <c r="CL94" s="506">
        <f>COUNTIFS('ST | Drawing List'!$G:$G,"ST-TXV-8",'ST | Drawing List'!T:T,1)</f>
        <v>0</v>
      </c>
      <c r="CM94" s="508"/>
      <c r="CN94" s="508"/>
      <c r="CO94" s="576">
        <v>0</v>
      </c>
      <c r="CP94" s="508"/>
      <c r="CQ94" s="506">
        <f t="shared" si="392"/>
        <v>0</v>
      </c>
      <c r="CR94" s="510">
        <f t="shared" si="236"/>
        <v>0</v>
      </c>
      <c r="CS94" s="514">
        <f t="shared" si="393"/>
        <v>0</v>
      </c>
      <c r="CT94" s="514">
        <f t="shared" si="394"/>
        <v>0</v>
      </c>
      <c r="CU94" s="514">
        <f t="shared" si="395"/>
        <v>0</v>
      </c>
      <c r="CV94" s="514">
        <f t="shared" si="396"/>
        <v>0</v>
      </c>
      <c r="CW94" s="514">
        <f t="shared" si="397"/>
        <v>0</v>
      </c>
      <c r="CX94" s="514">
        <f t="shared" si="398"/>
        <v>0</v>
      </c>
      <c r="CY94" s="501"/>
      <c r="CZ94" s="514">
        <f t="shared" si="399"/>
        <v>0</v>
      </c>
      <c r="DA94" s="514">
        <f t="shared" si="400"/>
        <v>0</v>
      </c>
      <c r="DB94" s="514">
        <f t="shared" si="401"/>
        <v>0</v>
      </c>
      <c r="DC94" s="514">
        <f t="shared" si="402"/>
        <v>0</v>
      </c>
      <c r="DD94" s="514">
        <f t="shared" si="403"/>
        <v>0</v>
      </c>
      <c r="DE94" s="501"/>
      <c r="DF94" s="570">
        <f t="shared" si="404"/>
        <v>1</v>
      </c>
      <c r="DG94" s="570">
        <f t="shared" si="405"/>
        <v>0</v>
      </c>
      <c r="DH94" s="570">
        <f t="shared" si="406"/>
        <v>0</v>
      </c>
      <c r="DI94" s="505"/>
      <c r="DJ94" s="514">
        <f>COUNTIF('MEP | Drawing List'!$G:$G,"MEP-T2V-6V-8")</f>
        <v>31</v>
      </c>
      <c r="DK94" s="506">
        <f>COUNTIFS('MEP | Drawing List'!$G:$G,"MEP-T2V-6V-8",'MEP | Drawing List'!$I:$I,1)</f>
        <v>31</v>
      </c>
      <c r="DL94" s="506">
        <f>COUNTIFS('MEP | Drawing List'!$G:$G,"MEP-T2V-6V-8",'MEP | Drawing List'!$K:$K,1)</f>
        <v>0</v>
      </c>
      <c r="DM94" s="514">
        <f>COUNTIFS('MEP | Drawing List'!$G:$G,"MEP-T2V-6V-8",'MEP | Drawing List'!L:L,1)</f>
        <v>0</v>
      </c>
      <c r="DN94" s="514">
        <f>COUNTIFS('MEP | Drawing List'!$G:$G,"MEP-T2V-6V-8",'MEP | Drawing List'!M:M,1)</f>
        <v>0</v>
      </c>
      <c r="DO94" s="514">
        <f>COUNTIFS('MEP | Drawing List'!$G:$G,"MEP-T2V-6V-8",'MEP | Drawing List'!N:N,1)</f>
        <v>0</v>
      </c>
      <c r="DP94" s="514">
        <f>COUNTIFS('MEP | Drawing List'!$G:$G,"MEP-T2V-6V-8",'MEP | Drawing List'!O:O,1)</f>
        <v>0</v>
      </c>
      <c r="DQ94" s="501"/>
      <c r="DR94" s="506">
        <f>COUNTIFS('MEP | Drawing List'!$G:$G,"MEP-T2V-6V-8",'MEP | Drawing List'!$P:$P,1)</f>
        <v>0</v>
      </c>
      <c r="DS94" s="514">
        <f>COUNTIFS('MEP | Drawing List'!$G:$G,"MEP-T2V-6V-8",'MEP | Drawing List'!Q:Q,1)</f>
        <v>0</v>
      </c>
      <c r="DT94" s="514">
        <f>COUNTIFS('MEP | Drawing List'!$G:$G,"MEP-T2V-6V-8",'MEP | Drawing List'!R:R,1)</f>
        <v>0</v>
      </c>
      <c r="DU94" s="514">
        <f>COUNTIFS('MEP | Drawing List'!$G:$G,"MEP-T2V-6V-8",'MEP | Drawing List'!S:S,1)</f>
        <v>0</v>
      </c>
      <c r="DV94" s="514">
        <f>COUNTIFS('MEP | Drawing List'!$G:$G,"MEP-T2V-6V-8",'MEP | Drawing List'!T:T,1)</f>
        <v>0</v>
      </c>
      <c r="DW94" s="508"/>
      <c r="DX94" s="508"/>
      <c r="DY94" s="511">
        <v>0</v>
      </c>
      <c r="DZ94" s="508"/>
      <c r="EA94" s="509">
        <v>0</v>
      </c>
      <c r="EB94" s="510">
        <f t="shared" si="237"/>
        <v>0</v>
      </c>
      <c r="EC94" s="533"/>
      <c r="ED94" s="533"/>
      <c r="EE94" s="501"/>
      <c r="EF94" s="501"/>
      <c r="EG94" s="501"/>
      <c r="EH94" s="501"/>
      <c r="EI94" s="501"/>
      <c r="EJ94" s="533"/>
      <c r="EK94" s="501"/>
      <c r="EL94" s="501"/>
      <c r="EM94" s="501"/>
      <c r="EN94" s="501"/>
      <c r="EO94" s="501"/>
      <c r="EP94" s="474"/>
      <c r="EQ94" s="474"/>
      <c r="ER94" s="474"/>
      <c r="ES94" s="516"/>
      <c r="ET94" s="514">
        <f>COUNTIF('LS | Drawing List'!$G:$G,"LS-TXV-8")</f>
        <v>0</v>
      </c>
      <c r="EU94" s="506">
        <f>COUNTIFS('LS | Drawing List'!$G:$G,"LS-TXV-8",'LS | Drawing List'!$I:$I,1)</f>
        <v>0</v>
      </c>
      <c r="EV94" s="506">
        <f>COUNTIFS('LS | Drawing List'!$G:$G,"LS-TXV-8",'LS | Drawing List'!$K:$K,1)</f>
        <v>0</v>
      </c>
      <c r="EW94" s="514">
        <f>COUNTIFS('LS | Drawing List'!$G:$G,"LS-TXV-8",'LS | Drawing List'!L:L,1)</f>
        <v>0</v>
      </c>
      <c r="EX94" s="514">
        <f>COUNTIFS('LS | Drawing List'!$G:$G,"LS-TXV-8",'LS | Drawing List'!M:M,1)</f>
        <v>0</v>
      </c>
      <c r="EY94" s="514">
        <f>COUNTIFS('LS | Drawing List'!$G:$G,"LS-TXV-8",'LS | Drawing List'!N:N,1)</f>
        <v>0</v>
      </c>
      <c r="EZ94" s="514">
        <f>COUNTIFS('LS | Drawing List'!$G:$G,"LS-TXV-8",'LS | Drawing List'!O:O,1)</f>
        <v>0</v>
      </c>
      <c r="FA94" s="515"/>
      <c r="FB94" s="506">
        <f>COUNTIFS('LS | Drawing List'!$G:$G,"LS-TXV-8",'LS | Drawing List'!$P:$P,1)</f>
        <v>0</v>
      </c>
      <c r="FC94" s="514">
        <f>COUNTIFS('LS | Drawing List'!$G:$G,"LS-TXV-8",'LS | Drawing List'!Q:Q,1)</f>
        <v>0</v>
      </c>
      <c r="FD94" s="514">
        <f>COUNTIFS('LS | Drawing List'!$G:$G,"LS-TXV-8",'LS | Drawing List'!R:R,1)</f>
        <v>0</v>
      </c>
      <c r="FE94" s="514">
        <f>COUNTIFS('LS | Drawing List'!$G:$G,"LS-TXV-8",'LS | Drawing List'!S:S,1)</f>
        <v>0</v>
      </c>
      <c r="FF94" s="514">
        <f>COUNTIFS('LS | Drawing List'!$G:$G,"LS-TXV-8",'LS | Drawing List'!T:T,1)</f>
        <v>0</v>
      </c>
    </row>
    <row r="95" spans="2:162" ht="14.25" outlineLevel="2">
      <c r="B95" s="564" t="s">
        <v>104</v>
      </c>
      <c r="C95" s="565">
        <v>9</v>
      </c>
      <c r="D95" s="566" t="s">
        <v>69</v>
      </c>
      <c r="F95" s="500">
        <f t="shared" si="358"/>
        <v>0.51766944000000004</v>
      </c>
      <c r="G95" s="500">
        <f t="shared" si="359"/>
        <v>0.51766944000000004</v>
      </c>
      <c r="H95" s="514">
        <f t="shared" si="360"/>
        <v>0</v>
      </c>
      <c r="I95" s="514">
        <f t="shared" si="332"/>
        <v>0</v>
      </c>
      <c r="J95" s="514">
        <f t="shared" si="333"/>
        <v>0</v>
      </c>
      <c r="K95" s="514">
        <f t="shared" si="334"/>
        <v>0</v>
      </c>
      <c r="L95" s="514">
        <f t="shared" si="335"/>
        <v>0</v>
      </c>
      <c r="M95" s="567">
        <f t="shared" si="336"/>
        <v>0</v>
      </c>
      <c r="N95" s="568"/>
      <c r="O95" s="514">
        <f t="shared" si="337"/>
        <v>0</v>
      </c>
      <c r="P95" s="514">
        <f t="shared" si="338"/>
        <v>0</v>
      </c>
      <c r="Q95" s="514">
        <f t="shared" si="339"/>
        <v>0</v>
      </c>
      <c r="R95" s="514">
        <f t="shared" si="340"/>
        <v>0</v>
      </c>
      <c r="S95" s="514">
        <f t="shared" si="341"/>
        <v>0</v>
      </c>
      <c r="U95" s="569">
        <v>2.5000000000000001E-2</v>
      </c>
      <c r="V95" s="503"/>
      <c r="W95" s="500">
        <f t="shared" si="361"/>
        <v>0.16527360000000002</v>
      </c>
      <c r="X95" s="500">
        <f t="shared" si="234"/>
        <v>0.16527360000000002</v>
      </c>
      <c r="Y95" s="514">
        <f t="shared" si="362"/>
        <v>0.16527360000000002</v>
      </c>
      <c r="Z95" s="514">
        <f t="shared" si="363"/>
        <v>0</v>
      </c>
      <c r="AA95" s="514">
        <f t="shared" si="364"/>
        <v>0</v>
      </c>
      <c r="AB95" s="514">
        <f t="shared" si="365"/>
        <v>0</v>
      </c>
      <c r="AC95" s="514">
        <f t="shared" si="366"/>
        <v>0</v>
      </c>
      <c r="AD95" s="567">
        <f t="shared" si="367"/>
        <v>0</v>
      </c>
      <c r="AE95" s="568"/>
      <c r="AF95" s="514">
        <f t="shared" si="368"/>
        <v>0</v>
      </c>
      <c r="AG95" s="514">
        <f t="shared" si="369"/>
        <v>0</v>
      </c>
      <c r="AH95" s="514">
        <f t="shared" si="370"/>
        <v>0</v>
      </c>
      <c r="AI95" s="514">
        <f t="shared" si="371"/>
        <v>0</v>
      </c>
      <c r="AJ95" s="514">
        <f t="shared" si="372"/>
        <v>0</v>
      </c>
      <c r="AK95" s="501"/>
      <c r="AL95" s="570">
        <f t="shared" si="373"/>
        <v>1</v>
      </c>
      <c r="AM95" s="570">
        <f t="shared" si="374"/>
        <v>0</v>
      </c>
      <c r="AN95" s="570">
        <f t="shared" si="375"/>
        <v>0</v>
      </c>
      <c r="AO95" s="518"/>
      <c r="AP95" s="514">
        <f>COUNTIF('AR | Drawing List'!$G:$G,"AR-TXV-9")</f>
        <v>3</v>
      </c>
      <c r="AQ95" s="506">
        <f>COUNTIFS('AR | Drawing List'!$G:$G,"AR-TXV-9",'AR | Drawing List'!$I:$I,1)</f>
        <v>3</v>
      </c>
      <c r="AR95" s="506">
        <f t="shared" si="238"/>
        <v>0</v>
      </c>
      <c r="AS95" s="506">
        <f>COUNTIFS('AR | Drawing List'!$G:$G,"AR-TXV-9",'AR | Drawing List'!M:M,1)</f>
        <v>0</v>
      </c>
      <c r="AT95" s="506">
        <f>COUNTIFS('AR | Drawing List'!$G:$G,"AR-TXV-9",'AR | Drawing List'!N:N,1)</f>
        <v>0</v>
      </c>
      <c r="AU95" s="506">
        <f>COUNTIFS('AR | Drawing List'!$G:$G,"AR-TXV-9",'AR | Drawing List'!O:O,1)</f>
        <v>0</v>
      </c>
      <c r="AV95" s="506">
        <f>COUNTIFS('AR | Drawing List'!$G:$G,"AR-TXV-9",'AR | Drawing List'!P:P,1)</f>
        <v>0</v>
      </c>
      <c r="AW95" s="466"/>
      <c r="AX95" s="506">
        <f t="shared" si="376"/>
        <v>0</v>
      </c>
      <c r="AY95" s="506">
        <f>COUNTIFS('AR | Drawing List'!$G:$G,"AR-TXV-9",'AR | Drawing List'!R:R,1)</f>
        <v>0</v>
      </c>
      <c r="AZ95" s="506">
        <f>COUNTIFS('AR | Drawing List'!$G:$G,"AR-TXV-9",'AR | Drawing List'!S:S,1)</f>
        <v>0</v>
      </c>
      <c r="BA95" s="506">
        <f>COUNTIFS('AR | Drawing List'!$G:$G,"AR-TXV-9",'AR | Drawing List'!T:T,1)</f>
        <v>0</v>
      </c>
      <c r="BB95" s="506">
        <f>COUNTIFS('AR | Drawing List'!$G:$G,"AR-TXV-9",'AR | Drawing List'!U:U,1)</f>
        <v>0</v>
      </c>
      <c r="BC95" s="466"/>
      <c r="BD95" s="466"/>
      <c r="BE95" s="592">
        <v>0.1</v>
      </c>
      <c r="BF95" s="508"/>
      <c r="BG95" s="506">
        <f t="shared" si="377"/>
        <v>0.27651744</v>
      </c>
      <c r="BH95" s="510">
        <f t="shared" si="235"/>
        <v>0.27651744</v>
      </c>
      <c r="BI95" s="514">
        <f t="shared" si="378"/>
        <v>0.27651744</v>
      </c>
      <c r="BJ95" s="514">
        <f t="shared" si="379"/>
        <v>0</v>
      </c>
      <c r="BK95" s="514">
        <f t="shared" si="380"/>
        <v>0</v>
      </c>
      <c r="BL95" s="514">
        <f t="shared" si="381"/>
        <v>0</v>
      </c>
      <c r="BM95" s="514">
        <f t="shared" si="382"/>
        <v>0</v>
      </c>
      <c r="BN95" s="514">
        <f t="shared" si="383"/>
        <v>0</v>
      </c>
      <c r="BO95" s="501"/>
      <c r="BP95" s="514">
        <f t="shared" si="384"/>
        <v>0</v>
      </c>
      <c r="BQ95" s="514">
        <f t="shared" si="385"/>
        <v>0</v>
      </c>
      <c r="BR95" s="514">
        <f t="shared" si="386"/>
        <v>0</v>
      </c>
      <c r="BS95" s="514">
        <f t="shared" si="387"/>
        <v>0</v>
      </c>
      <c r="BT95" s="514">
        <f t="shared" si="388"/>
        <v>0</v>
      </c>
      <c r="BU95" s="501"/>
      <c r="BV95" s="571">
        <f t="shared" si="389"/>
        <v>1</v>
      </c>
      <c r="BW95" s="571">
        <f t="shared" si="390"/>
        <v>0</v>
      </c>
      <c r="BX95" s="571">
        <f t="shared" si="391"/>
        <v>0</v>
      </c>
      <c r="BY95" s="505"/>
      <c r="BZ95" s="514">
        <f>COUNTIF('ST | Drawing List'!$G:$G,"ST-TXV-9")</f>
        <v>14</v>
      </c>
      <c r="CA95" s="506">
        <f>COUNTIFS('ST | Drawing List'!$G:$G,"ST-TXV-9",'ST | Drawing List'!$I:$I,1)</f>
        <v>14</v>
      </c>
      <c r="CB95" s="572">
        <f>COUNTIFS('ST | Drawing List'!$G:$G,"ST-TXV-9",'ST | Drawing List'!$K:$K,1)</f>
        <v>0</v>
      </c>
      <c r="CC95" s="506">
        <f>COUNTIFS('ST | Drawing List'!$G:$G,"ST-TXV-9",'ST | Drawing List'!L:L,1)</f>
        <v>0</v>
      </c>
      <c r="CD95" s="506">
        <f>COUNTIFS('ST | Drawing List'!$G:$G,"ST-TXV-9",'ST | Drawing List'!M:M,1)</f>
        <v>0</v>
      </c>
      <c r="CE95" s="506">
        <f>COUNTIFS('ST | Drawing List'!$G:$G,"ST-TXV-9",'ST | Drawing List'!N:N,1)</f>
        <v>0</v>
      </c>
      <c r="CF95" s="506">
        <f>COUNTIFS('ST | Drawing List'!$G:$G,"ST-TXV-9",'ST | Drawing List'!O:O,1)</f>
        <v>0</v>
      </c>
      <c r="CG95" s="471"/>
      <c r="CH95" s="572">
        <f>COUNTIFS('ST | Drawing List'!$G:$G,"ST-TXV-9",'ST | Drawing List'!$P:$P,1)</f>
        <v>0</v>
      </c>
      <c r="CI95" s="506">
        <f>COUNTIFS('ST | Drawing List'!$G:$G,"ST-TXV-9",'ST | Drawing List'!Q:Q,1)</f>
        <v>0</v>
      </c>
      <c r="CJ95" s="506">
        <f>COUNTIFS('ST | Drawing List'!$G:$G,"ST-TXV-9",'ST | Drawing List'!R:R,1)</f>
        <v>0</v>
      </c>
      <c r="CK95" s="506">
        <f>COUNTIFS('ST | Drawing List'!$G:$G,"ST-TXV-9",'ST | Drawing List'!S:S,1)</f>
        <v>0</v>
      </c>
      <c r="CL95" s="506">
        <f>COUNTIFS('ST | Drawing List'!$G:$G,"ST-TXV-9",'ST | Drawing List'!T:T,1)</f>
        <v>0</v>
      </c>
      <c r="CM95" s="508"/>
      <c r="CN95" s="508"/>
      <c r="CO95" s="511">
        <v>0.2</v>
      </c>
      <c r="CP95" s="508"/>
      <c r="CQ95" s="506">
        <f t="shared" si="392"/>
        <v>7.5878400000000013E-2</v>
      </c>
      <c r="CR95" s="510">
        <f t="shared" si="236"/>
        <v>7.5878400000000013E-2</v>
      </c>
      <c r="CS95" s="514">
        <f t="shared" si="393"/>
        <v>7.5878400000000013E-2</v>
      </c>
      <c r="CT95" s="514">
        <f t="shared" si="394"/>
        <v>0</v>
      </c>
      <c r="CU95" s="514">
        <f t="shared" si="395"/>
        <v>0</v>
      </c>
      <c r="CV95" s="514">
        <f t="shared" si="396"/>
        <v>0</v>
      </c>
      <c r="CW95" s="514">
        <f t="shared" si="397"/>
        <v>0</v>
      </c>
      <c r="CX95" s="514">
        <f t="shared" si="398"/>
        <v>0</v>
      </c>
      <c r="CY95" s="501"/>
      <c r="CZ95" s="514">
        <f t="shared" si="399"/>
        <v>0</v>
      </c>
      <c r="DA95" s="514">
        <f t="shared" si="400"/>
        <v>0</v>
      </c>
      <c r="DB95" s="514">
        <f t="shared" si="401"/>
        <v>0</v>
      </c>
      <c r="DC95" s="514">
        <f t="shared" si="402"/>
        <v>0</v>
      </c>
      <c r="DD95" s="514">
        <f t="shared" si="403"/>
        <v>0</v>
      </c>
      <c r="DE95" s="501"/>
      <c r="DF95" s="570">
        <f t="shared" si="404"/>
        <v>1</v>
      </c>
      <c r="DG95" s="570">
        <f t="shared" si="405"/>
        <v>0</v>
      </c>
      <c r="DH95" s="570">
        <f t="shared" si="406"/>
        <v>0</v>
      </c>
      <c r="DI95" s="505"/>
      <c r="DJ95" s="514">
        <f>COUNTIF('MEP | Drawing List'!$G:$G,"MEP-T2V-6V-9")</f>
        <v>31</v>
      </c>
      <c r="DK95" s="506">
        <f>COUNTIFS('MEP | Drawing List'!$G:$G,"MEP-T2V-6V-9",'MEP | Drawing List'!$I:$I,1)</f>
        <v>31</v>
      </c>
      <c r="DL95" s="506">
        <f>COUNTIFS('MEP | Drawing List'!$G:$G,"MEP-T2V-6V-9",'MEP | Drawing List'!$K:$K,1)</f>
        <v>0</v>
      </c>
      <c r="DM95" s="514">
        <f>COUNTIFS('MEP | Drawing List'!$G:$G,"MEP-T2V-6V-9",'MEP | Drawing List'!L:L,1)</f>
        <v>0</v>
      </c>
      <c r="DN95" s="514">
        <f>COUNTIFS('MEP | Drawing List'!$G:$G,"MEP-T2V-6V-9",'MEP | Drawing List'!M:M,1)</f>
        <v>0</v>
      </c>
      <c r="DO95" s="514">
        <f>COUNTIFS('MEP | Drawing List'!$G:$G,"MEP-T2V-6V-9",'MEP | Drawing List'!N:N,1)</f>
        <v>0</v>
      </c>
      <c r="DP95" s="514">
        <f>COUNTIFS('MEP | Drawing List'!$G:$G,"MEP-T2V-6V-9",'MEP | Drawing List'!O:O,1)</f>
        <v>0</v>
      </c>
      <c r="DQ95" s="501"/>
      <c r="DR95" s="506">
        <f>COUNTIFS('MEP | Drawing List'!$G:$G,"MEP-T2V-6V-9",'MEP | Drawing List'!$P:$P,1)</f>
        <v>0</v>
      </c>
      <c r="DS95" s="514">
        <f>COUNTIFS('MEP | Drawing List'!$G:$G,"MEP-T2V-6V-9",'MEP | Drawing List'!Q:Q,1)</f>
        <v>0</v>
      </c>
      <c r="DT95" s="514">
        <f>COUNTIFS('MEP | Drawing List'!$G:$G,"MEP-T2V-6V-9",'MEP | Drawing List'!R:R,1)</f>
        <v>0</v>
      </c>
      <c r="DU95" s="514">
        <f>COUNTIFS('MEP | Drawing List'!$G:$G,"MEP-T2V-6V-9",'MEP | Drawing List'!S:S,1)</f>
        <v>0</v>
      </c>
      <c r="DV95" s="514">
        <f>COUNTIFS('MEP | Drawing List'!$G:$G,"MEP-T2V-6V-9",'MEP | Drawing List'!T:T,1)</f>
        <v>0</v>
      </c>
      <c r="DW95" s="508"/>
      <c r="DX95" s="508"/>
      <c r="DY95" s="511">
        <v>0</v>
      </c>
      <c r="DZ95" s="508"/>
      <c r="EA95" s="509">
        <v>0</v>
      </c>
      <c r="EB95" s="510">
        <f t="shared" si="237"/>
        <v>0</v>
      </c>
      <c r="EC95" s="515"/>
      <c r="ED95" s="515"/>
      <c r="EE95" s="501"/>
      <c r="EF95" s="501"/>
      <c r="EG95" s="501"/>
      <c r="EH95" s="501"/>
      <c r="EI95" s="501"/>
      <c r="EJ95" s="515"/>
      <c r="EK95" s="501"/>
      <c r="EL95" s="501"/>
      <c r="EM95" s="501"/>
      <c r="EN95" s="501"/>
      <c r="EO95" s="501"/>
      <c r="EP95" s="52"/>
      <c r="EQ95" s="52"/>
      <c r="ER95" s="52"/>
      <c r="ES95" s="516"/>
      <c r="ET95" s="514">
        <f>COUNTIF('LS | Drawing List'!$G:$G,"LS-TXV-9")</f>
        <v>0</v>
      </c>
      <c r="EU95" s="506">
        <f>COUNTIFS('LS | Drawing List'!$G:$G,"LS-TXV-9",'LS | Drawing List'!$I:$I,1)</f>
        <v>0</v>
      </c>
      <c r="EV95" s="506">
        <f>COUNTIFS('LS | Drawing List'!$G:$G,"LS-TXV-9",'LS | Drawing List'!$K:$K,1)</f>
        <v>0</v>
      </c>
      <c r="EW95" s="514">
        <f>COUNTIFS('LS | Drawing List'!$G:$G,"LS-TXV-9",'LS | Drawing List'!L:L,1)</f>
        <v>0</v>
      </c>
      <c r="EX95" s="514">
        <f>COUNTIFS('LS | Drawing List'!$G:$G,"LS-TXV-9",'LS | Drawing List'!M:M,1)</f>
        <v>0</v>
      </c>
      <c r="EY95" s="514">
        <f>COUNTIFS('LS | Drawing List'!$G:$G,"LS-TXV-9",'LS | Drawing List'!N:N,1)</f>
        <v>0</v>
      </c>
      <c r="EZ95" s="514">
        <f>COUNTIFS('LS | Drawing List'!$G:$G,"LS-TXV-9",'LS | Drawing List'!O:O,1)</f>
        <v>0</v>
      </c>
      <c r="FA95" s="515"/>
      <c r="FB95" s="506">
        <f>COUNTIFS('LS | Drawing List'!$G:$G,"LS-TXV-9",'LS | Drawing List'!$P:$P,1)</f>
        <v>0</v>
      </c>
      <c r="FC95" s="514">
        <f>COUNTIFS('LS | Drawing List'!$G:$G,"LS-TXV-9",'LS | Drawing List'!Q:Q,1)</f>
        <v>0</v>
      </c>
      <c r="FD95" s="514">
        <f>COUNTIFS('LS | Drawing List'!$G:$G,"LS-TXV-9",'LS | Drawing List'!R:R,1)</f>
        <v>0</v>
      </c>
      <c r="FE95" s="514">
        <f>COUNTIFS('LS | Drawing List'!$G:$G,"LS-TXV-9",'LS | Drawing List'!S:S,1)</f>
        <v>0</v>
      </c>
      <c r="FF95" s="514">
        <f>COUNTIFS('LS | Drawing List'!$G:$G,"LS-TXV-9",'LS | Drawing List'!T:T,1)</f>
        <v>0</v>
      </c>
    </row>
    <row r="96" spans="2:162" ht="14.25" outlineLevel="2">
      <c r="B96" s="564" t="s">
        <v>105</v>
      </c>
      <c r="C96" s="565">
        <v>10</v>
      </c>
      <c r="D96" s="566" t="s">
        <v>71</v>
      </c>
      <c r="F96" s="500">
        <f t="shared" si="358"/>
        <v>0.66109440000000008</v>
      </c>
      <c r="G96" s="500">
        <f t="shared" si="359"/>
        <v>0.66109440000000008</v>
      </c>
      <c r="H96" s="514">
        <f t="shared" si="360"/>
        <v>0</v>
      </c>
      <c r="I96" s="514">
        <f t="shared" si="332"/>
        <v>0</v>
      </c>
      <c r="J96" s="514">
        <f t="shared" si="333"/>
        <v>0</v>
      </c>
      <c r="K96" s="514">
        <f t="shared" si="334"/>
        <v>0</v>
      </c>
      <c r="L96" s="514">
        <f t="shared" si="335"/>
        <v>0</v>
      </c>
      <c r="M96" s="567">
        <f t="shared" si="336"/>
        <v>0</v>
      </c>
      <c r="N96" s="568"/>
      <c r="O96" s="514">
        <f t="shared" si="337"/>
        <v>0</v>
      </c>
      <c r="P96" s="514">
        <f t="shared" si="338"/>
        <v>0</v>
      </c>
      <c r="Q96" s="514">
        <f t="shared" si="339"/>
        <v>0</v>
      </c>
      <c r="R96" s="514">
        <f t="shared" si="340"/>
        <v>0</v>
      </c>
      <c r="S96" s="514">
        <f t="shared" si="341"/>
        <v>0</v>
      </c>
      <c r="U96" s="569">
        <v>0.1</v>
      </c>
      <c r="V96" s="503"/>
      <c r="W96" s="500">
        <f t="shared" si="361"/>
        <v>0.66109440000000008</v>
      </c>
      <c r="X96" s="500">
        <f t="shared" si="234"/>
        <v>0.66109440000000008</v>
      </c>
      <c r="Y96" s="514">
        <f t="shared" si="362"/>
        <v>0.66109440000000008</v>
      </c>
      <c r="Z96" s="514">
        <f t="shared" si="363"/>
        <v>0</v>
      </c>
      <c r="AA96" s="514">
        <f t="shared" si="364"/>
        <v>0</v>
      </c>
      <c r="AB96" s="514">
        <f t="shared" si="365"/>
        <v>0</v>
      </c>
      <c r="AC96" s="514">
        <f t="shared" si="366"/>
        <v>0</v>
      </c>
      <c r="AD96" s="567">
        <f t="shared" si="367"/>
        <v>0</v>
      </c>
      <c r="AE96" s="568"/>
      <c r="AF96" s="514">
        <f t="shared" si="368"/>
        <v>0</v>
      </c>
      <c r="AG96" s="514">
        <f t="shared" si="369"/>
        <v>0</v>
      </c>
      <c r="AH96" s="514">
        <f t="shared" si="370"/>
        <v>0</v>
      </c>
      <c r="AI96" s="514">
        <f t="shared" si="371"/>
        <v>0</v>
      </c>
      <c r="AJ96" s="514">
        <f t="shared" si="372"/>
        <v>0</v>
      </c>
      <c r="AK96" s="501"/>
      <c r="AL96" s="570">
        <f t="shared" si="373"/>
        <v>1</v>
      </c>
      <c r="AM96" s="570">
        <f t="shared" si="374"/>
        <v>0</v>
      </c>
      <c r="AN96" s="570">
        <f t="shared" si="375"/>
        <v>0</v>
      </c>
      <c r="AO96" s="518"/>
      <c r="AP96" s="514">
        <f>COUNTIF('AR | Drawing List'!$G:$G,"AR-TXV-10")</f>
        <v>1</v>
      </c>
      <c r="AQ96" s="506">
        <f>COUNTIFS('AR | Drawing List'!$G:$G,"AR-TXV-10",'AR | Drawing List'!$I:$I,1)</f>
        <v>1</v>
      </c>
      <c r="AR96" s="506">
        <f t="shared" si="238"/>
        <v>0</v>
      </c>
      <c r="AS96" s="506">
        <f>COUNTIFS('AR | Drawing List'!$G:$G,"AR-TXV-10",'AR | Drawing List'!M:M,1)</f>
        <v>0</v>
      </c>
      <c r="AT96" s="506">
        <f>COUNTIFS('AR | Drawing List'!$G:$G,"AR-TXV-10",'AR | Drawing List'!N:N,1)</f>
        <v>0</v>
      </c>
      <c r="AU96" s="506">
        <f>COUNTIFS('AR | Drawing List'!$G:$G,"AR-TXV-10",'AR | Drawing List'!O:O,1)</f>
        <v>0</v>
      </c>
      <c r="AV96" s="506">
        <f>COUNTIFS('AR | Drawing List'!$G:$G,"AR-TXV-10",'AR | Drawing List'!P:P,1)</f>
        <v>0</v>
      </c>
      <c r="AW96" s="466"/>
      <c r="AX96" s="506">
        <f t="shared" si="376"/>
        <v>0</v>
      </c>
      <c r="AY96" s="506">
        <f>COUNTIFS('AR | Drawing List'!$G:$G,"AR-TXV-10",'AR | Drawing List'!R:R,1)</f>
        <v>0</v>
      </c>
      <c r="AZ96" s="506">
        <f>COUNTIFS('AR | Drawing List'!$G:$G,"AR-TXV-10",'AR | Drawing List'!S:S,1)</f>
        <v>0</v>
      </c>
      <c r="BA96" s="506">
        <f>COUNTIFS('AR | Drawing List'!$G:$G,"AR-TXV-10",'AR | Drawing List'!T:T,1)</f>
        <v>0</v>
      </c>
      <c r="BB96" s="506">
        <f>COUNTIFS('AR | Drawing List'!$G:$G,"AR-TXV-10",'AR | Drawing List'!U:U,1)</f>
        <v>0</v>
      </c>
      <c r="BC96" s="466"/>
      <c r="BD96" s="466"/>
      <c r="BE96" s="576">
        <v>0</v>
      </c>
      <c r="BF96" s="508"/>
      <c r="BG96" s="506">
        <f t="shared" si="377"/>
        <v>0</v>
      </c>
      <c r="BH96" s="510">
        <f t="shared" si="235"/>
        <v>0</v>
      </c>
      <c r="BI96" s="514">
        <f t="shared" si="378"/>
        <v>0</v>
      </c>
      <c r="BJ96" s="514">
        <f t="shared" si="379"/>
        <v>0</v>
      </c>
      <c r="BK96" s="514">
        <f t="shared" si="380"/>
        <v>0</v>
      </c>
      <c r="BL96" s="514">
        <f t="shared" si="381"/>
        <v>0</v>
      </c>
      <c r="BM96" s="514">
        <f t="shared" si="382"/>
        <v>0</v>
      </c>
      <c r="BN96" s="514">
        <f t="shared" si="383"/>
        <v>0</v>
      </c>
      <c r="BO96" s="501"/>
      <c r="BP96" s="514">
        <f t="shared" si="384"/>
        <v>0</v>
      </c>
      <c r="BQ96" s="514">
        <f t="shared" si="385"/>
        <v>0</v>
      </c>
      <c r="BR96" s="514">
        <f t="shared" si="386"/>
        <v>0</v>
      </c>
      <c r="BS96" s="514">
        <f t="shared" si="387"/>
        <v>0</v>
      </c>
      <c r="BT96" s="514">
        <f t="shared" si="388"/>
        <v>0</v>
      </c>
      <c r="BU96" s="501"/>
      <c r="BV96" s="571">
        <f t="shared" si="389"/>
        <v>0</v>
      </c>
      <c r="BW96" s="571">
        <f t="shared" si="390"/>
        <v>0</v>
      </c>
      <c r="BX96" s="571">
        <f t="shared" si="391"/>
        <v>0</v>
      </c>
      <c r="BY96" s="505"/>
      <c r="BZ96" s="514">
        <f>COUNTIF('ST | Drawing List'!$G:$G,"ST-TXV-10")</f>
        <v>0</v>
      </c>
      <c r="CA96" s="506">
        <f>COUNTIFS('ST | Drawing List'!$G:$G,"ST-TXV-10",'ST | Drawing List'!$I:$I,1)</f>
        <v>0</v>
      </c>
      <c r="CB96" s="572">
        <f>COUNTIFS('ST | Drawing List'!$G:$G,"ST-TXV-10",'ST | Drawing List'!$K:$K,1)</f>
        <v>0</v>
      </c>
      <c r="CC96" s="506">
        <f>COUNTIFS('ST | Drawing List'!$G:$G,"ST-TXV-10",'ST | Drawing List'!L:L,1)</f>
        <v>0</v>
      </c>
      <c r="CD96" s="506">
        <f>COUNTIFS('ST | Drawing List'!$G:$G,"ST-TXV-10",'ST | Drawing List'!M:M,1)</f>
        <v>0</v>
      </c>
      <c r="CE96" s="506">
        <f>COUNTIFS('ST | Drawing List'!$G:$G,"ST-TXV-10",'ST | Drawing List'!N:N,1)</f>
        <v>0</v>
      </c>
      <c r="CF96" s="506">
        <f>COUNTIFS('ST | Drawing List'!$G:$G,"ST-TXV-10",'ST | Drawing List'!O:O,1)</f>
        <v>0</v>
      </c>
      <c r="CG96" s="471"/>
      <c r="CH96" s="572">
        <f>COUNTIFS('ST | Drawing List'!$G:$G,"ST-TXV-10",'ST | Drawing List'!$P:$P,1)</f>
        <v>0</v>
      </c>
      <c r="CI96" s="506">
        <f>COUNTIFS('ST | Drawing List'!$G:$G,"ST-TXV-10",'ST | Drawing List'!Q:Q,1)</f>
        <v>0</v>
      </c>
      <c r="CJ96" s="506">
        <f>COUNTIFS('ST | Drawing List'!$G:$G,"ST-TXV-10",'ST | Drawing List'!R:R,1)</f>
        <v>0</v>
      </c>
      <c r="CK96" s="506">
        <f>COUNTIFS('ST | Drawing List'!$G:$G,"ST-TXV-10",'ST | Drawing List'!S:S,1)</f>
        <v>0</v>
      </c>
      <c r="CL96" s="506">
        <f>COUNTIFS('ST | Drawing List'!$G:$G,"ST-TXV-10",'ST | Drawing List'!T:T,1)</f>
        <v>0</v>
      </c>
      <c r="CM96" s="508"/>
      <c r="CN96" s="508"/>
      <c r="CO96" s="576">
        <v>0</v>
      </c>
      <c r="CP96" s="508"/>
      <c r="CQ96" s="506">
        <f t="shared" si="392"/>
        <v>0</v>
      </c>
      <c r="CR96" s="510">
        <f t="shared" si="236"/>
        <v>0</v>
      </c>
      <c r="CS96" s="514">
        <f t="shared" si="393"/>
        <v>0</v>
      </c>
      <c r="CT96" s="514">
        <f t="shared" si="394"/>
        <v>0</v>
      </c>
      <c r="CU96" s="514">
        <f t="shared" si="395"/>
        <v>0</v>
      </c>
      <c r="CV96" s="514">
        <f t="shared" si="396"/>
        <v>0</v>
      </c>
      <c r="CW96" s="514">
        <f t="shared" si="397"/>
        <v>0</v>
      </c>
      <c r="CX96" s="514">
        <f t="shared" si="398"/>
        <v>0</v>
      </c>
      <c r="CY96" s="501"/>
      <c r="CZ96" s="514">
        <f t="shared" si="399"/>
        <v>0</v>
      </c>
      <c r="DA96" s="514">
        <f t="shared" si="400"/>
        <v>0</v>
      </c>
      <c r="DB96" s="514">
        <f t="shared" si="401"/>
        <v>0</v>
      </c>
      <c r="DC96" s="514">
        <f t="shared" si="402"/>
        <v>0</v>
      </c>
      <c r="DD96" s="514">
        <f t="shared" si="403"/>
        <v>0</v>
      </c>
      <c r="DE96" s="501"/>
      <c r="DF96" s="570">
        <f t="shared" si="404"/>
        <v>0</v>
      </c>
      <c r="DG96" s="570">
        <f t="shared" si="405"/>
        <v>0</v>
      </c>
      <c r="DH96" s="570">
        <f t="shared" si="406"/>
        <v>0</v>
      </c>
      <c r="DI96" s="505"/>
      <c r="DJ96" s="514">
        <f>COUNTIF('MEP | Drawing List'!$G:$G,"MEP-T2V-6V-10")</f>
        <v>0</v>
      </c>
      <c r="DK96" s="506">
        <f>COUNTIFS('MEP | Drawing List'!$G:$G,"MEP-T2V-6V-10",'MEP | Drawing List'!$I:$I,1)</f>
        <v>0</v>
      </c>
      <c r="DL96" s="506">
        <f>COUNTIFS('MEP | Drawing List'!$G:$G,"MEP-T2V-6V-10",'MEP | Drawing List'!$K:$K,1)</f>
        <v>0</v>
      </c>
      <c r="DM96" s="514">
        <f>COUNTIFS('MEP | Drawing List'!$G:$G,"MEP-T2V-6V-10",'MEP | Drawing List'!L:L,1)</f>
        <v>0</v>
      </c>
      <c r="DN96" s="514">
        <f>COUNTIFS('MEP | Drawing List'!$G:$G,"MEP-T2V-6V-10",'MEP | Drawing List'!M:M,1)</f>
        <v>0</v>
      </c>
      <c r="DO96" s="514">
        <f>COUNTIFS('MEP | Drawing List'!$G:$G,"MEP-T2V-6V-10",'MEP | Drawing List'!N:N,1)</f>
        <v>0</v>
      </c>
      <c r="DP96" s="514">
        <f>COUNTIFS('MEP | Drawing List'!$G:$G,"MEP-T2V-6V-10",'MEP | Drawing List'!O:O,1)</f>
        <v>0</v>
      </c>
      <c r="DQ96" s="501"/>
      <c r="DR96" s="506">
        <f>COUNTIFS('MEP | Drawing List'!$G:$G,"MEP-T2V-6V-10",'MEP | Drawing List'!$P:$P,1)</f>
        <v>0</v>
      </c>
      <c r="DS96" s="514">
        <f>COUNTIFS('MEP | Drawing List'!$G:$G,"MEP-T2V-6V-10",'MEP | Drawing List'!Q:Q,1)</f>
        <v>0</v>
      </c>
      <c r="DT96" s="514">
        <f>COUNTIFS('MEP | Drawing List'!$G:$G,"MEP-T2V-6V-10",'MEP | Drawing List'!R:R,1)</f>
        <v>0</v>
      </c>
      <c r="DU96" s="514">
        <f>COUNTIFS('MEP | Drawing List'!$G:$G,"MEP-T2V-6V-10",'MEP | Drawing List'!S:S,1)</f>
        <v>0</v>
      </c>
      <c r="DV96" s="514">
        <f>COUNTIFS('MEP | Drawing List'!$G:$G,"MEP-T2V-6V-10",'MEP | Drawing List'!T:T,1)</f>
        <v>0</v>
      </c>
      <c r="DW96" s="508"/>
      <c r="DX96" s="508"/>
      <c r="DY96" s="511">
        <v>0</v>
      </c>
      <c r="DZ96" s="508"/>
      <c r="EA96" s="509">
        <v>0</v>
      </c>
      <c r="EB96" s="510">
        <f t="shared" si="237"/>
        <v>0</v>
      </c>
      <c r="EC96" s="515"/>
      <c r="ED96" s="515"/>
      <c r="EE96" s="501"/>
      <c r="EF96" s="501"/>
      <c r="EG96" s="501"/>
      <c r="EH96" s="501"/>
      <c r="EI96" s="501"/>
      <c r="EJ96" s="515"/>
      <c r="EK96" s="501"/>
      <c r="EL96" s="501"/>
      <c r="EM96" s="501"/>
      <c r="EN96" s="501"/>
      <c r="EO96" s="501"/>
      <c r="EP96" s="52"/>
      <c r="EQ96" s="52"/>
      <c r="ER96" s="52"/>
      <c r="ES96" s="516"/>
      <c r="ET96" s="514">
        <f>COUNTIF('LS | Drawing List'!$G:$G,"LS-TXV-10")</f>
        <v>0</v>
      </c>
      <c r="EU96" s="506">
        <f>COUNTIFS('LS | Drawing List'!$G:$G,"LS-TXV-10",'LS | Drawing List'!$I:$I,1)</f>
        <v>0</v>
      </c>
      <c r="EV96" s="506">
        <f>COUNTIFS('LS | Drawing List'!$G:$G,"LS-TXV-10",'LS | Drawing List'!$K:$K,1)</f>
        <v>0</v>
      </c>
      <c r="EW96" s="514">
        <f>COUNTIFS('LS | Drawing List'!$G:$G,"LS-TXV-10",'LS | Drawing List'!L:L,1)</f>
        <v>0</v>
      </c>
      <c r="EX96" s="514">
        <f>COUNTIFS('LS | Drawing List'!$G:$G,"LS-TXV-10",'LS | Drawing List'!M:M,1)</f>
        <v>0</v>
      </c>
      <c r="EY96" s="514">
        <f>COUNTIFS('LS | Drawing List'!$G:$G,"LS-TXV-10",'LS | Drawing List'!N:N,1)</f>
        <v>0</v>
      </c>
      <c r="EZ96" s="514">
        <f>COUNTIFS('LS | Drawing List'!$G:$G,"LS-TXV-10",'LS | Drawing List'!O:O,1)</f>
        <v>0</v>
      </c>
      <c r="FA96" s="515"/>
      <c r="FB96" s="506">
        <f>COUNTIFS('LS | Drawing List'!$G:$G,"LS-TXV-10",'LS | Drawing List'!$P:$P,1)</f>
        <v>0</v>
      </c>
      <c r="FC96" s="514">
        <f>COUNTIFS('LS | Drawing List'!$G:$G,"LS-TXV-10",'LS | Drawing List'!Q:Q,1)</f>
        <v>0</v>
      </c>
      <c r="FD96" s="514">
        <f>COUNTIFS('LS | Drawing List'!$G:$G,"LS-TXV-10",'LS | Drawing List'!R:R,1)</f>
        <v>0</v>
      </c>
      <c r="FE96" s="514">
        <f>COUNTIFS('LS | Drawing List'!$G:$G,"LS-TXV-10",'LS | Drawing List'!S:S,1)</f>
        <v>0</v>
      </c>
      <c r="FF96" s="514">
        <f>COUNTIFS('LS | Drawing List'!$G:$G,"LS-TXV-10",'LS | Drawing List'!T:T,1)</f>
        <v>0</v>
      </c>
    </row>
    <row r="97" spans="2:162" ht="3" customHeight="1" outlineLevel="1">
      <c r="B97" s="594"/>
      <c r="C97" s="595"/>
      <c r="D97" s="566"/>
      <c r="F97" s="499"/>
      <c r="G97" s="500"/>
      <c r="H97" s="501"/>
      <c r="I97" s="501"/>
      <c r="J97" s="501"/>
      <c r="K97" s="501"/>
      <c r="L97" s="501"/>
      <c r="M97" s="501"/>
      <c r="N97" s="501"/>
      <c r="O97" s="501"/>
      <c r="P97" s="501"/>
      <c r="Q97" s="501"/>
      <c r="R97" s="501"/>
      <c r="S97" s="501"/>
      <c r="U97" s="569"/>
      <c r="V97" s="503"/>
      <c r="W97" s="499"/>
      <c r="X97" s="500">
        <f t="shared" si="234"/>
        <v>0</v>
      </c>
      <c r="Y97" s="501"/>
      <c r="Z97" s="501"/>
      <c r="AA97" s="501"/>
      <c r="AB97" s="501"/>
      <c r="AC97" s="501"/>
      <c r="AD97" s="501"/>
      <c r="AE97" s="501"/>
      <c r="AF97" s="501"/>
      <c r="AG97" s="501"/>
      <c r="AH97" s="501"/>
      <c r="AI97" s="501"/>
      <c r="AJ97" s="501"/>
      <c r="AK97" s="501"/>
      <c r="AL97" s="513"/>
      <c r="AM97" s="513"/>
      <c r="AN97" s="513"/>
      <c r="AO97" s="505"/>
      <c r="AP97" s="551"/>
      <c r="AQ97" s="466"/>
      <c r="AR97" s="466"/>
      <c r="AS97" s="466"/>
      <c r="AT97" s="466"/>
      <c r="AU97" s="466"/>
      <c r="AV97" s="466"/>
      <c r="AW97" s="466"/>
      <c r="AX97" s="466"/>
      <c r="AY97" s="466"/>
      <c r="AZ97" s="466"/>
      <c r="BA97" s="466"/>
      <c r="BB97" s="466"/>
      <c r="BC97" s="466"/>
      <c r="BD97" s="466"/>
      <c r="BE97" s="511"/>
      <c r="BF97" s="508"/>
      <c r="BG97" s="509"/>
      <c r="BH97" s="510">
        <f t="shared" si="235"/>
        <v>0</v>
      </c>
      <c r="BI97" s="501"/>
      <c r="BJ97" s="501"/>
      <c r="BK97" s="501"/>
      <c r="BL97" s="501"/>
      <c r="BM97" s="501"/>
      <c r="BN97" s="501"/>
      <c r="BO97" s="501"/>
      <c r="BP97" s="501"/>
      <c r="BQ97" s="501"/>
      <c r="BR97" s="501"/>
      <c r="BS97" s="501"/>
      <c r="BT97" s="501"/>
      <c r="BU97" s="501"/>
      <c r="BV97" s="511"/>
      <c r="BW97" s="511"/>
      <c r="BX97" s="511"/>
      <c r="BY97" s="505"/>
      <c r="BZ97" s="552"/>
      <c r="CA97" s="471"/>
      <c r="CB97" s="548"/>
      <c r="CC97" s="512"/>
      <c r="CD97" s="512"/>
      <c r="CE97" s="512"/>
      <c r="CF97" s="512"/>
      <c r="CG97" s="512"/>
      <c r="CH97" s="548"/>
      <c r="CI97" s="512"/>
      <c r="CJ97" s="512"/>
      <c r="CK97" s="512"/>
      <c r="CL97" s="512"/>
      <c r="CM97" s="508"/>
      <c r="CN97" s="508"/>
      <c r="CO97" s="511"/>
      <c r="CP97" s="508"/>
      <c r="CQ97" s="509"/>
      <c r="CR97" s="510">
        <f t="shared" si="236"/>
        <v>0</v>
      </c>
      <c r="CS97" s="501"/>
      <c r="CT97" s="501"/>
      <c r="CU97" s="501"/>
      <c r="CV97" s="501"/>
      <c r="CW97" s="501"/>
      <c r="CX97" s="501"/>
      <c r="CY97" s="501"/>
      <c r="CZ97" s="501"/>
      <c r="DA97" s="501"/>
      <c r="DB97" s="501"/>
      <c r="DC97" s="501"/>
      <c r="DD97" s="501"/>
      <c r="DE97" s="501"/>
      <c r="DF97" s="513"/>
      <c r="DG97" s="513"/>
      <c r="DH97" s="513"/>
      <c r="DI97" s="505"/>
      <c r="DJ97" s="551"/>
      <c r="DK97" s="466"/>
      <c r="DL97" s="466"/>
      <c r="DM97" s="501"/>
      <c r="DN97" s="501"/>
      <c r="DO97" s="501"/>
      <c r="DP97" s="501"/>
      <c r="DQ97" s="501"/>
      <c r="DR97" s="466"/>
      <c r="DS97" s="501"/>
      <c r="DT97" s="501"/>
      <c r="DU97" s="501"/>
      <c r="DV97" s="501"/>
      <c r="DW97" s="508"/>
      <c r="DX97" s="508"/>
      <c r="DY97" s="511"/>
      <c r="DZ97" s="508"/>
      <c r="EA97" s="509"/>
      <c r="EB97" s="510">
        <f t="shared" si="237"/>
        <v>0</v>
      </c>
      <c r="EC97" s="515"/>
      <c r="ED97" s="515"/>
      <c r="EE97" s="514">
        <f>IFERROR(IF(AND((EU97+EW97)=ET97,EC97=0),EA97,0),0)</f>
        <v>0</v>
      </c>
      <c r="EF97" s="514">
        <f>IFERROR(IF(AND((EU97+EW97+EX97)=ET97,EC97=0,EE97=0),EA97,0),0)</f>
        <v>0</v>
      </c>
      <c r="EG97" s="514">
        <f>IFERROR(IF(AND((EU97+EW97+EX97+EY97)=ET97,EC97=0,EE97=0,EF97=0),EA97,0),0)</f>
        <v>0</v>
      </c>
      <c r="EH97" s="514">
        <f>IFERROR(IF(AND((EU97+EW97+EX97+EY97+EZ97)=ET97,EC97=0,EE97=0,EF97=0,EG97=0),EA97,0),0)</f>
        <v>0</v>
      </c>
      <c r="EI97" s="501"/>
      <c r="EJ97" s="515"/>
      <c r="EK97" s="514">
        <f>IFERROR(IF(AND((EZ97+FC97)=EY97,EH97=0),EG97,0),0)</f>
        <v>0</v>
      </c>
      <c r="EL97" s="514">
        <f>IFERROR(IF(AND((EZ97+FC97+FD97)=EY97,EH97=0,EK97=0),EG97,0),0)</f>
        <v>0</v>
      </c>
      <c r="EM97" s="514">
        <f>IFERROR(IF(AND((EZ97+FC97+FD97+FE97)=EY97,EH97=0,EK97=0,EL97=0),EG97,0),0)</f>
        <v>0</v>
      </c>
      <c r="EN97" s="514">
        <f>IFERROR(IF(AND((EZ97+FC97+FD97+FE97+FF97)=EY97,EH97=0,EK97=0,EL97=0,EM97=0),EG97,0),0)</f>
        <v>0</v>
      </c>
      <c r="EO97" s="501"/>
      <c r="EP97" s="52"/>
      <c r="EQ97" s="52"/>
      <c r="ER97" s="52"/>
      <c r="ES97" s="516"/>
      <c r="EU97" s="476"/>
      <c r="EV97" s="476"/>
      <c r="EW97" s="515"/>
      <c r="EX97" s="515"/>
      <c r="EY97" s="515"/>
      <c r="EZ97" s="515"/>
      <c r="FA97" s="515"/>
      <c r="FB97" s="476"/>
      <c r="FC97" s="515"/>
      <c r="FD97" s="515"/>
      <c r="FE97" s="515"/>
      <c r="FF97" s="515"/>
    </row>
    <row r="98" spans="2:162" ht="14.25" outlineLevel="1">
      <c r="B98" s="477"/>
      <c r="C98" s="559">
        <v>5</v>
      </c>
      <c r="D98" s="560" t="s">
        <v>106</v>
      </c>
      <c r="E98" s="479"/>
      <c r="F98" s="480">
        <f>W98+BG98+CQ98+EA98</f>
        <v>2.8990260299999999</v>
      </c>
      <c r="G98" s="480">
        <f>X98+BH98+CR98+EB98</f>
        <v>2.8990260300000004</v>
      </c>
      <c r="H98" s="481">
        <f>F98-G98</f>
        <v>0</v>
      </c>
      <c r="I98" s="480">
        <f t="shared" ref="I98:I107" si="407">Z98+BJ98+CT98+ED98</f>
        <v>0</v>
      </c>
      <c r="J98" s="480">
        <f t="shared" ref="J98:J107" si="408">AA98+BK98+CU98+EE98</f>
        <v>0</v>
      </c>
      <c r="K98" s="480">
        <f t="shared" ref="K98:K107" si="409">AB98+BL98+CV98+EF98</f>
        <v>0</v>
      </c>
      <c r="L98" s="480">
        <f t="shared" ref="L98:L107" si="410">AC98+BM98+CW98+EG98</f>
        <v>0</v>
      </c>
      <c r="M98" s="480">
        <f t="shared" ref="M98:M107" si="411">AD98+BN98+CX98+EH98</f>
        <v>0</v>
      </c>
      <c r="N98" s="482"/>
      <c r="O98" s="480">
        <f t="shared" ref="O98:O107" si="412">AF98+BP98+CZ98+EJ98</f>
        <v>0</v>
      </c>
      <c r="P98" s="480">
        <f t="shared" ref="P98:P107" si="413">AG98+BQ98+DA98+EK98</f>
        <v>0</v>
      </c>
      <c r="Q98" s="480">
        <f t="shared" ref="Q98:Q107" si="414">AH98+BR98+DB98+EL98</f>
        <v>0</v>
      </c>
      <c r="R98" s="480">
        <f t="shared" ref="R98:R107" si="415">AI98+BS98+DC98+EM98</f>
        <v>0</v>
      </c>
      <c r="S98" s="480">
        <f t="shared" ref="S98:S107" si="416">AJ98+BT98+DD98+EN98</f>
        <v>0</v>
      </c>
      <c r="T98" s="479"/>
      <c r="U98" s="483">
        <f>SUM(U99:U107)</f>
        <v>0.5</v>
      </c>
      <c r="V98" s="483"/>
      <c r="W98" s="480">
        <f>U98*(5%*0.36*(SUM('BOQ COST'!E10:E12)))*1</f>
        <v>1.8593279999999999</v>
      </c>
      <c r="X98" s="480">
        <f t="shared" si="234"/>
        <v>1.8593280000000001</v>
      </c>
      <c r="Y98" s="481">
        <f t="shared" ref="Y98:AD98" si="417">SUM(Y99:Y107)</f>
        <v>1.8593280000000001</v>
      </c>
      <c r="Z98" s="481">
        <f t="shared" si="417"/>
        <v>0</v>
      </c>
      <c r="AA98" s="481">
        <f t="shared" si="417"/>
        <v>0</v>
      </c>
      <c r="AB98" s="481">
        <f t="shared" si="417"/>
        <v>0</v>
      </c>
      <c r="AC98" s="481">
        <f t="shared" si="417"/>
        <v>0</v>
      </c>
      <c r="AD98" s="481">
        <f t="shared" si="417"/>
        <v>0</v>
      </c>
      <c r="AE98" s="482"/>
      <c r="AF98" s="481">
        <f t="shared" ref="AF98:AJ98" si="418">SUM(AF99:AF107)</f>
        <v>0</v>
      </c>
      <c r="AG98" s="481">
        <f t="shared" si="418"/>
        <v>0</v>
      </c>
      <c r="AH98" s="481">
        <f t="shared" si="418"/>
        <v>0</v>
      </c>
      <c r="AI98" s="481">
        <f t="shared" si="418"/>
        <v>0</v>
      </c>
      <c r="AJ98" s="481">
        <f t="shared" si="418"/>
        <v>0</v>
      </c>
      <c r="AK98" s="482"/>
      <c r="AL98" s="492"/>
      <c r="AM98" s="492"/>
      <c r="AN98" s="492"/>
      <c r="AO98" s="481">
        <f>SUM(AO99:AO107)</f>
        <v>0</v>
      </c>
      <c r="AP98" s="481">
        <f>SUM(AP99:AP107)</f>
        <v>43</v>
      </c>
      <c r="AQ98" s="481">
        <f>SUM(AQ99:AQ107)</f>
        <v>43</v>
      </c>
      <c r="AR98" s="481">
        <f t="shared" si="238"/>
        <v>0</v>
      </c>
      <c r="AS98" s="481">
        <f t="shared" ref="AS98:BB98" si="419">SUM(AS99:AS107)</f>
        <v>0</v>
      </c>
      <c r="AT98" s="481">
        <f t="shared" si="419"/>
        <v>0</v>
      </c>
      <c r="AU98" s="481">
        <f t="shared" si="419"/>
        <v>0</v>
      </c>
      <c r="AV98" s="481">
        <f t="shared" si="419"/>
        <v>0</v>
      </c>
      <c r="AW98" s="482"/>
      <c r="AX98" s="481">
        <f t="shared" si="419"/>
        <v>0</v>
      </c>
      <c r="AY98" s="481">
        <f t="shared" si="419"/>
        <v>0</v>
      </c>
      <c r="AZ98" s="481">
        <f t="shared" si="419"/>
        <v>0</v>
      </c>
      <c r="BA98" s="481">
        <f t="shared" si="419"/>
        <v>0</v>
      </c>
      <c r="BB98" s="481">
        <f t="shared" si="419"/>
        <v>0</v>
      </c>
      <c r="BC98" s="487"/>
      <c r="BD98" s="487"/>
      <c r="BE98" s="483">
        <f>SUM(BE99:BE107)</f>
        <v>0.54999999999999993</v>
      </c>
      <c r="BF98" s="483"/>
      <c r="BG98" s="480">
        <f>BE98*(3%*0.36*('BOQ COST'!$F$10+'BOQ COST'!$F$11+'BOQ COST'!$F$12))*1</f>
        <v>0.85547582999999983</v>
      </c>
      <c r="BH98" s="480">
        <f t="shared" si="235"/>
        <v>0.85547583000000005</v>
      </c>
      <c r="BI98" s="481">
        <f t="shared" ref="BI98:BN98" si="420">SUM(BI99:BI107)</f>
        <v>0.85547583000000005</v>
      </c>
      <c r="BJ98" s="481">
        <f t="shared" si="420"/>
        <v>0</v>
      </c>
      <c r="BK98" s="481">
        <f t="shared" si="420"/>
        <v>0</v>
      </c>
      <c r="BL98" s="481">
        <f t="shared" si="420"/>
        <v>0</v>
      </c>
      <c r="BM98" s="481">
        <f t="shared" si="420"/>
        <v>0</v>
      </c>
      <c r="BN98" s="481">
        <f t="shared" si="420"/>
        <v>0</v>
      </c>
      <c r="BO98" s="482"/>
      <c r="BP98" s="481">
        <f t="shared" ref="BP98:BT98" si="421">SUM(BP99:BP107)</f>
        <v>0</v>
      </c>
      <c r="BQ98" s="481">
        <f t="shared" si="421"/>
        <v>0</v>
      </c>
      <c r="BR98" s="481">
        <f t="shared" si="421"/>
        <v>0</v>
      </c>
      <c r="BS98" s="481">
        <f t="shared" si="421"/>
        <v>0</v>
      </c>
      <c r="BT98" s="481">
        <f t="shared" si="421"/>
        <v>0</v>
      </c>
      <c r="BU98" s="482"/>
      <c r="BV98" s="488"/>
      <c r="BW98" s="488"/>
      <c r="BX98" s="488"/>
      <c r="BY98" s="481">
        <f t="shared" ref="BY98:CF98" si="422">SUM(BY99:BY107)</f>
        <v>0</v>
      </c>
      <c r="BZ98" s="481">
        <f t="shared" si="422"/>
        <v>385</v>
      </c>
      <c r="CA98" s="481">
        <f t="shared" si="422"/>
        <v>385</v>
      </c>
      <c r="CB98" s="481">
        <f t="shared" si="422"/>
        <v>0</v>
      </c>
      <c r="CC98" s="481">
        <f t="shared" si="422"/>
        <v>0</v>
      </c>
      <c r="CD98" s="481">
        <f t="shared" si="422"/>
        <v>0</v>
      </c>
      <c r="CE98" s="481">
        <f t="shared" si="422"/>
        <v>0</v>
      </c>
      <c r="CF98" s="481">
        <f t="shared" si="422"/>
        <v>0</v>
      </c>
      <c r="CG98" s="490"/>
      <c r="CH98" s="481">
        <f t="shared" ref="CH98:CL98" si="423">SUM(CH99:CH107)</f>
        <v>0</v>
      </c>
      <c r="CI98" s="481">
        <f t="shared" si="423"/>
        <v>0</v>
      </c>
      <c r="CJ98" s="481">
        <f t="shared" si="423"/>
        <v>0</v>
      </c>
      <c r="CK98" s="481">
        <f t="shared" si="423"/>
        <v>0</v>
      </c>
      <c r="CL98" s="481">
        <f t="shared" si="423"/>
        <v>0</v>
      </c>
      <c r="CM98" s="483"/>
      <c r="CN98" s="483"/>
      <c r="CO98" s="483">
        <f>SUM(CO99:CO107)</f>
        <v>0.65</v>
      </c>
      <c r="CP98" s="483"/>
      <c r="CQ98" s="480">
        <f>CO98*(2%*0.36*('BOQ COST'!$G$10+'BOQ COST'!$G$11+'BOQ COST'!$G$12))*1</f>
        <v>0.13871519999999998</v>
      </c>
      <c r="CR98" s="480">
        <f t="shared" si="236"/>
        <v>0.13871519999999996</v>
      </c>
      <c r="CS98" s="481">
        <f t="shared" ref="CS98:CX98" si="424">SUM(CS99:CS107)</f>
        <v>0.13871519999999996</v>
      </c>
      <c r="CT98" s="481">
        <f t="shared" si="424"/>
        <v>0</v>
      </c>
      <c r="CU98" s="481">
        <f t="shared" si="424"/>
        <v>0</v>
      </c>
      <c r="CV98" s="481">
        <f t="shared" si="424"/>
        <v>0</v>
      </c>
      <c r="CW98" s="481">
        <f t="shared" si="424"/>
        <v>0</v>
      </c>
      <c r="CX98" s="481">
        <f t="shared" si="424"/>
        <v>0</v>
      </c>
      <c r="CY98" s="482"/>
      <c r="CZ98" s="481">
        <f t="shared" ref="CZ98:DD98" si="425">SUM(CZ99:CZ107)</f>
        <v>0</v>
      </c>
      <c r="DA98" s="481">
        <f t="shared" si="425"/>
        <v>0</v>
      </c>
      <c r="DB98" s="481">
        <f t="shared" si="425"/>
        <v>0</v>
      </c>
      <c r="DC98" s="481">
        <f t="shared" si="425"/>
        <v>0</v>
      </c>
      <c r="DD98" s="481">
        <f t="shared" si="425"/>
        <v>0</v>
      </c>
      <c r="DE98" s="482"/>
      <c r="DF98" s="492"/>
      <c r="DG98" s="492"/>
      <c r="DH98" s="492"/>
      <c r="DI98" s="481">
        <f t="shared" ref="DI98:DP98" si="426">SUM(DI99:DI107)</f>
        <v>0</v>
      </c>
      <c r="DJ98" s="481">
        <f t="shared" si="426"/>
        <v>122</v>
      </c>
      <c r="DK98" s="481">
        <f t="shared" si="426"/>
        <v>122</v>
      </c>
      <c r="DL98" s="481">
        <f t="shared" si="426"/>
        <v>0</v>
      </c>
      <c r="DM98" s="481">
        <f t="shared" si="426"/>
        <v>0</v>
      </c>
      <c r="DN98" s="481">
        <f t="shared" si="426"/>
        <v>0</v>
      </c>
      <c r="DO98" s="481">
        <f t="shared" si="426"/>
        <v>0</v>
      </c>
      <c r="DP98" s="481">
        <f t="shared" si="426"/>
        <v>0</v>
      </c>
      <c r="DQ98" s="482"/>
      <c r="DR98" s="481">
        <f t="shared" ref="DR98:DV98" si="427">SUM(DR99:DR107)</f>
        <v>0</v>
      </c>
      <c r="DS98" s="481">
        <f t="shared" si="427"/>
        <v>0</v>
      </c>
      <c r="DT98" s="481">
        <f t="shared" si="427"/>
        <v>0</v>
      </c>
      <c r="DU98" s="481">
        <f t="shared" si="427"/>
        <v>0</v>
      </c>
      <c r="DV98" s="481">
        <f t="shared" si="427"/>
        <v>0</v>
      </c>
      <c r="DW98" s="483"/>
      <c r="DX98" s="483"/>
      <c r="DY98" s="483">
        <f>SUM(DY99:DY107)</f>
        <v>0.55000000000000004</v>
      </c>
      <c r="DZ98" s="483"/>
      <c r="EA98" s="481">
        <f>DY98*(7%*('BOQ COST'!H10+'BOQ COST'!H11+'BOQ COST'!H12))*1</f>
        <v>4.5507000000000006E-2</v>
      </c>
      <c r="EB98" s="480">
        <f t="shared" si="237"/>
        <v>4.5507000000000006E-2</v>
      </c>
      <c r="EC98" s="481">
        <f t="shared" ref="EC98:EH98" si="428">SUM(EC99:EC107)</f>
        <v>4.5507000000000006E-2</v>
      </c>
      <c r="ED98" s="481">
        <f t="shared" si="428"/>
        <v>0</v>
      </c>
      <c r="EE98" s="481">
        <f t="shared" si="428"/>
        <v>0</v>
      </c>
      <c r="EF98" s="481">
        <f t="shared" si="428"/>
        <v>0</v>
      </c>
      <c r="EG98" s="481">
        <f t="shared" si="428"/>
        <v>0</v>
      </c>
      <c r="EH98" s="481">
        <f t="shared" si="428"/>
        <v>0</v>
      </c>
      <c r="EI98" s="491"/>
      <c r="EJ98" s="481">
        <f t="shared" ref="EJ98:EN98" si="429">SUM(EJ99:EJ107)</f>
        <v>0</v>
      </c>
      <c r="EK98" s="481">
        <f t="shared" si="429"/>
        <v>0</v>
      </c>
      <c r="EL98" s="481">
        <f t="shared" si="429"/>
        <v>0</v>
      </c>
      <c r="EM98" s="481">
        <f t="shared" si="429"/>
        <v>0</v>
      </c>
      <c r="EN98" s="481">
        <f t="shared" si="429"/>
        <v>0</v>
      </c>
      <c r="EO98" s="491"/>
      <c r="EP98" s="492"/>
      <c r="EQ98" s="492"/>
      <c r="ER98" s="492"/>
      <c r="ES98" s="481">
        <f t="shared" ref="ES98:EZ98" si="430">SUM(ES99:ES107)</f>
        <v>0</v>
      </c>
      <c r="ET98" s="481">
        <f t="shared" si="430"/>
        <v>38</v>
      </c>
      <c r="EU98" s="481">
        <f t="shared" si="430"/>
        <v>38</v>
      </c>
      <c r="EV98" s="481">
        <f t="shared" si="430"/>
        <v>0</v>
      </c>
      <c r="EW98" s="481">
        <f t="shared" si="430"/>
        <v>0</v>
      </c>
      <c r="EX98" s="481">
        <f t="shared" si="430"/>
        <v>0</v>
      </c>
      <c r="EY98" s="481">
        <f t="shared" si="430"/>
        <v>0</v>
      </c>
      <c r="EZ98" s="481">
        <f t="shared" si="430"/>
        <v>0</v>
      </c>
      <c r="FA98" s="491"/>
      <c r="FB98" s="481">
        <f t="shared" ref="FB98:FF98" si="431">SUM(FB99:FB107)</f>
        <v>0</v>
      </c>
      <c r="FC98" s="481">
        <f t="shared" si="431"/>
        <v>0</v>
      </c>
      <c r="FD98" s="481">
        <f t="shared" si="431"/>
        <v>0</v>
      </c>
      <c r="FE98" s="481">
        <f t="shared" si="431"/>
        <v>0</v>
      </c>
      <c r="FF98" s="481">
        <f t="shared" si="431"/>
        <v>0</v>
      </c>
    </row>
    <row r="99" spans="2:162" ht="14.25" outlineLevel="2">
      <c r="B99" s="564" t="s">
        <v>107</v>
      </c>
      <c r="C99" s="565">
        <v>1</v>
      </c>
      <c r="D99" s="566" t="s">
        <v>52</v>
      </c>
      <c r="F99" s="500">
        <f t="shared" ref="F99:F107" si="432">W99+BG99+CQ99+EA99</f>
        <v>0.36281466000000001</v>
      </c>
      <c r="G99" s="500">
        <f t="shared" ref="G99:G107" si="433">X99+BH99+CR99+EB99</f>
        <v>0.36281466000000001</v>
      </c>
      <c r="H99" s="514">
        <f t="shared" ref="H99:H107" si="434">F99-G99</f>
        <v>0</v>
      </c>
      <c r="I99" s="514">
        <f t="shared" si="407"/>
        <v>0</v>
      </c>
      <c r="J99" s="514">
        <f t="shared" si="408"/>
        <v>0</v>
      </c>
      <c r="K99" s="514">
        <f t="shared" si="409"/>
        <v>0</v>
      </c>
      <c r="L99" s="514">
        <f t="shared" si="410"/>
        <v>0</v>
      </c>
      <c r="M99" s="567">
        <f t="shared" si="411"/>
        <v>0</v>
      </c>
      <c r="N99" s="568"/>
      <c r="O99" s="514">
        <f t="shared" si="412"/>
        <v>0</v>
      </c>
      <c r="P99" s="514">
        <f t="shared" si="413"/>
        <v>0</v>
      </c>
      <c r="Q99" s="514">
        <f t="shared" si="414"/>
        <v>0</v>
      </c>
      <c r="R99" s="514">
        <f t="shared" si="415"/>
        <v>0</v>
      </c>
      <c r="S99" s="514">
        <f t="shared" si="416"/>
        <v>0</v>
      </c>
      <c r="U99" s="583">
        <v>0.05</v>
      </c>
      <c r="V99" s="503"/>
      <c r="W99" s="500">
        <f t="shared" ref="W99:W107" si="435">$W$98/$U$98*U99</f>
        <v>0.18593280000000001</v>
      </c>
      <c r="X99" s="500">
        <f t="shared" si="234"/>
        <v>0.18593280000000001</v>
      </c>
      <c r="Y99" s="514">
        <f t="shared" ref="Y99:Y107" si="436">IFERROR(IF(AL99=100%,W99,0),0)</f>
        <v>0.18593280000000001</v>
      </c>
      <c r="Z99" s="514">
        <f t="shared" ref="Z99:Z107" si="437">IFERROR(IF(AND((AL99+AM99)=100%,AL99&lt;1),W99,0),0)</f>
        <v>0</v>
      </c>
      <c r="AA99" s="514">
        <f t="shared" ref="AA99:AA107" si="438">IFERROR(IF(AND((AQ99+AS99)=AP99,Y99=0),W99,0),0)</f>
        <v>0</v>
      </c>
      <c r="AB99" s="514">
        <f t="shared" ref="AB99:AB107" si="439">IFERROR(IF(AND((AQ99+AS99+AT99)=AP99,Y99=0,AA99=0),W99,0),0)</f>
        <v>0</v>
      </c>
      <c r="AC99" s="514">
        <f t="shared" ref="AC99:AC107" si="440">IFERROR(IF(AND((AQ99+AS99+AT99+AU99)=AP99,Y99=0,AA99=0,AB99=0),W99,0),0)</f>
        <v>0</v>
      </c>
      <c r="AD99" s="567">
        <f t="shared" ref="AD99:AD107" si="441">IFERROR(IF(AND((AQ99+AS99+AT99+AU99+AV99)=AP99,Y99=0,AA99=0,AB99=0,AC99=0),W99,0),0)</f>
        <v>0</v>
      </c>
      <c r="AE99" s="568"/>
      <c r="AF99" s="514">
        <f t="shared" ref="AF99:AF107" si="442">IFERROR(IF(AND((AL99+AN99)=100%,AL99&lt;1),W99,0),0)</f>
        <v>0</v>
      </c>
      <c r="AG99" s="514">
        <f t="shared" ref="AG99:AG107" si="443">IFERROR(IF(AND((AQ99+AY99)=AP99,Y99=0),W99,0),0)</f>
        <v>0</v>
      </c>
      <c r="AH99" s="514">
        <f t="shared" ref="AH99:AH107" si="444">IFERROR(IF(AND((AQ99+AY99+AZ99)=AP99,Y99=0,AG99=0),W99,0),0)</f>
        <v>0</v>
      </c>
      <c r="AI99" s="514">
        <f t="shared" ref="AI99:AI107" si="445">IFERROR(IF(AND((AQ99+AY99+AZ99+BA99)=AP99,Y99=0,AG99=0,AH99=0),W99,0),0)</f>
        <v>0</v>
      </c>
      <c r="AJ99" s="514">
        <f t="shared" ref="AJ99:AJ107" si="446">IFERROR(IF(AND((AQ99+AY99+AZ99+BA99+BB99)=AP99,Y99=0,AG99=0,AH99=0,AI99=0),W99,0),0)</f>
        <v>0</v>
      </c>
      <c r="AK99" s="501"/>
      <c r="AL99" s="570">
        <f t="shared" ref="AL99:AL107" si="447">IFERROR(AQ99/AP99,0)</f>
        <v>1</v>
      </c>
      <c r="AM99" s="570">
        <f t="shared" ref="AM99:AM107" si="448">IFERROR(AR99/AP99,0)</f>
        <v>0</v>
      </c>
      <c r="AN99" s="570">
        <f t="shared" ref="AN99:AN107" si="449">IFERROR(AX99/AP99,0)</f>
        <v>0</v>
      </c>
      <c r="AO99" s="505"/>
      <c r="AP99" s="514">
        <f>COUNTIF('AR | Drawing List'!$G:$G,"AR-TXS-1")</f>
        <v>22</v>
      </c>
      <c r="AQ99" s="506">
        <f>COUNTIFS('AR | Drawing List'!$G:$G,"AR-TXS-1",'AR | Drawing List'!$I:$I,1)</f>
        <v>22</v>
      </c>
      <c r="AR99" s="506">
        <f t="shared" si="238"/>
        <v>0</v>
      </c>
      <c r="AS99" s="506">
        <f>COUNTIFS('AR | Drawing List'!$G:$G,"AR-TXS-1",'AR | Drawing List'!M:M,1)</f>
        <v>0</v>
      </c>
      <c r="AT99" s="506">
        <f>COUNTIFS('AR | Drawing List'!$G:$G,"AR-TXS-1",'AR | Drawing List'!N:N,1)</f>
        <v>0</v>
      </c>
      <c r="AU99" s="506">
        <f>COUNTIFS('AR | Drawing List'!$G:$G,"AR-TXS-1",'AR | Drawing List'!O:O,1)</f>
        <v>0</v>
      </c>
      <c r="AV99" s="506">
        <f>COUNTIFS('AR | Drawing List'!$G:$G,"AR-TXS-1",'AR | Drawing List'!P:P,1)</f>
        <v>0</v>
      </c>
      <c r="AW99" s="466"/>
      <c r="AX99" s="506">
        <f t="shared" ref="AX99:AX106" si="450">SUM(AY99:BB99)</f>
        <v>0</v>
      </c>
      <c r="AY99" s="506">
        <f>COUNTIFS('AR | Drawing List'!$G:$G,"AR-TXS-1",'AR | Drawing List'!R:R,1)</f>
        <v>0</v>
      </c>
      <c r="AZ99" s="506">
        <f>COUNTIFS('AR | Drawing List'!$G:$G,"AR-TXS-1",'AR | Drawing List'!S:S,1)</f>
        <v>0</v>
      </c>
      <c r="BA99" s="506">
        <f>COUNTIFS('AR | Drawing List'!$G:$G,"AR-TXS-1",'AR | Drawing List'!T:T,1)</f>
        <v>0</v>
      </c>
      <c r="BB99" s="506">
        <f>COUNTIFS('AR | Drawing List'!$G:$G,"AR-TXS-1",'AR | Drawing List'!U:U,1)</f>
        <v>0</v>
      </c>
      <c r="BC99" s="466"/>
      <c r="BD99" s="466"/>
      <c r="BE99" s="592">
        <v>0.1</v>
      </c>
      <c r="BF99" s="508"/>
      <c r="BG99" s="506">
        <f t="shared" ref="BG99:BG107" si="451">$BG$98/$BE$98*BE99</f>
        <v>0.15554106000000001</v>
      </c>
      <c r="BH99" s="510">
        <f t="shared" si="235"/>
        <v>0.15554106000000001</v>
      </c>
      <c r="BI99" s="514">
        <f t="shared" ref="BI99:BI107" si="452">IFERROR(IF(BV99=100%,BG99,0),0)</f>
        <v>0.15554106000000001</v>
      </c>
      <c r="BJ99" s="514">
        <f t="shared" ref="BJ99:BJ107" si="453">IFERROR(IF(AND((BV99+BW99)=100%,BV99&lt;1),BG99,0),0)</f>
        <v>0</v>
      </c>
      <c r="BK99" s="514">
        <f t="shared" ref="BK99:BK107" si="454">IFERROR(IF(AND((CA99+CC99)=BZ99,BI99=0),BG99,0),0)</f>
        <v>0</v>
      </c>
      <c r="BL99" s="514">
        <f t="shared" ref="BL99:BL107" si="455">IFERROR(IF(AND((CA99+CC99+CD99)=BZ99,BI99=0,BK99=0),BG99,0),0)</f>
        <v>0</v>
      </c>
      <c r="BM99" s="514">
        <f t="shared" ref="BM99:BM107" si="456">IFERROR(IF(AND((CA99+CC99+CD99+CE99)=BZ99,BI99=0,BK99=0,BL99=0),BG99,0),0)</f>
        <v>0</v>
      </c>
      <c r="BN99" s="514">
        <f t="shared" ref="BN99:BN107" si="457">IFERROR(IF(AND((CA99+CC99+CD99+CE99+CF99)=BZ99,BI99=0,BK99=0,BL99=0,BM99=0),BG99,0),0)</f>
        <v>0</v>
      </c>
      <c r="BO99" s="501"/>
      <c r="BP99" s="514">
        <f t="shared" ref="BP99:BP107" si="458">IFERROR(IF(AND((BV99+BX99)=100%,BV99&lt;1),BG99,0),0)</f>
        <v>0</v>
      </c>
      <c r="BQ99" s="514">
        <f t="shared" ref="BQ99:BQ107" si="459">IFERROR(IF(AND((CA99+CI99)=BZ99,BI99=0),BG99,0),0)</f>
        <v>0</v>
      </c>
      <c r="BR99" s="514">
        <f t="shared" ref="BR99:BR107" si="460">IFERROR(IF(AND((CA99+CI99+CJ99)=BZ99,BI99=0,BQ99=0),BG99,0),0)</f>
        <v>0</v>
      </c>
      <c r="BS99" s="514">
        <f t="shared" ref="BS99:BS107" si="461">IFERROR(IF(AND((CA99+CI99+CJ99+CK99)=BZ99,BI99=0,BQ99=0,BR99=0),BG99,0),0)</f>
        <v>0</v>
      </c>
      <c r="BT99" s="514">
        <f t="shared" ref="BT99:BT107" si="462">IFERROR(IF(AND((CA99+CI99+CJ99+CK99+CL99)=BZ99,BI99=0,BQ99=0,BR99=0,BS99=0),BG99,0),0)</f>
        <v>0</v>
      </c>
      <c r="BU99" s="501"/>
      <c r="BV99" s="571">
        <f t="shared" ref="BV99:BV107" si="463">IFERROR(CA99/BZ99,0)</f>
        <v>1</v>
      </c>
      <c r="BW99" s="571">
        <f t="shared" ref="BW99:BW107" si="464">IFERROR(CB99/BZ99,0)</f>
        <v>0</v>
      </c>
      <c r="BX99" s="571">
        <f t="shared" ref="BX99:BX107" si="465">IFERROR(CH99/BZ99,0)</f>
        <v>0</v>
      </c>
      <c r="BY99" s="505"/>
      <c r="BZ99" s="514">
        <f>COUNTIF('ST | Drawing List'!$G:$G,"ST-TXS-1")</f>
        <v>135</v>
      </c>
      <c r="CA99" s="506">
        <f>COUNTIFS('ST | Drawing List'!$G:$G,"ST-TXS-1",'ST | Drawing List'!$I:$I,1)</f>
        <v>135</v>
      </c>
      <c r="CB99" s="572">
        <f>COUNTIFS('ST | Drawing List'!$G:$G,"ST-TXS-1",'ST | Drawing List'!$K:$K,1)</f>
        <v>0</v>
      </c>
      <c r="CC99" s="506">
        <f>COUNTIFS('ST | Drawing List'!$G:$G,"ST-TXS-1",'ST | Drawing List'!L:L,1)</f>
        <v>0</v>
      </c>
      <c r="CD99" s="506">
        <f>COUNTIFS('ST | Drawing List'!$G:$G,"ST-TXS-1",'ST | Drawing List'!M:M,1)</f>
        <v>0</v>
      </c>
      <c r="CE99" s="506">
        <f>COUNTIFS('ST | Drawing List'!$G:$G,"ST-TXS-1",'ST | Drawing List'!N:N,1)</f>
        <v>0</v>
      </c>
      <c r="CF99" s="506">
        <f>COUNTIFS('ST | Drawing List'!$G:$G,"ST-TXS-1",'ST | Drawing List'!O:O,1)</f>
        <v>0</v>
      </c>
      <c r="CG99" s="471"/>
      <c r="CH99" s="572">
        <f>COUNTIFS('ST | Drawing List'!$G:$G,"ST-TXS-1",'ST | Drawing List'!$P:$P,1)</f>
        <v>0</v>
      </c>
      <c r="CI99" s="506">
        <f>COUNTIFS('ST | Drawing List'!$G:$G,"ST-TXS-1",'ST | Drawing List'!Q:Q,1)</f>
        <v>0</v>
      </c>
      <c r="CJ99" s="506">
        <f>COUNTIFS('ST | Drawing List'!$G:$G,"ST-TXS-1",'ST | Drawing List'!R:R,1)</f>
        <v>0</v>
      </c>
      <c r="CK99" s="506">
        <f>COUNTIFS('ST | Drawing List'!$G:$G,"ST-TXS-1",'ST | Drawing List'!S:S,1)</f>
        <v>0</v>
      </c>
      <c r="CL99" s="506">
        <f>COUNTIFS('ST | Drawing List'!$G:$G,"ST-TXS-1",'ST | Drawing List'!T:T,1)</f>
        <v>0</v>
      </c>
      <c r="CM99" s="508"/>
      <c r="CN99" s="508"/>
      <c r="CO99" s="511">
        <v>0.1</v>
      </c>
      <c r="CP99" s="508"/>
      <c r="CQ99" s="506">
        <f t="shared" ref="CQ99:CQ107" si="466">$CQ$98/$CO$98*CO99</f>
        <v>2.1340799999999997E-2</v>
      </c>
      <c r="CR99" s="510">
        <f t="shared" si="236"/>
        <v>2.1340799999999997E-2</v>
      </c>
      <c r="CS99" s="514">
        <f t="shared" ref="CS99:CS107" si="467">IFERROR(IF(DF99=100%,CQ99,0),0)</f>
        <v>2.1340799999999997E-2</v>
      </c>
      <c r="CT99" s="514">
        <f t="shared" ref="CT99:CT107" si="468">IFERROR(IF(AND((DF99+DG99)=100%,DF99&lt;1),CQ99,0),0)</f>
        <v>0</v>
      </c>
      <c r="CU99" s="514">
        <f t="shared" ref="CU99:CU107" si="469">IFERROR(IF(AND((DK99+DM99)=DJ99,CS99=0),CQ99,0),0)</f>
        <v>0</v>
      </c>
      <c r="CV99" s="514">
        <f t="shared" ref="CV99:CV107" si="470">IFERROR(IF(AND((DK99+DM99+DN99)=DJ99,CS99=0,CU99=0),CQ99,0),0)</f>
        <v>0</v>
      </c>
      <c r="CW99" s="514">
        <f t="shared" ref="CW99:CW107" si="471">IFERROR(IF(AND((DK99+DM99+DN99+DO99)=DJ99,CS99=0,CU99=0,CV99=0),CQ99,0),0)</f>
        <v>0</v>
      </c>
      <c r="CX99" s="514">
        <f t="shared" ref="CX99:CX107" si="472">IFERROR(IF(AND((DK99+DM99+DN99+DO99+DP99)=DJ99,CS99=0,CU99=0,CV99=0,CW99=0),CQ99,0),0)</f>
        <v>0</v>
      </c>
      <c r="CY99" s="501"/>
      <c r="CZ99" s="514">
        <f t="shared" ref="CZ99:CZ107" si="473">IFERROR(IF(AND((DF99+DH99)=100%,DF99&lt;1),CQ99,0),0)</f>
        <v>0</v>
      </c>
      <c r="DA99" s="514">
        <f t="shared" ref="DA99:DA107" si="474">IFERROR(IF(AND((DK99+DS99)=DJ99,CS99=0),CQ99,0),0)</f>
        <v>0</v>
      </c>
      <c r="DB99" s="514">
        <f t="shared" ref="DB99:DB107" si="475">IFERROR(IF(AND((DK99+DS99+DT99)=DJ99,CS99=0,DA99=0),CQ99,0),0)</f>
        <v>0</v>
      </c>
      <c r="DC99" s="514">
        <f t="shared" ref="DC99:DC107" si="476">IFERROR(IF(AND((DK99+DS99+DT99+DU99)=DJ99,CS99=0,DA99=0,DB99=0),CQ99,0),0)</f>
        <v>0</v>
      </c>
      <c r="DD99" s="514">
        <f t="shared" ref="DD99:DD107" si="477">IFERROR(IF(AND((DK99+DS99+DT99+DU99+DV99)=DJ99,CS99=0,DA99=0,DB99=0,DC99=0),CQ99,0),0)</f>
        <v>0</v>
      </c>
      <c r="DE99" s="501"/>
      <c r="DF99" s="570">
        <f t="shared" ref="DF99:DF107" si="478">IFERROR(DK99/DJ99,0)</f>
        <v>1</v>
      </c>
      <c r="DG99" s="570">
        <f t="shared" ref="DG99:DG107" si="479">IFERROR(DL99/DJ99,0)</f>
        <v>0</v>
      </c>
      <c r="DH99" s="570">
        <f t="shared" ref="DH99:DH107" si="480">IFERROR(DR99/DJ99,0)</f>
        <v>0</v>
      </c>
      <c r="DI99" s="505"/>
      <c r="DJ99" s="514">
        <f>COUNTIF('MEP | Drawing List'!$G:$G,"MEP-T2S-6S-1")</f>
        <v>25</v>
      </c>
      <c r="DK99" s="506">
        <f>COUNTIFS('MEP | Drawing List'!$G:$G,"MEP-T2S-6S-1",'MEP | Drawing List'!$I:$I,1)</f>
        <v>25</v>
      </c>
      <c r="DL99" s="506">
        <f>COUNTIFS('MEP | Drawing List'!$G:$G,"MEP-T2S-6S-1",'MEP | Drawing List'!$K:$K,1)</f>
        <v>0</v>
      </c>
      <c r="DM99" s="514">
        <f>COUNTIFS('MEP | Drawing List'!$G:$G,"MEP-T2S-6S-1",'MEP | Drawing List'!L:L,1)</f>
        <v>0</v>
      </c>
      <c r="DN99" s="514">
        <f>COUNTIFS('MEP | Drawing List'!$G:$G,"MEP-T2S-6S-1",'MEP | Drawing List'!M:M,1)</f>
        <v>0</v>
      </c>
      <c r="DO99" s="514">
        <f>COUNTIFS('MEP | Drawing List'!$G:$G,"MEP-T2S-6S-1",'MEP | Drawing List'!N:N,1)</f>
        <v>0</v>
      </c>
      <c r="DP99" s="514">
        <f>COUNTIFS('MEP | Drawing List'!$G:$G,"MEP-T2S-6S-1",'MEP | Drawing List'!O:O,1)</f>
        <v>0</v>
      </c>
      <c r="DQ99" s="501"/>
      <c r="DR99" s="506">
        <f>COUNTIFS('MEP | Drawing List'!$G:$G,"MEP-T2S-6S-1",'MEP | Drawing List'!$P:$P,1)</f>
        <v>0</v>
      </c>
      <c r="DS99" s="514">
        <f>COUNTIFS('MEP | Drawing List'!$G:$G,"MEP-T2S-6S-1",'MEP | Drawing List'!Q:Q,1)</f>
        <v>0</v>
      </c>
      <c r="DT99" s="514">
        <f>COUNTIFS('MEP | Drawing List'!$G:$G,"MEP-T2S-6S-1",'MEP | Drawing List'!R:R,1)</f>
        <v>0</v>
      </c>
      <c r="DU99" s="514">
        <f>COUNTIFS('MEP | Drawing List'!$G:$G,"MEP-T2S-6S-1",'MEP | Drawing List'!S:S,1)</f>
        <v>0</v>
      </c>
      <c r="DV99" s="514">
        <f>COUNTIFS('MEP | Drawing List'!$G:$G,"MEP-T2S-6S-1",'MEP | Drawing List'!T:T,1)</f>
        <v>0</v>
      </c>
      <c r="DW99" s="508"/>
      <c r="DX99" s="508"/>
      <c r="DY99" s="592">
        <v>0</v>
      </c>
      <c r="DZ99" s="508"/>
      <c r="EA99" s="506">
        <f t="shared" ref="EA99:EA107" si="481">$EA$98/$DY$98*DY99</f>
        <v>0</v>
      </c>
      <c r="EB99" s="510">
        <f t="shared" si="237"/>
        <v>0</v>
      </c>
      <c r="EC99" s="514">
        <f t="shared" ref="EC99:EC107" si="482">IFERROR(IF(EP99=100%,EA99,0),0)</f>
        <v>0</v>
      </c>
      <c r="ED99" s="514">
        <f t="shared" ref="ED99:ED107" si="483">IFERROR(IF(AND((EP99+EQ99)=100%,EP99&lt;1),EA99,0),0)</f>
        <v>0</v>
      </c>
      <c r="EE99" s="514">
        <f t="shared" ref="EE99:EE107" si="484">IFERROR(IF(AND((EU99+EW99)=ET99,EC99=0),EA99,0),0)</f>
        <v>0</v>
      </c>
      <c r="EF99" s="514">
        <f t="shared" ref="EF99:EF107" si="485">IFERROR(IF(AND((EU99+EW99+EX99)=ET99,EC99=0,EE99=0),EA99,0),0)</f>
        <v>0</v>
      </c>
      <c r="EG99" s="514">
        <f t="shared" ref="EG99:EG107" si="486">IFERROR(IF(AND((EU99+EW99+EX99+EY99)=ET99,EC99=0,EE99=0,EF99=0),EA99,0),0)</f>
        <v>0</v>
      </c>
      <c r="EH99" s="514">
        <f t="shared" ref="EH99:EH107" si="487">IFERROR(IF(AND((EU99+EW99+EX99+EY99+EZ99)=ET99,EC99=0,EE99=0,EF99=0,EG99=0),EA99,0),0)</f>
        <v>0</v>
      </c>
      <c r="EI99" s="501"/>
      <c r="EJ99" s="567">
        <f t="shared" ref="EJ99:EJ107" si="488">IFERROR(IF(AND((EP99+ER99)=100%,EP99&lt;1),EA99,0),0)</f>
        <v>0</v>
      </c>
      <c r="EK99" s="514">
        <f t="shared" ref="EK99:EK107" si="489">IFERROR(IF(AND((EU99+FC99)=ET99,EC99=0),EA99,0),0)</f>
        <v>0</v>
      </c>
      <c r="EL99" s="514">
        <f t="shared" ref="EL99:EL107" si="490">IFERROR(IF(AND((EU99+FC99+FD99)=ET99,EC99=0,EK99=0),EA99,0),0)</f>
        <v>0</v>
      </c>
      <c r="EM99" s="514">
        <f t="shared" ref="EM99:EM107" si="491">IFERROR(IF(AND((EU99+FC99+FD99+FE99)=ET99,EC99=0,EK99=0,EL99=0),EA99,0),0)</f>
        <v>0</v>
      </c>
      <c r="EN99" s="514">
        <f t="shared" ref="EN99:EN107" si="492">IFERROR(IF(AND((EU99+FC99+FD99+FE99+FF99)=ET99,EC99=0,EK99=0,EL99=0,EM99=0),EA99,0),0)</f>
        <v>0</v>
      </c>
      <c r="EO99" s="501"/>
      <c r="EP99" s="585">
        <f t="shared" ref="EP99:EP107" si="493">IFERROR(EU99/ET99,0)</f>
        <v>0</v>
      </c>
      <c r="EQ99" s="585">
        <f t="shared" ref="EQ99:EQ107" si="494">IFERROR(EV99/ET99,0)</f>
        <v>0</v>
      </c>
      <c r="ER99" s="585">
        <f t="shared" ref="ER99:ER107" si="495">IFERROR(FB99/ET99,0)</f>
        <v>0</v>
      </c>
      <c r="ES99" s="516"/>
      <c r="ET99" s="514">
        <f>COUNTIF('LS | Drawing List'!$G:$G,"LS-TXS-1")</f>
        <v>0</v>
      </c>
      <c r="EU99" s="506">
        <f>COUNTIFS('LS | Drawing List'!$G:$G,"LS-TXS-1",'LS | Drawing List'!$I:$I,1)</f>
        <v>0</v>
      </c>
      <c r="EV99" s="506">
        <f>COUNTIFS('LS | Drawing List'!$G:$G,"LS-TXS-1",'LS | Drawing List'!$K:$K,1)</f>
        <v>0</v>
      </c>
      <c r="EW99" s="514">
        <f>COUNTIFS('LS | Drawing List'!$G:$G,"LS-TXS-1",'LS | Drawing List'!L:L,1)</f>
        <v>0</v>
      </c>
      <c r="EX99" s="514">
        <f>COUNTIFS('LS | Drawing List'!$G:$G,"LS-TXS-1",'LS | Drawing List'!M:M,1)</f>
        <v>0</v>
      </c>
      <c r="EY99" s="514">
        <f>COUNTIFS('LS | Drawing List'!$G:$G,"LS-TXS-1",'LS | Drawing List'!N:N,1)</f>
        <v>0</v>
      </c>
      <c r="EZ99" s="514">
        <f>COUNTIFS('LS | Drawing List'!$G:$G,"LS-TXS-1",'LS | Drawing List'!O:O,1)</f>
        <v>0</v>
      </c>
      <c r="FA99" s="515"/>
      <c r="FB99" s="506">
        <f>COUNTIFS('LS | Drawing List'!$G:$G,"LS-TXS-1",'LS | Drawing List'!$P:$P,1)</f>
        <v>0</v>
      </c>
      <c r="FC99" s="514">
        <f>COUNTIFS('LS | Drawing List'!$G:$G,"LS-TXS-1",'LS | Drawing List'!Q:Q,1)</f>
        <v>0</v>
      </c>
      <c r="FD99" s="514">
        <f>COUNTIFS('LS | Drawing List'!$G:$G,"LS-TXS-1",'LS | Drawing List'!R:R,1)</f>
        <v>0</v>
      </c>
      <c r="FE99" s="514">
        <f>COUNTIFS('LS | Drawing List'!$G:$G,"LS-TXS-1",'LS | Drawing List'!S:S,1)</f>
        <v>0</v>
      </c>
      <c r="FF99" s="514">
        <f>COUNTIFS('LS | Drawing List'!$G:$G,"LS-TXS-1",'LS | Drawing List'!T:T,1)</f>
        <v>0</v>
      </c>
    </row>
    <row r="100" spans="2:162" ht="14.25" outlineLevel="2">
      <c r="B100" s="564" t="s">
        <v>108</v>
      </c>
      <c r="C100" s="565">
        <v>2</v>
      </c>
      <c r="D100" s="566" t="s">
        <v>54</v>
      </c>
      <c r="F100" s="500">
        <f t="shared" si="432"/>
        <v>0.15554106000000001</v>
      </c>
      <c r="G100" s="500">
        <f t="shared" si="433"/>
        <v>0.15554106000000001</v>
      </c>
      <c r="H100" s="514">
        <f t="shared" si="434"/>
        <v>0</v>
      </c>
      <c r="I100" s="514">
        <f t="shared" si="407"/>
        <v>0</v>
      </c>
      <c r="J100" s="514">
        <f t="shared" si="408"/>
        <v>0</v>
      </c>
      <c r="K100" s="514">
        <f t="shared" si="409"/>
        <v>0</v>
      </c>
      <c r="L100" s="514">
        <f t="shared" si="410"/>
        <v>0</v>
      </c>
      <c r="M100" s="567">
        <f t="shared" si="411"/>
        <v>0</v>
      </c>
      <c r="N100" s="568"/>
      <c r="O100" s="514">
        <f t="shared" si="412"/>
        <v>0</v>
      </c>
      <c r="P100" s="514">
        <f t="shared" si="413"/>
        <v>0</v>
      </c>
      <c r="Q100" s="514">
        <f t="shared" si="414"/>
        <v>0</v>
      </c>
      <c r="R100" s="514">
        <f t="shared" si="415"/>
        <v>0</v>
      </c>
      <c r="S100" s="514">
        <f t="shared" si="416"/>
        <v>0</v>
      </c>
      <c r="U100" s="609">
        <v>0</v>
      </c>
      <c r="V100" s="503"/>
      <c r="W100" s="500">
        <f t="shared" si="435"/>
        <v>0</v>
      </c>
      <c r="X100" s="500">
        <f t="shared" si="234"/>
        <v>0</v>
      </c>
      <c r="Y100" s="514">
        <f t="shared" si="436"/>
        <v>0</v>
      </c>
      <c r="Z100" s="514">
        <f t="shared" si="437"/>
        <v>0</v>
      </c>
      <c r="AA100" s="514">
        <f t="shared" si="438"/>
        <v>0</v>
      </c>
      <c r="AB100" s="514">
        <f t="shared" si="439"/>
        <v>0</v>
      </c>
      <c r="AC100" s="514">
        <f t="shared" si="440"/>
        <v>0</v>
      </c>
      <c r="AD100" s="567">
        <f t="shared" si="441"/>
        <v>0</v>
      </c>
      <c r="AE100" s="568"/>
      <c r="AF100" s="514">
        <f t="shared" si="442"/>
        <v>0</v>
      </c>
      <c r="AG100" s="514">
        <f t="shared" si="443"/>
        <v>0</v>
      </c>
      <c r="AH100" s="514">
        <f t="shared" si="444"/>
        <v>0</v>
      </c>
      <c r="AI100" s="514">
        <f t="shared" si="445"/>
        <v>0</v>
      </c>
      <c r="AJ100" s="514">
        <f t="shared" si="446"/>
        <v>0</v>
      </c>
      <c r="AK100" s="501"/>
      <c r="AL100" s="570">
        <f t="shared" si="447"/>
        <v>1</v>
      </c>
      <c r="AM100" s="570">
        <f t="shared" si="448"/>
        <v>0</v>
      </c>
      <c r="AN100" s="570">
        <f t="shared" si="449"/>
        <v>0</v>
      </c>
      <c r="AO100" s="505"/>
      <c r="AP100" s="514">
        <f>COUNTIF('AR | Drawing List'!$G:$G,"AR-TXS-2")</f>
        <v>2</v>
      </c>
      <c r="AQ100" s="506">
        <f>COUNTIFS('AR | Drawing List'!$G:$G,"AR-TXS-2",'AR | Drawing List'!$I:$I,1)</f>
        <v>2</v>
      </c>
      <c r="AR100" s="506">
        <f t="shared" si="238"/>
        <v>0</v>
      </c>
      <c r="AS100" s="506">
        <f>COUNTIFS('AR | Drawing List'!$G:$G,"AR-TXS-2",'AR | Drawing List'!M:M,1)</f>
        <v>0</v>
      </c>
      <c r="AT100" s="506">
        <f>COUNTIFS('AR | Drawing List'!$G:$G,"AR-TXS-2",'AR | Drawing List'!N:N,1)</f>
        <v>0</v>
      </c>
      <c r="AU100" s="506">
        <f>COUNTIFS('AR | Drawing List'!$G:$G,"AR-TXS-2",'AR | Drawing List'!O:O,1)</f>
        <v>0</v>
      </c>
      <c r="AV100" s="506">
        <f>COUNTIFS('AR | Drawing List'!$G:$G,"AR-TXS-2",'AR | Drawing List'!P:P,1)</f>
        <v>0</v>
      </c>
      <c r="AW100" s="466"/>
      <c r="AX100" s="506">
        <f t="shared" si="450"/>
        <v>0</v>
      </c>
      <c r="AY100" s="506">
        <f>COUNTIFS('AR | Drawing List'!$G:$G,"AR-TXS-2",'AR | Drawing List'!R:R,1)</f>
        <v>0</v>
      </c>
      <c r="AZ100" s="506">
        <f>COUNTIFS('AR | Drawing List'!$G:$G,"AR-TXS-2",'AR | Drawing List'!S:S,1)</f>
        <v>0</v>
      </c>
      <c r="BA100" s="506">
        <f>COUNTIFS('AR | Drawing List'!$G:$G,"AR-TXS-2",'AR | Drawing List'!T:T,1)</f>
        <v>0</v>
      </c>
      <c r="BB100" s="506">
        <f>COUNTIFS('AR | Drawing List'!$G:$G,"AR-TXS-2",'AR | Drawing List'!U:U,1)</f>
        <v>0</v>
      </c>
      <c r="BC100" s="551"/>
      <c r="BD100" s="551"/>
      <c r="BE100" s="511">
        <v>0.1</v>
      </c>
      <c r="BF100" s="508"/>
      <c r="BG100" s="506">
        <f t="shared" si="451"/>
        <v>0.15554106000000001</v>
      </c>
      <c r="BH100" s="510">
        <f t="shared" si="235"/>
        <v>0.15554106000000001</v>
      </c>
      <c r="BI100" s="514">
        <f t="shared" si="452"/>
        <v>0.15554106000000001</v>
      </c>
      <c r="BJ100" s="514">
        <f t="shared" si="453"/>
        <v>0</v>
      </c>
      <c r="BK100" s="514">
        <f t="shared" si="454"/>
        <v>0</v>
      </c>
      <c r="BL100" s="514">
        <f t="shared" si="455"/>
        <v>0</v>
      </c>
      <c r="BM100" s="514">
        <f t="shared" si="456"/>
        <v>0</v>
      </c>
      <c r="BN100" s="514">
        <f t="shared" si="457"/>
        <v>0</v>
      </c>
      <c r="BO100" s="501"/>
      <c r="BP100" s="514">
        <f t="shared" si="458"/>
        <v>0</v>
      </c>
      <c r="BQ100" s="514">
        <f t="shared" si="459"/>
        <v>0</v>
      </c>
      <c r="BR100" s="514">
        <f t="shared" si="460"/>
        <v>0</v>
      </c>
      <c r="BS100" s="514">
        <f t="shared" si="461"/>
        <v>0</v>
      </c>
      <c r="BT100" s="514">
        <f t="shared" si="462"/>
        <v>0</v>
      </c>
      <c r="BU100" s="501"/>
      <c r="BV100" s="571">
        <f t="shared" si="463"/>
        <v>1</v>
      </c>
      <c r="BW100" s="571">
        <f t="shared" si="464"/>
        <v>0</v>
      </c>
      <c r="BX100" s="571">
        <f t="shared" si="465"/>
        <v>0</v>
      </c>
      <c r="BY100" s="518"/>
      <c r="BZ100" s="514">
        <f>COUNTIF('ST | Drawing List'!$G:$G,"ST-TXS-2")</f>
        <v>113</v>
      </c>
      <c r="CA100" s="506">
        <f>COUNTIFS('ST | Drawing List'!$G:$G,"ST-TXS-2",'ST | Drawing List'!$I:$I,1)</f>
        <v>113</v>
      </c>
      <c r="CB100" s="572">
        <f>COUNTIFS('ST | Drawing List'!$G:$G,"ST-TXS-2",'ST | Drawing List'!$K:$K,1)</f>
        <v>0</v>
      </c>
      <c r="CC100" s="506">
        <f>COUNTIFS('ST | Drawing List'!$G:$G,"ST-TXS-2",'ST | Drawing List'!L:L,1)</f>
        <v>0</v>
      </c>
      <c r="CD100" s="506">
        <f>COUNTIFS('ST | Drawing List'!$G:$G,"ST-TXS-2",'ST | Drawing List'!M:M,1)</f>
        <v>0</v>
      </c>
      <c r="CE100" s="506">
        <f>COUNTIFS('ST | Drawing List'!$G:$G,"ST-TXS-2",'ST | Drawing List'!N:N,1)</f>
        <v>0</v>
      </c>
      <c r="CF100" s="506">
        <f>COUNTIFS('ST | Drawing List'!$G:$G,"ST-TXS-2",'ST | Drawing List'!O:O,1)</f>
        <v>0</v>
      </c>
      <c r="CG100" s="471"/>
      <c r="CH100" s="572">
        <f>COUNTIFS('ST | Drawing List'!$G:$G,"ST-TXS-2",'ST | Drawing List'!$P:$P,1)</f>
        <v>0</v>
      </c>
      <c r="CI100" s="506">
        <f>COUNTIFS('ST | Drawing List'!$G:$G,"ST-TXS-2",'ST | Drawing List'!Q:Q,1)</f>
        <v>0</v>
      </c>
      <c r="CJ100" s="506">
        <f>COUNTIFS('ST | Drawing List'!$G:$G,"ST-TXS-2",'ST | Drawing List'!R:R,1)</f>
        <v>0</v>
      </c>
      <c r="CK100" s="506">
        <f>COUNTIFS('ST | Drawing List'!$G:$G,"ST-TXS-2",'ST | Drawing List'!S:S,1)</f>
        <v>0</v>
      </c>
      <c r="CL100" s="506">
        <f>COUNTIFS('ST | Drawing List'!$G:$G,"ST-TXS-2",'ST | Drawing List'!T:T,1)</f>
        <v>0</v>
      </c>
      <c r="CM100" s="508"/>
      <c r="CN100" s="508"/>
      <c r="CO100" s="576">
        <v>0</v>
      </c>
      <c r="CP100" s="508"/>
      <c r="CQ100" s="506">
        <f t="shared" si="466"/>
        <v>0</v>
      </c>
      <c r="CR100" s="510">
        <f t="shared" si="236"/>
        <v>0</v>
      </c>
      <c r="CS100" s="514">
        <f t="shared" si="467"/>
        <v>0</v>
      </c>
      <c r="CT100" s="514">
        <f t="shared" si="468"/>
        <v>0</v>
      </c>
      <c r="CU100" s="514">
        <f t="shared" si="469"/>
        <v>0</v>
      </c>
      <c r="CV100" s="514">
        <f t="shared" si="470"/>
        <v>0</v>
      </c>
      <c r="CW100" s="514">
        <f t="shared" si="471"/>
        <v>0</v>
      </c>
      <c r="CX100" s="514">
        <f t="shared" si="472"/>
        <v>0</v>
      </c>
      <c r="CY100" s="501"/>
      <c r="CZ100" s="514">
        <f t="shared" si="473"/>
        <v>0</v>
      </c>
      <c r="DA100" s="514">
        <f t="shared" si="474"/>
        <v>0</v>
      </c>
      <c r="DB100" s="514">
        <f t="shared" si="475"/>
        <v>0</v>
      </c>
      <c r="DC100" s="514">
        <f t="shared" si="476"/>
        <v>0</v>
      </c>
      <c r="DD100" s="514">
        <f t="shared" si="477"/>
        <v>0</v>
      </c>
      <c r="DE100" s="501"/>
      <c r="DF100" s="570">
        <f t="shared" si="478"/>
        <v>1</v>
      </c>
      <c r="DG100" s="570">
        <f t="shared" si="479"/>
        <v>0</v>
      </c>
      <c r="DH100" s="570">
        <f t="shared" si="480"/>
        <v>0</v>
      </c>
      <c r="DI100" s="518"/>
      <c r="DJ100" s="514">
        <f>COUNTIF('MEP | Drawing List'!$G:$G,"MEP-T2S-6S-2")</f>
        <v>1</v>
      </c>
      <c r="DK100" s="506">
        <f>COUNTIFS('MEP | Drawing List'!$G:$G,"MEP-T2S-6S-2",'MEP | Drawing List'!$I:$I,1)</f>
        <v>1</v>
      </c>
      <c r="DL100" s="506">
        <f>COUNTIFS('MEP | Drawing List'!$G:$G,"MEP-T2S-6S-2",'MEP | Drawing List'!$K:$K,1)</f>
        <v>0</v>
      </c>
      <c r="DM100" s="514">
        <f>COUNTIFS('MEP | Drawing List'!$G:$G,"MEP-T2S-6S-2",'MEP | Drawing List'!L:L,1)</f>
        <v>0</v>
      </c>
      <c r="DN100" s="514">
        <f>COUNTIFS('MEP | Drawing List'!$G:$G,"MEP-T2S-6S-2",'MEP | Drawing List'!M:M,1)</f>
        <v>0</v>
      </c>
      <c r="DO100" s="514">
        <f>COUNTIFS('MEP | Drawing List'!$G:$G,"MEP-T2S-6S-2",'MEP | Drawing List'!N:N,1)</f>
        <v>0</v>
      </c>
      <c r="DP100" s="514">
        <f>COUNTIFS('MEP | Drawing List'!$G:$G,"MEP-T2S-6S-2",'MEP | Drawing List'!O:O,1)</f>
        <v>0</v>
      </c>
      <c r="DQ100" s="501"/>
      <c r="DR100" s="506">
        <f>COUNTIFS('MEP | Drawing List'!$G:$G,"MEP-T2S-6S-2",'MEP | Drawing List'!$P:$P,1)</f>
        <v>0</v>
      </c>
      <c r="DS100" s="514">
        <f>COUNTIFS('MEP | Drawing List'!$G:$G,"MEP-T2S-6S-2",'MEP | Drawing List'!Q:Q,1)</f>
        <v>0</v>
      </c>
      <c r="DT100" s="514">
        <f>COUNTIFS('MEP | Drawing List'!$G:$G,"MEP-T2S-6S-2",'MEP | Drawing List'!R:R,1)</f>
        <v>0</v>
      </c>
      <c r="DU100" s="514">
        <f>COUNTIFS('MEP | Drawing List'!$G:$G,"MEP-T2S-6S-2",'MEP | Drawing List'!S:S,1)</f>
        <v>0</v>
      </c>
      <c r="DV100" s="514">
        <f>COUNTIFS('MEP | Drawing List'!$G:$G,"MEP-T2S-6S-2",'MEP | Drawing List'!T:T,1)</f>
        <v>0</v>
      </c>
      <c r="DW100" s="508"/>
      <c r="DX100" s="508"/>
      <c r="DY100" s="470">
        <v>0</v>
      </c>
      <c r="DZ100" s="508"/>
      <c r="EA100" s="506">
        <f t="shared" si="481"/>
        <v>0</v>
      </c>
      <c r="EB100" s="510">
        <f t="shared" si="237"/>
        <v>0</v>
      </c>
      <c r="EC100" s="514">
        <f t="shared" si="482"/>
        <v>0</v>
      </c>
      <c r="ED100" s="514">
        <f t="shared" si="483"/>
        <v>0</v>
      </c>
      <c r="EE100" s="514">
        <f t="shared" si="484"/>
        <v>0</v>
      </c>
      <c r="EF100" s="514">
        <f t="shared" si="485"/>
        <v>0</v>
      </c>
      <c r="EG100" s="514">
        <f t="shared" si="486"/>
        <v>0</v>
      </c>
      <c r="EH100" s="514">
        <f t="shared" si="487"/>
        <v>0</v>
      </c>
      <c r="EI100" s="501"/>
      <c r="EJ100" s="567">
        <f t="shared" si="488"/>
        <v>0</v>
      </c>
      <c r="EK100" s="514">
        <f t="shared" si="489"/>
        <v>0</v>
      </c>
      <c r="EL100" s="514">
        <f t="shared" si="490"/>
        <v>0</v>
      </c>
      <c r="EM100" s="514">
        <f t="shared" si="491"/>
        <v>0</v>
      </c>
      <c r="EN100" s="514">
        <f t="shared" si="492"/>
        <v>0</v>
      </c>
      <c r="EO100" s="501"/>
      <c r="EP100" s="585">
        <f t="shared" si="493"/>
        <v>0</v>
      </c>
      <c r="EQ100" s="585">
        <f t="shared" si="494"/>
        <v>0</v>
      </c>
      <c r="ER100" s="585">
        <f t="shared" si="495"/>
        <v>0</v>
      </c>
      <c r="ET100" s="514">
        <f>COUNTIF('LS | Drawing List'!$G:$G,"LS-TXS-2")</f>
        <v>0</v>
      </c>
      <c r="EU100" s="506">
        <f>COUNTIFS('LS | Drawing List'!$G:$G,"LS-TXS-2",'LS | Drawing List'!$I:$I,1)</f>
        <v>0</v>
      </c>
      <c r="EV100" s="506">
        <f>COUNTIFS('LS | Drawing List'!$G:$G,"LS-TXS-2",'LS | Drawing List'!$K:$K,1)</f>
        <v>0</v>
      </c>
      <c r="EW100" s="514">
        <f>COUNTIFS('LS | Drawing List'!$G:$G,"LS-TXS-2",'LS | Drawing List'!L:L,1)</f>
        <v>0</v>
      </c>
      <c r="EX100" s="514">
        <f>COUNTIFS('LS | Drawing List'!$G:$G,"LS-TXS-2",'LS | Drawing List'!M:M,1)</f>
        <v>0</v>
      </c>
      <c r="EY100" s="514">
        <f>COUNTIFS('LS | Drawing List'!$G:$G,"LS-TXS-2",'LS | Drawing List'!N:N,1)</f>
        <v>0</v>
      </c>
      <c r="EZ100" s="514">
        <f>COUNTIFS('LS | Drawing List'!$G:$G,"LS-TXS-2",'LS | Drawing List'!O:O,1)</f>
        <v>0</v>
      </c>
      <c r="FA100" s="515"/>
      <c r="FB100" s="506">
        <f>COUNTIFS('LS | Drawing List'!$G:$G,"LS-TXS-2",'LS | Drawing List'!$P:$P,1)</f>
        <v>0</v>
      </c>
      <c r="FC100" s="514">
        <f>COUNTIFS('LS | Drawing List'!$G:$G,"LS-TXS-2",'LS | Drawing List'!Q:Q,1)</f>
        <v>0</v>
      </c>
      <c r="FD100" s="514">
        <f>COUNTIFS('LS | Drawing List'!$G:$G,"LS-TXS-2",'LS | Drawing List'!R:R,1)</f>
        <v>0</v>
      </c>
      <c r="FE100" s="514">
        <f>COUNTIFS('LS | Drawing List'!$G:$G,"LS-TXS-2",'LS | Drawing List'!S:S,1)</f>
        <v>0</v>
      </c>
      <c r="FF100" s="514">
        <f>COUNTIFS('LS | Drawing List'!$G:$G,"LS-TXS-2",'LS | Drawing List'!T:T,1)</f>
        <v>0</v>
      </c>
    </row>
    <row r="101" spans="2:162" ht="14.25" outlineLevel="2">
      <c r="B101" s="564" t="s">
        <v>109</v>
      </c>
      <c r="C101" s="565">
        <v>3</v>
      </c>
      <c r="D101" s="566" t="s">
        <v>56</v>
      </c>
      <c r="F101" s="500">
        <f t="shared" si="432"/>
        <v>0.37186560000000002</v>
      </c>
      <c r="G101" s="500">
        <f t="shared" si="433"/>
        <v>0.37186560000000002</v>
      </c>
      <c r="H101" s="514">
        <f t="shared" si="434"/>
        <v>0</v>
      </c>
      <c r="I101" s="514">
        <f t="shared" si="407"/>
        <v>0</v>
      </c>
      <c r="J101" s="514">
        <f t="shared" si="408"/>
        <v>0</v>
      </c>
      <c r="K101" s="514">
        <f t="shared" si="409"/>
        <v>0</v>
      </c>
      <c r="L101" s="514">
        <f t="shared" si="410"/>
        <v>0</v>
      </c>
      <c r="M101" s="567">
        <f t="shared" si="411"/>
        <v>0</v>
      </c>
      <c r="N101" s="568"/>
      <c r="O101" s="514">
        <f t="shared" si="412"/>
        <v>0</v>
      </c>
      <c r="P101" s="514">
        <f t="shared" si="413"/>
        <v>0</v>
      </c>
      <c r="Q101" s="514">
        <f t="shared" si="414"/>
        <v>0</v>
      </c>
      <c r="R101" s="514">
        <f t="shared" si="415"/>
        <v>0</v>
      </c>
      <c r="S101" s="514">
        <f t="shared" si="416"/>
        <v>0</v>
      </c>
      <c r="U101" s="569">
        <v>0.1</v>
      </c>
      <c r="V101" s="503"/>
      <c r="W101" s="500">
        <f t="shared" si="435"/>
        <v>0.37186560000000002</v>
      </c>
      <c r="X101" s="500">
        <f t="shared" si="234"/>
        <v>0.37186560000000002</v>
      </c>
      <c r="Y101" s="514">
        <f t="shared" si="436"/>
        <v>0.37186560000000002</v>
      </c>
      <c r="Z101" s="514">
        <f t="shared" si="437"/>
        <v>0</v>
      </c>
      <c r="AA101" s="514">
        <f t="shared" si="438"/>
        <v>0</v>
      </c>
      <c r="AB101" s="514">
        <f t="shared" si="439"/>
        <v>0</v>
      </c>
      <c r="AC101" s="514">
        <f t="shared" si="440"/>
        <v>0</v>
      </c>
      <c r="AD101" s="567">
        <f t="shared" si="441"/>
        <v>0</v>
      </c>
      <c r="AE101" s="568"/>
      <c r="AF101" s="514">
        <f t="shared" si="442"/>
        <v>0</v>
      </c>
      <c r="AG101" s="514">
        <f t="shared" si="443"/>
        <v>0</v>
      </c>
      <c r="AH101" s="514">
        <f t="shared" si="444"/>
        <v>0</v>
      </c>
      <c r="AI101" s="514">
        <f t="shared" si="445"/>
        <v>0</v>
      </c>
      <c r="AJ101" s="514">
        <f t="shared" si="446"/>
        <v>0</v>
      </c>
      <c r="AK101" s="501"/>
      <c r="AL101" s="570">
        <f t="shared" si="447"/>
        <v>1</v>
      </c>
      <c r="AM101" s="570">
        <f t="shared" si="448"/>
        <v>0</v>
      </c>
      <c r="AN101" s="570">
        <f t="shared" si="449"/>
        <v>0</v>
      </c>
      <c r="AO101" s="505"/>
      <c r="AP101" s="514">
        <f>COUNTIF('AR | Drawing List'!$G:$G,"AR-TXS-3")</f>
        <v>1</v>
      </c>
      <c r="AQ101" s="506">
        <f>COUNTIFS('AR | Drawing List'!$G:$G,"AR-TXS-3",'AR | Drawing List'!$I:$I,1)</f>
        <v>1</v>
      </c>
      <c r="AR101" s="506">
        <f t="shared" si="238"/>
        <v>0</v>
      </c>
      <c r="AS101" s="506">
        <f>COUNTIFS('AR | Drawing List'!$G:$G,"AR-TXS-3",'AR | Drawing List'!M:M,1)</f>
        <v>0</v>
      </c>
      <c r="AT101" s="506">
        <f>COUNTIFS('AR | Drawing List'!$G:$G,"AR-TXS-3",'AR | Drawing List'!N:N,1)</f>
        <v>0</v>
      </c>
      <c r="AU101" s="506">
        <f>COUNTIFS('AR | Drawing List'!$G:$G,"AR-TXS-3",'AR | Drawing List'!O:O,1)</f>
        <v>0</v>
      </c>
      <c r="AV101" s="506">
        <f>COUNTIFS('AR | Drawing List'!$G:$G,"AR-TXS-3",'AR | Drawing List'!P:P,1)</f>
        <v>0</v>
      </c>
      <c r="AW101" s="466"/>
      <c r="AX101" s="506">
        <f t="shared" si="450"/>
        <v>0</v>
      </c>
      <c r="AY101" s="506">
        <f>COUNTIFS('AR | Drawing List'!$G:$G,"AR-TXS-3",'AR | Drawing List'!R:R,1)</f>
        <v>0</v>
      </c>
      <c r="AZ101" s="506">
        <f>COUNTIFS('AR | Drawing List'!$G:$G,"AR-TXS-3",'AR | Drawing List'!S:S,1)</f>
        <v>0</v>
      </c>
      <c r="BA101" s="506">
        <f>COUNTIFS('AR | Drawing List'!$G:$G,"AR-TXS-3",'AR | Drawing List'!T:T,1)</f>
        <v>0</v>
      </c>
      <c r="BB101" s="506">
        <f>COUNTIFS('AR | Drawing List'!$G:$G,"AR-TXS-3",'AR | Drawing List'!U:U,1)</f>
        <v>0</v>
      </c>
      <c r="BC101" s="551"/>
      <c r="BD101" s="551"/>
      <c r="BE101" s="576">
        <v>0</v>
      </c>
      <c r="BF101" s="508"/>
      <c r="BG101" s="506">
        <f t="shared" si="451"/>
        <v>0</v>
      </c>
      <c r="BH101" s="510">
        <f t="shared" si="235"/>
        <v>0</v>
      </c>
      <c r="BI101" s="514">
        <f t="shared" si="452"/>
        <v>0</v>
      </c>
      <c r="BJ101" s="514">
        <f t="shared" si="453"/>
        <v>0</v>
      </c>
      <c r="BK101" s="514">
        <f t="shared" si="454"/>
        <v>0</v>
      </c>
      <c r="BL101" s="514">
        <f t="shared" si="455"/>
        <v>0</v>
      </c>
      <c r="BM101" s="514">
        <f t="shared" si="456"/>
        <v>0</v>
      </c>
      <c r="BN101" s="514">
        <f t="shared" si="457"/>
        <v>0</v>
      </c>
      <c r="BO101" s="501"/>
      <c r="BP101" s="514">
        <f t="shared" si="458"/>
        <v>0</v>
      </c>
      <c r="BQ101" s="514">
        <f t="shared" si="459"/>
        <v>0</v>
      </c>
      <c r="BR101" s="514">
        <f t="shared" si="460"/>
        <v>0</v>
      </c>
      <c r="BS101" s="514">
        <f t="shared" si="461"/>
        <v>0</v>
      </c>
      <c r="BT101" s="514">
        <f t="shared" si="462"/>
        <v>0</v>
      </c>
      <c r="BU101" s="501"/>
      <c r="BV101" s="571">
        <f t="shared" si="463"/>
        <v>0</v>
      </c>
      <c r="BW101" s="571">
        <f t="shared" si="464"/>
        <v>0</v>
      </c>
      <c r="BX101" s="571">
        <f t="shared" si="465"/>
        <v>0</v>
      </c>
      <c r="BY101" s="520"/>
      <c r="BZ101" s="514">
        <f>COUNTIF('ST | Drawing List'!$G:$G,"ST-TXS-3")</f>
        <v>0</v>
      </c>
      <c r="CA101" s="506">
        <f>COUNTIFS('ST | Drawing List'!$G:$G,"ST-TXS-3",'ST | Drawing List'!$I:$I,1)</f>
        <v>0</v>
      </c>
      <c r="CB101" s="572">
        <f>COUNTIFS('ST | Drawing List'!$G:$G,"ST-TXS-3",'ST | Drawing List'!$K:$K,1)</f>
        <v>0</v>
      </c>
      <c r="CC101" s="506">
        <f>COUNTIFS('ST | Drawing List'!$G:$G,"ST-TXS-3",'ST | Drawing List'!L:L,1)</f>
        <v>0</v>
      </c>
      <c r="CD101" s="506">
        <f>COUNTIFS('ST | Drawing List'!$G:$G,"ST-TXS-3",'ST | Drawing List'!M:M,1)</f>
        <v>0</v>
      </c>
      <c r="CE101" s="506">
        <f>COUNTIFS('ST | Drawing List'!$G:$G,"ST-TXS-3",'ST | Drawing List'!N:N,1)</f>
        <v>0</v>
      </c>
      <c r="CF101" s="506">
        <f>COUNTIFS('ST | Drawing List'!$G:$G,"ST-TXS-3",'ST | Drawing List'!O:O,1)</f>
        <v>0</v>
      </c>
      <c r="CG101" s="471"/>
      <c r="CH101" s="572">
        <f>COUNTIFS('ST | Drawing List'!$G:$G,"ST-TXS-3",'ST | Drawing List'!$P:$P,1)</f>
        <v>0</v>
      </c>
      <c r="CI101" s="506">
        <f>COUNTIFS('ST | Drawing List'!$G:$G,"ST-TXS-3",'ST | Drawing List'!Q:Q,1)</f>
        <v>0</v>
      </c>
      <c r="CJ101" s="506">
        <f>COUNTIFS('ST | Drawing List'!$G:$G,"ST-TXS-3",'ST | Drawing List'!R:R,1)</f>
        <v>0</v>
      </c>
      <c r="CK101" s="506">
        <f>COUNTIFS('ST | Drawing List'!$G:$G,"ST-TXS-3",'ST | Drawing List'!S:S,1)</f>
        <v>0</v>
      </c>
      <c r="CL101" s="506">
        <f>COUNTIFS('ST | Drawing List'!$G:$G,"ST-TXS-3",'ST | Drawing List'!T:T,1)</f>
        <v>0</v>
      </c>
      <c r="CM101" s="508"/>
      <c r="CN101" s="508"/>
      <c r="CO101" s="576">
        <v>0</v>
      </c>
      <c r="CP101" s="508"/>
      <c r="CQ101" s="506">
        <f t="shared" si="466"/>
        <v>0</v>
      </c>
      <c r="CR101" s="510">
        <f t="shared" si="236"/>
        <v>0</v>
      </c>
      <c r="CS101" s="514">
        <f t="shared" si="467"/>
        <v>0</v>
      </c>
      <c r="CT101" s="514">
        <f t="shared" si="468"/>
        <v>0</v>
      </c>
      <c r="CU101" s="514">
        <f t="shared" si="469"/>
        <v>0</v>
      </c>
      <c r="CV101" s="514">
        <f t="shared" si="470"/>
        <v>0</v>
      </c>
      <c r="CW101" s="514">
        <f t="shared" si="471"/>
        <v>0</v>
      </c>
      <c r="CX101" s="514">
        <f t="shared" si="472"/>
        <v>0</v>
      </c>
      <c r="CY101" s="501"/>
      <c r="CZ101" s="514">
        <f t="shared" si="473"/>
        <v>0</v>
      </c>
      <c r="DA101" s="514">
        <f t="shared" si="474"/>
        <v>0</v>
      </c>
      <c r="DB101" s="514">
        <f t="shared" si="475"/>
        <v>0</v>
      </c>
      <c r="DC101" s="514">
        <f t="shared" si="476"/>
        <v>0</v>
      </c>
      <c r="DD101" s="514">
        <f t="shared" si="477"/>
        <v>0</v>
      </c>
      <c r="DE101" s="501"/>
      <c r="DF101" s="570">
        <f t="shared" si="478"/>
        <v>0</v>
      </c>
      <c r="DG101" s="570">
        <f t="shared" si="479"/>
        <v>0</v>
      </c>
      <c r="DH101" s="570">
        <f t="shared" si="480"/>
        <v>0</v>
      </c>
      <c r="DI101" s="520"/>
      <c r="DJ101" s="514">
        <f>COUNTIF('MEP | Drawing List'!$G:$G,"MEP-T2S-6S-3")</f>
        <v>0</v>
      </c>
      <c r="DK101" s="506">
        <f>COUNTIFS('MEP | Drawing List'!$G:$G,"MEP-T2S-6S-3",'MEP | Drawing List'!$I:$I,1)</f>
        <v>0</v>
      </c>
      <c r="DL101" s="506">
        <f>COUNTIFS('MEP | Drawing List'!$G:$G,"MEP-T2S-6S-3",'MEP | Drawing List'!$K:$K,1)</f>
        <v>0</v>
      </c>
      <c r="DM101" s="514">
        <f>COUNTIFS('MEP | Drawing List'!$G:$G,"MEP-T2S-6S-3",'MEP | Drawing List'!L:L,1)</f>
        <v>0</v>
      </c>
      <c r="DN101" s="514">
        <f>COUNTIFS('MEP | Drawing List'!$G:$G,"MEP-T2S-6S-3",'MEP | Drawing List'!M:M,1)</f>
        <v>0</v>
      </c>
      <c r="DO101" s="514">
        <f>COUNTIFS('MEP | Drawing List'!$G:$G,"MEP-T2S-6S-3",'MEP | Drawing List'!N:N,1)</f>
        <v>0</v>
      </c>
      <c r="DP101" s="514">
        <f>COUNTIFS('MEP | Drawing List'!$G:$G,"MEP-T2S-6S-3",'MEP | Drawing List'!O:O,1)</f>
        <v>0</v>
      </c>
      <c r="DQ101" s="501"/>
      <c r="DR101" s="506">
        <f>COUNTIFS('MEP | Drawing List'!$G:$G,"MEP-T2S-6S-3",'MEP | Drawing List'!$P:$P,1)</f>
        <v>0</v>
      </c>
      <c r="DS101" s="514">
        <f>COUNTIFS('MEP | Drawing List'!$G:$G,"MEP-T2S-6S-3",'MEP | Drawing List'!Q:Q,1)</f>
        <v>0</v>
      </c>
      <c r="DT101" s="514">
        <f>COUNTIFS('MEP | Drawing List'!$G:$G,"MEP-T2S-6S-3",'MEP | Drawing List'!R:R,1)</f>
        <v>0</v>
      </c>
      <c r="DU101" s="514">
        <f>COUNTIFS('MEP | Drawing List'!$G:$G,"MEP-T2S-6S-3",'MEP | Drawing List'!S:S,1)</f>
        <v>0</v>
      </c>
      <c r="DV101" s="514">
        <f>COUNTIFS('MEP | Drawing List'!$G:$G,"MEP-T2S-6S-3",'MEP | Drawing List'!T:T,1)</f>
        <v>0</v>
      </c>
      <c r="DW101" s="508"/>
      <c r="DX101" s="508"/>
      <c r="DY101" s="511">
        <v>0</v>
      </c>
      <c r="DZ101" s="508"/>
      <c r="EA101" s="506">
        <f t="shared" si="481"/>
        <v>0</v>
      </c>
      <c r="EB101" s="510">
        <f t="shared" si="237"/>
        <v>0</v>
      </c>
      <c r="EC101" s="514">
        <f t="shared" si="482"/>
        <v>0</v>
      </c>
      <c r="ED101" s="514">
        <f t="shared" si="483"/>
        <v>0</v>
      </c>
      <c r="EE101" s="514">
        <f t="shared" si="484"/>
        <v>0</v>
      </c>
      <c r="EF101" s="514">
        <f t="shared" si="485"/>
        <v>0</v>
      </c>
      <c r="EG101" s="514">
        <f t="shared" si="486"/>
        <v>0</v>
      </c>
      <c r="EH101" s="514">
        <f t="shared" si="487"/>
        <v>0</v>
      </c>
      <c r="EI101" s="501"/>
      <c r="EJ101" s="567">
        <f t="shared" si="488"/>
        <v>0</v>
      </c>
      <c r="EK101" s="514">
        <f t="shared" si="489"/>
        <v>0</v>
      </c>
      <c r="EL101" s="514">
        <f t="shared" si="490"/>
        <v>0</v>
      </c>
      <c r="EM101" s="514">
        <f t="shared" si="491"/>
        <v>0</v>
      </c>
      <c r="EN101" s="514">
        <f t="shared" si="492"/>
        <v>0</v>
      </c>
      <c r="EO101" s="501"/>
      <c r="EP101" s="585">
        <f t="shared" si="493"/>
        <v>0</v>
      </c>
      <c r="EQ101" s="585">
        <f t="shared" si="494"/>
        <v>0</v>
      </c>
      <c r="ER101" s="585">
        <f t="shared" si="495"/>
        <v>0</v>
      </c>
      <c r="ES101" s="523"/>
      <c r="ET101" s="514">
        <f>COUNTIF('LS | Drawing List'!$G:$G,"LS-TXS-3")</f>
        <v>0</v>
      </c>
      <c r="EU101" s="506">
        <f>COUNTIFS('LS | Drawing List'!$G:$G,"LS-TXS-3",'LS | Drawing List'!$I:$I,1)</f>
        <v>0</v>
      </c>
      <c r="EV101" s="506">
        <f>COUNTIFS('LS | Drawing List'!$G:$G,"LS-TXS-3",'LS | Drawing List'!$K:$K,1)</f>
        <v>0</v>
      </c>
      <c r="EW101" s="514">
        <f>COUNTIFS('LS | Drawing List'!$G:$G,"LS-TXS-3",'LS | Drawing List'!L:L,1)</f>
        <v>0</v>
      </c>
      <c r="EX101" s="514">
        <f>COUNTIFS('LS | Drawing List'!$G:$G,"LS-TXS-3",'LS | Drawing List'!M:M,1)</f>
        <v>0</v>
      </c>
      <c r="EY101" s="514">
        <f>COUNTIFS('LS | Drawing List'!$G:$G,"LS-TXS-3",'LS | Drawing List'!N:N,1)</f>
        <v>0</v>
      </c>
      <c r="EZ101" s="514">
        <f>COUNTIFS('LS | Drawing List'!$G:$G,"LS-TXS-3",'LS | Drawing List'!O:O,1)</f>
        <v>0</v>
      </c>
      <c r="FA101" s="515"/>
      <c r="FB101" s="506">
        <f>COUNTIFS('LS | Drawing List'!$G:$G,"LS-TXS-3",'LS | Drawing List'!$P:$P,1)</f>
        <v>0</v>
      </c>
      <c r="FC101" s="514">
        <f>COUNTIFS('LS | Drawing List'!$G:$G,"LS-TXS-3",'LS | Drawing List'!Q:Q,1)</f>
        <v>0</v>
      </c>
      <c r="FD101" s="514">
        <f>COUNTIFS('LS | Drawing List'!$G:$G,"LS-TXS-3",'LS | Drawing List'!R:R,1)</f>
        <v>0</v>
      </c>
      <c r="FE101" s="514">
        <f>COUNTIFS('LS | Drawing List'!$G:$G,"LS-TXS-3",'LS | Drawing List'!S:S,1)</f>
        <v>0</v>
      </c>
      <c r="FF101" s="514">
        <f>COUNTIFS('LS | Drawing List'!$G:$G,"LS-TXS-3",'LS | Drawing List'!T:T,1)</f>
        <v>0</v>
      </c>
    </row>
    <row r="102" spans="2:162" ht="14.25" outlineLevel="2">
      <c r="B102" s="564" t="s">
        <v>110</v>
      </c>
      <c r="C102" s="565">
        <v>4</v>
      </c>
      <c r="D102" s="566" t="s">
        <v>88</v>
      </c>
      <c r="F102" s="500">
        <f t="shared" si="432"/>
        <v>0.29571453000000003</v>
      </c>
      <c r="G102" s="500">
        <f t="shared" si="433"/>
        <v>0.29571453000000003</v>
      </c>
      <c r="H102" s="514">
        <f t="shared" si="434"/>
        <v>0</v>
      </c>
      <c r="I102" s="514">
        <f t="shared" si="407"/>
        <v>0</v>
      </c>
      <c r="J102" s="514">
        <f t="shared" si="408"/>
        <v>0</v>
      </c>
      <c r="K102" s="514">
        <f t="shared" si="409"/>
        <v>0</v>
      </c>
      <c r="L102" s="514">
        <f t="shared" si="410"/>
        <v>0</v>
      </c>
      <c r="M102" s="567">
        <f t="shared" si="411"/>
        <v>0</v>
      </c>
      <c r="N102" s="568"/>
      <c r="O102" s="514">
        <f t="shared" si="412"/>
        <v>0</v>
      </c>
      <c r="P102" s="514">
        <f t="shared" si="413"/>
        <v>0</v>
      </c>
      <c r="Q102" s="514">
        <f t="shared" si="414"/>
        <v>0</v>
      </c>
      <c r="R102" s="514">
        <f t="shared" si="415"/>
        <v>0</v>
      </c>
      <c r="S102" s="514">
        <f t="shared" si="416"/>
        <v>0</v>
      </c>
      <c r="U102" s="569">
        <v>0.05</v>
      </c>
      <c r="V102" s="503"/>
      <c r="W102" s="500">
        <f t="shared" si="435"/>
        <v>0.18593280000000001</v>
      </c>
      <c r="X102" s="500">
        <f t="shared" si="234"/>
        <v>0.18593280000000001</v>
      </c>
      <c r="Y102" s="506">
        <f t="shared" si="436"/>
        <v>0.18593280000000001</v>
      </c>
      <c r="Z102" s="506">
        <f t="shared" si="437"/>
        <v>0</v>
      </c>
      <c r="AA102" s="506">
        <f t="shared" si="438"/>
        <v>0</v>
      </c>
      <c r="AB102" s="506">
        <f t="shared" si="439"/>
        <v>0</v>
      </c>
      <c r="AC102" s="506">
        <f t="shared" si="440"/>
        <v>0</v>
      </c>
      <c r="AD102" s="567">
        <f t="shared" si="441"/>
        <v>0</v>
      </c>
      <c r="AE102" s="568"/>
      <c r="AF102" s="514">
        <f t="shared" si="442"/>
        <v>0</v>
      </c>
      <c r="AG102" s="514">
        <f t="shared" si="443"/>
        <v>0</v>
      </c>
      <c r="AH102" s="514">
        <f t="shared" si="444"/>
        <v>0</v>
      </c>
      <c r="AI102" s="514">
        <f t="shared" si="445"/>
        <v>0</v>
      </c>
      <c r="AJ102" s="514">
        <f t="shared" si="446"/>
        <v>0</v>
      </c>
      <c r="AK102" s="501"/>
      <c r="AL102" s="578">
        <f t="shared" si="447"/>
        <v>1</v>
      </c>
      <c r="AM102" s="578">
        <f t="shared" si="448"/>
        <v>0</v>
      </c>
      <c r="AN102" s="570">
        <f t="shared" si="449"/>
        <v>0</v>
      </c>
      <c r="AO102" s="505"/>
      <c r="AP102" s="514">
        <f>COUNTIF('AR | Drawing List'!$G:$G,"AR-TXS-4")</f>
        <v>5</v>
      </c>
      <c r="AQ102" s="506">
        <f>COUNTIFS('AR | Drawing List'!$G:$G,"AR-TXS-4",'AR | Drawing List'!$I:$I,1)</f>
        <v>5</v>
      </c>
      <c r="AR102" s="506">
        <f t="shared" si="238"/>
        <v>0</v>
      </c>
      <c r="AS102" s="506">
        <f>COUNTIFS('AR | Drawing List'!$G:$G,"AR-TXS-4",'AR | Drawing List'!M:M,1)</f>
        <v>0</v>
      </c>
      <c r="AT102" s="506">
        <f>COUNTIFS('AR | Drawing List'!$G:$G,"AR-TXS-4",'AR | Drawing List'!N:N,1)</f>
        <v>0</v>
      </c>
      <c r="AU102" s="506">
        <f>COUNTIFS('AR | Drawing List'!$G:$G,"AR-TXS-4",'AR | Drawing List'!O:O,1)</f>
        <v>0</v>
      </c>
      <c r="AV102" s="506">
        <f>COUNTIFS('AR | Drawing List'!$G:$G,"AR-TXS-4",'AR | Drawing List'!P:P,1)</f>
        <v>0</v>
      </c>
      <c r="AW102" s="466"/>
      <c r="AX102" s="506">
        <f t="shared" si="450"/>
        <v>0</v>
      </c>
      <c r="AY102" s="506">
        <f>COUNTIFS('AR | Drawing List'!$G:$G,"AR-TXS-4",'AR | Drawing List'!R:R,1)</f>
        <v>0</v>
      </c>
      <c r="AZ102" s="506">
        <f>COUNTIFS('AR | Drawing List'!$G:$G,"AR-TXS-4",'AR | Drawing List'!S:S,1)</f>
        <v>0</v>
      </c>
      <c r="BA102" s="506">
        <f>COUNTIFS('AR | Drawing List'!$G:$G,"AR-TXS-4",'AR | Drawing List'!T:T,1)</f>
        <v>0</v>
      </c>
      <c r="BB102" s="506">
        <f>COUNTIFS('AR | Drawing List'!$G:$G,"AR-TXS-4",'AR | Drawing List'!U:U,1)</f>
        <v>0</v>
      </c>
      <c r="BC102" s="466"/>
      <c r="BD102" s="466"/>
      <c r="BE102" s="592">
        <v>0.05</v>
      </c>
      <c r="BF102" s="508"/>
      <c r="BG102" s="506">
        <f t="shared" si="451"/>
        <v>7.7770530000000004E-2</v>
      </c>
      <c r="BH102" s="510">
        <f t="shared" si="235"/>
        <v>7.7770530000000004E-2</v>
      </c>
      <c r="BI102" s="506">
        <f t="shared" si="452"/>
        <v>7.7770530000000004E-2</v>
      </c>
      <c r="BJ102" s="506">
        <f t="shared" si="453"/>
        <v>0</v>
      </c>
      <c r="BK102" s="506">
        <f t="shared" si="454"/>
        <v>0</v>
      </c>
      <c r="BL102" s="506">
        <f t="shared" si="455"/>
        <v>0</v>
      </c>
      <c r="BM102" s="506">
        <f t="shared" si="456"/>
        <v>0</v>
      </c>
      <c r="BN102" s="506">
        <f t="shared" si="457"/>
        <v>0</v>
      </c>
      <c r="BO102" s="530"/>
      <c r="BP102" s="514">
        <f t="shared" si="458"/>
        <v>0</v>
      </c>
      <c r="BQ102" s="514">
        <f t="shared" si="459"/>
        <v>0</v>
      </c>
      <c r="BR102" s="514">
        <f t="shared" si="460"/>
        <v>0</v>
      </c>
      <c r="BS102" s="514">
        <f t="shared" si="461"/>
        <v>0</v>
      </c>
      <c r="BT102" s="514">
        <f t="shared" si="462"/>
        <v>0</v>
      </c>
      <c r="BU102" s="501"/>
      <c r="BV102" s="571">
        <f t="shared" si="463"/>
        <v>1</v>
      </c>
      <c r="BW102" s="571">
        <f t="shared" si="464"/>
        <v>0</v>
      </c>
      <c r="BX102" s="571">
        <f t="shared" si="465"/>
        <v>0</v>
      </c>
      <c r="BY102" s="518"/>
      <c r="BZ102" s="514">
        <f>COUNTIF('ST | Drawing List'!$G:$G,"ST-TXS-4")</f>
        <v>49</v>
      </c>
      <c r="CA102" s="506">
        <f>COUNTIFS('ST | Drawing List'!$G:$G,"ST-TXS-4",'ST | Drawing List'!$I:$I,1)</f>
        <v>49</v>
      </c>
      <c r="CB102" s="506">
        <f>COUNTIFS('ST | Drawing List'!$G:$G,"ST-TXS-4",'ST | Drawing List'!$K:$K,1)</f>
        <v>0</v>
      </c>
      <c r="CC102" s="506">
        <f>COUNTIFS('ST | Drawing List'!$G:$G,"ST-TXS-4",'ST | Drawing List'!L:L,1)</f>
        <v>0</v>
      </c>
      <c r="CD102" s="506">
        <f>COUNTIFS('ST | Drawing List'!$G:$G,"ST-TXS-4",'ST | Drawing List'!M:M,1)</f>
        <v>0</v>
      </c>
      <c r="CE102" s="506">
        <f>COUNTIFS('ST | Drawing List'!$G:$G,"ST-TXS-4",'ST | Drawing List'!N:N,1)</f>
        <v>0</v>
      </c>
      <c r="CF102" s="506">
        <f>COUNTIFS('ST | Drawing List'!$G:$G,"ST-TXS-4",'ST | Drawing List'!O:O,1)</f>
        <v>0</v>
      </c>
      <c r="CG102" s="471"/>
      <c r="CH102" s="506">
        <f>COUNTIFS('ST | Drawing List'!$G:$G,"ST-TXS-4",'ST | Drawing List'!$P:$P,1)</f>
        <v>0</v>
      </c>
      <c r="CI102" s="506">
        <f>COUNTIFS('ST | Drawing List'!$G:$G,"ST-TXS-4",'ST | Drawing List'!Q:Q,1)</f>
        <v>0</v>
      </c>
      <c r="CJ102" s="506">
        <f>COUNTIFS('ST | Drawing List'!$G:$G,"ST-TXS-4",'ST | Drawing List'!R:R,1)</f>
        <v>0</v>
      </c>
      <c r="CK102" s="506">
        <f>COUNTIFS('ST | Drawing List'!$G:$G,"ST-TXS-4",'ST | Drawing List'!S:S,1)</f>
        <v>0</v>
      </c>
      <c r="CL102" s="506">
        <f>COUNTIFS('ST | Drawing List'!$G:$G,"ST-TXS-4",'ST | Drawing List'!T:T,1)</f>
        <v>0</v>
      </c>
      <c r="CM102" s="508"/>
      <c r="CN102" s="508"/>
      <c r="CO102" s="470">
        <v>0.15</v>
      </c>
      <c r="CP102" s="508"/>
      <c r="CQ102" s="506">
        <f t="shared" si="466"/>
        <v>3.201119999999999E-2</v>
      </c>
      <c r="CR102" s="510">
        <f t="shared" si="236"/>
        <v>3.201119999999999E-2</v>
      </c>
      <c r="CS102" s="506">
        <f t="shared" si="467"/>
        <v>3.201119999999999E-2</v>
      </c>
      <c r="CT102" s="514">
        <f t="shared" si="468"/>
        <v>0</v>
      </c>
      <c r="CU102" s="514">
        <f t="shared" si="469"/>
        <v>0</v>
      </c>
      <c r="CV102" s="514">
        <f t="shared" si="470"/>
        <v>0</v>
      </c>
      <c r="CW102" s="514">
        <f t="shared" si="471"/>
        <v>0</v>
      </c>
      <c r="CX102" s="514">
        <f t="shared" si="472"/>
        <v>0</v>
      </c>
      <c r="CY102" s="501"/>
      <c r="CZ102" s="514">
        <f t="shared" si="473"/>
        <v>0</v>
      </c>
      <c r="DA102" s="514">
        <f t="shared" si="474"/>
        <v>0</v>
      </c>
      <c r="DB102" s="514">
        <f t="shared" si="475"/>
        <v>0</v>
      </c>
      <c r="DC102" s="514">
        <f t="shared" si="476"/>
        <v>0</v>
      </c>
      <c r="DD102" s="514">
        <f t="shared" si="477"/>
        <v>0</v>
      </c>
      <c r="DE102" s="501"/>
      <c r="DF102" s="570">
        <f t="shared" si="478"/>
        <v>1</v>
      </c>
      <c r="DG102" s="570">
        <f t="shared" si="479"/>
        <v>0</v>
      </c>
      <c r="DH102" s="570">
        <f t="shared" si="480"/>
        <v>0</v>
      </c>
      <c r="DI102" s="518"/>
      <c r="DJ102" s="514">
        <f>COUNTIF('MEP | Drawing List'!$G:$G,"MEP-T2S-6S-4")</f>
        <v>81</v>
      </c>
      <c r="DK102" s="506">
        <f>COUNTIFS('MEP | Drawing List'!$G:$G,"MEP-T2S-6S-4",'MEP | Drawing List'!$I:$I,1)</f>
        <v>81</v>
      </c>
      <c r="DL102" s="506">
        <f>COUNTIFS('MEP | Drawing List'!$G:$G,"MEP-T2S-6S-4",'MEP | Drawing List'!$K:$K,1)</f>
        <v>0</v>
      </c>
      <c r="DM102" s="506">
        <f>COUNTIFS('MEP | Drawing List'!$G:$G,"MEP-T2S-6S-4",'MEP | Drawing List'!L:L,1)</f>
        <v>0</v>
      </c>
      <c r="DN102" s="506">
        <f>COUNTIFS('MEP | Drawing List'!$G:$G,"MEP-T2S-6S-4",'MEP | Drawing List'!M:M,1)</f>
        <v>0</v>
      </c>
      <c r="DO102" s="506">
        <f>COUNTIFS('MEP | Drawing List'!$G:$G,"MEP-T2S-6S-4",'MEP | Drawing List'!N:N,1)</f>
        <v>0</v>
      </c>
      <c r="DP102" s="506">
        <f>COUNTIFS('MEP | Drawing List'!$G:$G,"MEP-T2S-6S-4",'MEP | Drawing List'!O:O,1)</f>
        <v>0</v>
      </c>
      <c r="DQ102" s="530"/>
      <c r="DR102" s="506">
        <f>COUNTIFS('MEP | Drawing List'!$G:$G,"MEP-T2S-6S-4",'MEP | Drawing List'!$P:$P,1)</f>
        <v>0</v>
      </c>
      <c r="DS102" s="506">
        <f>COUNTIFS('MEP | Drawing List'!$G:$G,"MEP-T2S-6S-4",'MEP | Drawing List'!Q:Q,1)</f>
        <v>0</v>
      </c>
      <c r="DT102" s="506">
        <f>COUNTIFS('MEP | Drawing List'!$G:$G,"MEP-T2S-6S-4",'MEP | Drawing List'!R:R,1)</f>
        <v>0</v>
      </c>
      <c r="DU102" s="506">
        <f>COUNTIFS('MEP | Drawing List'!$G:$G,"MEP-T2S-6S-4",'MEP | Drawing List'!S:S,1)</f>
        <v>0</v>
      </c>
      <c r="DV102" s="506">
        <f>COUNTIFS('MEP | Drawing List'!$G:$G,"MEP-T2S-6S-4",'MEP | Drawing List'!T:T,1)</f>
        <v>0</v>
      </c>
      <c r="DW102" s="508"/>
      <c r="DX102" s="508"/>
      <c r="DY102" s="511">
        <v>0</v>
      </c>
      <c r="DZ102" s="508"/>
      <c r="EA102" s="506">
        <f t="shared" si="481"/>
        <v>0</v>
      </c>
      <c r="EB102" s="510">
        <f t="shared" si="237"/>
        <v>0</v>
      </c>
      <c r="EC102" s="506">
        <f t="shared" si="482"/>
        <v>0</v>
      </c>
      <c r="ED102" s="506">
        <f t="shared" si="483"/>
        <v>0</v>
      </c>
      <c r="EE102" s="514">
        <f t="shared" si="484"/>
        <v>0</v>
      </c>
      <c r="EF102" s="514">
        <f t="shared" si="485"/>
        <v>0</v>
      </c>
      <c r="EG102" s="514">
        <f t="shared" si="486"/>
        <v>0</v>
      </c>
      <c r="EH102" s="514">
        <f t="shared" si="487"/>
        <v>0</v>
      </c>
      <c r="EI102" s="501"/>
      <c r="EJ102" s="567">
        <f t="shared" si="488"/>
        <v>0</v>
      </c>
      <c r="EK102" s="514">
        <f t="shared" si="489"/>
        <v>0</v>
      </c>
      <c r="EL102" s="514">
        <f t="shared" si="490"/>
        <v>0</v>
      </c>
      <c r="EM102" s="514">
        <f t="shared" si="491"/>
        <v>0</v>
      </c>
      <c r="EN102" s="514">
        <f t="shared" si="492"/>
        <v>0</v>
      </c>
      <c r="EO102" s="501"/>
      <c r="EP102" s="585">
        <f t="shared" si="493"/>
        <v>1</v>
      </c>
      <c r="EQ102" s="585">
        <f t="shared" si="494"/>
        <v>0</v>
      </c>
      <c r="ER102" s="585">
        <f t="shared" si="495"/>
        <v>0</v>
      </c>
      <c r="ET102" s="514">
        <f>COUNTIF('LS | Drawing List'!$G:$G,"LS-TXS-4")</f>
        <v>1</v>
      </c>
      <c r="EU102" s="506">
        <f>COUNTIFS('LS | Drawing List'!$G:$G,"LS-TXS-4",'LS | Drawing List'!$I:$I,1)</f>
        <v>1</v>
      </c>
      <c r="EV102" s="506">
        <f>COUNTIFS('LS | Drawing List'!$G:$G,"LS-TXS-4",'LS | Drawing List'!$K:$K,1)</f>
        <v>0</v>
      </c>
      <c r="EW102" s="506">
        <f>COUNTIFS('LS | Drawing List'!$G:$G,"LS-TXS-4",'LS | Drawing List'!L:L,1)</f>
        <v>0</v>
      </c>
      <c r="EX102" s="506">
        <f>COUNTIFS('LS | Drawing List'!$G:$G,"LS-TXS-4",'LS | Drawing List'!M:M,1)</f>
        <v>0</v>
      </c>
      <c r="EY102" s="506">
        <f>COUNTIFS('LS | Drawing List'!$G:$G,"LS-TXS-4",'LS | Drawing List'!N:N,1)</f>
        <v>0</v>
      </c>
      <c r="EZ102" s="506">
        <f>COUNTIFS('LS | Drawing List'!$G:$G,"LS-TXS-4",'LS | Drawing List'!O:O,1)</f>
        <v>0</v>
      </c>
      <c r="FA102" s="533"/>
      <c r="FB102" s="506">
        <f>COUNTIFS('LS | Drawing List'!$G:$G,"LS-TXS-4",'LS | Drawing List'!$P:$P,1)</f>
        <v>0</v>
      </c>
      <c r="FC102" s="506">
        <f>COUNTIFS('LS | Drawing List'!$G:$G,"LS-TXS-4",'LS | Drawing List'!Q:Q,1)</f>
        <v>0</v>
      </c>
      <c r="FD102" s="506">
        <f>COUNTIFS('LS | Drawing List'!$G:$G,"LS-TXS-4",'LS | Drawing List'!R:R,1)</f>
        <v>0</v>
      </c>
      <c r="FE102" s="506">
        <f>COUNTIFS('LS | Drawing List'!$G:$G,"LS-TXS-4",'LS | Drawing List'!S:S,1)</f>
        <v>0</v>
      </c>
      <c r="FF102" s="506">
        <f>COUNTIFS('LS | Drawing List'!$G:$G,"LS-TXS-4",'LS | Drawing List'!T:T,1)</f>
        <v>0</v>
      </c>
    </row>
    <row r="103" spans="2:162" ht="14.25" outlineLevel="2">
      <c r="B103" s="564" t="s">
        <v>111</v>
      </c>
      <c r="C103" s="565">
        <v>5</v>
      </c>
      <c r="D103" s="566" t="s">
        <v>250</v>
      </c>
      <c r="F103" s="500">
        <f t="shared" si="432"/>
        <v>0.34147386000000002</v>
      </c>
      <c r="G103" s="500">
        <f t="shared" si="433"/>
        <v>0.34147386000000002</v>
      </c>
      <c r="H103" s="514">
        <f t="shared" si="434"/>
        <v>0</v>
      </c>
      <c r="I103" s="514">
        <f t="shared" si="407"/>
        <v>0</v>
      </c>
      <c r="J103" s="514">
        <f t="shared" si="408"/>
        <v>0</v>
      </c>
      <c r="K103" s="514">
        <f t="shared" si="409"/>
        <v>0</v>
      </c>
      <c r="L103" s="514">
        <f t="shared" si="410"/>
        <v>0</v>
      </c>
      <c r="M103" s="567">
        <f t="shared" si="411"/>
        <v>0</v>
      </c>
      <c r="N103" s="568"/>
      <c r="O103" s="514">
        <f t="shared" si="412"/>
        <v>0</v>
      </c>
      <c r="P103" s="514">
        <f t="shared" si="413"/>
        <v>0</v>
      </c>
      <c r="Q103" s="514">
        <f t="shared" si="414"/>
        <v>0</v>
      </c>
      <c r="R103" s="514">
        <f t="shared" si="415"/>
        <v>0</v>
      </c>
      <c r="S103" s="514">
        <f t="shared" si="416"/>
        <v>0</v>
      </c>
      <c r="U103" s="583">
        <v>0.05</v>
      </c>
      <c r="V103" s="503"/>
      <c r="W103" s="500">
        <f t="shared" si="435"/>
        <v>0.18593280000000001</v>
      </c>
      <c r="X103" s="500">
        <f t="shared" si="234"/>
        <v>0.18593280000000001</v>
      </c>
      <c r="Y103" s="506">
        <f t="shared" si="436"/>
        <v>0.18593280000000001</v>
      </c>
      <c r="Z103" s="506">
        <f t="shared" si="437"/>
        <v>0</v>
      </c>
      <c r="AA103" s="506">
        <f t="shared" si="438"/>
        <v>0</v>
      </c>
      <c r="AB103" s="506">
        <f t="shared" si="439"/>
        <v>0</v>
      </c>
      <c r="AC103" s="506">
        <f t="shared" si="440"/>
        <v>0</v>
      </c>
      <c r="AD103" s="567">
        <f t="shared" si="441"/>
        <v>0</v>
      </c>
      <c r="AE103" s="568"/>
      <c r="AF103" s="514">
        <f t="shared" si="442"/>
        <v>0</v>
      </c>
      <c r="AG103" s="514">
        <f t="shared" si="443"/>
        <v>0</v>
      </c>
      <c r="AH103" s="514">
        <f t="shared" si="444"/>
        <v>0</v>
      </c>
      <c r="AI103" s="514">
        <f t="shared" si="445"/>
        <v>0</v>
      </c>
      <c r="AJ103" s="514">
        <f t="shared" si="446"/>
        <v>0</v>
      </c>
      <c r="AK103" s="501"/>
      <c r="AL103" s="578">
        <f t="shared" si="447"/>
        <v>1</v>
      </c>
      <c r="AM103" s="578">
        <f t="shared" si="448"/>
        <v>0</v>
      </c>
      <c r="AN103" s="570">
        <f t="shared" si="449"/>
        <v>0</v>
      </c>
      <c r="AO103" s="505"/>
      <c r="AP103" s="514">
        <f>COUNTIF('AR | Drawing List'!$G:$G,"AR-TXS-5")</f>
        <v>2</v>
      </c>
      <c r="AQ103" s="506">
        <f>COUNTIFS('AR | Drawing List'!$G:$G,"AR-TXS-5",'AR | Drawing List'!$I:$I,1)</f>
        <v>2</v>
      </c>
      <c r="AR103" s="506">
        <f t="shared" si="238"/>
        <v>0</v>
      </c>
      <c r="AS103" s="506">
        <f>COUNTIFS('AR | Drawing List'!$G:$G,"AR-TXS-5",'AR | Drawing List'!M:M,1)</f>
        <v>0</v>
      </c>
      <c r="AT103" s="506">
        <f>COUNTIFS('AR | Drawing List'!$G:$G,"AR-TXS-5",'AR | Drawing List'!N:N,1)</f>
        <v>0</v>
      </c>
      <c r="AU103" s="506">
        <f>COUNTIFS('AR | Drawing List'!$G:$G,"AR-TXS-5",'AR | Drawing List'!O:O,1)</f>
        <v>0</v>
      </c>
      <c r="AV103" s="506">
        <f>COUNTIFS('AR | Drawing List'!$G:$G,"AR-TXS-5",'AR | Drawing List'!P:P,1)</f>
        <v>0</v>
      </c>
      <c r="AW103" s="466"/>
      <c r="AX103" s="506">
        <f t="shared" si="450"/>
        <v>0</v>
      </c>
      <c r="AY103" s="506">
        <f>COUNTIFS('AR | Drawing List'!$G:$G,"AR-TXS-5",'AR | Drawing List'!R:R,1)</f>
        <v>0</v>
      </c>
      <c r="AZ103" s="506">
        <f>COUNTIFS('AR | Drawing List'!$G:$G,"AR-TXS-5",'AR | Drawing List'!S:S,1)</f>
        <v>0</v>
      </c>
      <c r="BA103" s="506">
        <f>COUNTIFS('AR | Drawing List'!$G:$G,"AR-TXS-5",'AR | Drawing List'!T:T,1)</f>
        <v>0</v>
      </c>
      <c r="BB103" s="506">
        <f>COUNTIFS('AR | Drawing List'!$G:$G,"AR-TXS-5",'AR | Drawing List'!U:U,1)</f>
        <v>0</v>
      </c>
      <c r="BC103" s="466"/>
      <c r="BD103" s="466"/>
      <c r="BE103" s="511">
        <v>0.1</v>
      </c>
      <c r="BF103" s="508"/>
      <c r="BG103" s="506">
        <f t="shared" si="451"/>
        <v>0.15554106000000001</v>
      </c>
      <c r="BH103" s="510">
        <f t="shared" si="235"/>
        <v>0.15554106000000001</v>
      </c>
      <c r="BI103" s="506">
        <f t="shared" si="452"/>
        <v>0.15554106000000001</v>
      </c>
      <c r="BJ103" s="506">
        <f t="shared" si="453"/>
        <v>0</v>
      </c>
      <c r="BK103" s="506">
        <f t="shared" si="454"/>
        <v>0</v>
      </c>
      <c r="BL103" s="506">
        <f t="shared" si="455"/>
        <v>0</v>
      </c>
      <c r="BM103" s="506">
        <f t="shared" si="456"/>
        <v>0</v>
      </c>
      <c r="BN103" s="506">
        <f t="shared" si="457"/>
        <v>0</v>
      </c>
      <c r="BO103" s="530"/>
      <c r="BP103" s="514">
        <f t="shared" si="458"/>
        <v>0</v>
      </c>
      <c r="BQ103" s="514">
        <f t="shared" si="459"/>
        <v>0</v>
      </c>
      <c r="BR103" s="514">
        <f t="shared" si="460"/>
        <v>0</v>
      </c>
      <c r="BS103" s="514">
        <f t="shared" si="461"/>
        <v>0</v>
      </c>
      <c r="BT103" s="514">
        <f t="shared" si="462"/>
        <v>0</v>
      </c>
      <c r="BU103" s="501"/>
      <c r="BV103" s="571">
        <f t="shared" si="463"/>
        <v>1</v>
      </c>
      <c r="BW103" s="571">
        <f t="shared" si="464"/>
        <v>0</v>
      </c>
      <c r="BX103" s="571">
        <f t="shared" si="465"/>
        <v>0</v>
      </c>
      <c r="BY103" s="518"/>
      <c r="BZ103" s="514">
        <f>COUNTIF('ST | Drawing List'!$G:$G,"ST-TXS-5")</f>
        <v>52</v>
      </c>
      <c r="CA103" s="506">
        <f>COUNTIFS('ST | Drawing List'!$G:$G,"ST-TXS-5",'ST | Drawing List'!$I:$I,1)</f>
        <v>52</v>
      </c>
      <c r="CB103" s="506">
        <f>COUNTIFS('ST | Drawing List'!$G:$G,"ST-TXS-5",'ST | Drawing List'!$K:$K,1)</f>
        <v>0</v>
      </c>
      <c r="CC103" s="506">
        <f>COUNTIFS('ST | Drawing List'!$G:$G,"ST-TXS-5",'ST | Drawing List'!L:L,1)</f>
        <v>0</v>
      </c>
      <c r="CD103" s="506">
        <f>COUNTIFS('ST | Drawing List'!$G:$G,"ST-TXS-5",'ST | Drawing List'!M:M,1)</f>
        <v>0</v>
      </c>
      <c r="CE103" s="506">
        <f>COUNTIFS('ST | Drawing List'!$G:$G,"ST-TXS-5",'ST | Drawing List'!N:N,1)</f>
        <v>0</v>
      </c>
      <c r="CF103" s="506">
        <f>COUNTIFS('ST | Drawing List'!$G:$G,"ST-TXS-5",'ST | Drawing List'!O:O,1)</f>
        <v>0</v>
      </c>
      <c r="CG103" s="471"/>
      <c r="CH103" s="506">
        <f>COUNTIFS('ST | Drawing List'!$G:$G,"ST-TXS-5",'ST | Drawing List'!$P:$P,1)</f>
        <v>0</v>
      </c>
      <c r="CI103" s="506">
        <f>COUNTIFS('ST | Drawing List'!$G:$G,"ST-TXS-5",'ST | Drawing List'!Q:Q,1)</f>
        <v>0</v>
      </c>
      <c r="CJ103" s="506">
        <f>COUNTIFS('ST | Drawing List'!$G:$G,"ST-TXS-5",'ST | Drawing List'!R:R,1)</f>
        <v>0</v>
      </c>
      <c r="CK103" s="506">
        <f>COUNTIFS('ST | Drawing List'!$G:$G,"ST-TXS-5",'ST | Drawing List'!S:S,1)</f>
        <v>0</v>
      </c>
      <c r="CL103" s="506">
        <f>COUNTIFS('ST | Drawing List'!$G:$G,"ST-TXS-5",'ST | Drawing List'!T:T,1)</f>
        <v>0</v>
      </c>
      <c r="CM103" s="508"/>
      <c r="CN103" s="508"/>
      <c r="CO103" s="576">
        <v>0</v>
      </c>
      <c r="CP103" s="508"/>
      <c r="CQ103" s="506">
        <f t="shared" si="466"/>
        <v>0</v>
      </c>
      <c r="CR103" s="510">
        <f t="shared" si="236"/>
        <v>0</v>
      </c>
      <c r="CS103" s="506">
        <f t="shared" si="467"/>
        <v>0</v>
      </c>
      <c r="CT103" s="514">
        <f t="shared" si="468"/>
        <v>0</v>
      </c>
      <c r="CU103" s="514">
        <f t="shared" si="469"/>
        <v>0</v>
      </c>
      <c r="CV103" s="514">
        <f t="shared" si="470"/>
        <v>0</v>
      </c>
      <c r="CW103" s="514">
        <f t="shared" si="471"/>
        <v>0</v>
      </c>
      <c r="CX103" s="514">
        <f t="shared" si="472"/>
        <v>0</v>
      </c>
      <c r="CY103" s="501"/>
      <c r="CZ103" s="514">
        <f t="shared" si="473"/>
        <v>0</v>
      </c>
      <c r="DA103" s="514">
        <f t="shared" si="474"/>
        <v>0</v>
      </c>
      <c r="DB103" s="514">
        <f t="shared" si="475"/>
        <v>0</v>
      </c>
      <c r="DC103" s="514">
        <f t="shared" si="476"/>
        <v>0</v>
      </c>
      <c r="DD103" s="514">
        <f t="shared" si="477"/>
        <v>0</v>
      </c>
      <c r="DE103" s="501"/>
      <c r="DF103" s="570">
        <f t="shared" si="478"/>
        <v>0</v>
      </c>
      <c r="DG103" s="570">
        <f t="shared" si="479"/>
        <v>0</v>
      </c>
      <c r="DH103" s="570">
        <f t="shared" si="480"/>
        <v>0</v>
      </c>
      <c r="DI103" s="518"/>
      <c r="DJ103" s="514">
        <f>COUNTIF('MEP | Drawing List'!$G:$G,"MEP-T2S-6S-5")</f>
        <v>0</v>
      </c>
      <c r="DK103" s="506">
        <f>COUNTIFS('MEP | Drawing List'!$G:$G,"MEP-T2S-6S-5",'MEP | Drawing List'!$I:$I,1)</f>
        <v>0</v>
      </c>
      <c r="DL103" s="506">
        <f>COUNTIFS('MEP | Drawing List'!$G:$G,"MEP-T2S-6S-5",'MEP | Drawing List'!$K:$K,1)</f>
        <v>0</v>
      </c>
      <c r="DM103" s="506">
        <f>COUNTIFS('MEP | Drawing List'!$G:$G,"MEP-T2S-6S-5",'MEP | Drawing List'!L:L,1)</f>
        <v>0</v>
      </c>
      <c r="DN103" s="506">
        <f>COUNTIFS('MEP | Drawing List'!$G:$G,"MEP-T2S-6S-5",'MEP | Drawing List'!M:M,1)</f>
        <v>0</v>
      </c>
      <c r="DO103" s="506">
        <f>COUNTIFS('MEP | Drawing List'!$G:$G,"MEP-T2S-6S-5",'MEP | Drawing List'!N:N,1)</f>
        <v>0</v>
      </c>
      <c r="DP103" s="506">
        <f>COUNTIFS('MEP | Drawing List'!$G:$G,"MEP-T2S-6S-5",'MEP | Drawing List'!O:O,1)</f>
        <v>0</v>
      </c>
      <c r="DQ103" s="530"/>
      <c r="DR103" s="506">
        <f>COUNTIFS('MEP | Drawing List'!$G:$G,"MEP-T2S-6S-5",'MEP | Drawing List'!$P:$P,1)</f>
        <v>0</v>
      </c>
      <c r="DS103" s="506">
        <f>COUNTIFS('MEP | Drawing List'!$G:$G,"MEP-T2S-6S-5",'MEP | Drawing List'!Q:Q,1)</f>
        <v>0</v>
      </c>
      <c r="DT103" s="506">
        <f>COUNTIFS('MEP | Drawing List'!$G:$G,"MEP-T2S-6S-5",'MEP | Drawing List'!R:R,1)</f>
        <v>0</v>
      </c>
      <c r="DU103" s="506">
        <f>COUNTIFS('MEP | Drawing List'!$G:$G,"MEP-T2S-6S-5",'MEP | Drawing List'!S:S,1)</f>
        <v>0</v>
      </c>
      <c r="DV103" s="506">
        <f>COUNTIFS('MEP | Drawing List'!$G:$G,"MEP-T2S-6S-5",'MEP | Drawing List'!T:T,1)</f>
        <v>0</v>
      </c>
      <c r="DW103" s="508"/>
      <c r="DX103" s="508"/>
      <c r="DY103" s="592">
        <v>0</v>
      </c>
      <c r="DZ103" s="508"/>
      <c r="EA103" s="506">
        <f t="shared" si="481"/>
        <v>0</v>
      </c>
      <c r="EB103" s="510">
        <f t="shared" si="237"/>
        <v>0</v>
      </c>
      <c r="EC103" s="506">
        <f t="shared" si="482"/>
        <v>0</v>
      </c>
      <c r="ED103" s="506">
        <f t="shared" si="483"/>
        <v>0</v>
      </c>
      <c r="EE103" s="514">
        <f t="shared" si="484"/>
        <v>0</v>
      </c>
      <c r="EF103" s="514">
        <f t="shared" si="485"/>
        <v>0</v>
      </c>
      <c r="EG103" s="514">
        <f t="shared" si="486"/>
        <v>0</v>
      </c>
      <c r="EH103" s="514">
        <f t="shared" si="487"/>
        <v>0</v>
      </c>
      <c r="EI103" s="501"/>
      <c r="EJ103" s="567">
        <f t="shared" si="488"/>
        <v>0</v>
      </c>
      <c r="EK103" s="514">
        <f t="shared" si="489"/>
        <v>0</v>
      </c>
      <c r="EL103" s="514">
        <f t="shared" si="490"/>
        <v>0</v>
      </c>
      <c r="EM103" s="514">
        <f t="shared" si="491"/>
        <v>0</v>
      </c>
      <c r="EN103" s="514">
        <f t="shared" si="492"/>
        <v>0</v>
      </c>
      <c r="EO103" s="501"/>
      <c r="EP103" s="585">
        <f t="shared" si="493"/>
        <v>0</v>
      </c>
      <c r="EQ103" s="585">
        <f t="shared" si="494"/>
        <v>0</v>
      </c>
      <c r="ER103" s="585">
        <f t="shared" si="495"/>
        <v>0</v>
      </c>
      <c r="ET103" s="514">
        <f>COUNTIF('LS | Drawing List'!$G:$G,"LS-TXS-5")</f>
        <v>0</v>
      </c>
      <c r="EU103" s="506">
        <f>COUNTIFS('LS | Drawing List'!$G:$G,"LS-TXS-5",'LS | Drawing List'!$I:$I,1)</f>
        <v>0</v>
      </c>
      <c r="EV103" s="506">
        <f>COUNTIFS('LS | Drawing List'!$G:$G,"LS-TXS-5",'LS | Drawing List'!$K:$K,1)</f>
        <v>0</v>
      </c>
      <c r="EW103" s="506">
        <f>COUNTIFS('LS | Drawing List'!$G:$G,"LS-TXS-5",'LS | Drawing List'!L:L,1)</f>
        <v>0</v>
      </c>
      <c r="EX103" s="506">
        <f>COUNTIFS('LS | Drawing List'!$G:$G,"LS-TXS-5",'LS | Drawing List'!M:M,1)</f>
        <v>0</v>
      </c>
      <c r="EY103" s="506">
        <f>COUNTIFS('LS | Drawing List'!$G:$G,"LS-TXS-5",'LS | Drawing List'!N:N,1)</f>
        <v>0</v>
      </c>
      <c r="EZ103" s="506">
        <f>COUNTIFS('LS | Drawing List'!$G:$G,"LS-TXS-5",'LS | Drawing List'!O:O,1)</f>
        <v>0</v>
      </c>
      <c r="FA103" s="533"/>
      <c r="FB103" s="506">
        <f>COUNTIFS('LS | Drawing List'!$G:$G,"LS-TXS-5",'LS | Drawing List'!$P:$P,1)</f>
        <v>0</v>
      </c>
      <c r="FC103" s="506">
        <f>COUNTIFS('LS | Drawing List'!$G:$G,"LS-TXS-5",'LS | Drawing List'!Q:Q,1)</f>
        <v>0</v>
      </c>
      <c r="FD103" s="506">
        <f>COUNTIFS('LS | Drawing List'!$G:$G,"LS-TXS-5",'LS | Drawing List'!R:R,1)</f>
        <v>0</v>
      </c>
      <c r="FE103" s="506">
        <f>COUNTIFS('LS | Drawing List'!$G:$G,"LS-TXS-5",'LS | Drawing List'!S:S,1)</f>
        <v>0</v>
      </c>
      <c r="FF103" s="506">
        <f>COUNTIFS('LS | Drawing List'!$G:$G,"LS-TXS-5",'LS | Drawing List'!T:T,1)</f>
        <v>0</v>
      </c>
    </row>
    <row r="104" spans="2:162" ht="14.25" outlineLevel="2">
      <c r="B104" s="564" t="s">
        <v>112</v>
      </c>
      <c r="C104" s="565">
        <v>6</v>
      </c>
      <c r="D104" s="566" t="s">
        <v>64</v>
      </c>
      <c r="F104" s="500">
        <f t="shared" si="432"/>
        <v>0.42216540000000002</v>
      </c>
      <c r="G104" s="500">
        <f t="shared" si="433"/>
        <v>0.42216540000000002</v>
      </c>
      <c r="H104" s="514">
        <f t="shared" si="434"/>
        <v>0</v>
      </c>
      <c r="I104" s="514">
        <f t="shared" si="407"/>
        <v>0</v>
      </c>
      <c r="J104" s="514">
        <f t="shared" si="408"/>
        <v>0</v>
      </c>
      <c r="K104" s="514">
        <f t="shared" si="409"/>
        <v>0</v>
      </c>
      <c r="L104" s="514">
        <f t="shared" si="410"/>
        <v>0</v>
      </c>
      <c r="M104" s="567">
        <f t="shared" si="411"/>
        <v>0</v>
      </c>
      <c r="N104" s="568"/>
      <c r="O104" s="514">
        <f t="shared" si="412"/>
        <v>0</v>
      </c>
      <c r="P104" s="514">
        <f t="shared" si="413"/>
        <v>0</v>
      </c>
      <c r="Q104" s="514">
        <f t="shared" si="414"/>
        <v>0</v>
      </c>
      <c r="R104" s="514">
        <f t="shared" si="415"/>
        <v>0</v>
      </c>
      <c r="S104" s="514">
        <f t="shared" si="416"/>
        <v>0</v>
      </c>
      <c r="U104" s="569">
        <v>0.1</v>
      </c>
      <c r="V104" s="503"/>
      <c r="W104" s="500">
        <f t="shared" si="435"/>
        <v>0.37186560000000002</v>
      </c>
      <c r="X104" s="500">
        <f t="shared" si="234"/>
        <v>0.37186560000000002</v>
      </c>
      <c r="Y104" s="506">
        <f t="shared" si="436"/>
        <v>0.37186560000000002</v>
      </c>
      <c r="Z104" s="506">
        <f t="shared" si="437"/>
        <v>0</v>
      </c>
      <c r="AA104" s="506">
        <f t="shared" si="438"/>
        <v>0</v>
      </c>
      <c r="AB104" s="506">
        <f t="shared" si="439"/>
        <v>0</v>
      </c>
      <c r="AC104" s="506">
        <f t="shared" si="440"/>
        <v>0</v>
      </c>
      <c r="AD104" s="567">
        <f t="shared" si="441"/>
        <v>0</v>
      </c>
      <c r="AE104" s="568"/>
      <c r="AF104" s="514">
        <f t="shared" si="442"/>
        <v>0</v>
      </c>
      <c r="AG104" s="514">
        <f t="shared" si="443"/>
        <v>0</v>
      </c>
      <c r="AH104" s="514">
        <f t="shared" si="444"/>
        <v>0</v>
      </c>
      <c r="AI104" s="514">
        <f t="shared" si="445"/>
        <v>0</v>
      </c>
      <c r="AJ104" s="514">
        <f t="shared" si="446"/>
        <v>0</v>
      </c>
      <c r="AK104" s="501"/>
      <c r="AL104" s="578">
        <f t="shared" si="447"/>
        <v>1</v>
      </c>
      <c r="AM104" s="578">
        <f t="shared" si="448"/>
        <v>0</v>
      </c>
      <c r="AN104" s="570">
        <f t="shared" si="449"/>
        <v>0</v>
      </c>
      <c r="AO104" s="505"/>
      <c r="AP104" s="514">
        <f>COUNTIF('AR | Drawing List'!$G:$G,"AR-TXS-6")</f>
        <v>6</v>
      </c>
      <c r="AQ104" s="506">
        <f>COUNTIFS('AR | Drawing List'!$G:$G,"AR-TXS-6",'AR | Drawing List'!$I:$I,1)</f>
        <v>6</v>
      </c>
      <c r="AR104" s="506">
        <f t="shared" si="238"/>
        <v>0</v>
      </c>
      <c r="AS104" s="506">
        <f>COUNTIFS('AR | Drawing List'!$G:$G,"AR-TXS-6",'AR | Drawing List'!M:M,1)</f>
        <v>0</v>
      </c>
      <c r="AT104" s="506">
        <f>COUNTIFS('AR | Drawing List'!$G:$G,"AR-TXS-6",'AR | Drawing List'!N:N,1)</f>
        <v>0</v>
      </c>
      <c r="AU104" s="506">
        <f>COUNTIFS('AR | Drawing List'!$G:$G,"AR-TXS-6",'AR | Drawing List'!O:O,1)</f>
        <v>0</v>
      </c>
      <c r="AV104" s="506">
        <f>COUNTIFS('AR | Drawing List'!$G:$G,"AR-TXS-6",'AR | Drawing List'!P:P,1)</f>
        <v>0</v>
      </c>
      <c r="AW104" s="466"/>
      <c r="AX104" s="506">
        <f t="shared" si="450"/>
        <v>0</v>
      </c>
      <c r="AY104" s="506">
        <f>COUNTIFS('AR | Drawing List'!$G:$G,"AR-TXS-6",'AR | Drawing List'!R:R,1)</f>
        <v>0</v>
      </c>
      <c r="AZ104" s="506">
        <f>COUNTIFS('AR | Drawing List'!$G:$G,"AR-TXS-6",'AR | Drawing List'!S:S,1)</f>
        <v>0</v>
      </c>
      <c r="BA104" s="506">
        <f>COUNTIFS('AR | Drawing List'!$G:$G,"AR-TXS-6",'AR | Drawing List'!T:T,1)</f>
        <v>0</v>
      </c>
      <c r="BB104" s="506">
        <f>COUNTIFS('AR | Drawing List'!$G:$G,"AR-TXS-6",'AR | Drawing List'!U:U,1)</f>
        <v>0</v>
      </c>
      <c r="BC104" s="466"/>
      <c r="BD104" s="466"/>
      <c r="BE104" s="576">
        <v>0</v>
      </c>
      <c r="BF104" s="508"/>
      <c r="BG104" s="506">
        <f t="shared" si="451"/>
        <v>0</v>
      </c>
      <c r="BH104" s="510">
        <f t="shared" si="235"/>
        <v>0</v>
      </c>
      <c r="BI104" s="506">
        <f t="shared" si="452"/>
        <v>0</v>
      </c>
      <c r="BJ104" s="506">
        <f t="shared" si="453"/>
        <v>0</v>
      </c>
      <c r="BK104" s="506">
        <f t="shared" si="454"/>
        <v>0</v>
      </c>
      <c r="BL104" s="506">
        <f t="shared" si="455"/>
        <v>0</v>
      </c>
      <c r="BM104" s="506">
        <f t="shared" si="456"/>
        <v>0</v>
      </c>
      <c r="BN104" s="506">
        <f t="shared" si="457"/>
        <v>0</v>
      </c>
      <c r="BO104" s="530"/>
      <c r="BP104" s="514">
        <f t="shared" si="458"/>
        <v>0</v>
      </c>
      <c r="BQ104" s="514">
        <f t="shared" si="459"/>
        <v>0</v>
      </c>
      <c r="BR104" s="514">
        <f t="shared" si="460"/>
        <v>0</v>
      </c>
      <c r="BS104" s="514">
        <f t="shared" si="461"/>
        <v>0</v>
      </c>
      <c r="BT104" s="514">
        <f t="shared" si="462"/>
        <v>0</v>
      </c>
      <c r="BU104" s="501"/>
      <c r="BV104" s="571">
        <f t="shared" si="463"/>
        <v>0</v>
      </c>
      <c r="BW104" s="571">
        <f t="shared" si="464"/>
        <v>0</v>
      </c>
      <c r="BX104" s="571">
        <f t="shared" si="465"/>
        <v>0</v>
      </c>
      <c r="BY104" s="518"/>
      <c r="BZ104" s="514">
        <f>COUNTIF('ST | Drawing List'!$G:$G,"ST-TXS-6")</f>
        <v>0</v>
      </c>
      <c r="CA104" s="506">
        <f>COUNTIFS('ST | Drawing List'!$G:$G,"ST-TXS-6",'ST | Drawing List'!$I:$I,1)</f>
        <v>0</v>
      </c>
      <c r="CB104" s="506">
        <f>COUNTIFS('ST | Drawing List'!$G:$G,"ST-TXS-6",'ST | Drawing List'!$K:$K,1)</f>
        <v>0</v>
      </c>
      <c r="CC104" s="506">
        <f>COUNTIFS('ST | Drawing List'!$G:$G,"ST-TXS-6",'ST | Drawing List'!L:L,1)</f>
        <v>0</v>
      </c>
      <c r="CD104" s="506">
        <f>COUNTIFS('ST | Drawing List'!$G:$G,"ST-TXS-6",'ST | Drawing List'!M:M,1)</f>
        <v>0</v>
      </c>
      <c r="CE104" s="506">
        <f>COUNTIFS('ST | Drawing List'!$G:$G,"ST-TXS-6",'ST | Drawing List'!N:N,1)</f>
        <v>0</v>
      </c>
      <c r="CF104" s="506">
        <f>COUNTIFS('ST | Drawing List'!$G:$G,"ST-TXS-6",'ST | Drawing List'!O:O,1)</f>
        <v>0</v>
      </c>
      <c r="CG104" s="471"/>
      <c r="CH104" s="506">
        <f>COUNTIFS('ST | Drawing List'!$G:$G,"ST-TXS-6",'ST | Drawing List'!$P:$P,1)</f>
        <v>0</v>
      </c>
      <c r="CI104" s="506">
        <f>COUNTIFS('ST | Drawing List'!$G:$G,"ST-TXS-6",'ST | Drawing List'!Q:Q,1)</f>
        <v>0</v>
      </c>
      <c r="CJ104" s="506">
        <f>COUNTIFS('ST | Drawing List'!$G:$G,"ST-TXS-6",'ST | Drawing List'!R:R,1)</f>
        <v>0</v>
      </c>
      <c r="CK104" s="506">
        <f>COUNTIFS('ST | Drawing List'!$G:$G,"ST-TXS-6",'ST | Drawing List'!S:S,1)</f>
        <v>0</v>
      </c>
      <c r="CL104" s="506">
        <f>COUNTIFS('ST | Drawing List'!$G:$G,"ST-TXS-6",'ST | Drawing List'!T:T,1)</f>
        <v>0</v>
      </c>
      <c r="CM104" s="508"/>
      <c r="CN104" s="508"/>
      <c r="CO104" s="470">
        <v>0.1</v>
      </c>
      <c r="CP104" s="508"/>
      <c r="CQ104" s="506">
        <f t="shared" si="466"/>
        <v>2.1340799999999997E-2</v>
      </c>
      <c r="CR104" s="510">
        <f t="shared" si="236"/>
        <v>2.1340799999999997E-2</v>
      </c>
      <c r="CS104" s="506">
        <f t="shared" si="467"/>
        <v>2.1340799999999997E-2</v>
      </c>
      <c r="CT104" s="514">
        <f t="shared" si="468"/>
        <v>0</v>
      </c>
      <c r="CU104" s="514">
        <f t="shared" si="469"/>
        <v>0</v>
      </c>
      <c r="CV104" s="514">
        <f t="shared" si="470"/>
        <v>0</v>
      </c>
      <c r="CW104" s="514">
        <f t="shared" si="471"/>
        <v>0</v>
      </c>
      <c r="CX104" s="514">
        <f t="shared" si="472"/>
        <v>0</v>
      </c>
      <c r="CY104" s="501"/>
      <c r="CZ104" s="514">
        <f t="shared" si="473"/>
        <v>0</v>
      </c>
      <c r="DA104" s="514">
        <f t="shared" si="474"/>
        <v>0</v>
      </c>
      <c r="DB104" s="514">
        <f t="shared" si="475"/>
        <v>0</v>
      </c>
      <c r="DC104" s="514">
        <f t="shared" si="476"/>
        <v>0</v>
      </c>
      <c r="DD104" s="514">
        <f t="shared" si="477"/>
        <v>0</v>
      </c>
      <c r="DE104" s="501"/>
      <c r="DF104" s="570">
        <f t="shared" si="478"/>
        <v>1</v>
      </c>
      <c r="DG104" s="570">
        <f t="shared" si="479"/>
        <v>0</v>
      </c>
      <c r="DH104" s="570">
        <f t="shared" si="480"/>
        <v>0</v>
      </c>
      <c r="DI104" s="518"/>
      <c r="DJ104" s="514">
        <f>COUNTIF('MEP | Drawing List'!$G:$G,"MEP-T2S-6S-6")</f>
        <v>4</v>
      </c>
      <c r="DK104" s="506">
        <f>COUNTIFS('MEP | Drawing List'!$G:$G,"MEP-T2S-6S-6",'MEP | Drawing List'!$I:$I,1)</f>
        <v>4</v>
      </c>
      <c r="DL104" s="506">
        <f>COUNTIFS('MEP | Drawing List'!$G:$G,"MEP-T2S-6S-6",'MEP | Drawing List'!$K:$K,1)</f>
        <v>0</v>
      </c>
      <c r="DM104" s="506">
        <f>COUNTIFS('MEP | Drawing List'!$G:$G,"MEP-T2S-6S-6",'MEP | Drawing List'!L:L,1)</f>
        <v>0</v>
      </c>
      <c r="DN104" s="506">
        <f>COUNTIFS('MEP | Drawing List'!$G:$G,"MEP-T2S-6S-6",'MEP | Drawing List'!M:M,1)</f>
        <v>0</v>
      </c>
      <c r="DO104" s="506">
        <f>COUNTIFS('MEP | Drawing List'!$G:$G,"MEP-T2S-6S-6",'MEP | Drawing List'!N:N,1)</f>
        <v>0</v>
      </c>
      <c r="DP104" s="506">
        <f>COUNTIFS('MEP | Drawing List'!$G:$G,"MEP-T2S-6S-6",'MEP | Drawing List'!O:O,1)</f>
        <v>0</v>
      </c>
      <c r="DQ104" s="530"/>
      <c r="DR104" s="506">
        <f>COUNTIFS('MEP | Drawing List'!$G:$G,"MEP-T2S-6S-6",'MEP | Drawing List'!$P:$P,1)</f>
        <v>0</v>
      </c>
      <c r="DS104" s="506">
        <f>COUNTIFS('MEP | Drawing List'!$G:$G,"MEP-T2S-6S-6",'MEP | Drawing List'!Q:Q,1)</f>
        <v>0</v>
      </c>
      <c r="DT104" s="506">
        <f>COUNTIFS('MEP | Drawing List'!$G:$G,"MEP-T2S-6S-6",'MEP | Drawing List'!R:R,1)</f>
        <v>0</v>
      </c>
      <c r="DU104" s="506">
        <f>COUNTIFS('MEP | Drawing List'!$G:$G,"MEP-T2S-6S-6",'MEP | Drawing List'!S:S,1)</f>
        <v>0</v>
      </c>
      <c r="DV104" s="506">
        <f>COUNTIFS('MEP | Drawing List'!$G:$G,"MEP-T2S-6S-6",'MEP | Drawing List'!T:T,1)</f>
        <v>0</v>
      </c>
      <c r="DW104" s="508"/>
      <c r="DX104" s="508"/>
      <c r="DY104" s="470">
        <v>0.35</v>
      </c>
      <c r="DZ104" s="508"/>
      <c r="EA104" s="506">
        <f t="shared" si="481"/>
        <v>2.8959000000000002E-2</v>
      </c>
      <c r="EB104" s="510">
        <f t="shared" si="237"/>
        <v>2.8959000000000002E-2</v>
      </c>
      <c r="EC104" s="506">
        <f t="shared" si="482"/>
        <v>2.8959000000000002E-2</v>
      </c>
      <c r="ED104" s="506">
        <f t="shared" si="483"/>
        <v>0</v>
      </c>
      <c r="EE104" s="506">
        <f t="shared" si="484"/>
        <v>0</v>
      </c>
      <c r="EF104" s="506">
        <f t="shared" si="485"/>
        <v>0</v>
      </c>
      <c r="EG104" s="506">
        <f t="shared" si="486"/>
        <v>0</v>
      </c>
      <c r="EH104" s="506">
        <f t="shared" si="487"/>
        <v>0</v>
      </c>
      <c r="EI104" s="530"/>
      <c r="EJ104" s="567">
        <f t="shared" si="488"/>
        <v>0</v>
      </c>
      <c r="EK104" s="514">
        <f t="shared" si="489"/>
        <v>0</v>
      </c>
      <c r="EL104" s="514">
        <f t="shared" si="490"/>
        <v>0</v>
      </c>
      <c r="EM104" s="514">
        <f t="shared" si="491"/>
        <v>0</v>
      </c>
      <c r="EN104" s="514">
        <f t="shared" si="492"/>
        <v>0</v>
      </c>
      <c r="EO104" s="501"/>
      <c r="EP104" s="585">
        <f t="shared" si="493"/>
        <v>1</v>
      </c>
      <c r="EQ104" s="585">
        <f t="shared" si="494"/>
        <v>0</v>
      </c>
      <c r="ER104" s="585">
        <f t="shared" si="495"/>
        <v>0</v>
      </c>
      <c r="ET104" s="514">
        <f>COUNTIF('LS | Drawing List'!$G:$G,"LS-TXS-6")</f>
        <v>31</v>
      </c>
      <c r="EU104" s="506">
        <f>COUNTIFS('LS | Drawing List'!$G:$G,"LS-TXS-6",'LS | Drawing List'!$I:$I,1)</f>
        <v>31</v>
      </c>
      <c r="EV104" s="506">
        <f>COUNTIFS('LS | Drawing List'!$G:$G,"LS-TXS-6",'LS | Drawing List'!$K:$K,1)</f>
        <v>0</v>
      </c>
      <c r="EW104" s="506">
        <f>COUNTIFS('LS | Drawing List'!$G:$G,"LS-TXS-6",'LS | Drawing List'!L:L,1)</f>
        <v>0</v>
      </c>
      <c r="EX104" s="506">
        <f>COUNTIFS('LS | Drawing List'!$G:$G,"LS-TXS-6",'LS | Drawing List'!M:M,1)</f>
        <v>0</v>
      </c>
      <c r="EY104" s="506">
        <f>COUNTIFS('LS | Drawing List'!$G:$G,"LS-TXS-6",'LS | Drawing List'!N:N,1)</f>
        <v>0</v>
      </c>
      <c r="EZ104" s="506">
        <f>COUNTIFS('LS | Drawing List'!$G:$G,"LS-TXS-6",'LS | Drawing List'!O:O,1)</f>
        <v>0</v>
      </c>
      <c r="FA104" s="533"/>
      <c r="FB104" s="506">
        <f>COUNTIFS('LS | Drawing List'!$G:$G,"LS-TXS-6",'LS | Drawing List'!$P:$P,1)</f>
        <v>0</v>
      </c>
      <c r="FC104" s="506">
        <f>COUNTIFS('LS | Drawing List'!$G:$G,"LS-TXS-6",'LS | Drawing List'!Q:Q,1)</f>
        <v>0</v>
      </c>
      <c r="FD104" s="506">
        <f>COUNTIFS('LS | Drawing List'!$G:$G,"LS-TXS-6",'LS | Drawing List'!R:R,1)</f>
        <v>0</v>
      </c>
      <c r="FE104" s="506">
        <f>COUNTIFS('LS | Drawing List'!$G:$G,"LS-TXS-6",'LS | Drawing List'!S:S,1)</f>
        <v>0</v>
      </c>
      <c r="FF104" s="506">
        <f>COUNTIFS('LS | Drawing List'!$G:$G,"LS-TXS-6",'LS | Drawing List'!T:T,1)</f>
        <v>0</v>
      </c>
    </row>
    <row r="105" spans="2:162" ht="14.25" outlineLevel="2">
      <c r="B105" s="564" t="s">
        <v>113</v>
      </c>
      <c r="C105" s="565">
        <v>7</v>
      </c>
      <c r="D105" s="566" t="s">
        <v>67</v>
      </c>
      <c r="F105" s="500">
        <f t="shared" si="432"/>
        <v>0.28051866000000003</v>
      </c>
      <c r="G105" s="500">
        <f t="shared" si="433"/>
        <v>0.28051866000000003</v>
      </c>
      <c r="H105" s="514">
        <f t="shared" si="434"/>
        <v>0</v>
      </c>
      <c r="I105" s="514">
        <f t="shared" si="407"/>
        <v>0</v>
      </c>
      <c r="J105" s="514">
        <f t="shared" si="408"/>
        <v>0</v>
      </c>
      <c r="K105" s="514">
        <f t="shared" si="409"/>
        <v>0</v>
      </c>
      <c r="L105" s="514">
        <f t="shared" si="410"/>
        <v>0</v>
      </c>
      <c r="M105" s="567">
        <f t="shared" si="411"/>
        <v>0</v>
      </c>
      <c r="N105" s="568"/>
      <c r="O105" s="514">
        <f t="shared" si="412"/>
        <v>0</v>
      </c>
      <c r="P105" s="514">
        <f t="shared" si="413"/>
        <v>0</v>
      </c>
      <c r="Q105" s="514">
        <f t="shared" si="414"/>
        <v>0</v>
      </c>
      <c r="R105" s="514">
        <f t="shared" si="415"/>
        <v>0</v>
      </c>
      <c r="S105" s="514">
        <f t="shared" si="416"/>
        <v>0</v>
      </c>
      <c r="U105" s="569">
        <v>2.5000000000000001E-2</v>
      </c>
      <c r="V105" s="503"/>
      <c r="W105" s="500">
        <f t="shared" si="435"/>
        <v>9.2966400000000005E-2</v>
      </c>
      <c r="X105" s="500">
        <f t="shared" si="234"/>
        <v>9.2966400000000005E-2</v>
      </c>
      <c r="Y105" s="506">
        <f t="shared" si="436"/>
        <v>9.2966400000000005E-2</v>
      </c>
      <c r="Z105" s="506">
        <f t="shared" si="437"/>
        <v>0</v>
      </c>
      <c r="AA105" s="506">
        <f t="shared" si="438"/>
        <v>0</v>
      </c>
      <c r="AB105" s="506">
        <f t="shared" si="439"/>
        <v>0</v>
      </c>
      <c r="AC105" s="506">
        <f t="shared" si="440"/>
        <v>0</v>
      </c>
      <c r="AD105" s="567">
        <f t="shared" si="441"/>
        <v>0</v>
      </c>
      <c r="AE105" s="568"/>
      <c r="AF105" s="514">
        <f t="shared" si="442"/>
        <v>0</v>
      </c>
      <c r="AG105" s="514">
        <f t="shared" si="443"/>
        <v>0</v>
      </c>
      <c r="AH105" s="514">
        <f t="shared" si="444"/>
        <v>0</v>
      </c>
      <c r="AI105" s="514">
        <f t="shared" si="445"/>
        <v>0</v>
      </c>
      <c r="AJ105" s="514">
        <f t="shared" si="446"/>
        <v>0</v>
      </c>
      <c r="AK105" s="501"/>
      <c r="AL105" s="578">
        <f t="shared" si="447"/>
        <v>1</v>
      </c>
      <c r="AM105" s="578">
        <f t="shared" si="448"/>
        <v>0</v>
      </c>
      <c r="AN105" s="570">
        <f t="shared" si="449"/>
        <v>0</v>
      </c>
      <c r="AO105" s="505"/>
      <c r="AP105" s="514">
        <f>COUNTIF('AR | Drawing List'!$G:$G,"AR-TXS-7")</f>
        <v>1</v>
      </c>
      <c r="AQ105" s="506">
        <f>COUNTIFS('AR | Drawing List'!$G:$G,"AR-TXS-7",'AR | Drawing List'!$I:$I,1)</f>
        <v>1</v>
      </c>
      <c r="AR105" s="506">
        <f t="shared" si="238"/>
        <v>0</v>
      </c>
      <c r="AS105" s="506">
        <f>COUNTIFS('AR | Drawing List'!$G:$G,"AR-TXS-7",'AR | Drawing List'!M:M,1)</f>
        <v>0</v>
      </c>
      <c r="AT105" s="506">
        <f>COUNTIFS('AR | Drawing List'!$G:$G,"AR-TXS-7",'AR | Drawing List'!N:N,1)</f>
        <v>0</v>
      </c>
      <c r="AU105" s="506">
        <f>COUNTIFS('AR | Drawing List'!$G:$G,"AR-TXS-7",'AR | Drawing List'!O:O,1)</f>
        <v>0</v>
      </c>
      <c r="AV105" s="506">
        <f>COUNTIFS('AR | Drawing List'!$G:$G,"AR-TXS-7",'AR | Drawing List'!P:P,1)</f>
        <v>0</v>
      </c>
      <c r="AW105" s="466"/>
      <c r="AX105" s="506">
        <f t="shared" si="450"/>
        <v>0</v>
      </c>
      <c r="AY105" s="506">
        <f>COUNTIFS('AR | Drawing List'!$G:$G,"AR-TXS-7",'AR | Drawing List'!R:R,1)</f>
        <v>0</v>
      </c>
      <c r="AZ105" s="506">
        <f>COUNTIFS('AR | Drawing List'!$G:$G,"AR-TXS-7",'AR | Drawing List'!S:S,1)</f>
        <v>0</v>
      </c>
      <c r="BA105" s="506">
        <f>COUNTIFS('AR | Drawing List'!$G:$G,"AR-TXS-7",'AR | Drawing List'!T:T,1)</f>
        <v>0</v>
      </c>
      <c r="BB105" s="506">
        <f>COUNTIFS('AR | Drawing List'!$G:$G,"AR-TXS-7",'AR | Drawing List'!U:U,1)</f>
        <v>0</v>
      </c>
      <c r="BC105" s="466"/>
      <c r="BD105" s="466"/>
      <c r="BE105" s="607">
        <v>0.1</v>
      </c>
      <c r="BF105" s="508"/>
      <c r="BG105" s="506">
        <f t="shared" si="451"/>
        <v>0.15554106000000001</v>
      </c>
      <c r="BH105" s="510">
        <f t="shared" si="235"/>
        <v>0.15554106000000001</v>
      </c>
      <c r="BI105" s="506">
        <f t="shared" si="452"/>
        <v>0.15554106000000001</v>
      </c>
      <c r="BJ105" s="506">
        <f t="shared" si="453"/>
        <v>0</v>
      </c>
      <c r="BK105" s="506">
        <f t="shared" si="454"/>
        <v>0</v>
      </c>
      <c r="BL105" s="506">
        <f t="shared" si="455"/>
        <v>0</v>
      </c>
      <c r="BM105" s="506">
        <f t="shared" si="456"/>
        <v>0</v>
      </c>
      <c r="BN105" s="506">
        <f t="shared" si="457"/>
        <v>0</v>
      </c>
      <c r="BO105" s="530"/>
      <c r="BP105" s="514">
        <f t="shared" si="458"/>
        <v>0</v>
      </c>
      <c r="BQ105" s="514">
        <f t="shared" si="459"/>
        <v>0</v>
      </c>
      <c r="BR105" s="514">
        <f t="shared" si="460"/>
        <v>0</v>
      </c>
      <c r="BS105" s="514">
        <f t="shared" si="461"/>
        <v>0</v>
      </c>
      <c r="BT105" s="514">
        <f t="shared" si="462"/>
        <v>0</v>
      </c>
      <c r="BU105" s="501"/>
      <c r="BV105" s="571">
        <f t="shared" si="463"/>
        <v>1</v>
      </c>
      <c r="BW105" s="571">
        <f t="shared" si="464"/>
        <v>0</v>
      </c>
      <c r="BX105" s="571">
        <f t="shared" si="465"/>
        <v>0</v>
      </c>
      <c r="BY105" s="518"/>
      <c r="BZ105" s="514">
        <f>COUNTIF('ST | Drawing List'!$G:$G,"ST-TXS-7")</f>
        <v>17</v>
      </c>
      <c r="CA105" s="506">
        <f>COUNTIFS('ST | Drawing List'!$G:$G,"ST-TXS-7",'ST | Drawing List'!$I:$I,1)</f>
        <v>17</v>
      </c>
      <c r="CB105" s="506">
        <f>COUNTIFS('ST | Drawing List'!$G:$G,"ST-TXS-7",'ST | Drawing List'!$K:$K,1)</f>
        <v>0</v>
      </c>
      <c r="CC105" s="506">
        <f>COUNTIFS('ST | Drawing List'!$G:$G,"ST-TXS-7",'ST | Drawing List'!L:L,1)</f>
        <v>0</v>
      </c>
      <c r="CD105" s="506">
        <f>COUNTIFS('ST | Drawing List'!$G:$G,"ST-TXS-7",'ST | Drawing List'!M:M,1)</f>
        <v>0</v>
      </c>
      <c r="CE105" s="506">
        <f>COUNTIFS('ST | Drawing List'!$G:$G,"ST-TXS-7",'ST | Drawing List'!N:N,1)</f>
        <v>0</v>
      </c>
      <c r="CF105" s="506">
        <f>COUNTIFS('ST | Drawing List'!$G:$G,"ST-TXS-7",'ST | Drawing List'!O:O,1)</f>
        <v>0</v>
      </c>
      <c r="CG105" s="471"/>
      <c r="CH105" s="506">
        <f>COUNTIFS('ST | Drawing List'!$G:$G,"ST-TXS-7",'ST | Drawing List'!$P:$P,1)</f>
        <v>0</v>
      </c>
      <c r="CI105" s="506">
        <f>COUNTIFS('ST | Drawing List'!$G:$G,"ST-TXS-7",'ST | Drawing List'!Q:Q,1)</f>
        <v>0</v>
      </c>
      <c r="CJ105" s="506">
        <f>COUNTIFS('ST | Drawing List'!$G:$G,"ST-TXS-7",'ST | Drawing List'!R:R,1)</f>
        <v>0</v>
      </c>
      <c r="CK105" s="506">
        <f>COUNTIFS('ST | Drawing List'!$G:$G,"ST-TXS-7",'ST | Drawing List'!S:S,1)</f>
        <v>0</v>
      </c>
      <c r="CL105" s="506">
        <f>COUNTIFS('ST | Drawing List'!$G:$G,"ST-TXS-7",'ST | Drawing List'!T:T,1)</f>
        <v>0</v>
      </c>
      <c r="CM105" s="508"/>
      <c r="CN105" s="508"/>
      <c r="CO105" s="470">
        <v>0.15</v>
      </c>
      <c r="CP105" s="508"/>
      <c r="CQ105" s="506">
        <f t="shared" si="466"/>
        <v>3.201119999999999E-2</v>
      </c>
      <c r="CR105" s="510">
        <f t="shared" si="236"/>
        <v>3.201119999999999E-2</v>
      </c>
      <c r="CS105" s="506">
        <f t="shared" si="467"/>
        <v>3.201119999999999E-2</v>
      </c>
      <c r="CT105" s="514">
        <f t="shared" si="468"/>
        <v>0</v>
      </c>
      <c r="CU105" s="514">
        <f t="shared" si="469"/>
        <v>0</v>
      </c>
      <c r="CV105" s="514">
        <f t="shared" si="470"/>
        <v>0</v>
      </c>
      <c r="CW105" s="514">
        <f t="shared" si="471"/>
        <v>0</v>
      </c>
      <c r="CX105" s="514">
        <f t="shared" si="472"/>
        <v>0</v>
      </c>
      <c r="CY105" s="501"/>
      <c r="CZ105" s="514">
        <f t="shared" si="473"/>
        <v>0</v>
      </c>
      <c r="DA105" s="514">
        <f t="shared" si="474"/>
        <v>0</v>
      </c>
      <c r="DB105" s="514">
        <f t="shared" si="475"/>
        <v>0</v>
      </c>
      <c r="DC105" s="514">
        <f t="shared" si="476"/>
        <v>0</v>
      </c>
      <c r="DD105" s="514">
        <f t="shared" si="477"/>
        <v>0</v>
      </c>
      <c r="DE105" s="501"/>
      <c r="DF105" s="570">
        <f t="shared" si="478"/>
        <v>1</v>
      </c>
      <c r="DG105" s="570">
        <f t="shared" si="479"/>
        <v>0</v>
      </c>
      <c r="DH105" s="570">
        <f t="shared" si="480"/>
        <v>0</v>
      </c>
      <c r="DI105" s="518"/>
      <c r="DJ105" s="514">
        <f>COUNTIF('MEP | Drawing List'!$G:$G,"MEP-T2S-6S-7")</f>
        <v>8</v>
      </c>
      <c r="DK105" s="506">
        <f>COUNTIFS('MEP | Drawing List'!$G:$G,"MEP-T2S-6S-7",'MEP | Drawing List'!$I:$I,1)</f>
        <v>8</v>
      </c>
      <c r="DL105" s="506">
        <f>COUNTIFS('MEP | Drawing List'!$G:$G,"MEP-T2S-6S-7",'MEP | Drawing List'!$K:$K,1)</f>
        <v>0</v>
      </c>
      <c r="DM105" s="506">
        <f>COUNTIFS('MEP | Drawing List'!$G:$G,"MEP-T2S-6S-7",'MEP | Drawing List'!L:L,1)</f>
        <v>0</v>
      </c>
      <c r="DN105" s="506">
        <f>COUNTIFS('MEP | Drawing List'!$G:$G,"MEP-T2S-6S-7",'MEP | Drawing List'!M:M,1)</f>
        <v>0</v>
      </c>
      <c r="DO105" s="506">
        <f>COUNTIFS('MEP | Drawing List'!$G:$G,"MEP-T2S-6S-7",'MEP | Drawing List'!N:N,1)</f>
        <v>0</v>
      </c>
      <c r="DP105" s="506">
        <f>COUNTIFS('MEP | Drawing List'!$G:$G,"MEP-T2S-6S-7",'MEP | Drawing List'!O:O,1)</f>
        <v>0</v>
      </c>
      <c r="DQ105" s="530"/>
      <c r="DR105" s="506">
        <f>COUNTIFS('MEP | Drawing List'!$G:$G,"MEP-T2S-6S-7",'MEP | Drawing List'!$P:$P,1)</f>
        <v>0</v>
      </c>
      <c r="DS105" s="506">
        <f>COUNTIFS('MEP | Drawing List'!$G:$G,"MEP-T2S-6S-7",'MEP | Drawing List'!Q:Q,1)</f>
        <v>0</v>
      </c>
      <c r="DT105" s="506">
        <f>COUNTIFS('MEP | Drawing List'!$G:$G,"MEP-T2S-6S-7",'MEP | Drawing List'!R:R,1)</f>
        <v>0</v>
      </c>
      <c r="DU105" s="506">
        <f>COUNTIFS('MEP | Drawing List'!$G:$G,"MEP-T2S-6S-7",'MEP | Drawing List'!S:S,1)</f>
        <v>0</v>
      </c>
      <c r="DV105" s="506">
        <f>COUNTIFS('MEP | Drawing List'!$G:$G,"MEP-T2S-6S-7",'MEP | Drawing List'!T:T,1)</f>
        <v>0</v>
      </c>
      <c r="DW105" s="508"/>
      <c r="DX105" s="508"/>
      <c r="DY105" s="470">
        <v>0</v>
      </c>
      <c r="DZ105" s="508"/>
      <c r="EA105" s="506">
        <f t="shared" si="481"/>
        <v>0</v>
      </c>
      <c r="EB105" s="510">
        <f t="shared" si="237"/>
        <v>0</v>
      </c>
      <c r="EC105" s="506">
        <f t="shared" si="482"/>
        <v>0</v>
      </c>
      <c r="ED105" s="506">
        <f t="shared" si="483"/>
        <v>0</v>
      </c>
      <c r="EE105" s="506">
        <f t="shared" si="484"/>
        <v>0</v>
      </c>
      <c r="EF105" s="506">
        <f t="shared" si="485"/>
        <v>0</v>
      </c>
      <c r="EG105" s="506">
        <f t="shared" si="486"/>
        <v>0</v>
      </c>
      <c r="EH105" s="506">
        <f t="shared" si="487"/>
        <v>0</v>
      </c>
      <c r="EI105" s="530"/>
      <c r="EJ105" s="567">
        <f t="shared" si="488"/>
        <v>0</v>
      </c>
      <c r="EK105" s="514">
        <f t="shared" si="489"/>
        <v>0</v>
      </c>
      <c r="EL105" s="514">
        <f t="shared" si="490"/>
        <v>0</v>
      </c>
      <c r="EM105" s="514">
        <f t="shared" si="491"/>
        <v>0</v>
      </c>
      <c r="EN105" s="514">
        <f t="shared" si="492"/>
        <v>0</v>
      </c>
      <c r="EO105" s="501"/>
      <c r="EP105" s="585">
        <f t="shared" si="493"/>
        <v>0</v>
      </c>
      <c r="EQ105" s="585">
        <f t="shared" si="494"/>
        <v>0</v>
      </c>
      <c r="ER105" s="585">
        <f t="shared" si="495"/>
        <v>0</v>
      </c>
      <c r="ET105" s="514">
        <f>COUNTIF('LS | Drawing List'!$G:$G,"LS-TXS-7")</f>
        <v>0</v>
      </c>
      <c r="EU105" s="506">
        <f>COUNTIFS('LS | Drawing List'!$G:$G,"LS-TXS-7",'LS | Drawing List'!$I:$I,1)</f>
        <v>0</v>
      </c>
      <c r="EV105" s="506">
        <f>COUNTIFS('LS | Drawing List'!$G:$G,"LS-TXS-7",'LS | Drawing List'!$K:$K,1)</f>
        <v>0</v>
      </c>
      <c r="EW105" s="506">
        <f>COUNTIFS('LS | Drawing List'!$G:$G,"LS-TXS-7",'LS | Drawing List'!L:L,1)</f>
        <v>0</v>
      </c>
      <c r="EX105" s="506">
        <f>COUNTIFS('LS | Drawing List'!$G:$G,"LS-TXS-7",'LS | Drawing List'!M:M,1)</f>
        <v>0</v>
      </c>
      <c r="EY105" s="506">
        <f>COUNTIFS('LS | Drawing List'!$G:$G,"LS-TXS-7",'LS | Drawing List'!N:N,1)</f>
        <v>0</v>
      </c>
      <c r="EZ105" s="506">
        <f>COUNTIFS('LS | Drawing List'!$G:$G,"LS-TXS-7",'LS | Drawing List'!O:O,1)</f>
        <v>0</v>
      </c>
      <c r="FA105" s="533"/>
      <c r="FB105" s="506">
        <f>COUNTIFS('LS | Drawing List'!$G:$G,"LS-TXS-7",'LS | Drawing List'!$P:$P,1)</f>
        <v>0</v>
      </c>
      <c r="FC105" s="506">
        <f>COUNTIFS('LS | Drawing List'!$G:$G,"LS-TXS-7",'LS | Drawing List'!Q:Q,1)</f>
        <v>0</v>
      </c>
      <c r="FD105" s="506">
        <f>COUNTIFS('LS | Drawing List'!$G:$G,"LS-TXS-7",'LS | Drawing List'!R:R,1)</f>
        <v>0</v>
      </c>
      <c r="FE105" s="506">
        <f>COUNTIFS('LS | Drawing List'!$G:$G,"LS-TXS-7",'LS | Drawing List'!S:S,1)</f>
        <v>0</v>
      </c>
      <c r="FF105" s="506">
        <f>COUNTIFS('LS | Drawing List'!$G:$G,"LS-TXS-7",'LS | Drawing List'!T:T,1)</f>
        <v>0</v>
      </c>
    </row>
    <row r="106" spans="2:162" ht="14.25" outlineLevel="2">
      <c r="B106" s="564" t="s">
        <v>114</v>
      </c>
      <c r="C106" s="565">
        <v>8</v>
      </c>
      <c r="D106" s="566" t="s">
        <v>69</v>
      </c>
      <c r="F106" s="500">
        <f t="shared" si="432"/>
        <v>0.28051866000000003</v>
      </c>
      <c r="G106" s="500">
        <f t="shared" si="433"/>
        <v>0.28051866000000003</v>
      </c>
      <c r="H106" s="514">
        <f t="shared" si="434"/>
        <v>0</v>
      </c>
      <c r="I106" s="514">
        <f t="shared" si="407"/>
        <v>0</v>
      </c>
      <c r="J106" s="514">
        <f t="shared" si="408"/>
        <v>0</v>
      </c>
      <c r="K106" s="514">
        <f t="shared" si="409"/>
        <v>0</v>
      </c>
      <c r="L106" s="514">
        <f t="shared" si="410"/>
        <v>0</v>
      </c>
      <c r="M106" s="567">
        <f t="shared" si="411"/>
        <v>0</v>
      </c>
      <c r="N106" s="568"/>
      <c r="O106" s="514">
        <f t="shared" si="412"/>
        <v>0</v>
      </c>
      <c r="P106" s="514">
        <f t="shared" si="413"/>
        <v>0</v>
      </c>
      <c r="Q106" s="514">
        <f t="shared" si="414"/>
        <v>0</v>
      </c>
      <c r="R106" s="514">
        <f t="shared" si="415"/>
        <v>0</v>
      </c>
      <c r="S106" s="514">
        <f t="shared" si="416"/>
        <v>0</v>
      </c>
      <c r="U106" s="569">
        <v>2.5000000000000001E-2</v>
      </c>
      <c r="V106" s="503"/>
      <c r="W106" s="500">
        <f t="shared" si="435"/>
        <v>9.2966400000000005E-2</v>
      </c>
      <c r="X106" s="500">
        <f t="shared" si="234"/>
        <v>9.2966400000000005E-2</v>
      </c>
      <c r="Y106" s="506">
        <f t="shared" si="436"/>
        <v>9.2966400000000005E-2</v>
      </c>
      <c r="Z106" s="506">
        <f t="shared" si="437"/>
        <v>0</v>
      </c>
      <c r="AA106" s="506">
        <f t="shared" si="438"/>
        <v>0</v>
      </c>
      <c r="AB106" s="506">
        <f t="shared" si="439"/>
        <v>0</v>
      </c>
      <c r="AC106" s="506">
        <f t="shared" si="440"/>
        <v>0</v>
      </c>
      <c r="AD106" s="567">
        <f t="shared" si="441"/>
        <v>0</v>
      </c>
      <c r="AE106" s="568"/>
      <c r="AF106" s="514">
        <f t="shared" si="442"/>
        <v>0</v>
      </c>
      <c r="AG106" s="514">
        <f t="shared" si="443"/>
        <v>0</v>
      </c>
      <c r="AH106" s="514">
        <f t="shared" si="444"/>
        <v>0</v>
      </c>
      <c r="AI106" s="514">
        <f t="shared" si="445"/>
        <v>0</v>
      </c>
      <c r="AJ106" s="514">
        <f t="shared" si="446"/>
        <v>0</v>
      </c>
      <c r="AK106" s="501"/>
      <c r="AL106" s="578">
        <f t="shared" si="447"/>
        <v>1</v>
      </c>
      <c r="AM106" s="578">
        <f t="shared" si="448"/>
        <v>0</v>
      </c>
      <c r="AN106" s="570">
        <f t="shared" si="449"/>
        <v>0</v>
      </c>
      <c r="AO106" s="505"/>
      <c r="AP106" s="514">
        <f>COUNTIF('AR | Drawing List'!$G:$G,"AR-TXS-8")</f>
        <v>1</v>
      </c>
      <c r="AQ106" s="506">
        <f>COUNTIFS('AR | Drawing List'!$G:$G,"AR-TXS-8",'AR | Drawing List'!$I:$I,1)</f>
        <v>1</v>
      </c>
      <c r="AR106" s="506">
        <f t="shared" si="238"/>
        <v>0</v>
      </c>
      <c r="AS106" s="506">
        <f>COUNTIFS('AR | Drawing List'!$G:$G,"AR-TXS-8",'AR | Drawing List'!M:M,1)</f>
        <v>0</v>
      </c>
      <c r="AT106" s="506">
        <f>COUNTIFS('AR | Drawing List'!$G:$G,"AR-TXS-8",'AR | Drawing List'!N:N,1)</f>
        <v>0</v>
      </c>
      <c r="AU106" s="506">
        <f>COUNTIFS('AR | Drawing List'!$G:$G,"AR-TXS-8",'AR | Drawing List'!O:O,1)</f>
        <v>0</v>
      </c>
      <c r="AV106" s="506">
        <f>COUNTIFS('AR | Drawing List'!$G:$G,"AR-TXS-8",'AR | Drawing List'!P:P,1)</f>
        <v>0</v>
      </c>
      <c r="AW106" s="466"/>
      <c r="AX106" s="506">
        <f t="shared" si="450"/>
        <v>0</v>
      </c>
      <c r="AY106" s="506">
        <f>COUNTIFS('AR | Drawing List'!$G:$G,"AR-TXS-8",'AR | Drawing List'!R:R,1)</f>
        <v>0</v>
      </c>
      <c r="AZ106" s="506">
        <f>COUNTIFS('AR | Drawing List'!$G:$G,"AR-TXS-8",'AR | Drawing List'!S:S,1)</f>
        <v>0</v>
      </c>
      <c r="BA106" s="506">
        <f>COUNTIFS('AR | Drawing List'!$G:$G,"AR-TXS-8",'AR | Drawing List'!T:T,1)</f>
        <v>0</v>
      </c>
      <c r="BB106" s="506">
        <f>COUNTIFS('AR | Drawing List'!$G:$G,"AR-TXS-8",'AR | Drawing List'!U:U,1)</f>
        <v>0</v>
      </c>
      <c r="BC106" s="551"/>
      <c r="BD106" s="551"/>
      <c r="BE106" s="607">
        <v>0.1</v>
      </c>
      <c r="BF106" s="508"/>
      <c r="BG106" s="506">
        <f t="shared" si="451"/>
        <v>0.15554106000000001</v>
      </c>
      <c r="BH106" s="510">
        <f t="shared" si="235"/>
        <v>0.15554106000000001</v>
      </c>
      <c r="BI106" s="506">
        <f t="shared" si="452"/>
        <v>0.15554106000000001</v>
      </c>
      <c r="BJ106" s="506">
        <f t="shared" si="453"/>
        <v>0</v>
      </c>
      <c r="BK106" s="506">
        <f t="shared" si="454"/>
        <v>0</v>
      </c>
      <c r="BL106" s="506">
        <f t="shared" si="455"/>
        <v>0</v>
      </c>
      <c r="BM106" s="506">
        <f t="shared" si="456"/>
        <v>0</v>
      </c>
      <c r="BN106" s="506">
        <f t="shared" si="457"/>
        <v>0</v>
      </c>
      <c r="BO106" s="530"/>
      <c r="BP106" s="514">
        <f t="shared" si="458"/>
        <v>0</v>
      </c>
      <c r="BQ106" s="514">
        <f t="shared" si="459"/>
        <v>0</v>
      </c>
      <c r="BR106" s="514">
        <f t="shared" si="460"/>
        <v>0</v>
      </c>
      <c r="BS106" s="514">
        <f t="shared" si="461"/>
        <v>0</v>
      </c>
      <c r="BT106" s="514">
        <f t="shared" si="462"/>
        <v>0</v>
      </c>
      <c r="BU106" s="501"/>
      <c r="BV106" s="571">
        <f t="shared" si="463"/>
        <v>1</v>
      </c>
      <c r="BW106" s="571">
        <f t="shared" si="464"/>
        <v>0</v>
      </c>
      <c r="BX106" s="571">
        <f t="shared" si="465"/>
        <v>0</v>
      </c>
      <c r="BY106" s="518"/>
      <c r="BZ106" s="514">
        <f>COUNTIF('ST | Drawing List'!$G:$G,"ST-TXS-8")</f>
        <v>19</v>
      </c>
      <c r="CA106" s="506">
        <f>COUNTIFS('ST | Drawing List'!$G:$G,"ST-TXS-8",'ST | Drawing List'!$I:$I,1)</f>
        <v>19</v>
      </c>
      <c r="CB106" s="506">
        <f>COUNTIFS('ST | Drawing List'!$G:$G,"ST-TXS-8",'ST | Drawing List'!$K:$K,1)</f>
        <v>0</v>
      </c>
      <c r="CC106" s="506">
        <f>COUNTIFS('ST | Drawing List'!$G:$G,"ST-TXS-8",'ST | Drawing List'!L:L,1)</f>
        <v>0</v>
      </c>
      <c r="CD106" s="506">
        <f>COUNTIFS('ST | Drawing List'!$G:$G,"ST-TXS-8",'ST | Drawing List'!M:M,1)</f>
        <v>0</v>
      </c>
      <c r="CE106" s="506">
        <f>COUNTIFS('ST | Drawing List'!$G:$G,"ST-TXS-8",'ST | Drawing List'!N:N,1)</f>
        <v>0</v>
      </c>
      <c r="CF106" s="506">
        <f>COUNTIFS('ST | Drawing List'!$G:$G,"ST-TXS-8",'ST | Drawing List'!O:O,1)</f>
        <v>0</v>
      </c>
      <c r="CG106" s="471"/>
      <c r="CH106" s="506">
        <f>COUNTIFS('ST | Drawing List'!$G:$G,"ST-TXS-8",'ST | Drawing List'!$P:$P,1)</f>
        <v>0</v>
      </c>
      <c r="CI106" s="506">
        <f>COUNTIFS('ST | Drawing List'!$G:$G,"ST-TXS-8",'ST | Drawing List'!Q:Q,1)</f>
        <v>0</v>
      </c>
      <c r="CJ106" s="506">
        <f>COUNTIFS('ST | Drawing List'!$G:$G,"ST-TXS-8",'ST | Drawing List'!R:R,1)</f>
        <v>0</v>
      </c>
      <c r="CK106" s="506">
        <f>COUNTIFS('ST | Drawing List'!$G:$G,"ST-TXS-8",'ST | Drawing List'!S:S,1)</f>
        <v>0</v>
      </c>
      <c r="CL106" s="506">
        <f>COUNTIFS('ST | Drawing List'!$G:$G,"ST-TXS-8",'ST | Drawing List'!T:T,1)</f>
        <v>0</v>
      </c>
      <c r="CM106" s="508"/>
      <c r="CN106" s="508"/>
      <c r="CO106" s="470">
        <v>0.15</v>
      </c>
      <c r="CP106" s="508"/>
      <c r="CQ106" s="506">
        <f t="shared" si="466"/>
        <v>3.201119999999999E-2</v>
      </c>
      <c r="CR106" s="510">
        <f t="shared" si="236"/>
        <v>3.201119999999999E-2</v>
      </c>
      <c r="CS106" s="506">
        <f t="shared" si="467"/>
        <v>3.201119999999999E-2</v>
      </c>
      <c r="CT106" s="514">
        <f t="shared" si="468"/>
        <v>0</v>
      </c>
      <c r="CU106" s="514">
        <f t="shared" si="469"/>
        <v>0</v>
      </c>
      <c r="CV106" s="514">
        <f t="shared" si="470"/>
        <v>0</v>
      </c>
      <c r="CW106" s="514">
        <f t="shared" si="471"/>
        <v>0</v>
      </c>
      <c r="CX106" s="514">
        <f t="shared" si="472"/>
        <v>0</v>
      </c>
      <c r="CY106" s="501"/>
      <c r="CZ106" s="514">
        <f t="shared" si="473"/>
        <v>0</v>
      </c>
      <c r="DA106" s="514">
        <f t="shared" si="474"/>
        <v>0</v>
      </c>
      <c r="DB106" s="514">
        <f t="shared" si="475"/>
        <v>0</v>
      </c>
      <c r="DC106" s="514">
        <f t="shared" si="476"/>
        <v>0</v>
      </c>
      <c r="DD106" s="514">
        <f t="shared" si="477"/>
        <v>0</v>
      </c>
      <c r="DE106" s="501"/>
      <c r="DF106" s="570">
        <f t="shared" si="478"/>
        <v>1</v>
      </c>
      <c r="DG106" s="570">
        <f t="shared" si="479"/>
        <v>0</v>
      </c>
      <c r="DH106" s="570">
        <f t="shared" si="480"/>
        <v>0</v>
      </c>
      <c r="DI106" s="518"/>
      <c r="DJ106" s="514">
        <f>COUNTIF('MEP | Drawing List'!$G:$G,"MEP-T2S-6S-8")</f>
        <v>3</v>
      </c>
      <c r="DK106" s="506">
        <f>COUNTIFS('MEP | Drawing List'!$G:$G,"MEP-T2S-6S-8",'MEP | Drawing List'!$I:$I,1)</f>
        <v>3</v>
      </c>
      <c r="DL106" s="506">
        <f>COUNTIFS('MEP | Drawing List'!$G:$G,"MEP-T2S-6S-8",'MEP | Drawing List'!$K:$K,1)</f>
        <v>0</v>
      </c>
      <c r="DM106" s="506">
        <f>COUNTIFS('MEP | Drawing List'!$G:$G,"MEP-T2S-6S-8",'MEP | Drawing List'!L:L,1)</f>
        <v>0</v>
      </c>
      <c r="DN106" s="506">
        <f>COUNTIFS('MEP | Drawing List'!$G:$G,"MEP-T2S-6S-8",'MEP | Drawing List'!M:M,1)</f>
        <v>0</v>
      </c>
      <c r="DO106" s="506">
        <f>COUNTIFS('MEP | Drawing List'!$G:$G,"MEP-T2S-6S-8",'MEP | Drawing List'!N:N,1)</f>
        <v>0</v>
      </c>
      <c r="DP106" s="506">
        <f>COUNTIFS('MEP | Drawing List'!$G:$G,"MEP-T2S-6S-8",'MEP | Drawing List'!O:O,1)</f>
        <v>0</v>
      </c>
      <c r="DQ106" s="530"/>
      <c r="DR106" s="506">
        <f>COUNTIFS('MEP | Drawing List'!$G:$G,"MEP-T2S-6S-8",'MEP | Drawing List'!$P:$P,1)</f>
        <v>0</v>
      </c>
      <c r="DS106" s="506">
        <f>COUNTIFS('MEP | Drawing List'!$G:$G,"MEP-T2S-6S-8",'MEP | Drawing List'!Q:Q,1)</f>
        <v>0</v>
      </c>
      <c r="DT106" s="506">
        <f>COUNTIFS('MEP | Drawing List'!$G:$G,"MEP-T2S-6S-8",'MEP | Drawing List'!R:R,1)</f>
        <v>0</v>
      </c>
      <c r="DU106" s="506">
        <f>COUNTIFS('MEP | Drawing List'!$G:$G,"MEP-T2S-6S-8",'MEP | Drawing List'!S:S,1)</f>
        <v>0</v>
      </c>
      <c r="DV106" s="506">
        <f>COUNTIFS('MEP | Drawing List'!$G:$G,"MEP-T2S-6S-8",'MEP | Drawing List'!T:T,1)</f>
        <v>0</v>
      </c>
      <c r="DW106" s="508"/>
      <c r="DX106" s="508"/>
      <c r="DY106" s="470">
        <v>0</v>
      </c>
      <c r="DZ106" s="508"/>
      <c r="EA106" s="506">
        <f t="shared" si="481"/>
        <v>0</v>
      </c>
      <c r="EB106" s="510">
        <f t="shared" si="237"/>
        <v>0</v>
      </c>
      <c r="EC106" s="506">
        <f t="shared" si="482"/>
        <v>0</v>
      </c>
      <c r="ED106" s="506">
        <f t="shared" si="483"/>
        <v>0</v>
      </c>
      <c r="EE106" s="506">
        <f t="shared" si="484"/>
        <v>0</v>
      </c>
      <c r="EF106" s="506">
        <f t="shared" si="485"/>
        <v>0</v>
      </c>
      <c r="EG106" s="506">
        <f t="shared" si="486"/>
        <v>0</v>
      </c>
      <c r="EH106" s="506">
        <f t="shared" si="487"/>
        <v>0</v>
      </c>
      <c r="EI106" s="530"/>
      <c r="EJ106" s="567">
        <f t="shared" si="488"/>
        <v>0</v>
      </c>
      <c r="EK106" s="514">
        <f t="shared" si="489"/>
        <v>0</v>
      </c>
      <c r="EL106" s="514">
        <f t="shared" si="490"/>
        <v>0</v>
      </c>
      <c r="EM106" s="514">
        <f t="shared" si="491"/>
        <v>0</v>
      </c>
      <c r="EN106" s="514">
        <f t="shared" si="492"/>
        <v>0</v>
      </c>
      <c r="EO106" s="501"/>
      <c r="EP106" s="585">
        <f t="shared" si="493"/>
        <v>0</v>
      </c>
      <c r="EQ106" s="585">
        <f t="shared" si="494"/>
        <v>0</v>
      </c>
      <c r="ER106" s="585">
        <f t="shared" si="495"/>
        <v>0</v>
      </c>
      <c r="ET106" s="514">
        <f>COUNTIF('LS | Drawing List'!$G:$G,"LS-TXS-8")</f>
        <v>0</v>
      </c>
      <c r="EU106" s="506">
        <f>COUNTIFS('LS | Drawing List'!$G:$G,"LS-TXS-8",'LS | Drawing List'!$I:$I,1)</f>
        <v>0</v>
      </c>
      <c r="EV106" s="506">
        <f>COUNTIFS('LS | Drawing List'!$G:$G,"LS-TXS-8",'LS | Drawing List'!$K:$K,1)</f>
        <v>0</v>
      </c>
      <c r="EW106" s="506">
        <f>COUNTIFS('LS | Drawing List'!$G:$G,"LS-TXS-8",'LS | Drawing List'!L:L,1)</f>
        <v>0</v>
      </c>
      <c r="EX106" s="506">
        <f>COUNTIFS('LS | Drawing List'!$G:$G,"LS-TXS-8",'LS | Drawing List'!M:M,1)</f>
        <v>0</v>
      </c>
      <c r="EY106" s="506">
        <f>COUNTIFS('LS | Drawing List'!$G:$G,"LS-TXS-8",'LS | Drawing List'!N:N,1)</f>
        <v>0</v>
      </c>
      <c r="EZ106" s="506">
        <f>COUNTIFS('LS | Drawing List'!$G:$G,"LS-TXS-8",'LS | Drawing List'!O:O,1)</f>
        <v>0</v>
      </c>
      <c r="FA106" s="533"/>
      <c r="FB106" s="506">
        <f>COUNTIFS('LS | Drawing List'!$G:$G,"LS-TXS-8",'LS | Drawing List'!$P:$P,1)</f>
        <v>0</v>
      </c>
      <c r="FC106" s="506">
        <f>COUNTIFS('LS | Drawing List'!$G:$G,"LS-TXS-8",'LS | Drawing List'!Q:Q,1)</f>
        <v>0</v>
      </c>
      <c r="FD106" s="506">
        <f>COUNTIFS('LS | Drawing List'!$G:$G,"LS-TXS-8",'LS | Drawing List'!R:R,1)</f>
        <v>0</v>
      </c>
      <c r="FE106" s="506">
        <f>COUNTIFS('LS | Drawing List'!$G:$G,"LS-TXS-8",'LS | Drawing List'!S:S,1)</f>
        <v>0</v>
      </c>
      <c r="FF106" s="506">
        <f>COUNTIFS('LS | Drawing List'!$G:$G,"LS-TXS-8",'LS | Drawing List'!T:T,1)</f>
        <v>0</v>
      </c>
    </row>
    <row r="107" spans="2:162" ht="14.25" outlineLevel="2">
      <c r="B107" s="564" t="s">
        <v>115</v>
      </c>
      <c r="C107" s="565">
        <v>9</v>
      </c>
      <c r="D107" s="566" t="s">
        <v>71</v>
      </c>
      <c r="F107" s="500">
        <f t="shared" si="432"/>
        <v>0.38841360000000003</v>
      </c>
      <c r="G107" s="500">
        <f t="shared" si="433"/>
        <v>0.38841360000000003</v>
      </c>
      <c r="H107" s="514">
        <f t="shared" si="434"/>
        <v>0</v>
      </c>
      <c r="I107" s="514">
        <f t="shared" si="407"/>
        <v>0</v>
      </c>
      <c r="J107" s="514">
        <f t="shared" si="408"/>
        <v>0</v>
      </c>
      <c r="K107" s="514">
        <f t="shared" si="409"/>
        <v>0</v>
      </c>
      <c r="L107" s="514">
        <f t="shared" si="410"/>
        <v>0</v>
      </c>
      <c r="M107" s="567">
        <f t="shared" si="411"/>
        <v>0</v>
      </c>
      <c r="N107" s="568"/>
      <c r="O107" s="514">
        <f t="shared" si="412"/>
        <v>0</v>
      </c>
      <c r="P107" s="514">
        <f t="shared" si="413"/>
        <v>0</v>
      </c>
      <c r="Q107" s="514">
        <f t="shared" si="414"/>
        <v>0</v>
      </c>
      <c r="R107" s="514">
        <f t="shared" si="415"/>
        <v>0</v>
      </c>
      <c r="S107" s="514">
        <f t="shared" si="416"/>
        <v>0</v>
      </c>
      <c r="U107" s="569">
        <v>0.1</v>
      </c>
      <c r="V107" s="503"/>
      <c r="W107" s="500">
        <f t="shared" si="435"/>
        <v>0.37186560000000002</v>
      </c>
      <c r="X107" s="500">
        <f t="shared" si="234"/>
        <v>0.37186560000000002</v>
      </c>
      <c r="Y107" s="506">
        <f t="shared" si="436"/>
        <v>0.37186560000000002</v>
      </c>
      <c r="Z107" s="506">
        <f t="shared" si="437"/>
        <v>0</v>
      </c>
      <c r="AA107" s="506">
        <f t="shared" si="438"/>
        <v>0</v>
      </c>
      <c r="AB107" s="506">
        <f t="shared" si="439"/>
        <v>0</v>
      </c>
      <c r="AC107" s="506">
        <f t="shared" si="440"/>
        <v>0</v>
      </c>
      <c r="AD107" s="567">
        <f t="shared" si="441"/>
        <v>0</v>
      </c>
      <c r="AE107" s="568"/>
      <c r="AF107" s="514">
        <f t="shared" si="442"/>
        <v>0</v>
      </c>
      <c r="AG107" s="514">
        <f t="shared" si="443"/>
        <v>0</v>
      </c>
      <c r="AH107" s="514">
        <f t="shared" si="444"/>
        <v>0</v>
      </c>
      <c r="AI107" s="514">
        <f t="shared" si="445"/>
        <v>0</v>
      </c>
      <c r="AJ107" s="514">
        <f t="shared" si="446"/>
        <v>0</v>
      </c>
      <c r="AK107" s="501"/>
      <c r="AL107" s="578">
        <f t="shared" si="447"/>
        <v>1</v>
      </c>
      <c r="AM107" s="578">
        <f t="shared" si="448"/>
        <v>0</v>
      </c>
      <c r="AN107" s="570">
        <f t="shared" si="449"/>
        <v>0</v>
      </c>
      <c r="AO107" s="505"/>
      <c r="AP107" s="514">
        <f>COUNTIF('AR | Drawing List'!$G:$G,"AR-TXS-9")</f>
        <v>3</v>
      </c>
      <c r="AQ107" s="506">
        <f>COUNTIFS('AR | Drawing List'!$G:$G,"AR-TXS-9",'AR | Drawing List'!$I:$I,1)</f>
        <v>3</v>
      </c>
      <c r="AR107" s="506">
        <f>SUM(AS107:AV107)</f>
        <v>0</v>
      </c>
      <c r="AS107" s="506">
        <f>COUNTIFS('AR | Drawing List'!$G:$G,"AR-TXS-9",'AR | Drawing List'!M:M,1)</f>
        <v>0</v>
      </c>
      <c r="AT107" s="506">
        <f>COUNTIFS('AR | Drawing List'!$G:$G,"AR-TXS-9",'AR | Drawing List'!N:N,1)</f>
        <v>0</v>
      </c>
      <c r="AU107" s="506">
        <f>COUNTIFS('AR | Drawing List'!$G:$G,"AR-TXS-9",'AR | Drawing List'!O:O,1)</f>
        <v>0</v>
      </c>
      <c r="AV107" s="506">
        <f>COUNTIFS('AR | Drawing List'!$G:$G,"AR-TXS-9",'AR | Drawing List'!P:P,1)</f>
        <v>0</v>
      </c>
      <c r="AW107" s="466"/>
      <c r="AX107" s="506">
        <f>SUM(AY107:BB107)</f>
        <v>0</v>
      </c>
      <c r="AY107" s="506">
        <f>COUNTIFS('AR | Drawing List'!$G:$G,"AR-TXS-9",'AR | Drawing List'!R:R,1)</f>
        <v>0</v>
      </c>
      <c r="AZ107" s="506">
        <f>COUNTIFS('AR | Drawing List'!$G:$G,"AR-TXS-9",'AR | Drawing List'!S:S,1)</f>
        <v>0</v>
      </c>
      <c r="BA107" s="506">
        <f>COUNTIFS('AR | Drawing List'!$G:$G,"AR-TXS-9",'AR | Drawing List'!T:T,1)</f>
        <v>0</v>
      </c>
      <c r="BB107" s="506">
        <f>COUNTIFS('AR | Drawing List'!$G:$G,"AR-TXS-9",'AR | Drawing List'!U:U,1)</f>
        <v>0</v>
      </c>
      <c r="BC107" s="551"/>
      <c r="BD107" s="551"/>
      <c r="BE107" s="576">
        <v>0</v>
      </c>
      <c r="BF107" s="508"/>
      <c r="BG107" s="506">
        <f t="shared" si="451"/>
        <v>0</v>
      </c>
      <c r="BH107" s="510">
        <f t="shared" si="235"/>
        <v>0</v>
      </c>
      <c r="BI107" s="506">
        <f t="shared" si="452"/>
        <v>0</v>
      </c>
      <c r="BJ107" s="506">
        <f t="shared" si="453"/>
        <v>0</v>
      </c>
      <c r="BK107" s="506">
        <f t="shared" si="454"/>
        <v>0</v>
      </c>
      <c r="BL107" s="506">
        <f t="shared" si="455"/>
        <v>0</v>
      </c>
      <c r="BM107" s="506">
        <f t="shared" si="456"/>
        <v>0</v>
      </c>
      <c r="BN107" s="506">
        <f t="shared" si="457"/>
        <v>0</v>
      </c>
      <c r="BO107" s="530"/>
      <c r="BP107" s="514">
        <f t="shared" si="458"/>
        <v>0</v>
      </c>
      <c r="BQ107" s="514">
        <f t="shared" si="459"/>
        <v>0</v>
      </c>
      <c r="BR107" s="514">
        <f t="shared" si="460"/>
        <v>0</v>
      </c>
      <c r="BS107" s="514">
        <f t="shared" si="461"/>
        <v>0</v>
      </c>
      <c r="BT107" s="514">
        <f t="shared" si="462"/>
        <v>0</v>
      </c>
      <c r="BU107" s="501"/>
      <c r="BV107" s="571">
        <f t="shared" si="463"/>
        <v>0</v>
      </c>
      <c r="BW107" s="571">
        <f t="shared" si="464"/>
        <v>0</v>
      </c>
      <c r="BX107" s="571">
        <f t="shared" si="465"/>
        <v>0</v>
      </c>
      <c r="BY107" s="520"/>
      <c r="BZ107" s="514">
        <f>COUNTIF('ST | Drawing List'!$G:$G,"ST-TXS-9")</f>
        <v>0</v>
      </c>
      <c r="CA107" s="506">
        <f>COUNTIFS('ST | Drawing List'!$G:$G,"ST-TXS-9",'ST | Drawing List'!$I:$I,1)</f>
        <v>0</v>
      </c>
      <c r="CB107" s="506">
        <f>COUNTIFS('ST | Drawing List'!$G:$G,"ST-TXS-9",'ST | Drawing List'!$K:$K,1)</f>
        <v>0</v>
      </c>
      <c r="CC107" s="506">
        <f>COUNTIFS('ST | Drawing List'!$G:$G,"ST-TXS-9",'ST | Drawing List'!L:L,1)</f>
        <v>0</v>
      </c>
      <c r="CD107" s="506">
        <f>COUNTIFS('ST | Drawing List'!$G:$G,"ST-TXS-9",'ST | Drawing List'!M:M,1)</f>
        <v>0</v>
      </c>
      <c r="CE107" s="506">
        <f>COUNTIFS('ST | Drawing List'!$G:$G,"ST-TXS-9",'ST | Drawing List'!N:N,1)</f>
        <v>0</v>
      </c>
      <c r="CF107" s="506">
        <f>COUNTIFS('ST | Drawing List'!$G:$G,"ST-TXS-9",'ST | Drawing List'!O:O,1)</f>
        <v>0</v>
      </c>
      <c r="CG107" s="471"/>
      <c r="CH107" s="506">
        <f>COUNTIFS('ST | Drawing List'!$G:$G,"ST-TXS-9",'ST | Drawing List'!$P:$P,1)</f>
        <v>0</v>
      </c>
      <c r="CI107" s="506">
        <f>COUNTIFS('ST | Drawing List'!$G:$G,"ST-TXS-9",'ST | Drawing List'!Q:Q,1)</f>
        <v>0</v>
      </c>
      <c r="CJ107" s="506">
        <f>COUNTIFS('ST | Drawing List'!$G:$G,"ST-TXS-9",'ST | Drawing List'!R:R,1)</f>
        <v>0</v>
      </c>
      <c r="CK107" s="506">
        <f>COUNTIFS('ST | Drawing List'!$G:$G,"ST-TXS-9",'ST | Drawing List'!S:S,1)</f>
        <v>0</v>
      </c>
      <c r="CL107" s="506">
        <f>COUNTIFS('ST | Drawing List'!$G:$G,"ST-TXS-9",'ST | Drawing List'!T:T,1)</f>
        <v>0</v>
      </c>
      <c r="CM107" s="508"/>
      <c r="CN107" s="508"/>
      <c r="CO107" s="576">
        <v>0</v>
      </c>
      <c r="CP107" s="508"/>
      <c r="CQ107" s="506">
        <f t="shared" si="466"/>
        <v>0</v>
      </c>
      <c r="CR107" s="510">
        <f t="shared" si="236"/>
        <v>0</v>
      </c>
      <c r="CS107" s="506">
        <f t="shared" si="467"/>
        <v>0</v>
      </c>
      <c r="CT107" s="514">
        <f t="shared" si="468"/>
        <v>0</v>
      </c>
      <c r="CU107" s="514">
        <f t="shared" si="469"/>
        <v>0</v>
      </c>
      <c r="CV107" s="514">
        <f t="shared" si="470"/>
        <v>0</v>
      </c>
      <c r="CW107" s="514">
        <f t="shared" si="471"/>
        <v>0</v>
      </c>
      <c r="CX107" s="514">
        <f t="shared" si="472"/>
        <v>0</v>
      </c>
      <c r="CY107" s="501"/>
      <c r="CZ107" s="514">
        <f t="shared" si="473"/>
        <v>0</v>
      </c>
      <c r="DA107" s="514">
        <f t="shared" si="474"/>
        <v>0</v>
      </c>
      <c r="DB107" s="514">
        <f t="shared" si="475"/>
        <v>0</v>
      </c>
      <c r="DC107" s="514">
        <f t="shared" si="476"/>
        <v>0</v>
      </c>
      <c r="DD107" s="514">
        <f t="shared" si="477"/>
        <v>0</v>
      </c>
      <c r="DE107" s="501"/>
      <c r="DF107" s="570">
        <f t="shared" si="478"/>
        <v>0</v>
      </c>
      <c r="DG107" s="570">
        <f t="shared" si="479"/>
        <v>0</v>
      </c>
      <c r="DH107" s="570">
        <f t="shared" si="480"/>
        <v>0</v>
      </c>
      <c r="DI107" s="520"/>
      <c r="DJ107" s="514">
        <f>COUNTIF('MEP | Drawing List'!$G:$G,"MEP-T2S-6S-9")</f>
        <v>0</v>
      </c>
      <c r="DK107" s="506">
        <f>COUNTIFS('MEP | Drawing List'!$G:$G,"MEP-T2S-6S-9",'MEP | Drawing List'!$I:$I,1)</f>
        <v>0</v>
      </c>
      <c r="DL107" s="506">
        <f>COUNTIFS('MEP | Drawing List'!$G:$G,"MEP-T2S-6S-9",'MEP | Drawing List'!$K:$K,1)</f>
        <v>0</v>
      </c>
      <c r="DM107" s="506">
        <f>COUNTIFS('MEP | Drawing List'!$G:$G,"MEP-T2S-6S-9",'MEP | Drawing List'!L:L,1)</f>
        <v>0</v>
      </c>
      <c r="DN107" s="506">
        <f>COUNTIFS('MEP | Drawing List'!$G:$G,"MEP-T2S-6S-9",'MEP | Drawing List'!M:M,1)</f>
        <v>0</v>
      </c>
      <c r="DO107" s="506">
        <f>COUNTIFS('MEP | Drawing List'!$G:$G,"MEP-T2S-6S-9",'MEP | Drawing List'!N:N,1)</f>
        <v>0</v>
      </c>
      <c r="DP107" s="506">
        <f>COUNTIFS('MEP | Drawing List'!$G:$G,"MEP-T2S-6S-9",'MEP | Drawing List'!O:O,1)</f>
        <v>0</v>
      </c>
      <c r="DQ107" s="530"/>
      <c r="DR107" s="506">
        <f>COUNTIFS('MEP | Drawing List'!$G:$G,"MEP-T2S-6S-9",'MEP | Drawing List'!$P:$P,1)</f>
        <v>0</v>
      </c>
      <c r="DS107" s="506">
        <f>COUNTIFS('MEP | Drawing List'!$G:$G,"MEP-T2S-6S-9",'MEP | Drawing List'!Q:Q,1)</f>
        <v>0</v>
      </c>
      <c r="DT107" s="506">
        <f>COUNTIFS('MEP | Drawing List'!$G:$G,"MEP-T2S-6S-9",'MEP | Drawing List'!R:R,1)</f>
        <v>0</v>
      </c>
      <c r="DU107" s="506">
        <f>COUNTIFS('MEP | Drawing List'!$G:$G,"MEP-T2S-6S-9",'MEP | Drawing List'!S:S,1)</f>
        <v>0</v>
      </c>
      <c r="DV107" s="506">
        <f>COUNTIFS('MEP | Drawing List'!$G:$G,"MEP-T2S-6S-9",'MEP | Drawing List'!T:T,1)</f>
        <v>0</v>
      </c>
      <c r="DW107" s="508"/>
      <c r="DX107" s="508"/>
      <c r="DY107" s="470">
        <v>0.2</v>
      </c>
      <c r="DZ107" s="508"/>
      <c r="EA107" s="506">
        <f t="shared" si="481"/>
        <v>1.6548000000000004E-2</v>
      </c>
      <c r="EB107" s="510">
        <f t="shared" si="237"/>
        <v>1.6548000000000004E-2</v>
      </c>
      <c r="EC107" s="506">
        <f t="shared" si="482"/>
        <v>1.6548000000000004E-2</v>
      </c>
      <c r="ED107" s="506">
        <f t="shared" si="483"/>
        <v>0</v>
      </c>
      <c r="EE107" s="506">
        <f t="shared" si="484"/>
        <v>0</v>
      </c>
      <c r="EF107" s="506">
        <f t="shared" si="485"/>
        <v>0</v>
      </c>
      <c r="EG107" s="506">
        <f t="shared" si="486"/>
        <v>0</v>
      </c>
      <c r="EH107" s="506">
        <f t="shared" si="487"/>
        <v>0</v>
      </c>
      <c r="EI107" s="530"/>
      <c r="EJ107" s="567">
        <f t="shared" si="488"/>
        <v>0</v>
      </c>
      <c r="EK107" s="514">
        <f t="shared" si="489"/>
        <v>0</v>
      </c>
      <c r="EL107" s="514">
        <f t="shared" si="490"/>
        <v>0</v>
      </c>
      <c r="EM107" s="514">
        <f t="shared" si="491"/>
        <v>0</v>
      </c>
      <c r="EN107" s="514">
        <f t="shared" si="492"/>
        <v>0</v>
      </c>
      <c r="EO107" s="501"/>
      <c r="EP107" s="585">
        <f t="shared" si="493"/>
        <v>1</v>
      </c>
      <c r="EQ107" s="585">
        <f t="shared" si="494"/>
        <v>0</v>
      </c>
      <c r="ER107" s="585">
        <f t="shared" si="495"/>
        <v>0</v>
      </c>
      <c r="ES107" s="523"/>
      <c r="ET107" s="514">
        <f>COUNTIF('LS | Drawing List'!$G:$G,"LS-TXS-9")</f>
        <v>6</v>
      </c>
      <c r="EU107" s="506">
        <f>COUNTIFS('LS | Drawing List'!$G:$G,"LS-TXS-9",'LS | Drawing List'!$I:$I,1)</f>
        <v>6</v>
      </c>
      <c r="EV107" s="506">
        <f>COUNTIFS('LS | Drawing List'!$G:$G,"LS-TXS-9",'LS | Drawing List'!$K:$K,1)</f>
        <v>0</v>
      </c>
      <c r="EW107" s="506">
        <f>COUNTIFS('LS | Drawing List'!$G:$G,"LS-TXS-9",'LS | Drawing List'!L:L,1)</f>
        <v>0</v>
      </c>
      <c r="EX107" s="506">
        <f>COUNTIFS('LS | Drawing List'!$G:$G,"LS-TXS-9",'LS | Drawing List'!M:M,1)</f>
        <v>0</v>
      </c>
      <c r="EY107" s="506">
        <f>COUNTIFS('LS | Drawing List'!$G:$G,"LS-TXS-9",'LS | Drawing List'!N:N,1)</f>
        <v>0</v>
      </c>
      <c r="EZ107" s="506">
        <f>COUNTIFS('LS | Drawing List'!$G:$G,"LS-TXS-9",'LS | Drawing List'!O:O,1)</f>
        <v>0</v>
      </c>
      <c r="FA107" s="533"/>
      <c r="FB107" s="506">
        <f>COUNTIFS('LS | Drawing List'!$G:$G,"LS-TXS-9",'LS | Drawing List'!$P:$P,1)</f>
        <v>0</v>
      </c>
      <c r="FC107" s="506">
        <f>COUNTIFS('LS | Drawing List'!$G:$G,"LS-TXS-9",'LS | Drawing List'!Q:Q,1)</f>
        <v>0</v>
      </c>
      <c r="FD107" s="506">
        <f>COUNTIFS('LS | Drawing List'!$G:$G,"LS-TXS-9",'LS | Drawing List'!R:R,1)</f>
        <v>0</v>
      </c>
      <c r="FE107" s="506">
        <f>COUNTIFS('LS | Drawing List'!$G:$G,"LS-TXS-9",'LS | Drawing List'!S:S,1)</f>
        <v>0</v>
      </c>
      <c r="FF107" s="506">
        <f>COUNTIFS('LS | Drawing List'!$G:$G,"LS-TXS-9",'LS | Drawing List'!T:T,1)</f>
        <v>0</v>
      </c>
    </row>
    <row r="108" spans="2:162" ht="3" customHeight="1" outlineLevel="1">
      <c r="B108" s="594"/>
      <c r="C108" s="595"/>
      <c r="D108" s="566"/>
      <c r="F108" s="499"/>
      <c r="G108" s="500"/>
      <c r="H108" s="501"/>
      <c r="I108" s="501"/>
      <c r="J108" s="501"/>
      <c r="K108" s="501"/>
      <c r="L108" s="501"/>
      <c r="M108" s="501"/>
      <c r="N108" s="501"/>
      <c r="O108" s="501"/>
      <c r="P108" s="501"/>
      <c r="Q108" s="501"/>
      <c r="R108" s="501"/>
      <c r="S108" s="501"/>
      <c r="U108" s="569"/>
      <c r="V108" s="503"/>
      <c r="W108" s="499"/>
      <c r="X108" s="500">
        <f t="shared" si="234"/>
        <v>0</v>
      </c>
      <c r="Y108" s="501"/>
      <c r="Z108" s="501"/>
      <c r="AA108" s="501"/>
      <c r="AB108" s="501"/>
      <c r="AC108" s="501"/>
      <c r="AD108" s="501"/>
      <c r="AE108" s="501"/>
      <c r="AF108" s="501"/>
      <c r="AG108" s="501"/>
      <c r="AH108" s="501"/>
      <c r="AI108" s="501"/>
      <c r="AJ108" s="501"/>
      <c r="AK108" s="501"/>
      <c r="AL108" s="513"/>
      <c r="AM108" s="513"/>
      <c r="AN108" s="513"/>
      <c r="AO108" s="518"/>
      <c r="AP108" s="551"/>
      <c r="AQ108" s="551"/>
      <c r="AR108" s="551"/>
      <c r="AS108" s="551"/>
      <c r="AT108" s="551"/>
      <c r="AU108" s="551"/>
      <c r="AV108" s="551"/>
      <c r="AW108" s="551"/>
      <c r="AX108" s="551"/>
      <c r="AY108" s="551"/>
      <c r="AZ108" s="551"/>
      <c r="BA108" s="551"/>
      <c r="BB108" s="551"/>
      <c r="BC108" s="551"/>
      <c r="BD108" s="551"/>
      <c r="BE108" s="511"/>
      <c r="BF108" s="508"/>
      <c r="BG108" s="509"/>
      <c r="BH108" s="510">
        <f t="shared" si="235"/>
        <v>0</v>
      </c>
      <c r="BI108" s="501"/>
      <c r="BJ108" s="501"/>
      <c r="BK108" s="501"/>
      <c r="BL108" s="501"/>
      <c r="BM108" s="501"/>
      <c r="BN108" s="501"/>
      <c r="BO108" s="501"/>
      <c r="BP108" s="501"/>
      <c r="BQ108" s="501"/>
      <c r="BR108" s="501"/>
      <c r="BS108" s="501"/>
      <c r="BT108" s="501"/>
      <c r="BU108" s="501"/>
      <c r="BV108" s="511"/>
      <c r="BW108" s="511"/>
      <c r="BX108" s="511"/>
      <c r="BY108" s="518"/>
      <c r="BZ108" s="552"/>
      <c r="CA108" s="552"/>
      <c r="CB108" s="608"/>
      <c r="CC108" s="512"/>
      <c r="CD108" s="512"/>
      <c r="CE108" s="512"/>
      <c r="CF108" s="512"/>
      <c r="CG108" s="512"/>
      <c r="CH108" s="608"/>
      <c r="CI108" s="512"/>
      <c r="CJ108" s="512"/>
      <c r="CK108" s="512"/>
      <c r="CL108" s="512"/>
      <c r="CM108" s="508"/>
      <c r="CN108" s="508"/>
      <c r="CO108" s="511"/>
      <c r="CP108" s="508"/>
      <c r="CQ108" s="509"/>
      <c r="CR108" s="510">
        <f t="shared" si="236"/>
        <v>0</v>
      </c>
      <c r="CS108" s="501"/>
      <c r="CT108" s="501"/>
      <c r="CU108" s="501"/>
      <c r="CV108" s="501"/>
      <c r="CW108" s="501"/>
      <c r="CX108" s="501"/>
      <c r="CY108" s="501"/>
      <c r="CZ108" s="501"/>
      <c r="DA108" s="501"/>
      <c r="DB108" s="501"/>
      <c r="DC108" s="501"/>
      <c r="DD108" s="501"/>
      <c r="DE108" s="501"/>
      <c r="DF108" s="513"/>
      <c r="DG108" s="513"/>
      <c r="DH108" s="513"/>
      <c r="DI108" s="518"/>
      <c r="DJ108" s="551"/>
      <c r="DK108" s="551"/>
      <c r="DL108" s="551"/>
      <c r="DM108" s="501"/>
      <c r="DN108" s="501"/>
      <c r="DO108" s="501"/>
      <c r="DP108" s="501"/>
      <c r="DQ108" s="501"/>
      <c r="DR108" s="551"/>
      <c r="DS108" s="501"/>
      <c r="DT108" s="501"/>
      <c r="DU108" s="501"/>
      <c r="DV108" s="501"/>
      <c r="DW108" s="508"/>
      <c r="DX108" s="508"/>
      <c r="DY108" s="511"/>
      <c r="DZ108" s="508"/>
      <c r="EA108" s="509"/>
      <c r="EB108" s="510">
        <f t="shared" si="237"/>
        <v>0</v>
      </c>
      <c r="EC108" s="515"/>
      <c r="ED108" s="515"/>
      <c r="EE108" s="515"/>
      <c r="EF108" s="515"/>
      <c r="EG108" s="515"/>
      <c r="EH108" s="515"/>
      <c r="EI108" s="515"/>
      <c r="EJ108" s="515"/>
      <c r="EK108" s="515"/>
      <c r="EL108" s="515"/>
      <c r="EM108" s="515"/>
      <c r="EN108" s="515"/>
      <c r="EO108" s="515"/>
      <c r="EP108" s="52"/>
      <c r="EQ108" s="52"/>
      <c r="ER108" s="52"/>
      <c r="EW108" s="515"/>
      <c r="EX108" s="515"/>
      <c r="EY108" s="515"/>
      <c r="EZ108" s="515"/>
      <c r="FA108" s="515"/>
      <c r="FC108" s="515"/>
      <c r="FD108" s="515"/>
      <c r="FE108" s="515"/>
      <c r="FF108" s="515"/>
    </row>
    <row r="109" spans="2:162" ht="14.25" outlineLevel="1">
      <c r="B109" s="477"/>
      <c r="C109" s="559">
        <v>6</v>
      </c>
      <c r="D109" s="560" t="s">
        <v>116</v>
      </c>
      <c r="E109" s="479"/>
      <c r="F109" s="480">
        <f>W109+BG109+CQ109+EA109</f>
        <v>1.6985721600000003</v>
      </c>
      <c r="G109" s="480">
        <f>X109+BH109+CR109+EB109</f>
        <v>1.6985721600000003</v>
      </c>
      <c r="H109" s="481">
        <f>F109-G109</f>
        <v>0</v>
      </c>
      <c r="I109" s="480">
        <f t="shared" ref="I109:I119" si="496">Z109+BJ109+CT109+ED109</f>
        <v>0</v>
      </c>
      <c r="J109" s="480">
        <f t="shared" ref="J109:J119" si="497">AA109+BK109+CU109+EE109</f>
        <v>0</v>
      </c>
      <c r="K109" s="480">
        <f t="shared" ref="K109:K119" si="498">AB109+BL109+CV109+EF109</f>
        <v>0</v>
      </c>
      <c r="L109" s="480">
        <f t="shared" ref="L109:L119" si="499">AC109+BM109+CW109+EG109</f>
        <v>0</v>
      </c>
      <c r="M109" s="480">
        <f t="shared" ref="M109:M119" si="500">AD109+BN109+CX109+EH109</f>
        <v>0</v>
      </c>
      <c r="N109" s="482"/>
      <c r="O109" s="480">
        <f t="shared" ref="O109:O119" si="501">AF109+BP109+CZ109+EJ109</f>
        <v>0</v>
      </c>
      <c r="P109" s="480">
        <f t="shared" ref="P109:P119" si="502">AG109+BQ109+DA109+EK109</f>
        <v>0</v>
      </c>
      <c r="Q109" s="480">
        <f t="shared" ref="Q109:Q119" si="503">AH109+BR109+DB109+EL109</f>
        <v>0</v>
      </c>
      <c r="R109" s="480">
        <f t="shared" ref="R109:R119" si="504">AI109+BS109+DC109+EM109</f>
        <v>0</v>
      </c>
      <c r="S109" s="480">
        <f t="shared" ref="S109:S119" si="505">AJ109+BT109+DD109+EN109</f>
        <v>0</v>
      </c>
      <c r="T109" s="479"/>
      <c r="U109" s="483">
        <f>SUM(U110:U119)</f>
        <v>0.5</v>
      </c>
      <c r="V109" s="483"/>
      <c r="W109" s="480">
        <f>U109*(5%*'BOQ COST'!E13*0.64)*1</f>
        <v>1.1081600000000003</v>
      </c>
      <c r="X109" s="480">
        <f t="shared" si="234"/>
        <v>1.1081600000000003</v>
      </c>
      <c r="Y109" s="481">
        <f>SUM(Y110:Y119)</f>
        <v>1.1081600000000003</v>
      </c>
      <c r="Z109" s="481">
        <f>SUM(Z110:Z119)</f>
        <v>0</v>
      </c>
      <c r="AA109" s="481">
        <f t="shared" ref="AA109:AD109" si="506">SUM(AA110:AA119)</f>
        <v>0</v>
      </c>
      <c r="AB109" s="481">
        <f t="shared" si="506"/>
        <v>0</v>
      </c>
      <c r="AC109" s="481">
        <f t="shared" si="506"/>
        <v>0</v>
      </c>
      <c r="AD109" s="481">
        <f t="shared" si="506"/>
        <v>0</v>
      </c>
      <c r="AE109" s="482"/>
      <c r="AF109" s="481">
        <f>SUM(AF110:AF119)</f>
        <v>0</v>
      </c>
      <c r="AG109" s="481">
        <f t="shared" ref="AG109:AJ109" si="507">SUM(AG110:AG119)</f>
        <v>0</v>
      </c>
      <c r="AH109" s="481">
        <f t="shared" si="507"/>
        <v>0</v>
      </c>
      <c r="AI109" s="481">
        <f t="shared" si="507"/>
        <v>0</v>
      </c>
      <c r="AJ109" s="481">
        <f t="shared" si="507"/>
        <v>0</v>
      </c>
      <c r="AK109" s="482"/>
      <c r="AL109" s="492"/>
      <c r="AM109" s="492"/>
      <c r="AN109" s="492"/>
      <c r="AO109" s="481">
        <f t="shared" ref="AO109" si="508">SUM(AO110:AO119)</f>
        <v>0</v>
      </c>
      <c r="AP109" s="481">
        <f t="shared" ref="AP109" si="509">SUM(AP110:AP119)</f>
        <v>20</v>
      </c>
      <c r="AQ109" s="481">
        <f t="shared" ref="AQ109" si="510">SUM(AQ110:AQ119)</f>
        <v>20</v>
      </c>
      <c r="AR109" s="481">
        <f t="shared" si="238"/>
        <v>0</v>
      </c>
      <c r="AS109" s="481">
        <f>SUM(AS110:AS119)</f>
        <v>0</v>
      </c>
      <c r="AT109" s="481">
        <f t="shared" ref="AT109:AX109" si="511">SUM(AT110:AT119)</f>
        <v>0</v>
      </c>
      <c r="AU109" s="481">
        <f t="shared" si="511"/>
        <v>0</v>
      </c>
      <c r="AV109" s="481">
        <f t="shared" si="511"/>
        <v>0</v>
      </c>
      <c r="AW109" s="482"/>
      <c r="AX109" s="481">
        <f t="shared" si="511"/>
        <v>0</v>
      </c>
      <c r="AY109" s="481">
        <f>SUM(AY110:AY119)</f>
        <v>0</v>
      </c>
      <c r="AZ109" s="481">
        <f t="shared" ref="AZ109:BB109" si="512">SUM(AZ110:AZ119)</f>
        <v>0</v>
      </c>
      <c r="BA109" s="481">
        <f t="shared" si="512"/>
        <v>0</v>
      </c>
      <c r="BB109" s="481">
        <f t="shared" si="512"/>
        <v>0</v>
      </c>
      <c r="BC109" s="487"/>
      <c r="BD109" s="487"/>
      <c r="BE109" s="483">
        <f>SUM(BE110:BE119)</f>
        <v>0.55000000000000004</v>
      </c>
      <c r="BF109" s="483"/>
      <c r="BG109" s="480">
        <f>BE109*(3%*'BOQ COST'!$F$13*0.64)*1</f>
        <v>0.50821055999999998</v>
      </c>
      <c r="BH109" s="480">
        <f t="shared" si="235"/>
        <v>0.50821055999999998</v>
      </c>
      <c r="BI109" s="481">
        <f>SUM(BI110:BI119)</f>
        <v>0.50821055999999998</v>
      </c>
      <c r="BJ109" s="481">
        <f>SUM(BJ110:BJ119)</f>
        <v>0</v>
      </c>
      <c r="BK109" s="481">
        <f t="shared" ref="BK109:CF109" si="513">SUM(BK110:BK119)</f>
        <v>0</v>
      </c>
      <c r="BL109" s="481">
        <f t="shared" si="513"/>
        <v>0</v>
      </c>
      <c r="BM109" s="481">
        <f t="shared" si="513"/>
        <v>0</v>
      </c>
      <c r="BN109" s="481">
        <f t="shared" si="513"/>
        <v>0</v>
      </c>
      <c r="BO109" s="482"/>
      <c r="BP109" s="481">
        <f>SUM(BP110:BP119)</f>
        <v>0</v>
      </c>
      <c r="BQ109" s="481">
        <f t="shared" ref="BQ109:BT109" si="514">SUM(BQ110:BQ119)</f>
        <v>0</v>
      </c>
      <c r="BR109" s="481">
        <f t="shared" si="514"/>
        <v>0</v>
      </c>
      <c r="BS109" s="481">
        <f t="shared" si="514"/>
        <v>0</v>
      </c>
      <c r="BT109" s="481">
        <f t="shared" si="514"/>
        <v>0</v>
      </c>
      <c r="BU109" s="482"/>
      <c r="BV109" s="488"/>
      <c r="BW109" s="488"/>
      <c r="BX109" s="488"/>
      <c r="BY109" s="481">
        <f t="shared" si="513"/>
        <v>0</v>
      </c>
      <c r="BZ109" s="481">
        <f t="shared" si="513"/>
        <v>619</v>
      </c>
      <c r="CA109" s="481">
        <f t="shared" si="513"/>
        <v>619</v>
      </c>
      <c r="CB109" s="481">
        <f t="shared" si="513"/>
        <v>0</v>
      </c>
      <c r="CC109" s="481">
        <f t="shared" si="513"/>
        <v>0</v>
      </c>
      <c r="CD109" s="481">
        <f t="shared" si="513"/>
        <v>0</v>
      </c>
      <c r="CE109" s="481">
        <f t="shared" si="513"/>
        <v>0</v>
      </c>
      <c r="CF109" s="481">
        <f t="shared" si="513"/>
        <v>0</v>
      </c>
      <c r="CG109" s="490"/>
      <c r="CH109" s="481">
        <f t="shared" ref="CH109:CL109" si="515">SUM(CH110:CH119)</f>
        <v>0</v>
      </c>
      <c r="CI109" s="481">
        <f t="shared" si="515"/>
        <v>0</v>
      </c>
      <c r="CJ109" s="481">
        <f t="shared" si="515"/>
        <v>0</v>
      </c>
      <c r="CK109" s="481">
        <f t="shared" si="515"/>
        <v>0</v>
      </c>
      <c r="CL109" s="481">
        <f t="shared" si="515"/>
        <v>0</v>
      </c>
      <c r="CM109" s="483"/>
      <c r="CN109" s="483"/>
      <c r="CO109" s="483">
        <f>SUM(CO110:CO119)</f>
        <v>0.65</v>
      </c>
      <c r="CP109" s="483"/>
      <c r="CQ109" s="480">
        <f>CO109*(2%*'BOQ COST'!$G$13*0.64)*1</f>
        <v>8.2201600000000014E-2</v>
      </c>
      <c r="CR109" s="480">
        <f t="shared" si="236"/>
        <v>8.2201600000000014E-2</v>
      </c>
      <c r="CS109" s="481">
        <f>SUM(CS110:CS119)</f>
        <v>8.2201600000000014E-2</v>
      </c>
      <c r="CT109" s="481">
        <f>SUM(CT110:CT119)</f>
        <v>0</v>
      </c>
      <c r="CU109" s="481">
        <f t="shared" ref="CU109:DP109" si="516">SUM(CU110:CU119)</f>
        <v>0</v>
      </c>
      <c r="CV109" s="481">
        <f t="shared" si="516"/>
        <v>0</v>
      </c>
      <c r="CW109" s="481">
        <f t="shared" si="516"/>
        <v>0</v>
      </c>
      <c r="CX109" s="481">
        <f t="shared" si="516"/>
        <v>0</v>
      </c>
      <c r="CY109" s="482"/>
      <c r="CZ109" s="481">
        <f>SUM(CZ110:CZ119)</f>
        <v>0</v>
      </c>
      <c r="DA109" s="481">
        <f t="shared" ref="DA109:DD109" si="517">SUM(DA110:DA119)</f>
        <v>0</v>
      </c>
      <c r="DB109" s="481">
        <f t="shared" si="517"/>
        <v>0</v>
      </c>
      <c r="DC109" s="481">
        <f t="shared" si="517"/>
        <v>0</v>
      </c>
      <c r="DD109" s="481">
        <f t="shared" si="517"/>
        <v>0</v>
      </c>
      <c r="DE109" s="482"/>
      <c r="DF109" s="492"/>
      <c r="DG109" s="492"/>
      <c r="DH109" s="492"/>
      <c r="DI109" s="481">
        <f t="shared" si="516"/>
        <v>0</v>
      </c>
      <c r="DJ109" s="481">
        <f t="shared" si="516"/>
        <v>173</v>
      </c>
      <c r="DK109" s="481">
        <f t="shared" si="516"/>
        <v>173</v>
      </c>
      <c r="DL109" s="481">
        <f t="shared" si="516"/>
        <v>0</v>
      </c>
      <c r="DM109" s="481">
        <f t="shared" si="516"/>
        <v>0</v>
      </c>
      <c r="DN109" s="481">
        <f t="shared" si="516"/>
        <v>0</v>
      </c>
      <c r="DO109" s="481">
        <f t="shared" si="516"/>
        <v>0</v>
      </c>
      <c r="DP109" s="481">
        <f t="shared" si="516"/>
        <v>0</v>
      </c>
      <c r="DQ109" s="482"/>
      <c r="DR109" s="481">
        <f t="shared" ref="DR109:DV109" si="518">SUM(DR110:DR119)</f>
        <v>0</v>
      </c>
      <c r="DS109" s="481">
        <f t="shared" si="518"/>
        <v>0</v>
      </c>
      <c r="DT109" s="481">
        <f t="shared" si="518"/>
        <v>0</v>
      </c>
      <c r="DU109" s="481">
        <f t="shared" si="518"/>
        <v>0</v>
      </c>
      <c r="DV109" s="481">
        <f t="shared" si="518"/>
        <v>0</v>
      </c>
      <c r="DW109" s="483"/>
      <c r="DX109" s="483"/>
      <c r="DY109" s="480">
        <f>SUM(DY110:DY119)</f>
        <v>0</v>
      </c>
      <c r="DZ109" s="483"/>
      <c r="EA109" s="481">
        <f>DY109*(7%*'BOQ COST'!$H$13)*1</f>
        <v>0</v>
      </c>
      <c r="EB109" s="480">
        <f t="shared" si="237"/>
        <v>0</v>
      </c>
      <c r="EC109" s="481">
        <f>SUM(EC110:EC119)</f>
        <v>0</v>
      </c>
      <c r="ED109" s="481">
        <f>SUM(ED110:ED119)</f>
        <v>0</v>
      </c>
      <c r="EE109" s="481">
        <f t="shared" ref="EE109:EZ109" si="519">SUM(EE110:EE119)</f>
        <v>0</v>
      </c>
      <c r="EF109" s="481">
        <f t="shared" si="519"/>
        <v>0</v>
      </c>
      <c r="EG109" s="481">
        <f t="shared" si="519"/>
        <v>0</v>
      </c>
      <c r="EH109" s="481">
        <f t="shared" si="519"/>
        <v>0</v>
      </c>
      <c r="EI109" s="610"/>
      <c r="EJ109" s="481">
        <f>SUM(EJ110:EJ119)</f>
        <v>0</v>
      </c>
      <c r="EK109" s="481">
        <f t="shared" ref="EK109:EN109" si="520">SUM(EK110:EK119)</f>
        <v>0</v>
      </c>
      <c r="EL109" s="481">
        <f t="shared" si="520"/>
        <v>0</v>
      </c>
      <c r="EM109" s="481">
        <f t="shared" si="520"/>
        <v>0</v>
      </c>
      <c r="EN109" s="481">
        <f t="shared" si="520"/>
        <v>0</v>
      </c>
      <c r="EO109" s="610"/>
      <c r="EP109" s="611"/>
      <c r="EQ109" s="611"/>
      <c r="ER109" s="611"/>
      <c r="ES109" s="481">
        <f t="shared" si="519"/>
        <v>0</v>
      </c>
      <c r="ET109" s="481">
        <f t="shared" si="519"/>
        <v>0</v>
      </c>
      <c r="EU109" s="481">
        <f t="shared" si="519"/>
        <v>0</v>
      </c>
      <c r="EV109" s="481">
        <f t="shared" si="519"/>
        <v>0</v>
      </c>
      <c r="EW109" s="481">
        <f t="shared" si="519"/>
        <v>0</v>
      </c>
      <c r="EX109" s="481">
        <f t="shared" si="519"/>
        <v>0</v>
      </c>
      <c r="EY109" s="481">
        <f t="shared" si="519"/>
        <v>0</v>
      </c>
      <c r="EZ109" s="481">
        <f t="shared" si="519"/>
        <v>0</v>
      </c>
      <c r="FA109" s="610"/>
      <c r="FB109" s="481">
        <f t="shared" ref="FB109:FF109" si="521">SUM(FB110:FB119)</f>
        <v>0</v>
      </c>
      <c r="FC109" s="481">
        <f t="shared" si="521"/>
        <v>0</v>
      </c>
      <c r="FD109" s="481">
        <f t="shared" si="521"/>
        <v>0</v>
      </c>
      <c r="FE109" s="481">
        <f t="shared" si="521"/>
        <v>0</v>
      </c>
      <c r="FF109" s="481">
        <f t="shared" si="521"/>
        <v>0</v>
      </c>
    </row>
    <row r="110" spans="2:162" ht="14.25" outlineLevel="2">
      <c r="B110" s="564" t="s">
        <v>117</v>
      </c>
      <c r="C110" s="565">
        <v>1</v>
      </c>
      <c r="D110" s="566" t="s">
        <v>52</v>
      </c>
      <c r="F110" s="500">
        <f t="shared" ref="F110:F119" si="522">W110+BG110+CQ110+EA110</f>
        <v>0.16045632000000001</v>
      </c>
      <c r="G110" s="500">
        <f t="shared" ref="G110:G119" si="523">X110+BH110+CR110+EB110</f>
        <v>0.16045632000000001</v>
      </c>
      <c r="H110" s="514">
        <f t="shared" ref="H110:H119" si="524">F110-G110</f>
        <v>0</v>
      </c>
      <c r="I110" s="514">
        <f t="shared" si="496"/>
        <v>0</v>
      </c>
      <c r="J110" s="514">
        <f t="shared" si="497"/>
        <v>0</v>
      </c>
      <c r="K110" s="514">
        <f t="shared" si="498"/>
        <v>0</v>
      </c>
      <c r="L110" s="514">
        <f t="shared" si="499"/>
        <v>0</v>
      </c>
      <c r="M110" s="567">
        <f t="shared" si="500"/>
        <v>0</v>
      </c>
      <c r="N110" s="568"/>
      <c r="O110" s="514">
        <f t="shared" si="501"/>
        <v>0</v>
      </c>
      <c r="P110" s="514">
        <f t="shared" si="502"/>
        <v>0</v>
      </c>
      <c r="Q110" s="514">
        <f t="shared" si="503"/>
        <v>0</v>
      </c>
      <c r="R110" s="514">
        <f t="shared" si="504"/>
        <v>0</v>
      </c>
      <c r="S110" s="514">
        <f t="shared" si="505"/>
        <v>0</v>
      </c>
      <c r="U110" s="569">
        <v>2.5000000000000001E-2</v>
      </c>
      <c r="V110" s="503"/>
      <c r="W110" s="500">
        <f t="shared" ref="W110:W119" si="525">$W$109/$U$109*U110</f>
        <v>5.5408000000000013E-2</v>
      </c>
      <c r="X110" s="500">
        <f t="shared" si="234"/>
        <v>5.5408000000000013E-2</v>
      </c>
      <c r="Y110" s="514">
        <f t="shared" ref="Y110:Y119" si="526">IFERROR(IF(AL110=100%,W110,0),0)</f>
        <v>5.5408000000000013E-2</v>
      </c>
      <c r="Z110" s="514">
        <f t="shared" ref="Z110:Z119" si="527">IFERROR(IF(AND((AL110+AM110)=100%,AL110&lt;1),W110,0),0)</f>
        <v>0</v>
      </c>
      <c r="AA110" s="514">
        <f t="shared" ref="AA110:AA119" si="528">IFERROR(IF(AND((AQ110+AS110)=AP110,Y110=0),W110,0),0)</f>
        <v>0</v>
      </c>
      <c r="AB110" s="514">
        <f t="shared" ref="AB110:AB119" si="529">IFERROR(IF(AND((AQ110+AS110+AT110)=AP110,Y110=0,AA110=0),W110,0),0)</f>
        <v>0</v>
      </c>
      <c r="AC110" s="514">
        <f t="shared" ref="AC110:AC119" si="530">IFERROR(IF(AND((AQ110+AS110+AT110+AU110)=AP110,Y110=0,AA110=0,AB110=0),W110,0),0)</f>
        <v>0</v>
      </c>
      <c r="AD110" s="567">
        <f t="shared" ref="AD110:AD119" si="531">IFERROR(IF(AND((AQ110+AS110+AT110+AU110+AV110)=AP110,Y110=0,AA110=0,AB110=0,AC110=0),W110,0),0)</f>
        <v>0</v>
      </c>
      <c r="AE110" s="568"/>
      <c r="AF110" s="514">
        <f t="shared" ref="AF110:AF119" si="532">IFERROR(IF(AND((AL110+AN110)=100%,AL110&lt;1),W110,0),0)</f>
        <v>0</v>
      </c>
      <c r="AG110" s="514">
        <f t="shared" ref="AG110:AG119" si="533">IFERROR(IF(AND((AQ110+AY110)=AP110,Y110=0),W110,0),0)</f>
        <v>0</v>
      </c>
      <c r="AH110" s="514">
        <f t="shared" ref="AH110:AH119" si="534">IFERROR(IF(AND((AQ110+AY110+AZ110)=AP110,Y110=0,AG110=0),W110,0),0)</f>
        <v>0</v>
      </c>
      <c r="AI110" s="514">
        <f t="shared" ref="AI110:AI119" si="535">IFERROR(IF(AND((AQ110+AY110+AZ110+BA110)=AP110,Y110=0,AG110=0,AH110=0),W110,0),0)</f>
        <v>0</v>
      </c>
      <c r="AJ110" s="514">
        <f t="shared" ref="AJ110:AJ119" si="536">IFERROR(IF(AND((AQ110+AY110+AZ110+BA110+BB110)=AP110,Y110=0,AG110=0,AH110=0,AI110=0),W110,0),0)</f>
        <v>0</v>
      </c>
      <c r="AK110" s="501"/>
      <c r="AL110" s="570">
        <f t="shared" ref="AL110:AL119" si="537">IFERROR(AQ110/AP110,0)</f>
        <v>1</v>
      </c>
      <c r="AM110" s="570">
        <f t="shared" ref="AM110:AM119" si="538">IFERROR(AR110/AP110,0)</f>
        <v>0</v>
      </c>
      <c r="AN110" s="570">
        <f t="shared" ref="AN110:AN119" si="539">IFERROR(AX110/AP110,0)</f>
        <v>0</v>
      </c>
      <c r="AO110" s="518"/>
      <c r="AP110" s="514">
        <f>COUNTIF('AR | Drawing List'!$G:$G,"AR-T6V-1")</f>
        <v>2</v>
      </c>
      <c r="AQ110" s="506">
        <f>COUNTIFS('AR | Drawing List'!$G:$G,"AR-T6V-1",'AR | Drawing List'!$I:$I,1)</f>
        <v>2</v>
      </c>
      <c r="AR110" s="506">
        <f t="shared" si="238"/>
        <v>0</v>
      </c>
      <c r="AS110" s="506">
        <f>COUNTIFS('AR | Drawing List'!$G:$G,"AR-T6V-1",'AR | Drawing List'!M:M,1)</f>
        <v>0</v>
      </c>
      <c r="AT110" s="506">
        <f>COUNTIFS('AR | Drawing List'!$G:$G,"AR-T6V-1",'AR | Drawing List'!N:N,1)</f>
        <v>0</v>
      </c>
      <c r="AU110" s="506">
        <f>COUNTIFS('AR | Drawing List'!$G:$G,"AR-T6V-1",'AR | Drawing List'!O:O,1)</f>
        <v>0</v>
      </c>
      <c r="AV110" s="506">
        <f>COUNTIFS('AR | Drawing List'!$G:$G,"AR-T6V-1",'AR | Drawing List'!P:P,1)</f>
        <v>0</v>
      </c>
      <c r="AW110" s="466"/>
      <c r="AX110" s="506">
        <f t="shared" ref="AX110:AX130" si="540">SUM(AY110:BB110)</f>
        <v>0</v>
      </c>
      <c r="AY110" s="506">
        <f>COUNTIFS('AR | Drawing List'!$G:$G,"AR-T6V-1",'AR | Drawing List'!R:R,1)</f>
        <v>0</v>
      </c>
      <c r="AZ110" s="506">
        <f>COUNTIFS('AR | Drawing List'!$G:$G,"AR-T6V-1",'AR | Drawing List'!S:S,1)</f>
        <v>0</v>
      </c>
      <c r="BA110" s="506">
        <f>COUNTIFS('AR | Drawing List'!$G:$G,"AR-T6V-1",'AR | Drawing List'!T:T,1)</f>
        <v>0</v>
      </c>
      <c r="BB110" s="506">
        <f>COUNTIFS('AR | Drawing List'!$G:$G,"AR-T6V-1",'AR | Drawing List'!U:U,1)</f>
        <v>0</v>
      </c>
      <c r="BC110" s="466"/>
      <c r="BD110" s="466"/>
      <c r="BE110" s="511">
        <v>0.1</v>
      </c>
      <c r="BF110" s="508"/>
      <c r="BG110" s="506">
        <f t="shared" ref="BG110:BG119" si="541">$BG$109/$BE$109*BE110</f>
        <v>9.2401919999999999E-2</v>
      </c>
      <c r="BH110" s="510">
        <f t="shared" si="235"/>
        <v>9.2401919999999999E-2</v>
      </c>
      <c r="BI110" s="514">
        <f t="shared" ref="BI110:BI119" si="542">IFERROR(IF(BV110=100%,BG110,0),0)</f>
        <v>9.2401919999999999E-2</v>
      </c>
      <c r="BJ110" s="514">
        <f t="shared" ref="BJ110:BJ119" si="543">IFERROR(IF(AND((BV110+BW110)=100%,BV110&lt;1),BG110,0),0)</f>
        <v>0</v>
      </c>
      <c r="BK110" s="514">
        <f t="shared" ref="BK110:BK119" si="544">IFERROR(IF(AND((CA110+CC110)=BZ110,BI110=0),BG110,0),0)</f>
        <v>0</v>
      </c>
      <c r="BL110" s="514">
        <f t="shared" ref="BL110:BL119" si="545">IFERROR(IF(AND((CA110+CC110+CD110)=BZ110,BI110=0,BK110=0),BG110,0),0)</f>
        <v>0</v>
      </c>
      <c r="BM110" s="514">
        <f t="shared" ref="BM110:BM119" si="546">IFERROR(IF(AND((CA110+CC110+CD110+CE110)=BZ110,BI110=0,BK110=0,BL110=0),BG110,0),0)</f>
        <v>0</v>
      </c>
      <c r="BN110" s="514">
        <f t="shared" ref="BN110:BN119" si="547">IFERROR(IF(AND((CA110+CC110+CD110+CE110+CF110)=BZ110,BI110=0,BK110=0,BL110=0,BM110=0),BG110,0),0)</f>
        <v>0</v>
      </c>
      <c r="BO110" s="501"/>
      <c r="BP110" s="514">
        <f t="shared" ref="BP110:BP119" si="548">IFERROR(IF(AND((BV110+BX110)=100%,BV110&lt;1),BG110,0),0)</f>
        <v>0</v>
      </c>
      <c r="BQ110" s="514">
        <f t="shared" ref="BQ110:BQ119" si="549">IFERROR(IF(AND((CA110+CI110)=BZ110,BI110=0),BG110,0),0)</f>
        <v>0</v>
      </c>
      <c r="BR110" s="514">
        <f t="shared" ref="BR110:BR119" si="550">IFERROR(IF(AND((CA110+CI110+CJ110)=BZ110,BI110=0,BQ110=0),BG110,0),0)</f>
        <v>0</v>
      </c>
      <c r="BS110" s="514">
        <f t="shared" ref="BS110:BS119" si="551">IFERROR(IF(AND((CA110+CI110+CJ110+CK110)=BZ110,BI110=0,BQ110=0,BR110=0),BG110,0),0)</f>
        <v>0</v>
      </c>
      <c r="BT110" s="514">
        <f t="shared" ref="BT110:BT119" si="552">IFERROR(IF(AND((CA110+CI110+CJ110+CK110+CL110)=BZ110,BI110=0,BQ110=0,BR110=0,BS110=0),BG110,0),0)</f>
        <v>0</v>
      </c>
      <c r="BU110" s="501"/>
      <c r="BV110" s="571">
        <f t="shared" ref="BV110:BV119" si="553">IFERROR(CA110/BZ110,0)</f>
        <v>1</v>
      </c>
      <c r="BW110" s="571">
        <f t="shared" ref="BW110:BW119" si="554">IFERROR(CB110/BZ110,0)</f>
        <v>0</v>
      </c>
      <c r="BX110" s="571">
        <f t="shared" ref="BX110:BX119" si="555">IFERROR(CH110/BZ110,0)</f>
        <v>0</v>
      </c>
      <c r="BY110" s="518"/>
      <c r="BZ110" s="514">
        <f>COUNTIF('ST | Drawing List'!$G:$G,"ST-T6V-1")</f>
        <v>97</v>
      </c>
      <c r="CA110" s="506">
        <f>COUNTIFS('ST | Drawing List'!$G:$G,"ST-T6V-1",'ST | Drawing List'!$I:$I,1)</f>
        <v>97</v>
      </c>
      <c r="CB110" s="572">
        <f>COUNTIFS('ST | Drawing List'!$G:$G,"ST-T6V-1",'ST | Drawing List'!$K:$K,1)</f>
        <v>0</v>
      </c>
      <c r="CC110" s="506">
        <f>COUNTIFS('ST | Drawing List'!$G:$G,"ST-T6V-1",'ST | Drawing List'!L:L,1)</f>
        <v>0</v>
      </c>
      <c r="CD110" s="506">
        <f>COUNTIFS('ST | Drawing List'!$G:$G,"ST-T6V-1",'ST | Drawing List'!M:M,1)</f>
        <v>0</v>
      </c>
      <c r="CE110" s="506">
        <f>COUNTIFS('ST | Drawing List'!$G:$G,"ST-T6V-1",'ST | Drawing List'!N:N,1)</f>
        <v>0</v>
      </c>
      <c r="CF110" s="506">
        <f>COUNTIFS('ST | Drawing List'!$G:$G,"ST-T6V-1",'ST | Drawing List'!O:O,1)</f>
        <v>0</v>
      </c>
      <c r="CG110" s="471"/>
      <c r="CH110" s="572">
        <f>COUNTIFS('ST | Drawing List'!$G:$G,"ST-T6V-1",'ST | Drawing List'!$P:$P,1)</f>
        <v>0</v>
      </c>
      <c r="CI110" s="506">
        <f>COUNTIFS('ST | Drawing List'!$G:$G,"ST-T6V-1",'ST | Drawing List'!Q:Q,1)</f>
        <v>0</v>
      </c>
      <c r="CJ110" s="506">
        <f>COUNTIFS('ST | Drawing List'!$G:$G,"ST-T6V-1",'ST | Drawing List'!R:R,1)</f>
        <v>0</v>
      </c>
      <c r="CK110" s="506">
        <f>COUNTIFS('ST | Drawing List'!$G:$G,"ST-T6V-1",'ST | Drawing List'!S:S,1)</f>
        <v>0</v>
      </c>
      <c r="CL110" s="506">
        <f>COUNTIFS('ST | Drawing List'!$G:$G,"ST-T6V-1",'ST | Drawing List'!T:T,1)</f>
        <v>0</v>
      </c>
      <c r="CM110" s="508"/>
      <c r="CN110" s="508"/>
      <c r="CO110" s="511">
        <v>0.1</v>
      </c>
      <c r="CP110" s="508"/>
      <c r="CQ110" s="506">
        <f t="shared" ref="CQ110:CQ119" si="556">$CQ$109/$CO$109*CO110</f>
        <v>1.2646400000000002E-2</v>
      </c>
      <c r="CR110" s="510">
        <f t="shared" si="236"/>
        <v>1.2646400000000002E-2</v>
      </c>
      <c r="CS110" s="514">
        <f t="shared" ref="CS110:CS119" si="557">IFERROR(IF(DF110=100%,CQ110,0),0)</f>
        <v>1.2646400000000002E-2</v>
      </c>
      <c r="CT110" s="514">
        <f t="shared" ref="CT110:CT119" si="558">IFERROR(IF(AND((DF110+DG110)=100%,DF110&lt;1),CQ110,0),0)</f>
        <v>0</v>
      </c>
      <c r="CU110" s="514">
        <f t="shared" ref="CU110:CU119" si="559">IFERROR(IF(AND((DK110+DM110)=DJ110,CS110=0),CQ110,0),0)</f>
        <v>0</v>
      </c>
      <c r="CV110" s="514">
        <f t="shared" ref="CV110:CV119" si="560">IFERROR(IF(AND((DK110+DM110+DN110)=DJ110,CS110=0,CU110=0),CQ110,0),0)</f>
        <v>0</v>
      </c>
      <c r="CW110" s="514">
        <f t="shared" ref="CW110:CW119" si="561">IFERROR(IF(AND((DK110+DM110+DN110+DO110)=DJ110,CS110=0,CU110=0,CV110=0),CQ110,0),0)</f>
        <v>0</v>
      </c>
      <c r="CX110" s="514">
        <f t="shared" ref="CX110:CX119" si="562">IFERROR(IF(AND((DK110+DM110+DN110+DO110+DP110)=DJ110,CS110=0,CU110=0,CV110=0,CW110=0),CQ110,0),0)</f>
        <v>0</v>
      </c>
      <c r="CY110" s="501"/>
      <c r="CZ110" s="514">
        <f t="shared" ref="CZ110:CZ119" si="563">IFERROR(IF(AND((DF110+DH110)=100%,DF110&lt;1),CQ110,0),0)</f>
        <v>0</v>
      </c>
      <c r="DA110" s="514">
        <f t="shared" ref="DA110:DA119" si="564">IFERROR(IF(AND((DK110+DS110)=DJ110,CS110=0),CQ110,0),0)</f>
        <v>0</v>
      </c>
      <c r="DB110" s="514">
        <f t="shared" ref="DB110:DB119" si="565">IFERROR(IF(AND((DK110+DS110+DT110)=DJ110,CS110=0,DA110=0),CQ110,0),0)</f>
        <v>0</v>
      </c>
      <c r="DC110" s="514">
        <f t="shared" ref="DC110:DC119" si="566">IFERROR(IF(AND((DK110+DS110+DT110+DU110)=DJ110,CS110=0,DA110=0,DB110=0),CQ110,0),0)</f>
        <v>0</v>
      </c>
      <c r="DD110" s="514">
        <f t="shared" ref="DD110:DD119" si="567">IFERROR(IF(AND((DK110+DS110+DT110+DU110+DV110)=DJ110,CS110=0,DA110=0,DB110=0,DC110=0),CQ110,0),0)</f>
        <v>0</v>
      </c>
      <c r="DE110" s="501"/>
      <c r="DF110" s="570">
        <f t="shared" ref="DF110:DF119" si="568">IFERROR(DK110/DJ110,0)</f>
        <v>1</v>
      </c>
      <c r="DG110" s="570">
        <f t="shared" ref="DG110:DG119" si="569">IFERROR(DL110/DJ110,0)</f>
        <v>0</v>
      </c>
      <c r="DH110" s="570">
        <f t="shared" ref="DH110:DH119" si="570">IFERROR(DR110/DJ110,0)</f>
        <v>0</v>
      </c>
      <c r="DI110" s="518"/>
      <c r="DJ110" s="514">
        <f>COUNTIF('MEP | Drawing List'!$G:$G,"MEP-T2V-6V-1")</f>
        <v>9</v>
      </c>
      <c r="DK110" s="506">
        <f>COUNTIFS('MEP | Drawing List'!$G:$G,"MEP-T2V-6V-1",'MEP | Drawing List'!$I:$I,1)</f>
        <v>9</v>
      </c>
      <c r="DL110" s="506">
        <f>COUNTIFS('MEP | Drawing List'!$G:$G,"MEP-T2V-6V-1",'MEP | Drawing List'!$K:$K,1)</f>
        <v>0</v>
      </c>
      <c r="DM110" s="514">
        <f>COUNTIFS('MEP | Drawing List'!$G:$G,"MEP-T2V-6V-1",'MEP | Drawing List'!L:L,1)</f>
        <v>0</v>
      </c>
      <c r="DN110" s="514">
        <f>COUNTIFS('MEP | Drawing List'!$G:$G,"MEP-T2V-6V-1",'MEP | Drawing List'!M:M,1)</f>
        <v>0</v>
      </c>
      <c r="DO110" s="514">
        <f>COUNTIFS('MEP | Drawing List'!$G:$G,"MEP-T2V-6V-1",'MEP | Drawing List'!N:N,1)</f>
        <v>0</v>
      </c>
      <c r="DP110" s="514">
        <f>COUNTIFS('MEP | Drawing List'!$G:$G,"MEP-T2V-6V-1",'MEP | Drawing List'!O:O,1)</f>
        <v>0</v>
      </c>
      <c r="DQ110" s="501"/>
      <c r="DR110" s="506">
        <f>COUNTIFS('MEP | Drawing List'!$G:$G,"MEP-T2V-6V-1",'MEP | Drawing List'!$P:$P,1)</f>
        <v>0</v>
      </c>
      <c r="DS110" s="514">
        <f>COUNTIFS('MEP | Drawing List'!$G:$G,"MEP-T2V-6V-1",'MEP | Drawing List'!Q:Q,1)</f>
        <v>0</v>
      </c>
      <c r="DT110" s="514">
        <f>COUNTIFS('MEP | Drawing List'!$G:$G,"MEP-T2V-6V-1",'MEP | Drawing List'!R:R,1)</f>
        <v>0</v>
      </c>
      <c r="DU110" s="514">
        <f>COUNTIFS('MEP | Drawing List'!$G:$G,"MEP-T2V-6V-1",'MEP | Drawing List'!S:S,1)</f>
        <v>0</v>
      </c>
      <c r="DV110" s="514">
        <f>COUNTIFS('MEP | Drawing List'!$G:$G,"MEP-T2V-6V-1",'MEP | Drawing List'!T:T,1)</f>
        <v>0</v>
      </c>
      <c r="DW110" s="508"/>
      <c r="DX110" s="508"/>
      <c r="DY110" s="511">
        <v>0</v>
      </c>
      <c r="DZ110" s="508"/>
      <c r="EA110" s="509">
        <v>0</v>
      </c>
      <c r="EB110" s="510">
        <f t="shared" si="237"/>
        <v>0</v>
      </c>
      <c r="EC110" s="515"/>
      <c r="ED110" s="515"/>
      <c r="EE110" s="501"/>
      <c r="EF110" s="501"/>
      <c r="EG110" s="501"/>
      <c r="EH110" s="501"/>
      <c r="EI110" s="501"/>
      <c r="EJ110" s="515"/>
      <c r="EK110" s="501"/>
      <c r="EL110" s="501"/>
      <c r="EM110" s="501"/>
      <c r="EN110" s="501"/>
      <c r="EO110" s="501"/>
      <c r="EP110" s="52"/>
      <c r="EQ110" s="52"/>
      <c r="ER110" s="52"/>
      <c r="ET110" s="514">
        <f>COUNTIF('LS | Drawing List'!$G:$G,"LS-T6V-1")</f>
        <v>0</v>
      </c>
      <c r="EU110" s="506">
        <f>COUNTIFS('LS | Drawing List'!$G:$G,"LS-T6V-1",'LS | Drawing List'!$I:$I,1)</f>
        <v>0</v>
      </c>
      <c r="EV110" s="506">
        <f>COUNTIFS('LS | Drawing List'!$G:$G,"LS-T6V-1",'LS | Drawing List'!$K:$K,1)</f>
        <v>0</v>
      </c>
      <c r="EW110" s="514">
        <f>COUNTIFS('LS | Drawing List'!$G:$G,"LS-T6V-1",'LS | Drawing List'!L:L,1)</f>
        <v>0</v>
      </c>
      <c r="EX110" s="514">
        <f>COUNTIFS('LS | Drawing List'!$G:$G,"LS-T6V-1",'LS | Drawing List'!M:M,1)</f>
        <v>0</v>
      </c>
      <c r="EY110" s="514">
        <f>COUNTIFS('LS | Drawing List'!$G:$G,"LS-T6V-1",'LS | Drawing List'!N:N,1)</f>
        <v>0</v>
      </c>
      <c r="EZ110" s="514">
        <f>COUNTIFS('LS | Drawing List'!$G:$G,"LS-T6V-1",'LS | Drawing List'!O:O,1)</f>
        <v>0</v>
      </c>
      <c r="FA110" s="515"/>
      <c r="FB110" s="506">
        <f>COUNTIFS('LS | Drawing List'!$G:$G,"LS-T6V-1",'LS | Drawing List'!$P:$P,1)</f>
        <v>0</v>
      </c>
      <c r="FC110" s="514">
        <f>COUNTIFS('LS | Drawing List'!$G:$G,"LS-T6V-1",'LS | Drawing List'!Q:Q,1)</f>
        <v>0</v>
      </c>
      <c r="FD110" s="514">
        <f>COUNTIFS('LS | Drawing List'!$G:$G,"LS-T6V-1",'LS | Drawing List'!R:R,1)</f>
        <v>0</v>
      </c>
      <c r="FE110" s="514">
        <f>COUNTIFS('LS | Drawing List'!$G:$G,"LS-T6V-1",'LS | Drawing List'!S:S,1)</f>
        <v>0</v>
      </c>
      <c r="FF110" s="514">
        <f>COUNTIFS('LS | Drawing List'!$G:$G,"LS-T6V-1",'LS | Drawing List'!T:T,1)</f>
        <v>0</v>
      </c>
    </row>
    <row r="111" spans="2:162" ht="14.25" outlineLevel="2">
      <c r="B111" s="564" t="s">
        <v>118</v>
      </c>
      <c r="C111" s="565">
        <v>2</v>
      </c>
      <c r="D111" s="566" t="s">
        <v>54</v>
      </c>
      <c r="F111" s="500">
        <f t="shared" si="522"/>
        <v>0.20321792000000002</v>
      </c>
      <c r="G111" s="500">
        <f t="shared" si="523"/>
        <v>0.20321792000000002</v>
      </c>
      <c r="H111" s="514">
        <f t="shared" si="524"/>
        <v>0</v>
      </c>
      <c r="I111" s="514">
        <f t="shared" si="496"/>
        <v>0</v>
      </c>
      <c r="J111" s="514">
        <f t="shared" si="497"/>
        <v>0</v>
      </c>
      <c r="K111" s="514">
        <f t="shared" si="498"/>
        <v>0</v>
      </c>
      <c r="L111" s="514">
        <f t="shared" si="499"/>
        <v>0</v>
      </c>
      <c r="M111" s="567">
        <f t="shared" si="500"/>
        <v>0</v>
      </c>
      <c r="N111" s="568"/>
      <c r="O111" s="514">
        <f t="shared" si="501"/>
        <v>0</v>
      </c>
      <c r="P111" s="514">
        <f t="shared" si="502"/>
        <v>0</v>
      </c>
      <c r="Q111" s="514">
        <f t="shared" si="503"/>
        <v>0</v>
      </c>
      <c r="R111" s="514">
        <f t="shared" si="504"/>
        <v>0</v>
      </c>
      <c r="S111" s="514">
        <f t="shared" si="505"/>
        <v>0</v>
      </c>
      <c r="U111" s="569">
        <v>0.05</v>
      </c>
      <c r="V111" s="503"/>
      <c r="W111" s="500">
        <f t="shared" si="525"/>
        <v>0.11081600000000003</v>
      </c>
      <c r="X111" s="500">
        <f t="shared" si="234"/>
        <v>0.11081600000000003</v>
      </c>
      <c r="Y111" s="514">
        <f t="shared" si="526"/>
        <v>0.11081600000000003</v>
      </c>
      <c r="Z111" s="514">
        <f t="shared" si="527"/>
        <v>0</v>
      </c>
      <c r="AA111" s="514">
        <f t="shared" si="528"/>
        <v>0</v>
      </c>
      <c r="AB111" s="514">
        <f t="shared" si="529"/>
        <v>0</v>
      </c>
      <c r="AC111" s="514">
        <f t="shared" si="530"/>
        <v>0</v>
      </c>
      <c r="AD111" s="567">
        <f t="shared" si="531"/>
        <v>0</v>
      </c>
      <c r="AE111" s="568"/>
      <c r="AF111" s="514">
        <f t="shared" si="532"/>
        <v>0</v>
      </c>
      <c r="AG111" s="514">
        <f t="shared" si="533"/>
        <v>0</v>
      </c>
      <c r="AH111" s="514">
        <f t="shared" si="534"/>
        <v>0</v>
      </c>
      <c r="AI111" s="514">
        <f t="shared" si="535"/>
        <v>0</v>
      </c>
      <c r="AJ111" s="514">
        <f t="shared" si="536"/>
        <v>0</v>
      </c>
      <c r="AK111" s="501"/>
      <c r="AL111" s="570">
        <f t="shared" si="537"/>
        <v>1</v>
      </c>
      <c r="AM111" s="570">
        <f t="shared" si="538"/>
        <v>0</v>
      </c>
      <c r="AN111" s="570">
        <f t="shared" si="539"/>
        <v>0</v>
      </c>
      <c r="AO111" s="518"/>
      <c r="AP111" s="514">
        <f>COUNTIF('AR | Drawing List'!$G:$G,"AR-T6V-2")</f>
        <v>1</v>
      </c>
      <c r="AQ111" s="506">
        <f>COUNTIFS('AR | Drawing List'!$G:$G,"AR-T6V-2",'AR | Drawing List'!$I:$I,1)</f>
        <v>1</v>
      </c>
      <c r="AR111" s="506">
        <f t="shared" si="238"/>
        <v>0</v>
      </c>
      <c r="AS111" s="506">
        <f>COUNTIFS('AR | Drawing List'!$G:$G,"AR-T6V-2",'AR | Drawing List'!M:M,1)</f>
        <v>0</v>
      </c>
      <c r="AT111" s="506">
        <f>COUNTIFS('AR | Drawing List'!$G:$G,"AR-T6V-2",'AR | Drawing List'!N:N,1)</f>
        <v>0</v>
      </c>
      <c r="AU111" s="506">
        <f>COUNTIFS('AR | Drawing List'!$G:$G,"AR-T6V-2",'AR | Drawing List'!O:O,1)</f>
        <v>0</v>
      </c>
      <c r="AV111" s="506">
        <f>COUNTIFS('AR | Drawing List'!$G:$G,"AR-T6V-2",'AR | Drawing List'!P:P,1)</f>
        <v>0</v>
      </c>
      <c r="AW111" s="466"/>
      <c r="AX111" s="506">
        <f t="shared" si="540"/>
        <v>0</v>
      </c>
      <c r="AY111" s="506">
        <f>COUNTIFS('AR | Drawing List'!$G:$G,"AR-T6V-2",'AR | Drawing List'!R:R,1)</f>
        <v>0</v>
      </c>
      <c r="AZ111" s="506">
        <f>COUNTIFS('AR | Drawing List'!$G:$G,"AR-T6V-2",'AR | Drawing List'!S:S,1)</f>
        <v>0</v>
      </c>
      <c r="BA111" s="506">
        <f>COUNTIFS('AR | Drawing List'!$G:$G,"AR-T6V-2",'AR | Drawing List'!T:T,1)</f>
        <v>0</v>
      </c>
      <c r="BB111" s="506">
        <f>COUNTIFS('AR | Drawing List'!$G:$G,"AR-T6V-2",'AR | Drawing List'!U:U,1)</f>
        <v>0</v>
      </c>
      <c r="BC111" s="466"/>
      <c r="BD111" s="466"/>
      <c r="BE111" s="511">
        <v>0.1</v>
      </c>
      <c r="BF111" s="508"/>
      <c r="BG111" s="506">
        <f t="shared" si="541"/>
        <v>9.2401919999999999E-2</v>
      </c>
      <c r="BH111" s="510">
        <f t="shared" si="235"/>
        <v>9.2401919999999999E-2</v>
      </c>
      <c r="BI111" s="514">
        <f t="shared" si="542"/>
        <v>9.2401919999999999E-2</v>
      </c>
      <c r="BJ111" s="514">
        <f t="shared" si="543"/>
        <v>0</v>
      </c>
      <c r="BK111" s="514">
        <f t="shared" si="544"/>
        <v>0</v>
      </c>
      <c r="BL111" s="514">
        <f t="shared" si="545"/>
        <v>0</v>
      </c>
      <c r="BM111" s="514">
        <f t="shared" si="546"/>
        <v>0</v>
      </c>
      <c r="BN111" s="514">
        <f t="shared" si="547"/>
        <v>0</v>
      </c>
      <c r="BO111" s="501"/>
      <c r="BP111" s="514">
        <f t="shared" si="548"/>
        <v>0</v>
      </c>
      <c r="BQ111" s="514">
        <f t="shared" si="549"/>
        <v>0</v>
      </c>
      <c r="BR111" s="514">
        <f t="shared" si="550"/>
        <v>0</v>
      </c>
      <c r="BS111" s="514">
        <f t="shared" si="551"/>
        <v>0</v>
      </c>
      <c r="BT111" s="514">
        <f t="shared" si="552"/>
        <v>0</v>
      </c>
      <c r="BU111" s="501"/>
      <c r="BV111" s="571">
        <f t="shared" si="553"/>
        <v>1</v>
      </c>
      <c r="BW111" s="571">
        <f t="shared" si="554"/>
        <v>0</v>
      </c>
      <c r="BX111" s="571">
        <f t="shared" si="555"/>
        <v>0</v>
      </c>
      <c r="BY111" s="518"/>
      <c r="BZ111" s="514">
        <f>COUNTIF('ST | Drawing List'!$G:$G,"ST-T6V-2")</f>
        <v>10</v>
      </c>
      <c r="CA111" s="506">
        <f>COUNTIFS('ST | Drawing List'!$G:$G,"ST-T6V-2",'ST | Drawing List'!$I:$I,1)</f>
        <v>10</v>
      </c>
      <c r="CB111" s="572">
        <f>COUNTIFS('ST | Drawing List'!$G:$G,"ST-T6V-2",'ST | Drawing List'!$K:$K,1)</f>
        <v>0</v>
      </c>
      <c r="CC111" s="506">
        <f>COUNTIFS('ST | Drawing List'!$G:$G,"ST-T6V-2",'ST | Drawing List'!L:L,1)</f>
        <v>0</v>
      </c>
      <c r="CD111" s="506">
        <f>COUNTIFS('ST | Drawing List'!$G:$G,"ST-T6V-2",'ST | Drawing List'!M:M,1)</f>
        <v>0</v>
      </c>
      <c r="CE111" s="506">
        <f>COUNTIFS('ST | Drawing List'!$G:$G,"ST-T6V-2",'ST | Drawing List'!N:N,1)</f>
        <v>0</v>
      </c>
      <c r="CF111" s="506">
        <f>COUNTIFS('ST | Drawing List'!$G:$G,"ST-T6V-2",'ST | Drawing List'!O:O,1)</f>
        <v>0</v>
      </c>
      <c r="CG111" s="471"/>
      <c r="CH111" s="572">
        <f>COUNTIFS('ST | Drawing List'!$G:$G,"ST-T6V-2",'ST | Drawing List'!$P:$P,1)</f>
        <v>0</v>
      </c>
      <c r="CI111" s="506">
        <f>COUNTIFS('ST | Drawing List'!$G:$G,"ST-T6V-2",'ST | Drawing List'!Q:Q,1)</f>
        <v>0</v>
      </c>
      <c r="CJ111" s="506">
        <f>COUNTIFS('ST | Drawing List'!$G:$G,"ST-T6V-2",'ST | Drawing List'!R:R,1)</f>
        <v>0</v>
      </c>
      <c r="CK111" s="506">
        <f>COUNTIFS('ST | Drawing List'!$G:$G,"ST-T6V-2",'ST | Drawing List'!S:S,1)</f>
        <v>0</v>
      </c>
      <c r="CL111" s="506">
        <f>COUNTIFS('ST | Drawing List'!$G:$G,"ST-T6V-2",'ST | Drawing List'!T:T,1)</f>
        <v>0</v>
      </c>
      <c r="CM111" s="508"/>
      <c r="CN111" s="508"/>
      <c r="CO111" s="576">
        <v>0</v>
      </c>
      <c r="CP111" s="508"/>
      <c r="CQ111" s="506">
        <f t="shared" si="556"/>
        <v>0</v>
      </c>
      <c r="CR111" s="510">
        <f t="shared" si="236"/>
        <v>0</v>
      </c>
      <c r="CS111" s="514">
        <f t="shared" si="557"/>
        <v>0</v>
      </c>
      <c r="CT111" s="514">
        <f t="shared" si="558"/>
        <v>0</v>
      </c>
      <c r="CU111" s="514">
        <f t="shared" si="559"/>
        <v>0</v>
      </c>
      <c r="CV111" s="514">
        <f t="shared" si="560"/>
        <v>0</v>
      </c>
      <c r="CW111" s="514">
        <f t="shared" si="561"/>
        <v>0</v>
      </c>
      <c r="CX111" s="514">
        <f t="shared" si="562"/>
        <v>0</v>
      </c>
      <c r="CY111" s="501"/>
      <c r="CZ111" s="514">
        <f t="shared" si="563"/>
        <v>0</v>
      </c>
      <c r="DA111" s="514">
        <f t="shared" si="564"/>
        <v>0</v>
      </c>
      <c r="DB111" s="514">
        <f t="shared" si="565"/>
        <v>0</v>
      </c>
      <c r="DC111" s="514">
        <f t="shared" si="566"/>
        <v>0</v>
      </c>
      <c r="DD111" s="514">
        <f t="shared" si="567"/>
        <v>0</v>
      </c>
      <c r="DE111" s="501"/>
      <c r="DF111" s="570">
        <f t="shared" si="568"/>
        <v>0</v>
      </c>
      <c r="DG111" s="570">
        <f t="shared" si="569"/>
        <v>0</v>
      </c>
      <c r="DH111" s="570">
        <f t="shared" si="570"/>
        <v>0</v>
      </c>
      <c r="DI111" s="518"/>
      <c r="DJ111" s="514">
        <f>COUNTIF('MEP | Drawing List'!$G:$G,"MEP-T2V-6V-2")</f>
        <v>0</v>
      </c>
      <c r="DK111" s="506">
        <f>COUNTIFS('MEP | Drawing List'!$G:$G,"MEP-T2V-6V-2",'MEP | Drawing List'!$I:$I,1)</f>
        <v>0</v>
      </c>
      <c r="DL111" s="506">
        <f>COUNTIFS('MEP | Drawing List'!$G:$G,"MEP-T2V-6V-2",'MEP | Drawing List'!$K:$K,1)</f>
        <v>0</v>
      </c>
      <c r="DM111" s="514">
        <f>COUNTIFS('MEP | Drawing List'!$G:$G,"MEP-T2V-6V-2",'MEP | Drawing List'!L:L,1)</f>
        <v>0</v>
      </c>
      <c r="DN111" s="514">
        <f>COUNTIFS('MEP | Drawing List'!$G:$G,"MEP-T2V-6V-2",'MEP | Drawing List'!M:M,1)</f>
        <v>0</v>
      </c>
      <c r="DO111" s="514">
        <f>COUNTIFS('MEP | Drawing List'!$G:$G,"MEP-T2V-6V-2",'MEP | Drawing List'!N:N,1)</f>
        <v>0</v>
      </c>
      <c r="DP111" s="514">
        <f>COUNTIFS('MEP | Drawing List'!$G:$G,"MEP-T2V-6V-2",'MEP | Drawing List'!O:O,1)</f>
        <v>0</v>
      </c>
      <c r="DQ111" s="501"/>
      <c r="DR111" s="506">
        <f>COUNTIFS('MEP | Drawing List'!$G:$G,"MEP-T2V-6V-2",'MEP | Drawing List'!$P:$P,1)</f>
        <v>0</v>
      </c>
      <c r="DS111" s="514">
        <f>COUNTIFS('MEP | Drawing List'!$G:$G,"MEP-T2V-6V-2",'MEP | Drawing List'!Q:Q,1)</f>
        <v>0</v>
      </c>
      <c r="DT111" s="514">
        <f>COUNTIFS('MEP | Drawing List'!$G:$G,"MEP-T2V-6V-2",'MEP | Drawing List'!R:R,1)</f>
        <v>0</v>
      </c>
      <c r="DU111" s="514">
        <f>COUNTIFS('MEP | Drawing List'!$G:$G,"MEP-T2V-6V-2",'MEP | Drawing List'!S:S,1)</f>
        <v>0</v>
      </c>
      <c r="DV111" s="514">
        <f>COUNTIFS('MEP | Drawing List'!$G:$G,"MEP-T2V-6V-2",'MEP | Drawing List'!T:T,1)</f>
        <v>0</v>
      </c>
      <c r="DW111" s="508"/>
      <c r="DX111" s="508"/>
      <c r="DY111" s="511">
        <v>0</v>
      </c>
      <c r="DZ111" s="508"/>
      <c r="EA111" s="509">
        <v>0</v>
      </c>
      <c r="EB111" s="510">
        <f t="shared" si="237"/>
        <v>0</v>
      </c>
      <c r="EC111" s="515"/>
      <c r="ED111" s="515"/>
      <c r="EE111" s="501"/>
      <c r="EF111" s="501"/>
      <c r="EG111" s="501"/>
      <c r="EH111" s="501"/>
      <c r="EI111" s="501"/>
      <c r="EJ111" s="515"/>
      <c r="EK111" s="501"/>
      <c r="EL111" s="501"/>
      <c r="EM111" s="501"/>
      <c r="EN111" s="501"/>
      <c r="EO111" s="501"/>
      <c r="EP111" s="52"/>
      <c r="EQ111" s="52"/>
      <c r="ER111" s="52"/>
      <c r="ET111" s="514">
        <f>COUNTIF('LS | Drawing List'!$G:$G,"LS-T6V-2")</f>
        <v>0</v>
      </c>
      <c r="EU111" s="506">
        <f>COUNTIFS('LS | Drawing List'!$G:$G,"LS-T6V-2",'LS | Drawing List'!$I:$I,1)</f>
        <v>0</v>
      </c>
      <c r="EV111" s="506">
        <f>COUNTIFS('LS | Drawing List'!$G:$G,"LS-T6V-2",'LS | Drawing List'!$K:$K,1)</f>
        <v>0</v>
      </c>
      <c r="EW111" s="514">
        <f>COUNTIFS('LS | Drawing List'!$G:$G,"LS-T6V-2",'LS | Drawing List'!L:L,1)</f>
        <v>0</v>
      </c>
      <c r="EX111" s="514">
        <f>COUNTIFS('LS | Drawing List'!$G:$G,"LS-T6V-2",'LS | Drawing List'!M:M,1)</f>
        <v>0</v>
      </c>
      <c r="EY111" s="514">
        <f>COUNTIFS('LS | Drawing List'!$G:$G,"LS-T6V-2",'LS | Drawing List'!N:N,1)</f>
        <v>0</v>
      </c>
      <c r="EZ111" s="514">
        <f>COUNTIFS('LS | Drawing List'!$G:$G,"LS-T6V-2",'LS | Drawing List'!O:O,1)</f>
        <v>0</v>
      </c>
      <c r="FA111" s="515"/>
      <c r="FB111" s="506">
        <f>COUNTIFS('LS | Drawing List'!$G:$G,"LS-T6V-2",'LS | Drawing List'!$P:$P,1)</f>
        <v>0</v>
      </c>
      <c r="FC111" s="514">
        <f>COUNTIFS('LS | Drawing List'!$G:$G,"LS-T6V-2",'LS | Drawing List'!Q:Q,1)</f>
        <v>0</v>
      </c>
      <c r="FD111" s="514">
        <f>COUNTIFS('LS | Drawing List'!$G:$G,"LS-T6V-2",'LS | Drawing List'!R:R,1)</f>
        <v>0</v>
      </c>
      <c r="FE111" s="514">
        <f>COUNTIFS('LS | Drawing List'!$G:$G,"LS-T6V-2",'LS | Drawing List'!S:S,1)</f>
        <v>0</v>
      </c>
      <c r="FF111" s="514">
        <f>COUNTIFS('LS | Drawing List'!$G:$G,"LS-T6V-2",'LS | Drawing List'!T:T,1)</f>
        <v>0</v>
      </c>
    </row>
    <row r="112" spans="2:162" ht="14.25" outlineLevel="2">
      <c r="B112" s="564" t="s">
        <v>119</v>
      </c>
      <c r="C112" s="565">
        <v>3</v>
      </c>
      <c r="D112" s="566" t="s">
        <v>56</v>
      </c>
      <c r="F112" s="500">
        <f t="shared" si="522"/>
        <v>0.11081600000000003</v>
      </c>
      <c r="G112" s="500">
        <f t="shared" si="523"/>
        <v>0.11081600000000003</v>
      </c>
      <c r="H112" s="514">
        <f t="shared" si="524"/>
        <v>0</v>
      </c>
      <c r="I112" s="514">
        <f t="shared" si="496"/>
        <v>0</v>
      </c>
      <c r="J112" s="514">
        <f t="shared" si="497"/>
        <v>0</v>
      </c>
      <c r="K112" s="514">
        <f t="shared" si="498"/>
        <v>0</v>
      </c>
      <c r="L112" s="514">
        <f t="shared" si="499"/>
        <v>0</v>
      </c>
      <c r="M112" s="567">
        <f t="shared" si="500"/>
        <v>0</v>
      </c>
      <c r="N112" s="568"/>
      <c r="O112" s="514">
        <f t="shared" si="501"/>
        <v>0</v>
      </c>
      <c r="P112" s="514">
        <f t="shared" si="502"/>
        <v>0</v>
      </c>
      <c r="Q112" s="514">
        <f t="shared" si="503"/>
        <v>0</v>
      </c>
      <c r="R112" s="514">
        <f t="shared" si="504"/>
        <v>0</v>
      </c>
      <c r="S112" s="514">
        <f t="shared" si="505"/>
        <v>0</v>
      </c>
      <c r="U112" s="569">
        <v>0.05</v>
      </c>
      <c r="V112" s="503"/>
      <c r="W112" s="500">
        <f t="shared" si="525"/>
        <v>0.11081600000000003</v>
      </c>
      <c r="X112" s="500">
        <f t="shared" si="234"/>
        <v>0.11081600000000003</v>
      </c>
      <c r="Y112" s="514">
        <f t="shared" si="526"/>
        <v>0.11081600000000003</v>
      </c>
      <c r="Z112" s="514">
        <f t="shared" si="527"/>
        <v>0</v>
      </c>
      <c r="AA112" s="514">
        <f t="shared" si="528"/>
        <v>0</v>
      </c>
      <c r="AB112" s="514">
        <f t="shared" si="529"/>
        <v>0</v>
      </c>
      <c r="AC112" s="514">
        <f t="shared" si="530"/>
        <v>0</v>
      </c>
      <c r="AD112" s="567">
        <f t="shared" si="531"/>
        <v>0</v>
      </c>
      <c r="AE112" s="568"/>
      <c r="AF112" s="514">
        <f t="shared" si="532"/>
        <v>0</v>
      </c>
      <c r="AG112" s="514">
        <f t="shared" si="533"/>
        <v>0</v>
      </c>
      <c r="AH112" s="514">
        <f t="shared" si="534"/>
        <v>0</v>
      </c>
      <c r="AI112" s="514">
        <f t="shared" si="535"/>
        <v>0</v>
      </c>
      <c r="AJ112" s="514">
        <f t="shared" si="536"/>
        <v>0</v>
      </c>
      <c r="AK112" s="501"/>
      <c r="AL112" s="570">
        <f t="shared" si="537"/>
        <v>1</v>
      </c>
      <c r="AM112" s="570">
        <f t="shared" si="538"/>
        <v>0</v>
      </c>
      <c r="AN112" s="570">
        <f t="shared" si="539"/>
        <v>0</v>
      </c>
      <c r="AO112" s="518"/>
      <c r="AP112" s="514">
        <f>COUNTIF('AR | Drawing List'!$G:$G,"AR-T6V-3")</f>
        <v>1</v>
      </c>
      <c r="AQ112" s="506">
        <f>COUNTIFS('AR | Drawing List'!$G:$G,"AR-T6V-3",'AR | Drawing List'!$I:$I,1)</f>
        <v>1</v>
      </c>
      <c r="AR112" s="506">
        <f t="shared" si="238"/>
        <v>0</v>
      </c>
      <c r="AS112" s="506">
        <f>COUNTIFS('AR | Drawing List'!$G:$G,"AR-T6V-3",'AR | Drawing List'!M:M,1)</f>
        <v>0</v>
      </c>
      <c r="AT112" s="506">
        <f>COUNTIFS('AR | Drawing List'!$G:$G,"AR-T6V-3",'AR | Drawing List'!N:N,1)</f>
        <v>0</v>
      </c>
      <c r="AU112" s="506">
        <f>COUNTIFS('AR | Drawing List'!$G:$G,"AR-T6V-3",'AR | Drawing List'!O:O,1)</f>
        <v>0</v>
      </c>
      <c r="AV112" s="506">
        <f>COUNTIFS('AR | Drawing List'!$G:$G,"AR-T6V-3",'AR | Drawing List'!P:P,1)</f>
        <v>0</v>
      </c>
      <c r="AW112" s="466"/>
      <c r="AX112" s="506">
        <f t="shared" si="540"/>
        <v>0</v>
      </c>
      <c r="AY112" s="506">
        <f>COUNTIFS('AR | Drawing List'!$G:$G,"AR-T6V-3",'AR | Drawing List'!R:R,1)</f>
        <v>0</v>
      </c>
      <c r="AZ112" s="506">
        <f>COUNTIFS('AR | Drawing List'!$G:$G,"AR-T6V-3",'AR | Drawing List'!S:S,1)</f>
        <v>0</v>
      </c>
      <c r="BA112" s="506">
        <f>COUNTIFS('AR | Drawing List'!$G:$G,"AR-T6V-3",'AR | Drawing List'!T:T,1)</f>
        <v>0</v>
      </c>
      <c r="BB112" s="506">
        <f>COUNTIFS('AR | Drawing List'!$G:$G,"AR-T6V-3",'AR | Drawing List'!U:U,1)</f>
        <v>0</v>
      </c>
      <c r="BC112" s="466"/>
      <c r="BD112" s="466"/>
      <c r="BE112" s="576">
        <v>0</v>
      </c>
      <c r="BF112" s="508"/>
      <c r="BG112" s="506">
        <f t="shared" si="541"/>
        <v>0</v>
      </c>
      <c r="BH112" s="510">
        <f t="shared" si="235"/>
        <v>0</v>
      </c>
      <c r="BI112" s="514">
        <f t="shared" si="542"/>
        <v>0</v>
      </c>
      <c r="BJ112" s="514">
        <f t="shared" si="543"/>
        <v>0</v>
      </c>
      <c r="BK112" s="514">
        <f t="shared" si="544"/>
        <v>0</v>
      </c>
      <c r="BL112" s="514">
        <f t="shared" si="545"/>
        <v>0</v>
      </c>
      <c r="BM112" s="514">
        <f t="shared" si="546"/>
        <v>0</v>
      </c>
      <c r="BN112" s="514">
        <f t="shared" si="547"/>
        <v>0</v>
      </c>
      <c r="BO112" s="501"/>
      <c r="BP112" s="514">
        <f t="shared" si="548"/>
        <v>0</v>
      </c>
      <c r="BQ112" s="514">
        <f t="shared" si="549"/>
        <v>0</v>
      </c>
      <c r="BR112" s="514">
        <f t="shared" si="550"/>
        <v>0</v>
      </c>
      <c r="BS112" s="514">
        <f t="shared" si="551"/>
        <v>0</v>
      </c>
      <c r="BT112" s="514">
        <f t="shared" si="552"/>
        <v>0</v>
      </c>
      <c r="BU112" s="501"/>
      <c r="BV112" s="571">
        <f t="shared" si="553"/>
        <v>0</v>
      </c>
      <c r="BW112" s="571">
        <f t="shared" si="554"/>
        <v>0</v>
      </c>
      <c r="BX112" s="571">
        <f t="shared" si="555"/>
        <v>0</v>
      </c>
      <c r="BY112" s="518"/>
      <c r="BZ112" s="514">
        <f>COUNTIF('ST | Drawing List'!$G:$G,"ST-T6V-3")</f>
        <v>0</v>
      </c>
      <c r="CA112" s="506">
        <f>COUNTIFS('ST | Drawing List'!$G:$G,"ST-T6V-3",'ST | Drawing List'!$I:$I,1)</f>
        <v>0</v>
      </c>
      <c r="CB112" s="572">
        <f>COUNTIFS('ST | Drawing List'!$G:$G,"ST-T6V-3",'ST | Drawing List'!$K:$K,1)</f>
        <v>0</v>
      </c>
      <c r="CC112" s="506">
        <f>COUNTIFS('ST | Drawing List'!$G:$G,"ST-T6V-3",'ST | Drawing List'!L:L,1)</f>
        <v>0</v>
      </c>
      <c r="CD112" s="506">
        <f>COUNTIFS('ST | Drawing List'!$G:$G,"ST-T6V-3",'ST | Drawing List'!M:M,1)</f>
        <v>0</v>
      </c>
      <c r="CE112" s="506">
        <f>COUNTIFS('ST | Drawing List'!$G:$G,"ST-T6V-3",'ST | Drawing List'!N:N,1)</f>
        <v>0</v>
      </c>
      <c r="CF112" s="506">
        <f>COUNTIFS('ST | Drawing List'!$G:$G,"ST-T6V-3",'ST | Drawing List'!O:O,1)</f>
        <v>0</v>
      </c>
      <c r="CG112" s="471"/>
      <c r="CH112" s="572">
        <f>COUNTIFS('ST | Drawing List'!$G:$G,"ST-T6V-3",'ST | Drawing List'!$P:$P,1)</f>
        <v>0</v>
      </c>
      <c r="CI112" s="506">
        <f>COUNTIFS('ST | Drawing List'!$G:$G,"ST-T6V-3",'ST | Drawing List'!Q:Q,1)</f>
        <v>0</v>
      </c>
      <c r="CJ112" s="506">
        <f>COUNTIFS('ST | Drawing List'!$G:$G,"ST-T6V-3",'ST | Drawing List'!R:R,1)</f>
        <v>0</v>
      </c>
      <c r="CK112" s="506">
        <f>COUNTIFS('ST | Drawing List'!$G:$G,"ST-T6V-3",'ST | Drawing List'!S:S,1)</f>
        <v>0</v>
      </c>
      <c r="CL112" s="506">
        <f>COUNTIFS('ST | Drawing List'!$G:$G,"ST-T6V-3",'ST | Drawing List'!T:T,1)</f>
        <v>0</v>
      </c>
      <c r="CM112" s="508"/>
      <c r="CN112" s="508"/>
      <c r="CO112" s="576">
        <v>0</v>
      </c>
      <c r="CP112" s="508"/>
      <c r="CQ112" s="506">
        <f t="shared" si="556"/>
        <v>0</v>
      </c>
      <c r="CR112" s="510">
        <f t="shared" si="236"/>
        <v>0</v>
      </c>
      <c r="CS112" s="514">
        <f t="shared" si="557"/>
        <v>0</v>
      </c>
      <c r="CT112" s="514">
        <f t="shared" si="558"/>
        <v>0</v>
      </c>
      <c r="CU112" s="514">
        <f t="shared" si="559"/>
        <v>0</v>
      </c>
      <c r="CV112" s="514">
        <f t="shared" si="560"/>
        <v>0</v>
      </c>
      <c r="CW112" s="514">
        <f t="shared" si="561"/>
        <v>0</v>
      </c>
      <c r="CX112" s="514">
        <f t="shared" si="562"/>
        <v>0</v>
      </c>
      <c r="CY112" s="501"/>
      <c r="CZ112" s="514">
        <f t="shared" si="563"/>
        <v>0</v>
      </c>
      <c r="DA112" s="514">
        <f t="shared" si="564"/>
        <v>0</v>
      </c>
      <c r="DB112" s="514">
        <f t="shared" si="565"/>
        <v>0</v>
      </c>
      <c r="DC112" s="514">
        <f t="shared" si="566"/>
        <v>0</v>
      </c>
      <c r="DD112" s="514">
        <f t="shared" si="567"/>
        <v>0</v>
      </c>
      <c r="DE112" s="501"/>
      <c r="DF112" s="570">
        <f t="shared" si="568"/>
        <v>0</v>
      </c>
      <c r="DG112" s="570">
        <f t="shared" si="569"/>
        <v>0</v>
      </c>
      <c r="DH112" s="570">
        <f t="shared" si="570"/>
        <v>0</v>
      </c>
      <c r="DI112" s="518"/>
      <c r="DJ112" s="514">
        <f>COUNTIF('MEP | Drawing List'!$G:$G,"MEP-T2V-6V-3")</f>
        <v>0</v>
      </c>
      <c r="DK112" s="506">
        <f>COUNTIFS('MEP | Drawing List'!$G:$G,"MEP-T2V-6V-3",'MEP | Drawing List'!$I:$I,1)</f>
        <v>0</v>
      </c>
      <c r="DL112" s="506">
        <f>COUNTIFS('MEP | Drawing List'!$G:$G,"MEP-T2V-6V-3",'MEP | Drawing List'!$K:$K,1)</f>
        <v>0</v>
      </c>
      <c r="DM112" s="514">
        <f>COUNTIFS('MEP | Drawing List'!$G:$G,"MEP-T2V-6V-3",'MEP | Drawing List'!L:L,1)</f>
        <v>0</v>
      </c>
      <c r="DN112" s="514">
        <f>COUNTIFS('MEP | Drawing List'!$G:$G,"MEP-T2V-6V-3",'MEP | Drawing List'!M:M,1)</f>
        <v>0</v>
      </c>
      <c r="DO112" s="514">
        <f>COUNTIFS('MEP | Drawing List'!$G:$G,"MEP-T2V-6V-3",'MEP | Drawing List'!N:N,1)</f>
        <v>0</v>
      </c>
      <c r="DP112" s="514">
        <f>COUNTIFS('MEP | Drawing List'!$G:$G,"MEP-T2V-6V-3",'MEP | Drawing List'!O:O,1)</f>
        <v>0</v>
      </c>
      <c r="DQ112" s="501"/>
      <c r="DR112" s="506">
        <f>COUNTIFS('MEP | Drawing List'!$G:$G,"MEP-T2V-6V-3",'MEP | Drawing List'!$P:$P,1)</f>
        <v>0</v>
      </c>
      <c r="DS112" s="514">
        <f>COUNTIFS('MEP | Drawing List'!$G:$G,"MEP-T2V-6V-3",'MEP | Drawing List'!Q:Q,1)</f>
        <v>0</v>
      </c>
      <c r="DT112" s="514">
        <f>COUNTIFS('MEP | Drawing List'!$G:$G,"MEP-T2V-6V-3",'MEP | Drawing List'!R:R,1)</f>
        <v>0</v>
      </c>
      <c r="DU112" s="514">
        <f>COUNTIFS('MEP | Drawing List'!$G:$G,"MEP-T2V-6V-3",'MEP | Drawing List'!S:S,1)</f>
        <v>0</v>
      </c>
      <c r="DV112" s="514">
        <f>COUNTIFS('MEP | Drawing List'!$G:$G,"MEP-T2V-6V-3",'MEP | Drawing List'!T:T,1)</f>
        <v>0</v>
      </c>
      <c r="DW112" s="508"/>
      <c r="DX112" s="508"/>
      <c r="DY112" s="511">
        <v>0</v>
      </c>
      <c r="DZ112" s="508"/>
      <c r="EA112" s="509">
        <v>0</v>
      </c>
      <c r="EB112" s="510">
        <f t="shared" si="237"/>
        <v>0</v>
      </c>
      <c r="EC112" s="515"/>
      <c r="ED112" s="515"/>
      <c r="EE112" s="501"/>
      <c r="EF112" s="501"/>
      <c r="EG112" s="501"/>
      <c r="EH112" s="501"/>
      <c r="EI112" s="501"/>
      <c r="EJ112" s="515"/>
      <c r="EK112" s="501"/>
      <c r="EL112" s="501"/>
      <c r="EM112" s="501"/>
      <c r="EN112" s="501"/>
      <c r="EO112" s="501"/>
      <c r="EP112" s="52"/>
      <c r="EQ112" s="52"/>
      <c r="ER112" s="52"/>
      <c r="ET112" s="514">
        <f>COUNTIF('LS | Drawing List'!$G:$G,"LS-T6V-3")</f>
        <v>0</v>
      </c>
      <c r="EU112" s="506">
        <f>COUNTIFS('LS | Drawing List'!$G:$G,"LS-T6V-3",'LS | Drawing List'!$I:$I,1)</f>
        <v>0</v>
      </c>
      <c r="EV112" s="506">
        <f>COUNTIFS('LS | Drawing List'!$G:$G,"LS-T6V-3",'LS | Drawing List'!$K:$K,1)</f>
        <v>0</v>
      </c>
      <c r="EW112" s="514">
        <f>COUNTIFS('LS | Drawing List'!$G:$G,"LS-T6V-3",'LS | Drawing List'!L:L,1)</f>
        <v>0</v>
      </c>
      <c r="EX112" s="514">
        <f>COUNTIFS('LS | Drawing List'!$G:$G,"LS-T6V-3",'LS | Drawing List'!M:M,1)</f>
        <v>0</v>
      </c>
      <c r="EY112" s="514">
        <f>COUNTIFS('LS | Drawing List'!$G:$G,"LS-T6V-3",'LS | Drawing List'!N:N,1)</f>
        <v>0</v>
      </c>
      <c r="EZ112" s="514">
        <f>COUNTIFS('LS | Drawing List'!$G:$G,"LS-T6V-3",'LS | Drawing List'!O:O,1)</f>
        <v>0</v>
      </c>
      <c r="FA112" s="515"/>
      <c r="FB112" s="506">
        <f>COUNTIFS('LS | Drawing List'!$G:$G,"LS-T6V-3",'LS | Drawing List'!$P:$P,1)</f>
        <v>0</v>
      </c>
      <c r="FC112" s="514">
        <f>COUNTIFS('LS | Drawing List'!$G:$G,"LS-T6V-3",'LS | Drawing List'!Q:Q,1)</f>
        <v>0</v>
      </c>
      <c r="FD112" s="514">
        <f>COUNTIFS('LS | Drawing List'!$G:$G,"LS-T6V-3",'LS | Drawing List'!R:R,1)</f>
        <v>0</v>
      </c>
      <c r="FE112" s="514">
        <f>COUNTIFS('LS | Drawing List'!$G:$G,"LS-T6V-3",'LS | Drawing List'!S:S,1)</f>
        <v>0</v>
      </c>
      <c r="FF112" s="514">
        <f>COUNTIFS('LS | Drawing List'!$G:$G,"LS-T6V-3",'LS | Drawing List'!T:T,1)</f>
        <v>0</v>
      </c>
    </row>
    <row r="113" spans="2:162" ht="14.25" outlineLevel="2">
      <c r="B113" s="564" t="s">
        <v>120</v>
      </c>
      <c r="C113" s="565">
        <v>4</v>
      </c>
      <c r="D113" s="566" t="s">
        <v>58</v>
      </c>
      <c r="F113" s="500">
        <f t="shared" si="522"/>
        <v>0.22218752000000003</v>
      </c>
      <c r="G113" s="500">
        <f t="shared" si="523"/>
        <v>0.22218752000000003</v>
      </c>
      <c r="H113" s="514">
        <f t="shared" si="524"/>
        <v>0</v>
      </c>
      <c r="I113" s="514">
        <f t="shared" si="496"/>
        <v>0</v>
      </c>
      <c r="J113" s="514">
        <f t="shared" si="497"/>
        <v>0</v>
      </c>
      <c r="K113" s="514">
        <f t="shared" si="498"/>
        <v>0</v>
      </c>
      <c r="L113" s="514">
        <f t="shared" si="499"/>
        <v>0</v>
      </c>
      <c r="M113" s="567">
        <f t="shared" si="500"/>
        <v>0</v>
      </c>
      <c r="N113" s="568"/>
      <c r="O113" s="514">
        <f t="shared" si="501"/>
        <v>0</v>
      </c>
      <c r="P113" s="514">
        <f t="shared" si="502"/>
        <v>0</v>
      </c>
      <c r="Q113" s="514">
        <f t="shared" si="503"/>
        <v>0</v>
      </c>
      <c r="R113" s="514">
        <f t="shared" si="504"/>
        <v>0</v>
      </c>
      <c r="S113" s="514">
        <f t="shared" si="505"/>
        <v>0</v>
      </c>
      <c r="U113" s="569">
        <v>0.05</v>
      </c>
      <c r="V113" s="503"/>
      <c r="W113" s="500">
        <f t="shared" si="525"/>
        <v>0.11081600000000003</v>
      </c>
      <c r="X113" s="500">
        <f t="shared" si="234"/>
        <v>0.11081600000000003</v>
      </c>
      <c r="Y113" s="514">
        <f t="shared" si="526"/>
        <v>0.11081600000000003</v>
      </c>
      <c r="Z113" s="514">
        <f t="shared" si="527"/>
        <v>0</v>
      </c>
      <c r="AA113" s="514">
        <f t="shared" si="528"/>
        <v>0</v>
      </c>
      <c r="AB113" s="514">
        <f t="shared" si="529"/>
        <v>0</v>
      </c>
      <c r="AC113" s="514">
        <f t="shared" si="530"/>
        <v>0</v>
      </c>
      <c r="AD113" s="567">
        <f t="shared" si="531"/>
        <v>0</v>
      </c>
      <c r="AE113" s="568"/>
      <c r="AF113" s="514">
        <f t="shared" si="532"/>
        <v>0</v>
      </c>
      <c r="AG113" s="514">
        <f t="shared" si="533"/>
        <v>0</v>
      </c>
      <c r="AH113" s="514">
        <f t="shared" si="534"/>
        <v>0</v>
      </c>
      <c r="AI113" s="514">
        <f t="shared" si="535"/>
        <v>0</v>
      </c>
      <c r="AJ113" s="514">
        <f t="shared" si="536"/>
        <v>0</v>
      </c>
      <c r="AK113" s="501"/>
      <c r="AL113" s="570">
        <f t="shared" si="537"/>
        <v>1</v>
      </c>
      <c r="AM113" s="570">
        <f t="shared" si="538"/>
        <v>0</v>
      </c>
      <c r="AN113" s="570">
        <f t="shared" si="539"/>
        <v>0</v>
      </c>
      <c r="AO113" s="518"/>
      <c r="AP113" s="514">
        <f>COUNTIF('AR | Drawing List'!$G:$G,"AR-T6V-4")</f>
        <v>3</v>
      </c>
      <c r="AQ113" s="506">
        <f>COUNTIFS('AR | Drawing List'!$G:$G,"AR-T6V-4",'AR | Drawing List'!$I:$I,1)</f>
        <v>3</v>
      </c>
      <c r="AR113" s="506">
        <f t="shared" si="238"/>
        <v>0</v>
      </c>
      <c r="AS113" s="506">
        <f>COUNTIFS('AR | Drawing List'!$G:$G,"AR-T6V-4",'AR | Drawing List'!M:M,1)</f>
        <v>0</v>
      </c>
      <c r="AT113" s="506">
        <f>COUNTIFS('AR | Drawing List'!$G:$G,"AR-T6V-4",'AR | Drawing List'!N:N,1)</f>
        <v>0</v>
      </c>
      <c r="AU113" s="506">
        <f>COUNTIFS('AR | Drawing List'!$G:$G,"AR-T6V-4",'AR | Drawing List'!O:O,1)</f>
        <v>0</v>
      </c>
      <c r="AV113" s="506">
        <f>COUNTIFS('AR | Drawing List'!$G:$G,"AR-T6V-4",'AR | Drawing List'!P:P,1)</f>
        <v>0</v>
      </c>
      <c r="AW113" s="466"/>
      <c r="AX113" s="506">
        <f t="shared" si="540"/>
        <v>0</v>
      </c>
      <c r="AY113" s="506">
        <f>COUNTIFS('AR | Drawing List'!$G:$G,"AR-T6V-4",'AR | Drawing List'!R:R,1)</f>
        <v>0</v>
      </c>
      <c r="AZ113" s="506">
        <f>COUNTIFS('AR | Drawing List'!$G:$G,"AR-T6V-4",'AR | Drawing List'!S:S,1)</f>
        <v>0</v>
      </c>
      <c r="BA113" s="506">
        <f>COUNTIFS('AR | Drawing List'!$G:$G,"AR-T6V-4",'AR | Drawing List'!T:T,1)</f>
        <v>0</v>
      </c>
      <c r="BB113" s="506">
        <f>COUNTIFS('AR | Drawing List'!$G:$G,"AR-T6V-4",'AR | Drawing List'!U:U,1)</f>
        <v>0</v>
      </c>
      <c r="BC113" s="466"/>
      <c r="BD113" s="466"/>
      <c r="BE113" s="470">
        <v>0.1</v>
      </c>
      <c r="BF113" s="508"/>
      <c r="BG113" s="506">
        <f t="shared" si="541"/>
        <v>9.2401919999999999E-2</v>
      </c>
      <c r="BH113" s="510">
        <f t="shared" si="235"/>
        <v>9.2401919999999999E-2</v>
      </c>
      <c r="BI113" s="514">
        <f t="shared" si="542"/>
        <v>9.2401919999999999E-2</v>
      </c>
      <c r="BJ113" s="514">
        <f t="shared" si="543"/>
        <v>0</v>
      </c>
      <c r="BK113" s="514">
        <f t="shared" si="544"/>
        <v>0</v>
      </c>
      <c r="BL113" s="514">
        <f t="shared" si="545"/>
        <v>0</v>
      </c>
      <c r="BM113" s="514">
        <f t="shared" si="546"/>
        <v>0</v>
      </c>
      <c r="BN113" s="514">
        <f t="shared" si="547"/>
        <v>0</v>
      </c>
      <c r="BO113" s="501"/>
      <c r="BP113" s="514">
        <f t="shared" si="548"/>
        <v>0</v>
      </c>
      <c r="BQ113" s="514">
        <f t="shared" si="549"/>
        <v>0</v>
      </c>
      <c r="BR113" s="514">
        <f t="shared" si="550"/>
        <v>0</v>
      </c>
      <c r="BS113" s="514">
        <f t="shared" si="551"/>
        <v>0</v>
      </c>
      <c r="BT113" s="514">
        <f t="shared" si="552"/>
        <v>0</v>
      </c>
      <c r="BU113" s="501"/>
      <c r="BV113" s="571">
        <f t="shared" si="553"/>
        <v>1</v>
      </c>
      <c r="BW113" s="571">
        <f t="shared" si="554"/>
        <v>0</v>
      </c>
      <c r="BX113" s="571">
        <f t="shared" si="555"/>
        <v>0</v>
      </c>
      <c r="BY113" s="518"/>
      <c r="BZ113" s="514">
        <f>COUNTIF('ST | Drawing List'!$G:$G,"ST-T6V-4")</f>
        <v>13</v>
      </c>
      <c r="CA113" s="506">
        <f>COUNTIFS('ST | Drawing List'!$G:$G,"ST-T6V-4",'ST | Drawing List'!$I:$I,1)</f>
        <v>13</v>
      </c>
      <c r="CB113" s="572">
        <f>COUNTIFS('ST | Drawing List'!$G:$G,"ST-T6V-4",'ST | Drawing List'!$K:$K,1)</f>
        <v>0</v>
      </c>
      <c r="CC113" s="506">
        <f>COUNTIFS('ST | Drawing List'!$G:$G,"ST-T6V-4",'ST | Drawing List'!L:L,1)</f>
        <v>0</v>
      </c>
      <c r="CD113" s="506">
        <f>COUNTIFS('ST | Drawing List'!$G:$G,"ST-T6V-4",'ST | Drawing List'!M:M,1)</f>
        <v>0</v>
      </c>
      <c r="CE113" s="506">
        <f>COUNTIFS('ST | Drawing List'!$G:$G,"ST-T6V-4",'ST | Drawing List'!N:N,1)</f>
        <v>0</v>
      </c>
      <c r="CF113" s="506">
        <f>COUNTIFS('ST | Drawing List'!$G:$G,"ST-T6V-4",'ST | Drawing List'!O:O,1)</f>
        <v>0</v>
      </c>
      <c r="CG113" s="471"/>
      <c r="CH113" s="572">
        <f>COUNTIFS('ST | Drawing List'!$G:$G,"ST-T6V-4",'ST | Drawing List'!$P:$P,1)</f>
        <v>0</v>
      </c>
      <c r="CI113" s="506">
        <f>COUNTIFS('ST | Drawing List'!$G:$G,"ST-T6V-4",'ST | Drawing List'!Q:Q,1)</f>
        <v>0</v>
      </c>
      <c r="CJ113" s="506">
        <f>COUNTIFS('ST | Drawing List'!$G:$G,"ST-T6V-4",'ST | Drawing List'!R:R,1)</f>
        <v>0</v>
      </c>
      <c r="CK113" s="506">
        <f>COUNTIFS('ST | Drawing List'!$G:$G,"ST-T6V-4",'ST | Drawing List'!S:S,1)</f>
        <v>0</v>
      </c>
      <c r="CL113" s="506">
        <f>COUNTIFS('ST | Drawing List'!$G:$G,"ST-T6V-4",'ST | Drawing List'!T:T,1)</f>
        <v>0</v>
      </c>
      <c r="CM113" s="508"/>
      <c r="CN113" s="508"/>
      <c r="CO113" s="470">
        <v>0.15</v>
      </c>
      <c r="CP113" s="508"/>
      <c r="CQ113" s="506">
        <f t="shared" si="556"/>
        <v>1.8969600000000003E-2</v>
      </c>
      <c r="CR113" s="510">
        <f t="shared" si="236"/>
        <v>1.8969600000000003E-2</v>
      </c>
      <c r="CS113" s="514">
        <f t="shared" si="557"/>
        <v>1.8969600000000003E-2</v>
      </c>
      <c r="CT113" s="514">
        <f t="shared" si="558"/>
        <v>0</v>
      </c>
      <c r="CU113" s="514">
        <f t="shared" si="559"/>
        <v>0</v>
      </c>
      <c r="CV113" s="514">
        <f t="shared" si="560"/>
        <v>0</v>
      </c>
      <c r="CW113" s="514">
        <f t="shared" si="561"/>
        <v>0</v>
      </c>
      <c r="CX113" s="514">
        <f t="shared" si="562"/>
        <v>0</v>
      </c>
      <c r="CY113" s="501"/>
      <c r="CZ113" s="514">
        <f t="shared" si="563"/>
        <v>0</v>
      </c>
      <c r="DA113" s="514">
        <f t="shared" si="564"/>
        <v>0</v>
      </c>
      <c r="DB113" s="514">
        <f t="shared" si="565"/>
        <v>0</v>
      </c>
      <c r="DC113" s="514">
        <f t="shared" si="566"/>
        <v>0</v>
      </c>
      <c r="DD113" s="514">
        <f t="shared" si="567"/>
        <v>0</v>
      </c>
      <c r="DE113" s="501"/>
      <c r="DF113" s="570">
        <f t="shared" si="568"/>
        <v>1</v>
      </c>
      <c r="DG113" s="570">
        <f t="shared" si="569"/>
        <v>0</v>
      </c>
      <c r="DH113" s="570">
        <f t="shared" si="570"/>
        <v>0</v>
      </c>
      <c r="DI113" s="518"/>
      <c r="DJ113" s="514">
        <f>COUNTIF('MEP | Drawing List'!$G:$G,"MEP-T2V-6V-4")</f>
        <v>101</v>
      </c>
      <c r="DK113" s="506">
        <f>COUNTIFS('MEP | Drawing List'!$G:$G,"MEP-T2V-6V-4",'MEP | Drawing List'!$I:$I,1)</f>
        <v>101</v>
      </c>
      <c r="DL113" s="506">
        <f>COUNTIFS('MEP | Drawing List'!$G:$G,"MEP-T2V-6V-4",'MEP | Drawing List'!$K:$K,1)</f>
        <v>0</v>
      </c>
      <c r="DM113" s="514">
        <f>COUNTIFS('MEP | Drawing List'!$G:$G,"MEP-T2V-6V-4",'MEP | Drawing List'!L:L,1)</f>
        <v>0</v>
      </c>
      <c r="DN113" s="514">
        <f>COUNTIFS('MEP | Drawing List'!$G:$G,"MEP-T2V-6V-4",'MEP | Drawing List'!M:M,1)</f>
        <v>0</v>
      </c>
      <c r="DO113" s="514">
        <f>COUNTIFS('MEP | Drawing List'!$G:$G,"MEP-T2V-6V-4",'MEP | Drawing List'!N:N,1)</f>
        <v>0</v>
      </c>
      <c r="DP113" s="514">
        <f>COUNTIFS('MEP | Drawing List'!$G:$G,"MEP-T2V-6V-4",'MEP | Drawing List'!O:O,1)</f>
        <v>0</v>
      </c>
      <c r="DQ113" s="501"/>
      <c r="DR113" s="506">
        <f>COUNTIFS('MEP | Drawing List'!$G:$G,"MEP-T2V-6V-4",'MEP | Drawing List'!$P:$P,1)</f>
        <v>0</v>
      </c>
      <c r="DS113" s="514">
        <f>COUNTIFS('MEP | Drawing List'!$G:$G,"MEP-T2V-6V-4",'MEP | Drawing List'!Q:Q,1)</f>
        <v>0</v>
      </c>
      <c r="DT113" s="514">
        <f>COUNTIFS('MEP | Drawing List'!$G:$G,"MEP-T2V-6V-4",'MEP | Drawing List'!R:R,1)</f>
        <v>0</v>
      </c>
      <c r="DU113" s="514">
        <f>COUNTIFS('MEP | Drawing List'!$G:$G,"MEP-T2V-6V-4",'MEP | Drawing List'!S:S,1)</f>
        <v>0</v>
      </c>
      <c r="DV113" s="514">
        <f>COUNTIFS('MEP | Drawing List'!$G:$G,"MEP-T2V-6V-4",'MEP | Drawing List'!T:T,1)</f>
        <v>0</v>
      </c>
      <c r="DW113" s="508"/>
      <c r="DX113" s="508"/>
      <c r="DY113" s="511">
        <v>0</v>
      </c>
      <c r="DZ113" s="508"/>
      <c r="EA113" s="509">
        <v>0</v>
      </c>
      <c r="EB113" s="510">
        <f t="shared" si="237"/>
        <v>0</v>
      </c>
      <c r="EC113" s="533"/>
      <c r="ED113" s="533"/>
      <c r="EE113" s="501"/>
      <c r="EF113" s="501"/>
      <c r="EG113" s="501"/>
      <c r="EH113" s="501"/>
      <c r="EI113" s="501"/>
      <c r="EJ113" s="533"/>
      <c r="EK113" s="501"/>
      <c r="EL113" s="501"/>
      <c r="EM113" s="501"/>
      <c r="EN113" s="501"/>
      <c r="EO113" s="501"/>
      <c r="EP113" s="474"/>
      <c r="EQ113" s="474"/>
      <c r="ER113" s="474"/>
      <c r="ET113" s="514">
        <f>COUNTIF('LS | Drawing List'!$G:$G,"LS-T6V-4")</f>
        <v>0</v>
      </c>
      <c r="EU113" s="506">
        <f>COUNTIFS('LS | Drawing List'!$G:$G,"LS-T6V-4",'LS | Drawing List'!$I:$I,1)</f>
        <v>0</v>
      </c>
      <c r="EV113" s="506">
        <f>COUNTIFS('LS | Drawing List'!$G:$G,"LS-T6V-4",'LS | Drawing List'!$K:$K,1)</f>
        <v>0</v>
      </c>
      <c r="EW113" s="514">
        <f>COUNTIFS('LS | Drawing List'!$G:$G,"LS-T6V-4",'LS | Drawing List'!L:L,1)</f>
        <v>0</v>
      </c>
      <c r="EX113" s="514">
        <f>COUNTIFS('LS | Drawing List'!$G:$G,"LS-T6V-4",'LS | Drawing List'!M:M,1)</f>
        <v>0</v>
      </c>
      <c r="EY113" s="514">
        <f>COUNTIFS('LS | Drawing List'!$G:$G,"LS-T6V-4",'LS | Drawing List'!N:N,1)</f>
        <v>0</v>
      </c>
      <c r="EZ113" s="514">
        <f>COUNTIFS('LS | Drawing List'!$G:$G,"LS-T6V-4",'LS | Drawing List'!O:O,1)</f>
        <v>0</v>
      </c>
      <c r="FA113" s="515"/>
      <c r="FB113" s="506">
        <f>COUNTIFS('LS | Drawing List'!$G:$G,"LS-T6V-4",'LS | Drawing List'!$P:$P,1)</f>
        <v>0</v>
      </c>
      <c r="FC113" s="514">
        <f>COUNTIFS('LS | Drawing List'!$G:$G,"LS-T6V-4",'LS | Drawing List'!Q:Q,1)</f>
        <v>0</v>
      </c>
      <c r="FD113" s="514">
        <f>COUNTIFS('LS | Drawing List'!$G:$G,"LS-T6V-4",'LS | Drawing List'!R:R,1)</f>
        <v>0</v>
      </c>
      <c r="FE113" s="514">
        <f>COUNTIFS('LS | Drawing List'!$G:$G,"LS-T6V-4",'LS | Drawing List'!S:S,1)</f>
        <v>0</v>
      </c>
      <c r="FF113" s="514">
        <f>COUNTIFS('LS | Drawing List'!$G:$G,"LS-T6V-4",'LS | Drawing List'!T:T,1)</f>
        <v>0</v>
      </c>
    </row>
    <row r="114" spans="2:162" s="51" customFormat="1" ht="14.25" outlineLevel="2">
      <c r="B114" s="564" t="s">
        <v>121</v>
      </c>
      <c r="C114" s="579">
        <v>5</v>
      </c>
      <c r="D114" s="580" t="s">
        <v>60</v>
      </c>
      <c r="F114" s="500">
        <f t="shared" si="522"/>
        <v>0.10160896000000001</v>
      </c>
      <c r="G114" s="500">
        <f t="shared" si="523"/>
        <v>0.10160896000000001</v>
      </c>
      <c r="H114" s="514">
        <f t="shared" si="524"/>
        <v>0</v>
      </c>
      <c r="I114" s="514">
        <f t="shared" si="496"/>
        <v>0</v>
      </c>
      <c r="J114" s="514">
        <f t="shared" si="497"/>
        <v>0</v>
      </c>
      <c r="K114" s="514">
        <f t="shared" si="498"/>
        <v>0</v>
      </c>
      <c r="L114" s="514">
        <f t="shared" si="499"/>
        <v>0</v>
      </c>
      <c r="M114" s="567">
        <f t="shared" si="500"/>
        <v>0</v>
      </c>
      <c r="N114" s="568"/>
      <c r="O114" s="514">
        <f t="shared" si="501"/>
        <v>0</v>
      </c>
      <c r="P114" s="514">
        <f t="shared" si="502"/>
        <v>0</v>
      </c>
      <c r="Q114" s="514">
        <f t="shared" si="503"/>
        <v>0</v>
      </c>
      <c r="R114" s="514">
        <f t="shared" si="504"/>
        <v>0</v>
      </c>
      <c r="S114" s="514">
        <f t="shared" si="505"/>
        <v>0</v>
      </c>
      <c r="U114" s="569">
        <v>2.5000000000000001E-2</v>
      </c>
      <c r="V114" s="584"/>
      <c r="W114" s="581">
        <f t="shared" si="525"/>
        <v>5.5408000000000013E-2</v>
      </c>
      <c r="X114" s="581">
        <f t="shared" si="234"/>
        <v>5.5408000000000013E-2</v>
      </c>
      <c r="Y114" s="567">
        <f t="shared" si="526"/>
        <v>5.5408000000000013E-2</v>
      </c>
      <c r="Z114" s="567">
        <f t="shared" si="527"/>
        <v>0</v>
      </c>
      <c r="AA114" s="567">
        <f t="shared" si="528"/>
        <v>0</v>
      </c>
      <c r="AB114" s="567">
        <f t="shared" si="529"/>
        <v>0</v>
      </c>
      <c r="AC114" s="567">
        <f t="shared" si="530"/>
        <v>0</v>
      </c>
      <c r="AD114" s="567">
        <f t="shared" si="531"/>
        <v>0</v>
      </c>
      <c r="AE114" s="568"/>
      <c r="AF114" s="514">
        <f t="shared" si="532"/>
        <v>0</v>
      </c>
      <c r="AG114" s="514">
        <f t="shared" si="533"/>
        <v>0</v>
      </c>
      <c r="AH114" s="514">
        <f t="shared" si="534"/>
        <v>0</v>
      </c>
      <c r="AI114" s="514">
        <f t="shared" si="535"/>
        <v>0</v>
      </c>
      <c r="AJ114" s="514">
        <f t="shared" si="536"/>
        <v>0</v>
      </c>
      <c r="AK114" s="501"/>
      <c r="AL114" s="585">
        <f t="shared" si="537"/>
        <v>1</v>
      </c>
      <c r="AM114" s="585">
        <f t="shared" si="538"/>
        <v>0</v>
      </c>
      <c r="AN114" s="570">
        <f t="shared" si="539"/>
        <v>0</v>
      </c>
      <c r="AO114" s="605"/>
      <c r="AP114" s="567">
        <f>COUNTIF('AR | Drawing List'!$G:$G,"AR-T6V-5")</f>
        <v>3</v>
      </c>
      <c r="AQ114" s="582">
        <f>COUNTIFS('AR | Drawing List'!$G:$G,"AR-T6V-5",'AR | Drawing List'!$I:$I,1)</f>
        <v>3</v>
      </c>
      <c r="AR114" s="582">
        <f t="shared" si="238"/>
        <v>0</v>
      </c>
      <c r="AS114" s="582">
        <f>COUNTIFS('AR | Drawing List'!$G:$G,"AR-T6V-5",'AR | Drawing List'!M:M,1)</f>
        <v>0</v>
      </c>
      <c r="AT114" s="582">
        <f>COUNTIFS('AR | Drawing List'!$G:$G,"AR-T6V-5",'AR | Drawing List'!N:N,1)</f>
        <v>0</v>
      </c>
      <c r="AU114" s="582">
        <f>COUNTIFS('AR | Drawing List'!$G:$G,"AR-T6V-5",'AR | Drawing List'!O:O,1)</f>
        <v>0</v>
      </c>
      <c r="AV114" s="582">
        <f>COUNTIFS('AR | Drawing List'!$G:$G,"AR-T6V-5",'AR | Drawing List'!P:P,1)</f>
        <v>0</v>
      </c>
      <c r="AW114" s="587"/>
      <c r="AX114" s="582">
        <f t="shared" si="540"/>
        <v>0</v>
      </c>
      <c r="AY114" s="582">
        <f>COUNTIFS('AR | Drawing List'!$G:$G,"AR-T6V-5",'AR | Drawing List'!R:R,1)</f>
        <v>0</v>
      </c>
      <c r="AZ114" s="582">
        <f>COUNTIFS('AR | Drawing List'!$G:$G,"AR-T6V-5",'AR | Drawing List'!S:S,1)</f>
        <v>0</v>
      </c>
      <c r="BA114" s="582">
        <f>COUNTIFS('AR | Drawing List'!$G:$G,"AR-T6V-5",'AR | Drawing List'!T:T,1)</f>
        <v>0</v>
      </c>
      <c r="BB114" s="582">
        <f>COUNTIFS('AR | Drawing List'!$G:$G,"AR-T6V-5",'AR | Drawing List'!U:U,1)</f>
        <v>0</v>
      </c>
      <c r="BC114" s="587"/>
      <c r="BD114" s="587"/>
      <c r="BE114" s="470">
        <v>0.05</v>
      </c>
      <c r="BF114" s="588"/>
      <c r="BG114" s="582">
        <f t="shared" si="541"/>
        <v>4.6200959999999999E-2</v>
      </c>
      <c r="BH114" s="589">
        <f t="shared" si="235"/>
        <v>4.6200959999999999E-2</v>
      </c>
      <c r="BI114" s="567">
        <f t="shared" si="542"/>
        <v>4.6200959999999999E-2</v>
      </c>
      <c r="BJ114" s="567">
        <f t="shared" si="543"/>
        <v>0</v>
      </c>
      <c r="BK114" s="514">
        <f t="shared" si="544"/>
        <v>0</v>
      </c>
      <c r="BL114" s="514">
        <f t="shared" si="545"/>
        <v>0</v>
      </c>
      <c r="BM114" s="514">
        <f t="shared" si="546"/>
        <v>0</v>
      </c>
      <c r="BN114" s="514">
        <f t="shared" si="547"/>
        <v>0</v>
      </c>
      <c r="BO114" s="501"/>
      <c r="BP114" s="514">
        <f t="shared" si="548"/>
        <v>0</v>
      </c>
      <c r="BQ114" s="514">
        <f t="shared" si="549"/>
        <v>0</v>
      </c>
      <c r="BR114" s="514">
        <f t="shared" si="550"/>
        <v>0</v>
      </c>
      <c r="BS114" s="514">
        <f t="shared" si="551"/>
        <v>0</v>
      </c>
      <c r="BT114" s="514">
        <f t="shared" si="552"/>
        <v>0</v>
      </c>
      <c r="BU114" s="501"/>
      <c r="BV114" s="571">
        <f t="shared" si="553"/>
        <v>1</v>
      </c>
      <c r="BW114" s="571">
        <f t="shared" si="554"/>
        <v>0</v>
      </c>
      <c r="BX114" s="571">
        <f t="shared" si="555"/>
        <v>0</v>
      </c>
      <c r="BY114" s="605"/>
      <c r="BZ114" s="567">
        <f>COUNTIF('ST | Drawing List'!$G:$G,"ST-T6V-5")</f>
        <v>232</v>
      </c>
      <c r="CA114" s="582">
        <f>COUNTIFS('ST | Drawing List'!$G:$G,"ST-T6V-5",'ST | Drawing List'!$I:$I,1)</f>
        <v>232</v>
      </c>
      <c r="CB114" s="590">
        <f>COUNTIFS('ST | Drawing List'!$G:$G,"ST-T6V-5",'ST | Drawing List'!$K:$K,1)</f>
        <v>0</v>
      </c>
      <c r="CC114" s="582">
        <f>COUNTIFS('ST | Drawing List'!$G:$G,"ST-T6V-5",'ST | Drawing List'!L:L,1)</f>
        <v>0</v>
      </c>
      <c r="CD114" s="582">
        <f>COUNTIFS('ST | Drawing List'!$G:$G,"ST-T6V-5",'ST | Drawing List'!M:M,1)</f>
        <v>0</v>
      </c>
      <c r="CE114" s="582">
        <f>COUNTIFS('ST | Drawing List'!$G:$G,"ST-T6V-5",'ST | Drawing List'!N:N,1)</f>
        <v>0</v>
      </c>
      <c r="CF114" s="582">
        <f>COUNTIFS('ST | Drawing List'!$G:$G,"ST-T6V-5",'ST | Drawing List'!O:O,1)</f>
        <v>0</v>
      </c>
      <c r="CG114" s="591"/>
      <c r="CH114" s="590">
        <f>COUNTIFS('ST | Drawing List'!$G:$G,"ST-T6V-5",'ST | Drawing List'!$P:$P,1)</f>
        <v>0</v>
      </c>
      <c r="CI114" s="582">
        <f>COUNTIFS('ST | Drawing List'!$G:$G,"ST-T6V-5",'ST | Drawing List'!Q:Q,1)</f>
        <v>0</v>
      </c>
      <c r="CJ114" s="582">
        <f>COUNTIFS('ST | Drawing List'!$G:$G,"ST-T6V-5",'ST | Drawing List'!R:R,1)</f>
        <v>0</v>
      </c>
      <c r="CK114" s="582">
        <f>COUNTIFS('ST | Drawing List'!$G:$G,"ST-T6V-5",'ST | Drawing List'!S:S,1)</f>
        <v>0</v>
      </c>
      <c r="CL114" s="582">
        <f>COUNTIFS('ST | Drawing List'!$G:$G,"ST-T6V-5",'ST | Drawing List'!T:T,1)</f>
        <v>0</v>
      </c>
      <c r="CM114" s="588"/>
      <c r="CN114" s="588"/>
      <c r="CO114" s="576">
        <v>0</v>
      </c>
      <c r="CP114" s="588"/>
      <c r="CQ114" s="582">
        <f t="shared" si="556"/>
        <v>0</v>
      </c>
      <c r="CR114" s="589">
        <f t="shared" si="236"/>
        <v>0</v>
      </c>
      <c r="CS114" s="567">
        <f t="shared" si="557"/>
        <v>0</v>
      </c>
      <c r="CT114" s="514">
        <f t="shared" si="558"/>
        <v>0</v>
      </c>
      <c r="CU114" s="514">
        <f t="shared" si="559"/>
        <v>0</v>
      </c>
      <c r="CV114" s="514">
        <f t="shared" si="560"/>
        <v>0</v>
      </c>
      <c r="CW114" s="514">
        <f t="shared" si="561"/>
        <v>0</v>
      </c>
      <c r="CX114" s="514">
        <f t="shared" si="562"/>
        <v>0</v>
      </c>
      <c r="CY114" s="501"/>
      <c r="CZ114" s="514">
        <f t="shared" si="563"/>
        <v>0</v>
      </c>
      <c r="DA114" s="514">
        <f t="shared" si="564"/>
        <v>0</v>
      </c>
      <c r="DB114" s="514">
        <f t="shared" si="565"/>
        <v>0</v>
      </c>
      <c r="DC114" s="514">
        <f t="shared" si="566"/>
        <v>0</v>
      </c>
      <c r="DD114" s="514">
        <f t="shared" si="567"/>
        <v>0</v>
      </c>
      <c r="DE114" s="501"/>
      <c r="DF114" s="570">
        <f t="shared" si="568"/>
        <v>0</v>
      </c>
      <c r="DG114" s="570">
        <f t="shared" si="569"/>
        <v>0</v>
      </c>
      <c r="DH114" s="570">
        <f t="shared" si="570"/>
        <v>0</v>
      </c>
      <c r="DI114" s="605"/>
      <c r="DJ114" s="567">
        <f>COUNTIF('MEP | Drawing List'!$G:$G,"MEP-T2V-6V-5")</f>
        <v>0</v>
      </c>
      <c r="DK114" s="582">
        <f>COUNTIFS('MEP | Drawing List'!$G:$G,"MEP-T2V-6V-5",'MEP | Drawing List'!$I:$I,1)</f>
        <v>0</v>
      </c>
      <c r="DL114" s="582">
        <f>COUNTIFS('MEP | Drawing List'!$G:$G,"MEP-T2V-6V-5",'MEP | Drawing List'!$K:$K,1)</f>
        <v>0</v>
      </c>
      <c r="DM114" s="567">
        <f>COUNTIFS('MEP | Drawing List'!$G:$G,"MEP-T2V-6V-5",'MEP | Drawing List'!L:L,1)</f>
        <v>0</v>
      </c>
      <c r="DN114" s="567">
        <f>COUNTIFS('MEP | Drawing List'!$G:$G,"MEP-T2V-6V-5",'MEP | Drawing List'!M:M,1)</f>
        <v>0</v>
      </c>
      <c r="DO114" s="567">
        <f>COUNTIFS('MEP | Drawing List'!$G:$G,"MEP-T2V-6V-5",'MEP | Drawing List'!N:N,1)</f>
        <v>0</v>
      </c>
      <c r="DP114" s="567">
        <f>COUNTIFS('MEP | Drawing List'!$G:$G,"MEP-T2V-6V-5",'MEP | Drawing List'!O:O,1)</f>
        <v>0</v>
      </c>
      <c r="DQ114" s="568"/>
      <c r="DR114" s="582">
        <f>COUNTIFS('MEP | Drawing List'!$G:$G,"MEP-T2V-6V-5",'MEP | Drawing List'!$P:$P,1)</f>
        <v>0</v>
      </c>
      <c r="DS114" s="567">
        <f>COUNTIFS('MEP | Drawing List'!$G:$G,"MEP-T2V-6V-5",'MEP | Drawing List'!Q:Q,1)</f>
        <v>0</v>
      </c>
      <c r="DT114" s="567">
        <f>COUNTIFS('MEP | Drawing List'!$G:$G,"MEP-T2V-6V-5",'MEP | Drawing List'!R:R,1)</f>
        <v>0</v>
      </c>
      <c r="DU114" s="567">
        <f>COUNTIFS('MEP | Drawing List'!$G:$G,"MEP-T2V-6V-5",'MEP | Drawing List'!S:S,1)</f>
        <v>0</v>
      </c>
      <c r="DV114" s="567">
        <f>COUNTIFS('MEP | Drawing List'!$G:$G,"MEP-T2V-6V-5",'MEP | Drawing List'!T:T,1)</f>
        <v>0</v>
      </c>
      <c r="DW114" s="588"/>
      <c r="DX114" s="588"/>
      <c r="DY114" s="592">
        <v>0</v>
      </c>
      <c r="DZ114" s="588"/>
      <c r="EA114" s="509">
        <v>0</v>
      </c>
      <c r="EB114" s="589">
        <f t="shared" si="237"/>
        <v>0</v>
      </c>
      <c r="EC114" s="533"/>
      <c r="ED114" s="533"/>
      <c r="EE114" s="501"/>
      <c r="EF114" s="501"/>
      <c r="EG114" s="501"/>
      <c r="EH114" s="501"/>
      <c r="EI114" s="501"/>
      <c r="EJ114" s="533"/>
      <c r="EK114" s="501"/>
      <c r="EL114" s="501"/>
      <c r="EM114" s="501"/>
      <c r="EN114" s="501"/>
      <c r="EO114" s="501"/>
      <c r="EP114" s="474"/>
      <c r="EQ114" s="474"/>
      <c r="ER114" s="474"/>
      <c r="ES114" s="606"/>
      <c r="ET114" s="567">
        <f>COUNTIF('LS | Drawing List'!$G:$G,"LS-T6V-5")</f>
        <v>0</v>
      </c>
      <c r="EU114" s="582">
        <f>COUNTIFS('LS | Drawing List'!$G:$G,"LS-T6V-5",'LS | Drawing List'!$I:$I,1)</f>
        <v>0</v>
      </c>
      <c r="EV114" s="582">
        <f>COUNTIFS('LS | Drawing List'!$G:$G,"LS-T6V-5",'LS | Drawing List'!$K:$K,1)</f>
        <v>0</v>
      </c>
      <c r="EW114" s="567">
        <f>COUNTIFS('LS | Drawing List'!$G:$G,"LS-T6V-5",'LS | Drawing List'!L:L,1)</f>
        <v>0</v>
      </c>
      <c r="EX114" s="567">
        <f>COUNTIFS('LS | Drawing List'!$G:$G,"LS-T6V-5",'LS | Drawing List'!M:M,1)</f>
        <v>0</v>
      </c>
      <c r="EY114" s="567">
        <f>COUNTIFS('LS | Drawing List'!$G:$G,"LS-T6V-5",'LS | Drawing List'!N:N,1)</f>
        <v>0</v>
      </c>
      <c r="EZ114" s="567">
        <f>COUNTIFS('LS | Drawing List'!$G:$G,"LS-T6V-5",'LS | Drawing List'!O:O,1)</f>
        <v>0</v>
      </c>
      <c r="FA114" s="574"/>
      <c r="FB114" s="582">
        <f>COUNTIFS('LS | Drawing List'!$G:$G,"LS-T6V-5",'LS | Drawing List'!$P:$P,1)</f>
        <v>0</v>
      </c>
      <c r="FC114" s="567">
        <f>COUNTIFS('LS | Drawing List'!$G:$G,"LS-T6V-5",'LS | Drawing List'!Q:Q,1)</f>
        <v>0</v>
      </c>
      <c r="FD114" s="567">
        <f>COUNTIFS('LS | Drawing List'!$G:$G,"LS-T6V-5",'LS | Drawing List'!R:R,1)</f>
        <v>0</v>
      </c>
      <c r="FE114" s="567">
        <f>COUNTIFS('LS | Drawing List'!$G:$G,"LS-T6V-5",'LS | Drawing List'!S:S,1)</f>
        <v>0</v>
      </c>
      <c r="FF114" s="567">
        <f>COUNTIFS('LS | Drawing List'!$G:$G,"LS-T6V-5",'LS | Drawing List'!T:T,1)</f>
        <v>0</v>
      </c>
    </row>
    <row r="115" spans="2:162" s="51" customFormat="1" ht="14.25" outlineLevel="2">
      <c r="B115" s="564" t="s">
        <v>122</v>
      </c>
      <c r="C115" s="579">
        <v>6</v>
      </c>
      <c r="D115" s="580" t="s">
        <v>62</v>
      </c>
      <c r="F115" s="500">
        <f t="shared" si="522"/>
        <v>0.10160896000000001</v>
      </c>
      <c r="G115" s="500">
        <f t="shared" si="523"/>
        <v>0.10160896000000001</v>
      </c>
      <c r="H115" s="514">
        <f t="shared" si="524"/>
        <v>0</v>
      </c>
      <c r="I115" s="514">
        <f t="shared" si="496"/>
        <v>0</v>
      </c>
      <c r="J115" s="514">
        <f t="shared" si="497"/>
        <v>0</v>
      </c>
      <c r="K115" s="514">
        <f t="shared" si="498"/>
        <v>0</v>
      </c>
      <c r="L115" s="514">
        <f t="shared" si="499"/>
        <v>0</v>
      </c>
      <c r="M115" s="567">
        <f t="shared" si="500"/>
        <v>0</v>
      </c>
      <c r="N115" s="568"/>
      <c r="O115" s="514">
        <f t="shared" si="501"/>
        <v>0</v>
      </c>
      <c r="P115" s="514">
        <f t="shared" si="502"/>
        <v>0</v>
      </c>
      <c r="Q115" s="514">
        <f t="shared" si="503"/>
        <v>0</v>
      </c>
      <c r="R115" s="514">
        <f t="shared" si="504"/>
        <v>0</v>
      </c>
      <c r="S115" s="514">
        <f t="shared" si="505"/>
        <v>0</v>
      </c>
      <c r="U115" s="583">
        <v>2.5000000000000001E-2</v>
      </c>
      <c r="V115" s="584"/>
      <c r="W115" s="581">
        <f t="shared" si="525"/>
        <v>5.5408000000000013E-2</v>
      </c>
      <c r="X115" s="581">
        <f t="shared" si="234"/>
        <v>5.5408000000000013E-2</v>
      </c>
      <c r="Y115" s="567">
        <f t="shared" si="526"/>
        <v>5.5408000000000013E-2</v>
      </c>
      <c r="Z115" s="567">
        <f t="shared" si="527"/>
        <v>0</v>
      </c>
      <c r="AA115" s="567">
        <f t="shared" si="528"/>
        <v>0</v>
      </c>
      <c r="AB115" s="567">
        <f t="shared" si="529"/>
        <v>0</v>
      </c>
      <c r="AC115" s="567">
        <f t="shared" si="530"/>
        <v>0</v>
      </c>
      <c r="AD115" s="567">
        <f t="shared" si="531"/>
        <v>0</v>
      </c>
      <c r="AE115" s="568"/>
      <c r="AF115" s="514">
        <f t="shared" si="532"/>
        <v>0</v>
      </c>
      <c r="AG115" s="514">
        <f t="shared" si="533"/>
        <v>0</v>
      </c>
      <c r="AH115" s="514">
        <f t="shared" si="534"/>
        <v>0</v>
      </c>
      <c r="AI115" s="514">
        <f t="shared" si="535"/>
        <v>0</v>
      </c>
      <c r="AJ115" s="514">
        <f t="shared" si="536"/>
        <v>0</v>
      </c>
      <c r="AK115" s="501"/>
      <c r="AL115" s="585">
        <f t="shared" si="537"/>
        <v>1</v>
      </c>
      <c r="AM115" s="585">
        <f t="shared" si="538"/>
        <v>0</v>
      </c>
      <c r="AN115" s="570">
        <f t="shared" si="539"/>
        <v>0</v>
      </c>
      <c r="AO115" s="605"/>
      <c r="AP115" s="567">
        <f>COUNTIF('AR | Drawing List'!$G:$G,"AR-T6V-6")</f>
        <v>2</v>
      </c>
      <c r="AQ115" s="582">
        <f>COUNTIFS('AR | Drawing List'!$G:$G,"AR-T6V-6",'AR | Drawing List'!$I:$I,1)</f>
        <v>2</v>
      </c>
      <c r="AR115" s="582">
        <f t="shared" si="238"/>
        <v>0</v>
      </c>
      <c r="AS115" s="582">
        <f>COUNTIFS('AR | Drawing List'!$G:$G,"AR-T6V-6",'AR | Drawing List'!M:M,1)</f>
        <v>0</v>
      </c>
      <c r="AT115" s="582">
        <f>COUNTIFS('AR | Drawing List'!$G:$G,"AR-T6V-6",'AR | Drawing List'!N:N,1)</f>
        <v>0</v>
      </c>
      <c r="AU115" s="582">
        <f>COUNTIFS('AR | Drawing List'!$G:$G,"AR-T6V-6",'AR | Drawing List'!O:O,1)</f>
        <v>0</v>
      </c>
      <c r="AV115" s="582">
        <f>COUNTIFS('AR | Drawing List'!$G:$G,"AR-T6V-6",'AR | Drawing List'!P:P,1)</f>
        <v>0</v>
      </c>
      <c r="AW115" s="587"/>
      <c r="AX115" s="582">
        <f t="shared" si="540"/>
        <v>0</v>
      </c>
      <c r="AY115" s="582">
        <f>COUNTIFS('AR | Drawing List'!$G:$G,"AR-T6V-6",'AR | Drawing List'!R:R,1)</f>
        <v>0</v>
      </c>
      <c r="AZ115" s="582">
        <f>COUNTIFS('AR | Drawing List'!$G:$G,"AR-T6V-6",'AR | Drawing List'!S:S,1)</f>
        <v>0</v>
      </c>
      <c r="BA115" s="582">
        <f>COUNTIFS('AR | Drawing List'!$G:$G,"AR-T6V-6",'AR | Drawing List'!T:T,1)</f>
        <v>0</v>
      </c>
      <c r="BB115" s="582">
        <f>COUNTIFS('AR | Drawing List'!$G:$G,"AR-T6V-6",'AR | Drawing List'!U:U,1)</f>
        <v>0</v>
      </c>
      <c r="BC115" s="599"/>
      <c r="BD115" s="599"/>
      <c r="BE115" s="470">
        <v>0.05</v>
      </c>
      <c r="BF115" s="588"/>
      <c r="BG115" s="582">
        <f t="shared" si="541"/>
        <v>4.6200959999999999E-2</v>
      </c>
      <c r="BH115" s="589">
        <f t="shared" si="235"/>
        <v>4.6200959999999999E-2</v>
      </c>
      <c r="BI115" s="567">
        <f t="shared" si="542"/>
        <v>4.6200959999999999E-2</v>
      </c>
      <c r="BJ115" s="567">
        <f t="shared" si="543"/>
        <v>0</v>
      </c>
      <c r="BK115" s="514">
        <f t="shared" si="544"/>
        <v>0</v>
      </c>
      <c r="BL115" s="514">
        <f t="shared" si="545"/>
        <v>0</v>
      </c>
      <c r="BM115" s="514">
        <f t="shared" si="546"/>
        <v>0</v>
      </c>
      <c r="BN115" s="514">
        <f t="shared" si="547"/>
        <v>0</v>
      </c>
      <c r="BO115" s="501"/>
      <c r="BP115" s="514">
        <f t="shared" si="548"/>
        <v>0</v>
      </c>
      <c r="BQ115" s="514">
        <f t="shared" si="549"/>
        <v>0</v>
      </c>
      <c r="BR115" s="514">
        <f t="shared" si="550"/>
        <v>0</v>
      </c>
      <c r="BS115" s="514">
        <f t="shared" si="551"/>
        <v>0</v>
      </c>
      <c r="BT115" s="514">
        <f t="shared" si="552"/>
        <v>0</v>
      </c>
      <c r="BU115" s="501"/>
      <c r="BV115" s="571">
        <f t="shared" si="553"/>
        <v>1</v>
      </c>
      <c r="BW115" s="571">
        <f t="shared" si="554"/>
        <v>0</v>
      </c>
      <c r="BX115" s="571">
        <f t="shared" si="555"/>
        <v>0</v>
      </c>
      <c r="BY115" s="605"/>
      <c r="BZ115" s="567">
        <f>COUNTIF('ST | Drawing List'!$G:$G,"ST-T6V-6")</f>
        <v>257</v>
      </c>
      <c r="CA115" s="582">
        <f>COUNTIFS('ST | Drawing List'!$G:$G,"ST-T6V-6",'ST | Drawing List'!$I:$I,1)</f>
        <v>257</v>
      </c>
      <c r="CB115" s="590">
        <f>COUNTIFS('ST | Drawing List'!$G:$G,"ST-T6V-6",'ST | Drawing List'!$K:$K,1)</f>
        <v>0</v>
      </c>
      <c r="CC115" s="582">
        <f>COUNTIFS('ST | Drawing List'!$G:$G,"ST-T6V-6",'ST | Drawing List'!L:L,1)</f>
        <v>0</v>
      </c>
      <c r="CD115" s="582">
        <f>COUNTIFS('ST | Drawing List'!$G:$G,"ST-T6V-6",'ST | Drawing List'!M:M,1)</f>
        <v>0</v>
      </c>
      <c r="CE115" s="582">
        <f>COUNTIFS('ST | Drawing List'!$G:$G,"ST-T6V-6",'ST | Drawing List'!N:N,1)</f>
        <v>0</v>
      </c>
      <c r="CF115" s="582">
        <f>COUNTIFS('ST | Drawing List'!$G:$G,"ST-T6V-6",'ST | Drawing List'!O:O,1)</f>
        <v>0</v>
      </c>
      <c r="CG115" s="591"/>
      <c r="CH115" s="590">
        <f>COUNTIFS('ST | Drawing List'!$G:$G,"ST-T6V-6",'ST | Drawing List'!$P:$P,1)</f>
        <v>0</v>
      </c>
      <c r="CI115" s="582">
        <f>COUNTIFS('ST | Drawing List'!$G:$G,"ST-T6V-6",'ST | Drawing List'!Q:Q,1)</f>
        <v>0</v>
      </c>
      <c r="CJ115" s="582">
        <f>COUNTIFS('ST | Drawing List'!$G:$G,"ST-T6V-6",'ST | Drawing List'!R:R,1)</f>
        <v>0</v>
      </c>
      <c r="CK115" s="582">
        <f>COUNTIFS('ST | Drawing List'!$G:$G,"ST-T6V-6",'ST | Drawing List'!S:S,1)</f>
        <v>0</v>
      </c>
      <c r="CL115" s="582">
        <f>COUNTIFS('ST | Drawing List'!$G:$G,"ST-T6V-6",'ST | Drawing List'!T:T,1)</f>
        <v>0</v>
      </c>
      <c r="CM115" s="588"/>
      <c r="CN115" s="588"/>
      <c r="CO115" s="576">
        <v>0</v>
      </c>
      <c r="CP115" s="588"/>
      <c r="CQ115" s="582">
        <f t="shared" si="556"/>
        <v>0</v>
      </c>
      <c r="CR115" s="589">
        <f t="shared" si="236"/>
        <v>0</v>
      </c>
      <c r="CS115" s="567">
        <f t="shared" si="557"/>
        <v>0</v>
      </c>
      <c r="CT115" s="514">
        <f t="shared" si="558"/>
        <v>0</v>
      </c>
      <c r="CU115" s="514">
        <f t="shared" si="559"/>
        <v>0</v>
      </c>
      <c r="CV115" s="514">
        <f t="shared" si="560"/>
        <v>0</v>
      </c>
      <c r="CW115" s="514">
        <f t="shared" si="561"/>
        <v>0</v>
      </c>
      <c r="CX115" s="514">
        <f t="shared" si="562"/>
        <v>0</v>
      </c>
      <c r="CY115" s="501"/>
      <c r="CZ115" s="514">
        <f t="shared" si="563"/>
        <v>0</v>
      </c>
      <c r="DA115" s="514">
        <f t="shared" si="564"/>
        <v>0</v>
      </c>
      <c r="DB115" s="514">
        <f t="shared" si="565"/>
        <v>0</v>
      </c>
      <c r="DC115" s="514">
        <f t="shared" si="566"/>
        <v>0</v>
      </c>
      <c r="DD115" s="514">
        <f t="shared" si="567"/>
        <v>0</v>
      </c>
      <c r="DE115" s="501"/>
      <c r="DF115" s="570">
        <f t="shared" si="568"/>
        <v>0</v>
      </c>
      <c r="DG115" s="570">
        <f t="shared" si="569"/>
        <v>0</v>
      </c>
      <c r="DH115" s="570">
        <f t="shared" si="570"/>
        <v>0</v>
      </c>
      <c r="DI115" s="605"/>
      <c r="DJ115" s="567">
        <f>COUNTIF('MEP | Drawing List'!$G:$G,"MEP-T2V-6V-6")</f>
        <v>0</v>
      </c>
      <c r="DK115" s="582">
        <f>COUNTIFS('MEP | Drawing List'!$G:$G,"MEP-T2V-6V-6",'MEP | Drawing List'!$I:$I,1)</f>
        <v>0</v>
      </c>
      <c r="DL115" s="582">
        <f>COUNTIFS('MEP | Drawing List'!$G:$G,"MEP-T2V-6V-6",'MEP | Drawing List'!$K:$K,1)</f>
        <v>0</v>
      </c>
      <c r="DM115" s="567">
        <f>COUNTIFS('MEP | Drawing List'!$G:$G,"MEP-T2V-6V-6",'MEP | Drawing List'!L:L,1)</f>
        <v>0</v>
      </c>
      <c r="DN115" s="567">
        <f>COUNTIFS('MEP | Drawing List'!$G:$G,"MEP-T2V-6V-6",'MEP | Drawing List'!M:M,1)</f>
        <v>0</v>
      </c>
      <c r="DO115" s="567">
        <f>COUNTIFS('MEP | Drawing List'!$G:$G,"MEP-T2V-6V-6",'MEP | Drawing List'!N:N,1)</f>
        <v>0</v>
      </c>
      <c r="DP115" s="567">
        <f>COUNTIFS('MEP | Drawing List'!$G:$G,"MEP-T2V-6V-6",'MEP | Drawing List'!O:O,1)</f>
        <v>0</v>
      </c>
      <c r="DQ115" s="568"/>
      <c r="DR115" s="582">
        <f>COUNTIFS('MEP | Drawing List'!$G:$G,"MEP-T2V-6V-6",'MEP | Drawing List'!$P:$P,1)</f>
        <v>0</v>
      </c>
      <c r="DS115" s="567">
        <f>COUNTIFS('MEP | Drawing List'!$G:$G,"MEP-T2V-6V-6",'MEP | Drawing List'!Q:Q,1)</f>
        <v>0</v>
      </c>
      <c r="DT115" s="567">
        <f>COUNTIFS('MEP | Drawing List'!$G:$G,"MEP-T2V-6V-6",'MEP | Drawing List'!R:R,1)</f>
        <v>0</v>
      </c>
      <c r="DU115" s="567">
        <f>COUNTIFS('MEP | Drawing List'!$G:$G,"MEP-T2V-6V-6",'MEP | Drawing List'!S:S,1)</f>
        <v>0</v>
      </c>
      <c r="DV115" s="567">
        <f>COUNTIFS('MEP | Drawing List'!$G:$G,"MEP-T2V-6V-6",'MEP | Drawing List'!T:T,1)</f>
        <v>0</v>
      </c>
      <c r="DW115" s="588"/>
      <c r="DX115" s="588"/>
      <c r="DY115" s="592">
        <v>0</v>
      </c>
      <c r="DZ115" s="588"/>
      <c r="EA115" s="509">
        <v>0</v>
      </c>
      <c r="EB115" s="589">
        <f t="shared" si="237"/>
        <v>0</v>
      </c>
      <c r="EC115" s="533"/>
      <c r="ED115" s="533"/>
      <c r="EE115" s="501"/>
      <c r="EF115" s="501"/>
      <c r="EG115" s="501"/>
      <c r="EH115" s="501"/>
      <c r="EI115" s="501"/>
      <c r="EJ115" s="533"/>
      <c r="EK115" s="501"/>
      <c r="EL115" s="501"/>
      <c r="EM115" s="501"/>
      <c r="EN115" s="501"/>
      <c r="EO115" s="501"/>
      <c r="EP115" s="474"/>
      <c r="EQ115" s="474"/>
      <c r="ER115" s="474"/>
      <c r="ES115" s="606"/>
      <c r="ET115" s="567">
        <f>COUNTIF('LS | Drawing List'!$G:$G,"LS-T6V-6")</f>
        <v>0</v>
      </c>
      <c r="EU115" s="582">
        <f>COUNTIFS('LS | Drawing List'!$G:$G,"LS-T6V-6",'LS | Drawing List'!$I:$I,1)</f>
        <v>0</v>
      </c>
      <c r="EV115" s="582">
        <f>COUNTIFS('LS | Drawing List'!$G:$G,"LS-T6V-6",'LS | Drawing List'!$K:$K,1)</f>
        <v>0</v>
      </c>
      <c r="EW115" s="567">
        <f>COUNTIFS('LS | Drawing List'!$G:$G,"LS-T6V-6",'LS | Drawing List'!L:L,1)</f>
        <v>0</v>
      </c>
      <c r="EX115" s="567">
        <f>COUNTIFS('LS | Drawing List'!$G:$G,"LS-T6V-6",'LS | Drawing List'!M:M,1)</f>
        <v>0</v>
      </c>
      <c r="EY115" s="567">
        <f>COUNTIFS('LS | Drawing List'!$G:$G,"LS-T6V-6",'LS | Drawing List'!N:N,1)</f>
        <v>0</v>
      </c>
      <c r="EZ115" s="567">
        <f>COUNTIFS('LS | Drawing List'!$G:$G,"LS-T6V-6",'LS | Drawing List'!O:O,1)</f>
        <v>0</v>
      </c>
      <c r="FA115" s="574"/>
      <c r="FB115" s="582">
        <f>COUNTIFS('LS | Drawing List'!$G:$G,"LS-T6V-6",'LS | Drawing List'!$P:$P,1)</f>
        <v>0</v>
      </c>
      <c r="FC115" s="567">
        <f>COUNTIFS('LS | Drawing List'!$G:$G,"LS-T6V-6",'LS | Drawing List'!Q:Q,1)</f>
        <v>0</v>
      </c>
      <c r="FD115" s="567">
        <f>COUNTIFS('LS | Drawing List'!$G:$G,"LS-T6V-6",'LS | Drawing List'!R:R,1)</f>
        <v>0</v>
      </c>
      <c r="FE115" s="567">
        <f>COUNTIFS('LS | Drawing List'!$G:$G,"LS-T6V-6",'LS | Drawing List'!S:S,1)</f>
        <v>0</v>
      </c>
      <c r="FF115" s="567">
        <f>COUNTIFS('LS | Drawing List'!$G:$G,"LS-T6V-6",'LS | Drawing List'!T:T,1)</f>
        <v>0</v>
      </c>
    </row>
    <row r="116" spans="2:162" ht="14.25" outlineLevel="2">
      <c r="B116" s="564" t="s">
        <v>123</v>
      </c>
      <c r="C116" s="565">
        <v>7</v>
      </c>
      <c r="D116" s="566" t="s">
        <v>64</v>
      </c>
      <c r="F116" s="500">
        <f t="shared" si="522"/>
        <v>0.24692480000000006</v>
      </c>
      <c r="G116" s="500">
        <f t="shared" si="523"/>
        <v>0.24692480000000006</v>
      </c>
      <c r="H116" s="514">
        <f t="shared" si="524"/>
        <v>0</v>
      </c>
      <c r="I116" s="514">
        <f t="shared" si="496"/>
        <v>0</v>
      </c>
      <c r="J116" s="514">
        <f t="shared" si="497"/>
        <v>0</v>
      </c>
      <c r="K116" s="514">
        <f t="shared" si="498"/>
        <v>0</v>
      </c>
      <c r="L116" s="514">
        <f t="shared" si="499"/>
        <v>0</v>
      </c>
      <c r="M116" s="567">
        <f t="shared" si="500"/>
        <v>0</v>
      </c>
      <c r="N116" s="568"/>
      <c r="O116" s="514">
        <f t="shared" si="501"/>
        <v>0</v>
      </c>
      <c r="P116" s="514">
        <f t="shared" si="502"/>
        <v>0</v>
      </c>
      <c r="Q116" s="514">
        <f t="shared" si="503"/>
        <v>0</v>
      </c>
      <c r="R116" s="514">
        <f t="shared" si="504"/>
        <v>0</v>
      </c>
      <c r="S116" s="514">
        <f t="shared" si="505"/>
        <v>0</v>
      </c>
      <c r="U116" s="569">
        <v>0.1</v>
      </c>
      <c r="V116" s="503"/>
      <c r="W116" s="500">
        <f t="shared" si="525"/>
        <v>0.22163200000000005</v>
      </c>
      <c r="X116" s="500">
        <f t="shared" si="234"/>
        <v>0.22163200000000005</v>
      </c>
      <c r="Y116" s="514">
        <f t="shared" si="526"/>
        <v>0.22163200000000005</v>
      </c>
      <c r="Z116" s="567">
        <f t="shared" si="527"/>
        <v>0</v>
      </c>
      <c r="AA116" s="567">
        <f t="shared" si="528"/>
        <v>0</v>
      </c>
      <c r="AB116" s="514">
        <f t="shared" si="529"/>
        <v>0</v>
      </c>
      <c r="AC116" s="514">
        <f t="shared" si="530"/>
        <v>0</v>
      </c>
      <c r="AD116" s="567">
        <f t="shared" si="531"/>
        <v>0</v>
      </c>
      <c r="AE116" s="568"/>
      <c r="AF116" s="514">
        <f t="shared" si="532"/>
        <v>0</v>
      </c>
      <c r="AG116" s="514">
        <f t="shared" si="533"/>
        <v>0</v>
      </c>
      <c r="AH116" s="514">
        <f t="shared" si="534"/>
        <v>0</v>
      </c>
      <c r="AI116" s="514">
        <f t="shared" si="535"/>
        <v>0</v>
      </c>
      <c r="AJ116" s="514">
        <f t="shared" si="536"/>
        <v>0</v>
      </c>
      <c r="AK116" s="501"/>
      <c r="AL116" s="570">
        <f t="shared" si="537"/>
        <v>1</v>
      </c>
      <c r="AM116" s="570">
        <f t="shared" si="538"/>
        <v>0</v>
      </c>
      <c r="AN116" s="570">
        <f t="shared" si="539"/>
        <v>0</v>
      </c>
      <c r="AO116" s="518"/>
      <c r="AP116" s="514">
        <f>COUNTIF('AR | Drawing List'!$G:$G,"AR-T6V-7")</f>
        <v>2</v>
      </c>
      <c r="AQ116" s="506">
        <f>COUNTIFS('AR | Drawing List'!$G:$G,"AR-T6V-7",'AR | Drawing List'!$I:$I,1)</f>
        <v>2</v>
      </c>
      <c r="AR116" s="506">
        <f t="shared" si="238"/>
        <v>0</v>
      </c>
      <c r="AS116" s="506">
        <f>COUNTIFS('AR | Drawing List'!$G:$G,"AR-T6V-7",'AR | Drawing List'!M:M,1)</f>
        <v>0</v>
      </c>
      <c r="AT116" s="506">
        <f>COUNTIFS('AR | Drawing List'!$G:$G,"AR-T6V-7",'AR | Drawing List'!N:N,1)</f>
        <v>0</v>
      </c>
      <c r="AU116" s="506">
        <f>COUNTIFS('AR | Drawing List'!$G:$G,"AR-T6V-7",'AR | Drawing List'!O:O,1)</f>
        <v>0</v>
      </c>
      <c r="AV116" s="506">
        <f>COUNTIFS('AR | Drawing List'!$G:$G,"AR-T6V-7",'AR | Drawing List'!P:P,1)</f>
        <v>0</v>
      </c>
      <c r="AW116" s="466"/>
      <c r="AX116" s="506">
        <f t="shared" si="540"/>
        <v>0</v>
      </c>
      <c r="AY116" s="506">
        <f>COUNTIFS('AR | Drawing List'!$G:$G,"AR-T6V-7",'AR | Drawing List'!R:R,1)</f>
        <v>0</v>
      </c>
      <c r="AZ116" s="506">
        <f>COUNTIFS('AR | Drawing List'!$G:$G,"AR-T6V-7",'AR | Drawing List'!S:S,1)</f>
        <v>0</v>
      </c>
      <c r="BA116" s="506">
        <f>COUNTIFS('AR | Drawing List'!$G:$G,"AR-T6V-7",'AR | Drawing List'!T:T,1)</f>
        <v>0</v>
      </c>
      <c r="BB116" s="506">
        <f>COUNTIFS('AR | Drawing List'!$G:$G,"AR-T6V-7",'AR | Drawing List'!U:U,1)</f>
        <v>0</v>
      </c>
      <c r="BC116" s="551"/>
      <c r="BD116" s="551"/>
      <c r="BE116" s="576">
        <v>0</v>
      </c>
      <c r="BF116" s="508"/>
      <c r="BG116" s="506">
        <f t="shared" si="541"/>
        <v>0</v>
      </c>
      <c r="BH116" s="510">
        <f t="shared" si="235"/>
        <v>0</v>
      </c>
      <c r="BI116" s="514">
        <f t="shared" si="542"/>
        <v>0</v>
      </c>
      <c r="BJ116" s="514">
        <f t="shared" si="543"/>
        <v>0</v>
      </c>
      <c r="BK116" s="514">
        <f t="shared" si="544"/>
        <v>0</v>
      </c>
      <c r="BL116" s="514">
        <f t="shared" si="545"/>
        <v>0</v>
      </c>
      <c r="BM116" s="514">
        <f t="shared" si="546"/>
        <v>0</v>
      </c>
      <c r="BN116" s="514">
        <f t="shared" si="547"/>
        <v>0</v>
      </c>
      <c r="BO116" s="501"/>
      <c r="BP116" s="514">
        <f t="shared" si="548"/>
        <v>0</v>
      </c>
      <c r="BQ116" s="514">
        <f t="shared" si="549"/>
        <v>0</v>
      </c>
      <c r="BR116" s="514">
        <f t="shared" si="550"/>
        <v>0</v>
      </c>
      <c r="BS116" s="514">
        <f t="shared" si="551"/>
        <v>0</v>
      </c>
      <c r="BT116" s="514">
        <f t="shared" si="552"/>
        <v>0</v>
      </c>
      <c r="BU116" s="501"/>
      <c r="BV116" s="571">
        <f t="shared" si="553"/>
        <v>0</v>
      </c>
      <c r="BW116" s="571">
        <f t="shared" si="554"/>
        <v>0</v>
      </c>
      <c r="BX116" s="571">
        <f t="shared" si="555"/>
        <v>0</v>
      </c>
      <c r="BY116" s="520"/>
      <c r="BZ116" s="514">
        <f>COUNTIF('ST | Drawing List'!$G:$G,"ST-T6V-7")</f>
        <v>0</v>
      </c>
      <c r="CA116" s="506">
        <f>COUNTIFS('ST | Drawing List'!$G:$G,"ST-T6V-7",'ST | Drawing List'!$I:$I,1)</f>
        <v>0</v>
      </c>
      <c r="CB116" s="572">
        <f>COUNTIFS('ST | Drawing List'!$G:$G,"ST-T6V-7",'ST | Drawing List'!$K:$K,1)</f>
        <v>0</v>
      </c>
      <c r="CC116" s="506">
        <f>COUNTIFS('ST | Drawing List'!$G:$G,"ST-T6V-7",'ST | Drawing List'!L:L,1)</f>
        <v>0</v>
      </c>
      <c r="CD116" s="506">
        <f>COUNTIFS('ST | Drawing List'!$G:$G,"ST-T6V-7",'ST | Drawing List'!M:M,1)</f>
        <v>0</v>
      </c>
      <c r="CE116" s="506">
        <f>COUNTIFS('ST | Drawing List'!$G:$G,"ST-T6V-7",'ST | Drawing List'!N:N,1)</f>
        <v>0</v>
      </c>
      <c r="CF116" s="506">
        <f>COUNTIFS('ST | Drawing List'!$G:$G,"ST-T6V-7",'ST | Drawing List'!O:O,1)</f>
        <v>0</v>
      </c>
      <c r="CG116" s="471"/>
      <c r="CH116" s="572">
        <f>COUNTIFS('ST | Drawing List'!$G:$G,"ST-T6V-7",'ST | Drawing List'!$P:$P,1)</f>
        <v>0</v>
      </c>
      <c r="CI116" s="506">
        <f>COUNTIFS('ST | Drawing List'!$G:$G,"ST-T6V-7",'ST | Drawing List'!Q:Q,1)</f>
        <v>0</v>
      </c>
      <c r="CJ116" s="506">
        <f>COUNTIFS('ST | Drawing List'!$G:$G,"ST-T6V-7",'ST | Drawing List'!R:R,1)</f>
        <v>0</v>
      </c>
      <c r="CK116" s="506">
        <f>COUNTIFS('ST | Drawing List'!$G:$G,"ST-T6V-7",'ST | Drawing List'!S:S,1)</f>
        <v>0</v>
      </c>
      <c r="CL116" s="506">
        <f>COUNTIFS('ST | Drawing List'!$G:$G,"ST-T6V-7",'ST | Drawing List'!T:T,1)</f>
        <v>0</v>
      </c>
      <c r="CM116" s="508"/>
      <c r="CN116" s="508"/>
      <c r="CO116" s="592">
        <v>0.2</v>
      </c>
      <c r="CP116" s="508"/>
      <c r="CQ116" s="506">
        <f t="shared" si="556"/>
        <v>2.5292800000000004E-2</v>
      </c>
      <c r="CR116" s="510">
        <f t="shared" si="236"/>
        <v>2.5292800000000004E-2</v>
      </c>
      <c r="CS116" s="514">
        <f t="shared" si="557"/>
        <v>2.5292800000000004E-2</v>
      </c>
      <c r="CT116" s="514">
        <f t="shared" si="558"/>
        <v>0</v>
      </c>
      <c r="CU116" s="514">
        <f t="shared" si="559"/>
        <v>0</v>
      </c>
      <c r="CV116" s="514">
        <f t="shared" si="560"/>
        <v>0</v>
      </c>
      <c r="CW116" s="514">
        <f t="shared" si="561"/>
        <v>0</v>
      </c>
      <c r="CX116" s="514">
        <f t="shared" si="562"/>
        <v>0</v>
      </c>
      <c r="CY116" s="501"/>
      <c r="CZ116" s="514">
        <f t="shared" si="563"/>
        <v>0</v>
      </c>
      <c r="DA116" s="514">
        <f t="shared" si="564"/>
        <v>0</v>
      </c>
      <c r="DB116" s="514">
        <f t="shared" si="565"/>
        <v>0</v>
      </c>
      <c r="DC116" s="514">
        <f t="shared" si="566"/>
        <v>0</v>
      </c>
      <c r="DD116" s="514">
        <f t="shared" si="567"/>
        <v>0</v>
      </c>
      <c r="DE116" s="501"/>
      <c r="DF116" s="570">
        <f t="shared" si="568"/>
        <v>1</v>
      </c>
      <c r="DG116" s="570">
        <f t="shared" si="569"/>
        <v>0</v>
      </c>
      <c r="DH116" s="570">
        <f t="shared" si="570"/>
        <v>0</v>
      </c>
      <c r="DI116" s="520"/>
      <c r="DJ116" s="514">
        <f>COUNTIF('MEP | Drawing List'!$G:$G,"MEP-T2V-6V-7")</f>
        <v>1</v>
      </c>
      <c r="DK116" s="506">
        <f>COUNTIFS('MEP | Drawing List'!$G:$G,"MEP-T2V-6V-7",'MEP | Drawing List'!$I:$I,1)</f>
        <v>1</v>
      </c>
      <c r="DL116" s="506">
        <f>COUNTIFS('MEP | Drawing List'!$G:$G,"MEP-T2V-6V-7",'MEP | Drawing List'!$K:$K,1)</f>
        <v>0</v>
      </c>
      <c r="DM116" s="514">
        <f>COUNTIFS('MEP | Drawing List'!$G:$G,"MEP-T2V-6V-7",'MEP | Drawing List'!L:L,1)</f>
        <v>0</v>
      </c>
      <c r="DN116" s="514">
        <f>COUNTIFS('MEP | Drawing List'!$G:$G,"MEP-T2V-6V-7",'MEP | Drawing List'!M:M,1)</f>
        <v>0</v>
      </c>
      <c r="DO116" s="514">
        <f>COUNTIFS('MEP | Drawing List'!$G:$G,"MEP-T2V-6V-7",'MEP | Drawing List'!N:N,1)</f>
        <v>0</v>
      </c>
      <c r="DP116" s="514">
        <f>COUNTIFS('MEP | Drawing List'!$G:$G,"MEP-T2V-6V-7",'MEP | Drawing List'!O:O,1)</f>
        <v>0</v>
      </c>
      <c r="DQ116" s="501"/>
      <c r="DR116" s="506">
        <f>COUNTIFS('MEP | Drawing List'!$G:$G,"MEP-T2V-6V-7",'MEP | Drawing List'!$P:$P,1)</f>
        <v>0</v>
      </c>
      <c r="DS116" s="514">
        <f>COUNTIFS('MEP | Drawing List'!$G:$G,"MEP-T2V-6V-7",'MEP | Drawing List'!Q:Q,1)</f>
        <v>0</v>
      </c>
      <c r="DT116" s="514">
        <f>COUNTIFS('MEP | Drawing List'!$G:$G,"MEP-T2V-6V-7",'MEP | Drawing List'!R:R,1)</f>
        <v>0</v>
      </c>
      <c r="DU116" s="514">
        <f>COUNTIFS('MEP | Drawing List'!$G:$G,"MEP-T2V-6V-7",'MEP | Drawing List'!S:S,1)</f>
        <v>0</v>
      </c>
      <c r="DV116" s="514">
        <f>COUNTIFS('MEP | Drawing List'!$G:$G,"MEP-T2V-6V-7",'MEP | Drawing List'!T:T,1)</f>
        <v>0</v>
      </c>
      <c r="DW116" s="508"/>
      <c r="DX116" s="508"/>
      <c r="DY116" s="511">
        <v>0</v>
      </c>
      <c r="DZ116" s="508"/>
      <c r="EA116" s="509">
        <v>0</v>
      </c>
      <c r="EB116" s="510">
        <f t="shared" si="237"/>
        <v>0</v>
      </c>
      <c r="EC116" s="515"/>
      <c r="ED116" s="515"/>
      <c r="EE116" s="501"/>
      <c r="EF116" s="501"/>
      <c r="EG116" s="501"/>
      <c r="EH116" s="501"/>
      <c r="EI116" s="501"/>
      <c r="EJ116" s="515"/>
      <c r="EK116" s="501"/>
      <c r="EL116" s="501"/>
      <c r="EM116" s="501"/>
      <c r="EN116" s="501"/>
      <c r="EO116" s="501"/>
      <c r="EP116" s="52"/>
      <c r="EQ116" s="52"/>
      <c r="ER116" s="52"/>
      <c r="ES116" s="523"/>
      <c r="ET116" s="514">
        <f>COUNTIF('LS | Drawing List'!$G:$G,"LS-T6V-7")</f>
        <v>0</v>
      </c>
      <c r="EU116" s="506">
        <f>COUNTIFS('LS | Drawing List'!$G:$G,"LS-T6V-7",'LS | Drawing List'!$I:$I,1)</f>
        <v>0</v>
      </c>
      <c r="EV116" s="506">
        <f>COUNTIFS('LS | Drawing List'!$G:$G,"LS-T6V-7",'LS | Drawing List'!$K:$K,1)</f>
        <v>0</v>
      </c>
      <c r="EW116" s="514">
        <f>COUNTIFS('LS | Drawing List'!$G:$G,"LS-T6V-7",'LS | Drawing List'!L:L,1)</f>
        <v>0</v>
      </c>
      <c r="EX116" s="514">
        <f>COUNTIFS('LS | Drawing List'!$G:$G,"LS-T6V-7",'LS | Drawing List'!M:M,1)</f>
        <v>0</v>
      </c>
      <c r="EY116" s="514">
        <f>COUNTIFS('LS | Drawing List'!$G:$G,"LS-T6V-7",'LS | Drawing List'!N:N,1)</f>
        <v>0</v>
      </c>
      <c r="EZ116" s="514">
        <f>COUNTIFS('LS | Drawing List'!$G:$G,"LS-T6V-7",'LS | Drawing List'!O:O,1)</f>
        <v>0</v>
      </c>
      <c r="FA116" s="515"/>
      <c r="FB116" s="506">
        <f>COUNTIFS('LS | Drawing List'!$G:$G,"LS-T6V-7",'LS | Drawing List'!$P:$P,1)</f>
        <v>0</v>
      </c>
      <c r="FC116" s="514">
        <f>COUNTIFS('LS | Drawing List'!$G:$G,"LS-T6V-7",'LS | Drawing List'!Q:Q,1)</f>
        <v>0</v>
      </c>
      <c r="FD116" s="514">
        <f>COUNTIFS('LS | Drawing List'!$G:$G,"LS-T6V-7",'LS | Drawing List'!R:R,1)</f>
        <v>0</v>
      </c>
      <c r="FE116" s="514">
        <f>COUNTIFS('LS | Drawing List'!$G:$G,"LS-T6V-7",'LS | Drawing List'!S:S,1)</f>
        <v>0</v>
      </c>
      <c r="FF116" s="514">
        <f>COUNTIFS('LS | Drawing List'!$G:$G,"LS-T6V-7",'LS | Drawing List'!T:T,1)</f>
        <v>0</v>
      </c>
    </row>
    <row r="117" spans="2:162" ht="14.25" outlineLevel="2">
      <c r="B117" s="564" t="s">
        <v>124</v>
      </c>
      <c r="C117" s="565">
        <v>8</v>
      </c>
      <c r="D117" s="566" t="s">
        <v>67</v>
      </c>
      <c r="F117" s="500">
        <f t="shared" si="522"/>
        <v>0.15701696000000004</v>
      </c>
      <c r="G117" s="500">
        <f t="shared" si="523"/>
        <v>0.15701696000000004</v>
      </c>
      <c r="H117" s="514">
        <f t="shared" si="524"/>
        <v>0</v>
      </c>
      <c r="I117" s="514">
        <f t="shared" si="496"/>
        <v>0</v>
      </c>
      <c r="J117" s="514">
        <f t="shared" si="497"/>
        <v>0</v>
      </c>
      <c r="K117" s="514">
        <f t="shared" si="498"/>
        <v>0</v>
      </c>
      <c r="L117" s="514">
        <f t="shared" si="499"/>
        <v>0</v>
      </c>
      <c r="M117" s="567">
        <f t="shared" si="500"/>
        <v>0</v>
      </c>
      <c r="N117" s="568"/>
      <c r="O117" s="514">
        <f t="shared" si="501"/>
        <v>0</v>
      </c>
      <c r="P117" s="514">
        <f t="shared" si="502"/>
        <v>0</v>
      </c>
      <c r="Q117" s="514">
        <f t="shared" si="503"/>
        <v>0</v>
      </c>
      <c r="R117" s="514">
        <f t="shared" si="504"/>
        <v>0</v>
      </c>
      <c r="S117" s="514">
        <f t="shared" si="505"/>
        <v>0</v>
      </c>
      <c r="U117" s="569">
        <v>0.05</v>
      </c>
      <c r="V117" s="503"/>
      <c r="W117" s="500">
        <f t="shared" si="525"/>
        <v>0.11081600000000003</v>
      </c>
      <c r="X117" s="500">
        <f t="shared" si="234"/>
        <v>0.11081600000000003</v>
      </c>
      <c r="Y117" s="514">
        <f t="shared" si="526"/>
        <v>0.11081600000000003</v>
      </c>
      <c r="Z117" s="567">
        <f t="shared" si="527"/>
        <v>0</v>
      </c>
      <c r="AA117" s="567">
        <f t="shared" si="528"/>
        <v>0</v>
      </c>
      <c r="AB117" s="514">
        <f t="shared" si="529"/>
        <v>0</v>
      </c>
      <c r="AC117" s="514">
        <f t="shared" si="530"/>
        <v>0</v>
      </c>
      <c r="AD117" s="567">
        <f t="shared" si="531"/>
        <v>0</v>
      </c>
      <c r="AE117" s="568"/>
      <c r="AF117" s="514">
        <f t="shared" si="532"/>
        <v>0</v>
      </c>
      <c r="AG117" s="514">
        <f t="shared" si="533"/>
        <v>0</v>
      </c>
      <c r="AH117" s="514">
        <f t="shared" si="534"/>
        <v>0</v>
      </c>
      <c r="AI117" s="514">
        <f t="shared" si="535"/>
        <v>0</v>
      </c>
      <c r="AJ117" s="514">
        <f t="shared" si="536"/>
        <v>0</v>
      </c>
      <c r="AK117" s="501"/>
      <c r="AL117" s="570">
        <f t="shared" si="537"/>
        <v>1</v>
      </c>
      <c r="AM117" s="570">
        <f t="shared" si="538"/>
        <v>0</v>
      </c>
      <c r="AN117" s="570">
        <f t="shared" si="539"/>
        <v>0</v>
      </c>
      <c r="AO117" s="518"/>
      <c r="AP117" s="514">
        <f>COUNTIF('AR | Drawing List'!$G:$G,"AR-T6V-8")</f>
        <v>2</v>
      </c>
      <c r="AQ117" s="506">
        <f>COUNTIFS('AR | Drawing List'!$G:$G,"AR-T6V-8",'AR | Drawing List'!$I:$I,1)</f>
        <v>2</v>
      </c>
      <c r="AR117" s="506">
        <f t="shared" si="238"/>
        <v>0</v>
      </c>
      <c r="AS117" s="506">
        <f>COUNTIFS('AR | Drawing List'!$G:$G,"AR-T6V-8",'AR | Drawing List'!M:M,1)</f>
        <v>0</v>
      </c>
      <c r="AT117" s="506">
        <f>COUNTIFS('AR | Drawing List'!$G:$G,"AR-T6V-8",'AR | Drawing List'!N:N,1)</f>
        <v>0</v>
      </c>
      <c r="AU117" s="506">
        <f>COUNTIFS('AR | Drawing List'!$G:$G,"AR-T6V-8",'AR | Drawing List'!O:O,1)</f>
        <v>0</v>
      </c>
      <c r="AV117" s="506">
        <f>COUNTIFS('AR | Drawing List'!$G:$G,"AR-T6V-8",'AR | Drawing List'!P:P,1)</f>
        <v>0</v>
      </c>
      <c r="AW117" s="466"/>
      <c r="AX117" s="506">
        <f t="shared" si="540"/>
        <v>0</v>
      </c>
      <c r="AY117" s="506">
        <f>COUNTIFS('AR | Drawing List'!$G:$G,"AR-T6V-8",'AR | Drawing List'!R:R,1)</f>
        <v>0</v>
      </c>
      <c r="AZ117" s="506">
        <f>COUNTIFS('AR | Drawing List'!$G:$G,"AR-T6V-8",'AR | Drawing List'!S:S,1)</f>
        <v>0</v>
      </c>
      <c r="BA117" s="506">
        <f>COUNTIFS('AR | Drawing List'!$G:$G,"AR-T6V-8",'AR | Drawing List'!T:T,1)</f>
        <v>0</v>
      </c>
      <c r="BB117" s="506">
        <f>COUNTIFS('AR | Drawing List'!$G:$G,"AR-T6V-8",'AR | Drawing List'!U:U,1)</f>
        <v>0</v>
      </c>
      <c r="BC117" s="551"/>
      <c r="BD117" s="551"/>
      <c r="BE117" s="511">
        <v>0.05</v>
      </c>
      <c r="BF117" s="508"/>
      <c r="BG117" s="506">
        <f t="shared" si="541"/>
        <v>4.6200959999999999E-2</v>
      </c>
      <c r="BH117" s="510">
        <f t="shared" si="235"/>
        <v>4.6200959999999999E-2</v>
      </c>
      <c r="BI117" s="514">
        <f t="shared" si="542"/>
        <v>4.6200959999999999E-2</v>
      </c>
      <c r="BJ117" s="514">
        <f t="shared" si="543"/>
        <v>0</v>
      </c>
      <c r="BK117" s="514">
        <f t="shared" si="544"/>
        <v>0</v>
      </c>
      <c r="BL117" s="514">
        <f t="shared" si="545"/>
        <v>0</v>
      </c>
      <c r="BM117" s="514">
        <f t="shared" si="546"/>
        <v>0</v>
      </c>
      <c r="BN117" s="514">
        <f t="shared" si="547"/>
        <v>0</v>
      </c>
      <c r="BO117" s="501"/>
      <c r="BP117" s="514">
        <f t="shared" si="548"/>
        <v>0</v>
      </c>
      <c r="BQ117" s="514">
        <f t="shared" si="549"/>
        <v>0</v>
      </c>
      <c r="BR117" s="514">
        <f t="shared" si="550"/>
        <v>0</v>
      </c>
      <c r="BS117" s="514">
        <f t="shared" si="551"/>
        <v>0</v>
      </c>
      <c r="BT117" s="514">
        <f t="shared" si="552"/>
        <v>0</v>
      </c>
      <c r="BU117" s="501"/>
      <c r="BV117" s="571">
        <f t="shared" si="553"/>
        <v>1</v>
      </c>
      <c r="BW117" s="571">
        <f t="shared" si="554"/>
        <v>0</v>
      </c>
      <c r="BX117" s="571">
        <f t="shared" si="555"/>
        <v>0</v>
      </c>
      <c r="BY117" s="505"/>
      <c r="BZ117" s="514">
        <f>COUNTIF('ST | Drawing List'!$G:$G,"ST-T6V-8")</f>
        <v>7</v>
      </c>
      <c r="CA117" s="506">
        <f>COUNTIFS('ST | Drawing List'!$G:$G,"ST-T6V-8",'ST | Drawing List'!$I:$I,1)</f>
        <v>7</v>
      </c>
      <c r="CB117" s="572">
        <f>COUNTIFS('ST | Drawing List'!$G:$G,"ST-T6V-8",'ST | Drawing List'!$K:$K,1)</f>
        <v>0</v>
      </c>
      <c r="CC117" s="506">
        <f>COUNTIFS('ST | Drawing List'!$G:$G,"ST-T6V-8",'ST | Drawing List'!L:L,1)</f>
        <v>0</v>
      </c>
      <c r="CD117" s="506">
        <f>COUNTIFS('ST | Drawing List'!$G:$G,"ST-T6V-8",'ST | Drawing List'!M:M,1)</f>
        <v>0</v>
      </c>
      <c r="CE117" s="506">
        <f>COUNTIFS('ST | Drawing List'!$G:$G,"ST-T6V-8",'ST | Drawing List'!N:N,1)</f>
        <v>0</v>
      </c>
      <c r="CF117" s="506">
        <f>COUNTIFS('ST | Drawing List'!$G:$G,"ST-T6V-8",'ST | Drawing List'!O:O,1)</f>
        <v>0</v>
      </c>
      <c r="CG117" s="471"/>
      <c r="CH117" s="572">
        <f>COUNTIFS('ST | Drawing List'!$G:$G,"ST-T6V-8",'ST | Drawing List'!$P:$P,1)</f>
        <v>0</v>
      </c>
      <c r="CI117" s="506">
        <f>COUNTIFS('ST | Drawing List'!$G:$G,"ST-T6V-8",'ST | Drawing List'!Q:Q,1)</f>
        <v>0</v>
      </c>
      <c r="CJ117" s="506">
        <f>COUNTIFS('ST | Drawing List'!$G:$G,"ST-T6V-8",'ST | Drawing List'!R:R,1)</f>
        <v>0</v>
      </c>
      <c r="CK117" s="506">
        <f>COUNTIFS('ST | Drawing List'!$G:$G,"ST-T6V-8",'ST | Drawing List'!S:S,1)</f>
        <v>0</v>
      </c>
      <c r="CL117" s="506">
        <f>COUNTIFS('ST | Drawing List'!$G:$G,"ST-T6V-8",'ST | Drawing List'!T:T,1)</f>
        <v>0</v>
      </c>
      <c r="CM117" s="508"/>
      <c r="CN117" s="508"/>
      <c r="CO117" s="576">
        <v>0</v>
      </c>
      <c r="CP117" s="508"/>
      <c r="CQ117" s="506">
        <f t="shared" si="556"/>
        <v>0</v>
      </c>
      <c r="CR117" s="510">
        <f t="shared" si="236"/>
        <v>0</v>
      </c>
      <c r="CS117" s="514">
        <f t="shared" si="557"/>
        <v>0</v>
      </c>
      <c r="CT117" s="514">
        <f t="shared" si="558"/>
        <v>0</v>
      </c>
      <c r="CU117" s="514">
        <f t="shared" si="559"/>
        <v>0</v>
      </c>
      <c r="CV117" s="514">
        <f t="shared" si="560"/>
        <v>0</v>
      </c>
      <c r="CW117" s="514">
        <f t="shared" si="561"/>
        <v>0</v>
      </c>
      <c r="CX117" s="514">
        <f t="shared" si="562"/>
        <v>0</v>
      </c>
      <c r="CY117" s="501"/>
      <c r="CZ117" s="514">
        <f t="shared" si="563"/>
        <v>0</v>
      </c>
      <c r="DA117" s="514">
        <f t="shared" si="564"/>
        <v>0</v>
      </c>
      <c r="DB117" s="514">
        <f t="shared" si="565"/>
        <v>0</v>
      </c>
      <c r="DC117" s="514">
        <f t="shared" si="566"/>
        <v>0</v>
      </c>
      <c r="DD117" s="514">
        <f t="shared" si="567"/>
        <v>0</v>
      </c>
      <c r="DE117" s="501"/>
      <c r="DF117" s="570">
        <f t="shared" si="568"/>
        <v>1</v>
      </c>
      <c r="DG117" s="570">
        <f t="shared" si="569"/>
        <v>0</v>
      </c>
      <c r="DH117" s="570">
        <f t="shared" si="570"/>
        <v>0</v>
      </c>
      <c r="DI117" s="505"/>
      <c r="DJ117" s="514">
        <f>COUNTIF('MEP | Drawing List'!$G:$G,"MEP-T2V-6V-8")</f>
        <v>31</v>
      </c>
      <c r="DK117" s="506">
        <f>COUNTIFS('MEP | Drawing List'!$G:$G,"MEP-T2V-6V-8",'MEP | Drawing List'!$I:$I,1)</f>
        <v>31</v>
      </c>
      <c r="DL117" s="506">
        <f>COUNTIFS('MEP | Drawing List'!$G:$G,"MEP-T2V-6V-8",'MEP | Drawing List'!$K:$K,1)</f>
        <v>0</v>
      </c>
      <c r="DM117" s="514">
        <f>COUNTIFS('MEP | Drawing List'!$G:$G,"MEP-T2V-6V-8",'MEP | Drawing List'!L:L,1)</f>
        <v>0</v>
      </c>
      <c r="DN117" s="514">
        <f>COUNTIFS('MEP | Drawing List'!$G:$G,"MEP-T2V-6V-8",'MEP | Drawing List'!M:M,1)</f>
        <v>0</v>
      </c>
      <c r="DO117" s="514">
        <f>COUNTIFS('MEP | Drawing List'!$G:$G,"MEP-T2V-6V-8",'MEP | Drawing List'!N:N,1)</f>
        <v>0</v>
      </c>
      <c r="DP117" s="514">
        <f>COUNTIFS('MEP | Drawing List'!$G:$G,"MEP-T2V-6V-8",'MEP | Drawing List'!O:O,1)</f>
        <v>0</v>
      </c>
      <c r="DQ117" s="501"/>
      <c r="DR117" s="506">
        <f>COUNTIFS('MEP | Drawing List'!$G:$G,"MEP-T2V-6V-8",'MEP | Drawing List'!$P:$P,1)</f>
        <v>0</v>
      </c>
      <c r="DS117" s="514">
        <f>COUNTIFS('MEP | Drawing List'!$G:$G,"MEP-T2V-6V-8",'MEP | Drawing List'!Q:Q,1)</f>
        <v>0</v>
      </c>
      <c r="DT117" s="514">
        <f>COUNTIFS('MEP | Drawing List'!$G:$G,"MEP-T2V-6V-8",'MEP | Drawing List'!R:R,1)</f>
        <v>0</v>
      </c>
      <c r="DU117" s="514">
        <f>COUNTIFS('MEP | Drawing List'!$G:$G,"MEP-T2V-6V-8",'MEP | Drawing List'!S:S,1)</f>
        <v>0</v>
      </c>
      <c r="DV117" s="514">
        <f>COUNTIFS('MEP | Drawing List'!$G:$G,"MEP-T2V-6V-8",'MEP | Drawing List'!T:T,1)</f>
        <v>0</v>
      </c>
      <c r="DW117" s="508"/>
      <c r="DX117" s="508"/>
      <c r="DY117" s="511">
        <v>0</v>
      </c>
      <c r="DZ117" s="508"/>
      <c r="EA117" s="509">
        <v>0</v>
      </c>
      <c r="EB117" s="510">
        <f t="shared" si="237"/>
        <v>0</v>
      </c>
      <c r="EC117" s="515"/>
      <c r="ED117" s="515"/>
      <c r="EE117" s="501"/>
      <c r="EF117" s="501"/>
      <c r="EG117" s="501"/>
      <c r="EH117" s="501"/>
      <c r="EI117" s="501"/>
      <c r="EJ117" s="515"/>
      <c r="EK117" s="501"/>
      <c r="EL117" s="501"/>
      <c r="EM117" s="501"/>
      <c r="EN117" s="501"/>
      <c r="EO117" s="501"/>
      <c r="EP117" s="52"/>
      <c r="EQ117" s="52"/>
      <c r="ER117" s="52"/>
      <c r="ES117" s="516"/>
      <c r="ET117" s="514">
        <f>COUNTIF('LS | Drawing List'!$G:$G,"LS-T6V-8")</f>
        <v>0</v>
      </c>
      <c r="EU117" s="506">
        <f>COUNTIFS('LS | Drawing List'!$G:$G,"LS-T6V-8",'LS | Drawing List'!$I:$I,1)</f>
        <v>0</v>
      </c>
      <c r="EV117" s="506">
        <f>COUNTIFS('LS | Drawing List'!$G:$G,"LS-T6V-8",'LS | Drawing List'!$K:$K,1)</f>
        <v>0</v>
      </c>
      <c r="EW117" s="514">
        <f>COUNTIFS('LS | Drawing List'!$G:$G,"LS-T6V-8",'LS | Drawing List'!L:L,1)</f>
        <v>0</v>
      </c>
      <c r="EX117" s="514">
        <f>COUNTIFS('LS | Drawing List'!$G:$G,"LS-T6V-8",'LS | Drawing List'!M:M,1)</f>
        <v>0</v>
      </c>
      <c r="EY117" s="514">
        <f>COUNTIFS('LS | Drawing List'!$G:$G,"LS-T6V-8",'LS | Drawing List'!N:N,1)</f>
        <v>0</v>
      </c>
      <c r="EZ117" s="514">
        <f>COUNTIFS('LS | Drawing List'!$G:$G,"LS-T6V-8",'LS | Drawing List'!O:O,1)</f>
        <v>0</v>
      </c>
      <c r="FA117" s="515"/>
      <c r="FB117" s="506">
        <f>COUNTIFS('LS | Drawing List'!$G:$G,"LS-T6V-8",'LS | Drawing List'!$P:$P,1)</f>
        <v>0</v>
      </c>
      <c r="FC117" s="514">
        <f>COUNTIFS('LS | Drawing List'!$G:$G,"LS-T6V-8",'LS | Drawing List'!Q:Q,1)</f>
        <v>0</v>
      </c>
      <c r="FD117" s="514">
        <f>COUNTIFS('LS | Drawing List'!$G:$G,"LS-T6V-8",'LS | Drawing List'!R:R,1)</f>
        <v>0</v>
      </c>
      <c r="FE117" s="514">
        <f>COUNTIFS('LS | Drawing List'!$G:$G,"LS-T6V-8",'LS | Drawing List'!S:S,1)</f>
        <v>0</v>
      </c>
      <c r="FF117" s="514">
        <f>COUNTIFS('LS | Drawing List'!$G:$G,"LS-T6V-8",'LS | Drawing List'!T:T,1)</f>
        <v>0</v>
      </c>
    </row>
    <row r="118" spans="2:162" ht="14.25" outlineLevel="2">
      <c r="B118" s="564" t="s">
        <v>125</v>
      </c>
      <c r="C118" s="565">
        <v>9</v>
      </c>
      <c r="D118" s="566" t="s">
        <v>69</v>
      </c>
      <c r="F118" s="500">
        <f t="shared" si="522"/>
        <v>0.17310272000000002</v>
      </c>
      <c r="G118" s="500">
        <f t="shared" si="523"/>
        <v>0.17310272000000002</v>
      </c>
      <c r="H118" s="514">
        <f t="shared" si="524"/>
        <v>0</v>
      </c>
      <c r="I118" s="514">
        <f t="shared" si="496"/>
        <v>0</v>
      </c>
      <c r="J118" s="514">
        <f t="shared" si="497"/>
        <v>0</v>
      </c>
      <c r="K118" s="514">
        <f t="shared" si="498"/>
        <v>0</v>
      </c>
      <c r="L118" s="514">
        <f t="shared" si="499"/>
        <v>0</v>
      </c>
      <c r="M118" s="567">
        <f t="shared" si="500"/>
        <v>0</v>
      </c>
      <c r="N118" s="568"/>
      <c r="O118" s="514">
        <f t="shared" si="501"/>
        <v>0</v>
      </c>
      <c r="P118" s="514">
        <f t="shared" si="502"/>
        <v>0</v>
      </c>
      <c r="Q118" s="514">
        <f t="shared" si="503"/>
        <v>0</v>
      </c>
      <c r="R118" s="514">
        <f t="shared" si="504"/>
        <v>0</v>
      </c>
      <c r="S118" s="514">
        <f t="shared" si="505"/>
        <v>0</v>
      </c>
      <c r="U118" s="569">
        <v>2.5000000000000001E-2</v>
      </c>
      <c r="V118" s="503"/>
      <c r="W118" s="500">
        <f t="shared" si="525"/>
        <v>5.5408000000000013E-2</v>
      </c>
      <c r="X118" s="500">
        <f t="shared" si="234"/>
        <v>5.5408000000000013E-2</v>
      </c>
      <c r="Y118" s="514">
        <f t="shared" si="526"/>
        <v>5.5408000000000013E-2</v>
      </c>
      <c r="Z118" s="567">
        <f t="shared" si="527"/>
        <v>0</v>
      </c>
      <c r="AA118" s="567">
        <f t="shared" si="528"/>
        <v>0</v>
      </c>
      <c r="AB118" s="514">
        <f t="shared" si="529"/>
        <v>0</v>
      </c>
      <c r="AC118" s="514">
        <f t="shared" si="530"/>
        <v>0</v>
      </c>
      <c r="AD118" s="567">
        <f t="shared" si="531"/>
        <v>0</v>
      </c>
      <c r="AE118" s="568"/>
      <c r="AF118" s="514">
        <f t="shared" si="532"/>
        <v>0</v>
      </c>
      <c r="AG118" s="514">
        <f t="shared" si="533"/>
        <v>0</v>
      </c>
      <c r="AH118" s="514">
        <f t="shared" si="534"/>
        <v>0</v>
      </c>
      <c r="AI118" s="514">
        <f t="shared" si="535"/>
        <v>0</v>
      </c>
      <c r="AJ118" s="514">
        <f t="shared" si="536"/>
        <v>0</v>
      </c>
      <c r="AK118" s="501"/>
      <c r="AL118" s="570">
        <f t="shared" si="537"/>
        <v>1</v>
      </c>
      <c r="AM118" s="570">
        <f t="shared" si="538"/>
        <v>0</v>
      </c>
      <c r="AN118" s="570">
        <f t="shared" si="539"/>
        <v>0</v>
      </c>
      <c r="AO118" s="518"/>
      <c r="AP118" s="514">
        <f>COUNTIF('AR | Drawing List'!$G:$G,"AR-T6V-9")</f>
        <v>2</v>
      </c>
      <c r="AQ118" s="506">
        <f>COUNTIFS('AR | Drawing List'!$G:$G,"AR-T6V-9",'AR | Drawing List'!$I:$I,1)</f>
        <v>2</v>
      </c>
      <c r="AR118" s="506">
        <f t="shared" si="238"/>
        <v>0</v>
      </c>
      <c r="AS118" s="506">
        <f>COUNTIFS('AR | Drawing List'!$G:$G,"AR-T6V-9",'AR | Drawing List'!M:M,1)</f>
        <v>0</v>
      </c>
      <c r="AT118" s="506">
        <f>COUNTIFS('AR | Drawing List'!$G:$G,"AR-T6V-9",'AR | Drawing List'!N:N,1)</f>
        <v>0</v>
      </c>
      <c r="AU118" s="506">
        <f>COUNTIFS('AR | Drawing List'!$G:$G,"AR-T6V-9",'AR | Drawing List'!O:O,1)</f>
        <v>0</v>
      </c>
      <c r="AV118" s="506">
        <f>COUNTIFS('AR | Drawing List'!$G:$G,"AR-T6V-9",'AR | Drawing List'!P:P,1)</f>
        <v>0</v>
      </c>
      <c r="AW118" s="466"/>
      <c r="AX118" s="506">
        <f t="shared" si="540"/>
        <v>0</v>
      </c>
      <c r="AY118" s="506">
        <f>COUNTIFS('AR | Drawing List'!$G:$G,"AR-T6V-9",'AR | Drawing List'!R:R,1)</f>
        <v>0</v>
      </c>
      <c r="AZ118" s="506">
        <f>COUNTIFS('AR | Drawing List'!$G:$G,"AR-T6V-9",'AR | Drawing List'!S:S,1)</f>
        <v>0</v>
      </c>
      <c r="BA118" s="506">
        <f>COUNTIFS('AR | Drawing List'!$G:$G,"AR-T6V-9",'AR | Drawing List'!T:T,1)</f>
        <v>0</v>
      </c>
      <c r="BB118" s="506">
        <f>COUNTIFS('AR | Drawing List'!$G:$G,"AR-T6V-9",'AR | Drawing List'!U:U,1)</f>
        <v>0</v>
      </c>
      <c r="BC118" s="466"/>
      <c r="BD118" s="466"/>
      <c r="BE118" s="592">
        <v>0.1</v>
      </c>
      <c r="BF118" s="508"/>
      <c r="BG118" s="506">
        <f t="shared" si="541"/>
        <v>9.2401919999999999E-2</v>
      </c>
      <c r="BH118" s="510">
        <f t="shared" si="235"/>
        <v>9.2401919999999999E-2</v>
      </c>
      <c r="BI118" s="514">
        <f t="shared" si="542"/>
        <v>9.2401919999999999E-2</v>
      </c>
      <c r="BJ118" s="514">
        <f t="shared" si="543"/>
        <v>0</v>
      </c>
      <c r="BK118" s="514">
        <f t="shared" si="544"/>
        <v>0</v>
      </c>
      <c r="BL118" s="514">
        <f t="shared" si="545"/>
        <v>0</v>
      </c>
      <c r="BM118" s="514">
        <f t="shared" si="546"/>
        <v>0</v>
      </c>
      <c r="BN118" s="514">
        <f t="shared" si="547"/>
        <v>0</v>
      </c>
      <c r="BO118" s="501"/>
      <c r="BP118" s="514">
        <f t="shared" si="548"/>
        <v>0</v>
      </c>
      <c r="BQ118" s="514">
        <f t="shared" si="549"/>
        <v>0</v>
      </c>
      <c r="BR118" s="514">
        <f t="shared" si="550"/>
        <v>0</v>
      </c>
      <c r="BS118" s="514">
        <f t="shared" si="551"/>
        <v>0</v>
      </c>
      <c r="BT118" s="514">
        <f t="shared" si="552"/>
        <v>0</v>
      </c>
      <c r="BU118" s="501"/>
      <c r="BV118" s="571">
        <f t="shared" si="553"/>
        <v>1</v>
      </c>
      <c r="BW118" s="571">
        <f t="shared" si="554"/>
        <v>0</v>
      </c>
      <c r="BX118" s="571">
        <f t="shared" si="555"/>
        <v>0</v>
      </c>
      <c r="BY118" s="505"/>
      <c r="BZ118" s="514">
        <f>COUNTIF('ST | Drawing List'!$G:$G,"ST-T6V-9")</f>
        <v>3</v>
      </c>
      <c r="CA118" s="506">
        <f>COUNTIFS('ST | Drawing List'!$G:$G,"ST-T6V-9",'ST | Drawing List'!$I:$I,1)</f>
        <v>3</v>
      </c>
      <c r="CB118" s="572">
        <f>COUNTIFS('ST | Drawing List'!$G:$G,"ST-T6V-9",'ST | Drawing List'!$K:$K,1)</f>
        <v>0</v>
      </c>
      <c r="CC118" s="506">
        <f>COUNTIFS('ST | Drawing List'!$G:$G,"ST-T6V-9",'ST | Drawing List'!L:L,1)</f>
        <v>0</v>
      </c>
      <c r="CD118" s="506">
        <f>COUNTIFS('ST | Drawing List'!$G:$G,"ST-T6V-9",'ST | Drawing List'!M:M,1)</f>
        <v>0</v>
      </c>
      <c r="CE118" s="506">
        <f>COUNTIFS('ST | Drawing List'!$G:$G,"ST-T6V-9",'ST | Drawing List'!N:N,1)</f>
        <v>0</v>
      </c>
      <c r="CF118" s="506">
        <f>COUNTIFS('ST | Drawing List'!$G:$G,"ST-T6V-9",'ST | Drawing List'!O:O,1)</f>
        <v>0</v>
      </c>
      <c r="CG118" s="471"/>
      <c r="CH118" s="572">
        <f>COUNTIFS('ST | Drawing List'!$G:$G,"ST-T6V-9",'ST | Drawing List'!$P:$P,1)</f>
        <v>0</v>
      </c>
      <c r="CI118" s="506">
        <f>COUNTIFS('ST | Drawing List'!$G:$G,"ST-T6V-9",'ST | Drawing List'!Q:Q,1)</f>
        <v>0</v>
      </c>
      <c r="CJ118" s="506">
        <f>COUNTIFS('ST | Drawing List'!$G:$G,"ST-T6V-9",'ST | Drawing List'!R:R,1)</f>
        <v>0</v>
      </c>
      <c r="CK118" s="506">
        <f>COUNTIFS('ST | Drawing List'!$G:$G,"ST-T6V-9",'ST | Drawing List'!S:S,1)</f>
        <v>0</v>
      </c>
      <c r="CL118" s="506">
        <f>COUNTIFS('ST | Drawing List'!$G:$G,"ST-T6V-9",'ST | Drawing List'!T:T,1)</f>
        <v>0</v>
      </c>
      <c r="CM118" s="508"/>
      <c r="CN118" s="508"/>
      <c r="CO118" s="511">
        <v>0.2</v>
      </c>
      <c r="CP118" s="508"/>
      <c r="CQ118" s="506">
        <f t="shared" si="556"/>
        <v>2.5292800000000004E-2</v>
      </c>
      <c r="CR118" s="510">
        <f t="shared" si="236"/>
        <v>2.5292800000000004E-2</v>
      </c>
      <c r="CS118" s="514">
        <f t="shared" si="557"/>
        <v>2.5292800000000004E-2</v>
      </c>
      <c r="CT118" s="514">
        <f t="shared" si="558"/>
        <v>0</v>
      </c>
      <c r="CU118" s="514">
        <f t="shared" si="559"/>
        <v>0</v>
      </c>
      <c r="CV118" s="514">
        <f t="shared" si="560"/>
        <v>0</v>
      </c>
      <c r="CW118" s="514">
        <f t="shared" si="561"/>
        <v>0</v>
      </c>
      <c r="CX118" s="514">
        <f t="shared" si="562"/>
        <v>0</v>
      </c>
      <c r="CY118" s="501"/>
      <c r="CZ118" s="514">
        <f t="shared" si="563"/>
        <v>0</v>
      </c>
      <c r="DA118" s="514">
        <f t="shared" si="564"/>
        <v>0</v>
      </c>
      <c r="DB118" s="514">
        <f t="shared" si="565"/>
        <v>0</v>
      </c>
      <c r="DC118" s="514">
        <f t="shared" si="566"/>
        <v>0</v>
      </c>
      <c r="DD118" s="514">
        <f t="shared" si="567"/>
        <v>0</v>
      </c>
      <c r="DE118" s="501"/>
      <c r="DF118" s="570">
        <f t="shared" si="568"/>
        <v>1</v>
      </c>
      <c r="DG118" s="570">
        <f t="shared" si="569"/>
        <v>0</v>
      </c>
      <c r="DH118" s="570">
        <f t="shared" si="570"/>
        <v>0</v>
      </c>
      <c r="DI118" s="505"/>
      <c r="DJ118" s="514">
        <f>COUNTIF('MEP | Drawing List'!$G:$G,"MEP-T2V-6V-9")</f>
        <v>31</v>
      </c>
      <c r="DK118" s="506">
        <f>COUNTIFS('MEP | Drawing List'!$G:$G,"MEP-T2V-6V-9",'MEP | Drawing List'!$I:$I,1)</f>
        <v>31</v>
      </c>
      <c r="DL118" s="506">
        <f>COUNTIFS('MEP | Drawing List'!$G:$G,"MEP-T2V-6V-9",'MEP | Drawing List'!$K:$K,1)</f>
        <v>0</v>
      </c>
      <c r="DM118" s="514">
        <f>COUNTIFS('MEP | Drawing List'!$G:$G,"MEP-T2V-6V-9",'MEP | Drawing List'!L:L,1)</f>
        <v>0</v>
      </c>
      <c r="DN118" s="514">
        <f>COUNTIFS('MEP | Drawing List'!$G:$G,"MEP-T2V-6V-9",'MEP | Drawing List'!M:M,1)</f>
        <v>0</v>
      </c>
      <c r="DO118" s="514">
        <f>COUNTIFS('MEP | Drawing List'!$G:$G,"MEP-T2V-6V-9",'MEP | Drawing List'!N:N,1)</f>
        <v>0</v>
      </c>
      <c r="DP118" s="514">
        <f>COUNTIFS('MEP | Drawing List'!$G:$G,"MEP-T2V-6V-9",'MEP | Drawing List'!O:O,1)</f>
        <v>0</v>
      </c>
      <c r="DQ118" s="501"/>
      <c r="DR118" s="506">
        <f>COUNTIFS('MEP | Drawing List'!$G:$G,"MEP-T2V-6V-9",'MEP | Drawing List'!$P:$P,1)</f>
        <v>0</v>
      </c>
      <c r="DS118" s="514">
        <f>COUNTIFS('MEP | Drawing List'!$G:$G,"MEP-T2V-6V-9",'MEP | Drawing List'!Q:Q,1)</f>
        <v>0</v>
      </c>
      <c r="DT118" s="514">
        <f>COUNTIFS('MEP | Drawing List'!$G:$G,"MEP-T2V-6V-9",'MEP | Drawing List'!R:R,1)</f>
        <v>0</v>
      </c>
      <c r="DU118" s="514">
        <f>COUNTIFS('MEP | Drawing List'!$G:$G,"MEP-T2V-6V-9",'MEP | Drawing List'!S:S,1)</f>
        <v>0</v>
      </c>
      <c r="DV118" s="514">
        <f>COUNTIFS('MEP | Drawing List'!$G:$G,"MEP-T2V-6V-9",'MEP | Drawing List'!T:T,1)</f>
        <v>0</v>
      </c>
      <c r="DW118" s="508"/>
      <c r="DX118" s="508"/>
      <c r="DY118" s="511">
        <v>0</v>
      </c>
      <c r="DZ118" s="508"/>
      <c r="EA118" s="509">
        <v>0</v>
      </c>
      <c r="EB118" s="510">
        <f t="shared" si="237"/>
        <v>0</v>
      </c>
      <c r="EC118" s="515"/>
      <c r="ED118" s="515"/>
      <c r="EE118" s="501"/>
      <c r="EF118" s="501"/>
      <c r="EG118" s="501"/>
      <c r="EH118" s="501"/>
      <c r="EI118" s="501"/>
      <c r="EJ118" s="515"/>
      <c r="EK118" s="501"/>
      <c r="EL118" s="501"/>
      <c r="EM118" s="501"/>
      <c r="EN118" s="501"/>
      <c r="EO118" s="501"/>
      <c r="EP118" s="52"/>
      <c r="EQ118" s="52"/>
      <c r="ER118" s="52"/>
      <c r="ES118" s="516"/>
      <c r="ET118" s="514">
        <f>COUNTIF('LS | Drawing List'!$G:$G,"LS-T6V-9")</f>
        <v>0</v>
      </c>
      <c r="EU118" s="506">
        <f>COUNTIFS('LS | Drawing List'!$G:$G,"LS-T6V-9",'LS | Drawing List'!$I:$I,1)</f>
        <v>0</v>
      </c>
      <c r="EV118" s="506">
        <f>COUNTIFS('LS | Drawing List'!$G:$G,"LS-T6V-9",'LS | Drawing List'!$K:$K,1)</f>
        <v>0</v>
      </c>
      <c r="EW118" s="514">
        <f>COUNTIFS('LS | Drawing List'!$G:$G,"LS-T6V-9",'LS | Drawing List'!L:L,1)</f>
        <v>0</v>
      </c>
      <c r="EX118" s="514">
        <f>COUNTIFS('LS | Drawing List'!$G:$G,"LS-T6V-9",'LS | Drawing List'!M:M,1)</f>
        <v>0</v>
      </c>
      <c r="EY118" s="514">
        <f>COUNTIFS('LS | Drawing List'!$G:$G,"LS-T6V-9",'LS | Drawing List'!N:N,1)</f>
        <v>0</v>
      </c>
      <c r="EZ118" s="514">
        <f>COUNTIFS('LS | Drawing List'!$G:$G,"LS-T6V-9",'LS | Drawing List'!O:O,1)</f>
        <v>0</v>
      </c>
      <c r="FA118" s="515"/>
      <c r="FB118" s="506">
        <f>COUNTIFS('LS | Drawing List'!$G:$G,"LS-T6V-9",'LS | Drawing List'!$P:$P,1)</f>
        <v>0</v>
      </c>
      <c r="FC118" s="514">
        <f>COUNTIFS('LS | Drawing List'!$G:$G,"LS-T6V-9",'LS | Drawing List'!Q:Q,1)</f>
        <v>0</v>
      </c>
      <c r="FD118" s="514">
        <f>COUNTIFS('LS | Drawing List'!$G:$G,"LS-T6V-9",'LS | Drawing List'!R:R,1)</f>
        <v>0</v>
      </c>
      <c r="FE118" s="514">
        <f>COUNTIFS('LS | Drawing List'!$G:$G,"LS-T6V-9",'LS | Drawing List'!S:S,1)</f>
        <v>0</v>
      </c>
      <c r="FF118" s="514">
        <f>COUNTIFS('LS | Drawing List'!$G:$G,"LS-T6V-9",'LS | Drawing List'!T:T,1)</f>
        <v>0</v>
      </c>
    </row>
    <row r="119" spans="2:162" ht="14.25" outlineLevel="2">
      <c r="B119" s="564" t="s">
        <v>126</v>
      </c>
      <c r="C119" s="565">
        <v>10</v>
      </c>
      <c r="D119" s="566" t="s">
        <v>71</v>
      </c>
      <c r="F119" s="500">
        <f t="shared" si="522"/>
        <v>0.22163200000000005</v>
      </c>
      <c r="G119" s="500">
        <f t="shared" si="523"/>
        <v>0.22163200000000005</v>
      </c>
      <c r="H119" s="514">
        <f t="shared" si="524"/>
        <v>0</v>
      </c>
      <c r="I119" s="514">
        <f t="shared" si="496"/>
        <v>0</v>
      </c>
      <c r="J119" s="514">
        <f t="shared" si="497"/>
        <v>0</v>
      </c>
      <c r="K119" s="514">
        <f t="shared" si="498"/>
        <v>0</v>
      </c>
      <c r="L119" s="514">
        <f t="shared" si="499"/>
        <v>0</v>
      </c>
      <c r="M119" s="567">
        <f t="shared" si="500"/>
        <v>0</v>
      </c>
      <c r="N119" s="568"/>
      <c r="O119" s="514">
        <f t="shared" si="501"/>
        <v>0</v>
      </c>
      <c r="P119" s="514">
        <f t="shared" si="502"/>
        <v>0</v>
      </c>
      <c r="Q119" s="514">
        <f t="shared" si="503"/>
        <v>0</v>
      </c>
      <c r="R119" s="514">
        <f t="shared" si="504"/>
        <v>0</v>
      </c>
      <c r="S119" s="514">
        <f t="shared" si="505"/>
        <v>0</v>
      </c>
      <c r="U119" s="569">
        <v>0.1</v>
      </c>
      <c r="V119" s="503"/>
      <c r="W119" s="500">
        <f t="shared" si="525"/>
        <v>0.22163200000000005</v>
      </c>
      <c r="X119" s="500">
        <f t="shared" si="234"/>
        <v>0.22163200000000005</v>
      </c>
      <c r="Y119" s="514">
        <f t="shared" si="526"/>
        <v>0.22163200000000005</v>
      </c>
      <c r="Z119" s="567">
        <f t="shared" si="527"/>
        <v>0</v>
      </c>
      <c r="AA119" s="567">
        <f t="shared" si="528"/>
        <v>0</v>
      </c>
      <c r="AB119" s="514">
        <f t="shared" si="529"/>
        <v>0</v>
      </c>
      <c r="AC119" s="514">
        <f t="shared" si="530"/>
        <v>0</v>
      </c>
      <c r="AD119" s="567">
        <f t="shared" si="531"/>
        <v>0</v>
      </c>
      <c r="AE119" s="568"/>
      <c r="AF119" s="514">
        <f t="shared" si="532"/>
        <v>0</v>
      </c>
      <c r="AG119" s="514">
        <f t="shared" si="533"/>
        <v>0</v>
      </c>
      <c r="AH119" s="514">
        <f t="shared" si="534"/>
        <v>0</v>
      </c>
      <c r="AI119" s="514">
        <f t="shared" si="535"/>
        <v>0</v>
      </c>
      <c r="AJ119" s="514">
        <f t="shared" si="536"/>
        <v>0</v>
      </c>
      <c r="AK119" s="501"/>
      <c r="AL119" s="570">
        <f t="shared" si="537"/>
        <v>1</v>
      </c>
      <c r="AM119" s="570">
        <f t="shared" si="538"/>
        <v>0</v>
      </c>
      <c r="AN119" s="570">
        <f t="shared" si="539"/>
        <v>0</v>
      </c>
      <c r="AO119" s="518"/>
      <c r="AP119" s="514">
        <f>COUNTIF('AR | Drawing List'!$G:$G,"AR-T6V-10")</f>
        <v>2</v>
      </c>
      <c r="AQ119" s="506">
        <f>COUNTIFS('AR | Drawing List'!$G:$G,"AR-T6V-10",'AR | Drawing List'!$I:$I,1)</f>
        <v>2</v>
      </c>
      <c r="AR119" s="506">
        <f t="shared" si="238"/>
        <v>0</v>
      </c>
      <c r="AS119" s="506">
        <f>COUNTIFS('AR | Drawing List'!$G:$G,"AR-T6V-10",'AR | Drawing List'!M:M,1)</f>
        <v>0</v>
      </c>
      <c r="AT119" s="506">
        <f>COUNTIFS('AR | Drawing List'!$G:$G,"AR-T6V-10",'AR | Drawing List'!N:N,1)</f>
        <v>0</v>
      </c>
      <c r="AU119" s="506">
        <f>COUNTIFS('AR | Drawing List'!$G:$G,"AR-T6V-10",'AR | Drawing List'!O:O,1)</f>
        <v>0</v>
      </c>
      <c r="AV119" s="506">
        <f>COUNTIFS('AR | Drawing List'!$G:$G,"AR-T6V-10",'AR | Drawing List'!P:P,1)</f>
        <v>0</v>
      </c>
      <c r="AW119" s="466"/>
      <c r="AX119" s="506">
        <f t="shared" si="540"/>
        <v>0</v>
      </c>
      <c r="AY119" s="506">
        <f>COUNTIFS('AR | Drawing List'!$G:$G,"AR-T6V-10",'AR | Drawing List'!R:R,1)</f>
        <v>0</v>
      </c>
      <c r="AZ119" s="506">
        <f>COUNTIFS('AR | Drawing List'!$G:$G,"AR-T6V-10",'AR | Drawing List'!S:S,1)</f>
        <v>0</v>
      </c>
      <c r="BA119" s="506">
        <f>COUNTIFS('AR | Drawing List'!$G:$G,"AR-T6V-10",'AR | Drawing List'!T:T,1)</f>
        <v>0</v>
      </c>
      <c r="BB119" s="506">
        <f>COUNTIFS('AR | Drawing List'!$G:$G,"AR-T6V-10",'AR | Drawing List'!U:U,1)</f>
        <v>0</v>
      </c>
      <c r="BC119" s="466"/>
      <c r="BD119" s="466"/>
      <c r="BE119" s="576">
        <v>0</v>
      </c>
      <c r="BF119" s="508"/>
      <c r="BG119" s="506">
        <f t="shared" si="541"/>
        <v>0</v>
      </c>
      <c r="BH119" s="510">
        <f t="shared" si="235"/>
        <v>0</v>
      </c>
      <c r="BI119" s="514">
        <f t="shared" si="542"/>
        <v>0</v>
      </c>
      <c r="BJ119" s="514">
        <f t="shared" si="543"/>
        <v>0</v>
      </c>
      <c r="BK119" s="514">
        <f t="shared" si="544"/>
        <v>0</v>
      </c>
      <c r="BL119" s="514">
        <f t="shared" si="545"/>
        <v>0</v>
      </c>
      <c r="BM119" s="514">
        <f t="shared" si="546"/>
        <v>0</v>
      </c>
      <c r="BN119" s="514">
        <f t="shared" si="547"/>
        <v>0</v>
      </c>
      <c r="BO119" s="501"/>
      <c r="BP119" s="514">
        <f t="shared" si="548"/>
        <v>0</v>
      </c>
      <c r="BQ119" s="514">
        <f t="shared" si="549"/>
        <v>0</v>
      </c>
      <c r="BR119" s="514">
        <f t="shared" si="550"/>
        <v>0</v>
      </c>
      <c r="BS119" s="514">
        <f t="shared" si="551"/>
        <v>0</v>
      </c>
      <c r="BT119" s="514">
        <f t="shared" si="552"/>
        <v>0</v>
      </c>
      <c r="BU119" s="501"/>
      <c r="BV119" s="571">
        <f t="shared" si="553"/>
        <v>0</v>
      </c>
      <c r="BW119" s="571">
        <f t="shared" si="554"/>
        <v>0</v>
      </c>
      <c r="BX119" s="571">
        <f t="shared" si="555"/>
        <v>0</v>
      </c>
      <c r="BY119" s="505"/>
      <c r="BZ119" s="514">
        <f>COUNTIF('ST | Drawing List'!$G:$G,"ST-T6V-10")</f>
        <v>0</v>
      </c>
      <c r="CA119" s="506">
        <f>COUNTIFS('ST | Drawing List'!$G:$G,"ST-T6V-10",'ST | Drawing List'!$I:$I,1)</f>
        <v>0</v>
      </c>
      <c r="CB119" s="572">
        <f>COUNTIFS('ST | Drawing List'!$G:$G,"ST-T6V-10",'ST | Drawing List'!$K:$K,1)</f>
        <v>0</v>
      </c>
      <c r="CC119" s="506">
        <f>COUNTIFS('ST | Drawing List'!$G:$G,"ST-T6V-10",'ST | Drawing List'!L:L,1)</f>
        <v>0</v>
      </c>
      <c r="CD119" s="506">
        <f>COUNTIFS('ST | Drawing List'!$G:$G,"ST-T6V-10",'ST | Drawing List'!M:M,1)</f>
        <v>0</v>
      </c>
      <c r="CE119" s="506">
        <f>COUNTIFS('ST | Drawing List'!$G:$G,"ST-T6V-10",'ST | Drawing List'!N:N,1)</f>
        <v>0</v>
      </c>
      <c r="CF119" s="506">
        <f>COUNTIFS('ST | Drawing List'!$G:$G,"ST-T6V-10",'ST | Drawing List'!O:O,1)</f>
        <v>0</v>
      </c>
      <c r="CG119" s="471"/>
      <c r="CH119" s="572">
        <f>COUNTIFS('ST | Drawing List'!$G:$G,"ST-T6V-10",'ST | Drawing List'!$P:$P,1)</f>
        <v>0</v>
      </c>
      <c r="CI119" s="506">
        <f>COUNTIFS('ST | Drawing List'!$G:$G,"ST-T6V-10",'ST | Drawing List'!Q:Q,1)</f>
        <v>0</v>
      </c>
      <c r="CJ119" s="506">
        <f>COUNTIFS('ST | Drawing List'!$G:$G,"ST-T6V-10",'ST | Drawing List'!R:R,1)</f>
        <v>0</v>
      </c>
      <c r="CK119" s="506">
        <f>COUNTIFS('ST | Drawing List'!$G:$G,"ST-T6V-10",'ST | Drawing List'!S:S,1)</f>
        <v>0</v>
      </c>
      <c r="CL119" s="506">
        <f>COUNTIFS('ST | Drawing List'!$G:$G,"ST-T6V-10",'ST | Drawing List'!T:T,1)</f>
        <v>0</v>
      </c>
      <c r="CM119" s="508"/>
      <c r="CN119" s="508"/>
      <c r="CO119" s="576">
        <v>0</v>
      </c>
      <c r="CP119" s="508"/>
      <c r="CQ119" s="506">
        <f t="shared" si="556"/>
        <v>0</v>
      </c>
      <c r="CR119" s="510">
        <f t="shared" si="236"/>
        <v>0</v>
      </c>
      <c r="CS119" s="514">
        <f t="shared" si="557"/>
        <v>0</v>
      </c>
      <c r="CT119" s="514">
        <f t="shared" si="558"/>
        <v>0</v>
      </c>
      <c r="CU119" s="514">
        <f t="shared" si="559"/>
        <v>0</v>
      </c>
      <c r="CV119" s="514">
        <f t="shared" si="560"/>
        <v>0</v>
      </c>
      <c r="CW119" s="514">
        <f t="shared" si="561"/>
        <v>0</v>
      </c>
      <c r="CX119" s="514">
        <f t="shared" si="562"/>
        <v>0</v>
      </c>
      <c r="CY119" s="501"/>
      <c r="CZ119" s="514">
        <f t="shared" si="563"/>
        <v>0</v>
      </c>
      <c r="DA119" s="514">
        <f t="shared" si="564"/>
        <v>0</v>
      </c>
      <c r="DB119" s="514">
        <f t="shared" si="565"/>
        <v>0</v>
      </c>
      <c r="DC119" s="514">
        <f t="shared" si="566"/>
        <v>0</v>
      </c>
      <c r="DD119" s="514">
        <f t="shared" si="567"/>
        <v>0</v>
      </c>
      <c r="DE119" s="501"/>
      <c r="DF119" s="570">
        <f t="shared" si="568"/>
        <v>0</v>
      </c>
      <c r="DG119" s="570">
        <f t="shared" si="569"/>
        <v>0</v>
      </c>
      <c r="DH119" s="570">
        <f t="shared" si="570"/>
        <v>0</v>
      </c>
      <c r="DI119" s="505"/>
      <c r="DJ119" s="514">
        <f>COUNTIF('MEP | Drawing List'!$G:$G,"MEP-T2V-6V-10")</f>
        <v>0</v>
      </c>
      <c r="DK119" s="506">
        <f>COUNTIFS('MEP | Drawing List'!$G:$G,"MEP-T2V-6V-10",'MEP | Drawing List'!$I:$I,1)</f>
        <v>0</v>
      </c>
      <c r="DL119" s="506">
        <f>COUNTIFS('MEP | Drawing List'!$G:$G,"MEP-T2V-6V-10",'MEP | Drawing List'!$K:$K,1)</f>
        <v>0</v>
      </c>
      <c r="DM119" s="514">
        <f>COUNTIFS('MEP | Drawing List'!$G:$G,"MEP-T2V-6V-10",'MEP | Drawing List'!L:L,1)</f>
        <v>0</v>
      </c>
      <c r="DN119" s="514">
        <f>COUNTIFS('MEP | Drawing List'!$G:$G,"MEP-T2V-6V-10",'MEP | Drawing List'!M:M,1)</f>
        <v>0</v>
      </c>
      <c r="DO119" s="514">
        <f>COUNTIFS('MEP | Drawing List'!$G:$G,"MEP-T2V-6V-10",'MEP | Drawing List'!N:N,1)</f>
        <v>0</v>
      </c>
      <c r="DP119" s="514">
        <f>COUNTIFS('MEP | Drawing List'!$G:$G,"MEP-T2V-6V-10",'MEP | Drawing List'!O:O,1)</f>
        <v>0</v>
      </c>
      <c r="DQ119" s="501"/>
      <c r="DR119" s="506">
        <f>COUNTIFS('MEP | Drawing List'!$G:$G,"MEP-T2V-6V-10",'MEP | Drawing List'!$P:$P,1)</f>
        <v>0</v>
      </c>
      <c r="DS119" s="514">
        <f>COUNTIFS('MEP | Drawing List'!$G:$G,"MEP-T2V-6V-10",'MEP | Drawing List'!Q:Q,1)</f>
        <v>0</v>
      </c>
      <c r="DT119" s="514">
        <f>COUNTIFS('MEP | Drawing List'!$G:$G,"MEP-T2V-6V-10",'MEP | Drawing List'!R:R,1)</f>
        <v>0</v>
      </c>
      <c r="DU119" s="514">
        <f>COUNTIFS('MEP | Drawing List'!$G:$G,"MEP-T2V-6V-10",'MEP | Drawing List'!S:S,1)</f>
        <v>0</v>
      </c>
      <c r="DV119" s="514">
        <f>COUNTIFS('MEP | Drawing List'!$G:$G,"MEP-T2V-6V-10",'MEP | Drawing List'!T:T,1)</f>
        <v>0</v>
      </c>
      <c r="DW119" s="508"/>
      <c r="DX119" s="508"/>
      <c r="DY119" s="511">
        <v>0</v>
      </c>
      <c r="DZ119" s="508"/>
      <c r="EA119" s="509">
        <v>0</v>
      </c>
      <c r="EB119" s="510">
        <f t="shared" si="237"/>
        <v>0</v>
      </c>
      <c r="EC119" s="515"/>
      <c r="ED119" s="515"/>
      <c r="EE119" s="501"/>
      <c r="EF119" s="501"/>
      <c r="EG119" s="501"/>
      <c r="EH119" s="501"/>
      <c r="EI119" s="501"/>
      <c r="EJ119" s="515"/>
      <c r="EK119" s="501"/>
      <c r="EL119" s="501"/>
      <c r="EM119" s="501"/>
      <c r="EN119" s="501"/>
      <c r="EO119" s="501"/>
      <c r="EP119" s="52"/>
      <c r="EQ119" s="52"/>
      <c r="ER119" s="52"/>
      <c r="ES119" s="516"/>
      <c r="ET119" s="514">
        <f>COUNTIF('LS | Drawing List'!$G:$G,"LS-T6V-10")</f>
        <v>0</v>
      </c>
      <c r="EU119" s="506">
        <f>COUNTIFS('LS | Drawing List'!$G:$G,"LS-T6V-10",'LS | Drawing List'!$I:$I,1)</f>
        <v>0</v>
      </c>
      <c r="EV119" s="506">
        <f>COUNTIFS('LS | Drawing List'!$G:$G,"LS-T6V-10",'LS | Drawing List'!$K:$K,1)</f>
        <v>0</v>
      </c>
      <c r="EW119" s="514">
        <f>COUNTIFS('LS | Drawing List'!$G:$G,"LS-T6V-10",'LS | Drawing List'!L:L,1)</f>
        <v>0</v>
      </c>
      <c r="EX119" s="514">
        <f>COUNTIFS('LS | Drawing List'!$G:$G,"LS-T6V-10",'LS | Drawing List'!M:M,1)</f>
        <v>0</v>
      </c>
      <c r="EY119" s="514">
        <f>COUNTIFS('LS | Drawing List'!$G:$G,"LS-T6V-10",'LS | Drawing List'!N:N,1)</f>
        <v>0</v>
      </c>
      <c r="EZ119" s="514">
        <f>COUNTIFS('LS | Drawing List'!$G:$G,"LS-T6V-10",'LS | Drawing List'!O:O,1)</f>
        <v>0</v>
      </c>
      <c r="FA119" s="515"/>
      <c r="FB119" s="506">
        <f>COUNTIFS('LS | Drawing List'!$G:$G,"LS-T6V-10",'LS | Drawing List'!$P:$P,1)</f>
        <v>0</v>
      </c>
      <c r="FC119" s="514">
        <f>COUNTIFS('LS | Drawing List'!$G:$G,"LS-T6V-10",'LS | Drawing List'!Q:Q,1)</f>
        <v>0</v>
      </c>
      <c r="FD119" s="514">
        <f>COUNTIFS('LS | Drawing List'!$G:$G,"LS-T6V-10",'LS | Drawing List'!R:R,1)</f>
        <v>0</v>
      </c>
      <c r="FE119" s="514">
        <f>COUNTIFS('LS | Drawing List'!$G:$G,"LS-T6V-10",'LS | Drawing List'!S:S,1)</f>
        <v>0</v>
      </c>
      <c r="FF119" s="514">
        <f>COUNTIFS('LS | Drawing List'!$G:$G,"LS-T6V-10",'LS | Drawing List'!T:T,1)</f>
        <v>0</v>
      </c>
    </row>
    <row r="120" spans="2:162" ht="3" customHeight="1" outlineLevel="1">
      <c r="B120" s="594"/>
      <c r="C120" s="595"/>
      <c r="D120" s="566"/>
      <c r="F120" s="499"/>
      <c r="G120" s="500"/>
      <c r="H120" s="501"/>
      <c r="I120" s="501"/>
      <c r="J120" s="501"/>
      <c r="K120" s="501"/>
      <c r="L120" s="501"/>
      <c r="M120" s="501"/>
      <c r="N120" s="501"/>
      <c r="O120" s="501"/>
      <c r="P120" s="501"/>
      <c r="Q120" s="501"/>
      <c r="R120" s="501"/>
      <c r="S120" s="501"/>
      <c r="U120" s="569"/>
      <c r="V120" s="503"/>
      <c r="W120" s="499"/>
      <c r="X120" s="500">
        <f t="shared" si="234"/>
        <v>0</v>
      </c>
      <c r="Y120" s="501"/>
      <c r="Z120" s="501"/>
      <c r="AA120" s="501"/>
      <c r="AB120" s="501"/>
      <c r="AC120" s="501"/>
      <c r="AD120" s="501"/>
      <c r="AE120" s="501"/>
      <c r="AF120" s="501"/>
      <c r="AG120" s="501"/>
      <c r="AH120" s="501"/>
      <c r="AI120" s="501"/>
      <c r="AJ120" s="501"/>
      <c r="AK120" s="501"/>
      <c r="AL120" s="513"/>
      <c r="AM120" s="513"/>
      <c r="AN120" s="513"/>
      <c r="AO120" s="505"/>
      <c r="AP120" s="551"/>
      <c r="AQ120" s="466"/>
      <c r="AR120" s="506">
        <f t="shared" si="238"/>
        <v>0</v>
      </c>
      <c r="AS120" s="466"/>
      <c r="AT120" s="466"/>
      <c r="AU120" s="466"/>
      <c r="AV120" s="466"/>
      <c r="AW120" s="466"/>
      <c r="AX120" s="466"/>
      <c r="AY120" s="466"/>
      <c r="AZ120" s="466"/>
      <c r="BA120" s="466"/>
      <c r="BB120" s="466"/>
      <c r="BC120" s="466"/>
      <c r="BD120" s="466"/>
      <c r="BE120" s="511"/>
      <c r="BF120" s="508"/>
      <c r="BG120" s="509"/>
      <c r="BH120" s="510">
        <f t="shared" si="235"/>
        <v>0</v>
      </c>
      <c r="BI120" s="501"/>
      <c r="BJ120" s="501"/>
      <c r="BK120" s="501"/>
      <c r="BL120" s="501"/>
      <c r="BM120" s="501"/>
      <c r="BN120" s="501"/>
      <c r="BO120" s="501"/>
      <c r="BP120" s="501"/>
      <c r="BQ120" s="501"/>
      <c r="BR120" s="501"/>
      <c r="BS120" s="501"/>
      <c r="BT120" s="501"/>
      <c r="BU120" s="501"/>
      <c r="BV120" s="511"/>
      <c r="BW120" s="511"/>
      <c r="BX120" s="511"/>
      <c r="BY120" s="505"/>
      <c r="BZ120" s="552"/>
      <c r="CA120" s="471"/>
      <c r="CB120" s="548"/>
      <c r="CC120" s="512"/>
      <c r="CD120" s="512"/>
      <c r="CE120" s="512"/>
      <c r="CF120" s="512"/>
      <c r="CG120" s="512"/>
      <c r="CH120" s="548"/>
      <c r="CI120" s="512"/>
      <c r="CJ120" s="512"/>
      <c r="CK120" s="512"/>
      <c r="CL120" s="512"/>
      <c r="CM120" s="508"/>
      <c r="CN120" s="508"/>
      <c r="CO120" s="511"/>
      <c r="CP120" s="508"/>
      <c r="CQ120" s="509"/>
      <c r="CR120" s="510">
        <f t="shared" si="236"/>
        <v>0</v>
      </c>
      <c r="CS120" s="501"/>
      <c r="CT120" s="501"/>
      <c r="CU120" s="501"/>
      <c r="CV120" s="501"/>
      <c r="CW120" s="501"/>
      <c r="CX120" s="501"/>
      <c r="CY120" s="501"/>
      <c r="CZ120" s="501"/>
      <c r="DA120" s="501"/>
      <c r="DB120" s="501"/>
      <c r="DC120" s="501"/>
      <c r="DD120" s="501"/>
      <c r="DE120" s="501"/>
      <c r="DF120" s="513"/>
      <c r="DG120" s="513"/>
      <c r="DH120" s="513"/>
      <c r="DI120" s="505"/>
      <c r="DJ120" s="551"/>
      <c r="DK120" s="466"/>
      <c r="DL120" s="466"/>
      <c r="DM120" s="501"/>
      <c r="DN120" s="501"/>
      <c r="DO120" s="501"/>
      <c r="DP120" s="501"/>
      <c r="DQ120" s="501"/>
      <c r="DR120" s="466"/>
      <c r="DS120" s="501"/>
      <c r="DT120" s="501"/>
      <c r="DU120" s="501"/>
      <c r="DV120" s="501"/>
      <c r="DW120" s="508"/>
      <c r="DX120" s="508"/>
      <c r="DY120" s="511"/>
      <c r="DZ120" s="508"/>
      <c r="EA120" s="509"/>
      <c r="EB120" s="510">
        <f t="shared" si="237"/>
        <v>0</v>
      </c>
      <c r="EC120" s="515"/>
      <c r="ED120" s="515"/>
      <c r="EE120" s="515"/>
      <c r="EF120" s="515"/>
      <c r="EG120" s="515"/>
      <c r="EH120" s="515"/>
      <c r="EI120" s="515"/>
      <c r="EJ120" s="515"/>
      <c r="EK120" s="515"/>
      <c r="EL120" s="515"/>
      <c r="EM120" s="515"/>
      <c r="EN120" s="515"/>
      <c r="EO120" s="515"/>
      <c r="EP120" s="52"/>
      <c r="EQ120" s="52"/>
      <c r="ER120" s="52"/>
      <c r="ES120" s="516"/>
      <c r="EU120" s="476"/>
      <c r="EV120" s="476"/>
      <c r="EW120" s="515"/>
      <c r="EX120" s="515"/>
      <c r="EY120" s="515"/>
      <c r="EZ120" s="515"/>
      <c r="FA120" s="515"/>
      <c r="FB120" s="476"/>
      <c r="FC120" s="515"/>
      <c r="FD120" s="515"/>
      <c r="FE120" s="515"/>
      <c r="FF120" s="515"/>
    </row>
    <row r="121" spans="2:162" ht="14.25" outlineLevel="1">
      <c r="B121" s="477"/>
      <c r="C121" s="559">
        <v>7</v>
      </c>
      <c r="D121" s="560" t="s">
        <v>127</v>
      </c>
      <c r="E121" s="479"/>
      <c r="F121" s="480">
        <f>W121+BG121+CQ121+EA121</f>
        <v>0.9706158399999999</v>
      </c>
      <c r="G121" s="480">
        <f>X121+BH121+CR121+EB121</f>
        <v>0.97061584000000001</v>
      </c>
      <c r="H121" s="481">
        <f>F121-G121</f>
        <v>0</v>
      </c>
      <c r="I121" s="480">
        <f t="shared" ref="I121:I130" si="571">Z121+BJ121+CT121+ED121</f>
        <v>0</v>
      </c>
      <c r="J121" s="480">
        <f t="shared" ref="J121:J130" si="572">AA121+BK121+CU121+EE121</f>
        <v>0</v>
      </c>
      <c r="K121" s="480">
        <f t="shared" ref="K121:K130" si="573">AB121+BL121+CV121+EF121</f>
        <v>0</v>
      </c>
      <c r="L121" s="480">
        <f t="shared" ref="L121:L130" si="574">AC121+BM121+CW121+EG121</f>
        <v>0</v>
      </c>
      <c r="M121" s="480">
        <f t="shared" ref="M121:M130" si="575">AD121+BN121+CX121+EH121</f>
        <v>0</v>
      </c>
      <c r="N121" s="482"/>
      <c r="O121" s="480">
        <f t="shared" ref="O121:O130" si="576">AF121+BP121+CZ121+EJ121</f>
        <v>0</v>
      </c>
      <c r="P121" s="480">
        <f t="shared" ref="P121:P130" si="577">AG121+BQ121+DA121+EK121</f>
        <v>0</v>
      </c>
      <c r="Q121" s="480">
        <f t="shared" ref="Q121:Q130" si="578">AH121+BR121+DB121+EL121</f>
        <v>0</v>
      </c>
      <c r="R121" s="480">
        <f t="shared" ref="R121:R130" si="579">AI121+BS121+DC121+EM121</f>
        <v>0</v>
      </c>
      <c r="S121" s="480">
        <f t="shared" ref="S121:S130" si="580">AJ121+BT121+DD121+EN121</f>
        <v>0</v>
      </c>
      <c r="T121" s="479"/>
      <c r="U121" s="483">
        <f>SUM(U122:U130)</f>
        <v>0.49999999999999994</v>
      </c>
      <c r="V121" s="483"/>
      <c r="W121" s="480">
        <f>U121*(5%*'BOQ COST'!E13*0.36)*1</f>
        <v>0.62334000000000001</v>
      </c>
      <c r="X121" s="480">
        <f t="shared" si="234"/>
        <v>0.62334000000000012</v>
      </c>
      <c r="Y121" s="481">
        <f t="shared" ref="Y121:AD121" si="581">SUM(Y122:Y130)</f>
        <v>0.62334000000000012</v>
      </c>
      <c r="Z121" s="481">
        <f t="shared" si="581"/>
        <v>0</v>
      </c>
      <c r="AA121" s="481">
        <f t="shared" si="581"/>
        <v>0</v>
      </c>
      <c r="AB121" s="481">
        <f t="shared" si="581"/>
        <v>0</v>
      </c>
      <c r="AC121" s="481">
        <f t="shared" si="581"/>
        <v>0</v>
      </c>
      <c r="AD121" s="481">
        <f t="shared" si="581"/>
        <v>0</v>
      </c>
      <c r="AE121" s="482"/>
      <c r="AF121" s="481">
        <f t="shared" ref="AF121:AJ121" si="582">SUM(AF122:AF130)</f>
        <v>0</v>
      </c>
      <c r="AG121" s="481">
        <f t="shared" si="582"/>
        <v>0</v>
      </c>
      <c r="AH121" s="481">
        <f t="shared" si="582"/>
        <v>0</v>
      </c>
      <c r="AI121" s="481">
        <f t="shared" si="582"/>
        <v>0</v>
      </c>
      <c r="AJ121" s="481">
        <f t="shared" si="582"/>
        <v>0</v>
      </c>
      <c r="AK121" s="482"/>
      <c r="AL121" s="492"/>
      <c r="AM121" s="492"/>
      <c r="AN121" s="492"/>
      <c r="AO121" s="481">
        <f>SUM(AO122:AO130)</f>
        <v>0</v>
      </c>
      <c r="AP121" s="481">
        <f>SUM(AP122:AP130)</f>
        <v>44</v>
      </c>
      <c r="AQ121" s="481">
        <f>SUM(AQ122:AQ130)</f>
        <v>44</v>
      </c>
      <c r="AR121" s="481">
        <f t="shared" si="238"/>
        <v>0</v>
      </c>
      <c r="AS121" s="481">
        <f t="shared" ref="AS121:BB121" si="583">SUM(AS122:AS130)</f>
        <v>0</v>
      </c>
      <c r="AT121" s="481">
        <f t="shared" si="583"/>
        <v>0</v>
      </c>
      <c r="AU121" s="481">
        <f t="shared" si="583"/>
        <v>0</v>
      </c>
      <c r="AV121" s="481">
        <f t="shared" si="583"/>
        <v>0</v>
      </c>
      <c r="AW121" s="482"/>
      <c r="AX121" s="481">
        <f t="shared" si="583"/>
        <v>0</v>
      </c>
      <c r="AY121" s="481">
        <f t="shared" si="583"/>
        <v>0</v>
      </c>
      <c r="AZ121" s="481">
        <f t="shared" si="583"/>
        <v>0</v>
      </c>
      <c r="BA121" s="481">
        <f t="shared" si="583"/>
        <v>0</v>
      </c>
      <c r="BB121" s="481">
        <f t="shared" si="583"/>
        <v>0</v>
      </c>
      <c r="BC121" s="487"/>
      <c r="BD121" s="487"/>
      <c r="BE121" s="483">
        <f>SUM(BE122:BE130)</f>
        <v>0.54999999999999993</v>
      </c>
      <c r="BF121" s="483"/>
      <c r="BG121" s="480">
        <f>BE121*(3%*'BOQ COST'!$F$13*0.36)*1</f>
        <v>0.28586843999999989</v>
      </c>
      <c r="BH121" s="480">
        <f t="shared" si="235"/>
        <v>0.28586843999999995</v>
      </c>
      <c r="BI121" s="481">
        <f t="shared" ref="BI121:BN121" si="584">SUM(BI122:BI130)</f>
        <v>0.28586843999999995</v>
      </c>
      <c r="BJ121" s="481">
        <f t="shared" si="584"/>
        <v>0</v>
      </c>
      <c r="BK121" s="481">
        <f t="shared" si="584"/>
        <v>0</v>
      </c>
      <c r="BL121" s="481">
        <f t="shared" si="584"/>
        <v>0</v>
      </c>
      <c r="BM121" s="481">
        <f t="shared" si="584"/>
        <v>0</v>
      </c>
      <c r="BN121" s="481">
        <f t="shared" si="584"/>
        <v>0</v>
      </c>
      <c r="BO121" s="482"/>
      <c r="BP121" s="481">
        <f t="shared" ref="BP121:BT121" si="585">SUM(BP122:BP130)</f>
        <v>0</v>
      </c>
      <c r="BQ121" s="481">
        <f t="shared" si="585"/>
        <v>0</v>
      </c>
      <c r="BR121" s="481">
        <f t="shared" si="585"/>
        <v>0</v>
      </c>
      <c r="BS121" s="481">
        <f t="shared" si="585"/>
        <v>0</v>
      </c>
      <c r="BT121" s="481">
        <f t="shared" si="585"/>
        <v>0</v>
      </c>
      <c r="BU121" s="482"/>
      <c r="BV121" s="488"/>
      <c r="BW121" s="488"/>
      <c r="BX121" s="488"/>
      <c r="BY121" s="481">
        <f t="shared" ref="BY121:CF121" si="586">SUM(BY122:BY130)</f>
        <v>0</v>
      </c>
      <c r="BZ121" s="481">
        <f t="shared" si="586"/>
        <v>412</v>
      </c>
      <c r="CA121" s="481">
        <f t="shared" si="586"/>
        <v>412</v>
      </c>
      <c r="CB121" s="481">
        <f t="shared" si="586"/>
        <v>0</v>
      </c>
      <c r="CC121" s="481">
        <f t="shared" si="586"/>
        <v>0</v>
      </c>
      <c r="CD121" s="481">
        <f t="shared" si="586"/>
        <v>0</v>
      </c>
      <c r="CE121" s="481">
        <f t="shared" si="586"/>
        <v>0</v>
      </c>
      <c r="CF121" s="481">
        <f t="shared" si="586"/>
        <v>0</v>
      </c>
      <c r="CG121" s="490"/>
      <c r="CH121" s="481">
        <f t="shared" ref="CH121:CL121" si="587">SUM(CH122:CH130)</f>
        <v>0</v>
      </c>
      <c r="CI121" s="481">
        <f t="shared" si="587"/>
        <v>0</v>
      </c>
      <c r="CJ121" s="481">
        <f t="shared" si="587"/>
        <v>0</v>
      </c>
      <c r="CK121" s="481">
        <f t="shared" si="587"/>
        <v>0</v>
      </c>
      <c r="CL121" s="481">
        <f t="shared" si="587"/>
        <v>0</v>
      </c>
      <c r="CM121" s="483"/>
      <c r="CN121" s="483"/>
      <c r="CO121" s="483">
        <f>SUM(CO122:CO130)</f>
        <v>0.65</v>
      </c>
      <c r="CP121" s="483"/>
      <c r="CQ121" s="480">
        <f>CO121*(2%*'BOQ COST'!$G$13*0.36)*1</f>
        <v>4.6238400000000006E-2</v>
      </c>
      <c r="CR121" s="480">
        <f t="shared" si="236"/>
        <v>4.6238399999999999E-2</v>
      </c>
      <c r="CS121" s="481">
        <f t="shared" ref="CS121:CX121" si="588">SUM(CS122:CS130)</f>
        <v>4.6238399999999999E-2</v>
      </c>
      <c r="CT121" s="481">
        <f t="shared" si="588"/>
        <v>0</v>
      </c>
      <c r="CU121" s="481">
        <f t="shared" si="588"/>
        <v>0</v>
      </c>
      <c r="CV121" s="481">
        <f t="shared" si="588"/>
        <v>0</v>
      </c>
      <c r="CW121" s="481">
        <f t="shared" si="588"/>
        <v>0</v>
      </c>
      <c r="CX121" s="481">
        <f t="shared" si="588"/>
        <v>0</v>
      </c>
      <c r="CY121" s="482"/>
      <c r="CZ121" s="481">
        <f t="shared" ref="CZ121:DD121" si="589">SUM(CZ122:CZ130)</f>
        <v>0</v>
      </c>
      <c r="DA121" s="481">
        <f t="shared" si="589"/>
        <v>0</v>
      </c>
      <c r="DB121" s="481">
        <f t="shared" si="589"/>
        <v>0</v>
      </c>
      <c r="DC121" s="481">
        <f t="shared" si="589"/>
        <v>0</v>
      </c>
      <c r="DD121" s="481">
        <f t="shared" si="589"/>
        <v>0</v>
      </c>
      <c r="DE121" s="482"/>
      <c r="DF121" s="492"/>
      <c r="DG121" s="492"/>
      <c r="DH121" s="492"/>
      <c r="DI121" s="481">
        <f t="shared" ref="DI121:DP121" si="590">SUM(DI122:DI130)</f>
        <v>0</v>
      </c>
      <c r="DJ121" s="481">
        <f t="shared" si="590"/>
        <v>122</v>
      </c>
      <c r="DK121" s="481">
        <f t="shared" si="590"/>
        <v>122</v>
      </c>
      <c r="DL121" s="481">
        <f t="shared" si="590"/>
        <v>0</v>
      </c>
      <c r="DM121" s="481">
        <f t="shared" si="590"/>
        <v>0</v>
      </c>
      <c r="DN121" s="481">
        <f t="shared" si="590"/>
        <v>0</v>
      </c>
      <c r="DO121" s="481">
        <f t="shared" si="590"/>
        <v>0</v>
      </c>
      <c r="DP121" s="481">
        <f t="shared" si="590"/>
        <v>0</v>
      </c>
      <c r="DQ121" s="482"/>
      <c r="DR121" s="481">
        <f t="shared" ref="DR121:DV121" si="591">SUM(DR122:DR130)</f>
        <v>0</v>
      </c>
      <c r="DS121" s="481">
        <f t="shared" si="591"/>
        <v>0</v>
      </c>
      <c r="DT121" s="481">
        <f t="shared" si="591"/>
        <v>0</v>
      </c>
      <c r="DU121" s="481">
        <f t="shared" si="591"/>
        <v>0</v>
      </c>
      <c r="DV121" s="481">
        <f t="shared" si="591"/>
        <v>0</v>
      </c>
      <c r="DW121" s="483"/>
      <c r="DX121" s="483"/>
      <c r="DY121" s="483">
        <f t="shared" ref="DY121:DZ121" si="592">SUM(DY122:DY130)</f>
        <v>0.55000000000000004</v>
      </c>
      <c r="DZ121" s="480">
        <f t="shared" si="592"/>
        <v>0</v>
      </c>
      <c r="EA121" s="481">
        <f>EA75</f>
        <v>1.5169000000000004E-2</v>
      </c>
      <c r="EB121" s="480">
        <f t="shared" si="237"/>
        <v>1.5169000000000002E-2</v>
      </c>
      <c r="EC121" s="481">
        <f t="shared" ref="EC121:EZ122" si="593">EC75</f>
        <v>1.5169000000000002E-2</v>
      </c>
      <c r="ED121" s="481">
        <f t="shared" si="593"/>
        <v>0</v>
      </c>
      <c r="EE121" s="481">
        <f t="shared" si="593"/>
        <v>0</v>
      </c>
      <c r="EF121" s="481">
        <f t="shared" si="593"/>
        <v>0</v>
      </c>
      <c r="EG121" s="481">
        <f t="shared" si="593"/>
        <v>0</v>
      </c>
      <c r="EH121" s="481">
        <f t="shared" si="593"/>
        <v>0</v>
      </c>
      <c r="EI121" s="491"/>
      <c r="EJ121" s="481">
        <f t="shared" ref="EJ121:EN121" si="594">EJ75</f>
        <v>0</v>
      </c>
      <c r="EK121" s="481">
        <f t="shared" si="594"/>
        <v>0</v>
      </c>
      <c r="EL121" s="481">
        <f t="shared" si="594"/>
        <v>0</v>
      </c>
      <c r="EM121" s="481">
        <f t="shared" si="594"/>
        <v>0</v>
      </c>
      <c r="EN121" s="481">
        <f t="shared" si="594"/>
        <v>0</v>
      </c>
      <c r="EO121" s="491"/>
      <c r="EP121" s="612">
        <f t="shared" si="593"/>
        <v>0</v>
      </c>
      <c r="EQ121" s="612">
        <f t="shared" si="593"/>
        <v>0</v>
      </c>
      <c r="ER121" s="612">
        <f t="shared" si="593"/>
        <v>0</v>
      </c>
      <c r="ES121" s="481">
        <f t="shared" si="593"/>
        <v>0</v>
      </c>
      <c r="ET121" s="481">
        <f t="shared" si="593"/>
        <v>18</v>
      </c>
      <c r="EU121" s="481">
        <f t="shared" si="593"/>
        <v>18</v>
      </c>
      <c r="EV121" s="481">
        <f t="shared" si="593"/>
        <v>0</v>
      </c>
      <c r="EW121" s="481">
        <f t="shared" si="593"/>
        <v>0</v>
      </c>
      <c r="EX121" s="481">
        <f t="shared" si="593"/>
        <v>0</v>
      </c>
      <c r="EY121" s="481">
        <f t="shared" si="593"/>
        <v>0</v>
      </c>
      <c r="EZ121" s="481">
        <f t="shared" si="593"/>
        <v>0</v>
      </c>
      <c r="FA121" s="491"/>
      <c r="FB121" s="481">
        <f t="shared" ref="FB121:FF121" si="595">FB75</f>
        <v>0</v>
      </c>
      <c r="FC121" s="481">
        <f t="shared" si="595"/>
        <v>0</v>
      </c>
      <c r="FD121" s="481">
        <f t="shared" si="595"/>
        <v>0</v>
      </c>
      <c r="FE121" s="481">
        <f t="shared" si="595"/>
        <v>0</v>
      </c>
      <c r="FF121" s="481">
        <f t="shared" si="595"/>
        <v>0</v>
      </c>
    </row>
    <row r="122" spans="2:162" s="51" customFormat="1" ht="14.25" outlineLevel="2">
      <c r="B122" s="604" t="s">
        <v>128</v>
      </c>
      <c r="C122" s="579">
        <v>1</v>
      </c>
      <c r="D122" s="580" t="s">
        <v>52</v>
      </c>
      <c r="F122" s="500">
        <f t="shared" ref="F122:F130" si="596">W122+BG122+CQ122+EA122</f>
        <v>0.12142368000000001</v>
      </c>
      <c r="G122" s="500">
        <f t="shared" ref="G122:G130" si="597">X122+BH122+CR122+EB122</f>
        <v>0.12142368000000001</v>
      </c>
      <c r="H122" s="514">
        <f t="shared" ref="H122:H130" si="598">F122-G122</f>
        <v>0</v>
      </c>
      <c r="I122" s="514">
        <f t="shared" si="571"/>
        <v>0</v>
      </c>
      <c r="J122" s="514">
        <f t="shared" si="572"/>
        <v>0</v>
      </c>
      <c r="K122" s="514">
        <f t="shared" si="573"/>
        <v>0</v>
      </c>
      <c r="L122" s="514">
        <f t="shared" si="574"/>
        <v>0</v>
      </c>
      <c r="M122" s="567">
        <f t="shared" si="575"/>
        <v>0</v>
      </c>
      <c r="N122" s="568"/>
      <c r="O122" s="514">
        <f t="shared" si="576"/>
        <v>0</v>
      </c>
      <c r="P122" s="514">
        <f t="shared" si="577"/>
        <v>0</v>
      </c>
      <c r="Q122" s="514">
        <f t="shared" si="578"/>
        <v>0</v>
      </c>
      <c r="R122" s="514">
        <f t="shared" si="579"/>
        <v>0</v>
      </c>
      <c r="S122" s="514">
        <f t="shared" si="580"/>
        <v>0</v>
      </c>
      <c r="U122" s="569">
        <v>0.05</v>
      </c>
      <c r="V122" s="584"/>
      <c r="W122" s="581">
        <f t="shared" ref="W122:W130" si="599">$W$121/$U$121*U122</f>
        <v>6.2334000000000014E-2</v>
      </c>
      <c r="X122" s="581">
        <f t="shared" si="234"/>
        <v>6.2334000000000014E-2</v>
      </c>
      <c r="Y122" s="567">
        <f t="shared" ref="Y122:Y130" si="600">IFERROR(IF(AL122=100%,W122,0),0)</f>
        <v>6.2334000000000014E-2</v>
      </c>
      <c r="Z122" s="567">
        <f t="shared" ref="Z122:Z130" si="601">IFERROR(IF(AND((AL122+AM122)=100%,AL122&lt;1),W122,0),0)</f>
        <v>0</v>
      </c>
      <c r="AA122" s="567">
        <f t="shared" ref="AA122:AA130" si="602">IFERROR(IF(AND((AQ122+AS122)=AP122,Y122=0),W122,0),0)</f>
        <v>0</v>
      </c>
      <c r="AB122" s="567">
        <f t="shared" ref="AB122:AB130" si="603">IFERROR(IF(AND((AQ122+AS122+AT122)=AP122,Y122=0,AA122=0),W122,0),0)</f>
        <v>0</v>
      </c>
      <c r="AC122" s="514">
        <f t="shared" ref="AC122:AC130" si="604">IFERROR(IF(AND((AQ122+AS122+AT122+AU122)=AP122,Y122=0,AA122=0,AB122=0),W122,0),0)</f>
        <v>0</v>
      </c>
      <c r="AD122" s="567">
        <f t="shared" ref="AD122:AD130" si="605">IFERROR(IF(AND((AQ122+AS122+AT122+AU122+AV122)=AP122,Y122=0,AA122=0,AB122=0,AC122=0),W122,0),0)</f>
        <v>0</v>
      </c>
      <c r="AE122" s="568"/>
      <c r="AF122" s="514">
        <f t="shared" ref="AF122:AF130" si="606">IFERROR(IF(AND((AL122+AN122)=100%,AL122&lt;1),W122,0),0)</f>
        <v>0</v>
      </c>
      <c r="AG122" s="514">
        <f t="shared" ref="AG122:AG130" si="607">IFERROR(IF(AND((AQ122+AY122)=AP122,Y122=0),W122,0),0)</f>
        <v>0</v>
      </c>
      <c r="AH122" s="514">
        <f t="shared" ref="AH122:AH130" si="608">IFERROR(IF(AND((AQ122+AY122+AZ122)=AP122,Y122=0,AG122=0),W122,0),0)</f>
        <v>0</v>
      </c>
      <c r="AI122" s="514">
        <f t="shared" ref="AI122:AI130" si="609">IFERROR(IF(AND((AQ122+AY122+AZ122+BA122)=AP122,Y122=0,AG122=0,AH122=0),W122,0),0)</f>
        <v>0</v>
      </c>
      <c r="AJ122" s="514">
        <f t="shared" ref="AJ122:AJ130" si="610">IFERROR(IF(AND((AQ122+AY122+AZ122+BA122+BB122)=AP122,Y122=0,AG122=0,AH122=0,AI122=0),W122,0),0)</f>
        <v>0</v>
      </c>
      <c r="AK122" s="501"/>
      <c r="AL122" s="585">
        <f t="shared" ref="AL122:AL130" si="611">IFERROR(AQ122/AP122,0)</f>
        <v>1</v>
      </c>
      <c r="AM122" s="585">
        <f t="shared" ref="AM122:AM130" si="612">IFERROR(AR122/AP122,0)</f>
        <v>0</v>
      </c>
      <c r="AN122" s="570">
        <f t="shared" ref="AN122:AN130" si="613">IFERROR(AX122/AP122,0)</f>
        <v>0</v>
      </c>
      <c r="AO122" s="605"/>
      <c r="AP122" s="567">
        <f>COUNTIF('AR | Drawing List'!$G:$G,"AR-T6S-1")</f>
        <v>21</v>
      </c>
      <c r="AQ122" s="582">
        <f>COUNTIFS('AR | Drawing List'!$G:$G,"AR-T6S-1",'AR | Drawing List'!$I:$I,1)</f>
        <v>21</v>
      </c>
      <c r="AR122" s="582">
        <f t="shared" si="238"/>
        <v>0</v>
      </c>
      <c r="AS122" s="582">
        <f>COUNTIFS('AR | Drawing List'!$G:$G,"AR-T6S-1",'AR | Drawing List'!M:M,1)</f>
        <v>0</v>
      </c>
      <c r="AT122" s="582">
        <f>COUNTIFS('AR | Drawing List'!$G:$G,"AR-T6S-1",'AR | Drawing List'!N:N,1)</f>
        <v>0</v>
      </c>
      <c r="AU122" s="582">
        <f>COUNTIFS('AR | Drawing List'!$G:$G,"AR-T6S-1",'AR | Drawing List'!O:O,1)</f>
        <v>0</v>
      </c>
      <c r="AV122" s="582">
        <f>COUNTIFS('AR | Drawing List'!$G:$G,"AR-T6S-1",'AR | Drawing List'!P:P,1)</f>
        <v>0</v>
      </c>
      <c r="AW122" s="587"/>
      <c r="AX122" s="582">
        <f t="shared" si="540"/>
        <v>0</v>
      </c>
      <c r="AY122" s="582">
        <f>COUNTIFS('AR | Drawing List'!$G:$G,"AR-T6S-1",'AR | Drawing List'!R:R,1)</f>
        <v>0</v>
      </c>
      <c r="AZ122" s="582">
        <f>COUNTIFS('AR | Drawing List'!$G:$G,"AR-T6S-1",'AR | Drawing List'!S:S,1)</f>
        <v>0</v>
      </c>
      <c r="BA122" s="582">
        <f>COUNTIFS('AR | Drawing List'!$G:$G,"AR-T6S-1",'AR | Drawing List'!T:T,1)</f>
        <v>0</v>
      </c>
      <c r="BB122" s="582">
        <f>COUNTIFS('AR | Drawing List'!$G:$G,"AR-T6S-1",'AR | Drawing List'!U:U,1)</f>
        <v>0</v>
      </c>
      <c r="BC122" s="587"/>
      <c r="BD122" s="587"/>
      <c r="BE122" s="592">
        <v>0.1</v>
      </c>
      <c r="BF122" s="588"/>
      <c r="BG122" s="582">
        <f t="shared" ref="BG122:BG130" si="614">$BG$121/$BE$121*BE122</f>
        <v>5.1976079999999994E-2</v>
      </c>
      <c r="BH122" s="589">
        <f t="shared" si="235"/>
        <v>5.1976079999999994E-2</v>
      </c>
      <c r="BI122" s="567">
        <f t="shared" ref="BI122:BI130" si="615">IFERROR(IF(BV122=100%,BG122,0),0)</f>
        <v>5.1976079999999994E-2</v>
      </c>
      <c r="BJ122" s="567">
        <f t="shared" ref="BJ122:BJ130" si="616">IFERROR(IF(AND((BV122+BW122)=100%,BV122&lt;1),BG122,0),0)</f>
        <v>0</v>
      </c>
      <c r="BK122" s="514">
        <f t="shared" ref="BK122:BK130" si="617">IFERROR(IF(AND((CA122+CC122)=BZ122,BI122=0),BG122,0),0)</f>
        <v>0</v>
      </c>
      <c r="BL122" s="514">
        <f t="shared" ref="BL122:BL130" si="618">IFERROR(IF(AND((CA122+CC122+CD122)=BZ122,BI122=0,BK122=0),BG122,0),0)</f>
        <v>0</v>
      </c>
      <c r="BM122" s="514">
        <f t="shared" ref="BM122:BM130" si="619">IFERROR(IF(AND((CA122+CC122+CD122+CE122)=BZ122,BI122=0,BK122=0,BL122=0),BG122,0),0)</f>
        <v>0</v>
      </c>
      <c r="BN122" s="514">
        <f t="shared" ref="BN122:BN130" si="620">IFERROR(IF(AND((CA122+CC122+CD122+CE122+CF122)=BZ122,BI122=0,BK122=0,BL122=0,BM122=0),BG122,0),0)</f>
        <v>0</v>
      </c>
      <c r="BO122" s="501"/>
      <c r="BP122" s="514">
        <f t="shared" ref="BP122:BP130" si="621">IFERROR(IF(AND((BV122+BX122)=100%,BV122&lt;1),BG122,0),0)</f>
        <v>0</v>
      </c>
      <c r="BQ122" s="514">
        <f t="shared" ref="BQ122:BQ130" si="622">IFERROR(IF(AND((CA122+CI122)=BZ122,BI122=0),BG122,0),0)</f>
        <v>0</v>
      </c>
      <c r="BR122" s="514">
        <f t="shared" ref="BR122:BR130" si="623">IFERROR(IF(AND((CA122+CI122+CJ122)=BZ122,BI122=0,BQ122=0),BG122,0),0)</f>
        <v>0</v>
      </c>
      <c r="BS122" s="514">
        <f t="shared" ref="BS122:BS130" si="624">IFERROR(IF(AND((CA122+CI122+CJ122+CK122)=BZ122,BI122=0,BQ122=0,BR122=0),BG122,0),0)</f>
        <v>0</v>
      </c>
      <c r="BT122" s="514">
        <f t="shared" ref="BT122:BT130" si="625">IFERROR(IF(AND((CA122+CI122+CJ122+CK122+CL122)=BZ122,BI122=0,BQ122=0,BR122=0,BS122=0),BG122,0),0)</f>
        <v>0</v>
      </c>
      <c r="BU122" s="501"/>
      <c r="BV122" s="571">
        <f t="shared" ref="BV122:BV130" si="626">IFERROR(CA122/BZ122,0)</f>
        <v>1</v>
      </c>
      <c r="BW122" s="571">
        <f t="shared" ref="BW122:BW130" si="627">IFERROR(CB122/BZ122,0)</f>
        <v>0</v>
      </c>
      <c r="BX122" s="571">
        <f t="shared" ref="BX122:BX130" si="628">IFERROR(CH122/BZ122,0)</f>
        <v>0</v>
      </c>
      <c r="BY122" s="586"/>
      <c r="BZ122" s="567">
        <f>COUNTIF('ST | Drawing List'!$G:$G,"ST-T6S-1")</f>
        <v>116</v>
      </c>
      <c r="CA122" s="582">
        <f>COUNTIFS('ST | Drawing List'!$G:$G,"ST-T6S-1",'ST | Drawing List'!$I:$I,1)</f>
        <v>116</v>
      </c>
      <c r="CB122" s="590">
        <f>COUNTIFS('ST | Drawing List'!$G:$G,"ST-T6S-1",'ST | Drawing List'!$K:$K,1)</f>
        <v>0</v>
      </c>
      <c r="CC122" s="582">
        <f>COUNTIFS('ST | Drawing List'!$G:$G,"ST-T6S-1",'ST | Drawing List'!L:L,1)</f>
        <v>0</v>
      </c>
      <c r="CD122" s="582">
        <f>COUNTIFS('ST | Drawing List'!$G:$G,"ST-T6S-1",'ST | Drawing List'!M:M,1)</f>
        <v>0</v>
      </c>
      <c r="CE122" s="582">
        <f>COUNTIFS('ST | Drawing List'!$G:$G,"ST-T6S-1",'ST | Drawing List'!N:N,1)</f>
        <v>0</v>
      </c>
      <c r="CF122" s="582">
        <f>COUNTIFS('ST | Drawing List'!$G:$G,"ST-T6S-1",'ST | Drawing List'!O:O,1)</f>
        <v>0</v>
      </c>
      <c r="CG122" s="591"/>
      <c r="CH122" s="590">
        <f>COUNTIFS('ST | Drawing List'!$G:$G,"ST-T6S-1",'ST | Drawing List'!$P:$P,1)</f>
        <v>0</v>
      </c>
      <c r="CI122" s="582">
        <f>COUNTIFS('ST | Drawing List'!$G:$G,"ST-T6S-1",'ST | Drawing List'!Q:Q,1)</f>
        <v>0</v>
      </c>
      <c r="CJ122" s="582">
        <f>COUNTIFS('ST | Drawing List'!$G:$G,"ST-T6S-1",'ST | Drawing List'!R:R,1)</f>
        <v>0</v>
      </c>
      <c r="CK122" s="582">
        <f>COUNTIFS('ST | Drawing List'!$G:$G,"ST-T6S-1",'ST | Drawing List'!S:S,1)</f>
        <v>0</v>
      </c>
      <c r="CL122" s="582">
        <f>COUNTIFS('ST | Drawing List'!$G:$G,"ST-T6S-1",'ST | Drawing List'!T:T,1)</f>
        <v>0</v>
      </c>
      <c r="CM122" s="588"/>
      <c r="CN122" s="588"/>
      <c r="CO122" s="592">
        <v>0.1</v>
      </c>
      <c r="CP122" s="588"/>
      <c r="CQ122" s="582">
        <f t="shared" ref="CQ122:CQ130" si="629">$CQ$121/$CO$121*CO122</f>
        <v>7.1136000000000012E-3</v>
      </c>
      <c r="CR122" s="589">
        <f t="shared" si="236"/>
        <v>7.1136000000000012E-3</v>
      </c>
      <c r="CS122" s="567">
        <f t="shared" ref="CS122:CS130" si="630">IFERROR(IF(DF122=100%,CQ122,0),0)</f>
        <v>7.1136000000000012E-3</v>
      </c>
      <c r="CT122" s="514">
        <f t="shared" ref="CT122:CT130" si="631">IFERROR(IF(AND((DF122+DG122)=100%,DF122&lt;1),CQ122,0),0)</f>
        <v>0</v>
      </c>
      <c r="CU122" s="514">
        <f t="shared" ref="CU122:CU130" si="632">IFERROR(IF(AND((DK122+DM122)=DJ122,CS122=0),CQ122,0),0)</f>
        <v>0</v>
      </c>
      <c r="CV122" s="514">
        <f t="shared" ref="CV122:CV130" si="633">IFERROR(IF(AND((DK122+DM122+DN122)=DJ122,CS122=0,CU122=0),CQ122,0),0)</f>
        <v>0</v>
      </c>
      <c r="CW122" s="514">
        <f t="shared" ref="CW122:CW130" si="634">IFERROR(IF(AND((DK122+DM122+DN122+DO122)=DJ122,CS122=0,CU122=0,CV122=0),CQ122,0),0)</f>
        <v>0</v>
      </c>
      <c r="CX122" s="514">
        <f t="shared" ref="CX122:CX130" si="635">IFERROR(IF(AND((DK122+DM122+DN122+DO122+DP122)=DJ122,CS122=0,CU122=0,CV122=0,CW122=0),CQ122,0),0)</f>
        <v>0</v>
      </c>
      <c r="CY122" s="501"/>
      <c r="CZ122" s="514">
        <f t="shared" ref="CZ122:CZ130" si="636">IFERROR(IF(AND((DF122+DH122)=100%,DF122&lt;1),CQ122,0),0)</f>
        <v>0</v>
      </c>
      <c r="DA122" s="514">
        <f t="shared" ref="DA122:DA130" si="637">IFERROR(IF(AND((DK122+DS122)=DJ122,CS122=0),CQ122,0),0)</f>
        <v>0</v>
      </c>
      <c r="DB122" s="514">
        <f t="shared" ref="DB122:DB130" si="638">IFERROR(IF(AND((DK122+DS122+DT122)=DJ122,CS122=0,DA122=0),CQ122,0),0)</f>
        <v>0</v>
      </c>
      <c r="DC122" s="514">
        <f t="shared" ref="DC122:DC130" si="639">IFERROR(IF(AND((DK122+DS122+DT122+DU122)=DJ122,CS122=0,DA122=0,DB122=0),CQ122,0),0)</f>
        <v>0</v>
      </c>
      <c r="DD122" s="514">
        <f t="shared" ref="DD122:DD130" si="640">IFERROR(IF(AND((DK122+DS122+DT122+DU122+DV122)=DJ122,CS122=0,DA122=0,DB122=0,DC122=0),CQ122,0),0)</f>
        <v>0</v>
      </c>
      <c r="DE122" s="501"/>
      <c r="DF122" s="570">
        <f t="shared" ref="DF122:DF130" si="641">IFERROR(DK122/DJ122,0)</f>
        <v>1</v>
      </c>
      <c r="DG122" s="570">
        <f t="shared" ref="DG122:DG130" si="642">IFERROR(DL122/DJ122,0)</f>
        <v>0</v>
      </c>
      <c r="DH122" s="570">
        <f t="shared" ref="DH122:DH130" si="643">IFERROR(DR122/DJ122,0)</f>
        <v>0</v>
      </c>
      <c r="DI122" s="586"/>
      <c r="DJ122" s="567">
        <f>COUNTIF('MEP | Drawing List'!$G:$G,"MEP-T2S-6S-1")</f>
        <v>25</v>
      </c>
      <c r="DK122" s="582">
        <f>COUNTIFS('MEP | Drawing List'!$G:$G,"MEP-T2S-6S-1",'MEP | Drawing List'!$I:$I,1)</f>
        <v>25</v>
      </c>
      <c r="DL122" s="582">
        <f>COUNTIFS('MEP | Drawing List'!$G:$G,"MEP-T2S-6S-1",'MEP | Drawing List'!$K:$K,1)</f>
        <v>0</v>
      </c>
      <c r="DM122" s="567">
        <f>COUNTIFS('MEP | Drawing List'!$G:$G,"MEP-T2S-6S-1",'MEP | Drawing List'!L:L,1)</f>
        <v>0</v>
      </c>
      <c r="DN122" s="567">
        <f>COUNTIFS('MEP | Drawing List'!$G:$G,"MEP-T2S-6S-1",'MEP | Drawing List'!M:M,1)</f>
        <v>0</v>
      </c>
      <c r="DO122" s="567">
        <f>COUNTIFS('MEP | Drawing List'!$G:$G,"MEP-T2S-6S-1",'MEP | Drawing List'!N:N,1)</f>
        <v>0</v>
      </c>
      <c r="DP122" s="567">
        <f>COUNTIFS('MEP | Drawing List'!$G:$G,"MEP-T2S-6S-1",'MEP | Drawing List'!O:O,1)</f>
        <v>0</v>
      </c>
      <c r="DQ122" s="568"/>
      <c r="DR122" s="582">
        <f>COUNTIFS('MEP | Drawing List'!$G:$G,"MEP-T2S-6S-1",'MEP | Drawing List'!$P:$P,1)</f>
        <v>0</v>
      </c>
      <c r="DS122" s="567">
        <f>COUNTIFS('MEP | Drawing List'!$G:$G,"MEP-T2S-6S-1",'MEP | Drawing List'!Q:Q,1)</f>
        <v>0</v>
      </c>
      <c r="DT122" s="567">
        <f>COUNTIFS('MEP | Drawing List'!$G:$G,"MEP-T2S-6S-1",'MEP | Drawing List'!R:R,1)</f>
        <v>0</v>
      </c>
      <c r="DU122" s="567">
        <f>COUNTIFS('MEP | Drawing List'!$G:$G,"MEP-T2S-6S-1",'MEP | Drawing List'!S:S,1)</f>
        <v>0</v>
      </c>
      <c r="DV122" s="567">
        <f>COUNTIFS('MEP | Drawing List'!$G:$G,"MEP-T2S-6S-1",'MEP | Drawing List'!T:T,1)</f>
        <v>0</v>
      </c>
      <c r="DW122" s="588"/>
      <c r="DX122" s="588"/>
      <c r="DY122" s="592">
        <v>0</v>
      </c>
      <c r="DZ122" s="588"/>
      <c r="EA122" s="582">
        <f>EA76</f>
        <v>0</v>
      </c>
      <c r="EB122" s="589">
        <f t="shared" si="237"/>
        <v>0</v>
      </c>
      <c r="EC122" s="589">
        <f t="shared" si="593"/>
        <v>0</v>
      </c>
      <c r="ED122" s="589">
        <f t="shared" si="593"/>
        <v>0</v>
      </c>
      <c r="EE122" s="514">
        <f t="shared" si="593"/>
        <v>0</v>
      </c>
      <c r="EF122" s="514">
        <f t="shared" si="593"/>
        <v>0</v>
      </c>
      <c r="EG122" s="514">
        <f t="shared" si="593"/>
        <v>0</v>
      </c>
      <c r="EH122" s="514">
        <f t="shared" si="593"/>
        <v>0</v>
      </c>
      <c r="EI122" s="501"/>
      <c r="EJ122" s="567">
        <f t="shared" ref="EJ122:EJ130" si="644">IFERROR(IF(AND((EP122+ER122)=100%,EP122&lt;1),EA122,0),0)</f>
        <v>0</v>
      </c>
      <c r="EK122" s="514">
        <f t="shared" ref="EK122:EK130" si="645">IFERROR(IF(AND((EU122+FC122)=ET122,EC122=0),EA122,0),0)</f>
        <v>0</v>
      </c>
      <c r="EL122" s="514">
        <f t="shared" ref="EL122:EL130" si="646">IFERROR(IF(AND((EU122+FC122+FD122)=ET122,EC122=0,EK122=0),EA122,0),0)</f>
        <v>0</v>
      </c>
      <c r="EM122" s="514">
        <f t="shared" ref="EM122:EM130" si="647">IFERROR(IF(AND((EU122+FC122+FD122+FE122)=ET122,EC122=0,EK122=0,EL122=0),EA122,0),0)</f>
        <v>0</v>
      </c>
      <c r="EN122" s="514">
        <f t="shared" ref="EN122:EN130" si="648">IFERROR(IF(AND((EU122+FC122+FD122+FE122+FF122)=ET122,EC122=0,EK122=0,EL122=0,EM122=0),EA122,0),0)</f>
        <v>0</v>
      </c>
      <c r="EO122" s="501"/>
      <c r="EP122" s="585">
        <f t="shared" ref="EP122:EP130" si="649">IFERROR(EU122/ET122,0)</f>
        <v>0</v>
      </c>
      <c r="EQ122" s="585">
        <f t="shared" ref="EQ122:EQ130" si="650">IFERROR(EV122/ET122,0)</f>
        <v>0</v>
      </c>
      <c r="ER122" s="585">
        <f t="shared" ref="ER122:ER130" si="651">IFERROR(FB122/ET122,0)</f>
        <v>0</v>
      </c>
      <c r="ES122" s="589">
        <f t="shared" si="593"/>
        <v>0</v>
      </c>
      <c r="ET122" s="567">
        <f t="shared" si="593"/>
        <v>0</v>
      </c>
      <c r="EU122" s="582">
        <f t="shared" si="593"/>
        <v>0</v>
      </c>
      <c r="EV122" s="582">
        <f t="shared" si="593"/>
        <v>0</v>
      </c>
      <c r="EW122" s="567">
        <f t="shared" si="593"/>
        <v>0</v>
      </c>
      <c r="EX122" s="567">
        <f t="shared" si="593"/>
        <v>0</v>
      </c>
      <c r="EY122" s="567">
        <f t="shared" si="593"/>
        <v>0</v>
      </c>
      <c r="EZ122" s="567">
        <f t="shared" si="593"/>
        <v>0</v>
      </c>
      <c r="FA122" s="574"/>
      <c r="FB122" s="582">
        <f t="shared" ref="FB122:FF122" si="652">FB76</f>
        <v>0</v>
      </c>
      <c r="FC122" s="567">
        <f t="shared" si="652"/>
        <v>0</v>
      </c>
      <c r="FD122" s="567">
        <f t="shared" si="652"/>
        <v>0</v>
      </c>
      <c r="FE122" s="567">
        <f t="shared" si="652"/>
        <v>0</v>
      </c>
      <c r="FF122" s="567">
        <f t="shared" si="652"/>
        <v>0</v>
      </c>
    </row>
    <row r="123" spans="2:162" ht="14.25" outlineLevel="2">
      <c r="B123" s="604" t="s">
        <v>129</v>
      </c>
      <c r="C123" s="565">
        <v>2</v>
      </c>
      <c r="D123" s="566" t="s">
        <v>54</v>
      </c>
      <c r="F123" s="500">
        <f t="shared" si="596"/>
        <v>5.1976079999999994E-2</v>
      </c>
      <c r="G123" s="500">
        <f t="shared" si="597"/>
        <v>5.1976079999999994E-2</v>
      </c>
      <c r="H123" s="514">
        <f t="shared" si="598"/>
        <v>0</v>
      </c>
      <c r="I123" s="514">
        <f t="shared" si="571"/>
        <v>0</v>
      </c>
      <c r="J123" s="514">
        <f t="shared" si="572"/>
        <v>0</v>
      </c>
      <c r="K123" s="514">
        <f t="shared" si="573"/>
        <v>0</v>
      </c>
      <c r="L123" s="514">
        <f t="shared" si="574"/>
        <v>0</v>
      </c>
      <c r="M123" s="567">
        <f t="shared" si="575"/>
        <v>0</v>
      </c>
      <c r="N123" s="568"/>
      <c r="O123" s="514">
        <f t="shared" si="576"/>
        <v>0</v>
      </c>
      <c r="P123" s="514">
        <f t="shared" si="577"/>
        <v>0</v>
      </c>
      <c r="Q123" s="514">
        <f t="shared" si="578"/>
        <v>0</v>
      </c>
      <c r="R123" s="514">
        <f t="shared" si="579"/>
        <v>0</v>
      </c>
      <c r="S123" s="514">
        <f t="shared" si="580"/>
        <v>0</v>
      </c>
      <c r="U123" s="500">
        <v>0</v>
      </c>
      <c r="V123" s="503"/>
      <c r="W123" s="500">
        <f t="shared" si="599"/>
        <v>0</v>
      </c>
      <c r="X123" s="500">
        <f t="shared" si="234"/>
        <v>0</v>
      </c>
      <c r="Y123" s="514">
        <f t="shared" si="600"/>
        <v>0</v>
      </c>
      <c r="Z123" s="514">
        <f t="shared" si="601"/>
        <v>0</v>
      </c>
      <c r="AA123" s="514">
        <f t="shared" si="602"/>
        <v>0</v>
      </c>
      <c r="AB123" s="514">
        <f t="shared" si="603"/>
        <v>0</v>
      </c>
      <c r="AC123" s="514">
        <f t="shared" si="604"/>
        <v>0</v>
      </c>
      <c r="AD123" s="567">
        <f t="shared" si="605"/>
        <v>0</v>
      </c>
      <c r="AE123" s="568"/>
      <c r="AF123" s="514">
        <f t="shared" si="606"/>
        <v>0</v>
      </c>
      <c r="AG123" s="514">
        <f t="shared" si="607"/>
        <v>0</v>
      </c>
      <c r="AH123" s="514">
        <f t="shared" si="608"/>
        <v>0</v>
      </c>
      <c r="AI123" s="514">
        <f t="shared" si="609"/>
        <v>0</v>
      </c>
      <c r="AJ123" s="514">
        <f t="shared" si="610"/>
        <v>0</v>
      </c>
      <c r="AK123" s="501"/>
      <c r="AL123" s="570">
        <f t="shared" si="611"/>
        <v>1</v>
      </c>
      <c r="AM123" s="570">
        <f t="shared" si="612"/>
        <v>0</v>
      </c>
      <c r="AN123" s="570">
        <f t="shared" si="613"/>
        <v>0</v>
      </c>
      <c r="AO123" s="518"/>
      <c r="AP123" s="514">
        <f>COUNTIF('AR | Drawing List'!$G:$G,"AR-T6S-2")</f>
        <v>2</v>
      </c>
      <c r="AQ123" s="506">
        <f>COUNTIFS('AR | Drawing List'!$G:$G,"AR-T6S-2",'AR | Drawing List'!$I:$I,1)</f>
        <v>2</v>
      </c>
      <c r="AR123" s="506">
        <f t="shared" si="238"/>
        <v>0</v>
      </c>
      <c r="AS123" s="506">
        <f>COUNTIFS('AR | Drawing List'!$G:$G,"AR-T6S-2",'AR | Drawing List'!M:M,1)</f>
        <v>0</v>
      </c>
      <c r="AT123" s="506">
        <f>COUNTIFS('AR | Drawing List'!$G:$G,"AR-T6S-2",'AR | Drawing List'!N:N,1)</f>
        <v>0</v>
      </c>
      <c r="AU123" s="506">
        <f>COUNTIFS('AR | Drawing List'!$G:$G,"AR-T6S-2",'AR | Drawing List'!O:O,1)</f>
        <v>0</v>
      </c>
      <c r="AV123" s="506">
        <f>COUNTIFS('AR | Drawing List'!$G:$G,"AR-T6S-2",'AR | Drawing List'!P:P,1)</f>
        <v>0</v>
      </c>
      <c r="AW123" s="466"/>
      <c r="AX123" s="506">
        <f t="shared" si="540"/>
        <v>0</v>
      </c>
      <c r="AY123" s="506">
        <f>COUNTIFS('AR | Drawing List'!$G:$G,"AR-T6S-2",'AR | Drawing List'!R:R,1)</f>
        <v>0</v>
      </c>
      <c r="AZ123" s="506">
        <f>COUNTIFS('AR | Drawing List'!$G:$G,"AR-T6S-2",'AR | Drawing List'!S:S,1)</f>
        <v>0</v>
      </c>
      <c r="BA123" s="506">
        <f>COUNTIFS('AR | Drawing List'!$G:$G,"AR-T6S-2",'AR | Drawing List'!T:T,1)</f>
        <v>0</v>
      </c>
      <c r="BB123" s="506">
        <f>COUNTIFS('AR | Drawing List'!$G:$G,"AR-T6S-2",'AR | Drawing List'!U:U,1)</f>
        <v>0</v>
      </c>
      <c r="BC123" s="466"/>
      <c r="BD123" s="466"/>
      <c r="BE123" s="511">
        <v>0.1</v>
      </c>
      <c r="BF123" s="508"/>
      <c r="BG123" s="506">
        <f t="shared" si="614"/>
        <v>5.1976079999999994E-2</v>
      </c>
      <c r="BH123" s="510">
        <f t="shared" si="235"/>
        <v>5.1976079999999994E-2</v>
      </c>
      <c r="BI123" s="514">
        <f t="shared" si="615"/>
        <v>5.1976079999999994E-2</v>
      </c>
      <c r="BJ123" s="514">
        <f t="shared" si="616"/>
        <v>0</v>
      </c>
      <c r="BK123" s="514">
        <f t="shared" si="617"/>
        <v>0</v>
      </c>
      <c r="BL123" s="514">
        <f t="shared" si="618"/>
        <v>0</v>
      </c>
      <c r="BM123" s="514">
        <f t="shared" si="619"/>
        <v>0</v>
      </c>
      <c r="BN123" s="514">
        <f t="shared" si="620"/>
        <v>0</v>
      </c>
      <c r="BO123" s="501"/>
      <c r="BP123" s="514">
        <f t="shared" si="621"/>
        <v>0</v>
      </c>
      <c r="BQ123" s="514">
        <f t="shared" si="622"/>
        <v>0</v>
      </c>
      <c r="BR123" s="514">
        <f t="shared" si="623"/>
        <v>0</v>
      </c>
      <c r="BS123" s="514">
        <f t="shared" si="624"/>
        <v>0</v>
      </c>
      <c r="BT123" s="514">
        <f t="shared" si="625"/>
        <v>0</v>
      </c>
      <c r="BU123" s="501"/>
      <c r="BV123" s="571">
        <f t="shared" si="626"/>
        <v>1</v>
      </c>
      <c r="BW123" s="571">
        <f t="shared" si="627"/>
        <v>0</v>
      </c>
      <c r="BX123" s="571">
        <f t="shared" si="628"/>
        <v>0</v>
      </c>
      <c r="BY123" s="505"/>
      <c r="BZ123" s="514">
        <f>COUNTIF('ST | Drawing List'!$G:$G,"ST-T6S-2")</f>
        <v>138</v>
      </c>
      <c r="CA123" s="506">
        <f>COUNTIFS('ST | Drawing List'!$G:$G,"ST-T6S-2",'ST | Drawing List'!$I:$I,1)</f>
        <v>138</v>
      </c>
      <c r="CB123" s="572">
        <f>COUNTIFS('ST | Drawing List'!$G:$G,"ST-T6S-2",'ST | Drawing List'!$K:$K,1)</f>
        <v>0</v>
      </c>
      <c r="CC123" s="506">
        <f>COUNTIFS('ST | Drawing List'!$G:$G,"ST-T6S-2",'ST | Drawing List'!L:L,1)</f>
        <v>0</v>
      </c>
      <c r="CD123" s="506">
        <f>COUNTIFS('ST | Drawing List'!$G:$G,"ST-T6S-2",'ST | Drawing List'!M:M,1)</f>
        <v>0</v>
      </c>
      <c r="CE123" s="506">
        <f>COUNTIFS('ST | Drawing List'!$G:$G,"ST-T6S-2",'ST | Drawing List'!N:N,1)</f>
        <v>0</v>
      </c>
      <c r="CF123" s="506">
        <f>COUNTIFS('ST | Drawing List'!$G:$G,"ST-T6S-2",'ST | Drawing List'!O:O,1)</f>
        <v>0</v>
      </c>
      <c r="CG123" s="471"/>
      <c r="CH123" s="572">
        <f>COUNTIFS('ST | Drawing List'!$G:$G,"ST-T6S-2",'ST | Drawing List'!$P:$P,1)</f>
        <v>0</v>
      </c>
      <c r="CI123" s="506">
        <f>COUNTIFS('ST | Drawing List'!$G:$G,"ST-T6S-2",'ST | Drawing List'!Q:Q,1)</f>
        <v>0</v>
      </c>
      <c r="CJ123" s="506">
        <f>COUNTIFS('ST | Drawing List'!$G:$G,"ST-T6S-2",'ST | Drawing List'!R:R,1)</f>
        <v>0</v>
      </c>
      <c r="CK123" s="506">
        <f>COUNTIFS('ST | Drawing List'!$G:$G,"ST-T6S-2",'ST | Drawing List'!S:S,1)</f>
        <v>0</v>
      </c>
      <c r="CL123" s="506">
        <f>COUNTIFS('ST | Drawing List'!$G:$G,"ST-T6S-2",'ST | Drawing List'!T:T,1)</f>
        <v>0</v>
      </c>
      <c r="CM123" s="508"/>
      <c r="CN123" s="508"/>
      <c r="CO123" s="576">
        <v>0</v>
      </c>
      <c r="CP123" s="508"/>
      <c r="CQ123" s="506">
        <f t="shared" si="629"/>
        <v>0</v>
      </c>
      <c r="CR123" s="510">
        <f t="shared" si="236"/>
        <v>0</v>
      </c>
      <c r="CS123" s="514">
        <f t="shared" si="630"/>
        <v>0</v>
      </c>
      <c r="CT123" s="514">
        <f t="shared" si="631"/>
        <v>0</v>
      </c>
      <c r="CU123" s="514">
        <f t="shared" si="632"/>
        <v>0</v>
      </c>
      <c r="CV123" s="514">
        <f t="shared" si="633"/>
        <v>0</v>
      </c>
      <c r="CW123" s="514">
        <f t="shared" si="634"/>
        <v>0</v>
      </c>
      <c r="CX123" s="514">
        <f t="shared" si="635"/>
        <v>0</v>
      </c>
      <c r="CY123" s="501"/>
      <c r="CZ123" s="514">
        <f t="shared" si="636"/>
        <v>0</v>
      </c>
      <c r="DA123" s="514">
        <f t="shared" si="637"/>
        <v>0</v>
      </c>
      <c r="DB123" s="514">
        <f t="shared" si="638"/>
        <v>0</v>
      </c>
      <c r="DC123" s="514">
        <f t="shared" si="639"/>
        <v>0</v>
      </c>
      <c r="DD123" s="514">
        <f t="shared" si="640"/>
        <v>0</v>
      </c>
      <c r="DE123" s="501"/>
      <c r="DF123" s="570">
        <f t="shared" si="641"/>
        <v>1</v>
      </c>
      <c r="DG123" s="570">
        <f t="shared" si="642"/>
        <v>0</v>
      </c>
      <c r="DH123" s="570">
        <f t="shared" si="643"/>
        <v>0</v>
      </c>
      <c r="DI123" s="505"/>
      <c r="DJ123" s="514">
        <f>COUNTIF('MEP | Drawing List'!$G:$G,"MEP-T2S-6S-2")</f>
        <v>1</v>
      </c>
      <c r="DK123" s="506">
        <f>COUNTIFS('MEP | Drawing List'!$G:$G,"MEP-T2S-6S-2",'MEP | Drawing List'!$I:$I,1)</f>
        <v>1</v>
      </c>
      <c r="DL123" s="506">
        <f>COUNTIFS('MEP | Drawing List'!$G:$G,"MEP-T2S-6S-2",'MEP | Drawing List'!$K:$K,1)</f>
        <v>0</v>
      </c>
      <c r="DM123" s="514">
        <f>COUNTIFS('MEP | Drawing List'!$G:$G,"MEP-T2S-6S-2",'MEP | Drawing List'!L:L,1)</f>
        <v>0</v>
      </c>
      <c r="DN123" s="514">
        <f>COUNTIFS('MEP | Drawing List'!$G:$G,"MEP-T2S-6S-2",'MEP | Drawing List'!M:M,1)</f>
        <v>0</v>
      </c>
      <c r="DO123" s="514">
        <f>COUNTIFS('MEP | Drawing List'!$G:$G,"MEP-T2S-6S-2",'MEP | Drawing List'!N:N,1)</f>
        <v>0</v>
      </c>
      <c r="DP123" s="514">
        <f>COUNTIFS('MEP | Drawing List'!$G:$G,"MEP-T2S-6S-2",'MEP | Drawing List'!O:O,1)</f>
        <v>0</v>
      </c>
      <c r="DQ123" s="501"/>
      <c r="DR123" s="506">
        <f>COUNTIFS('MEP | Drawing List'!$G:$G,"MEP-T2S-6S-2",'MEP | Drawing List'!$P:$P,1)</f>
        <v>0</v>
      </c>
      <c r="DS123" s="514">
        <f>COUNTIFS('MEP | Drawing List'!$G:$G,"MEP-T2S-6S-2",'MEP | Drawing List'!Q:Q,1)</f>
        <v>0</v>
      </c>
      <c r="DT123" s="514">
        <f>COUNTIFS('MEP | Drawing List'!$G:$G,"MEP-T2S-6S-2",'MEP | Drawing List'!R:R,1)</f>
        <v>0</v>
      </c>
      <c r="DU123" s="514">
        <f>COUNTIFS('MEP | Drawing List'!$G:$G,"MEP-T2S-6S-2",'MEP | Drawing List'!S:S,1)</f>
        <v>0</v>
      </c>
      <c r="DV123" s="514">
        <f>COUNTIFS('MEP | Drawing List'!$G:$G,"MEP-T2S-6S-2",'MEP | Drawing List'!T:T,1)</f>
        <v>0</v>
      </c>
      <c r="DW123" s="508"/>
      <c r="DX123" s="508"/>
      <c r="DY123" s="470">
        <v>0</v>
      </c>
      <c r="DZ123" s="508"/>
      <c r="EA123" s="506">
        <f t="shared" ref="EA123:EZ123" si="653">EA77</f>
        <v>0</v>
      </c>
      <c r="EB123" s="510">
        <f t="shared" si="237"/>
        <v>0</v>
      </c>
      <c r="EC123" s="510">
        <f t="shared" si="653"/>
        <v>0</v>
      </c>
      <c r="ED123" s="510">
        <f t="shared" si="653"/>
        <v>0</v>
      </c>
      <c r="EE123" s="514">
        <f t="shared" si="653"/>
        <v>0</v>
      </c>
      <c r="EF123" s="514">
        <f t="shared" si="653"/>
        <v>0</v>
      </c>
      <c r="EG123" s="514">
        <f t="shared" si="653"/>
        <v>0</v>
      </c>
      <c r="EH123" s="514">
        <f t="shared" si="653"/>
        <v>0</v>
      </c>
      <c r="EI123" s="501"/>
      <c r="EJ123" s="567">
        <f t="shared" si="644"/>
        <v>0</v>
      </c>
      <c r="EK123" s="514">
        <f t="shared" si="645"/>
        <v>0</v>
      </c>
      <c r="EL123" s="514">
        <f t="shared" si="646"/>
        <v>0</v>
      </c>
      <c r="EM123" s="514">
        <f t="shared" si="647"/>
        <v>0</v>
      </c>
      <c r="EN123" s="514">
        <f t="shared" si="648"/>
        <v>0</v>
      </c>
      <c r="EO123" s="501"/>
      <c r="EP123" s="585">
        <f t="shared" si="649"/>
        <v>0</v>
      </c>
      <c r="EQ123" s="585">
        <f t="shared" si="650"/>
        <v>0</v>
      </c>
      <c r="ER123" s="585">
        <f t="shared" si="651"/>
        <v>0</v>
      </c>
      <c r="ES123" s="510">
        <f t="shared" si="653"/>
        <v>0</v>
      </c>
      <c r="ET123" s="514">
        <f t="shared" si="653"/>
        <v>0</v>
      </c>
      <c r="EU123" s="506">
        <f t="shared" si="653"/>
        <v>0</v>
      </c>
      <c r="EV123" s="506">
        <f t="shared" si="653"/>
        <v>0</v>
      </c>
      <c r="EW123" s="514">
        <f t="shared" si="653"/>
        <v>0</v>
      </c>
      <c r="EX123" s="514">
        <f t="shared" si="653"/>
        <v>0</v>
      </c>
      <c r="EY123" s="514">
        <f t="shared" si="653"/>
        <v>0</v>
      </c>
      <c r="EZ123" s="514">
        <f t="shared" si="653"/>
        <v>0</v>
      </c>
      <c r="FA123" s="515"/>
      <c r="FB123" s="506">
        <f t="shared" ref="FB123:FF123" si="654">FB77</f>
        <v>0</v>
      </c>
      <c r="FC123" s="514">
        <f t="shared" si="654"/>
        <v>0</v>
      </c>
      <c r="FD123" s="514">
        <f t="shared" si="654"/>
        <v>0</v>
      </c>
      <c r="FE123" s="514">
        <f t="shared" si="654"/>
        <v>0</v>
      </c>
      <c r="FF123" s="514">
        <f t="shared" si="654"/>
        <v>0</v>
      </c>
    </row>
    <row r="124" spans="2:162" ht="14.25" outlineLevel="2">
      <c r="B124" s="604" t="s">
        <v>130</v>
      </c>
      <c r="C124" s="565">
        <v>3</v>
      </c>
      <c r="D124" s="566" t="s">
        <v>56</v>
      </c>
      <c r="F124" s="500">
        <f t="shared" si="596"/>
        <v>0.12466800000000003</v>
      </c>
      <c r="G124" s="500">
        <f t="shared" si="597"/>
        <v>0.12466800000000003</v>
      </c>
      <c r="H124" s="514">
        <f t="shared" si="598"/>
        <v>0</v>
      </c>
      <c r="I124" s="514">
        <f t="shared" si="571"/>
        <v>0</v>
      </c>
      <c r="J124" s="514">
        <f t="shared" si="572"/>
        <v>0</v>
      </c>
      <c r="K124" s="514">
        <f t="shared" si="573"/>
        <v>0</v>
      </c>
      <c r="L124" s="514">
        <f t="shared" si="574"/>
        <v>0</v>
      </c>
      <c r="M124" s="567">
        <f t="shared" si="575"/>
        <v>0</v>
      </c>
      <c r="N124" s="568"/>
      <c r="O124" s="514">
        <f t="shared" si="576"/>
        <v>0</v>
      </c>
      <c r="P124" s="514">
        <f t="shared" si="577"/>
        <v>0</v>
      </c>
      <c r="Q124" s="514">
        <f t="shared" si="578"/>
        <v>0</v>
      </c>
      <c r="R124" s="514">
        <f t="shared" si="579"/>
        <v>0</v>
      </c>
      <c r="S124" s="514">
        <f t="shared" si="580"/>
        <v>0</v>
      </c>
      <c r="U124" s="569">
        <v>0.1</v>
      </c>
      <c r="V124" s="503"/>
      <c r="W124" s="500">
        <f t="shared" si="599"/>
        <v>0.12466800000000003</v>
      </c>
      <c r="X124" s="500">
        <f t="shared" si="234"/>
        <v>0.12466800000000003</v>
      </c>
      <c r="Y124" s="514">
        <f t="shared" si="600"/>
        <v>0.12466800000000003</v>
      </c>
      <c r="Z124" s="514">
        <f t="shared" si="601"/>
        <v>0</v>
      </c>
      <c r="AA124" s="514">
        <f t="shared" si="602"/>
        <v>0</v>
      </c>
      <c r="AB124" s="514">
        <f t="shared" si="603"/>
        <v>0</v>
      </c>
      <c r="AC124" s="514">
        <f t="shared" si="604"/>
        <v>0</v>
      </c>
      <c r="AD124" s="567">
        <f t="shared" si="605"/>
        <v>0</v>
      </c>
      <c r="AE124" s="568"/>
      <c r="AF124" s="514">
        <f t="shared" si="606"/>
        <v>0</v>
      </c>
      <c r="AG124" s="514">
        <f t="shared" si="607"/>
        <v>0</v>
      </c>
      <c r="AH124" s="514">
        <f t="shared" si="608"/>
        <v>0</v>
      </c>
      <c r="AI124" s="514">
        <f t="shared" si="609"/>
        <v>0</v>
      </c>
      <c r="AJ124" s="514">
        <f t="shared" si="610"/>
        <v>0</v>
      </c>
      <c r="AK124" s="501"/>
      <c r="AL124" s="570">
        <f t="shared" si="611"/>
        <v>1</v>
      </c>
      <c r="AM124" s="570">
        <f t="shared" si="612"/>
        <v>0</v>
      </c>
      <c r="AN124" s="570">
        <f t="shared" si="613"/>
        <v>0</v>
      </c>
      <c r="AO124" s="518"/>
      <c r="AP124" s="514">
        <f>COUNTIF('AR | Drawing List'!$G:$G,"AR-T6S-3")</f>
        <v>2</v>
      </c>
      <c r="AQ124" s="506">
        <f>COUNTIFS('AR | Drawing List'!$G:$G,"AR-T6S-3",'AR | Drawing List'!$I:$I,1)</f>
        <v>2</v>
      </c>
      <c r="AR124" s="506">
        <f t="shared" si="238"/>
        <v>0</v>
      </c>
      <c r="AS124" s="506">
        <f>COUNTIFS('AR | Drawing List'!$G:$G,"AR-T6S-3",'AR | Drawing List'!M:M,1)</f>
        <v>0</v>
      </c>
      <c r="AT124" s="506">
        <f>COUNTIFS('AR | Drawing List'!$G:$G,"AR-T6S-3",'AR | Drawing List'!N:N,1)</f>
        <v>0</v>
      </c>
      <c r="AU124" s="506">
        <f>COUNTIFS('AR | Drawing List'!$G:$G,"AR-T6S-3",'AR | Drawing List'!O:O,1)</f>
        <v>0</v>
      </c>
      <c r="AV124" s="506">
        <f>COUNTIFS('AR | Drawing List'!$G:$G,"AR-T6S-3",'AR | Drawing List'!P:P,1)</f>
        <v>0</v>
      </c>
      <c r="AW124" s="466"/>
      <c r="AX124" s="506">
        <f t="shared" si="540"/>
        <v>0</v>
      </c>
      <c r="AY124" s="506">
        <f>COUNTIFS('AR | Drawing List'!$G:$G,"AR-T6S-3",'AR | Drawing List'!R:R,1)</f>
        <v>0</v>
      </c>
      <c r="AZ124" s="506">
        <f>COUNTIFS('AR | Drawing List'!$G:$G,"AR-T6S-3",'AR | Drawing List'!S:S,1)</f>
        <v>0</v>
      </c>
      <c r="BA124" s="506">
        <f>COUNTIFS('AR | Drawing List'!$G:$G,"AR-T6S-3",'AR | Drawing List'!T:T,1)</f>
        <v>0</v>
      </c>
      <c r="BB124" s="506">
        <f>COUNTIFS('AR | Drawing List'!$G:$G,"AR-T6S-3",'AR | Drawing List'!U:U,1)</f>
        <v>0</v>
      </c>
      <c r="BC124" s="466"/>
      <c r="BD124" s="466"/>
      <c r="BE124" s="576">
        <v>0</v>
      </c>
      <c r="BF124" s="508"/>
      <c r="BG124" s="506">
        <f t="shared" si="614"/>
        <v>0</v>
      </c>
      <c r="BH124" s="510">
        <f t="shared" si="235"/>
        <v>0</v>
      </c>
      <c r="BI124" s="514">
        <f t="shared" si="615"/>
        <v>0</v>
      </c>
      <c r="BJ124" s="514">
        <f t="shared" si="616"/>
        <v>0</v>
      </c>
      <c r="BK124" s="514">
        <f t="shared" si="617"/>
        <v>0</v>
      </c>
      <c r="BL124" s="514">
        <f t="shared" si="618"/>
        <v>0</v>
      </c>
      <c r="BM124" s="514">
        <f t="shared" si="619"/>
        <v>0</v>
      </c>
      <c r="BN124" s="514">
        <f t="shared" si="620"/>
        <v>0</v>
      </c>
      <c r="BO124" s="501"/>
      <c r="BP124" s="514">
        <f t="shared" si="621"/>
        <v>0</v>
      </c>
      <c r="BQ124" s="514">
        <f t="shared" si="622"/>
        <v>0</v>
      </c>
      <c r="BR124" s="514">
        <f t="shared" si="623"/>
        <v>0</v>
      </c>
      <c r="BS124" s="514">
        <f t="shared" si="624"/>
        <v>0</v>
      </c>
      <c r="BT124" s="514">
        <f t="shared" si="625"/>
        <v>0</v>
      </c>
      <c r="BU124" s="501"/>
      <c r="BV124" s="571">
        <f t="shared" si="626"/>
        <v>0</v>
      </c>
      <c r="BW124" s="571">
        <f t="shared" si="627"/>
        <v>0</v>
      </c>
      <c r="BX124" s="571">
        <f t="shared" si="628"/>
        <v>0</v>
      </c>
      <c r="BY124" s="505"/>
      <c r="BZ124" s="514">
        <f>COUNTIF('ST | Drawing List'!$G:$G,"ST-T6S-3")</f>
        <v>0</v>
      </c>
      <c r="CA124" s="506">
        <f>COUNTIFS('ST | Drawing List'!$G:$G,"ST-T6S-3",'ST | Drawing List'!$I:$I,1)</f>
        <v>0</v>
      </c>
      <c r="CB124" s="572">
        <f>COUNTIFS('ST | Drawing List'!$G:$G,"ST-T6S-3",'ST | Drawing List'!$K:$K,1)</f>
        <v>0</v>
      </c>
      <c r="CC124" s="506">
        <f>COUNTIFS('ST | Drawing List'!$G:$G,"ST-T6S-3",'ST | Drawing List'!L:L,1)</f>
        <v>0</v>
      </c>
      <c r="CD124" s="506">
        <f>COUNTIFS('ST | Drawing List'!$G:$G,"ST-T6S-3",'ST | Drawing List'!M:M,1)</f>
        <v>0</v>
      </c>
      <c r="CE124" s="506">
        <f>COUNTIFS('ST | Drawing List'!$G:$G,"ST-T6S-3",'ST | Drawing List'!N:N,1)</f>
        <v>0</v>
      </c>
      <c r="CF124" s="506">
        <f>COUNTIFS('ST | Drawing List'!$G:$G,"ST-T6S-3",'ST | Drawing List'!O:O,1)</f>
        <v>0</v>
      </c>
      <c r="CG124" s="471"/>
      <c r="CH124" s="572">
        <f>COUNTIFS('ST | Drawing List'!$G:$G,"ST-T6S-3",'ST | Drawing List'!$P:$P,1)</f>
        <v>0</v>
      </c>
      <c r="CI124" s="506">
        <f>COUNTIFS('ST | Drawing List'!$G:$G,"ST-T6S-3",'ST | Drawing List'!Q:Q,1)</f>
        <v>0</v>
      </c>
      <c r="CJ124" s="506">
        <f>COUNTIFS('ST | Drawing List'!$G:$G,"ST-T6S-3",'ST | Drawing List'!R:R,1)</f>
        <v>0</v>
      </c>
      <c r="CK124" s="506">
        <f>COUNTIFS('ST | Drawing List'!$G:$G,"ST-T6S-3",'ST | Drawing List'!S:S,1)</f>
        <v>0</v>
      </c>
      <c r="CL124" s="506">
        <f>COUNTIFS('ST | Drawing List'!$G:$G,"ST-T6S-3",'ST | Drawing List'!T:T,1)</f>
        <v>0</v>
      </c>
      <c r="CM124" s="508"/>
      <c r="CN124" s="508"/>
      <c r="CO124" s="576">
        <v>0</v>
      </c>
      <c r="CP124" s="508"/>
      <c r="CQ124" s="506">
        <f t="shared" si="629"/>
        <v>0</v>
      </c>
      <c r="CR124" s="510">
        <f t="shared" si="236"/>
        <v>0</v>
      </c>
      <c r="CS124" s="514">
        <f t="shared" si="630"/>
        <v>0</v>
      </c>
      <c r="CT124" s="514">
        <f t="shared" si="631"/>
        <v>0</v>
      </c>
      <c r="CU124" s="514">
        <f t="shared" si="632"/>
        <v>0</v>
      </c>
      <c r="CV124" s="514">
        <f t="shared" si="633"/>
        <v>0</v>
      </c>
      <c r="CW124" s="514">
        <f t="shared" si="634"/>
        <v>0</v>
      </c>
      <c r="CX124" s="514">
        <f t="shared" si="635"/>
        <v>0</v>
      </c>
      <c r="CY124" s="501"/>
      <c r="CZ124" s="514">
        <f t="shared" si="636"/>
        <v>0</v>
      </c>
      <c r="DA124" s="514">
        <f t="shared" si="637"/>
        <v>0</v>
      </c>
      <c r="DB124" s="514">
        <f t="shared" si="638"/>
        <v>0</v>
      </c>
      <c r="DC124" s="514">
        <f t="shared" si="639"/>
        <v>0</v>
      </c>
      <c r="DD124" s="514">
        <f t="shared" si="640"/>
        <v>0</v>
      </c>
      <c r="DE124" s="501"/>
      <c r="DF124" s="570">
        <f t="shared" si="641"/>
        <v>0</v>
      </c>
      <c r="DG124" s="570">
        <f t="shared" si="642"/>
        <v>0</v>
      </c>
      <c r="DH124" s="570">
        <f t="shared" si="643"/>
        <v>0</v>
      </c>
      <c r="DI124" s="505"/>
      <c r="DJ124" s="514">
        <f>COUNTIF('MEP | Drawing List'!$G:$G,"MEP-T2S-6S-3")</f>
        <v>0</v>
      </c>
      <c r="DK124" s="506">
        <f>COUNTIFS('MEP | Drawing List'!$G:$G,"MEP-T2S-6S-3",'MEP | Drawing List'!$I:$I,1)</f>
        <v>0</v>
      </c>
      <c r="DL124" s="506">
        <f>COUNTIFS('MEP | Drawing List'!$G:$G,"MEP-T2S-6S-3",'MEP | Drawing List'!$K:$K,1)</f>
        <v>0</v>
      </c>
      <c r="DM124" s="514">
        <f>COUNTIFS('MEP | Drawing List'!$G:$G,"MEP-T2S-6S-3",'MEP | Drawing List'!L:L,1)</f>
        <v>0</v>
      </c>
      <c r="DN124" s="514">
        <f>COUNTIFS('MEP | Drawing List'!$G:$G,"MEP-T2S-6S-3",'MEP | Drawing List'!M:M,1)</f>
        <v>0</v>
      </c>
      <c r="DO124" s="514">
        <f>COUNTIFS('MEP | Drawing List'!$G:$G,"MEP-T2S-6S-3",'MEP | Drawing List'!N:N,1)</f>
        <v>0</v>
      </c>
      <c r="DP124" s="514">
        <f>COUNTIFS('MEP | Drawing List'!$G:$G,"MEP-T2S-6S-3",'MEP | Drawing List'!O:O,1)</f>
        <v>0</v>
      </c>
      <c r="DQ124" s="501"/>
      <c r="DR124" s="506">
        <f>COUNTIFS('MEP | Drawing List'!$G:$G,"MEP-T2S-6S-3",'MEP | Drawing List'!$P:$P,1)</f>
        <v>0</v>
      </c>
      <c r="DS124" s="514">
        <f>COUNTIFS('MEP | Drawing List'!$G:$G,"MEP-T2S-6S-3",'MEP | Drawing List'!Q:Q,1)</f>
        <v>0</v>
      </c>
      <c r="DT124" s="514">
        <f>COUNTIFS('MEP | Drawing List'!$G:$G,"MEP-T2S-6S-3",'MEP | Drawing List'!R:R,1)</f>
        <v>0</v>
      </c>
      <c r="DU124" s="514">
        <f>COUNTIFS('MEP | Drawing List'!$G:$G,"MEP-T2S-6S-3",'MEP | Drawing List'!S:S,1)</f>
        <v>0</v>
      </c>
      <c r="DV124" s="514">
        <f>COUNTIFS('MEP | Drawing List'!$G:$G,"MEP-T2S-6S-3",'MEP | Drawing List'!T:T,1)</f>
        <v>0</v>
      </c>
      <c r="DW124" s="508"/>
      <c r="DX124" s="508"/>
      <c r="DY124" s="511">
        <v>0</v>
      </c>
      <c r="DZ124" s="508"/>
      <c r="EA124" s="506">
        <f t="shared" ref="EA124:EZ124" si="655">EA78</f>
        <v>0</v>
      </c>
      <c r="EB124" s="510">
        <f t="shared" si="237"/>
        <v>0</v>
      </c>
      <c r="EC124" s="510">
        <f t="shared" si="655"/>
        <v>0</v>
      </c>
      <c r="ED124" s="510">
        <f t="shared" si="655"/>
        <v>0</v>
      </c>
      <c r="EE124" s="514">
        <f t="shared" si="655"/>
        <v>0</v>
      </c>
      <c r="EF124" s="514">
        <f t="shared" si="655"/>
        <v>0</v>
      </c>
      <c r="EG124" s="514">
        <f t="shared" si="655"/>
        <v>0</v>
      </c>
      <c r="EH124" s="514">
        <f t="shared" si="655"/>
        <v>0</v>
      </c>
      <c r="EI124" s="501"/>
      <c r="EJ124" s="567">
        <f t="shared" si="644"/>
        <v>0</v>
      </c>
      <c r="EK124" s="514">
        <f t="shared" si="645"/>
        <v>0</v>
      </c>
      <c r="EL124" s="514">
        <f t="shared" si="646"/>
        <v>0</v>
      </c>
      <c r="EM124" s="514">
        <f t="shared" si="647"/>
        <v>0</v>
      </c>
      <c r="EN124" s="514">
        <f t="shared" si="648"/>
        <v>0</v>
      </c>
      <c r="EO124" s="501"/>
      <c r="EP124" s="585">
        <f t="shared" si="649"/>
        <v>0</v>
      </c>
      <c r="EQ124" s="585">
        <f t="shared" si="650"/>
        <v>0</v>
      </c>
      <c r="ER124" s="585">
        <f t="shared" si="651"/>
        <v>0</v>
      </c>
      <c r="ES124" s="450">
        <f t="shared" si="655"/>
        <v>0</v>
      </c>
      <c r="ET124" s="514">
        <f t="shared" si="655"/>
        <v>0</v>
      </c>
      <c r="EU124" s="506">
        <f t="shared" si="655"/>
        <v>0</v>
      </c>
      <c r="EV124" s="506">
        <f t="shared" si="655"/>
        <v>0</v>
      </c>
      <c r="EW124" s="514">
        <f t="shared" si="655"/>
        <v>0</v>
      </c>
      <c r="EX124" s="514">
        <f t="shared" si="655"/>
        <v>0</v>
      </c>
      <c r="EY124" s="514">
        <f t="shared" si="655"/>
        <v>0</v>
      </c>
      <c r="EZ124" s="514">
        <f t="shared" si="655"/>
        <v>0</v>
      </c>
      <c r="FA124" s="515"/>
      <c r="FB124" s="506">
        <f t="shared" ref="FB124:FF124" si="656">FB78</f>
        <v>0</v>
      </c>
      <c r="FC124" s="514">
        <f t="shared" si="656"/>
        <v>0</v>
      </c>
      <c r="FD124" s="514">
        <f t="shared" si="656"/>
        <v>0</v>
      </c>
      <c r="FE124" s="514">
        <f t="shared" si="656"/>
        <v>0</v>
      </c>
      <c r="FF124" s="514">
        <f t="shared" si="656"/>
        <v>0</v>
      </c>
    </row>
    <row r="125" spans="2:162" s="51" customFormat="1" ht="14.25" outlineLevel="2">
      <c r="B125" s="604" t="s">
        <v>131</v>
      </c>
      <c r="C125" s="579">
        <v>4</v>
      </c>
      <c r="D125" s="580" t="s">
        <v>88</v>
      </c>
      <c r="F125" s="500">
        <f t="shared" si="596"/>
        <v>9.8992440000000015E-2</v>
      </c>
      <c r="G125" s="500">
        <f t="shared" si="597"/>
        <v>9.8992440000000015E-2</v>
      </c>
      <c r="H125" s="514">
        <f t="shared" si="598"/>
        <v>0</v>
      </c>
      <c r="I125" s="514">
        <f t="shared" si="571"/>
        <v>0</v>
      </c>
      <c r="J125" s="514">
        <f t="shared" si="572"/>
        <v>0</v>
      </c>
      <c r="K125" s="514">
        <f t="shared" si="573"/>
        <v>0</v>
      </c>
      <c r="L125" s="514">
        <f t="shared" si="574"/>
        <v>0</v>
      </c>
      <c r="M125" s="567">
        <f t="shared" si="575"/>
        <v>0</v>
      </c>
      <c r="N125" s="568"/>
      <c r="O125" s="514">
        <f t="shared" si="576"/>
        <v>0</v>
      </c>
      <c r="P125" s="514">
        <f t="shared" si="577"/>
        <v>0</v>
      </c>
      <c r="Q125" s="514">
        <f t="shared" si="578"/>
        <v>0</v>
      </c>
      <c r="R125" s="514">
        <f t="shared" si="579"/>
        <v>0</v>
      </c>
      <c r="S125" s="514">
        <f t="shared" si="580"/>
        <v>0</v>
      </c>
      <c r="U125" s="583">
        <v>0.05</v>
      </c>
      <c r="V125" s="584"/>
      <c r="W125" s="581">
        <f t="shared" si="599"/>
        <v>6.2334000000000014E-2</v>
      </c>
      <c r="X125" s="581">
        <f t="shared" si="234"/>
        <v>6.2334000000000014E-2</v>
      </c>
      <c r="Y125" s="567">
        <f t="shared" si="600"/>
        <v>6.2334000000000014E-2</v>
      </c>
      <c r="Z125" s="567">
        <f t="shared" si="601"/>
        <v>0</v>
      </c>
      <c r="AA125" s="567">
        <f t="shared" si="602"/>
        <v>0</v>
      </c>
      <c r="AB125" s="567">
        <f t="shared" si="603"/>
        <v>0</v>
      </c>
      <c r="AC125" s="567">
        <f t="shared" si="604"/>
        <v>0</v>
      </c>
      <c r="AD125" s="567">
        <f t="shared" si="605"/>
        <v>0</v>
      </c>
      <c r="AE125" s="568"/>
      <c r="AF125" s="514">
        <f t="shared" si="606"/>
        <v>0</v>
      </c>
      <c r="AG125" s="514">
        <f t="shared" si="607"/>
        <v>0</v>
      </c>
      <c r="AH125" s="514">
        <f t="shared" si="608"/>
        <v>0</v>
      </c>
      <c r="AI125" s="514">
        <f t="shared" si="609"/>
        <v>0</v>
      </c>
      <c r="AJ125" s="514">
        <f t="shared" si="610"/>
        <v>0</v>
      </c>
      <c r="AK125" s="501"/>
      <c r="AL125" s="585">
        <f t="shared" si="611"/>
        <v>1</v>
      </c>
      <c r="AM125" s="585">
        <f t="shared" si="612"/>
        <v>0</v>
      </c>
      <c r="AN125" s="570">
        <f t="shared" si="613"/>
        <v>0</v>
      </c>
      <c r="AO125" s="605"/>
      <c r="AP125" s="567">
        <f>COUNTIF('AR | Drawing List'!$G:$G,"AR-T6S-4")</f>
        <v>3</v>
      </c>
      <c r="AQ125" s="582">
        <f>COUNTIFS('AR | Drawing List'!$G:$G,"AR-T6S-4",'AR | Drawing List'!$I:$I,1)</f>
        <v>3</v>
      </c>
      <c r="AR125" s="582">
        <f t="shared" si="238"/>
        <v>0</v>
      </c>
      <c r="AS125" s="582">
        <f>COUNTIFS('AR | Drawing List'!$G:$G,"AR-T6S-4",'AR | Drawing List'!M:M,1)</f>
        <v>0</v>
      </c>
      <c r="AT125" s="582">
        <f>COUNTIFS('AR | Drawing List'!$G:$G,"AR-T6S-4",'AR | Drawing List'!N:N,1)</f>
        <v>0</v>
      </c>
      <c r="AU125" s="582">
        <f>COUNTIFS('AR | Drawing List'!$G:$G,"AR-T6S-4",'AR | Drawing List'!O:O,1)</f>
        <v>0</v>
      </c>
      <c r="AV125" s="582">
        <f>COUNTIFS('AR | Drawing List'!$G:$G,"AR-T6S-4",'AR | Drawing List'!P:P,1)</f>
        <v>0</v>
      </c>
      <c r="AW125" s="587"/>
      <c r="AX125" s="582">
        <f t="shared" si="540"/>
        <v>0</v>
      </c>
      <c r="AY125" s="582">
        <f>COUNTIFS('AR | Drawing List'!$G:$G,"AR-T6S-4",'AR | Drawing List'!R:R,1)</f>
        <v>0</v>
      </c>
      <c r="AZ125" s="582">
        <f>COUNTIFS('AR | Drawing List'!$G:$G,"AR-T6S-4",'AR | Drawing List'!S:S,1)</f>
        <v>0</v>
      </c>
      <c r="BA125" s="582">
        <f>COUNTIFS('AR | Drawing List'!$G:$G,"AR-T6S-4",'AR | Drawing List'!T:T,1)</f>
        <v>0</v>
      </c>
      <c r="BB125" s="582">
        <f>COUNTIFS('AR | Drawing List'!$G:$G,"AR-T6S-4",'AR | Drawing List'!U:U,1)</f>
        <v>0</v>
      </c>
      <c r="BC125" s="587"/>
      <c r="BD125" s="587"/>
      <c r="BE125" s="592">
        <v>0.05</v>
      </c>
      <c r="BF125" s="588"/>
      <c r="BG125" s="582">
        <f t="shared" si="614"/>
        <v>2.5988039999999997E-2</v>
      </c>
      <c r="BH125" s="589">
        <f t="shared" si="235"/>
        <v>2.5988039999999997E-2</v>
      </c>
      <c r="BI125" s="567">
        <f t="shared" si="615"/>
        <v>2.5988039999999997E-2</v>
      </c>
      <c r="BJ125" s="567">
        <f t="shared" si="616"/>
        <v>0</v>
      </c>
      <c r="BK125" s="514">
        <f t="shared" si="617"/>
        <v>0</v>
      </c>
      <c r="BL125" s="514">
        <f t="shared" si="618"/>
        <v>0</v>
      </c>
      <c r="BM125" s="514">
        <f t="shared" si="619"/>
        <v>0</v>
      </c>
      <c r="BN125" s="514">
        <f t="shared" si="620"/>
        <v>0</v>
      </c>
      <c r="BO125" s="501"/>
      <c r="BP125" s="514">
        <f t="shared" si="621"/>
        <v>0</v>
      </c>
      <c r="BQ125" s="514">
        <f t="shared" si="622"/>
        <v>0</v>
      </c>
      <c r="BR125" s="514">
        <f t="shared" si="623"/>
        <v>0</v>
      </c>
      <c r="BS125" s="514">
        <f t="shared" si="624"/>
        <v>0</v>
      </c>
      <c r="BT125" s="514">
        <f t="shared" si="625"/>
        <v>0</v>
      </c>
      <c r="BU125" s="501"/>
      <c r="BV125" s="571">
        <f t="shared" si="626"/>
        <v>1</v>
      </c>
      <c r="BW125" s="571">
        <f t="shared" si="627"/>
        <v>0</v>
      </c>
      <c r="BX125" s="571">
        <f t="shared" si="628"/>
        <v>0</v>
      </c>
      <c r="BY125" s="586"/>
      <c r="BZ125" s="567">
        <f>COUNTIF('ST | Drawing List'!$G:$G,"ST-T6S-4")</f>
        <v>64</v>
      </c>
      <c r="CA125" s="582">
        <f>COUNTIFS('ST | Drawing List'!$G:$G,"ST-T6S-4",'ST | Drawing List'!$I:$I,1)</f>
        <v>64</v>
      </c>
      <c r="CB125" s="590">
        <f>COUNTIFS('ST | Drawing List'!$G:$G,"ST-T6S-4",'ST | Drawing List'!$K:$K,1)</f>
        <v>0</v>
      </c>
      <c r="CC125" s="582">
        <f>COUNTIFS('ST | Drawing List'!$G:$G,"ST-T6S-4",'ST | Drawing List'!L:L,1)</f>
        <v>0</v>
      </c>
      <c r="CD125" s="582">
        <f>COUNTIFS('ST | Drawing List'!$G:$G,"ST-T6S-4",'ST | Drawing List'!M:M,1)</f>
        <v>0</v>
      </c>
      <c r="CE125" s="582">
        <f>COUNTIFS('ST | Drawing List'!$G:$G,"ST-T6S-4",'ST | Drawing List'!N:N,1)</f>
        <v>0</v>
      </c>
      <c r="CF125" s="582">
        <f>COUNTIFS('ST | Drawing List'!$G:$G,"ST-T6S-4",'ST | Drawing List'!O:O,1)</f>
        <v>0</v>
      </c>
      <c r="CG125" s="591"/>
      <c r="CH125" s="590">
        <f>COUNTIFS('ST | Drawing List'!$G:$G,"ST-T6S-4",'ST | Drawing List'!$P:$P,1)</f>
        <v>0</v>
      </c>
      <c r="CI125" s="582">
        <f>COUNTIFS('ST | Drawing List'!$G:$G,"ST-T6S-4",'ST | Drawing List'!Q:Q,1)</f>
        <v>0</v>
      </c>
      <c r="CJ125" s="582">
        <f>COUNTIFS('ST | Drawing List'!$G:$G,"ST-T6S-4",'ST | Drawing List'!R:R,1)</f>
        <v>0</v>
      </c>
      <c r="CK125" s="582">
        <f>COUNTIFS('ST | Drawing List'!$G:$G,"ST-T6S-4",'ST | Drawing List'!S:S,1)</f>
        <v>0</v>
      </c>
      <c r="CL125" s="582">
        <f>COUNTIFS('ST | Drawing List'!$G:$G,"ST-T6S-4",'ST | Drawing List'!T:T,1)</f>
        <v>0</v>
      </c>
      <c r="CM125" s="588"/>
      <c r="CN125" s="588"/>
      <c r="CO125" s="592">
        <v>0.15</v>
      </c>
      <c r="CP125" s="588"/>
      <c r="CQ125" s="582">
        <f t="shared" si="629"/>
        <v>1.06704E-2</v>
      </c>
      <c r="CR125" s="589">
        <f t="shared" si="236"/>
        <v>1.06704E-2</v>
      </c>
      <c r="CS125" s="567">
        <f t="shared" si="630"/>
        <v>1.06704E-2</v>
      </c>
      <c r="CT125" s="514">
        <f t="shared" si="631"/>
        <v>0</v>
      </c>
      <c r="CU125" s="514">
        <f t="shared" si="632"/>
        <v>0</v>
      </c>
      <c r="CV125" s="514">
        <f t="shared" si="633"/>
        <v>0</v>
      </c>
      <c r="CW125" s="514">
        <f t="shared" si="634"/>
        <v>0</v>
      </c>
      <c r="CX125" s="514">
        <f t="shared" si="635"/>
        <v>0</v>
      </c>
      <c r="CY125" s="501"/>
      <c r="CZ125" s="514">
        <f t="shared" si="636"/>
        <v>0</v>
      </c>
      <c r="DA125" s="514">
        <f t="shared" si="637"/>
        <v>0</v>
      </c>
      <c r="DB125" s="514">
        <f t="shared" si="638"/>
        <v>0</v>
      </c>
      <c r="DC125" s="514">
        <f t="shared" si="639"/>
        <v>0</v>
      </c>
      <c r="DD125" s="514">
        <f t="shared" si="640"/>
        <v>0</v>
      </c>
      <c r="DE125" s="501"/>
      <c r="DF125" s="570">
        <f t="shared" si="641"/>
        <v>1</v>
      </c>
      <c r="DG125" s="570">
        <f t="shared" si="642"/>
        <v>0</v>
      </c>
      <c r="DH125" s="570">
        <f t="shared" si="643"/>
        <v>0</v>
      </c>
      <c r="DI125" s="586"/>
      <c r="DJ125" s="567">
        <f>COUNTIF('MEP | Drawing List'!$G:$G,"MEP-T2S-6S-4")</f>
        <v>81</v>
      </c>
      <c r="DK125" s="582">
        <f>COUNTIFS('MEP | Drawing List'!$G:$G,"MEP-T2S-6S-4",'MEP | Drawing List'!$I:$I,1)</f>
        <v>81</v>
      </c>
      <c r="DL125" s="582">
        <f>COUNTIFS('MEP | Drawing List'!$G:$G,"MEP-T2S-6S-4",'MEP | Drawing List'!$K:$K,1)</f>
        <v>0</v>
      </c>
      <c r="DM125" s="567">
        <f>COUNTIFS('MEP | Drawing List'!$G:$G,"MEP-T2S-6S-4",'MEP | Drawing List'!L:L,1)</f>
        <v>0</v>
      </c>
      <c r="DN125" s="567">
        <f>COUNTIFS('MEP | Drawing List'!$G:$G,"MEP-T2S-6S-4",'MEP | Drawing List'!M:M,1)</f>
        <v>0</v>
      </c>
      <c r="DO125" s="567">
        <f>COUNTIFS('MEP | Drawing List'!$G:$G,"MEP-T2S-6S-4",'MEP | Drawing List'!N:N,1)</f>
        <v>0</v>
      </c>
      <c r="DP125" s="567">
        <f>COUNTIFS('MEP | Drawing List'!$G:$G,"MEP-T2S-6S-4",'MEP | Drawing List'!O:O,1)</f>
        <v>0</v>
      </c>
      <c r="DQ125" s="568"/>
      <c r="DR125" s="582">
        <f>COUNTIFS('MEP | Drawing List'!$G:$G,"MEP-T2S-6S-4",'MEP | Drawing List'!$P:$P,1)</f>
        <v>0</v>
      </c>
      <c r="DS125" s="567">
        <f>COUNTIFS('MEP | Drawing List'!$G:$G,"MEP-T2S-6S-4",'MEP | Drawing List'!Q:Q,1)</f>
        <v>0</v>
      </c>
      <c r="DT125" s="567">
        <f>COUNTIFS('MEP | Drawing List'!$G:$G,"MEP-T2S-6S-4",'MEP | Drawing List'!R:R,1)</f>
        <v>0</v>
      </c>
      <c r="DU125" s="567">
        <f>COUNTIFS('MEP | Drawing List'!$G:$G,"MEP-T2S-6S-4",'MEP | Drawing List'!S:S,1)</f>
        <v>0</v>
      </c>
      <c r="DV125" s="567">
        <f>COUNTIFS('MEP | Drawing List'!$G:$G,"MEP-T2S-6S-4",'MEP | Drawing List'!T:T,1)</f>
        <v>0</v>
      </c>
      <c r="DW125" s="588"/>
      <c r="DX125" s="588"/>
      <c r="DY125" s="511">
        <v>0</v>
      </c>
      <c r="DZ125" s="588"/>
      <c r="EA125" s="506">
        <f t="shared" ref="EA125:EZ125" si="657">EA79</f>
        <v>0</v>
      </c>
      <c r="EB125" s="589">
        <f t="shared" si="237"/>
        <v>0</v>
      </c>
      <c r="EC125" s="589">
        <f t="shared" si="657"/>
        <v>0</v>
      </c>
      <c r="ED125" s="589">
        <f t="shared" si="657"/>
        <v>0</v>
      </c>
      <c r="EE125" s="514">
        <f t="shared" si="657"/>
        <v>0</v>
      </c>
      <c r="EF125" s="514">
        <f t="shared" si="657"/>
        <v>0</v>
      </c>
      <c r="EG125" s="514">
        <f t="shared" si="657"/>
        <v>0</v>
      </c>
      <c r="EH125" s="514">
        <f t="shared" si="657"/>
        <v>0</v>
      </c>
      <c r="EI125" s="501"/>
      <c r="EJ125" s="567">
        <f t="shared" si="644"/>
        <v>0</v>
      </c>
      <c r="EK125" s="514">
        <f t="shared" si="645"/>
        <v>0</v>
      </c>
      <c r="EL125" s="514">
        <f t="shared" si="646"/>
        <v>0</v>
      </c>
      <c r="EM125" s="514">
        <f t="shared" si="647"/>
        <v>0</v>
      </c>
      <c r="EN125" s="514">
        <f t="shared" si="648"/>
        <v>0</v>
      </c>
      <c r="EO125" s="501"/>
      <c r="EP125" s="585">
        <f t="shared" si="649"/>
        <v>1</v>
      </c>
      <c r="EQ125" s="585">
        <f t="shared" si="650"/>
        <v>0</v>
      </c>
      <c r="ER125" s="585">
        <f t="shared" si="651"/>
        <v>0</v>
      </c>
      <c r="ES125" s="510">
        <f t="shared" si="657"/>
        <v>0</v>
      </c>
      <c r="ET125" s="514">
        <f t="shared" si="657"/>
        <v>6</v>
      </c>
      <c r="EU125" s="506">
        <f t="shared" si="657"/>
        <v>6</v>
      </c>
      <c r="EV125" s="506">
        <f t="shared" si="657"/>
        <v>0</v>
      </c>
      <c r="EW125" s="514">
        <f t="shared" si="657"/>
        <v>0</v>
      </c>
      <c r="EX125" s="514">
        <f t="shared" si="657"/>
        <v>0</v>
      </c>
      <c r="EY125" s="514">
        <f t="shared" si="657"/>
        <v>0</v>
      </c>
      <c r="EZ125" s="514">
        <f t="shared" si="657"/>
        <v>0</v>
      </c>
      <c r="FA125" s="515"/>
      <c r="FB125" s="506">
        <f t="shared" ref="FB125:FF125" si="658">FB79</f>
        <v>0</v>
      </c>
      <c r="FC125" s="514">
        <f t="shared" si="658"/>
        <v>0</v>
      </c>
      <c r="FD125" s="514">
        <f t="shared" si="658"/>
        <v>0</v>
      </c>
      <c r="FE125" s="514">
        <f t="shared" si="658"/>
        <v>0</v>
      </c>
      <c r="FF125" s="514">
        <f t="shared" si="658"/>
        <v>0</v>
      </c>
    </row>
    <row r="126" spans="2:162" ht="14.25" outlineLevel="2">
      <c r="B126" s="604" t="s">
        <v>132</v>
      </c>
      <c r="C126" s="565">
        <v>5</v>
      </c>
      <c r="D126" s="566" t="s">
        <v>250</v>
      </c>
      <c r="F126" s="500">
        <f t="shared" si="596"/>
        <v>0.11431008000000001</v>
      </c>
      <c r="G126" s="500">
        <f t="shared" si="597"/>
        <v>0.11431008000000001</v>
      </c>
      <c r="H126" s="514">
        <f t="shared" si="598"/>
        <v>0</v>
      </c>
      <c r="I126" s="514">
        <f t="shared" si="571"/>
        <v>0</v>
      </c>
      <c r="J126" s="514">
        <f t="shared" si="572"/>
        <v>0</v>
      </c>
      <c r="K126" s="514">
        <f t="shared" si="573"/>
        <v>0</v>
      </c>
      <c r="L126" s="514">
        <f t="shared" si="574"/>
        <v>0</v>
      </c>
      <c r="M126" s="567">
        <f t="shared" si="575"/>
        <v>0</v>
      </c>
      <c r="N126" s="568"/>
      <c r="O126" s="514">
        <f t="shared" si="576"/>
        <v>0</v>
      </c>
      <c r="P126" s="514">
        <f t="shared" si="577"/>
        <v>0</v>
      </c>
      <c r="Q126" s="514">
        <f t="shared" si="578"/>
        <v>0</v>
      </c>
      <c r="R126" s="514">
        <f t="shared" si="579"/>
        <v>0</v>
      </c>
      <c r="S126" s="514">
        <f t="shared" si="580"/>
        <v>0</v>
      </c>
      <c r="U126" s="569">
        <v>0.05</v>
      </c>
      <c r="V126" s="503"/>
      <c r="W126" s="500">
        <f t="shared" si="599"/>
        <v>6.2334000000000014E-2</v>
      </c>
      <c r="X126" s="500">
        <f t="shared" si="234"/>
        <v>6.2334000000000014E-2</v>
      </c>
      <c r="Y126" s="514">
        <f t="shared" si="600"/>
        <v>6.2334000000000014E-2</v>
      </c>
      <c r="Z126" s="514">
        <f t="shared" si="601"/>
        <v>0</v>
      </c>
      <c r="AA126" s="514">
        <f t="shared" si="602"/>
        <v>0</v>
      </c>
      <c r="AB126" s="514">
        <f t="shared" si="603"/>
        <v>0</v>
      </c>
      <c r="AC126" s="514">
        <f t="shared" si="604"/>
        <v>0</v>
      </c>
      <c r="AD126" s="567">
        <f t="shared" si="605"/>
        <v>0</v>
      </c>
      <c r="AE126" s="568"/>
      <c r="AF126" s="514">
        <f t="shared" si="606"/>
        <v>0</v>
      </c>
      <c r="AG126" s="514">
        <f t="shared" si="607"/>
        <v>0</v>
      </c>
      <c r="AH126" s="514">
        <f t="shared" si="608"/>
        <v>0</v>
      </c>
      <c r="AI126" s="514">
        <f t="shared" si="609"/>
        <v>0</v>
      </c>
      <c r="AJ126" s="514">
        <f t="shared" si="610"/>
        <v>0</v>
      </c>
      <c r="AK126" s="501"/>
      <c r="AL126" s="570">
        <f t="shared" si="611"/>
        <v>1</v>
      </c>
      <c r="AM126" s="570">
        <f t="shared" si="612"/>
        <v>0</v>
      </c>
      <c r="AN126" s="570">
        <f t="shared" si="613"/>
        <v>0</v>
      </c>
      <c r="AO126" s="518"/>
      <c r="AP126" s="514">
        <f>COUNTIF('AR | Drawing List'!$G:$G,"AR-T6S-5")</f>
        <v>4</v>
      </c>
      <c r="AQ126" s="506">
        <f>COUNTIFS('AR | Drawing List'!$G:$G,"AR-T6S-5",'AR | Drawing List'!$I:$I,1)</f>
        <v>4</v>
      </c>
      <c r="AR126" s="506">
        <f t="shared" si="238"/>
        <v>0</v>
      </c>
      <c r="AS126" s="506">
        <f>COUNTIFS('AR | Drawing List'!$G:$G,"AR-T6S-5",'AR | Drawing List'!M:M,1)</f>
        <v>0</v>
      </c>
      <c r="AT126" s="506">
        <f>COUNTIFS('AR | Drawing List'!$G:$G,"AR-T6S-5",'AR | Drawing List'!N:N,1)</f>
        <v>0</v>
      </c>
      <c r="AU126" s="506">
        <f>COUNTIFS('AR | Drawing List'!$G:$G,"AR-T6S-5",'AR | Drawing List'!O:O,1)</f>
        <v>0</v>
      </c>
      <c r="AV126" s="506">
        <f>COUNTIFS('AR | Drawing List'!$G:$G,"AR-T6S-5",'AR | Drawing List'!P:P,1)</f>
        <v>0</v>
      </c>
      <c r="AW126" s="466"/>
      <c r="AX126" s="506">
        <f t="shared" si="540"/>
        <v>0</v>
      </c>
      <c r="AY126" s="506">
        <f>COUNTIFS('AR | Drawing List'!$G:$G,"AR-T6S-5",'AR | Drawing List'!R:R,1)</f>
        <v>0</v>
      </c>
      <c r="AZ126" s="506">
        <f>COUNTIFS('AR | Drawing List'!$G:$G,"AR-T6S-5",'AR | Drawing List'!S:S,1)</f>
        <v>0</v>
      </c>
      <c r="BA126" s="506">
        <f>COUNTIFS('AR | Drawing List'!$G:$G,"AR-T6S-5",'AR | Drawing List'!T:T,1)</f>
        <v>0</v>
      </c>
      <c r="BB126" s="506">
        <f>COUNTIFS('AR | Drawing List'!$G:$G,"AR-T6S-5",'AR | Drawing List'!U:U,1)</f>
        <v>0</v>
      </c>
      <c r="BC126" s="551"/>
      <c r="BD126" s="551"/>
      <c r="BE126" s="511">
        <v>0.1</v>
      </c>
      <c r="BF126" s="508"/>
      <c r="BG126" s="506">
        <f t="shared" si="614"/>
        <v>5.1976079999999994E-2</v>
      </c>
      <c r="BH126" s="510">
        <f t="shared" si="235"/>
        <v>5.1976079999999994E-2</v>
      </c>
      <c r="BI126" s="514">
        <f t="shared" si="615"/>
        <v>5.1976079999999994E-2</v>
      </c>
      <c r="BJ126" s="514">
        <f t="shared" si="616"/>
        <v>0</v>
      </c>
      <c r="BK126" s="514">
        <f t="shared" si="617"/>
        <v>0</v>
      </c>
      <c r="BL126" s="514">
        <f t="shared" si="618"/>
        <v>0</v>
      </c>
      <c r="BM126" s="514">
        <f t="shared" si="619"/>
        <v>0</v>
      </c>
      <c r="BN126" s="514">
        <f t="shared" si="620"/>
        <v>0</v>
      </c>
      <c r="BO126" s="501"/>
      <c r="BP126" s="514">
        <f t="shared" si="621"/>
        <v>0</v>
      </c>
      <c r="BQ126" s="514">
        <f t="shared" si="622"/>
        <v>0</v>
      </c>
      <c r="BR126" s="514">
        <f t="shared" si="623"/>
        <v>0</v>
      </c>
      <c r="BS126" s="514">
        <f t="shared" si="624"/>
        <v>0</v>
      </c>
      <c r="BT126" s="514">
        <f t="shared" si="625"/>
        <v>0</v>
      </c>
      <c r="BU126" s="501"/>
      <c r="BV126" s="571">
        <f t="shared" si="626"/>
        <v>1</v>
      </c>
      <c r="BW126" s="571">
        <f t="shared" si="627"/>
        <v>0</v>
      </c>
      <c r="BX126" s="571">
        <f t="shared" si="628"/>
        <v>0</v>
      </c>
      <c r="BY126" s="518"/>
      <c r="BZ126" s="514">
        <f>COUNTIF('ST | Drawing List'!$G:$G,"ST-T6S-5")</f>
        <v>55</v>
      </c>
      <c r="CA126" s="506">
        <f>COUNTIFS('ST | Drawing List'!$G:$G,"ST-T6S-5",'ST | Drawing List'!$I:$I,1)</f>
        <v>55</v>
      </c>
      <c r="CB126" s="572">
        <f>COUNTIFS('ST | Drawing List'!$G:$G,"ST-T6S-5",'ST | Drawing List'!$K:$K,1)</f>
        <v>0</v>
      </c>
      <c r="CC126" s="506">
        <f>COUNTIFS('ST | Drawing List'!$G:$G,"ST-T6S-5",'ST | Drawing List'!L:L,1)</f>
        <v>0</v>
      </c>
      <c r="CD126" s="506">
        <f>COUNTIFS('ST | Drawing List'!$G:$G,"ST-T6S-5",'ST | Drawing List'!M:M,1)</f>
        <v>0</v>
      </c>
      <c r="CE126" s="506">
        <f>COUNTIFS('ST | Drawing List'!$G:$G,"ST-T6S-5",'ST | Drawing List'!N:N,1)</f>
        <v>0</v>
      </c>
      <c r="CF126" s="506">
        <f>COUNTIFS('ST | Drawing List'!$G:$G,"ST-T6S-5",'ST | Drawing List'!O:O,1)</f>
        <v>0</v>
      </c>
      <c r="CG126" s="471"/>
      <c r="CH126" s="572">
        <f>COUNTIFS('ST | Drawing List'!$G:$G,"ST-T6S-5",'ST | Drawing List'!$P:$P,1)</f>
        <v>0</v>
      </c>
      <c r="CI126" s="506">
        <f>COUNTIFS('ST | Drawing List'!$G:$G,"ST-T6S-5",'ST | Drawing List'!Q:Q,1)</f>
        <v>0</v>
      </c>
      <c r="CJ126" s="506">
        <f>COUNTIFS('ST | Drawing List'!$G:$G,"ST-T6S-5",'ST | Drawing List'!R:R,1)</f>
        <v>0</v>
      </c>
      <c r="CK126" s="506">
        <f>COUNTIFS('ST | Drawing List'!$G:$G,"ST-T6S-5",'ST | Drawing List'!S:S,1)</f>
        <v>0</v>
      </c>
      <c r="CL126" s="506">
        <f>COUNTIFS('ST | Drawing List'!$G:$G,"ST-T6S-5",'ST | Drawing List'!T:T,1)</f>
        <v>0</v>
      </c>
      <c r="CM126" s="508"/>
      <c r="CN126" s="508"/>
      <c r="CO126" s="576">
        <v>0</v>
      </c>
      <c r="CP126" s="508"/>
      <c r="CQ126" s="506">
        <f t="shared" si="629"/>
        <v>0</v>
      </c>
      <c r="CR126" s="510">
        <f t="shared" si="236"/>
        <v>0</v>
      </c>
      <c r="CS126" s="514">
        <f t="shared" si="630"/>
        <v>0</v>
      </c>
      <c r="CT126" s="514">
        <f t="shared" si="631"/>
        <v>0</v>
      </c>
      <c r="CU126" s="514">
        <f t="shared" si="632"/>
        <v>0</v>
      </c>
      <c r="CV126" s="514">
        <f t="shared" si="633"/>
        <v>0</v>
      </c>
      <c r="CW126" s="514">
        <f t="shared" si="634"/>
        <v>0</v>
      </c>
      <c r="CX126" s="514">
        <f t="shared" si="635"/>
        <v>0</v>
      </c>
      <c r="CY126" s="501"/>
      <c r="CZ126" s="514">
        <f t="shared" si="636"/>
        <v>0</v>
      </c>
      <c r="DA126" s="514">
        <f t="shared" si="637"/>
        <v>0</v>
      </c>
      <c r="DB126" s="514">
        <f t="shared" si="638"/>
        <v>0</v>
      </c>
      <c r="DC126" s="514">
        <f t="shared" si="639"/>
        <v>0</v>
      </c>
      <c r="DD126" s="514">
        <f t="shared" si="640"/>
        <v>0</v>
      </c>
      <c r="DE126" s="501"/>
      <c r="DF126" s="570">
        <f t="shared" si="641"/>
        <v>0</v>
      </c>
      <c r="DG126" s="570">
        <f t="shared" si="642"/>
        <v>0</v>
      </c>
      <c r="DH126" s="570">
        <f t="shared" si="643"/>
        <v>0</v>
      </c>
      <c r="DI126" s="518"/>
      <c r="DJ126" s="514">
        <f>COUNTIF('MEP | Drawing List'!$G:$G,"MEP-T2S-6S-5")</f>
        <v>0</v>
      </c>
      <c r="DK126" s="506">
        <f>COUNTIFS('MEP | Drawing List'!$G:$G,"MEP-T2S-6S-5",'MEP | Drawing List'!$I:$I,1)</f>
        <v>0</v>
      </c>
      <c r="DL126" s="506">
        <f>COUNTIFS('MEP | Drawing List'!$G:$G,"MEP-T2S-6S-5",'MEP | Drawing List'!$K:$K,1)</f>
        <v>0</v>
      </c>
      <c r="DM126" s="514">
        <f>COUNTIFS('MEP | Drawing List'!$G:$G,"MEP-T2S-6S-5",'MEP | Drawing List'!L:L,1)</f>
        <v>0</v>
      </c>
      <c r="DN126" s="514">
        <f>COUNTIFS('MEP | Drawing List'!$G:$G,"MEP-T2S-6S-5",'MEP | Drawing List'!M:M,1)</f>
        <v>0</v>
      </c>
      <c r="DO126" s="514">
        <f>COUNTIFS('MEP | Drawing List'!$G:$G,"MEP-T2S-6S-5",'MEP | Drawing List'!N:N,1)</f>
        <v>0</v>
      </c>
      <c r="DP126" s="514">
        <f>COUNTIFS('MEP | Drawing List'!$G:$G,"MEP-T2S-6S-5",'MEP | Drawing List'!O:O,1)</f>
        <v>0</v>
      </c>
      <c r="DQ126" s="501"/>
      <c r="DR126" s="506">
        <f>COUNTIFS('MEP | Drawing List'!$G:$G,"MEP-T2S-6S-5",'MEP | Drawing List'!$P:$P,1)</f>
        <v>0</v>
      </c>
      <c r="DS126" s="514">
        <f>COUNTIFS('MEP | Drawing List'!$G:$G,"MEP-T2S-6S-5",'MEP | Drawing List'!Q:Q,1)</f>
        <v>0</v>
      </c>
      <c r="DT126" s="514">
        <f>COUNTIFS('MEP | Drawing List'!$G:$G,"MEP-T2S-6S-5",'MEP | Drawing List'!R:R,1)</f>
        <v>0</v>
      </c>
      <c r="DU126" s="514">
        <f>COUNTIFS('MEP | Drawing List'!$G:$G,"MEP-T2S-6S-5",'MEP | Drawing List'!S:S,1)</f>
        <v>0</v>
      </c>
      <c r="DV126" s="514">
        <f>COUNTIFS('MEP | Drawing List'!$G:$G,"MEP-T2S-6S-5",'MEP | Drawing List'!T:T,1)</f>
        <v>0</v>
      </c>
      <c r="DW126" s="508"/>
      <c r="DX126" s="508"/>
      <c r="DY126" s="592">
        <v>0</v>
      </c>
      <c r="DZ126" s="508"/>
      <c r="EA126" s="582">
        <f t="shared" ref="EA126:EZ126" si="659">EA80</f>
        <v>0</v>
      </c>
      <c r="EB126" s="510">
        <f t="shared" si="237"/>
        <v>0</v>
      </c>
      <c r="EC126" s="510">
        <f t="shared" si="659"/>
        <v>0</v>
      </c>
      <c r="ED126" s="510">
        <f t="shared" si="659"/>
        <v>0</v>
      </c>
      <c r="EE126" s="514">
        <f t="shared" si="659"/>
        <v>0</v>
      </c>
      <c r="EF126" s="514">
        <f t="shared" si="659"/>
        <v>0</v>
      </c>
      <c r="EG126" s="514">
        <f t="shared" si="659"/>
        <v>0</v>
      </c>
      <c r="EH126" s="514">
        <f t="shared" si="659"/>
        <v>0</v>
      </c>
      <c r="EI126" s="501"/>
      <c r="EJ126" s="567">
        <f t="shared" si="644"/>
        <v>0</v>
      </c>
      <c r="EK126" s="514">
        <f t="shared" si="645"/>
        <v>0</v>
      </c>
      <c r="EL126" s="514">
        <f t="shared" si="646"/>
        <v>0</v>
      </c>
      <c r="EM126" s="514">
        <f t="shared" si="647"/>
        <v>0</v>
      </c>
      <c r="EN126" s="514">
        <f t="shared" si="648"/>
        <v>0</v>
      </c>
      <c r="EO126" s="501"/>
      <c r="EP126" s="585">
        <f t="shared" si="649"/>
        <v>0</v>
      </c>
      <c r="EQ126" s="585">
        <f t="shared" si="650"/>
        <v>0</v>
      </c>
      <c r="ER126" s="585">
        <f t="shared" si="651"/>
        <v>0</v>
      </c>
      <c r="ES126" s="589">
        <f t="shared" si="659"/>
        <v>0</v>
      </c>
      <c r="ET126" s="567">
        <f t="shared" si="659"/>
        <v>0</v>
      </c>
      <c r="EU126" s="582">
        <f t="shared" si="659"/>
        <v>0</v>
      </c>
      <c r="EV126" s="582">
        <f t="shared" si="659"/>
        <v>0</v>
      </c>
      <c r="EW126" s="567">
        <f t="shared" si="659"/>
        <v>0</v>
      </c>
      <c r="EX126" s="567">
        <f t="shared" si="659"/>
        <v>0</v>
      </c>
      <c r="EY126" s="567">
        <f t="shared" si="659"/>
        <v>0</v>
      </c>
      <c r="EZ126" s="567">
        <f t="shared" si="659"/>
        <v>0</v>
      </c>
      <c r="FA126" s="574"/>
      <c r="FB126" s="582">
        <f t="shared" ref="FB126:FF126" si="660">FB80</f>
        <v>0</v>
      </c>
      <c r="FC126" s="567">
        <f t="shared" si="660"/>
        <v>0</v>
      </c>
      <c r="FD126" s="567">
        <f t="shared" si="660"/>
        <v>0</v>
      </c>
      <c r="FE126" s="567">
        <f t="shared" si="660"/>
        <v>0</v>
      </c>
      <c r="FF126" s="567">
        <f t="shared" si="660"/>
        <v>0</v>
      </c>
    </row>
    <row r="127" spans="2:162" ht="14.25" outlineLevel="2">
      <c r="B127" s="604" t="s">
        <v>133</v>
      </c>
      <c r="C127" s="565">
        <v>6</v>
      </c>
      <c r="D127" s="566" t="s">
        <v>64</v>
      </c>
      <c r="F127" s="500">
        <f t="shared" si="596"/>
        <v>0.14143460000000002</v>
      </c>
      <c r="G127" s="500">
        <f t="shared" si="597"/>
        <v>0.14143460000000002</v>
      </c>
      <c r="H127" s="514">
        <f t="shared" si="598"/>
        <v>0</v>
      </c>
      <c r="I127" s="514">
        <f t="shared" si="571"/>
        <v>0</v>
      </c>
      <c r="J127" s="514">
        <f t="shared" si="572"/>
        <v>0</v>
      </c>
      <c r="K127" s="514">
        <f t="shared" si="573"/>
        <v>0</v>
      </c>
      <c r="L127" s="514">
        <f t="shared" si="574"/>
        <v>0</v>
      </c>
      <c r="M127" s="567">
        <f t="shared" si="575"/>
        <v>0</v>
      </c>
      <c r="N127" s="568"/>
      <c r="O127" s="514">
        <f t="shared" si="576"/>
        <v>0</v>
      </c>
      <c r="P127" s="514">
        <f t="shared" si="577"/>
        <v>0</v>
      </c>
      <c r="Q127" s="514">
        <f t="shared" si="578"/>
        <v>0</v>
      </c>
      <c r="R127" s="514">
        <f t="shared" si="579"/>
        <v>0</v>
      </c>
      <c r="S127" s="514">
        <f t="shared" si="580"/>
        <v>0</v>
      </c>
      <c r="U127" s="569">
        <v>0.1</v>
      </c>
      <c r="V127" s="503"/>
      <c r="W127" s="500">
        <f t="shared" si="599"/>
        <v>0.12466800000000003</v>
      </c>
      <c r="X127" s="500">
        <f t="shared" si="234"/>
        <v>0.12466800000000003</v>
      </c>
      <c r="Y127" s="506">
        <f t="shared" si="600"/>
        <v>0.12466800000000003</v>
      </c>
      <c r="Z127" s="506">
        <f t="shared" si="601"/>
        <v>0</v>
      </c>
      <c r="AA127" s="506">
        <f t="shared" si="602"/>
        <v>0</v>
      </c>
      <c r="AB127" s="506">
        <f t="shared" si="603"/>
        <v>0</v>
      </c>
      <c r="AC127" s="506">
        <f t="shared" si="604"/>
        <v>0</v>
      </c>
      <c r="AD127" s="567">
        <f t="shared" si="605"/>
        <v>0</v>
      </c>
      <c r="AE127" s="568"/>
      <c r="AF127" s="514">
        <f t="shared" si="606"/>
        <v>0</v>
      </c>
      <c r="AG127" s="514">
        <f t="shared" si="607"/>
        <v>0</v>
      </c>
      <c r="AH127" s="514">
        <f t="shared" si="608"/>
        <v>0</v>
      </c>
      <c r="AI127" s="514">
        <f t="shared" si="609"/>
        <v>0</v>
      </c>
      <c r="AJ127" s="514">
        <f t="shared" si="610"/>
        <v>0</v>
      </c>
      <c r="AK127" s="501"/>
      <c r="AL127" s="578">
        <f t="shared" si="611"/>
        <v>1</v>
      </c>
      <c r="AM127" s="578">
        <f t="shared" si="612"/>
        <v>0</v>
      </c>
      <c r="AN127" s="570">
        <f t="shared" si="613"/>
        <v>0</v>
      </c>
      <c r="AO127" s="518"/>
      <c r="AP127" s="514">
        <f>COUNTIF('AR | Drawing List'!$G:$G,"AR-T6S-6")</f>
        <v>6</v>
      </c>
      <c r="AQ127" s="506">
        <f>COUNTIFS('AR | Drawing List'!$G:$G,"AR-T6S-6",'AR | Drawing List'!$I:$I,1)</f>
        <v>6</v>
      </c>
      <c r="AR127" s="506">
        <f t="shared" si="238"/>
        <v>0</v>
      </c>
      <c r="AS127" s="506">
        <f>COUNTIFS('AR | Drawing List'!$G:$G,"AR-T6S-6",'AR | Drawing List'!M:M,1)</f>
        <v>0</v>
      </c>
      <c r="AT127" s="506">
        <f>COUNTIFS('AR | Drawing List'!$G:$G,"AR-T6S-6",'AR | Drawing List'!N:N,1)</f>
        <v>0</v>
      </c>
      <c r="AU127" s="506">
        <f>COUNTIFS('AR | Drawing List'!$G:$G,"AR-T6S-6",'AR | Drawing List'!O:O,1)</f>
        <v>0</v>
      </c>
      <c r="AV127" s="506">
        <f>COUNTIFS('AR | Drawing List'!$G:$G,"AR-T6S-6",'AR | Drawing List'!P:P,1)</f>
        <v>0</v>
      </c>
      <c r="AW127" s="466"/>
      <c r="AX127" s="506">
        <f t="shared" si="540"/>
        <v>0</v>
      </c>
      <c r="AY127" s="506">
        <f>COUNTIFS('AR | Drawing List'!$G:$G,"AR-T6S-6",'AR | Drawing List'!R:R,1)</f>
        <v>0</v>
      </c>
      <c r="AZ127" s="506">
        <f>COUNTIFS('AR | Drawing List'!$G:$G,"AR-T6S-6",'AR | Drawing List'!S:S,1)</f>
        <v>0</v>
      </c>
      <c r="BA127" s="506">
        <f>COUNTIFS('AR | Drawing List'!$G:$G,"AR-T6S-6",'AR | Drawing List'!T:T,1)</f>
        <v>0</v>
      </c>
      <c r="BB127" s="506">
        <f>COUNTIFS('AR | Drawing List'!$G:$G,"AR-T6S-6",'AR | Drawing List'!U:U,1)</f>
        <v>0</v>
      </c>
      <c r="BC127" s="551"/>
      <c r="BD127" s="551"/>
      <c r="BE127" s="576">
        <v>0</v>
      </c>
      <c r="BF127" s="508"/>
      <c r="BG127" s="506">
        <f t="shared" si="614"/>
        <v>0</v>
      </c>
      <c r="BH127" s="510">
        <f t="shared" si="235"/>
        <v>0</v>
      </c>
      <c r="BI127" s="506">
        <f t="shared" si="615"/>
        <v>0</v>
      </c>
      <c r="BJ127" s="506">
        <f t="shared" si="616"/>
        <v>0</v>
      </c>
      <c r="BK127" s="506">
        <f t="shared" si="617"/>
        <v>0</v>
      </c>
      <c r="BL127" s="506">
        <f t="shared" si="618"/>
        <v>0</v>
      </c>
      <c r="BM127" s="506">
        <f t="shared" si="619"/>
        <v>0</v>
      </c>
      <c r="BN127" s="506">
        <f t="shared" si="620"/>
        <v>0</v>
      </c>
      <c r="BO127" s="530"/>
      <c r="BP127" s="514">
        <f t="shared" si="621"/>
        <v>0</v>
      </c>
      <c r="BQ127" s="514">
        <f t="shared" si="622"/>
        <v>0</v>
      </c>
      <c r="BR127" s="514">
        <f t="shared" si="623"/>
        <v>0</v>
      </c>
      <c r="BS127" s="514">
        <f t="shared" si="624"/>
        <v>0</v>
      </c>
      <c r="BT127" s="514">
        <f t="shared" si="625"/>
        <v>0</v>
      </c>
      <c r="BU127" s="501"/>
      <c r="BV127" s="571">
        <f t="shared" si="626"/>
        <v>0</v>
      </c>
      <c r="BW127" s="571">
        <f t="shared" si="627"/>
        <v>0</v>
      </c>
      <c r="BX127" s="571">
        <f t="shared" si="628"/>
        <v>0</v>
      </c>
      <c r="BY127" s="518"/>
      <c r="BZ127" s="514">
        <f>COUNTIF('ST | Drawing List'!$G:$G,"ST-T6S-6")</f>
        <v>0</v>
      </c>
      <c r="CA127" s="506">
        <f>COUNTIFS('ST | Drawing List'!$G:$G,"ST-T6S-6",'ST | Drawing List'!$I:$I,1)</f>
        <v>0</v>
      </c>
      <c r="CB127" s="506">
        <f>COUNTIFS('ST | Drawing List'!$G:$G,"ST-T6S-6",'ST | Drawing List'!$K:$K,1)</f>
        <v>0</v>
      </c>
      <c r="CC127" s="506">
        <f>COUNTIFS('ST | Drawing List'!$G:$G,"ST-T6S-6",'ST | Drawing List'!L:L,1)</f>
        <v>0</v>
      </c>
      <c r="CD127" s="506">
        <f>COUNTIFS('ST | Drawing List'!$G:$G,"ST-T6S-6",'ST | Drawing List'!M:M,1)</f>
        <v>0</v>
      </c>
      <c r="CE127" s="506">
        <f>COUNTIFS('ST | Drawing List'!$G:$G,"ST-T6S-6",'ST | Drawing List'!N:N,1)</f>
        <v>0</v>
      </c>
      <c r="CF127" s="506">
        <f>COUNTIFS('ST | Drawing List'!$G:$G,"ST-T6S-6",'ST | Drawing List'!O:O,1)</f>
        <v>0</v>
      </c>
      <c r="CG127" s="471"/>
      <c r="CH127" s="506">
        <f>COUNTIFS('ST | Drawing List'!$G:$G,"ST-T6S-6",'ST | Drawing List'!$P:$P,1)</f>
        <v>0</v>
      </c>
      <c r="CI127" s="506">
        <f>COUNTIFS('ST | Drawing List'!$G:$G,"ST-T6S-6",'ST | Drawing List'!Q:Q,1)</f>
        <v>0</v>
      </c>
      <c r="CJ127" s="506">
        <f>COUNTIFS('ST | Drawing List'!$G:$G,"ST-T6S-6",'ST | Drawing List'!R:R,1)</f>
        <v>0</v>
      </c>
      <c r="CK127" s="506">
        <f>COUNTIFS('ST | Drawing List'!$G:$G,"ST-T6S-6",'ST | Drawing List'!S:S,1)</f>
        <v>0</v>
      </c>
      <c r="CL127" s="506">
        <f>COUNTIFS('ST | Drawing List'!$G:$G,"ST-T6S-6",'ST | Drawing List'!T:T,1)</f>
        <v>0</v>
      </c>
      <c r="CM127" s="508"/>
      <c r="CN127" s="508"/>
      <c r="CO127" s="470">
        <v>0.1</v>
      </c>
      <c r="CP127" s="508"/>
      <c r="CQ127" s="506">
        <f t="shared" si="629"/>
        <v>7.1136000000000012E-3</v>
      </c>
      <c r="CR127" s="510">
        <f t="shared" si="236"/>
        <v>7.1136000000000012E-3</v>
      </c>
      <c r="CS127" s="506">
        <f t="shared" si="630"/>
        <v>7.1136000000000012E-3</v>
      </c>
      <c r="CT127" s="514">
        <f t="shared" si="631"/>
        <v>0</v>
      </c>
      <c r="CU127" s="514">
        <f t="shared" si="632"/>
        <v>0</v>
      </c>
      <c r="CV127" s="514">
        <f t="shared" si="633"/>
        <v>0</v>
      </c>
      <c r="CW127" s="514">
        <f t="shared" si="634"/>
        <v>0</v>
      </c>
      <c r="CX127" s="514">
        <f t="shared" si="635"/>
        <v>0</v>
      </c>
      <c r="CY127" s="501"/>
      <c r="CZ127" s="514">
        <f t="shared" si="636"/>
        <v>0</v>
      </c>
      <c r="DA127" s="514">
        <f t="shared" si="637"/>
        <v>0</v>
      </c>
      <c r="DB127" s="514">
        <f t="shared" si="638"/>
        <v>0</v>
      </c>
      <c r="DC127" s="514">
        <f t="shared" si="639"/>
        <v>0</v>
      </c>
      <c r="DD127" s="514">
        <f t="shared" si="640"/>
        <v>0</v>
      </c>
      <c r="DE127" s="501"/>
      <c r="DF127" s="570">
        <f t="shared" si="641"/>
        <v>1</v>
      </c>
      <c r="DG127" s="570">
        <f t="shared" si="642"/>
        <v>0</v>
      </c>
      <c r="DH127" s="570">
        <f t="shared" si="643"/>
        <v>0</v>
      </c>
      <c r="DI127" s="518"/>
      <c r="DJ127" s="514">
        <f>COUNTIF('MEP | Drawing List'!$G:$G,"MEP-T2S-6S-6")</f>
        <v>4</v>
      </c>
      <c r="DK127" s="506">
        <f>COUNTIFS('MEP | Drawing List'!$G:$G,"MEP-T2S-6S-6",'MEP | Drawing List'!$I:$I,1)</f>
        <v>4</v>
      </c>
      <c r="DL127" s="506">
        <f>COUNTIFS('MEP | Drawing List'!$G:$G,"MEP-T2S-6S-6",'MEP | Drawing List'!$K:$K,1)</f>
        <v>0</v>
      </c>
      <c r="DM127" s="506">
        <f>COUNTIFS('MEP | Drawing List'!$G:$G,"MEP-T2S-6S-6",'MEP | Drawing List'!L:L,1)</f>
        <v>0</v>
      </c>
      <c r="DN127" s="506">
        <f>COUNTIFS('MEP | Drawing List'!$G:$G,"MEP-T2S-6S-6",'MEP | Drawing List'!M:M,1)</f>
        <v>0</v>
      </c>
      <c r="DO127" s="506">
        <f>COUNTIFS('MEP | Drawing List'!$G:$G,"MEP-T2S-6S-6",'MEP | Drawing List'!N:N,1)</f>
        <v>0</v>
      </c>
      <c r="DP127" s="506">
        <f>COUNTIFS('MEP | Drawing List'!$G:$G,"MEP-T2S-6S-6",'MEP | Drawing List'!O:O,1)</f>
        <v>0</v>
      </c>
      <c r="DQ127" s="530"/>
      <c r="DR127" s="506">
        <f>COUNTIFS('MEP | Drawing List'!$G:$G,"MEP-T2S-6S-6",'MEP | Drawing List'!$P:$P,1)</f>
        <v>0</v>
      </c>
      <c r="DS127" s="506">
        <f>COUNTIFS('MEP | Drawing List'!$G:$G,"MEP-T2S-6S-6",'MEP | Drawing List'!Q:Q,1)</f>
        <v>0</v>
      </c>
      <c r="DT127" s="506">
        <f>COUNTIFS('MEP | Drawing List'!$G:$G,"MEP-T2S-6S-6",'MEP | Drawing List'!R:R,1)</f>
        <v>0</v>
      </c>
      <c r="DU127" s="506">
        <f>COUNTIFS('MEP | Drawing List'!$G:$G,"MEP-T2S-6S-6",'MEP | Drawing List'!S:S,1)</f>
        <v>0</v>
      </c>
      <c r="DV127" s="506">
        <f>COUNTIFS('MEP | Drawing List'!$G:$G,"MEP-T2S-6S-6",'MEP | Drawing List'!T:T,1)</f>
        <v>0</v>
      </c>
      <c r="DW127" s="508"/>
      <c r="DX127" s="508"/>
      <c r="DY127" s="470">
        <v>0.35</v>
      </c>
      <c r="DZ127" s="508"/>
      <c r="EA127" s="506">
        <f t="shared" ref="EA127:EZ127" si="661">EA81</f>
        <v>9.6530000000000001E-3</v>
      </c>
      <c r="EB127" s="510">
        <f t="shared" si="237"/>
        <v>9.6530000000000001E-3</v>
      </c>
      <c r="EC127" s="510">
        <f t="shared" si="661"/>
        <v>9.6530000000000001E-3</v>
      </c>
      <c r="ED127" s="510">
        <f t="shared" si="661"/>
        <v>0</v>
      </c>
      <c r="EE127" s="506">
        <f t="shared" si="661"/>
        <v>0</v>
      </c>
      <c r="EF127" s="506">
        <f t="shared" si="661"/>
        <v>0</v>
      </c>
      <c r="EG127" s="506">
        <f t="shared" si="661"/>
        <v>0</v>
      </c>
      <c r="EH127" s="506">
        <f t="shared" si="661"/>
        <v>0</v>
      </c>
      <c r="EI127" s="530"/>
      <c r="EJ127" s="567">
        <f t="shared" si="644"/>
        <v>0</v>
      </c>
      <c r="EK127" s="514">
        <f t="shared" si="645"/>
        <v>0</v>
      </c>
      <c r="EL127" s="514">
        <f t="shared" si="646"/>
        <v>0</v>
      </c>
      <c r="EM127" s="514">
        <f t="shared" si="647"/>
        <v>0</v>
      </c>
      <c r="EN127" s="514">
        <f t="shared" si="648"/>
        <v>0</v>
      </c>
      <c r="EO127" s="501"/>
      <c r="EP127" s="585">
        <f t="shared" si="649"/>
        <v>1</v>
      </c>
      <c r="EQ127" s="585">
        <f t="shared" si="650"/>
        <v>0</v>
      </c>
      <c r="ER127" s="585">
        <f t="shared" si="651"/>
        <v>0</v>
      </c>
      <c r="ES127" s="510">
        <f t="shared" si="661"/>
        <v>0</v>
      </c>
      <c r="ET127" s="514">
        <f t="shared" si="661"/>
        <v>6</v>
      </c>
      <c r="EU127" s="506">
        <f t="shared" si="661"/>
        <v>6</v>
      </c>
      <c r="EV127" s="506">
        <f t="shared" si="661"/>
        <v>0</v>
      </c>
      <c r="EW127" s="506">
        <f t="shared" si="661"/>
        <v>0</v>
      </c>
      <c r="EX127" s="506">
        <f t="shared" si="661"/>
        <v>0</v>
      </c>
      <c r="EY127" s="506">
        <f t="shared" si="661"/>
        <v>0</v>
      </c>
      <c r="EZ127" s="506">
        <f t="shared" si="661"/>
        <v>0</v>
      </c>
      <c r="FA127" s="533"/>
      <c r="FB127" s="506">
        <f t="shared" ref="FB127:FF127" si="662">FB81</f>
        <v>0</v>
      </c>
      <c r="FC127" s="506">
        <f t="shared" si="662"/>
        <v>0</v>
      </c>
      <c r="FD127" s="506">
        <f t="shared" si="662"/>
        <v>0</v>
      </c>
      <c r="FE127" s="506">
        <f t="shared" si="662"/>
        <v>0</v>
      </c>
      <c r="FF127" s="506">
        <f t="shared" si="662"/>
        <v>0</v>
      </c>
    </row>
    <row r="128" spans="2:162" s="51" customFormat="1" ht="14.25" outlineLevel="2">
      <c r="B128" s="604" t="s">
        <v>134</v>
      </c>
      <c r="C128" s="565">
        <v>7</v>
      </c>
      <c r="D128" s="580" t="s">
        <v>67</v>
      </c>
      <c r="F128" s="500">
        <f t="shared" si="596"/>
        <v>0.12498048</v>
      </c>
      <c r="G128" s="500">
        <f t="shared" si="597"/>
        <v>0.12498048</v>
      </c>
      <c r="H128" s="514">
        <f t="shared" si="598"/>
        <v>0</v>
      </c>
      <c r="I128" s="514">
        <f t="shared" si="571"/>
        <v>0</v>
      </c>
      <c r="J128" s="514">
        <f t="shared" si="572"/>
        <v>0</v>
      </c>
      <c r="K128" s="514">
        <f t="shared" si="573"/>
        <v>0</v>
      </c>
      <c r="L128" s="514">
        <f t="shared" si="574"/>
        <v>0</v>
      </c>
      <c r="M128" s="567">
        <f t="shared" si="575"/>
        <v>0</v>
      </c>
      <c r="N128" s="568"/>
      <c r="O128" s="514">
        <f t="shared" si="576"/>
        <v>0</v>
      </c>
      <c r="P128" s="514">
        <f t="shared" si="577"/>
        <v>0</v>
      </c>
      <c r="Q128" s="514">
        <f t="shared" si="578"/>
        <v>0</v>
      </c>
      <c r="R128" s="514">
        <f t="shared" si="579"/>
        <v>0</v>
      </c>
      <c r="S128" s="514">
        <f t="shared" si="580"/>
        <v>0</v>
      </c>
      <c r="U128" s="569">
        <v>0.05</v>
      </c>
      <c r="V128" s="584"/>
      <c r="W128" s="581">
        <f t="shared" si="599"/>
        <v>6.2334000000000014E-2</v>
      </c>
      <c r="X128" s="581">
        <f t="shared" si="234"/>
        <v>6.2334000000000014E-2</v>
      </c>
      <c r="Y128" s="582">
        <f t="shared" si="600"/>
        <v>6.2334000000000014E-2</v>
      </c>
      <c r="Z128" s="582">
        <f t="shared" si="601"/>
        <v>0</v>
      </c>
      <c r="AA128" s="582">
        <f t="shared" si="602"/>
        <v>0</v>
      </c>
      <c r="AB128" s="582">
        <f t="shared" si="603"/>
        <v>0</v>
      </c>
      <c r="AC128" s="582">
        <f t="shared" si="604"/>
        <v>0</v>
      </c>
      <c r="AD128" s="567">
        <f t="shared" si="605"/>
        <v>0</v>
      </c>
      <c r="AE128" s="568"/>
      <c r="AF128" s="514">
        <f t="shared" si="606"/>
        <v>0</v>
      </c>
      <c r="AG128" s="514">
        <f t="shared" si="607"/>
        <v>0</v>
      </c>
      <c r="AH128" s="514">
        <f t="shared" si="608"/>
        <v>0</v>
      </c>
      <c r="AI128" s="514">
        <f t="shared" si="609"/>
        <v>0</v>
      </c>
      <c r="AJ128" s="514">
        <f t="shared" si="610"/>
        <v>0</v>
      </c>
      <c r="AK128" s="501"/>
      <c r="AL128" s="613">
        <f t="shared" si="611"/>
        <v>1</v>
      </c>
      <c r="AM128" s="613">
        <f t="shared" si="612"/>
        <v>0</v>
      </c>
      <c r="AN128" s="570">
        <f t="shared" si="613"/>
        <v>0</v>
      </c>
      <c r="AO128" s="605"/>
      <c r="AP128" s="567">
        <f>COUNTIF('AR | Drawing List'!$G:$G,"AR-T6S-7")</f>
        <v>2</v>
      </c>
      <c r="AQ128" s="582">
        <f>COUNTIFS('AR | Drawing List'!$G:$G,"AR-T6S-7",'AR | Drawing List'!$I:$I,1)</f>
        <v>2</v>
      </c>
      <c r="AR128" s="582">
        <f t="shared" si="238"/>
        <v>0</v>
      </c>
      <c r="AS128" s="582">
        <f>COUNTIFS('AR | Drawing List'!$G:$G,"AR-T6S-7",'AR | Drawing List'!M:M,1)</f>
        <v>0</v>
      </c>
      <c r="AT128" s="582">
        <f>COUNTIFS('AR | Drawing List'!$G:$G,"AR-T6S-7",'AR | Drawing List'!N:N,1)</f>
        <v>0</v>
      </c>
      <c r="AU128" s="582">
        <f>COUNTIFS('AR | Drawing List'!$G:$G,"AR-T6S-7",'AR | Drawing List'!O:O,1)</f>
        <v>0</v>
      </c>
      <c r="AV128" s="582">
        <f>COUNTIFS('AR | Drawing List'!$G:$G,"AR-T6S-7",'AR | Drawing List'!P:P,1)</f>
        <v>0</v>
      </c>
      <c r="AW128" s="587"/>
      <c r="AX128" s="582">
        <f t="shared" si="540"/>
        <v>0</v>
      </c>
      <c r="AY128" s="582">
        <f>COUNTIFS('AR | Drawing List'!$G:$G,"AR-T6S-7",'AR | Drawing List'!R:R,1)</f>
        <v>0</v>
      </c>
      <c r="AZ128" s="582">
        <f>COUNTIFS('AR | Drawing List'!$G:$G,"AR-T6S-7",'AR | Drawing List'!S:S,1)</f>
        <v>0</v>
      </c>
      <c r="BA128" s="582">
        <f>COUNTIFS('AR | Drawing List'!$G:$G,"AR-T6S-7",'AR | Drawing List'!T:T,1)</f>
        <v>0</v>
      </c>
      <c r="BB128" s="582">
        <f>COUNTIFS('AR | Drawing List'!$G:$G,"AR-T6S-7",'AR | Drawing List'!U:U,1)</f>
        <v>0</v>
      </c>
      <c r="BC128" s="599"/>
      <c r="BD128" s="599"/>
      <c r="BE128" s="607">
        <v>0.1</v>
      </c>
      <c r="BF128" s="588"/>
      <c r="BG128" s="582">
        <f t="shared" si="614"/>
        <v>5.1976079999999994E-2</v>
      </c>
      <c r="BH128" s="589">
        <f t="shared" si="235"/>
        <v>5.1976079999999994E-2</v>
      </c>
      <c r="BI128" s="582">
        <f t="shared" si="615"/>
        <v>5.1976079999999994E-2</v>
      </c>
      <c r="BJ128" s="582">
        <f t="shared" si="616"/>
        <v>0</v>
      </c>
      <c r="BK128" s="506">
        <f t="shared" si="617"/>
        <v>0</v>
      </c>
      <c r="BL128" s="506">
        <f t="shared" si="618"/>
        <v>0</v>
      </c>
      <c r="BM128" s="506">
        <f t="shared" si="619"/>
        <v>0</v>
      </c>
      <c r="BN128" s="506">
        <f t="shared" si="620"/>
        <v>0</v>
      </c>
      <c r="BO128" s="530"/>
      <c r="BP128" s="514">
        <f t="shared" si="621"/>
        <v>0</v>
      </c>
      <c r="BQ128" s="514">
        <f t="shared" si="622"/>
        <v>0</v>
      </c>
      <c r="BR128" s="514">
        <f t="shared" si="623"/>
        <v>0</v>
      </c>
      <c r="BS128" s="514">
        <f t="shared" si="624"/>
        <v>0</v>
      </c>
      <c r="BT128" s="514">
        <f t="shared" si="625"/>
        <v>0</v>
      </c>
      <c r="BU128" s="501"/>
      <c r="BV128" s="571">
        <f t="shared" si="626"/>
        <v>1</v>
      </c>
      <c r="BW128" s="571">
        <f t="shared" si="627"/>
        <v>0</v>
      </c>
      <c r="BX128" s="571">
        <f t="shared" si="628"/>
        <v>0</v>
      </c>
      <c r="BY128" s="605"/>
      <c r="BZ128" s="567">
        <f>COUNTIF('ST | Drawing List'!$G:$G,"ST-T6S-7")</f>
        <v>21</v>
      </c>
      <c r="CA128" s="582">
        <f>COUNTIFS('ST | Drawing List'!$G:$G,"ST-T6S-7",'ST | Drawing List'!$I:$I,1)</f>
        <v>21</v>
      </c>
      <c r="CB128" s="582">
        <f>COUNTIFS('ST | Drawing List'!$G:$G,"ST-T6S-7",'ST | Drawing List'!$K:$K,1)</f>
        <v>0</v>
      </c>
      <c r="CC128" s="582">
        <f>COUNTIFS('ST | Drawing List'!$G:$G,"ST-T6S-7",'ST | Drawing List'!L:L,1)</f>
        <v>0</v>
      </c>
      <c r="CD128" s="582">
        <f>COUNTIFS('ST | Drawing List'!$G:$G,"ST-T6S-7",'ST | Drawing List'!M:M,1)</f>
        <v>0</v>
      </c>
      <c r="CE128" s="582">
        <f>COUNTIFS('ST | Drawing List'!$G:$G,"ST-T6S-7",'ST | Drawing List'!N:N,1)</f>
        <v>0</v>
      </c>
      <c r="CF128" s="582">
        <f>COUNTIFS('ST | Drawing List'!$G:$G,"ST-T6S-7",'ST | Drawing List'!O:O,1)</f>
        <v>0</v>
      </c>
      <c r="CG128" s="591"/>
      <c r="CH128" s="582">
        <f>COUNTIFS('ST | Drawing List'!$G:$G,"ST-T6S-7",'ST | Drawing List'!$P:$P,1)</f>
        <v>0</v>
      </c>
      <c r="CI128" s="582">
        <f>COUNTIFS('ST | Drawing List'!$G:$G,"ST-T6S-7",'ST | Drawing List'!Q:Q,1)</f>
        <v>0</v>
      </c>
      <c r="CJ128" s="582">
        <f>COUNTIFS('ST | Drawing List'!$G:$G,"ST-T6S-7",'ST | Drawing List'!R:R,1)</f>
        <v>0</v>
      </c>
      <c r="CK128" s="582">
        <f>COUNTIFS('ST | Drawing List'!$G:$G,"ST-T6S-7",'ST | Drawing List'!S:S,1)</f>
        <v>0</v>
      </c>
      <c r="CL128" s="582">
        <f>COUNTIFS('ST | Drawing List'!$G:$G,"ST-T6S-7",'ST | Drawing List'!T:T,1)</f>
        <v>0</v>
      </c>
      <c r="CM128" s="588"/>
      <c r="CN128" s="588"/>
      <c r="CO128" s="607">
        <v>0.15</v>
      </c>
      <c r="CP128" s="588"/>
      <c r="CQ128" s="582">
        <f t="shared" si="629"/>
        <v>1.06704E-2</v>
      </c>
      <c r="CR128" s="589">
        <f t="shared" si="236"/>
        <v>1.06704E-2</v>
      </c>
      <c r="CS128" s="582">
        <f t="shared" si="630"/>
        <v>1.06704E-2</v>
      </c>
      <c r="CT128" s="514">
        <f t="shared" si="631"/>
        <v>0</v>
      </c>
      <c r="CU128" s="514">
        <f t="shared" si="632"/>
        <v>0</v>
      </c>
      <c r="CV128" s="514">
        <f t="shared" si="633"/>
        <v>0</v>
      </c>
      <c r="CW128" s="514">
        <f t="shared" si="634"/>
        <v>0</v>
      </c>
      <c r="CX128" s="514">
        <f t="shared" si="635"/>
        <v>0</v>
      </c>
      <c r="CY128" s="501"/>
      <c r="CZ128" s="514">
        <f t="shared" si="636"/>
        <v>0</v>
      </c>
      <c r="DA128" s="514">
        <f t="shared" si="637"/>
        <v>0</v>
      </c>
      <c r="DB128" s="514">
        <f t="shared" si="638"/>
        <v>0</v>
      </c>
      <c r="DC128" s="514">
        <f t="shared" si="639"/>
        <v>0</v>
      </c>
      <c r="DD128" s="514">
        <f t="shared" si="640"/>
        <v>0</v>
      </c>
      <c r="DE128" s="501"/>
      <c r="DF128" s="570">
        <f t="shared" si="641"/>
        <v>1</v>
      </c>
      <c r="DG128" s="570">
        <f t="shared" si="642"/>
        <v>0</v>
      </c>
      <c r="DH128" s="570">
        <f t="shared" si="643"/>
        <v>0</v>
      </c>
      <c r="DI128" s="605"/>
      <c r="DJ128" s="567">
        <f>COUNTIF('MEP | Drawing List'!$G:$G,"MEP-T2S-6S-7")</f>
        <v>8</v>
      </c>
      <c r="DK128" s="582">
        <f>COUNTIFS('MEP | Drawing List'!$G:$G,"MEP-T2S-6S-7",'MEP | Drawing List'!$I:$I,1)</f>
        <v>8</v>
      </c>
      <c r="DL128" s="582">
        <f>COUNTIFS('MEP | Drawing List'!$G:$G,"MEP-T2S-6S-7",'MEP | Drawing List'!$K:$K,1)</f>
        <v>0</v>
      </c>
      <c r="DM128" s="582">
        <f>COUNTIFS('MEP | Drawing List'!$G:$G,"MEP-T2S-6S-7",'MEP | Drawing List'!L:L,1)</f>
        <v>0</v>
      </c>
      <c r="DN128" s="582">
        <f>COUNTIFS('MEP | Drawing List'!$G:$G,"MEP-T2S-6S-7",'MEP | Drawing List'!M:M,1)</f>
        <v>0</v>
      </c>
      <c r="DO128" s="582">
        <f>COUNTIFS('MEP | Drawing List'!$G:$G,"MEP-T2S-6S-7",'MEP | Drawing List'!N:N,1)</f>
        <v>0</v>
      </c>
      <c r="DP128" s="582">
        <f>COUNTIFS('MEP | Drawing List'!$G:$G,"MEP-T2S-6S-7",'MEP | Drawing List'!O:O,1)</f>
        <v>0</v>
      </c>
      <c r="DQ128" s="614"/>
      <c r="DR128" s="582">
        <f>COUNTIFS('MEP | Drawing List'!$G:$G,"MEP-T2S-6S-7",'MEP | Drawing List'!$P:$P,1)</f>
        <v>0</v>
      </c>
      <c r="DS128" s="582">
        <f>COUNTIFS('MEP | Drawing List'!$G:$G,"MEP-T2S-6S-7",'MEP | Drawing List'!Q:Q,1)</f>
        <v>0</v>
      </c>
      <c r="DT128" s="582">
        <f>COUNTIFS('MEP | Drawing List'!$G:$G,"MEP-T2S-6S-7",'MEP | Drawing List'!R:R,1)</f>
        <v>0</v>
      </c>
      <c r="DU128" s="582">
        <f>COUNTIFS('MEP | Drawing List'!$G:$G,"MEP-T2S-6S-7",'MEP | Drawing List'!S:S,1)</f>
        <v>0</v>
      </c>
      <c r="DV128" s="582">
        <f>COUNTIFS('MEP | Drawing List'!$G:$G,"MEP-T2S-6S-7",'MEP | Drawing List'!T:T,1)</f>
        <v>0</v>
      </c>
      <c r="DW128" s="588"/>
      <c r="DX128" s="588"/>
      <c r="DY128" s="470">
        <v>0</v>
      </c>
      <c r="DZ128" s="588"/>
      <c r="EA128" s="506">
        <f t="shared" ref="EA128:EZ128" si="663">EA82</f>
        <v>0</v>
      </c>
      <c r="EB128" s="589">
        <f t="shared" si="237"/>
        <v>0</v>
      </c>
      <c r="EC128" s="589">
        <f t="shared" si="663"/>
        <v>0</v>
      </c>
      <c r="ED128" s="589">
        <f t="shared" si="663"/>
        <v>0</v>
      </c>
      <c r="EE128" s="506">
        <f t="shared" si="663"/>
        <v>0</v>
      </c>
      <c r="EF128" s="506">
        <f t="shared" si="663"/>
        <v>0</v>
      </c>
      <c r="EG128" s="506">
        <f t="shared" si="663"/>
        <v>0</v>
      </c>
      <c r="EH128" s="506">
        <f t="shared" si="663"/>
        <v>0</v>
      </c>
      <c r="EI128" s="530"/>
      <c r="EJ128" s="567">
        <f t="shared" si="644"/>
        <v>0</v>
      </c>
      <c r="EK128" s="514">
        <f t="shared" si="645"/>
        <v>0</v>
      </c>
      <c r="EL128" s="514">
        <f t="shared" si="646"/>
        <v>0</v>
      </c>
      <c r="EM128" s="514">
        <f t="shared" si="647"/>
        <v>0</v>
      </c>
      <c r="EN128" s="514">
        <f t="shared" si="648"/>
        <v>0</v>
      </c>
      <c r="EO128" s="501"/>
      <c r="EP128" s="585">
        <f t="shared" si="649"/>
        <v>0</v>
      </c>
      <c r="EQ128" s="585">
        <f t="shared" si="650"/>
        <v>0</v>
      </c>
      <c r="ER128" s="585">
        <f t="shared" si="651"/>
        <v>0</v>
      </c>
      <c r="ES128" s="510">
        <f t="shared" si="663"/>
        <v>0</v>
      </c>
      <c r="ET128" s="514">
        <f t="shared" si="663"/>
        <v>0</v>
      </c>
      <c r="EU128" s="506">
        <f t="shared" si="663"/>
        <v>0</v>
      </c>
      <c r="EV128" s="506">
        <f t="shared" si="663"/>
        <v>0</v>
      </c>
      <c r="EW128" s="506">
        <f t="shared" si="663"/>
        <v>0</v>
      </c>
      <c r="EX128" s="506">
        <f t="shared" si="663"/>
        <v>0</v>
      </c>
      <c r="EY128" s="506">
        <f t="shared" si="663"/>
        <v>0</v>
      </c>
      <c r="EZ128" s="506">
        <f t="shared" si="663"/>
        <v>0</v>
      </c>
      <c r="FA128" s="533"/>
      <c r="FB128" s="506">
        <f t="shared" ref="FB128:FF128" si="664">FB82</f>
        <v>0</v>
      </c>
      <c r="FC128" s="506">
        <f t="shared" si="664"/>
        <v>0</v>
      </c>
      <c r="FD128" s="506">
        <f t="shared" si="664"/>
        <v>0</v>
      </c>
      <c r="FE128" s="506">
        <f t="shared" si="664"/>
        <v>0</v>
      </c>
      <c r="FF128" s="506">
        <f t="shared" si="664"/>
        <v>0</v>
      </c>
    </row>
    <row r="129" spans="2:163" s="51" customFormat="1" ht="14.25" outlineLevel="2">
      <c r="B129" s="604" t="s">
        <v>135</v>
      </c>
      <c r="C129" s="565">
        <v>8</v>
      </c>
      <c r="D129" s="580" t="s">
        <v>69</v>
      </c>
      <c r="F129" s="500">
        <f t="shared" si="596"/>
        <v>0.12498048</v>
      </c>
      <c r="G129" s="500">
        <f t="shared" si="597"/>
        <v>0.12498048</v>
      </c>
      <c r="H129" s="514">
        <f t="shared" si="598"/>
        <v>0</v>
      </c>
      <c r="I129" s="514">
        <f t="shared" si="571"/>
        <v>0</v>
      </c>
      <c r="J129" s="514">
        <f t="shared" si="572"/>
        <v>0</v>
      </c>
      <c r="K129" s="514">
        <f t="shared" si="573"/>
        <v>0</v>
      </c>
      <c r="L129" s="514">
        <f t="shared" si="574"/>
        <v>0</v>
      </c>
      <c r="M129" s="567">
        <f t="shared" si="575"/>
        <v>0</v>
      </c>
      <c r="N129" s="568"/>
      <c r="O129" s="514">
        <f t="shared" si="576"/>
        <v>0</v>
      </c>
      <c r="P129" s="514">
        <f t="shared" si="577"/>
        <v>0</v>
      </c>
      <c r="Q129" s="514">
        <f t="shared" si="578"/>
        <v>0</v>
      </c>
      <c r="R129" s="514">
        <f t="shared" si="579"/>
        <v>0</v>
      </c>
      <c r="S129" s="514">
        <f t="shared" si="580"/>
        <v>0</v>
      </c>
      <c r="U129" s="583">
        <v>0.05</v>
      </c>
      <c r="V129" s="584"/>
      <c r="W129" s="581">
        <f t="shared" si="599"/>
        <v>6.2334000000000014E-2</v>
      </c>
      <c r="X129" s="581">
        <f t="shared" si="234"/>
        <v>6.2334000000000014E-2</v>
      </c>
      <c r="Y129" s="582">
        <f t="shared" si="600"/>
        <v>6.2334000000000014E-2</v>
      </c>
      <c r="Z129" s="582">
        <f t="shared" si="601"/>
        <v>0</v>
      </c>
      <c r="AA129" s="582">
        <f t="shared" si="602"/>
        <v>0</v>
      </c>
      <c r="AB129" s="582">
        <f t="shared" si="603"/>
        <v>0</v>
      </c>
      <c r="AC129" s="582">
        <f t="shared" si="604"/>
        <v>0</v>
      </c>
      <c r="AD129" s="567">
        <f t="shared" si="605"/>
        <v>0</v>
      </c>
      <c r="AE129" s="568"/>
      <c r="AF129" s="514">
        <f t="shared" si="606"/>
        <v>0</v>
      </c>
      <c r="AG129" s="514">
        <f t="shared" si="607"/>
        <v>0</v>
      </c>
      <c r="AH129" s="514">
        <f t="shared" si="608"/>
        <v>0</v>
      </c>
      <c r="AI129" s="514">
        <f t="shared" si="609"/>
        <v>0</v>
      </c>
      <c r="AJ129" s="514">
        <f t="shared" si="610"/>
        <v>0</v>
      </c>
      <c r="AK129" s="501"/>
      <c r="AL129" s="613">
        <f t="shared" si="611"/>
        <v>1</v>
      </c>
      <c r="AM129" s="613">
        <f t="shared" si="612"/>
        <v>0</v>
      </c>
      <c r="AN129" s="570">
        <f t="shared" si="613"/>
        <v>0</v>
      </c>
      <c r="AO129" s="605"/>
      <c r="AP129" s="567">
        <f>COUNTIF('AR | Drawing List'!$G:$G,"AR-T6S-8")</f>
        <v>1</v>
      </c>
      <c r="AQ129" s="582">
        <f>COUNTIFS('AR | Drawing List'!$G:$G,"AR-T6S-8",'AR | Drawing List'!$I:$I,1)</f>
        <v>1</v>
      </c>
      <c r="AR129" s="582">
        <f t="shared" si="238"/>
        <v>0</v>
      </c>
      <c r="AS129" s="582">
        <f>COUNTIFS('AR | Drawing List'!$G:$G,"AR-T6S-8",'AR | Drawing List'!M:M,1)</f>
        <v>0</v>
      </c>
      <c r="AT129" s="582">
        <f>COUNTIFS('AR | Drawing List'!$G:$G,"AR-T6S-8",'AR | Drawing List'!N:N,1)</f>
        <v>0</v>
      </c>
      <c r="AU129" s="582">
        <f>COUNTIFS('AR | Drawing List'!$G:$G,"AR-T6S-8",'AR | Drawing List'!O:O,1)</f>
        <v>0</v>
      </c>
      <c r="AV129" s="582">
        <f>COUNTIFS('AR | Drawing List'!$G:$G,"AR-T6S-8",'AR | Drawing List'!P:P,1)</f>
        <v>0</v>
      </c>
      <c r="AW129" s="587"/>
      <c r="AX129" s="582">
        <f t="shared" si="540"/>
        <v>0</v>
      </c>
      <c r="AY129" s="582">
        <f>COUNTIFS('AR | Drawing List'!$G:$G,"AR-T6S-8",'AR | Drawing List'!R:R,1)</f>
        <v>0</v>
      </c>
      <c r="AZ129" s="582">
        <f>COUNTIFS('AR | Drawing List'!$G:$G,"AR-T6S-8",'AR | Drawing List'!S:S,1)</f>
        <v>0</v>
      </c>
      <c r="BA129" s="582">
        <f>COUNTIFS('AR | Drawing List'!$G:$G,"AR-T6S-8",'AR | Drawing List'!T:T,1)</f>
        <v>0</v>
      </c>
      <c r="BB129" s="582">
        <f>COUNTIFS('AR | Drawing List'!$G:$G,"AR-T6S-8",'AR | Drawing List'!U:U,1)</f>
        <v>0</v>
      </c>
      <c r="BC129" s="599"/>
      <c r="BD129" s="599"/>
      <c r="BE129" s="607">
        <v>0.1</v>
      </c>
      <c r="BF129" s="588"/>
      <c r="BG129" s="582">
        <f t="shared" si="614"/>
        <v>5.1976079999999994E-2</v>
      </c>
      <c r="BH129" s="589">
        <f t="shared" si="235"/>
        <v>5.1976079999999994E-2</v>
      </c>
      <c r="BI129" s="582">
        <f t="shared" si="615"/>
        <v>5.1976079999999994E-2</v>
      </c>
      <c r="BJ129" s="582">
        <f t="shared" si="616"/>
        <v>0</v>
      </c>
      <c r="BK129" s="506">
        <f t="shared" si="617"/>
        <v>0</v>
      </c>
      <c r="BL129" s="506">
        <f t="shared" si="618"/>
        <v>0</v>
      </c>
      <c r="BM129" s="506">
        <f t="shared" si="619"/>
        <v>0</v>
      </c>
      <c r="BN129" s="506">
        <f t="shared" si="620"/>
        <v>0</v>
      </c>
      <c r="BO129" s="530"/>
      <c r="BP129" s="514">
        <f t="shared" si="621"/>
        <v>0</v>
      </c>
      <c r="BQ129" s="514">
        <f t="shared" si="622"/>
        <v>0</v>
      </c>
      <c r="BR129" s="514">
        <f t="shared" si="623"/>
        <v>0</v>
      </c>
      <c r="BS129" s="514">
        <f t="shared" si="624"/>
        <v>0</v>
      </c>
      <c r="BT129" s="514">
        <f t="shared" si="625"/>
        <v>0</v>
      </c>
      <c r="BU129" s="501"/>
      <c r="BV129" s="571">
        <f t="shared" si="626"/>
        <v>1</v>
      </c>
      <c r="BW129" s="571">
        <f t="shared" si="627"/>
        <v>0</v>
      </c>
      <c r="BX129" s="571">
        <f t="shared" si="628"/>
        <v>0</v>
      </c>
      <c r="BY129" s="605"/>
      <c r="BZ129" s="567">
        <f>COUNTIF('ST | Drawing List'!$G:$G,"ST-T6S-8")</f>
        <v>18</v>
      </c>
      <c r="CA129" s="582">
        <f>COUNTIFS('ST | Drawing List'!$G:$G,"ST-T6S-8",'ST | Drawing List'!$I:$I,1)</f>
        <v>18</v>
      </c>
      <c r="CB129" s="582">
        <f>COUNTIFS('ST | Drawing List'!$G:$G,"ST-T6S-8",'ST | Drawing List'!$K:$K,1)</f>
        <v>0</v>
      </c>
      <c r="CC129" s="582">
        <f>COUNTIFS('ST | Drawing List'!$G:$G,"ST-T6S-8",'ST | Drawing List'!L:L,1)</f>
        <v>0</v>
      </c>
      <c r="CD129" s="582">
        <f>COUNTIFS('ST | Drawing List'!$G:$G,"ST-T6S-8",'ST | Drawing List'!M:M,1)</f>
        <v>0</v>
      </c>
      <c r="CE129" s="582">
        <f>COUNTIFS('ST | Drawing List'!$G:$G,"ST-T6S-8",'ST | Drawing List'!N:N,1)</f>
        <v>0</v>
      </c>
      <c r="CF129" s="582">
        <f>COUNTIFS('ST | Drawing List'!$G:$G,"ST-T6S-8",'ST | Drawing List'!O:O,1)</f>
        <v>0</v>
      </c>
      <c r="CG129" s="591"/>
      <c r="CH129" s="582">
        <f>COUNTIFS('ST | Drawing List'!$G:$G,"ST-T6S-8",'ST | Drawing List'!$P:$P,1)</f>
        <v>0</v>
      </c>
      <c r="CI129" s="582">
        <f>COUNTIFS('ST | Drawing List'!$G:$G,"ST-T6S-8",'ST | Drawing List'!Q:Q,1)</f>
        <v>0</v>
      </c>
      <c r="CJ129" s="582">
        <f>COUNTIFS('ST | Drawing List'!$G:$G,"ST-T6S-8",'ST | Drawing List'!R:R,1)</f>
        <v>0</v>
      </c>
      <c r="CK129" s="582">
        <f>COUNTIFS('ST | Drawing List'!$G:$G,"ST-T6S-8",'ST | Drawing List'!S:S,1)</f>
        <v>0</v>
      </c>
      <c r="CL129" s="582">
        <f>COUNTIFS('ST | Drawing List'!$G:$G,"ST-T6S-8",'ST | Drawing List'!T:T,1)</f>
        <v>0</v>
      </c>
      <c r="CM129" s="588"/>
      <c r="CN129" s="588"/>
      <c r="CO129" s="607">
        <v>0.15</v>
      </c>
      <c r="CP129" s="588"/>
      <c r="CQ129" s="582">
        <f t="shared" si="629"/>
        <v>1.06704E-2</v>
      </c>
      <c r="CR129" s="589">
        <f t="shared" si="236"/>
        <v>1.06704E-2</v>
      </c>
      <c r="CS129" s="582">
        <f t="shared" si="630"/>
        <v>1.06704E-2</v>
      </c>
      <c r="CT129" s="514">
        <f t="shared" si="631"/>
        <v>0</v>
      </c>
      <c r="CU129" s="514">
        <f t="shared" si="632"/>
        <v>0</v>
      </c>
      <c r="CV129" s="514">
        <f t="shared" si="633"/>
        <v>0</v>
      </c>
      <c r="CW129" s="514">
        <f t="shared" si="634"/>
        <v>0</v>
      </c>
      <c r="CX129" s="514">
        <f t="shared" si="635"/>
        <v>0</v>
      </c>
      <c r="CY129" s="501"/>
      <c r="CZ129" s="514">
        <f t="shared" si="636"/>
        <v>0</v>
      </c>
      <c r="DA129" s="514">
        <f t="shared" si="637"/>
        <v>0</v>
      </c>
      <c r="DB129" s="514">
        <f t="shared" si="638"/>
        <v>0</v>
      </c>
      <c r="DC129" s="514">
        <f t="shared" si="639"/>
        <v>0</v>
      </c>
      <c r="DD129" s="514">
        <f t="shared" si="640"/>
        <v>0</v>
      </c>
      <c r="DE129" s="501"/>
      <c r="DF129" s="570">
        <f t="shared" si="641"/>
        <v>1</v>
      </c>
      <c r="DG129" s="570">
        <f t="shared" si="642"/>
        <v>0</v>
      </c>
      <c r="DH129" s="570">
        <f t="shared" si="643"/>
        <v>0</v>
      </c>
      <c r="DI129" s="605"/>
      <c r="DJ129" s="567">
        <f>COUNTIF('MEP | Drawing List'!$G:$G,"MEP-T2S-6S-8")</f>
        <v>3</v>
      </c>
      <c r="DK129" s="582">
        <f>COUNTIFS('MEP | Drawing List'!$G:$G,"MEP-T2S-6S-8",'MEP | Drawing List'!$I:$I,1)</f>
        <v>3</v>
      </c>
      <c r="DL129" s="582">
        <f>COUNTIFS('MEP | Drawing List'!$G:$G,"MEP-T2S-6S-8",'MEP | Drawing List'!$K:$K,1)</f>
        <v>0</v>
      </c>
      <c r="DM129" s="582">
        <f>COUNTIFS('MEP | Drawing List'!$G:$G,"MEP-T2S-6S-8",'MEP | Drawing List'!L:L,1)</f>
        <v>0</v>
      </c>
      <c r="DN129" s="582">
        <f>COUNTIFS('MEP | Drawing List'!$G:$G,"MEP-T2S-6S-8",'MEP | Drawing List'!M:M,1)</f>
        <v>0</v>
      </c>
      <c r="DO129" s="582">
        <f>COUNTIFS('MEP | Drawing List'!$G:$G,"MEP-T2S-6S-8",'MEP | Drawing List'!N:N,1)</f>
        <v>0</v>
      </c>
      <c r="DP129" s="582">
        <f>COUNTIFS('MEP | Drawing List'!$G:$G,"MEP-T2S-6S-8",'MEP | Drawing List'!O:O,1)</f>
        <v>0</v>
      </c>
      <c r="DQ129" s="614"/>
      <c r="DR129" s="582">
        <f>COUNTIFS('MEP | Drawing List'!$G:$G,"MEP-T2S-6S-8",'MEP | Drawing List'!$P:$P,1)</f>
        <v>0</v>
      </c>
      <c r="DS129" s="582">
        <f>COUNTIFS('MEP | Drawing List'!$G:$G,"MEP-T2S-6S-8",'MEP | Drawing List'!Q:Q,1)</f>
        <v>0</v>
      </c>
      <c r="DT129" s="582">
        <f>COUNTIFS('MEP | Drawing List'!$G:$G,"MEP-T2S-6S-8",'MEP | Drawing List'!R:R,1)</f>
        <v>0</v>
      </c>
      <c r="DU129" s="582">
        <f>COUNTIFS('MEP | Drawing List'!$G:$G,"MEP-T2S-6S-8",'MEP | Drawing List'!S:S,1)</f>
        <v>0</v>
      </c>
      <c r="DV129" s="582">
        <f>COUNTIFS('MEP | Drawing List'!$G:$G,"MEP-T2S-6S-8",'MEP | Drawing List'!T:T,1)</f>
        <v>0</v>
      </c>
      <c r="DW129" s="588"/>
      <c r="DX129" s="588"/>
      <c r="DY129" s="470">
        <v>0</v>
      </c>
      <c r="DZ129" s="588"/>
      <c r="EA129" s="506">
        <f t="shared" ref="EA129:EZ129" si="665">EA83</f>
        <v>0</v>
      </c>
      <c r="EB129" s="589">
        <f t="shared" si="237"/>
        <v>0</v>
      </c>
      <c r="EC129" s="589">
        <f t="shared" si="665"/>
        <v>0</v>
      </c>
      <c r="ED129" s="589">
        <f t="shared" si="665"/>
        <v>0</v>
      </c>
      <c r="EE129" s="506">
        <f t="shared" si="665"/>
        <v>0</v>
      </c>
      <c r="EF129" s="506">
        <f t="shared" si="665"/>
        <v>0</v>
      </c>
      <c r="EG129" s="506">
        <f t="shared" si="665"/>
        <v>0</v>
      </c>
      <c r="EH129" s="506">
        <f t="shared" si="665"/>
        <v>0</v>
      </c>
      <c r="EI129" s="530"/>
      <c r="EJ129" s="567">
        <f t="shared" si="644"/>
        <v>0</v>
      </c>
      <c r="EK129" s="514">
        <f t="shared" si="645"/>
        <v>0</v>
      </c>
      <c r="EL129" s="514">
        <f t="shared" si="646"/>
        <v>0</v>
      </c>
      <c r="EM129" s="514">
        <f t="shared" si="647"/>
        <v>0</v>
      </c>
      <c r="EN129" s="514">
        <f t="shared" si="648"/>
        <v>0</v>
      </c>
      <c r="EO129" s="501"/>
      <c r="EP129" s="585">
        <f t="shared" si="649"/>
        <v>0</v>
      </c>
      <c r="EQ129" s="585">
        <f t="shared" si="650"/>
        <v>0</v>
      </c>
      <c r="ER129" s="585">
        <f t="shared" si="651"/>
        <v>0</v>
      </c>
      <c r="ES129" s="510">
        <f t="shared" si="665"/>
        <v>0</v>
      </c>
      <c r="ET129" s="514">
        <f t="shared" si="665"/>
        <v>0</v>
      </c>
      <c r="EU129" s="506">
        <f t="shared" si="665"/>
        <v>0</v>
      </c>
      <c r="EV129" s="506">
        <f t="shared" si="665"/>
        <v>0</v>
      </c>
      <c r="EW129" s="506">
        <f t="shared" si="665"/>
        <v>0</v>
      </c>
      <c r="EX129" s="506">
        <f t="shared" si="665"/>
        <v>0</v>
      </c>
      <c r="EY129" s="506">
        <f t="shared" si="665"/>
        <v>0</v>
      </c>
      <c r="EZ129" s="506">
        <f t="shared" si="665"/>
        <v>0</v>
      </c>
      <c r="FA129" s="533"/>
      <c r="FB129" s="506">
        <f t="shared" ref="FB129:FF129" si="666">FB83</f>
        <v>0</v>
      </c>
      <c r="FC129" s="506">
        <f t="shared" si="666"/>
        <v>0</v>
      </c>
      <c r="FD129" s="506">
        <f t="shared" si="666"/>
        <v>0</v>
      </c>
      <c r="FE129" s="506">
        <f t="shared" si="666"/>
        <v>0</v>
      </c>
      <c r="FF129" s="506">
        <f t="shared" si="666"/>
        <v>0</v>
      </c>
    </row>
    <row r="130" spans="2:163" ht="14.25" outlineLevel="2">
      <c r="B130" s="604" t="s">
        <v>136</v>
      </c>
      <c r="C130" s="565">
        <v>9</v>
      </c>
      <c r="D130" s="566" t="s">
        <v>71</v>
      </c>
      <c r="F130" s="500">
        <f t="shared" si="596"/>
        <v>6.7850000000000021E-2</v>
      </c>
      <c r="G130" s="500">
        <f t="shared" si="597"/>
        <v>6.7850000000000021E-2</v>
      </c>
      <c r="H130" s="514">
        <f t="shared" si="598"/>
        <v>0</v>
      </c>
      <c r="I130" s="514">
        <f t="shared" si="571"/>
        <v>0</v>
      </c>
      <c r="J130" s="514">
        <f t="shared" si="572"/>
        <v>0</v>
      </c>
      <c r="K130" s="514">
        <f t="shared" si="573"/>
        <v>0</v>
      </c>
      <c r="L130" s="514">
        <f t="shared" si="574"/>
        <v>0</v>
      </c>
      <c r="M130" s="567">
        <f t="shared" si="575"/>
        <v>0</v>
      </c>
      <c r="N130" s="568"/>
      <c r="O130" s="514">
        <f t="shared" si="576"/>
        <v>0</v>
      </c>
      <c r="P130" s="514">
        <f t="shared" si="577"/>
        <v>0</v>
      </c>
      <c r="Q130" s="514">
        <f t="shared" si="578"/>
        <v>0</v>
      </c>
      <c r="R130" s="514">
        <f t="shared" si="579"/>
        <v>0</v>
      </c>
      <c r="S130" s="514">
        <f t="shared" si="580"/>
        <v>0</v>
      </c>
      <c r="U130" s="583">
        <v>0.05</v>
      </c>
      <c r="V130" s="503"/>
      <c r="W130" s="500">
        <f t="shared" si="599"/>
        <v>6.2334000000000014E-2</v>
      </c>
      <c r="X130" s="500">
        <f t="shared" si="234"/>
        <v>6.2334000000000014E-2</v>
      </c>
      <c r="Y130" s="506">
        <f t="shared" si="600"/>
        <v>6.2334000000000014E-2</v>
      </c>
      <c r="Z130" s="506">
        <f t="shared" si="601"/>
        <v>0</v>
      </c>
      <c r="AA130" s="506">
        <f t="shared" si="602"/>
        <v>0</v>
      </c>
      <c r="AB130" s="506">
        <f t="shared" si="603"/>
        <v>0</v>
      </c>
      <c r="AC130" s="506">
        <f t="shared" si="604"/>
        <v>0</v>
      </c>
      <c r="AD130" s="567">
        <f t="shared" si="605"/>
        <v>0</v>
      </c>
      <c r="AE130" s="568"/>
      <c r="AF130" s="514">
        <f t="shared" si="606"/>
        <v>0</v>
      </c>
      <c r="AG130" s="514">
        <f t="shared" si="607"/>
        <v>0</v>
      </c>
      <c r="AH130" s="514">
        <f t="shared" si="608"/>
        <v>0</v>
      </c>
      <c r="AI130" s="514">
        <f t="shared" si="609"/>
        <v>0</v>
      </c>
      <c r="AJ130" s="514">
        <f t="shared" si="610"/>
        <v>0</v>
      </c>
      <c r="AK130" s="501"/>
      <c r="AL130" s="578">
        <f t="shared" si="611"/>
        <v>1</v>
      </c>
      <c r="AM130" s="578">
        <f t="shared" si="612"/>
        <v>0</v>
      </c>
      <c r="AN130" s="570">
        <f t="shared" si="613"/>
        <v>0</v>
      </c>
      <c r="AO130" s="518"/>
      <c r="AP130" s="514">
        <f>COUNTIF('AR | Drawing List'!$G:$G,"AR-T6S-9")</f>
        <v>3</v>
      </c>
      <c r="AQ130" s="506">
        <f>COUNTIFS('AR | Drawing List'!$G:$G,"AR-T6S-9",'AR | Drawing List'!$I:$I,1)</f>
        <v>3</v>
      </c>
      <c r="AR130" s="506">
        <f t="shared" si="238"/>
        <v>0</v>
      </c>
      <c r="AS130" s="506">
        <f>COUNTIFS('AR | Drawing List'!$G:$G,"AR-T6S-9",'AR | Drawing List'!M:M,1)</f>
        <v>0</v>
      </c>
      <c r="AT130" s="506">
        <f>COUNTIFS('AR | Drawing List'!$G:$G,"AR-T6S-9",'AR | Drawing List'!N:N,1)</f>
        <v>0</v>
      </c>
      <c r="AU130" s="506">
        <f>COUNTIFS('AR | Drawing List'!$G:$G,"AR-T6S-9",'AR | Drawing List'!O:O,1)</f>
        <v>0</v>
      </c>
      <c r="AV130" s="506">
        <f>COUNTIFS('AR | Drawing List'!$G:$G,"AR-T6S-9",'AR | Drawing List'!P:P,1)</f>
        <v>0</v>
      </c>
      <c r="AW130" s="466"/>
      <c r="AX130" s="506">
        <f t="shared" si="540"/>
        <v>0</v>
      </c>
      <c r="AY130" s="506">
        <f>COUNTIFS('AR | Drawing List'!$G:$G,"AR-T6S-9",'AR | Drawing List'!R:R,1)</f>
        <v>0</v>
      </c>
      <c r="AZ130" s="506">
        <f>COUNTIFS('AR | Drawing List'!$G:$G,"AR-T6S-9",'AR | Drawing List'!S:S,1)</f>
        <v>0</v>
      </c>
      <c r="BA130" s="506">
        <f>COUNTIFS('AR | Drawing List'!$G:$G,"AR-T6S-9",'AR | Drawing List'!T:T,1)</f>
        <v>0</v>
      </c>
      <c r="BB130" s="506">
        <f>COUNTIFS('AR | Drawing List'!$G:$G,"AR-T6S-9",'AR | Drawing List'!U:U,1)</f>
        <v>0</v>
      </c>
      <c r="BC130" s="551"/>
      <c r="BD130" s="551"/>
      <c r="BE130" s="576">
        <v>0</v>
      </c>
      <c r="BF130" s="508"/>
      <c r="BG130" s="506">
        <f t="shared" si="614"/>
        <v>0</v>
      </c>
      <c r="BH130" s="510">
        <f t="shared" si="235"/>
        <v>0</v>
      </c>
      <c r="BI130" s="506">
        <f t="shared" si="615"/>
        <v>0</v>
      </c>
      <c r="BJ130" s="506">
        <f t="shared" si="616"/>
        <v>0</v>
      </c>
      <c r="BK130" s="506">
        <f t="shared" si="617"/>
        <v>0</v>
      </c>
      <c r="BL130" s="506">
        <f t="shared" si="618"/>
        <v>0</v>
      </c>
      <c r="BM130" s="506">
        <f t="shared" si="619"/>
        <v>0</v>
      </c>
      <c r="BN130" s="506">
        <f t="shared" si="620"/>
        <v>0</v>
      </c>
      <c r="BO130" s="530"/>
      <c r="BP130" s="514">
        <f t="shared" si="621"/>
        <v>0</v>
      </c>
      <c r="BQ130" s="514">
        <f t="shared" si="622"/>
        <v>0</v>
      </c>
      <c r="BR130" s="514">
        <f t="shared" si="623"/>
        <v>0</v>
      </c>
      <c r="BS130" s="514">
        <f t="shared" si="624"/>
        <v>0</v>
      </c>
      <c r="BT130" s="514">
        <f t="shared" si="625"/>
        <v>0</v>
      </c>
      <c r="BU130" s="501"/>
      <c r="BV130" s="571">
        <f t="shared" si="626"/>
        <v>0</v>
      </c>
      <c r="BW130" s="571">
        <f t="shared" si="627"/>
        <v>0</v>
      </c>
      <c r="BX130" s="571">
        <f t="shared" si="628"/>
        <v>0</v>
      </c>
      <c r="BY130" s="518"/>
      <c r="BZ130" s="514">
        <f>COUNTIF('ST | Drawing List'!$G:$G,"ST-T6S-9")</f>
        <v>0</v>
      </c>
      <c r="CA130" s="506">
        <f>COUNTIFS('ST | Drawing List'!$G:$G,"ST-T6S-9",'ST | Drawing List'!$I:$I,1)</f>
        <v>0</v>
      </c>
      <c r="CB130" s="506">
        <f>COUNTIFS('ST | Drawing List'!$G:$G,"ST-T6S-9",'ST | Drawing List'!$K:$K,1)</f>
        <v>0</v>
      </c>
      <c r="CC130" s="506">
        <f>COUNTIFS('ST | Drawing List'!$G:$G,"ST-T6S-9",'ST | Drawing List'!L:L,1)</f>
        <v>0</v>
      </c>
      <c r="CD130" s="506">
        <f>COUNTIFS('ST | Drawing List'!$G:$G,"ST-T6S-9",'ST | Drawing List'!M:M,1)</f>
        <v>0</v>
      </c>
      <c r="CE130" s="506">
        <f>COUNTIFS('ST | Drawing List'!$G:$G,"ST-T6S-9",'ST | Drawing List'!N:N,1)</f>
        <v>0</v>
      </c>
      <c r="CF130" s="506">
        <f>COUNTIFS('ST | Drawing List'!$G:$G,"ST-T6S-9",'ST | Drawing List'!O:O,1)</f>
        <v>0</v>
      </c>
      <c r="CG130" s="471"/>
      <c r="CH130" s="506">
        <f>COUNTIFS('ST | Drawing List'!$G:$G,"ST-T6S-9",'ST | Drawing List'!$P:$P,1)</f>
        <v>0</v>
      </c>
      <c r="CI130" s="506">
        <f>COUNTIFS('ST | Drawing List'!$G:$G,"ST-T6S-9",'ST | Drawing List'!Q:Q,1)</f>
        <v>0</v>
      </c>
      <c r="CJ130" s="506">
        <f>COUNTIFS('ST | Drawing List'!$G:$G,"ST-T6S-9",'ST | Drawing List'!R:R,1)</f>
        <v>0</v>
      </c>
      <c r="CK130" s="506">
        <f>COUNTIFS('ST | Drawing List'!$G:$G,"ST-T6S-9",'ST | Drawing List'!S:S,1)</f>
        <v>0</v>
      </c>
      <c r="CL130" s="506">
        <f>COUNTIFS('ST | Drawing List'!$G:$G,"ST-T6S-9",'ST | Drawing List'!T:T,1)</f>
        <v>0</v>
      </c>
      <c r="CM130" s="508"/>
      <c r="CN130" s="508"/>
      <c r="CO130" s="576">
        <v>0</v>
      </c>
      <c r="CP130" s="508"/>
      <c r="CQ130" s="506">
        <f t="shared" si="629"/>
        <v>0</v>
      </c>
      <c r="CR130" s="510">
        <f t="shared" si="236"/>
        <v>0</v>
      </c>
      <c r="CS130" s="506">
        <f t="shared" si="630"/>
        <v>0</v>
      </c>
      <c r="CT130" s="514">
        <f t="shared" si="631"/>
        <v>0</v>
      </c>
      <c r="CU130" s="514">
        <f t="shared" si="632"/>
        <v>0</v>
      </c>
      <c r="CV130" s="514">
        <f t="shared" si="633"/>
        <v>0</v>
      </c>
      <c r="CW130" s="514">
        <f t="shared" si="634"/>
        <v>0</v>
      </c>
      <c r="CX130" s="514">
        <f t="shared" si="635"/>
        <v>0</v>
      </c>
      <c r="CY130" s="501"/>
      <c r="CZ130" s="514">
        <f t="shared" si="636"/>
        <v>0</v>
      </c>
      <c r="DA130" s="514">
        <f t="shared" si="637"/>
        <v>0</v>
      </c>
      <c r="DB130" s="514">
        <f t="shared" si="638"/>
        <v>0</v>
      </c>
      <c r="DC130" s="514">
        <f t="shared" si="639"/>
        <v>0</v>
      </c>
      <c r="DD130" s="514">
        <f t="shared" si="640"/>
        <v>0</v>
      </c>
      <c r="DE130" s="501"/>
      <c r="DF130" s="570">
        <f t="shared" si="641"/>
        <v>0</v>
      </c>
      <c r="DG130" s="570">
        <f t="shared" si="642"/>
        <v>0</v>
      </c>
      <c r="DH130" s="570">
        <f t="shared" si="643"/>
        <v>0</v>
      </c>
      <c r="DI130" s="518"/>
      <c r="DJ130" s="514">
        <f>COUNTIF('MEP | Drawing List'!$G:$G,"MEP-T2S-6S-9")</f>
        <v>0</v>
      </c>
      <c r="DK130" s="506">
        <f>COUNTIFS('MEP | Drawing List'!$G:$G,"MEP-T2S-6S-9",'MEP | Drawing List'!$I:$I,1)</f>
        <v>0</v>
      </c>
      <c r="DL130" s="506">
        <f>COUNTIFS('MEP | Drawing List'!$G:$G,"MEP-T2S-6S-9",'MEP | Drawing List'!$K:$K,1)</f>
        <v>0</v>
      </c>
      <c r="DM130" s="506">
        <f>COUNTIFS('MEP | Drawing List'!$G:$G,"MEP-T2S-6S-9",'MEP | Drawing List'!L:L,1)</f>
        <v>0</v>
      </c>
      <c r="DN130" s="506">
        <f>COUNTIFS('MEP | Drawing List'!$G:$G,"MEP-T2S-6S-9",'MEP | Drawing List'!M:M,1)</f>
        <v>0</v>
      </c>
      <c r="DO130" s="506">
        <f>COUNTIFS('MEP | Drawing List'!$G:$G,"MEP-T2S-6S-9",'MEP | Drawing List'!N:N,1)</f>
        <v>0</v>
      </c>
      <c r="DP130" s="506">
        <f>COUNTIFS('MEP | Drawing List'!$G:$G,"MEP-T2S-6S-9",'MEP | Drawing List'!O:O,1)</f>
        <v>0</v>
      </c>
      <c r="DQ130" s="530"/>
      <c r="DR130" s="506">
        <f>COUNTIFS('MEP | Drawing List'!$G:$G,"MEP-T2S-6S-9",'MEP | Drawing List'!$P:$P,1)</f>
        <v>0</v>
      </c>
      <c r="DS130" s="506">
        <f>COUNTIFS('MEP | Drawing List'!$G:$G,"MEP-T2S-6S-9",'MEP | Drawing List'!Q:Q,1)</f>
        <v>0</v>
      </c>
      <c r="DT130" s="506">
        <f>COUNTIFS('MEP | Drawing List'!$G:$G,"MEP-T2S-6S-9",'MEP | Drawing List'!R:R,1)</f>
        <v>0</v>
      </c>
      <c r="DU130" s="506">
        <f>COUNTIFS('MEP | Drawing List'!$G:$G,"MEP-T2S-6S-9",'MEP | Drawing List'!S:S,1)</f>
        <v>0</v>
      </c>
      <c r="DV130" s="506">
        <f>COUNTIFS('MEP | Drawing List'!$G:$G,"MEP-T2S-6S-9",'MEP | Drawing List'!T:T,1)</f>
        <v>0</v>
      </c>
      <c r="DW130" s="508"/>
      <c r="DX130" s="508"/>
      <c r="DY130" s="470">
        <v>0.2</v>
      </c>
      <c r="DZ130" s="508"/>
      <c r="EA130" s="506">
        <f t="shared" ref="EA130:EZ130" si="667">EA84</f>
        <v>5.5160000000000009E-3</v>
      </c>
      <c r="EB130" s="510">
        <f t="shared" si="237"/>
        <v>5.5160000000000009E-3</v>
      </c>
      <c r="EC130" s="510">
        <f t="shared" si="667"/>
        <v>5.5160000000000009E-3</v>
      </c>
      <c r="ED130" s="510">
        <f t="shared" si="667"/>
        <v>0</v>
      </c>
      <c r="EE130" s="506">
        <f t="shared" si="667"/>
        <v>0</v>
      </c>
      <c r="EF130" s="506">
        <f t="shared" si="667"/>
        <v>0</v>
      </c>
      <c r="EG130" s="506">
        <f t="shared" si="667"/>
        <v>0</v>
      </c>
      <c r="EH130" s="506">
        <f t="shared" si="667"/>
        <v>0</v>
      </c>
      <c r="EI130" s="530"/>
      <c r="EJ130" s="567">
        <f t="shared" si="644"/>
        <v>0</v>
      </c>
      <c r="EK130" s="514">
        <f t="shared" si="645"/>
        <v>0</v>
      </c>
      <c r="EL130" s="514">
        <f t="shared" si="646"/>
        <v>0</v>
      </c>
      <c r="EM130" s="514">
        <f t="shared" si="647"/>
        <v>0</v>
      </c>
      <c r="EN130" s="514">
        <f t="shared" si="648"/>
        <v>0</v>
      </c>
      <c r="EO130" s="501"/>
      <c r="EP130" s="585">
        <f t="shared" si="649"/>
        <v>1</v>
      </c>
      <c r="EQ130" s="585">
        <f t="shared" si="650"/>
        <v>0</v>
      </c>
      <c r="ER130" s="585">
        <f t="shared" si="651"/>
        <v>0</v>
      </c>
      <c r="ES130" s="450">
        <f t="shared" si="667"/>
        <v>0</v>
      </c>
      <c r="ET130" s="514">
        <f t="shared" si="667"/>
        <v>6</v>
      </c>
      <c r="EU130" s="506">
        <f t="shared" si="667"/>
        <v>6</v>
      </c>
      <c r="EV130" s="506">
        <f t="shared" si="667"/>
        <v>0</v>
      </c>
      <c r="EW130" s="506">
        <f t="shared" si="667"/>
        <v>0</v>
      </c>
      <c r="EX130" s="506">
        <f t="shared" si="667"/>
        <v>0</v>
      </c>
      <c r="EY130" s="506">
        <f t="shared" si="667"/>
        <v>0</v>
      </c>
      <c r="EZ130" s="506">
        <f t="shared" si="667"/>
        <v>0</v>
      </c>
      <c r="FA130" s="533"/>
      <c r="FB130" s="506">
        <f t="shared" ref="FB130:FF130" si="668">FB84</f>
        <v>0</v>
      </c>
      <c r="FC130" s="506">
        <f t="shared" si="668"/>
        <v>0</v>
      </c>
      <c r="FD130" s="506">
        <f t="shared" si="668"/>
        <v>0</v>
      </c>
      <c r="FE130" s="506">
        <f t="shared" si="668"/>
        <v>0</v>
      </c>
      <c r="FF130" s="506">
        <f t="shared" si="668"/>
        <v>0</v>
      </c>
    </row>
    <row r="131" spans="2:163" ht="3" customHeight="1" outlineLevel="1">
      <c r="B131" s="594"/>
      <c r="C131" s="595"/>
      <c r="D131" s="566"/>
      <c r="F131" s="499"/>
      <c r="G131" s="500"/>
      <c r="H131" s="615"/>
      <c r="I131" s="615"/>
      <c r="J131" s="615"/>
      <c r="K131" s="615"/>
      <c r="L131" s="615"/>
      <c r="M131" s="615"/>
      <c r="N131" s="615"/>
      <c r="O131" s="615"/>
      <c r="P131" s="615"/>
      <c r="Q131" s="615"/>
      <c r="R131" s="615"/>
      <c r="S131" s="615"/>
      <c r="U131" s="569"/>
      <c r="V131" s="503"/>
      <c r="W131" s="499"/>
      <c r="X131" s="500">
        <f t="shared" si="234"/>
        <v>0</v>
      </c>
      <c r="Y131" s="615"/>
      <c r="Z131" s="615"/>
      <c r="AA131" s="615"/>
      <c r="AB131" s="615"/>
      <c r="AC131" s="615"/>
      <c r="AD131" s="615"/>
      <c r="AE131" s="615"/>
      <c r="AF131" s="615"/>
      <c r="AG131" s="615"/>
      <c r="AH131" s="615"/>
      <c r="AI131" s="615"/>
      <c r="AJ131" s="615"/>
      <c r="AK131" s="615"/>
      <c r="AL131" s="513"/>
      <c r="AM131" s="513"/>
      <c r="AN131" s="513"/>
      <c r="AO131" s="518"/>
      <c r="AP131" s="551"/>
      <c r="AQ131" s="551"/>
      <c r="AR131" s="551"/>
      <c r="AS131" s="551"/>
      <c r="AT131" s="551"/>
      <c r="AU131" s="551"/>
      <c r="AV131" s="551"/>
      <c r="AW131" s="551"/>
      <c r="AX131" s="551"/>
      <c r="AY131" s="551"/>
      <c r="AZ131" s="551"/>
      <c r="BA131" s="551"/>
      <c r="BB131" s="551"/>
      <c r="BC131" s="551"/>
      <c r="BD131" s="551"/>
      <c r="BE131" s="511"/>
      <c r="BF131" s="508"/>
      <c r="BG131" s="509"/>
      <c r="BH131" s="510">
        <f t="shared" si="235"/>
        <v>0</v>
      </c>
      <c r="BI131" s="615"/>
      <c r="BJ131" s="615"/>
      <c r="BK131" s="615"/>
      <c r="BL131" s="615"/>
      <c r="BM131" s="615"/>
      <c r="BN131" s="615"/>
      <c r="BO131" s="615"/>
      <c r="BP131" s="615"/>
      <c r="BQ131" s="615"/>
      <c r="BR131" s="615"/>
      <c r="BS131" s="615"/>
      <c r="BT131" s="615"/>
      <c r="BU131" s="615"/>
      <c r="BV131" s="511"/>
      <c r="BW131" s="511"/>
      <c r="BX131" s="511"/>
      <c r="BY131" s="518"/>
      <c r="BZ131" s="552"/>
      <c r="CA131" s="552"/>
      <c r="CB131" s="608"/>
      <c r="CC131" s="552"/>
      <c r="CD131" s="552"/>
      <c r="CE131" s="552"/>
      <c r="CF131" s="552"/>
      <c r="CG131" s="552"/>
      <c r="CH131" s="608"/>
      <c r="CI131" s="552"/>
      <c r="CJ131" s="552"/>
      <c r="CK131" s="552"/>
      <c r="CL131" s="552"/>
      <c r="CM131" s="508"/>
      <c r="CN131" s="508"/>
      <c r="CO131" s="511"/>
      <c r="CP131" s="508"/>
      <c r="CQ131" s="509"/>
      <c r="CR131" s="510">
        <f t="shared" si="236"/>
        <v>0</v>
      </c>
      <c r="CS131" s="615"/>
      <c r="CT131" s="615"/>
      <c r="CU131" s="615"/>
      <c r="CV131" s="615"/>
      <c r="CW131" s="615"/>
      <c r="CX131" s="615"/>
      <c r="CY131" s="615"/>
      <c r="CZ131" s="615"/>
      <c r="DA131" s="615"/>
      <c r="DB131" s="615"/>
      <c r="DC131" s="615"/>
      <c r="DD131" s="615"/>
      <c r="DE131" s="615"/>
      <c r="DF131" s="513"/>
      <c r="DG131" s="513"/>
      <c r="DH131" s="513"/>
      <c r="DI131" s="518"/>
      <c r="DJ131" s="551"/>
      <c r="DK131" s="551"/>
      <c r="DL131" s="551"/>
      <c r="DM131" s="615"/>
      <c r="DN131" s="615"/>
      <c r="DO131" s="615"/>
      <c r="DP131" s="615"/>
      <c r="DQ131" s="615"/>
      <c r="DR131" s="551"/>
      <c r="DS131" s="615"/>
      <c r="DT131" s="615"/>
      <c r="DU131" s="615"/>
      <c r="DV131" s="615"/>
      <c r="DW131" s="508"/>
      <c r="DX131" s="508"/>
      <c r="DY131" s="511"/>
      <c r="DZ131" s="508"/>
      <c r="EA131" s="509"/>
      <c r="EB131" s="510">
        <f t="shared" si="237"/>
        <v>0</v>
      </c>
      <c r="EC131" s="577"/>
      <c r="ED131" s="577"/>
      <c r="EE131" s="577"/>
      <c r="EF131" s="577"/>
      <c r="EG131" s="577"/>
      <c r="EH131" s="577"/>
      <c r="EI131" s="577"/>
      <c r="EJ131" s="577"/>
      <c r="EK131" s="577"/>
      <c r="EL131" s="577"/>
      <c r="EM131" s="577"/>
      <c r="EN131" s="577"/>
      <c r="EO131" s="577"/>
      <c r="EP131" s="52"/>
      <c r="EQ131" s="52"/>
      <c r="ER131" s="52"/>
      <c r="EW131" s="577"/>
      <c r="EX131" s="577"/>
      <c r="EY131" s="577"/>
      <c r="EZ131" s="577"/>
      <c r="FA131" s="577"/>
      <c r="FC131" s="577"/>
      <c r="FD131" s="577"/>
      <c r="FE131" s="577"/>
      <c r="FF131" s="577"/>
    </row>
    <row r="132" spans="2:163" ht="14.25" outlineLevel="1">
      <c r="B132" s="477"/>
      <c r="C132" s="559">
        <v>8</v>
      </c>
      <c r="D132" s="560" t="s">
        <v>137</v>
      </c>
      <c r="E132" s="479"/>
      <c r="F132" s="480">
        <f>W132+BG132+CQ132+EA132</f>
        <v>1.8241949999999998</v>
      </c>
      <c r="G132" s="480">
        <f>X132+BH132+CR132+EB132</f>
        <v>1.8241949999999998</v>
      </c>
      <c r="H132" s="481">
        <f>F132-G132</f>
        <v>0</v>
      </c>
      <c r="I132" s="480">
        <f t="shared" ref="I132:I142" si="669">Z132+BJ132+CT132+ED132</f>
        <v>0</v>
      </c>
      <c r="J132" s="480">
        <f t="shared" ref="J132:J142" si="670">AA132+BK132+CU132+EE132</f>
        <v>0</v>
      </c>
      <c r="K132" s="480">
        <f t="shared" ref="K132:K142" si="671">AB132+BL132+CV132+EF132</f>
        <v>0</v>
      </c>
      <c r="L132" s="480">
        <f t="shared" ref="L132:L142" si="672">AC132+BM132+CW132+EG132</f>
        <v>0</v>
      </c>
      <c r="M132" s="480">
        <f t="shared" ref="M132:M142" si="673">AD132+BN132+CX132+EH132</f>
        <v>0</v>
      </c>
      <c r="N132" s="482"/>
      <c r="O132" s="480">
        <f t="shared" ref="O132:O142" si="674">AF132+BP132+CZ132+EJ132</f>
        <v>0</v>
      </c>
      <c r="P132" s="480">
        <f t="shared" ref="P132:P142" si="675">AG132+BQ132+DA132+EK132</f>
        <v>0</v>
      </c>
      <c r="Q132" s="480">
        <f t="shared" ref="Q132:Q142" si="676">AH132+BR132+DB132+EL132</f>
        <v>0</v>
      </c>
      <c r="R132" s="480">
        <f t="shared" ref="R132:R142" si="677">AI132+BS132+DC132+EM132</f>
        <v>0</v>
      </c>
      <c r="S132" s="480">
        <f t="shared" ref="S132:S142" si="678">AJ132+BT132+DD132+EN132</f>
        <v>0</v>
      </c>
      <c r="T132" s="479"/>
      <c r="U132" s="483">
        <f>SUM(U133:U142)</f>
        <v>0.5</v>
      </c>
      <c r="V132" s="483"/>
      <c r="W132" s="480">
        <f>U132*(5%*'BOQ COST'!E14)*1</f>
        <v>1.2008749999999999</v>
      </c>
      <c r="X132" s="480">
        <f t="shared" si="234"/>
        <v>1.2008749999999999</v>
      </c>
      <c r="Y132" s="481">
        <f>SUM(Y133:Y142)</f>
        <v>1.2008749999999999</v>
      </c>
      <c r="Z132" s="481">
        <f>SUM(Z133:Z142)</f>
        <v>0</v>
      </c>
      <c r="AA132" s="481">
        <f t="shared" ref="AA132:AD132" si="679">SUM(AA133:AA142)</f>
        <v>0</v>
      </c>
      <c r="AB132" s="481">
        <f t="shared" si="679"/>
        <v>0</v>
      </c>
      <c r="AC132" s="481">
        <f t="shared" si="679"/>
        <v>0</v>
      </c>
      <c r="AD132" s="481">
        <f t="shared" si="679"/>
        <v>0</v>
      </c>
      <c r="AE132" s="482"/>
      <c r="AF132" s="481">
        <f>SUM(AF133:AF142)</f>
        <v>0</v>
      </c>
      <c r="AG132" s="481">
        <f t="shared" ref="AG132:AJ132" si="680">SUM(AG133:AG142)</f>
        <v>0</v>
      </c>
      <c r="AH132" s="481">
        <f t="shared" si="680"/>
        <v>0</v>
      </c>
      <c r="AI132" s="481">
        <f t="shared" si="680"/>
        <v>0</v>
      </c>
      <c r="AJ132" s="481">
        <f t="shared" si="680"/>
        <v>0</v>
      </c>
      <c r="AK132" s="482"/>
      <c r="AL132" s="492"/>
      <c r="AM132" s="492"/>
      <c r="AN132" s="492"/>
      <c r="AO132" s="481">
        <f t="shared" ref="AO132" si="681">SUM(AO133:AO142)</f>
        <v>0</v>
      </c>
      <c r="AP132" s="481">
        <f t="shared" ref="AP132" si="682">SUM(AP133:AP142)</f>
        <v>22</v>
      </c>
      <c r="AQ132" s="481">
        <f t="shared" ref="AQ132" si="683">SUM(AQ133:AQ142)</f>
        <v>22</v>
      </c>
      <c r="AR132" s="481">
        <f t="shared" ref="AR132:AR201" si="684">SUM(AS132:AV132)</f>
        <v>0</v>
      </c>
      <c r="AS132" s="481">
        <f>SUM(AS133:AS142)</f>
        <v>0</v>
      </c>
      <c r="AT132" s="481">
        <f t="shared" ref="AT132:AX132" si="685">SUM(AT133:AT142)</f>
        <v>0</v>
      </c>
      <c r="AU132" s="481">
        <f t="shared" si="685"/>
        <v>0</v>
      </c>
      <c r="AV132" s="481">
        <f t="shared" si="685"/>
        <v>0</v>
      </c>
      <c r="AW132" s="482"/>
      <c r="AX132" s="481">
        <f t="shared" si="685"/>
        <v>0</v>
      </c>
      <c r="AY132" s="481">
        <f>SUM(AY133:AY142)</f>
        <v>0</v>
      </c>
      <c r="AZ132" s="481">
        <f t="shared" ref="AZ132:BB132" si="686">SUM(AZ133:AZ142)</f>
        <v>0</v>
      </c>
      <c r="BA132" s="481">
        <f t="shared" si="686"/>
        <v>0</v>
      </c>
      <c r="BB132" s="481">
        <f t="shared" si="686"/>
        <v>0</v>
      </c>
      <c r="BC132" s="487"/>
      <c r="BD132" s="487"/>
      <c r="BE132" s="483">
        <f>SUM(BE133:BE142)</f>
        <v>0.55000000000000004</v>
      </c>
      <c r="BF132" s="483"/>
      <c r="BG132" s="480">
        <f>BE132*(3%*'BOQ COST'!F14)*1</f>
        <v>0.52139999999999997</v>
      </c>
      <c r="BH132" s="480">
        <f t="shared" si="235"/>
        <v>0.52139999999999997</v>
      </c>
      <c r="BI132" s="481">
        <f>SUM(BI133:BI142)</f>
        <v>0.52139999999999997</v>
      </c>
      <c r="BJ132" s="481">
        <f>SUM(BJ133:BJ142)</f>
        <v>0</v>
      </c>
      <c r="BK132" s="481">
        <f t="shared" ref="BK132:CF132" si="687">SUM(BK133:BK142)</f>
        <v>0</v>
      </c>
      <c r="BL132" s="481">
        <f t="shared" si="687"/>
        <v>0</v>
      </c>
      <c r="BM132" s="481">
        <f t="shared" si="687"/>
        <v>0</v>
      </c>
      <c r="BN132" s="481">
        <f t="shared" si="687"/>
        <v>0</v>
      </c>
      <c r="BO132" s="482"/>
      <c r="BP132" s="481">
        <f>SUM(BP133:BP142)</f>
        <v>0</v>
      </c>
      <c r="BQ132" s="481">
        <f t="shared" ref="BQ132:BT132" si="688">SUM(BQ133:BQ142)</f>
        <v>0</v>
      </c>
      <c r="BR132" s="481">
        <f t="shared" si="688"/>
        <v>0</v>
      </c>
      <c r="BS132" s="481">
        <f t="shared" si="688"/>
        <v>0</v>
      </c>
      <c r="BT132" s="481">
        <f t="shared" si="688"/>
        <v>0</v>
      </c>
      <c r="BU132" s="482"/>
      <c r="BV132" s="488"/>
      <c r="BW132" s="488"/>
      <c r="BX132" s="488"/>
      <c r="BY132" s="481">
        <f t="shared" si="687"/>
        <v>0</v>
      </c>
      <c r="BZ132" s="481">
        <f t="shared" si="687"/>
        <v>319</v>
      </c>
      <c r="CA132" s="481">
        <f t="shared" si="687"/>
        <v>319</v>
      </c>
      <c r="CB132" s="481">
        <f t="shared" si="687"/>
        <v>0</v>
      </c>
      <c r="CC132" s="481">
        <f t="shared" si="687"/>
        <v>0</v>
      </c>
      <c r="CD132" s="481">
        <f t="shared" si="687"/>
        <v>0</v>
      </c>
      <c r="CE132" s="481">
        <f t="shared" si="687"/>
        <v>0</v>
      </c>
      <c r="CF132" s="481">
        <f t="shared" si="687"/>
        <v>0</v>
      </c>
      <c r="CG132" s="490"/>
      <c r="CH132" s="481">
        <f t="shared" ref="CH132:CL132" si="689">SUM(CH133:CH142)</f>
        <v>0</v>
      </c>
      <c r="CI132" s="481">
        <f t="shared" si="689"/>
        <v>0</v>
      </c>
      <c r="CJ132" s="481">
        <f t="shared" si="689"/>
        <v>0</v>
      </c>
      <c r="CK132" s="481">
        <f t="shared" si="689"/>
        <v>0</v>
      </c>
      <c r="CL132" s="481">
        <f t="shared" si="689"/>
        <v>0</v>
      </c>
      <c r="CM132" s="483"/>
      <c r="CN132" s="483"/>
      <c r="CO132" s="483">
        <f>SUM(CO133:CO142)</f>
        <v>0.65</v>
      </c>
      <c r="CP132" s="483"/>
      <c r="CQ132" s="480">
        <f>CO132*(2%*'BOQ COST'!$G$14)*1</f>
        <v>0.10192</v>
      </c>
      <c r="CR132" s="480">
        <f t="shared" si="236"/>
        <v>0.10192</v>
      </c>
      <c r="CS132" s="481">
        <f>SUM(CS133:CS142)</f>
        <v>0.10192</v>
      </c>
      <c r="CT132" s="481">
        <f>SUM(CT133:CT142)</f>
        <v>0</v>
      </c>
      <c r="CU132" s="481">
        <f t="shared" ref="CU132:DP132" si="690">SUM(CU133:CU142)</f>
        <v>0</v>
      </c>
      <c r="CV132" s="481">
        <f t="shared" si="690"/>
        <v>0</v>
      </c>
      <c r="CW132" s="481">
        <f t="shared" si="690"/>
        <v>0</v>
      </c>
      <c r="CX132" s="481">
        <f t="shared" si="690"/>
        <v>0</v>
      </c>
      <c r="CY132" s="482"/>
      <c r="CZ132" s="481">
        <f>SUM(CZ133:CZ142)</f>
        <v>0</v>
      </c>
      <c r="DA132" s="481">
        <f t="shared" ref="DA132:DD132" si="691">SUM(DA133:DA142)</f>
        <v>0</v>
      </c>
      <c r="DB132" s="481">
        <f t="shared" si="691"/>
        <v>0</v>
      </c>
      <c r="DC132" s="481">
        <f t="shared" si="691"/>
        <v>0</v>
      </c>
      <c r="DD132" s="481">
        <f t="shared" si="691"/>
        <v>0</v>
      </c>
      <c r="DE132" s="482"/>
      <c r="DF132" s="492"/>
      <c r="DG132" s="492"/>
      <c r="DH132" s="492"/>
      <c r="DI132" s="481">
        <f t="shared" si="690"/>
        <v>0</v>
      </c>
      <c r="DJ132" s="481">
        <f t="shared" si="690"/>
        <v>75</v>
      </c>
      <c r="DK132" s="481">
        <f t="shared" si="690"/>
        <v>75</v>
      </c>
      <c r="DL132" s="481">
        <f t="shared" si="690"/>
        <v>0</v>
      </c>
      <c r="DM132" s="481">
        <f t="shared" si="690"/>
        <v>0</v>
      </c>
      <c r="DN132" s="481">
        <f t="shared" si="690"/>
        <v>0</v>
      </c>
      <c r="DO132" s="481">
        <f t="shared" si="690"/>
        <v>0</v>
      </c>
      <c r="DP132" s="481">
        <f t="shared" si="690"/>
        <v>0</v>
      </c>
      <c r="DQ132" s="482"/>
      <c r="DR132" s="481">
        <f t="shared" ref="DR132:DV132" si="692">SUM(DR133:DR142)</f>
        <v>0</v>
      </c>
      <c r="DS132" s="481">
        <f t="shared" si="692"/>
        <v>0</v>
      </c>
      <c r="DT132" s="481">
        <f t="shared" si="692"/>
        <v>0</v>
      </c>
      <c r="DU132" s="481">
        <f t="shared" si="692"/>
        <v>0</v>
      </c>
      <c r="DV132" s="481">
        <f t="shared" si="692"/>
        <v>0</v>
      </c>
      <c r="DW132" s="483"/>
      <c r="DX132" s="483"/>
      <c r="DY132" s="480">
        <f>SUM(DY133:DY142)</f>
        <v>0</v>
      </c>
      <c r="DZ132" s="483"/>
      <c r="EA132" s="481">
        <f>DY132*(7%*'BOQ COST'!$H$9)*1</f>
        <v>0</v>
      </c>
      <c r="EB132" s="480">
        <f t="shared" si="237"/>
        <v>0</v>
      </c>
      <c r="EC132" s="536">
        <f>SUM(EC133:EC142)</f>
        <v>0</v>
      </c>
      <c r="ED132" s="536">
        <f>SUM(ED133:ED142)</f>
        <v>0</v>
      </c>
      <c r="EE132" s="536">
        <f t="shared" ref="EE132:EZ132" si="693">SUM(EE133:EE142)</f>
        <v>0</v>
      </c>
      <c r="EF132" s="536">
        <f t="shared" si="693"/>
        <v>0</v>
      </c>
      <c r="EG132" s="536">
        <f t="shared" si="693"/>
        <v>0</v>
      </c>
      <c r="EH132" s="536">
        <f t="shared" si="693"/>
        <v>0</v>
      </c>
      <c r="EI132" s="562"/>
      <c r="EJ132" s="536">
        <f>SUM(EJ133:EJ142)</f>
        <v>0</v>
      </c>
      <c r="EK132" s="536">
        <f t="shared" ref="EK132:EN132" si="694">SUM(EK133:EK142)</f>
        <v>0</v>
      </c>
      <c r="EL132" s="536">
        <f t="shared" si="694"/>
        <v>0</v>
      </c>
      <c r="EM132" s="536">
        <f t="shared" si="694"/>
        <v>0</v>
      </c>
      <c r="EN132" s="536">
        <f t="shared" si="694"/>
        <v>0</v>
      </c>
      <c r="EO132" s="562"/>
      <c r="EP132" s="563"/>
      <c r="EQ132" s="563"/>
      <c r="ER132" s="563"/>
      <c r="ES132" s="536">
        <f t="shared" si="693"/>
        <v>0</v>
      </c>
      <c r="ET132" s="536">
        <f t="shared" si="693"/>
        <v>0</v>
      </c>
      <c r="EU132" s="536">
        <f t="shared" si="693"/>
        <v>0</v>
      </c>
      <c r="EV132" s="536">
        <f t="shared" si="693"/>
        <v>0</v>
      </c>
      <c r="EW132" s="536">
        <f t="shared" si="693"/>
        <v>0</v>
      </c>
      <c r="EX132" s="536">
        <f t="shared" si="693"/>
        <v>0</v>
      </c>
      <c r="EY132" s="536">
        <f t="shared" si="693"/>
        <v>0</v>
      </c>
      <c r="EZ132" s="536">
        <f t="shared" si="693"/>
        <v>0</v>
      </c>
      <c r="FA132" s="562"/>
      <c r="FB132" s="536">
        <f t="shared" ref="FB132:FF132" si="695">SUM(FB133:FB142)</f>
        <v>0</v>
      </c>
      <c r="FC132" s="536">
        <f t="shared" si="695"/>
        <v>0</v>
      </c>
      <c r="FD132" s="536">
        <f t="shared" si="695"/>
        <v>0</v>
      </c>
      <c r="FE132" s="536">
        <f t="shared" si="695"/>
        <v>0</v>
      </c>
      <c r="FF132" s="536">
        <f t="shared" si="695"/>
        <v>0</v>
      </c>
    </row>
    <row r="133" spans="2:163" ht="14.25" outlineLevel="2">
      <c r="B133" s="564" t="s">
        <v>138</v>
      </c>
      <c r="C133" s="565">
        <v>1</v>
      </c>
      <c r="D133" s="566" t="s">
        <v>52</v>
      </c>
      <c r="F133" s="500">
        <f t="shared" ref="F133:F142" si="696">W133+BG133+CQ133+EA133</f>
        <v>0.17052375</v>
      </c>
      <c r="G133" s="500">
        <f t="shared" ref="G133:G142" si="697">X133+BH133+CR133+EB133</f>
        <v>0.17052375</v>
      </c>
      <c r="H133" s="514">
        <f t="shared" ref="H133:H142" si="698">F133-G133</f>
        <v>0</v>
      </c>
      <c r="I133" s="514">
        <f t="shared" si="669"/>
        <v>0</v>
      </c>
      <c r="J133" s="514">
        <f t="shared" si="670"/>
        <v>0</v>
      </c>
      <c r="K133" s="514">
        <f t="shared" si="671"/>
        <v>0</v>
      </c>
      <c r="L133" s="514">
        <f t="shared" si="672"/>
        <v>0</v>
      </c>
      <c r="M133" s="567">
        <f t="shared" si="673"/>
        <v>0</v>
      </c>
      <c r="N133" s="568"/>
      <c r="O133" s="514">
        <f t="shared" si="674"/>
        <v>0</v>
      </c>
      <c r="P133" s="514">
        <f t="shared" si="675"/>
        <v>0</v>
      </c>
      <c r="Q133" s="514">
        <f t="shared" si="676"/>
        <v>0</v>
      </c>
      <c r="R133" s="514">
        <f t="shared" si="677"/>
        <v>0</v>
      </c>
      <c r="S133" s="514">
        <f t="shared" si="678"/>
        <v>0</v>
      </c>
      <c r="U133" s="569">
        <v>2.5000000000000001E-2</v>
      </c>
      <c r="V133" s="503"/>
      <c r="W133" s="500">
        <f t="shared" ref="W133:W142" si="699">$W$132/$U$132*U133</f>
        <v>6.004375E-2</v>
      </c>
      <c r="X133" s="500">
        <f t="shared" ref="X133:X196" si="700">Y133+AF133</f>
        <v>6.004375E-2</v>
      </c>
      <c r="Y133" s="514">
        <f t="shared" ref="Y133:Y142" si="701">IFERROR(IF(AL133=100%,W133,0),0)</f>
        <v>6.004375E-2</v>
      </c>
      <c r="Z133" s="514">
        <f t="shared" ref="Z133:Z142" si="702">IFERROR(IF(AND((AL133+AM133)=100%,AL133&lt;1),W133,0),0)</f>
        <v>0</v>
      </c>
      <c r="AA133" s="514">
        <f t="shared" ref="AA133:AA142" si="703">IFERROR(IF(AND((AQ133+AS133)=AP133,Y133=0),W133,0),0)</f>
        <v>0</v>
      </c>
      <c r="AB133" s="514">
        <f t="shared" ref="AB133:AB142" si="704">IFERROR(IF(AND((AQ133+AS133+AT133)=AP133,Y133=0,AA133=0),W133,0),0)</f>
        <v>0</v>
      </c>
      <c r="AC133" s="514">
        <f t="shared" ref="AC133:AC142" si="705">IFERROR(IF(AND((AQ133+AS133+AT133+AU133)=AP133,Y133=0,AA133=0,AB133=0),W133,0),0)</f>
        <v>0</v>
      </c>
      <c r="AD133" s="567">
        <f t="shared" ref="AD133:AD142" si="706">IFERROR(IF(AND((AQ133+AS133+AT133+AU133+AV133)=AP133,Y133=0,AA133=0,AB133=0,AC133=0),W133,0),0)</f>
        <v>0</v>
      </c>
      <c r="AE133" s="568"/>
      <c r="AF133" s="514">
        <f t="shared" ref="AF133:AF142" si="707">IFERROR(IF(AND((AL133+AN133)=100%,AL133&lt;1),W133,0),0)</f>
        <v>0</v>
      </c>
      <c r="AG133" s="514">
        <f t="shared" ref="AG133:AG142" si="708">IFERROR(IF(AND((AQ133+AY133)=AP133,Y133=0),W133,0),0)</f>
        <v>0</v>
      </c>
      <c r="AH133" s="514">
        <f t="shared" ref="AH133:AH142" si="709">IFERROR(IF(AND((AQ133+AY133+AZ133)=AP133,Y133=0,AG133=0),W133,0),0)</f>
        <v>0</v>
      </c>
      <c r="AI133" s="514">
        <f t="shared" ref="AI133:AI142" si="710">IFERROR(IF(AND((AQ133+AY133+AZ133+BA133)=AP133,Y133=0,AG133=0,AH133=0),W133,0),0)</f>
        <v>0</v>
      </c>
      <c r="AJ133" s="514">
        <f t="shared" ref="AJ133:AJ142" si="711">IFERROR(IF(AND((AQ133+AY133+AZ133+BA133+BB133)=AP133,Y133=0,AG133=0,AH133=0,AI133=0),W133,0),0)</f>
        <v>0</v>
      </c>
      <c r="AK133" s="501"/>
      <c r="AL133" s="570">
        <f t="shared" ref="AL133:AL142" si="712">IFERROR(AQ133/AP133,0)</f>
        <v>1</v>
      </c>
      <c r="AM133" s="570">
        <f t="shared" ref="AM133:AM142" si="713">IFERROR(AR133/AP133,0)</f>
        <v>0</v>
      </c>
      <c r="AN133" s="570">
        <f t="shared" ref="AN133:AN142" si="714">IFERROR(AX133/AP133,0)</f>
        <v>0</v>
      </c>
      <c r="AO133" s="518"/>
      <c r="AP133" s="514">
        <f>COUNTIF('AR | Drawing List'!$G:$G,"AR-T07-1")</f>
        <v>2</v>
      </c>
      <c r="AQ133" s="506">
        <f>COUNTIFS('AR | Drawing List'!$G:$G,"AR-T07-1",'AR | Drawing List'!$I:$I,1)</f>
        <v>2</v>
      </c>
      <c r="AR133" s="506">
        <f t="shared" si="684"/>
        <v>0</v>
      </c>
      <c r="AS133" s="506">
        <f>COUNTIFS('AR | Drawing List'!$G:$G,"AR-T07-1",'AR | Drawing List'!M:M,1)</f>
        <v>0</v>
      </c>
      <c r="AT133" s="506">
        <f>COUNTIFS('AR | Drawing List'!$G:$G,"AR-T07-1",'AR | Drawing List'!N:N,1)</f>
        <v>0</v>
      </c>
      <c r="AU133" s="506">
        <f>COUNTIFS('AR | Drawing List'!$G:$G,"AR-T07-1",'AR | Drawing List'!O:O,1)</f>
        <v>0</v>
      </c>
      <c r="AV133" s="506">
        <f>COUNTIFS('AR | Drawing List'!$G:$G,"AR-T07-1",'AR | Drawing List'!P:P,1)</f>
        <v>0</v>
      </c>
      <c r="AW133" s="466"/>
      <c r="AX133" s="506">
        <f t="shared" ref="AX133:AX201" si="715">SUM(AY133:BB133)</f>
        <v>0</v>
      </c>
      <c r="AY133" s="506">
        <f>COUNTIFS('AR | Drawing List'!$G:$G,"AR-T07-1",'AR | Drawing List'!R:R,1)</f>
        <v>0</v>
      </c>
      <c r="AZ133" s="506">
        <f>COUNTIFS('AR | Drawing List'!$G:$G,"AR-T07-1",'AR | Drawing List'!S:S,1)</f>
        <v>0</v>
      </c>
      <c r="BA133" s="506">
        <f>COUNTIFS('AR | Drawing List'!$G:$G,"AR-T07-1",'AR | Drawing List'!T:T,1)</f>
        <v>0</v>
      </c>
      <c r="BB133" s="506">
        <f>COUNTIFS('AR | Drawing List'!$G:$G,"AR-T07-1",'AR | Drawing List'!U:U,1)</f>
        <v>0</v>
      </c>
      <c r="BC133" s="551"/>
      <c r="BD133" s="551"/>
      <c r="BE133" s="511">
        <v>0.1</v>
      </c>
      <c r="BF133" s="508"/>
      <c r="BG133" s="506">
        <f t="shared" ref="BG133:BG142" si="716">$BG$132/$BE$132*BE133</f>
        <v>9.4799999999999995E-2</v>
      </c>
      <c r="BH133" s="510">
        <f t="shared" ref="BH133:BH196" si="717">BI133+BP133</f>
        <v>9.4799999999999995E-2</v>
      </c>
      <c r="BI133" s="514">
        <f t="shared" ref="BI133:BI142" si="718">IFERROR(IF(BV133=100%,BG133,0),0)</f>
        <v>9.4799999999999995E-2</v>
      </c>
      <c r="BJ133" s="514">
        <f t="shared" ref="BJ133:BJ142" si="719">IFERROR(IF(AND((BV133+BW133)=100%,BV133&lt;1),BG133,0),0)</f>
        <v>0</v>
      </c>
      <c r="BK133" s="514">
        <f t="shared" ref="BK133:BK142" si="720">IFERROR(IF(AND((CA133+CC133)=BZ133,BI133=0),BG133,0),0)</f>
        <v>0</v>
      </c>
      <c r="BL133" s="514">
        <f t="shared" ref="BL133:BL142" si="721">IFERROR(IF(AND((CA133+CC133+CD133)=BZ133,BI133=0,BK133=0),BG133,0),0)</f>
        <v>0</v>
      </c>
      <c r="BM133" s="514">
        <f t="shared" ref="BM133:BM142" si="722">IFERROR(IF(AND((CA133+CC133+CD133+CE133)=BZ133,BI133=0,BK133=0,BL133=0),BG133,0),0)</f>
        <v>0</v>
      </c>
      <c r="BN133" s="514">
        <f t="shared" ref="BN133:BN142" si="723">IFERROR(IF(AND((CA133+CC133+CD133+CE133+CF133)=BZ133,BI133=0,BK133=0,BL133=0,BM133=0),BG133,0),0)</f>
        <v>0</v>
      </c>
      <c r="BO133" s="501"/>
      <c r="BP133" s="514">
        <f t="shared" ref="BP133:BP142" si="724">IFERROR(IF(AND((BV133+BX133)=100%,BV133&lt;1),BG133,0),0)</f>
        <v>0</v>
      </c>
      <c r="BQ133" s="514">
        <f t="shared" ref="BQ133:BQ142" si="725">IFERROR(IF(AND((CA133+CI133)=BZ133,BI133=0),BG133,0),0)</f>
        <v>0</v>
      </c>
      <c r="BR133" s="514">
        <f t="shared" ref="BR133:BR142" si="726">IFERROR(IF(AND((CA133+CI133+CJ133)=BZ133,BI133=0,BQ133=0),BG133,0),0)</f>
        <v>0</v>
      </c>
      <c r="BS133" s="514">
        <f t="shared" ref="BS133:BS142" si="727">IFERROR(IF(AND((CA133+CI133+CJ133+CK133)=BZ133,BI133=0,BQ133=0,BR133=0),BG133,0),0)</f>
        <v>0</v>
      </c>
      <c r="BT133" s="514">
        <f t="shared" ref="BT133:BT142" si="728">IFERROR(IF(AND((CA133+CI133+CJ133+CK133+CL133)=BZ133,BI133=0,BQ133=0,BR133=0,BS133=0),BG133,0),0)</f>
        <v>0</v>
      </c>
      <c r="BU133" s="501"/>
      <c r="BV133" s="571">
        <f t="shared" ref="BV133:BV142" si="729">IFERROR(CA133/BZ133,0)</f>
        <v>1</v>
      </c>
      <c r="BW133" s="571">
        <f t="shared" ref="BW133:BW142" si="730">IFERROR(CB133/BZ133,0)</f>
        <v>0</v>
      </c>
      <c r="BX133" s="571">
        <f t="shared" ref="BX133:BX142" si="731">IFERROR(CH133/BZ133,0)</f>
        <v>0</v>
      </c>
      <c r="BY133" s="518"/>
      <c r="BZ133" s="514">
        <f>COUNTIF('ST | Drawing List'!$G:$G,"ST-T07-1")</f>
        <v>59</v>
      </c>
      <c r="CA133" s="506">
        <f>COUNTIFS('ST | Drawing List'!$G:$G,"ST-T07-1",'ST | Drawing List'!$I:$I,1)</f>
        <v>59</v>
      </c>
      <c r="CB133" s="572">
        <f>COUNTIFS('ST | Drawing List'!$G:$G,"ST-T07-1",'ST | Drawing List'!$K:$K,1)</f>
        <v>0</v>
      </c>
      <c r="CC133" s="506">
        <f>COUNTIFS('ST | Drawing List'!$G:$G,"ST-T07-1",'ST | Drawing List'!L:L,1)</f>
        <v>0</v>
      </c>
      <c r="CD133" s="506">
        <f>COUNTIFS('ST | Drawing List'!$G:$G,"ST-T07-1",'ST | Drawing List'!M:M,1)</f>
        <v>0</v>
      </c>
      <c r="CE133" s="506">
        <f>COUNTIFS('ST | Drawing List'!$G:$G,"ST-T07-1",'ST | Drawing List'!N:N,1)</f>
        <v>0</v>
      </c>
      <c r="CF133" s="506">
        <f>COUNTIFS('ST | Drawing List'!$G:$G,"ST-T07-1",'ST | Drawing List'!O:O,1)</f>
        <v>0</v>
      </c>
      <c r="CG133" s="471"/>
      <c r="CH133" s="572">
        <f>COUNTIFS('ST | Drawing List'!$G:$G,"ST-T07-1",'ST | Drawing List'!$P:$P,1)</f>
        <v>0</v>
      </c>
      <c r="CI133" s="506">
        <f>COUNTIFS('ST | Drawing List'!$G:$G,"ST-T07-1",'ST | Drawing List'!Q:Q,1)</f>
        <v>0</v>
      </c>
      <c r="CJ133" s="506">
        <f>COUNTIFS('ST | Drawing List'!$G:$G,"ST-T07-1",'ST | Drawing List'!R:R,1)</f>
        <v>0</v>
      </c>
      <c r="CK133" s="506">
        <f>COUNTIFS('ST | Drawing List'!$G:$G,"ST-T07-1",'ST | Drawing List'!S:S,1)</f>
        <v>0</v>
      </c>
      <c r="CL133" s="506">
        <f>COUNTIFS('ST | Drawing List'!$G:$G,"ST-T07-1",'ST | Drawing List'!T:T,1)</f>
        <v>0</v>
      </c>
      <c r="CM133" s="508"/>
      <c r="CN133" s="508"/>
      <c r="CO133" s="573">
        <v>0.1</v>
      </c>
      <c r="CP133" s="508"/>
      <c r="CQ133" s="506">
        <f t="shared" ref="CQ133:CQ142" si="732">$CQ$132/$CO$132*CO133</f>
        <v>1.5679999999999999E-2</v>
      </c>
      <c r="CR133" s="510">
        <f t="shared" ref="CR133:CR196" si="733">CS133+CZ133</f>
        <v>1.5679999999999999E-2</v>
      </c>
      <c r="CS133" s="514">
        <f t="shared" ref="CS133:CS142" si="734">IFERROR(IF(DF133=100%,CQ133,0),0)</f>
        <v>1.5679999999999999E-2</v>
      </c>
      <c r="CT133" s="514">
        <f t="shared" ref="CT133:CT142" si="735">IFERROR(IF(AND((DF133+DG133)=100%,DF133&lt;1),CQ133,0),0)</f>
        <v>0</v>
      </c>
      <c r="CU133" s="514">
        <f t="shared" ref="CU133:CU142" si="736">IFERROR(IF(AND((DK133+DM133)=DJ133,CS133=0),CQ133,0),0)</f>
        <v>0</v>
      </c>
      <c r="CV133" s="514">
        <f t="shared" ref="CV133:CV142" si="737">IFERROR(IF(AND((DK133+DM133+DN133)=DJ133,CS133=0,CU133=0),CQ133,0),0)</f>
        <v>0</v>
      </c>
      <c r="CW133" s="514">
        <f t="shared" ref="CW133:CW142" si="738">IFERROR(IF(AND((DK133+DM133+DN133+DO133)=DJ133,CS133=0,CU133=0,CV133=0),CQ133,0),0)</f>
        <v>0</v>
      </c>
      <c r="CX133" s="514">
        <f t="shared" ref="CX133:CX142" si="739">IFERROR(IF(AND((DK133+DM133+DN133+DO133+DP133)=DJ133,CS133=0,CU133=0,CV133=0,CW133=0),CQ133,0),0)</f>
        <v>0</v>
      </c>
      <c r="CY133" s="501"/>
      <c r="CZ133" s="514">
        <f t="shared" ref="CZ133:CZ142" si="740">IFERROR(IF(AND((DF133+DH133)=100%,DF133&lt;1),CQ133,0),0)</f>
        <v>0</v>
      </c>
      <c r="DA133" s="514">
        <f t="shared" ref="DA133:DA142" si="741">IFERROR(IF(AND((DK133+DS133)=DJ133,CS133=0),CQ133,0),0)</f>
        <v>0</v>
      </c>
      <c r="DB133" s="514">
        <f t="shared" ref="DB133:DB142" si="742">IFERROR(IF(AND((DK133+DS133+DT133)=DJ133,CS133=0,DA133=0),CQ133,0),0)</f>
        <v>0</v>
      </c>
      <c r="DC133" s="514">
        <f t="shared" ref="DC133:DC142" si="743">IFERROR(IF(AND((DK133+DS133+DT133+DU133)=DJ133,CS133=0,DA133=0,DB133=0),CQ133,0),0)</f>
        <v>0</v>
      </c>
      <c r="DD133" s="514">
        <f t="shared" ref="DD133:DD142" si="744">IFERROR(IF(AND((DK133+DS133+DT133+DU133+DV133)=DJ133,CS133=0,DA133=0,DB133=0,DC133=0),CQ133,0),0)</f>
        <v>0</v>
      </c>
      <c r="DE133" s="501"/>
      <c r="DF133" s="570">
        <f t="shared" ref="DF133:DF142" si="745">IFERROR(DK133/DJ133,0)</f>
        <v>1</v>
      </c>
      <c r="DG133" s="570">
        <f t="shared" ref="DG133:DG142" si="746">IFERROR(DL133/DJ133,0)</f>
        <v>0</v>
      </c>
      <c r="DH133" s="570">
        <f t="shared" ref="DH133:DH142" si="747">IFERROR(DR133/DJ133,0)</f>
        <v>0</v>
      </c>
      <c r="DI133" s="518"/>
      <c r="DJ133" s="514">
        <f>COUNTIF('MEP | Drawing List'!$G:$G,"MEP-T01-07-1")</f>
        <v>3</v>
      </c>
      <c r="DK133" s="506">
        <f>COUNTIFS('MEP | Drawing List'!$G:$G,"MEP-T01-07-1",'MEP | Drawing List'!$I:$I,1)</f>
        <v>3</v>
      </c>
      <c r="DL133" s="506">
        <f>COUNTIFS('MEP | Drawing List'!$G:$G,"MEP-T01-07-1",'MEP | Drawing List'!$K:$K,1)</f>
        <v>0</v>
      </c>
      <c r="DM133" s="514">
        <f>COUNTIFS('MEP | Drawing List'!$G:$G,"MEP-T01-07-1",'MEP | Drawing List'!L:L,1)</f>
        <v>0</v>
      </c>
      <c r="DN133" s="514">
        <f>COUNTIFS('MEP | Drawing List'!$G:$G,"MEP-T01-07-1",'MEP | Drawing List'!M:M,1)</f>
        <v>0</v>
      </c>
      <c r="DO133" s="514">
        <f>COUNTIFS('MEP | Drawing List'!$G:$G,"MEP-T01-07-1",'MEP | Drawing List'!N:N,1)</f>
        <v>0</v>
      </c>
      <c r="DP133" s="514">
        <f>COUNTIFS('MEP | Drawing List'!$G:$G,"MEP-T01-07-1",'MEP | Drawing List'!O:O,1)</f>
        <v>0</v>
      </c>
      <c r="DQ133" s="501"/>
      <c r="DR133" s="506">
        <f>COUNTIFS('MEP | Drawing List'!$G:$G,"MEP-T01-07-1",'MEP | Drawing List'!$P:$P,1)</f>
        <v>0</v>
      </c>
      <c r="DS133" s="514">
        <f>COUNTIFS('MEP | Drawing List'!$G:$G,"MEP-T01-07-1",'MEP | Drawing List'!Q:Q,1)</f>
        <v>0</v>
      </c>
      <c r="DT133" s="514">
        <f>COUNTIFS('MEP | Drawing List'!$G:$G,"MEP-T01-07-1",'MEP | Drawing List'!R:R,1)</f>
        <v>0</v>
      </c>
      <c r="DU133" s="514">
        <f>COUNTIFS('MEP | Drawing List'!$G:$G,"MEP-T01-07-1",'MEP | Drawing List'!S:S,1)</f>
        <v>0</v>
      </c>
      <c r="DV133" s="514">
        <f>COUNTIFS('MEP | Drawing List'!$G:$G,"MEP-T01-07-1",'MEP | Drawing List'!T:T,1)</f>
        <v>0</v>
      </c>
      <c r="DW133" s="508"/>
      <c r="DX133" s="508"/>
      <c r="DY133" s="511">
        <v>0</v>
      </c>
      <c r="DZ133" s="508"/>
      <c r="EA133" s="509">
        <v>0</v>
      </c>
      <c r="EB133" s="510">
        <f t="shared" ref="EB133:EB196" si="748">EC133+EJ133</f>
        <v>0</v>
      </c>
      <c r="EC133" s="501"/>
      <c r="ED133" s="501"/>
      <c r="EE133" s="501"/>
      <c r="EF133" s="501"/>
      <c r="EG133" s="501"/>
      <c r="EH133" s="501"/>
      <c r="EI133" s="501"/>
      <c r="EJ133" s="501"/>
      <c r="EK133" s="501"/>
      <c r="EL133" s="501"/>
      <c r="EM133" s="501"/>
      <c r="EN133" s="501"/>
      <c r="EO133" s="501"/>
      <c r="EP133" s="513"/>
      <c r="EQ133" s="513"/>
      <c r="ER133" s="513"/>
      <c r="ES133" s="518"/>
      <c r="ET133" s="514">
        <f>COUNTIF('LS | Drawing List'!$G:$G,"LS-T07-1")</f>
        <v>0</v>
      </c>
      <c r="EU133" s="506">
        <f>COUNTIFS('LS | Drawing List'!$G:$G,"LS-T07-1",'LS | Drawing List'!$I:$I,1)</f>
        <v>0</v>
      </c>
      <c r="EV133" s="506">
        <f>COUNTIFS('LS | Drawing List'!$G:$G,"LS-T07-1",'LS | Drawing List'!$K:$K,1)</f>
        <v>0</v>
      </c>
      <c r="EW133" s="514">
        <f>COUNTIFS('LS | Drawing List'!$G:$G,"LS-T07-1",'LS | Drawing List'!L:L,1)</f>
        <v>0</v>
      </c>
      <c r="EX133" s="514">
        <f>COUNTIFS('LS | Drawing List'!$G:$G,"LS-T07-1",'LS | Drawing List'!M:M,1)</f>
        <v>0</v>
      </c>
      <c r="EY133" s="514">
        <f>COUNTIFS('LS | Drawing List'!$G:$G,"LS-T07-1",'LS | Drawing List'!N:N,1)</f>
        <v>0</v>
      </c>
      <c r="EZ133" s="514">
        <f>COUNTIFS('LS | Drawing List'!$G:$G,"LS-T07-1",'LS | Drawing List'!O:O,1)</f>
        <v>0</v>
      </c>
      <c r="FA133" s="501"/>
      <c r="FB133" s="506">
        <f>COUNTIFS('LS | Drawing List'!$G:$G,"LS-T07-1",'LS | Drawing List'!$P:$P,1)</f>
        <v>0</v>
      </c>
      <c r="FC133" s="514">
        <f>COUNTIFS('LS | Drawing List'!$G:$G,"LS-T07-1",'LS | Drawing List'!Q:Q,1)</f>
        <v>0</v>
      </c>
      <c r="FD133" s="514">
        <f>COUNTIFS('LS | Drawing List'!$G:$G,"LS-T07-1",'LS | Drawing List'!R:R,1)</f>
        <v>0</v>
      </c>
      <c r="FE133" s="514">
        <f>COUNTIFS('LS | Drawing List'!$G:$G,"LS-T07-1",'LS | Drawing List'!S:S,1)</f>
        <v>0</v>
      </c>
      <c r="FF133" s="514">
        <f>COUNTIFS('LS | Drawing List'!$G:$G,"LS-T07-1",'LS | Drawing List'!T:T,1)</f>
        <v>0</v>
      </c>
    </row>
    <row r="134" spans="2:163" ht="14.25" outlineLevel="2">
      <c r="B134" s="564" t="s">
        <v>139</v>
      </c>
      <c r="C134" s="565">
        <v>2</v>
      </c>
      <c r="D134" s="566" t="s">
        <v>54</v>
      </c>
      <c r="F134" s="500">
        <f t="shared" si="696"/>
        <v>0.21488750000000001</v>
      </c>
      <c r="G134" s="500">
        <f t="shared" si="697"/>
        <v>0.21488750000000001</v>
      </c>
      <c r="H134" s="514">
        <f t="shared" si="698"/>
        <v>0</v>
      </c>
      <c r="I134" s="514">
        <f t="shared" si="669"/>
        <v>0</v>
      </c>
      <c r="J134" s="514">
        <f t="shared" si="670"/>
        <v>0</v>
      </c>
      <c r="K134" s="514">
        <f t="shared" si="671"/>
        <v>0</v>
      </c>
      <c r="L134" s="514">
        <f t="shared" si="672"/>
        <v>0</v>
      </c>
      <c r="M134" s="567">
        <f t="shared" si="673"/>
        <v>0</v>
      </c>
      <c r="N134" s="568"/>
      <c r="O134" s="514">
        <f t="shared" si="674"/>
        <v>0</v>
      </c>
      <c r="P134" s="514">
        <f t="shared" si="675"/>
        <v>0</v>
      </c>
      <c r="Q134" s="514">
        <f t="shared" si="676"/>
        <v>0</v>
      </c>
      <c r="R134" s="514">
        <f t="shared" si="677"/>
        <v>0</v>
      </c>
      <c r="S134" s="514">
        <f t="shared" si="678"/>
        <v>0</v>
      </c>
      <c r="U134" s="569">
        <v>0.05</v>
      </c>
      <c r="V134" s="503"/>
      <c r="W134" s="500">
        <f t="shared" si="699"/>
        <v>0.1200875</v>
      </c>
      <c r="X134" s="500">
        <f t="shared" si="700"/>
        <v>0.1200875</v>
      </c>
      <c r="Y134" s="514">
        <f t="shared" si="701"/>
        <v>0.1200875</v>
      </c>
      <c r="Z134" s="514">
        <f t="shared" si="702"/>
        <v>0</v>
      </c>
      <c r="AA134" s="514">
        <f t="shared" si="703"/>
        <v>0</v>
      </c>
      <c r="AB134" s="514">
        <f t="shared" si="704"/>
        <v>0</v>
      </c>
      <c r="AC134" s="514">
        <f t="shared" si="705"/>
        <v>0</v>
      </c>
      <c r="AD134" s="567">
        <f t="shared" si="706"/>
        <v>0</v>
      </c>
      <c r="AE134" s="568"/>
      <c r="AF134" s="514">
        <f t="shared" si="707"/>
        <v>0</v>
      </c>
      <c r="AG134" s="514">
        <f t="shared" si="708"/>
        <v>0</v>
      </c>
      <c r="AH134" s="514">
        <f t="shared" si="709"/>
        <v>0</v>
      </c>
      <c r="AI134" s="514">
        <f t="shared" si="710"/>
        <v>0</v>
      </c>
      <c r="AJ134" s="514">
        <f t="shared" si="711"/>
        <v>0</v>
      </c>
      <c r="AK134" s="501"/>
      <c r="AL134" s="570">
        <f t="shared" si="712"/>
        <v>1</v>
      </c>
      <c r="AM134" s="570">
        <f t="shared" si="713"/>
        <v>0</v>
      </c>
      <c r="AN134" s="570">
        <f t="shared" si="714"/>
        <v>0</v>
      </c>
      <c r="AO134" s="518"/>
      <c r="AP134" s="514">
        <f>COUNTIF('AR | Drawing List'!$G:$G,"AR-T07-2")</f>
        <v>3</v>
      </c>
      <c r="AQ134" s="506">
        <f>COUNTIFS('AR | Drawing List'!$G:$G,"AR-T07-2",'AR | Drawing List'!$I:$I,1)</f>
        <v>3</v>
      </c>
      <c r="AR134" s="506">
        <f t="shared" si="684"/>
        <v>0</v>
      </c>
      <c r="AS134" s="506">
        <f>COUNTIFS('AR | Drawing List'!$G:$G,"AR-T07-2",'AR | Drawing List'!M:M,1)</f>
        <v>0</v>
      </c>
      <c r="AT134" s="506">
        <f>COUNTIFS('AR | Drawing List'!$G:$G,"AR-T07-2",'AR | Drawing List'!N:N,1)</f>
        <v>0</v>
      </c>
      <c r="AU134" s="506">
        <f>COUNTIFS('AR | Drawing List'!$G:$G,"AR-T07-2",'AR | Drawing List'!O:O,1)</f>
        <v>0</v>
      </c>
      <c r="AV134" s="506">
        <f>COUNTIFS('AR | Drawing List'!$G:$G,"AR-T07-2",'AR | Drawing List'!P:P,1)</f>
        <v>0</v>
      </c>
      <c r="AW134" s="466"/>
      <c r="AX134" s="506">
        <f t="shared" si="715"/>
        <v>0</v>
      </c>
      <c r="AY134" s="506">
        <f>COUNTIFS('AR | Drawing List'!$G:$G,"AR-T07-2",'AR | Drawing List'!R:R,1)</f>
        <v>0</v>
      </c>
      <c r="AZ134" s="506">
        <f>COUNTIFS('AR | Drawing List'!$G:$G,"AR-T07-2",'AR | Drawing List'!S:S,1)</f>
        <v>0</v>
      </c>
      <c r="BA134" s="506">
        <f>COUNTIFS('AR | Drawing List'!$G:$G,"AR-T07-2",'AR | Drawing List'!T:T,1)</f>
        <v>0</v>
      </c>
      <c r="BB134" s="506">
        <f>COUNTIFS('AR | Drawing List'!$G:$G,"AR-T07-2",'AR | Drawing List'!U:U,1)</f>
        <v>0</v>
      </c>
      <c r="BC134" s="551"/>
      <c r="BD134" s="551"/>
      <c r="BE134" s="511">
        <v>0.1</v>
      </c>
      <c r="BF134" s="508"/>
      <c r="BG134" s="506">
        <f t="shared" si="716"/>
        <v>9.4799999999999995E-2</v>
      </c>
      <c r="BH134" s="510">
        <f t="shared" si="717"/>
        <v>9.4799999999999995E-2</v>
      </c>
      <c r="BI134" s="514">
        <f t="shared" si="718"/>
        <v>9.4799999999999995E-2</v>
      </c>
      <c r="BJ134" s="514">
        <f t="shared" si="719"/>
        <v>0</v>
      </c>
      <c r="BK134" s="514">
        <f t="shared" si="720"/>
        <v>0</v>
      </c>
      <c r="BL134" s="514">
        <f t="shared" si="721"/>
        <v>0</v>
      </c>
      <c r="BM134" s="514">
        <f t="shared" si="722"/>
        <v>0</v>
      </c>
      <c r="BN134" s="514">
        <f t="shared" si="723"/>
        <v>0</v>
      </c>
      <c r="BO134" s="501"/>
      <c r="BP134" s="514">
        <f t="shared" si="724"/>
        <v>0</v>
      </c>
      <c r="BQ134" s="514">
        <f t="shared" si="725"/>
        <v>0</v>
      </c>
      <c r="BR134" s="514">
        <f t="shared" si="726"/>
        <v>0</v>
      </c>
      <c r="BS134" s="514">
        <f t="shared" si="727"/>
        <v>0</v>
      </c>
      <c r="BT134" s="514">
        <f t="shared" si="728"/>
        <v>0</v>
      </c>
      <c r="BU134" s="501"/>
      <c r="BV134" s="571">
        <f t="shared" si="729"/>
        <v>1</v>
      </c>
      <c r="BW134" s="571">
        <f t="shared" si="730"/>
        <v>0</v>
      </c>
      <c r="BX134" s="571">
        <f t="shared" si="731"/>
        <v>0</v>
      </c>
      <c r="BY134" s="518"/>
      <c r="BZ134" s="514">
        <f>COUNTIF('ST | Drawing List'!$G:$G,"ST-T07-2")</f>
        <v>12</v>
      </c>
      <c r="CA134" s="506">
        <f>COUNTIFS('ST | Drawing List'!$G:$G,"ST-T07-2",'ST | Drawing List'!$I:$I,1)</f>
        <v>12</v>
      </c>
      <c r="CB134" s="572">
        <f>COUNTIFS('ST | Drawing List'!$G:$G,"ST-T07-2",'ST | Drawing List'!$K:$K,1)</f>
        <v>0</v>
      </c>
      <c r="CC134" s="506">
        <f>COUNTIFS('ST | Drawing List'!$G:$G,"ST-T07-2",'ST | Drawing List'!L:L,1)</f>
        <v>0</v>
      </c>
      <c r="CD134" s="506">
        <f>COUNTIFS('ST | Drawing List'!$G:$G,"ST-T07-2",'ST | Drawing List'!M:M,1)</f>
        <v>0</v>
      </c>
      <c r="CE134" s="506">
        <f>COUNTIFS('ST | Drawing List'!$G:$G,"ST-T07-2",'ST | Drawing List'!N:N,1)</f>
        <v>0</v>
      </c>
      <c r="CF134" s="506">
        <f>COUNTIFS('ST | Drawing List'!$G:$G,"ST-T07-2",'ST | Drawing List'!O:O,1)</f>
        <v>0</v>
      </c>
      <c r="CG134" s="471"/>
      <c r="CH134" s="572">
        <f>COUNTIFS('ST | Drawing List'!$G:$G,"ST-T07-2",'ST | Drawing List'!$P:$P,1)</f>
        <v>0</v>
      </c>
      <c r="CI134" s="506">
        <f>COUNTIFS('ST | Drawing List'!$G:$G,"ST-T07-2",'ST | Drawing List'!Q:Q,1)</f>
        <v>0</v>
      </c>
      <c r="CJ134" s="506">
        <f>COUNTIFS('ST | Drawing List'!$G:$G,"ST-T07-2",'ST | Drawing List'!R:R,1)</f>
        <v>0</v>
      </c>
      <c r="CK134" s="506">
        <f>COUNTIFS('ST | Drawing List'!$G:$G,"ST-T07-2",'ST | Drawing List'!S:S,1)</f>
        <v>0</v>
      </c>
      <c r="CL134" s="506">
        <f>COUNTIFS('ST | Drawing List'!$G:$G,"ST-T07-2",'ST | Drawing List'!T:T,1)</f>
        <v>0</v>
      </c>
      <c r="CM134" s="508"/>
      <c r="CN134" s="508"/>
      <c r="CO134" s="576">
        <v>0</v>
      </c>
      <c r="CP134" s="508"/>
      <c r="CQ134" s="506">
        <f t="shared" si="732"/>
        <v>0</v>
      </c>
      <c r="CR134" s="510">
        <f t="shared" si="733"/>
        <v>0</v>
      </c>
      <c r="CS134" s="514">
        <f t="shared" si="734"/>
        <v>0</v>
      </c>
      <c r="CT134" s="514">
        <f t="shared" si="735"/>
        <v>0</v>
      </c>
      <c r="CU134" s="514">
        <f t="shared" si="736"/>
        <v>0</v>
      </c>
      <c r="CV134" s="514">
        <f t="shared" si="737"/>
        <v>0</v>
      </c>
      <c r="CW134" s="514">
        <f t="shared" si="738"/>
        <v>0</v>
      </c>
      <c r="CX134" s="514">
        <f t="shared" si="739"/>
        <v>0</v>
      </c>
      <c r="CY134" s="501"/>
      <c r="CZ134" s="514">
        <f t="shared" si="740"/>
        <v>0</v>
      </c>
      <c r="DA134" s="514">
        <f t="shared" si="741"/>
        <v>0</v>
      </c>
      <c r="DB134" s="514">
        <f t="shared" si="742"/>
        <v>0</v>
      </c>
      <c r="DC134" s="514">
        <f t="shared" si="743"/>
        <v>0</v>
      </c>
      <c r="DD134" s="514">
        <f t="shared" si="744"/>
        <v>0</v>
      </c>
      <c r="DE134" s="501"/>
      <c r="DF134" s="570">
        <f t="shared" si="745"/>
        <v>0</v>
      </c>
      <c r="DG134" s="570">
        <f t="shared" si="746"/>
        <v>0</v>
      </c>
      <c r="DH134" s="570">
        <f t="shared" si="747"/>
        <v>0</v>
      </c>
      <c r="DI134" s="518"/>
      <c r="DJ134" s="514">
        <f>COUNTIF('MEP | Drawing List'!$G:$G,"MEP-T01-07-2")</f>
        <v>0</v>
      </c>
      <c r="DK134" s="506">
        <f>COUNTIFS('MEP | Drawing List'!$G:$G,"MEP-T01-07-2",'MEP | Drawing List'!$I:$I,1)</f>
        <v>0</v>
      </c>
      <c r="DL134" s="506">
        <f>COUNTIFS('MEP | Drawing List'!$G:$G,"MEP-T01-07-2",'MEP | Drawing List'!$K:$K,1)</f>
        <v>0</v>
      </c>
      <c r="DM134" s="514">
        <f>COUNTIFS('MEP | Drawing List'!$G:$G,"MEP-T01-07-2",'MEP | Drawing List'!L:L,1)</f>
        <v>0</v>
      </c>
      <c r="DN134" s="514">
        <f>COUNTIFS('MEP | Drawing List'!$G:$G,"MEP-T01-07-2",'MEP | Drawing List'!M:M,1)</f>
        <v>0</v>
      </c>
      <c r="DO134" s="514">
        <f>COUNTIFS('MEP | Drawing List'!$G:$G,"MEP-T01-07-2",'MEP | Drawing List'!N:N,1)</f>
        <v>0</v>
      </c>
      <c r="DP134" s="514">
        <f>COUNTIFS('MEP | Drawing List'!$G:$G,"MEP-T01-07-2",'MEP | Drawing List'!O:O,1)</f>
        <v>0</v>
      </c>
      <c r="DQ134" s="501"/>
      <c r="DR134" s="506">
        <f>COUNTIFS('MEP | Drawing List'!$G:$G,"MEP-T01-07-2",'MEP | Drawing List'!$P:$P,1)</f>
        <v>0</v>
      </c>
      <c r="DS134" s="514">
        <f>COUNTIFS('MEP | Drawing List'!$G:$G,"MEP-T01-07-2",'MEP | Drawing List'!Q:Q,1)</f>
        <v>0</v>
      </c>
      <c r="DT134" s="514">
        <f>COUNTIFS('MEP | Drawing List'!$G:$G,"MEP-T01-07-2",'MEP | Drawing List'!R:R,1)</f>
        <v>0</v>
      </c>
      <c r="DU134" s="514">
        <f>COUNTIFS('MEP | Drawing List'!$G:$G,"MEP-T01-07-2",'MEP | Drawing List'!S:S,1)</f>
        <v>0</v>
      </c>
      <c r="DV134" s="514">
        <f>COUNTIFS('MEP | Drawing List'!$G:$G,"MEP-T01-07-2",'MEP | Drawing List'!T:T,1)</f>
        <v>0</v>
      </c>
      <c r="DW134" s="508"/>
      <c r="DX134" s="508"/>
      <c r="DY134" s="511">
        <v>0</v>
      </c>
      <c r="DZ134" s="508"/>
      <c r="EA134" s="509">
        <v>0</v>
      </c>
      <c r="EB134" s="510">
        <f t="shared" si="748"/>
        <v>0</v>
      </c>
      <c r="EC134" s="501"/>
      <c r="ED134" s="501"/>
      <c r="EE134" s="501"/>
      <c r="EF134" s="501"/>
      <c r="EG134" s="501"/>
      <c r="EH134" s="501"/>
      <c r="EI134" s="501"/>
      <c r="EJ134" s="501"/>
      <c r="EK134" s="501"/>
      <c r="EL134" s="501"/>
      <c r="EM134" s="501"/>
      <c r="EN134" s="501"/>
      <c r="EO134" s="501"/>
      <c r="EP134" s="513"/>
      <c r="EQ134" s="513"/>
      <c r="ER134" s="513"/>
      <c r="ES134" s="518"/>
      <c r="ET134" s="514">
        <f>COUNTIF('LS | Drawing List'!$G:$G,"LS-T07-2")</f>
        <v>0</v>
      </c>
      <c r="EU134" s="506">
        <f>COUNTIFS('LS | Drawing List'!$G:$G,"LS-T07-2",'LS | Drawing List'!$I:$I,1)</f>
        <v>0</v>
      </c>
      <c r="EV134" s="506">
        <f>COUNTIFS('LS | Drawing List'!$G:$G,"LS-T07-2",'LS | Drawing List'!$K:$K,1)</f>
        <v>0</v>
      </c>
      <c r="EW134" s="514">
        <f>COUNTIFS('LS | Drawing List'!$G:$G,"LS-T07-2",'LS | Drawing List'!L:L,1)</f>
        <v>0</v>
      </c>
      <c r="EX134" s="514">
        <f>COUNTIFS('LS | Drawing List'!$G:$G,"LS-T07-2",'LS | Drawing List'!M:M,1)</f>
        <v>0</v>
      </c>
      <c r="EY134" s="514">
        <f>COUNTIFS('LS | Drawing List'!$G:$G,"LS-T07-2",'LS | Drawing List'!N:N,1)</f>
        <v>0</v>
      </c>
      <c r="EZ134" s="514">
        <f>COUNTIFS('LS | Drawing List'!$G:$G,"LS-T07-2",'LS | Drawing List'!O:O,1)</f>
        <v>0</v>
      </c>
      <c r="FA134" s="501"/>
      <c r="FB134" s="506">
        <f>COUNTIFS('LS | Drawing List'!$G:$G,"LS-T07-2",'LS | Drawing List'!$P:$P,1)</f>
        <v>0</v>
      </c>
      <c r="FC134" s="514">
        <f>COUNTIFS('LS | Drawing List'!$G:$G,"LS-T07-2",'LS | Drawing List'!Q:Q,1)</f>
        <v>0</v>
      </c>
      <c r="FD134" s="514">
        <f>COUNTIFS('LS | Drawing List'!$G:$G,"LS-T07-2",'LS | Drawing List'!R:R,1)</f>
        <v>0</v>
      </c>
      <c r="FE134" s="514">
        <f>COUNTIFS('LS | Drawing List'!$G:$G,"LS-T07-2",'LS | Drawing List'!S:S,1)</f>
        <v>0</v>
      </c>
      <c r="FF134" s="514">
        <f>COUNTIFS('LS | Drawing List'!$G:$G,"LS-T07-2",'LS | Drawing List'!T:T,1)</f>
        <v>0</v>
      </c>
    </row>
    <row r="135" spans="2:163" ht="14.25" outlineLevel="2">
      <c r="B135" s="564" t="s">
        <v>140</v>
      </c>
      <c r="C135" s="565">
        <v>3</v>
      </c>
      <c r="D135" s="566" t="s">
        <v>56</v>
      </c>
      <c r="F135" s="500">
        <f t="shared" si="696"/>
        <v>0.1200875</v>
      </c>
      <c r="G135" s="500">
        <f t="shared" si="697"/>
        <v>0.1200875</v>
      </c>
      <c r="H135" s="514">
        <f t="shared" si="698"/>
        <v>0</v>
      </c>
      <c r="I135" s="514">
        <f t="shared" si="669"/>
        <v>0</v>
      </c>
      <c r="J135" s="514">
        <f t="shared" si="670"/>
        <v>0</v>
      </c>
      <c r="K135" s="514">
        <f t="shared" si="671"/>
        <v>0</v>
      </c>
      <c r="L135" s="514">
        <f t="shared" si="672"/>
        <v>0</v>
      </c>
      <c r="M135" s="567">
        <f t="shared" si="673"/>
        <v>0</v>
      </c>
      <c r="N135" s="568"/>
      <c r="O135" s="514">
        <f t="shared" si="674"/>
        <v>0</v>
      </c>
      <c r="P135" s="514">
        <f t="shared" si="675"/>
        <v>0</v>
      </c>
      <c r="Q135" s="514">
        <f t="shared" si="676"/>
        <v>0</v>
      </c>
      <c r="R135" s="514">
        <f t="shared" si="677"/>
        <v>0</v>
      </c>
      <c r="S135" s="514">
        <f t="shared" si="678"/>
        <v>0</v>
      </c>
      <c r="U135" s="569">
        <v>0.05</v>
      </c>
      <c r="V135" s="503"/>
      <c r="W135" s="500">
        <f t="shared" si="699"/>
        <v>0.1200875</v>
      </c>
      <c r="X135" s="500">
        <f t="shared" si="700"/>
        <v>0.1200875</v>
      </c>
      <c r="Y135" s="514">
        <f t="shared" si="701"/>
        <v>0.1200875</v>
      </c>
      <c r="Z135" s="514">
        <f t="shared" si="702"/>
        <v>0</v>
      </c>
      <c r="AA135" s="514">
        <f t="shared" si="703"/>
        <v>0</v>
      </c>
      <c r="AB135" s="514">
        <f t="shared" si="704"/>
        <v>0</v>
      </c>
      <c r="AC135" s="514">
        <f t="shared" si="705"/>
        <v>0</v>
      </c>
      <c r="AD135" s="567">
        <f t="shared" si="706"/>
        <v>0</v>
      </c>
      <c r="AE135" s="568"/>
      <c r="AF135" s="514">
        <f t="shared" si="707"/>
        <v>0</v>
      </c>
      <c r="AG135" s="514">
        <f t="shared" si="708"/>
        <v>0</v>
      </c>
      <c r="AH135" s="514">
        <f t="shared" si="709"/>
        <v>0</v>
      </c>
      <c r="AI135" s="514">
        <f t="shared" si="710"/>
        <v>0</v>
      </c>
      <c r="AJ135" s="514">
        <f t="shared" si="711"/>
        <v>0</v>
      </c>
      <c r="AK135" s="501"/>
      <c r="AL135" s="570">
        <f t="shared" si="712"/>
        <v>1</v>
      </c>
      <c r="AM135" s="570">
        <f t="shared" si="713"/>
        <v>0</v>
      </c>
      <c r="AN135" s="570">
        <f t="shared" si="714"/>
        <v>0</v>
      </c>
      <c r="AO135" s="518"/>
      <c r="AP135" s="514">
        <f>COUNTIF('AR | Drawing List'!$G:$G,"AR-T07-3")</f>
        <v>2</v>
      </c>
      <c r="AQ135" s="506">
        <f>COUNTIFS('AR | Drawing List'!$G:$G,"AR-T07-3",'AR | Drawing List'!$I:$I,1)</f>
        <v>2</v>
      </c>
      <c r="AR135" s="506">
        <f t="shared" si="684"/>
        <v>0</v>
      </c>
      <c r="AS135" s="506">
        <f>COUNTIFS('AR | Drawing List'!$G:$G,"AR-T07-3",'AR | Drawing List'!M:M,1)</f>
        <v>0</v>
      </c>
      <c r="AT135" s="506">
        <f>COUNTIFS('AR | Drawing List'!$G:$G,"AR-T07-3",'AR | Drawing List'!N:N,1)</f>
        <v>0</v>
      </c>
      <c r="AU135" s="506">
        <f>COUNTIFS('AR | Drawing List'!$G:$G,"AR-T07-3",'AR | Drawing List'!O:O,1)</f>
        <v>0</v>
      </c>
      <c r="AV135" s="506">
        <f>COUNTIFS('AR | Drawing List'!$G:$G,"AR-T07-3",'AR | Drawing List'!P:P,1)</f>
        <v>0</v>
      </c>
      <c r="AW135" s="466"/>
      <c r="AX135" s="506">
        <f t="shared" si="715"/>
        <v>0</v>
      </c>
      <c r="AY135" s="506">
        <f>COUNTIFS('AR | Drawing List'!$G:$G,"AR-T07-3",'AR | Drawing List'!R:R,1)</f>
        <v>0</v>
      </c>
      <c r="AZ135" s="506">
        <f>COUNTIFS('AR | Drawing List'!$G:$G,"AR-T07-3",'AR | Drawing List'!S:S,1)</f>
        <v>0</v>
      </c>
      <c r="BA135" s="506">
        <f>COUNTIFS('AR | Drawing List'!$G:$G,"AR-T07-3",'AR | Drawing List'!T:T,1)</f>
        <v>0</v>
      </c>
      <c r="BB135" s="506">
        <f>COUNTIFS('AR | Drawing List'!$G:$G,"AR-T07-3",'AR | Drawing List'!U:U,1)</f>
        <v>0</v>
      </c>
      <c r="BC135" s="551"/>
      <c r="BD135" s="551"/>
      <c r="BE135" s="576">
        <v>0</v>
      </c>
      <c r="BF135" s="508"/>
      <c r="BG135" s="506">
        <f t="shared" si="716"/>
        <v>0</v>
      </c>
      <c r="BH135" s="510">
        <f t="shared" si="717"/>
        <v>0</v>
      </c>
      <c r="BI135" s="514">
        <f t="shared" si="718"/>
        <v>0</v>
      </c>
      <c r="BJ135" s="514">
        <f t="shared" si="719"/>
        <v>0</v>
      </c>
      <c r="BK135" s="514">
        <f t="shared" si="720"/>
        <v>0</v>
      </c>
      <c r="BL135" s="514">
        <f t="shared" si="721"/>
        <v>0</v>
      </c>
      <c r="BM135" s="514">
        <f t="shared" si="722"/>
        <v>0</v>
      </c>
      <c r="BN135" s="514">
        <f t="shared" si="723"/>
        <v>0</v>
      </c>
      <c r="BO135" s="501"/>
      <c r="BP135" s="514">
        <f t="shared" si="724"/>
        <v>0</v>
      </c>
      <c r="BQ135" s="514">
        <f t="shared" si="725"/>
        <v>0</v>
      </c>
      <c r="BR135" s="514">
        <f t="shared" si="726"/>
        <v>0</v>
      </c>
      <c r="BS135" s="514">
        <f t="shared" si="727"/>
        <v>0</v>
      </c>
      <c r="BT135" s="514">
        <f t="shared" si="728"/>
        <v>0</v>
      </c>
      <c r="BU135" s="501"/>
      <c r="BV135" s="571">
        <f t="shared" si="729"/>
        <v>0</v>
      </c>
      <c r="BW135" s="571">
        <f t="shared" si="730"/>
        <v>0</v>
      </c>
      <c r="BX135" s="571">
        <f t="shared" si="731"/>
        <v>0</v>
      </c>
      <c r="BY135" s="518"/>
      <c r="BZ135" s="514">
        <f>COUNTIF('ST | Drawing List'!$G:$G,"ST-T07-3")</f>
        <v>0</v>
      </c>
      <c r="CA135" s="506">
        <f>COUNTIFS('ST | Drawing List'!$G:$G,"ST-T07-3",'ST | Drawing List'!$I:$I,1)</f>
        <v>0</v>
      </c>
      <c r="CB135" s="572">
        <f>COUNTIFS('ST | Drawing List'!$G:$G,"ST-T07-3",'ST | Drawing List'!$K:$K,1)</f>
        <v>0</v>
      </c>
      <c r="CC135" s="506">
        <f>COUNTIFS('ST | Drawing List'!$G:$G,"ST-T07-3",'ST | Drawing List'!L:L,1)</f>
        <v>0</v>
      </c>
      <c r="CD135" s="506">
        <f>COUNTIFS('ST | Drawing List'!$G:$G,"ST-T07-3",'ST | Drawing List'!M:M,1)</f>
        <v>0</v>
      </c>
      <c r="CE135" s="506">
        <f>COUNTIFS('ST | Drawing List'!$G:$G,"ST-T07-3",'ST | Drawing List'!N:N,1)</f>
        <v>0</v>
      </c>
      <c r="CF135" s="506">
        <f>COUNTIFS('ST | Drawing List'!$G:$G,"ST-T07-3",'ST | Drawing List'!O:O,1)</f>
        <v>0</v>
      </c>
      <c r="CG135" s="471"/>
      <c r="CH135" s="572">
        <f>COUNTIFS('ST | Drawing List'!$G:$G,"ST-T07-3",'ST | Drawing List'!$P:$P,1)</f>
        <v>0</v>
      </c>
      <c r="CI135" s="506">
        <f>COUNTIFS('ST | Drawing List'!$G:$G,"ST-T07-3",'ST | Drawing List'!Q:Q,1)</f>
        <v>0</v>
      </c>
      <c r="CJ135" s="506">
        <f>COUNTIFS('ST | Drawing List'!$G:$G,"ST-T07-3",'ST | Drawing List'!R:R,1)</f>
        <v>0</v>
      </c>
      <c r="CK135" s="506">
        <f>COUNTIFS('ST | Drawing List'!$G:$G,"ST-T07-3",'ST | Drawing List'!S:S,1)</f>
        <v>0</v>
      </c>
      <c r="CL135" s="506">
        <f>COUNTIFS('ST | Drawing List'!$G:$G,"ST-T07-3",'ST | Drawing List'!T:T,1)</f>
        <v>0</v>
      </c>
      <c r="CM135" s="508"/>
      <c r="CN135" s="508"/>
      <c r="CO135" s="576">
        <v>0</v>
      </c>
      <c r="CP135" s="508"/>
      <c r="CQ135" s="506">
        <f t="shared" si="732"/>
        <v>0</v>
      </c>
      <c r="CR135" s="510">
        <f t="shared" si="733"/>
        <v>0</v>
      </c>
      <c r="CS135" s="514">
        <f t="shared" si="734"/>
        <v>0</v>
      </c>
      <c r="CT135" s="514">
        <f t="shared" si="735"/>
        <v>0</v>
      </c>
      <c r="CU135" s="514">
        <f t="shared" si="736"/>
        <v>0</v>
      </c>
      <c r="CV135" s="514">
        <f t="shared" si="737"/>
        <v>0</v>
      </c>
      <c r="CW135" s="514">
        <f t="shared" si="738"/>
        <v>0</v>
      </c>
      <c r="CX135" s="514">
        <f t="shared" si="739"/>
        <v>0</v>
      </c>
      <c r="CY135" s="501"/>
      <c r="CZ135" s="514">
        <f t="shared" si="740"/>
        <v>0</v>
      </c>
      <c r="DA135" s="514">
        <f t="shared" si="741"/>
        <v>0</v>
      </c>
      <c r="DB135" s="514">
        <f t="shared" si="742"/>
        <v>0</v>
      </c>
      <c r="DC135" s="514">
        <f t="shared" si="743"/>
        <v>0</v>
      </c>
      <c r="DD135" s="514">
        <f t="shared" si="744"/>
        <v>0</v>
      </c>
      <c r="DE135" s="501"/>
      <c r="DF135" s="570">
        <f t="shared" si="745"/>
        <v>0</v>
      </c>
      <c r="DG135" s="570">
        <f t="shared" si="746"/>
        <v>0</v>
      </c>
      <c r="DH135" s="570">
        <f t="shared" si="747"/>
        <v>0</v>
      </c>
      <c r="DI135" s="518"/>
      <c r="DJ135" s="514">
        <f>COUNTIF('MEP | Drawing List'!$G:$G,"MEP-T01-07-3")</f>
        <v>0</v>
      </c>
      <c r="DK135" s="506">
        <f>COUNTIFS('MEP | Drawing List'!$G:$G,"MEP-T01-07-3",'MEP | Drawing List'!$I:$I,1)</f>
        <v>0</v>
      </c>
      <c r="DL135" s="506">
        <f>COUNTIFS('MEP | Drawing List'!$G:$G,"MEP-T01-07-3",'MEP | Drawing List'!$K:$K,1)</f>
        <v>0</v>
      </c>
      <c r="DM135" s="514">
        <f>COUNTIFS('MEP | Drawing List'!$G:$G,"MEP-T01-07-3",'MEP | Drawing List'!L:L,1)</f>
        <v>0</v>
      </c>
      <c r="DN135" s="514">
        <f>COUNTIFS('MEP | Drawing List'!$G:$G,"MEP-T01-07-3",'MEP | Drawing List'!M:M,1)</f>
        <v>0</v>
      </c>
      <c r="DO135" s="514">
        <f>COUNTIFS('MEP | Drawing List'!$G:$G,"MEP-T01-07-3",'MEP | Drawing List'!N:N,1)</f>
        <v>0</v>
      </c>
      <c r="DP135" s="514">
        <f>COUNTIFS('MEP | Drawing List'!$G:$G,"MEP-T01-07-3",'MEP | Drawing List'!O:O,1)</f>
        <v>0</v>
      </c>
      <c r="DQ135" s="501"/>
      <c r="DR135" s="506">
        <f>COUNTIFS('MEP | Drawing List'!$G:$G,"MEP-T01-07-3",'MEP | Drawing List'!$P:$P,1)</f>
        <v>0</v>
      </c>
      <c r="DS135" s="514">
        <f>COUNTIFS('MEP | Drawing List'!$G:$G,"MEP-T01-07-3",'MEP | Drawing List'!Q:Q,1)</f>
        <v>0</v>
      </c>
      <c r="DT135" s="514">
        <f>COUNTIFS('MEP | Drawing List'!$G:$G,"MEP-T01-07-3",'MEP | Drawing List'!R:R,1)</f>
        <v>0</v>
      </c>
      <c r="DU135" s="514">
        <f>COUNTIFS('MEP | Drawing List'!$G:$G,"MEP-T01-07-3",'MEP | Drawing List'!S:S,1)</f>
        <v>0</v>
      </c>
      <c r="DV135" s="514">
        <f>COUNTIFS('MEP | Drawing List'!$G:$G,"MEP-T01-07-3",'MEP | Drawing List'!T:T,1)</f>
        <v>0</v>
      </c>
      <c r="DW135" s="508"/>
      <c r="DX135" s="508"/>
      <c r="DY135" s="511">
        <v>0</v>
      </c>
      <c r="DZ135" s="508"/>
      <c r="EA135" s="509">
        <v>0</v>
      </c>
      <c r="EB135" s="510">
        <f t="shared" si="748"/>
        <v>0</v>
      </c>
      <c r="EC135" s="501"/>
      <c r="ED135" s="501"/>
      <c r="EE135" s="501"/>
      <c r="EF135" s="501"/>
      <c r="EG135" s="501"/>
      <c r="EH135" s="501"/>
      <c r="EI135" s="501"/>
      <c r="EJ135" s="501"/>
      <c r="EK135" s="501"/>
      <c r="EL135" s="501"/>
      <c r="EM135" s="501"/>
      <c r="EN135" s="501"/>
      <c r="EO135" s="501"/>
      <c r="EP135" s="513"/>
      <c r="EQ135" s="513"/>
      <c r="ER135" s="513"/>
      <c r="ES135" s="518"/>
      <c r="ET135" s="514">
        <f>COUNTIF('LS | Drawing List'!$G:$G,"LS-T07-3")</f>
        <v>0</v>
      </c>
      <c r="EU135" s="506">
        <f>COUNTIFS('LS | Drawing List'!$G:$G,"LS-T07-3",'LS | Drawing List'!$I:$I,1)</f>
        <v>0</v>
      </c>
      <c r="EV135" s="506">
        <f>COUNTIFS('LS | Drawing List'!$G:$G,"LS-T07-3",'LS | Drawing List'!$K:$K,1)</f>
        <v>0</v>
      </c>
      <c r="EW135" s="514">
        <f>COUNTIFS('LS | Drawing List'!$G:$G,"LS-T07-3",'LS | Drawing List'!L:L,1)</f>
        <v>0</v>
      </c>
      <c r="EX135" s="514">
        <f>COUNTIFS('LS | Drawing List'!$G:$G,"LS-T07-3",'LS | Drawing List'!M:M,1)</f>
        <v>0</v>
      </c>
      <c r="EY135" s="514">
        <f>COUNTIFS('LS | Drawing List'!$G:$G,"LS-T07-3",'LS | Drawing List'!N:N,1)</f>
        <v>0</v>
      </c>
      <c r="EZ135" s="514">
        <f>COUNTIFS('LS | Drawing List'!$G:$G,"LS-T07-3",'LS | Drawing List'!O:O,1)</f>
        <v>0</v>
      </c>
      <c r="FA135" s="501"/>
      <c r="FB135" s="506">
        <f>COUNTIFS('LS | Drawing List'!$G:$G,"LS-T07-3",'LS | Drawing List'!$P:$P,1)</f>
        <v>0</v>
      </c>
      <c r="FC135" s="514">
        <f>COUNTIFS('LS | Drawing List'!$G:$G,"LS-T07-3",'LS | Drawing List'!Q:Q,1)</f>
        <v>0</v>
      </c>
      <c r="FD135" s="514">
        <f>COUNTIFS('LS | Drawing List'!$G:$G,"LS-T07-3",'LS | Drawing List'!R:R,1)</f>
        <v>0</v>
      </c>
      <c r="FE135" s="514">
        <f>COUNTIFS('LS | Drawing List'!$G:$G,"LS-T07-3",'LS | Drawing List'!S:S,1)</f>
        <v>0</v>
      </c>
      <c r="FF135" s="514">
        <f>COUNTIFS('LS | Drawing List'!$G:$G,"LS-T07-3",'LS | Drawing List'!T:T,1)</f>
        <v>0</v>
      </c>
    </row>
    <row r="136" spans="2:163" s="51" customFormat="1" ht="14.25" outlineLevel="2">
      <c r="B136" s="564" t="s">
        <v>141</v>
      </c>
      <c r="C136" s="579">
        <v>4</v>
      </c>
      <c r="D136" s="580" t="s">
        <v>58</v>
      </c>
      <c r="F136" s="500">
        <f t="shared" si="696"/>
        <v>0.23840749999999999</v>
      </c>
      <c r="G136" s="500">
        <f t="shared" si="697"/>
        <v>0.23840749999999999</v>
      </c>
      <c r="H136" s="514">
        <f t="shared" si="698"/>
        <v>0</v>
      </c>
      <c r="I136" s="514">
        <f t="shared" si="669"/>
        <v>0</v>
      </c>
      <c r="J136" s="514">
        <f t="shared" si="670"/>
        <v>0</v>
      </c>
      <c r="K136" s="514">
        <f t="shared" si="671"/>
        <v>0</v>
      </c>
      <c r="L136" s="514">
        <f t="shared" si="672"/>
        <v>0</v>
      </c>
      <c r="M136" s="567">
        <f t="shared" si="673"/>
        <v>0</v>
      </c>
      <c r="N136" s="568"/>
      <c r="O136" s="514">
        <f t="shared" si="674"/>
        <v>0</v>
      </c>
      <c r="P136" s="514">
        <f t="shared" si="675"/>
        <v>0</v>
      </c>
      <c r="Q136" s="514">
        <f t="shared" si="676"/>
        <v>0</v>
      </c>
      <c r="R136" s="514">
        <f t="shared" si="677"/>
        <v>0</v>
      </c>
      <c r="S136" s="514">
        <f t="shared" si="678"/>
        <v>0</v>
      </c>
      <c r="U136" s="569">
        <v>0.05</v>
      </c>
      <c r="V136" s="584"/>
      <c r="W136" s="581">
        <f t="shared" si="699"/>
        <v>0.1200875</v>
      </c>
      <c r="X136" s="581">
        <f t="shared" si="700"/>
        <v>0.1200875</v>
      </c>
      <c r="Y136" s="567">
        <f t="shared" si="701"/>
        <v>0.1200875</v>
      </c>
      <c r="Z136" s="567">
        <f t="shared" si="702"/>
        <v>0</v>
      </c>
      <c r="AA136" s="567">
        <f t="shared" si="703"/>
        <v>0</v>
      </c>
      <c r="AB136" s="567">
        <f t="shared" si="704"/>
        <v>0</v>
      </c>
      <c r="AC136" s="567">
        <f t="shared" si="705"/>
        <v>0</v>
      </c>
      <c r="AD136" s="567">
        <f t="shared" si="706"/>
        <v>0</v>
      </c>
      <c r="AE136" s="568"/>
      <c r="AF136" s="514">
        <f t="shared" si="707"/>
        <v>0</v>
      </c>
      <c r="AG136" s="514">
        <f t="shared" si="708"/>
        <v>0</v>
      </c>
      <c r="AH136" s="514">
        <f t="shared" si="709"/>
        <v>0</v>
      </c>
      <c r="AI136" s="514">
        <f t="shared" si="710"/>
        <v>0</v>
      </c>
      <c r="AJ136" s="514">
        <f t="shared" si="711"/>
        <v>0</v>
      </c>
      <c r="AK136" s="501"/>
      <c r="AL136" s="585">
        <f t="shared" si="712"/>
        <v>1</v>
      </c>
      <c r="AM136" s="585">
        <f t="shared" si="713"/>
        <v>0</v>
      </c>
      <c r="AN136" s="570">
        <f t="shared" si="714"/>
        <v>0</v>
      </c>
      <c r="AO136" s="605"/>
      <c r="AP136" s="567">
        <f>COUNTIF('AR | Drawing List'!$G:$G,"AR-T07-4")</f>
        <v>3</v>
      </c>
      <c r="AQ136" s="582">
        <f>COUNTIFS('AR | Drawing List'!$G:$G,"AR-T07-4",'AR | Drawing List'!$I:$I,1)</f>
        <v>3</v>
      </c>
      <c r="AR136" s="582">
        <f t="shared" si="684"/>
        <v>0</v>
      </c>
      <c r="AS136" s="582">
        <f>COUNTIFS('AR | Drawing List'!$G:$G,"AR-T07-4",'AR | Drawing List'!M:M,1)</f>
        <v>0</v>
      </c>
      <c r="AT136" s="582">
        <f>COUNTIFS('AR | Drawing List'!$G:$G,"AR-T07-4",'AR | Drawing List'!N:N,1)</f>
        <v>0</v>
      </c>
      <c r="AU136" s="582">
        <f>COUNTIFS('AR | Drawing List'!$G:$G,"AR-T07-4",'AR | Drawing List'!O:O,1)</f>
        <v>0</v>
      </c>
      <c r="AV136" s="582">
        <f>COUNTIFS('AR | Drawing List'!$G:$G,"AR-T07-4",'AR | Drawing List'!P:P,1)</f>
        <v>0</v>
      </c>
      <c r="AW136" s="587"/>
      <c r="AX136" s="582">
        <f t="shared" si="715"/>
        <v>0</v>
      </c>
      <c r="AY136" s="582">
        <f>COUNTIFS('AR | Drawing List'!$G:$G,"AR-T07-4",'AR | Drawing List'!R:R,1)</f>
        <v>0</v>
      </c>
      <c r="AZ136" s="582">
        <f>COUNTIFS('AR | Drawing List'!$G:$G,"AR-T07-4",'AR | Drawing List'!S:S,1)</f>
        <v>0</v>
      </c>
      <c r="BA136" s="582">
        <f>COUNTIFS('AR | Drawing List'!$G:$G,"AR-T07-4",'AR | Drawing List'!T:T,1)</f>
        <v>0</v>
      </c>
      <c r="BB136" s="582">
        <f>COUNTIFS('AR | Drawing List'!$G:$G,"AR-T07-4",'AR | Drawing List'!U:U,1)</f>
        <v>0</v>
      </c>
      <c r="BC136" s="599"/>
      <c r="BD136" s="599"/>
      <c r="BE136" s="470">
        <v>0.1</v>
      </c>
      <c r="BF136" s="588"/>
      <c r="BG136" s="582">
        <f t="shared" si="716"/>
        <v>9.4799999999999995E-2</v>
      </c>
      <c r="BH136" s="589">
        <f t="shared" si="717"/>
        <v>9.4799999999999995E-2</v>
      </c>
      <c r="BI136" s="567">
        <f t="shared" si="718"/>
        <v>9.4799999999999995E-2</v>
      </c>
      <c r="BJ136" s="567">
        <f t="shared" si="719"/>
        <v>0</v>
      </c>
      <c r="BK136" s="514">
        <f t="shared" si="720"/>
        <v>0</v>
      </c>
      <c r="BL136" s="514">
        <f t="shared" si="721"/>
        <v>0</v>
      </c>
      <c r="BM136" s="514">
        <f t="shared" si="722"/>
        <v>0</v>
      </c>
      <c r="BN136" s="514">
        <f t="shared" si="723"/>
        <v>0</v>
      </c>
      <c r="BO136" s="501"/>
      <c r="BP136" s="514">
        <f t="shared" si="724"/>
        <v>0</v>
      </c>
      <c r="BQ136" s="514">
        <f t="shared" si="725"/>
        <v>0</v>
      </c>
      <c r="BR136" s="514">
        <f t="shared" si="726"/>
        <v>0</v>
      </c>
      <c r="BS136" s="514">
        <f t="shared" si="727"/>
        <v>0</v>
      </c>
      <c r="BT136" s="514">
        <f t="shared" si="728"/>
        <v>0</v>
      </c>
      <c r="BU136" s="501"/>
      <c r="BV136" s="571">
        <f t="shared" si="729"/>
        <v>1</v>
      </c>
      <c r="BW136" s="571">
        <f t="shared" si="730"/>
        <v>0</v>
      </c>
      <c r="BX136" s="571">
        <f t="shared" si="731"/>
        <v>0</v>
      </c>
      <c r="BY136" s="605"/>
      <c r="BZ136" s="567">
        <f>COUNTIF('ST | Drawing List'!$G:$G,"ST-T07-4")</f>
        <v>24</v>
      </c>
      <c r="CA136" s="582">
        <f>COUNTIFS('ST | Drawing List'!$G:$G,"ST-T07-4",'ST | Drawing List'!$I:$I,1)</f>
        <v>24</v>
      </c>
      <c r="CB136" s="590">
        <f>COUNTIFS('ST | Drawing List'!$G:$G,"ST-T07-4",'ST | Drawing List'!$K:$K,1)</f>
        <v>0</v>
      </c>
      <c r="CC136" s="582">
        <f>COUNTIFS('ST | Drawing List'!$G:$G,"ST-T07-4",'ST | Drawing List'!L:L,1)</f>
        <v>0</v>
      </c>
      <c r="CD136" s="582">
        <f>COUNTIFS('ST | Drawing List'!$G:$G,"ST-T07-4",'ST | Drawing List'!M:M,1)</f>
        <v>0</v>
      </c>
      <c r="CE136" s="582">
        <f>COUNTIFS('ST | Drawing List'!$G:$G,"ST-T07-4",'ST | Drawing List'!N:N,1)</f>
        <v>0</v>
      </c>
      <c r="CF136" s="582">
        <f>COUNTIFS('ST | Drawing List'!$G:$G,"ST-T07-4",'ST | Drawing List'!O:O,1)</f>
        <v>0</v>
      </c>
      <c r="CG136" s="591"/>
      <c r="CH136" s="590">
        <f>COUNTIFS('ST | Drawing List'!$G:$G,"ST-T07-4",'ST | Drawing List'!$P:$P,1)</f>
        <v>0</v>
      </c>
      <c r="CI136" s="582">
        <f>COUNTIFS('ST | Drawing List'!$G:$G,"ST-T07-4",'ST | Drawing List'!Q:Q,1)</f>
        <v>0</v>
      </c>
      <c r="CJ136" s="582">
        <f>COUNTIFS('ST | Drawing List'!$G:$G,"ST-T07-4",'ST | Drawing List'!R:R,1)</f>
        <v>0</v>
      </c>
      <c r="CK136" s="582">
        <f>COUNTIFS('ST | Drawing List'!$G:$G,"ST-T07-4",'ST | Drawing List'!S:S,1)</f>
        <v>0</v>
      </c>
      <c r="CL136" s="582">
        <f>COUNTIFS('ST | Drawing List'!$G:$G,"ST-T07-4",'ST | Drawing List'!T:T,1)</f>
        <v>0</v>
      </c>
      <c r="CM136" s="588"/>
      <c r="CN136" s="588"/>
      <c r="CO136" s="573">
        <v>0.15</v>
      </c>
      <c r="CP136" s="588"/>
      <c r="CQ136" s="582">
        <f t="shared" si="732"/>
        <v>2.3519999999999999E-2</v>
      </c>
      <c r="CR136" s="589">
        <f t="shared" si="733"/>
        <v>2.3519999999999999E-2</v>
      </c>
      <c r="CS136" s="567">
        <f t="shared" si="734"/>
        <v>2.3519999999999999E-2</v>
      </c>
      <c r="CT136" s="514">
        <f t="shared" si="735"/>
        <v>0</v>
      </c>
      <c r="CU136" s="514">
        <f t="shared" si="736"/>
        <v>0</v>
      </c>
      <c r="CV136" s="514">
        <f t="shared" si="737"/>
        <v>0</v>
      </c>
      <c r="CW136" s="514">
        <f t="shared" si="738"/>
        <v>0</v>
      </c>
      <c r="CX136" s="514">
        <f t="shared" si="739"/>
        <v>0</v>
      </c>
      <c r="CY136" s="501"/>
      <c r="CZ136" s="514">
        <f t="shared" si="740"/>
        <v>0</v>
      </c>
      <c r="DA136" s="514">
        <f t="shared" si="741"/>
        <v>0</v>
      </c>
      <c r="DB136" s="514">
        <f t="shared" si="742"/>
        <v>0</v>
      </c>
      <c r="DC136" s="514">
        <f t="shared" si="743"/>
        <v>0</v>
      </c>
      <c r="DD136" s="514">
        <f t="shared" si="744"/>
        <v>0</v>
      </c>
      <c r="DE136" s="501"/>
      <c r="DF136" s="570">
        <f t="shared" si="745"/>
        <v>1</v>
      </c>
      <c r="DG136" s="570">
        <f t="shared" si="746"/>
        <v>0</v>
      </c>
      <c r="DH136" s="570">
        <f t="shared" si="747"/>
        <v>0</v>
      </c>
      <c r="DI136" s="605"/>
      <c r="DJ136" s="567">
        <f>COUNTIF('MEP | Drawing List'!$G:$G,"MEP-T01-07-4")</f>
        <v>45</v>
      </c>
      <c r="DK136" s="582">
        <f>COUNTIFS('MEP | Drawing List'!$G:$G,"MEP-T01-07-4",'MEP | Drawing List'!$I:$I,1)</f>
        <v>45</v>
      </c>
      <c r="DL136" s="582">
        <f>COUNTIFS('MEP | Drawing List'!$G:$G,"MEP-T01-07-4",'MEP | Drawing List'!$K:$K,1)</f>
        <v>0</v>
      </c>
      <c r="DM136" s="567">
        <f>COUNTIFS('MEP | Drawing List'!$G:$G,"MEP-T01-07-4",'MEP | Drawing List'!L:L,1)</f>
        <v>0</v>
      </c>
      <c r="DN136" s="567">
        <f>COUNTIFS('MEP | Drawing List'!$G:$G,"MEP-T01-07-4",'MEP | Drawing List'!M:M,1)</f>
        <v>0</v>
      </c>
      <c r="DO136" s="567">
        <f>COUNTIFS('MEP | Drawing List'!$G:$G,"MEP-T01-07-4",'MEP | Drawing List'!N:N,1)</f>
        <v>0</v>
      </c>
      <c r="DP136" s="567">
        <f>COUNTIFS('MEP | Drawing List'!$G:$G,"MEP-T01-07-4",'MEP | Drawing List'!O:O,1)</f>
        <v>0</v>
      </c>
      <c r="DQ136" s="568"/>
      <c r="DR136" s="582">
        <f>COUNTIFS('MEP | Drawing List'!$G:$G,"MEP-T01-07-4",'MEP | Drawing List'!$P:$P,1)</f>
        <v>0</v>
      </c>
      <c r="DS136" s="567">
        <f>COUNTIFS('MEP | Drawing List'!$G:$G,"MEP-T01-07-4",'MEP | Drawing List'!Q:Q,1)</f>
        <v>0</v>
      </c>
      <c r="DT136" s="567">
        <f>COUNTIFS('MEP | Drawing List'!$G:$G,"MEP-T01-07-4",'MEP | Drawing List'!R:R,1)</f>
        <v>0</v>
      </c>
      <c r="DU136" s="567">
        <f>COUNTIFS('MEP | Drawing List'!$G:$G,"MEP-T01-07-4",'MEP | Drawing List'!S:S,1)</f>
        <v>0</v>
      </c>
      <c r="DV136" s="567">
        <f>COUNTIFS('MEP | Drawing List'!$G:$G,"MEP-T01-07-4",'MEP | Drawing List'!T:T,1)</f>
        <v>0</v>
      </c>
      <c r="DW136" s="588"/>
      <c r="DX136" s="588"/>
      <c r="DY136" s="592">
        <v>0</v>
      </c>
      <c r="DZ136" s="588"/>
      <c r="EA136" s="509">
        <v>0</v>
      </c>
      <c r="EB136" s="589">
        <f t="shared" si="748"/>
        <v>0</v>
      </c>
      <c r="EC136" s="530"/>
      <c r="ED136" s="530"/>
      <c r="EE136" s="501"/>
      <c r="EF136" s="501"/>
      <c r="EG136" s="501"/>
      <c r="EH136" s="501"/>
      <c r="EI136" s="501"/>
      <c r="EJ136" s="530"/>
      <c r="EK136" s="501"/>
      <c r="EL136" s="501"/>
      <c r="EM136" s="501"/>
      <c r="EN136" s="501"/>
      <c r="EO136" s="501"/>
      <c r="EP136" s="473"/>
      <c r="EQ136" s="473"/>
      <c r="ER136" s="473"/>
      <c r="ES136" s="605"/>
      <c r="ET136" s="567">
        <f>COUNTIF('LS | Drawing List'!$G:$G,"LS-T07-4")</f>
        <v>0</v>
      </c>
      <c r="EU136" s="582">
        <f>COUNTIFS('LS | Drawing List'!$G:$G,"LS-T07-4",'LS | Drawing List'!$I:$I,1)</f>
        <v>0</v>
      </c>
      <c r="EV136" s="582">
        <f>COUNTIFS('LS | Drawing List'!$G:$G,"LS-T07-4",'LS | Drawing List'!$K:$K,1)</f>
        <v>0</v>
      </c>
      <c r="EW136" s="567">
        <f>COUNTIFS('LS | Drawing List'!$G:$G,"LS-T07-4",'LS | Drawing List'!L:L,1)</f>
        <v>0</v>
      </c>
      <c r="EX136" s="567">
        <f>COUNTIFS('LS | Drawing List'!$G:$G,"LS-T07-4",'LS | Drawing List'!M:M,1)</f>
        <v>0</v>
      </c>
      <c r="EY136" s="567">
        <f>COUNTIFS('LS | Drawing List'!$G:$G,"LS-T07-4",'LS | Drawing List'!N:N,1)</f>
        <v>0</v>
      </c>
      <c r="EZ136" s="567">
        <f>COUNTIFS('LS | Drawing List'!$G:$G,"LS-T07-4",'LS | Drawing List'!O:O,1)</f>
        <v>0</v>
      </c>
      <c r="FA136" s="568"/>
      <c r="FB136" s="582">
        <f>COUNTIFS('LS | Drawing List'!$G:$G,"LS-T07-4",'LS | Drawing List'!$P:$P,1)</f>
        <v>0</v>
      </c>
      <c r="FC136" s="567">
        <f>COUNTIFS('LS | Drawing List'!$G:$G,"LS-T07-4",'LS | Drawing List'!Q:Q,1)</f>
        <v>0</v>
      </c>
      <c r="FD136" s="567">
        <f>COUNTIFS('LS | Drawing List'!$G:$G,"LS-T07-4",'LS | Drawing List'!R:R,1)</f>
        <v>0</v>
      </c>
      <c r="FE136" s="567">
        <f>COUNTIFS('LS | Drawing List'!$G:$G,"LS-T07-4",'LS | Drawing List'!S:S,1)</f>
        <v>0</v>
      </c>
      <c r="FF136" s="567">
        <f>COUNTIFS('LS | Drawing List'!$G:$G,"LS-T07-4",'LS | Drawing List'!T:T,1)</f>
        <v>0</v>
      </c>
    </row>
    <row r="137" spans="2:163" s="51" customFormat="1" ht="14.25" outlineLevel="2">
      <c r="B137" s="564" t="s">
        <v>142</v>
      </c>
      <c r="C137" s="579">
        <v>5</v>
      </c>
      <c r="D137" s="580" t="s">
        <v>60</v>
      </c>
      <c r="F137" s="500">
        <f t="shared" si="696"/>
        <v>0.10744375</v>
      </c>
      <c r="G137" s="500">
        <f t="shared" si="697"/>
        <v>0.10744375</v>
      </c>
      <c r="H137" s="514">
        <f t="shared" si="698"/>
        <v>0</v>
      </c>
      <c r="I137" s="514">
        <f t="shared" si="669"/>
        <v>0</v>
      </c>
      <c r="J137" s="514">
        <f t="shared" si="670"/>
        <v>0</v>
      </c>
      <c r="K137" s="514">
        <f t="shared" si="671"/>
        <v>0</v>
      </c>
      <c r="L137" s="514">
        <f t="shared" si="672"/>
        <v>0</v>
      </c>
      <c r="M137" s="567">
        <f t="shared" si="673"/>
        <v>0</v>
      </c>
      <c r="N137" s="568"/>
      <c r="O137" s="514">
        <f t="shared" si="674"/>
        <v>0</v>
      </c>
      <c r="P137" s="514">
        <f t="shared" si="675"/>
        <v>0</v>
      </c>
      <c r="Q137" s="514">
        <f t="shared" si="676"/>
        <v>0</v>
      </c>
      <c r="R137" s="514">
        <f t="shared" si="677"/>
        <v>0</v>
      </c>
      <c r="S137" s="514">
        <f t="shared" si="678"/>
        <v>0</v>
      </c>
      <c r="U137" s="569">
        <v>2.5000000000000001E-2</v>
      </c>
      <c r="V137" s="584"/>
      <c r="W137" s="581">
        <f t="shared" si="699"/>
        <v>6.004375E-2</v>
      </c>
      <c r="X137" s="581">
        <f t="shared" si="700"/>
        <v>6.004375E-2</v>
      </c>
      <c r="Y137" s="567">
        <f t="shared" si="701"/>
        <v>6.004375E-2</v>
      </c>
      <c r="Z137" s="567">
        <f t="shared" si="702"/>
        <v>0</v>
      </c>
      <c r="AA137" s="567">
        <f t="shared" si="703"/>
        <v>0</v>
      </c>
      <c r="AB137" s="567">
        <f t="shared" si="704"/>
        <v>0</v>
      </c>
      <c r="AC137" s="567">
        <f t="shared" si="705"/>
        <v>0</v>
      </c>
      <c r="AD137" s="567">
        <f t="shared" si="706"/>
        <v>0</v>
      </c>
      <c r="AE137" s="568"/>
      <c r="AF137" s="514">
        <f t="shared" si="707"/>
        <v>0</v>
      </c>
      <c r="AG137" s="514">
        <f t="shared" si="708"/>
        <v>0</v>
      </c>
      <c r="AH137" s="514">
        <f t="shared" si="709"/>
        <v>0</v>
      </c>
      <c r="AI137" s="514">
        <f t="shared" si="710"/>
        <v>0</v>
      </c>
      <c r="AJ137" s="514">
        <f t="shared" si="711"/>
        <v>0</v>
      </c>
      <c r="AK137" s="501"/>
      <c r="AL137" s="585">
        <f t="shared" si="712"/>
        <v>1</v>
      </c>
      <c r="AM137" s="585">
        <f t="shared" si="713"/>
        <v>0</v>
      </c>
      <c r="AN137" s="570">
        <f t="shared" si="714"/>
        <v>0</v>
      </c>
      <c r="AO137" s="605"/>
      <c r="AP137" s="567">
        <f>COUNTIF('AR | Drawing List'!$G:$G,"AR-T07-5")</f>
        <v>2</v>
      </c>
      <c r="AQ137" s="582">
        <f>COUNTIFS('AR | Drawing List'!$G:$G,"AR-T07-5",'AR | Drawing List'!$I:$I,1)</f>
        <v>2</v>
      </c>
      <c r="AR137" s="582">
        <f t="shared" si="684"/>
        <v>0</v>
      </c>
      <c r="AS137" s="582">
        <f>COUNTIFS('AR | Drawing List'!$G:$G,"AR-T07-5",'AR | Drawing List'!M:M,1)</f>
        <v>0</v>
      </c>
      <c r="AT137" s="582">
        <f>COUNTIFS('AR | Drawing List'!$G:$G,"AR-T07-5",'AR | Drawing List'!N:N,1)</f>
        <v>0</v>
      </c>
      <c r="AU137" s="582">
        <f>COUNTIFS('AR | Drawing List'!$G:$G,"AR-T07-5",'AR | Drawing List'!O:O,1)</f>
        <v>0</v>
      </c>
      <c r="AV137" s="582">
        <f>COUNTIFS('AR | Drawing List'!$G:$G,"AR-T07-5",'AR | Drawing List'!P:P,1)</f>
        <v>0</v>
      </c>
      <c r="AW137" s="587"/>
      <c r="AX137" s="582">
        <f t="shared" si="715"/>
        <v>0</v>
      </c>
      <c r="AY137" s="582">
        <f>COUNTIFS('AR | Drawing List'!$G:$G,"AR-T07-5",'AR | Drawing List'!R:R,1)</f>
        <v>0</v>
      </c>
      <c r="AZ137" s="582">
        <f>COUNTIFS('AR | Drawing List'!$G:$G,"AR-T07-5",'AR | Drawing List'!S:S,1)</f>
        <v>0</v>
      </c>
      <c r="BA137" s="582">
        <f>COUNTIFS('AR | Drawing List'!$G:$G,"AR-T07-5",'AR | Drawing List'!T:T,1)</f>
        <v>0</v>
      </c>
      <c r="BB137" s="582">
        <f>COUNTIFS('AR | Drawing List'!$G:$G,"AR-T07-5",'AR | Drawing List'!U:U,1)</f>
        <v>0</v>
      </c>
      <c r="BC137" s="599"/>
      <c r="BD137" s="599"/>
      <c r="BE137" s="470">
        <v>0.05</v>
      </c>
      <c r="BF137" s="588"/>
      <c r="BG137" s="582">
        <f t="shared" si="716"/>
        <v>4.7399999999999998E-2</v>
      </c>
      <c r="BH137" s="589">
        <f t="shared" si="717"/>
        <v>4.7399999999999998E-2</v>
      </c>
      <c r="BI137" s="567">
        <f t="shared" si="718"/>
        <v>4.7399999999999998E-2</v>
      </c>
      <c r="BJ137" s="567">
        <f t="shared" si="719"/>
        <v>0</v>
      </c>
      <c r="BK137" s="514">
        <f t="shared" si="720"/>
        <v>0</v>
      </c>
      <c r="BL137" s="514">
        <f t="shared" si="721"/>
        <v>0</v>
      </c>
      <c r="BM137" s="514">
        <f t="shared" si="722"/>
        <v>0</v>
      </c>
      <c r="BN137" s="514">
        <f t="shared" si="723"/>
        <v>0</v>
      </c>
      <c r="BO137" s="501"/>
      <c r="BP137" s="514">
        <f t="shared" si="724"/>
        <v>0</v>
      </c>
      <c r="BQ137" s="514">
        <f t="shared" si="725"/>
        <v>0</v>
      </c>
      <c r="BR137" s="514">
        <f t="shared" si="726"/>
        <v>0</v>
      </c>
      <c r="BS137" s="514">
        <f t="shared" si="727"/>
        <v>0</v>
      </c>
      <c r="BT137" s="514">
        <f t="shared" si="728"/>
        <v>0</v>
      </c>
      <c r="BU137" s="501"/>
      <c r="BV137" s="571">
        <f t="shared" si="729"/>
        <v>1</v>
      </c>
      <c r="BW137" s="571">
        <f t="shared" si="730"/>
        <v>0</v>
      </c>
      <c r="BX137" s="571">
        <f t="shared" si="731"/>
        <v>0</v>
      </c>
      <c r="BY137" s="605"/>
      <c r="BZ137" s="567">
        <f>COUNTIF('ST | Drawing List'!$G:$G,"ST-T07-5")</f>
        <v>83</v>
      </c>
      <c r="CA137" s="582">
        <f>COUNTIFS('ST | Drawing List'!$G:$G,"ST-T07-5",'ST | Drawing List'!$I:$I,1)</f>
        <v>83</v>
      </c>
      <c r="CB137" s="590">
        <f>COUNTIFS('ST | Drawing List'!$G:$G,"ST-T07-5",'ST | Drawing List'!$K:$K,1)</f>
        <v>0</v>
      </c>
      <c r="CC137" s="582">
        <f>COUNTIFS('ST | Drawing List'!$G:$G,"ST-T07-5",'ST | Drawing List'!L:L,1)</f>
        <v>0</v>
      </c>
      <c r="CD137" s="582">
        <f>COUNTIFS('ST | Drawing List'!$G:$G,"ST-T07-5",'ST | Drawing List'!M:M,1)</f>
        <v>0</v>
      </c>
      <c r="CE137" s="582">
        <f>COUNTIFS('ST | Drawing List'!$G:$G,"ST-T07-5",'ST | Drawing List'!N:N,1)</f>
        <v>0</v>
      </c>
      <c r="CF137" s="582">
        <f>COUNTIFS('ST | Drawing List'!$G:$G,"ST-T07-5",'ST | Drawing List'!O:O,1)</f>
        <v>0</v>
      </c>
      <c r="CG137" s="591"/>
      <c r="CH137" s="590">
        <f>COUNTIFS('ST | Drawing List'!$G:$G,"ST-T07-5",'ST | Drawing List'!$P:$P,1)</f>
        <v>0</v>
      </c>
      <c r="CI137" s="582">
        <f>COUNTIFS('ST | Drawing List'!$G:$G,"ST-T07-5",'ST | Drawing List'!Q:Q,1)</f>
        <v>0</v>
      </c>
      <c r="CJ137" s="582">
        <f>COUNTIFS('ST | Drawing List'!$G:$G,"ST-T07-5",'ST | Drawing List'!R:R,1)</f>
        <v>0</v>
      </c>
      <c r="CK137" s="582">
        <f>COUNTIFS('ST | Drawing List'!$G:$G,"ST-T07-5",'ST | Drawing List'!S:S,1)</f>
        <v>0</v>
      </c>
      <c r="CL137" s="582">
        <f>COUNTIFS('ST | Drawing List'!$G:$G,"ST-T07-5",'ST | Drawing List'!T:T,1)</f>
        <v>0</v>
      </c>
      <c r="CM137" s="588"/>
      <c r="CN137" s="588"/>
      <c r="CO137" s="576">
        <v>0</v>
      </c>
      <c r="CP137" s="588"/>
      <c r="CQ137" s="582">
        <f t="shared" si="732"/>
        <v>0</v>
      </c>
      <c r="CR137" s="589">
        <f t="shared" si="733"/>
        <v>0</v>
      </c>
      <c r="CS137" s="567">
        <f t="shared" si="734"/>
        <v>0</v>
      </c>
      <c r="CT137" s="514">
        <f t="shared" si="735"/>
        <v>0</v>
      </c>
      <c r="CU137" s="514">
        <f t="shared" si="736"/>
        <v>0</v>
      </c>
      <c r="CV137" s="514">
        <f t="shared" si="737"/>
        <v>0</v>
      </c>
      <c r="CW137" s="514">
        <f t="shared" si="738"/>
        <v>0</v>
      </c>
      <c r="CX137" s="514">
        <f t="shared" si="739"/>
        <v>0</v>
      </c>
      <c r="CY137" s="501"/>
      <c r="CZ137" s="514">
        <f t="shared" si="740"/>
        <v>0</v>
      </c>
      <c r="DA137" s="514">
        <f t="shared" si="741"/>
        <v>0</v>
      </c>
      <c r="DB137" s="514">
        <f t="shared" si="742"/>
        <v>0</v>
      </c>
      <c r="DC137" s="514">
        <f t="shared" si="743"/>
        <v>0</v>
      </c>
      <c r="DD137" s="514">
        <f t="shared" si="744"/>
        <v>0</v>
      </c>
      <c r="DE137" s="501"/>
      <c r="DF137" s="570">
        <f t="shared" si="745"/>
        <v>0</v>
      </c>
      <c r="DG137" s="570">
        <f t="shared" si="746"/>
        <v>0</v>
      </c>
      <c r="DH137" s="570">
        <f t="shared" si="747"/>
        <v>0</v>
      </c>
      <c r="DI137" s="605"/>
      <c r="DJ137" s="567">
        <f>COUNTIF('MEP | Drawing List'!$G:$G,"MEP-T01-07-5")</f>
        <v>0</v>
      </c>
      <c r="DK137" s="582">
        <f>COUNTIFS('MEP | Drawing List'!$G:$G,"MEP-T01-07-5",'MEP | Drawing List'!$I:$I,1)</f>
        <v>0</v>
      </c>
      <c r="DL137" s="582">
        <f>COUNTIFS('MEP | Drawing List'!$G:$G,"MEP-T01-07-5",'MEP | Drawing List'!$K:$K,1)</f>
        <v>0</v>
      </c>
      <c r="DM137" s="567">
        <f>COUNTIFS('MEP | Drawing List'!$G:$G,"MEP-T01-07-5",'MEP | Drawing List'!L:L,1)</f>
        <v>0</v>
      </c>
      <c r="DN137" s="567">
        <f>COUNTIFS('MEP | Drawing List'!$G:$G,"MEP-T01-07-5",'MEP | Drawing List'!M:M,1)</f>
        <v>0</v>
      </c>
      <c r="DO137" s="567">
        <f>COUNTIFS('MEP | Drawing List'!$G:$G,"MEP-T01-07-5",'MEP | Drawing List'!N:N,1)</f>
        <v>0</v>
      </c>
      <c r="DP137" s="567">
        <f>COUNTIFS('MEP | Drawing List'!$G:$G,"MEP-T01-07-5",'MEP | Drawing List'!O:O,1)</f>
        <v>0</v>
      </c>
      <c r="DQ137" s="568"/>
      <c r="DR137" s="582">
        <f>COUNTIFS('MEP | Drawing List'!$G:$G,"MEP-T01-07-5",'MEP | Drawing List'!$P:$P,1)</f>
        <v>0</v>
      </c>
      <c r="DS137" s="567">
        <f>COUNTIFS('MEP | Drawing List'!$G:$G,"MEP-T01-07-5",'MEP | Drawing List'!Q:Q,1)</f>
        <v>0</v>
      </c>
      <c r="DT137" s="567">
        <f>COUNTIFS('MEP | Drawing List'!$G:$G,"MEP-T01-07-5",'MEP | Drawing List'!R:R,1)</f>
        <v>0</v>
      </c>
      <c r="DU137" s="567">
        <f>COUNTIFS('MEP | Drawing List'!$G:$G,"MEP-T01-07-5",'MEP | Drawing List'!S:S,1)</f>
        <v>0</v>
      </c>
      <c r="DV137" s="567">
        <f>COUNTIFS('MEP | Drawing List'!$G:$G,"MEP-T01-07-5",'MEP | Drawing List'!T:T,1)</f>
        <v>0</v>
      </c>
      <c r="DW137" s="588"/>
      <c r="DX137" s="588"/>
      <c r="DY137" s="592">
        <v>0</v>
      </c>
      <c r="DZ137" s="588"/>
      <c r="EA137" s="509">
        <v>0</v>
      </c>
      <c r="EB137" s="589">
        <f t="shared" si="748"/>
        <v>0</v>
      </c>
      <c r="EC137" s="530"/>
      <c r="ED137" s="530"/>
      <c r="EE137" s="501"/>
      <c r="EF137" s="501"/>
      <c r="EG137" s="501"/>
      <c r="EH137" s="501"/>
      <c r="EI137" s="501"/>
      <c r="EJ137" s="530"/>
      <c r="EK137" s="501"/>
      <c r="EL137" s="501"/>
      <c r="EM137" s="501"/>
      <c r="EN137" s="501"/>
      <c r="EO137" s="501"/>
      <c r="EP137" s="473"/>
      <c r="EQ137" s="473"/>
      <c r="ER137" s="473"/>
      <c r="ES137" s="605"/>
      <c r="ET137" s="567">
        <f>COUNTIF('LS | Drawing List'!$G:$G,"LS-T07-5")</f>
        <v>0</v>
      </c>
      <c r="EU137" s="582">
        <f>COUNTIFS('LS | Drawing List'!$G:$G,"LS-T07-5",'LS | Drawing List'!$I:$I,1)</f>
        <v>0</v>
      </c>
      <c r="EV137" s="582">
        <f>COUNTIFS('LS | Drawing List'!$G:$G,"LS-T07-5",'LS | Drawing List'!$K:$K,1)</f>
        <v>0</v>
      </c>
      <c r="EW137" s="567">
        <f>COUNTIFS('LS | Drawing List'!$G:$G,"LS-T07-5",'LS | Drawing List'!L:L,1)</f>
        <v>0</v>
      </c>
      <c r="EX137" s="567">
        <f>COUNTIFS('LS | Drawing List'!$G:$G,"LS-T07-5",'LS | Drawing List'!M:M,1)</f>
        <v>0</v>
      </c>
      <c r="EY137" s="567">
        <f>COUNTIFS('LS | Drawing List'!$G:$G,"LS-T07-5",'LS | Drawing List'!N:N,1)</f>
        <v>0</v>
      </c>
      <c r="EZ137" s="567">
        <f>COUNTIFS('LS | Drawing List'!$G:$G,"LS-T07-5",'LS | Drawing List'!O:O,1)</f>
        <v>0</v>
      </c>
      <c r="FA137" s="568"/>
      <c r="FB137" s="582">
        <f>COUNTIFS('LS | Drawing List'!$G:$G,"LS-T07-5",'LS | Drawing List'!$P:$P,1)</f>
        <v>0</v>
      </c>
      <c r="FC137" s="567">
        <f>COUNTIFS('LS | Drawing List'!$G:$G,"LS-T07-5",'LS | Drawing List'!Q:Q,1)</f>
        <v>0</v>
      </c>
      <c r="FD137" s="567">
        <f>COUNTIFS('LS | Drawing List'!$G:$G,"LS-T07-5",'LS | Drawing List'!R:R,1)</f>
        <v>0</v>
      </c>
      <c r="FE137" s="567">
        <f>COUNTIFS('LS | Drawing List'!$G:$G,"LS-T07-5",'LS | Drawing List'!S:S,1)</f>
        <v>0</v>
      </c>
      <c r="FF137" s="567">
        <f>COUNTIFS('LS | Drawing List'!$G:$G,"LS-T07-5",'LS | Drawing List'!T:T,1)</f>
        <v>0</v>
      </c>
    </row>
    <row r="138" spans="2:163" s="51" customFormat="1" ht="14.25" outlineLevel="2">
      <c r="B138" s="564" t="s">
        <v>143</v>
      </c>
      <c r="C138" s="579">
        <v>6</v>
      </c>
      <c r="D138" s="580" t="s">
        <v>62</v>
      </c>
      <c r="F138" s="500">
        <f t="shared" si="696"/>
        <v>0.10744375</v>
      </c>
      <c r="G138" s="500">
        <f t="shared" si="697"/>
        <v>0.10744375</v>
      </c>
      <c r="H138" s="514">
        <f t="shared" si="698"/>
        <v>0</v>
      </c>
      <c r="I138" s="514">
        <f t="shared" si="669"/>
        <v>0</v>
      </c>
      <c r="J138" s="514">
        <f t="shared" si="670"/>
        <v>0</v>
      </c>
      <c r="K138" s="514">
        <f t="shared" si="671"/>
        <v>0</v>
      </c>
      <c r="L138" s="514">
        <f t="shared" si="672"/>
        <v>0</v>
      </c>
      <c r="M138" s="567">
        <f t="shared" si="673"/>
        <v>0</v>
      </c>
      <c r="N138" s="568"/>
      <c r="O138" s="514">
        <f t="shared" si="674"/>
        <v>0</v>
      </c>
      <c r="P138" s="514">
        <f t="shared" si="675"/>
        <v>0</v>
      </c>
      <c r="Q138" s="514">
        <f t="shared" si="676"/>
        <v>0</v>
      </c>
      <c r="R138" s="514">
        <f t="shared" si="677"/>
        <v>0</v>
      </c>
      <c r="S138" s="514">
        <f t="shared" si="678"/>
        <v>0</v>
      </c>
      <c r="U138" s="583">
        <v>2.5000000000000001E-2</v>
      </c>
      <c r="V138" s="584"/>
      <c r="W138" s="581">
        <f t="shared" si="699"/>
        <v>6.004375E-2</v>
      </c>
      <c r="X138" s="581">
        <f t="shared" si="700"/>
        <v>6.004375E-2</v>
      </c>
      <c r="Y138" s="567">
        <f t="shared" si="701"/>
        <v>6.004375E-2</v>
      </c>
      <c r="Z138" s="567">
        <f t="shared" si="702"/>
        <v>0</v>
      </c>
      <c r="AA138" s="567">
        <f t="shared" si="703"/>
        <v>0</v>
      </c>
      <c r="AB138" s="567">
        <f t="shared" si="704"/>
        <v>0</v>
      </c>
      <c r="AC138" s="567">
        <f t="shared" si="705"/>
        <v>0</v>
      </c>
      <c r="AD138" s="567">
        <f t="shared" si="706"/>
        <v>0</v>
      </c>
      <c r="AE138" s="568"/>
      <c r="AF138" s="514">
        <f t="shared" si="707"/>
        <v>0</v>
      </c>
      <c r="AG138" s="514">
        <f t="shared" si="708"/>
        <v>0</v>
      </c>
      <c r="AH138" s="514">
        <f t="shared" si="709"/>
        <v>0</v>
      </c>
      <c r="AI138" s="514">
        <f t="shared" si="710"/>
        <v>0</v>
      </c>
      <c r="AJ138" s="514">
        <f t="shared" si="711"/>
        <v>0</v>
      </c>
      <c r="AK138" s="501"/>
      <c r="AL138" s="585">
        <f t="shared" si="712"/>
        <v>1</v>
      </c>
      <c r="AM138" s="585">
        <f t="shared" si="713"/>
        <v>0</v>
      </c>
      <c r="AN138" s="570">
        <f t="shared" si="714"/>
        <v>0</v>
      </c>
      <c r="AO138" s="605"/>
      <c r="AP138" s="567">
        <f>COUNTIF('AR | Drawing List'!$G:$G,"AR-T07-6")</f>
        <v>2</v>
      </c>
      <c r="AQ138" s="582">
        <f>COUNTIFS('AR | Drawing List'!$G:$G,"AR-T07-6",'AR | Drawing List'!$I:$I,1)</f>
        <v>2</v>
      </c>
      <c r="AR138" s="582">
        <f t="shared" si="684"/>
        <v>0</v>
      </c>
      <c r="AS138" s="582">
        <f>COUNTIFS('AR | Drawing List'!$G:$G,"AR-T07-6",'AR | Drawing List'!M:M,1)</f>
        <v>0</v>
      </c>
      <c r="AT138" s="582">
        <f>COUNTIFS('AR | Drawing List'!$G:$G,"AR-T07-6",'AR | Drawing List'!N:N,1)</f>
        <v>0</v>
      </c>
      <c r="AU138" s="582">
        <f>COUNTIFS('AR | Drawing List'!$G:$G,"AR-T07-6",'AR | Drawing List'!O:O,1)</f>
        <v>0</v>
      </c>
      <c r="AV138" s="582">
        <f>COUNTIFS('AR | Drawing List'!$G:$G,"AR-T07-6",'AR | Drawing List'!P:P,1)</f>
        <v>0</v>
      </c>
      <c r="AW138" s="587"/>
      <c r="AX138" s="582">
        <f t="shared" si="715"/>
        <v>0</v>
      </c>
      <c r="AY138" s="582">
        <f>COUNTIFS('AR | Drawing List'!$G:$G,"AR-T07-6",'AR | Drawing List'!R:R,1)</f>
        <v>0</v>
      </c>
      <c r="AZ138" s="582">
        <f>COUNTIFS('AR | Drawing List'!$G:$G,"AR-T07-6",'AR | Drawing List'!S:S,1)</f>
        <v>0</v>
      </c>
      <c r="BA138" s="582">
        <f>COUNTIFS('AR | Drawing List'!$G:$G,"AR-T07-6",'AR | Drawing List'!T:T,1)</f>
        <v>0</v>
      </c>
      <c r="BB138" s="582">
        <f>COUNTIFS('AR | Drawing List'!$G:$G,"AR-T07-6",'AR | Drawing List'!U:U,1)</f>
        <v>0</v>
      </c>
      <c r="BC138" s="599"/>
      <c r="BD138" s="599"/>
      <c r="BE138" s="470">
        <v>0.05</v>
      </c>
      <c r="BF138" s="588"/>
      <c r="BG138" s="582">
        <f t="shared" si="716"/>
        <v>4.7399999999999998E-2</v>
      </c>
      <c r="BH138" s="589">
        <f t="shared" si="717"/>
        <v>4.7399999999999998E-2</v>
      </c>
      <c r="BI138" s="567">
        <f t="shared" si="718"/>
        <v>4.7399999999999998E-2</v>
      </c>
      <c r="BJ138" s="567">
        <f t="shared" si="719"/>
        <v>0</v>
      </c>
      <c r="BK138" s="514">
        <f t="shared" si="720"/>
        <v>0</v>
      </c>
      <c r="BL138" s="514">
        <f t="shared" si="721"/>
        <v>0</v>
      </c>
      <c r="BM138" s="514">
        <f t="shared" si="722"/>
        <v>0</v>
      </c>
      <c r="BN138" s="514">
        <f t="shared" si="723"/>
        <v>0</v>
      </c>
      <c r="BO138" s="501"/>
      <c r="BP138" s="514">
        <f t="shared" si="724"/>
        <v>0</v>
      </c>
      <c r="BQ138" s="514">
        <f t="shared" si="725"/>
        <v>0</v>
      </c>
      <c r="BR138" s="514">
        <f t="shared" si="726"/>
        <v>0</v>
      </c>
      <c r="BS138" s="514">
        <f t="shared" si="727"/>
        <v>0</v>
      </c>
      <c r="BT138" s="514">
        <f t="shared" si="728"/>
        <v>0</v>
      </c>
      <c r="BU138" s="501"/>
      <c r="BV138" s="571">
        <f t="shared" si="729"/>
        <v>1</v>
      </c>
      <c r="BW138" s="571">
        <f t="shared" si="730"/>
        <v>0</v>
      </c>
      <c r="BX138" s="571">
        <f t="shared" si="731"/>
        <v>0</v>
      </c>
      <c r="BY138" s="605"/>
      <c r="BZ138" s="567">
        <f>COUNTIF('ST | Drawing List'!$G:$G,"ST-T07-6")</f>
        <v>121</v>
      </c>
      <c r="CA138" s="582">
        <f>COUNTIFS('ST | Drawing List'!$G:$G,"ST-T07-6",'ST | Drawing List'!$I:$I,1)</f>
        <v>121</v>
      </c>
      <c r="CB138" s="590">
        <f>COUNTIFS('ST | Drawing List'!$G:$G,"ST-T07-6",'ST | Drawing List'!$K:$K,1)</f>
        <v>0</v>
      </c>
      <c r="CC138" s="582">
        <f>COUNTIFS('ST | Drawing List'!$G:$G,"ST-T07-6",'ST | Drawing List'!L:L,1)</f>
        <v>0</v>
      </c>
      <c r="CD138" s="582">
        <f>COUNTIFS('ST | Drawing List'!$G:$G,"ST-T07-6",'ST | Drawing List'!M:M,1)</f>
        <v>0</v>
      </c>
      <c r="CE138" s="582">
        <f>COUNTIFS('ST | Drawing List'!$G:$G,"ST-T07-6",'ST | Drawing List'!N:N,1)</f>
        <v>0</v>
      </c>
      <c r="CF138" s="582">
        <f>COUNTIFS('ST | Drawing List'!$G:$G,"ST-T07-6",'ST | Drawing List'!O:O,1)</f>
        <v>0</v>
      </c>
      <c r="CG138" s="591"/>
      <c r="CH138" s="590">
        <f>COUNTIFS('ST | Drawing List'!$G:$G,"ST-T07-6",'ST | Drawing List'!$P:$P,1)</f>
        <v>0</v>
      </c>
      <c r="CI138" s="582">
        <f>COUNTIFS('ST | Drawing List'!$G:$G,"ST-T07-6",'ST | Drawing List'!Q:Q,1)</f>
        <v>0</v>
      </c>
      <c r="CJ138" s="582">
        <f>COUNTIFS('ST | Drawing List'!$G:$G,"ST-T07-6",'ST | Drawing List'!R:R,1)</f>
        <v>0</v>
      </c>
      <c r="CK138" s="582">
        <f>COUNTIFS('ST | Drawing List'!$G:$G,"ST-T07-6",'ST | Drawing List'!S:S,1)</f>
        <v>0</v>
      </c>
      <c r="CL138" s="582">
        <f>COUNTIFS('ST | Drawing List'!$G:$G,"ST-T07-6",'ST | Drawing List'!T:T,1)</f>
        <v>0</v>
      </c>
      <c r="CM138" s="588"/>
      <c r="CN138" s="588"/>
      <c r="CO138" s="576">
        <v>0</v>
      </c>
      <c r="CP138" s="588"/>
      <c r="CQ138" s="582">
        <f t="shared" si="732"/>
        <v>0</v>
      </c>
      <c r="CR138" s="589">
        <f t="shared" si="733"/>
        <v>0</v>
      </c>
      <c r="CS138" s="567">
        <f t="shared" si="734"/>
        <v>0</v>
      </c>
      <c r="CT138" s="514">
        <f t="shared" si="735"/>
        <v>0</v>
      </c>
      <c r="CU138" s="514">
        <f t="shared" si="736"/>
        <v>0</v>
      </c>
      <c r="CV138" s="514">
        <f t="shared" si="737"/>
        <v>0</v>
      </c>
      <c r="CW138" s="514">
        <f t="shared" si="738"/>
        <v>0</v>
      </c>
      <c r="CX138" s="514">
        <f t="shared" si="739"/>
        <v>0</v>
      </c>
      <c r="CY138" s="501"/>
      <c r="CZ138" s="514">
        <f t="shared" si="740"/>
        <v>0</v>
      </c>
      <c r="DA138" s="514">
        <f t="shared" si="741"/>
        <v>0</v>
      </c>
      <c r="DB138" s="514">
        <f t="shared" si="742"/>
        <v>0</v>
      </c>
      <c r="DC138" s="514">
        <f t="shared" si="743"/>
        <v>0</v>
      </c>
      <c r="DD138" s="514">
        <f t="shared" si="744"/>
        <v>0</v>
      </c>
      <c r="DE138" s="501"/>
      <c r="DF138" s="570">
        <f t="shared" si="745"/>
        <v>0</v>
      </c>
      <c r="DG138" s="570">
        <f t="shared" si="746"/>
        <v>0</v>
      </c>
      <c r="DH138" s="570">
        <f t="shared" si="747"/>
        <v>0</v>
      </c>
      <c r="DI138" s="605"/>
      <c r="DJ138" s="567">
        <f>COUNTIF('MEP | Drawing List'!$G:$G,"MEP-T01-07-6")</f>
        <v>0</v>
      </c>
      <c r="DK138" s="582">
        <f>COUNTIFS('MEP | Drawing List'!$G:$G,"MEP-T01-07-6",'MEP | Drawing List'!$I:$I,1)</f>
        <v>0</v>
      </c>
      <c r="DL138" s="582">
        <f>COUNTIFS('MEP | Drawing List'!$G:$G,"MEP-T01-07-6",'MEP | Drawing List'!$K:$K,1)</f>
        <v>0</v>
      </c>
      <c r="DM138" s="567">
        <f>COUNTIFS('MEP | Drawing List'!$G:$G,"MEP-T01-07-6",'MEP | Drawing List'!L:L,1)</f>
        <v>0</v>
      </c>
      <c r="DN138" s="567">
        <f>COUNTIFS('MEP | Drawing List'!$G:$G,"MEP-T01-07-6",'MEP | Drawing List'!M:M,1)</f>
        <v>0</v>
      </c>
      <c r="DO138" s="567">
        <f>COUNTIFS('MEP | Drawing List'!$G:$G,"MEP-T01-07-6",'MEP | Drawing List'!N:N,1)</f>
        <v>0</v>
      </c>
      <c r="DP138" s="567">
        <f>COUNTIFS('MEP | Drawing List'!$G:$G,"MEP-T01-07-6",'MEP | Drawing List'!O:O,1)</f>
        <v>0</v>
      </c>
      <c r="DQ138" s="568"/>
      <c r="DR138" s="582">
        <f>COUNTIFS('MEP | Drawing List'!$G:$G,"MEP-T01-07-6",'MEP | Drawing List'!$P:$P,1)</f>
        <v>0</v>
      </c>
      <c r="DS138" s="567">
        <f>COUNTIFS('MEP | Drawing List'!$G:$G,"MEP-T01-07-6",'MEP | Drawing List'!Q:Q,1)</f>
        <v>0</v>
      </c>
      <c r="DT138" s="567">
        <f>COUNTIFS('MEP | Drawing List'!$G:$G,"MEP-T01-07-6",'MEP | Drawing List'!R:R,1)</f>
        <v>0</v>
      </c>
      <c r="DU138" s="567">
        <f>COUNTIFS('MEP | Drawing List'!$G:$G,"MEP-T01-07-6",'MEP | Drawing List'!S:S,1)</f>
        <v>0</v>
      </c>
      <c r="DV138" s="567">
        <f>COUNTIFS('MEP | Drawing List'!$G:$G,"MEP-T01-07-6",'MEP | Drawing List'!T:T,1)</f>
        <v>0</v>
      </c>
      <c r="DW138" s="588"/>
      <c r="DX138" s="588"/>
      <c r="DY138" s="592">
        <v>0</v>
      </c>
      <c r="DZ138" s="588"/>
      <c r="EA138" s="509">
        <v>0</v>
      </c>
      <c r="EB138" s="589">
        <f t="shared" si="748"/>
        <v>0</v>
      </c>
      <c r="EC138" s="530"/>
      <c r="ED138" s="530"/>
      <c r="EE138" s="501"/>
      <c r="EF138" s="501"/>
      <c r="EG138" s="501"/>
      <c r="EH138" s="501"/>
      <c r="EI138" s="501"/>
      <c r="EJ138" s="530"/>
      <c r="EK138" s="501"/>
      <c r="EL138" s="501"/>
      <c r="EM138" s="501"/>
      <c r="EN138" s="501"/>
      <c r="EO138" s="501"/>
      <c r="EP138" s="473"/>
      <c r="EQ138" s="473"/>
      <c r="ER138" s="473"/>
      <c r="ES138" s="605"/>
      <c r="ET138" s="567">
        <f>COUNTIF('LS | Drawing List'!$G:$G,"LS-T07-6")</f>
        <v>0</v>
      </c>
      <c r="EU138" s="582">
        <f>COUNTIFS('LS | Drawing List'!$G:$G,"LS-T07-6",'LS | Drawing List'!$I:$I,1)</f>
        <v>0</v>
      </c>
      <c r="EV138" s="582">
        <f>COUNTIFS('LS | Drawing List'!$G:$G,"LS-T07-6",'LS | Drawing List'!$K:$K,1)</f>
        <v>0</v>
      </c>
      <c r="EW138" s="567">
        <f>COUNTIFS('LS | Drawing List'!$G:$G,"LS-T07-6",'LS | Drawing List'!L:L,1)</f>
        <v>0</v>
      </c>
      <c r="EX138" s="567">
        <f>COUNTIFS('LS | Drawing List'!$G:$G,"LS-T07-6",'LS | Drawing List'!M:M,1)</f>
        <v>0</v>
      </c>
      <c r="EY138" s="567">
        <f>COUNTIFS('LS | Drawing List'!$G:$G,"LS-T07-6",'LS | Drawing List'!N:N,1)</f>
        <v>0</v>
      </c>
      <c r="EZ138" s="567">
        <f>COUNTIFS('LS | Drawing List'!$G:$G,"LS-T07-6",'LS | Drawing List'!O:O,1)</f>
        <v>0</v>
      </c>
      <c r="FA138" s="568"/>
      <c r="FB138" s="582">
        <f>COUNTIFS('LS | Drawing List'!$G:$G,"LS-T07-6",'LS | Drawing List'!$P:$P,1)</f>
        <v>0</v>
      </c>
      <c r="FC138" s="567">
        <f>COUNTIFS('LS | Drawing List'!$G:$G,"LS-T07-6",'LS | Drawing List'!Q:Q,1)</f>
        <v>0</v>
      </c>
      <c r="FD138" s="567">
        <f>COUNTIFS('LS | Drawing List'!$G:$G,"LS-T07-6",'LS | Drawing List'!R:R,1)</f>
        <v>0</v>
      </c>
      <c r="FE138" s="567">
        <f>COUNTIFS('LS | Drawing List'!$G:$G,"LS-T07-6",'LS | Drawing List'!S:S,1)</f>
        <v>0</v>
      </c>
      <c r="FF138" s="567">
        <f>COUNTIFS('LS | Drawing List'!$G:$G,"LS-T07-6",'LS | Drawing List'!T:T,1)</f>
        <v>0</v>
      </c>
    </row>
    <row r="139" spans="2:163" s="51" customFormat="1" ht="14.25" outlineLevel="2">
      <c r="B139" s="564" t="s">
        <v>144</v>
      </c>
      <c r="C139" s="579">
        <v>7</v>
      </c>
      <c r="D139" s="580" t="s">
        <v>64</v>
      </c>
      <c r="F139" s="500">
        <f t="shared" si="696"/>
        <v>0.255855</v>
      </c>
      <c r="G139" s="500">
        <f t="shared" si="697"/>
        <v>0.255855</v>
      </c>
      <c r="H139" s="514">
        <f t="shared" si="698"/>
        <v>0</v>
      </c>
      <c r="I139" s="514">
        <f t="shared" si="669"/>
        <v>0</v>
      </c>
      <c r="J139" s="514">
        <f t="shared" si="670"/>
        <v>0</v>
      </c>
      <c r="K139" s="514">
        <f t="shared" si="671"/>
        <v>0</v>
      </c>
      <c r="L139" s="514">
        <f t="shared" si="672"/>
        <v>0</v>
      </c>
      <c r="M139" s="567">
        <f t="shared" si="673"/>
        <v>0</v>
      </c>
      <c r="N139" s="568"/>
      <c r="O139" s="514">
        <f t="shared" si="674"/>
        <v>0</v>
      </c>
      <c r="P139" s="514">
        <f t="shared" si="675"/>
        <v>0</v>
      </c>
      <c r="Q139" s="514">
        <f t="shared" si="676"/>
        <v>0</v>
      </c>
      <c r="R139" s="514">
        <f t="shared" si="677"/>
        <v>0</v>
      </c>
      <c r="S139" s="514">
        <f t="shared" si="678"/>
        <v>0</v>
      </c>
      <c r="U139" s="569">
        <v>0.1</v>
      </c>
      <c r="V139" s="584"/>
      <c r="W139" s="581">
        <f t="shared" si="699"/>
        <v>0.240175</v>
      </c>
      <c r="X139" s="581">
        <f t="shared" si="700"/>
        <v>0.240175</v>
      </c>
      <c r="Y139" s="567">
        <f t="shared" si="701"/>
        <v>0.240175</v>
      </c>
      <c r="Z139" s="567">
        <f t="shared" si="702"/>
        <v>0</v>
      </c>
      <c r="AA139" s="567">
        <f t="shared" si="703"/>
        <v>0</v>
      </c>
      <c r="AB139" s="567">
        <f t="shared" si="704"/>
        <v>0</v>
      </c>
      <c r="AC139" s="567">
        <f t="shared" si="705"/>
        <v>0</v>
      </c>
      <c r="AD139" s="567">
        <f t="shared" si="706"/>
        <v>0</v>
      </c>
      <c r="AE139" s="568"/>
      <c r="AF139" s="514">
        <f t="shared" si="707"/>
        <v>0</v>
      </c>
      <c r="AG139" s="514">
        <f t="shared" si="708"/>
        <v>0</v>
      </c>
      <c r="AH139" s="514">
        <f t="shared" si="709"/>
        <v>0</v>
      </c>
      <c r="AI139" s="514">
        <f t="shared" si="710"/>
        <v>0</v>
      </c>
      <c r="AJ139" s="514">
        <f t="shared" si="711"/>
        <v>0</v>
      </c>
      <c r="AK139" s="501"/>
      <c r="AL139" s="585">
        <f t="shared" si="712"/>
        <v>1</v>
      </c>
      <c r="AM139" s="585">
        <f t="shared" si="713"/>
        <v>0</v>
      </c>
      <c r="AN139" s="570">
        <f t="shared" si="714"/>
        <v>0</v>
      </c>
      <c r="AO139" s="605"/>
      <c r="AP139" s="567">
        <f>COUNTIF('AR | Drawing List'!$G:$G,"AR-T07-7")</f>
        <v>3</v>
      </c>
      <c r="AQ139" s="582">
        <f>COUNTIFS('AR | Drawing List'!$G:$G,"AR-T07-7",'AR | Drawing List'!$I:$I,1)</f>
        <v>3</v>
      </c>
      <c r="AR139" s="582">
        <f t="shared" si="684"/>
        <v>0</v>
      </c>
      <c r="AS139" s="582">
        <f>COUNTIFS('AR | Drawing List'!$G:$G,"AR-T07-7",'AR | Drawing List'!M:M,1)</f>
        <v>0</v>
      </c>
      <c r="AT139" s="582">
        <f>COUNTIFS('AR | Drawing List'!$G:$G,"AR-T07-7",'AR | Drawing List'!N:N,1)</f>
        <v>0</v>
      </c>
      <c r="AU139" s="582">
        <f>COUNTIFS('AR | Drawing List'!$G:$G,"AR-T07-7",'AR | Drawing List'!O:O,1)</f>
        <v>0</v>
      </c>
      <c r="AV139" s="582">
        <f>COUNTIFS('AR | Drawing List'!$G:$G,"AR-T07-7",'AR | Drawing List'!P:P,1)</f>
        <v>0</v>
      </c>
      <c r="AW139" s="587"/>
      <c r="AX139" s="582">
        <f t="shared" si="715"/>
        <v>0</v>
      </c>
      <c r="AY139" s="582">
        <f>COUNTIFS('AR | Drawing List'!$G:$G,"AR-T07-7",'AR | Drawing List'!R:R,1)</f>
        <v>0</v>
      </c>
      <c r="AZ139" s="582">
        <f>COUNTIFS('AR | Drawing List'!$G:$G,"AR-T07-7",'AR | Drawing List'!S:S,1)</f>
        <v>0</v>
      </c>
      <c r="BA139" s="582">
        <f>COUNTIFS('AR | Drawing List'!$G:$G,"AR-T07-7",'AR | Drawing List'!T:T,1)</f>
        <v>0</v>
      </c>
      <c r="BB139" s="582">
        <f>COUNTIFS('AR | Drawing List'!$G:$G,"AR-T07-7",'AR | Drawing List'!U:U,1)</f>
        <v>0</v>
      </c>
      <c r="BC139" s="599"/>
      <c r="BD139" s="599"/>
      <c r="BE139" s="576">
        <v>0</v>
      </c>
      <c r="BF139" s="588"/>
      <c r="BG139" s="582">
        <f t="shared" si="716"/>
        <v>0</v>
      </c>
      <c r="BH139" s="589">
        <f t="shared" si="717"/>
        <v>0</v>
      </c>
      <c r="BI139" s="567">
        <f t="shared" si="718"/>
        <v>0</v>
      </c>
      <c r="BJ139" s="567">
        <f t="shared" si="719"/>
        <v>0</v>
      </c>
      <c r="BK139" s="514">
        <f t="shared" si="720"/>
        <v>0</v>
      </c>
      <c r="BL139" s="514">
        <f t="shared" si="721"/>
        <v>0</v>
      </c>
      <c r="BM139" s="514">
        <f t="shared" si="722"/>
        <v>0</v>
      </c>
      <c r="BN139" s="514">
        <f t="shared" si="723"/>
        <v>0</v>
      </c>
      <c r="BO139" s="501"/>
      <c r="BP139" s="514">
        <f t="shared" si="724"/>
        <v>0</v>
      </c>
      <c r="BQ139" s="514">
        <f t="shared" si="725"/>
        <v>0</v>
      </c>
      <c r="BR139" s="514">
        <f t="shared" si="726"/>
        <v>0</v>
      </c>
      <c r="BS139" s="514">
        <f t="shared" si="727"/>
        <v>0</v>
      </c>
      <c r="BT139" s="514">
        <f t="shared" si="728"/>
        <v>0</v>
      </c>
      <c r="BU139" s="501"/>
      <c r="BV139" s="571">
        <f t="shared" si="729"/>
        <v>0</v>
      </c>
      <c r="BW139" s="571">
        <f t="shared" si="730"/>
        <v>0</v>
      </c>
      <c r="BX139" s="571">
        <f t="shared" si="731"/>
        <v>0</v>
      </c>
      <c r="BY139" s="605"/>
      <c r="BZ139" s="567">
        <f>COUNTIF('ST | Drawing List'!$G:$G,"ST-T07-7")</f>
        <v>0</v>
      </c>
      <c r="CA139" s="582">
        <f>COUNTIFS('ST | Drawing List'!$G:$G,"ST-T07-7",'ST | Drawing List'!$I:$I,1)</f>
        <v>0</v>
      </c>
      <c r="CB139" s="590">
        <f>COUNTIFS('ST | Drawing List'!$G:$G,"ST-T07-7",'ST | Drawing List'!$K:$K,1)</f>
        <v>0</v>
      </c>
      <c r="CC139" s="582">
        <f>COUNTIFS('ST | Drawing List'!$G:$G,"ST-T07-7",'ST | Drawing List'!L:L,1)</f>
        <v>0</v>
      </c>
      <c r="CD139" s="582">
        <f>COUNTIFS('ST | Drawing List'!$G:$G,"ST-T07-7",'ST | Drawing List'!M:M,1)</f>
        <v>0</v>
      </c>
      <c r="CE139" s="582">
        <f>COUNTIFS('ST | Drawing List'!$G:$G,"ST-T07-7",'ST | Drawing List'!N:N,1)</f>
        <v>0</v>
      </c>
      <c r="CF139" s="582">
        <f>COUNTIFS('ST | Drawing List'!$G:$G,"ST-T07-7",'ST | Drawing List'!O:O,1)</f>
        <v>0</v>
      </c>
      <c r="CG139" s="591"/>
      <c r="CH139" s="590">
        <f>COUNTIFS('ST | Drawing List'!$G:$G,"ST-T07-7",'ST | Drawing List'!$P:$P,1)</f>
        <v>0</v>
      </c>
      <c r="CI139" s="582">
        <f>COUNTIFS('ST | Drawing List'!$G:$G,"ST-T07-7",'ST | Drawing List'!Q:Q,1)</f>
        <v>0</v>
      </c>
      <c r="CJ139" s="582">
        <f>COUNTIFS('ST | Drawing List'!$G:$G,"ST-T07-7",'ST | Drawing List'!R:R,1)</f>
        <v>0</v>
      </c>
      <c r="CK139" s="582">
        <f>COUNTIFS('ST | Drawing List'!$G:$G,"ST-T07-7",'ST | Drawing List'!S:S,1)</f>
        <v>0</v>
      </c>
      <c r="CL139" s="582">
        <f>COUNTIFS('ST | Drawing List'!$G:$G,"ST-T07-7",'ST | Drawing List'!T:T,1)</f>
        <v>0</v>
      </c>
      <c r="CM139" s="588"/>
      <c r="CN139" s="588"/>
      <c r="CO139" s="592">
        <v>0.1</v>
      </c>
      <c r="CP139" s="588"/>
      <c r="CQ139" s="582">
        <f t="shared" si="732"/>
        <v>1.5679999999999999E-2</v>
      </c>
      <c r="CR139" s="589">
        <f t="shared" si="733"/>
        <v>1.5679999999999999E-2</v>
      </c>
      <c r="CS139" s="567">
        <f t="shared" si="734"/>
        <v>1.5679999999999999E-2</v>
      </c>
      <c r="CT139" s="514">
        <f t="shared" si="735"/>
        <v>0</v>
      </c>
      <c r="CU139" s="514">
        <f t="shared" si="736"/>
        <v>0</v>
      </c>
      <c r="CV139" s="514">
        <f t="shared" si="737"/>
        <v>0</v>
      </c>
      <c r="CW139" s="514">
        <f t="shared" si="738"/>
        <v>0</v>
      </c>
      <c r="CX139" s="514">
        <f t="shared" si="739"/>
        <v>0</v>
      </c>
      <c r="CY139" s="501"/>
      <c r="CZ139" s="514">
        <f t="shared" si="740"/>
        <v>0</v>
      </c>
      <c r="DA139" s="514">
        <f t="shared" si="741"/>
        <v>0</v>
      </c>
      <c r="DB139" s="514">
        <f t="shared" si="742"/>
        <v>0</v>
      </c>
      <c r="DC139" s="514">
        <f t="shared" si="743"/>
        <v>0</v>
      </c>
      <c r="DD139" s="514">
        <f t="shared" si="744"/>
        <v>0</v>
      </c>
      <c r="DE139" s="501"/>
      <c r="DF139" s="570">
        <f t="shared" si="745"/>
        <v>1</v>
      </c>
      <c r="DG139" s="570">
        <f t="shared" si="746"/>
        <v>0</v>
      </c>
      <c r="DH139" s="570">
        <f t="shared" si="747"/>
        <v>0</v>
      </c>
      <c r="DI139" s="605"/>
      <c r="DJ139" s="567">
        <f>COUNTIF('MEP | Drawing List'!$G:$G,"MEP-T01-07-7")</f>
        <v>1</v>
      </c>
      <c r="DK139" s="582">
        <f>COUNTIFS('MEP | Drawing List'!$G:$G,"MEP-T01-07-7",'MEP | Drawing List'!$I:$I,1)</f>
        <v>1</v>
      </c>
      <c r="DL139" s="582">
        <f>COUNTIFS('MEP | Drawing List'!$G:$G,"MEP-T01-07-7",'MEP | Drawing List'!$K:$K,1)</f>
        <v>0</v>
      </c>
      <c r="DM139" s="567">
        <f>COUNTIFS('MEP | Drawing List'!$G:$G,"MEP-T01-07-7",'MEP | Drawing List'!L:L,1)</f>
        <v>0</v>
      </c>
      <c r="DN139" s="567">
        <f>COUNTIFS('MEP | Drawing List'!$G:$G,"MEP-T01-07-7",'MEP | Drawing List'!M:M,1)</f>
        <v>0</v>
      </c>
      <c r="DO139" s="567">
        <f>COUNTIFS('MEP | Drawing List'!$G:$G,"MEP-T01-07-7",'MEP | Drawing List'!N:N,1)</f>
        <v>0</v>
      </c>
      <c r="DP139" s="567">
        <f>COUNTIFS('MEP | Drawing List'!$G:$G,"MEP-T01-07-7",'MEP | Drawing List'!O:O,1)</f>
        <v>0</v>
      </c>
      <c r="DQ139" s="568"/>
      <c r="DR139" s="582">
        <f>COUNTIFS('MEP | Drawing List'!$G:$G,"MEP-T01-07-7",'MEP | Drawing List'!$P:$P,1)</f>
        <v>0</v>
      </c>
      <c r="DS139" s="567">
        <f>COUNTIFS('MEP | Drawing List'!$G:$G,"MEP-T01-07-7",'MEP | Drawing List'!Q:Q,1)</f>
        <v>0</v>
      </c>
      <c r="DT139" s="567">
        <f>COUNTIFS('MEP | Drawing List'!$G:$G,"MEP-T01-07-7",'MEP | Drawing List'!R:R,1)</f>
        <v>0</v>
      </c>
      <c r="DU139" s="567">
        <f>COUNTIFS('MEP | Drawing List'!$G:$G,"MEP-T01-07-7",'MEP | Drawing List'!S:S,1)</f>
        <v>0</v>
      </c>
      <c r="DV139" s="567">
        <f>COUNTIFS('MEP | Drawing List'!$G:$G,"MEP-T01-07-7",'MEP | Drawing List'!T:T,1)</f>
        <v>0</v>
      </c>
      <c r="DW139" s="588"/>
      <c r="DX139" s="588"/>
      <c r="DY139" s="592">
        <v>0</v>
      </c>
      <c r="DZ139" s="588"/>
      <c r="EA139" s="509">
        <v>0</v>
      </c>
      <c r="EB139" s="589">
        <f t="shared" si="748"/>
        <v>0</v>
      </c>
      <c r="EC139" s="501"/>
      <c r="ED139" s="501"/>
      <c r="EE139" s="501"/>
      <c r="EF139" s="501"/>
      <c r="EG139" s="501"/>
      <c r="EH139" s="501"/>
      <c r="EI139" s="501"/>
      <c r="EJ139" s="501"/>
      <c r="EK139" s="501"/>
      <c r="EL139" s="501"/>
      <c r="EM139" s="501"/>
      <c r="EN139" s="501"/>
      <c r="EO139" s="501"/>
      <c r="EP139" s="513"/>
      <c r="EQ139" s="513"/>
      <c r="ER139" s="513"/>
      <c r="ES139" s="605"/>
      <c r="ET139" s="567">
        <f>COUNTIF('LS | Drawing List'!$G:$G,"LS-T07-7")</f>
        <v>0</v>
      </c>
      <c r="EU139" s="582">
        <f>COUNTIFS('LS | Drawing List'!$G:$G,"LS-T07-7",'LS | Drawing List'!$I:$I,1)</f>
        <v>0</v>
      </c>
      <c r="EV139" s="582">
        <f>COUNTIFS('LS | Drawing List'!$G:$G,"LS-T07-7",'LS | Drawing List'!$K:$K,1)</f>
        <v>0</v>
      </c>
      <c r="EW139" s="567">
        <f>COUNTIFS('LS | Drawing List'!$G:$G,"LS-T07-7",'LS | Drawing List'!L:L,1)</f>
        <v>0</v>
      </c>
      <c r="EX139" s="567">
        <f>COUNTIFS('LS | Drawing List'!$G:$G,"LS-T07-7",'LS | Drawing List'!M:M,1)</f>
        <v>0</v>
      </c>
      <c r="EY139" s="567">
        <f>COUNTIFS('LS | Drawing List'!$G:$G,"LS-T07-7",'LS | Drawing List'!N:N,1)</f>
        <v>0</v>
      </c>
      <c r="EZ139" s="567">
        <f>COUNTIFS('LS | Drawing List'!$G:$G,"LS-T07-7",'LS | Drawing List'!O:O,1)</f>
        <v>0</v>
      </c>
      <c r="FA139" s="568"/>
      <c r="FB139" s="582">
        <f>COUNTIFS('LS | Drawing List'!$G:$G,"LS-T07-7",'LS | Drawing List'!$P:$P,1)</f>
        <v>0</v>
      </c>
      <c r="FC139" s="567">
        <f>COUNTIFS('LS | Drawing List'!$G:$G,"LS-T07-7",'LS | Drawing List'!Q:Q,1)</f>
        <v>0</v>
      </c>
      <c r="FD139" s="567">
        <f>COUNTIFS('LS | Drawing List'!$G:$G,"LS-T07-7",'LS | Drawing List'!R:R,1)</f>
        <v>0</v>
      </c>
      <c r="FE139" s="567">
        <f>COUNTIFS('LS | Drawing List'!$G:$G,"LS-T07-7",'LS | Drawing List'!S:S,1)</f>
        <v>0</v>
      </c>
      <c r="FF139" s="567">
        <f>COUNTIFS('LS | Drawing List'!$G:$G,"LS-T07-7",'LS | Drawing List'!T:T,1)</f>
        <v>0</v>
      </c>
    </row>
    <row r="140" spans="2:163" ht="14.25" outlineLevel="2">
      <c r="B140" s="564" t="s">
        <v>145</v>
      </c>
      <c r="C140" s="565">
        <v>8</v>
      </c>
      <c r="D140" s="566" t="s">
        <v>67</v>
      </c>
      <c r="F140" s="500">
        <f t="shared" si="696"/>
        <v>0.1910075</v>
      </c>
      <c r="G140" s="500">
        <f t="shared" si="697"/>
        <v>0.1910075</v>
      </c>
      <c r="H140" s="514">
        <f t="shared" si="698"/>
        <v>0</v>
      </c>
      <c r="I140" s="514">
        <f t="shared" si="669"/>
        <v>0</v>
      </c>
      <c r="J140" s="514">
        <f t="shared" si="670"/>
        <v>0</v>
      </c>
      <c r="K140" s="514">
        <f t="shared" si="671"/>
        <v>0</v>
      </c>
      <c r="L140" s="514">
        <f t="shared" si="672"/>
        <v>0</v>
      </c>
      <c r="M140" s="567">
        <f t="shared" si="673"/>
        <v>0</v>
      </c>
      <c r="N140" s="568"/>
      <c r="O140" s="514">
        <f t="shared" si="674"/>
        <v>0</v>
      </c>
      <c r="P140" s="514">
        <f t="shared" si="675"/>
        <v>0</v>
      </c>
      <c r="Q140" s="514">
        <f t="shared" si="676"/>
        <v>0</v>
      </c>
      <c r="R140" s="514">
        <f t="shared" si="677"/>
        <v>0</v>
      </c>
      <c r="S140" s="514">
        <f t="shared" si="678"/>
        <v>0</v>
      </c>
      <c r="U140" s="569">
        <v>0.05</v>
      </c>
      <c r="V140" s="503"/>
      <c r="W140" s="500">
        <f t="shared" si="699"/>
        <v>0.1200875</v>
      </c>
      <c r="X140" s="500">
        <f t="shared" si="700"/>
        <v>0.1200875</v>
      </c>
      <c r="Y140" s="514">
        <f t="shared" si="701"/>
        <v>0.1200875</v>
      </c>
      <c r="Z140" s="514">
        <f t="shared" si="702"/>
        <v>0</v>
      </c>
      <c r="AA140" s="514">
        <f t="shared" si="703"/>
        <v>0</v>
      </c>
      <c r="AB140" s="514">
        <f t="shared" si="704"/>
        <v>0</v>
      </c>
      <c r="AC140" s="514">
        <f t="shared" si="705"/>
        <v>0</v>
      </c>
      <c r="AD140" s="567">
        <f t="shared" si="706"/>
        <v>0</v>
      </c>
      <c r="AE140" s="568"/>
      <c r="AF140" s="514">
        <f t="shared" si="707"/>
        <v>0</v>
      </c>
      <c r="AG140" s="514">
        <f t="shared" si="708"/>
        <v>0</v>
      </c>
      <c r="AH140" s="514">
        <f t="shared" si="709"/>
        <v>0</v>
      </c>
      <c r="AI140" s="514">
        <f t="shared" si="710"/>
        <v>0</v>
      </c>
      <c r="AJ140" s="514">
        <f t="shared" si="711"/>
        <v>0</v>
      </c>
      <c r="AK140" s="501"/>
      <c r="AL140" s="570">
        <f t="shared" si="712"/>
        <v>1</v>
      </c>
      <c r="AM140" s="570">
        <f t="shared" si="713"/>
        <v>0</v>
      </c>
      <c r="AN140" s="570">
        <f t="shared" si="714"/>
        <v>0</v>
      </c>
      <c r="AO140" s="518"/>
      <c r="AP140" s="514">
        <f>COUNTIF('AR | Drawing List'!$G:$G,"AR-T07-8")</f>
        <v>2</v>
      </c>
      <c r="AQ140" s="506">
        <f>COUNTIFS('AR | Drawing List'!$G:$G,"AR-T07-8",'AR | Drawing List'!$I:$I,1)</f>
        <v>2</v>
      </c>
      <c r="AR140" s="506">
        <f t="shared" si="684"/>
        <v>0</v>
      </c>
      <c r="AS140" s="506">
        <f>COUNTIFS('AR | Drawing List'!$G:$G,"AR-T07-8",'AR | Drawing List'!M:M,1)</f>
        <v>0</v>
      </c>
      <c r="AT140" s="506">
        <f>COUNTIFS('AR | Drawing List'!$G:$G,"AR-T07-8",'AR | Drawing List'!N:N,1)</f>
        <v>0</v>
      </c>
      <c r="AU140" s="506">
        <f>COUNTIFS('AR | Drawing List'!$G:$G,"AR-T07-8",'AR | Drawing List'!O:O,1)</f>
        <v>0</v>
      </c>
      <c r="AV140" s="506">
        <f>COUNTIFS('AR | Drawing List'!$G:$G,"AR-T07-8",'AR | Drawing List'!P:P,1)</f>
        <v>0</v>
      </c>
      <c r="AW140" s="466"/>
      <c r="AX140" s="506">
        <f t="shared" si="715"/>
        <v>0</v>
      </c>
      <c r="AY140" s="506">
        <f>COUNTIFS('AR | Drawing List'!$G:$G,"AR-T07-8",'AR | Drawing List'!R:R,1)</f>
        <v>0</v>
      </c>
      <c r="AZ140" s="506">
        <f>COUNTIFS('AR | Drawing List'!$G:$G,"AR-T07-8",'AR | Drawing List'!S:S,1)</f>
        <v>0</v>
      </c>
      <c r="BA140" s="506">
        <f>COUNTIFS('AR | Drawing List'!$G:$G,"AR-T07-8",'AR | Drawing List'!T:T,1)</f>
        <v>0</v>
      </c>
      <c r="BB140" s="506">
        <f>COUNTIFS('AR | Drawing List'!$G:$G,"AR-T07-8",'AR | Drawing List'!U:U,1)</f>
        <v>0</v>
      </c>
      <c r="BC140" s="551"/>
      <c r="BD140" s="551"/>
      <c r="BE140" s="511">
        <v>0.05</v>
      </c>
      <c r="BF140" s="508"/>
      <c r="BG140" s="506">
        <f t="shared" si="716"/>
        <v>4.7399999999999998E-2</v>
      </c>
      <c r="BH140" s="510">
        <f t="shared" si="717"/>
        <v>4.7399999999999998E-2</v>
      </c>
      <c r="BI140" s="514">
        <f t="shared" si="718"/>
        <v>4.7399999999999998E-2</v>
      </c>
      <c r="BJ140" s="514">
        <f t="shared" si="719"/>
        <v>0</v>
      </c>
      <c r="BK140" s="514">
        <f t="shared" si="720"/>
        <v>0</v>
      </c>
      <c r="BL140" s="514">
        <f t="shared" si="721"/>
        <v>0</v>
      </c>
      <c r="BM140" s="514">
        <f t="shared" si="722"/>
        <v>0</v>
      </c>
      <c r="BN140" s="514">
        <f t="shared" si="723"/>
        <v>0</v>
      </c>
      <c r="BO140" s="501"/>
      <c r="BP140" s="514">
        <f t="shared" si="724"/>
        <v>0</v>
      </c>
      <c r="BQ140" s="514">
        <f t="shared" si="725"/>
        <v>0</v>
      </c>
      <c r="BR140" s="514">
        <f t="shared" si="726"/>
        <v>0</v>
      </c>
      <c r="BS140" s="514">
        <f t="shared" si="727"/>
        <v>0</v>
      </c>
      <c r="BT140" s="514">
        <f t="shared" si="728"/>
        <v>0</v>
      </c>
      <c r="BU140" s="501"/>
      <c r="BV140" s="571">
        <f t="shared" si="729"/>
        <v>1</v>
      </c>
      <c r="BW140" s="571">
        <f t="shared" si="730"/>
        <v>0</v>
      </c>
      <c r="BX140" s="571">
        <f t="shared" si="731"/>
        <v>0</v>
      </c>
      <c r="BY140" s="518"/>
      <c r="BZ140" s="514">
        <f>COUNTIF('ST | Drawing List'!$G:$G,"ST-T07-8")</f>
        <v>6</v>
      </c>
      <c r="CA140" s="506">
        <f>COUNTIFS('ST | Drawing List'!$G:$G,"ST-T07-8",'ST | Drawing List'!$I:$I,1)</f>
        <v>6</v>
      </c>
      <c r="CB140" s="572">
        <f>COUNTIFS('ST | Drawing List'!$G:$G,"ST-T07-8",'ST | Drawing List'!$K:$K,1)</f>
        <v>0</v>
      </c>
      <c r="CC140" s="506">
        <f>COUNTIFS('ST | Drawing List'!$G:$G,"ST-T07-8",'ST | Drawing List'!L:L,1)</f>
        <v>0</v>
      </c>
      <c r="CD140" s="506">
        <f>COUNTIFS('ST | Drawing List'!$G:$G,"ST-T07-8",'ST | Drawing List'!M:M,1)</f>
        <v>0</v>
      </c>
      <c r="CE140" s="506">
        <f>COUNTIFS('ST | Drawing List'!$G:$G,"ST-T07-8",'ST | Drawing List'!N:N,1)</f>
        <v>0</v>
      </c>
      <c r="CF140" s="506">
        <f>COUNTIFS('ST | Drawing List'!$G:$G,"ST-T07-8",'ST | Drawing List'!O:O,1)</f>
        <v>0</v>
      </c>
      <c r="CG140" s="471"/>
      <c r="CH140" s="572">
        <f>COUNTIFS('ST | Drawing List'!$G:$G,"ST-T07-8",'ST | Drawing List'!$P:$P,1)</f>
        <v>0</v>
      </c>
      <c r="CI140" s="506">
        <f>COUNTIFS('ST | Drawing List'!$G:$G,"ST-T07-8",'ST | Drawing List'!Q:Q,1)</f>
        <v>0</v>
      </c>
      <c r="CJ140" s="506">
        <f>COUNTIFS('ST | Drawing List'!$G:$G,"ST-T07-8",'ST | Drawing List'!R:R,1)</f>
        <v>0</v>
      </c>
      <c r="CK140" s="506">
        <f>COUNTIFS('ST | Drawing List'!$G:$G,"ST-T07-8",'ST | Drawing List'!S:S,1)</f>
        <v>0</v>
      </c>
      <c r="CL140" s="506">
        <f>COUNTIFS('ST | Drawing List'!$G:$G,"ST-T07-8",'ST | Drawing List'!T:T,1)</f>
        <v>0</v>
      </c>
      <c r="CM140" s="508"/>
      <c r="CN140" s="508"/>
      <c r="CO140" s="573">
        <v>0.15</v>
      </c>
      <c r="CP140" s="508"/>
      <c r="CQ140" s="506">
        <f t="shared" si="732"/>
        <v>2.3519999999999999E-2</v>
      </c>
      <c r="CR140" s="510">
        <f t="shared" si="733"/>
        <v>2.3519999999999999E-2</v>
      </c>
      <c r="CS140" s="514">
        <f t="shared" si="734"/>
        <v>2.3519999999999999E-2</v>
      </c>
      <c r="CT140" s="514">
        <f t="shared" si="735"/>
        <v>0</v>
      </c>
      <c r="CU140" s="514">
        <f t="shared" si="736"/>
        <v>0</v>
      </c>
      <c r="CV140" s="514">
        <f t="shared" si="737"/>
        <v>0</v>
      </c>
      <c r="CW140" s="514">
        <f t="shared" si="738"/>
        <v>0</v>
      </c>
      <c r="CX140" s="514">
        <f t="shared" si="739"/>
        <v>0</v>
      </c>
      <c r="CY140" s="501"/>
      <c r="CZ140" s="514">
        <f t="shared" si="740"/>
        <v>0</v>
      </c>
      <c r="DA140" s="514">
        <f t="shared" si="741"/>
        <v>0</v>
      </c>
      <c r="DB140" s="514">
        <f t="shared" si="742"/>
        <v>0</v>
      </c>
      <c r="DC140" s="514">
        <f t="shared" si="743"/>
        <v>0</v>
      </c>
      <c r="DD140" s="514">
        <f t="shared" si="744"/>
        <v>0</v>
      </c>
      <c r="DE140" s="501"/>
      <c r="DF140" s="570">
        <f t="shared" si="745"/>
        <v>1</v>
      </c>
      <c r="DG140" s="570">
        <f t="shared" si="746"/>
        <v>0</v>
      </c>
      <c r="DH140" s="570">
        <f t="shared" si="747"/>
        <v>0</v>
      </c>
      <c r="DI140" s="518"/>
      <c r="DJ140" s="514">
        <f>COUNTIF('MEP | Drawing List'!$G:$G,"MEP-T01-07-8")</f>
        <v>16</v>
      </c>
      <c r="DK140" s="506">
        <f>COUNTIFS('MEP | Drawing List'!$G:$G,"MEP-T01-07-8",'MEP | Drawing List'!$I:$I,1)</f>
        <v>16</v>
      </c>
      <c r="DL140" s="506">
        <f>COUNTIFS('MEP | Drawing List'!$G:$G,"MEP-T01-07-8",'MEP | Drawing List'!$K:$K,1)</f>
        <v>0</v>
      </c>
      <c r="DM140" s="514">
        <f>COUNTIFS('MEP | Drawing List'!$G:$G,"MEP-T01-07-8",'MEP | Drawing List'!L:L,1)</f>
        <v>0</v>
      </c>
      <c r="DN140" s="514">
        <f>COUNTIFS('MEP | Drawing List'!$G:$G,"MEP-T01-07-8",'MEP | Drawing List'!M:M,1)</f>
        <v>0</v>
      </c>
      <c r="DO140" s="514">
        <f>COUNTIFS('MEP | Drawing List'!$G:$G,"MEP-T01-07-8",'MEP | Drawing List'!N:N,1)</f>
        <v>0</v>
      </c>
      <c r="DP140" s="514">
        <f>COUNTIFS('MEP | Drawing List'!$G:$G,"MEP-T01-07-8",'MEP | Drawing List'!O:O,1)</f>
        <v>0</v>
      </c>
      <c r="DQ140" s="501"/>
      <c r="DR140" s="506">
        <f>COUNTIFS('MEP | Drawing List'!$G:$G,"MEP-T01-07-8",'MEP | Drawing List'!$P:$P,1)</f>
        <v>0</v>
      </c>
      <c r="DS140" s="514">
        <f>COUNTIFS('MEP | Drawing List'!$G:$G,"MEP-T01-07-8",'MEP | Drawing List'!Q:Q,1)</f>
        <v>0</v>
      </c>
      <c r="DT140" s="514">
        <f>COUNTIFS('MEP | Drawing List'!$G:$G,"MEP-T01-07-8",'MEP | Drawing List'!R:R,1)</f>
        <v>0</v>
      </c>
      <c r="DU140" s="514">
        <f>COUNTIFS('MEP | Drawing List'!$G:$G,"MEP-T01-07-8",'MEP | Drawing List'!S:S,1)</f>
        <v>0</v>
      </c>
      <c r="DV140" s="514">
        <f>COUNTIFS('MEP | Drawing List'!$G:$G,"MEP-T01-07-8",'MEP | Drawing List'!T:T,1)</f>
        <v>0</v>
      </c>
      <c r="DW140" s="508"/>
      <c r="DX140" s="508"/>
      <c r="DY140" s="511">
        <v>0</v>
      </c>
      <c r="DZ140" s="508"/>
      <c r="EA140" s="509">
        <v>0</v>
      </c>
      <c r="EB140" s="510">
        <f t="shared" si="748"/>
        <v>0</v>
      </c>
      <c r="EC140" s="501"/>
      <c r="ED140" s="501"/>
      <c r="EE140" s="501"/>
      <c r="EF140" s="501"/>
      <c r="EG140" s="501"/>
      <c r="EH140" s="501"/>
      <c r="EI140" s="501"/>
      <c r="EJ140" s="501"/>
      <c r="EK140" s="501"/>
      <c r="EL140" s="501"/>
      <c r="EM140" s="501"/>
      <c r="EN140" s="501"/>
      <c r="EO140" s="501"/>
      <c r="EP140" s="513"/>
      <c r="EQ140" s="513"/>
      <c r="ER140" s="513"/>
      <c r="ES140" s="518"/>
      <c r="ET140" s="514">
        <f>COUNTIF('LS | Drawing List'!$G:$G,"LS-T07-8")</f>
        <v>0</v>
      </c>
      <c r="EU140" s="506">
        <f>COUNTIFS('LS | Drawing List'!$G:$G,"LS-T07-8",'LS | Drawing List'!$I:$I,1)</f>
        <v>0</v>
      </c>
      <c r="EV140" s="506">
        <f>COUNTIFS('LS | Drawing List'!$G:$G,"LS-T07-8",'LS | Drawing List'!$K:$K,1)</f>
        <v>0</v>
      </c>
      <c r="EW140" s="514">
        <f>COUNTIFS('LS | Drawing List'!$G:$G,"LS-T07-8",'LS | Drawing List'!L:L,1)</f>
        <v>0</v>
      </c>
      <c r="EX140" s="514">
        <f>COUNTIFS('LS | Drawing List'!$G:$G,"LS-T07-8",'LS | Drawing List'!M:M,1)</f>
        <v>0</v>
      </c>
      <c r="EY140" s="514">
        <f>COUNTIFS('LS | Drawing List'!$G:$G,"LS-T07-8",'LS | Drawing List'!N:N,1)</f>
        <v>0</v>
      </c>
      <c r="EZ140" s="514">
        <f>COUNTIFS('LS | Drawing List'!$G:$G,"LS-T07-8",'LS | Drawing List'!O:O,1)</f>
        <v>0</v>
      </c>
      <c r="FA140" s="501"/>
      <c r="FB140" s="506">
        <f>COUNTIFS('LS | Drawing List'!$G:$G,"LS-T07-8",'LS | Drawing List'!$P:$P,1)</f>
        <v>0</v>
      </c>
      <c r="FC140" s="514">
        <f>COUNTIFS('LS | Drawing List'!$G:$G,"LS-T07-8",'LS | Drawing List'!Q:Q,1)</f>
        <v>0</v>
      </c>
      <c r="FD140" s="514">
        <f>COUNTIFS('LS | Drawing List'!$G:$G,"LS-T07-8",'LS | Drawing List'!R:R,1)</f>
        <v>0</v>
      </c>
      <c r="FE140" s="514">
        <f>COUNTIFS('LS | Drawing List'!$G:$G,"LS-T07-8",'LS | Drawing List'!S:S,1)</f>
        <v>0</v>
      </c>
      <c r="FF140" s="514">
        <f>COUNTIFS('LS | Drawing List'!$G:$G,"LS-T07-8",'LS | Drawing List'!T:T,1)</f>
        <v>0</v>
      </c>
    </row>
    <row r="141" spans="2:163" ht="14.25" outlineLevel="2">
      <c r="B141" s="564" t="s">
        <v>146</v>
      </c>
      <c r="C141" s="565">
        <v>9</v>
      </c>
      <c r="D141" s="566" t="s">
        <v>69</v>
      </c>
      <c r="F141" s="500">
        <f t="shared" si="696"/>
        <v>0.17836374999999999</v>
      </c>
      <c r="G141" s="500">
        <f t="shared" si="697"/>
        <v>0.17836374999999999</v>
      </c>
      <c r="H141" s="514">
        <f t="shared" si="698"/>
        <v>0</v>
      </c>
      <c r="I141" s="514">
        <f t="shared" si="669"/>
        <v>0</v>
      </c>
      <c r="J141" s="514">
        <f t="shared" si="670"/>
        <v>0</v>
      </c>
      <c r="K141" s="514">
        <f t="shared" si="671"/>
        <v>0</v>
      </c>
      <c r="L141" s="514">
        <f t="shared" si="672"/>
        <v>0</v>
      </c>
      <c r="M141" s="567">
        <f t="shared" si="673"/>
        <v>0</v>
      </c>
      <c r="N141" s="568"/>
      <c r="O141" s="514">
        <f t="shared" si="674"/>
        <v>0</v>
      </c>
      <c r="P141" s="514">
        <f t="shared" si="675"/>
        <v>0</v>
      </c>
      <c r="Q141" s="514">
        <f t="shared" si="676"/>
        <v>0</v>
      </c>
      <c r="R141" s="514">
        <f t="shared" si="677"/>
        <v>0</v>
      </c>
      <c r="S141" s="514">
        <f t="shared" si="678"/>
        <v>0</v>
      </c>
      <c r="U141" s="569">
        <v>2.5000000000000001E-2</v>
      </c>
      <c r="V141" s="503"/>
      <c r="W141" s="500">
        <f t="shared" si="699"/>
        <v>6.004375E-2</v>
      </c>
      <c r="X141" s="500">
        <f t="shared" si="700"/>
        <v>6.004375E-2</v>
      </c>
      <c r="Y141" s="514">
        <f t="shared" si="701"/>
        <v>6.004375E-2</v>
      </c>
      <c r="Z141" s="514">
        <f t="shared" si="702"/>
        <v>0</v>
      </c>
      <c r="AA141" s="514">
        <f t="shared" si="703"/>
        <v>0</v>
      </c>
      <c r="AB141" s="514">
        <f t="shared" si="704"/>
        <v>0</v>
      </c>
      <c r="AC141" s="514">
        <f t="shared" si="705"/>
        <v>0</v>
      </c>
      <c r="AD141" s="567">
        <f t="shared" si="706"/>
        <v>0</v>
      </c>
      <c r="AE141" s="568"/>
      <c r="AF141" s="514">
        <f t="shared" si="707"/>
        <v>0</v>
      </c>
      <c r="AG141" s="514">
        <f t="shared" si="708"/>
        <v>0</v>
      </c>
      <c r="AH141" s="514">
        <f t="shared" si="709"/>
        <v>0</v>
      </c>
      <c r="AI141" s="514">
        <f t="shared" si="710"/>
        <v>0</v>
      </c>
      <c r="AJ141" s="514">
        <f t="shared" si="711"/>
        <v>0</v>
      </c>
      <c r="AK141" s="501"/>
      <c r="AL141" s="570">
        <f t="shared" si="712"/>
        <v>1</v>
      </c>
      <c r="AM141" s="570">
        <f t="shared" si="713"/>
        <v>0</v>
      </c>
      <c r="AN141" s="570">
        <f t="shared" si="714"/>
        <v>0</v>
      </c>
      <c r="AO141" s="518"/>
      <c r="AP141" s="514">
        <f>COUNTIF('AR | Drawing List'!$G:$G,"AR-T07-9")</f>
        <v>1</v>
      </c>
      <c r="AQ141" s="506">
        <f>COUNTIFS('AR | Drawing List'!$G:$G,"AR-T07-9",'AR | Drawing List'!$I:$I,1)</f>
        <v>1</v>
      </c>
      <c r="AR141" s="506">
        <f t="shared" si="684"/>
        <v>0</v>
      </c>
      <c r="AS141" s="506">
        <f>COUNTIFS('AR | Drawing List'!$G:$G,"AR-T07-9",'AR | Drawing List'!M:M,1)</f>
        <v>0</v>
      </c>
      <c r="AT141" s="506">
        <f>COUNTIFS('AR | Drawing List'!$G:$G,"AR-T07-9",'AR | Drawing List'!N:N,1)</f>
        <v>0</v>
      </c>
      <c r="AU141" s="506">
        <f>COUNTIFS('AR | Drawing List'!$G:$G,"AR-T07-9",'AR | Drawing List'!O:O,1)</f>
        <v>0</v>
      </c>
      <c r="AV141" s="506">
        <f>COUNTIFS('AR | Drawing List'!$G:$G,"AR-T07-9",'AR | Drawing List'!P:P,1)</f>
        <v>0</v>
      </c>
      <c r="AW141" s="466"/>
      <c r="AX141" s="506">
        <f t="shared" si="715"/>
        <v>0</v>
      </c>
      <c r="AY141" s="506">
        <f>COUNTIFS('AR | Drawing List'!$G:$G,"AR-T07-9",'AR | Drawing List'!R:R,1)</f>
        <v>0</v>
      </c>
      <c r="AZ141" s="506">
        <f>COUNTIFS('AR | Drawing List'!$G:$G,"AR-T07-9",'AR | Drawing List'!S:S,1)</f>
        <v>0</v>
      </c>
      <c r="BA141" s="506">
        <f>COUNTIFS('AR | Drawing List'!$G:$G,"AR-T07-9",'AR | Drawing List'!T:T,1)</f>
        <v>0</v>
      </c>
      <c r="BB141" s="506">
        <f>COUNTIFS('AR | Drawing List'!$G:$G,"AR-T07-9",'AR | Drawing List'!U:U,1)</f>
        <v>0</v>
      </c>
      <c r="BC141" s="551"/>
      <c r="BD141" s="551"/>
      <c r="BE141" s="592">
        <v>0.1</v>
      </c>
      <c r="BF141" s="508"/>
      <c r="BG141" s="506">
        <f t="shared" si="716"/>
        <v>9.4799999999999995E-2</v>
      </c>
      <c r="BH141" s="510">
        <f t="shared" si="717"/>
        <v>9.4799999999999995E-2</v>
      </c>
      <c r="BI141" s="514">
        <f t="shared" si="718"/>
        <v>9.4799999999999995E-2</v>
      </c>
      <c r="BJ141" s="514">
        <f t="shared" si="719"/>
        <v>0</v>
      </c>
      <c r="BK141" s="514">
        <f t="shared" si="720"/>
        <v>0</v>
      </c>
      <c r="BL141" s="514">
        <f t="shared" si="721"/>
        <v>0</v>
      </c>
      <c r="BM141" s="514">
        <f t="shared" si="722"/>
        <v>0</v>
      </c>
      <c r="BN141" s="514">
        <f t="shared" si="723"/>
        <v>0</v>
      </c>
      <c r="BO141" s="501"/>
      <c r="BP141" s="514">
        <f t="shared" si="724"/>
        <v>0</v>
      </c>
      <c r="BQ141" s="514">
        <f t="shared" si="725"/>
        <v>0</v>
      </c>
      <c r="BR141" s="514">
        <f t="shared" si="726"/>
        <v>0</v>
      </c>
      <c r="BS141" s="514">
        <f t="shared" si="727"/>
        <v>0</v>
      </c>
      <c r="BT141" s="514">
        <f t="shared" si="728"/>
        <v>0</v>
      </c>
      <c r="BU141" s="501"/>
      <c r="BV141" s="571">
        <f t="shared" si="729"/>
        <v>1</v>
      </c>
      <c r="BW141" s="571">
        <f t="shared" si="730"/>
        <v>0</v>
      </c>
      <c r="BX141" s="571">
        <f t="shared" si="731"/>
        <v>0</v>
      </c>
      <c r="BY141" s="518"/>
      <c r="BZ141" s="514">
        <f>COUNTIF('ST | Drawing List'!$G:$G,"ST-T07-9")</f>
        <v>14</v>
      </c>
      <c r="CA141" s="506">
        <f>COUNTIFS('ST | Drawing List'!$G:$G,"ST-T07-9",'ST | Drawing List'!$I:$I,1)</f>
        <v>14</v>
      </c>
      <c r="CB141" s="572">
        <f>COUNTIFS('ST | Drawing List'!$G:$G,"ST-T07-9",'ST | Drawing List'!$K:$K,1)</f>
        <v>0</v>
      </c>
      <c r="CC141" s="506">
        <f>COUNTIFS('ST | Drawing List'!$G:$G,"ST-T07-9",'ST | Drawing List'!L:L,1)</f>
        <v>0</v>
      </c>
      <c r="CD141" s="506">
        <f>COUNTIFS('ST | Drawing List'!$G:$G,"ST-T07-9",'ST | Drawing List'!M:M,1)</f>
        <v>0</v>
      </c>
      <c r="CE141" s="506">
        <f>COUNTIFS('ST | Drawing List'!$G:$G,"ST-T07-9",'ST | Drawing List'!N:N,1)</f>
        <v>0</v>
      </c>
      <c r="CF141" s="506">
        <f>COUNTIFS('ST | Drawing List'!$G:$G,"ST-T07-9",'ST | Drawing List'!O:O,1)</f>
        <v>0</v>
      </c>
      <c r="CG141" s="471"/>
      <c r="CH141" s="572">
        <f>COUNTIFS('ST | Drawing List'!$G:$G,"ST-T07-9",'ST | Drawing List'!$P:$P,1)</f>
        <v>0</v>
      </c>
      <c r="CI141" s="506">
        <f>COUNTIFS('ST | Drawing List'!$G:$G,"ST-T07-9",'ST | Drawing List'!Q:Q,1)</f>
        <v>0</v>
      </c>
      <c r="CJ141" s="506">
        <f>COUNTIFS('ST | Drawing List'!$G:$G,"ST-T07-9",'ST | Drawing List'!R:R,1)</f>
        <v>0</v>
      </c>
      <c r="CK141" s="506">
        <f>COUNTIFS('ST | Drawing List'!$G:$G,"ST-T07-9",'ST | Drawing List'!S:S,1)</f>
        <v>0</v>
      </c>
      <c r="CL141" s="506">
        <f>COUNTIFS('ST | Drawing List'!$G:$G,"ST-T07-9",'ST | Drawing List'!T:T,1)</f>
        <v>0</v>
      </c>
      <c r="CM141" s="508"/>
      <c r="CN141" s="508"/>
      <c r="CO141" s="592">
        <v>0.15</v>
      </c>
      <c r="CP141" s="508"/>
      <c r="CQ141" s="506">
        <f t="shared" si="732"/>
        <v>2.3519999999999999E-2</v>
      </c>
      <c r="CR141" s="510">
        <f t="shared" si="733"/>
        <v>2.3519999999999999E-2</v>
      </c>
      <c r="CS141" s="514">
        <f t="shared" si="734"/>
        <v>2.3519999999999999E-2</v>
      </c>
      <c r="CT141" s="514">
        <f t="shared" si="735"/>
        <v>0</v>
      </c>
      <c r="CU141" s="514">
        <f t="shared" si="736"/>
        <v>0</v>
      </c>
      <c r="CV141" s="514">
        <f t="shared" si="737"/>
        <v>0</v>
      </c>
      <c r="CW141" s="514">
        <f t="shared" si="738"/>
        <v>0</v>
      </c>
      <c r="CX141" s="514">
        <f t="shared" si="739"/>
        <v>0</v>
      </c>
      <c r="CY141" s="501"/>
      <c r="CZ141" s="514">
        <f t="shared" si="740"/>
        <v>0</v>
      </c>
      <c r="DA141" s="514">
        <f t="shared" si="741"/>
        <v>0</v>
      </c>
      <c r="DB141" s="514">
        <f t="shared" si="742"/>
        <v>0</v>
      </c>
      <c r="DC141" s="514">
        <f t="shared" si="743"/>
        <v>0</v>
      </c>
      <c r="DD141" s="514">
        <f t="shared" si="744"/>
        <v>0</v>
      </c>
      <c r="DE141" s="501"/>
      <c r="DF141" s="570">
        <f t="shared" si="745"/>
        <v>1</v>
      </c>
      <c r="DG141" s="570">
        <f t="shared" si="746"/>
        <v>0</v>
      </c>
      <c r="DH141" s="570">
        <f t="shared" si="747"/>
        <v>0</v>
      </c>
      <c r="DI141" s="518"/>
      <c r="DJ141" s="514">
        <f>COUNTIF('MEP | Drawing List'!$G:$G,"MEP-T01-07-9")</f>
        <v>10</v>
      </c>
      <c r="DK141" s="506">
        <f>COUNTIFS('MEP | Drawing List'!$G:$G,"MEP-T01-07-9",'MEP | Drawing List'!$I:$I,1)</f>
        <v>10</v>
      </c>
      <c r="DL141" s="506">
        <f>COUNTIFS('MEP | Drawing List'!$G:$G,"MEP-T01-07-9",'MEP | Drawing List'!$K:$K,1)</f>
        <v>0</v>
      </c>
      <c r="DM141" s="514">
        <f>COUNTIFS('MEP | Drawing List'!$G:$G,"MEP-T01-07-9",'MEP | Drawing List'!L:L,1)</f>
        <v>0</v>
      </c>
      <c r="DN141" s="514">
        <f>COUNTIFS('MEP | Drawing List'!$G:$G,"MEP-T01-07-9",'MEP | Drawing List'!M:M,1)</f>
        <v>0</v>
      </c>
      <c r="DO141" s="514">
        <f>COUNTIFS('MEP | Drawing List'!$G:$G,"MEP-T01-07-9",'MEP | Drawing List'!N:N,1)</f>
        <v>0</v>
      </c>
      <c r="DP141" s="514">
        <f>COUNTIFS('MEP | Drawing List'!$G:$G,"MEP-T01-07-9",'MEP | Drawing List'!O:O,1)</f>
        <v>0</v>
      </c>
      <c r="DQ141" s="501"/>
      <c r="DR141" s="506">
        <f>COUNTIFS('MEP | Drawing List'!$G:$G,"MEP-T01-07-9",'MEP | Drawing List'!$P:$P,1)</f>
        <v>0</v>
      </c>
      <c r="DS141" s="514">
        <f>COUNTIFS('MEP | Drawing List'!$G:$G,"MEP-T01-07-9",'MEP | Drawing List'!Q:Q,1)</f>
        <v>0</v>
      </c>
      <c r="DT141" s="514">
        <f>COUNTIFS('MEP | Drawing List'!$G:$G,"MEP-T01-07-9",'MEP | Drawing List'!R:R,1)</f>
        <v>0</v>
      </c>
      <c r="DU141" s="514">
        <f>COUNTIFS('MEP | Drawing List'!$G:$G,"MEP-T01-07-9",'MEP | Drawing List'!S:S,1)</f>
        <v>0</v>
      </c>
      <c r="DV141" s="514">
        <f>COUNTIFS('MEP | Drawing List'!$G:$G,"MEP-T01-07-9",'MEP | Drawing List'!T:T,1)</f>
        <v>0</v>
      </c>
      <c r="DW141" s="508"/>
      <c r="DX141" s="508"/>
      <c r="DY141" s="511">
        <v>0</v>
      </c>
      <c r="DZ141" s="508"/>
      <c r="EA141" s="509">
        <v>0</v>
      </c>
      <c r="EB141" s="510">
        <f t="shared" si="748"/>
        <v>0</v>
      </c>
      <c r="EC141" s="501"/>
      <c r="ED141" s="501"/>
      <c r="EE141" s="501"/>
      <c r="EF141" s="501"/>
      <c r="EG141" s="501"/>
      <c r="EH141" s="501"/>
      <c r="EI141" s="501"/>
      <c r="EJ141" s="501"/>
      <c r="EK141" s="501"/>
      <c r="EL141" s="501"/>
      <c r="EM141" s="501"/>
      <c r="EN141" s="501"/>
      <c r="EO141" s="501"/>
      <c r="EP141" s="513"/>
      <c r="EQ141" s="513"/>
      <c r="ER141" s="513"/>
      <c r="ES141" s="518"/>
      <c r="ET141" s="514">
        <f>COUNTIF('LS | Drawing List'!$G:$G,"LS-T07-9")</f>
        <v>0</v>
      </c>
      <c r="EU141" s="506">
        <f>COUNTIFS('LS | Drawing List'!$G:$G,"LS-T07-9",'LS | Drawing List'!$I:$I,1)</f>
        <v>0</v>
      </c>
      <c r="EV141" s="506">
        <f>COUNTIFS('LS | Drawing List'!$G:$G,"LS-T07-9",'LS | Drawing List'!$K:$K,1)</f>
        <v>0</v>
      </c>
      <c r="EW141" s="514">
        <f>COUNTIFS('LS | Drawing List'!$G:$G,"LS-T07-9",'LS | Drawing List'!L:L,1)</f>
        <v>0</v>
      </c>
      <c r="EX141" s="514">
        <f>COUNTIFS('LS | Drawing List'!$G:$G,"LS-T07-9",'LS | Drawing List'!M:M,1)</f>
        <v>0</v>
      </c>
      <c r="EY141" s="514">
        <f>COUNTIFS('LS | Drawing List'!$G:$G,"LS-T07-9",'LS | Drawing List'!N:N,1)</f>
        <v>0</v>
      </c>
      <c r="EZ141" s="514">
        <f>COUNTIFS('LS | Drawing List'!$G:$G,"LS-T07-9",'LS | Drawing List'!O:O,1)</f>
        <v>0</v>
      </c>
      <c r="FA141" s="501"/>
      <c r="FB141" s="506">
        <f>COUNTIFS('LS | Drawing List'!$G:$G,"LS-T07-9",'LS | Drawing List'!$P:$P,1)</f>
        <v>0</v>
      </c>
      <c r="FC141" s="514">
        <f>COUNTIFS('LS | Drawing List'!$G:$G,"LS-T07-9",'LS | Drawing List'!Q:Q,1)</f>
        <v>0</v>
      </c>
      <c r="FD141" s="514">
        <f>COUNTIFS('LS | Drawing List'!$G:$G,"LS-T07-9",'LS | Drawing List'!R:R,1)</f>
        <v>0</v>
      </c>
      <c r="FE141" s="514">
        <f>COUNTIFS('LS | Drawing List'!$G:$G,"LS-T07-9",'LS | Drawing List'!S:S,1)</f>
        <v>0</v>
      </c>
      <c r="FF141" s="514">
        <f>COUNTIFS('LS | Drawing List'!$G:$G,"LS-T07-9",'LS | Drawing List'!T:T,1)</f>
        <v>0</v>
      </c>
    </row>
    <row r="142" spans="2:163" ht="14.25" outlineLevel="2">
      <c r="B142" s="564" t="s">
        <v>147</v>
      </c>
      <c r="C142" s="565">
        <v>10</v>
      </c>
      <c r="D142" s="566" t="s">
        <v>71</v>
      </c>
      <c r="F142" s="500">
        <f t="shared" si="696"/>
        <v>0.240175</v>
      </c>
      <c r="G142" s="500">
        <f t="shared" si="697"/>
        <v>0.240175</v>
      </c>
      <c r="H142" s="514">
        <f t="shared" si="698"/>
        <v>0</v>
      </c>
      <c r="I142" s="514">
        <f t="shared" si="669"/>
        <v>0</v>
      </c>
      <c r="J142" s="514">
        <f t="shared" si="670"/>
        <v>0</v>
      </c>
      <c r="K142" s="514">
        <f t="shared" si="671"/>
        <v>0</v>
      </c>
      <c r="L142" s="514">
        <f t="shared" si="672"/>
        <v>0</v>
      </c>
      <c r="M142" s="567">
        <f t="shared" si="673"/>
        <v>0</v>
      </c>
      <c r="N142" s="568"/>
      <c r="O142" s="514">
        <f t="shared" si="674"/>
        <v>0</v>
      </c>
      <c r="P142" s="514">
        <f t="shared" si="675"/>
        <v>0</v>
      </c>
      <c r="Q142" s="514">
        <f t="shared" si="676"/>
        <v>0</v>
      </c>
      <c r="R142" s="514">
        <f t="shared" si="677"/>
        <v>0</v>
      </c>
      <c r="S142" s="514">
        <f t="shared" si="678"/>
        <v>0</v>
      </c>
      <c r="U142" s="569">
        <v>0.1</v>
      </c>
      <c r="V142" s="503"/>
      <c r="W142" s="500">
        <f t="shared" si="699"/>
        <v>0.240175</v>
      </c>
      <c r="X142" s="500">
        <f t="shared" si="700"/>
        <v>0.240175</v>
      </c>
      <c r="Y142" s="514">
        <f t="shared" si="701"/>
        <v>0.240175</v>
      </c>
      <c r="Z142" s="514">
        <f t="shared" si="702"/>
        <v>0</v>
      </c>
      <c r="AA142" s="514">
        <f t="shared" si="703"/>
        <v>0</v>
      </c>
      <c r="AB142" s="514">
        <f t="shared" si="704"/>
        <v>0</v>
      </c>
      <c r="AC142" s="514">
        <f t="shared" si="705"/>
        <v>0</v>
      </c>
      <c r="AD142" s="567">
        <f t="shared" si="706"/>
        <v>0</v>
      </c>
      <c r="AE142" s="568"/>
      <c r="AF142" s="514">
        <f t="shared" si="707"/>
        <v>0</v>
      </c>
      <c r="AG142" s="514">
        <f t="shared" si="708"/>
        <v>0</v>
      </c>
      <c r="AH142" s="514">
        <f t="shared" si="709"/>
        <v>0</v>
      </c>
      <c r="AI142" s="514">
        <f t="shared" si="710"/>
        <v>0</v>
      </c>
      <c r="AJ142" s="514">
        <f t="shared" si="711"/>
        <v>0</v>
      </c>
      <c r="AK142" s="501"/>
      <c r="AL142" s="570">
        <f t="shared" si="712"/>
        <v>1</v>
      </c>
      <c r="AM142" s="570">
        <f t="shared" si="713"/>
        <v>0</v>
      </c>
      <c r="AN142" s="570">
        <f t="shared" si="714"/>
        <v>0</v>
      </c>
      <c r="AO142" s="518"/>
      <c r="AP142" s="514">
        <f>COUNTIF('AR | Drawing List'!$G:$G,"AR-T07-10")</f>
        <v>2</v>
      </c>
      <c r="AQ142" s="506">
        <f>COUNTIFS('AR | Drawing List'!$G:$G,"AR-T07-10",'AR | Drawing List'!$I:$I,1)</f>
        <v>2</v>
      </c>
      <c r="AR142" s="506">
        <f t="shared" si="684"/>
        <v>0</v>
      </c>
      <c r="AS142" s="506">
        <f>COUNTIFS('AR | Drawing List'!$G:$G,"AR-T07-10",'AR | Drawing List'!M:M,1)</f>
        <v>0</v>
      </c>
      <c r="AT142" s="506">
        <f>COUNTIFS('AR | Drawing List'!$G:$G,"AR-T07-10",'AR | Drawing List'!N:N,1)</f>
        <v>0</v>
      </c>
      <c r="AU142" s="506">
        <f>COUNTIFS('AR | Drawing List'!$G:$G,"AR-T07-10",'AR | Drawing List'!O:O,1)</f>
        <v>0</v>
      </c>
      <c r="AV142" s="506">
        <f>COUNTIFS('AR | Drawing List'!$G:$G,"AR-T07-10",'AR | Drawing List'!P:P,1)</f>
        <v>0</v>
      </c>
      <c r="AW142" s="466"/>
      <c r="AX142" s="506">
        <f t="shared" si="715"/>
        <v>0</v>
      </c>
      <c r="AY142" s="506">
        <f>COUNTIFS('AR | Drawing List'!$G:$G,"AR-T07-10",'AR | Drawing List'!R:R,1)</f>
        <v>0</v>
      </c>
      <c r="AZ142" s="506">
        <f>COUNTIFS('AR | Drawing List'!$G:$G,"AR-T07-10",'AR | Drawing List'!S:S,1)</f>
        <v>0</v>
      </c>
      <c r="BA142" s="506">
        <f>COUNTIFS('AR | Drawing List'!$G:$G,"AR-T07-10",'AR | Drawing List'!T:T,1)</f>
        <v>0</v>
      </c>
      <c r="BB142" s="506">
        <f>COUNTIFS('AR | Drawing List'!$G:$G,"AR-T07-10",'AR | Drawing List'!U:U,1)</f>
        <v>0</v>
      </c>
      <c r="BC142" s="551"/>
      <c r="BD142" s="551"/>
      <c r="BE142" s="576">
        <v>0</v>
      </c>
      <c r="BF142" s="508"/>
      <c r="BG142" s="506">
        <f t="shared" si="716"/>
        <v>0</v>
      </c>
      <c r="BH142" s="510">
        <f t="shared" si="717"/>
        <v>0</v>
      </c>
      <c r="BI142" s="514">
        <f t="shared" si="718"/>
        <v>0</v>
      </c>
      <c r="BJ142" s="514">
        <f t="shared" si="719"/>
        <v>0</v>
      </c>
      <c r="BK142" s="514">
        <f t="shared" si="720"/>
        <v>0</v>
      </c>
      <c r="BL142" s="514">
        <f t="shared" si="721"/>
        <v>0</v>
      </c>
      <c r="BM142" s="514">
        <f t="shared" si="722"/>
        <v>0</v>
      </c>
      <c r="BN142" s="514">
        <f t="shared" si="723"/>
        <v>0</v>
      </c>
      <c r="BO142" s="501"/>
      <c r="BP142" s="514">
        <f t="shared" si="724"/>
        <v>0</v>
      </c>
      <c r="BQ142" s="514">
        <f t="shared" si="725"/>
        <v>0</v>
      </c>
      <c r="BR142" s="514">
        <f t="shared" si="726"/>
        <v>0</v>
      </c>
      <c r="BS142" s="514">
        <f t="shared" si="727"/>
        <v>0</v>
      </c>
      <c r="BT142" s="514">
        <f t="shared" si="728"/>
        <v>0</v>
      </c>
      <c r="BU142" s="501"/>
      <c r="BV142" s="571">
        <f t="shared" si="729"/>
        <v>0</v>
      </c>
      <c r="BW142" s="571">
        <f t="shared" si="730"/>
        <v>0</v>
      </c>
      <c r="BX142" s="571">
        <f t="shared" si="731"/>
        <v>0</v>
      </c>
      <c r="BY142" s="518"/>
      <c r="BZ142" s="514">
        <f>COUNTIF('ST | Drawing List'!$G:$G,"ST-T07-10")</f>
        <v>0</v>
      </c>
      <c r="CA142" s="506">
        <f>COUNTIFS('ST | Drawing List'!$G:$G,"ST-T07-10",'ST | Drawing List'!$I:$I,1)</f>
        <v>0</v>
      </c>
      <c r="CB142" s="572">
        <f>COUNTIFS('ST | Drawing List'!$G:$G,"ST-T07-10",'ST | Drawing List'!$K:$K,1)</f>
        <v>0</v>
      </c>
      <c r="CC142" s="506">
        <f>COUNTIFS('ST | Drawing List'!$G:$G,"ST-T07-10",'ST | Drawing List'!L:L,1)</f>
        <v>0</v>
      </c>
      <c r="CD142" s="506">
        <f>COUNTIFS('ST | Drawing List'!$G:$G,"ST-T07-10",'ST | Drawing List'!M:M,1)</f>
        <v>0</v>
      </c>
      <c r="CE142" s="506">
        <f>COUNTIFS('ST | Drawing List'!$G:$G,"ST-T07-10",'ST | Drawing List'!N:N,1)</f>
        <v>0</v>
      </c>
      <c r="CF142" s="506">
        <f>COUNTIFS('ST | Drawing List'!$G:$G,"ST-T07-10",'ST | Drawing List'!O:O,1)</f>
        <v>0</v>
      </c>
      <c r="CG142" s="471"/>
      <c r="CH142" s="572">
        <f>COUNTIFS('ST | Drawing List'!$G:$G,"ST-T07-10",'ST | Drawing List'!$P:$P,1)</f>
        <v>0</v>
      </c>
      <c r="CI142" s="506">
        <f>COUNTIFS('ST | Drawing List'!$G:$G,"ST-T07-10",'ST | Drawing List'!Q:Q,1)</f>
        <v>0</v>
      </c>
      <c r="CJ142" s="506">
        <f>COUNTIFS('ST | Drawing List'!$G:$G,"ST-T07-10",'ST | Drawing List'!R:R,1)</f>
        <v>0</v>
      </c>
      <c r="CK142" s="506">
        <f>COUNTIFS('ST | Drawing List'!$G:$G,"ST-T07-10",'ST | Drawing List'!S:S,1)</f>
        <v>0</v>
      </c>
      <c r="CL142" s="506">
        <f>COUNTIFS('ST | Drawing List'!$G:$G,"ST-T07-10",'ST | Drawing List'!T:T,1)</f>
        <v>0</v>
      </c>
      <c r="CM142" s="508"/>
      <c r="CN142" s="508"/>
      <c r="CO142" s="576">
        <v>0</v>
      </c>
      <c r="CP142" s="508"/>
      <c r="CQ142" s="506">
        <f t="shared" si="732"/>
        <v>0</v>
      </c>
      <c r="CR142" s="510">
        <f t="shared" si="733"/>
        <v>0</v>
      </c>
      <c r="CS142" s="514">
        <f t="shared" si="734"/>
        <v>0</v>
      </c>
      <c r="CT142" s="514">
        <f t="shared" si="735"/>
        <v>0</v>
      </c>
      <c r="CU142" s="514">
        <f t="shared" si="736"/>
        <v>0</v>
      </c>
      <c r="CV142" s="514">
        <f t="shared" si="737"/>
        <v>0</v>
      </c>
      <c r="CW142" s="514">
        <f t="shared" si="738"/>
        <v>0</v>
      </c>
      <c r="CX142" s="514">
        <f t="shared" si="739"/>
        <v>0</v>
      </c>
      <c r="CY142" s="501"/>
      <c r="CZ142" s="514">
        <f t="shared" si="740"/>
        <v>0</v>
      </c>
      <c r="DA142" s="514">
        <f t="shared" si="741"/>
        <v>0</v>
      </c>
      <c r="DB142" s="514">
        <f t="shared" si="742"/>
        <v>0</v>
      </c>
      <c r="DC142" s="514">
        <f t="shared" si="743"/>
        <v>0</v>
      </c>
      <c r="DD142" s="514">
        <f t="shared" si="744"/>
        <v>0</v>
      </c>
      <c r="DE142" s="501"/>
      <c r="DF142" s="570">
        <f t="shared" si="745"/>
        <v>0</v>
      </c>
      <c r="DG142" s="570">
        <f t="shared" si="746"/>
        <v>0</v>
      </c>
      <c r="DH142" s="570">
        <f t="shared" si="747"/>
        <v>0</v>
      </c>
      <c r="DI142" s="518"/>
      <c r="DJ142" s="514">
        <f>COUNTIF('MEP | Drawing List'!$G:$G,"MEP-T01-07-10")</f>
        <v>0</v>
      </c>
      <c r="DK142" s="506">
        <f>COUNTIFS('MEP | Drawing List'!$G:$G,"MEP-T01-07-10",'MEP | Drawing List'!$I:$I,1)</f>
        <v>0</v>
      </c>
      <c r="DL142" s="506">
        <f>COUNTIFS('MEP | Drawing List'!$G:$G,"MEP-T01-07-10",'MEP | Drawing List'!$K:$K,1)</f>
        <v>0</v>
      </c>
      <c r="DM142" s="514">
        <f>COUNTIFS('MEP | Drawing List'!$G:$G,"MEP-T01-07-10",'MEP | Drawing List'!L:L,1)</f>
        <v>0</v>
      </c>
      <c r="DN142" s="514">
        <f>COUNTIFS('MEP | Drawing List'!$G:$G,"MEP-T01-07-10",'MEP | Drawing List'!M:M,1)</f>
        <v>0</v>
      </c>
      <c r="DO142" s="514">
        <f>COUNTIFS('MEP | Drawing List'!$G:$G,"MEP-T01-07-10",'MEP | Drawing List'!N:N,1)</f>
        <v>0</v>
      </c>
      <c r="DP142" s="514">
        <f>COUNTIFS('MEP | Drawing List'!$G:$G,"MEP-T01-07-10",'MEP | Drawing List'!O:O,1)</f>
        <v>0</v>
      </c>
      <c r="DQ142" s="501"/>
      <c r="DR142" s="506">
        <f>COUNTIFS('MEP | Drawing List'!$G:$G,"MEP-T01-07-10",'MEP | Drawing List'!$P:$P,1)</f>
        <v>0</v>
      </c>
      <c r="DS142" s="514">
        <f>COUNTIFS('MEP | Drawing List'!$G:$G,"MEP-T01-07-10",'MEP | Drawing List'!Q:Q,1)</f>
        <v>0</v>
      </c>
      <c r="DT142" s="514">
        <f>COUNTIFS('MEP | Drawing List'!$G:$G,"MEP-T01-07-10",'MEP | Drawing List'!R:R,1)</f>
        <v>0</v>
      </c>
      <c r="DU142" s="514">
        <f>COUNTIFS('MEP | Drawing List'!$G:$G,"MEP-T01-07-10",'MEP | Drawing List'!S:S,1)</f>
        <v>0</v>
      </c>
      <c r="DV142" s="514">
        <f>COUNTIFS('MEP | Drawing List'!$G:$G,"MEP-T01-07-10",'MEP | Drawing List'!T:T,1)</f>
        <v>0</v>
      </c>
      <c r="DW142" s="508"/>
      <c r="DX142" s="508"/>
      <c r="DY142" s="511">
        <v>0</v>
      </c>
      <c r="DZ142" s="508"/>
      <c r="EA142" s="509">
        <v>0</v>
      </c>
      <c r="EB142" s="510">
        <f t="shared" si="748"/>
        <v>0</v>
      </c>
      <c r="EC142" s="501"/>
      <c r="ED142" s="501"/>
      <c r="EE142" s="501"/>
      <c r="EF142" s="501"/>
      <c r="EG142" s="501"/>
      <c r="EH142" s="501"/>
      <c r="EI142" s="501"/>
      <c r="EJ142" s="501"/>
      <c r="EK142" s="501"/>
      <c r="EL142" s="501"/>
      <c r="EM142" s="501"/>
      <c r="EN142" s="501"/>
      <c r="EO142" s="501"/>
      <c r="EP142" s="513"/>
      <c r="EQ142" s="513"/>
      <c r="ER142" s="513"/>
      <c r="ES142" s="518"/>
      <c r="ET142" s="514">
        <f>COUNTIF('LS | Drawing List'!$G:$G,"LS-T07-10")</f>
        <v>0</v>
      </c>
      <c r="EU142" s="506">
        <f>COUNTIFS('LS | Drawing List'!$G:$G,"LS-T07-10",'LS | Drawing List'!$I:$I,1)</f>
        <v>0</v>
      </c>
      <c r="EV142" s="506">
        <f>COUNTIFS('LS | Drawing List'!$G:$G,"LS-T07-10",'LS | Drawing List'!$K:$K,1)</f>
        <v>0</v>
      </c>
      <c r="EW142" s="514">
        <f>COUNTIFS('LS | Drawing List'!$G:$G,"LS-T07-10",'LS | Drawing List'!L:L,1)</f>
        <v>0</v>
      </c>
      <c r="EX142" s="514">
        <f>COUNTIFS('LS | Drawing List'!$G:$G,"LS-T07-10",'LS | Drawing List'!M:M,1)</f>
        <v>0</v>
      </c>
      <c r="EY142" s="514">
        <f>COUNTIFS('LS | Drawing List'!$G:$G,"LS-T07-10",'LS | Drawing List'!N:N,1)</f>
        <v>0</v>
      </c>
      <c r="EZ142" s="514">
        <f>COUNTIFS('LS | Drawing List'!$G:$G,"LS-T07-10",'LS | Drawing List'!O:O,1)</f>
        <v>0</v>
      </c>
      <c r="FA142" s="501"/>
      <c r="FB142" s="506">
        <f>COUNTIFS('LS | Drawing List'!$G:$G,"LS-T07-10",'LS | Drawing List'!$P:$P,1)</f>
        <v>0</v>
      </c>
      <c r="FC142" s="514">
        <f>COUNTIFS('LS | Drawing List'!$G:$G,"LS-T07-10",'LS | Drawing List'!Q:Q,1)</f>
        <v>0</v>
      </c>
      <c r="FD142" s="514">
        <f>COUNTIFS('LS | Drawing List'!$G:$G,"LS-T07-10",'LS | Drawing List'!R:R,1)</f>
        <v>0</v>
      </c>
      <c r="FE142" s="514">
        <f>COUNTIFS('LS | Drawing List'!$G:$G,"LS-T07-10",'LS | Drawing List'!S:S,1)</f>
        <v>0</v>
      </c>
      <c r="FF142" s="514">
        <f>COUNTIFS('LS | Drawing List'!$G:$G,"LS-T07-10",'LS | Drawing List'!T:T,1)</f>
        <v>0</v>
      </c>
    </row>
    <row r="143" spans="2:163" ht="3" customHeight="1" outlineLevel="1">
      <c r="B143" s="594"/>
      <c r="C143" s="595"/>
      <c r="D143" s="566"/>
      <c r="F143" s="499"/>
      <c r="G143" s="500"/>
      <c r="H143" s="615"/>
      <c r="I143" s="615"/>
      <c r="J143" s="615"/>
      <c r="K143" s="615"/>
      <c r="L143" s="615"/>
      <c r="M143" s="615"/>
      <c r="N143" s="615"/>
      <c r="O143" s="615"/>
      <c r="P143" s="615"/>
      <c r="Q143" s="615"/>
      <c r="R143" s="615"/>
      <c r="S143" s="615"/>
      <c r="U143" s="569"/>
      <c r="V143" s="503"/>
      <c r="W143" s="499"/>
      <c r="X143" s="500">
        <f t="shared" si="700"/>
        <v>0</v>
      </c>
      <c r="Y143" s="615"/>
      <c r="Z143" s="615"/>
      <c r="AA143" s="615"/>
      <c r="AB143" s="615"/>
      <c r="AC143" s="615"/>
      <c r="AD143" s="615"/>
      <c r="AE143" s="615"/>
      <c r="AF143" s="615"/>
      <c r="AG143" s="615"/>
      <c r="AH143" s="615"/>
      <c r="AI143" s="615"/>
      <c r="AJ143" s="615"/>
      <c r="AK143" s="615"/>
      <c r="AL143" s="513"/>
      <c r="AM143" s="513"/>
      <c r="AN143" s="513"/>
      <c r="AO143" s="518"/>
      <c r="AP143" s="551"/>
      <c r="AQ143" s="551"/>
      <c r="AR143" s="551"/>
      <c r="AS143" s="551"/>
      <c r="AT143" s="551"/>
      <c r="AU143" s="551"/>
      <c r="AV143" s="551"/>
      <c r="AW143" s="551"/>
      <c r="AX143" s="514">
        <f t="shared" si="715"/>
        <v>0</v>
      </c>
      <c r="AY143" s="551"/>
      <c r="AZ143" s="551"/>
      <c r="BA143" s="551"/>
      <c r="BB143" s="551"/>
      <c r="BC143" s="551"/>
      <c r="BD143" s="551"/>
      <c r="BE143" s="511"/>
      <c r="BF143" s="508"/>
      <c r="BG143" s="509"/>
      <c r="BH143" s="510">
        <f t="shared" si="717"/>
        <v>0</v>
      </c>
      <c r="BI143" s="615"/>
      <c r="BJ143" s="615"/>
      <c r="BK143" s="615"/>
      <c r="BL143" s="615"/>
      <c r="BM143" s="615"/>
      <c r="BN143" s="615"/>
      <c r="BO143" s="615"/>
      <c r="BP143" s="615"/>
      <c r="BQ143" s="615"/>
      <c r="BR143" s="615"/>
      <c r="BS143" s="615"/>
      <c r="BT143" s="615"/>
      <c r="BU143" s="615"/>
      <c r="BV143" s="511"/>
      <c r="BW143" s="511"/>
      <c r="BX143" s="511"/>
      <c r="BY143" s="518"/>
      <c r="BZ143" s="552"/>
      <c r="CA143" s="552"/>
      <c r="CB143" s="608"/>
      <c r="CC143" s="552"/>
      <c r="CD143" s="552"/>
      <c r="CE143" s="552"/>
      <c r="CF143" s="552"/>
      <c r="CG143" s="552"/>
      <c r="CH143" s="608"/>
      <c r="CI143" s="552"/>
      <c r="CJ143" s="552"/>
      <c r="CK143" s="552"/>
      <c r="CL143" s="552"/>
      <c r="CM143" s="508"/>
      <c r="CN143" s="508"/>
      <c r="CO143" s="511"/>
      <c r="CP143" s="508"/>
      <c r="CQ143" s="509"/>
      <c r="CR143" s="510">
        <f t="shared" si="733"/>
        <v>0</v>
      </c>
      <c r="CS143" s="615"/>
      <c r="CT143" s="615"/>
      <c r="CU143" s="615"/>
      <c r="CV143" s="615"/>
      <c r="CW143" s="615"/>
      <c r="CX143" s="615"/>
      <c r="CY143" s="615"/>
      <c r="CZ143" s="615"/>
      <c r="DA143" s="615"/>
      <c r="DB143" s="615"/>
      <c r="DC143" s="615"/>
      <c r="DD143" s="615"/>
      <c r="DE143" s="615"/>
      <c r="DF143" s="513"/>
      <c r="DG143" s="513"/>
      <c r="DH143" s="513"/>
      <c r="DI143" s="518"/>
      <c r="DJ143" s="551"/>
      <c r="DK143" s="551"/>
      <c r="DL143" s="551"/>
      <c r="DM143" s="615"/>
      <c r="DN143" s="615"/>
      <c r="DO143" s="615"/>
      <c r="DP143" s="615"/>
      <c r="DQ143" s="615"/>
      <c r="DR143" s="551"/>
      <c r="DS143" s="615"/>
      <c r="DT143" s="615"/>
      <c r="DU143" s="615"/>
      <c r="DV143" s="615"/>
      <c r="DW143" s="508"/>
      <c r="DX143" s="508"/>
      <c r="DY143" s="511"/>
      <c r="DZ143" s="508"/>
      <c r="EA143" s="509"/>
      <c r="EB143" s="510">
        <f t="shared" si="748"/>
        <v>0</v>
      </c>
      <c r="EC143" s="577"/>
      <c r="ED143" s="577"/>
      <c r="EE143" s="577"/>
      <c r="EF143" s="577"/>
      <c r="EG143" s="577"/>
      <c r="EH143" s="577"/>
      <c r="EI143" s="577"/>
      <c r="EJ143" s="577"/>
      <c r="EK143" s="577"/>
      <c r="EL143" s="577"/>
      <c r="EM143" s="577"/>
      <c r="EN143" s="577"/>
      <c r="EO143" s="577"/>
      <c r="EP143" s="52"/>
      <c r="EQ143" s="52"/>
      <c r="ER143" s="52"/>
      <c r="EW143" s="577"/>
      <c r="EX143" s="577"/>
      <c r="EY143" s="577"/>
      <c r="EZ143" s="577"/>
      <c r="FA143" s="577"/>
      <c r="FC143" s="577"/>
      <c r="FD143" s="577"/>
      <c r="FE143" s="577"/>
      <c r="FF143" s="577"/>
    </row>
    <row r="144" spans="2:163" ht="14.25" outlineLevel="1">
      <c r="B144" s="477"/>
      <c r="C144" s="559">
        <v>9</v>
      </c>
      <c r="D144" s="560" t="s">
        <v>148</v>
      </c>
      <c r="E144" s="479"/>
      <c r="F144" s="480">
        <f>W144+BG144+CQ144+EA144</f>
        <v>4.1800425000000008</v>
      </c>
      <c r="G144" s="480">
        <f>X144+BH144+CR144+EB144</f>
        <v>2.8988594375000005</v>
      </c>
      <c r="H144" s="481">
        <f>F144-G144</f>
        <v>1.2811830625000002</v>
      </c>
      <c r="I144" s="480">
        <f t="shared" ref="I144:I148" si="749">Z144+BJ144+CT144+ED144</f>
        <v>1.12575</v>
      </c>
      <c r="J144" s="480">
        <f t="shared" ref="J144:J148" si="750">AA144+BK144+CU144+EE144</f>
        <v>1.12575</v>
      </c>
      <c r="K144" s="480">
        <f t="shared" ref="K144:K148" si="751">AB144+BL144+CV144+EF144</f>
        <v>0</v>
      </c>
      <c r="L144" s="480">
        <f t="shared" ref="L144:L148" si="752">AC144+BM144+CW144+EG144</f>
        <v>0</v>
      </c>
      <c r="M144" s="480">
        <f t="shared" ref="M144:M148" si="753">AD144+BN144+CX144+EH144</f>
        <v>0</v>
      </c>
      <c r="N144" s="482"/>
      <c r="O144" s="480">
        <f t="shared" ref="O144:O148" si="754">AF144+BP144+CZ144+EJ144</f>
        <v>5.9850000000000007E-2</v>
      </c>
      <c r="P144" s="480">
        <f t="shared" ref="P144:P148" si="755">AG144+BQ144+DA144+EK144</f>
        <v>0</v>
      </c>
      <c r="Q144" s="480">
        <f t="shared" ref="Q144:Q148" si="756">AH144+BR144+DB144+EL144</f>
        <v>0</v>
      </c>
      <c r="R144" s="480">
        <f t="shared" ref="R144:R148" si="757">AI144+BS144+DC144+EM144</f>
        <v>5.9850000000000007E-2</v>
      </c>
      <c r="S144" s="480">
        <f t="shared" ref="S144:S148" si="758">AJ144+BT144+DD144+EN144</f>
        <v>0</v>
      </c>
      <c r="T144" s="479"/>
      <c r="U144" s="483">
        <f>SUM(U145:U148)</f>
        <v>0.5</v>
      </c>
      <c r="V144" s="483"/>
      <c r="W144" s="480">
        <f>U144*(5%*'BOQ COST'!E6)*1</f>
        <v>2.6647500000000002</v>
      </c>
      <c r="X144" s="480">
        <f t="shared" si="700"/>
        <v>1.5988500000000001</v>
      </c>
      <c r="Y144" s="481">
        <f>SUM(Y145:Y148)</f>
        <v>1.5988500000000001</v>
      </c>
      <c r="Z144" s="481">
        <f>SUM(Z145:Z148)</f>
        <v>1.0659000000000001</v>
      </c>
      <c r="AA144" s="481">
        <f t="shared" ref="AA144:AD144" si="759">SUM(AA145:AA148)</f>
        <v>1.0659000000000001</v>
      </c>
      <c r="AB144" s="481">
        <f t="shared" si="759"/>
        <v>0</v>
      </c>
      <c r="AC144" s="481">
        <f t="shared" si="759"/>
        <v>0</v>
      </c>
      <c r="AD144" s="481">
        <f t="shared" si="759"/>
        <v>0</v>
      </c>
      <c r="AE144" s="482"/>
      <c r="AF144" s="481">
        <f>SUM(AF145:AF148)</f>
        <v>0</v>
      </c>
      <c r="AG144" s="481">
        <f t="shared" ref="AG144:AJ144" si="760">SUM(AG145:AG148)</f>
        <v>0</v>
      </c>
      <c r="AH144" s="481">
        <f t="shared" si="760"/>
        <v>0</v>
      </c>
      <c r="AI144" s="481">
        <f t="shared" si="760"/>
        <v>0</v>
      </c>
      <c r="AJ144" s="481">
        <f t="shared" si="760"/>
        <v>0</v>
      </c>
      <c r="AK144" s="482"/>
      <c r="AL144" s="492"/>
      <c r="AM144" s="492"/>
      <c r="AN144" s="492"/>
      <c r="AO144" s="481">
        <f t="shared" ref="AO144" si="761">SUM(AO145:AO148)</f>
        <v>0</v>
      </c>
      <c r="AP144" s="481">
        <f t="shared" ref="AP144" si="762">SUM(AP145:AP148)</f>
        <v>11</v>
      </c>
      <c r="AQ144" s="481">
        <f t="shared" ref="AQ144" si="763">SUM(AQ145:AQ148)</f>
        <v>6</v>
      </c>
      <c r="AR144" s="481">
        <f t="shared" si="684"/>
        <v>5</v>
      </c>
      <c r="AS144" s="481">
        <f>SUM(AS145:AS148)</f>
        <v>5</v>
      </c>
      <c r="AT144" s="481">
        <f t="shared" ref="AT144:AX144" si="764">SUM(AT145:AT148)</f>
        <v>0</v>
      </c>
      <c r="AU144" s="481">
        <f t="shared" si="764"/>
        <v>0</v>
      </c>
      <c r="AV144" s="481">
        <f t="shared" si="764"/>
        <v>0</v>
      </c>
      <c r="AW144" s="482"/>
      <c r="AX144" s="481">
        <f t="shared" si="764"/>
        <v>0</v>
      </c>
      <c r="AY144" s="481">
        <f>SUM(AY145:AY148)</f>
        <v>0</v>
      </c>
      <c r="AZ144" s="481">
        <f t="shared" ref="AZ144:BB144" si="765">SUM(AZ145:AZ148)</f>
        <v>0</v>
      </c>
      <c r="BA144" s="481">
        <f t="shared" si="765"/>
        <v>0</v>
      </c>
      <c r="BB144" s="481">
        <f t="shared" si="765"/>
        <v>0</v>
      </c>
      <c r="BC144" s="487"/>
      <c r="BD144" s="487"/>
      <c r="BE144" s="483">
        <v>0.55000000000000004</v>
      </c>
      <c r="BF144" s="483"/>
      <c r="BG144" s="480">
        <f>BE144*(3%*'BOQ COST'!$F$6)*1</f>
        <v>1.3596825000000001</v>
      </c>
      <c r="BH144" s="480">
        <f t="shared" si="717"/>
        <v>1.1443994374999999</v>
      </c>
      <c r="BI144" s="481">
        <f>SUM(BI145:BI148)+BI150+BI154+BI158+BI162+BI166+BI170+BI174+BI178+BI182+BI186</f>
        <v>1.1443994374999999</v>
      </c>
      <c r="BJ144" s="481">
        <f>SUM(BJ145:BJ148)+BJ150+BJ154+BJ158+BJ162+BJ166+BJ170+BJ174+BJ178+BJ182+BJ186</f>
        <v>0</v>
      </c>
      <c r="BK144" s="481">
        <f t="shared" ref="BK144:CF144" si="766">SUM(BK145:BK148)+BK150+BK154+BK158+BK162+BK166+BK170+BK174+BK178+BK182+BK186</f>
        <v>0</v>
      </c>
      <c r="BL144" s="481">
        <f t="shared" si="766"/>
        <v>0</v>
      </c>
      <c r="BM144" s="481">
        <f t="shared" si="766"/>
        <v>0</v>
      </c>
      <c r="BN144" s="481">
        <f t="shared" si="766"/>
        <v>0</v>
      </c>
      <c r="BO144" s="482"/>
      <c r="BP144" s="481">
        <f>SUM(BP145:BP148)+BP150+BP154+BP158+BP162+BP166+BP170+BP174+BP178+BP182+BP186</f>
        <v>0</v>
      </c>
      <c r="BQ144" s="481">
        <f t="shared" ref="BQ144:BT144" si="767">SUM(BQ145:BQ148)+BQ150+BQ154+BQ158+BQ162+BQ166+BQ170+BQ174+BQ178+BQ182+BQ186</f>
        <v>0</v>
      </c>
      <c r="BR144" s="481">
        <f t="shared" si="767"/>
        <v>0</v>
      </c>
      <c r="BS144" s="481">
        <f t="shared" si="767"/>
        <v>0</v>
      </c>
      <c r="BT144" s="481">
        <f t="shared" si="767"/>
        <v>0</v>
      </c>
      <c r="BU144" s="482"/>
      <c r="BV144" s="488"/>
      <c r="BW144" s="488"/>
      <c r="BX144" s="488"/>
      <c r="BY144" s="481">
        <f t="shared" si="766"/>
        <v>0</v>
      </c>
      <c r="BZ144" s="481">
        <f t="shared" si="766"/>
        <v>1</v>
      </c>
      <c r="CA144" s="481">
        <f t="shared" si="766"/>
        <v>1</v>
      </c>
      <c r="CB144" s="481">
        <f t="shared" si="766"/>
        <v>0</v>
      </c>
      <c r="CC144" s="481">
        <f t="shared" si="766"/>
        <v>0</v>
      </c>
      <c r="CD144" s="481">
        <f t="shared" si="766"/>
        <v>0</v>
      </c>
      <c r="CE144" s="481">
        <f t="shared" si="766"/>
        <v>0</v>
      </c>
      <c r="CF144" s="481">
        <f t="shared" si="766"/>
        <v>0</v>
      </c>
      <c r="CG144" s="490"/>
      <c r="CH144" s="481">
        <f t="shared" ref="CH144:CL144" si="768">SUM(CH145:CH148)+CH150+CH154+CH158+CH162+CH166+CH170+CH174+CH178+CH182+CH186</f>
        <v>0</v>
      </c>
      <c r="CI144" s="481">
        <f t="shared" si="768"/>
        <v>0</v>
      </c>
      <c r="CJ144" s="481">
        <f t="shared" si="768"/>
        <v>0</v>
      </c>
      <c r="CK144" s="481">
        <f t="shared" si="768"/>
        <v>0</v>
      </c>
      <c r="CL144" s="481">
        <f t="shared" si="768"/>
        <v>0</v>
      </c>
      <c r="CM144" s="483"/>
      <c r="CN144" s="483"/>
      <c r="CO144" s="483">
        <f>SUM(CO145:CO148)</f>
        <v>0.65</v>
      </c>
      <c r="CP144" s="483"/>
      <c r="CQ144" s="480">
        <f>CO144*(2%*'BOQ COST'!$G$6)*1</f>
        <v>0.15561000000000003</v>
      </c>
      <c r="CR144" s="480">
        <f t="shared" si="733"/>
        <v>0.15561000000000003</v>
      </c>
      <c r="CS144" s="481">
        <f>SUM(CS145:CS148)</f>
        <v>9.5760000000000012E-2</v>
      </c>
      <c r="CT144" s="481">
        <f>SUM(CT145:CT148)</f>
        <v>5.9850000000000007E-2</v>
      </c>
      <c r="CU144" s="481">
        <f t="shared" ref="CU144:DP144" si="769">SUM(CU145:CU148)</f>
        <v>5.9850000000000007E-2</v>
      </c>
      <c r="CV144" s="481">
        <f t="shared" si="769"/>
        <v>0</v>
      </c>
      <c r="CW144" s="481">
        <f t="shared" si="769"/>
        <v>0</v>
      </c>
      <c r="CX144" s="481">
        <f t="shared" si="769"/>
        <v>0</v>
      </c>
      <c r="CY144" s="482"/>
      <c r="CZ144" s="481">
        <f>SUM(CZ145:CZ148)</f>
        <v>5.9850000000000007E-2</v>
      </c>
      <c r="DA144" s="481">
        <f t="shared" ref="DA144:DD144" si="770">SUM(DA145:DA148)</f>
        <v>0</v>
      </c>
      <c r="DB144" s="481">
        <f t="shared" si="770"/>
        <v>0</v>
      </c>
      <c r="DC144" s="481">
        <f t="shared" si="770"/>
        <v>5.9850000000000007E-2</v>
      </c>
      <c r="DD144" s="481">
        <f t="shared" si="770"/>
        <v>0</v>
      </c>
      <c r="DE144" s="482"/>
      <c r="DF144" s="492"/>
      <c r="DG144" s="492"/>
      <c r="DH144" s="492"/>
      <c r="DI144" s="481">
        <f t="shared" si="769"/>
        <v>0</v>
      </c>
      <c r="DJ144" s="481">
        <f t="shared" si="769"/>
        <v>57</v>
      </c>
      <c r="DK144" s="481">
        <f t="shared" si="769"/>
        <v>55</v>
      </c>
      <c r="DL144" s="481">
        <f t="shared" si="769"/>
        <v>2</v>
      </c>
      <c r="DM144" s="481">
        <f t="shared" si="769"/>
        <v>2</v>
      </c>
      <c r="DN144" s="481">
        <f t="shared" si="769"/>
        <v>0</v>
      </c>
      <c r="DO144" s="481">
        <f t="shared" si="769"/>
        <v>0</v>
      </c>
      <c r="DP144" s="481">
        <f t="shared" si="769"/>
        <v>0</v>
      </c>
      <c r="DQ144" s="482"/>
      <c r="DR144" s="481">
        <f t="shared" ref="DR144:DV144" si="771">SUM(DR145:DR148)</f>
        <v>2</v>
      </c>
      <c r="DS144" s="481">
        <f t="shared" si="771"/>
        <v>0</v>
      </c>
      <c r="DT144" s="481">
        <f t="shared" si="771"/>
        <v>1</v>
      </c>
      <c r="DU144" s="481">
        <f t="shared" si="771"/>
        <v>1</v>
      </c>
      <c r="DV144" s="481">
        <f t="shared" si="771"/>
        <v>0</v>
      </c>
      <c r="DW144" s="483"/>
      <c r="DX144" s="483"/>
      <c r="DY144" s="480">
        <f>SUM(DY145:DY148)</f>
        <v>0</v>
      </c>
      <c r="DZ144" s="483"/>
      <c r="EA144" s="491">
        <v>0</v>
      </c>
      <c r="EB144" s="480">
        <f t="shared" si="748"/>
        <v>0</v>
      </c>
      <c r="EC144" s="481">
        <f>SUM(EC145:EC148)</f>
        <v>0</v>
      </c>
      <c r="ED144" s="481">
        <f>SUM(ED145:ED148)</f>
        <v>0</v>
      </c>
      <c r="EE144" s="481">
        <f t="shared" ref="EE144:EZ144" si="772">SUM(EE145:EE148)</f>
        <v>0</v>
      </c>
      <c r="EF144" s="481">
        <f t="shared" si="772"/>
        <v>0</v>
      </c>
      <c r="EG144" s="481">
        <f t="shared" si="772"/>
        <v>0</v>
      </c>
      <c r="EH144" s="481">
        <f t="shared" si="772"/>
        <v>0</v>
      </c>
      <c r="EI144" s="494"/>
      <c r="EJ144" s="481">
        <f>SUM(EJ145:EJ148)</f>
        <v>0</v>
      </c>
      <c r="EK144" s="481">
        <f t="shared" ref="EK144:EN144" si="773">SUM(EK145:EK148)</f>
        <v>0</v>
      </c>
      <c r="EL144" s="481">
        <f t="shared" si="773"/>
        <v>0</v>
      </c>
      <c r="EM144" s="481">
        <f t="shared" si="773"/>
        <v>0</v>
      </c>
      <c r="EN144" s="481">
        <f t="shared" si="773"/>
        <v>0</v>
      </c>
      <c r="EO144" s="494"/>
      <c r="EP144" s="616"/>
      <c r="EQ144" s="616"/>
      <c r="ER144" s="616"/>
      <c r="ES144" s="481">
        <f t="shared" si="772"/>
        <v>0</v>
      </c>
      <c r="ET144" s="481">
        <f t="shared" si="772"/>
        <v>0</v>
      </c>
      <c r="EU144" s="481">
        <f t="shared" si="772"/>
        <v>0</v>
      </c>
      <c r="EV144" s="481">
        <f t="shared" si="772"/>
        <v>0</v>
      </c>
      <c r="EW144" s="481">
        <f t="shared" si="772"/>
        <v>0</v>
      </c>
      <c r="EX144" s="481">
        <f t="shared" si="772"/>
        <v>0</v>
      </c>
      <c r="EY144" s="481">
        <f t="shared" si="772"/>
        <v>0</v>
      </c>
      <c r="EZ144" s="481">
        <f t="shared" si="772"/>
        <v>0</v>
      </c>
      <c r="FA144" s="494"/>
      <c r="FB144" s="481">
        <f t="shared" ref="FB144:FF144" si="774">SUM(FB145:FB148)</f>
        <v>0</v>
      </c>
      <c r="FC144" s="481">
        <f t="shared" si="774"/>
        <v>0</v>
      </c>
      <c r="FD144" s="481">
        <f t="shared" si="774"/>
        <v>0</v>
      </c>
      <c r="FE144" s="481">
        <f t="shared" si="774"/>
        <v>0</v>
      </c>
      <c r="FF144" s="481">
        <f t="shared" si="774"/>
        <v>0</v>
      </c>
      <c r="FG144" s="479"/>
    </row>
    <row r="145" spans="2:165" ht="14.25" outlineLevel="2">
      <c r="B145" s="564" t="s">
        <v>149</v>
      </c>
      <c r="C145" s="565">
        <v>1</v>
      </c>
      <c r="D145" s="566" t="s">
        <v>150</v>
      </c>
      <c r="F145" s="500">
        <f t="shared" ref="F145:F148" si="775">W145+BG145+CQ145+EA145</f>
        <v>6.7984125000000006E-2</v>
      </c>
      <c r="G145" s="500">
        <f t="shared" ref="G145:G148" si="776">X145+BH145+CR145+EB145</f>
        <v>6.7984125000000006E-2</v>
      </c>
      <c r="H145" s="514">
        <f t="shared" ref="H145:H148" si="777">F145-G145</f>
        <v>0</v>
      </c>
      <c r="I145" s="514">
        <f t="shared" si="749"/>
        <v>0</v>
      </c>
      <c r="J145" s="514">
        <f t="shared" si="750"/>
        <v>0</v>
      </c>
      <c r="K145" s="514">
        <f t="shared" si="751"/>
        <v>0</v>
      </c>
      <c r="L145" s="514">
        <f t="shared" si="752"/>
        <v>0</v>
      </c>
      <c r="M145" s="567">
        <f t="shared" si="753"/>
        <v>0</v>
      </c>
      <c r="N145" s="568"/>
      <c r="O145" s="514">
        <f t="shared" si="754"/>
        <v>0</v>
      </c>
      <c r="P145" s="514">
        <f t="shared" si="755"/>
        <v>0</v>
      </c>
      <c r="Q145" s="514">
        <f t="shared" si="756"/>
        <v>0</v>
      </c>
      <c r="R145" s="514">
        <f t="shared" si="757"/>
        <v>0</v>
      </c>
      <c r="S145" s="514">
        <f t="shared" si="758"/>
        <v>0</v>
      </c>
      <c r="U145" s="569">
        <v>0</v>
      </c>
      <c r="V145" s="503"/>
      <c r="W145" s="500">
        <f>$W$144/$U$144*U145</f>
        <v>0</v>
      </c>
      <c r="X145" s="500">
        <f t="shared" si="700"/>
        <v>0</v>
      </c>
      <c r="Y145" s="514">
        <f>IFERROR(IF(AL145=100%,W145,0),0)</f>
        <v>0</v>
      </c>
      <c r="Z145" s="514">
        <f>IFERROR(IF(AND((AL145+AM145)=100%,AL145&lt;1),W145,0),0)</f>
        <v>0</v>
      </c>
      <c r="AA145" s="514">
        <f t="shared" ref="AA145:AA188" si="778">IFERROR(IF(AND((AQ145+AS145)=AP145,Y145=0),W145,0),0)</f>
        <v>0</v>
      </c>
      <c r="AB145" s="514">
        <f t="shared" ref="AB145:AB188" si="779">IFERROR(IF(AND((AQ145+AS145+AT145)=AP145,Y145=0,AA145=0),W145,0),0)</f>
        <v>0</v>
      </c>
      <c r="AC145" s="514">
        <f t="shared" ref="AC145:AC188" si="780">IFERROR(IF(AND((AQ145+AS145+AT145+AU145)=AP145,Y145=0,AA145=0,AB145=0),W145,0),0)</f>
        <v>0</v>
      </c>
      <c r="AD145" s="567">
        <f t="shared" ref="AD145:AD188" si="781">IFERROR(IF(AND((AQ145+AS145+AT145+AU145+AV145)=AP145,Y145=0,AA145=0,AB145=0,AC145=0),W145,0),0)</f>
        <v>0</v>
      </c>
      <c r="AE145" s="568"/>
      <c r="AF145" s="514">
        <f>IFERROR(IF(AND((AL145+AN145)=100%,AL145&lt;1),W145,0),0)</f>
        <v>0</v>
      </c>
      <c r="AG145" s="514">
        <f>IFERROR(IF(AND((AQ145+AY145)=AP145,Y145=0),W145,0),0)</f>
        <v>0</v>
      </c>
      <c r="AH145" s="514">
        <f>IFERROR(IF(AND((AQ145+AY145+AZ145)=AP145,Y145=0,AG145=0),W145,0),0)</f>
        <v>0</v>
      </c>
      <c r="AI145" s="514">
        <f>IFERROR(IF(AND((AQ145+AY145+AZ145+BA145)=AP145,Y145=0,AG145=0,AH145=0),W145,0),0)</f>
        <v>0</v>
      </c>
      <c r="AJ145" s="514">
        <f>IFERROR(IF(AND((AQ145+AY145+AZ145+BA145+BB145)=AP145,Y145=0,AG145=0,AH145=0,AI145=0),W145,0),0)</f>
        <v>0</v>
      </c>
      <c r="AK145" s="501"/>
      <c r="AL145" s="570">
        <f>IFERROR(AQ145/AP145,0)</f>
        <v>0</v>
      </c>
      <c r="AM145" s="570">
        <f>IFERROR(AR145/AP145,0)</f>
        <v>0</v>
      </c>
      <c r="AN145" s="570">
        <f>IFERROR(AX145/AP145,0)</f>
        <v>0</v>
      </c>
      <c r="AO145" s="505"/>
      <c r="AP145" s="514">
        <f>COUNTIF('AR | Drawing List'!$G:$G,"AR-SS0-1")</f>
        <v>0</v>
      </c>
      <c r="AQ145" s="506">
        <f>COUNTIFS('AR | Drawing List'!$G:$G,"AR-SS0-1",'AR | Drawing List'!$I:$I,1)</f>
        <v>0</v>
      </c>
      <c r="AR145" s="506">
        <f t="shared" si="684"/>
        <v>0</v>
      </c>
      <c r="AS145" s="506">
        <f>COUNTIFS('AR | Drawing List'!$G:$G,"AR-SS0-1",'AR | Drawing List'!M:M,1)</f>
        <v>0</v>
      </c>
      <c r="AT145" s="506">
        <f>COUNTIFS('AR | Drawing List'!$G:$G,"AR-SS0-1",'AR | Drawing List'!N:N,1)</f>
        <v>0</v>
      </c>
      <c r="AU145" s="506">
        <f>COUNTIFS('AR | Drawing List'!$G:$G,"AR-SS0-1",'AR | Drawing List'!O:O,1)</f>
        <v>0</v>
      </c>
      <c r="AV145" s="506">
        <f>COUNTIFS('AR | Drawing List'!$G:$G,"AR-SS0-1",'AR | Drawing List'!P:P,1)</f>
        <v>0</v>
      </c>
      <c r="AW145" s="466"/>
      <c r="AX145" s="506">
        <f t="shared" si="715"/>
        <v>0</v>
      </c>
      <c r="AY145" s="506">
        <f>COUNTIFS('AR | Drawing List'!$G:$G,"AR-SS0-1",'AR | Drawing List'!R:R,1)</f>
        <v>0</v>
      </c>
      <c r="AZ145" s="506">
        <f>COUNTIFS('AR | Drawing List'!$G:$G,"AR-SS0-1",'AR | Drawing List'!S:S,1)</f>
        <v>0</v>
      </c>
      <c r="BA145" s="506">
        <f>COUNTIFS('AR | Drawing List'!$G:$G,"AR-SS0-1",'AR | Drawing List'!T:T,1)</f>
        <v>0</v>
      </c>
      <c r="BB145" s="506">
        <f>COUNTIFS('AR | Drawing List'!$G:$G,"AR-SS0-1",'AR | Drawing List'!U:U,1)</f>
        <v>0</v>
      </c>
      <c r="BC145" s="466"/>
      <c r="BD145" s="466"/>
      <c r="BE145" s="511">
        <v>0.05</v>
      </c>
      <c r="BF145" s="508"/>
      <c r="BG145" s="506">
        <f>$BG$144*BE145</f>
        <v>6.7984125000000006E-2</v>
      </c>
      <c r="BH145" s="510">
        <f t="shared" si="717"/>
        <v>6.7984125000000006E-2</v>
      </c>
      <c r="BI145" s="514">
        <f>IFERROR(IF(BV145=100%,BG145,0),0)</f>
        <v>6.7984125000000006E-2</v>
      </c>
      <c r="BJ145" s="514">
        <f>IFERROR(IF(AND((BV145+BW145)=100%,BV145&lt;1),BG145,0),0)</f>
        <v>0</v>
      </c>
      <c r="BK145" s="514">
        <f t="shared" ref="BK145:BK176" si="782">IFERROR(IF(AND((CA145+CC145)=BZ145,BI145=0),BG145,0),0)</f>
        <v>0</v>
      </c>
      <c r="BL145" s="514">
        <f t="shared" ref="BL145:BL176" si="783">IFERROR(IF(AND((CA145+CC145+CD145)=BZ145,BI145=0,BK145=0),BG145,0),0)</f>
        <v>0</v>
      </c>
      <c r="BM145" s="514">
        <f t="shared" ref="BM145:BM176" si="784">IFERROR(IF(AND((CA145+CC145+CD145+CE145)=BZ145,BI145=0,BK145=0,BL145=0),BG145,0),0)</f>
        <v>0</v>
      </c>
      <c r="BN145" s="514">
        <f t="shared" ref="BN145:BN176" si="785">IFERROR(IF(AND((CA145+CC145+CD145+CE145+CF145)=BZ145,BI145=0,BK145=0,BL145=0,BM145=0),BG145,0),0)</f>
        <v>0</v>
      </c>
      <c r="BO145" s="501"/>
      <c r="BP145" s="514">
        <f t="shared" ref="BP145:BP165" si="786">IFERROR(IF(AND((BV145+BX145)=100%,BV145&lt;1),BG145,0),0)</f>
        <v>0</v>
      </c>
      <c r="BQ145" s="514">
        <f>IFERROR(IF(AND((CA145+CI145)=BZ145,BI145=0),BG145,0),0)</f>
        <v>0</v>
      </c>
      <c r="BR145" s="514">
        <f>IFERROR(IF(AND((CA145+CI145+CJ145)=BZ145,BI145=0,BQ145=0),BG145,0),0)</f>
        <v>0</v>
      </c>
      <c r="BS145" s="514">
        <f>IFERROR(IF(AND((CA145+CI145+CJ145+CK145)=BZ145,BI145=0,BQ145=0,BR145=0),BG145,0),0)</f>
        <v>0</v>
      </c>
      <c r="BT145" s="514">
        <f>IFERROR(IF(AND((CA145+CI145+CJ145+CK145+CL145)=BZ145,BI145=0,BQ145=0,BR145=0,BS145=0),BG145,0),0)</f>
        <v>0</v>
      </c>
      <c r="BU145" s="501"/>
      <c r="BV145" s="571">
        <f t="shared" ref="BV145:BV188" si="787">IFERROR(CA145/BZ145,0)</f>
        <v>1</v>
      </c>
      <c r="BW145" s="571">
        <f t="shared" ref="BW145:BW188" si="788">IFERROR(CB145/BZ145,0)</f>
        <v>0</v>
      </c>
      <c r="BX145" s="571">
        <f t="shared" ref="BX145:BX188" si="789">IFERROR(CH145/BZ145,0)</f>
        <v>0</v>
      </c>
      <c r="BY145" s="505"/>
      <c r="BZ145" s="514">
        <f>COUNTIF('ST | Drawing List'!$G:$G,"ST-SS0-1")</f>
        <v>1</v>
      </c>
      <c r="CA145" s="506">
        <f>COUNTIFS('ST | Drawing List'!$G:$G,"ST-SS0-1",'ST | Drawing List'!$I:$I,1)</f>
        <v>1</v>
      </c>
      <c r="CB145" s="572">
        <f>COUNTIFS('ST | Drawing List'!$G:$G,"ST-SS0-1",'ST | Drawing List'!$K:$K,1)</f>
        <v>0</v>
      </c>
      <c r="CC145" s="506">
        <f>COUNTIFS('ST | Drawing List'!$G:$G,"ST-SS0-1",'ST | Drawing List'!L:L,1)</f>
        <v>0</v>
      </c>
      <c r="CD145" s="506">
        <f>COUNTIFS('ST | Drawing List'!$G:$G,"ST-SS0-1",'ST | Drawing List'!M:M,1)</f>
        <v>0</v>
      </c>
      <c r="CE145" s="506">
        <f>COUNTIFS('ST | Drawing List'!$G:$G,"ST-SS0-1",'ST | Drawing List'!N:N,1)</f>
        <v>0</v>
      </c>
      <c r="CF145" s="506">
        <f>COUNTIFS('ST | Drawing List'!$G:$G,"ST-SS0-1",'ST | Drawing List'!O:O,1)</f>
        <v>0</v>
      </c>
      <c r="CG145" s="471"/>
      <c r="CH145" s="572">
        <f>COUNTIFS('ST | Drawing List'!$G:$G,"ST-SS0-1",'ST | Drawing List'!$P:$P,1)</f>
        <v>0</v>
      </c>
      <c r="CI145" s="506">
        <f>COUNTIFS('ST | Drawing List'!$G:$G,"ST-SS0-1",'ST | Drawing List'!Q:Q,1)</f>
        <v>0</v>
      </c>
      <c r="CJ145" s="506">
        <f>COUNTIFS('ST | Drawing List'!$G:$G,"ST-SS0-1",'ST | Drawing List'!R:R,1)</f>
        <v>0</v>
      </c>
      <c r="CK145" s="506">
        <f>COUNTIFS('ST | Drawing List'!$G:$G,"ST-SS0-1",'ST | Drawing List'!S:S,1)</f>
        <v>0</v>
      </c>
      <c r="CL145" s="506">
        <f>COUNTIFS('ST | Drawing List'!$G:$G,"ST-SS0-1",'ST | Drawing List'!T:T,1)</f>
        <v>0</v>
      </c>
      <c r="CM145" s="508"/>
      <c r="CN145" s="508"/>
      <c r="CO145" s="576">
        <v>0</v>
      </c>
      <c r="CP145" s="508"/>
      <c r="CQ145" s="506">
        <f>$CQ$144/$CO$144*CO145</f>
        <v>0</v>
      </c>
      <c r="CR145" s="510">
        <f t="shared" si="733"/>
        <v>0</v>
      </c>
      <c r="CS145" s="514">
        <f>IFERROR(IF(DF145=100%,CQ145,0),0)</f>
        <v>0</v>
      </c>
      <c r="CT145" s="514">
        <f t="shared" ref="CT145:CT148" si="790">IFERROR(IF(AND((DF145+DG145)=100%,DF145&lt;1),CQ145,0),0)</f>
        <v>0</v>
      </c>
      <c r="CU145" s="514">
        <f t="shared" ref="CU145:CU148" si="791">IFERROR(IF(AND((DK145+DM145)=DJ145,CS145=0),CQ145,0),0)</f>
        <v>0</v>
      </c>
      <c r="CV145" s="514">
        <f t="shared" ref="CV145:CV148" si="792">IFERROR(IF(AND((DK145+DM145+DN145)=DJ145,CS145=0,CU145=0),CQ145,0),0)</f>
        <v>0</v>
      </c>
      <c r="CW145" s="514">
        <f t="shared" ref="CW145:CW148" si="793">IFERROR(IF(AND((DK145+DM145+DN145+DO145)=DJ145,CS145=0,CU145=0,CV145=0),CQ145,0),0)</f>
        <v>0</v>
      </c>
      <c r="CX145" s="514">
        <f t="shared" ref="CX145:CX148" si="794">IFERROR(IF(AND((DK145+DM145+DN145+DO145+DP145)=DJ145,CS145=0,CU145=0,CV145=0,CW145=0),CQ145,0),0)</f>
        <v>0</v>
      </c>
      <c r="CY145" s="501"/>
      <c r="CZ145" s="514">
        <f t="shared" ref="CZ145:CZ148" si="795">IFERROR(IF(AND((DF145+DH145)=100%,DF145&lt;1),CQ145,0),0)</f>
        <v>0</v>
      </c>
      <c r="DA145" s="514">
        <f t="shared" ref="DA145:DA148" si="796">IFERROR(IF(AND((DK145+DS145)=DJ145,CS145=0),CQ145,0),0)</f>
        <v>0</v>
      </c>
      <c r="DB145" s="514">
        <f t="shared" ref="DB145:DB148" si="797">IFERROR(IF(AND((DK145+DS145+DT145)=DJ145,CS145=0,DA145=0),CQ145,0),0)</f>
        <v>0</v>
      </c>
      <c r="DC145" s="514">
        <f t="shared" ref="DC145:DC148" si="798">IFERROR(IF(AND((DK145+DS145+DT145+DU145)=DJ145,CS145=0,DA145=0,DB145=0),CQ145,0),0)</f>
        <v>0</v>
      </c>
      <c r="DD145" s="514">
        <f t="shared" ref="DD145:DD148" si="799">IFERROR(IF(AND((DK145+DS145+DT145+DU145+DV145)=DJ145,CS145=0,DA145=0,DB145=0,DC145=0),CQ145,0),0)</f>
        <v>0</v>
      </c>
      <c r="DE145" s="501"/>
      <c r="DF145" s="570">
        <f t="shared" ref="DF145:DF148" si="800">IFERROR(DK145/DJ145,0)</f>
        <v>0</v>
      </c>
      <c r="DG145" s="570">
        <f t="shared" ref="DG145:DG148" si="801">IFERROR(DL145/DJ145,0)</f>
        <v>0</v>
      </c>
      <c r="DH145" s="570">
        <f t="shared" ref="DH145:DH148" si="802">IFERROR(DR145/DJ145,0)</f>
        <v>0</v>
      </c>
      <c r="DI145" s="505"/>
      <c r="DJ145" s="514">
        <f>COUNTIF('MEP | Drawing List'!$G:$G,"MEP-SS0-1")</f>
        <v>0</v>
      </c>
      <c r="DK145" s="506">
        <f>COUNTIFS('MEP | Drawing List'!$G:$G,"MEP-SS0-1",'MEP | Drawing List'!$I:$I,1)</f>
        <v>0</v>
      </c>
      <c r="DL145" s="506">
        <f>COUNTIFS('MEP | Drawing List'!$G:$G,"MEP-SS0-1",'MEP | Drawing List'!$K:$K,1)</f>
        <v>0</v>
      </c>
      <c r="DM145" s="514">
        <f>COUNTIFS('MEP | Drawing List'!$G:$G,"MEP-SSO-1",'MEP | Drawing List'!L:L,1)</f>
        <v>0</v>
      </c>
      <c r="DN145" s="514">
        <f>COUNTIFS('MEP | Drawing List'!$G:$G,"MEP-SSO-1",'MEP | Drawing List'!M:M,1)</f>
        <v>0</v>
      </c>
      <c r="DO145" s="514">
        <f>COUNTIFS('MEP | Drawing List'!$G:$G,"MEP-SSO-1",'MEP | Drawing List'!N:N,1)</f>
        <v>0</v>
      </c>
      <c r="DP145" s="514">
        <f>COUNTIFS('MEP | Drawing List'!$G:$G,"MEP-SSO-1",'MEP | Drawing List'!O:O,1)</f>
        <v>0</v>
      </c>
      <c r="DQ145" s="501"/>
      <c r="DR145" s="506">
        <f>COUNTIFS('MEP | Drawing List'!$G:$G,"MEP-SS0-1",'MEP | Drawing List'!$P:$P,1)</f>
        <v>0</v>
      </c>
      <c r="DS145" s="514">
        <f>COUNTIFS('MEP | Drawing List'!$G:$G,"MEP-SSO-1",'MEP | Drawing List'!Q:Q,1)</f>
        <v>0</v>
      </c>
      <c r="DT145" s="514">
        <f>COUNTIFS('MEP | Drawing List'!$G:$G,"MEP-SSO-1",'MEP | Drawing List'!R:R,1)</f>
        <v>0</v>
      </c>
      <c r="DU145" s="514">
        <f>COUNTIFS('MEP | Drawing List'!$G:$G,"MEP-SSO-1",'MEP | Drawing List'!S:S,1)</f>
        <v>0</v>
      </c>
      <c r="DV145" s="514">
        <f>COUNTIFS('MEP | Drawing List'!$G:$G,"MEP-SSO-1",'MEP | Drawing List'!T:T,1)</f>
        <v>0</v>
      </c>
      <c r="DW145" s="508"/>
      <c r="DX145" s="508"/>
      <c r="DY145" s="511">
        <v>0</v>
      </c>
      <c r="DZ145" s="508"/>
      <c r="EA145" s="509">
        <v>0</v>
      </c>
      <c r="EB145" s="510">
        <f t="shared" si="748"/>
        <v>0</v>
      </c>
      <c r="EC145" s="514">
        <f>IFERROR(IF(EP145=100%,EA145,0),0)</f>
        <v>0</v>
      </c>
      <c r="ED145" s="514">
        <f>IFERROR(IF(AND((EP145+EQ145)=100%,EP145&lt;1),EA145,0),0)</f>
        <v>0</v>
      </c>
      <c r="EE145" s="514">
        <f>IFERROR(IF(AND((EU145+EW145)=ET145,EC145=0),EA145,0),0)</f>
        <v>0</v>
      </c>
      <c r="EF145" s="514">
        <f>IFERROR(IF(AND((EU145+EW145+EX145)=ET145,EC145=0,EE145=0),EA145,0),0)</f>
        <v>0</v>
      </c>
      <c r="EG145" s="514">
        <f>IFERROR(IF(AND((EU145+EW145+EX145+EY145)=ET145,EC145=0,EE145=0,EF145=0),EA145,0),0)</f>
        <v>0</v>
      </c>
      <c r="EH145" s="514">
        <f>IFERROR(IF(AND((EU145+EW145+EX145+EY145+EZ145)=ET145,EC145=0,EE145=0,EF145=0,EG145=0),EA145,0),0)</f>
        <v>0</v>
      </c>
      <c r="EI145" s="501"/>
      <c r="EJ145" s="514">
        <f>IFERROR(IF(AND((EU145+EV145)=100%,EU145&lt;1),EG145,0),0)</f>
        <v>0</v>
      </c>
      <c r="EK145" s="514">
        <f>IFERROR(IF(AND((EZ145+FC145)=EY145,EH145=0),EG145,0),0)</f>
        <v>0</v>
      </c>
      <c r="EL145" s="514">
        <f>IFERROR(IF(AND((EZ145+FC145+FD145)=EY145,EH145=0,EK145=0),EG145,0),0)</f>
        <v>0</v>
      </c>
      <c r="EM145" s="514">
        <f>IFERROR(IF(AND((EZ145+FC145+FD145+FE145)=EY145,EH145=0,EK145=0,EL145=0),EG145,0),0)</f>
        <v>0</v>
      </c>
      <c r="EN145" s="514">
        <f>IFERROR(IF(AND((EZ145+FC145+FD145+FE145+FF145)=EY145,EH145=0,EK145=0,EL145=0,EM145=0),EG145,0),0)</f>
        <v>0</v>
      </c>
      <c r="EO145" s="501"/>
      <c r="EP145" s="570">
        <f>IFERROR(EU145/ET145,0)</f>
        <v>0</v>
      </c>
      <c r="EQ145" s="570">
        <f>IFERROR(EV145/ET145,0)</f>
        <v>0</v>
      </c>
      <c r="ER145" s="570">
        <f>IFERROR(#REF!/ET145,0)</f>
        <v>0</v>
      </c>
      <c r="ES145" s="516"/>
      <c r="ET145" s="514">
        <f>COUNTIF('LS | Drawing List'!$G:$G,"LS-SS0-1")</f>
        <v>0</v>
      </c>
      <c r="EU145" s="506">
        <f>COUNTIFS('LS | Drawing List'!$G:$G,"LS-SS0-1",'LS | Drawing List'!$I:$I,1)</f>
        <v>0</v>
      </c>
      <c r="EV145" s="506">
        <f>COUNTIFS('LS | Drawing List'!$G:$G,"LS-SS0-1",'LS | Drawing List'!$K:$K,1)</f>
        <v>0</v>
      </c>
      <c r="EW145" s="514">
        <f>COUNTIFS('LS | Drawing List'!$G:$G,"LS-SS0-1",'LS | Drawing List'!L:L,1)</f>
        <v>0</v>
      </c>
      <c r="EX145" s="514">
        <f>COUNTIFS('LS | Drawing List'!$G:$G,"LS-SS0-1",'LS | Drawing List'!M:M,1)</f>
        <v>0</v>
      </c>
      <c r="EY145" s="514">
        <f>COUNTIFS('LS | Drawing List'!$G:$G,"LS-SS0-1",'LS | Drawing List'!N:N,1)</f>
        <v>0</v>
      </c>
      <c r="EZ145" s="514">
        <f>COUNTIFS('LS | Drawing List'!$G:$G,"LS-SS0-1",'LS | Drawing List'!O:O,1)</f>
        <v>0</v>
      </c>
      <c r="FA145" s="515"/>
      <c r="FB145" s="506">
        <f>COUNTIFS('LS | Drawing List'!$G:$G,"LS-SS0-1",'LS | Drawing List'!$P:$P,1)</f>
        <v>0</v>
      </c>
      <c r="FC145" s="514">
        <f>COUNTIFS('LS | Drawing List'!$G:$G,"LS-SS0-1",'LS | Drawing List'!Q:Q,1)</f>
        <v>0</v>
      </c>
      <c r="FD145" s="514">
        <f>COUNTIFS('LS | Drawing List'!$G:$G,"LS-SS0-1",'LS | Drawing List'!R:R,1)</f>
        <v>0</v>
      </c>
      <c r="FE145" s="514">
        <f>COUNTIFS('LS | Drawing List'!$G:$G,"LS-SS0-1",'LS | Drawing List'!S:S,1)</f>
        <v>0</v>
      </c>
      <c r="FF145" s="514">
        <f>COUNTIFS('LS | Drawing List'!$G:$G,"LS-SS0-1",'LS | Drawing List'!T:T,1)</f>
        <v>0</v>
      </c>
    </row>
    <row r="146" spans="2:165" ht="14.25" outlineLevel="2">
      <c r="B146" s="564" t="s">
        <v>151</v>
      </c>
      <c r="C146" s="565">
        <v>2</v>
      </c>
      <c r="D146" s="566" t="s">
        <v>152</v>
      </c>
      <c r="F146" s="500">
        <f t="shared" si="775"/>
        <v>0.84730500000000009</v>
      </c>
      <c r="G146" s="500">
        <f t="shared" si="776"/>
        <v>0.84730500000000009</v>
      </c>
      <c r="H146" s="514">
        <f t="shared" si="777"/>
        <v>0</v>
      </c>
      <c r="I146" s="514">
        <f t="shared" si="749"/>
        <v>0</v>
      </c>
      <c r="J146" s="514">
        <f t="shared" si="750"/>
        <v>0</v>
      </c>
      <c r="K146" s="514">
        <f t="shared" si="751"/>
        <v>0</v>
      </c>
      <c r="L146" s="514">
        <f t="shared" si="752"/>
        <v>0</v>
      </c>
      <c r="M146" s="567">
        <f t="shared" si="753"/>
        <v>0</v>
      </c>
      <c r="N146" s="568"/>
      <c r="O146" s="514">
        <f t="shared" si="754"/>
        <v>0</v>
      </c>
      <c r="P146" s="514">
        <f t="shared" si="755"/>
        <v>0</v>
      </c>
      <c r="Q146" s="514">
        <f t="shared" si="756"/>
        <v>0</v>
      </c>
      <c r="R146" s="514">
        <f t="shared" si="757"/>
        <v>0</v>
      </c>
      <c r="S146" s="514">
        <f t="shared" si="758"/>
        <v>0</v>
      </c>
      <c r="U146" s="569">
        <v>0.15</v>
      </c>
      <c r="V146" s="503"/>
      <c r="W146" s="500">
        <f>$W$144/$U$144*U146</f>
        <v>0.79942500000000005</v>
      </c>
      <c r="X146" s="500">
        <f t="shared" si="700"/>
        <v>0.79942500000000005</v>
      </c>
      <c r="Y146" s="514">
        <f>IFERROR(IF(AL146=100%,W146,0),0)</f>
        <v>0.79942500000000005</v>
      </c>
      <c r="Z146" s="514">
        <f>IFERROR(IF(AND((AL146+AM146)=100%,AL146&lt;1),W146,0),0)</f>
        <v>0</v>
      </c>
      <c r="AA146" s="514">
        <f t="shared" si="778"/>
        <v>0</v>
      </c>
      <c r="AB146" s="514">
        <f t="shared" si="779"/>
        <v>0</v>
      </c>
      <c r="AC146" s="514">
        <f t="shared" si="780"/>
        <v>0</v>
      </c>
      <c r="AD146" s="567">
        <f t="shared" si="781"/>
        <v>0</v>
      </c>
      <c r="AE146" s="568"/>
      <c r="AF146" s="514">
        <f>IFERROR(IF(AND((AL146+AN146)=100%,AL146&lt;1),W146,0),0)</f>
        <v>0</v>
      </c>
      <c r="AG146" s="514">
        <f>IFERROR(IF(AND((AQ146+AY146)=AP146,Y146=0),W146,0),0)</f>
        <v>0</v>
      </c>
      <c r="AH146" s="514">
        <f>IFERROR(IF(AND((AQ146+AY146+AZ146)=AP146,Y146=0,AG146=0),W146,0),0)</f>
        <v>0</v>
      </c>
      <c r="AI146" s="514">
        <f>IFERROR(IF(AND((AQ146+AY146+AZ146+BA146)=AP146,Y146=0,AG146=0,AH146=0),W146,0),0)</f>
        <v>0</v>
      </c>
      <c r="AJ146" s="514">
        <f>IFERROR(IF(AND((AQ146+AY146+AZ146+BA146+BB146)=AP146,Y146=0,AG146=0,AH146=0,AI146=0),W146,0),0)</f>
        <v>0</v>
      </c>
      <c r="AK146" s="501"/>
      <c r="AL146" s="570">
        <f>IFERROR(AQ146/AP146,0)</f>
        <v>1</v>
      </c>
      <c r="AM146" s="570">
        <f>IFERROR(AR146/AP146,0)</f>
        <v>0</v>
      </c>
      <c r="AN146" s="570">
        <f>IFERROR(AX146/AP146,0)</f>
        <v>0</v>
      </c>
      <c r="AO146" s="505"/>
      <c r="AP146" s="514">
        <f>COUNTIF('AR | Drawing List'!$G:$G,"AR-SS0-2")</f>
        <v>1</v>
      </c>
      <c r="AQ146" s="506">
        <f>COUNTIFS('AR | Drawing List'!$G:$G,"AR-SS0-2",'AR | Drawing List'!$I:$I,1)</f>
        <v>1</v>
      </c>
      <c r="AR146" s="506">
        <f t="shared" si="684"/>
        <v>0</v>
      </c>
      <c r="AS146" s="506">
        <f>COUNTIFS('AR | Drawing List'!$G:$G,"AR-SS0-2",'AR | Drawing List'!M:M,1)</f>
        <v>0</v>
      </c>
      <c r="AT146" s="506">
        <f>COUNTIFS('AR | Drawing List'!$G:$G,"AR-SS0-2",'AR | Drawing List'!N:N,1)</f>
        <v>0</v>
      </c>
      <c r="AU146" s="506">
        <f>COUNTIFS('AR | Drawing List'!$G:$G,"AR-SS0-2",'AR | Drawing List'!O:O,1)</f>
        <v>0</v>
      </c>
      <c r="AV146" s="506">
        <f>COUNTIFS('AR | Drawing List'!$G:$G,"AR-SS0-2",'AR | Drawing List'!P:P,1)</f>
        <v>0</v>
      </c>
      <c r="AW146" s="466"/>
      <c r="AX146" s="506">
        <f t="shared" si="715"/>
        <v>0</v>
      </c>
      <c r="AY146" s="506">
        <f>COUNTIFS('AR | Drawing List'!$G:$G,"AR-SS0-2",'AR | Drawing List'!R:R,1)</f>
        <v>0</v>
      </c>
      <c r="AZ146" s="506">
        <f>COUNTIFS('AR | Drawing List'!$G:$G,"AR-SS0-2",'AR | Drawing List'!S:S,1)</f>
        <v>0</v>
      </c>
      <c r="BA146" s="506">
        <f>COUNTIFS('AR | Drawing List'!$G:$G,"AR-SS0-2",'AR | Drawing List'!T:T,1)</f>
        <v>0</v>
      </c>
      <c r="BB146" s="506">
        <f>COUNTIFS('AR | Drawing List'!$G:$G,"AR-SS0-2",'AR | Drawing List'!U:U,1)</f>
        <v>0</v>
      </c>
      <c r="BC146" s="466"/>
      <c r="BD146" s="466"/>
      <c r="BE146" s="576">
        <v>0</v>
      </c>
      <c r="BF146" s="508"/>
      <c r="BG146" s="469"/>
      <c r="BH146" s="510">
        <f t="shared" si="717"/>
        <v>0</v>
      </c>
      <c r="BI146" s="447"/>
      <c r="BJ146" s="447"/>
      <c r="BK146" s="514">
        <f t="shared" si="782"/>
        <v>0</v>
      </c>
      <c r="BL146" s="514">
        <f t="shared" si="783"/>
        <v>0</v>
      </c>
      <c r="BM146" s="514">
        <f t="shared" si="784"/>
        <v>0</v>
      </c>
      <c r="BN146" s="514">
        <f t="shared" si="785"/>
        <v>0</v>
      </c>
      <c r="BO146" s="501"/>
      <c r="BP146" s="514">
        <f t="shared" si="786"/>
        <v>0</v>
      </c>
      <c r="BQ146" s="514">
        <f>IFERROR(IF(AND((CA146+CI146)=BZ146,BI146=0),BG146,0),0)</f>
        <v>0</v>
      </c>
      <c r="BR146" s="514">
        <f>IFERROR(IF(AND((CA146+CI146+CJ146)=BZ146,BI146=0,BQ146=0),BG146,0),0)</f>
        <v>0</v>
      </c>
      <c r="BS146" s="514">
        <f>IFERROR(IF(AND((CA146+CI146+CJ146+CK146)=BZ146,BI146=0,BQ146=0,BR146=0),BG146,0),0)</f>
        <v>0</v>
      </c>
      <c r="BT146" s="514">
        <f>IFERROR(IF(AND((CA146+CI146+CJ146+CK146+CL146)=BZ146,BI146=0,BQ146=0,BR146=0,BS146=0),BG146,0),0)</f>
        <v>0</v>
      </c>
      <c r="BU146" s="501"/>
      <c r="BV146" s="571">
        <f t="shared" si="787"/>
        <v>0</v>
      </c>
      <c r="BW146" s="571">
        <f t="shared" si="788"/>
        <v>0</v>
      </c>
      <c r="BX146" s="571">
        <f t="shared" si="789"/>
        <v>0</v>
      </c>
      <c r="BY146" s="520"/>
      <c r="BZ146" s="471"/>
      <c r="CA146" s="471"/>
      <c r="CB146" s="548"/>
      <c r="CC146" s="512"/>
      <c r="CD146" s="512"/>
      <c r="CE146" s="512"/>
      <c r="CF146" s="512"/>
      <c r="CG146" s="512"/>
      <c r="CH146" s="548"/>
      <c r="CI146" s="512"/>
      <c r="CJ146" s="512"/>
      <c r="CK146" s="512"/>
      <c r="CL146" s="512"/>
      <c r="CM146" s="508"/>
      <c r="CN146" s="508"/>
      <c r="CO146" s="511">
        <v>0.2</v>
      </c>
      <c r="CP146" s="508"/>
      <c r="CQ146" s="506">
        <f>$CQ$144/$CO$144*CO146</f>
        <v>4.7880000000000006E-2</v>
      </c>
      <c r="CR146" s="510">
        <f t="shared" si="733"/>
        <v>4.7880000000000006E-2</v>
      </c>
      <c r="CS146" s="514">
        <f>IFERROR(IF(DF146=100%,CQ146,0),0)</f>
        <v>4.7880000000000006E-2</v>
      </c>
      <c r="CT146" s="514">
        <f t="shared" si="790"/>
        <v>0</v>
      </c>
      <c r="CU146" s="514">
        <f t="shared" si="791"/>
        <v>0</v>
      </c>
      <c r="CV146" s="514">
        <f t="shared" si="792"/>
        <v>0</v>
      </c>
      <c r="CW146" s="514">
        <f t="shared" si="793"/>
        <v>0</v>
      </c>
      <c r="CX146" s="514">
        <f t="shared" si="794"/>
        <v>0</v>
      </c>
      <c r="CY146" s="501"/>
      <c r="CZ146" s="514">
        <f t="shared" si="795"/>
        <v>0</v>
      </c>
      <c r="DA146" s="514">
        <f t="shared" si="796"/>
        <v>0</v>
      </c>
      <c r="DB146" s="514">
        <f t="shared" si="797"/>
        <v>0</v>
      </c>
      <c r="DC146" s="514">
        <f t="shared" si="798"/>
        <v>0</v>
      </c>
      <c r="DD146" s="514">
        <f t="shared" si="799"/>
        <v>0</v>
      </c>
      <c r="DE146" s="501"/>
      <c r="DF146" s="570">
        <f t="shared" si="800"/>
        <v>1</v>
      </c>
      <c r="DG146" s="570">
        <f t="shared" si="801"/>
        <v>0</v>
      </c>
      <c r="DH146" s="570">
        <f t="shared" si="802"/>
        <v>0</v>
      </c>
      <c r="DI146" s="520"/>
      <c r="DJ146" s="514">
        <f>COUNTIF('MEP | Drawing List'!$G:$G,"MEP-SS0-2")</f>
        <v>5</v>
      </c>
      <c r="DK146" s="506">
        <f>COUNTIFS('MEP | Drawing List'!$G:$G,"MEP-SS0-2",'MEP | Drawing List'!$I:$I,1)</f>
        <v>5</v>
      </c>
      <c r="DL146" s="506">
        <f>COUNTIFS('MEP | Drawing List'!$G:$G,"MEP-SS0-2",'MEP | Drawing List'!$K:$K,1)</f>
        <v>0</v>
      </c>
      <c r="DM146" s="514">
        <f>COUNTIFS('MEP | Drawing List'!$G:$G,"MEP-SSO-2",'MEP | Drawing List'!L:L,1)</f>
        <v>0</v>
      </c>
      <c r="DN146" s="514">
        <f>COUNTIFS('MEP | Drawing List'!$G:$G,"MEP-SSO-2",'MEP | Drawing List'!M:M,1)</f>
        <v>0</v>
      </c>
      <c r="DO146" s="514">
        <f>COUNTIFS('MEP | Drawing List'!$G:$G,"MEP-SSO-2",'MEP | Drawing List'!N:N,1)</f>
        <v>0</v>
      </c>
      <c r="DP146" s="514">
        <f>COUNTIFS('MEP | Drawing List'!$G:$G,"MEP-SSO-2",'MEP | Drawing List'!O:O,1)</f>
        <v>0</v>
      </c>
      <c r="DQ146" s="501"/>
      <c r="DR146" s="506">
        <f>COUNTIFS('MEP | Drawing List'!$G:$G,"MEP-SS0-2",'MEP | Drawing List'!$P:$P,1)</f>
        <v>0</v>
      </c>
      <c r="DS146" s="514">
        <f>COUNTIFS('MEP | Drawing List'!$G:$G,"MEP-SSO-2",'MEP | Drawing List'!Q:Q,1)</f>
        <v>0</v>
      </c>
      <c r="DT146" s="514">
        <f>COUNTIFS('MEP | Drawing List'!$G:$G,"MEP-SSO-2",'MEP | Drawing List'!R:R,1)</f>
        <v>0</v>
      </c>
      <c r="DU146" s="514">
        <f>COUNTIFS('MEP | Drawing List'!$G:$G,"MEP-SSO-2",'MEP | Drawing List'!S:S,1)</f>
        <v>0</v>
      </c>
      <c r="DV146" s="514">
        <f>COUNTIFS('MEP | Drawing List'!$G:$G,"MEP-SSO-2",'MEP | Drawing List'!T:T,1)</f>
        <v>0</v>
      </c>
      <c r="DW146" s="508"/>
      <c r="DX146" s="508"/>
      <c r="DY146" s="511">
        <v>0</v>
      </c>
      <c r="DZ146" s="508"/>
      <c r="EA146" s="509">
        <v>0</v>
      </c>
      <c r="EB146" s="510">
        <f t="shared" si="748"/>
        <v>0</v>
      </c>
      <c r="EC146" s="514">
        <f>IFERROR(IF(EP146=100%,EA146,0),0)</f>
        <v>0</v>
      </c>
      <c r="ED146" s="514">
        <f>IFERROR(IF(AND((EP146+EQ146)=100%,EP146&lt;1),EA146,0),0)</f>
        <v>0</v>
      </c>
      <c r="EE146" s="514">
        <f>IFERROR(IF(AND((EU146+EW146)=ET146,EC146=0),EA146,0),0)</f>
        <v>0</v>
      </c>
      <c r="EF146" s="514">
        <f>IFERROR(IF(AND((EU146+EW146+EX146)=ET146,EC146=0,EE146=0),EA146,0),0)</f>
        <v>0</v>
      </c>
      <c r="EG146" s="514">
        <f>IFERROR(IF(AND((EU146+EW146+EX146+EY146)=ET146,EC146=0,EE146=0,EF146=0),EA146,0),0)</f>
        <v>0</v>
      </c>
      <c r="EH146" s="514">
        <f>IFERROR(IF(AND((EU146+EW146+EX146+EY146+EZ146)=ET146,EC146=0,EE146=0,EF146=0,EG146=0),EA146,0),0)</f>
        <v>0</v>
      </c>
      <c r="EI146" s="501"/>
      <c r="EJ146" s="514">
        <f>IFERROR(IF(AND((EU146+EV146)=100%,EU146&lt;1),EG146,0),0)</f>
        <v>0</v>
      </c>
      <c r="EK146" s="514">
        <f>IFERROR(IF(AND((EZ146+FC146)=EY146,EH146=0),EG146,0),0)</f>
        <v>0</v>
      </c>
      <c r="EL146" s="514">
        <f>IFERROR(IF(AND((EZ146+FC146+FD146)=EY146,EH146=0,EK146=0),EG146,0),0)</f>
        <v>0</v>
      </c>
      <c r="EM146" s="514">
        <f>IFERROR(IF(AND((EZ146+FC146+FD146+FE146)=EY146,EH146=0,EK146=0,EL146=0),EG146,0),0)</f>
        <v>0</v>
      </c>
      <c r="EN146" s="514">
        <f>IFERROR(IF(AND((EZ146+FC146+FD146+FE146+FF146)=EY146,EH146=0,EK146=0,EL146=0,EM146=0),EG146,0),0)</f>
        <v>0</v>
      </c>
      <c r="EO146" s="501"/>
      <c r="EP146" s="570">
        <f>IFERROR(EU146/ET146,0)</f>
        <v>0</v>
      </c>
      <c r="EQ146" s="570">
        <f>IFERROR(EV146/ET146,0)</f>
        <v>0</v>
      </c>
      <c r="ER146" s="570">
        <f>IFERROR(#REF!/ET146,0)</f>
        <v>0</v>
      </c>
      <c r="ES146" s="523"/>
      <c r="ET146" s="514">
        <f>COUNTIF('LS | Drawing List'!$G:$G,"LS-SS0-2")</f>
        <v>0</v>
      </c>
      <c r="EU146" s="506">
        <f>COUNTIFS('LS | Drawing List'!$G:$G,"LS-SS0-2",'LS | Drawing List'!$I:$I,1)</f>
        <v>0</v>
      </c>
      <c r="EV146" s="506">
        <f>COUNTIFS('LS | Drawing List'!$G:$G,"LS-SS0-2",'LS | Drawing List'!$K:$K,1)</f>
        <v>0</v>
      </c>
      <c r="EW146" s="514">
        <f>COUNTIFS('LS | Drawing List'!$G:$G,"LS-SS0-2",'LS | Drawing List'!L:L,1)</f>
        <v>0</v>
      </c>
      <c r="EX146" s="514">
        <f>COUNTIFS('LS | Drawing List'!$G:$G,"LS-SS0-2",'LS | Drawing List'!M:M,1)</f>
        <v>0</v>
      </c>
      <c r="EY146" s="514">
        <f>COUNTIFS('LS | Drawing List'!$G:$G,"LS-SS0-2",'LS | Drawing List'!N:N,1)</f>
        <v>0</v>
      </c>
      <c r="EZ146" s="514">
        <f>COUNTIFS('LS | Drawing List'!$G:$G,"LS-SS0-2",'LS | Drawing List'!O:O,1)</f>
        <v>0</v>
      </c>
      <c r="FA146" s="515"/>
      <c r="FB146" s="506">
        <f>COUNTIFS('LS | Drawing List'!$G:$G,"LS-SS0-2",'LS | Drawing List'!$P:$P,1)</f>
        <v>0</v>
      </c>
      <c r="FC146" s="514">
        <f>COUNTIFS('LS | Drawing List'!$G:$G,"LS-SS0-2",'LS | Drawing List'!Q:Q,1)</f>
        <v>0</v>
      </c>
      <c r="FD146" s="514">
        <f>COUNTIFS('LS | Drawing List'!$G:$G,"LS-SS0-2",'LS | Drawing List'!R:R,1)</f>
        <v>0</v>
      </c>
      <c r="FE146" s="514">
        <f>COUNTIFS('LS | Drawing List'!$G:$G,"LS-SS0-2",'LS | Drawing List'!S:S,1)</f>
        <v>0</v>
      </c>
      <c r="FF146" s="514">
        <f>COUNTIFS('LS | Drawing List'!$G:$G,"LS-SS0-2",'LS | Drawing List'!T:T,1)</f>
        <v>0</v>
      </c>
    </row>
    <row r="147" spans="2:165" s="51" customFormat="1" ht="14.25" outlineLevel="2">
      <c r="B147" s="564" t="s">
        <v>153</v>
      </c>
      <c r="C147" s="579">
        <v>3</v>
      </c>
      <c r="D147" s="580" t="s">
        <v>154</v>
      </c>
      <c r="F147" s="500">
        <f t="shared" si="775"/>
        <v>0.85927500000000001</v>
      </c>
      <c r="G147" s="500">
        <f t="shared" si="776"/>
        <v>0.85927500000000001</v>
      </c>
      <c r="H147" s="514">
        <f t="shared" si="777"/>
        <v>0</v>
      </c>
      <c r="I147" s="514">
        <f t="shared" si="749"/>
        <v>5.9850000000000007E-2</v>
      </c>
      <c r="J147" s="514">
        <f t="shared" si="750"/>
        <v>5.9850000000000007E-2</v>
      </c>
      <c r="K147" s="514">
        <f t="shared" si="751"/>
        <v>0</v>
      </c>
      <c r="L147" s="514">
        <f t="shared" si="752"/>
        <v>0</v>
      </c>
      <c r="M147" s="567">
        <f t="shared" si="753"/>
        <v>0</v>
      </c>
      <c r="N147" s="568"/>
      <c r="O147" s="514">
        <f t="shared" si="754"/>
        <v>5.9850000000000007E-2</v>
      </c>
      <c r="P147" s="514">
        <f t="shared" si="755"/>
        <v>0</v>
      </c>
      <c r="Q147" s="514">
        <f t="shared" si="756"/>
        <v>0</v>
      </c>
      <c r="R147" s="514">
        <f t="shared" si="757"/>
        <v>5.9850000000000007E-2</v>
      </c>
      <c r="S147" s="514">
        <f t="shared" si="758"/>
        <v>0</v>
      </c>
      <c r="U147" s="583">
        <v>0.15</v>
      </c>
      <c r="V147" s="584"/>
      <c r="W147" s="581">
        <f>$W$144/$U$144*U147</f>
        <v>0.79942500000000005</v>
      </c>
      <c r="X147" s="581">
        <f t="shared" si="700"/>
        <v>0.79942500000000005</v>
      </c>
      <c r="Y147" s="567">
        <f>IFERROR(IF(AL147=100%,W147,0),0)</f>
        <v>0.79942500000000005</v>
      </c>
      <c r="Z147" s="567">
        <f>IFERROR(IF(AND((AL147+AM147)=100%,AL147&lt;1),W147,0),0)</f>
        <v>0</v>
      </c>
      <c r="AA147" s="567">
        <f t="shared" si="778"/>
        <v>0</v>
      </c>
      <c r="AB147" s="567">
        <f t="shared" si="779"/>
        <v>0</v>
      </c>
      <c r="AC147" s="567">
        <f t="shared" si="780"/>
        <v>0</v>
      </c>
      <c r="AD147" s="567">
        <f t="shared" si="781"/>
        <v>0</v>
      </c>
      <c r="AE147" s="568"/>
      <c r="AF147" s="514">
        <f>IFERROR(IF(AND((AL147+AN147)=100%,AL147&lt;1),W147,0),0)</f>
        <v>0</v>
      </c>
      <c r="AG147" s="514">
        <f>IFERROR(IF(AND((AQ147+AY147)=AP147,Y147=0),W147,0),0)</f>
        <v>0</v>
      </c>
      <c r="AH147" s="514">
        <f>IFERROR(IF(AND((AQ147+AY147+AZ147)=AP147,Y147=0,AG147=0),W147,0),0)</f>
        <v>0</v>
      </c>
      <c r="AI147" s="514">
        <f>IFERROR(IF(AND((AQ147+AY147+AZ147+BA147)=AP147,Y147=0,AG147=0,AH147=0),W147,0),0)</f>
        <v>0</v>
      </c>
      <c r="AJ147" s="514">
        <f>IFERROR(IF(AND((AQ147+AY147+AZ147+BA147+BB147)=AP147,Y147=0,AG147=0,AH147=0,AI147=0),W147,0),0)</f>
        <v>0</v>
      </c>
      <c r="AK147" s="501"/>
      <c r="AL147" s="585">
        <f>IFERROR(AQ147/AP147,0)</f>
        <v>1</v>
      </c>
      <c r="AM147" s="585">
        <f>IFERROR(AR147/AP147,0)</f>
        <v>0</v>
      </c>
      <c r="AN147" s="570">
        <f>IFERROR(AX147/AP147,0)</f>
        <v>0</v>
      </c>
      <c r="AO147" s="586"/>
      <c r="AP147" s="567">
        <f>COUNTIF('AR | Drawing List'!$G:$G,"AR-SS0-3")</f>
        <v>1</v>
      </c>
      <c r="AQ147" s="582">
        <f>COUNTIFS('AR | Drawing List'!$G:$G,"AR-SS0-3",'AR | Drawing List'!$I:$I,1)</f>
        <v>1</v>
      </c>
      <c r="AR147" s="582">
        <f t="shared" si="684"/>
        <v>0</v>
      </c>
      <c r="AS147" s="582">
        <f>COUNTIFS('AR | Drawing List'!$G:$G,"AR-SS0-3",'AR | Drawing List'!M:M,1)</f>
        <v>0</v>
      </c>
      <c r="AT147" s="582">
        <f>COUNTIFS('AR | Drawing List'!$G:$G,"AR-SS0-3",'AR | Drawing List'!N:N,1)</f>
        <v>0</v>
      </c>
      <c r="AU147" s="582">
        <f>COUNTIFS('AR | Drawing List'!$G:$G,"AR-SS0-3",'AR | Drawing List'!O:O,1)</f>
        <v>0</v>
      </c>
      <c r="AV147" s="582">
        <f>COUNTIFS('AR | Drawing List'!$G:$G,"AR-SS0-3",'AR | Drawing List'!P:P,1)</f>
        <v>0</v>
      </c>
      <c r="AW147" s="587"/>
      <c r="AX147" s="582">
        <f t="shared" si="715"/>
        <v>0</v>
      </c>
      <c r="AY147" s="582">
        <f>COUNTIFS('AR | Drawing List'!$G:$G,"AR-SS0-3",'AR | Drawing List'!R:R,1)</f>
        <v>0</v>
      </c>
      <c r="AZ147" s="582">
        <f>COUNTIFS('AR | Drawing List'!$G:$G,"AR-SS0-3",'AR | Drawing List'!S:S,1)</f>
        <v>0</v>
      </c>
      <c r="BA147" s="582">
        <f>COUNTIFS('AR | Drawing List'!$G:$G,"AR-SS0-3",'AR | Drawing List'!T:T,1)</f>
        <v>0</v>
      </c>
      <c r="BB147" s="582">
        <f>COUNTIFS('AR | Drawing List'!$G:$G,"AR-SS0-3",'AR | Drawing List'!U:U,1)</f>
        <v>0</v>
      </c>
      <c r="BC147" s="587"/>
      <c r="BD147" s="587"/>
      <c r="BE147" s="576">
        <v>0</v>
      </c>
      <c r="BF147" s="588"/>
      <c r="BG147" s="617"/>
      <c r="BH147" s="589">
        <f t="shared" si="717"/>
        <v>0</v>
      </c>
      <c r="BI147" s="568"/>
      <c r="BJ147" s="568"/>
      <c r="BK147" s="514">
        <f t="shared" si="782"/>
        <v>0</v>
      </c>
      <c r="BL147" s="514">
        <f t="shared" si="783"/>
        <v>0</v>
      </c>
      <c r="BM147" s="514">
        <f t="shared" si="784"/>
        <v>0</v>
      </c>
      <c r="BN147" s="514">
        <f t="shared" si="785"/>
        <v>0</v>
      </c>
      <c r="BO147" s="501"/>
      <c r="BP147" s="514">
        <f t="shared" si="786"/>
        <v>0</v>
      </c>
      <c r="BQ147" s="514">
        <f>IFERROR(IF(AND((CA147+CI147)=BZ147,BI147=0),BG147,0),0)</f>
        <v>0</v>
      </c>
      <c r="BR147" s="514">
        <f>IFERROR(IF(AND((CA147+CI147+CJ147)=BZ147,BI147=0,BQ147=0),BG147,0),0)</f>
        <v>0</v>
      </c>
      <c r="BS147" s="514">
        <f>IFERROR(IF(AND((CA147+CI147+CJ147+CK147)=BZ147,BI147=0,BQ147=0,BR147=0),BG147,0),0)</f>
        <v>0</v>
      </c>
      <c r="BT147" s="514">
        <f>IFERROR(IF(AND((CA147+CI147+CJ147+CK147+CL147)=BZ147,BI147=0,BQ147=0,BR147=0,BS147=0),BG147,0),0)</f>
        <v>0</v>
      </c>
      <c r="BU147" s="501"/>
      <c r="BV147" s="571">
        <f t="shared" si="787"/>
        <v>0</v>
      </c>
      <c r="BW147" s="571">
        <f t="shared" si="788"/>
        <v>0</v>
      </c>
      <c r="BX147" s="571">
        <f t="shared" si="789"/>
        <v>0</v>
      </c>
      <c r="BY147" s="586"/>
      <c r="BZ147" s="618"/>
      <c r="CA147" s="591"/>
      <c r="CB147" s="619"/>
      <c r="CC147" s="620"/>
      <c r="CD147" s="620"/>
      <c r="CE147" s="620"/>
      <c r="CF147" s="620"/>
      <c r="CG147" s="620"/>
      <c r="CH147" s="619"/>
      <c r="CI147" s="620"/>
      <c r="CJ147" s="620"/>
      <c r="CK147" s="620"/>
      <c r="CL147" s="620"/>
      <c r="CM147" s="588"/>
      <c r="CN147" s="588"/>
      <c r="CO147" s="592">
        <v>0.25</v>
      </c>
      <c r="CP147" s="588"/>
      <c r="CQ147" s="582">
        <f>$CQ$144/$CO$144*CO147</f>
        <v>5.9850000000000007E-2</v>
      </c>
      <c r="CR147" s="589">
        <f t="shared" si="733"/>
        <v>5.9850000000000007E-2</v>
      </c>
      <c r="CS147" s="567">
        <f>IFERROR(IF(DF147=100%,CQ147,0),0)</f>
        <v>0</v>
      </c>
      <c r="CT147" s="514">
        <f t="shared" si="790"/>
        <v>5.9850000000000007E-2</v>
      </c>
      <c r="CU147" s="514">
        <f t="shared" si="791"/>
        <v>5.9850000000000007E-2</v>
      </c>
      <c r="CV147" s="514">
        <f t="shared" si="792"/>
        <v>0</v>
      </c>
      <c r="CW147" s="514">
        <f t="shared" si="793"/>
        <v>0</v>
      </c>
      <c r="CX147" s="514">
        <f t="shared" si="794"/>
        <v>0</v>
      </c>
      <c r="CY147" s="501"/>
      <c r="CZ147" s="514">
        <f t="shared" si="795"/>
        <v>5.9850000000000007E-2</v>
      </c>
      <c r="DA147" s="514">
        <f t="shared" si="796"/>
        <v>0</v>
      </c>
      <c r="DB147" s="514">
        <f t="shared" si="797"/>
        <v>0</v>
      </c>
      <c r="DC147" s="514">
        <f t="shared" si="798"/>
        <v>5.9850000000000007E-2</v>
      </c>
      <c r="DD147" s="514">
        <f t="shared" si="799"/>
        <v>0</v>
      </c>
      <c r="DE147" s="501"/>
      <c r="DF147" s="570">
        <f t="shared" si="800"/>
        <v>0.96</v>
      </c>
      <c r="DG147" s="570">
        <f t="shared" si="801"/>
        <v>0.04</v>
      </c>
      <c r="DH147" s="570">
        <f t="shared" si="802"/>
        <v>0.04</v>
      </c>
      <c r="DI147" s="586"/>
      <c r="DJ147" s="567">
        <f>COUNTIF('MEP | Drawing List'!$G:$G,"MEP-SS0-3")</f>
        <v>50</v>
      </c>
      <c r="DK147" s="582">
        <f>COUNTIFS('MEP | Drawing List'!$G:$G,"MEP-SS0-3",'MEP | Drawing List'!$I:$I,1)</f>
        <v>48</v>
      </c>
      <c r="DL147" s="582">
        <f>COUNTIFS('MEP | Drawing List'!$G:$G,"MEP-SS0-3",'MEP | Drawing List'!$K:$K,1)</f>
        <v>2</v>
      </c>
      <c r="DM147" s="567">
        <f>COUNTIFS('MEP | Drawing List'!$G:$G,"MEP-SS0-3",'MEP | Drawing List'!L:L,1)</f>
        <v>2</v>
      </c>
      <c r="DN147" s="567">
        <f>COUNTIFS('MEP | Drawing List'!$G:$G,"MEP-SS0-3",'MEP | Drawing List'!M:M,1)</f>
        <v>0</v>
      </c>
      <c r="DO147" s="567">
        <f>COUNTIFS('MEP | Drawing List'!$G:$G,"MEP-SS0-3",'MEP | Drawing List'!N:N,1)</f>
        <v>0</v>
      </c>
      <c r="DP147" s="567">
        <f>COUNTIFS('MEP | Drawing List'!$G:$G,"MEP-SS0-3",'MEP | Drawing List'!O:O,1)</f>
        <v>0</v>
      </c>
      <c r="DQ147" s="568"/>
      <c r="DR147" s="582">
        <f>COUNTIFS('MEP | Drawing List'!$G:$G,"MEP-SS0-3",'MEP | Drawing List'!$P:$P,1)</f>
        <v>2</v>
      </c>
      <c r="DS147" s="567">
        <f>COUNTIFS('MEP | Drawing List'!$G:$G,"MEP-SS0-3",'MEP | Drawing List'!Q:Q,1)</f>
        <v>0</v>
      </c>
      <c r="DT147" s="567">
        <f>COUNTIFS('MEP | Drawing List'!$G:$G,"MEP-SS0-3",'MEP | Drawing List'!R:R,1)</f>
        <v>1</v>
      </c>
      <c r="DU147" s="567">
        <f>COUNTIFS('MEP | Drawing List'!$G:$G,"MEP-SS0-3",'MEP | Drawing List'!S:S,1)</f>
        <v>1</v>
      </c>
      <c r="DV147" s="567">
        <f>COUNTIFS('MEP | Drawing List'!$G:$G,"MEP-SS0-3",'MEP | Drawing List'!T:T,1)</f>
        <v>0</v>
      </c>
      <c r="DW147" s="588"/>
      <c r="DX147" s="588"/>
      <c r="DY147" s="592">
        <v>0</v>
      </c>
      <c r="DZ147" s="588"/>
      <c r="EA147" s="509">
        <v>0</v>
      </c>
      <c r="EB147" s="589">
        <f t="shared" si="748"/>
        <v>0</v>
      </c>
      <c r="EC147" s="567">
        <f>IFERROR(IF(EP147=100%,EA147,0),0)</f>
        <v>0</v>
      </c>
      <c r="ED147" s="567">
        <f>IFERROR(IF(AND((EP147+EQ147)=100%,EP147&lt;1),EA147,0),0)</f>
        <v>0</v>
      </c>
      <c r="EE147" s="514">
        <f>IFERROR(IF(AND((EU147+EW147)=ET147,EC147=0),EA147,0),0)</f>
        <v>0</v>
      </c>
      <c r="EF147" s="514">
        <f>IFERROR(IF(AND((EU147+EW147+EX147)=ET147,EC147=0,EE147=0),EA147,0),0)</f>
        <v>0</v>
      </c>
      <c r="EG147" s="514">
        <f>IFERROR(IF(AND((EU147+EW147+EX147+EY147)=ET147,EC147=0,EE147=0,EF147=0),EA147,0),0)</f>
        <v>0</v>
      </c>
      <c r="EH147" s="514">
        <f>IFERROR(IF(AND((EU147+EW147+EX147+EY147+EZ147)=ET147,EC147=0,EE147=0,EF147=0,EG147=0),EA147,0),0)</f>
        <v>0</v>
      </c>
      <c r="EI147" s="501"/>
      <c r="EJ147" s="567">
        <f>IFERROR(IF(AND((EU147+EV147)=100%,EU147&lt;1),EG147,0),0)</f>
        <v>0</v>
      </c>
      <c r="EK147" s="514">
        <f>IFERROR(IF(AND((EZ147+FC147)=EY147,EH147=0),EG147,0),0)</f>
        <v>0</v>
      </c>
      <c r="EL147" s="514">
        <f>IFERROR(IF(AND((EZ147+FC147+FD147)=EY147,EH147=0,EK147=0),EG147,0),0)</f>
        <v>0</v>
      </c>
      <c r="EM147" s="514">
        <f>IFERROR(IF(AND((EZ147+FC147+FD147+FE147)=EY147,EH147=0,EK147=0,EL147=0),EG147,0),0)</f>
        <v>0</v>
      </c>
      <c r="EN147" s="514">
        <f>IFERROR(IF(AND((EZ147+FC147+FD147+FE147+FF147)=EY147,EH147=0,EK147=0,EL147=0,EM147=0),EG147,0),0)</f>
        <v>0</v>
      </c>
      <c r="EO147" s="501"/>
      <c r="EP147" s="585">
        <f>IFERROR(EU147/ET147,0)</f>
        <v>0</v>
      </c>
      <c r="EQ147" s="585">
        <f>IFERROR(EV147/ET147,0)</f>
        <v>0</v>
      </c>
      <c r="ER147" s="585">
        <f>IFERROR(#REF!/ET147,0)</f>
        <v>0</v>
      </c>
      <c r="ES147" s="593"/>
      <c r="ET147" s="567">
        <f>COUNTIF('LS | Drawing List'!$G:$G,"LS-SS0-3")</f>
        <v>0</v>
      </c>
      <c r="EU147" s="582">
        <f>COUNTIFS('LS | Drawing List'!$G:$G,"LS-SS0-3",'LS | Drawing List'!$I:$I,1)</f>
        <v>0</v>
      </c>
      <c r="EV147" s="582">
        <f>COUNTIFS('LS | Drawing List'!$G:$G,"LS-SS0-3",'LS | Drawing List'!$K:$K,1)</f>
        <v>0</v>
      </c>
      <c r="EW147" s="567">
        <f>COUNTIFS('LS | Drawing List'!$G:$G,"LS-SS0-3",'LS | Drawing List'!L:L,1)</f>
        <v>0</v>
      </c>
      <c r="EX147" s="567">
        <f>COUNTIFS('LS | Drawing List'!$G:$G,"LS-SS0-3",'LS | Drawing List'!M:M,1)</f>
        <v>0</v>
      </c>
      <c r="EY147" s="567">
        <f>COUNTIFS('LS | Drawing List'!$G:$G,"LS-SS0-3",'LS | Drawing List'!N:N,1)</f>
        <v>0</v>
      </c>
      <c r="EZ147" s="567">
        <f>COUNTIFS('LS | Drawing List'!$G:$G,"LS-SS0-3",'LS | Drawing List'!O:O,1)</f>
        <v>0</v>
      </c>
      <c r="FA147" s="574"/>
      <c r="FB147" s="582">
        <f>COUNTIFS('LS | Drawing List'!$G:$G,"LS-SS0-3",'LS | Drawing List'!$P:$P,1)</f>
        <v>0</v>
      </c>
      <c r="FC147" s="567">
        <f>COUNTIFS('LS | Drawing List'!$G:$G,"LS-SS0-3",'LS | Drawing List'!Q:Q,1)</f>
        <v>0</v>
      </c>
      <c r="FD147" s="567">
        <f>COUNTIFS('LS | Drawing List'!$G:$G,"LS-SS0-3",'LS | Drawing List'!R:R,1)</f>
        <v>0</v>
      </c>
      <c r="FE147" s="567">
        <f>COUNTIFS('LS | Drawing List'!$G:$G,"LS-SS0-3",'LS | Drawing List'!S:S,1)</f>
        <v>0</v>
      </c>
      <c r="FF147" s="567">
        <f>COUNTIFS('LS | Drawing List'!$G:$G,"LS-SS0-3",'LS | Drawing List'!T:T,1)</f>
        <v>0</v>
      </c>
    </row>
    <row r="148" spans="2:165" ht="14.25" outlineLevel="2">
      <c r="B148" s="564" t="s">
        <v>155</v>
      </c>
      <c r="C148" s="565">
        <v>4</v>
      </c>
      <c r="D148" s="566" t="s">
        <v>156</v>
      </c>
      <c r="F148" s="500">
        <f t="shared" si="775"/>
        <v>1.11378</v>
      </c>
      <c r="G148" s="500">
        <f t="shared" si="776"/>
        <v>4.7880000000000006E-2</v>
      </c>
      <c r="H148" s="514">
        <f t="shared" si="777"/>
        <v>1.0659000000000001</v>
      </c>
      <c r="I148" s="514">
        <f t="shared" si="749"/>
        <v>1.0659000000000001</v>
      </c>
      <c r="J148" s="514">
        <f t="shared" si="750"/>
        <v>1.0659000000000001</v>
      </c>
      <c r="K148" s="514">
        <f t="shared" si="751"/>
        <v>0</v>
      </c>
      <c r="L148" s="514">
        <f t="shared" si="752"/>
        <v>0</v>
      </c>
      <c r="M148" s="567">
        <f t="shared" si="753"/>
        <v>0</v>
      </c>
      <c r="N148" s="568"/>
      <c r="O148" s="514">
        <f t="shared" si="754"/>
        <v>0</v>
      </c>
      <c r="P148" s="514">
        <f t="shared" si="755"/>
        <v>0</v>
      </c>
      <c r="Q148" s="514">
        <f t="shared" si="756"/>
        <v>0</v>
      </c>
      <c r="R148" s="514">
        <f t="shared" si="757"/>
        <v>0</v>
      </c>
      <c r="S148" s="514">
        <f t="shared" si="758"/>
        <v>0</v>
      </c>
      <c r="U148" s="569">
        <v>0.2</v>
      </c>
      <c r="V148" s="503"/>
      <c r="W148" s="500">
        <f>$W$144/$U$144*U148</f>
        <v>1.0659000000000001</v>
      </c>
      <c r="X148" s="500">
        <f t="shared" si="700"/>
        <v>0</v>
      </c>
      <c r="Y148" s="514">
        <f>IFERROR(IF(AL148=100%,W148,0),0)</f>
        <v>0</v>
      </c>
      <c r="Z148" s="514">
        <f>IFERROR(IF(AND((AL148+AM148)=100%,AL148&lt;1),W148,0),0)</f>
        <v>1.0659000000000001</v>
      </c>
      <c r="AA148" s="514">
        <f t="shared" si="778"/>
        <v>1.0659000000000001</v>
      </c>
      <c r="AB148" s="514">
        <f t="shared" si="779"/>
        <v>0</v>
      </c>
      <c r="AC148" s="514">
        <f t="shared" si="780"/>
        <v>0</v>
      </c>
      <c r="AD148" s="567">
        <f t="shared" si="781"/>
        <v>0</v>
      </c>
      <c r="AE148" s="568"/>
      <c r="AF148" s="514">
        <f>IFERROR(IF(AND((AL148+AN148)=100%,AL148&lt;1),W148,0),0)</f>
        <v>0</v>
      </c>
      <c r="AG148" s="514">
        <f>IFERROR(IF(AND((AQ148+AY148)=AP148,Y148=0),W148,0),0)</f>
        <v>0</v>
      </c>
      <c r="AH148" s="514">
        <f>IFERROR(IF(AND((AQ148+AY148+AZ148)=AP148,Y148=0,AG148=0),W148,0),0)</f>
        <v>0</v>
      </c>
      <c r="AI148" s="514">
        <f>IFERROR(IF(AND((AQ148+AY148+AZ148+BA148)=AP148,Y148=0,AG148=0,AH148=0),W148,0),0)</f>
        <v>0</v>
      </c>
      <c r="AJ148" s="514">
        <f>IFERROR(IF(AND((AQ148+AY148+AZ148+BA148+BB148)=AP148,Y148=0,AG148=0,AH148=0,AI148=0),W148,0),0)</f>
        <v>0</v>
      </c>
      <c r="AK148" s="501"/>
      <c r="AL148" s="570">
        <f>IFERROR(AQ148/AP148,0)</f>
        <v>0.44444444444444442</v>
      </c>
      <c r="AM148" s="570">
        <f>IFERROR(AR148/AP148,0)</f>
        <v>0.55555555555555558</v>
      </c>
      <c r="AN148" s="570">
        <f>IFERROR(AX148/AP148,0)</f>
        <v>0</v>
      </c>
      <c r="AO148" s="505"/>
      <c r="AP148" s="514">
        <f>COUNTIF('AR | Drawing List'!$G:$G,"AR-SS0-4")</f>
        <v>9</v>
      </c>
      <c r="AQ148" s="506">
        <f>COUNTIFS('AR | Drawing List'!$G:$G,"AR-SS0-4",'AR | Drawing List'!$I:$I,1)</f>
        <v>4</v>
      </c>
      <c r="AR148" s="506">
        <f t="shared" si="684"/>
        <v>5</v>
      </c>
      <c r="AS148" s="506">
        <f>COUNTIFS('AR | Drawing List'!$G:$G,"AR-SS0-4",'AR | Drawing List'!M:M,1)</f>
        <v>5</v>
      </c>
      <c r="AT148" s="506">
        <f>COUNTIFS('AR | Drawing List'!$G:$G,"AR-SS0-4",'AR | Drawing List'!N:N,1)</f>
        <v>0</v>
      </c>
      <c r="AU148" s="506">
        <f>COUNTIFS('AR | Drawing List'!$G:$G,"AR-SS0-4",'AR | Drawing List'!O:O,1)</f>
        <v>0</v>
      </c>
      <c r="AV148" s="506">
        <f>COUNTIFS('AR | Drawing List'!$G:$G,"AR-SS0-4",'AR | Drawing List'!P:P,1)</f>
        <v>0</v>
      </c>
      <c r="AW148" s="466"/>
      <c r="AX148" s="506">
        <f t="shared" si="715"/>
        <v>0</v>
      </c>
      <c r="AY148" s="506">
        <f>COUNTIFS('AR | Drawing List'!$G:$G,"AR-SS0-4",'AR | Drawing List'!R:R,1)</f>
        <v>0</v>
      </c>
      <c r="AZ148" s="506">
        <f>COUNTIFS('AR | Drawing List'!$G:$G,"AR-SS0-4",'AR | Drawing List'!S:S,1)</f>
        <v>0</v>
      </c>
      <c r="BA148" s="506">
        <f>COUNTIFS('AR | Drawing List'!$G:$G,"AR-SS0-4",'AR | Drawing List'!T:T,1)</f>
        <v>0</v>
      </c>
      <c r="BB148" s="506">
        <f>COUNTIFS('AR | Drawing List'!$G:$G,"AR-SS0-4",'AR | Drawing List'!U:U,1)</f>
        <v>0</v>
      </c>
      <c r="BC148" s="466"/>
      <c r="BD148" s="466"/>
      <c r="BE148" s="576">
        <v>0</v>
      </c>
      <c r="BF148" s="508"/>
      <c r="BG148" s="509"/>
      <c r="BH148" s="510">
        <f t="shared" si="717"/>
        <v>0</v>
      </c>
      <c r="BI148" s="501"/>
      <c r="BJ148" s="501"/>
      <c r="BK148" s="514">
        <f t="shared" si="782"/>
        <v>0</v>
      </c>
      <c r="BL148" s="514">
        <f t="shared" si="783"/>
        <v>0</v>
      </c>
      <c r="BM148" s="514">
        <f t="shared" si="784"/>
        <v>0</v>
      </c>
      <c r="BN148" s="514">
        <f t="shared" si="785"/>
        <v>0</v>
      </c>
      <c r="BO148" s="501"/>
      <c r="BP148" s="514">
        <f t="shared" si="786"/>
        <v>0</v>
      </c>
      <c r="BQ148" s="514">
        <f>IFERROR(IF(AND((CA148+CI148)=BZ148,BI148=0),BG148,0),0)</f>
        <v>0</v>
      </c>
      <c r="BR148" s="514">
        <f>IFERROR(IF(AND((CA148+CI148+CJ148)=BZ148,BI148=0,BQ148=0),BG148,0),0)</f>
        <v>0</v>
      </c>
      <c r="BS148" s="514">
        <f>IFERROR(IF(AND((CA148+CI148+CJ148+CK148)=BZ148,BI148=0,BQ148=0,BR148=0),BG148,0),0)</f>
        <v>0</v>
      </c>
      <c r="BT148" s="514">
        <f>IFERROR(IF(AND((CA148+CI148+CJ148+CK148+CL148)=BZ148,BI148=0,BQ148=0,BR148=0,BS148=0),BG148,0),0)</f>
        <v>0</v>
      </c>
      <c r="BU148" s="501"/>
      <c r="BV148" s="571">
        <f t="shared" si="787"/>
        <v>0</v>
      </c>
      <c r="BW148" s="571">
        <f t="shared" si="788"/>
        <v>0</v>
      </c>
      <c r="BX148" s="571">
        <f t="shared" si="789"/>
        <v>0</v>
      </c>
      <c r="BY148" s="505"/>
      <c r="BZ148" s="552"/>
      <c r="CA148" s="471"/>
      <c r="CB148" s="548"/>
      <c r="CC148" s="512"/>
      <c r="CD148" s="512"/>
      <c r="CE148" s="512"/>
      <c r="CF148" s="512"/>
      <c r="CG148" s="512"/>
      <c r="CH148" s="548"/>
      <c r="CI148" s="512"/>
      <c r="CJ148" s="512"/>
      <c r="CK148" s="512"/>
      <c r="CL148" s="512"/>
      <c r="CM148" s="508"/>
      <c r="CN148" s="508"/>
      <c r="CO148" s="511">
        <v>0.2</v>
      </c>
      <c r="CP148" s="508"/>
      <c r="CQ148" s="506">
        <f>$CQ$144/$CO$144*CO148</f>
        <v>4.7880000000000006E-2</v>
      </c>
      <c r="CR148" s="510">
        <f t="shared" si="733"/>
        <v>4.7880000000000006E-2</v>
      </c>
      <c r="CS148" s="514">
        <f>IFERROR(IF(DF148=100%,CQ148,0),0)</f>
        <v>4.7880000000000006E-2</v>
      </c>
      <c r="CT148" s="514">
        <f t="shared" si="790"/>
        <v>0</v>
      </c>
      <c r="CU148" s="514">
        <f t="shared" si="791"/>
        <v>0</v>
      </c>
      <c r="CV148" s="514">
        <f t="shared" si="792"/>
        <v>0</v>
      </c>
      <c r="CW148" s="514">
        <f t="shared" si="793"/>
        <v>0</v>
      </c>
      <c r="CX148" s="514">
        <f t="shared" si="794"/>
        <v>0</v>
      </c>
      <c r="CY148" s="501"/>
      <c r="CZ148" s="514">
        <f t="shared" si="795"/>
        <v>0</v>
      </c>
      <c r="DA148" s="514">
        <f t="shared" si="796"/>
        <v>0</v>
      </c>
      <c r="DB148" s="514">
        <f t="shared" si="797"/>
        <v>0</v>
      </c>
      <c r="DC148" s="514">
        <f t="shared" si="798"/>
        <v>0</v>
      </c>
      <c r="DD148" s="514">
        <f t="shared" si="799"/>
        <v>0</v>
      </c>
      <c r="DE148" s="501"/>
      <c r="DF148" s="570">
        <f t="shared" si="800"/>
        <v>1</v>
      </c>
      <c r="DG148" s="570">
        <f t="shared" si="801"/>
        <v>0</v>
      </c>
      <c r="DH148" s="570">
        <f t="shared" si="802"/>
        <v>0</v>
      </c>
      <c r="DI148" s="505"/>
      <c r="DJ148" s="514">
        <f>COUNTIF('MEP | Drawing List'!$G:$G,"MEP-SS0-4")</f>
        <v>2</v>
      </c>
      <c r="DK148" s="506">
        <f>COUNTIFS('MEP | Drawing List'!$G:$G,"MEP-SS0-4",'MEP | Drawing List'!$I:$I,1)</f>
        <v>2</v>
      </c>
      <c r="DL148" s="506">
        <f>COUNTIFS('MEP | Drawing List'!$G:$G,"MEP-SS0-4",'MEP | Drawing List'!$K:$K,1)</f>
        <v>0</v>
      </c>
      <c r="DM148" s="514">
        <f>COUNTIFS('MEP | Drawing List'!$G:$G,"MEP-SSO-4",'MEP | Drawing List'!L:L,1)</f>
        <v>0</v>
      </c>
      <c r="DN148" s="514">
        <f>COUNTIFS('MEP | Drawing List'!$G:$G,"MEP-SSO-4",'MEP | Drawing List'!M:M,1)</f>
        <v>0</v>
      </c>
      <c r="DO148" s="514">
        <f>COUNTIFS('MEP | Drawing List'!$G:$G,"MEP-SSO-4",'MEP | Drawing List'!N:N,1)</f>
        <v>0</v>
      </c>
      <c r="DP148" s="514">
        <f>COUNTIFS('MEP | Drawing List'!$G:$G,"MEP-SSO-4",'MEP | Drawing List'!O:O,1)</f>
        <v>0</v>
      </c>
      <c r="DQ148" s="501"/>
      <c r="DR148" s="506">
        <f>COUNTIFS('MEP | Drawing List'!$G:$G,"MEP-SS0-4",'MEP | Drawing List'!$P:$P,1)</f>
        <v>0</v>
      </c>
      <c r="DS148" s="514">
        <f>COUNTIFS('MEP | Drawing List'!$G:$G,"MEP-SSO-4",'MEP | Drawing List'!Q:Q,1)</f>
        <v>0</v>
      </c>
      <c r="DT148" s="514">
        <f>COUNTIFS('MEP | Drawing List'!$G:$G,"MEP-SSO-4",'MEP | Drawing List'!R:R,1)</f>
        <v>0</v>
      </c>
      <c r="DU148" s="514">
        <f>COUNTIFS('MEP | Drawing List'!$G:$G,"MEP-SSO-4",'MEP | Drawing List'!S:S,1)</f>
        <v>0</v>
      </c>
      <c r="DV148" s="514">
        <f>COUNTIFS('MEP | Drawing List'!$G:$G,"MEP-SSO-4",'MEP | Drawing List'!T:T,1)</f>
        <v>0</v>
      </c>
      <c r="DW148" s="508"/>
      <c r="DX148" s="508"/>
      <c r="DY148" s="511">
        <v>0</v>
      </c>
      <c r="DZ148" s="508"/>
      <c r="EA148" s="509">
        <v>0</v>
      </c>
      <c r="EB148" s="510">
        <f t="shared" si="748"/>
        <v>0</v>
      </c>
      <c r="EC148" s="514">
        <f>IFERROR(IF(EP148=100%,EA148,0),0)</f>
        <v>0</v>
      </c>
      <c r="ED148" s="514">
        <f>IFERROR(IF(AND((EP148+EQ148)=100%,EP148&lt;1),EA148,0),0)</f>
        <v>0</v>
      </c>
      <c r="EE148" s="514">
        <f>IFERROR(IF(AND((EU148+EW148)=ET148,EC148=0),EA148,0),0)</f>
        <v>0</v>
      </c>
      <c r="EF148" s="514">
        <f>IFERROR(IF(AND((EU148+EW148+EX148)=ET148,EC148=0,EE148=0),EA148,0),0)</f>
        <v>0</v>
      </c>
      <c r="EG148" s="514">
        <f>IFERROR(IF(AND((EU148+EW148+EX148+EY148)=ET148,EC148=0,EE148=0,EF148=0),EA148,0),0)</f>
        <v>0</v>
      </c>
      <c r="EH148" s="514">
        <f>IFERROR(IF(AND((EU148+EW148+EX148+EY148+EZ148)=ET148,EC148=0,EE148=0,EF148=0,EG148=0),EA148,0),0)</f>
        <v>0</v>
      </c>
      <c r="EI148" s="501"/>
      <c r="EJ148" s="514">
        <f>IFERROR(IF(AND((EU148+EV148)=100%,EU148&lt;1),EG148,0),0)</f>
        <v>0</v>
      </c>
      <c r="EK148" s="514">
        <f>IFERROR(IF(AND((EZ148+FC148)=EY148,EH148=0),EG148,0),0)</f>
        <v>0</v>
      </c>
      <c r="EL148" s="514">
        <f>IFERROR(IF(AND((EZ148+FC148+FD148)=EY148,EH148=0,EK148=0),EG148,0),0)</f>
        <v>0</v>
      </c>
      <c r="EM148" s="514">
        <f>IFERROR(IF(AND((EZ148+FC148+FD148+FE148)=EY148,EH148=0,EK148=0,EL148=0),EG148,0),0)</f>
        <v>0</v>
      </c>
      <c r="EN148" s="514">
        <f>IFERROR(IF(AND((EZ148+FC148+FD148+FE148+FF148)=EY148,EH148=0,EK148=0,EL148=0,EM148=0),EG148,0),0)</f>
        <v>0</v>
      </c>
      <c r="EO148" s="501"/>
      <c r="EP148" s="570">
        <f>IFERROR(EU148/ET148,0)</f>
        <v>0</v>
      </c>
      <c r="EQ148" s="570">
        <f>IFERROR(EV148/ET148,0)</f>
        <v>0</v>
      </c>
      <c r="ER148" s="570">
        <f>IFERROR(#REF!/ET148,0)</f>
        <v>0</v>
      </c>
      <c r="ES148" s="516"/>
      <c r="ET148" s="514">
        <f>COUNTIF('LS | Drawing List'!$G:$G,"LS-SS0-4")</f>
        <v>0</v>
      </c>
      <c r="EU148" s="506">
        <f>COUNTIFS('LS | Drawing List'!$G:$G,"LS-SS0-4",'LS | Drawing List'!$I:$I,1)</f>
        <v>0</v>
      </c>
      <c r="EV148" s="506">
        <f>COUNTIFS('LS | Drawing List'!$G:$G,"LS-SS0-4",'LS | Drawing List'!$K:$K,1)</f>
        <v>0</v>
      </c>
      <c r="EW148" s="514">
        <f>COUNTIFS('LS | Drawing List'!$G:$G,"LS-SS0-4",'LS | Drawing List'!L:L,1)</f>
        <v>0</v>
      </c>
      <c r="EX148" s="514">
        <f>COUNTIFS('LS | Drawing List'!$G:$G,"LS-SS0-4",'LS | Drawing List'!M:M,1)</f>
        <v>0</v>
      </c>
      <c r="EY148" s="514">
        <f>COUNTIFS('LS | Drawing List'!$G:$G,"LS-SS0-4",'LS | Drawing List'!N:N,1)</f>
        <v>0</v>
      </c>
      <c r="EZ148" s="514">
        <f>COUNTIFS('LS | Drawing List'!$G:$G,"LS-SS0-4",'LS | Drawing List'!O:O,1)</f>
        <v>0</v>
      </c>
      <c r="FA148" s="515"/>
      <c r="FB148" s="506">
        <f>COUNTIFS('LS | Drawing List'!$G:$G,"LS-SS0-4",'LS | Drawing List'!$P:$P,1)</f>
        <v>0</v>
      </c>
      <c r="FC148" s="514">
        <f>COUNTIFS('LS | Drawing List'!$G:$G,"LS-SS0-4",'LS | Drawing List'!Q:Q,1)</f>
        <v>0</v>
      </c>
      <c r="FD148" s="514">
        <f>COUNTIFS('LS | Drawing List'!$G:$G,"LS-SS0-4",'LS | Drawing List'!R:R,1)</f>
        <v>0</v>
      </c>
      <c r="FE148" s="514">
        <f>COUNTIFS('LS | Drawing List'!$G:$G,"LS-SS0-4",'LS | Drawing List'!S:S,1)</f>
        <v>0</v>
      </c>
      <c r="FF148" s="514">
        <f>COUNTIFS('LS | Drawing List'!$G:$G,"LS-SS0-4",'LS | Drawing List'!T:T,1)</f>
        <v>0</v>
      </c>
      <c r="FI148" s="686"/>
    </row>
    <row r="149" spans="2:165" ht="3" customHeight="1" outlineLevel="2">
      <c r="B149" s="621"/>
      <c r="C149" s="622"/>
      <c r="D149" s="566"/>
      <c r="F149" s="499"/>
      <c r="G149" s="500"/>
      <c r="H149" s="501"/>
      <c r="I149" s="501"/>
      <c r="J149" s="514"/>
      <c r="K149" s="514"/>
      <c r="L149" s="514"/>
      <c r="M149" s="567"/>
      <c r="N149" s="568"/>
      <c r="O149" s="501"/>
      <c r="P149" s="501"/>
      <c r="Q149" s="501"/>
      <c r="R149" s="501"/>
      <c r="S149" s="501"/>
      <c r="U149" s="569"/>
      <c r="V149" s="503"/>
      <c r="W149" s="499"/>
      <c r="X149" s="500">
        <f t="shared" si="700"/>
        <v>0</v>
      </c>
      <c r="Y149" s="501"/>
      <c r="Z149" s="501"/>
      <c r="AA149" s="514">
        <f t="shared" si="778"/>
        <v>0</v>
      </c>
      <c r="AB149" s="514">
        <f t="shared" si="779"/>
        <v>0</v>
      </c>
      <c r="AC149" s="514">
        <f t="shared" si="780"/>
        <v>0</v>
      </c>
      <c r="AD149" s="567">
        <f t="shared" si="781"/>
        <v>0</v>
      </c>
      <c r="AE149" s="568"/>
      <c r="AF149" s="501"/>
      <c r="AG149" s="501"/>
      <c r="AH149" s="501"/>
      <c r="AI149" s="501"/>
      <c r="AJ149" s="501"/>
      <c r="AK149" s="501"/>
      <c r="AL149" s="513"/>
      <c r="AM149" s="513"/>
      <c r="AN149" s="513"/>
      <c r="AO149" s="505"/>
      <c r="AP149" s="551"/>
      <c r="AQ149" s="466"/>
      <c r="AR149" s="466"/>
      <c r="AS149" s="466"/>
      <c r="AT149" s="466"/>
      <c r="AU149" s="466"/>
      <c r="AV149" s="466"/>
      <c r="AW149" s="466"/>
      <c r="AX149" s="466"/>
      <c r="AY149" s="466"/>
      <c r="AZ149" s="466"/>
      <c r="BA149" s="466"/>
      <c r="BB149" s="466"/>
      <c r="BC149" s="466"/>
      <c r="BD149" s="466"/>
      <c r="BE149" s="511"/>
      <c r="BF149" s="508"/>
      <c r="BG149" s="509"/>
      <c r="BH149" s="510">
        <f t="shared" si="717"/>
        <v>0</v>
      </c>
      <c r="BI149" s="501"/>
      <c r="BJ149" s="501"/>
      <c r="BK149" s="514">
        <f t="shared" si="782"/>
        <v>0</v>
      </c>
      <c r="BL149" s="514">
        <f t="shared" si="783"/>
        <v>0</v>
      </c>
      <c r="BM149" s="514">
        <f t="shared" si="784"/>
        <v>0</v>
      </c>
      <c r="BN149" s="514">
        <f t="shared" si="785"/>
        <v>0</v>
      </c>
      <c r="BO149" s="501"/>
      <c r="BP149" s="514">
        <f t="shared" si="786"/>
        <v>0</v>
      </c>
      <c r="BQ149" s="514">
        <f>IFERROR(IF(AND((CA149+CI149)=BZ149,BI149=0),BG149,0),0)</f>
        <v>0</v>
      </c>
      <c r="BR149" s="514">
        <f>IFERROR(IF(AND((CA149+CI149+CJ149)=BZ149,BI149=0,BQ149=0),BG149,0),0)</f>
        <v>0</v>
      </c>
      <c r="BS149" s="514">
        <f>IFERROR(IF(AND((CA149+CI149+CJ149+CK149)=BZ149,BI149=0,BQ149=0,BR149=0),BG149,0),0)</f>
        <v>0</v>
      </c>
      <c r="BT149" s="514">
        <f>IFERROR(IF(AND((CA149+CI149+CJ149+CK149+CL149)=BZ149,BI149=0,BQ149=0,BR149=0,BS149=0),BG149,0),0)</f>
        <v>0</v>
      </c>
      <c r="BU149" s="501"/>
      <c r="BV149" s="571">
        <f t="shared" si="787"/>
        <v>0</v>
      </c>
      <c r="BW149" s="571">
        <f t="shared" si="788"/>
        <v>0</v>
      </c>
      <c r="BX149" s="571">
        <f t="shared" si="789"/>
        <v>0</v>
      </c>
      <c r="BY149" s="505"/>
      <c r="BZ149" s="552"/>
      <c r="CA149" s="471"/>
      <c r="CB149" s="548"/>
      <c r="CC149" s="512"/>
      <c r="CD149" s="512"/>
      <c r="CE149" s="512"/>
      <c r="CF149" s="512"/>
      <c r="CG149" s="512"/>
      <c r="CH149" s="548"/>
      <c r="CI149" s="512"/>
      <c r="CJ149" s="512"/>
      <c r="CK149" s="512"/>
      <c r="CL149" s="512"/>
      <c r="CM149" s="508"/>
      <c r="CN149" s="508"/>
      <c r="CO149" s="511"/>
      <c r="CP149" s="508"/>
      <c r="CQ149" s="509"/>
      <c r="CR149" s="510">
        <f t="shared" si="733"/>
        <v>0</v>
      </c>
      <c r="CS149" s="501"/>
      <c r="CT149" s="501"/>
      <c r="CU149" s="501"/>
      <c r="CV149" s="501"/>
      <c r="CW149" s="501"/>
      <c r="CX149" s="501"/>
      <c r="CY149" s="501"/>
      <c r="CZ149" s="501"/>
      <c r="DA149" s="501"/>
      <c r="DB149" s="501"/>
      <c r="DC149" s="501"/>
      <c r="DD149" s="501"/>
      <c r="DE149" s="501"/>
      <c r="DF149" s="513"/>
      <c r="DG149" s="513"/>
      <c r="DH149" s="513"/>
      <c r="DI149" s="505"/>
      <c r="DJ149" s="551"/>
      <c r="DK149" s="466"/>
      <c r="DL149" s="466"/>
      <c r="DM149" s="501"/>
      <c r="DN149" s="501"/>
      <c r="DO149" s="501"/>
      <c r="DP149" s="501"/>
      <c r="DQ149" s="501"/>
      <c r="DR149" s="466"/>
      <c r="DS149" s="501"/>
      <c r="DT149" s="501"/>
      <c r="DU149" s="501"/>
      <c r="DV149" s="501"/>
      <c r="DW149" s="508"/>
      <c r="DX149" s="508"/>
      <c r="DY149" s="511"/>
      <c r="DZ149" s="508"/>
      <c r="EA149" s="509"/>
      <c r="EB149" s="510">
        <f t="shared" si="748"/>
        <v>0</v>
      </c>
      <c r="EC149" s="515"/>
      <c r="ED149" s="515"/>
      <c r="EE149" s="515"/>
      <c r="EF149" s="515"/>
      <c r="EG149" s="515"/>
      <c r="EH149" s="515"/>
      <c r="EI149" s="515"/>
      <c r="EJ149" s="515"/>
      <c r="EK149" s="515"/>
      <c r="EL149" s="515"/>
      <c r="EM149" s="515"/>
      <c r="EN149" s="515"/>
      <c r="EO149" s="515"/>
      <c r="EP149" s="52"/>
      <c r="EQ149" s="52"/>
      <c r="ER149" s="52"/>
      <c r="ES149" s="516"/>
      <c r="EU149" s="476"/>
      <c r="EV149" s="476"/>
      <c r="EW149" s="515"/>
      <c r="EX149" s="515"/>
      <c r="EY149" s="515"/>
      <c r="EZ149" s="515"/>
      <c r="FA149" s="515"/>
      <c r="FB149" s="476"/>
      <c r="FC149" s="515"/>
      <c r="FD149" s="515"/>
      <c r="FE149" s="515"/>
      <c r="FF149" s="515"/>
    </row>
    <row r="150" spans="2:165" ht="14.25" outlineLevel="2">
      <c r="B150" s="621">
        <v>2.1</v>
      </c>
      <c r="C150" s="622">
        <v>2.1</v>
      </c>
      <c r="D150" s="623" t="s">
        <v>157</v>
      </c>
      <c r="F150" s="434"/>
      <c r="G150" s="435"/>
      <c r="H150" s="501"/>
      <c r="I150" s="501"/>
      <c r="J150" s="514"/>
      <c r="K150" s="514"/>
      <c r="L150" s="514"/>
      <c r="M150" s="567"/>
      <c r="N150" s="568"/>
      <c r="O150" s="501"/>
      <c r="P150" s="501"/>
      <c r="Q150" s="501"/>
      <c r="R150" s="501"/>
      <c r="S150" s="501"/>
      <c r="U150" s="596">
        <v>0</v>
      </c>
      <c r="V150" s="597"/>
      <c r="W150" s="434">
        <v>0</v>
      </c>
      <c r="X150" s="435">
        <f t="shared" si="700"/>
        <v>0</v>
      </c>
      <c r="Y150" s="501"/>
      <c r="Z150" s="501"/>
      <c r="AA150" s="514">
        <f t="shared" si="778"/>
        <v>0</v>
      </c>
      <c r="AB150" s="514">
        <f t="shared" si="779"/>
        <v>0</v>
      </c>
      <c r="AC150" s="514">
        <f t="shared" si="780"/>
        <v>0</v>
      </c>
      <c r="AD150" s="567">
        <f t="shared" si="781"/>
        <v>0</v>
      </c>
      <c r="AE150" s="568"/>
      <c r="AF150" s="501"/>
      <c r="AG150" s="501"/>
      <c r="AH150" s="501"/>
      <c r="AI150" s="501"/>
      <c r="AJ150" s="501"/>
      <c r="AK150" s="501"/>
      <c r="AL150" s="513"/>
      <c r="AM150" s="513"/>
      <c r="AN150" s="513"/>
      <c r="AO150" s="505"/>
      <c r="AP150" s="551"/>
      <c r="AQ150" s="466"/>
      <c r="AR150" s="466"/>
      <c r="AS150" s="466"/>
      <c r="AT150" s="466"/>
      <c r="AU150" s="466"/>
      <c r="AV150" s="466"/>
      <c r="AW150" s="466"/>
      <c r="AX150" s="466"/>
      <c r="AY150" s="466"/>
      <c r="AZ150" s="466"/>
      <c r="BA150" s="466"/>
      <c r="BB150" s="466"/>
      <c r="BC150" s="466"/>
      <c r="BD150" s="466"/>
      <c r="BE150" s="685">
        <f>SUM(BE151:BE152)</f>
        <v>0.5</v>
      </c>
      <c r="BF150" s="597"/>
      <c r="BG150" s="556">
        <f>$BG$144*(95%/12)</f>
        <v>0.10764153125000001</v>
      </c>
      <c r="BH150" s="450">
        <f t="shared" si="717"/>
        <v>0.10764153125000001</v>
      </c>
      <c r="BI150" s="556">
        <f>SUM(BI151:BI152)</f>
        <v>0.10764153125000001</v>
      </c>
      <c r="BJ150" s="556">
        <f>SUM(BJ151:BJ152)</f>
        <v>0</v>
      </c>
      <c r="BK150" s="514">
        <f t="shared" si="782"/>
        <v>0</v>
      </c>
      <c r="BL150" s="514">
        <f t="shared" si="783"/>
        <v>0</v>
      </c>
      <c r="BM150" s="514">
        <f t="shared" si="784"/>
        <v>0</v>
      </c>
      <c r="BN150" s="514">
        <f t="shared" si="785"/>
        <v>0</v>
      </c>
      <c r="BO150" s="501"/>
      <c r="BP150" s="514">
        <f t="shared" si="786"/>
        <v>0</v>
      </c>
      <c r="BQ150" s="501"/>
      <c r="BR150" s="501"/>
      <c r="BS150" s="501"/>
      <c r="BT150" s="501"/>
      <c r="BU150" s="501"/>
      <c r="BV150" s="571">
        <f t="shared" si="787"/>
        <v>0</v>
      </c>
      <c r="BW150" s="571">
        <f t="shared" si="788"/>
        <v>0</v>
      </c>
      <c r="BX150" s="571">
        <f t="shared" si="789"/>
        <v>0</v>
      </c>
      <c r="BY150" s="505"/>
      <c r="BZ150" s="552"/>
      <c r="CA150" s="471"/>
      <c r="CB150" s="548"/>
      <c r="CC150" s="512"/>
      <c r="CD150" s="512"/>
      <c r="CE150" s="512"/>
      <c r="CF150" s="512"/>
      <c r="CG150" s="512"/>
      <c r="CH150" s="548"/>
      <c r="CI150" s="512"/>
      <c r="CJ150" s="512"/>
      <c r="CK150" s="512"/>
      <c r="CL150" s="512"/>
      <c r="CM150" s="597"/>
      <c r="CN150" s="597"/>
      <c r="CO150" s="596">
        <v>0</v>
      </c>
      <c r="CP150" s="597"/>
      <c r="CQ150" s="509"/>
      <c r="CR150" s="450">
        <f t="shared" si="733"/>
        <v>0</v>
      </c>
      <c r="CS150" s="501"/>
      <c r="CT150" s="501"/>
      <c r="CU150" s="501"/>
      <c r="CV150" s="501"/>
      <c r="CW150" s="501"/>
      <c r="CX150" s="501"/>
      <c r="CY150" s="501"/>
      <c r="CZ150" s="501"/>
      <c r="DA150" s="501"/>
      <c r="DB150" s="501"/>
      <c r="DC150" s="501"/>
      <c r="DD150" s="501"/>
      <c r="DE150" s="501"/>
      <c r="DF150" s="513"/>
      <c r="DG150" s="513"/>
      <c r="DH150" s="513"/>
      <c r="DI150" s="505"/>
      <c r="DJ150" s="551"/>
      <c r="DK150" s="466"/>
      <c r="DL150" s="466"/>
      <c r="DM150" s="501"/>
      <c r="DN150" s="501"/>
      <c r="DO150" s="501"/>
      <c r="DP150" s="501"/>
      <c r="DQ150" s="501"/>
      <c r="DR150" s="466"/>
      <c r="DS150" s="501"/>
      <c r="DT150" s="501"/>
      <c r="DU150" s="501"/>
      <c r="DV150" s="501"/>
      <c r="DW150" s="597"/>
      <c r="DX150" s="597"/>
      <c r="DY150" s="596">
        <v>0</v>
      </c>
      <c r="DZ150" s="597"/>
      <c r="EA150" s="509"/>
      <c r="EB150" s="450">
        <f t="shared" si="748"/>
        <v>0</v>
      </c>
      <c r="EC150" s="515"/>
      <c r="ED150" s="515"/>
      <c r="EE150" s="515"/>
      <c r="EF150" s="515"/>
      <c r="EG150" s="515"/>
      <c r="EH150" s="515"/>
      <c r="EI150" s="515"/>
      <c r="EJ150" s="515"/>
      <c r="EK150" s="515"/>
      <c r="EL150" s="515"/>
      <c r="EM150" s="515"/>
      <c r="EN150" s="515"/>
      <c r="EO150" s="515"/>
      <c r="EP150" s="52"/>
      <c r="EQ150" s="52"/>
      <c r="ER150" s="52"/>
      <c r="ES150" s="516"/>
      <c r="EU150" s="476"/>
      <c r="EV150" s="476"/>
      <c r="EW150" s="515"/>
      <c r="EX150" s="515"/>
      <c r="EY150" s="515"/>
      <c r="EZ150" s="515"/>
      <c r="FA150" s="515"/>
      <c r="FB150" s="476"/>
      <c r="FC150" s="515"/>
      <c r="FD150" s="515"/>
      <c r="FE150" s="515"/>
      <c r="FF150" s="515"/>
    </row>
    <row r="151" spans="2:165" ht="14.25" outlineLevel="3">
      <c r="B151" s="564" t="s">
        <v>158</v>
      </c>
      <c r="C151" s="565">
        <v>1</v>
      </c>
      <c r="D151" s="566" t="s">
        <v>152</v>
      </c>
      <c r="F151" s="500">
        <f t="shared" ref="F151:F152" si="803">W151+BG151+CQ151+EA151</f>
        <v>5.3820765625000003E-2</v>
      </c>
      <c r="G151" s="500">
        <f t="shared" ref="G151:G152" si="804">X151+BH151+CR151+EB151</f>
        <v>5.3820765625000003E-2</v>
      </c>
      <c r="H151" s="514">
        <f t="shared" ref="H151:H152" si="805">F151-G151</f>
        <v>0</v>
      </c>
      <c r="I151" s="514">
        <f t="shared" ref="I151:I152" si="806">Z151+BJ151+CT151+ED151</f>
        <v>0</v>
      </c>
      <c r="J151" s="514">
        <f t="shared" ref="J151:J152" si="807">AA151+BK151+CU151+EE151</f>
        <v>0</v>
      </c>
      <c r="K151" s="514">
        <f t="shared" ref="K151:K152" si="808">AB151+BL151+CV151+EF151</f>
        <v>0</v>
      </c>
      <c r="L151" s="514">
        <f t="shared" ref="L151:L152" si="809">AC151+BM151+CW151+EG151</f>
        <v>0</v>
      </c>
      <c r="M151" s="567">
        <f t="shared" ref="M151:M152" si="810">AD151+BN151+CX151+EH151</f>
        <v>0</v>
      </c>
      <c r="N151" s="568"/>
      <c r="O151" s="514">
        <f t="shared" ref="O151:O152" si="811">AF151+BP151+CZ151+EJ151</f>
        <v>0</v>
      </c>
      <c r="P151" s="514">
        <f t="shared" ref="P151:P152" si="812">AG151+BQ151+DA151+EK151</f>
        <v>0</v>
      </c>
      <c r="Q151" s="514">
        <f t="shared" ref="Q151:Q152" si="813">AH151+BR151+DB151+EL151</f>
        <v>0</v>
      </c>
      <c r="R151" s="514">
        <f t="shared" ref="R151:R152" si="814">AI151+BS151+DC151+EM151</f>
        <v>0</v>
      </c>
      <c r="S151" s="514">
        <f t="shared" ref="S151:S152" si="815">AJ151+BT151+DD151+EN151</f>
        <v>0</v>
      </c>
      <c r="U151" s="569">
        <v>0</v>
      </c>
      <c r="V151" s="503"/>
      <c r="W151" s="499"/>
      <c r="X151" s="500">
        <f t="shared" si="700"/>
        <v>0</v>
      </c>
      <c r="Y151" s="501"/>
      <c r="Z151" s="501"/>
      <c r="AA151" s="514">
        <f t="shared" si="778"/>
        <v>0</v>
      </c>
      <c r="AB151" s="514">
        <f t="shared" si="779"/>
        <v>0</v>
      </c>
      <c r="AC151" s="514">
        <f t="shared" si="780"/>
        <v>0</v>
      </c>
      <c r="AD151" s="567">
        <f t="shared" si="781"/>
        <v>0</v>
      </c>
      <c r="AE151" s="568"/>
      <c r="AF151" s="501"/>
      <c r="AG151" s="501"/>
      <c r="AH151" s="501"/>
      <c r="AI151" s="501"/>
      <c r="AJ151" s="501"/>
      <c r="AK151" s="501"/>
      <c r="AL151" s="513"/>
      <c r="AM151" s="513"/>
      <c r="AN151" s="513"/>
      <c r="AO151" s="505"/>
      <c r="AP151" s="551"/>
      <c r="AQ151" s="466"/>
      <c r="AR151" s="466"/>
      <c r="AS151" s="466"/>
      <c r="AT151" s="466"/>
      <c r="AU151" s="466"/>
      <c r="AV151" s="466"/>
      <c r="AW151" s="466"/>
      <c r="AX151" s="466"/>
      <c r="AY151" s="466"/>
      <c r="AZ151" s="466"/>
      <c r="BA151" s="466"/>
      <c r="BB151" s="466"/>
      <c r="BC151" s="466"/>
      <c r="BD151" s="466"/>
      <c r="BE151" s="511">
        <v>0.25</v>
      </c>
      <c r="BF151" s="508"/>
      <c r="BG151" s="506">
        <f>$BG$150/$BE$150*BE151</f>
        <v>5.3820765625000003E-2</v>
      </c>
      <c r="BH151" s="510">
        <f t="shared" si="717"/>
        <v>5.3820765625000003E-2</v>
      </c>
      <c r="BI151" s="514">
        <f>IFERROR(IF(BV151=100%,BG151,0),0)</f>
        <v>5.3820765625000003E-2</v>
      </c>
      <c r="BJ151" s="514">
        <f>IFERROR(IF(AND((BV151+BW151)=100%,BV151&lt;1),BG151,0),0)</f>
        <v>0</v>
      </c>
      <c r="BK151" s="514">
        <f t="shared" si="782"/>
        <v>0</v>
      </c>
      <c r="BL151" s="514">
        <f t="shared" si="783"/>
        <v>0</v>
      </c>
      <c r="BM151" s="514">
        <f t="shared" si="784"/>
        <v>0</v>
      </c>
      <c r="BN151" s="514">
        <f t="shared" si="785"/>
        <v>0</v>
      </c>
      <c r="BO151" s="501"/>
      <c r="BP151" s="514">
        <f t="shared" si="786"/>
        <v>0</v>
      </c>
      <c r="BQ151" s="514">
        <f>IFERROR(IF(AND((CA151+CI151)=BZ151,BI151=0),BG151,0),0)</f>
        <v>0</v>
      </c>
      <c r="BR151" s="514">
        <f>IFERROR(IF(AND((CA151+CI151+CJ151)=BZ151,BI151=0,BQ151=0),BG151,0),0)</f>
        <v>0</v>
      </c>
      <c r="BS151" s="514">
        <f>IFERROR(IF(AND((CA151+CI151+CJ151+CK151)=BZ151,BI151=0,BQ151=0,BR151=0),BG151,0),0)</f>
        <v>0</v>
      </c>
      <c r="BT151" s="514">
        <f>IFERROR(IF(AND((CA151+CI151+CJ151+CK151+CL151)=BZ151,BI151=0,BQ151=0,BR151=0,BS151=0),BG151,0),0)</f>
        <v>0</v>
      </c>
      <c r="BU151" s="501"/>
      <c r="BV151" s="571">
        <f t="shared" si="787"/>
        <v>1</v>
      </c>
      <c r="BW151" s="571">
        <f t="shared" si="788"/>
        <v>0</v>
      </c>
      <c r="BX151" s="571">
        <f t="shared" si="789"/>
        <v>0</v>
      </c>
      <c r="BY151" s="505"/>
      <c r="BZ151" s="514">
        <f>COUNTIF('ST | Drawing List'!$G:$G,"ST-SS1-1")</f>
        <v>93</v>
      </c>
      <c r="CA151" s="506">
        <f>COUNTIFS('ST | Drawing List'!$G:$G,"ST-SS1-1",'ST | Drawing List'!$I:$I,1)</f>
        <v>93</v>
      </c>
      <c r="CB151" s="572">
        <f>COUNTIFS('ST | Drawing List'!$G:$G,"ST-SS1-1",'ST | Drawing List'!$K:$K,1)</f>
        <v>0</v>
      </c>
      <c r="CC151" s="506">
        <f>COUNTIFS('ST | Drawing List'!$G:$G,"ST-SS1-1",'ST | Drawing List'!L:L,1)</f>
        <v>0</v>
      </c>
      <c r="CD151" s="506">
        <f>COUNTIFS('ST | Drawing List'!$G:$G,"ST-SS1-1",'ST | Drawing List'!M:M,1)</f>
        <v>0</v>
      </c>
      <c r="CE151" s="506">
        <f>COUNTIFS('ST | Drawing List'!$G:$G,"ST-SS1-1",'ST | Drawing List'!N:N,1)</f>
        <v>0</v>
      </c>
      <c r="CF151" s="506">
        <f>COUNTIFS('ST | Drawing List'!$G:$G,"ST-SS1-1",'ST | Drawing List'!O:O,1)</f>
        <v>0</v>
      </c>
      <c r="CG151" s="471"/>
      <c r="CH151" s="572">
        <f>COUNTIFS('ST | Drawing List'!$G:$G,"ST-SS1-1",'ST | Drawing List'!$P:$P,1)</f>
        <v>0</v>
      </c>
      <c r="CI151" s="506">
        <f>COUNTIFS('ST | Drawing List'!$G:$G,"ST-SS1-1",'ST | Drawing List'!Q:Q,1)</f>
        <v>0</v>
      </c>
      <c r="CJ151" s="506">
        <f>COUNTIFS('ST | Drawing List'!$G:$G,"ST-SS1-1",'ST | Drawing List'!R:R,1)</f>
        <v>0</v>
      </c>
      <c r="CK151" s="506">
        <f>COUNTIFS('ST | Drawing List'!$G:$G,"ST-SS1-1",'ST | Drawing List'!S:S,1)</f>
        <v>0</v>
      </c>
      <c r="CL151" s="506">
        <f>COUNTIFS('ST | Drawing List'!$G:$G,"ST-SS1-1",'ST | Drawing List'!T:T,1)</f>
        <v>0</v>
      </c>
      <c r="CM151" s="508"/>
      <c r="CN151" s="508"/>
      <c r="CO151" s="511">
        <v>0</v>
      </c>
      <c r="CP151" s="508"/>
      <c r="CQ151" s="509"/>
      <c r="CR151" s="510">
        <f t="shared" si="733"/>
        <v>0</v>
      </c>
      <c r="CS151" s="501"/>
      <c r="CT151" s="501"/>
      <c r="CU151" s="501"/>
      <c r="CV151" s="501"/>
      <c r="CW151" s="501"/>
      <c r="CX151" s="501"/>
      <c r="CY151" s="501"/>
      <c r="CZ151" s="501"/>
      <c r="DA151" s="501"/>
      <c r="DB151" s="501"/>
      <c r="DC151" s="501"/>
      <c r="DD151" s="501"/>
      <c r="DE151" s="501"/>
      <c r="DF151" s="513"/>
      <c r="DG151" s="513"/>
      <c r="DH151" s="513"/>
      <c r="DI151" s="505"/>
      <c r="DJ151" s="551"/>
      <c r="DK151" s="466"/>
      <c r="DL151" s="466"/>
      <c r="DM151" s="501"/>
      <c r="DN151" s="501"/>
      <c r="DO151" s="501"/>
      <c r="DP151" s="501"/>
      <c r="DQ151" s="501"/>
      <c r="DR151" s="466"/>
      <c r="DS151" s="501"/>
      <c r="DT151" s="501"/>
      <c r="DU151" s="501"/>
      <c r="DV151" s="501"/>
      <c r="DW151" s="508"/>
      <c r="DX151" s="508"/>
      <c r="DY151" s="511">
        <v>0</v>
      </c>
      <c r="DZ151" s="508"/>
      <c r="EA151" s="509"/>
      <c r="EB151" s="510">
        <f t="shared" si="748"/>
        <v>0</v>
      </c>
      <c r="EC151" s="515"/>
      <c r="ED151" s="515"/>
      <c r="EE151" s="515"/>
      <c r="EF151" s="515"/>
      <c r="EG151" s="515"/>
      <c r="EH151" s="515"/>
      <c r="EI151" s="515"/>
      <c r="EJ151" s="515"/>
      <c r="EK151" s="515"/>
      <c r="EL151" s="515"/>
      <c r="EM151" s="515"/>
      <c r="EN151" s="515"/>
      <c r="EO151" s="515"/>
      <c r="EP151" s="52"/>
      <c r="EQ151" s="52"/>
      <c r="ER151" s="52"/>
      <c r="ES151" s="516"/>
      <c r="EU151" s="476"/>
      <c r="EV151" s="476"/>
      <c r="EW151" s="515"/>
      <c r="EX151" s="515"/>
      <c r="EY151" s="515"/>
      <c r="EZ151" s="515"/>
      <c r="FA151" s="515"/>
      <c r="FB151" s="476"/>
      <c r="FC151" s="515"/>
      <c r="FD151" s="515"/>
      <c r="FE151" s="515"/>
      <c r="FF151" s="515"/>
    </row>
    <row r="152" spans="2:165" ht="14.25" outlineLevel="3">
      <c r="B152" s="564" t="s">
        <v>159</v>
      </c>
      <c r="C152" s="565">
        <v>2</v>
      </c>
      <c r="D152" s="566" t="s">
        <v>154</v>
      </c>
      <c r="F152" s="500">
        <f t="shared" si="803"/>
        <v>5.3820765625000003E-2</v>
      </c>
      <c r="G152" s="500">
        <f t="shared" si="804"/>
        <v>5.3820765625000003E-2</v>
      </c>
      <c r="H152" s="514">
        <f t="shared" si="805"/>
        <v>0</v>
      </c>
      <c r="I152" s="514">
        <f t="shared" si="806"/>
        <v>0</v>
      </c>
      <c r="J152" s="514">
        <f t="shared" si="807"/>
        <v>0</v>
      </c>
      <c r="K152" s="514">
        <f t="shared" si="808"/>
        <v>0</v>
      </c>
      <c r="L152" s="514">
        <f t="shared" si="809"/>
        <v>0</v>
      </c>
      <c r="M152" s="567">
        <f t="shared" si="810"/>
        <v>0</v>
      </c>
      <c r="N152" s="568"/>
      <c r="O152" s="514">
        <f t="shared" si="811"/>
        <v>0</v>
      </c>
      <c r="P152" s="514">
        <f t="shared" si="812"/>
        <v>0</v>
      </c>
      <c r="Q152" s="514">
        <f t="shared" si="813"/>
        <v>0</v>
      </c>
      <c r="R152" s="514">
        <f t="shared" si="814"/>
        <v>0</v>
      </c>
      <c r="S152" s="514">
        <f t="shared" si="815"/>
        <v>0</v>
      </c>
      <c r="U152" s="569">
        <v>0</v>
      </c>
      <c r="V152" s="503"/>
      <c r="W152" s="499"/>
      <c r="X152" s="500">
        <f t="shared" si="700"/>
        <v>0</v>
      </c>
      <c r="Y152" s="501"/>
      <c r="Z152" s="501"/>
      <c r="AA152" s="514">
        <f t="shared" si="778"/>
        <v>0</v>
      </c>
      <c r="AB152" s="514">
        <f t="shared" si="779"/>
        <v>0</v>
      </c>
      <c r="AC152" s="514">
        <f t="shared" si="780"/>
        <v>0</v>
      </c>
      <c r="AD152" s="567">
        <f t="shared" si="781"/>
        <v>0</v>
      </c>
      <c r="AE152" s="568"/>
      <c r="AF152" s="501"/>
      <c r="AG152" s="501"/>
      <c r="AH152" s="501"/>
      <c r="AI152" s="501"/>
      <c r="AJ152" s="501"/>
      <c r="AK152" s="501"/>
      <c r="AL152" s="513"/>
      <c r="AM152" s="513"/>
      <c r="AN152" s="513"/>
      <c r="AO152" s="505"/>
      <c r="AP152" s="551"/>
      <c r="AQ152" s="466"/>
      <c r="AR152" s="466"/>
      <c r="AS152" s="466"/>
      <c r="AT152" s="466"/>
      <c r="AU152" s="466"/>
      <c r="AV152" s="466"/>
      <c r="AW152" s="466"/>
      <c r="AX152" s="466"/>
      <c r="AY152" s="466"/>
      <c r="AZ152" s="466"/>
      <c r="BA152" s="466"/>
      <c r="BB152" s="466"/>
      <c r="BC152" s="466"/>
      <c r="BD152" s="466"/>
      <c r="BE152" s="511">
        <v>0.25</v>
      </c>
      <c r="BF152" s="508"/>
      <c r="BG152" s="506">
        <f>$BG$150/$BE$150*BE152</f>
        <v>5.3820765625000003E-2</v>
      </c>
      <c r="BH152" s="510">
        <f t="shared" si="717"/>
        <v>5.3820765625000003E-2</v>
      </c>
      <c r="BI152" s="514">
        <f>IFERROR(IF(BV152=100%,BG152,0),0)</f>
        <v>5.3820765625000003E-2</v>
      </c>
      <c r="BJ152" s="514">
        <f>IFERROR(IF(AND((BV152+BW152)=100%,BV152&lt;1),BG152,0),0)</f>
        <v>0</v>
      </c>
      <c r="BK152" s="514">
        <f t="shared" si="782"/>
        <v>0</v>
      </c>
      <c r="BL152" s="514">
        <f t="shared" si="783"/>
        <v>0</v>
      </c>
      <c r="BM152" s="514">
        <f t="shared" si="784"/>
        <v>0</v>
      </c>
      <c r="BN152" s="514">
        <f t="shared" si="785"/>
        <v>0</v>
      </c>
      <c r="BO152" s="501"/>
      <c r="BP152" s="514">
        <f t="shared" si="786"/>
        <v>0</v>
      </c>
      <c r="BQ152" s="514">
        <f>IFERROR(IF(AND((CA152+CI152)=BZ152,BI152=0),BG152,0),0)</f>
        <v>0</v>
      </c>
      <c r="BR152" s="514">
        <f>IFERROR(IF(AND((CA152+CI152+CJ152)=BZ152,BI152=0,BQ152=0),BG152,0),0)</f>
        <v>0</v>
      </c>
      <c r="BS152" s="514">
        <f>IFERROR(IF(AND((CA152+CI152+CJ152+CK152)=BZ152,BI152=0,BQ152=0,BR152=0),BG152,0),0)</f>
        <v>0</v>
      </c>
      <c r="BT152" s="514">
        <f>IFERROR(IF(AND((CA152+CI152+CJ152+CK152+CL152)=BZ152,BI152=0,BQ152=0,BR152=0,BS152=0),BG152,0),0)</f>
        <v>0</v>
      </c>
      <c r="BU152" s="501"/>
      <c r="BV152" s="571">
        <f t="shared" si="787"/>
        <v>1</v>
      </c>
      <c r="BW152" s="571">
        <f t="shared" si="788"/>
        <v>0</v>
      </c>
      <c r="BX152" s="571">
        <f t="shared" si="789"/>
        <v>0</v>
      </c>
      <c r="BY152" s="505"/>
      <c r="BZ152" s="514">
        <f>COUNTIF('ST | Drawing List'!$G:$G,"ST-SS1-2")</f>
        <v>59</v>
      </c>
      <c r="CA152" s="506">
        <f>COUNTIFS('ST | Drawing List'!$G:$G,"ST-SS1-2",'ST | Drawing List'!$I:$I,1)</f>
        <v>59</v>
      </c>
      <c r="CB152" s="572">
        <f>COUNTIFS('ST | Drawing List'!$G:$G,"ST-SS1-2",'ST | Drawing List'!$K:$K,1)</f>
        <v>0</v>
      </c>
      <c r="CC152" s="506">
        <f>COUNTIFS('ST | Drawing List'!$G:$G,"ST-SS1-2",'ST | Drawing List'!L:L,1)</f>
        <v>0</v>
      </c>
      <c r="CD152" s="506">
        <f>COUNTIFS('ST | Drawing List'!$G:$G,"ST-SS1-2",'ST | Drawing List'!M:M,1)</f>
        <v>0</v>
      </c>
      <c r="CE152" s="506">
        <f>COUNTIFS('ST | Drawing List'!$G:$G,"ST-SS1-2",'ST | Drawing List'!N:N,1)</f>
        <v>0</v>
      </c>
      <c r="CF152" s="506">
        <f>COUNTIFS('ST | Drawing List'!$G:$G,"ST-SS1-2",'ST | Drawing List'!O:O,1)</f>
        <v>0</v>
      </c>
      <c r="CG152" s="471"/>
      <c r="CH152" s="572">
        <f>COUNTIFS('ST | Drawing List'!$G:$G,"ST-SS1-2",'ST | Drawing List'!$P:$P,1)</f>
        <v>0</v>
      </c>
      <c r="CI152" s="506">
        <f>COUNTIFS('ST | Drawing List'!$G:$G,"ST-SS1-2",'ST | Drawing List'!Q:Q,1)</f>
        <v>0</v>
      </c>
      <c r="CJ152" s="506">
        <f>COUNTIFS('ST | Drawing List'!$G:$G,"ST-SS1-2",'ST | Drawing List'!R:R,1)</f>
        <v>0</v>
      </c>
      <c r="CK152" s="506">
        <f>COUNTIFS('ST | Drawing List'!$G:$G,"ST-SS1-2",'ST | Drawing List'!S:S,1)</f>
        <v>0</v>
      </c>
      <c r="CL152" s="506">
        <f>COUNTIFS('ST | Drawing List'!$G:$G,"ST-SS1-2",'ST | Drawing List'!T:T,1)</f>
        <v>0</v>
      </c>
      <c r="CM152" s="508"/>
      <c r="CN152" s="508"/>
      <c r="CO152" s="511">
        <v>0</v>
      </c>
      <c r="CP152" s="508"/>
      <c r="CQ152" s="509"/>
      <c r="CR152" s="510">
        <f t="shared" si="733"/>
        <v>0</v>
      </c>
      <c r="CS152" s="501"/>
      <c r="CT152" s="501"/>
      <c r="CU152" s="501"/>
      <c r="CV152" s="501"/>
      <c r="CW152" s="501"/>
      <c r="CX152" s="501"/>
      <c r="CY152" s="501"/>
      <c r="CZ152" s="501"/>
      <c r="DA152" s="501"/>
      <c r="DB152" s="501"/>
      <c r="DC152" s="501"/>
      <c r="DD152" s="501"/>
      <c r="DE152" s="501"/>
      <c r="DF152" s="513"/>
      <c r="DG152" s="513"/>
      <c r="DH152" s="513"/>
      <c r="DI152" s="505"/>
      <c r="DJ152" s="551"/>
      <c r="DK152" s="466"/>
      <c r="DL152" s="466"/>
      <c r="DM152" s="501"/>
      <c r="DN152" s="501"/>
      <c r="DO152" s="501"/>
      <c r="DP152" s="501"/>
      <c r="DQ152" s="501"/>
      <c r="DR152" s="466"/>
      <c r="DS152" s="501"/>
      <c r="DT152" s="501"/>
      <c r="DU152" s="501"/>
      <c r="DV152" s="501"/>
      <c r="DW152" s="508"/>
      <c r="DX152" s="508"/>
      <c r="DY152" s="511">
        <v>0</v>
      </c>
      <c r="DZ152" s="508"/>
      <c r="EA152" s="509"/>
      <c r="EB152" s="510">
        <f t="shared" si="748"/>
        <v>0</v>
      </c>
      <c r="EC152" s="515"/>
      <c r="ED152" s="515"/>
      <c r="EE152" s="515"/>
      <c r="EF152" s="515"/>
      <c r="EG152" s="515"/>
      <c r="EH152" s="515"/>
      <c r="EI152" s="515"/>
      <c r="EJ152" s="515"/>
      <c r="EK152" s="515"/>
      <c r="EL152" s="515"/>
      <c r="EM152" s="515"/>
      <c r="EN152" s="515"/>
      <c r="EO152" s="515"/>
      <c r="EP152" s="52"/>
      <c r="EQ152" s="52"/>
      <c r="ER152" s="52"/>
      <c r="ES152" s="516"/>
      <c r="EU152" s="476"/>
      <c r="EV152" s="476"/>
      <c r="EW152" s="515"/>
      <c r="EX152" s="515"/>
      <c r="EY152" s="515"/>
      <c r="EZ152" s="515"/>
      <c r="FA152" s="515"/>
      <c r="FB152" s="476"/>
      <c r="FC152" s="515"/>
      <c r="FD152" s="515"/>
      <c r="FE152" s="515"/>
      <c r="FF152" s="515"/>
    </row>
    <row r="153" spans="2:165" ht="3" customHeight="1" outlineLevel="2">
      <c r="B153" s="621"/>
      <c r="C153" s="622"/>
      <c r="D153" s="566"/>
      <c r="F153" s="499"/>
      <c r="G153" s="500"/>
      <c r="H153" s="501"/>
      <c r="I153" s="501"/>
      <c r="J153" s="514"/>
      <c r="K153" s="514"/>
      <c r="L153" s="514"/>
      <c r="M153" s="567"/>
      <c r="N153" s="568"/>
      <c r="O153" s="501"/>
      <c r="P153" s="501"/>
      <c r="Q153" s="501"/>
      <c r="R153" s="501"/>
      <c r="S153" s="501"/>
      <c r="U153" s="569"/>
      <c r="V153" s="503"/>
      <c r="W153" s="499"/>
      <c r="X153" s="500">
        <f t="shared" si="700"/>
        <v>0</v>
      </c>
      <c r="Y153" s="501"/>
      <c r="Z153" s="501"/>
      <c r="AA153" s="514">
        <f t="shared" si="778"/>
        <v>0</v>
      </c>
      <c r="AB153" s="514">
        <f t="shared" si="779"/>
        <v>0</v>
      </c>
      <c r="AC153" s="514">
        <f t="shared" si="780"/>
        <v>0</v>
      </c>
      <c r="AD153" s="567">
        <f t="shared" si="781"/>
        <v>0</v>
      </c>
      <c r="AE153" s="568"/>
      <c r="AF153" s="501"/>
      <c r="AG153" s="501"/>
      <c r="AH153" s="501"/>
      <c r="AI153" s="501"/>
      <c r="AJ153" s="501"/>
      <c r="AK153" s="501"/>
      <c r="AL153" s="513"/>
      <c r="AM153" s="513"/>
      <c r="AN153" s="513"/>
      <c r="AO153" s="505"/>
      <c r="AP153" s="551"/>
      <c r="AQ153" s="466"/>
      <c r="AR153" s="466"/>
      <c r="AS153" s="466"/>
      <c r="AT153" s="466"/>
      <c r="AU153" s="466"/>
      <c r="AV153" s="466"/>
      <c r="AW153" s="466"/>
      <c r="AX153" s="466"/>
      <c r="AY153" s="466"/>
      <c r="AZ153" s="466"/>
      <c r="BA153" s="466"/>
      <c r="BB153" s="466"/>
      <c r="BC153" s="466"/>
      <c r="BD153" s="466"/>
      <c r="BE153" s="511"/>
      <c r="BF153" s="508"/>
      <c r="BG153" s="509"/>
      <c r="BH153" s="510">
        <f t="shared" si="717"/>
        <v>0</v>
      </c>
      <c r="BI153" s="501"/>
      <c r="BJ153" s="501"/>
      <c r="BK153" s="514">
        <f t="shared" si="782"/>
        <v>0</v>
      </c>
      <c r="BL153" s="514">
        <f t="shared" si="783"/>
        <v>0</v>
      </c>
      <c r="BM153" s="514">
        <f t="shared" si="784"/>
        <v>0</v>
      </c>
      <c r="BN153" s="514">
        <f t="shared" si="785"/>
        <v>0</v>
      </c>
      <c r="BO153" s="501"/>
      <c r="BP153" s="514">
        <f t="shared" si="786"/>
        <v>0</v>
      </c>
      <c r="BQ153" s="501"/>
      <c r="BR153" s="501"/>
      <c r="BS153" s="501"/>
      <c r="BT153" s="501"/>
      <c r="BU153" s="501"/>
      <c r="BV153" s="571">
        <f t="shared" si="787"/>
        <v>0</v>
      </c>
      <c r="BW153" s="571">
        <f t="shared" si="788"/>
        <v>0</v>
      </c>
      <c r="BX153" s="571">
        <f t="shared" si="789"/>
        <v>0</v>
      </c>
      <c r="BY153" s="505"/>
      <c r="BZ153" s="552"/>
      <c r="CA153" s="471"/>
      <c r="CB153" s="548"/>
      <c r="CC153" s="512"/>
      <c r="CD153" s="512"/>
      <c r="CE153" s="512"/>
      <c r="CF153" s="512"/>
      <c r="CG153" s="512"/>
      <c r="CH153" s="548"/>
      <c r="CI153" s="512"/>
      <c r="CJ153" s="512"/>
      <c r="CK153" s="512"/>
      <c r="CL153" s="512"/>
      <c r="CM153" s="508"/>
      <c r="CN153" s="508"/>
      <c r="CO153" s="511"/>
      <c r="CP153" s="508"/>
      <c r="CQ153" s="509"/>
      <c r="CR153" s="510">
        <f t="shared" si="733"/>
        <v>0</v>
      </c>
      <c r="CS153" s="501"/>
      <c r="CT153" s="501"/>
      <c r="CU153" s="501"/>
      <c r="CV153" s="501"/>
      <c r="CW153" s="501"/>
      <c r="CX153" s="501"/>
      <c r="CY153" s="501"/>
      <c r="CZ153" s="501"/>
      <c r="DA153" s="501"/>
      <c r="DB153" s="501"/>
      <c r="DC153" s="501"/>
      <c r="DD153" s="501"/>
      <c r="DE153" s="501"/>
      <c r="DF153" s="513"/>
      <c r="DG153" s="513"/>
      <c r="DH153" s="513"/>
      <c r="DI153" s="505"/>
      <c r="DJ153" s="551"/>
      <c r="DK153" s="466"/>
      <c r="DL153" s="466"/>
      <c r="DM153" s="501"/>
      <c r="DN153" s="501"/>
      <c r="DO153" s="501"/>
      <c r="DP153" s="501"/>
      <c r="DQ153" s="501"/>
      <c r="DR153" s="466"/>
      <c r="DS153" s="501"/>
      <c r="DT153" s="501"/>
      <c r="DU153" s="501"/>
      <c r="DV153" s="501"/>
      <c r="DW153" s="508"/>
      <c r="DX153" s="508"/>
      <c r="DY153" s="511"/>
      <c r="DZ153" s="508"/>
      <c r="EA153" s="509"/>
      <c r="EB153" s="510">
        <f t="shared" si="748"/>
        <v>0</v>
      </c>
      <c r="EC153" s="515"/>
      <c r="ED153" s="515"/>
      <c r="EE153" s="515"/>
      <c r="EF153" s="515"/>
      <c r="EG153" s="515"/>
      <c r="EH153" s="515"/>
      <c r="EI153" s="515"/>
      <c r="EJ153" s="515"/>
      <c r="EK153" s="515"/>
      <c r="EL153" s="515"/>
      <c r="EM153" s="515"/>
      <c r="EN153" s="515"/>
      <c r="EO153" s="515"/>
      <c r="EP153" s="52"/>
      <c r="EQ153" s="52"/>
      <c r="ER153" s="52"/>
      <c r="ES153" s="516"/>
      <c r="EU153" s="476"/>
      <c r="EV153" s="476"/>
      <c r="EW153" s="515"/>
      <c r="EX153" s="515"/>
      <c r="EY153" s="515"/>
      <c r="EZ153" s="515"/>
      <c r="FA153" s="515"/>
      <c r="FB153" s="476"/>
      <c r="FC153" s="515"/>
      <c r="FD153" s="515"/>
      <c r="FE153" s="515"/>
      <c r="FF153" s="515"/>
    </row>
    <row r="154" spans="2:165" ht="14.25" outlineLevel="2">
      <c r="B154" s="621">
        <v>2.2000000000000002</v>
      </c>
      <c r="C154" s="622">
        <v>2.2000000000000002</v>
      </c>
      <c r="D154" s="623" t="s">
        <v>160</v>
      </c>
      <c r="F154" s="434"/>
      <c r="G154" s="435"/>
      <c r="H154" s="501"/>
      <c r="I154" s="501"/>
      <c r="J154" s="514"/>
      <c r="K154" s="514"/>
      <c r="L154" s="514"/>
      <c r="M154" s="567"/>
      <c r="N154" s="568"/>
      <c r="O154" s="501"/>
      <c r="P154" s="501"/>
      <c r="Q154" s="501"/>
      <c r="R154" s="501"/>
      <c r="S154" s="501"/>
      <c r="U154" s="596">
        <v>0</v>
      </c>
      <c r="V154" s="597"/>
      <c r="W154" s="434">
        <v>0</v>
      </c>
      <c r="X154" s="435">
        <f t="shared" si="700"/>
        <v>0</v>
      </c>
      <c r="Y154" s="501"/>
      <c r="Z154" s="501"/>
      <c r="AA154" s="514">
        <f t="shared" si="778"/>
        <v>0</v>
      </c>
      <c r="AB154" s="514">
        <f t="shared" si="779"/>
        <v>0</v>
      </c>
      <c r="AC154" s="514">
        <f t="shared" si="780"/>
        <v>0</v>
      </c>
      <c r="AD154" s="567">
        <f t="shared" si="781"/>
        <v>0</v>
      </c>
      <c r="AE154" s="568"/>
      <c r="AF154" s="501"/>
      <c r="AG154" s="501"/>
      <c r="AH154" s="501"/>
      <c r="AI154" s="501"/>
      <c r="AJ154" s="501"/>
      <c r="AK154" s="501"/>
      <c r="AL154" s="513"/>
      <c r="AM154" s="513"/>
      <c r="AN154" s="513"/>
      <c r="AO154" s="505"/>
      <c r="AP154" s="551"/>
      <c r="AQ154" s="466"/>
      <c r="AR154" s="466"/>
      <c r="AS154" s="466"/>
      <c r="AT154" s="466"/>
      <c r="AU154" s="466"/>
      <c r="AV154" s="466"/>
      <c r="AW154" s="466"/>
      <c r="AX154" s="466"/>
      <c r="AY154" s="466"/>
      <c r="AZ154" s="466"/>
      <c r="BA154" s="466"/>
      <c r="BB154" s="466"/>
      <c r="BC154" s="466"/>
      <c r="BD154" s="466"/>
      <c r="BE154" s="685">
        <f>SUM(BE155:BE156)</f>
        <v>0.5</v>
      </c>
      <c r="BF154" s="597"/>
      <c r="BG154" s="556">
        <f>$BG$144*(95%/12)</f>
        <v>0.10764153125000001</v>
      </c>
      <c r="BH154" s="450">
        <f t="shared" si="717"/>
        <v>0.10764153125000001</v>
      </c>
      <c r="BI154" s="556">
        <f>SUM(BI155:BI156)</f>
        <v>0.10764153125000001</v>
      </c>
      <c r="BJ154" s="556">
        <f>SUM(BJ155:BJ156)</f>
        <v>0</v>
      </c>
      <c r="BK154" s="514">
        <f t="shared" si="782"/>
        <v>0</v>
      </c>
      <c r="BL154" s="514">
        <f t="shared" si="783"/>
        <v>0</v>
      </c>
      <c r="BM154" s="514">
        <f t="shared" si="784"/>
        <v>0</v>
      </c>
      <c r="BN154" s="514">
        <f t="shared" si="785"/>
        <v>0</v>
      </c>
      <c r="BO154" s="501"/>
      <c r="BP154" s="514">
        <f t="shared" si="786"/>
        <v>0</v>
      </c>
      <c r="BQ154" s="501"/>
      <c r="BR154" s="501"/>
      <c r="BS154" s="501"/>
      <c r="BT154" s="501"/>
      <c r="BU154" s="501"/>
      <c r="BV154" s="571">
        <f t="shared" si="787"/>
        <v>0</v>
      </c>
      <c r="BW154" s="571">
        <f t="shared" si="788"/>
        <v>0</v>
      </c>
      <c r="BX154" s="571">
        <f t="shared" si="789"/>
        <v>0</v>
      </c>
      <c r="BY154" s="505"/>
      <c r="BZ154" s="552"/>
      <c r="CA154" s="471"/>
      <c r="CB154" s="548"/>
      <c r="CC154" s="512"/>
      <c r="CD154" s="512"/>
      <c r="CE154" s="512"/>
      <c r="CF154" s="512"/>
      <c r="CG154" s="512"/>
      <c r="CH154" s="548"/>
      <c r="CI154" s="512"/>
      <c r="CJ154" s="512"/>
      <c r="CK154" s="512"/>
      <c r="CL154" s="512"/>
      <c r="CM154" s="597"/>
      <c r="CN154" s="597"/>
      <c r="CO154" s="596">
        <v>0</v>
      </c>
      <c r="CP154" s="597"/>
      <c r="CQ154" s="509"/>
      <c r="CR154" s="450">
        <f t="shared" si="733"/>
        <v>0</v>
      </c>
      <c r="CS154" s="501"/>
      <c r="CT154" s="501"/>
      <c r="CU154" s="501"/>
      <c r="CV154" s="501"/>
      <c r="CW154" s="501"/>
      <c r="CX154" s="501"/>
      <c r="CY154" s="501"/>
      <c r="CZ154" s="501"/>
      <c r="DA154" s="501"/>
      <c r="DB154" s="501"/>
      <c r="DC154" s="501"/>
      <c r="DD154" s="501"/>
      <c r="DE154" s="501"/>
      <c r="DF154" s="513"/>
      <c r="DG154" s="513"/>
      <c r="DH154" s="513"/>
      <c r="DI154" s="505"/>
      <c r="DJ154" s="551"/>
      <c r="DK154" s="466"/>
      <c r="DL154" s="466"/>
      <c r="DM154" s="501"/>
      <c r="DN154" s="501"/>
      <c r="DO154" s="501"/>
      <c r="DP154" s="501"/>
      <c r="DQ154" s="501"/>
      <c r="DR154" s="466"/>
      <c r="DS154" s="501"/>
      <c r="DT154" s="501"/>
      <c r="DU154" s="501"/>
      <c r="DV154" s="501"/>
      <c r="DW154" s="597"/>
      <c r="DX154" s="597"/>
      <c r="DY154" s="596">
        <v>0</v>
      </c>
      <c r="DZ154" s="597"/>
      <c r="EA154" s="509"/>
      <c r="EB154" s="450">
        <f t="shared" si="748"/>
        <v>0</v>
      </c>
      <c r="EC154" s="515"/>
      <c r="ED154" s="515"/>
      <c r="EE154" s="515"/>
      <c r="EF154" s="515"/>
      <c r="EG154" s="515"/>
      <c r="EH154" s="515"/>
      <c r="EI154" s="515"/>
      <c r="EJ154" s="515"/>
      <c r="EK154" s="515"/>
      <c r="EL154" s="515"/>
      <c r="EM154" s="515"/>
      <c r="EN154" s="515"/>
      <c r="EO154" s="515"/>
      <c r="EP154" s="52"/>
      <c r="EQ154" s="52"/>
      <c r="ER154" s="52"/>
      <c r="ES154" s="516"/>
      <c r="EU154" s="476"/>
      <c r="EV154" s="476"/>
      <c r="EW154" s="515"/>
      <c r="EX154" s="515"/>
      <c r="EY154" s="515"/>
      <c r="EZ154" s="515"/>
      <c r="FA154" s="515"/>
      <c r="FB154" s="476"/>
      <c r="FC154" s="515"/>
      <c r="FD154" s="515"/>
      <c r="FE154" s="515"/>
      <c r="FF154" s="515"/>
    </row>
    <row r="155" spans="2:165" ht="14.25" outlineLevel="3">
      <c r="B155" s="564" t="s">
        <v>251</v>
      </c>
      <c r="C155" s="565">
        <v>1</v>
      </c>
      <c r="D155" s="566" t="s">
        <v>152</v>
      </c>
      <c r="F155" s="500">
        <f t="shared" ref="F155:F156" si="816">W155+BG155+CQ155+EA155</f>
        <v>5.3820765625000003E-2</v>
      </c>
      <c r="G155" s="500">
        <f t="shared" ref="G155:G156" si="817">X155+BH155+CR155+EB155</f>
        <v>5.3820765625000003E-2</v>
      </c>
      <c r="H155" s="514">
        <f t="shared" ref="H155:H156" si="818">F155-G155</f>
        <v>0</v>
      </c>
      <c r="I155" s="514">
        <f t="shared" ref="I155:I156" si="819">Z155+BJ155+CT155+ED155</f>
        <v>0</v>
      </c>
      <c r="J155" s="514">
        <f t="shared" ref="J155:J156" si="820">AA155+BK155+CU155+EE155</f>
        <v>0</v>
      </c>
      <c r="K155" s="514">
        <f t="shared" ref="K155:K156" si="821">AB155+BL155+CV155+EF155</f>
        <v>0</v>
      </c>
      <c r="L155" s="514">
        <f t="shared" ref="L155:L156" si="822">AC155+BM155+CW155+EG155</f>
        <v>0</v>
      </c>
      <c r="M155" s="567">
        <f t="shared" ref="M155:M156" si="823">AD155+BN155+CX155+EH155</f>
        <v>0</v>
      </c>
      <c r="N155" s="568"/>
      <c r="O155" s="514">
        <f t="shared" ref="O155:O156" si="824">AF155+BP155+CZ155+EJ155</f>
        <v>0</v>
      </c>
      <c r="P155" s="514">
        <f t="shared" ref="P155:P156" si="825">AG155+BQ155+DA155+EK155</f>
        <v>0</v>
      </c>
      <c r="Q155" s="514">
        <f t="shared" ref="Q155:Q156" si="826">AH155+BR155+DB155+EL155</f>
        <v>0</v>
      </c>
      <c r="R155" s="514">
        <f t="shared" ref="R155:R156" si="827">AI155+BS155+DC155+EM155</f>
        <v>0</v>
      </c>
      <c r="S155" s="514">
        <f t="shared" ref="S155:S156" si="828">AJ155+BT155+DD155+EN155</f>
        <v>0</v>
      </c>
      <c r="U155" s="569">
        <v>0</v>
      </c>
      <c r="V155" s="503"/>
      <c r="W155" s="499"/>
      <c r="X155" s="500">
        <f t="shared" si="700"/>
        <v>0</v>
      </c>
      <c r="Y155" s="501"/>
      <c r="Z155" s="501"/>
      <c r="AA155" s="514">
        <f t="shared" si="778"/>
        <v>0</v>
      </c>
      <c r="AB155" s="514">
        <f t="shared" si="779"/>
        <v>0</v>
      </c>
      <c r="AC155" s="514">
        <f t="shared" si="780"/>
        <v>0</v>
      </c>
      <c r="AD155" s="567">
        <f t="shared" si="781"/>
        <v>0</v>
      </c>
      <c r="AE155" s="568"/>
      <c r="AF155" s="501"/>
      <c r="AG155" s="501"/>
      <c r="AH155" s="501"/>
      <c r="AI155" s="501"/>
      <c r="AJ155" s="501"/>
      <c r="AK155" s="501"/>
      <c r="AL155" s="513"/>
      <c r="AM155" s="513"/>
      <c r="AN155" s="513"/>
      <c r="AO155" s="505"/>
      <c r="AP155" s="551"/>
      <c r="AQ155" s="466"/>
      <c r="AR155" s="466"/>
      <c r="AS155" s="466"/>
      <c r="AT155" s="466"/>
      <c r="AU155" s="466"/>
      <c r="AV155" s="466"/>
      <c r="AW155" s="466"/>
      <c r="AX155" s="466"/>
      <c r="AY155" s="466"/>
      <c r="AZ155" s="466"/>
      <c r="BA155" s="466"/>
      <c r="BB155" s="466"/>
      <c r="BC155" s="466"/>
      <c r="BD155" s="466"/>
      <c r="BE155" s="511">
        <v>0.25</v>
      </c>
      <c r="BF155" s="508"/>
      <c r="BG155" s="506">
        <f>$BG$154/$BE$150*BE155</f>
        <v>5.3820765625000003E-2</v>
      </c>
      <c r="BH155" s="510">
        <f t="shared" si="717"/>
        <v>5.3820765625000003E-2</v>
      </c>
      <c r="BI155" s="514">
        <f>IFERROR(IF(BV155=100%,BG155,0),0)</f>
        <v>5.3820765625000003E-2</v>
      </c>
      <c r="BJ155" s="514">
        <f>IFERROR(IF(AND((BV155+BW155)=100%,BV155&lt;1),BG155,0),0)</f>
        <v>0</v>
      </c>
      <c r="BK155" s="514">
        <f t="shared" si="782"/>
        <v>0</v>
      </c>
      <c r="BL155" s="514">
        <f t="shared" si="783"/>
        <v>0</v>
      </c>
      <c r="BM155" s="514">
        <f t="shared" si="784"/>
        <v>0</v>
      </c>
      <c r="BN155" s="514">
        <f t="shared" si="785"/>
        <v>0</v>
      </c>
      <c r="BO155" s="501"/>
      <c r="BP155" s="514">
        <f t="shared" si="786"/>
        <v>0</v>
      </c>
      <c r="BQ155" s="514">
        <f>IFERROR(IF(AND((CA155+CI155)=BZ155,BI155=0),BG155,0),0)</f>
        <v>0</v>
      </c>
      <c r="BR155" s="514">
        <f>IFERROR(IF(AND((CA155+CI155+CJ155)=BZ155,BI155=0,BQ155=0),BG155,0),0)</f>
        <v>0</v>
      </c>
      <c r="BS155" s="514">
        <f>IFERROR(IF(AND((CA155+CI155+CJ155+CK155)=BZ155,BI155=0,BQ155=0,BR155=0),BG155,0),0)</f>
        <v>0</v>
      </c>
      <c r="BT155" s="514">
        <f>IFERROR(IF(AND((CA155+CI155+CJ155+CK155+CL155)=BZ155,BI155=0,BQ155=0,BR155=0,BS155=0),BG155,0),0)</f>
        <v>0</v>
      </c>
      <c r="BU155" s="501"/>
      <c r="BV155" s="571">
        <f t="shared" si="787"/>
        <v>1</v>
      </c>
      <c r="BW155" s="571">
        <f t="shared" si="788"/>
        <v>0</v>
      </c>
      <c r="BX155" s="571">
        <f t="shared" si="789"/>
        <v>0</v>
      </c>
      <c r="BY155" s="505"/>
      <c r="BZ155" s="514">
        <f>COUNTIF('ST | Drawing List'!$G:$G,"ST-SS2-1")</f>
        <v>24</v>
      </c>
      <c r="CA155" s="506">
        <f>COUNTIFS('ST | Drawing List'!$G:$G,"ST-SS2-1",'ST | Drawing List'!$I:$I,1)</f>
        <v>24</v>
      </c>
      <c r="CB155" s="572">
        <f>COUNTIFS('ST | Drawing List'!$G:$G,"ST-SS2-1",'ST | Drawing List'!$K:$K,1)</f>
        <v>0</v>
      </c>
      <c r="CC155" s="506">
        <f>COUNTIFS('ST | Drawing List'!$G:$G,"ST-SS2-1",'ST | Drawing List'!L:L,1)</f>
        <v>0</v>
      </c>
      <c r="CD155" s="506">
        <f>COUNTIFS('ST | Drawing List'!$G:$G,"ST-SS2-1",'ST | Drawing List'!M:M,1)</f>
        <v>0</v>
      </c>
      <c r="CE155" s="506">
        <f>COUNTIFS('ST | Drawing List'!$G:$G,"ST-SS2-1",'ST | Drawing List'!N:N,1)</f>
        <v>0</v>
      </c>
      <c r="CF155" s="506">
        <f>COUNTIFS('ST | Drawing List'!$G:$G,"ST-SS2-1",'ST | Drawing List'!O:O,1)</f>
        <v>0</v>
      </c>
      <c r="CG155" s="471"/>
      <c r="CH155" s="572">
        <f>COUNTIFS('ST | Drawing List'!$G:$G,"ST-SS2-1",'ST | Drawing List'!$P:$P,1)</f>
        <v>0</v>
      </c>
      <c r="CI155" s="506">
        <f>COUNTIFS('ST | Drawing List'!$G:$G,"ST-SS2-1",'ST | Drawing List'!Q:Q,1)</f>
        <v>0</v>
      </c>
      <c r="CJ155" s="506">
        <f>COUNTIFS('ST | Drawing List'!$G:$G,"ST-SS2-1",'ST | Drawing List'!R:R,1)</f>
        <v>0</v>
      </c>
      <c r="CK155" s="506">
        <f>COUNTIFS('ST | Drawing List'!$G:$G,"ST-SS2-1",'ST | Drawing List'!S:S,1)</f>
        <v>0</v>
      </c>
      <c r="CL155" s="506">
        <f>COUNTIFS('ST | Drawing List'!$G:$G,"ST-SS2-1",'ST | Drawing List'!T:T,1)</f>
        <v>0</v>
      </c>
      <c r="CM155" s="508"/>
      <c r="CN155" s="508"/>
      <c r="CO155" s="511">
        <v>0</v>
      </c>
      <c r="CP155" s="508"/>
      <c r="CQ155" s="509"/>
      <c r="CR155" s="510">
        <f t="shared" si="733"/>
        <v>0</v>
      </c>
      <c r="CS155" s="501"/>
      <c r="CT155" s="501"/>
      <c r="CU155" s="501"/>
      <c r="CV155" s="501"/>
      <c r="CW155" s="501"/>
      <c r="CX155" s="501"/>
      <c r="CY155" s="501"/>
      <c r="CZ155" s="501"/>
      <c r="DA155" s="501"/>
      <c r="DB155" s="501"/>
      <c r="DC155" s="501"/>
      <c r="DD155" s="501"/>
      <c r="DE155" s="501"/>
      <c r="DF155" s="513"/>
      <c r="DG155" s="513"/>
      <c r="DH155" s="513"/>
      <c r="DI155" s="505"/>
      <c r="DJ155" s="551"/>
      <c r="DK155" s="466"/>
      <c r="DL155" s="466"/>
      <c r="DM155" s="501"/>
      <c r="DN155" s="501"/>
      <c r="DO155" s="501"/>
      <c r="DP155" s="501"/>
      <c r="DQ155" s="501"/>
      <c r="DR155" s="466"/>
      <c r="DS155" s="501"/>
      <c r="DT155" s="501"/>
      <c r="DU155" s="501"/>
      <c r="DV155" s="501"/>
      <c r="DW155" s="508"/>
      <c r="DX155" s="508"/>
      <c r="DY155" s="511">
        <v>0</v>
      </c>
      <c r="DZ155" s="508"/>
      <c r="EA155" s="509"/>
      <c r="EB155" s="510">
        <f t="shared" si="748"/>
        <v>0</v>
      </c>
      <c r="EC155" s="515"/>
      <c r="ED155" s="515"/>
      <c r="EE155" s="515"/>
      <c r="EF155" s="515"/>
      <c r="EG155" s="515"/>
      <c r="EH155" s="515"/>
      <c r="EI155" s="515"/>
      <c r="EJ155" s="515"/>
      <c r="EK155" s="515"/>
      <c r="EL155" s="515"/>
      <c r="EM155" s="515"/>
      <c r="EN155" s="515"/>
      <c r="EO155" s="515"/>
      <c r="EP155" s="52"/>
      <c r="EQ155" s="52"/>
      <c r="ER155" s="52"/>
      <c r="ES155" s="516"/>
      <c r="EU155" s="476"/>
      <c r="EV155" s="476"/>
      <c r="EW155" s="515"/>
      <c r="EX155" s="515"/>
      <c r="EY155" s="515"/>
      <c r="EZ155" s="515"/>
      <c r="FA155" s="515"/>
      <c r="FB155" s="476"/>
      <c r="FC155" s="515"/>
      <c r="FD155" s="515"/>
      <c r="FE155" s="515"/>
      <c r="FF155" s="515"/>
    </row>
    <row r="156" spans="2:165" ht="14.25" outlineLevel="3">
      <c r="B156" s="564" t="s">
        <v>252</v>
      </c>
      <c r="C156" s="565">
        <v>2</v>
      </c>
      <c r="D156" s="566" t="s">
        <v>154</v>
      </c>
      <c r="F156" s="500">
        <f t="shared" si="816"/>
        <v>5.3820765625000003E-2</v>
      </c>
      <c r="G156" s="500">
        <f t="shared" si="817"/>
        <v>5.3820765625000003E-2</v>
      </c>
      <c r="H156" s="514">
        <f t="shared" si="818"/>
        <v>0</v>
      </c>
      <c r="I156" s="514">
        <f t="shared" si="819"/>
        <v>0</v>
      </c>
      <c r="J156" s="514">
        <f t="shared" si="820"/>
        <v>0</v>
      </c>
      <c r="K156" s="514">
        <f t="shared" si="821"/>
        <v>0</v>
      </c>
      <c r="L156" s="514">
        <f t="shared" si="822"/>
        <v>0</v>
      </c>
      <c r="M156" s="567">
        <f t="shared" si="823"/>
        <v>0</v>
      </c>
      <c r="N156" s="568"/>
      <c r="O156" s="514">
        <f t="shared" si="824"/>
        <v>0</v>
      </c>
      <c r="P156" s="514">
        <f t="shared" si="825"/>
        <v>0</v>
      </c>
      <c r="Q156" s="514">
        <f t="shared" si="826"/>
        <v>0</v>
      </c>
      <c r="R156" s="514">
        <f t="shared" si="827"/>
        <v>0</v>
      </c>
      <c r="S156" s="514">
        <f t="shared" si="828"/>
        <v>0</v>
      </c>
      <c r="U156" s="569">
        <v>0</v>
      </c>
      <c r="V156" s="503"/>
      <c r="W156" s="499"/>
      <c r="X156" s="500">
        <f t="shared" si="700"/>
        <v>0</v>
      </c>
      <c r="Y156" s="501"/>
      <c r="Z156" s="501"/>
      <c r="AA156" s="514">
        <f t="shared" si="778"/>
        <v>0</v>
      </c>
      <c r="AB156" s="514">
        <f t="shared" si="779"/>
        <v>0</v>
      </c>
      <c r="AC156" s="514">
        <f t="shared" si="780"/>
        <v>0</v>
      </c>
      <c r="AD156" s="567">
        <f t="shared" si="781"/>
        <v>0</v>
      </c>
      <c r="AE156" s="568"/>
      <c r="AF156" s="501"/>
      <c r="AG156" s="501"/>
      <c r="AH156" s="501"/>
      <c r="AI156" s="501"/>
      <c r="AJ156" s="501"/>
      <c r="AK156" s="501"/>
      <c r="AL156" s="513"/>
      <c r="AM156" s="513"/>
      <c r="AN156" s="513"/>
      <c r="AO156" s="505"/>
      <c r="AP156" s="551"/>
      <c r="AQ156" s="466"/>
      <c r="AR156" s="466"/>
      <c r="AS156" s="466"/>
      <c r="AT156" s="466"/>
      <c r="AU156" s="466"/>
      <c r="AV156" s="466"/>
      <c r="AW156" s="466"/>
      <c r="AX156" s="466"/>
      <c r="AY156" s="466"/>
      <c r="AZ156" s="466"/>
      <c r="BA156" s="466"/>
      <c r="BB156" s="466"/>
      <c r="BC156" s="466"/>
      <c r="BD156" s="466"/>
      <c r="BE156" s="511">
        <v>0.25</v>
      </c>
      <c r="BF156" s="508"/>
      <c r="BG156" s="506">
        <f>$BG$154/$BE$150*BE156</f>
        <v>5.3820765625000003E-2</v>
      </c>
      <c r="BH156" s="510">
        <f t="shared" si="717"/>
        <v>5.3820765625000003E-2</v>
      </c>
      <c r="BI156" s="514">
        <f>IFERROR(IF(BV156=100%,BG156,0),0)</f>
        <v>5.3820765625000003E-2</v>
      </c>
      <c r="BJ156" s="514">
        <f>IFERROR(IF(AND((BV156+BW156)=100%,BV156&lt;1),BG156,0),0)</f>
        <v>0</v>
      </c>
      <c r="BK156" s="514">
        <f t="shared" si="782"/>
        <v>0</v>
      </c>
      <c r="BL156" s="514">
        <f t="shared" si="783"/>
        <v>0</v>
      </c>
      <c r="BM156" s="514">
        <f t="shared" si="784"/>
        <v>0</v>
      </c>
      <c r="BN156" s="514">
        <f t="shared" si="785"/>
        <v>0</v>
      </c>
      <c r="BO156" s="501"/>
      <c r="BP156" s="514">
        <f t="shared" si="786"/>
        <v>0</v>
      </c>
      <c r="BQ156" s="514">
        <f>IFERROR(IF(AND((CA156+CI156)=BZ156,BI156=0),BG156,0),0)</f>
        <v>0</v>
      </c>
      <c r="BR156" s="514">
        <f>IFERROR(IF(AND((CA156+CI156+CJ156)=BZ156,BI156=0,BQ156=0),BG156,0),0)</f>
        <v>0</v>
      </c>
      <c r="BS156" s="514">
        <f>IFERROR(IF(AND((CA156+CI156+CJ156+CK156)=BZ156,BI156=0,BQ156=0,BR156=0),BG156,0),0)</f>
        <v>0</v>
      </c>
      <c r="BT156" s="514">
        <f>IFERROR(IF(AND((CA156+CI156+CJ156+CK156+CL156)=BZ156,BI156=0,BQ156=0,BR156=0,BS156=0),BG156,0),0)</f>
        <v>0</v>
      </c>
      <c r="BU156" s="501"/>
      <c r="BV156" s="571">
        <f t="shared" si="787"/>
        <v>1</v>
      </c>
      <c r="BW156" s="571">
        <f t="shared" si="788"/>
        <v>0</v>
      </c>
      <c r="BX156" s="571">
        <f t="shared" si="789"/>
        <v>0</v>
      </c>
      <c r="BY156" s="505"/>
      <c r="BZ156" s="514">
        <f>COUNTIF('ST | Drawing List'!$G:$G,"ST-SS2-2")</f>
        <v>22</v>
      </c>
      <c r="CA156" s="506">
        <f>COUNTIFS('ST | Drawing List'!$G:$G,"ST-SS2-2",'ST | Drawing List'!$I:$I,1)</f>
        <v>22</v>
      </c>
      <c r="CB156" s="572">
        <f>COUNTIFS('ST | Drawing List'!$G:$G,"ST-SS2-2",'ST | Drawing List'!$K:$K,1)</f>
        <v>0</v>
      </c>
      <c r="CC156" s="506">
        <f>COUNTIFS('ST | Drawing List'!$G:$G,"ST-SS2-2",'ST | Drawing List'!L:L,1)</f>
        <v>0</v>
      </c>
      <c r="CD156" s="506">
        <f>COUNTIFS('ST | Drawing List'!$G:$G,"ST-SS2-2",'ST | Drawing List'!M:M,1)</f>
        <v>0</v>
      </c>
      <c r="CE156" s="506">
        <f>COUNTIFS('ST | Drawing List'!$G:$G,"ST-SS2-2",'ST | Drawing List'!N:N,1)</f>
        <v>0</v>
      </c>
      <c r="CF156" s="506">
        <f>COUNTIFS('ST | Drawing List'!$G:$G,"ST-SS2-2",'ST | Drawing List'!O:O,1)</f>
        <v>0</v>
      </c>
      <c r="CG156" s="471"/>
      <c r="CH156" s="572">
        <f>COUNTIFS('ST | Drawing List'!$G:$G,"ST-SS2-2",'ST | Drawing List'!$P:$P,1)</f>
        <v>0</v>
      </c>
      <c r="CI156" s="506">
        <f>COUNTIFS('ST | Drawing List'!$G:$G,"ST-SS2-2",'ST | Drawing List'!Q:Q,1)</f>
        <v>0</v>
      </c>
      <c r="CJ156" s="506">
        <f>COUNTIFS('ST | Drawing List'!$G:$G,"ST-SS2-2",'ST | Drawing List'!R:R,1)</f>
        <v>0</v>
      </c>
      <c r="CK156" s="506">
        <f>COUNTIFS('ST | Drawing List'!$G:$G,"ST-SS2-2",'ST | Drawing List'!S:S,1)</f>
        <v>0</v>
      </c>
      <c r="CL156" s="506">
        <f>COUNTIFS('ST | Drawing List'!$G:$G,"ST-SS2-2",'ST | Drawing List'!T:T,1)</f>
        <v>0</v>
      </c>
      <c r="CM156" s="508"/>
      <c r="CN156" s="508"/>
      <c r="CO156" s="511">
        <v>0</v>
      </c>
      <c r="CP156" s="508"/>
      <c r="CQ156" s="509"/>
      <c r="CR156" s="510">
        <f t="shared" si="733"/>
        <v>0</v>
      </c>
      <c r="CS156" s="501"/>
      <c r="CT156" s="501"/>
      <c r="CU156" s="501"/>
      <c r="CV156" s="501"/>
      <c r="CW156" s="501"/>
      <c r="CX156" s="501"/>
      <c r="CY156" s="501"/>
      <c r="CZ156" s="501"/>
      <c r="DA156" s="501"/>
      <c r="DB156" s="501"/>
      <c r="DC156" s="501"/>
      <c r="DD156" s="501"/>
      <c r="DE156" s="501"/>
      <c r="DF156" s="513"/>
      <c r="DG156" s="513"/>
      <c r="DH156" s="513"/>
      <c r="DI156" s="505"/>
      <c r="DJ156" s="551"/>
      <c r="DK156" s="466"/>
      <c r="DL156" s="466"/>
      <c r="DM156" s="501"/>
      <c r="DN156" s="501"/>
      <c r="DO156" s="501"/>
      <c r="DP156" s="501"/>
      <c r="DQ156" s="501"/>
      <c r="DR156" s="466"/>
      <c r="DS156" s="501"/>
      <c r="DT156" s="501"/>
      <c r="DU156" s="501"/>
      <c r="DV156" s="501"/>
      <c r="DW156" s="508"/>
      <c r="DX156" s="508"/>
      <c r="DY156" s="511">
        <v>0</v>
      </c>
      <c r="DZ156" s="508"/>
      <c r="EA156" s="509"/>
      <c r="EB156" s="510">
        <f t="shared" si="748"/>
        <v>0</v>
      </c>
      <c r="EC156" s="515"/>
      <c r="ED156" s="515"/>
      <c r="EE156" s="515"/>
      <c r="EF156" s="515"/>
      <c r="EG156" s="515"/>
      <c r="EH156" s="515"/>
      <c r="EI156" s="515"/>
      <c r="EJ156" s="515"/>
      <c r="EK156" s="515"/>
      <c r="EL156" s="515"/>
      <c r="EM156" s="515"/>
      <c r="EN156" s="515"/>
      <c r="EO156" s="515"/>
      <c r="EP156" s="52"/>
      <c r="EQ156" s="52"/>
      <c r="ER156" s="52"/>
      <c r="ES156" s="516"/>
      <c r="EU156" s="476"/>
      <c r="EV156" s="476"/>
      <c r="EW156" s="515"/>
      <c r="EX156" s="515"/>
      <c r="EY156" s="515"/>
      <c r="EZ156" s="515"/>
      <c r="FA156" s="515"/>
      <c r="FB156" s="476"/>
      <c r="FC156" s="515"/>
      <c r="FD156" s="515"/>
      <c r="FE156" s="515"/>
      <c r="FF156" s="515"/>
    </row>
    <row r="157" spans="2:165" ht="3" customHeight="1" outlineLevel="2">
      <c r="B157" s="621"/>
      <c r="C157" s="622"/>
      <c r="D157" s="566"/>
      <c r="F157" s="499"/>
      <c r="G157" s="500"/>
      <c r="H157" s="501"/>
      <c r="I157" s="501"/>
      <c r="J157" s="514"/>
      <c r="K157" s="514"/>
      <c r="L157" s="514"/>
      <c r="M157" s="567"/>
      <c r="N157" s="568"/>
      <c r="O157" s="501"/>
      <c r="P157" s="501"/>
      <c r="Q157" s="501"/>
      <c r="R157" s="501"/>
      <c r="S157" s="501"/>
      <c r="U157" s="569"/>
      <c r="V157" s="503"/>
      <c r="W157" s="499"/>
      <c r="X157" s="500">
        <f t="shared" si="700"/>
        <v>0</v>
      </c>
      <c r="Y157" s="501"/>
      <c r="Z157" s="501"/>
      <c r="AA157" s="514">
        <f t="shared" si="778"/>
        <v>0</v>
      </c>
      <c r="AB157" s="514">
        <f t="shared" si="779"/>
        <v>0</v>
      </c>
      <c r="AC157" s="514">
        <f t="shared" si="780"/>
        <v>0</v>
      </c>
      <c r="AD157" s="567">
        <f t="shared" si="781"/>
        <v>0</v>
      </c>
      <c r="AE157" s="568"/>
      <c r="AF157" s="501"/>
      <c r="AG157" s="501"/>
      <c r="AH157" s="501"/>
      <c r="AI157" s="501"/>
      <c r="AJ157" s="501"/>
      <c r="AK157" s="501"/>
      <c r="AL157" s="513"/>
      <c r="AM157" s="513"/>
      <c r="AN157" s="513"/>
      <c r="AO157" s="505"/>
      <c r="AP157" s="551"/>
      <c r="AQ157" s="466"/>
      <c r="AR157" s="466"/>
      <c r="AS157" s="466"/>
      <c r="AT157" s="466"/>
      <c r="AU157" s="466"/>
      <c r="AV157" s="466"/>
      <c r="AW157" s="466"/>
      <c r="AX157" s="466"/>
      <c r="AY157" s="466"/>
      <c r="AZ157" s="466"/>
      <c r="BA157" s="466"/>
      <c r="BB157" s="466"/>
      <c r="BC157" s="466"/>
      <c r="BD157" s="466"/>
      <c r="BE157" s="511"/>
      <c r="BF157" s="508"/>
      <c r="BG157" s="509"/>
      <c r="BH157" s="510">
        <f t="shared" si="717"/>
        <v>0</v>
      </c>
      <c r="BI157" s="501"/>
      <c r="BJ157" s="501"/>
      <c r="BK157" s="514">
        <f t="shared" si="782"/>
        <v>0</v>
      </c>
      <c r="BL157" s="514">
        <f t="shared" si="783"/>
        <v>0</v>
      </c>
      <c r="BM157" s="514">
        <f t="shared" si="784"/>
        <v>0</v>
      </c>
      <c r="BN157" s="514">
        <f t="shared" si="785"/>
        <v>0</v>
      </c>
      <c r="BO157" s="501"/>
      <c r="BP157" s="514">
        <f t="shared" si="786"/>
        <v>0</v>
      </c>
      <c r="BQ157" s="501"/>
      <c r="BR157" s="501"/>
      <c r="BS157" s="501"/>
      <c r="BT157" s="501"/>
      <c r="BU157" s="501"/>
      <c r="BV157" s="571">
        <f t="shared" si="787"/>
        <v>0</v>
      </c>
      <c r="BW157" s="571">
        <f t="shared" si="788"/>
        <v>0</v>
      </c>
      <c r="BX157" s="571">
        <f t="shared" si="789"/>
        <v>0</v>
      </c>
      <c r="BY157" s="505"/>
      <c r="BZ157" s="552"/>
      <c r="CA157" s="471"/>
      <c r="CB157" s="548"/>
      <c r="CC157" s="512"/>
      <c r="CD157" s="512"/>
      <c r="CE157" s="512"/>
      <c r="CF157" s="512"/>
      <c r="CG157" s="512"/>
      <c r="CH157" s="548"/>
      <c r="CI157" s="512"/>
      <c r="CJ157" s="512"/>
      <c r="CK157" s="512"/>
      <c r="CL157" s="512"/>
      <c r="CM157" s="508"/>
      <c r="CN157" s="508"/>
      <c r="CO157" s="511"/>
      <c r="CP157" s="508"/>
      <c r="CQ157" s="509"/>
      <c r="CR157" s="510">
        <f t="shared" si="733"/>
        <v>0</v>
      </c>
      <c r="CS157" s="501"/>
      <c r="CT157" s="501"/>
      <c r="CU157" s="501"/>
      <c r="CV157" s="501"/>
      <c r="CW157" s="501"/>
      <c r="CX157" s="501"/>
      <c r="CY157" s="501"/>
      <c r="CZ157" s="501"/>
      <c r="DA157" s="501"/>
      <c r="DB157" s="501"/>
      <c r="DC157" s="501"/>
      <c r="DD157" s="501"/>
      <c r="DE157" s="501"/>
      <c r="DF157" s="513"/>
      <c r="DG157" s="513"/>
      <c r="DH157" s="513"/>
      <c r="DI157" s="505"/>
      <c r="DJ157" s="551"/>
      <c r="DK157" s="466"/>
      <c r="DL157" s="466"/>
      <c r="DM157" s="501"/>
      <c r="DN157" s="501"/>
      <c r="DO157" s="501"/>
      <c r="DP157" s="501"/>
      <c r="DQ157" s="501"/>
      <c r="DR157" s="466"/>
      <c r="DS157" s="501"/>
      <c r="DT157" s="501"/>
      <c r="DU157" s="501"/>
      <c r="DV157" s="501"/>
      <c r="DW157" s="508"/>
      <c r="DX157" s="508"/>
      <c r="DY157" s="511"/>
      <c r="DZ157" s="508"/>
      <c r="EA157" s="509"/>
      <c r="EB157" s="510">
        <f t="shared" si="748"/>
        <v>0</v>
      </c>
      <c r="EC157" s="515"/>
      <c r="ED157" s="515"/>
      <c r="EE157" s="515"/>
      <c r="EF157" s="515"/>
      <c r="EG157" s="515"/>
      <c r="EH157" s="515"/>
      <c r="EI157" s="515"/>
      <c r="EJ157" s="515"/>
      <c r="EK157" s="515"/>
      <c r="EL157" s="515"/>
      <c r="EM157" s="515"/>
      <c r="EN157" s="515"/>
      <c r="EO157" s="515"/>
      <c r="EP157" s="52"/>
      <c r="EQ157" s="52"/>
      <c r="ER157" s="52"/>
      <c r="ES157" s="516"/>
      <c r="EU157" s="476"/>
      <c r="EV157" s="476"/>
      <c r="EW157" s="515"/>
      <c r="EX157" s="515"/>
      <c r="EY157" s="515"/>
      <c r="EZ157" s="515"/>
      <c r="FA157" s="515"/>
      <c r="FB157" s="476"/>
      <c r="FC157" s="515"/>
      <c r="FD157" s="515"/>
      <c r="FE157" s="515"/>
      <c r="FF157" s="515"/>
    </row>
    <row r="158" spans="2:165" ht="14.25" outlineLevel="2">
      <c r="B158" s="621">
        <v>2.2999999999999998</v>
      </c>
      <c r="C158" s="622">
        <v>2.2999999999999998</v>
      </c>
      <c r="D158" s="623" t="s">
        <v>161</v>
      </c>
      <c r="F158" s="434"/>
      <c r="G158" s="435"/>
      <c r="H158" s="624"/>
      <c r="I158" s="624"/>
      <c r="J158" s="514"/>
      <c r="K158" s="514"/>
      <c r="L158" s="514"/>
      <c r="M158" s="567"/>
      <c r="N158" s="568"/>
      <c r="O158" s="624"/>
      <c r="P158" s="501"/>
      <c r="Q158" s="501"/>
      <c r="R158" s="501"/>
      <c r="S158" s="501"/>
      <c r="U158" s="596">
        <v>0</v>
      </c>
      <c r="V158" s="597"/>
      <c r="W158" s="434">
        <v>0</v>
      </c>
      <c r="X158" s="435">
        <f t="shared" si="700"/>
        <v>0</v>
      </c>
      <c r="Y158" s="624"/>
      <c r="Z158" s="624"/>
      <c r="AA158" s="514">
        <f t="shared" si="778"/>
        <v>0</v>
      </c>
      <c r="AB158" s="514">
        <f t="shared" si="779"/>
        <v>0</v>
      </c>
      <c r="AC158" s="514">
        <f t="shared" si="780"/>
        <v>0</v>
      </c>
      <c r="AD158" s="567">
        <f t="shared" si="781"/>
        <v>0</v>
      </c>
      <c r="AE158" s="568"/>
      <c r="AF158" s="624"/>
      <c r="AG158" s="501"/>
      <c r="AH158" s="501"/>
      <c r="AI158" s="501"/>
      <c r="AJ158" s="501"/>
      <c r="AK158" s="501"/>
      <c r="AL158" s="473"/>
      <c r="AM158" s="473"/>
      <c r="AN158" s="473"/>
      <c r="AO158" s="518"/>
      <c r="AP158" s="625"/>
      <c r="AQ158" s="625"/>
      <c r="AR158" s="625"/>
      <c r="AS158" s="466"/>
      <c r="AT158" s="466"/>
      <c r="AU158" s="466"/>
      <c r="AV158" s="466"/>
      <c r="AW158" s="466"/>
      <c r="AX158" s="625"/>
      <c r="AY158" s="466"/>
      <c r="AZ158" s="466"/>
      <c r="BA158" s="466"/>
      <c r="BB158" s="466"/>
      <c r="BC158" s="625"/>
      <c r="BD158" s="625"/>
      <c r="BE158" s="685">
        <f>SUM(BE159:BE160)</f>
        <v>0.5</v>
      </c>
      <c r="BF158" s="597"/>
      <c r="BG158" s="556">
        <f>$BG$144*(95%/12)</f>
        <v>0.10764153125000001</v>
      </c>
      <c r="BH158" s="450">
        <f t="shared" si="717"/>
        <v>0.10764153125000001</v>
      </c>
      <c r="BI158" s="556">
        <f>SUM(BI159:BI160)</f>
        <v>0.10764153125000001</v>
      </c>
      <c r="BJ158" s="556">
        <f>SUM(BJ159:BJ160)</f>
        <v>0</v>
      </c>
      <c r="BK158" s="514">
        <f t="shared" si="782"/>
        <v>0</v>
      </c>
      <c r="BL158" s="514">
        <f t="shared" si="783"/>
        <v>0</v>
      </c>
      <c r="BM158" s="514">
        <f t="shared" si="784"/>
        <v>0</v>
      </c>
      <c r="BN158" s="514">
        <f t="shared" si="785"/>
        <v>0</v>
      </c>
      <c r="BO158" s="501"/>
      <c r="BP158" s="514">
        <f t="shared" si="786"/>
        <v>0</v>
      </c>
      <c r="BQ158" s="501"/>
      <c r="BR158" s="501"/>
      <c r="BS158" s="501"/>
      <c r="BT158" s="501"/>
      <c r="BU158" s="501"/>
      <c r="BV158" s="571">
        <f t="shared" si="787"/>
        <v>0</v>
      </c>
      <c r="BW158" s="571">
        <f t="shared" si="788"/>
        <v>0</v>
      </c>
      <c r="BX158" s="571">
        <f t="shared" si="789"/>
        <v>0</v>
      </c>
      <c r="BY158" s="518"/>
      <c r="BZ158" s="626"/>
      <c r="CA158" s="626"/>
      <c r="CB158" s="627"/>
      <c r="CC158" s="626"/>
      <c r="CD158" s="626"/>
      <c r="CE158" s="626"/>
      <c r="CF158" s="626"/>
      <c r="CG158" s="626"/>
      <c r="CH158" s="627"/>
      <c r="CI158" s="626"/>
      <c r="CJ158" s="626"/>
      <c r="CK158" s="626"/>
      <c r="CL158" s="626"/>
      <c r="CM158" s="597"/>
      <c r="CN158" s="597"/>
      <c r="CO158" s="596">
        <v>0</v>
      </c>
      <c r="CP158" s="597"/>
      <c r="CQ158" s="469"/>
      <c r="CR158" s="450">
        <f t="shared" si="733"/>
        <v>0</v>
      </c>
      <c r="CS158" s="624"/>
      <c r="CT158" s="624"/>
      <c r="CU158" s="624"/>
      <c r="CV158" s="624"/>
      <c r="CW158" s="624"/>
      <c r="CX158" s="624"/>
      <c r="CY158" s="624"/>
      <c r="CZ158" s="624"/>
      <c r="DA158" s="624"/>
      <c r="DB158" s="624"/>
      <c r="DC158" s="624"/>
      <c r="DD158" s="624"/>
      <c r="DE158" s="624"/>
      <c r="DF158" s="473"/>
      <c r="DG158" s="473"/>
      <c r="DH158" s="473"/>
      <c r="DI158" s="518"/>
      <c r="DJ158" s="625"/>
      <c r="DK158" s="625"/>
      <c r="DL158" s="625"/>
      <c r="DM158" s="624"/>
      <c r="DN158" s="624"/>
      <c r="DO158" s="624"/>
      <c r="DP158" s="624"/>
      <c r="DQ158" s="624"/>
      <c r="DR158" s="625"/>
      <c r="DS158" s="624"/>
      <c r="DT158" s="624"/>
      <c r="DU158" s="624"/>
      <c r="DV158" s="624"/>
      <c r="DW158" s="597"/>
      <c r="DX158" s="597"/>
      <c r="DY158" s="596">
        <v>0</v>
      </c>
      <c r="DZ158" s="597"/>
      <c r="EA158" s="469"/>
      <c r="EB158" s="450">
        <f t="shared" si="748"/>
        <v>0</v>
      </c>
      <c r="EC158" s="628"/>
      <c r="ED158" s="628"/>
      <c r="EE158" s="628"/>
      <c r="EF158" s="628"/>
      <c r="EG158" s="628"/>
      <c r="EH158" s="628"/>
      <c r="EI158" s="628"/>
      <c r="EJ158" s="628"/>
      <c r="EK158" s="628"/>
      <c r="EL158" s="628"/>
      <c r="EM158" s="628"/>
      <c r="EN158" s="628"/>
      <c r="EO158" s="628"/>
      <c r="EP158" s="474"/>
      <c r="EQ158" s="474"/>
      <c r="ER158" s="474"/>
      <c r="ET158" s="629"/>
      <c r="EU158" s="629"/>
      <c r="EV158" s="629"/>
      <c r="EW158" s="628"/>
      <c r="EX158" s="628"/>
      <c r="EY158" s="628"/>
      <c r="EZ158" s="628"/>
      <c r="FA158" s="628"/>
      <c r="FB158" s="629"/>
      <c r="FC158" s="628"/>
      <c r="FD158" s="628"/>
      <c r="FE158" s="628"/>
      <c r="FF158" s="628"/>
    </row>
    <row r="159" spans="2:165" ht="14.25" outlineLevel="3">
      <c r="B159" s="564" t="s">
        <v>253</v>
      </c>
      <c r="C159" s="565">
        <v>1</v>
      </c>
      <c r="D159" s="566" t="s">
        <v>152</v>
      </c>
      <c r="F159" s="500">
        <f t="shared" ref="F159:F160" si="829">W159+BG159+CQ159+EA159</f>
        <v>5.3820765625000003E-2</v>
      </c>
      <c r="G159" s="500">
        <f t="shared" ref="G159:G160" si="830">X159+BH159+CR159+EB159</f>
        <v>5.3820765625000003E-2</v>
      </c>
      <c r="H159" s="514">
        <f t="shared" ref="H159:H160" si="831">F159-G159</f>
        <v>0</v>
      </c>
      <c r="I159" s="514">
        <f t="shared" ref="I159:I160" si="832">Z159+BJ159+CT159+ED159</f>
        <v>0</v>
      </c>
      <c r="J159" s="514">
        <f t="shared" ref="J159:J160" si="833">AA159+BK159+CU159+EE159</f>
        <v>0</v>
      </c>
      <c r="K159" s="514">
        <f t="shared" ref="K159:K160" si="834">AB159+BL159+CV159+EF159</f>
        <v>0</v>
      </c>
      <c r="L159" s="514">
        <f t="shared" ref="L159:L160" si="835">AC159+BM159+CW159+EG159</f>
        <v>0</v>
      </c>
      <c r="M159" s="567">
        <f t="shared" ref="M159:M160" si="836">AD159+BN159+CX159+EH159</f>
        <v>0</v>
      </c>
      <c r="N159" s="568"/>
      <c r="O159" s="514">
        <f t="shared" ref="O159:O160" si="837">AF159+BP159+CZ159+EJ159</f>
        <v>0</v>
      </c>
      <c r="P159" s="514">
        <f t="shared" ref="P159:P160" si="838">AG159+BQ159+DA159+EK159</f>
        <v>0</v>
      </c>
      <c r="Q159" s="514">
        <f t="shared" ref="Q159:Q160" si="839">AH159+BR159+DB159+EL159</f>
        <v>0</v>
      </c>
      <c r="R159" s="514">
        <f t="shared" ref="R159:R160" si="840">AI159+BS159+DC159+EM159</f>
        <v>0</v>
      </c>
      <c r="S159" s="514">
        <f t="shared" ref="S159:S160" si="841">AJ159+BT159+DD159+EN159</f>
        <v>0</v>
      </c>
      <c r="U159" s="569">
        <v>0</v>
      </c>
      <c r="V159" s="503"/>
      <c r="W159" s="434"/>
      <c r="X159" s="435">
        <f t="shared" si="700"/>
        <v>0</v>
      </c>
      <c r="Y159" s="447"/>
      <c r="Z159" s="447"/>
      <c r="AA159" s="514">
        <f t="shared" si="778"/>
        <v>0</v>
      </c>
      <c r="AB159" s="514">
        <f t="shared" si="779"/>
        <v>0</v>
      </c>
      <c r="AC159" s="514">
        <f t="shared" si="780"/>
        <v>0</v>
      </c>
      <c r="AD159" s="567">
        <f t="shared" si="781"/>
        <v>0</v>
      </c>
      <c r="AE159" s="568"/>
      <c r="AF159" s="447"/>
      <c r="AG159" s="501"/>
      <c r="AH159" s="501"/>
      <c r="AI159" s="501"/>
      <c r="AJ159" s="501"/>
      <c r="AK159" s="501"/>
      <c r="AL159" s="473"/>
      <c r="AM159" s="473"/>
      <c r="AN159" s="473"/>
      <c r="AO159" s="520"/>
      <c r="AP159" s="625"/>
      <c r="AQ159" s="625"/>
      <c r="AR159" s="625"/>
      <c r="AS159" s="466"/>
      <c r="AT159" s="466"/>
      <c r="AU159" s="466"/>
      <c r="AV159" s="466"/>
      <c r="AW159" s="466"/>
      <c r="AX159" s="625"/>
      <c r="AY159" s="466"/>
      <c r="AZ159" s="466"/>
      <c r="BA159" s="466"/>
      <c r="BB159" s="466"/>
      <c r="BC159" s="625"/>
      <c r="BD159" s="625"/>
      <c r="BE159" s="511">
        <v>0.25</v>
      </c>
      <c r="BF159" s="508"/>
      <c r="BG159" s="506">
        <f>$BG$158/$BE$158*BE159</f>
        <v>5.3820765625000003E-2</v>
      </c>
      <c r="BH159" s="450">
        <f t="shared" si="717"/>
        <v>5.3820765625000003E-2</v>
      </c>
      <c r="BI159" s="514">
        <f>IFERROR(IF(BV159=100%,BG159,0),0)</f>
        <v>5.3820765625000003E-2</v>
      </c>
      <c r="BJ159" s="514">
        <f>IFERROR(IF(AND((BV159+BW159)=100%,BV159&lt;1),BG159,0),0)</f>
        <v>0</v>
      </c>
      <c r="BK159" s="514">
        <f t="shared" si="782"/>
        <v>0</v>
      </c>
      <c r="BL159" s="514">
        <f t="shared" si="783"/>
        <v>0</v>
      </c>
      <c r="BM159" s="514">
        <f t="shared" si="784"/>
        <v>0</v>
      </c>
      <c r="BN159" s="514">
        <f t="shared" si="785"/>
        <v>0</v>
      </c>
      <c r="BO159" s="501"/>
      <c r="BP159" s="514">
        <f t="shared" si="786"/>
        <v>0</v>
      </c>
      <c r="BQ159" s="514">
        <f>IFERROR(IF(AND((CA159+CI159)=BZ159,BI159=0),BG159,0),0)</f>
        <v>0</v>
      </c>
      <c r="BR159" s="514">
        <f>IFERROR(IF(AND((CA159+CI159+CJ159)=BZ159,BI159=0,BQ159=0),BG159,0),0)</f>
        <v>0</v>
      </c>
      <c r="BS159" s="514">
        <f>IFERROR(IF(AND((CA159+CI159+CJ159+CK159)=BZ159,BI159=0,BQ159=0,BR159=0),BG159,0),0)</f>
        <v>0</v>
      </c>
      <c r="BT159" s="514">
        <f>IFERROR(IF(AND((CA159+CI159+CJ159+CK159+CL159)=BZ159,BI159=0,BQ159=0,BR159=0,BS159=0),BG159,0),0)</f>
        <v>0</v>
      </c>
      <c r="BU159" s="501"/>
      <c r="BV159" s="571">
        <f t="shared" si="787"/>
        <v>1</v>
      </c>
      <c r="BW159" s="571">
        <f t="shared" si="788"/>
        <v>0</v>
      </c>
      <c r="BX159" s="571">
        <f t="shared" si="789"/>
        <v>0</v>
      </c>
      <c r="BY159" s="520"/>
      <c r="BZ159" s="514">
        <f>COUNTIF('ST | Drawing List'!$G:$G,"ST-SS3-1")</f>
        <v>36</v>
      </c>
      <c r="CA159" s="506">
        <f>COUNTIFS('ST | Drawing List'!$G:$G,"ST-SS3-1",'ST | Drawing List'!$I:$I,1)</f>
        <v>36</v>
      </c>
      <c r="CB159" s="572">
        <f>COUNTIFS('ST | Drawing List'!$G:$G,"ST-SS3-1",'ST | Drawing List'!$K:$K,1)</f>
        <v>0</v>
      </c>
      <c r="CC159" s="506">
        <f>COUNTIFS('ST | Drawing List'!$G:$G,"ST-SS3-1",'ST | Drawing List'!L:L,1)</f>
        <v>0</v>
      </c>
      <c r="CD159" s="506">
        <f>COUNTIFS('ST | Drawing List'!$G:$G,"ST-SS3-1",'ST | Drawing List'!M:M,1)</f>
        <v>0</v>
      </c>
      <c r="CE159" s="506">
        <f>COUNTIFS('ST | Drawing List'!$G:$G,"ST-SS3-1",'ST | Drawing List'!N:N,1)</f>
        <v>0</v>
      </c>
      <c r="CF159" s="506">
        <f>COUNTIFS('ST | Drawing List'!$G:$G,"ST-SS3-1",'ST | Drawing List'!O:O,1)</f>
        <v>0</v>
      </c>
      <c r="CG159" s="471"/>
      <c r="CH159" s="572">
        <f>COUNTIFS('ST | Drawing List'!$G:$G,"ST-SS3-1",'ST | Drawing List'!$P:$P,1)</f>
        <v>0</v>
      </c>
      <c r="CI159" s="506">
        <f>COUNTIFS('ST | Drawing List'!$G:$G,"ST-SS3-1",'ST | Drawing List'!Q:Q,1)</f>
        <v>0</v>
      </c>
      <c r="CJ159" s="506">
        <f>COUNTIFS('ST | Drawing List'!$G:$G,"ST-SS3-1",'ST | Drawing List'!R:R,1)</f>
        <v>0</v>
      </c>
      <c r="CK159" s="506">
        <f>COUNTIFS('ST | Drawing List'!$G:$G,"ST-SS3-1",'ST | Drawing List'!S:S,1)</f>
        <v>0</v>
      </c>
      <c r="CL159" s="506">
        <f>COUNTIFS('ST | Drawing List'!$G:$G,"ST-SS3-1",'ST | Drawing List'!T:T,1)</f>
        <v>0</v>
      </c>
      <c r="CM159" s="508"/>
      <c r="CN159" s="508"/>
      <c r="CO159" s="511">
        <v>0</v>
      </c>
      <c r="CP159" s="508"/>
      <c r="CQ159" s="469"/>
      <c r="CR159" s="450">
        <f t="shared" si="733"/>
        <v>0</v>
      </c>
      <c r="CS159" s="447"/>
      <c r="CT159" s="447"/>
      <c r="CU159" s="447"/>
      <c r="CV159" s="447"/>
      <c r="CW159" s="447"/>
      <c r="CX159" s="447"/>
      <c r="CY159" s="447"/>
      <c r="CZ159" s="447"/>
      <c r="DA159" s="447"/>
      <c r="DB159" s="447"/>
      <c r="DC159" s="447"/>
      <c r="DD159" s="447"/>
      <c r="DE159" s="447"/>
      <c r="DF159" s="473"/>
      <c r="DG159" s="473"/>
      <c r="DH159" s="473"/>
      <c r="DI159" s="520"/>
      <c r="DJ159" s="625"/>
      <c r="DK159" s="625"/>
      <c r="DL159" s="625"/>
      <c r="DM159" s="447"/>
      <c r="DN159" s="447"/>
      <c r="DO159" s="447"/>
      <c r="DP159" s="447"/>
      <c r="DQ159" s="447"/>
      <c r="DR159" s="625"/>
      <c r="DS159" s="447"/>
      <c r="DT159" s="447"/>
      <c r="DU159" s="447"/>
      <c r="DV159" s="447"/>
      <c r="DW159" s="508"/>
      <c r="DX159" s="508"/>
      <c r="DY159" s="511">
        <v>0</v>
      </c>
      <c r="DZ159" s="508"/>
      <c r="EA159" s="469"/>
      <c r="EB159" s="450">
        <f t="shared" si="748"/>
        <v>0</v>
      </c>
      <c r="EC159" s="448"/>
      <c r="ED159" s="448"/>
      <c r="EE159" s="448"/>
      <c r="EF159" s="448"/>
      <c r="EG159" s="448"/>
      <c r="EH159" s="448"/>
      <c r="EI159" s="448"/>
      <c r="EJ159" s="448"/>
      <c r="EK159" s="448"/>
      <c r="EL159" s="448"/>
      <c r="EM159" s="448"/>
      <c r="EN159" s="448"/>
      <c r="EO159" s="448"/>
      <c r="EP159" s="474"/>
      <c r="EQ159" s="474"/>
      <c r="ER159" s="474"/>
      <c r="ES159" s="523"/>
      <c r="ET159" s="629"/>
      <c r="EU159" s="629"/>
      <c r="EV159" s="629"/>
      <c r="EW159" s="448"/>
      <c r="EX159" s="448"/>
      <c r="EY159" s="448"/>
      <c r="EZ159" s="448"/>
      <c r="FA159" s="448"/>
      <c r="FB159" s="629"/>
      <c r="FC159" s="448"/>
      <c r="FD159" s="448"/>
      <c r="FE159" s="448"/>
      <c r="FF159" s="448"/>
    </row>
    <row r="160" spans="2:165" ht="14.25" outlineLevel="3">
      <c r="B160" s="564" t="s">
        <v>254</v>
      </c>
      <c r="C160" s="565">
        <v>2</v>
      </c>
      <c r="D160" s="566" t="s">
        <v>154</v>
      </c>
      <c r="F160" s="500">
        <f t="shared" si="829"/>
        <v>5.3820765625000003E-2</v>
      </c>
      <c r="G160" s="500">
        <f t="shared" si="830"/>
        <v>5.3820765625000003E-2</v>
      </c>
      <c r="H160" s="514">
        <f t="shared" si="831"/>
        <v>0</v>
      </c>
      <c r="I160" s="514">
        <f t="shared" si="832"/>
        <v>0</v>
      </c>
      <c r="J160" s="514">
        <f t="shared" si="833"/>
        <v>0</v>
      </c>
      <c r="K160" s="514">
        <f t="shared" si="834"/>
        <v>0</v>
      </c>
      <c r="L160" s="514">
        <f t="shared" si="835"/>
        <v>0</v>
      </c>
      <c r="M160" s="567">
        <f t="shared" si="836"/>
        <v>0</v>
      </c>
      <c r="N160" s="568"/>
      <c r="O160" s="514">
        <f t="shared" si="837"/>
        <v>0</v>
      </c>
      <c r="P160" s="514">
        <f t="shared" si="838"/>
        <v>0</v>
      </c>
      <c r="Q160" s="514">
        <f t="shared" si="839"/>
        <v>0</v>
      </c>
      <c r="R160" s="514">
        <f t="shared" si="840"/>
        <v>0</v>
      </c>
      <c r="S160" s="514">
        <f t="shared" si="841"/>
        <v>0</v>
      </c>
      <c r="U160" s="569">
        <v>0</v>
      </c>
      <c r="V160" s="503"/>
      <c r="W160" s="499"/>
      <c r="X160" s="500">
        <f t="shared" si="700"/>
        <v>0</v>
      </c>
      <c r="Y160" s="501"/>
      <c r="Z160" s="501"/>
      <c r="AA160" s="514">
        <f t="shared" si="778"/>
        <v>0</v>
      </c>
      <c r="AB160" s="514">
        <f t="shared" si="779"/>
        <v>0</v>
      </c>
      <c r="AC160" s="514">
        <f t="shared" si="780"/>
        <v>0</v>
      </c>
      <c r="AD160" s="567">
        <f t="shared" si="781"/>
        <v>0</v>
      </c>
      <c r="AE160" s="568"/>
      <c r="AF160" s="501"/>
      <c r="AG160" s="501"/>
      <c r="AH160" s="501"/>
      <c r="AI160" s="501"/>
      <c r="AJ160" s="501"/>
      <c r="AK160" s="501"/>
      <c r="AL160" s="473"/>
      <c r="AM160" s="473"/>
      <c r="AN160" s="473"/>
      <c r="AO160" s="505"/>
      <c r="AP160" s="625"/>
      <c r="AQ160" s="625"/>
      <c r="AR160" s="625"/>
      <c r="AS160" s="466"/>
      <c r="AT160" s="466"/>
      <c r="AU160" s="466"/>
      <c r="AV160" s="466"/>
      <c r="AW160" s="466"/>
      <c r="AX160" s="625"/>
      <c r="AY160" s="466"/>
      <c r="AZ160" s="466"/>
      <c r="BA160" s="466"/>
      <c r="BB160" s="466"/>
      <c r="BC160" s="625"/>
      <c r="BD160" s="625"/>
      <c r="BE160" s="511">
        <v>0.25</v>
      </c>
      <c r="BF160" s="508"/>
      <c r="BG160" s="506">
        <f>$BG$158/$BE$158*BE160</f>
        <v>5.3820765625000003E-2</v>
      </c>
      <c r="BH160" s="510">
        <f t="shared" si="717"/>
        <v>5.3820765625000003E-2</v>
      </c>
      <c r="BI160" s="514">
        <f>IFERROR(IF(BV160=100%,BG160,0),0)</f>
        <v>5.3820765625000003E-2</v>
      </c>
      <c r="BJ160" s="514">
        <f>IFERROR(IF(AND((BV160+BW160)=100%,BV160&lt;1),BG160,0),0)</f>
        <v>0</v>
      </c>
      <c r="BK160" s="514">
        <f t="shared" si="782"/>
        <v>0</v>
      </c>
      <c r="BL160" s="514">
        <f t="shared" si="783"/>
        <v>0</v>
      </c>
      <c r="BM160" s="514">
        <f t="shared" si="784"/>
        <v>0</v>
      </c>
      <c r="BN160" s="514">
        <f t="shared" si="785"/>
        <v>0</v>
      </c>
      <c r="BO160" s="501"/>
      <c r="BP160" s="514">
        <f t="shared" si="786"/>
        <v>0</v>
      </c>
      <c r="BQ160" s="514">
        <f>IFERROR(IF(AND((CA160+CI160)=BZ160,BI160=0),BG160,0),0)</f>
        <v>0</v>
      </c>
      <c r="BR160" s="514">
        <f>IFERROR(IF(AND((CA160+CI160+CJ160)=BZ160,BI160=0,BQ160=0),BG160,0),0)</f>
        <v>0</v>
      </c>
      <c r="BS160" s="514">
        <f>IFERROR(IF(AND((CA160+CI160+CJ160+CK160)=BZ160,BI160=0,BQ160=0,BR160=0),BG160,0),0)</f>
        <v>0</v>
      </c>
      <c r="BT160" s="514">
        <f>IFERROR(IF(AND((CA160+CI160+CJ160+CK160+CL160)=BZ160,BI160=0,BQ160=0,BR160=0,BS160=0),BG160,0),0)</f>
        <v>0</v>
      </c>
      <c r="BU160" s="501"/>
      <c r="BV160" s="571">
        <f t="shared" si="787"/>
        <v>1</v>
      </c>
      <c r="BW160" s="571">
        <f t="shared" si="788"/>
        <v>0</v>
      </c>
      <c r="BX160" s="571">
        <f t="shared" si="789"/>
        <v>0</v>
      </c>
      <c r="BY160" s="505"/>
      <c r="BZ160" s="514">
        <f>COUNTIF('ST | Drawing List'!$G:$G,"ST-SS3-2")</f>
        <v>118</v>
      </c>
      <c r="CA160" s="506">
        <f>COUNTIFS('ST | Drawing List'!$G:$G,"ST-SS3-2",'ST | Drawing List'!$I:$I,1)</f>
        <v>118</v>
      </c>
      <c r="CB160" s="572">
        <f>COUNTIFS('ST | Drawing List'!$G:$G,"ST-SS3-2",'ST | Drawing List'!$K:$K,1)</f>
        <v>0</v>
      </c>
      <c r="CC160" s="506">
        <f>COUNTIFS('ST | Drawing List'!$G:$G,"ST-SS3-2",'ST | Drawing List'!L:L,1)</f>
        <v>0</v>
      </c>
      <c r="CD160" s="506">
        <f>COUNTIFS('ST | Drawing List'!$G:$G,"ST-SS3-2",'ST | Drawing List'!M:M,1)</f>
        <v>0</v>
      </c>
      <c r="CE160" s="506">
        <f>COUNTIFS('ST | Drawing List'!$G:$G,"ST-SS3-2",'ST | Drawing List'!N:N,1)</f>
        <v>0</v>
      </c>
      <c r="CF160" s="506">
        <f>COUNTIFS('ST | Drawing List'!$G:$G,"ST-SS3-2",'ST | Drawing List'!O:O,1)</f>
        <v>0</v>
      </c>
      <c r="CG160" s="471"/>
      <c r="CH160" s="572">
        <f>COUNTIFS('ST | Drawing List'!$G:$G,"ST-SS3-2",'ST | Drawing List'!$P:$P,1)</f>
        <v>0</v>
      </c>
      <c r="CI160" s="506">
        <f>COUNTIFS('ST | Drawing List'!$G:$G,"ST-SS3-2",'ST | Drawing List'!Q:Q,1)</f>
        <v>0</v>
      </c>
      <c r="CJ160" s="506">
        <f>COUNTIFS('ST | Drawing List'!$G:$G,"ST-SS3-2",'ST | Drawing List'!R:R,1)</f>
        <v>0</v>
      </c>
      <c r="CK160" s="506">
        <f>COUNTIFS('ST | Drawing List'!$G:$G,"ST-SS3-2",'ST | Drawing List'!S:S,1)</f>
        <v>0</v>
      </c>
      <c r="CL160" s="506">
        <f>COUNTIFS('ST | Drawing List'!$G:$G,"ST-SS3-2",'ST | Drawing List'!T:T,1)</f>
        <v>0</v>
      </c>
      <c r="CM160" s="508"/>
      <c r="CN160" s="508"/>
      <c r="CO160" s="511">
        <v>0</v>
      </c>
      <c r="CP160" s="508"/>
      <c r="CQ160" s="509"/>
      <c r="CR160" s="510">
        <f t="shared" si="733"/>
        <v>0</v>
      </c>
      <c r="CS160" s="501"/>
      <c r="CT160" s="501"/>
      <c r="CU160" s="501"/>
      <c r="CV160" s="501"/>
      <c r="CW160" s="501"/>
      <c r="CX160" s="501"/>
      <c r="CY160" s="501"/>
      <c r="CZ160" s="501"/>
      <c r="DA160" s="501"/>
      <c r="DB160" s="501"/>
      <c r="DC160" s="501"/>
      <c r="DD160" s="501"/>
      <c r="DE160" s="501"/>
      <c r="DF160" s="473"/>
      <c r="DG160" s="473"/>
      <c r="DH160" s="473"/>
      <c r="DI160" s="505"/>
      <c r="DJ160" s="625"/>
      <c r="DK160" s="625"/>
      <c r="DL160" s="625"/>
      <c r="DM160" s="501"/>
      <c r="DN160" s="501"/>
      <c r="DO160" s="501"/>
      <c r="DP160" s="501"/>
      <c r="DQ160" s="501"/>
      <c r="DR160" s="625"/>
      <c r="DS160" s="501"/>
      <c r="DT160" s="501"/>
      <c r="DU160" s="501"/>
      <c r="DV160" s="501"/>
      <c r="DW160" s="508"/>
      <c r="DX160" s="508"/>
      <c r="DY160" s="511">
        <v>0</v>
      </c>
      <c r="DZ160" s="508"/>
      <c r="EA160" s="509"/>
      <c r="EB160" s="510">
        <f t="shared" si="748"/>
        <v>0</v>
      </c>
      <c r="EC160" s="515"/>
      <c r="ED160" s="515"/>
      <c r="EE160" s="515"/>
      <c r="EF160" s="515"/>
      <c r="EG160" s="515"/>
      <c r="EH160" s="515"/>
      <c r="EI160" s="515"/>
      <c r="EJ160" s="515"/>
      <c r="EK160" s="515"/>
      <c r="EL160" s="515"/>
      <c r="EM160" s="515"/>
      <c r="EN160" s="515"/>
      <c r="EO160" s="515"/>
      <c r="EP160" s="474"/>
      <c r="EQ160" s="474"/>
      <c r="ER160" s="474"/>
      <c r="ES160" s="516"/>
      <c r="ET160" s="629"/>
      <c r="EU160" s="629"/>
      <c r="EV160" s="629"/>
      <c r="EW160" s="515"/>
      <c r="EX160" s="515"/>
      <c r="EY160" s="515"/>
      <c r="EZ160" s="515"/>
      <c r="FA160" s="515"/>
      <c r="FB160" s="629"/>
      <c r="FC160" s="515"/>
      <c r="FD160" s="515"/>
      <c r="FE160" s="515"/>
      <c r="FF160" s="515"/>
    </row>
    <row r="161" spans="2:162" ht="3" customHeight="1" outlineLevel="2">
      <c r="B161" s="621"/>
      <c r="C161" s="622"/>
      <c r="D161" s="566"/>
      <c r="F161" s="499"/>
      <c r="G161" s="500"/>
      <c r="H161" s="501"/>
      <c r="I161" s="501"/>
      <c r="J161" s="514"/>
      <c r="K161" s="514"/>
      <c r="L161" s="514"/>
      <c r="M161" s="567"/>
      <c r="N161" s="568"/>
      <c r="O161" s="501"/>
      <c r="P161" s="501"/>
      <c r="Q161" s="501"/>
      <c r="R161" s="501"/>
      <c r="S161" s="501"/>
      <c r="U161" s="569"/>
      <c r="V161" s="503"/>
      <c r="W161" s="499"/>
      <c r="X161" s="500">
        <f t="shared" si="700"/>
        <v>0</v>
      </c>
      <c r="Y161" s="501"/>
      <c r="Z161" s="501"/>
      <c r="AA161" s="514">
        <f t="shared" si="778"/>
        <v>0</v>
      </c>
      <c r="AB161" s="514">
        <f t="shared" si="779"/>
        <v>0</v>
      </c>
      <c r="AC161" s="514">
        <f t="shared" si="780"/>
        <v>0</v>
      </c>
      <c r="AD161" s="567">
        <f t="shared" si="781"/>
        <v>0</v>
      </c>
      <c r="AE161" s="568"/>
      <c r="AF161" s="501"/>
      <c r="AG161" s="501"/>
      <c r="AH161" s="501"/>
      <c r="AI161" s="501"/>
      <c r="AJ161" s="501"/>
      <c r="AK161" s="501"/>
      <c r="AL161" s="513"/>
      <c r="AM161" s="513"/>
      <c r="AN161" s="513"/>
      <c r="AO161" s="505"/>
      <c r="AP161" s="551"/>
      <c r="AQ161" s="466"/>
      <c r="AR161" s="466"/>
      <c r="AS161" s="466"/>
      <c r="AT161" s="466"/>
      <c r="AU161" s="466"/>
      <c r="AV161" s="466"/>
      <c r="AW161" s="466"/>
      <c r="AX161" s="466"/>
      <c r="AY161" s="466"/>
      <c r="AZ161" s="466"/>
      <c r="BA161" s="466"/>
      <c r="BB161" s="466"/>
      <c r="BC161" s="466"/>
      <c r="BD161" s="466"/>
      <c r="BE161" s="511"/>
      <c r="BF161" s="508"/>
      <c r="BG161" s="509"/>
      <c r="BH161" s="510">
        <f t="shared" si="717"/>
        <v>0</v>
      </c>
      <c r="BI161" s="501"/>
      <c r="BJ161" s="501"/>
      <c r="BK161" s="514">
        <f t="shared" si="782"/>
        <v>0</v>
      </c>
      <c r="BL161" s="514">
        <f t="shared" si="783"/>
        <v>0</v>
      </c>
      <c r="BM161" s="514">
        <f t="shared" si="784"/>
        <v>0</v>
      </c>
      <c r="BN161" s="514">
        <f t="shared" si="785"/>
        <v>0</v>
      </c>
      <c r="BO161" s="501"/>
      <c r="BP161" s="514">
        <f t="shared" si="786"/>
        <v>0</v>
      </c>
      <c r="BQ161" s="501"/>
      <c r="BR161" s="501"/>
      <c r="BS161" s="501"/>
      <c r="BT161" s="501"/>
      <c r="BU161" s="501"/>
      <c r="BV161" s="571">
        <f t="shared" si="787"/>
        <v>0</v>
      </c>
      <c r="BW161" s="571">
        <f t="shared" si="788"/>
        <v>0</v>
      </c>
      <c r="BX161" s="571">
        <f t="shared" si="789"/>
        <v>0</v>
      </c>
      <c r="BY161" s="505"/>
      <c r="BZ161" s="552"/>
      <c r="CA161" s="471"/>
      <c r="CB161" s="548"/>
      <c r="CC161" s="512"/>
      <c r="CD161" s="512"/>
      <c r="CE161" s="512"/>
      <c r="CF161" s="512"/>
      <c r="CG161" s="512"/>
      <c r="CH161" s="548"/>
      <c r="CI161" s="512"/>
      <c r="CJ161" s="512"/>
      <c r="CK161" s="512"/>
      <c r="CL161" s="512"/>
      <c r="CM161" s="508"/>
      <c r="CN161" s="508"/>
      <c r="CO161" s="511"/>
      <c r="CP161" s="508"/>
      <c r="CQ161" s="509"/>
      <c r="CR161" s="510">
        <f t="shared" si="733"/>
        <v>0</v>
      </c>
      <c r="CS161" s="501"/>
      <c r="CT161" s="501"/>
      <c r="CU161" s="501"/>
      <c r="CV161" s="501"/>
      <c r="CW161" s="501"/>
      <c r="CX161" s="501"/>
      <c r="CY161" s="501"/>
      <c r="CZ161" s="501"/>
      <c r="DA161" s="501"/>
      <c r="DB161" s="501"/>
      <c r="DC161" s="501"/>
      <c r="DD161" s="501"/>
      <c r="DE161" s="501"/>
      <c r="DF161" s="513"/>
      <c r="DG161" s="513"/>
      <c r="DH161" s="513"/>
      <c r="DI161" s="505"/>
      <c r="DJ161" s="551"/>
      <c r="DK161" s="466"/>
      <c r="DL161" s="466"/>
      <c r="DM161" s="501"/>
      <c r="DN161" s="501"/>
      <c r="DO161" s="501"/>
      <c r="DP161" s="501"/>
      <c r="DQ161" s="501"/>
      <c r="DR161" s="466"/>
      <c r="DS161" s="501"/>
      <c r="DT161" s="501"/>
      <c r="DU161" s="501"/>
      <c r="DV161" s="501"/>
      <c r="DW161" s="508"/>
      <c r="DX161" s="508"/>
      <c r="DY161" s="511"/>
      <c r="DZ161" s="508"/>
      <c r="EA161" s="509"/>
      <c r="EB161" s="510">
        <f t="shared" si="748"/>
        <v>0</v>
      </c>
      <c r="EC161" s="515"/>
      <c r="ED161" s="515"/>
      <c r="EE161" s="515"/>
      <c r="EF161" s="515"/>
      <c r="EG161" s="515"/>
      <c r="EH161" s="515"/>
      <c r="EI161" s="515"/>
      <c r="EJ161" s="515"/>
      <c r="EK161" s="515"/>
      <c r="EL161" s="515"/>
      <c r="EM161" s="515"/>
      <c r="EN161" s="515"/>
      <c r="EO161" s="515"/>
      <c r="EP161" s="52"/>
      <c r="EQ161" s="52"/>
      <c r="ER161" s="52"/>
      <c r="ES161" s="516"/>
      <c r="EU161" s="476"/>
      <c r="EV161" s="476"/>
      <c r="EW161" s="515"/>
      <c r="EX161" s="515"/>
      <c r="EY161" s="515"/>
      <c r="EZ161" s="515"/>
      <c r="FA161" s="515"/>
      <c r="FB161" s="476"/>
      <c r="FC161" s="515"/>
      <c r="FD161" s="515"/>
      <c r="FE161" s="515"/>
      <c r="FF161" s="515"/>
    </row>
    <row r="162" spans="2:162" ht="14.25" outlineLevel="2">
      <c r="B162" s="621">
        <v>2.4</v>
      </c>
      <c r="C162" s="622">
        <v>2.4</v>
      </c>
      <c r="D162" s="623" t="s">
        <v>162</v>
      </c>
      <c r="F162" s="434"/>
      <c r="G162" s="435"/>
      <c r="H162" s="501"/>
      <c r="I162" s="501"/>
      <c r="J162" s="514"/>
      <c r="K162" s="514"/>
      <c r="L162" s="514"/>
      <c r="M162" s="567"/>
      <c r="N162" s="568"/>
      <c r="O162" s="501"/>
      <c r="P162" s="501"/>
      <c r="Q162" s="501"/>
      <c r="R162" s="501"/>
      <c r="S162" s="501"/>
      <c r="U162" s="596">
        <v>0</v>
      </c>
      <c r="V162" s="597"/>
      <c r="W162" s="434">
        <v>0</v>
      </c>
      <c r="X162" s="435">
        <f t="shared" si="700"/>
        <v>0</v>
      </c>
      <c r="Y162" s="501"/>
      <c r="Z162" s="501"/>
      <c r="AA162" s="514">
        <f t="shared" si="778"/>
        <v>0</v>
      </c>
      <c r="AB162" s="514">
        <f t="shared" si="779"/>
        <v>0</v>
      </c>
      <c r="AC162" s="514">
        <f t="shared" si="780"/>
        <v>0</v>
      </c>
      <c r="AD162" s="567">
        <f t="shared" si="781"/>
        <v>0</v>
      </c>
      <c r="AE162" s="568"/>
      <c r="AF162" s="501"/>
      <c r="AG162" s="501"/>
      <c r="AH162" s="501"/>
      <c r="AI162" s="501"/>
      <c r="AJ162" s="501"/>
      <c r="AK162" s="501"/>
      <c r="AL162" s="513"/>
      <c r="AM162" s="513"/>
      <c r="AN162" s="513"/>
      <c r="AO162" s="505"/>
      <c r="AP162" s="551"/>
      <c r="AQ162" s="466"/>
      <c r="AR162" s="466"/>
      <c r="AS162" s="466"/>
      <c r="AT162" s="466"/>
      <c r="AU162" s="466"/>
      <c r="AV162" s="466"/>
      <c r="AW162" s="466"/>
      <c r="AX162" s="466"/>
      <c r="AY162" s="466"/>
      <c r="AZ162" s="466"/>
      <c r="BA162" s="466"/>
      <c r="BB162" s="466"/>
      <c r="BC162" s="466"/>
      <c r="BD162" s="466"/>
      <c r="BE162" s="685">
        <f>SUM(BE163:BE164)</f>
        <v>0.5</v>
      </c>
      <c r="BF162" s="597"/>
      <c r="BG162" s="556">
        <f>$BG$144*(95%/12)</f>
        <v>0.10764153125000001</v>
      </c>
      <c r="BH162" s="450">
        <f t="shared" si="717"/>
        <v>0.10764153125000001</v>
      </c>
      <c r="BI162" s="556">
        <f>SUM(BI163:BI164)</f>
        <v>0.10764153125000001</v>
      </c>
      <c r="BJ162" s="556">
        <f>SUM(BJ163:BJ164)</f>
        <v>0</v>
      </c>
      <c r="BK162" s="514">
        <f t="shared" si="782"/>
        <v>0</v>
      </c>
      <c r="BL162" s="514">
        <f t="shared" si="783"/>
        <v>0</v>
      </c>
      <c r="BM162" s="514">
        <f t="shared" si="784"/>
        <v>0</v>
      </c>
      <c r="BN162" s="514">
        <f t="shared" si="785"/>
        <v>0</v>
      </c>
      <c r="BO162" s="501"/>
      <c r="BP162" s="514">
        <f t="shared" si="786"/>
        <v>0</v>
      </c>
      <c r="BQ162" s="501"/>
      <c r="BR162" s="501"/>
      <c r="BS162" s="501"/>
      <c r="BT162" s="501"/>
      <c r="BU162" s="501"/>
      <c r="BV162" s="571">
        <f t="shared" si="787"/>
        <v>0</v>
      </c>
      <c r="BW162" s="571">
        <f t="shared" si="788"/>
        <v>0</v>
      </c>
      <c r="BX162" s="571">
        <f t="shared" si="789"/>
        <v>0</v>
      </c>
      <c r="BY162" s="505"/>
      <c r="BZ162" s="552"/>
      <c r="CA162" s="471"/>
      <c r="CB162" s="548"/>
      <c r="CC162" s="512"/>
      <c r="CD162" s="512"/>
      <c r="CE162" s="512"/>
      <c r="CF162" s="512"/>
      <c r="CG162" s="512"/>
      <c r="CH162" s="548"/>
      <c r="CI162" s="512"/>
      <c r="CJ162" s="512"/>
      <c r="CK162" s="512"/>
      <c r="CL162" s="512"/>
      <c r="CM162" s="597"/>
      <c r="CN162" s="597"/>
      <c r="CO162" s="596">
        <v>0</v>
      </c>
      <c r="CP162" s="597"/>
      <c r="CQ162" s="509"/>
      <c r="CR162" s="450">
        <f t="shared" si="733"/>
        <v>0</v>
      </c>
      <c r="CS162" s="501"/>
      <c r="CT162" s="501"/>
      <c r="CU162" s="501"/>
      <c r="CV162" s="501"/>
      <c r="CW162" s="501"/>
      <c r="CX162" s="501"/>
      <c r="CY162" s="501"/>
      <c r="CZ162" s="501"/>
      <c r="DA162" s="501"/>
      <c r="DB162" s="501"/>
      <c r="DC162" s="501"/>
      <c r="DD162" s="501"/>
      <c r="DE162" s="501"/>
      <c r="DF162" s="513"/>
      <c r="DG162" s="513"/>
      <c r="DH162" s="513"/>
      <c r="DI162" s="505"/>
      <c r="DJ162" s="551"/>
      <c r="DK162" s="466"/>
      <c r="DL162" s="466"/>
      <c r="DM162" s="501"/>
      <c r="DN162" s="501"/>
      <c r="DO162" s="501"/>
      <c r="DP162" s="501"/>
      <c r="DQ162" s="501"/>
      <c r="DR162" s="466"/>
      <c r="DS162" s="501"/>
      <c r="DT162" s="501"/>
      <c r="DU162" s="501"/>
      <c r="DV162" s="501"/>
      <c r="DW162" s="597"/>
      <c r="DX162" s="597"/>
      <c r="DY162" s="596">
        <v>0</v>
      </c>
      <c r="DZ162" s="597"/>
      <c r="EA162" s="509"/>
      <c r="EB162" s="450">
        <f t="shared" si="748"/>
        <v>0</v>
      </c>
      <c r="EC162" s="515"/>
      <c r="ED162" s="515"/>
      <c r="EE162" s="515"/>
      <c r="EF162" s="515"/>
      <c r="EG162" s="515"/>
      <c r="EH162" s="515"/>
      <c r="EI162" s="515"/>
      <c r="EJ162" s="515"/>
      <c r="EK162" s="515"/>
      <c r="EL162" s="515"/>
      <c r="EM162" s="515"/>
      <c r="EN162" s="515"/>
      <c r="EO162" s="515"/>
      <c r="EP162" s="52"/>
      <c r="EQ162" s="52"/>
      <c r="ER162" s="52"/>
      <c r="ES162" s="516"/>
      <c r="EU162" s="476"/>
      <c r="EV162" s="476"/>
      <c r="EW162" s="515"/>
      <c r="EX162" s="515"/>
      <c r="EY162" s="515"/>
      <c r="EZ162" s="515"/>
      <c r="FA162" s="515"/>
      <c r="FB162" s="476"/>
      <c r="FC162" s="515"/>
      <c r="FD162" s="515"/>
      <c r="FE162" s="515"/>
      <c r="FF162" s="515"/>
    </row>
    <row r="163" spans="2:162" ht="14.25" outlineLevel="3">
      <c r="B163" s="564" t="s">
        <v>163</v>
      </c>
      <c r="C163" s="565">
        <v>1</v>
      </c>
      <c r="D163" s="566" t="s">
        <v>152</v>
      </c>
      <c r="F163" s="500">
        <f t="shared" ref="F163:F164" si="842">W163+BG163+CQ163+EA163</f>
        <v>5.3820765625000003E-2</v>
      </c>
      <c r="G163" s="500">
        <f t="shared" ref="G163:G164" si="843">X163+BH163+CR163+EB163</f>
        <v>5.3820765625000003E-2</v>
      </c>
      <c r="H163" s="514">
        <f t="shared" ref="H163:H164" si="844">F163-G163</f>
        <v>0</v>
      </c>
      <c r="I163" s="514">
        <f t="shared" ref="I163:I164" si="845">Z163+BJ163+CT163+ED163</f>
        <v>0</v>
      </c>
      <c r="J163" s="514">
        <f t="shared" ref="J163:J164" si="846">AA163+BK163+CU163+EE163</f>
        <v>0</v>
      </c>
      <c r="K163" s="514">
        <f t="shared" ref="K163:K164" si="847">AB163+BL163+CV163+EF163</f>
        <v>0</v>
      </c>
      <c r="L163" s="514">
        <f t="shared" ref="L163:L164" si="848">AC163+BM163+CW163+EG163</f>
        <v>0</v>
      </c>
      <c r="M163" s="567">
        <f t="shared" ref="M163:M164" si="849">AD163+BN163+CX163+EH163</f>
        <v>0</v>
      </c>
      <c r="N163" s="568"/>
      <c r="O163" s="514">
        <f t="shared" ref="O163:O164" si="850">AF163+BP163+CZ163+EJ163</f>
        <v>0</v>
      </c>
      <c r="P163" s="514">
        <f t="shared" ref="P163:P164" si="851">AG163+BQ163+DA163+EK163</f>
        <v>0</v>
      </c>
      <c r="Q163" s="514">
        <f t="shared" ref="Q163:Q164" si="852">AH163+BR163+DB163+EL163</f>
        <v>0</v>
      </c>
      <c r="R163" s="514">
        <f t="shared" ref="R163:R164" si="853">AI163+BS163+DC163+EM163</f>
        <v>0</v>
      </c>
      <c r="S163" s="514">
        <f t="shared" ref="S163:S164" si="854">AJ163+BT163+DD163+EN163</f>
        <v>0</v>
      </c>
      <c r="U163" s="569">
        <v>0</v>
      </c>
      <c r="V163" s="503"/>
      <c r="W163" s="499"/>
      <c r="X163" s="500">
        <f t="shared" si="700"/>
        <v>0</v>
      </c>
      <c r="Y163" s="501"/>
      <c r="Z163" s="501"/>
      <c r="AA163" s="514">
        <f t="shared" si="778"/>
        <v>0</v>
      </c>
      <c r="AB163" s="514">
        <f t="shared" si="779"/>
        <v>0</v>
      </c>
      <c r="AC163" s="514">
        <f t="shared" si="780"/>
        <v>0</v>
      </c>
      <c r="AD163" s="567">
        <f t="shared" si="781"/>
        <v>0</v>
      </c>
      <c r="AE163" s="568"/>
      <c r="AF163" s="501"/>
      <c r="AG163" s="501"/>
      <c r="AH163" s="501"/>
      <c r="AI163" s="501"/>
      <c r="AJ163" s="501"/>
      <c r="AK163" s="501"/>
      <c r="AL163" s="513"/>
      <c r="AM163" s="513"/>
      <c r="AN163" s="513"/>
      <c r="AO163" s="505"/>
      <c r="AP163" s="551"/>
      <c r="AQ163" s="466"/>
      <c r="AR163" s="466"/>
      <c r="AS163" s="466"/>
      <c r="AT163" s="466"/>
      <c r="AU163" s="466"/>
      <c r="AV163" s="466"/>
      <c r="AW163" s="466"/>
      <c r="AX163" s="466"/>
      <c r="AY163" s="466"/>
      <c r="AZ163" s="466"/>
      <c r="BA163" s="466"/>
      <c r="BB163" s="466"/>
      <c r="BC163" s="466"/>
      <c r="BD163" s="466"/>
      <c r="BE163" s="511">
        <v>0.25</v>
      </c>
      <c r="BF163" s="508"/>
      <c r="BG163" s="506">
        <f>$BG$162/$BE$162*BE163</f>
        <v>5.3820765625000003E-2</v>
      </c>
      <c r="BH163" s="510">
        <f t="shared" si="717"/>
        <v>5.3820765625000003E-2</v>
      </c>
      <c r="BI163" s="514">
        <f>IFERROR(IF(BV163=100%,BG163,0),0)</f>
        <v>5.3820765625000003E-2</v>
      </c>
      <c r="BJ163" s="514">
        <f>IFERROR(IF(AND((BV163+BW163)=100%,BV163&lt;1),BG163,0),0)</f>
        <v>0</v>
      </c>
      <c r="BK163" s="514">
        <f t="shared" si="782"/>
        <v>0</v>
      </c>
      <c r="BL163" s="514">
        <f t="shared" si="783"/>
        <v>0</v>
      </c>
      <c r="BM163" s="514">
        <f t="shared" si="784"/>
        <v>0</v>
      </c>
      <c r="BN163" s="514">
        <f t="shared" si="785"/>
        <v>0</v>
      </c>
      <c r="BO163" s="501"/>
      <c r="BP163" s="514">
        <f t="shared" si="786"/>
        <v>0</v>
      </c>
      <c r="BQ163" s="514">
        <f>IFERROR(IF(AND((CA163+CI163)=BZ163,BI163=0),BG163,0),0)</f>
        <v>0</v>
      </c>
      <c r="BR163" s="514">
        <f>IFERROR(IF(AND((CA163+CI163+CJ163)=BZ163,BI163=0,BQ163=0),BG163,0),0)</f>
        <v>0</v>
      </c>
      <c r="BS163" s="514">
        <f>IFERROR(IF(AND((CA163+CI163+CJ163+CK163)=BZ163,BI163=0,BQ163=0,BR163=0),BG163,0),0)</f>
        <v>0</v>
      </c>
      <c r="BT163" s="514">
        <f>IFERROR(IF(AND((CA163+CI163+CJ163+CK163+CL163)=BZ163,BI163=0,BQ163=0,BR163=0,BS163=0),BG163,0),0)</f>
        <v>0</v>
      </c>
      <c r="BU163" s="501"/>
      <c r="BV163" s="571">
        <f t="shared" si="787"/>
        <v>1</v>
      </c>
      <c r="BW163" s="571">
        <f t="shared" si="788"/>
        <v>0</v>
      </c>
      <c r="BX163" s="571">
        <f t="shared" si="789"/>
        <v>0</v>
      </c>
      <c r="BY163" s="505"/>
      <c r="BZ163" s="514">
        <f>COUNTIF('ST | Drawing List'!$G:$G,"ST-SS4-1")</f>
        <v>36</v>
      </c>
      <c r="CA163" s="506">
        <f>COUNTIFS('ST | Drawing List'!$G:$G,"ST-SS4-1",'ST | Drawing List'!$I:$I,1)</f>
        <v>36</v>
      </c>
      <c r="CB163" s="572">
        <f>COUNTIFS('ST | Drawing List'!$G:$G,"ST-SS4-1",'ST | Drawing List'!$K:$K,1)</f>
        <v>0</v>
      </c>
      <c r="CC163" s="506">
        <f>COUNTIFS('ST | Drawing List'!$G:$G,"ST-SS4-1",'ST | Drawing List'!L:L,1)</f>
        <v>0</v>
      </c>
      <c r="CD163" s="506">
        <f>COUNTIFS('ST | Drawing List'!$G:$G,"ST-SS4-1",'ST | Drawing List'!M:M,1)</f>
        <v>0</v>
      </c>
      <c r="CE163" s="506">
        <f>COUNTIFS('ST | Drawing List'!$G:$G,"ST-SS4-1",'ST | Drawing List'!N:N,1)</f>
        <v>0</v>
      </c>
      <c r="CF163" s="506">
        <f>COUNTIFS('ST | Drawing List'!$G:$G,"ST-SS4-1",'ST | Drawing List'!O:O,1)</f>
        <v>0</v>
      </c>
      <c r="CG163" s="471"/>
      <c r="CH163" s="572">
        <f>COUNTIFS('ST | Drawing List'!$G:$G,"ST-SS4-1",'ST | Drawing List'!$P:$P,1)</f>
        <v>0</v>
      </c>
      <c r="CI163" s="506">
        <f>COUNTIFS('ST | Drawing List'!$G:$G,"ST-SS4-1",'ST | Drawing List'!Q:Q,1)</f>
        <v>0</v>
      </c>
      <c r="CJ163" s="506">
        <f>COUNTIFS('ST | Drawing List'!$G:$G,"ST-SS4-1",'ST | Drawing List'!R:R,1)</f>
        <v>0</v>
      </c>
      <c r="CK163" s="506">
        <f>COUNTIFS('ST | Drawing List'!$G:$G,"ST-SS4-1",'ST | Drawing List'!S:S,1)</f>
        <v>0</v>
      </c>
      <c r="CL163" s="506">
        <f>COUNTIFS('ST | Drawing List'!$G:$G,"ST-SS4-1",'ST | Drawing List'!T:T,1)</f>
        <v>0</v>
      </c>
      <c r="CM163" s="508"/>
      <c r="CN163" s="508"/>
      <c r="CO163" s="511">
        <v>0</v>
      </c>
      <c r="CP163" s="508"/>
      <c r="CQ163" s="509"/>
      <c r="CR163" s="510">
        <f t="shared" si="733"/>
        <v>0</v>
      </c>
      <c r="CS163" s="501"/>
      <c r="CT163" s="501"/>
      <c r="CU163" s="501"/>
      <c r="CV163" s="501"/>
      <c r="CW163" s="501"/>
      <c r="CX163" s="501"/>
      <c r="CY163" s="501"/>
      <c r="CZ163" s="501"/>
      <c r="DA163" s="501"/>
      <c r="DB163" s="501"/>
      <c r="DC163" s="501"/>
      <c r="DD163" s="501"/>
      <c r="DE163" s="501"/>
      <c r="DF163" s="513"/>
      <c r="DG163" s="513"/>
      <c r="DH163" s="513"/>
      <c r="DI163" s="505"/>
      <c r="DJ163" s="551"/>
      <c r="DK163" s="466"/>
      <c r="DL163" s="466"/>
      <c r="DM163" s="501"/>
      <c r="DN163" s="501"/>
      <c r="DO163" s="501"/>
      <c r="DP163" s="501"/>
      <c r="DQ163" s="501"/>
      <c r="DR163" s="466"/>
      <c r="DS163" s="501"/>
      <c r="DT163" s="501"/>
      <c r="DU163" s="501"/>
      <c r="DV163" s="501"/>
      <c r="DW163" s="508"/>
      <c r="DX163" s="508"/>
      <c r="DY163" s="511">
        <v>0</v>
      </c>
      <c r="DZ163" s="508"/>
      <c r="EA163" s="509"/>
      <c r="EB163" s="510">
        <f t="shared" si="748"/>
        <v>0</v>
      </c>
      <c r="EC163" s="515"/>
      <c r="ED163" s="515"/>
      <c r="EE163" s="515"/>
      <c r="EF163" s="515"/>
      <c r="EG163" s="515"/>
      <c r="EH163" s="515"/>
      <c r="EI163" s="515"/>
      <c r="EJ163" s="515"/>
      <c r="EK163" s="515"/>
      <c r="EL163" s="515"/>
      <c r="EM163" s="515"/>
      <c r="EN163" s="515"/>
      <c r="EO163" s="515"/>
      <c r="EP163" s="52"/>
      <c r="EQ163" s="52"/>
      <c r="ER163" s="52"/>
      <c r="ES163" s="516"/>
      <c r="EU163" s="476"/>
      <c r="EV163" s="476"/>
      <c r="EW163" s="515"/>
      <c r="EX163" s="515"/>
      <c r="EY163" s="515"/>
      <c r="EZ163" s="515"/>
      <c r="FA163" s="515"/>
      <c r="FB163" s="476"/>
      <c r="FC163" s="515"/>
      <c r="FD163" s="515"/>
      <c r="FE163" s="515"/>
      <c r="FF163" s="515"/>
    </row>
    <row r="164" spans="2:162" ht="14.25" outlineLevel="3">
      <c r="B164" s="564" t="s">
        <v>164</v>
      </c>
      <c r="C164" s="565">
        <v>2</v>
      </c>
      <c r="D164" s="566" t="s">
        <v>154</v>
      </c>
      <c r="F164" s="500">
        <f t="shared" si="842"/>
        <v>5.3820765625000003E-2</v>
      </c>
      <c r="G164" s="500">
        <f t="shared" si="843"/>
        <v>5.3820765625000003E-2</v>
      </c>
      <c r="H164" s="514">
        <f t="shared" si="844"/>
        <v>0</v>
      </c>
      <c r="I164" s="514">
        <f t="shared" si="845"/>
        <v>0</v>
      </c>
      <c r="J164" s="514">
        <f t="shared" si="846"/>
        <v>0</v>
      </c>
      <c r="K164" s="514">
        <f t="shared" si="847"/>
        <v>0</v>
      </c>
      <c r="L164" s="514">
        <f t="shared" si="848"/>
        <v>0</v>
      </c>
      <c r="M164" s="567">
        <f t="shared" si="849"/>
        <v>0</v>
      </c>
      <c r="N164" s="568"/>
      <c r="O164" s="514">
        <f t="shared" si="850"/>
        <v>0</v>
      </c>
      <c r="P164" s="514">
        <f t="shared" si="851"/>
        <v>0</v>
      </c>
      <c r="Q164" s="514">
        <f t="shared" si="852"/>
        <v>0</v>
      </c>
      <c r="R164" s="514">
        <f t="shared" si="853"/>
        <v>0</v>
      </c>
      <c r="S164" s="514">
        <f t="shared" si="854"/>
        <v>0</v>
      </c>
      <c r="U164" s="569">
        <v>0</v>
      </c>
      <c r="V164" s="503"/>
      <c r="W164" s="499"/>
      <c r="X164" s="500">
        <f t="shared" si="700"/>
        <v>0</v>
      </c>
      <c r="Y164" s="501"/>
      <c r="Z164" s="501"/>
      <c r="AA164" s="514">
        <f t="shared" si="778"/>
        <v>0</v>
      </c>
      <c r="AB164" s="514">
        <f t="shared" si="779"/>
        <v>0</v>
      </c>
      <c r="AC164" s="514">
        <f t="shared" si="780"/>
        <v>0</v>
      </c>
      <c r="AD164" s="567">
        <f t="shared" si="781"/>
        <v>0</v>
      </c>
      <c r="AE164" s="568"/>
      <c r="AF164" s="501"/>
      <c r="AG164" s="501"/>
      <c r="AH164" s="501"/>
      <c r="AI164" s="501"/>
      <c r="AJ164" s="501"/>
      <c r="AK164" s="501"/>
      <c r="AL164" s="513"/>
      <c r="AM164" s="513"/>
      <c r="AN164" s="513"/>
      <c r="AO164" s="505"/>
      <c r="AP164" s="551"/>
      <c r="AQ164" s="466"/>
      <c r="AR164" s="466"/>
      <c r="AS164" s="466"/>
      <c r="AT164" s="466"/>
      <c r="AU164" s="466"/>
      <c r="AV164" s="466"/>
      <c r="AW164" s="466"/>
      <c r="AX164" s="466"/>
      <c r="AY164" s="466"/>
      <c r="AZ164" s="466"/>
      <c r="BA164" s="466"/>
      <c r="BB164" s="466"/>
      <c r="BC164" s="466"/>
      <c r="BD164" s="466"/>
      <c r="BE164" s="511">
        <v>0.25</v>
      </c>
      <c r="BF164" s="508"/>
      <c r="BG164" s="506">
        <f>$BG$162/$BE$162*BE164</f>
        <v>5.3820765625000003E-2</v>
      </c>
      <c r="BH164" s="510">
        <f t="shared" si="717"/>
        <v>5.3820765625000003E-2</v>
      </c>
      <c r="BI164" s="514">
        <f>IFERROR(IF(BV164=100%,BG164,0),0)</f>
        <v>5.3820765625000003E-2</v>
      </c>
      <c r="BJ164" s="514">
        <f>IFERROR(IF(AND((BV164+BW164)=100%,BV164&lt;1),BG164,0),0)</f>
        <v>0</v>
      </c>
      <c r="BK164" s="514">
        <f t="shared" si="782"/>
        <v>0</v>
      </c>
      <c r="BL164" s="514">
        <f t="shared" si="783"/>
        <v>0</v>
      </c>
      <c r="BM164" s="514">
        <f t="shared" si="784"/>
        <v>0</v>
      </c>
      <c r="BN164" s="514">
        <f t="shared" si="785"/>
        <v>0</v>
      </c>
      <c r="BO164" s="501"/>
      <c r="BP164" s="514">
        <f t="shared" si="786"/>
        <v>0</v>
      </c>
      <c r="BQ164" s="514">
        <f>IFERROR(IF(AND((CA164+CI164)=BZ164,BI164=0),BG164,0),0)</f>
        <v>0</v>
      </c>
      <c r="BR164" s="514">
        <f>IFERROR(IF(AND((CA164+CI164+CJ164)=BZ164,BI164=0,BQ164=0),BG164,0),0)</f>
        <v>0</v>
      </c>
      <c r="BS164" s="514">
        <f>IFERROR(IF(AND((CA164+CI164+CJ164+CK164)=BZ164,BI164=0,BQ164=0,BR164=0),BG164,0),0)</f>
        <v>0</v>
      </c>
      <c r="BT164" s="514">
        <f>IFERROR(IF(AND((CA164+CI164+CJ164+CK164+CL164)=BZ164,BI164=0,BQ164=0,BR164=0,BS164=0),BG164,0),0)</f>
        <v>0</v>
      </c>
      <c r="BU164" s="501"/>
      <c r="BV164" s="571">
        <f t="shared" si="787"/>
        <v>1</v>
      </c>
      <c r="BW164" s="571">
        <f t="shared" si="788"/>
        <v>0</v>
      </c>
      <c r="BX164" s="571">
        <f t="shared" si="789"/>
        <v>0</v>
      </c>
      <c r="BY164" s="505"/>
      <c r="BZ164" s="514">
        <f>COUNTIF('ST | Drawing List'!$G:$G,"ST-SS4-2")</f>
        <v>118</v>
      </c>
      <c r="CA164" s="506">
        <f>COUNTIFS('ST | Drawing List'!$G:$G,"ST-SS4-2",'ST | Drawing List'!$I:$I,1)</f>
        <v>118</v>
      </c>
      <c r="CB164" s="572">
        <f>COUNTIFS('ST | Drawing List'!$G:$G,"ST-SS4-2",'ST | Drawing List'!$K:$K,1)</f>
        <v>0</v>
      </c>
      <c r="CC164" s="506">
        <f>COUNTIFS('ST | Drawing List'!$G:$G,"ST-SS4-2",'ST | Drawing List'!L:L,1)</f>
        <v>0</v>
      </c>
      <c r="CD164" s="506">
        <f>COUNTIFS('ST | Drawing List'!$G:$G,"ST-SS4-2",'ST | Drawing List'!M:M,1)</f>
        <v>0</v>
      </c>
      <c r="CE164" s="506">
        <f>COUNTIFS('ST | Drawing List'!$G:$G,"ST-SS4-2",'ST | Drawing List'!N:N,1)</f>
        <v>0</v>
      </c>
      <c r="CF164" s="506">
        <f>COUNTIFS('ST | Drawing List'!$G:$G,"ST-SS4-2",'ST | Drawing List'!O:O,1)</f>
        <v>0</v>
      </c>
      <c r="CG164" s="471"/>
      <c r="CH164" s="572">
        <f>COUNTIFS('ST | Drawing List'!$G:$G,"ST-SS4-2",'ST | Drawing List'!$P:$P,1)</f>
        <v>0</v>
      </c>
      <c r="CI164" s="506">
        <f>COUNTIFS('ST | Drawing List'!$G:$G,"ST-SS4-2",'ST | Drawing List'!Q:Q,1)</f>
        <v>0</v>
      </c>
      <c r="CJ164" s="506">
        <f>COUNTIFS('ST | Drawing List'!$G:$G,"ST-SS4-2",'ST | Drawing List'!R:R,1)</f>
        <v>0</v>
      </c>
      <c r="CK164" s="506">
        <f>COUNTIFS('ST | Drawing List'!$G:$G,"ST-SS4-2",'ST | Drawing List'!S:S,1)</f>
        <v>0</v>
      </c>
      <c r="CL164" s="506">
        <f>COUNTIFS('ST | Drawing List'!$G:$G,"ST-SS4-2",'ST | Drawing List'!T:T,1)</f>
        <v>0</v>
      </c>
      <c r="CM164" s="508"/>
      <c r="CN164" s="508"/>
      <c r="CO164" s="511">
        <v>0</v>
      </c>
      <c r="CP164" s="508"/>
      <c r="CQ164" s="509"/>
      <c r="CR164" s="510">
        <f t="shared" si="733"/>
        <v>0</v>
      </c>
      <c r="CS164" s="501"/>
      <c r="CT164" s="501"/>
      <c r="CU164" s="501"/>
      <c r="CV164" s="501"/>
      <c r="CW164" s="501"/>
      <c r="CX164" s="501"/>
      <c r="CY164" s="501"/>
      <c r="CZ164" s="501"/>
      <c r="DA164" s="501"/>
      <c r="DB164" s="501"/>
      <c r="DC164" s="501"/>
      <c r="DD164" s="501"/>
      <c r="DE164" s="501"/>
      <c r="DF164" s="513"/>
      <c r="DG164" s="513"/>
      <c r="DH164" s="513"/>
      <c r="DI164" s="505"/>
      <c r="DJ164" s="551"/>
      <c r="DK164" s="466"/>
      <c r="DL164" s="466"/>
      <c r="DM164" s="501"/>
      <c r="DN164" s="501"/>
      <c r="DO164" s="501"/>
      <c r="DP164" s="501"/>
      <c r="DQ164" s="501"/>
      <c r="DR164" s="466"/>
      <c r="DS164" s="501"/>
      <c r="DT164" s="501"/>
      <c r="DU164" s="501"/>
      <c r="DV164" s="501"/>
      <c r="DW164" s="508"/>
      <c r="DX164" s="508"/>
      <c r="DY164" s="511">
        <v>0</v>
      </c>
      <c r="DZ164" s="508"/>
      <c r="EA164" s="509"/>
      <c r="EB164" s="510">
        <f t="shared" si="748"/>
        <v>0</v>
      </c>
      <c r="EC164" s="515"/>
      <c r="ED164" s="515"/>
      <c r="EE164" s="515"/>
      <c r="EF164" s="515"/>
      <c r="EG164" s="515"/>
      <c r="EH164" s="515"/>
      <c r="EI164" s="515"/>
      <c r="EJ164" s="515"/>
      <c r="EK164" s="515"/>
      <c r="EL164" s="515"/>
      <c r="EM164" s="515"/>
      <c r="EN164" s="515"/>
      <c r="EO164" s="515"/>
      <c r="EP164" s="52"/>
      <c r="EQ164" s="52"/>
      <c r="ER164" s="52"/>
      <c r="ES164" s="516"/>
      <c r="EU164" s="476"/>
      <c r="EV164" s="476"/>
      <c r="EW164" s="515"/>
      <c r="EX164" s="515"/>
      <c r="EY164" s="515"/>
      <c r="EZ164" s="515"/>
      <c r="FA164" s="515"/>
      <c r="FB164" s="476"/>
      <c r="FC164" s="515"/>
      <c r="FD164" s="515"/>
      <c r="FE164" s="515"/>
      <c r="FF164" s="515"/>
    </row>
    <row r="165" spans="2:162" ht="3" customHeight="1" outlineLevel="2">
      <c r="B165" s="621"/>
      <c r="C165" s="622"/>
      <c r="D165" s="566"/>
      <c r="F165" s="499"/>
      <c r="G165" s="500"/>
      <c r="H165" s="501"/>
      <c r="I165" s="501"/>
      <c r="J165" s="514"/>
      <c r="K165" s="514"/>
      <c r="L165" s="514"/>
      <c r="M165" s="567"/>
      <c r="N165" s="568"/>
      <c r="O165" s="501"/>
      <c r="P165" s="501"/>
      <c r="Q165" s="501"/>
      <c r="R165" s="501"/>
      <c r="S165" s="501"/>
      <c r="U165" s="569"/>
      <c r="V165" s="503"/>
      <c r="W165" s="499"/>
      <c r="X165" s="500">
        <f t="shared" si="700"/>
        <v>0</v>
      </c>
      <c r="Y165" s="501"/>
      <c r="Z165" s="501"/>
      <c r="AA165" s="514">
        <f t="shared" si="778"/>
        <v>0</v>
      </c>
      <c r="AB165" s="514">
        <f t="shared" si="779"/>
        <v>0</v>
      </c>
      <c r="AC165" s="514">
        <f t="shared" si="780"/>
        <v>0</v>
      </c>
      <c r="AD165" s="567">
        <f t="shared" si="781"/>
        <v>0</v>
      </c>
      <c r="AE165" s="568"/>
      <c r="AF165" s="501"/>
      <c r="AG165" s="501"/>
      <c r="AH165" s="501"/>
      <c r="AI165" s="501"/>
      <c r="AJ165" s="501"/>
      <c r="AK165" s="501"/>
      <c r="AL165" s="513"/>
      <c r="AM165" s="513"/>
      <c r="AN165" s="513"/>
      <c r="AO165" s="505"/>
      <c r="AP165" s="551"/>
      <c r="AQ165" s="466"/>
      <c r="AR165" s="466"/>
      <c r="AS165" s="466"/>
      <c r="AT165" s="466"/>
      <c r="AU165" s="466"/>
      <c r="AV165" s="466"/>
      <c r="AW165" s="466"/>
      <c r="AX165" s="466"/>
      <c r="AY165" s="466"/>
      <c r="AZ165" s="466"/>
      <c r="BA165" s="466"/>
      <c r="BB165" s="466"/>
      <c r="BC165" s="466"/>
      <c r="BD165" s="466"/>
      <c r="BE165" s="511"/>
      <c r="BF165" s="508"/>
      <c r="BG165" s="509"/>
      <c r="BH165" s="510">
        <f t="shared" si="717"/>
        <v>0</v>
      </c>
      <c r="BI165" s="501"/>
      <c r="BJ165" s="501"/>
      <c r="BK165" s="514">
        <f t="shared" si="782"/>
        <v>0</v>
      </c>
      <c r="BL165" s="514">
        <f t="shared" si="783"/>
        <v>0</v>
      </c>
      <c r="BM165" s="514">
        <f t="shared" si="784"/>
        <v>0</v>
      </c>
      <c r="BN165" s="514">
        <f t="shared" si="785"/>
        <v>0</v>
      </c>
      <c r="BO165" s="501"/>
      <c r="BP165" s="514">
        <f t="shared" si="786"/>
        <v>0</v>
      </c>
      <c r="BQ165" s="501"/>
      <c r="BR165" s="501"/>
      <c r="BS165" s="501"/>
      <c r="BT165" s="501"/>
      <c r="BU165" s="501"/>
      <c r="BV165" s="571">
        <f t="shared" si="787"/>
        <v>0</v>
      </c>
      <c r="BW165" s="571">
        <f t="shared" si="788"/>
        <v>0</v>
      </c>
      <c r="BX165" s="571">
        <f t="shared" si="789"/>
        <v>0</v>
      </c>
      <c r="BY165" s="505"/>
      <c r="BZ165" s="552"/>
      <c r="CA165" s="471"/>
      <c r="CB165" s="548"/>
      <c r="CC165" s="512"/>
      <c r="CD165" s="512"/>
      <c r="CE165" s="512"/>
      <c r="CF165" s="512"/>
      <c r="CG165" s="512"/>
      <c r="CH165" s="548"/>
      <c r="CI165" s="512"/>
      <c r="CJ165" s="512"/>
      <c r="CK165" s="512"/>
      <c r="CL165" s="512"/>
      <c r="CM165" s="508"/>
      <c r="CN165" s="508"/>
      <c r="CO165" s="511"/>
      <c r="CP165" s="508"/>
      <c r="CQ165" s="509"/>
      <c r="CR165" s="510">
        <f t="shared" si="733"/>
        <v>0</v>
      </c>
      <c r="CS165" s="501"/>
      <c r="CT165" s="501"/>
      <c r="CU165" s="501"/>
      <c r="CV165" s="501"/>
      <c r="CW165" s="501"/>
      <c r="CX165" s="501"/>
      <c r="CY165" s="501"/>
      <c r="CZ165" s="501"/>
      <c r="DA165" s="501"/>
      <c r="DB165" s="501"/>
      <c r="DC165" s="501"/>
      <c r="DD165" s="501"/>
      <c r="DE165" s="501"/>
      <c r="DF165" s="513"/>
      <c r="DG165" s="513"/>
      <c r="DH165" s="513"/>
      <c r="DI165" s="505"/>
      <c r="DJ165" s="551"/>
      <c r="DK165" s="466"/>
      <c r="DL165" s="466"/>
      <c r="DM165" s="501"/>
      <c r="DN165" s="501"/>
      <c r="DO165" s="501"/>
      <c r="DP165" s="501"/>
      <c r="DQ165" s="501"/>
      <c r="DR165" s="466"/>
      <c r="DS165" s="501"/>
      <c r="DT165" s="501"/>
      <c r="DU165" s="501"/>
      <c r="DV165" s="501"/>
      <c r="DW165" s="508"/>
      <c r="DX165" s="508"/>
      <c r="DY165" s="511"/>
      <c r="DZ165" s="508"/>
      <c r="EA165" s="509"/>
      <c r="EB165" s="510">
        <f t="shared" si="748"/>
        <v>0</v>
      </c>
      <c r="EC165" s="515"/>
      <c r="ED165" s="515"/>
      <c r="EE165" s="515"/>
      <c r="EF165" s="515"/>
      <c r="EG165" s="515"/>
      <c r="EH165" s="515"/>
      <c r="EI165" s="515"/>
      <c r="EJ165" s="515"/>
      <c r="EK165" s="515"/>
      <c r="EL165" s="515"/>
      <c r="EM165" s="515"/>
      <c r="EN165" s="515"/>
      <c r="EO165" s="515"/>
      <c r="EP165" s="52"/>
      <c r="EQ165" s="52"/>
      <c r="ER165" s="52"/>
      <c r="ES165" s="516"/>
      <c r="EU165" s="476"/>
      <c r="EV165" s="476"/>
      <c r="EW165" s="515"/>
      <c r="EX165" s="515"/>
      <c r="EY165" s="515"/>
      <c r="EZ165" s="515"/>
      <c r="FA165" s="515"/>
      <c r="FB165" s="476"/>
      <c r="FC165" s="515"/>
      <c r="FD165" s="515"/>
      <c r="FE165" s="515"/>
      <c r="FF165" s="515"/>
    </row>
    <row r="166" spans="2:162" ht="14.25" outlineLevel="2">
      <c r="B166" s="621">
        <v>2.5</v>
      </c>
      <c r="C166" s="622">
        <v>2.5</v>
      </c>
      <c r="D166" s="623" t="s">
        <v>165</v>
      </c>
      <c r="F166" s="434"/>
      <c r="G166" s="435"/>
      <c r="H166" s="501"/>
      <c r="I166" s="501"/>
      <c r="J166" s="514"/>
      <c r="K166" s="514"/>
      <c r="L166" s="514"/>
      <c r="M166" s="567"/>
      <c r="N166" s="568"/>
      <c r="O166" s="501"/>
      <c r="P166" s="501"/>
      <c r="Q166" s="501"/>
      <c r="R166" s="501"/>
      <c r="S166" s="501"/>
      <c r="U166" s="596">
        <v>0</v>
      </c>
      <c r="V166" s="597"/>
      <c r="W166" s="434">
        <v>0</v>
      </c>
      <c r="X166" s="435">
        <f t="shared" si="700"/>
        <v>0</v>
      </c>
      <c r="Y166" s="501"/>
      <c r="Z166" s="501"/>
      <c r="AA166" s="514">
        <f t="shared" si="778"/>
        <v>0</v>
      </c>
      <c r="AB166" s="514">
        <f t="shared" si="779"/>
        <v>0</v>
      </c>
      <c r="AC166" s="514">
        <f t="shared" si="780"/>
        <v>0</v>
      </c>
      <c r="AD166" s="567">
        <f t="shared" si="781"/>
        <v>0</v>
      </c>
      <c r="AE166" s="568"/>
      <c r="AF166" s="501"/>
      <c r="AG166" s="501"/>
      <c r="AH166" s="501"/>
      <c r="AI166" s="501"/>
      <c r="AJ166" s="501"/>
      <c r="AK166" s="501"/>
      <c r="AL166" s="513"/>
      <c r="AM166" s="513"/>
      <c r="AN166" s="513"/>
      <c r="AO166" s="505"/>
      <c r="AP166" s="551"/>
      <c r="AQ166" s="466"/>
      <c r="AR166" s="466"/>
      <c r="AS166" s="466"/>
      <c r="AT166" s="466"/>
      <c r="AU166" s="466"/>
      <c r="AV166" s="466"/>
      <c r="AW166" s="466"/>
      <c r="AX166" s="466"/>
      <c r="AY166" s="466"/>
      <c r="AZ166" s="466"/>
      <c r="BA166" s="466"/>
      <c r="BB166" s="466"/>
      <c r="BC166" s="466"/>
      <c r="BD166" s="466"/>
      <c r="BE166" s="685">
        <f>SUM(BE167:BE168)</f>
        <v>0.5</v>
      </c>
      <c r="BF166" s="597"/>
      <c r="BG166" s="556">
        <f>$BG$144*(95%/12)</f>
        <v>0.10764153125000001</v>
      </c>
      <c r="BH166" s="450">
        <f t="shared" si="717"/>
        <v>0.10764153125000001</v>
      </c>
      <c r="BI166" s="556">
        <f>SUM(BI167:BI168)</f>
        <v>0.10764153125000001</v>
      </c>
      <c r="BJ166" s="556">
        <f>SUM(BJ167:BJ168)</f>
        <v>0</v>
      </c>
      <c r="BK166" s="630">
        <f t="shared" si="782"/>
        <v>0</v>
      </c>
      <c r="BL166" s="514">
        <f t="shared" si="783"/>
        <v>0</v>
      </c>
      <c r="BM166" s="514">
        <f t="shared" si="784"/>
        <v>0</v>
      </c>
      <c r="BN166" s="514">
        <f t="shared" si="785"/>
        <v>0</v>
      </c>
      <c r="BO166" s="501"/>
      <c r="BP166" s="630">
        <f>SUM(BP167:BP168)</f>
        <v>0</v>
      </c>
      <c r="BQ166" s="630">
        <f t="shared" ref="BQ166:BT166" si="855">SUM(BQ167:BQ168)</f>
        <v>0</v>
      </c>
      <c r="BR166" s="630">
        <f t="shared" si="855"/>
        <v>0</v>
      </c>
      <c r="BS166" s="630">
        <f t="shared" si="855"/>
        <v>0</v>
      </c>
      <c r="BT166" s="630">
        <f t="shared" si="855"/>
        <v>0</v>
      </c>
      <c r="BU166" s="547"/>
      <c r="BV166" s="571">
        <f t="shared" si="787"/>
        <v>0</v>
      </c>
      <c r="BW166" s="571">
        <f t="shared" si="788"/>
        <v>0</v>
      </c>
      <c r="BX166" s="571">
        <f t="shared" si="789"/>
        <v>0</v>
      </c>
      <c r="BY166" s="505"/>
      <c r="BZ166" s="552"/>
      <c r="CA166" s="471"/>
      <c r="CB166" s="548"/>
      <c r="CC166" s="512"/>
      <c r="CD166" s="512"/>
      <c r="CE166" s="512"/>
      <c r="CF166" s="512"/>
      <c r="CG166" s="512"/>
      <c r="CH166" s="548"/>
      <c r="CI166" s="512"/>
      <c r="CJ166" s="512"/>
      <c r="CK166" s="512"/>
      <c r="CL166" s="512"/>
      <c r="CM166" s="597"/>
      <c r="CN166" s="597"/>
      <c r="CO166" s="596">
        <v>0</v>
      </c>
      <c r="CP166" s="597"/>
      <c r="CQ166" s="509"/>
      <c r="CR166" s="450">
        <f t="shared" si="733"/>
        <v>0</v>
      </c>
      <c r="CS166" s="501"/>
      <c r="CT166" s="501"/>
      <c r="CU166" s="501"/>
      <c r="CV166" s="501"/>
      <c r="CW166" s="501"/>
      <c r="CX166" s="501"/>
      <c r="CY166" s="501"/>
      <c r="CZ166" s="501"/>
      <c r="DA166" s="501"/>
      <c r="DB166" s="501"/>
      <c r="DC166" s="501"/>
      <c r="DD166" s="501"/>
      <c r="DE166" s="501"/>
      <c r="DF166" s="513"/>
      <c r="DG166" s="513"/>
      <c r="DH166" s="513"/>
      <c r="DI166" s="505"/>
      <c r="DJ166" s="551"/>
      <c r="DK166" s="466"/>
      <c r="DL166" s="466"/>
      <c r="DM166" s="501"/>
      <c r="DN166" s="501"/>
      <c r="DO166" s="501"/>
      <c r="DP166" s="501"/>
      <c r="DQ166" s="501"/>
      <c r="DR166" s="466"/>
      <c r="DS166" s="501"/>
      <c r="DT166" s="501"/>
      <c r="DU166" s="501"/>
      <c r="DV166" s="501"/>
      <c r="DW166" s="597"/>
      <c r="DX166" s="597"/>
      <c r="DY166" s="596">
        <v>0</v>
      </c>
      <c r="DZ166" s="597"/>
      <c r="EA166" s="509"/>
      <c r="EB166" s="450">
        <f t="shared" si="748"/>
        <v>0</v>
      </c>
      <c r="EC166" s="515"/>
      <c r="ED166" s="515"/>
      <c r="EE166" s="515"/>
      <c r="EF166" s="515"/>
      <c r="EG166" s="515"/>
      <c r="EH166" s="515"/>
      <c r="EI166" s="515"/>
      <c r="EJ166" s="515"/>
      <c r="EK166" s="515"/>
      <c r="EL166" s="515"/>
      <c r="EM166" s="515"/>
      <c r="EN166" s="515"/>
      <c r="EO166" s="515"/>
      <c r="EP166" s="52"/>
      <c r="EQ166" s="52"/>
      <c r="ER166" s="52"/>
      <c r="ES166" s="516"/>
      <c r="EU166" s="476"/>
      <c r="EV166" s="476"/>
      <c r="EW166" s="515"/>
      <c r="EX166" s="515"/>
      <c r="EY166" s="515"/>
      <c r="EZ166" s="515"/>
      <c r="FA166" s="515"/>
      <c r="FB166" s="476"/>
      <c r="FC166" s="515"/>
      <c r="FD166" s="515"/>
      <c r="FE166" s="515"/>
      <c r="FF166" s="515"/>
    </row>
    <row r="167" spans="2:162" ht="14.25" outlineLevel="3">
      <c r="B167" s="564" t="s">
        <v>158</v>
      </c>
      <c r="C167" s="565">
        <v>1</v>
      </c>
      <c r="D167" s="566" t="s">
        <v>152</v>
      </c>
      <c r="F167" s="500">
        <f t="shared" ref="F167:F168" si="856">W167+BG167+CQ167+EA167</f>
        <v>5.3820765625000003E-2</v>
      </c>
      <c r="G167" s="500">
        <f t="shared" ref="G167:G168" si="857">X167+BH167+CR167+EB167</f>
        <v>5.3820765625000003E-2</v>
      </c>
      <c r="H167" s="514">
        <f t="shared" ref="H167:H168" si="858">F167-G167</f>
        <v>0</v>
      </c>
      <c r="I167" s="514">
        <f t="shared" ref="I167:I168" si="859">Z167+BJ167+CT167+ED167</f>
        <v>0</v>
      </c>
      <c r="J167" s="514">
        <f t="shared" ref="J167:J168" si="860">AA167+BK167+CU167+EE167</f>
        <v>0</v>
      </c>
      <c r="K167" s="514">
        <f t="shared" ref="K167:K168" si="861">AB167+BL167+CV167+EF167</f>
        <v>0</v>
      </c>
      <c r="L167" s="514">
        <f t="shared" ref="L167:L168" si="862">AC167+BM167+CW167+EG167</f>
        <v>0</v>
      </c>
      <c r="M167" s="567">
        <f t="shared" ref="M167:M168" si="863">AD167+BN167+CX167+EH167</f>
        <v>0</v>
      </c>
      <c r="N167" s="568"/>
      <c r="O167" s="514">
        <f t="shared" ref="O167:O168" si="864">AF167+BP167+CZ167+EJ167</f>
        <v>0</v>
      </c>
      <c r="P167" s="514">
        <f t="shared" ref="P167:P168" si="865">AG167+BQ167+DA167+EK167</f>
        <v>0</v>
      </c>
      <c r="Q167" s="514">
        <f t="shared" ref="Q167:Q168" si="866">AH167+BR167+DB167+EL167</f>
        <v>0</v>
      </c>
      <c r="R167" s="514">
        <f t="shared" ref="R167:R168" si="867">AI167+BS167+DC167+EM167</f>
        <v>0</v>
      </c>
      <c r="S167" s="514">
        <f t="shared" ref="S167:S168" si="868">AJ167+BT167+DD167+EN167</f>
        <v>0</v>
      </c>
      <c r="U167" s="569">
        <v>0</v>
      </c>
      <c r="V167" s="503"/>
      <c r="W167" s="499"/>
      <c r="X167" s="500">
        <f t="shared" si="700"/>
        <v>0</v>
      </c>
      <c r="Y167" s="501"/>
      <c r="Z167" s="501"/>
      <c r="AA167" s="514">
        <f t="shared" si="778"/>
        <v>0</v>
      </c>
      <c r="AB167" s="514">
        <f t="shared" si="779"/>
        <v>0</v>
      </c>
      <c r="AC167" s="514">
        <f t="shared" si="780"/>
        <v>0</v>
      </c>
      <c r="AD167" s="567">
        <f t="shared" si="781"/>
        <v>0</v>
      </c>
      <c r="AE167" s="568"/>
      <c r="AF167" s="501"/>
      <c r="AG167" s="501"/>
      <c r="AH167" s="501"/>
      <c r="AI167" s="501"/>
      <c r="AJ167" s="501"/>
      <c r="AK167" s="501"/>
      <c r="AL167" s="513"/>
      <c r="AM167" s="513"/>
      <c r="AN167" s="513"/>
      <c r="AO167" s="505"/>
      <c r="AP167" s="551"/>
      <c r="AQ167" s="466"/>
      <c r="AR167" s="466"/>
      <c r="AS167" s="466"/>
      <c r="AT167" s="466"/>
      <c r="AU167" s="466"/>
      <c r="AV167" s="466"/>
      <c r="AW167" s="466"/>
      <c r="AX167" s="466"/>
      <c r="AY167" s="466"/>
      <c r="AZ167" s="466"/>
      <c r="BA167" s="466"/>
      <c r="BB167" s="466"/>
      <c r="BC167" s="466"/>
      <c r="BD167" s="466"/>
      <c r="BE167" s="511">
        <v>0.25</v>
      </c>
      <c r="BF167" s="508"/>
      <c r="BG167" s="506">
        <f>$BG$166/$BE$166*BE167</f>
        <v>5.3820765625000003E-2</v>
      </c>
      <c r="BH167" s="510">
        <f t="shared" si="717"/>
        <v>5.3820765625000003E-2</v>
      </c>
      <c r="BI167" s="514">
        <f>IFERROR(IF(BV167=100%,BG167,0),0)</f>
        <v>5.3820765625000003E-2</v>
      </c>
      <c r="BJ167" s="514">
        <f>IFERROR(IF(AND((BV167+BW167)=100%,BV167&lt;1),BG167,0),0)</f>
        <v>0</v>
      </c>
      <c r="BK167" s="514">
        <f t="shared" si="782"/>
        <v>0</v>
      </c>
      <c r="BL167" s="514">
        <f t="shared" si="783"/>
        <v>0</v>
      </c>
      <c r="BM167" s="514">
        <f t="shared" si="784"/>
        <v>0</v>
      </c>
      <c r="BN167" s="514">
        <f t="shared" si="785"/>
        <v>0</v>
      </c>
      <c r="BO167" s="501"/>
      <c r="BP167" s="514">
        <f>IFERROR(IF(AND((BV167+BX167)=100%,BV167&lt;1),BG167,0),0)</f>
        <v>0</v>
      </c>
      <c r="BQ167" s="514">
        <f>IFERROR(IF(AND((CA167+CI167)=BZ167,BI167=0),BG167,0),0)</f>
        <v>0</v>
      </c>
      <c r="BR167" s="514">
        <f>IFERROR(IF(AND((CA167+CI167+CJ167)=BZ167,BI167=0,BQ167=0),BG167,0),0)</f>
        <v>0</v>
      </c>
      <c r="BS167" s="514">
        <f>IFERROR(IF(AND((CA167+CI167+CJ167+CK167)=BZ167,BI167=0,BQ167=0,BR167=0),BG167,0),0)</f>
        <v>0</v>
      </c>
      <c r="BT167" s="514">
        <f>IFERROR(IF(AND((CA167+CI167+CJ167+CK167+CL167)=BZ167,BI167=0,BQ167=0,BR167=0,BS167=0),BG167,0),0)</f>
        <v>0</v>
      </c>
      <c r="BU167" s="501"/>
      <c r="BV167" s="571">
        <f t="shared" si="787"/>
        <v>1</v>
      </c>
      <c r="BW167" s="571">
        <f t="shared" si="788"/>
        <v>0</v>
      </c>
      <c r="BX167" s="571">
        <f t="shared" si="789"/>
        <v>0</v>
      </c>
      <c r="BY167" s="505"/>
      <c r="BZ167" s="514">
        <f>COUNTIF('ST | Drawing List'!$G:$G,"ST-SS5-1")</f>
        <v>3</v>
      </c>
      <c r="CA167" s="506">
        <f>COUNTIFS('ST | Drawing List'!$G:$G,"ST-SS5-1",'ST | Drawing List'!$I:$I,1)</f>
        <v>3</v>
      </c>
      <c r="CB167" s="572">
        <f>COUNTIFS('ST | Drawing List'!$G:$G,"ST-SS5-1",'ST | Drawing List'!$K:$K,1)</f>
        <v>0</v>
      </c>
      <c r="CC167" s="506">
        <f>COUNTIFS('ST | Drawing List'!$G:$G,"ST-SS5-1",'ST | Drawing List'!L:L,1)</f>
        <v>0</v>
      </c>
      <c r="CD167" s="506">
        <f>COUNTIFS('ST | Drawing List'!$G:$G,"ST-SS5-1",'ST | Drawing List'!M:M,1)</f>
        <v>0</v>
      </c>
      <c r="CE167" s="506">
        <f>COUNTIFS('ST | Drawing List'!$G:$G,"ST-SS5-1",'ST | Drawing List'!N:N,1)</f>
        <v>0</v>
      </c>
      <c r="CF167" s="506">
        <f>COUNTIFS('ST | Drawing List'!$G:$G,"ST-SS5-1",'ST | Drawing List'!O:O,1)</f>
        <v>0</v>
      </c>
      <c r="CG167" s="471"/>
      <c r="CH167" s="572">
        <f>COUNTIFS('ST | Drawing List'!$G:$G,"ST-SS5-1",'ST | Drawing List'!$P:$P,1)</f>
        <v>0</v>
      </c>
      <c r="CI167" s="506">
        <f>COUNTIFS('ST | Drawing List'!$G:$G,"ST-SS5-1",'ST | Drawing List'!Q:Q,1)</f>
        <v>0</v>
      </c>
      <c r="CJ167" s="506">
        <f>COUNTIFS('ST | Drawing List'!$G:$G,"ST-SS5-1",'ST | Drawing List'!R:R,1)</f>
        <v>0</v>
      </c>
      <c r="CK167" s="506">
        <f>COUNTIFS('ST | Drawing List'!$G:$G,"ST-SS5-1",'ST | Drawing List'!S:S,1)</f>
        <v>0</v>
      </c>
      <c r="CL167" s="506">
        <f>COUNTIFS('ST | Drawing List'!$G:$G,"ST-SS5-1",'ST | Drawing List'!T:T,1)</f>
        <v>0</v>
      </c>
      <c r="CM167" s="508"/>
      <c r="CN167" s="508"/>
      <c r="CO167" s="511">
        <v>0</v>
      </c>
      <c r="CP167" s="508"/>
      <c r="CQ167" s="509"/>
      <c r="CR167" s="510">
        <f t="shared" si="733"/>
        <v>0</v>
      </c>
      <c r="CS167" s="501"/>
      <c r="CT167" s="501"/>
      <c r="CU167" s="501"/>
      <c r="CV167" s="501"/>
      <c r="CW167" s="501"/>
      <c r="CX167" s="501"/>
      <c r="CY167" s="501"/>
      <c r="CZ167" s="501"/>
      <c r="DA167" s="501"/>
      <c r="DB167" s="501"/>
      <c r="DC167" s="501"/>
      <c r="DD167" s="501"/>
      <c r="DE167" s="501"/>
      <c r="DF167" s="513"/>
      <c r="DG167" s="513"/>
      <c r="DH167" s="513"/>
      <c r="DI167" s="505"/>
      <c r="DJ167" s="551"/>
      <c r="DK167" s="466"/>
      <c r="DL167" s="466"/>
      <c r="DM167" s="501"/>
      <c r="DN167" s="501"/>
      <c r="DO167" s="501"/>
      <c r="DP167" s="501"/>
      <c r="DQ167" s="501"/>
      <c r="DR167" s="466"/>
      <c r="DS167" s="501"/>
      <c r="DT167" s="501"/>
      <c r="DU167" s="501"/>
      <c r="DV167" s="501"/>
      <c r="DW167" s="508"/>
      <c r="DX167" s="508"/>
      <c r="DY167" s="511">
        <v>0</v>
      </c>
      <c r="DZ167" s="508"/>
      <c r="EA167" s="509"/>
      <c r="EB167" s="510">
        <f t="shared" si="748"/>
        <v>0</v>
      </c>
      <c r="EC167" s="515"/>
      <c r="ED167" s="515"/>
      <c r="EE167" s="515"/>
      <c r="EF167" s="515"/>
      <c r="EG167" s="515"/>
      <c r="EH167" s="515"/>
      <c r="EI167" s="515"/>
      <c r="EJ167" s="515"/>
      <c r="EK167" s="515"/>
      <c r="EL167" s="515"/>
      <c r="EM167" s="515"/>
      <c r="EN167" s="515"/>
      <c r="EO167" s="515"/>
      <c r="EP167" s="52"/>
      <c r="EQ167" s="52"/>
      <c r="ER167" s="52"/>
      <c r="ES167" s="516"/>
      <c r="EU167" s="476"/>
      <c r="EV167" s="476"/>
      <c r="EW167" s="515"/>
      <c r="EX167" s="515"/>
      <c r="EY167" s="515"/>
      <c r="EZ167" s="515"/>
      <c r="FA167" s="515"/>
      <c r="FB167" s="476"/>
      <c r="FC167" s="515"/>
      <c r="FD167" s="515"/>
      <c r="FE167" s="515"/>
      <c r="FF167" s="515"/>
    </row>
    <row r="168" spans="2:162" ht="14.25" outlineLevel="3">
      <c r="B168" s="564" t="s">
        <v>159</v>
      </c>
      <c r="C168" s="565">
        <v>2</v>
      </c>
      <c r="D168" s="566" t="s">
        <v>154</v>
      </c>
      <c r="F168" s="500">
        <f t="shared" si="856"/>
        <v>5.3820765625000003E-2</v>
      </c>
      <c r="G168" s="500">
        <f t="shared" si="857"/>
        <v>5.3820765625000003E-2</v>
      </c>
      <c r="H168" s="514">
        <f t="shared" si="858"/>
        <v>0</v>
      </c>
      <c r="I168" s="514">
        <f t="shared" si="859"/>
        <v>0</v>
      </c>
      <c r="J168" s="514">
        <f t="shared" si="860"/>
        <v>0</v>
      </c>
      <c r="K168" s="514">
        <f t="shared" si="861"/>
        <v>0</v>
      </c>
      <c r="L168" s="514">
        <f t="shared" si="862"/>
        <v>0</v>
      </c>
      <c r="M168" s="567">
        <f t="shared" si="863"/>
        <v>0</v>
      </c>
      <c r="N168" s="568"/>
      <c r="O168" s="514">
        <f t="shared" si="864"/>
        <v>0</v>
      </c>
      <c r="P168" s="514">
        <f t="shared" si="865"/>
        <v>0</v>
      </c>
      <c r="Q168" s="514">
        <f t="shared" si="866"/>
        <v>0</v>
      </c>
      <c r="R168" s="514">
        <f t="shared" si="867"/>
        <v>0</v>
      </c>
      <c r="S168" s="514">
        <f t="shared" si="868"/>
        <v>0</v>
      </c>
      <c r="U168" s="569">
        <v>0</v>
      </c>
      <c r="V168" s="503"/>
      <c r="W168" s="499"/>
      <c r="X168" s="500">
        <f t="shared" si="700"/>
        <v>0</v>
      </c>
      <c r="Y168" s="501"/>
      <c r="Z168" s="501"/>
      <c r="AA168" s="514">
        <f t="shared" si="778"/>
        <v>0</v>
      </c>
      <c r="AB168" s="514">
        <f t="shared" si="779"/>
        <v>0</v>
      </c>
      <c r="AC168" s="514">
        <f t="shared" si="780"/>
        <v>0</v>
      </c>
      <c r="AD168" s="567">
        <f t="shared" si="781"/>
        <v>0</v>
      </c>
      <c r="AE168" s="568"/>
      <c r="AF168" s="501"/>
      <c r="AG168" s="501"/>
      <c r="AH168" s="501"/>
      <c r="AI168" s="501"/>
      <c r="AJ168" s="501"/>
      <c r="AK168" s="501"/>
      <c r="AL168" s="513"/>
      <c r="AM168" s="513"/>
      <c r="AN168" s="513"/>
      <c r="AO168" s="505"/>
      <c r="AP168" s="551"/>
      <c r="AQ168" s="466"/>
      <c r="AR168" s="466"/>
      <c r="AS168" s="466"/>
      <c r="AT168" s="466"/>
      <c r="AU168" s="466"/>
      <c r="AV168" s="466"/>
      <c r="AW168" s="466"/>
      <c r="AX168" s="466"/>
      <c r="AY168" s="466"/>
      <c r="AZ168" s="466"/>
      <c r="BA168" s="466"/>
      <c r="BB168" s="466"/>
      <c r="BC168" s="466"/>
      <c r="BD168" s="466"/>
      <c r="BE168" s="511">
        <v>0.25</v>
      </c>
      <c r="BF168" s="508"/>
      <c r="BG168" s="506">
        <f>$BG$166/$BE$166*BE168</f>
        <v>5.3820765625000003E-2</v>
      </c>
      <c r="BH168" s="510">
        <f t="shared" si="717"/>
        <v>5.3820765625000003E-2</v>
      </c>
      <c r="BI168" s="514">
        <f>IFERROR(IF(BV168=100%,BG168,0),0)</f>
        <v>5.3820765625000003E-2</v>
      </c>
      <c r="BJ168" s="514">
        <f>IFERROR(IF(AND((BV168+BW168)=100%,BV168&lt;1),BG168,0),0)</f>
        <v>0</v>
      </c>
      <c r="BK168" s="514">
        <f t="shared" si="782"/>
        <v>0</v>
      </c>
      <c r="BL168" s="514">
        <f t="shared" si="783"/>
        <v>0</v>
      </c>
      <c r="BM168" s="514">
        <f t="shared" si="784"/>
        <v>0</v>
      </c>
      <c r="BN168" s="514">
        <f t="shared" si="785"/>
        <v>0</v>
      </c>
      <c r="BO168" s="501"/>
      <c r="BP168" s="514">
        <f>IFERROR(IF(AND((BV168+BX168)=100%,BV168&lt;1),BG168,0),0)</f>
        <v>0</v>
      </c>
      <c r="BQ168" s="514">
        <f>IFERROR(IF(AND((CA168+CI168)=BZ168,BI168=0),BG168,0),0)</f>
        <v>0</v>
      </c>
      <c r="BR168" s="514">
        <f>IFERROR(IF(AND((CA168+CI168+CJ168)=BZ168,BI168=0,BQ168=0),BG168,0),0)</f>
        <v>0</v>
      </c>
      <c r="BS168" s="514">
        <f>IFERROR(IF(AND((CA168+CI168+CJ168+CK168)=BZ168,BI168=0,BQ168=0,BR168=0),BG168,0),0)</f>
        <v>0</v>
      </c>
      <c r="BT168" s="514">
        <f>IFERROR(IF(AND((CA168+CI168+CJ168+CK168+CL168)=BZ168,BI168=0,BQ168=0,BR168=0,BS168=0),BG168,0),0)</f>
        <v>0</v>
      </c>
      <c r="BU168" s="501"/>
      <c r="BV168" s="571">
        <f t="shared" si="787"/>
        <v>1</v>
      </c>
      <c r="BW168" s="571">
        <f t="shared" si="788"/>
        <v>0</v>
      </c>
      <c r="BX168" s="571">
        <f t="shared" si="789"/>
        <v>0</v>
      </c>
      <c r="BY168" s="505"/>
      <c r="BZ168" s="514">
        <f>COUNTIF('ST | Drawing List'!$G:$G,"ST-SS5-2")</f>
        <v>3</v>
      </c>
      <c r="CA168" s="506">
        <f>COUNTIFS('ST | Drawing List'!$G:$G,"ST-SS5-2",'ST | Drawing List'!$I:$I,1)</f>
        <v>3</v>
      </c>
      <c r="CB168" s="572">
        <f>COUNTIFS('ST | Drawing List'!$G:$G,"ST-SS5-2",'ST | Drawing List'!$K:$K,1)</f>
        <v>0</v>
      </c>
      <c r="CC168" s="506">
        <f>COUNTIFS('ST | Drawing List'!$G:$G,"ST-SS5-2",'ST | Drawing List'!L:L,1)</f>
        <v>0</v>
      </c>
      <c r="CD168" s="506">
        <f>COUNTIFS('ST | Drawing List'!$G:$G,"ST-SS5-2",'ST | Drawing List'!M:M,1)</f>
        <v>0</v>
      </c>
      <c r="CE168" s="506">
        <f>COUNTIFS('ST | Drawing List'!$G:$G,"ST-SS5-2",'ST | Drawing List'!N:N,1)</f>
        <v>0</v>
      </c>
      <c r="CF168" s="506">
        <f>COUNTIFS('ST | Drawing List'!$G:$G,"ST-SS5-2",'ST | Drawing List'!O:O,1)</f>
        <v>0</v>
      </c>
      <c r="CG168" s="471"/>
      <c r="CH168" s="572">
        <f>COUNTIFS('ST | Drawing List'!$G:$G,"ST-SS5-2",'ST | Drawing List'!$P:$P,1)</f>
        <v>0</v>
      </c>
      <c r="CI168" s="506">
        <f>COUNTIFS('ST | Drawing List'!$G:$G,"ST-SS5-2",'ST | Drawing List'!Q:Q,1)</f>
        <v>0</v>
      </c>
      <c r="CJ168" s="506">
        <f>COUNTIFS('ST | Drawing List'!$G:$G,"ST-SS5-2",'ST | Drawing List'!R:R,1)</f>
        <v>0</v>
      </c>
      <c r="CK168" s="506">
        <f>COUNTIFS('ST | Drawing List'!$G:$G,"ST-SS5-2",'ST | Drawing List'!S:S,1)</f>
        <v>0</v>
      </c>
      <c r="CL168" s="506">
        <f>COUNTIFS('ST | Drawing List'!$G:$G,"ST-SS5-2",'ST | Drawing List'!T:T,1)</f>
        <v>0</v>
      </c>
      <c r="CM168" s="508"/>
      <c r="CN168" s="508"/>
      <c r="CO168" s="511">
        <v>0</v>
      </c>
      <c r="CP168" s="508"/>
      <c r="CQ168" s="509"/>
      <c r="CR168" s="510">
        <f t="shared" si="733"/>
        <v>0</v>
      </c>
      <c r="CS168" s="501"/>
      <c r="CT168" s="501"/>
      <c r="CU168" s="501"/>
      <c r="CV168" s="501"/>
      <c r="CW168" s="501"/>
      <c r="CX168" s="501"/>
      <c r="CY168" s="501"/>
      <c r="CZ168" s="501"/>
      <c r="DA168" s="501"/>
      <c r="DB168" s="501"/>
      <c r="DC168" s="501"/>
      <c r="DD168" s="501"/>
      <c r="DE168" s="501"/>
      <c r="DF168" s="513"/>
      <c r="DG168" s="513"/>
      <c r="DH168" s="513"/>
      <c r="DI168" s="505"/>
      <c r="DJ168" s="551"/>
      <c r="DK168" s="466"/>
      <c r="DL168" s="466"/>
      <c r="DM168" s="501"/>
      <c r="DN168" s="501"/>
      <c r="DO168" s="501"/>
      <c r="DP168" s="501"/>
      <c r="DQ168" s="501"/>
      <c r="DR168" s="466"/>
      <c r="DS168" s="501"/>
      <c r="DT168" s="501"/>
      <c r="DU168" s="501"/>
      <c r="DV168" s="501"/>
      <c r="DW168" s="508"/>
      <c r="DX168" s="508"/>
      <c r="DY168" s="511">
        <v>0</v>
      </c>
      <c r="DZ168" s="508"/>
      <c r="EA168" s="509"/>
      <c r="EB168" s="510">
        <f t="shared" si="748"/>
        <v>0</v>
      </c>
      <c r="EC168" s="515"/>
      <c r="ED168" s="515"/>
      <c r="EE168" s="515"/>
      <c r="EF168" s="515"/>
      <c r="EG168" s="515"/>
      <c r="EH168" s="515"/>
      <c r="EI168" s="515"/>
      <c r="EJ168" s="515"/>
      <c r="EK168" s="515"/>
      <c r="EL168" s="515"/>
      <c r="EM168" s="515"/>
      <c r="EN168" s="515"/>
      <c r="EO168" s="515"/>
      <c r="EP168" s="52"/>
      <c r="EQ168" s="52"/>
      <c r="ER168" s="52"/>
      <c r="ES168" s="516"/>
      <c r="EU168" s="476"/>
      <c r="EV168" s="476"/>
      <c r="EW168" s="515"/>
      <c r="EX168" s="515"/>
      <c r="EY168" s="515"/>
      <c r="EZ168" s="515"/>
      <c r="FA168" s="515"/>
      <c r="FB168" s="476"/>
      <c r="FC168" s="515"/>
      <c r="FD168" s="515"/>
      <c r="FE168" s="515"/>
      <c r="FF168" s="515"/>
    </row>
    <row r="169" spans="2:162" ht="3" customHeight="1" outlineLevel="2">
      <c r="B169" s="621"/>
      <c r="C169" s="622"/>
      <c r="D169" s="566"/>
      <c r="F169" s="499"/>
      <c r="G169" s="500"/>
      <c r="H169" s="501"/>
      <c r="I169" s="501"/>
      <c r="J169" s="514"/>
      <c r="K169" s="514"/>
      <c r="L169" s="514"/>
      <c r="M169" s="567"/>
      <c r="N169" s="568"/>
      <c r="O169" s="501"/>
      <c r="P169" s="501"/>
      <c r="Q169" s="501"/>
      <c r="R169" s="501"/>
      <c r="S169" s="501"/>
      <c r="U169" s="569"/>
      <c r="V169" s="503"/>
      <c r="W169" s="499"/>
      <c r="X169" s="500">
        <f t="shared" si="700"/>
        <v>0</v>
      </c>
      <c r="Y169" s="501"/>
      <c r="Z169" s="501"/>
      <c r="AA169" s="514">
        <f t="shared" si="778"/>
        <v>0</v>
      </c>
      <c r="AB169" s="514">
        <f t="shared" si="779"/>
        <v>0</v>
      </c>
      <c r="AC169" s="514">
        <f t="shared" si="780"/>
        <v>0</v>
      </c>
      <c r="AD169" s="567">
        <f t="shared" si="781"/>
        <v>0</v>
      </c>
      <c r="AE169" s="568"/>
      <c r="AF169" s="501"/>
      <c r="AG169" s="501"/>
      <c r="AH169" s="501"/>
      <c r="AI169" s="501"/>
      <c r="AJ169" s="501"/>
      <c r="AK169" s="501"/>
      <c r="AL169" s="513"/>
      <c r="AM169" s="513"/>
      <c r="AN169" s="513"/>
      <c r="AO169" s="505"/>
      <c r="AP169" s="551"/>
      <c r="AQ169" s="466"/>
      <c r="AR169" s="466"/>
      <c r="AS169" s="466"/>
      <c r="AT169" s="466"/>
      <c r="AU169" s="466"/>
      <c r="AV169" s="466"/>
      <c r="AW169" s="466"/>
      <c r="AX169" s="466"/>
      <c r="AY169" s="466"/>
      <c r="AZ169" s="466"/>
      <c r="BA169" s="466"/>
      <c r="BB169" s="466"/>
      <c r="BC169" s="466"/>
      <c r="BD169" s="466"/>
      <c r="BE169" s="511"/>
      <c r="BF169" s="508"/>
      <c r="BG169" s="509"/>
      <c r="BH169" s="510">
        <f t="shared" si="717"/>
        <v>0</v>
      </c>
      <c r="BI169" s="501"/>
      <c r="BJ169" s="501"/>
      <c r="BK169" s="514">
        <f t="shared" si="782"/>
        <v>0</v>
      </c>
      <c r="BL169" s="514">
        <f t="shared" si="783"/>
        <v>0</v>
      </c>
      <c r="BM169" s="514">
        <f t="shared" si="784"/>
        <v>0</v>
      </c>
      <c r="BN169" s="514">
        <f t="shared" si="785"/>
        <v>0</v>
      </c>
      <c r="BO169" s="501"/>
      <c r="BP169" s="514">
        <f>IFERROR(IF(AND((BV169+BX169)=100%,BV169&lt;1),BG169,0),0)</f>
        <v>0</v>
      </c>
      <c r="BQ169" s="501"/>
      <c r="BR169" s="501"/>
      <c r="BS169" s="501"/>
      <c r="BT169" s="501"/>
      <c r="BU169" s="501"/>
      <c r="BV169" s="571">
        <f t="shared" si="787"/>
        <v>0</v>
      </c>
      <c r="BW169" s="571">
        <f t="shared" si="788"/>
        <v>0</v>
      </c>
      <c r="BX169" s="571">
        <f t="shared" si="789"/>
        <v>0</v>
      </c>
      <c r="BY169" s="505"/>
      <c r="BZ169" s="552"/>
      <c r="CA169" s="471"/>
      <c r="CB169" s="548"/>
      <c r="CC169" s="512"/>
      <c r="CD169" s="512"/>
      <c r="CE169" s="512"/>
      <c r="CF169" s="512"/>
      <c r="CG169" s="512"/>
      <c r="CH169" s="548"/>
      <c r="CI169" s="512"/>
      <c r="CJ169" s="512"/>
      <c r="CK169" s="512"/>
      <c r="CL169" s="512"/>
      <c r="CM169" s="508"/>
      <c r="CN169" s="508"/>
      <c r="CO169" s="511"/>
      <c r="CP169" s="508"/>
      <c r="CQ169" s="509"/>
      <c r="CR169" s="510">
        <f t="shared" si="733"/>
        <v>0</v>
      </c>
      <c r="CS169" s="501"/>
      <c r="CT169" s="501"/>
      <c r="CU169" s="501"/>
      <c r="CV169" s="501"/>
      <c r="CW169" s="501"/>
      <c r="CX169" s="501"/>
      <c r="CY169" s="501"/>
      <c r="CZ169" s="501"/>
      <c r="DA169" s="501"/>
      <c r="DB169" s="501"/>
      <c r="DC169" s="501"/>
      <c r="DD169" s="501"/>
      <c r="DE169" s="501"/>
      <c r="DF169" s="513"/>
      <c r="DG169" s="513"/>
      <c r="DH169" s="513"/>
      <c r="DI169" s="505"/>
      <c r="DJ169" s="551"/>
      <c r="DK169" s="466"/>
      <c r="DL169" s="466"/>
      <c r="DM169" s="501"/>
      <c r="DN169" s="501"/>
      <c r="DO169" s="501"/>
      <c r="DP169" s="501"/>
      <c r="DQ169" s="501"/>
      <c r="DR169" s="466"/>
      <c r="DS169" s="501"/>
      <c r="DT169" s="501"/>
      <c r="DU169" s="501"/>
      <c r="DV169" s="501"/>
      <c r="DW169" s="508"/>
      <c r="DX169" s="508"/>
      <c r="DY169" s="511"/>
      <c r="DZ169" s="508"/>
      <c r="EA169" s="509"/>
      <c r="EB169" s="510">
        <f t="shared" si="748"/>
        <v>0</v>
      </c>
      <c r="EC169" s="515"/>
      <c r="ED169" s="515"/>
      <c r="EE169" s="515"/>
      <c r="EF169" s="515"/>
      <c r="EG169" s="515"/>
      <c r="EH169" s="515"/>
      <c r="EI169" s="515"/>
      <c r="EJ169" s="515"/>
      <c r="EK169" s="515"/>
      <c r="EL169" s="515"/>
      <c r="EM169" s="515"/>
      <c r="EN169" s="515"/>
      <c r="EO169" s="515"/>
      <c r="EP169" s="52"/>
      <c r="EQ169" s="52"/>
      <c r="ER169" s="52"/>
      <c r="ES169" s="516"/>
      <c r="EU169" s="476"/>
      <c r="EV169" s="476"/>
      <c r="EW169" s="515"/>
      <c r="EX169" s="515"/>
      <c r="EY169" s="515"/>
      <c r="EZ169" s="515"/>
      <c r="FA169" s="515"/>
      <c r="FB169" s="476"/>
      <c r="FC169" s="515"/>
      <c r="FD169" s="515"/>
      <c r="FE169" s="515"/>
      <c r="FF169" s="515"/>
    </row>
    <row r="170" spans="2:162" ht="14.25" outlineLevel="2">
      <c r="B170" s="621">
        <v>2.6</v>
      </c>
      <c r="C170" s="622">
        <v>2.6</v>
      </c>
      <c r="D170" s="623" t="s">
        <v>166</v>
      </c>
      <c r="F170" s="434"/>
      <c r="G170" s="435"/>
      <c r="H170" s="501"/>
      <c r="I170" s="501"/>
      <c r="J170" s="514"/>
      <c r="K170" s="514"/>
      <c r="L170" s="514"/>
      <c r="M170" s="567"/>
      <c r="N170" s="568"/>
      <c r="O170" s="501"/>
      <c r="P170" s="501"/>
      <c r="Q170" s="501"/>
      <c r="R170" s="501"/>
      <c r="S170" s="501"/>
      <c r="U170" s="596">
        <v>0</v>
      </c>
      <c r="V170" s="597"/>
      <c r="W170" s="434">
        <v>0</v>
      </c>
      <c r="X170" s="435">
        <f t="shared" si="700"/>
        <v>0</v>
      </c>
      <c r="Y170" s="501"/>
      <c r="Z170" s="501"/>
      <c r="AA170" s="514">
        <f t="shared" si="778"/>
        <v>0</v>
      </c>
      <c r="AB170" s="514">
        <f t="shared" si="779"/>
        <v>0</v>
      </c>
      <c r="AC170" s="514">
        <f t="shared" si="780"/>
        <v>0</v>
      </c>
      <c r="AD170" s="567">
        <f t="shared" si="781"/>
        <v>0</v>
      </c>
      <c r="AE170" s="568"/>
      <c r="AF170" s="501"/>
      <c r="AG170" s="501"/>
      <c r="AH170" s="501"/>
      <c r="AI170" s="501"/>
      <c r="AJ170" s="501"/>
      <c r="AK170" s="501"/>
      <c r="AL170" s="513"/>
      <c r="AM170" s="513"/>
      <c r="AN170" s="513"/>
      <c r="AO170" s="505"/>
      <c r="AP170" s="551"/>
      <c r="AQ170" s="466"/>
      <c r="AR170" s="466"/>
      <c r="AS170" s="466"/>
      <c r="AT170" s="466"/>
      <c r="AU170" s="466"/>
      <c r="AV170" s="466"/>
      <c r="AW170" s="466"/>
      <c r="AX170" s="466"/>
      <c r="AY170" s="466"/>
      <c r="AZ170" s="466"/>
      <c r="BA170" s="466"/>
      <c r="BB170" s="466"/>
      <c r="BC170" s="466"/>
      <c r="BD170" s="466"/>
      <c r="BE170" s="685">
        <f>SUM(BE171:BE172)</f>
        <v>0.5</v>
      </c>
      <c r="BF170" s="597"/>
      <c r="BG170" s="556">
        <f>$BG$144*(95%/12)</f>
        <v>0.10764153125000001</v>
      </c>
      <c r="BH170" s="450">
        <f t="shared" si="717"/>
        <v>0.10764153125000001</v>
      </c>
      <c r="BI170" s="556">
        <f>SUM(BI171:BI172)</f>
        <v>0.10764153125000001</v>
      </c>
      <c r="BJ170" s="556">
        <f>SUM(BJ171:BJ172)</f>
        <v>0</v>
      </c>
      <c r="BK170" s="630">
        <f t="shared" si="782"/>
        <v>0</v>
      </c>
      <c r="BL170" s="514">
        <f t="shared" si="783"/>
        <v>0</v>
      </c>
      <c r="BM170" s="514">
        <f t="shared" si="784"/>
        <v>0</v>
      </c>
      <c r="BN170" s="514">
        <f t="shared" si="785"/>
        <v>0</v>
      </c>
      <c r="BO170" s="501"/>
      <c r="BP170" s="630">
        <f>SUM(BP171:BP172)</f>
        <v>0</v>
      </c>
      <c r="BQ170" s="630">
        <f t="shared" ref="BQ170" si="869">SUM(BQ171:BQ172)</f>
        <v>0</v>
      </c>
      <c r="BR170" s="630">
        <f t="shared" ref="BR170" si="870">SUM(BR171:BR172)</f>
        <v>0</v>
      </c>
      <c r="BS170" s="630">
        <f t="shared" ref="BS170" si="871">SUM(BS171:BS172)</f>
        <v>0</v>
      </c>
      <c r="BT170" s="630">
        <f t="shared" ref="BT170" si="872">SUM(BT171:BT172)</f>
        <v>0</v>
      </c>
      <c r="BU170" s="547"/>
      <c r="BV170" s="571">
        <f t="shared" si="787"/>
        <v>0</v>
      </c>
      <c r="BW170" s="571">
        <f t="shared" si="788"/>
        <v>0</v>
      </c>
      <c r="BX170" s="571">
        <f t="shared" si="789"/>
        <v>0</v>
      </c>
      <c r="BY170" s="505"/>
      <c r="BZ170" s="552"/>
      <c r="CA170" s="471"/>
      <c r="CB170" s="548"/>
      <c r="CC170" s="512"/>
      <c r="CD170" s="512"/>
      <c r="CE170" s="512"/>
      <c r="CF170" s="512"/>
      <c r="CG170" s="512"/>
      <c r="CH170" s="548"/>
      <c r="CI170" s="512"/>
      <c r="CJ170" s="512"/>
      <c r="CK170" s="512"/>
      <c r="CL170" s="512"/>
      <c r="CM170" s="597"/>
      <c r="CN170" s="597"/>
      <c r="CO170" s="596">
        <v>0</v>
      </c>
      <c r="CP170" s="597"/>
      <c r="CQ170" s="509"/>
      <c r="CR170" s="450">
        <f t="shared" si="733"/>
        <v>0</v>
      </c>
      <c r="CS170" s="501"/>
      <c r="CT170" s="501"/>
      <c r="CU170" s="501"/>
      <c r="CV170" s="501"/>
      <c r="CW170" s="501"/>
      <c r="CX170" s="501"/>
      <c r="CY170" s="501"/>
      <c r="CZ170" s="501"/>
      <c r="DA170" s="501"/>
      <c r="DB170" s="501"/>
      <c r="DC170" s="501"/>
      <c r="DD170" s="501"/>
      <c r="DE170" s="501"/>
      <c r="DF170" s="513"/>
      <c r="DG170" s="513"/>
      <c r="DH170" s="513"/>
      <c r="DI170" s="505"/>
      <c r="DJ170" s="551"/>
      <c r="DK170" s="466"/>
      <c r="DL170" s="466"/>
      <c r="DM170" s="501"/>
      <c r="DN170" s="501"/>
      <c r="DO170" s="501"/>
      <c r="DP170" s="501"/>
      <c r="DQ170" s="501"/>
      <c r="DR170" s="466"/>
      <c r="DS170" s="501"/>
      <c r="DT170" s="501"/>
      <c r="DU170" s="501"/>
      <c r="DV170" s="501"/>
      <c r="DW170" s="597"/>
      <c r="DX170" s="597"/>
      <c r="DY170" s="596">
        <v>0</v>
      </c>
      <c r="DZ170" s="597"/>
      <c r="EA170" s="509"/>
      <c r="EB170" s="450">
        <f t="shared" si="748"/>
        <v>0</v>
      </c>
      <c r="EC170" s="515"/>
      <c r="ED170" s="515"/>
      <c r="EE170" s="515"/>
      <c r="EF170" s="515"/>
      <c r="EG170" s="515"/>
      <c r="EH170" s="515"/>
      <c r="EI170" s="515"/>
      <c r="EJ170" s="515"/>
      <c r="EK170" s="515"/>
      <c r="EL170" s="515"/>
      <c r="EM170" s="515"/>
      <c r="EN170" s="515"/>
      <c r="EO170" s="515"/>
      <c r="EP170" s="52"/>
      <c r="EQ170" s="52"/>
      <c r="ER170" s="52"/>
      <c r="ES170" s="516"/>
      <c r="EU170" s="476"/>
      <c r="EV170" s="476"/>
      <c r="EW170" s="515"/>
      <c r="EX170" s="515"/>
      <c r="EY170" s="515"/>
      <c r="EZ170" s="515"/>
      <c r="FA170" s="515"/>
      <c r="FB170" s="476"/>
      <c r="FC170" s="515"/>
      <c r="FD170" s="515"/>
      <c r="FE170" s="515"/>
      <c r="FF170" s="515"/>
    </row>
    <row r="171" spans="2:162" ht="14.25" outlineLevel="3">
      <c r="B171" s="564" t="s">
        <v>158</v>
      </c>
      <c r="C171" s="565">
        <v>1</v>
      </c>
      <c r="D171" s="566" t="s">
        <v>152</v>
      </c>
      <c r="F171" s="500">
        <f t="shared" ref="F171:F172" si="873">W171+BG171+CQ171+EA171</f>
        <v>5.3820765625000003E-2</v>
      </c>
      <c r="G171" s="500">
        <f t="shared" ref="G171:G172" si="874">X171+BH171+CR171+EB171</f>
        <v>5.3820765625000003E-2</v>
      </c>
      <c r="H171" s="514">
        <f t="shared" ref="H171:H172" si="875">F171-G171</f>
        <v>0</v>
      </c>
      <c r="I171" s="514">
        <f t="shared" ref="I171:I172" si="876">Z171+BJ171+CT171+ED171</f>
        <v>0</v>
      </c>
      <c r="J171" s="514">
        <f t="shared" ref="J171:J172" si="877">AA171+BK171+CU171+EE171</f>
        <v>0</v>
      </c>
      <c r="K171" s="514">
        <f t="shared" ref="K171:K172" si="878">AB171+BL171+CV171+EF171</f>
        <v>0</v>
      </c>
      <c r="L171" s="514">
        <f t="shared" ref="L171:L172" si="879">AC171+BM171+CW171+EG171</f>
        <v>0</v>
      </c>
      <c r="M171" s="567">
        <f t="shared" ref="M171:M172" si="880">AD171+BN171+CX171+EH171</f>
        <v>0</v>
      </c>
      <c r="N171" s="568"/>
      <c r="O171" s="514">
        <f t="shared" ref="O171:O172" si="881">AF171+BP171+CZ171+EJ171</f>
        <v>0</v>
      </c>
      <c r="P171" s="514">
        <f t="shared" ref="P171:P172" si="882">AG171+BQ171+DA171+EK171</f>
        <v>0</v>
      </c>
      <c r="Q171" s="514">
        <f t="shared" ref="Q171:Q172" si="883">AH171+BR171+DB171+EL171</f>
        <v>0</v>
      </c>
      <c r="R171" s="514">
        <f t="shared" ref="R171:R172" si="884">AI171+BS171+DC171+EM171</f>
        <v>0</v>
      </c>
      <c r="S171" s="514">
        <f t="shared" ref="S171:S172" si="885">AJ171+BT171+DD171+EN171</f>
        <v>0</v>
      </c>
      <c r="U171" s="569">
        <v>0</v>
      </c>
      <c r="V171" s="503"/>
      <c r="W171" s="499"/>
      <c r="X171" s="500">
        <f t="shared" si="700"/>
        <v>0</v>
      </c>
      <c r="Y171" s="501"/>
      <c r="Z171" s="501"/>
      <c r="AA171" s="514">
        <f t="shared" si="778"/>
        <v>0</v>
      </c>
      <c r="AB171" s="514">
        <f t="shared" si="779"/>
        <v>0</v>
      </c>
      <c r="AC171" s="514">
        <f t="shared" si="780"/>
        <v>0</v>
      </c>
      <c r="AD171" s="567">
        <f t="shared" si="781"/>
        <v>0</v>
      </c>
      <c r="AE171" s="568"/>
      <c r="AF171" s="501"/>
      <c r="AG171" s="501"/>
      <c r="AH171" s="501"/>
      <c r="AI171" s="501"/>
      <c r="AJ171" s="501"/>
      <c r="AK171" s="501"/>
      <c r="AL171" s="513"/>
      <c r="AM171" s="513"/>
      <c r="AN171" s="513"/>
      <c r="AO171" s="505"/>
      <c r="AP171" s="551"/>
      <c r="AQ171" s="466"/>
      <c r="AR171" s="466"/>
      <c r="AS171" s="466"/>
      <c r="AT171" s="466"/>
      <c r="AU171" s="466"/>
      <c r="AV171" s="466"/>
      <c r="AW171" s="466"/>
      <c r="AX171" s="466"/>
      <c r="AY171" s="466"/>
      <c r="AZ171" s="466"/>
      <c r="BA171" s="466"/>
      <c r="BB171" s="466"/>
      <c r="BC171" s="466"/>
      <c r="BD171" s="466"/>
      <c r="BE171" s="511">
        <v>0.25</v>
      </c>
      <c r="BF171" s="508"/>
      <c r="BG171" s="506">
        <f>$BG$170/$BE$170*BE171</f>
        <v>5.3820765625000003E-2</v>
      </c>
      <c r="BH171" s="510">
        <f t="shared" si="717"/>
        <v>5.3820765625000003E-2</v>
      </c>
      <c r="BI171" s="514">
        <f>IFERROR(IF(BV171=100%,BG171,0),0)</f>
        <v>5.3820765625000003E-2</v>
      </c>
      <c r="BJ171" s="514">
        <f>IFERROR(IF(AND((BV171+BW171)=100%,BV171&lt;1),BG171,0),0)</f>
        <v>0</v>
      </c>
      <c r="BK171" s="514">
        <f t="shared" si="782"/>
        <v>0</v>
      </c>
      <c r="BL171" s="514">
        <f t="shared" si="783"/>
        <v>0</v>
      </c>
      <c r="BM171" s="514">
        <f t="shared" si="784"/>
        <v>0</v>
      </c>
      <c r="BN171" s="514">
        <f t="shared" si="785"/>
        <v>0</v>
      </c>
      <c r="BO171" s="501"/>
      <c r="BP171" s="514">
        <f>IFERROR(IF(AND((BV171+BX171)=100%,BV171&lt;1),BG171,0),0)</f>
        <v>0</v>
      </c>
      <c r="BQ171" s="514">
        <f>IFERROR(IF(AND((CA171+CI171)=BZ171,BI171=0),BG171,0),0)</f>
        <v>0</v>
      </c>
      <c r="BR171" s="514">
        <f>IFERROR(IF(AND((CA171+CI171+CJ171)=BZ171,BI171=0,BQ171=0),BG171,0),0)</f>
        <v>0</v>
      </c>
      <c r="BS171" s="514">
        <f>IFERROR(IF(AND((CA171+CI171+CJ171+CK171)=BZ171,BI171=0,BQ171=0,BR171=0),BG171,0),0)</f>
        <v>0</v>
      </c>
      <c r="BT171" s="514">
        <f>IFERROR(IF(AND((CA171+CI171+CJ171+CK171+CL171)=BZ171,BI171=0,BQ171=0,BR171=0,BS171=0),BG171,0),0)</f>
        <v>0</v>
      </c>
      <c r="BU171" s="501"/>
      <c r="BV171" s="571">
        <f t="shared" si="787"/>
        <v>1</v>
      </c>
      <c r="BW171" s="571">
        <f t="shared" si="788"/>
        <v>0</v>
      </c>
      <c r="BX171" s="571">
        <f t="shared" si="789"/>
        <v>0</v>
      </c>
      <c r="BY171" s="505"/>
      <c r="BZ171" s="514">
        <f>COUNTIF('ST | Drawing List'!$G:$G,"ST-SS6-1")</f>
        <v>3</v>
      </c>
      <c r="CA171" s="506">
        <f>COUNTIFS('ST | Drawing List'!$G:$G,"ST-SS6-1",'ST | Drawing List'!$I:$I,1)</f>
        <v>3</v>
      </c>
      <c r="CB171" s="572">
        <f>COUNTIFS('ST | Drawing List'!$G:$G,"ST-SS6-1",'ST | Drawing List'!$K:$K,1)</f>
        <v>0</v>
      </c>
      <c r="CC171" s="506">
        <f>COUNTIFS('ST | Drawing List'!$G:$G,"ST-SS6-1",'ST | Drawing List'!L:L,1)</f>
        <v>0</v>
      </c>
      <c r="CD171" s="506">
        <f>COUNTIFS('ST | Drawing List'!$G:$G,"ST-SS6-1",'ST | Drawing List'!M:M,1)</f>
        <v>0</v>
      </c>
      <c r="CE171" s="506">
        <f>COUNTIFS('ST | Drawing List'!$G:$G,"ST-SS6-1",'ST | Drawing List'!N:N,1)</f>
        <v>0</v>
      </c>
      <c r="CF171" s="506">
        <f>COUNTIFS('ST | Drawing List'!$G:$G,"ST-SS6-1",'ST | Drawing List'!O:O,1)</f>
        <v>0</v>
      </c>
      <c r="CG171" s="471"/>
      <c r="CH171" s="572">
        <f>COUNTIFS('ST | Drawing List'!$G:$G,"ST-SS6-1",'ST | Drawing List'!$P:$P,1)</f>
        <v>0</v>
      </c>
      <c r="CI171" s="506">
        <f>COUNTIFS('ST | Drawing List'!$G:$G,"ST-SS6-1",'ST | Drawing List'!Q:Q,1)</f>
        <v>0</v>
      </c>
      <c r="CJ171" s="506">
        <f>COUNTIFS('ST | Drawing List'!$G:$G,"ST-SS6-1",'ST | Drawing List'!R:R,1)</f>
        <v>0</v>
      </c>
      <c r="CK171" s="506">
        <f>COUNTIFS('ST | Drawing List'!$G:$G,"ST-SS6-1",'ST | Drawing List'!S:S,1)</f>
        <v>0</v>
      </c>
      <c r="CL171" s="506">
        <f>COUNTIFS('ST | Drawing List'!$G:$G,"ST-SS6-1",'ST | Drawing List'!T:T,1)</f>
        <v>0</v>
      </c>
      <c r="CM171" s="508"/>
      <c r="CN171" s="508"/>
      <c r="CO171" s="511">
        <v>0</v>
      </c>
      <c r="CP171" s="508"/>
      <c r="CQ171" s="509"/>
      <c r="CR171" s="510">
        <f t="shared" si="733"/>
        <v>0</v>
      </c>
      <c r="CS171" s="501"/>
      <c r="CT171" s="501"/>
      <c r="CU171" s="501"/>
      <c r="CV171" s="501"/>
      <c r="CW171" s="501"/>
      <c r="CX171" s="501"/>
      <c r="CY171" s="501"/>
      <c r="CZ171" s="501"/>
      <c r="DA171" s="501"/>
      <c r="DB171" s="501"/>
      <c r="DC171" s="501"/>
      <c r="DD171" s="501"/>
      <c r="DE171" s="501"/>
      <c r="DF171" s="513"/>
      <c r="DG171" s="513"/>
      <c r="DH171" s="513"/>
      <c r="DI171" s="505"/>
      <c r="DJ171" s="551"/>
      <c r="DK171" s="466"/>
      <c r="DL171" s="466"/>
      <c r="DM171" s="501"/>
      <c r="DN171" s="501"/>
      <c r="DO171" s="501"/>
      <c r="DP171" s="501"/>
      <c r="DQ171" s="501"/>
      <c r="DR171" s="466"/>
      <c r="DS171" s="501"/>
      <c r="DT171" s="501"/>
      <c r="DU171" s="501"/>
      <c r="DV171" s="501"/>
      <c r="DW171" s="508"/>
      <c r="DX171" s="508"/>
      <c r="DY171" s="511">
        <v>0</v>
      </c>
      <c r="DZ171" s="508"/>
      <c r="EA171" s="509"/>
      <c r="EB171" s="510">
        <f t="shared" si="748"/>
        <v>0</v>
      </c>
      <c r="EC171" s="515"/>
      <c r="ED171" s="515"/>
      <c r="EE171" s="515"/>
      <c r="EF171" s="515"/>
      <c r="EG171" s="515"/>
      <c r="EH171" s="515"/>
      <c r="EI171" s="515"/>
      <c r="EJ171" s="515"/>
      <c r="EK171" s="515"/>
      <c r="EL171" s="515"/>
      <c r="EM171" s="515"/>
      <c r="EN171" s="515"/>
      <c r="EO171" s="515"/>
      <c r="EP171" s="52"/>
      <c r="EQ171" s="52"/>
      <c r="ER171" s="52"/>
      <c r="ES171" s="516"/>
      <c r="EU171" s="476"/>
      <c r="EV171" s="476"/>
      <c r="EW171" s="515"/>
      <c r="EX171" s="515"/>
      <c r="EY171" s="515"/>
      <c r="EZ171" s="515"/>
      <c r="FA171" s="515"/>
      <c r="FB171" s="476"/>
      <c r="FC171" s="515"/>
      <c r="FD171" s="515"/>
      <c r="FE171" s="515"/>
      <c r="FF171" s="515"/>
    </row>
    <row r="172" spans="2:162" ht="14.25" outlineLevel="3">
      <c r="B172" s="564" t="s">
        <v>159</v>
      </c>
      <c r="C172" s="565">
        <v>2</v>
      </c>
      <c r="D172" s="566" t="s">
        <v>154</v>
      </c>
      <c r="F172" s="500">
        <f t="shared" si="873"/>
        <v>5.3820765625000003E-2</v>
      </c>
      <c r="G172" s="500">
        <f t="shared" si="874"/>
        <v>5.3820765625000003E-2</v>
      </c>
      <c r="H172" s="514">
        <f t="shared" si="875"/>
        <v>0</v>
      </c>
      <c r="I172" s="514">
        <f t="shared" si="876"/>
        <v>0</v>
      </c>
      <c r="J172" s="514">
        <f t="shared" si="877"/>
        <v>0</v>
      </c>
      <c r="K172" s="514">
        <f t="shared" si="878"/>
        <v>0</v>
      </c>
      <c r="L172" s="514">
        <f t="shared" si="879"/>
        <v>0</v>
      </c>
      <c r="M172" s="567">
        <f t="shared" si="880"/>
        <v>0</v>
      </c>
      <c r="N172" s="568"/>
      <c r="O172" s="514">
        <f t="shared" si="881"/>
        <v>0</v>
      </c>
      <c r="P172" s="514">
        <f t="shared" si="882"/>
        <v>0</v>
      </c>
      <c r="Q172" s="514">
        <f t="shared" si="883"/>
        <v>0</v>
      </c>
      <c r="R172" s="514">
        <f t="shared" si="884"/>
        <v>0</v>
      </c>
      <c r="S172" s="514">
        <f t="shared" si="885"/>
        <v>0</v>
      </c>
      <c r="U172" s="569">
        <v>0</v>
      </c>
      <c r="V172" s="503"/>
      <c r="W172" s="434"/>
      <c r="X172" s="435">
        <f t="shared" si="700"/>
        <v>0</v>
      </c>
      <c r="Y172" s="615"/>
      <c r="Z172" s="615"/>
      <c r="AA172" s="514">
        <f t="shared" si="778"/>
        <v>0</v>
      </c>
      <c r="AB172" s="514">
        <f t="shared" si="779"/>
        <v>0</v>
      </c>
      <c r="AC172" s="514">
        <f t="shared" si="780"/>
        <v>0</v>
      </c>
      <c r="AD172" s="567">
        <f t="shared" si="781"/>
        <v>0</v>
      </c>
      <c r="AE172" s="568"/>
      <c r="AF172" s="615"/>
      <c r="AG172" s="501"/>
      <c r="AH172" s="501"/>
      <c r="AI172" s="501"/>
      <c r="AJ172" s="501"/>
      <c r="AK172" s="501"/>
      <c r="AL172" s="513"/>
      <c r="AM172" s="513"/>
      <c r="AN172" s="513"/>
      <c r="AO172" s="518"/>
      <c r="AP172" s="551"/>
      <c r="AQ172" s="551"/>
      <c r="AR172" s="551"/>
      <c r="AS172" s="466"/>
      <c r="AT172" s="466"/>
      <c r="AU172" s="466"/>
      <c r="AV172" s="466"/>
      <c r="AW172" s="466"/>
      <c r="AX172" s="551"/>
      <c r="AY172" s="466"/>
      <c r="AZ172" s="466"/>
      <c r="BA172" s="466"/>
      <c r="BB172" s="466"/>
      <c r="BC172" s="551"/>
      <c r="BD172" s="551"/>
      <c r="BE172" s="511">
        <v>0.25</v>
      </c>
      <c r="BF172" s="508"/>
      <c r="BG172" s="506">
        <f>$BG$170/$BE$170*BE172</f>
        <v>5.3820765625000003E-2</v>
      </c>
      <c r="BH172" s="450">
        <f t="shared" si="717"/>
        <v>5.3820765625000003E-2</v>
      </c>
      <c r="BI172" s="514">
        <f>IFERROR(IF(BV172=100%,BG172,0),0)</f>
        <v>5.3820765625000003E-2</v>
      </c>
      <c r="BJ172" s="514">
        <f>IFERROR(IF(AND((BV172+BW172)=100%,BV172&lt;1),BG172,0),0)</f>
        <v>0</v>
      </c>
      <c r="BK172" s="514">
        <f t="shared" si="782"/>
        <v>0</v>
      </c>
      <c r="BL172" s="514">
        <f t="shared" si="783"/>
        <v>0</v>
      </c>
      <c r="BM172" s="514">
        <f t="shared" si="784"/>
        <v>0</v>
      </c>
      <c r="BN172" s="514">
        <f t="shared" si="785"/>
        <v>0</v>
      </c>
      <c r="BO172" s="501"/>
      <c r="BP172" s="514">
        <f>IFERROR(IF(AND((BV172+BX172)=100%,BV172&lt;1),BG172,0),0)</f>
        <v>0</v>
      </c>
      <c r="BQ172" s="514">
        <f>IFERROR(IF(AND((CA172+CI172)=BZ172,BI172=0),BG172,0),0)</f>
        <v>0</v>
      </c>
      <c r="BR172" s="514">
        <f>IFERROR(IF(AND((CA172+CI172+CJ172)=BZ172,BI172=0,BQ172=0),BG172,0),0)</f>
        <v>0</v>
      </c>
      <c r="BS172" s="514">
        <f>IFERROR(IF(AND((CA172+CI172+CJ172+CK172)=BZ172,BI172=0,BQ172=0,BR172=0),BG172,0),0)</f>
        <v>0</v>
      </c>
      <c r="BT172" s="514">
        <f>IFERROR(IF(AND((CA172+CI172+CJ172+CK172+CL172)=BZ172,BI172=0,BQ172=0,BR172=0,BS172=0),BG172,0),0)</f>
        <v>0</v>
      </c>
      <c r="BU172" s="501"/>
      <c r="BV172" s="571">
        <f t="shared" si="787"/>
        <v>1</v>
      </c>
      <c r="BW172" s="571">
        <f t="shared" si="788"/>
        <v>0</v>
      </c>
      <c r="BX172" s="571">
        <f t="shared" si="789"/>
        <v>0</v>
      </c>
      <c r="BY172" s="518"/>
      <c r="BZ172" s="514">
        <f>COUNTIF('ST | Drawing List'!$G:$G,"ST-SS6-2")</f>
        <v>3</v>
      </c>
      <c r="CA172" s="506">
        <f>COUNTIFS('ST | Drawing List'!$G:$G,"ST-SS6-2",'ST | Drawing List'!$I:$I,1)</f>
        <v>3</v>
      </c>
      <c r="CB172" s="572">
        <f>COUNTIFS('ST | Drawing List'!$G:$G,"ST-SS6-2",'ST | Drawing List'!$K:$K,1)</f>
        <v>0</v>
      </c>
      <c r="CC172" s="506">
        <f>COUNTIFS('ST | Drawing List'!$G:$G,"ST-SS6-2",'ST | Drawing List'!L:L,1)</f>
        <v>0</v>
      </c>
      <c r="CD172" s="506">
        <f>COUNTIFS('ST | Drawing List'!$G:$G,"ST-SS6-2",'ST | Drawing List'!M:M,1)</f>
        <v>0</v>
      </c>
      <c r="CE172" s="506">
        <f>COUNTIFS('ST | Drawing List'!$G:$G,"ST-SS6-2",'ST | Drawing List'!N:N,1)</f>
        <v>0</v>
      </c>
      <c r="CF172" s="506">
        <f>COUNTIFS('ST | Drawing List'!$G:$G,"ST-SS6-2",'ST | Drawing List'!O:O,1)</f>
        <v>0</v>
      </c>
      <c r="CG172" s="471"/>
      <c r="CH172" s="572">
        <f>COUNTIFS('ST | Drawing List'!$G:$G,"ST-SS6-2",'ST | Drawing List'!$P:$P,1)</f>
        <v>0</v>
      </c>
      <c r="CI172" s="506">
        <f>COUNTIFS('ST | Drawing List'!$G:$G,"ST-SS6-2",'ST | Drawing List'!Q:Q,1)</f>
        <v>0</v>
      </c>
      <c r="CJ172" s="506">
        <f>COUNTIFS('ST | Drawing List'!$G:$G,"ST-SS6-2",'ST | Drawing List'!R:R,1)</f>
        <v>0</v>
      </c>
      <c r="CK172" s="506">
        <f>COUNTIFS('ST | Drawing List'!$G:$G,"ST-SS6-2",'ST | Drawing List'!S:S,1)</f>
        <v>0</v>
      </c>
      <c r="CL172" s="506">
        <f>COUNTIFS('ST | Drawing List'!$G:$G,"ST-SS6-2",'ST | Drawing List'!T:T,1)</f>
        <v>0</v>
      </c>
      <c r="CM172" s="508"/>
      <c r="CN172" s="508"/>
      <c r="CO172" s="511">
        <v>0</v>
      </c>
      <c r="CP172" s="508"/>
      <c r="CQ172" s="469"/>
      <c r="CR172" s="450">
        <f t="shared" si="733"/>
        <v>0</v>
      </c>
      <c r="CS172" s="615"/>
      <c r="CT172" s="615"/>
      <c r="CU172" s="615"/>
      <c r="CV172" s="615"/>
      <c r="CW172" s="615"/>
      <c r="CX172" s="615"/>
      <c r="CY172" s="615"/>
      <c r="CZ172" s="615"/>
      <c r="DA172" s="615"/>
      <c r="DB172" s="615"/>
      <c r="DC172" s="615"/>
      <c r="DD172" s="615"/>
      <c r="DE172" s="615"/>
      <c r="DF172" s="513"/>
      <c r="DG172" s="513"/>
      <c r="DH172" s="513"/>
      <c r="DI172" s="518"/>
      <c r="DJ172" s="551"/>
      <c r="DK172" s="551"/>
      <c r="DL172" s="551"/>
      <c r="DM172" s="615"/>
      <c r="DN172" s="615"/>
      <c r="DO172" s="615"/>
      <c r="DP172" s="615"/>
      <c r="DQ172" s="615"/>
      <c r="DR172" s="551"/>
      <c r="DS172" s="615"/>
      <c r="DT172" s="615"/>
      <c r="DU172" s="615"/>
      <c r="DV172" s="615"/>
      <c r="DW172" s="508"/>
      <c r="DX172" s="508"/>
      <c r="DY172" s="511">
        <v>0</v>
      </c>
      <c r="DZ172" s="508"/>
      <c r="EA172" s="469"/>
      <c r="EB172" s="450">
        <f t="shared" si="748"/>
        <v>0</v>
      </c>
      <c r="EC172" s="577"/>
      <c r="ED172" s="577"/>
      <c r="EE172" s="577"/>
      <c r="EF172" s="577"/>
      <c r="EG172" s="577"/>
      <c r="EH172" s="577"/>
      <c r="EI172" s="577"/>
      <c r="EJ172" s="577"/>
      <c r="EK172" s="577"/>
      <c r="EL172" s="577"/>
      <c r="EM172" s="577"/>
      <c r="EN172" s="577"/>
      <c r="EO172" s="577"/>
      <c r="EP172" s="52"/>
      <c r="EQ172" s="52"/>
      <c r="ER172" s="52"/>
      <c r="EW172" s="577"/>
      <c r="EX172" s="577"/>
      <c r="EY172" s="577"/>
      <c r="EZ172" s="577"/>
      <c r="FA172" s="577"/>
      <c r="FC172" s="577"/>
      <c r="FD172" s="577"/>
      <c r="FE172" s="577"/>
      <c r="FF172" s="577"/>
    </row>
    <row r="173" spans="2:162" ht="3" customHeight="1" outlineLevel="2">
      <c r="B173" s="621"/>
      <c r="C173" s="622"/>
      <c r="D173" s="566"/>
      <c r="F173" s="434"/>
      <c r="G173" s="435"/>
      <c r="H173" s="447"/>
      <c r="I173" s="447"/>
      <c r="J173" s="514"/>
      <c r="K173" s="514"/>
      <c r="L173" s="514"/>
      <c r="M173" s="567"/>
      <c r="N173" s="568"/>
      <c r="O173" s="447"/>
      <c r="P173" s="501"/>
      <c r="Q173" s="501"/>
      <c r="R173" s="501"/>
      <c r="S173" s="501"/>
      <c r="U173" s="569"/>
      <c r="V173" s="503"/>
      <c r="W173" s="434"/>
      <c r="X173" s="435">
        <f t="shared" si="700"/>
        <v>0</v>
      </c>
      <c r="Y173" s="447"/>
      <c r="Z173" s="447"/>
      <c r="AA173" s="514">
        <f t="shared" si="778"/>
        <v>0</v>
      </c>
      <c r="AB173" s="514">
        <f t="shared" si="779"/>
        <v>0</v>
      </c>
      <c r="AC173" s="514">
        <f t="shared" si="780"/>
        <v>0</v>
      </c>
      <c r="AD173" s="567">
        <f t="shared" si="781"/>
        <v>0</v>
      </c>
      <c r="AE173" s="568"/>
      <c r="AF173" s="447"/>
      <c r="AG173" s="501"/>
      <c r="AH173" s="501"/>
      <c r="AI173" s="501"/>
      <c r="AJ173" s="501"/>
      <c r="AK173" s="501"/>
      <c r="AL173" s="513"/>
      <c r="AM173" s="513"/>
      <c r="AN173" s="513"/>
      <c r="AO173" s="520"/>
      <c r="AP173" s="551"/>
      <c r="AQ173" s="551"/>
      <c r="AR173" s="551"/>
      <c r="AS173" s="466"/>
      <c r="AT173" s="466"/>
      <c r="AU173" s="466"/>
      <c r="AV173" s="466"/>
      <c r="AW173" s="466"/>
      <c r="AX173" s="551"/>
      <c r="AY173" s="466"/>
      <c r="AZ173" s="466"/>
      <c r="BA173" s="466"/>
      <c r="BB173" s="466"/>
      <c r="BC173" s="551"/>
      <c r="BD173" s="551"/>
      <c r="BE173" s="511"/>
      <c r="BF173" s="508"/>
      <c r="BG173" s="469"/>
      <c r="BH173" s="450">
        <f t="shared" si="717"/>
        <v>0</v>
      </c>
      <c r="BI173" s="447"/>
      <c r="BJ173" s="447"/>
      <c r="BK173" s="514">
        <f t="shared" si="782"/>
        <v>0</v>
      </c>
      <c r="BL173" s="514">
        <f t="shared" si="783"/>
        <v>0</v>
      </c>
      <c r="BM173" s="514">
        <f t="shared" si="784"/>
        <v>0</v>
      </c>
      <c r="BN173" s="514">
        <f t="shared" si="785"/>
        <v>0</v>
      </c>
      <c r="BO173" s="501"/>
      <c r="BP173" s="514">
        <f>IFERROR(IF(AND((BV173+BX173)=100%,BV173&lt;1),BG173,0),0)</f>
        <v>0</v>
      </c>
      <c r="BQ173" s="501"/>
      <c r="BR173" s="501"/>
      <c r="BS173" s="501"/>
      <c r="BT173" s="501"/>
      <c r="BU173" s="501"/>
      <c r="BV173" s="571">
        <f t="shared" si="787"/>
        <v>0</v>
      </c>
      <c r="BW173" s="571">
        <f t="shared" si="788"/>
        <v>0</v>
      </c>
      <c r="BX173" s="571">
        <f t="shared" si="789"/>
        <v>0</v>
      </c>
      <c r="BY173" s="520"/>
      <c r="BZ173" s="552"/>
      <c r="CA173" s="552"/>
      <c r="CB173" s="608"/>
      <c r="CC173" s="472"/>
      <c r="CD173" s="472"/>
      <c r="CE173" s="472"/>
      <c r="CF173" s="472"/>
      <c r="CG173" s="472"/>
      <c r="CH173" s="608"/>
      <c r="CI173" s="472"/>
      <c r="CJ173" s="472"/>
      <c r="CK173" s="472"/>
      <c r="CL173" s="472"/>
      <c r="CM173" s="508"/>
      <c r="CN173" s="508"/>
      <c r="CO173" s="511"/>
      <c r="CP173" s="508"/>
      <c r="CQ173" s="469"/>
      <c r="CR173" s="450">
        <f t="shared" si="733"/>
        <v>0</v>
      </c>
      <c r="CS173" s="447"/>
      <c r="CT173" s="447"/>
      <c r="CU173" s="447"/>
      <c r="CV173" s="447"/>
      <c r="CW173" s="447"/>
      <c r="CX173" s="447"/>
      <c r="CY173" s="447"/>
      <c r="CZ173" s="447"/>
      <c r="DA173" s="447"/>
      <c r="DB173" s="447"/>
      <c r="DC173" s="447"/>
      <c r="DD173" s="447"/>
      <c r="DE173" s="447"/>
      <c r="DF173" s="513"/>
      <c r="DG173" s="513"/>
      <c r="DH173" s="513"/>
      <c r="DI173" s="520"/>
      <c r="DJ173" s="551"/>
      <c r="DK173" s="551"/>
      <c r="DL173" s="551"/>
      <c r="DM173" s="447"/>
      <c r="DN173" s="447"/>
      <c r="DO173" s="447"/>
      <c r="DP173" s="447"/>
      <c r="DQ173" s="447"/>
      <c r="DR173" s="551"/>
      <c r="DS173" s="447"/>
      <c r="DT173" s="447"/>
      <c r="DU173" s="447"/>
      <c r="DV173" s="447"/>
      <c r="DW173" s="508"/>
      <c r="DX173" s="508"/>
      <c r="DY173" s="511"/>
      <c r="DZ173" s="508"/>
      <c r="EA173" s="469"/>
      <c r="EB173" s="450">
        <f t="shared" si="748"/>
        <v>0</v>
      </c>
      <c r="EC173" s="448"/>
      <c r="ED173" s="448"/>
      <c r="EE173" s="448"/>
      <c r="EF173" s="448"/>
      <c r="EG173" s="448"/>
      <c r="EH173" s="448"/>
      <c r="EI173" s="448"/>
      <c r="EJ173" s="448"/>
      <c r="EK173" s="448"/>
      <c r="EL173" s="448"/>
      <c r="EM173" s="448"/>
      <c r="EN173" s="448"/>
      <c r="EO173" s="448"/>
      <c r="EP173" s="52"/>
      <c r="EQ173" s="52"/>
      <c r="ER173" s="52"/>
      <c r="ES173" s="523"/>
      <c r="EW173" s="448"/>
      <c r="EX173" s="448"/>
      <c r="EY173" s="448"/>
      <c r="EZ173" s="448"/>
      <c r="FA173" s="448"/>
      <c r="FC173" s="448"/>
      <c r="FD173" s="448"/>
      <c r="FE173" s="448"/>
      <c r="FF173" s="448"/>
    </row>
    <row r="174" spans="2:162" ht="14.25" outlineLevel="2">
      <c r="B174" s="621">
        <v>2.7</v>
      </c>
      <c r="C174" s="622">
        <v>2.7</v>
      </c>
      <c r="D174" s="623" t="s">
        <v>167</v>
      </c>
      <c r="F174" s="434"/>
      <c r="G174" s="435"/>
      <c r="H174" s="501"/>
      <c r="I174" s="501"/>
      <c r="J174" s="514"/>
      <c r="K174" s="514"/>
      <c r="L174" s="514"/>
      <c r="M174" s="567"/>
      <c r="N174" s="568"/>
      <c r="O174" s="501"/>
      <c r="P174" s="501"/>
      <c r="Q174" s="501"/>
      <c r="R174" s="501"/>
      <c r="S174" s="501"/>
      <c r="U174" s="596">
        <v>0</v>
      </c>
      <c r="V174" s="597"/>
      <c r="W174" s="434">
        <v>0</v>
      </c>
      <c r="X174" s="435">
        <f t="shared" si="700"/>
        <v>0</v>
      </c>
      <c r="Y174" s="501"/>
      <c r="Z174" s="501"/>
      <c r="AA174" s="514">
        <f t="shared" si="778"/>
        <v>0</v>
      </c>
      <c r="AB174" s="514">
        <f t="shared" si="779"/>
        <v>0</v>
      </c>
      <c r="AC174" s="514">
        <f t="shared" si="780"/>
        <v>0</v>
      </c>
      <c r="AD174" s="567">
        <f t="shared" si="781"/>
        <v>0</v>
      </c>
      <c r="AE174" s="568"/>
      <c r="AF174" s="501"/>
      <c r="AG174" s="501"/>
      <c r="AH174" s="501"/>
      <c r="AI174" s="501"/>
      <c r="AJ174" s="501"/>
      <c r="AK174" s="501"/>
      <c r="AL174" s="513"/>
      <c r="AM174" s="513"/>
      <c r="AN174" s="513"/>
      <c r="AO174" s="505"/>
      <c r="AP174" s="551"/>
      <c r="AQ174" s="551"/>
      <c r="AR174" s="551"/>
      <c r="AS174" s="466"/>
      <c r="AT174" s="466"/>
      <c r="AU174" s="466"/>
      <c r="AV174" s="466"/>
      <c r="AW174" s="466"/>
      <c r="AX174" s="551"/>
      <c r="AY174" s="466"/>
      <c r="AZ174" s="466"/>
      <c r="BA174" s="466"/>
      <c r="BB174" s="466"/>
      <c r="BC174" s="551"/>
      <c r="BD174" s="551"/>
      <c r="BE174" s="685">
        <f>SUM(BE175:BE176)</f>
        <v>0.5</v>
      </c>
      <c r="BF174" s="597"/>
      <c r="BG174" s="556">
        <f>$BG$144*(95%/12)</f>
        <v>0.10764153125000001</v>
      </c>
      <c r="BH174" s="450">
        <f t="shared" si="717"/>
        <v>0.10764153125000001</v>
      </c>
      <c r="BI174" s="556">
        <f>SUM(BI175:BI176)</f>
        <v>0.10764153125000001</v>
      </c>
      <c r="BJ174" s="556">
        <f>SUM(BJ175:BJ176)</f>
        <v>0</v>
      </c>
      <c r="BK174" s="630">
        <f t="shared" si="782"/>
        <v>0</v>
      </c>
      <c r="BL174" s="514">
        <f t="shared" si="783"/>
        <v>0</v>
      </c>
      <c r="BM174" s="514">
        <f t="shared" si="784"/>
        <v>0</v>
      </c>
      <c r="BN174" s="514">
        <f t="shared" si="785"/>
        <v>0</v>
      </c>
      <c r="BO174" s="501"/>
      <c r="BP174" s="630">
        <f>SUM(BP175:BP176)</f>
        <v>0</v>
      </c>
      <c r="BQ174" s="630">
        <f t="shared" ref="BQ174" si="886">SUM(BQ175:BQ176)</f>
        <v>0</v>
      </c>
      <c r="BR174" s="630">
        <f t="shared" ref="BR174" si="887">SUM(BR175:BR176)</f>
        <v>0</v>
      </c>
      <c r="BS174" s="630">
        <f t="shared" ref="BS174" si="888">SUM(BS175:BS176)</f>
        <v>0</v>
      </c>
      <c r="BT174" s="630">
        <f t="shared" ref="BT174" si="889">SUM(BT175:BT176)</f>
        <v>0</v>
      </c>
      <c r="BU174" s="547"/>
      <c r="BV174" s="571">
        <f t="shared" si="787"/>
        <v>0</v>
      </c>
      <c r="BW174" s="571">
        <f t="shared" si="788"/>
        <v>0</v>
      </c>
      <c r="BX174" s="571">
        <f t="shared" si="789"/>
        <v>0</v>
      </c>
      <c r="BY174" s="505"/>
      <c r="BZ174" s="552"/>
      <c r="CA174" s="552"/>
      <c r="CB174" s="608"/>
      <c r="CC174" s="512"/>
      <c r="CD174" s="512"/>
      <c r="CE174" s="512"/>
      <c r="CF174" s="512"/>
      <c r="CG174" s="512"/>
      <c r="CH174" s="608"/>
      <c r="CI174" s="512"/>
      <c r="CJ174" s="512"/>
      <c r="CK174" s="512"/>
      <c r="CL174" s="512"/>
      <c r="CM174" s="597"/>
      <c r="CN174" s="597"/>
      <c r="CO174" s="596">
        <v>0</v>
      </c>
      <c r="CP174" s="597"/>
      <c r="CQ174" s="509"/>
      <c r="CR174" s="450">
        <f t="shared" si="733"/>
        <v>0</v>
      </c>
      <c r="CS174" s="501"/>
      <c r="CT174" s="501"/>
      <c r="CU174" s="501"/>
      <c r="CV174" s="501"/>
      <c r="CW174" s="501"/>
      <c r="CX174" s="501"/>
      <c r="CY174" s="501"/>
      <c r="CZ174" s="501"/>
      <c r="DA174" s="501"/>
      <c r="DB174" s="501"/>
      <c r="DC174" s="501"/>
      <c r="DD174" s="501"/>
      <c r="DE174" s="501"/>
      <c r="DF174" s="513"/>
      <c r="DG174" s="513"/>
      <c r="DH174" s="513"/>
      <c r="DI174" s="505"/>
      <c r="DJ174" s="551"/>
      <c r="DK174" s="551"/>
      <c r="DL174" s="551"/>
      <c r="DM174" s="501"/>
      <c r="DN174" s="501"/>
      <c r="DO174" s="501"/>
      <c r="DP174" s="501"/>
      <c r="DQ174" s="501"/>
      <c r="DR174" s="551"/>
      <c r="DS174" s="501"/>
      <c r="DT174" s="501"/>
      <c r="DU174" s="501"/>
      <c r="DV174" s="501"/>
      <c r="DW174" s="597"/>
      <c r="DX174" s="597"/>
      <c r="DY174" s="596">
        <v>0</v>
      </c>
      <c r="DZ174" s="597"/>
      <c r="EA174" s="509"/>
      <c r="EB174" s="450">
        <f t="shared" si="748"/>
        <v>0</v>
      </c>
      <c r="EC174" s="515"/>
      <c r="ED174" s="515"/>
      <c r="EE174" s="515"/>
      <c r="EF174" s="515"/>
      <c r="EG174" s="515"/>
      <c r="EH174" s="515"/>
      <c r="EI174" s="515"/>
      <c r="EJ174" s="515"/>
      <c r="EK174" s="515"/>
      <c r="EL174" s="515"/>
      <c r="EM174" s="515"/>
      <c r="EN174" s="515"/>
      <c r="EO174" s="515"/>
      <c r="EP174" s="52"/>
      <c r="EQ174" s="52"/>
      <c r="ER174" s="52"/>
      <c r="ES174" s="516"/>
      <c r="EW174" s="515"/>
      <c r="EX174" s="515"/>
      <c r="EY174" s="515"/>
      <c r="EZ174" s="515"/>
      <c r="FA174" s="515"/>
      <c r="FC174" s="515"/>
      <c r="FD174" s="515"/>
      <c r="FE174" s="515"/>
      <c r="FF174" s="515"/>
    </row>
    <row r="175" spans="2:162" ht="14.25" outlineLevel="3">
      <c r="B175" s="564" t="s">
        <v>158</v>
      </c>
      <c r="C175" s="565">
        <v>1</v>
      </c>
      <c r="D175" s="566" t="s">
        <v>152</v>
      </c>
      <c r="F175" s="500">
        <f t="shared" ref="F175:F176" si="890">W175+BG175+CQ175+EA175</f>
        <v>5.3820765625000003E-2</v>
      </c>
      <c r="G175" s="500">
        <f t="shared" ref="G175:G176" si="891">X175+BH175+CR175+EB175</f>
        <v>5.3820765625000003E-2</v>
      </c>
      <c r="H175" s="514">
        <f t="shared" ref="H175:H176" si="892">F175-G175</f>
        <v>0</v>
      </c>
      <c r="I175" s="514">
        <f t="shared" ref="I175:I176" si="893">Z175+BJ175+CT175+ED175</f>
        <v>0</v>
      </c>
      <c r="J175" s="514">
        <f t="shared" ref="J175:J176" si="894">AA175+BK175+CU175+EE175</f>
        <v>0</v>
      </c>
      <c r="K175" s="514">
        <f t="shared" ref="K175:K176" si="895">AB175+BL175+CV175+EF175</f>
        <v>0</v>
      </c>
      <c r="L175" s="514">
        <f t="shared" ref="L175:L176" si="896">AC175+BM175+CW175+EG175</f>
        <v>0</v>
      </c>
      <c r="M175" s="567">
        <f t="shared" ref="M175:M176" si="897">AD175+BN175+CX175+EH175</f>
        <v>0</v>
      </c>
      <c r="N175" s="568"/>
      <c r="O175" s="514">
        <f t="shared" ref="O175:O176" si="898">AF175+BP175+CZ175+EJ175</f>
        <v>0</v>
      </c>
      <c r="P175" s="514">
        <f t="shared" ref="P175:P176" si="899">AG175+BQ175+DA175+EK175</f>
        <v>0</v>
      </c>
      <c r="Q175" s="514">
        <f t="shared" ref="Q175:Q176" si="900">AH175+BR175+DB175+EL175</f>
        <v>0</v>
      </c>
      <c r="R175" s="514">
        <f t="shared" ref="R175:R176" si="901">AI175+BS175+DC175+EM175</f>
        <v>0</v>
      </c>
      <c r="S175" s="514">
        <f t="shared" ref="S175:S176" si="902">AJ175+BT175+DD175+EN175</f>
        <v>0</v>
      </c>
      <c r="U175" s="569">
        <v>0</v>
      </c>
      <c r="V175" s="503"/>
      <c r="W175" s="499"/>
      <c r="X175" s="500">
        <f t="shared" si="700"/>
        <v>0</v>
      </c>
      <c r="Y175" s="501"/>
      <c r="Z175" s="501"/>
      <c r="AA175" s="514">
        <f t="shared" si="778"/>
        <v>0</v>
      </c>
      <c r="AB175" s="514">
        <f t="shared" si="779"/>
        <v>0</v>
      </c>
      <c r="AC175" s="514">
        <f t="shared" si="780"/>
        <v>0</v>
      </c>
      <c r="AD175" s="567">
        <f t="shared" si="781"/>
        <v>0</v>
      </c>
      <c r="AE175" s="568"/>
      <c r="AF175" s="501"/>
      <c r="AG175" s="501"/>
      <c r="AH175" s="501"/>
      <c r="AI175" s="501"/>
      <c r="AJ175" s="501"/>
      <c r="AK175" s="501"/>
      <c r="AL175" s="513"/>
      <c r="AM175" s="513"/>
      <c r="AN175" s="513"/>
      <c r="AO175" s="505"/>
      <c r="AP175" s="551"/>
      <c r="AQ175" s="466"/>
      <c r="AR175" s="466"/>
      <c r="AS175" s="466"/>
      <c r="AT175" s="466"/>
      <c r="AU175" s="466"/>
      <c r="AV175" s="466"/>
      <c r="AW175" s="466"/>
      <c r="AX175" s="466"/>
      <c r="AY175" s="466"/>
      <c r="AZ175" s="466"/>
      <c r="BA175" s="466"/>
      <c r="BB175" s="466"/>
      <c r="BC175" s="466"/>
      <c r="BD175" s="466"/>
      <c r="BE175" s="511">
        <v>0.25</v>
      </c>
      <c r="BF175" s="508"/>
      <c r="BG175" s="506">
        <f>$BG$174/$BE$174*BE175</f>
        <v>5.3820765625000003E-2</v>
      </c>
      <c r="BH175" s="510">
        <f t="shared" si="717"/>
        <v>5.3820765625000003E-2</v>
      </c>
      <c r="BI175" s="514">
        <f>IFERROR(IF(BV175=100%,BG175,0),0)</f>
        <v>5.3820765625000003E-2</v>
      </c>
      <c r="BJ175" s="514">
        <f>IFERROR(IF(AND((BV175+BW175)=100%,BV175&lt;1),BG175,0),0)</f>
        <v>0</v>
      </c>
      <c r="BK175" s="514">
        <f t="shared" si="782"/>
        <v>0</v>
      </c>
      <c r="BL175" s="514">
        <f t="shared" si="783"/>
        <v>0</v>
      </c>
      <c r="BM175" s="514">
        <f t="shared" si="784"/>
        <v>0</v>
      </c>
      <c r="BN175" s="514">
        <f t="shared" si="785"/>
        <v>0</v>
      </c>
      <c r="BO175" s="501"/>
      <c r="BP175" s="514">
        <f>IFERROR(IF(AND((BV175+BX175)=100%,BV175&lt;1),BG175,0),0)</f>
        <v>0</v>
      </c>
      <c r="BQ175" s="514">
        <f>IFERROR(IF(AND((CA175+CI175)=BZ175,BI175=0),BG175,0),0)</f>
        <v>0</v>
      </c>
      <c r="BR175" s="514">
        <f>IFERROR(IF(AND((CA175+CI175+CJ175)=BZ175,BI175=0,BQ175=0),BG175,0),0)</f>
        <v>0</v>
      </c>
      <c r="BS175" s="514">
        <f>IFERROR(IF(AND((CA175+CI175+CJ175+CK175)=BZ175,BI175=0,BQ175=0,BR175=0),BG175,0),0)</f>
        <v>0</v>
      </c>
      <c r="BT175" s="514">
        <f>IFERROR(IF(AND((CA175+CI175+CJ175+CK175+CL175)=BZ175,BI175=0,BQ175=0,BR175=0,BS175=0),BG175,0),0)</f>
        <v>0</v>
      </c>
      <c r="BU175" s="501"/>
      <c r="BV175" s="571">
        <f t="shared" si="787"/>
        <v>1</v>
      </c>
      <c r="BW175" s="571">
        <f t="shared" si="788"/>
        <v>0</v>
      </c>
      <c r="BX175" s="571">
        <f t="shared" si="789"/>
        <v>0</v>
      </c>
      <c r="BY175" s="505"/>
      <c r="BZ175" s="514">
        <f>COUNTIF('ST | Drawing List'!$G:$G,"ST-SS7-1")</f>
        <v>3</v>
      </c>
      <c r="CA175" s="506">
        <f>COUNTIFS('ST | Drawing List'!$G:$G,"ST-SS7-1",'ST | Drawing List'!$I:$I,1)</f>
        <v>3</v>
      </c>
      <c r="CB175" s="572">
        <f>COUNTIFS('ST | Drawing List'!$G:$G,"ST-SS7-1",'ST | Drawing List'!$K:$K,1)</f>
        <v>0</v>
      </c>
      <c r="CC175" s="506">
        <f>COUNTIFS('ST | Drawing List'!$G:$G,"ST-SS7-1",'ST | Drawing List'!L:L,1)</f>
        <v>0</v>
      </c>
      <c r="CD175" s="506">
        <f>COUNTIFS('ST | Drawing List'!$G:$G,"ST-SS7-1",'ST | Drawing List'!M:M,1)</f>
        <v>0</v>
      </c>
      <c r="CE175" s="506">
        <f>COUNTIFS('ST | Drawing List'!$G:$G,"ST-SS7-1",'ST | Drawing List'!N:N,1)</f>
        <v>0</v>
      </c>
      <c r="CF175" s="506">
        <f>COUNTIFS('ST | Drawing List'!$G:$G,"ST-SS7-1",'ST | Drawing List'!O:O,1)</f>
        <v>0</v>
      </c>
      <c r="CG175" s="471"/>
      <c r="CH175" s="572">
        <f>COUNTIFS('ST | Drawing List'!$G:$G,"ST-SS7-1",'ST | Drawing List'!$P:$P,1)</f>
        <v>0</v>
      </c>
      <c r="CI175" s="506">
        <f>COUNTIFS('ST | Drawing List'!$G:$G,"ST-SS7-1",'ST | Drawing List'!Q:Q,1)</f>
        <v>0</v>
      </c>
      <c r="CJ175" s="506">
        <f>COUNTIFS('ST | Drawing List'!$G:$G,"ST-SS7-1",'ST | Drawing List'!R:R,1)</f>
        <v>0</v>
      </c>
      <c r="CK175" s="506">
        <f>COUNTIFS('ST | Drawing List'!$G:$G,"ST-SS7-1",'ST | Drawing List'!S:S,1)</f>
        <v>0</v>
      </c>
      <c r="CL175" s="506">
        <f>COUNTIFS('ST | Drawing List'!$G:$G,"ST-SS7-1",'ST | Drawing List'!T:T,1)</f>
        <v>0</v>
      </c>
      <c r="CM175" s="508"/>
      <c r="CN175" s="508"/>
      <c r="CO175" s="511">
        <v>0</v>
      </c>
      <c r="CP175" s="508"/>
      <c r="CQ175" s="509"/>
      <c r="CR175" s="510">
        <f t="shared" si="733"/>
        <v>0</v>
      </c>
      <c r="CS175" s="501"/>
      <c r="CT175" s="501"/>
      <c r="CU175" s="501"/>
      <c r="CV175" s="501"/>
      <c r="CW175" s="501"/>
      <c r="CX175" s="501"/>
      <c r="CY175" s="501"/>
      <c r="CZ175" s="501"/>
      <c r="DA175" s="501"/>
      <c r="DB175" s="501"/>
      <c r="DC175" s="501"/>
      <c r="DD175" s="501"/>
      <c r="DE175" s="501"/>
      <c r="DF175" s="513"/>
      <c r="DG175" s="513"/>
      <c r="DH175" s="513"/>
      <c r="DI175" s="505"/>
      <c r="DJ175" s="551"/>
      <c r="DK175" s="466"/>
      <c r="DL175" s="466"/>
      <c r="DM175" s="501"/>
      <c r="DN175" s="501"/>
      <c r="DO175" s="501"/>
      <c r="DP175" s="501"/>
      <c r="DQ175" s="501"/>
      <c r="DR175" s="466"/>
      <c r="DS175" s="501"/>
      <c r="DT175" s="501"/>
      <c r="DU175" s="501"/>
      <c r="DV175" s="501"/>
      <c r="DW175" s="508"/>
      <c r="DX175" s="508"/>
      <c r="DY175" s="511">
        <v>0</v>
      </c>
      <c r="DZ175" s="508"/>
      <c r="EA175" s="509"/>
      <c r="EB175" s="510">
        <f t="shared" si="748"/>
        <v>0</v>
      </c>
      <c r="EC175" s="515"/>
      <c r="ED175" s="515"/>
      <c r="EE175" s="515"/>
      <c r="EF175" s="515"/>
      <c r="EG175" s="515"/>
      <c r="EH175" s="515"/>
      <c r="EI175" s="515"/>
      <c r="EJ175" s="515"/>
      <c r="EK175" s="515"/>
      <c r="EL175" s="515"/>
      <c r="EM175" s="515"/>
      <c r="EN175" s="515"/>
      <c r="EO175" s="515"/>
      <c r="EP175" s="52"/>
      <c r="EQ175" s="52"/>
      <c r="ER175" s="52"/>
      <c r="ES175" s="516"/>
      <c r="EU175" s="476"/>
      <c r="EV175" s="476"/>
      <c r="EW175" s="515"/>
      <c r="EX175" s="515"/>
      <c r="EY175" s="515"/>
      <c r="EZ175" s="515"/>
      <c r="FA175" s="515"/>
      <c r="FB175" s="476"/>
      <c r="FC175" s="515"/>
      <c r="FD175" s="515"/>
      <c r="FE175" s="515"/>
      <c r="FF175" s="515"/>
    </row>
    <row r="176" spans="2:162" ht="14.25" outlineLevel="3">
      <c r="B176" s="564" t="s">
        <v>159</v>
      </c>
      <c r="C176" s="565">
        <v>2</v>
      </c>
      <c r="D176" s="566" t="s">
        <v>154</v>
      </c>
      <c r="F176" s="500">
        <f t="shared" si="890"/>
        <v>5.3820765625000003E-2</v>
      </c>
      <c r="G176" s="500">
        <f t="shared" si="891"/>
        <v>5.3820765625000003E-2</v>
      </c>
      <c r="H176" s="514">
        <f t="shared" si="892"/>
        <v>0</v>
      </c>
      <c r="I176" s="514">
        <f t="shared" si="893"/>
        <v>0</v>
      </c>
      <c r="J176" s="514">
        <f t="shared" si="894"/>
        <v>0</v>
      </c>
      <c r="K176" s="514">
        <f t="shared" si="895"/>
        <v>0</v>
      </c>
      <c r="L176" s="514">
        <f t="shared" si="896"/>
        <v>0</v>
      </c>
      <c r="M176" s="567">
        <f t="shared" si="897"/>
        <v>0</v>
      </c>
      <c r="N176" s="568"/>
      <c r="O176" s="514">
        <f t="shared" si="898"/>
        <v>0</v>
      </c>
      <c r="P176" s="514">
        <f t="shared" si="899"/>
        <v>0</v>
      </c>
      <c r="Q176" s="514">
        <f t="shared" si="900"/>
        <v>0</v>
      </c>
      <c r="R176" s="514">
        <f t="shared" si="901"/>
        <v>0</v>
      </c>
      <c r="S176" s="514">
        <f t="shared" si="902"/>
        <v>0</v>
      </c>
      <c r="U176" s="569">
        <v>0</v>
      </c>
      <c r="V176" s="503"/>
      <c r="W176" s="499"/>
      <c r="X176" s="500">
        <f t="shared" si="700"/>
        <v>0</v>
      </c>
      <c r="Y176" s="501"/>
      <c r="Z176" s="501"/>
      <c r="AA176" s="514">
        <f t="shared" si="778"/>
        <v>0</v>
      </c>
      <c r="AB176" s="514">
        <f t="shared" si="779"/>
        <v>0</v>
      </c>
      <c r="AC176" s="514">
        <f t="shared" si="780"/>
        <v>0</v>
      </c>
      <c r="AD176" s="567">
        <f t="shared" si="781"/>
        <v>0</v>
      </c>
      <c r="AE176" s="568"/>
      <c r="AF176" s="501"/>
      <c r="AG176" s="501"/>
      <c r="AH176" s="501"/>
      <c r="AI176" s="501"/>
      <c r="AJ176" s="501"/>
      <c r="AK176" s="501"/>
      <c r="AL176" s="513"/>
      <c r="AM176" s="513"/>
      <c r="AN176" s="513"/>
      <c r="AO176" s="505"/>
      <c r="AP176" s="551"/>
      <c r="AQ176" s="466"/>
      <c r="AR176" s="466"/>
      <c r="AS176" s="466"/>
      <c r="AT176" s="466"/>
      <c r="AU176" s="466"/>
      <c r="AV176" s="466"/>
      <c r="AW176" s="466"/>
      <c r="AX176" s="466"/>
      <c r="AY176" s="466"/>
      <c r="AZ176" s="466"/>
      <c r="BA176" s="466"/>
      <c r="BB176" s="466"/>
      <c r="BC176" s="466"/>
      <c r="BD176" s="466"/>
      <c r="BE176" s="511">
        <v>0.25</v>
      </c>
      <c r="BF176" s="508"/>
      <c r="BG176" s="506">
        <f>$BG$174/$BE$174*BE176</f>
        <v>5.3820765625000003E-2</v>
      </c>
      <c r="BH176" s="510">
        <f t="shared" si="717"/>
        <v>5.3820765625000003E-2</v>
      </c>
      <c r="BI176" s="514">
        <f>IFERROR(IF(BV176=100%,BG176,0),0)</f>
        <v>5.3820765625000003E-2</v>
      </c>
      <c r="BJ176" s="514">
        <f>IFERROR(IF(AND((BV176+BW176)=100%,BV176&lt;1),BG176,0),0)</f>
        <v>0</v>
      </c>
      <c r="BK176" s="514">
        <f t="shared" si="782"/>
        <v>0</v>
      </c>
      <c r="BL176" s="514">
        <f t="shared" si="783"/>
        <v>0</v>
      </c>
      <c r="BM176" s="514">
        <f t="shared" si="784"/>
        <v>0</v>
      </c>
      <c r="BN176" s="514">
        <f t="shared" si="785"/>
        <v>0</v>
      </c>
      <c r="BO176" s="501"/>
      <c r="BP176" s="514">
        <f>IFERROR(IF(AND((BV176+BX176)=100%,BV176&lt;1),BG176,0),0)</f>
        <v>0</v>
      </c>
      <c r="BQ176" s="514">
        <f>IFERROR(IF(AND((CA176+CI176)=BZ176,BI176=0),BG176,0),0)</f>
        <v>0</v>
      </c>
      <c r="BR176" s="514">
        <f>IFERROR(IF(AND((CA176+CI176+CJ176)=BZ176,BI176=0,BQ176=0),BG176,0),0)</f>
        <v>0</v>
      </c>
      <c r="BS176" s="514">
        <f>IFERROR(IF(AND((CA176+CI176+CJ176+CK176)=BZ176,BI176=0,BQ176=0,BR176=0),BG176,0),0)</f>
        <v>0</v>
      </c>
      <c r="BT176" s="514">
        <f>IFERROR(IF(AND((CA176+CI176+CJ176+CK176+CL176)=BZ176,BI176=0,BQ176=0,BR176=0,BS176=0),BG176,0),0)</f>
        <v>0</v>
      </c>
      <c r="BU176" s="501"/>
      <c r="BV176" s="571">
        <f t="shared" si="787"/>
        <v>1</v>
      </c>
      <c r="BW176" s="571">
        <f t="shared" si="788"/>
        <v>0</v>
      </c>
      <c r="BX176" s="571">
        <f t="shared" si="789"/>
        <v>0</v>
      </c>
      <c r="BY176" s="505"/>
      <c r="BZ176" s="514">
        <f>COUNTIF('ST | Drawing List'!$G:$G,"ST-SS7-2")</f>
        <v>3</v>
      </c>
      <c r="CA176" s="506">
        <f>COUNTIFS('ST | Drawing List'!$G:$G,"ST-SS7-2",'ST | Drawing List'!$I:$I,1)</f>
        <v>3</v>
      </c>
      <c r="CB176" s="572">
        <f>COUNTIFS('ST | Drawing List'!$G:$G,"ST-SS7-2",'ST | Drawing List'!$K:$K,1)</f>
        <v>0</v>
      </c>
      <c r="CC176" s="506">
        <f>COUNTIFS('ST | Drawing List'!$G:$G,"ST-SS7-2",'ST | Drawing List'!L:L,1)</f>
        <v>0</v>
      </c>
      <c r="CD176" s="506">
        <f>COUNTIFS('ST | Drawing List'!$G:$G,"ST-SS7-2",'ST | Drawing List'!M:M,1)</f>
        <v>0</v>
      </c>
      <c r="CE176" s="506">
        <f>COUNTIFS('ST | Drawing List'!$G:$G,"ST-SS7-2",'ST | Drawing List'!N:N,1)</f>
        <v>0</v>
      </c>
      <c r="CF176" s="506">
        <f>COUNTIFS('ST | Drawing List'!$G:$G,"ST-SS7-2",'ST | Drawing List'!O:O,1)</f>
        <v>0</v>
      </c>
      <c r="CG176" s="471"/>
      <c r="CH176" s="572">
        <f>COUNTIFS('ST | Drawing List'!$G:$G,"ST-SS7-2",'ST | Drawing List'!$P:$P,1)</f>
        <v>0</v>
      </c>
      <c r="CI176" s="506">
        <f>COUNTIFS('ST | Drawing List'!$G:$G,"ST-SS7-2",'ST | Drawing List'!Q:Q,1)</f>
        <v>0</v>
      </c>
      <c r="CJ176" s="506">
        <f>COUNTIFS('ST | Drawing List'!$G:$G,"ST-SS7-2",'ST | Drawing List'!R:R,1)</f>
        <v>0</v>
      </c>
      <c r="CK176" s="506">
        <f>COUNTIFS('ST | Drawing List'!$G:$G,"ST-SS7-2",'ST | Drawing List'!S:S,1)</f>
        <v>0</v>
      </c>
      <c r="CL176" s="506">
        <f>COUNTIFS('ST | Drawing List'!$G:$G,"ST-SS7-2",'ST | Drawing List'!T:T,1)</f>
        <v>0</v>
      </c>
      <c r="CM176" s="508"/>
      <c r="CN176" s="508"/>
      <c r="CO176" s="511">
        <v>0</v>
      </c>
      <c r="CP176" s="508"/>
      <c r="CQ176" s="509"/>
      <c r="CR176" s="510">
        <f t="shared" si="733"/>
        <v>0</v>
      </c>
      <c r="CS176" s="501"/>
      <c r="CT176" s="501"/>
      <c r="CU176" s="501"/>
      <c r="CV176" s="501"/>
      <c r="CW176" s="501"/>
      <c r="CX176" s="501"/>
      <c r="CY176" s="501"/>
      <c r="CZ176" s="501"/>
      <c r="DA176" s="501"/>
      <c r="DB176" s="501"/>
      <c r="DC176" s="501"/>
      <c r="DD176" s="501"/>
      <c r="DE176" s="501"/>
      <c r="DF176" s="513"/>
      <c r="DG176" s="513"/>
      <c r="DH176" s="513"/>
      <c r="DI176" s="505"/>
      <c r="DJ176" s="551"/>
      <c r="DK176" s="466"/>
      <c r="DL176" s="466"/>
      <c r="DM176" s="501"/>
      <c r="DN176" s="501"/>
      <c r="DO176" s="501"/>
      <c r="DP176" s="501"/>
      <c r="DQ176" s="501"/>
      <c r="DR176" s="466"/>
      <c r="DS176" s="501"/>
      <c r="DT176" s="501"/>
      <c r="DU176" s="501"/>
      <c r="DV176" s="501"/>
      <c r="DW176" s="508"/>
      <c r="DX176" s="508"/>
      <c r="DY176" s="511">
        <v>0</v>
      </c>
      <c r="DZ176" s="508"/>
      <c r="EA176" s="509"/>
      <c r="EB176" s="510">
        <f t="shared" si="748"/>
        <v>0</v>
      </c>
      <c r="EC176" s="515"/>
      <c r="ED176" s="515"/>
      <c r="EE176" s="515"/>
      <c r="EF176" s="515"/>
      <c r="EG176" s="515"/>
      <c r="EH176" s="515"/>
      <c r="EI176" s="515"/>
      <c r="EJ176" s="515"/>
      <c r="EK176" s="515"/>
      <c r="EL176" s="515"/>
      <c r="EM176" s="515"/>
      <c r="EN176" s="515"/>
      <c r="EO176" s="515"/>
      <c r="EP176" s="52"/>
      <c r="EQ176" s="52"/>
      <c r="ER176" s="52"/>
      <c r="ES176" s="516"/>
      <c r="EU176" s="476"/>
      <c r="EV176" s="476"/>
      <c r="EW176" s="515"/>
      <c r="EX176" s="515"/>
      <c r="EY176" s="515"/>
      <c r="EZ176" s="515"/>
      <c r="FA176" s="515"/>
      <c r="FB176" s="476"/>
      <c r="FC176" s="515"/>
      <c r="FD176" s="515"/>
      <c r="FE176" s="515"/>
      <c r="FF176" s="515"/>
    </row>
    <row r="177" spans="2:162" ht="3" customHeight="1" outlineLevel="2">
      <c r="B177" s="621"/>
      <c r="C177" s="622"/>
      <c r="D177" s="566"/>
      <c r="F177" s="499"/>
      <c r="G177" s="500"/>
      <c r="H177" s="501"/>
      <c r="I177" s="501"/>
      <c r="J177" s="514"/>
      <c r="K177" s="514"/>
      <c r="L177" s="514"/>
      <c r="M177" s="567"/>
      <c r="N177" s="568"/>
      <c r="O177" s="501"/>
      <c r="P177" s="501"/>
      <c r="Q177" s="501"/>
      <c r="R177" s="501"/>
      <c r="S177" s="501"/>
      <c r="U177" s="569"/>
      <c r="V177" s="503"/>
      <c r="W177" s="499"/>
      <c r="X177" s="500">
        <f t="shared" si="700"/>
        <v>0</v>
      </c>
      <c r="Y177" s="501"/>
      <c r="Z177" s="501"/>
      <c r="AA177" s="514">
        <f t="shared" si="778"/>
        <v>0</v>
      </c>
      <c r="AB177" s="514">
        <f t="shared" si="779"/>
        <v>0</v>
      </c>
      <c r="AC177" s="514">
        <f t="shared" si="780"/>
        <v>0</v>
      </c>
      <c r="AD177" s="567">
        <f t="shared" si="781"/>
        <v>0</v>
      </c>
      <c r="AE177" s="568"/>
      <c r="AF177" s="501"/>
      <c r="AG177" s="501"/>
      <c r="AH177" s="501"/>
      <c r="AI177" s="501"/>
      <c r="AJ177" s="501"/>
      <c r="AK177" s="501"/>
      <c r="AL177" s="513"/>
      <c r="AM177" s="513"/>
      <c r="AN177" s="513"/>
      <c r="AO177" s="505"/>
      <c r="AP177" s="551"/>
      <c r="AQ177" s="466"/>
      <c r="AR177" s="466"/>
      <c r="AS177" s="466"/>
      <c r="AT177" s="466"/>
      <c r="AU177" s="466"/>
      <c r="AV177" s="466"/>
      <c r="AW177" s="466"/>
      <c r="AX177" s="466"/>
      <c r="AY177" s="466"/>
      <c r="AZ177" s="466"/>
      <c r="BA177" s="466"/>
      <c r="BB177" s="466"/>
      <c r="BC177" s="466"/>
      <c r="BD177" s="466"/>
      <c r="BE177" s="511"/>
      <c r="BF177" s="508"/>
      <c r="BG177" s="509"/>
      <c r="BH177" s="510">
        <f t="shared" si="717"/>
        <v>0</v>
      </c>
      <c r="BI177" s="501"/>
      <c r="BJ177" s="501"/>
      <c r="BK177" s="514">
        <f t="shared" ref="BK177:BK196" si="903">IFERROR(IF(AND((CA177+CC177)=BZ177,BI177=0),BG177,0),0)</f>
        <v>0</v>
      </c>
      <c r="BL177" s="514">
        <f t="shared" ref="BL177:BL196" si="904">IFERROR(IF(AND((CA177+CC177+CD177)=BZ177,BI177=0,BK177=0),BG177,0),0)</f>
        <v>0</v>
      </c>
      <c r="BM177" s="514">
        <f t="shared" ref="BM177:BM196" si="905">IFERROR(IF(AND((CA177+CC177+CD177+CE177)=BZ177,BI177=0,BK177=0,BL177=0),BG177,0),0)</f>
        <v>0</v>
      </c>
      <c r="BN177" s="514">
        <f t="shared" ref="BN177:BN196" si="906">IFERROR(IF(AND((CA177+CC177+CD177+CE177+CF177)=BZ177,BI177=0,BK177=0,BL177=0,BM177=0),BG177,0),0)</f>
        <v>0</v>
      </c>
      <c r="BO177" s="501"/>
      <c r="BP177" s="514">
        <f>IFERROR(IF(AND((BV177+BX177)=100%,BV177&lt;1),BG177,0),0)</f>
        <v>0</v>
      </c>
      <c r="BQ177" s="501"/>
      <c r="BR177" s="501"/>
      <c r="BS177" s="501"/>
      <c r="BT177" s="501"/>
      <c r="BU177" s="501"/>
      <c r="BV177" s="571">
        <f t="shared" si="787"/>
        <v>0</v>
      </c>
      <c r="BW177" s="571">
        <f t="shared" si="788"/>
        <v>0</v>
      </c>
      <c r="BX177" s="571">
        <f t="shared" si="789"/>
        <v>0</v>
      </c>
      <c r="BY177" s="505"/>
      <c r="BZ177" s="552"/>
      <c r="CA177" s="471"/>
      <c r="CB177" s="548"/>
      <c r="CC177" s="512"/>
      <c r="CD177" s="512"/>
      <c r="CE177" s="512"/>
      <c r="CF177" s="512"/>
      <c r="CG177" s="512"/>
      <c r="CH177" s="548"/>
      <c r="CI177" s="512"/>
      <c r="CJ177" s="512"/>
      <c r="CK177" s="512"/>
      <c r="CL177" s="512"/>
      <c r="CM177" s="508"/>
      <c r="CN177" s="508"/>
      <c r="CO177" s="511"/>
      <c r="CP177" s="508"/>
      <c r="CQ177" s="509"/>
      <c r="CR177" s="510">
        <f t="shared" si="733"/>
        <v>0</v>
      </c>
      <c r="CS177" s="501"/>
      <c r="CT177" s="501"/>
      <c r="CU177" s="501"/>
      <c r="CV177" s="501"/>
      <c r="CW177" s="501"/>
      <c r="CX177" s="501"/>
      <c r="CY177" s="501"/>
      <c r="CZ177" s="501"/>
      <c r="DA177" s="501"/>
      <c r="DB177" s="501"/>
      <c r="DC177" s="501"/>
      <c r="DD177" s="501"/>
      <c r="DE177" s="501"/>
      <c r="DF177" s="513"/>
      <c r="DG177" s="513"/>
      <c r="DH177" s="513"/>
      <c r="DI177" s="505"/>
      <c r="DJ177" s="551"/>
      <c r="DK177" s="466"/>
      <c r="DL177" s="466"/>
      <c r="DM177" s="501"/>
      <c r="DN177" s="501"/>
      <c r="DO177" s="501"/>
      <c r="DP177" s="501"/>
      <c r="DQ177" s="501"/>
      <c r="DR177" s="466"/>
      <c r="DS177" s="501"/>
      <c r="DT177" s="501"/>
      <c r="DU177" s="501"/>
      <c r="DV177" s="501"/>
      <c r="DW177" s="508"/>
      <c r="DX177" s="508"/>
      <c r="DY177" s="511"/>
      <c r="DZ177" s="508"/>
      <c r="EA177" s="509"/>
      <c r="EB177" s="510">
        <f t="shared" si="748"/>
        <v>0</v>
      </c>
      <c r="EC177" s="515"/>
      <c r="ED177" s="515"/>
      <c r="EE177" s="515"/>
      <c r="EF177" s="515"/>
      <c r="EG177" s="515"/>
      <c r="EH177" s="515"/>
      <c r="EI177" s="515"/>
      <c r="EJ177" s="515"/>
      <c r="EK177" s="515"/>
      <c r="EL177" s="515"/>
      <c r="EM177" s="515"/>
      <c r="EN177" s="515"/>
      <c r="EO177" s="515"/>
      <c r="EP177" s="52"/>
      <c r="EQ177" s="52"/>
      <c r="ER177" s="52"/>
      <c r="ES177" s="516"/>
      <c r="EU177" s="476"/>
      <c r="EV177" s="476"/>
      <c r="EW177" s="515"/>
      <c r="EX177" s="515"/>
      <c r="EY177" s="515"/>
      <c r="EZ177" s="515"/>
      <c r="FA177" s="515"/>
      <c r="FB177" s="476"/>
      <c r="FC177" s="515"/>
      <c r="FD177" s="515"/>
      <c r="FE177" s="515"/>
      <c r="FF177" s="515"/>
    </row>
    <row r="178" spans="2:162" ht="14.25" outlineLevel="2">
      <c r="B178" s="621">
        <v>2.8</v>
      </c>
      <c r="C178" s="622">
        <v>2.8</v>
      </c>
      <c r="D178" s="623" t="s">
        <v>168</v>
      </c>
      <c r="F178" s="434"/>
      <c r="G178" s="435"/>
      <c r="H178" s="501"/>
      <c r="I178" s="501"/>
      <c r="J178" s="514"/>
      <c r="K178" s="514"/>
      <c r="L178" s="514"/>
      <c r="M178" s="567"/>
      <c r="N178" s="568"/>
      <c r="O178" s="501"/>
      <c r="P178" s="501"/>
      <c r="Q178" s="501"/>
      <c r="R178" s="501"/>
      <c r="S178" s="501"/>
      <c r="U178" s="596">
        <v>0</v>
      </c>
      <c r="V178" s="597"/>
      <c r="W178" s="434">
        <v>0</v>
      </c>
      <c r="X178" s="435">
        <f t="shared" si="700"/>
        <v>0</v>
      </c>
      <c r="Y178" s="501"/>
      <c r="Z178" s="501"/>
      <c r="AA178" s="514">
        <f t="shared" si="778"/>
        <v>0</v>
      </c>
      <c r="AB178" s="514">
        <f t="shared" si="779"/>
        <v>0</v>
      </c>
      <c r="AC178" s="514">
        <f t="shared" si="780"/>
        <v>0</v>
      </c>
      <c r="AD178" s="567">
        <f t="shared" si="781"/>
        <v>0</v>
      </c>
      <c r="AE178" s="568"/>
      <c r="AF178" s="501"/>
      <c r="AG178" s="501"/>
      <c r="AH178" s="501"/>
      <c r="AI178" s="501"/>
      <c r="AJ178" s="501"/>
      <c r="AK178" s="501"/>
      <c r="AL178" s="513"/>
      <c r="AM178" s="513"/>
      <c r="AN178" s="513"/>
      <c r="AO178" s="505"/>
      <c r="AP178" s="551"/>
      <c r="AQ178" s="466"/>
      <c r="AR178" s="466"/>
      <c r="AS178" s="466"/>
      <c r="AT178" s="466"/>
      <c r="AU178" s="466"/>
      <c r="AV178" s="466"/>
      <c r="AW178" s="466"/>
      <c r="AX178" s="466"/>
      <c r="AY178" s="466"/>
      <c r="AZ178" s="466"/>
      <c r="BA178" s="466"/>
      <c r="BB178" s="466"/>
      <c r="BC178" s="466"/>
      <c r="BD178" s="466"/>
      <c r="BE178" s="685">
        <f>SUM(BE179:BE180)</f>
        <v>0.5</v>
      </c>
      <c r="BF178" s="597"/>
      <c r="BG178" s="556">
        <f>$BG$144*(95%/12)</f>
        <v>0.10764153125000001</v>
      </c>
      <c r="BH178" s="450">
        <f t="shared" si="717"/>
        <v>0.10764153125000001</v>
      </c>
      <c r="BI178" s="556">
        <f>SUM(BI179:BI180)</f>
        <v>0.10764153125000001</v>
      </c>
      <c r="BJ178" s="556">
        <f>SUM(BJ179:BJ180)</f>
        <v>0</v>
      </c>
      <c r="BK178" s="630">
        <f t="shared" si="903"/>
        <v>0</v>
      </c>
      <c r="BL178" s="514">
        <f t="shared" si="904"/>
        <v>0</v>
      </c>
      <c r="BM178" s="514">
        <f t="shared" si="905"/>
        <v>0</v>
      </c>
      <c r="BN178" s="514">
        <f t="shared" si="906"/>
        <v>0</v>
      </c>
      <c r="BO178" s="501"/>
      <c r="BP178" s="630">
        <f>SUM(BP179:BP180)</f>
        <v>0</v>
      </c>
      <c r="BQ178" s="630">
        <f t="shared" ref="BQ178" si="907">SUM(BQ179:BQ180)</f>
        <v>0</v>
      </c>
      <c r="BR178" s="630">
        <f t="shared" ref="BR178" si="908">SUM(BR179:BR180)</f>
        <v>0</v>
      </c>
      <c r="BS178" s="630">
        <f t="shared" ref="BS178" si="909">SUM(BS179:BS180)</f>
        <v>0</v>
      </c>
      <c r="BT178" s="630">
        <f t="shared" ref="BT178" si="910">SUM(BT179:BT180)</f>
        <v>0</v>
      </c>
      <c r="BU178" s="547"/>
      <c r="BV178" s="571">
        <f t="shared" si="787"/>
        <v>0</v>
      </c>
      <c r="BW178" s="571">
        <f t="shared" si="788"/>
        <v>0</v>
      </c>
      <c r="BX178" s="571">
        <f t="shared" si="789"/>
        <v>0</v>
      </c>
      <c r="BY178" s="505"/>
      <c r="BZ178" s="552"/>
      <c r="CA178" s="471"/>
      <c r="CB178" s="548"/>
      <c r="CC178" s="512"/>
      <c r="CD178" s="512"/>
      <c r="CE178" s="512"/>
      <c r="CF178" s="512"/>
      <c r="CG178" s="512"/>
      <c r="CH178" s="548"/>
      <c r="CI178" s="512"/>
      <c r="CJ178" s="512"/>
      <c r="CK178" s="512"/>
      <c r="CL178" s="512"/>
      <c r="CM178" s="597"/>
      <c r="CN178" s="597"/>
      <c r="CO178" s="596">
        <v>0</v>
      </c>
      <c r="CP178" s="597"/>
      <c r="CQ178" s="509"/>
      <c r="CR178" s="450">
        <f t="shared" si="733"/>
        <v>0</v>
      </c>
      <c r="CS178" s="501"/>
      <c r="CT178" s="501"/>
      <c r="CU178" s="501"/>
      <c r="CV178" s="501"/>
      <c r="CW178" s="501"/>
      <c r="CX178" s="501"/>
      <c r="CY178" s="501"/>
      <c r="CZ178" s="501"/>
      <c r="DA178" s="501"/>
      <c r="DB178" s="501"/>
      <c r="DC178" s="501"/>
      <c r="DD178" s="501"/>
      <c r="DE178" s="501"/>
      <c r="DF178" s="513"/>
      <c r="DG178" s="513"/>
      <c r="DH178" s="513"/>
      <c r="DI178" s="505"/>
      <c r="DJ178" s="551"/>
      <c r="DK178" s="466"/>
      <c r="DL178" s="466"/>
      <c r="DM178" s="501"/>
      <c r="DN178" s="501"/>
      <c r="DO178" s="501"/>
      <c r="DP178" s="501"/>
      <c r="DQ178" s="501"/>
      <c r="DR178" s="466"/>
      <c r="DS178" s="501"/>
      <c r="DT178" s="501"/>
      <c r="DU178" s="501"/>
      <c r="DV178" s="501"/>
      <c r="DW178" s="597"/>
      <c r="DX178" s="597"/>
      <c r="DY178" s="596">
        <v>0</v>
      </c>
      <c r="DZ178" s="597"/>
      <c r="EA178" s="509"/>
      <c r="EB178" s="450">
        <f t="shared" si="748"/>
        <v>0</v>
      </c>
      <c r="EC178" s="515"/>
      <c r="ED178" s="515"/>
      <c r="EE178" s="515"/>
      <c r="EF178" s="515"/>
      <c r="EG178" s="515"/>
      <c r="EH178" s="515"/>
      <c r="EI178" s="515"/>
      <c r="EJ178" s="515"/>
      <c r="EK178" s="515"/>
      <c r="EL178" s="515"/>
      <c r="EM178" s="515"/>
      <c r="EN178" s="515"/>
      <c r="EO178" s="515"/>
      <c r="EP178" s="52"/>
      <c r="EQ178" s="52"/>
      <c r="ER178" s="52"/>
      <c r="ES178" s="516"/>
      <c r="EU178" s="476"/>
      <c r="EV178" s="476"/>
      <c r="EW178" s="515"/>
      <c r="EX178" s="515"/>
      <c r="EY178" s="515"/>
      <c r="EZ178" s="515"/>
      <c r="FA178" s="515"/>
      <c r="FB178" s="476"/>
      <c r="FC178" s="515"/>
      <c r="FD178" s="515"/>
      <c r="FE178" s="515"/>
      <c r="FF178" s="515"/>
    </row>
    <row r="179" spans="2:162" ht="14.25" outlineLevel="3">
      <c r="B179" s="564" t="s">
        <v>158</v>
      </c>
      <c r="C179" s="565">
        <v>1</v>
      </c>
      <c r="D179" s="566" t="s">
        <v>152</v>
      </c>
      <c r="F179" s="500">
        <f t="shared" ref="F179:F180" si="911">W179+BG179+CQ179+EA179</f>
        <v>5.3820765625000003E-2</v>
      </c>
      <c r="G179" s="500">
        <f t="shared" ref="G179:G180" si="912">X179+BH179+CR179+EB179</f>
        <v>5.3820765625000003E-2</v>
      </c>
      <c r="H179" s="514">
        <f t="shared" ref="H179:H180" si="913">F179-G179</f>
        <v>0</v>
      </c>
      <c r="I179" s="514">
        <f t="shared" ref="I179:I180" si="914">Z179+BJ179+CT179+ED179</f>
        <v>0</v>
      </c>
      <c r="J179" s="514">
        <f t="shared" ref="J179:J180" si="915">AA179+BK179+CU179+EE179</f>
        <v>0</v>
      </c>
      <c r="K179" s="514">
        <f t="shared" ref="K179:K180" si="916">AB179+BL179+CV179+EF179</f>
        <v>0</v>
      </c>
      <c r="L179" s="514">
        <f t="shared" ref="L179:L180" si="917">AC179+BM179+CW179+EG179</f>
        <v>0</v>
      </c>
      <c r="M179" s="567">
        <f t="shared" ref="M179:M180" si="918">AD179+BN179+CX179+EH179</f>
        <v>0</v>
      </c>
      <c r="N179" s="568"/>
      <c r="O179" s="514">
        <f t="shared" ref="O179:O180" si="919">AF179+BP179+CZ179+EJ179</f>
        <v>0</v>
      </c>
      <c r="P179" s="514">
        <f t="shared" ref="P179:P180" si="920">AG179+BQ179+DA179+EK179</f>
        <v>0</v>
      </c>
      <c r="Q179" s="514">
        <f t="shared" ref="Q179:Q180" si="921">AH179+BR179+DB179+EL179</f>
        <v>0</v>
      </c>
      <c r="R179" s="514">
        <f t="shared" ref="R179:R180" si="922">AI179+BS179+DC179+EM179</f>
        <v>0</v>
      </c>
      <c r="S179" s="514">
        <f t="shared" ref="S179:S180" si="923">AJ179+BT179+DD179+EN179</f>
        <v>0</v>
      </c>
      <c r="U179" s="569">
        <v>0</v>
      </c>
      <c r="V179" s="503"/>
      <c r="W179" s="499"/>
      <c r="X179" s="500">
        <f t="shared" si="700"/>
        <v>0</v>
      </c>
      <c r="Y179" s="501"/>
      <c r="Z179" s="501"/>
      <c r="AA179" s="514">
        <f t="shared" si="778"/>
        <v>0</v>
      </c>
      <c r="AB179" s="514">
        <f t="shared" si="779"/>
        <v>0</v>
      </c>
      <c r="AC179" s="514">
        <f t="shared" si="780"/>
        <v>0</v>
      </c>
      <c r="AD179" s="567">
        <f t="shared" si="781"/>
        <v>0</v>
      </c>
      <c r="AE179" s="568"/>
      <c r="AF179" s="501"/>
      <c r="AG179" s="501"/>
      <c r="AH179" s="501"/>
      <c r="AI179" s="501"/>
      <c r="AJ179" s="501"/>
      <c r="AK179" s="501"/>
      <c r="AL179" s="513"/>
      <c r="AM179" s="513"/>
      <c r="AN179" s="513"/>
      <c r="AO179" s="505"/>
      <c r="AP179" s="551"/>
      <c r="AQ179" s="466"/>
      <c r="AR179" s="466"/>
      <c r="AS179" s="466"/>
      <c r="AT179" s="466"/>
      <c r="AU179" s="466"/>
      <c r="AV179" s="466"/>
      <c r="AW179" s="466"/>
      <c r="AX179" s="466"/>
      <c r="AY179" s="466"/>
      <c r="AZ179" s="466"/>
      <c r="BA179" s="466"/>
      <c r="BB179" s="466"/>
      <c r="BC179" s="466"/>
      <c r="BD179" s="466"/>
      <c r="BE179" s="511">
        <v>0.25</v>
      </c>
      <c r="BF179" s="508"/>
      <c r="BG179" s="506">
        <f>$BG$178/$BE$178*BE179</f>
        <v>5.3820765625000003E-2</v>
      </c>
      <c r="BH179" s="510">
        <f t="shared" si="717"/>
        <v>5.3820765625000003E-2</v>
      </c>
      <c r="BI179" s="514">
        <f>IFERROR(IF(BV179=100%,BG179,0),0)</f>
        <v>5.3820765625000003E-2</v>
      </c>
      <c r="BJ179" s="514">
        <f>IFERROR(IF(AND((BV179+BW179)=100%,BV179&lt;1),BG179,0),0)</f>
        <v>0</v>
      </c>
      <c r="BK179" s="514">
        <f t="shared" si="903"/>
        <v>0</v>
      </c>
      <c r="BL179" s="514">
        <f t="shared" si="904"/>
        <v>0</v>
      </c>
      <c r="BM179" s="514">
        <f t="shared" si="905"/>
        <v>0</v>
      </c>
      <c r="BN179" s="514">
        <f t="shared" si="906"/>
        <v>0</v>
      </c>
      <c r="BO179" s="501"/>
      <c r="BP179" s="514">
        <f>IFERROR(IF(AND((BV179+BX179)=100%,BV179&lt;1),BG179,0),0)</f>
        <v>0</v>
      </c>
      <c r="BQ179" s="514">
        <f>IFERROR(IF(AND((CA179+CI179)=BZ179,BI179=0),BG179,0),0)</f>
        <v>0</v>
      </c>
      <c r="BR179" s="514">
        <f>IFERROR(IF(AND((CA179+CI179+CJ179)=BZ179,BI179=0,BQ179=0),BG179,0),0)</f>
        <v>0</v>
      </c>
      <c r="BS179" s="514">
        <f>IFERROR(IF(AND((CA179+CI179+CJ179+CK179)=BZ179,BI179=0,BQ179=0,BR179=0),BG179,0),0)</f>
        <v>0</v>
      </c>
      <c r="BT179" s="514">
        <f>IFERROR(IF(AND((CA179+CI179+CJ179+CK179+CL179)=BZ179,BI179=0,BQ179=0,BR179=0,BS179=0),BG179,0),0)</f>
        <v>0</v>
      </c>
      <c r="BU179" s="501"/>
      <c r="BV179" s="571">
        <f t="shared" si="787"/>
        <v>1</v>
      </c>
      <c r="BW179" s="571">
        <f t="shared" si="788"/>
        <v>0</v>
      </c>
      <c r="BX179" s="571">
        <f t="shared" si="789"/>
        <v>0</v>
      </c>
      <c r="BY179" s="505"/>
      <c r="BZ179" s="514">
        <f>COUNTIF('ST | Drawing List'!$G:$G,"ST-SS8-1")</f>
        <v>3</v>
      </c>
      <c r="CA179" s="506">
        <f>COUNTIFS('ST | Drawing List'!$G:$G,"ST-SS8-1",'ST | Drawing List'!$I:$I,1)</f>
        <v>3</v>
      </c>
      <c r="CB179" s="572">
        <f>COUNTIFS('ST | Drawing List'!$G:$G,"ST-SS8-1",'ST | Drawing List'!$K:$K,1)</f>
        <v>0</v>
      </c>
      <c r="CC179" s="506">
        <f>COUNTIFS('ST | Drawing List'!$G:$G,"ST-SS8-1",'ST | Drawing List'!L:L,1)</f>
        <v>0</v>
      </c>
      <c r="CD179" s="506">
        <f>COUNTIFS('ST | Drawing List'!$G:$G,"ST-SS8-1",'ST | Drawing List'!M:M,1)</f>
        <v>0</v>
      </c>
      <c r="CE179" s="506">
        <f>COUNTIFS('ST | Drawing List'!$G:$G,"ST-SS8-1",'ST | Drawing List'!N:N,1)</f>
        <v>0</v>
      </c>
      <c r="CF179" s="506">
        <f>COUNTIFS('ST | Drawing List'!$G:$G,"ST-SS8-1",'ST | Drawing List'!O:O,1)</f>
        <v>0</v>
      </c>
      <c r="CG179" s="471"/>
      <c r="CH179" s="572">
        <f>COUNTIFS('ST | Drawing List'!$G:$G,"ST-SS8-1",'ST | Drawing List'!$P:$P,1)</f>
        <v>0</v>
      </c>
      <c r="CI179" s="506">
        <f>COUNTIFS('ST | Drawing List'!$G:$G,"ST-SS8-1",'ST | Drawing List'!Q:Q,1)</f>
        <v>0</v>
      </c>
      <c r="CJ179" s="506">
        <f>COUNTIFS('ST | Drawing List'!$G:$G,"ST-SS8-1",'ST | Drawing List'!R:R,1)</f>
        <v>0</v>
      </c>
      <c r="CK179" s="506">
        <f>COUNTIFS('ST | Drawing List'!$G:$G,"ST-SS8-1",'ST | Drawing List'!S:S,1)</f>
        <v>0</v>
      </c>
      <c r="CL179" s="506">
        <f>COUNTIFS('ST | Drawing List'!$G:$G,"ST-SS8-1",'ST | Drawing List'!T:T,1)</f>
        <v>0</v>
      </c>
      <c r="CM179" s="508"/>
      <c r="CN179" s="508"/>
      <c r="CO179" s="511">
        <v>0</v>
      </c>
      <c r="CP179" s="508"/>
      <c r="CQ179" s="509"/>
      <c r="CR179" s="510">
        <f t="shared" si="733"/>
        <v>0</v>
      </c>
      <c r="CS179" s="501"/>
      <c r="CT179" s="501"/>
      <c r="CU179" s="501"/>
      <c r="CV179" s="501"/>
      <c r="CW179" s="501"/>
      <c r="CX179" s="501"/>
      <c r="CY179" s="501"/>
      <c r="CZ179" s="501"/>
      <c r="DA179" s="501"/>
      <c r="DB179" s="501"/>
      <c r="DC179" s="501"/>
      <c r="DD179" s="501"/>
      <c r="DE179" s="501"/>
      <c r="DF179" s="513"/>
      <c r="DG179" s="513"/>
      <c r="DH179" s="513"/>
      <c r="DI179" s="505"/>
      <c r="DJ179" s="551"/>
      <c r="DK179" s="466"/>
      <c r="DL179" s="466"/>
      <c r="DM179" s="501"/>
      <c r="DN179" s="501"/>
      <c r="DO179" s="501"/>
      <c r="DP179" s="501"/>
      <c r="DQ179" s="501"/>
      <c r="DR179" s="466"/>
      <c r="DS179" s="501"/>
      <c r="DT179" s="501"/>
      <c r="DU179" s="501"/>
      <c r="DV179" s="501"/>
      <c r="DW179" s="508"/>
      <c r="DX179" s="508"/>
      <c r="DY179" s="511">
        <v>0</v>
      </c>
      <c r="DZ179" s="508"/>
      <c r="EA179" s="509"/>
      <c r="EB179" s="510">
        <f t="shared" si="748"/>
        <v>0</v>
      </c>
      <c r="EC179" s="515"/>
      <c r="ED179" s="515"/>
      <c r="EE179" s="515"/>
      <c r="EF179" s="515"/>
      <c r="EG179" s="515"/>
      <c r="EH179" s="515"/>
      <c r="EI179" s="515"/>
      <c r="EJ179" s="515"/>
      <c r="EK179" s="515"/>
      <c r="EL179" s="515"/>
      <c r="EM179" s="515"/>
      <c r="EN179" s="515"/>
      <c r="EO179" s="515"/>
      <c r="EP179" s="52"/>
      <c r="EQ179" s="52"/>
      <c r="ER179" s="52"/>
      <c r="ES179" s="516"/>
      <c r="EU179" s="476"/>
      <c r="EV179" s="476"/>
      <c r="EW179" s="515"/>
      <c r="EX179" s="515"/>
      <c r="EY179" s="515"/>
      <c r="EZ179" s="515"/>
      <c r="FA179" s="515"/>
      <c r="FB179" s="476"/>
      <c r="FC179" s="515"/>
      <c r="FD179" s="515"/>
      <c r="FE179" s="515"/>
      <c r="FF179" s="515"/>
    </row>
    <row r="180" spans="2:162" ht="14.25" outlineLevel="3">
      <c r="B180" s="564" t="s">
        <v>159</v>
      </c>
      <c r="C180" s="565">
        <v>2</v>
      </c>
      <c r="D180" s="566" t="s">
        <v>154</v>
      </c>
      <c r="F180" s="500">
        <f t="shared" si="911"/>
        <v>5.3820765625000003E-2</v>
      </c>
      <c r="G180" s="500">
        <f t="shared" si="912"/>
        <v>5.3820765625000003E-2</v>
      </c>
      <c r="H180" s="514">
        <f t="shared" si="913"/>
        <v>0</v>
      </c>
      <c r="I180" s="514">
        <f t="shared" si="914"/>
        <v>0</v>
      </c>
      <c r="J180" s="514">
        <f t="shared" si="915"/>
        <v>0</v>
      </c>
      <c r="K180" s="514">
        <f t="shared" si="916"/>
        <v>0</v>
      </c>
      <c r="L180" s="514">
        <f t="shared" si="917"/>
        <v>0</v>
      </c>
      <c r="M180" s="567">
        <f t="shared" si="918"/>
        <v>0</v>
      </c>
      <c r="N180" s="568"/>
      <c r="O180" s="514">
        <f t="shared" si="919"/>
        <v>0</v>
      </c>
      <c r="P180" s="514">
        <f t="shared" si="920"/>
        <v>0</v>
      </c>
      <c r="Q180" s="514">
        <f t="shared" si="921"/>
        <v>0</v>
      </c>
      <c r="R180" s="514">
        <f t="shared" si="922"/>
        <v>0</v>
      </c>
      <c r="S180" s="514">
        <f t="shared" si="923"/>
        <v>0</v>
      </c>
      <c r="U180" s="569">
        <v>0</v>
      </c>
      <c r="V180" s="503"/>
      <c r="W180" s="499"/>
      <c r="X180" s="500">
        <f t="shared" si="700"/>
        <v>0</v>
      </c>
      <c r="Y180" s="501"/>
      <c r="Z180" s="501"/>
      <c r="AA180" s="514">
        <f t="shared" si="778"/>
        <v>0</v>
      </c>
      <c r="AB180" s="514">
        <f t="shared" si="779"/>
        <v>0</v>
      </c>
      <c r="AC180" s="514">
        <f t="shared" si="780"/>
        <v>0</v>
      </c>
      <c r="AD180" s="567">
        <f t="shared" si="781"/>
        <v>0</v>
      </c>
      <c r="AE180" s="568"/>
      <c r="AF180" s="501"/>
      <c r="AG180" s="501"/>
      <c r="AH180" s="501"/>
      <c r="AI180" s="501"/>
      <c r="AJ180" s="501"/>
      <c r="AK180" s="501"/>
      <c r="AL180" s="513"/>
      <c r="AM180" s="513"/>
      <c r="AN180" s="513"/>
      <c r="AO180" s="505"/>
      <c r="AP180" s="551"/>
      <c r="AQ180" s="466"/>
      <c r="AR180" s="466"/>
      <c r="AS180" s="466"/>
      <c r="AT180" s="466"/>
      <c r="AU180" s="466"/>
      <c r="AV180" s="466"/>
      <c r="AW180" s="466"/>
      <c r="AX180" s="466"/>
      <c r="AY180" s="466"/>
      <c r="AZ180" s="466"/>
      <c r="BA180" s="466"/>
      <c r="BB180" s="466"/>
      <c r="BC180" s="466"/>
      <c r="BD180" s="466"/>
      <c r="BE180" s="511">
        <v>0.25</v>
      </c>
      <c r="BF180" s="508"/>
      <c r="BG180" s="506">
        <f>$BG$178/$BE$178*BE180</f>
        <v>5.3820765625000003E-2</v>
      </c>
      <c r="BH180" s="510">
        <f t="shared" si="717"/>
        <v>5.3820765625000003E-2</v>
      </c>
      <c r="BI180" s="514">
        <f>IFERROR(IF(BV180=100%,BG180,0),0)</f>
        <v>5.3820765625000003E-2</v>
      </c>
      <c r="BJ180" s="514">
        <f>IFERROR(IF(AND((BV180+BW180)=100%,BV180&lt;1),BG180,0),0)</f>
        <v>0</v>
      </c>
      <c r="BK180" s="514">
        <f t="shared" si="903"/>
        <v>0</v>
      </c>
      <c r="BL180" s="514">
        <f t="shared" si="904"/>
        <v>0</v>
      </c>
      <c r="BM180" s="514">
        <f t="shared" si="905"/>
        <v>0</v>
      </c>
      <c r="BN180" s="514">
        <f t="shared" si="906"/>
        <v>0</v>
      </c>
      <c r="BO180" s="501"/>
      <c r="BP180" s="514">
        <f>IFERROR(IF(AND((BV180+BX180)=100%,BV180&lt;1),BG180,0),0)</f>
        <v>0</v>
      </c>
      <c r="BQ180" s="514">
        <f>IFERROR(IF(AND((CA180+CI180)=BZ180,BI180=0),BG180,0),0)</f>
        <v>0</v>
      </c>
      <c r="BR180" s="514">
        <f>IFERROR(IF(AND((CA180+CI180+CJ180)=BZ180,BI180=0,BQ180=0),BG180,0),0)</f>
        <v>0</v>
      </c>
      <c r="BS180" s="514">
        <f>IFERROR(IF(AND((CA180+CI180+CJ180+CK180)=BZ180,BI180=0,BQ180=0,BR180=0),BG180,0),0)</f>
        <v>0</v>
      </c>
      <c r="BT180" s="514">
        <f>IFERROR(IF(AND((CA180+CI180+CJ180+CK180+CL180)=BZ180,BI180=0,BQ180=0,BR180=0,BS180=0),BG180,0),0)</f>
        <v>0</v>
      </c>
      <c r="BU180" s="501"/>
      <c r="BV180" s="571">
        <f t="shared" si="787"/>
        <v>1</v>
      </c>
      <c r="BW180" s="571">
        <f t="shared" si="788"/>
        <v>0</v>
      </c>
      <c r="BX180" s="571">
        <f t="shared" si="789"/>
        <v>0</v>
      </c>
      <c r="BY180" s="505"/>
      <c r="BZ180" s="514">
        <f>COUNTIF('ST | Drawing List'!$G:$G,"ST-SS8-2")</f>
        <v>3</v>
      </c>
      <c r="CA180" s="506">
        <f>COUNTIFS('ST | Drawing List'!$G:$G,"ST-SS8-2",'ST | Drawing List'!$I:$I,1)</f>
        <v>3</v>
      </c>
      <c r="CB180" s="572">
        <f>COUNTIFS('ST | Drawing List'!$G:$G,"ST-SS8-2",'ST | Drawing List'!$K:$K,1)</f>
        <v>0</v>
      </c>
      <c r="CC180" s="506">
        <f>COUNTIFS('ST | Drawing List'!$G:$G,"ST-SS8-2",'ST | Drawing List'!L:L,1)</f>
        <v>0</v>
      </c>
      <c r="CD180" s="506">
        <f>COUNTIFS('ST | Drawing List'!$G:$G,"ST-SS8-2",'ST | Drawing List'!M:M,1)</f>
        <v>0</v>
      </c>
      <c r="CE180" s="506">
        <f>COUNTIFS('ST | Drawing List'!$G:$G,"ST-SS8-2",'ST | Drawing List'!N:N,1)</f>
        <v>0</v>
      </c>
      <c r="CF180" s="506">
        <f>COUNTIFS('ST | Drawing List'!$G:$G,"ST-SS8-2",'ST | Drawing List'!O:O,1)</f>
        <v>0</v>
      </c>
      <c r="CG180" s="471"/>
      <c r="CH180" s="572">
        <f>COUNTIFS('ST | Drawing List'!$G:$G,"ST-SS8-2",'ST | Drawing List'!$P:$P,1)</f>
        <v>0</v>
      </c>
      <c r="CI180" s="506">
        <f>COUNTIFS('ST | Drawing List'!$G:$G,"ST-SS8-2",'ST | Drawing List'!Q:Q,1)</f>
        <v>0</v>
      </c>
      <c r="CJ180" s="506">
        <f>COUNTIFS('ST | Drawing List'!$G:$G,"ST-SS8-2",'ST | Drawing List'!R:R,1)</f>
        <v>0</v>
      </c>
      <c r="CK180" s="506">
        <f>COUNTIFS('ST | Drawing List'!$G:$G,"ST-SS8-2",'ST | Drawing List'!S:S,1)</f>
        <v>0</v>
      </c>
      <c r="CL180" s="506">
        <f>COUNTIFS('ST | Drawing List'!$G:$G,"ST-SS8-2",'ST | Drawing List'!T:T,1)</f>
        <v>0</v>
      </c>
      <c r="CM180" s="508"/>
      <c r="CN180" s="508"/>
      <c r="CO180" s="511">
        <v>0</v>
      </c>
      <c r="CP180" s="508"/>
      <c r="CQ180" s="509"/>
      <c r="CR180" s="510">
        <f t="shared" si="733"/>
        <v>0</v>
      </c>
      <c r="CS180" s="501"/>
      <c r="CT180" s="501"/>
      <c r="CU180" s="501"/>
      <c r="CV180" s="501"/>
      <c r="CW180" s="501"/>
      <c r="CX180" s="501"/>
      <c r="CY180" s="501"/>
      <c r="CZ180" s="501"/>
      <c r="DA180" s="501"/>
      <c r="DB180" s="501"/>
      <c r="DC180" s="501"/>
      <c r="DD180" s="501"/>
      <c r="DE180" s="501"/>
      <c r="DF180" s="513"/>
      <c r="DG180" s="513"/>
      <c r="DH180" s="513"/>
      <c r="DI180" s="505"/>
      <c r="DJ180" s="551"/>
      <c r="DK180" s="466"/>
      <c r="DL180" s="466"/>
      <c r="DM180" s="501"/>
      <c r="DN180" s="501"/>
      <c r="DO180" s="501"/>
      <c r="DP180" s="501"/>
      <c r="DQ180" s="501"/>
      <c r="DR180" s="466"/>
      <c r="DS180" s="501"/>
      <c r="DT180" s="501"/>
      <c r="DU180" s="501"/>
      <c r="DV180" s="501"/>
      <c r="DW180" s="508"/>
      <c r="DX180" s="508"/>
      <c r="DY180" s="511">
        <v>0</v>
      </c>
      <c r="DZ180" s="508"/>
      <c r="EA180" s="509"/>
      <c r="EB180" s="510">
        <f t="shared" si="748"/>
        <v>0</v>
      </c>
      <c r="EC180" s="515"/>
      <c r="ED180" s="515"/>
      <c r="EE180" s="515"/>
      <c r="EF180" s="515"/>
      <c r="EG180" s="515"/>
      <c r="EH180" s="515"/>
      <c r="EI180" s="515"/>
      <c r="EJ180" s="515"/>
      <c r="EK180" s="515"/>
      <c r="EL180" s="515"/>
      <c r="EM180" s="515"/>
      <c r="EN180" s="515"/>
      <c r="EO180" s="515"/>
      <c r="EP180" s="52"/>
      <c r="EQ180" s="52"/>
      <c r="ER180" s="52"/>
      <c r="ES180" s="516"/>
      <c r="EU180" s="476"/>
      <c r="EV180" s="476"/>
      <c r="EW180" s="515"/>
      <c r="EX180" s="515"/>
      <c r="EY180" s="515"/>
      <c r="EZ180" s="515"/>
      <c r="FA180" s="515"/>
      <c r="FB180" s="476"/>
      <c r="FC180" s="515"/>
      <c r="FD180" s="515"/>
      <c r="FE180" s="515"/>
      <c r="FF180" s="515"/>
    </row>
    <row r="181" spans="2:162" ht="3" customHeight="1" outlineLevel="2">
      <c r="B181" s="621"/>
      <c r="C181" s="622"/>
      <c r="D181" s="566"/>
      <c r="F181" s="499"/>
      <c r="G181" s="500"/>
      <c r="H181" s="501"/>
      <c r="I181" s="501"/>
      <c r="J181" s="514"/>
      <c r="K181" s="514"/>
      <c r="L181" s="514"/>
      <c r="M181" s="567"/>
      <c r="N181" s="568"/>
      <c r="O181" s="501"/>
      <c r="P181" s="501"/>
      <c r="Q181" s="501"/>
      <c r="R181" s="501"/>
      <c r="S181" s="501"/>
      <c r="U181" s="569"/>
      <c r="V181" s="503"/>
      <c r="W181" s="499"/>
      <c r="X181" s="500">
        <f t="shared" si="700"/>
        <v>0</v>
      </c>
      <c r="Y181" s="501"/>
      <c r="Z181" s="501"/>
      <c r="AA181" s="514">
        <f t="shared" si="778"/>
        <v>0</v>
      </c>
      <c r="AB181" s="514">
        <f t="shared" si="779"/>
        <v>0</v>
      </c>
      <c r="AC181" s="514">
        <f t="shared" si="780"/>
        <v>0</v>
      </c>
      <c r="AD181" s="567">
        <f t="shared" si="781"/>
        <v>0</v>
      </c>
      <c r="AE181" s="568"/>
      <c r="AF181" s="501"/>
      <c r="AG181" s="501"/>
      <c r="AH181" s="501"/>
      <c r="AI181" s="501"/>
      <c r="AJ181" s="501"/>
      <c r="AK181" s="501"/>
      <c r="AL181" s="513"/>
      <c r="AM181" s="513"/>
      <c r="AN181" s="513"/>
      <c r="AO181" s="505"/>
      <c r="AP181" s="551"/>
      <c r="AQ181" s="466"/>
      <c r="AR181" s="466"/>
      <c r="AS181" s="466"/>
      <c r="AT181" s="466"/>
      <c r="AU181" s="466"/>
      <c r="AV181" s="466"/>
      <c r="AW181" s="466"/>
      <c r="AX181" s="466"/>
      <c r="AY181" s="466"/>
      <c r="AZ181" s="466"/>
      <c r="BA181" s="466"/>
      <c r="BB181" s="466"/>
      <c r="BC181" s="466"/>
      <c r="BD181" s="466"/>
      <c r="BE181" s="511"/>
      <c r="BF181" s="508"/>
      <c r="BG181" s="509"/>
      <c r="BH181" s="510">
        <f t="shared" si="717"/>
        <v>0</v>
      </c>
      <c r="BI181" s="501"/>
      <c r="BJ181" s="501"/>
      <c r="BK181" s="514">
        <f t="shared" si="903"/>
        <v>0</v>
      </c>
      <c r="BL181" s="514">
        <f t="shared" si="904"/>
        <v>0</v>
      </c>
      <c r="BM181" s="514">
        <f t="shared" si="905"/>
        <v>0</v>
      </c>
      <c r="BN181" s="514">
        <f t="shared" si="906"/>
        <v>0</v>
      </c>
      <c r="BO181" s="501"/>
      <c r="BP181" s="514">
        <f>IFERROR(IF(AND((BV181+BX181)=100%,BV181&lt;1),BG181,0),0)</f>
        <v>0</v>
      </c>
      <c r="BQ181" s="501"/>
      <c r="BR181" s="501"/>
      <c r="BS181" s="501"/>
      <c r="BT181" s="501"/>
      <c r="BU181" s="501"/>
      <c r="BV181" s="571">
        <f t="shared" si="787"/>
        <v>0</v>
      </c>
      <c r="BW181" s="571">
        <f t="shared" si="788"/>
        <v>0</v>
      </c>
      <c r="BX181" s="571">
        <f t="shared" si="789"/>
        <v>0</v>
      </c>
      <c r="BY181" s="505"/>
      <c r="BZ181" s="552"/>
      <c r="CA181" s="471"/>
      <c r="CB181" s="548"/>
      <c r="CC181" s="512"/>
      <c r="CD181" s="512"/>
      <c r="CE181" s="512"/>
      <c r="CF181" s="512"/>
      <c r="CG181" s="512"/>
      <c r="CH181" s="548"/>
      <c r="CI181" s="512"/>
      <c r="CJ181" s="512"/>
      <c r="CK181" s="512"/>
      <c r="CL181" s="512"/>
      <c r="CM181" s="508"/>
      <c r="CN181" s="508"/>
      <c r="CO181" s="511"/>
      <c r="CP181" s="508"/>
      <c r="CQ181" s="509"/>
      <c r="CR181" s="510">
        <f t="shared" si="733"/>
        <v>0</v>
      </c>
      <c r="CS181" s="501"/>
      <c r="CT181" s="501"/>
      <c r="CU181" s="501"/>
      <c r="CV181" s="501"/>
      <c r="CW181" s="501"/>
      <c r="CX181" s="501"/>
      <c r="CY181" s="501"/>
      <c r="CZ181" s="501"/>
      <c r="DA181" s="501"/>
      <c r="DB181" s="501"/>
      <c r="DC181" s="501"/>
      <c r="DD181" s="501"/>
      <c r="DE181" s="501"/>
      <c r="DF181" s="513"/>
      <c r="DG181" s="513"/>
      <c r="DH181" s="513"/>
      <c r="DI181" s="505"/>
      <c r="DJ181" s="551"/>
      <c r="DK181" s="466"/>
      <c r="DL181" s="466"/>
      <c r="DM181" s="501"/>
      <c r="DN181" s="501"/>
      <c r="DO181" s="501"/>
      <c r="DP181" s="501"/>
      <c r="DQ181" s="501"/>
      <c r="DR181" s="466"/>
      <c r="DS181" s="501"/>
      <c r="DT181" s="501"/>
      <c r="DU181" s="501"/>
      <c r="DV181" s="501"/>
      <c r="DW181" s="508"/>
      <c r="DX181" s="508"/>
      <c r="DY181" s="511"/>
      <c r="DZ181" s="508"/>
      <c r="EA181" s="509"/>
      <c r="EB181" s="510">
        <f t="shared" si="748"/>
        <v>0</v>
      </c>
      <c r="EC181" s="515"/>
      <c r="ED181" s="515"/>
      <c r="EE181" s="515"/>
      <c r="EF181" s="515"/>
      <c r="EG181" s="515"/>
      <c r="EH181" s="515"/>
      <c r="EI181" s="515"/>
      <c r="EJ181" s="515"/>
      <c r="EK181" s="515"/>
      <c r="EL181" s="515"/>
      <c r="EM181" s="515"/>
      <c r="EN181" s="515"/>
      <c r="EO181" s="515"/>
      <c r="EP181" s="52"/>
      <c r="EQ181" s="52"/>
      <c r="ER181" s="52"/>
      <c r="ES181" s="516"/>
      <c r="EU181" s="476"/>
      <c r="EV181" s="476"/>
      <c r="EW181" s="515"/>
      <c r="EX181" s="515"/>
      <c r="EY181" s="515"/>
      <c r="EZ181" s="515"/>
      <c r="FA181" s="515"/>
      <c r="FB181" s="476"/>
      <c r="FC181" s="515"/>
      <c r="FD181" s="515"/>
      <c r="FE181" s="515"/>
      <c r="FF181" s="515"/>
    </row>
    <row r="182" spans="2:162" ht="14.25" outlineLevel="2">
      <c r="B182" s="621">
        <v>2.9</v>
      </c>
      <c r="C182" s="622">
        <v>2.9</v>
      </c>
      <c r="D182" s="623" t="s">
        <v>169</v>
      </c>
      <c r="F182" s="434"/>
      <c r="G182" s="435"/>
      <c r="H182" s="501"/>
      <c r="I182" s="501"/>
      <c r="J182" s="514"/>
      <c r="K182" s="514"/>
      <c r="L182" s="514"/>
      <c r="M182" s="567"/>
      <c r="N182" s="568"/>
      <c r="O182" s="501"/>
      <c r="P182" s="501"/>
      <c r="Q182" s="501"/>
      <c r="R182" s="501"/>
      <c r="S182" s="501"/>
      <c r="U182" s="596">
        <v>0</v>
      </c>
      <c r="V182" s="597"/>
      <c r="W182" s="434">
        <v>0</v>
      </c>
      <c r="X182" s="435">
        <f t="shared" si="700"/>
        <v>0</v>
      </c>
      <c r="Y182" s="501"/>
      <c r="Z182" s="501"/>
      <c r="AA182" s="514">
        <f t="shared" si="778"/>
        <v>0</v>
      </c>
      <c r="AB182" s="514">
        <f t="shared" si="779"/>
        <v>0</v>
      </c>
      <c r="AC182" s="514">
        <f t="shared" si="780"/>
        <v>0</v>
      </c>
      <c r="AD182" s="567">
        <f t="shared" si="781"/>
        <v>0</v>
      </c>
      <c r="AE182" s="568"/>
      <c r="AF182" s="501"/>
      <c r="AG182" s="501"/>
      <c r="AH182" s="501"/>
      <c r="AI182" s="501"/>
      <c r="AJ182" s="501"/>
      <c r="AK182" s="501"/>
      <c r="AL182" s="513"/>
      <c r="AM182" s="513"/>
      <c r="AN182" s="513"/>
      <c r="AO182" s="505"/>
      <c r="AP182" s="551"/>
      <c r="AQ182" s="466"/>
      <c r="AR182" s="466"/>
      <c r="AS182" s="466"/>
      <c r="AT182" s="466"/>
      <c r="AU182" s="466"/>
      <c r="AV182" s="466"/>
      <c r="AW182" s="466"/>
      <c r="AX182" s="466"/>
      <c r="AY182" s="466"/>
      <c r="AZ182" s="466"/>
      <c r="BA182" s="466"/>
      <c r="BB182" s="466"/>
      <c r="BC182" s="466"/>
      <c r="BD182" s="466"/>
      <c r="BE182" s="685">
        <f>SUM(BE183:BE184)</f>
        <v>0.5</v>
      </c>
      <c r="BF182" s="597"/>
      <c r="BG182" s="556">
        <f>$BG$144*(95%/12)</f>
        <v>0.10764153125000001</v>
      </c>
      <c r="BH182" s="450">
        <f t="shared" si="717"/>
        <v>0.10764153125000001</v>
      </c>
      <c r="BI182" s="556">
        <f>SUM(BI183:BI184)</f>
        <v>0.10764153125000001</v>
      </c>
      <c r="BJ182" s="556">
        <f>SUM(BJ183:BJ184)</f>
        <v>0</v>
      </c>
      <c r="BK182" s="630">
        <f t="shared" si="903"/>
        <v>0</v>
      </c>
      <c r="BL182" s="514">
        <f t="shared" si="904"/>
        <v>0</v>
      </c>
      <c r="BM182" s="514">
        <f t="shared" si="905"/>
        <v>0</v>
      </c>
      <c r="BN182" s="514">
        <f t="shared" si="906"/>
        <v>0</v>
      </c>
      <c r="BO182" s="501"/>
      <c r="BP182" s="630">
        <f>SUM(BP183:BP184)</f>
        <v>0</v>
      </c>
      <c r="BQ182" s="630">
        <f t="shared" ref="BQ182" si="924">SUM(BQ183:BQ184)</f>
        <v>0</v>
      </c>
      <c r="BR182" s="630">
        <f t="shared" ref="BR182" si="925">SUM(BR183:BR184)</f>
        <v>0</v>
      </c>
      <c r="BS182" s="630">
        <f t="shared" ref="BS182" si="926">SUM(BS183:BS184)</f>
        <v>0</v>
      </c>
      <c r="BT182" s="630">
        <f t="shared" ref="BT182" si="927">SUM(BT183:BT184)</f>
        <v>0</v>
      </c>
      <c r="BU182" s="547"/>
      <c r="BV182" s="571">
        <f t="shared" si="787"/>
        <v>0</v>
      </c>
      <c r="BW182" s="571">
        <f t="shared" si="788"/>
        <v>0</v>
      </c>
      <c r="BX182" s="571">
        <f t="shared" si="789"/>
        <v>0</v>
      </c>
      <c r="BY182" s="505"/>
      <c r="BZ182" s="552"/>
      <c r="CA182" s="471"/>
      <c r="CB182" s="548"/>
      <c r="CC182" s="512"/>
      <c r="CD182" s="512"/>
      <c r="CE182" s="512"/>
      <c r="CF182" s="512"/>
      <c r="CG182" s="512"/>
      <c r="CH182" s="548"/>
      <c r="CI182" s="512"/>
      <c r="CJ182" s="512"/>
      <c r="CK182" s="512"/>
      <c r="CL182" s="512"/>
      <c r="CM182" s="597"/>
      <c r="CN182" s="597"/>
      <c r="CO182" s="596">
        <v>0</v>
      </c>
      <c r="CP182" s="597"/>
      <c r="CQ182" s="509"/>
      <c r="CR182" s="450">
        <f t="shared" si="733"/>
        <v>0</v>
      </c>
      <c r="CS182" s="501"/>
      <c r="CT182" s="501"/>
      <c r="CU182" s="501"/>
      <c r="CV182" s="501"/>
      <c r="CW182" s="501"/>
      <c r="CX182" s="501"/>
      <c r="CY182" s="501"/>
      <c r="CZ182" s="501"/>
      <c r="DA182" s="501"/>
      <c r="DB182" s="501"/>
      <c r="DC182" s="501"/>
      <c r="DD182" s="501"/>
      <c r="DE182" s="501"/>
      <c r="DF182" s="513"/>
      <c r="DG182" s="513"/>
      <c r="DH182" s="513"/>
      <c r="DI182" s="505"/>
      <c r="DJ182" s="551"/>
      <c r="DK182" s="466"/>
      <c r="DL182" s="466"/>
      <c r="DM182" s="501"/>
      <c r="DN182" s="501"/>
      <c r="DO182" s="501"/>
      <c r="DP182" s="501"/>
      <c r="DQ182" s="501"/>
      <c r="DR182" s="466"/>
      <c r="DS182" s="501"/>
      <c r="DT182" s="501"/>
      <c r="DU182" s="501"/>
      <c r="DV182" s="501"/>
      <c r="DW182" s="597"/>
      <c r="DX182" s="597"/>
      <c r="DY182" s="596">
        <v>0</v>
      </c>
      <c r="DZ182" s="597"/>
      <c r="EA182" s="509"/>
      <c r="EB182" s="450">
        <f t="shared" si="748"/>
        <v>0</v>
      </c>
      <c r="EC182" s="515"/>
      <c r="ED182" s="515"/>
      <c r="EE182" s="515"/>
      <c r="EF182" s="515"/>
      <c r="EG182" s="515"/>
      <c r="EH182" s="515"/>
      <c r="EI182" s="515"/>
      <c r="EJ182" s="515"/>
      <c r="EK182" s="515"/>
      <c r="EL182" s="515"/>
      <c r="EM182" s="515"/>
      <c r="EN182" s="515"/>
      <c r="EO182" s="515"/>
      <c r="EP182" s="52"/>
      <c r="EQ182" s="52"/>
      <c r="ER182" s="52"/>
      <c r="ES182" s="516"/>
      <c r="EU182" s="476"/>
      <c r="EV182" s="476"/>
      <c r="EW182" s="515"/>
      <c r="EX182" s="515"/>
      <c r="EY182" s="515"/>
      <c r="EZ182" s="515"/>
      <c r="FA182" s="515"/>
      <c r="FB182" s="476"/>
      <c r="FC182" s="515"/>
      <c r="FD182" s="515"/>
      <c r="FE182" s="515"/>
      <c r="FF182" s="515"/>
    </row>
    <row r="183" spans="2:162" ht="14.25" outlineLevel="3">
      <c r="B183" s="564" t="s">
        <v>170</v>
      </c>
      <c r="C183" s="565">
        <v>1</v>
      </c>
      <c r="D183" s="566" t="s">
        <v>152</v>
      </c>
      <c r="F183" s="500">
        <f t="shared" ref="F183:F184" si="928">W183+BG183+CQ183+EA183</f>
        <v>5.3820765625000003E-2</v>
      </c>
      <c r="G183" s="500">
        <f t="shared" ref="G183:G184" si="929">X183+BH183+CR183+EB183</f>
        <v>5.3820765625000003E-2</v>
      </c>
      <c r="H183" s="514">
        <f t="shared" ref="H183:H184" si="930">F183-G183</f>
        <v>0</v>
      </c>
      <c r="I183" s="514">
        <f t="shared" ref="I183:I184" si="931">Z183+BJ183+CT183+ED183</f>
        <v>0</v>
      </c>
      <c r="J183" s="514">
        <f t="shared" ref="J183:J184" si="932">AA183+BK183+CU183+EE183</f>
        <v>0</v>
      </c>
      <c r="K183" s="514">
        <f t="shared" ref="K183:K184" si="933">AB183+BL183+CV183+EF183</f>
        <v>0</v>
      </c>
      <c r="L183" s="514">
        <f t="shared" ref="L183:L184" si="934">AC183+BM183+CW183+EG183</f>
        <v>0</v>
      </c>
      <c r="M183" s="567">
        <f t="shared" ref="M183:M184" si="935">AD183+BN183+CX183+EH183</f>
        <v>0</v>
      </c>
      <c r="N183" s="568"/>
      <c r="O183" s="514">
        <f t="shared" ref="O183:O184" si="936">AF183+BP183+CZ183+EJ183</f>
        <v>0</v>
      </c>
      <c r="P183" s="514">
        <f t="shared" ref="P183:P184" si="937">AG183+BQ183+DA183+EK183</f>
        <v>0</v>
      </c>
      <c r="Q183" s="514">
        <f t="shared" ref="Q183:Q184" si="938">AH183+BR183+DB183+EL183</f>
        <v>0</v>
      </c>
      <c r="R183" s="514">
        <f t="shared" ref="R183:R184" si="939">AI183+BS183+DC183+EM183</f>
        <v>0</v>
      </c>
      <c r="S183" s="514">
        <f t="shared" ref="S183:S184" si="940">AJ183+BT183+DD183+EN183</f>
        <v>0</v>
      </c>
      <c r="U183" s="569">
        <v>0</v>
      </c>
      <c r="V183" s="503"/>
      <c r="W183" s="499"/>
      <c r="X183" s="500">
        <f t="shared" si="700"/>
        <v>0</v>
      </c>
      <c r="Y183" s="501"/>
      <c r="Z183" s="501"/>
      <c r="AA183" s="514">
        <f t="shared" si="778"/>
        <v>0</v>
      </c>
      <c r="AB183" s="514">
        <f t="shared" si="779"/>
        <v>0</v>
      </c>
      <c r="AC183" s="514">
        <f t="shared" si="780"/>
        <v>0</v>
      </c>
      <c r="AD183" s="567">
        <f t="shared" si="781"/>
        <v>0</v>
      </c>
      <c r="AE183" s="568"/>
      <c r="AF183" s="501"/>
      <c r="AG183" s="501"/>
      <c r="AH183" s="501"/>
      <c r="AI183" s="501"/>
      <c r="AJ183" s="501"/>
      <c r="AK183" s="501"/>
      <c r="AL183" s="513"/>
      <c r="AM183" s="513"/>
      <c r="AN183" s="513"/>
      <c r="AO183" s="505"/>
      <c r="AP183" s="551"/>
      <c r="AQ183" s="466"/>
      <c r="AR183" s="466"/>
      <c r="AS183" s="466"/>
      <c r="AT183" s="466"/>
      <c r="AU183" s="466"/>
      <c r="AV183" s="466"/>
      <c r="AW183" s="466"/>
      <c r="AX183" s="466"/>
      <c r="AY183" s="466"/>
      <c r="AZ183" s="466"/>
      <c r="BA183" s="466"/>
      <c r="BB183" s="466"/>
      <c r="BC183" s="466"/>
      <c r="BD183" s="466"/>
      <c r="BE183" s="511">
        <v>0.25</v>
      </c>
      <c r="BF183" s="508"/>
      <c r="BG183" s="506">
        <f>$BG$182/$BE$182*BE183</f>
        <v>5.3820765625000003E-2</v>
      </c>
      <c r="BH183" s="510">
        <f t="shared" si="717"/>
        <v>5.3820765625000003E-2</v>
      </c>
      <c r="BI183" s="514">
        <f>IFERROR(IF(BV183=100%,BG183,0),0)</f>
        <v>5.3820765625000003E-2</v>
      </c>
      <c r="BJ183" s="514">
        <f>IFERROR(IF(AND((BV183+BW183)=100%,BV183&lt;1),BG183,0),0)</f>
        <v>0</v>
      </c>
      <c r="BK183" s="514">
        <f t="shared" si="903"/>
        <v>0</v>
      </c>
      <c r="BL183" s="514">
        <f t="shared" si="904"/>
        <v>0</v>
      </c>
      <c r="BM183" s="514">
        <f t="shared" si="905"/>
        <v>0</v>
      </c>
      <c r="BN183" s="514">
        <f t="shared" si="906"/>
        <v>0</v>
      </c>
      <c r="BO183" s="501"/>
      <c r="BP183" s="514">
        <f>IFERROR(IF(AND((BV183+BX183)=100%,BV183&lt;1),BG183,0),0)</f>
        <v>0</v>
      </c>
      <c r="BQ183" s="514">
        <f>IFERROR(IF(AND((CA183+CI183)=BZ183,BI183=0),BG183,0),0)</f>
        <v>0</v>
      </c>
      <c r="BR183" s="514">
        <f>IFERROR(IF(AND((CA183+CI183+CJ183)=BZ183,BI183=0,BQ183=0),BG183,0),0)</f>
        <v>0</v>
      </c>
      <c r="BS183" s="514">
        <f>IFERROR(IF(AND((CA183+CI183+CJ183+CK183)=BZ183,BI183=0,BQ183=0,BR183=0),BG183,0),0)</f>
        <v>0</v>
      </c>
      <c r="BT183" s="514">
        <f>IFERROR(IF(AND((CA183+CI183+CJ183+CK183+CL183)=BZ183,BI183=0,BQ183=0,BR183=0,BS183=0),BG183,0),0)</f>
        <v>0</v>
      </c>
      <c r="BU183" s="501"/>
      <c r="BV183" s="571">
        <f t="shared" si="787"/>
        <v>1</v>
      </c>
      <c r="BW183" s="571">
        <f t="shared" si="788"/>
        <v>0</v>
      </c>
      <c r="BX183" s="571">
        <f t="shared" si="789"/>
        <v>0</v>
      </c>
      <c r="BY183" s="505"/>
      <c r="BZ183" s="514">
        <f>COUNTIF('ST | Drawing List'!$G:$G,"ST-SS9-1")</f>
        <v>16</v>
      </c>
      <c r="CA183" s="506">
        <f>COUNTIFS('ST | Drawing List'!$G:$G,"ST-SS9-1",'ST | Drawing List'!$I:$I,1)</f>
        <v>16</v>
      </c>
      <c r="CB183" s="572">
        <f>COUNTIFS('ST | Drawing List'!$G:$G,"ST-SS9-1",'ST | Drawing List'!$K:$K,1)</f>
        <v>0</v>
      </c>
      <c r="CC183" s="506">
        <f>COUNTIFS('ST | Drawing List'!$G:$G,"ST-SS9-1",'ST | Drawing List'!L:L,1)</f>
        <v>0</v>
      </c>
      <c r="CD183" s="506">
        <f>COUNTIFS('ST | Drawing List'!$G:$G,"ST-SS9-1",'ST | Drawing List'!M:M,1)</f>
        <v>0</v>
      </c>
      <c r="CE183" s="506">
        <f>COUNTIFS('ST | Drawing List'!$G:$G,"ST-SS9-1",'ST | Drawing List'!N:N,1)</f>
        <v>0</v>
      </c>
      <c r="CF183" s="506">
        <f>COUNTIFS('ST | Drawing List'!$G:$G,"ST-SS9-1",'ST | Drawing List'!O:O,1)</f>
        <v>0</v>
      </c>
      <c r="CG183" s="471"/>
      <c r="CH183" s="572">
        <f>COUNTIFS('ST | Drawing List'!$G:$G,"ST-SS9-1",'ST | Drawing List'!$P:$P,1)</f>
        <v>0</v>
      </c>
      <c r="CI183" s="506">
        <f>COUNTIFS('ST | Drawing List'!$G:$G,"ST-SS9-1",'ST | Drawing List'!Q:Q,1)</f>
        <v>0</v>
      </c>
      <c r="CJ183" s="506">
        <f>COUNTIFS('ST | Drawing List'!$G:$G,"ST-SS9-1",'ST | Drawing List'!R:R,1)</f>
        <v>0</v>
      </c>
      <c r="CK183" s="506">
        <f>COUNTIFS('ST | Drawing List'!$G:$G,"ST-SS9-1",'ST | Drawing List'!S:S,1)</f>
        <v>0</v>
      </c>
      <c r="CL183" s="506">
        <f>COUNTIFS('ST | Drawing List'!$G:$G,"ST-SS9-1",'ST | Drawing List'!T:T,1)</f>
        <v>0</v>
      </c>
      <c r="CM183" s="508"/>
      <c r="CN183" s="508"/>
      <c r="CO183" s="511">
        <v>0</v>
      </c>
      <c r="CP183" s="508"/>
      <c r="CQ183" s="509"/>
      <c r="CR183" s="510">
        <f t="shared" si="733"/>
        <v>0</v>
      </c>
      <c r="CS183" s="501"/>
      <c r="CT183" s="501"/>
      <c r="CU183" s="501"/>
      <c r="CV183" s="501"/>
      <c r="CW183" s="501"/>
      <c r="CX183" s="501"/>
      <c r="CY183" s="501"/>
      <c r="CZ183" s="501"/>
      <c r="DA183" s="501"/>
      <c r="DB183" s="501"/>
      <c r="DC183" s="501"/>
      <c r="DD183" s="501"/>
      <c r="DE183" s="501"/>
      <c r="DF183" s="513"/>
      <c r="DG183" s="513"/>
      <c r="DH183" s="513"/>
      <c r="DI183" s="505"/>
      <c r="DJ183" s="551"/>
      <c r="DK183" s="466"/>
      <c r="DL183" s="466"/>
      <c r="DM183" s="501"/>
      <c r="DN183" s="501"/>
      <c r="DO183" s="501"/>
      <c r="DP183" s="501"/>
      <c r="DQ183" s="501"/>
      <c r="DR183" s="466"/>
      <c r="DS183" s="501"/>
      <c r="DT183" s="501"/>
      <c r="DU183" s="501"/>
      <c r="DV183" s="501"/>
      <c r="DW183" s="508"/>
      <c r="DX183" s="508"/>
      <c r="DY183" s="511">
        <v>0</v>
      </c>
      <c r="DZ183" s="508"/>
      <c r="EA183" s="509"/>
      <c r="EB183" s="510">
        <f t="shared" si="748"/>
        <v>0</v>
      </c>
      <c r="EC183" s="515"/>
      <c r="ED183" s="515"/>
      <c r="EE183" s="515"/>
      <c r="EF183" s="515"/>
      <c r="EG183" s="515"/>
      <c r="EH183" s="515"/>
      <c r="EI183" s="515"/>
      <c r="EJ183" s="515"/>
      <c r="EK183" s="515"/>
      <c r="EL183" s="515"/>
      <c r="EM183" s="515"/>
      <c r="EN183" s="515"/>
      <c r="EO183" s="515"/>
      <c r="EP183" s="52"/>
      <c r="EQ183" s="52"/>
      <c r="ER183" s="52"/>
      <c r="ES183" s="516"/>
      <c r="EU183" s="476"/>
      <c r="EV183" s="476"/>
      <c r="EW183" s="515"/>
      <c r="EX183" s="515"/>
      <c r="EY183" s="515"/>
      <c r="EZ183" s="515"/>
      <c r="FA183" s="515"/>
      <c r="FB183" s="476"/>
      <c r="FC183" s="515"/>
      <c r="FD183" s="515"/>
      <c r="FE183" s="515"/>
      <c r="FF183" s="515"/>
    </row>
    <row r="184" spans="2:162" ht="14.25" outlineLevel="3">
      <c r="B184" s="564" t="s">
        <v>171</v>
      </c>
      <c r="C184" s="565">
        <v>2</v>
      </c>
      <c r="D184" s="566" t="s">
        <v>154</v>
      </c>
      <c r="F184" s="500">
        <f t="shared" si="928"/>
        <v>5.3820765625000003E-2</v>
      </c>
      <c r="G184" s="500">
        <f t="shared" si="929"/>
        <v>5.3820765625000003E-2</v>
      </c>
      <c r="H184" s="514">
        <f t="shared" si="930"/>
        <v>0</v>
      </c>
      <c r="I184" s="514">
        <f t="shared" si="931"/>
        <v>0</v>
      </c>
      <c r="J184" s="514">
        <f t="shared" si="932"/>
        <v>0</v>
      </c>
      <c r="K184" s="514">
        <f t="shared" si="933"/>
        <v>0</v>
      </c>
      <c r="L184" s="514">
        <f t="shared" si="934"/>
        <v>0</v>
      </c>
      <c r="M184" s="567">
        <f t="shared" si="935"/>
        <v>0</v>
      </c>
      <c r="N184" s="568"/>
      <c r="O184" s="514">
        <f t="shared" si="936"/>
        <v>0</v>
      </c>
      <c r="P184" s="514">
        <f t="shared" si="937"/>
        <v>0</v>
      </c>
      <c r="Q184" s="514">
        <f t="shared" si="938"/>
        <v>0</v>
      </c>
      <c r="R184" s="514">
        <f t="shared" si="939"/>
        <v>0</v>
      </c>
      <c r="S184" s="514">
        <f t="shared" si="940"/>
        <v>0</v>
      </c>
      <c r="U184" s="569">
        <v>0</v>
      </c>
      <c r="V184" s="503"/>
      <c r="W184" s="499"/>
      <c r="X184" s="500">
        <f t="shared" si="700"/>
        <v>0</v>
      </c>
      <c r="Y184" s="501"/>
      <c r="Z184" s="501"/>
      <c r="AA184" s="514">
        <f t="shared" si="778"/>
        <v>0</v>
      </c>
      <c r="AB184" s="514">
        <f t="shared" si="779"/>
        <v>0</v>
      </c>
      <c r="AC184" s="514">
        <f t="shared" si="780"/>
        <v>0</v>
      </c>
      <c r="AD184" s="567">
        <f t="shared" si="781"/>
        <v>0</v>
      </c>
      <c r="AE184" s="568"/>
      <c r="AF184" s="501"/>
      <c r="AG184" s="501"/>
      <c r="AH184" s="501"/>
      <c r="AI184" s="501"/>
      <c r="AJ184" s="501"/>
      <c r="AK184" s="501"/>
      <c r="AL184" s="513"/>
      <c r="AM184" s="513"/>
      <c r="AN184" s="513"/>
      <c r="AO184" s="505"/>
      <c r="AP184" s="551"/>
      <c r="AQ184" s="466"/>
      <c r="AR184" s="466"/>
      <c r="AS184" s="466"/>
      <c r="AT184" s="466"/>
      <c r="AU184" s="466"/>
      <c r="AV184" s="466"/>
      <c r="AW184" s="466"/>
      <c r="AX184" s="466"/>
      <c r="AY184" s="466"/>
      <c r="AZ184" s="466"/>
      <c r="BA184" s="466"/>
      <c r="BB184" s="466"/>
      <c r="BC184" s="466"/>
      <c r="BD184" s="466"/>
      <c r="BE184" s="511">
        <v>0.25</v>
      </c>
      <c r="BF184" s="508"/>
      <c r="BG184" s="506">
        <f>$BG$182/$BE$182*BE184</f>
        <v>5.3820765625000003E-2</v>
      </c>
      <c r="BH184" s="510">
        <f t="shared" si="717"/>
        <v>5.3820765625000003E-2</v>
      </c>
      <c r="BI184" s="514">
        <f>IFERROR(IF(BV184=100%,BG184,0),0)</f>
        <v>5.3820765625000003E-2</v>
      </c>
      <c r="BJ184" s="514">
        <f>IFERROR(IF(AND((BV184+BW184)=100%,BV184&lt;1),BG184,0),0)</f>
        <v>0</v>
      </c>
      <c r="BK184" s="514">
        <f t="shared" si="903"/>
        <v>0</v>
      </c>
      <c r="BL184" s="514">
        <f t="shared" si="904"/>
        <v>0</v>
      </c>
      <c r="BM184" s="514">
        <f t="shared" si="905"/>
        <v>0</v>
      </c>
      <c r="BN184" s="514">
        <f t="shared" si="906"/>
        <v>0</v>
      </c>
      <c r="BO184" s="501"/>
      <c r="BP184" s="514">
        <f>IFERROR(IF(AND((BV184+BX184)=100%,BV184&lt;1),BG184,0),0)</f>
        <v>0</v>
      </c>
      <c r="BQ184" s="514">
        <f>IFERROR(IF(AND((CA184+CI184)=BZ184,BI184=0),BG184,0),0)</f>
        <v>0</v>
      </c>
      <c r="BR184" s="514">
        <f>IFERROR(IF(AND((CA184+CI184+CJ184)=BZ184,BI184=0,BQ184=0),BG184,0),0)</f>
        <v>0</v>
      </c>
      <c r="BS184" s="514">
        <f>IFERROR(IF(AND((CA184+CI184+CJ184+CK184)=BZ184,BI184=0,BQ184=0,BR184=0),BG184,0),0)</f>
        <v>0</v>
      </c>
      <c r="BT184" s="514">
        <f>IFERROR(IF(AND((CA184+CI184+CJ184+CK184+CL184)=BZ184,BI184=0,BQ184=0,BR184=0,BS184=0),BG184,0),0)</f>
        <v>0</v>
      </c>
      <c r="BU184" s="501"/>
      <c r="BV184" s="571">
        <f t="shared" si="787"/>
        <v>1</v>
      </c>
      <c r="BW184" s="571">
        <f t="shared" si="788"/>
        <v>0</v>
      </c>
      <c r="BX184" s="571">
        <f t="shared" si="789"/>
        <v>0</v>
      </c>
      <c r="BY184" s="505"/>
      <c r="BZ184" s="514">
        <f>COUNTIF('ST | Drawing List'!$G:$G,"ST-SS9-2")</f>
        <v>9</v>
      </c>
      <c r="CA184" s="506">
        <f>COUNTIFS('ST | Drawing List'!$G:$G,"ST-SS9-2",'ST | Drawing List'!$I:$I,1)</f>
        <v>9</v>
      </c>
      <c r="CB184" s="572">
        <f>COUNTIFS('ST | Drawing List'!$G:$G,"ST-SS9-2",'ST | Drawing List'!$K:$K,1)</f>
        <v>0</v>
      </c>
      <c r="CC184" s="506">
        <f>COUNTIFS('ST | Drawing List'!$G:$G,"ST-SS9-2",'ST | Drawing List'!L:L,1)</f>
        <v>0</v>
      </c>
      <c r="CD184" s="506">
        <f>COUNTIFS('ST | Drawing List'!$G:$G,"ST-SS9-2",'ST | Drawing List'!M:M,1)</f>
        <v>0</v>
      </c>
      <c r="CE184" s="506">
        <f>COUNTIFS('ST | Drawing List'!$G:$G,"ST-SS9-2",'ST | Drawing List'!N:N,1)</f>
        <v>0</v>
      </c>
      <c r="CF184" s="506">
        <f>COUNTIFS('ST | Drawing List'!$G:$G,"ST-SS9-2",'ST | Drawing List'!O:O,1)</f>
        <v>0</v>
      </c>
      <c r="CG184" s="471"/>
      <c r="CH184" s="572">
        <f>COUNTIFS('ST | Drawing List'!$G:$G,"ST-SS9-2",'ST | Drawing List'!$P:$P,1)</f>
        <v>0</v>
      </c>
      <c r="CI184" s="506">
        <f>COUNTIFS('ST | Drawing List'!$G:$G,"ST-SS9-2",'ST | Drawing List'!Q:Q,1)</f>
        <v>0</v>
      </c>
      <c r="CJ184" s="506">
        <f>COUNTIFS('ST | Drawing List'!$G:$G,"ST-SS9-2",'ST | Drawing List'!R:R,1)</f>
        <v>0</v>
      </c>
      <c r="CK184" s="506">
        <f>COUNTIFS('ST | Drawing List'!$G:$G,"ST-SS9-2",'ST | Drawing List'!S:S,1)</f>
        <v>0</v>
      </c>
      <c r="CL184" s="506">
        <f>COUNTIFS('ST | Drawing List'!$G:$G,"ST-SS9-2",'ST | Drawing List'!T:T,1)</f>
        <v>0</v>
      </c>
      <c r="CM184" s="508"/>
      <c r="CN184" s="508"/>
      <c r="CO184" s="511">
        <v>0</v>
      </c>
      <c r="CP184" s="508"/>
      <c r="CQ184" s="509"/>
      <c r="CR184" s="510">
        <f t="shared" si="733"/>
        <v>0</v>
      </c>
      <c r="CS184" s="501"/>
      <c r="CT184" s="501"/>
      <c r="CU184" s="501"/>
      <c r="CV184" s="501"/>
      <c r="CW184" s="501"/>
      <c r="CX184" s="501"/>
      <c r="CY184" s="501"/>
      <c r="CZ184" s="501"/>
      <c r="DA184" s="501"/>
      <c r="DB184" s="501"/>
      <c r="DC184" s="501"/>
      <c r="DD184" s="501"/>
      <c r="DE184" s="501"/>
      <c r="DF184" s="513"/>
      <c r="DG184" s="513"/>
      <c r="DH184" s="513"/>
      <c r="DI184" s="505"/>
      <c r="DJ184" s="551"/>
      <c r="DK184" s="466"/>
      <c r="DL184" s="466"/>
      <c r="DM184" s="501"/>
      <c r="DN184" s="501"/>
      <c r="DO184" s="501"/>
      <c r="DP184" s="501"/>
      <c r="DQ184" s="501"/>
      <c r="DR184" s="466"/>
      <c r="DS184" s="501"/>
      <c r="DT184" s="501"/>
      <c r="DU184" s="501"/>
      <c r="DV184" s="501"/>
      <c r="DW184" s="508"/>
      <c r="DX184" s="508"/>
      <c r="DY184" s="511">
        <v>0</v>
      </c>
      <c r="DZ184" s="508"/>
      <c r="EA184" s="509"/>
      <c r="EB184" s="510">
        <f t="shared" si="748"/>
        <v>0</v>
      </c>
      <c r="EC184" s="515"/>
      <c r="ED184" s="515"/>
      <c r="EE184" s="515"/>
      <c r="EF184" s="515"/>
      <c r="EG184" s="515"/>
      <c r="EH184" s="515"/>
      <c r="EI184" s="515"/>
      <c r="EJ184" s="515"/>
      <c r="EK184" s="515"/>
      <c r="EL184" s="515"/>
      <c r="EM184" s="515"/>
      <c r="EN184" s="515"/>
      <c r="EO184" s="515"/>
      <c r="EP184" s="52"/>
      <c r="EQ184" s="52"/>
      <c r="ER184" s="52"/>
      <c r="ES184" s="516"/>
      <c r="EU184" s="476"/>
      <c r="EV184" s="476"/>
      <c r="EW184" s="515"/>
      <c r="EX184" s="515"/>
      <c r="EY184" s="515"/>
      <c r="EZ184" s="515"/>
      <c r="FA184" s="515"/>
      <c r="FB184" s="476"/>
      <c r="FC184" s="515"/>
      <c r="FD184" s="515"/>
      <c r="FE184" s="515"/>
      <c r="FF184" s="515"/>
    </row>
    <row r="185" spans="2:162" ht="3" customHeight="1" outlineLevel="2">
      <c r="B185" s="621"/>
      <c r="C185" s="622"/>
      <c r="D185" s="566"/>
      <c r="F185" s="499"/>
      <c r="G185" s="500"/>
      <c r="H185" s="501"/>
      <c r="I185" s="501"/>
      <c r="J185" s="514"/>
      <c r="K185" s="514"/>
      <c r="L185" s="514"/>
      <c r="M185" s="567"/>
      <c r="N185" s="568"/>
      <c r="O185" s="501"/>
      <c r="P185" s="501"/>
      <c r="Q185" s="501"/>
      <c r="R185" s="501"/>
      <c r="S185" s="501"/>
      <c r="U185" s="569"/>
      <c r="V185" s="503"/>
      <c r="W185" s="499"/>
      <c r="X185" s="500">
        <f t="shared" si="700"/>
        <v>0</v>
      </c>
      <c r="Y185" s="501"/>
      <c r="Z185" s="501"/>
      <c r="AA185" s="514">
        <f t="shared" si="778"/>
        <v>0</v>
      </c>
      <c r="AB185" s="514">
        <f t="shared" si="779"/>
        <v>0</v>
      </c>
      <c r="AC185" s="514">
        <f t="shared" si="780"/>
        <v>0</v>
      </c>
      <c r="AD185" s="567">
        <f t="shared" si="781"/>
        <v>0</v>
      </c>
      <c r="AE185" s="568"/>
      <c r="AF185" s="501"/>
      <c r="AG185" s="501"/>
      <c r="AH185" s="501"/>
      <c r="AI185" s="501"/>
      <c r="AJ185" s="501"/>
      <c r="AK185" s="501"/>
      <c r="AL185" s="513"/>
      <c r="AM185" s="513"/>
      <c r="AN185" s="513"/>
      <c r="AO185" s="505"/>
      <c r="AP185" s="551"/>
      <c r="AQ185" s="466"/>
      <c r="AR185" s="466"/>
      <c r="AS185" s="466"/>
      <c r="AT185" s="466"/>
      <c r="AU185" s="466"/>
      <c r="AV185" s="466"/>
      <c r="AW185" s="466"/>
      <c r="AX185" s="466"/>
      <c r="AY185" s="466"/>
      <c r="AZ185" s="466"/>
      <c r="BA185" s="466"/>
      <c r="BB185" s="466"/>
      <c r="BC185" s="466"/>
      <c r="BD185" s="466"/>
      <c r="BE185" s="511"/>
      <c r="BF185" s="508"/>
      <c r="BG185" s="509"/>
      <c r="BH185" s="510">
        <f t="shared" si="717"/>
        <v>0</v>
      </c>
      <c r="BI185" s="501"/>
      <c r="BJ185" s="501"/>
      <c r="BK185" s="514">
        <f t="shared" si="903"/>
        <v>0</v>
      </c>
      <c r="BL185" s="514">
        <f t="shared" si="904"/>
        <v>0</v>
      </c>
      <c r="BM185" s="514">
        <f t="shared" si="905"/>
        <v>0</v>
      </c>
      <c r="BN185" s="514">
        <f t="shared" si="906"/>
        <v>0</v>
      </c>
      <c r="BO185" s="501"/>
      <c r="BP185" s="514">
        <f>IFERROR(IF(AND((BV185+BX185)=100%,BV185&lt;1),BG185,0),0)</f>
        <v>0</v>
      </c>
      <c r="BQ185" s="501"/>
      <c r="BR185" s="501"/>
      <c r="BS185" s="501"/>
      <c r="BT185" s="501"/>
      <c r="BU185" s="501"/>
      <c r="BV185" s="571">
        <f t="shared" si="787"/>
        <v>0</v>
      </c>
      <c r="BW185" s="571">
        <f t="shared" si="788"/>
        <v>0</v>
      </c>
      <c r="BX185" s="571">
        <f t="shared" si="789"/>
        <v>0</v>
      </c>
      <c r="BY185" s="505"/>
      <c r="BZ185" s="552"/>
      <c r="CA185" s="471"/>
      <c r="CB185" s="548"/>
      <c r="CC185" s="512"/>
      <c r="CD185" s="512"/>
      <c r="CE185" s="512"/>
      <c r="CF185" s="512"/>
      <c r="CG185" s="512"/>
      <c r="CH185" s="548"/>
      <c r="CI185" s="512"/>
      <c r="CJ185" s="512"/>
      <c r="CK185" s="512"/>
      <c r="CL185" s="512"/>
      <c r="CM185" s="508"/>
      <c r="CN185" s="508"/>
      <c r="CO185" s="511"/>
      <c r="CP185" s="508"/>
      <c r="CQ185" s="509"/>
      <c r="CR185" s="510">
        <f t="shared" si="733"/>
        <v>0</v>
      </c>
      <c r="CS185" s="501"/>
      <c r="CT185" s="501"/>
      <c r="CU185" s="501"/>
      <c r="CV185" s="501"/>
      <c r="CW185" s="501"/>
      <c r="CX185" s="501"/>
      <c r="CY185" s="501"/>
      <c r="CZ185" s="501"/>
      <c r="DA185" s="501"/>
      <c r="DB185" s="501"/>
      <c r="DC185" s="501"/>
      <c r="DD185" s="501"/>
      <c r="DE185" s="501"/>
      <c r="DF185" s="513"/>
      <c r="DG185" s="513"/>
      <c r="DH185" s="513"/>
      <c r="DI185" s="505"/>
      <c r="DJ185" s="551"/>
      <c r="DK185" s="466"/>
      <c r="DL185" s="466"/>
      <c r="DM185" s="501"/>
      <c r="DN185" s="501"/>
      <c r="DO185" s="501"/>
      <c r="DP185" s="501"/>
      <c r="DQ185" s="501"/>
      <c r="DR185" s="466"/>
      <c r="DS185" s="501"/>
      <c r="DT185" s="501"/>
      <c r="DU185" s="501"/>
      <c r="DV185" s="501"/>
      <c r="DW185" s="508"/>
      <c r="DX185" s="508"/>
      <c r="DY185" s="511"/>
      <c r="DZ185" s="508"/>
      <c r="EA185" s="509"/>
      <c r="EB185" s="510">
        <f t="shared" si="748"/>
        <v>0</v>
      </c>
      <c r="EC185" s="515"/>
      <c r="ED185" s="515"/>
      <c r="EE185" s="515"/>
      <c r="EF185" s="515"/>
      <c r="EG185" s="515"/>
      <c r="EH185" s="515"/>
      <c r="EI185" s="515"/>
      <c r="EJ185" s="515"/>
      <c r="EK185" s="515"/>
      <c r="EL185" s="515"/>
      <c r="EM185" s="515"/>
      <c r="EN185" s="515"/>
      <c r="EO185" s="515"/>
      <c r="EP185" s="52"/>
      <c r="EQ185" s="52"/>
      <c r="ER185" s="52"/>
      <c r="ES185" s="516"/>
      <c r="EU185" s="476"/>
      <c r="EV185" s="476"/>
      <c r="EW185" s="515"/>
      <c r="EX185" s="515"/>
      <c r="EY185" s="515"/>
      <c r="EZ185" s="515"/>
      <c r="FA185" s="515"/>
      <c r="FB185" s="476"/>
      <c r="FC185" s="515"/>
      <c r="FD185" s="515"/>
      <c r="FE185" s="515"/>
      <c r="FF185" s="515"/>
    </row>
    <row r="186" spans="2:162" ht="14.25" outlineLevel="2">
      <c r="B186" s="594">
        <v>2.1</v>
      </c>
      <c r="C186" s="595">
        <v>2.1</v>
      </c>
      <c r="D186" s="623" t="s">
        <v>172</v>
      </c>
      <c r="F186" s="434"/>
      <c r="G186" s="435"/>
      <c r="H186" s="615"/>
      <c r="I186" s="615"/>
      <c r="J186" s="514"/>
      <c r="K186" s="514"/>
      <c r="L186" s="514"/>
      <c r="M186" s="567"/>
      <c r="N186" s="568"/>
      <c r="O186" s="615"/>
      <c r="P186" s="501"/>
      <c r="Q186" s="501"/>
      <c r="R186" s="501"/>
      <c r="S186" s="501"/>
      <c r="U186" s="596">
        <v>0</v>
      </c>
      <c r="V186" s="597"/>
      <c r="W186" s="434">
        <v>0</v>
      </c>
      <c r="X186" s="435">
        <f t="shared" si="700"/>
        <v>0</v>
      </c>
      <c r="Y186" s="615"/>
      <c r="Z186" s="615"/>
      <c r="AA186" s="514">
        <f t="shared" si="778"/>
        <v>0</v>
      </c>
      <c r="AB186" s="514">
        <f t="shared" si="779"/>
        <v>0</v>
      </c>
      <c r="AC186" s="514">
        <f t="shared" si="780"/>
        <v>0</v>
      </c>
      <c r="AD186" s="567">
        <f t="shared" si="781"/>
        <v>0</v>
      </c>
      <c r="AE186" s="568"/>
      <c r="AF186" s="615"/>
      <c r="AG186" s="501"/>
      <c r="AH186" s="501"/>
      <c r="AI186" s="501"/>
      <c r="AJ186" s="501"/>
      <c r="AK186" s="501"/>
      <c r="AL186" s="513"/>
      <c r="AM186" s="513"/>
      <c r="AN186" s="513"/>
      <c r="AO186" s="518"/>
      <c r="AP186" s="551"/>
      <c r="AQ186" s="551"/>
      <c r="AR186" s="551"/>
      <c r="AS186" s="466"/>
      <c r="AT186" s="466"/>
      <c r="AU186" s="466"/>
      <c r="AV186" s="466"/>
      <c r="AW186" s="466"/>
      <c r="AX186" s="551"/>
      <c r="AY186" s="466"/>
      <c r="AZ186" s="466"/>
      <c r="BA186" s="466"/>
      <c r="BB186" s="466"/>
      <c r="BC186" s="551"/>
      <c r="BD186" s="551"/>
      <c r="BE186" s="685">
        <f>SUM(BE187:BE188)</f>
        <v>0.5</v>
      </c>
      <c r="BF186" s="597"/>
      <c r="BG186" s="556">
        <f>$BG$144*(95%/12)</f>
        <v>0.10764153125000001</v>
      </c>
      <c r="BH186" s="450">
        <f t="shared" si="717"/>
        <v>0.10764153125000001</v>
      </c>
      <c r="BI186" s="556">
        <f>SUM(BI187:BI188)</f>
        <v>0.10764153125000001</v>
      </c>
      <c r="BJ186" s="556">
        <f>SUM(BJ187:BJ188)</f>
        <v>0</v>
      </c>
      <c r="BK186" s="630">
        <f t="shared" si="903"/>
        <v>0</v>
      </c>
      <c r="BL186" s="514">
        <f t="shared" si="904"/>
        <v>0</v>
      </c>
      <c r="BM186" s="514">
        <f t="shared" si="905"/>
        <v>0</v>
      </c>
      <c r="BN186" s="514">
        <f t="shared" si="906"/>
        <v>0</v>
      </c>
      <c r="BO186" s="501"/>
      <c r="BP186" s="630">
        <f>SUM(BP187:BP188)</f>
        <v>0</v>
      </c>
      <c r="BQ186" s="630">
        <f t="shared" ref="BQ186" si="941">SUM(BQ187:BQ188)</f>
        <v>0</v>
      </c>
      <c r="BR186" s="630">
        <f t="shared" ref="BR186" si="942">SUM(BR187:BR188)</f>
        <v>0</v>
      </c>
      <c r="BS186" s="630">
        <f t="shared" ref="BS186" si="943">SUM(BS187:BS188)</f>
        <v>0</v>
      </c>
      <c r="BT186" s="630">
        <f t="shared" ref="BT186" si="944">SUM(BT187:BT188)</f>
        <v>0</v>
      </c>
      <c r="BU186" s="547"/>
      <c r="BV186" s="571">
        <f t="shared" si="787"/>
        <v>0</v>
      </c>
      <c r="BW186" s="571">
        <f t="shared" si="788"/>
        <v>0</v>
      </c>
      <c r="BX186" s="571">
        <f t="shared" si="789"/>
        <v>0</v>
      </c>
      <c r="BY186" s="518"/>
      <c r="BZ186" s="552"/>
      <c r="CA186" s="552"/>
      <c r="CB186" s="608"/>
      <c r="CC186" s="552"/>
      <c r="CD186" s="552"/>
      <c r="CE186" s="552"/>
      <c r="CF186" s="552"/>
      <c r="CG186" s="552"/>
      <c r="CH186" s="608"/>
      <c r="CI186" s="552"/>
      <c r="CJ186" s="552"/>
      <c r="CK186" s="552"/>
      <c r="CL186" s="552"/>
      <c r="CM186" s="597"/>
      <c r="CN186" s="597"/>
      <c r="CO186" s="596">
        <v>0</v>
      </c>
      <c r="CP186" s="597"/>
      <c r="CQ186" s="469"/>
      <c r="CR186" s="450">
        <f t="shared" si="733"/>
        <v>0</v>
      </c>
      <c r="CS186" s="615"/>
      <c r="CT186" s="615"/>
      <c r="CU186" s="615"/>
      <c r="CV186" s="615"/>
      <c r="CW186" s="615"/>
      <c r="CX186" s="615"/>
      <c r="CY186" s="615"/>
      <c r="CZ186" s="615"/>
      <c r="DA186" s="615"/>
      <c r="DB186" s="615"/>
      <c r="DC186" s="615"/>
      <c r="DD186" s="615"/>
      <c r="DE186" s="615"/>
      <c r="DF186" s="513"/>
      <c r="DG186" s="513"/>
      <c r="DH186" s="513"/>
      <c r="DI186" s="518"/>
      <c r="DJ186" s="551"/>
      <c r="DK186" s="551"/>
      <c r="DL186" s="551"/>
      <c r="DM186" s="615"/>
      <c r="DN186" s="615"/>
      <c r="DO186" s="615"/>
      <c r="DP186" s="615"/>
      <c r="DQ186" s="615"/>
      <c r="DR186" s="551"/>
      <c r="DS186" s="615"/>
      <c r="DT186" s="615"/>
      <c r="DU186" s="615"/>
      <c r="DV186" s="615"/>
      <c r="DW186" s="597"/>
      <c r="DX186" s="597"/>
      <c r="DY186" s="596">
        <v>0</v>
      </c>
      <c r="DZ186" s="597"/>
      <c r="EA186" s="469"/>
      <c r="EB186" s="450">
        <f t="shared" si="748"/>
        <v>0</v>
      </c>
      <c r="EC186" s="577"/>
      <c r="ED186" s="577"/>
      <c r="EE186" s="577"/>
      <c r="EF186" s="577"/>
      <c r="EG186" s="577"/>
      <c r="EH186" s="577"/>
      <c r="EI186" s="577"/>
      <c r="EJ186" s="577"/>
      <c r="EK186" s="577"/>
      <c r="EL186" s="577"/>
      <c r="EM186" s="577"/>
      <c r="EN186" s="577"/>
      <c r="EO186" s="577"/>
      <c r="EP186" s="52"/>
      <c r="EQ186" s="52"/>
      <c r="ER186" s="52"/>
      <c r="EW186" s="577"/>
      <c r="EX186" s="577"/>
      <c r="EY186" s="577"/>
      <c r="EZ186" s="577"/>
      <c r="FA186" s="577"/>
      <c r="FC186" s="577"/>
      <c r="FD186" s="577"/>
      <c r="FE186" s="577"/>
      <c r="FF186" s="577"/>
    </row>
    <row r="187" spans="2:162" ht="14.25" outlineLevel="3">
      <c r="B187" s="564" t="s">
        <v>158</v>
      </c>
      <c r="C187" s="565">
        <v>1</v>
      </c>
      <c r="D187" s="566" t="s">
        <v>152</v>
      </c>
      <c r="F187" s="500">
        <f t="shared" ref="F187:F188" si="945">W187+BG187+CQ187+EA187</f>
        <v>5.3820765625000003E-2</v>
      </c>
      <c r="G187" s="500">
        <f t="shared" ref="G187:G188" si="946">X187+BH187+CR187+EB187</f>
        <v>5.3820765625000003E-2</v>
      </c>
      <c r="H187" s="514">
        <f t="shared" ref="H187:H188" si="947">F187-G187</f>
        <v>0</v>
      </c>
      <c r="I187" s="514">
        <f t="shared" ref="I187:I188" si="948">Z187+BJ187+CT187+ED187</f>
        <v>0</v>
      </c>
      <c r="J187" s="514">
        <f t="shared" ref="J187:J188" si="949">AA187+BK187+CU187+EE187</f>
        <v>0</v>
      </c>
      <c r="K187" s="514">
        <f t="shared" ref="K187:K188" si="950">AB187+BL187+CV187+EF187</f>
        <v>0</v>
      </c>
      <c r="L187" s="514">
        <f t="shared" ref="L187:L188" si="951">AC187+BM187+CW187+EG187</f>
        <v>0</v>
      </c>
      <c r="M187" s="567">
        <f t="shared" ref="M187:M188" si="952">AD187+BN187+CX187+EH187</f>
        <v>0</v>
      </c>
      <c r="N187" s="568"/>
      <c r="O187" s="514">
        <f t="shared" ref="O187:O188" si="953">AF187+BP187+CZ187+EJ187</f>
        <v>0</v>
      </c>
      <c r="P187" s="514">
        <f t="shared" ref="P187:P188" si="954">AG187+BQ187+DA187+EK187</f>
        <v>0</v>
      </c>
      <c r="Q187" s="514">
        <f t="shared" ref="Q187:Q188" si="955">AH187+BR187+DB187+EL187</f>
        <v>0</v>
      </c>
      <c r="R187" s="514">
        <f t="shared" ref="R187:R188" si="956">AI187+BS187+DC187+EM187</f>
        <v>0</v>
      </c>
      <c r="S187" s="514">
        <f t="shared" ref="S187:S188" si="957">AJ187+BT187+DD187+EN187</f>
        <v>0</v>
      </c>
      <c r="U187" s="569">
        <v>0</v>
      </c>
      <c r="V187" s="503"/>
      <c r="W187" s="434"/>
      <c r="X187" s="435">
        <f t="shared" si="700"/>
        <v>0</v>
      </c>
      <c r="Y187" s="447"/>
      <c r="Z187" s="447"/>
      <c r="AA187" s="514">
        <f t="shared" si="778"/>
        <v>0</v>
      </c>
      <c r="AB187" s="514">
        <f t="shared" si="779"/>
        <v>0</v>
      </c>
      <c r="AC187" s="514">
        <f t="shared" si="780"/>
        <v>0</v>
      </c>
      <c r="AD187" s="567">
        <f t="shared" si="781"/>
        <v>0</v>
      </c>
      <c r="AE187" s="568"/>
      <c r="AF187" s="447"/>
      <c r="AG187" s="501"/>
      <c r="AH187" s="501"/>
      <c r="AI187" s="501"/>
      <c r="AJ187" s="501"/>
      <c r="AK187" s="501"/>
      <c r="AL187" s="513"/>
      <c r="AM187" s="513"/>
      <c r="AN187" s="513"/>
      <c r="AO187" s="520"/>
      <c r="AP187" s="551"/>
      <c r="AQ187" s="551"/>
      <c r="AR187" s="551"/>
      <c r="AS187" s="466"/>
      <c r="AT187" s="466"/>
      <c r="AU187" s="466"/>
      <c r="AV187" s="466"/>
      <c r="AW187" s="466"/>
      <c r="AX187" s="551"/>
      <c r="AY187" s="466"/>
      <c r="AZ187" s="466"/>
      <c r="BA187" s="466"/>
      <c r="BB187" s="466"/>
      <c r="BC187" s="551"/>
      <c r="BD187" s="551"/>
      <c r="BE187" s="511">
        <v>0.25</v>
      </c>
      <c r="BF187" s="508"/>
      <c r="BG187" s="506">
        <f>$BG$186/$BE$186*BE187</f>
        <v>5.3820765625000003E-2</v>
      </c>
      <c r="BH187" s="450">
        <f t="shared" si="717"/>
        <v>5.3820765625000003E-2</v>
      </c>
      <c r="BI187" s="514">
        <f>IFERROR(IF(BV187=100%,BG187,0),0)</f>
        <v>5.3820765625000003E-2</v>
      </c>
      <c r="BJ187" s="514">
        <f>IFERROR(IF(AND((BV187+BW187)=100%,BV187&lt;1),BG187,0),0)</f>
        <v>0</v>
      </c>
      <c r="BK187" s="514">
        <f t="shared" si="903"/>
        <v>0</v>
      </c>
      <c r="BL187" s="514">
        <f t="shared" si="904"/>
        <v>0</v>
      </c>
      <c r="BM187" s="514">
        <f t="shared" si="905"/>
        <v>0</v>
      </c>
      <c r="BN187" s="514">
        <f t="shared" si="906"/>
        <v>0</v>
      </c>
      <c r="BO187" s="501"/>
      <c r="BP187" s="514">
        <f>IFERROR(IF(AND((BV187+BX187)=100%,BV187&lt;1),BG187,0),0)</f>
        <v>0</v>
      </c>
      <c r="BQ187" s="514">
        <f>IFERROR(IF(AND((CA187+CI187)=BZ187,BI187=0),BG187,0),0)</f>
        <v>0</v>
      </c>
      <c r="BR187" s="514">
        <f>IFERROR(IF(AND((CA187+CI187+CJ187)=BZ187,BI187=0,BQ187=0),BG187,0),0)</f>
        <v>0</v>
      </c>
      <c r="BS187" s="514">
        <f>IFERROR(IF(AND((CA187+CI187+CJ187+CK187)=BZ187,BI187=0,BQ187=0,BR187=0),BG187,0),0)</f>
        <v>0</v>
      </c>
      <c r="BT187" s="514">
        <f>IFERROR(IF(AND((CA187+CI187+CJ187+CK187+CL187)=BZ187,BI187=0,BQ187=0,BR187=0,BS187=0),BG187,0),0)</f>
        <v>0</v>
      </c>
      <c r="BU187" s="501"/>
      <c r="BV187" s="571">
        <f t="shared" si="787"/>
        <v>1</v>
      </c>
      <c r="BW187" s="571">
        <f t="shared" si="788"/>
        <v>0</v>
      </c>
      <c r="BX187" s="571">
        <f t="shared" si="789"/>
        <v>0</v>
      </c>
      <c r="BY187" s="520"/>
      <c r="BZ187" s="514">
        <f>COUNTIF('ST | Drawing List'!$G:$G,"ST-S10-1")</f>
        <v>8</v>
      </c>
      <c r="CA187" s="506">
        <f>COUNTIFS('ST | Drawing List'!$G:$G,"ST-S10-1",'ST | Drawing List'!$I:$I,1)</f>
        <v>8</v>
      </c>
      <c r="CB187" s="572">
        <f>COUNTIFS('ST | Drawing List'!$G:$G,"ST-S10-1",'ST | Drawing List'!$K:$K,1)</f>
        <v>0</v>
      </c>
      <c r="CC187" s="506">
        <f>COUNTIFS('ST | Drawing List'!$G:$G,"ST-S10-1",'ST | Drawing List'!L:L,1)</f>
        <v>0</v>
      </c>
      <c r="CD187" s="506">
        <f>COUNTIFS('ST | Drawing List'!$G:$G,"ST-S10-1",'ST | Drawing List'!M:M,1)</f>
        <v>0</v>
      </c>
      <c r="CE187" s="506">
        <f>COUNTIFS('ST | Drawing List'!$G:$G,"ST-S10-1",'ST | Drawing List'!N:N,1)</f>
        <v>0</v>
      </c>
      <c r="CF187" s="506">
        <f>COUNTIFS('ST | Drawing List'!$G:$G,"ST-S10-1",'ST | Drawing List'!O:O,1)</f>
        <v>0</v>
      </c>
      <c r="CG187" s="471"/>
      <c r="CH187" s="572">
        <f>COUNTIFS('ST | Drawing List'!$G:$G,"ST-S10-1",'ST | Drawing List'!$P:$P,1)</f>
        <v>0</v>
      </c>
      <c r="CI187" s="506">
        <f>COUNTIFS('ST | Drawing List'!$G:$G,"ST-S10-1",'ST | Drawing List'!Q:Q,1)</f>
        <v>0</v>
      </c>
      <c r="CJ187" s="506">
        <f>COUNTIFS('ST | Drawing List'!$G:$G,"ST-S10-1",'ST | Drawing List'!R:R,1)</f>
        <v>0</v>
      </c>
      <c r="CK187" s="506">
        <f>COUNTIFS('ST | Drawing List'!$G:$G,"ST-S10-1",'ST | Drawing List'!S:S,1)</f>
        <v>0</v>
      </c>
      <c r="CL187" s="506">
        <f>COUNTIFS('ST | Drawing List'!$G:$G,"ST-S10-1",'ST | Drawing List'!T:T,1)</f>
        <v>0</v>
      </c>
      <c r="CM187" s="508"/>
      <c r="CN187" s="508"/>
      <c r="CO187" s="511">
        <v>0</v>
      </c>
      <c r="CP187" s="508"/>
      <c r="CQ187" s="469"/>
      <c r="CR187" s="450">
        <f t="shared" si="733"/>
        <v>0</v>
      </c>
      <c r="CS187" s="447"/>
      <c r="CT187" s="447"/>
      <c r="CU187" s="447"/>
      <c r="CV187" s="447"/>
      <c r="CW187" s="447"/>
      <c r="CX187" s="447"/>
      <c r="CY187" s="447"/>
      <c r="CZ187" s="447"/>
      <c r="DA187" s="447"/>
      <c r="DB187" s="447"/>
      <c r="DC187" s="447"/>
      <c r="DD187" s="447"/>
      <c r="DE187" s="447"/>
      <c r="DF187" s="513"/>
      <c r="DG187" s="513"/>
      <c r="DH187" s="513"/>
      <c r="DI187" s="520"/>
      <c r="DJ187" s="551"/>
      <c r="DK187" s="551"/>
      <c r="DL187" s="551"/>
      <c r="DM187" s="447"/>
      <c r="DN187" s="447"/>
      <c r="DO187" s="447"/>
      <c r="DP187" s="447"/>
      <c r="DQ187" s="447"/>
      <c r="DR187" s="551"/>
      <c r="DS187" s="447"/>
      <c r="DT187" s="447"/>
      <c r="DU187" s="447"/>
      <c r="DV187" s="447"/>
      <c r="DW187" s="508"/>
      <c r="DX187" s="508"/>
      <c r="DY187" s="511">
        <v>0</v>
      </c>
      <c r="DZ187" s="508"/>
      <c r="EA187" s="469"/>
      <c r="EB187" s="450">
        <f t="shared" si="748"/>
        <v>0</v>
      </c>
      <c r="EC187" s="448"/>
      <c r="ED187" s="448"/>
      <c r="EE187" s="448"/>
      <c r="EF187" s="448"/>
      <c r="EG187" s="448"/>
      <c r="EH187" s="448"/>
      <c r="EI187" s="448"/>
      <c r="EJ187" s="448"/>
      <c r="EK187" s="448"/>
      <c r="EL187" s="448"/>
      <c r="EM187" s="448"/>
      <c r="EN187" s="448"/>
      <c r="EO187" s="448"/>
      <c r="EP187" s="52"/>
      <c r="EQ187" s="52"/>
      <c r="ER187" s="52"/>
      <c r="ES187" s="523"/>
      <c r="EW187" s="448"/>
      <c r="EX187" s="448"/>
      <c r="EY187" s="448"/>
      <c r="EZ187" s="448"/>
      <c r="FA187" s="448"/>
      <c r="FC187" s="448"/>
      <c r="FD187" s="448"/>
      <c r="FE187" s="448"/>
      <c r="FF187" s="448"/>
    </row>
    <row r="188" spans="2:162" ht="14.25" outlineLevel="3">
      <c r="B188" s="564" t="s">
        <v>159</v>
      </c>
      <c r="C188" s="565">
        <v>2</v>
      </c>
      <c r="D188" s="566" t="s">
        <v>154</v>
      </c>
      <c r="F188" s="500">
        <f t="shared" si="945"/>
        <v>5.3820765625000003E-2</v>
      </c>
      <c r="G188" s="500">
        <f t="shared" si="946"/>
        <v>5.3820765625000003E-2</v>
      </c>
      <c r="H188" s="514">
        <f t="shared" si="947"/>
        <v>0</v>
      </c>
      <c r="I188" s="514">
        <f t="shared" si="948"/>
        <v>0</v>
      </c>
      <c r="J188" s="514">
        <f t="shared" si="949"/>
        <v>0</v>
      </c>
      <c r="K188" s="514">
        <f t="shared" si="950"/>
        <v>0</v>
      </c>
      <c r="L188" s="514">
        <f t="shared" si="951"/>
        <v>0</v>
      </c>
      <c r="M188" s="567">
        <f t="shared" si="952"/>
        <v>0</v>
      </c>
      <c r="N188" s="568"/>
      <c r="O188" s="514">
        <f t="shared" si="953"/>
        <v>0</v>
      </c>
      <c r="P188" s="514">
        <f t="shared" si="954"/>
        <v>0</v>
      </c>
      <c r="Q188" s="514">
        <f t="shared" si="955"/>
        <v>0</v>
      </c>
      <c r="R188" s="514">
        <f t="shared" si="956"/>
        <v>0</v>
      </c>
      <c r="S188" s="514">
        <f t="shared" si="957"/>
        <v>0</v>
      </c>
      <c r="U188" s="569">
        <v>0</v>
      </c>
      <c r="V188" s="503"/>
      <c r="W188" s="499"/>
      <c r="X188" s="500">
        <f t="shared" si="700"/>
        <v>0</v>
      </c>
      <c r="Y188" s="501"/>
      <c r="Z188" s="501"/>
      <c r="AA188" s="514">
        <f t="shared" si="778"/>
        <v>0</v>
      </c>
      <c r="AB188" s="514">
        <f t="shared" si="779"/>
        <v>0</v>
      </c>
      <c r="AC188" s="514">
        <f t="shared" si="780"/>
        <v>0</v>
      </c>
      <c r="AD188" s="567">
        <f t="shared" si="781"/>
        <v>0</v>
      </c>
      <c r="AE188" s="568"/>
      <c r="AF188" s="501"/>
      <c r="AG188" s="501"/>
      <c r="AH188" s="501"/>
      <c r="AI188" s="501"/>
      <c r="AJ188" s="501"/>
      <c r="AK188" s="501"/>
      <c r="AL188" s="513"/>
      <c r="AM188" s="513"/>
      <c r="AN188" s="513"/>
      <c r="AO188" s="505"/>
      <c r="AP188" s="551"/>
      <c r="AQ188" s="551"/>
      <c r="AR188" s="551"/>
      <c r="AS188" s="466"/>
      <c r="AT188" s="466"/>
      <c r="AU188" s="466"/>
      <c r="AV188" s="466"/>
      <c r="AW188" s="466"/>
      <c r="AX188" s="551"/>
      <c r="AY188" s="466"/>
      <c r="AZ188" s="466"/>
      <c r="BA188" s="466"/>
      <c r="BB188" s="466"/>
      <c r="BC188" s="551"/>
      <c r="BD188" s="551"/>
      <c r="BE188" s="511">
        <v>0.25</v>
      </c>
      <c r="BF188" s="508"/>
      <c r="BG188" s="506">
        <f>$BG$186/$BE$186*BE188</f>
        <v>5.3820765625000003E-2</v>
      </c>
      <c r="BH188" s="510">
        <f t="shared" si="717"/>
        <v>5.3820765625000003E-2</v>
      </c>
      <c r="BI188" s="514">
        <f>IFERROR(IF(BV188=100%,BG188,0),0)</f>
        <v>5.3820765625000003E-2</v>
      </c>
      <c r="BJ188" s="514">
        <f>IFERROR(IF(AND((BV188+BW188)=100%,BV188&lt;1),BG188,0),0)</f>
        <v>0</v>
      </c>
      <c r="BK188" s="514">
        <f t="shared" si="903"/>
        <v>0</v>
      </c>
      <c r="BL188" s="514">
        <f t="shared" si="904"/>
        <v>0</v>
      </c>
      <c r="BM188" s="514">
        <f t="shared" si="905"/>
        <v>0</v>
      </c>
      <c r="BN188" s="514">
        <f t="shared" si="906"/>
        <v>0</v>
      </c>
      <c r="BO188" s="501"/>
      <c r="BP188" s="514">
        <f>IFERROR(IF(AND((BV188+BX188)=100%,BV188&lt;1),BG188,0),0)</f>
        <v>0</v>
      </c>
      <c r="BQ188" s="514">
        <f>IFERROR(IF(AND((CA188+CI188)=BZ188,BI188=0),BG188,0),0)</f>
        <v>0</v>
      </c>
      <c r="BR188" s="514">
        <f>IFERROR(IF(AND((CA188+CI188+CJ188)=BZ188,BI188=0,BQ188=0),BG188,0),0)</f>
        <v>0</v>
      </c>
      <c r="BS188" s="514">
        <f>IFERROR(IF(AND((CA188+CI188+CJ188+CK188)=BZ188,BI188=0,BQ188=0,BR188=0),BG188,0),0)</f>
        <v>0</v>
      </c>
      <c r="BT188" s="514">
        <f>IFERROR(IF(AND((CA188+CI188+CJ188+CK188+CL188)=BZ188,BI188=0,BQ188=0,BR188=0,BS188=0),BG188,0),0)</f>
        <v>0</v>
      </c>
      <c r="BU188" s="501"/>
      <c r="BV188" s="571">
        <f t="shared" si="787"/>
        <v>1</v>
      </c>
      <c r="BW188" s="571">
        <f t="shared" si="788"/>
        <v>0</v>
      </c>
      <c r="BX188" s="571">
        <f t="shared" si="789"/>
        <v>0</v>
      </c>
      <c r="BY188" s="505"/>
      <c r="BZ188" s="514">
        <f>COUNTIF('ST | Drawing List'!$G:$G,"ST-S10-2")</f>
        <v>3</v>
      </c>
      <c r="CA188" s="506">
        <f>COUNTIFS('ST | Drawing List'!$G:$G,"ST-S10-2",'ST | Drawing List'!$I:$I,1)</f>
        <v>3</v>
      </c>
      <c r="CB188" s="572">
        <f>COUNTIFS('ST | Drawing List'!$G:$G,"ST-S10-2",'ST | Drawing List'!$K:$K,1)</f>
        <v>0</v>
      </c>
      <c r="CC188" s="506">
        <f>COUNTIFS('ST | Drawing List'!$G:$G,"ST-S10-2",'ST | Drawing List'!L:L,1)</f>
        <v>0</v>
      </c>
      <c r="CD188" s="506">
        <f>COUNTIFS('ST | Drawing List'!$G:$G,"ST-S10-2",'ST | Drawing List'!M:M,1)</f>
        <v>0</v>
      </c>
      <c r="CE188" s="506">
        <f>COUNTIFS('ST | Drawing List'!$G:$G,"ST-S10-2",'ST | Drawing List'!N:N,1)</f>
        <v>0</v>
      </c>
      <c r="CF188" s="506">
        <f>COUNTIFS('ST | Drawing List'!$G:$G,"ST-S10-2",'ST | Drawing List'!O:O,1)</f>
        <v>0</v>
      </c>
      <c r="CG188" s="471"/>
      <c r="CH188" s="572">
        <f>COUNTIFS('ST | Drawing List'!$G:$G,"ST-S10-2",'ST | Drawing List'!$P:$P,1)</f>
        <v>0</v>
      </c>
      <c r="CI188" s="506">
        <f>COUNTIFS('ST | Drawing List'!$G:$G,"ST-S10-2",'ST | Drawing List'!Q:Q,1)</f>
        <v>0</v>
      </c>
      <c r="CJ188" s="506">
        <f>COUNTIFS('ST | Drawing List'!$G:$G,"ST-S10-2",'ST | Drawing List'!R:R,1)</f>
        <v>0</v>
      </c>
      <c r="CK188" s="506">
        <f>COUNTIFS('ST | Drawing List'!$G:$G,"ST-S10-2",'ST | Drawing List'!S:S,1)</f>
        <v>0</v>
      </c>
      <c r="CL188" s="506">
        <f>COUNTIFS('ST | Drawing List'!$G:$G,"ST-S10-2",'ST | Drawing List'!T:T,1)</f>
        <v>0</v>
      </c>
      <c r="CM188" s="508"/>
      <c r="CN188" s="508"/>
      <c r="CO188" s="511">
        <v>0</v>
      </c>
      <c r="CP188" s="508"/>
      <c r="CQ188" s="509"/>
      <c r="CR188" s="510">
        <f t="shared" si="733"/>
        <v>0</v>
      </c>
      <c r="CS188" s="501"/>
      <c r="CT188" s="501"/>
      <c r="CU188" s="501"/>
      <c r="CV188" s="501"/>
      <c r="CW188" s="501"/>
      <c r="CX188" s="501"/>
      <c r="CY188" s="501"/>
      <c r="CZ188" s="501"/>
      <c r="DA188" s="501"/>
      <c r="DB188" s="501"/>
      <c r="DC188" s="501"/>
      <c r="DD188" s="501"/>
      <c r="DE188" s="501"/>
      <c r="DF188" s="513"/>
      <c r="DG188" s="513"/>
      <c r="DH188" s="513"/>
      <c r="DI188" s="505"/>
      <c r="DJ188" s="551"/>
      <c r="DK188" s="551"/>
      <c r="DL188" s="551"/>
      <c r="DM188" s="501"/>
      <c r="DN188" s="501"/>
      <c r="DO188" s="501"/>
      <c r="DP188" s="501"/>
      <c r="DQ188" s="501"/>
      <c r="DR188" s="551"/>
      <c r="DS188" s="501"/>
      <c r="DT188" s="501"/>
      <c r="DU188" s="501"/>
      <c r="DV188" s="501"/>
      <c r="DW188" s="508"/>
      <c r="DX188" s="508"/>
      <c r="DY188" s="511">
        <v>0</v>
      </c>
      <c r="DZ188" s="508"/>
      <c r="EA188" s="509"/>
      <c r="EB188" s="510">
        <f t="shared" si="748"/>
        <v>0</v>
      </c>
      <c r="EC188" s="515"/>
      <c r="ED188" s="515"/>
      <c r="EE188" s="515"/>
      <c r="EF188" s="515"/>
      <c r="EG188" s="515"/>
      <c r="EH188" s="515"/>
      <c r="EI188" s="515"/>
      <c r="EJ188" s="515"/>
      <c r="EK188" s="515"/>
      <c r="EL188" s="515"/>
      <c r="EM188" s="515"/>
      <c r="EN188" s="515"/>
      <c r="EO188" s="515"/>
      <c r="EP188" s="52"/>
      <c r="EQ188" s="52"/>
      <c r="ER188" s="52"/>
      <c r="ES188" s="516"/>
      <c r="EW188" s="515"/>
      <c r="EX188" s="515"/>
      <c r="EY188" s="515"/>
      <c r="EZ188" s="515"/>
      <c r="FA188" s="515"/>
      <c r="FC188" s="515"/>
      <c r="FD188" s="515"/>
      <c r="FE188" s="515"/>
      <c r="FF188" s="515"/>
    </row>
    <row r="189" spans="2:162" ht="3" customHeight="1" outlineLevel="2">
      <c r="B189" s="621"/>
      <c r="C189" s="622"/>
      <c r="D189" s="566"/>
      <c r="F189" s="499"/>
      <c r="G189" s="500"/>
      <c r="H189" s="501"/>
      <c r="I189" s="501"/>
      <c r="J189" s="514"/>
      <c r="K189" s="514"/>
      <c r="L189" s="514"/>
      <c r="M189" s="567"/>
      <c r="N189" s="568"/>
      <c r="O189" s="501"/>
      <c r="P189" s="501"/>
      <c r="Q189" s="501"/>
      <c r="R189" s="501"/>
      <c r="S189" s="501"/>
      <c r="U189" s="569"/>
      <c r="V189" s="503"/>
      <c r="W189" s="499"/>
      <c r="X189" s="500">
        <f t="shared" si="700"/>
        <v>0</v>
      </c>
      <c r="Y189" s="501"/>
      <c r="Z189" s="501"/>
      <c r="AA189" s="514">
        <f t="shared" ref="AA189:AA192" si="958">IFERROR(IF(AND((AQ189+AS189)=AP189,Y189=0),W189,0),0)</f>
        <v>0</v>
      </c>
      <c r="AB189" s="514">
        <f t="shared" ref="AB189:AB192" si="959">IFERROR(IF(AND((AQ189+AS189+AT189)=AP189,Y189=0,AA189=0),W189,0),0)</f>
        <v>0</v>
      </c>
      <c r="AC189" s="514">
        <f t="shared" ref="AC189:AC192" si="960">IFERROR(IF(AND((AQ189+AS189+AT189+AU189)=AP189,Y189=0,AA189=0,AB189=0),W189,0),0)</f>
        <v>0</v>
      </c>
      <c r="AD189" s="567">
        <f t="shared" ref="AD189:AD192" si="961">IFERROR(IF(AND((AQ189+AS189+AT189+AU189+AV189)=AP189,Y189=0,AA189=0,AB189=0,AC189=0),W189,0),0)</f>
        <v>0</v>
      </c>
      <c r="AE189" s="568"/>
      <c r="AF189" s="501"/>
      <c r="AG189" s="501"/>
      <c r="AH189" s="501"/>
      <c r="AI189" s="501"/>
      <c r="AJ189" s="501"/>
      <c r="AK189" s="501"/>
      <c r="AL189" s="513"/>
      <c r="AM189" s="513"/>
      <c r="AN189" s="513"/>
      <c r="AO189" s="505"/>
      <c r="AP189" s="551"/>
      <c r="AQ189" s="466"/>
      <c r="AR189" s="466"/>
      <c r="AS189" s="466"/>
      <c r="AT189" s="466"/>
      <c r="AU189" s="466"/>
      <c r="AV189" s="466"/>
      <c r="AW189" s="466"/>
      <c r="AX189" s="466"/>
      <c r="AY189" s="466"/>
      <c r="AZ189" s="466"/>
      <c r="BA189" s="466"/>
      <c r="BB189" s="466"/>
      <c r="BC189" s="466"/>
      <c r="BD189" s="466"/>
      <c r="BE189" s="511"/>
      <c r="BF189" s="508"/>
      <c r="BG189" s="509"/>
      <c r="BH189" s="510">
        <f t="shared" si="717"/>
        <v>0</v>
      </c>
      <c r="BI189" s="501"/>
      <c r="BJ189" s="501"/>
      <c r="BK189" s="514">
        <f t="shared" si="903"/>
        <v>0</v>
      </c>
      <c r="BL189" s="514">
        <f t="shared" si="904"/>
        <v>0</v>
      </c>
      <c r="BM189" s="514">
        <f t="shared" si="905"/>
        <v>0</v>
      </c>
      <c r="BN189" s="514">
        <f t="shared" si="906"/>
        <v>0</v>
      </c>
      <c r="BO189" s="501"/>
      <c r="BP189" s="514">
        <f>IFERROR(IF(AND((BV189+BX189)=100%,BV189&lt;1),BG189,0),0)</f>
        <v>0</v>
      </c>
      <c r="BQ189" s="501"/>
      <c r="BR189" s="501"/>
      <c r="BS189" s="501"/>
      <c r="BT189" s="501"/>
      <c r="BU189" s="501"/>
      <c r="BV189" s="571">
        <f t="shared" ref="BV189:BV192" si="962">IFERROR(CA189/BZ189,0)</f>
        <v>0</v>
      </c>
      <c r="BW189" s="571">
        <f t="shared" ref="BW189:BW192" si="963">IFERROR(CB189/BZ189,0)</f>
        <v>0</v>
      </c>
      <c r="BX189" s="571">
        <f t="shared" ref="BX189:BX192" si="964">IFERROR(CH189/BZ189,0)</f>
        <v>0</v>
      </c>
      <c r="BY189" s="505"/>
      <c r="BZ189" s="552"/>
      <c r="CA189" s="471"/>
      <c r="CB189" s="548"/>
      <c r="CC189" s="512"/>
      <c r="CD189" s="512"/>
      <c r="CE189" s="512"/>
      <c r="CF189" s="512"/>
      <c r="CG189" s="512"/>
      <c r="CH189" s="548"/>
      <c r="CI189" s="512"/>
      <c r="CJ189" s="512"/>
      <c r="CK189" s="512"/>
      <c r="CL189" s="512"/>
      <c r="CM189" s="508"/>
      <c r="CN189" s="508"/>
      <c r="CO189" s="511"/>
      <c r="CP189" s="508"/>
      <c r="CQ189" s="509"/>
      <c r="CR189" s="510">
        <f t="shared" si="733"/>
        <v>0</v>
      </c>
      <c r="CS189" s="501"/>
      <c r="CT189" s="501"/>
      <c r="CU189" s="501"/>
      <c r="CV189" s="501"/>
      <c r="CW189" s="501"/>
      <c r="CX189" s="501"/>
      <c r="CY189" s="501"/>
      <c r="CZ189" s="501"/>
      <c r="DA189" s="501"/>
      <c r="DB189" s="501"/>
      <c r="DC189" s="501"/>
      <c r="DD189" s="501"/>
      <c r="DE189" s="501"/>
      <c r="DF189" s="513"/>
      <c r="DG189" s="513"/>
      <c r="DH189" s="513"/>
      <c r="DI189" s="505"/>
      <c r="DJ189" s="551"/>
      <c r="DK189" s="466"/>
      <c r="DL189" s="466"/>
      <c r="DM189" s="501"/>
      <c r="DN189" s="501"/>
      <c r="DO189" s="501"/>
      <c r="DP189" s="501"/>
      <c r="DQ189" s="501"/>
      <c r="DR189" s="466"/>
      <c r="DS189" s="501"/>
      <c r="DT189" s="501"/>
      <c r="DU189" s="501"/>
      <c r="DV189" s="501"/>
      <c r="DW189" s="508"/>
      <c r="DX189" s="508"/>
      <c r="DY189" s="511"/>
      <c r="DZ189" s="508"/>
      <c r="EA189" s="509"/>
      <c r="EB189" s="510">
        <f t="shared" si="748"/>
        <v>0</v>
      </c>
      <c r="EC189" s="515"/>
      <c r="ED189" s="515"/>
      <c r="EE189" s="515"/>
      <c r="EF189" s="515"/>
      <c r="EG189" s="515"/>
      <c r="EH189" s="515"/>
      <c r="EI189" s="515"/>
      <c r="EJ189" s="515"/>
      <c r="EK189" s="515"/>
      <c r="EL189" s="515"/>
      <c r="EM189" s="515"/>
      <c r="EN189" s="515"/>
      <c r="EO189" s="515"/>
      <c r="EP189" s="52"/>
      <c r="EQ189" s="52"/>
      <c r="ER189" s="52"/>
      <c r="ES189" s="516"/>
      <c r="EU189" s="476"/>
      <c r="EV189" s="476"/>
      <c r="EW189" s="515"/>
      <c r="EX189" s="515"/>
      <c r="EY189" s="515"/>
      <c r="EZ189" s="515"/>
      <c r="FA189" s="515"/>
      <c r="FB189" s="476"/>
      <c r="FC189" s="515"/>
      <c r="FD189" s="515"/>
      <c r="FE189" s="515"/>
      <c r="FF189" s="515"/>
    </row>
    <row r="190" spans="2:162" ht="14.25" outlineLevel="2">
      <c r="B190" s="594">
        <v>2.1</v>
      </c>
      <c r="C190" s="595">
        <v>2.11</v>
      </c>
      <c r="D190" s="623" t="s">
        <v>173</v>
      </c>
      <c r="F190" s="434"/>
      <c r="G190" s="435"/>
      <c r="H190" s="615"/>
      <c r="I190" s="615"/>
      <c r="J190" s="514"/>
      <c r="K190" s="514"/>
      <c r="L190" s="514"/>
      <c r="M190" s="567"/>
      <c r="N190" s="568"/>
      <c r="O190" s="615"/>
      <c r="P190" s="501"/>
      <c r="Q190" s="501"/>
      <c r="R190" s="501"/>
      <c r="S190" s="501"/>
      <c r="U190" s="596">
        <v>0</v>
      </c>
      <c r="V190" s="597"/>
      <c r="W190" s="434">
        <v>0</v>
      </c>
      <c r="X190" s="435">
        <f t="shared" si="700"/>
        <v>0</v>
      </c>
      <c r="Y190" s="615"/>
      <c r="Z190" s="615"/>
      <c r="AA190" s="514">
        <f t="shared" si="958"/>
        <v>0</v>
      </c>
      <c r="AB190" s="514">
        <f t="shared" si="959"/>
        <v>0</v>
      </c>
      <c r="AC190" s="514">
        <f t="shared" si="960"/>
        <v>0</v>
      </c>
      <c r="AD190" s="567">
        <f t="shared" si="961"/>
        <v>0</v>
      </c>
      <c r="AE190" s="568"/>
      <c r="AF190" s="615"/>
      <c r="AG190" s="501"/>
      <c r="AH190" s="501"/>
      <c r="AI190" s="501"/>
      <c r="AJ190" s="501"/>
      <c r="AK190" s="501"/>
      <c r="AL190" s="513"/>
      <c r="AM190" s="513"/>
      <c r="AN190" s="513"/>
      <c r="AO190" s="518"/>
      <c r="AP190" s="551"/>
      <c r="AQ190" s="551"/>
      <c r="AR190" s="551"/>
      <c r="AS190" s="466"/>
      <c r="AT190" s="466"/>
      <c r="AU190" s="466"/>
      <c r="AV190" s="466"/>
      <c r="AW190" s="466"/>
      <c r="AX190" s="551"/>
      <c r="AY190" s="466"/>
      <c r="AZ190" s="466"/>
      <c r="BA190" s="466"/>
      <c r="BB190" s="466"/>
      <c r="BC190" s="551"/>
      <c r="BD190" s="551"/>
      <c r="BE190" s="685">
        <f>SUM(BE191:BE192)</f>
        <v>0.5</v>
      </c>
      <c r="BF190" s="597"/>
      <c r="BG190" s="556">
        <f>$BG$144*(95%/12)</f>
        <v>0.10764153125000001</v>
      </c>
      <c r="BH190" s="450">
        <f t="shared" si="717"/>
        <v>0.10764153125000001</v>
      </c>
      <c r="BI190" s="556">
        <f>SUM(BI191:BI192)</f>
        <v>0.10764153125000001</v>
      </c>
      <c r="BJ190" s="556">
        <f>SUM(BJ191:BJ192)</f>
        <v>0</v>
      </c>
      <c r="BK190" s="630">
        <f t="shared" si="903"/>
        <v>0</v>
      </c>
      <c r="BL190" s="514">
        <f t="shared" si="904"/>
        <v>0</v>
      </c>
      <c r="BM190" s="514">
        <f t="shared" si="905"/>
        <v>0</v>
      </c>
      <c r="BN190" s="514">
        <f t="shared" si="906"/>
        <v>0</v>
      </c>
      <c r="BO190" s="501"/>
      <c r="BP190" s="630">
        <f>SUM(BP191:BP192)</f>
        <v>0</v>
      </c>
      <c r="BQ190" s="630">
        <f t="shared" ref="BQ190:BT190" si="965">SUM(BQ191:BQ192)</f>
        <v>0</v>
      </c>
      <c r="BR190" s="630">
        <f t="shared" si="965"/>
        <v>0</v>
      </c>
      <c r="BS190" s="630">
        <f t="shared" si="965"/>
        <v>0</v>
      </c>
      <c r="BT190" s="630">
        <f t="shared" si="965"/>
        <v>0</v>
      </c>
      <c r="BU190" s="547"/>
      <c r="BV190" s="571">
        <f t="shared" si="962"/>
        <v>0</v>
      </c>
      <c r="BW190" s="571">
        <f t="shared" si="963"/>
        <v>0</v>
      </c>
      <c r="BX190" s="571">
        <f t="shared" si="964"/>
        <v>0</v>
      </c>
      <c r="BY190" s="518"/>
      <c r="BZ190" s="552"/>
      <c r="CA190" s="552"/>
      <c r="CB190" s="608"/>
      <c r="CC190" s="552"/>
      <c r="CD190" s="552"/>
      <c r="CE190" s="552"/>
      <c r="CF190" s="552"/>
      <c r="CG190" s="552"/>
      <c r="CH190" s="608"/>
      <c r="CI190" s="552"/>
      <c r="CJ190" s="552"/>
      <c r="CK190" s="552"/>
      <c r="CL190" s="552"/>
      <c r="CM190" s="597"/>
      <c r="CN190" s="597"/>
      <c r="CO190" s="596">
        <v>0</v>
      </c>
      <c r="CP190" s="597"/>
      <c r="CQ190" s="469"/>
      <c r="CR190" s="450">
        <f t="shared" si="733"/>
        <v>0</v>
      </c>
      <c r="CS190" s="615"/>
      <c r="CT190" s="615"/>
      <c r="CU190" s="615"/>
      <c r="CV190" s="615"/>
      <c r="CW190" s="615"/>
      <c r="CX190" s="615"/>
      <c r="CY190" s="615"/>
      <c r="CZ190" s="615"/>
      <c r="DA190" s="615"/>
      <c r="DB190" s="615"/>
      <c r="DC190" s="615"/>
      <c r="DD190" s="615"/>
      <c r="DE190" s="615"/>
      <c r="DF190" s="513"/>
      <c r="DG190" s="513"/>
      <c r="DH190" s="513"/>
      <c r="DI190" s="518"/>
      <c r="DJ190" s="551"/>
      <c r="DK190" s="551"/>
      <c r="DL190" s="551"/>
      <c r="DM190" s="615"/>
      <c r="DN190" s="615"/>
      <c r="DO190" s="615"/>
      <c r="DP190" s="615"/>
      <c r="DQ190" s="615"/>
      <c r="DR190" s="551"/>
      <c r="DS190" s="615"/>
      <c r="DT190" s="615"/>
      <c r="DU190" s="615"/>
      <c r="DV190" s="615"/>
      <c r="DW190" s="597"/>
      <c r="DX190" s="597"/>
      <c r="DY190" s="596">
        <v>0</v>
      </c>
      <c r="DZ190" s="597"/>
      <c r="EA190" s="469"/>
      <c r="EB190" s="450">
        <f t="shared" si="748"/>
        <v>0</v>
      </c>
      <c r="EC190" s="577"/>
      <c r="ED190" s="577"/>
      <c r="EE190" s="577"/>
      <c r="EF190" s="577"/>
      <c r="EG190" s="577"/>
      <c r="EH190" s="577"/>
      <c r="EI190" s="577"/>
      <c r="EJ190" s="577"/>
      <c r="EK190" s="577"/>
      <c r="EL190" s="577"/>
      <c r="EM190" s="577"/>
      <c r="EN190" s="577"/>
      <c r="EO190" s="577"/>
      <c r="EP190" s="52"/>
      <c r="EQ190" s="52"/>
      <c r="ER190" s="52"/>
      <c r="EW190" s="577"/>
      <c r="EX190" s="577"/>
      <c r="EY190" s="577"/>
      <c r="EZ190" s="577"/>
      <c r="FA190" s="577"/>
      <c r="FC190" s="577"/>
      <c r="FD190" s="577"/>
      <c r="FE190" s="577"/>
      <c r="FF190" s="577"/>
    </row>
    <row r="191" spans="2:162" ht="14.25" outlineLevel="3">
      <c r="B191" s="564" t="s">
        <v>158</v>
      </c>
      <c r="C191" s="565">
        <v>1</v>
      </c>
      <c r="D191" s="566" t="s">
        <v>152</v>
      </c>
      <c r="F191" s="500">
        <f t="shared" ref="F191:F192" si="966">W191+BG191+CQ191+EA191</f>
        <v>5.3820765625000003E-2</v>
      </c>
      <c r="G191" s="500">
        <f t="shared" ref="G191:G192" si="967">X191+BH191+CR191+EB191</f>
        <v>5.3820765625000003E-2</v>
      </c>
      <c r="H191" s="514">
        <f t="shared" ref="H191:H192" si="968">F191-G191</f>
        <v>0</v>
      </c>
      <c r="I191" s="514">
        <f t="shared" ref="I191:I192" si="969">Z191+BJ191+CT191+ED191</f>
        <v>0</v>
      </c>
      <c r="J191" s="514">
        <f t="shared" ref="J191:J192" si="970">AA191+BK191+CU191+EE191</f>
        <v>0</v>
      </c>
      <c r="K191" s="514">
        <f t="shared" ref="K191:K192" si="971">AB191+BL191+CV191+EF191</f>
        <v>0</v>
      </c>
      <c r="L191" s="514">
        <f t="shared" ref="L191:L192" si="972">AC191+BM191+CW191+EG191</f>
        <v>0</v>
      </c>
      <c r="M191" s="567">
        <f t="shared" ref="M191:M192" si="973">AD191+BN191+CX191+EH191</f>
        <v>0</v>
      </c>
      <c r="N191" s="568"/>
      <c r="O191" s="514">
        <f t="shared" ref="O191:O192" si="974">AF191+BP191+CZ191+EJ191</f>
        <v>0</v>
      </c>
      <c r="P191" s="514">
        <f t="shared" ref="P191:P192" si="975">AG191+BQ191+DA191+EK191</f>
        <v>0</v>
      </c>
      <c r="Q191" s="514">
        <f t="shared" ref="Q191:Q192" si="976">AH191+BR191+DB191+EL191</f>
        <v>0</v>
      </c>
      <c r="R191" s="514">
        <f t="shared" ref="R191:R192" si="977">AI191+BS191+DC191+EM191</f>
        <v>0</v>
      </c>
      <c r="S191" s="514">
        <f t="shared" ref="S191:S192" si="978">AJ191+BT191+DD191+EN191</f>
        <v>0</v>
      </c>
      <c r="U191" s="569">
        <v>0</v>
      </c>
      <c r="V191" s="503"/>
      <c r="W191" s="434"/>
      <c r="X191" s="435">
        <f t="shared" si="700"/>
        <v>0</v>
      </c>
      <c r="Y191" s="447"/>
      <c r="Z191" s="447"/>
      <c r="AA191" s="514">
        <f t="shared" si="958"/>
        <v>0</v>
      </c>
      <c r="AB191" s="514">
        <f t="shared" si="959"/>
        <v>0</v>
      </c>
      <c r="AC191" s="514">
        <f t="shared" si="960"/>
        <v>0</v>
      </c>
      <c r="AD191" s="567">
        <f t="shared" si="961"/>
        <v>0</v>
      </c>
      <c r="AE191" s="568"/>
      <c r="AF191" s="447"/>
      <c r="AG191" s="501"/>
      <c r="AH191" s="501"/>
      <c r="AI191" s="501"/>
      <c r="AJ191" s="501"/>
      <c r="AK191" s="501"/>
      <c r="AL191" s="513"/>
      <c r="AM191" s="513"/>
      <c r="AN191" s="513"/>
      <c r="AO191" s="520"/>
      <c r="AP191" s="551"/>
      <c r="AQ191" s="551"/>
      <c r="AR191" s="551"/>
      <c r="AS191" s="466"/>
      <c r="AT191" s="466"/>
      <c r="AU191" s="466"/>
      <c r="AV191" s="466"/>
      <c r="AW191" s="466"/>
      <c r="AX191" s="551"/>
      <c r="AY191" s="466"/>
      <c r="AZ191" s="466"/>
      <c r="BA191" s="466"/>
      <c r="BB191" s="466"/>
      <c r="BC191" s="551"/>
      <c r="BD191" s="551"/>
      <c r="BE191" s="511">
        <v>0.25</v>
      </c>
      <c r="BF191" s="508"/>
      <c r="BG191" s="506">
        <f>$BG$190/$BE$190*BE191</f>
        <v>5.3820765625000003E-2</v>
      </c>
      <c r="BH191" s="450">
        <f t="shared" si="717"/>
        <v>5.3820765625000003E-2</v>
      </c>
      <c r="BI191" s="514">
        <f>IFERROR(IF(BV191=100%,BG191,0),0)</f>
        <v>5.3820765625000003E-2</v>
      </c>
      <c r="BJ191" s="514">
        <f>IFERROR(IF(AND((BV191+BW191)=100%,BV191&lt;1),BG191,0),0)</f>
        <v>0</v>
      </c>
      <c r="BK191" s="514">
        <f t="shared" si="903"/>
        <v>0</v>
      </c>
      <c r="BL191" s="514">
        <f t="shared" si="904"/>
        <v>0</v>
      </c>
      <c r="BM191" s="514">
        <f t="shared" si="905"/>
        <v>0</v>
      </c>
      <c r="BN191" s="514">
        <f t="shared" si="906"/>
        <v>0</v>
      </c>
      <c r="BO191" s="501"/>
      <c r="BP191" s="514">
        <f>IFERROR(IF(AND((BV191+BX191)=100%,BV191&lt;1),BG191,0),0)</f>
        <v>0</v>
      </c>
      <c r="BQ191" s="514">
        <f>IFERROR(IF(AND((CA191+CI191)=BZ191,BI191=0),BG191,0),0)</f>
        <v>0</v>
      </c>
      <c r="BR191" s="514">
        <f>IFERROR(IF(AND((CA191+CI191+CJ191)=BZ191,BI191=0,BQ191=0),BG191,0),0)</f>
        <v>0</v>
      </c>
      <c r="BS191" s="514">
        <f>IFERROR(IF(AND((CA191+CI191+CJ191+CK191)=BZ191,BI191=0,BQ191=0,BR191=0),BG191,0),0)</f>
        <v>0</v>
      </c>
      <c r="BT191" s="514">
        <f>IFERROR(IF(AND((CA191+CI191+CJ191+CK191+CL191)=BZ191,BI191=0,BQ191=0,BR191=0,BS191=0),BG191,0),0)</f>
        <v>0</v>
      </c>
      <c r="BU191" s="501"/>
      <c r="BV191" s="571">
        <f t="shared" si="962"/>
        <v>1</v>
      </c>
      <c r="BW191" s="571">
        <f t="shared" si="963"/>
        <v>0</v>
      </c>
      <c r="BX191" s="571">
        <f t="shared" si="964"/>
        <v>0</v>
      </c>
      <c r="BY191" s="520"/>
      <c r="BZ191" s="514">
        <f>COUNTIF('ST | Drawing List'!$G:$G,"ST-S11-1")</f>
        <v>8</v>
      </c>
      <c r="CA191" s="506">
        <f>COUNTIFS('ST | Drawing List'!$G:$G,"ST-S11-1",'ST | Drawing List'!$I:$I,1)</f>
        <v>8</v>
      </c>
      <c r="CB191" s="572">
        <f>COUNTIFS('ST | Drawing List'!$G:$G,"ST-S11-1",'ST | Drawing List'!$K:$K,1)</f>
        <v>0</v>
      </c>
      <c r="CC191" s="506">
        <f>COUNTIFS('ST | Drawing List'!$G:$G,"ST-S11-1",'ST | Drawing List'!L:L,1)</f>
        <v>0</v>
      </c>
      <c r="CD191" s="506">
        <f>COUNTIFS('ST | Drawing List'!$G:$G,"ST-S11-1",'ST | Drawing List'!M:M,1)</f>
        <v>0</v>
      </c>
      <c r="CE191" s="506">
        <f>COUNTIFS('ST | Drawing List'!$G:$G,"ST-S11-1",'ST | Drawing List'!N:N,1)</f>
        <v>0</v>
      </c>
      <c r="CF191" s="506">
        <f>COUNTIFS('ST | Drawing List'!$G:$G,"ST-S11-1",'ST | Drawing List'!O:O,1)</f>
        <v>0</v>
      </c>
      <c r="CG191" s="471"/>
      <c r="CH191" s="572">
        <f>COUNTIFS('ST | Drawing List'!$G:$G,"ST-S11-1",'ST | Drawing List'!$P:$P,1)</f>
        <v>0</v>
      </c>
      <c r="CI191" s="506">
        <f>COUNTIFS('ST | Drawing List'!$G:$G,"ST-S11-1",'ST | Drawing List'!Q:Q,1)</f>
        <v>0</v>
      </c>
      <c r="CJ191" s="506">
        <f>COUNTIFS('ST | Drawing List'!$G:$G,"ST-S11-1",'ST | Drawing List'!R:R,1)</f>
        <v>0</v>
      </c>
      <c r="CK191" s="506">
        <f>COUNTIFS('ST | Drawing List'!$G:$G,"ST-S11-1",'ST | Drawing List'!S:S,1)</f>
        <v>0</v>
      </c>
      <c r="CL191" s="506">
        <f>COUNTIFS('ST | Drawing List'!$G:$G,"ST-S11-1",'ST | Drawing List'!T:T,1)</f>
        <v>0</v>
      </c>
      <c r="CM191" s="508"/>
      <c r="CN191" s="508"/>
      <c r="CO191" s="511">
        <v>0</v>
      </c>
      <c r="CP191" s="508"/>
      <c r="CQ191" s="469"/>
      <c r="CR191" s="450">
        <f t="shared" si="733"/>
        <v>0</v>
      </c>
      <c r="CS191" s="447"/>
      <c r="CT191" s="447"/>
      <c r="CU191" s="447"/>
      <c r="CV191" s="447"/>
      <c r="CW191" s="447"/>
      <c r="CX191" s="447"/>
      <c r="CY191" s="447"/>
      <c r="CZ191" s="447"/>
      <c r="DA191" s="447"/>
      <c r="DB191" s="447"/>
      <c r="DC191" s="447"/>
      <c r="DD191" s="447"/>
      <c r="DE191" s="447"/>
      <c r="DF191" s="513"/>
      <c r="DG191" s="513"/>
      <c r="DH191" s="513"/>
      <c r="DI191" s="520"/>
      <c r="DJ191" s="551"/>
      <c r="DK191" s="551"/>
      <c r="DL191" s="551"/>
      <c r="DM191" s="447"/>
      <c r="DN191" s="447"/>
      <c r="DO191" s="447"/>
      <c r="DP191" s="447"/>
      <c r="DQ191" s="447"/>
      <c r="DR191" s="551"/>
      <c r="DS191" s="447"/>
      <c r="DT191" s="447"/>
      <c r="DU191" s="447"/>
      <c r="DV191" s="447"/>
      <c r="DW191" s="508"/>
      <c r="DX191" s="508"/>
      <c r="DY191" s="511">
        <v>0</v>
      </c>
      <c r="DZ191" s="508"/>
      <c r="EA191" s="469"/>
      <c r="EB191" s="450">
        <f t="shared" si="748"/>
        <v>0</v>
      </c>
      <c r="EC191" s="448"/>
      <c r="ED191" s="448"/>
      <c r="EE191" s="448"/>
      <c r="EF191" s="448"/>
      <c r="EG191" s="448"/>
      <c r="EH191" s="448"/>
      <c r="EI191" s="448"/>
      <c r="EJ191" s="448"/>
      <c r="EK191" s="448"/>
      <c r="EL191" s="448"/>
      <c r="EM191" s="448"/>
      <c r="EN191" s="448"/>
      <c r="EO191" s="448"/>
      <c r="EP191" s="52"/>
      <c r="EQ191" s="52"/>
      <c r="ER191" s="52"/>
      <c r="ES191" s="523"/>
      <c r="EW191" s="448"/>
      <c r="EX191" s="448"/>
      <c r="EY191" s="448"/>
      <c r="EZ191" s="448"/>
      <c r="FA191" s="448"/>
      <c r="FC191" s="448"/>
      <c r="FD191" s="448"/>
      <c r="FE191" s="448"/>
      <c r="FF191" s="448"/>
    </row>
    <row r="192" spans="2:162" ht="14.25" outlineLevel="3">
      <c r="B192" s="564" t="s">
        <v>159</v>
      </c>
      <c r="C192" s="565">
        <v>2</v>
      </c>
      <c r="D192" s="566" t="s">
        <v>154</v>
      </c>
      <c r="F192" s="500">
        <f t="shared" si="966"/>
        <v>5.3820765625000003E-2</v>
      </c>
      <c r="G192" s="500">
        <f t="shared" si="967"/>
        <v>5.3820765625000003E-2</v>
      </c>
      <c r="H192" s="514">
        <f t="shared" si="968"/>
        <v>0</v>
      </c>
      <c r="I192" s="514">
        <f t="shared" si="969"/>
        <v>0</v>
      </c>
      <c r="J192" s="514">
        <f t="shared" si="970"/>
        <v>0</v>
      </c>
      <c r="K192" s="514">
        <f t="shared" si="971"/>
        <v>0</v>
      </c>
      <c r="L192" s="514">
        <f t="shared" si="972"/>
        <v>0</v>
      </c>
      <c r="M192" s="567">
        <f t="shared" si="973"/>
        <v>0</v>
      </c>
      <c r="N192" s="568"/>
      <c r="O192" s="514">
        <f t="shared" si="974"/>
        <v>0</v>
      </c>
      <c r="P192" s="514">
        <f t="shared" si="975"/>
        <v>0</v>
      </c>
      <c r="Q192" s="514">
        <f t="shared" si="976"/>
        <v>0</v>
      </c>
      <c r="R192" s="514">
        <f t="shared" si="977"/>
        <v>0</v>
      </c>
      <c r="S192" s="514">
        <f t="shared" si="978"/>
        <v>0</v>
      </c>
      <c r="U192" s="569">
        <v>0</v>
      </c>
      <c r="V192" s="503"/>
      <c r="W192" s="499"/>
      <c r="X192" s="500">
        <f t="shared" si="700"/>
        <v>0</v>
      </c>
      <c r="Y192" s="501"/>
      <c r="Z192" s="501"/>
      <c r="AA192" s="514">
        <f t="shared" si="958"/>
        <v>0</v>
      </c>
      <c r="AB192" s="514">
        <f t="shared" si="959"/>
        <v>0</v>
      </c>
      <c r="AC192" s="514">
        <f t="shared" si="960"/>
        <v>0</v>
      </c>
      <c r="AD192" s="567">
        <f t="shared" si="961"/>
        <v>0</v>
      </c>
      <c r="AE192" s="568"/>
      <c r="AF192" s="501"/>
      <c r="AG192" s="501"/>
      <c r="AH192" s="501"/>
      <c r="AI192" s="501"/>
      <c r="AJ192" s="501"/>
      <c r="AK192" s="501"/>
      <c r="AL192" s="513"/>
      <c r="AM192" s="513"/>
      <c r="AN192" s="513"/>
      <c r="AO192" s="505"/>
      <c r="AP192" s="551"/>
      <c r="AQ192" s="551"/>
      <c r="AR192" s="551"/>
      <c r="AS192" s="466"/>
      <c r="AT192" s="466"/>
      <c r="AU192" s="466"/>
      <c r="AV192" s="466"/>
      <c r="AW192" s="466"/>
      <c r="AX192" s="551"/>
      <c r="AY192" s="466"/>
      <c r="AZ192" s="466"/>
      <c r="BA192" s="466"/>
      <c r="BB192" s="466"/>
      <c r="BC192" s="551"/>
      <c r="BD192" s="551"/>
      <c r="BE192" s="511">
        <v>0.25</v>
      </c>
      <c r="BF192" s="508"/>
      <c r="BG192" s="506">
        <f>$BG$190/$BE$190*BE192</f>
        <v>5.3820765625000003E-2</v>
      </c>
      <c r="BH192" s="510">
        <f t="shared" si="717"/>
        <v>5.3820765625000003E-2</v>
      </c>
      <c r="BI192" s="514">
        <f>IFERROR(IF(BV192=100%,BG192,0),0)</f>
        <v>5.3820765625000003E-2</v>
      </c>
      <c r="BJ192" s="514">
        <f>IFERROR(IF(AND((BV192+BW192)=100%,BV192&lt;1),BG192,0),0)</f>
        <v>0</v>
      </c>
      <c r="BK192" s="514">
        <f t="shared" si="903"/>
        <v>0</v>
      </c>
      <c r="BL192" s="514">
        <f t="shared" si="904"/>
        <v>0</v>
      </c>
      <c r="BM192" s="514">
        <f t="shared" si="905"/>
        <v>0</v>
      </c>
      <c r="BN192" s="514">
        <f t="shared" si="906"/>
        <v>0</v>
      </c>
      <c r="BO192" s="501"/>
      <c r="BP192" s="514">
        <f>IFERROR(IF(AND((BV192+BX192)=100%,BV192&lt;1),BG192,0),0)</f>
        <v>0</v>
      </c>
      <c r="BQ192" s="514">
        <f>IFERROR(IF(AND((CA192+CI192)=BZ192,BI192=0),BG192,0),0)</f>
        <v>0</v>
      </c>
      <c r="BR192" s="514">
        <f>IFERROR(IF(AND((CA192+CI192+CJ192)=BZ192,BI192=0,BQ192=0),BG192,0),0)</f>
        <v>0</v>
      </c>
      <c r="BS192" s="514">
        <f>IFERROR(IF(AND((CA192+CI192+CJ192+CK192)=BZ192,BI192=0,BQ192=0,BR192=0),BG192,0),0)</f>
        <v>0</v>
      </c>
      <c r="BT192" s="514">
        <f>IFERROR(IF(AND((CA192+CI192+CJ192+CK192+CL192)=BZ192,BI192=0,BQ192=0,BR192=0,BS192=0),BG192,0),0)</f>
        <v>0</v>
      </c>
      <c r="BU192" s="501"/>
      <c r="BV192" s="571">
        <f t="shared" si="962"/>
        <v>1</v>
      </c>
      <c r="BW192" s="571">
        <f t="shared" si="963"/>
        <v>0</v>
      </c>
      <c r="BX192" s="571">
        <f t="shared" si="964"/>
        <v>0</v>
      </c>
      <c r="BY192" s="505"/>
      <c r="BZ192" s="514">
        <f>COUNTIF('ST | Drawing List'!$G:$G,"ST-S11-2")</f>
        <v>3</v>
      </c>
      <c r="CA192" s="506">
        <f>COUNTIFS('ST | Drawing List'!$G:$G,"ST-S11-2",'ST | Drawing List'!$I:$I,1)</f>
        <v>3</v>
      </c>
      <c r="CB192" s="572">
        <f>COUNTIFS('ST | Drawing List'!$G:$G,"ST-S11-2",'ST | Drawing List'!$K:$K,1)</f>
        <v>0</v>
      </c>
      <c r="CC192" s="506">
        <f>COUNTIFS('ST | Drawing List'!$G:$G,"ST-S11-2",'ST | Drawing List'!L:L,1)</f>
        <v>0</v>
      </c>
      <c r="CD192" s="506">
        <f>COUNTIFS('ST | Drawing List'!$G:$G,"ST-S11-2",'ST | Drawing List'!M:M,1)</f>
        <v>0</v>
      </c>
      <c r="CE192" s="506">
        <f>COUNTIFS('ST | Drawing List'!$G:$G,"ST-S11-2",'ST | Drawing List'!N:N,1)</f>
        <v>0</v>
      </c>
      <c r="CF192" s="506">
        <f>COUNTIFS('ST | Drawing List'!$G:$G,"ST-S11-2",'ST | Drawing List'!O:O,1)</f>
        <v>0</v>
      </c>
      <c r="CG192" s="471"/>
      <c r="CH192" s="572">
        <f>COUNTIFS('ST | Drawing List'!$G:$G,"ST-S11-2",'ST | Drawing List'!$P:$P,1)</f>
        <v>0</v>
      </c>
      <c r="CI192" s="506">
        <f>COUNTIFS('ST | Drawing List'!$G:$G,"ST-S11-2",'ST | Drawing List'!Q:Q,1)</f>
        <v>0</v>
      </c>
      <c r="CJ192" s="506">
        <f>COUNTIFS('ST | Drawing List'!$G:$G,"ST-S11-2",'ST | Drawing List'!R:R,1)</f>
        <v>0</v>
      </c>
      <c r="CK192" s="506">
        <f>COUNTIFS('ST | Drawing List'!$G:$G,"ST-S11-2",'ST | Drawing List'!S:S,1)</f>
        <v>0</v>
      </c>
      <c r="CL192" s="506">
        <f>COUNTIFS('ST | Drawing List'!$G:$G,"ST-S11-2",'ST | Drawing List'!T:T,1)</f>
        <v>0</v>
      </c>
      <c r="CM192" s="508"/>
      <c r="CN192" s="508"/>
      <c r="CO192" s="511">
        <v>0</v>
      </c>
      <c r="CP192" s="508"/>
      <c r="CQ192" s="509"/>
      <c r="CR192" s="510">
        <f t="shared" si="733"/>
        <v>0</v>
      </c>
      <c r="CS192" s="501"/>
      <c r="CT192" s="501"/>
      <c r="CU192" s="501"/>
      <c r="CV192" s="501"/>
      <c r="CW192" s="501"/>
      <c r="CX192" s="501"/>
      <c r="CY192" s="501"/>
      <c r="CZ192" s="501"/>
      <c r="DA192" s="501"/>
      <c r="DB192" s="501"/>
      <c r="DC192" s="501"/>
      <c r="DD192" s="501"/>
      <c r="DE192" s="501"/>
      <c r="DF192" s="513"/>
      <c r="DG192" s="513"/>
      <c r="DH192" s="513"/>
      <c r="DI192" s="505"/>
      <c r="DJ192" s="551"/>
      <c r="DK192" s="551"/>
      <c r="DL192" s="551"/>
      <c r="DM192" s="501"/>
      <c r="DN192" s="501"/>
      <c r="DO192" s="501"/>
      <c r="DP192" s="501"/>
      <c r="DQ192" s="501"/>
      <c r="DR192" s="551"/>
      <c r="DS192" s="501"/>
      <c r="DT192" s="501"/>
      <c r="DU192" s="501"/>
      <c r="DV192" s="501"/>
      <c r="DW192" s="508"/>
      <c r="DX192" s="508"/>
      <c r="DY192" s="511">
        <v>0</v>
      </c>
      <c r="DZ192" s="508"/>
      <c r="EA192" s="509"/>
      <c r="EB192" s="510">
        <f t="shared" si="748"/>
        <v>0</v>
      </c>
      <c r="EC192" s="515"/>
      <c r="ED192" s="515"/>
      <c r="EE192" s="515"/>
      <c r="EF192" s="515"/>
      <c r="EG192" s="515"/>
      <c r="EH192" s="515"/>
      <c r="EI192" s="515"/>
      <c r="EJ192" s="515"/>
      <c r="EK192" s="515"/>
      <c r="EL192" s="515"/>
      <c r="EM192" s="515"/>
      <c r="EN192" s="515"/>
      <c r="EO192" s="515"/>
      <c r="EP192" s="52"/>
      <c r="EQ192" s="52"/>
      <c r="ER192" s="52"/>
      <c r="ES192" s="516"/>
      <c r="EW192" s="515"/>
      <c r="EX192" s="515"/>
      <c r="EY192" s="515"/>
      <c r="EZ192" s="515"/>
      <c r="FA192" s="515"/>
      <c r="FC192" s="515"/>
      <c r="FD192" s="515"/>
      <c r="FE192" s="515"/>
      <c r="FF192" s="515"/>
    </row>
    <row r="193" spans="2:165" ht="3" customHeight="1" outlineLevel="2">
      <c r="B193" s="621"/>
      <c r="C193" s="622"/>
      <c r="D193" s="566"/>
      <c r="F193" s="499"/>
      <c r="G193" s="500"/>
      <c r="H193" s="501"/>
      <c r="I193" s="501"/>
      <c r="J193" s="514"/>
      <c r="K193" s="514"/>
      <c r="L193" s="514"/>
      <c r="M193" s="567"/>
      <c r="N193" s="568"/>
      <c r="O193" s="501"/>
      <c r="P193" s="501"/>
      <c r="Q193" s="501"/>
      <c r="R193" s="501"/>
      <c r="S193" s="501"/>
      <c r="U193" s="569"/>
      <c r="V193" s="503"/>
      <c r="W193" s="499"/>
      <c r="X193" s="500">
        <f t="shared" si="700"/>
        <v>0</v>
      </c>
      <c r="Y193" s="501"/>
      <c r="Z193" s="501"/>
      <c r="AA193" s="514">
        <f t="shared" ref="AA193:AA196" si="979">IFERROR(IF(AND((AQ193+AS193)=AP193,Y193=0),W193,0),0)</f>
        <v>0</v>
      </c>
      <c r="AB193" s="514">
        <f t="shared" ref="AB193:AB196" si="980">IFERROR(IF(AND((AQ193+AS193+AT193)=AP193,Y193=0,AA193=0),W193,0),0)</f>
        <v>0</v>
      </c>
      <c r="AC193" s="514">
        <f t="shared" ref="AC193:AC196" si="981">IFERROR(IF(AND((AQ193+AS193+AT193+AU193)=AP193,Y193=0,AA193=0,AB193=0),W193,0),0)</f>
        <v>0</v>
      </c>
      <c r="AD193" s="567">
        <f t="shared" ref="AD193:AD196" si="982">IFERROR(IF(AND((AQ193+AS193+AT193+AU193+AV193)=AP193,Y193=0,AA193=0,AB193=0,AC193=0),W193,0),0)</f>
        <v>0</v>
      </c>
      <c r="AE193" s="568"/>
      <c r="AF193" s="501"/>
      <c r="AG193" s="501"/>
      <c r="AH193" s="501"/>
      <c r="AI193" s="501"/>
      <c r="AJ193" s="501"/>
      <c r="AK193" s="501"/>
      <c r="AL193" s="513"/>
      <c r="AM193" s="513"/>
      <c r="AN193" s="513"/>
      <c r="AO193" s="505"/>
      <c r="AP193" s="551"/>
      <c r="AQ193" s="466"/>
      <c r="AR193" s="466"/>
      <c r="AS193" s="466"/>
      <c r="AT193" s="466"/>
      <c r="AU193" s="466"/>
      <c r="AV193" s="466"/>
      <c r="AW193" s="466"/>
      <c r="AX193" s="466"/>
      <c r="AY193" s="466"/>
      <c r="AZ193" s="466"/>
      <c r="BA193" s="466"/>
      <c r="BB193" s="466"/>
      <c r="BC193" s="466"/>
      <c r="BD193" s="466"/>
      <c r="BE193" s="511"/>
      <c r="BF193" s="508"/>
      <c r="BG193" s="509"/>
      <c r="BH193" s="510">
        <f t="shared" si="717"/>
        <v>0</v>
      </c>
      <c r="BI193" s="501"/>
      <c r="BJ193" s="501"/>
      <c r="BK193" s="514">
        <f t="shared" si="903"/>
        <v>0</v>
      </c>
      <c r="BL193" s="514">
        <f t="shared" si="904"/>
        <v>0</v>
      </c>
      <c r="BM193" s="514">
        <f t="shared" si="905"/>
        <v>0</v>
      </c>
      <c r="BN193" s="514">
        <f t="shared" si="906"/>
        <v>0</v>
      </c>
      <c r="BO193" s="501"/>
      <c r="BP193" s="514">
        <f>IFERROR(IF(AND((BV193+BX193)=100%,BV193&lt;1),BG193,0),0)</f>
        <v>0</v>
      </c>
      <c r="BQ193" s="501"/>
      <c r="BR193" s="501"/>
      <c r="BS193" s="501"/>
      <c r="BT193" s="501"/>
      <c r="BU193" s="501"/>
      <c r="BV193" s="571">
        <f t="shared" ref="BV193:BV196" si="983">IFERROR(CA193/BZ193,0)</f>
        <v>0</v>
      </c>
      <c r="BW193" s="571">
        <f t="shared" ref="BW193:BW196" si="984">IFERROR(CB193/BZ193,0)</f>
        <v>0</v>
      </c>
      <c r="BX193" s="571">
        <f t="shared" ref="BX193:BX196" si="985">IFERROR(CH193/BZ193,0)</f>
        <v>0</v>
      </c>
      <c r="BY193" s="505"/>
      <c r="BZ193" s="552"/>
      <c r="CA193" s="471"/>
      <c r="CB193" s="548"/>
      <c r="CC193" s="512"/>
      <c r="CD193" s="512"/>
      <c r="CE193" s="512"/>
      <c r="CF193" s="512"/>
      <c r="CG193" s="512"/>
      <c r="CH193" s="548"/>
      <c r="CI193" s="512"/>
      <c r="CJ193" s="512"/>
      <c r="CK193" s="512"/>
      <c r="CL193" s="512"/>
      <c r="CM193" s="508"/>
      <c r="CN193" s="508"/>
      <c r="CO193" s="511"/>
      <c r="CP193" s="508"/>
      <c r="CQ193" s="509"/>
      <c r="CR193" s="510">
        <f t="shared" si="733"/>
        <v>0</v>
      </c>
      <c r="CS193" s="501"/>
      <c r="CT193" s="501"/>
      <c r="CU193" s="501"/>
      <c r="CV193" s="501"/>
      <c r="CW193" s="501"/>
      <c r="CX193" s="501"/>
      <c r="CY193" s="501"/>
      <c r="CZ193" s="501"/>
      <c r="DA193" s="501"/>
      <c r="DB193" s="501"/>
      <c r="DC193" s="501"/>
      <c r="DD193" s="501"/>
      <c r="DE193" s="501"/>
      <c r="DF193" s="513"/>
      <c r="DG193" s="513"/>
      <c r="DH193" s="513"/>
      <c r="DI193" s="505"/>
      <c r="DJ193" s="551"/>
      <c r="DK193" s="466"/>
      <c r="DL193" s="466"/>
      <c r="DM193" s="501"/>
      <c r="DN193" s="501"/>
      <c r="DO193" s="501"/>
      <c r="DP193" s="501"/>
      <c r="DQ193" s="501"/>
      <c r="DR193" s="466"/>
      <c r="DS193" s="501"/>
      <c r="DT193" s="501"/>
      <c r="DU193" s="501"/>
      <c r="DV193" s="501"/>
      <c r="DW193" s="508"/>
      <c r="DX193" s="508"/>
      <c r="DY193" s="511"/>
      <c r="DZ193" s="508"/>
      <c r="EA193" s="509"/>
      <c r="EB193" s="510">
        <f t="shared" si="748"/>
        <v>0</v>
      </c>
      <c r="EC193" s="515"/>
      <c r="ED193" s="515"/>
      <c r="EE193" s="515"/>
      <c r="EF193" s="515"/>
      <c r="EG193" s="515"/>
      <c r="EH193" s="515"/>
      <c r="EI193" s="515"/>
      <c r="EJ193" s="515"/>
      <c r="EK193" s="515"/>
      <c r="EL193" s="515"/>
      <c r="EM193" s="515"/>
      <c r="EN193" s="515"/>
      <c r="EO193" s="515"/>
      <c r="EP193" s="52"/>
      <c r="EQ193" s="52"/>
      <c r="ER193" s="52"/>
      <c r="ES193" s="516"/>
      <c r="EU193" s="476"/>
      <c r="EV193" s="476"/>
      <c r="EW193" s="515"/>
      <c r="EX193" s="515"/>
      <c r="EY193" s="515"/>
      <c r="EZ193" s="515"/>
      <c r="FA193" s="515"/>
      <c r="FB193" s="476"/>
      <c r="FC193" s="515"/>
      <c r="FD193" s="515"/>
      <c r="FE193" s="515"/>
      <c r="FF193" s="515"/>
    </row>
    <row r="194" spans="2:165" ht="14.25" outlineLevel="2">
      <c r="B194" s="594">
        <v>2.1</v>
      </c>
      <c r="C194" s="595">
        <v>2.12</v>
      </c>
      <c r="D194" s="623" t="s">
        <v>174</v>
      </c>
      <c r="F194" s="434"/>
      <c r="G194" s="435"/>
      <c r="H194" s="615"/>
      <c r="I194" s="615"/>
      <c r="J194" s="514"/>
      <c r="K194" s="514"/>
      <c r="L194" s="514"/>
      <c r="M194" s="567"/>
      <c r="N194" s="568"/>
      <c r="O194" s="615"/>
      <c r="P194" s="501"/>
      <c r="Q194" s="501"/>
      <c r="R194" s="501"/>
      <c r="S194" s="501"/>
      <c r="U194" s="596">
        <v>0</v>
      </c>
      <c r="V194" s="597"/>
      <c r="W194" s="434">
        <v>0</v>
      </c>
      <c r="X194" s="435">
        <f t="shared" si="700"/>
        <v>0</v>
      </c>
      <c r="Y194" s="615"/>
      <c r="Z194" s="615"/>
      <c r="AA194" s="514">
        <f t="shared" si="979"/>
        <v>0</v>
      </c>
      <c r="AB194" s="514">
        <f t="shared" si="980"/>
        <v>0</v>
      </c>
      <c r="AC194" s="514">
        <f t="shared" si="981"/>
        <v>0</v>
      </c>
      <c r="AD194" s="567">
        <f t="shared" si="982"/>
        <v>0</v>
      </c>
      <c r="AE194" s="568"/>
      <c r="AF194" s="615"/>
      <c r="AG194" s="501"/>
      <c r="AH194" s="501"/>
      <c r="AI194" s="501"/>
      <c r="AJ194" s="501"/>
      <c r="AK194" s="501"/>
      <c r="AL194" s="513"/>
      <c r="AM194" s="513"/>
      <c r="AN194" s="513"/>
      <c r="AO194" s="518"/>
      <c r="AP194" s="551"/>
      <c r="AQ194" s="551"/>
      <c r="AR194" s="551"/>
      <c r="AS194" s="466"/>
      <c r="AT194" s="466"/>
      <c r="AU194" s="466"/>
      <c r="AV194" s="466"/>
      <c r="AW194" s="466"/>
      <c r="AX194" s="551"/>
      <c r="AY194" s="466"/>
      <c r="AZ194" s="466"/>
      <c r="BA194" s="466"/>
      <c r="BB194" s="466"/>
      <c r="BC194" s="551"/>
      <c r="BD194" s="551"/>
      <c r="BE194" s="685">
        <f>SUM(BE195:BE196)</f>
        <v>0.5</v>
      </c>
      <c r="BF194" s="597"/>
      <c r="BG194" s="556">
        <f>$BG$144*(95%/12)</f>
        <v>0.10764153125000001</v>
      </c>
      <c r="BH194" s="450">
        <f t="shared" si="717"/>
        <v>0.10764153125000001</v>
      </c>
      <c r="BI194" s="556">
        <f>SUM(BI195:BI196)</f>
        <v>0.10764153125000001</v>
      </c>
      <c r="BJ194" s="556">
        <f>SUM(BJ195:BJ196)</f>
        <v>0</v>
      </c>
      <c r="BK194" s="630">
        <f t="shared" si="903"/>
        <v>0</v>
      </c>
      <c r="BL194" s="514">
        <f t="shared" si="904"/>
        <v>0</v>
      </c>
      <c r="BM194" s="514">
        <f t="shared" si="905"/>
        <v>0</v>
      </c>
      <c r="BN194" s="514">
        <f t="shared" si="906"/>
        <v>0</v>
      </c>
      <c r="BO194" s="501"/>
      <c r="BP194" s="630">
        <f>SUM(BP195:BP196)</f>
        <v>0</v>
      </c>
      <c r="BQ194" s="630">
        <f t="shared" ref="BQ194:BT194" si="986">SUM(BQ195:BQ196)</f>
        <v>0</v>
      </c>
      <c r="BR194" s="630">
        <f t="shared" si="986"/>
        <v>0</v>
      </c>
      <c r="BS194" s="630">
        <f t="shared" si="986"/>
        <v>0</v>
      </c>
      <c r="BT194" s="630">
        <f t="shared" si="986"/>
        <v>0</v>
      </c>
      <c r="BU194" s="547"/>
      <c r="BV194" s="571">
        <f t="shared" si="983"/>
        <v>0</v>
      </c>
      <c r="BW194" s="571">
        <f t="shared" si="984"/>
        <v>0</v>
      </c>
      <c r="BX194" s="571">
        <f t="shared" si="985"/>
        <v>0</v>
      </c>
      <c r="BY194" s="518"/>
      <c r="BZ194" s="552"/>
      <c r="CA194" s="552"/>
      <c r="CB194" s="608"/>
      <c r="CC194" s="552"/>
      <c r="CD194" s="552"/>
      <c r="CE194" s="552"/>
      <c r="CF194" s="552"/>
      <c r="CG194" s="552"/>
      <c r="CH194" s="608"/>
      <c r="CI194" s="552"/>
      <c r="CJ194" s="552"/>
      <c r="CK194" s="552"/>
      <c r="CL194" s="552"/>
      <c r="CM194" s="597"/>
      <c r="CN194" s="597"/>
      <c r="CO194" s="596">
        <v>0</v>
      </c>
      <c r="CP194" s="597"/>
      <c r="CQ194" s="469"/>
      <c r="CR194" s="450">
        <f t="shared" si="733"/>
        <v>0</v>
      </c>
      <c r="CS194" s="615"/>
      <c r="CT194" s="615"/>
      <c r="CU194" s="615"/>
      <c r="CV194" s="615"/>
      <c r="CW194" s="615"/>
      <c r="CX194" s="615"/>
      <c r="CY194" s="615"/>
      <c r="CZ194" s="615"/>
      <c r="DA194" s="615"/>
      <c r="DB194" s="615"/>
      <c r="DC194" s="615"/>
      <c r="DD194" s="615"/>
      <c r="DE194" s="615"/>
      <c r="DF194" s="513"/>
      <c r="DG194" s="513"/>
      <c r="DH194" s="513"/>
      <c r="DI194" s="518"/>
      <c r="DJ194" s="551"/>
      <c r="DK194" s="551"/>
      <c r="DL194" s="551"/>
      <c r="DM194" s="615"/>
      <c r="DN194" s="615"/>
      <c r="DO194" s="615"/>
      <c r="DP194" s="615"/>
      <c r="DQ194" s="615"/>
      <c r="DR194" s="551"/>
      <c r="DS194" s="615"/>
      <c r="DT194" s="615"/>
      <c r="DU194" s="615"/>
      <c r="DV194" s="615"/>
      <c r="DW194" s="597"/>
      <c r="DX194" s="597"/>
      <c r="DY194" s="596">
        <v>0</v>
      </c>
      <c r="DZ194" s="597"/>
      <c r="EA194" s="469"/>
      <c r="EB194" s="450">
        <f t="shared" si="748"/>
        <v>0</v>
      </c>
      <c r="EC194" s="577"/>
      <c r="ED194" s="577"/>
      <c r="EE194" s="577"/>
      <c r="EF194" s="577"/>
      <c r="EG194" s="577"/>
      <c r="EH194" s="577"/>
      <c r="EI194" s="577"/>
      <c r="EJ194" s="577"/>
      <c r="EK194" s="577"/>
      <c r="EL194" s="577"/>
      <c r="EM194" s="577"/>
      <c r="EN194" s="577"/>
      <c r="EO194" s="577"/>
      <c r="EP194" s="52"/>
      <c r="EQ194" s="52"/>
      <c r="ER194" s="52"/>
      <c r="EW194" s="577"/>
      <c r="EX194" s="577"/>
      <c r="EY194" s="577"/>
      <c r="EZ194" s="577"/>
      <c r="FA194" s="577"/>
      <c r="FC194" s="577"/>
      <c r="FD194" s="577"/>
      <c r="FE194" s="577"/>
      <c r="FF194" s="577"/>
    </row>
    <row r="195" spans="2:165" ht="14.25" outlineLevel="3">
      <c r="B195" s="564" t="s">
        <v>158</v>
      </c>
      <c r="C195" s="565">
        <v>1</v>
      </c>
      <c r="D195" s="566" t="s">
        <v>152</v>
      </c>
      <c r="F195" s="500">
        <f t="shared" ref="F195:F196" si="987">W195+BG195+CQ195+EA195</f>
        <v>5.3820765625000003E-2</v>
      </c>
      <c r="G195" s="500">
        <f t="shared" ref="G195:G196" si="988">X195+BH195+CR195+EB195</f>
        <v>5.3820765625000003E-2</v>
      </c>
      <c r="H195" s="514">
        <f t="shared" ref="H195:H196" si="989">F195-G195</f>
        <v>0</v>
      </c>
      <c r="I195" s="514">
        <f t="shared" ref="I195:I196" si="990">Z195+BJ195+CT195+ED195</f>
        <v>0</v>
      </c>
      <c r="J195" s="514">
        <f t="shared" ref="J195:J196" si="991">AA195+BK195+CU195+EE195</f>
        <v>0</v>
      </c>
      <c r="K195" s="514">
        <f t="shared" ref="K195:K196" si="992">AB195+BL195+CV195+EF195</f>
        <v>0</v>
      </c>
      <c r="L195" s="514">
        <f t="shared" ref="L195:L196" si="993">AC195+BM195+CW195+EG195</f>
        <v>0</v>
      </c>
      <c r="M195" s="567">
        <f t="shared" ref="M195:M196" si="994">AD195+BN195+CX195+EH195</f>
        <v>0</v>
      </c>
      <c r="N195" s="568"/>
      <c r="O195" s="514">
        <f t="shared" ref="O195:O196" si="995">AF195+BP195+CZ195+EJ195</f>
        <v>0</v>
      </c>
      <c r="P195" s="514">
        <f t="shared" ref="P195:P196" si="996">AG195+BQ195+DA195+EK195</f>
        <v>0</v>
      </c>
      <c r="Q195" s="514">
        <f t="shared" ref="Q195:Q196" si="997">AH195+BR195+DB195+EL195</f>
        <v>0</v>
      </c>
      <c r="R195" s="514">
        <f t="shared" ref="R195:R196" si="998">AI195+BS195+DC195+EM195</f>
        <v>0</v>
      </c>
      <c r="S195" s="514">
        <f t="shared" ref="S195:S196" si="999">AJ195+BT195+DD195+EN195</f>
        <v>0</v>
      </c>
      <c r="U195" s="569">
        <v>0</v>
      </c>
      <c r="V195" s="503"/>
      <c r="W195" s="434"/>
      <c r="X195" s="435">
        <f t="shared" si="700"/>
        <v>0</v>
      </c>
      <c r="Y195" s="447"/>
      <c r="Z195" s="447"/>
      <c r="AA195" s="514">
        <f t="shared" si="979"/>
        <v>0</v>
      </c>
      <c r="AB195" s="514">
        <f t="shared" si="980"/>
        <v>0</v>
      </c>
      <c r="AC195" s="514">
        <f t="shared" si="981"/>
        <v>0</v>
      </c>
      <c r="AD195" s="567">
        <f t="shared" si="982"/>
        <v>0</v>
      </c>
      <c r="AE195" s="568"/>
      <c r="AF195" s="447"/>
      <c r="AG195" s="501"/>
      <c r="AH195" s="501"/>
      <c r="AI195" s="501"/>
      <c r="AJ195" s="501"/>
      <c r="AK195" s="501"/>
      <c r="AL195" s="513"/>
      <c r="AM195" s="513"/>
      <c r="AN195" s="513"/>
      <c r="AO195" s="520"/>
      <c r="AP195" s="551"/>
      <c r="AQ195" s="551"/>
      <c r="AR195" s="551"/>
      <c r="AS195" s="466"/>
      <c r="AT195" s="466"/>
      <c r="AU195" s="466"/>
      <c r="AV195" s="466"/>
      <c r="AW195" s="466"/>
      <c r="AX195" s="551"/>
      <c r="AY195" s="466"/>
      <c r="AZ195" s="466"/>
      <c r="BA195" s="466"/>
      <c r="BB195" s="466"/>
      <c r="BC195" s="551"/>
      <c r="BD195" s="551"/>
      <c r="BE195" s="511">
        <v>0.25</v>
      </c>
      <c r="BF195" s="508"/>
      <c r="BG195" s="506">
        <f>$BG$194/$BE$194*BE195</f>
        <v>5.3820765625000003E-2</v>
      </c>
      <c r="BH195" s="450">
        <f t="shared" si="717"/>
        <v>5.3820765625000003E-2</v>
      </c>
      <c r="BI195" s="514">
        <f>IFERROR(IF(BV195=100%,BG195,0),0)</f>
        <v>5.3820765625000003E-2</v>
      </c>
      <c r="BJ195" s="514">
        <f>IFERROR(IF(AND((BV195+BW195)=100%,BV195&lt;1),BG195,0),0)</f>
        <v>0</v>
      </c>
      <c r="BK195" s="514">
        <f t="shared" si="903"/>
        <v>0</v>
      </c>
      <c r="BL195" s="514">
        <f t="shared" si="904"/>
        <v>0</v>
      </c>
      <c r="BM195" s="514">
        <f t="shared" si="905"/>
        <v>0</v>
      </c>
      <c r="BN195" s="514">
        <f t="shared" si="906"/>
        <v>0</v>
      </c>
      <c r="BO195" s="501"/>
      <c r="BP195" s="514">
        <f>IFERROR(IF(AND((BV195+BX195)=100%,BV195&lt;1),BG195,0),0)</f>
        <v>0</v>
      </c>
      <c r="BQ195" s="514">
        <f>IFERROR(IF(AND((CA195+CI195)=BZ195,BI195=0),BG195,0),0)</f>
        <v>0</v>
      </c>
      <c r="BR195" s="514">
        <f>IFERROR(IF(AND((CA195+CI195+CJ195)=BZ195,BI195=0,BQ195=0),BG195,0),0)</f>
        <v>0</v>
      </c>
      <c r="BS195" s="514">
        <f>IFERROR(IF(AND((CA195+CI195+CJ195+CK195)=BZ195,BI195=0,BQ195=0,BR195=0),BG195,0),0)</f>
        <v>0</v>
      </c>
      <c r="BT195" s="514">
        <f>IFERROR(IF(AND((CA195+CI195+CJ195+CK195+CL195)=BZ195,BI195=0,BQ195=0,BR195=0,BS195=0),BG195,0),0)</f>
        <v>0</v>
      </c>
      <c r="BU195" s="501"/>
      <c r="BV195" s="571">
        <f t="shared" si="983"/>
        <v>1</v>
      </c>
      <c r="BW195" s="571">
        <f t="shared" si="984"/>
        <v>0</v>
      </c>
      <c r="BX195" s="571">
        <f t="shared" si="985"/>
        <v>0</v>
      </c>
      <c r="BY195" s="520"/>
      <c r="BZ195" s="514">
        <f>COUNTIF('ST | Drawing List'!$G:$G,"ST-S12-1")</f>
        <v>5</v>
      </c>
      <c r="CA195" s="506">
        <f>COUNTIFS('ST | Drawing List'!$G:$G,"ST-S12-1",'ST | Drawing List'!$I:$I,1)</f>
        <v>5</v>
      </c>
      <c r="CB195" s="572">
        <f>COUNTIFS('ST | Drawing List'!$G:$G,"ST-S12-1",'ST | Drawing List'!$K:$K,1)</f>
        <v>0</v>
      </c>
      <c r="CC195" s="506">
        <f>COUNTIFS('ST | Drawing List'!$G:$G,"ST-S12-1",'ST | Drawing List'!L:L,1)</f>
        <v>0</v>
      </c>
      <c r="CD195" s="506">
        <f>COUNTIFS('ST | Drawing List'!$G:$G,"ST-S12-1",'ST | Drawing List'!M:M,1)</f>
        <v>0</v>
      </c>
      <c r="CE195" s="506">
        <f>COUNTIFS('ST | Drawing List'!$G:$G,"ST-S12-1",'ST | Drawing List'!N:N,1)</f>
        <v>0</v>
      </c>
      <c r="CF195" s="506">
        <f>COUNTIFS('ST | Drawing List'!$G:$G,"ST-S12-1",'ST | Drawing List'!O:O,1)</f>
        <v>0</v>
      </c>
      <c r="CG195" s="471"/>
      <c r="CH195" s="572">
        <f>COUNTIFS('ST | Drawing List'!$G:$G,"ST-S12-1",'ST | Drawing List'!$P:$P,1)</f>
        <v>0</v>
      </c>
      <c r="CI195" s="506">
        <f>COUNTIFS('ST | Drawing List'!$G:$G,"ST-S12-1",'ST | Drawing List'!Q:Q,1)</f>
        <v>0</v>
      </c>
      <c r="CJ195" s="506">
        <f>COUNTIFS('ST | Drawing List'!$G:$G,"ST-S12-1",'ST | Drawing List'!R:R,1)</f>
        <v>0</v>
      </c>
      <c r="CK195" s="506">
        <f>COUNTIFS('ST | Drawing List'!$G:$G,"ST-S12-1",'ST | Drawing List'!S:S,1)</f>
        <v>0</v>
      </c>
      <c r="CL195" s="506">
        <f>COUNTIFS('ST | Drawing List'!$G:$G,"ST-S12-1",'ST | Drawing List'!T:T,1)</f>
        <v>0</v>
      </c>
      <c r="CM195" s="508"/>
      <c r="CN195" s="508"/>
      <c r="CO195" s="511">
        <v>0</v>
      </c>
      <c r="CP195" s="508"/>
      <c r="CQ195" s="469"/>
      <c r="CR195" s="450">
        <f t="shared" si="733"/>
        <v>0</v>
      </c>
      <c r="CS195" s="447"/>
      <c r="CT195" s="447"/>
      <c r="CU195" s="447"/>
      <c r="CV195" s="447"/>
      <c r="CW195" s="447"/>
      <c r="CX195" s="447"/>
      <c r="CY195" s="447"/>
      <c r="CZ195" s="447"/>
      <c r="DA195" s="447"/>
      <c r="DB195" s="447"/>
      <c r="DC195" s="447"/>
      <c r="DD195" s="447"/>
      <c r="DE195" s="447"/>
      <c r="DF195" s="513"/>
      <c r="DG195" s="513"/>
      <c r="DH195" s="513"/>
      <c r="DI195" s="520"/>
      <c r="DJ195" s="551"/>
      <c r="DK195" s="551"/>
      <c r="DL195" s="551"/>
      <c r="DM195" s="447"/>
      <c r="DN195" s="447"/>
      <c r="DO195" s="447"/>
      <c r="DP195" s="447"/>
      <c r="DQ195" s="447"/>
      <c r="DR195" s="551"/>
      <c r="DS195" s="447"/>
      <c r="DT195" s="447"/>
      <c r="DU195" s="447"/>
      <c r="DV195" s="447"/>
      <c r="DW195" s="508"/>
      <c r="DX195" s="508"/>
      <c r="DY195" s="511">
        <v>0</v>
      </c>
      <c r="DZ195" s="508"/>
      <c r="EA195" s="469"/>
      <c r="EB195" s="450">
        <f t="shared" si="748"/>
        <v>0</v>
      </c>
      <c r="EC195" s="448"/>
      <c r="ED195" s="448"/>
      <c r="EE195" s="448"/>
      <c r="EF195" s="448"/>
      <c r="EG195" s="448"/>
      <c r="EH195" s="448"/>
      <c r="EI195" s="448"/>
      <c r="EJ195" s="448"/>
      <c r="EK195" s="448"/>
      <c r="EL195" s="448"/>
      <c r="EM195" s="448"/>
      <c r="EN195" s="448"/>
      <c r="EO195" s="448"/>
      <c r="EP195" s="52"/>
      <c r="EQ195" s="52"/>
      <c r="ER195" s="52"/>
      <c r="ES195" s="523"/>
      <c r="EW195" s="448"/>
      <c r="EX195" s="448"/>
      <c r="EY195" s="448"/>
      <c r="EZ195" s="448"/>
      <c r="FA195" s="448"/>
      <c r="FC195" s="448"/>
      <c r="FD195" s="448"/>
      <c r="FE195" s="448"/>
      <c r="FF195" s="448"/>
    </row>
    <row r="196" spans="2:165" ht="14.25" outlineLevel="3">
      <c r="B196" s="564" t="s">
        <v>159</v>
      </c>
      <c r="C196" s="565">
        <v>2</v>
      </c>
      <c r="D196" s="566" t="s">
        <v>154</v>
      </c>
      <c r="F196" s="500">
        <f t="shared" si="987"/>
        <v>5.3820765625000003E-2</v>
      </c>
      <c r="G196" s="500">
        <f t="shared" si="988"/>
        <v>5.3820765625000003E-2</v>
      </c>
      <c r="H196" s="514">
        <f t="shared" si="989"/>
        <v>0</v>
      </c>
      <c r="I196" s="514">
        <f t="shared" si="990"/>
        <v>0</v>
      </c>
      <c r="J196" s="514">
        <f t="shared" si="991"/>
        <v>0</v>
      </c>
      <c r="K196" s="514">
        <f t="shared" si="992"/>
        <v>0</v>
      </c>
      <c r="L196" s="514">
        <f t="shared" si="993"/>
        <v>0</v>
      </c>
      <c r="M196" s="567">
        <f t="shared" si="994"/>
        <v>0</v>
      </c>
      <c r="N196" s="568"/>
      <c r="O196" s="514">
        <f t="shared" si="995"/>
        <v>0</v>
      </c>
      <c r="P196" s="514">
        <f t="shared" si="996"/>
        <v>0</v>
      </c>
      <c r="Q196" s="514">
        <f t="shared" si="997"/>
        <v>0</v>
      </c>
      <c r="R196" s="514">
        <f t="shared" si="998"/>
        <v>0</v>
      </c>
      <c r="S196" s="514">
        <f t="shared" si="999"/>
        <v>0</v>
      </c>
      <c r="U196" s="569">
        <v>0</v>
      </c>
      <c r="V196" s="503"/>
      <c r="W196" s="499"/>
      <c r="X196" s="500">
        <f t="shared" si="700"/>
        <v>0</v>
      </c>
      <c r="Y196" s="501"/>
      <c r="Z196" s="501"/>
      <c r="AA196" s="514">
        <f t="shared" si="979"/>
        <v>0</v>
      </c>
      <c r="AB196" s="514">
        <f t="shared" si="980"/>
        <v>0</v>
      </c>
      <c r="AC196" s="514">
        <f t="shared" si="981"/>
        <v>0</v>
      </c>
      <c r="AD196" s="567">
        <f t="shared" si="982"/>
        <v>0</v>
      </c>
      <c r="AE196" s="568"/>
      <c r="AF196" s="501"/>
      <c r="AG196" s="501"/>
      <c r="AH196" s="501"/>
      <c r="AI196" s="501"/>
      <c r="AJ196" s="501"/>
      <c r="AK196" s="501"/>
      <c r="AL196" s="513"/>
      <c r="AM196" s="513"/>
      <c r="AN196" s="513"/>
      <c r="AO196" s="505"/>
      <c r="AP196" s="551"/>
      <c r="AQ196" s="551"/>
      <c r="AR196" s="551"/>
      <c r="AS196" s="466"/>
      <c r="AT196" s="466"/>
      <c r="AU196" s="466"/>
      <c r="AV196" s="466"/>
      <c r="AW196" s="466"/>
      <c r="AX196" s="551"/>
      <c r="AY196" s="466"/>
      <c r="AZ196" s="466"/>
      <c r="BA196" s="466"/>
      <c r="BB196" s="466"/>
      <c r="BC196" s="551"/>
      <c r="BD196" s="551"/>
      <c r="BE196" s="511">
        <v>0.25</v>
      </c>
      <c r="BF196" s="508"/>
      <c r="BG196" s="506">
        <f>$BG$194/$BE$194*BE196</f>
        <v>5.3820765625000003E-2</v>
      </c>
      <c r="BH196" s="510">
        <f t="shared" si="717"/>
        <v>5.3820765625000003E-2</v>
      </c>
      <c r="BI196" s="514">
        <f>IFERROR(IF(BV196=100%,BG196,0),0)</f>
        <v>5.3820765625000003E-2</v>
      </c>
      <c r="BJ196" s="514">
        <f>IFERROR(IF(AND((BV196+BW196)=100%,BV196&lt;1),BG196,0),0)</f>
        <v>0</v>
      </c>
      <c r="BK196" s="514">
        <f t="shared" si="903"/>
        <v>0</v>
      </c>
      <c r="BL196" s="514">
        <f t="shared" si="904"/>
        <v>0</v>
      </c>
      <c r="BM196" s="514">
        <f t="shared" si="905"/>
        <v>0</v>
      </c>
      <c r="BN196" s="514">
        <f t="shared" si="906"/>
        <v>0</v>
      </c>
      <c r="BO196" s="501"/>
      <c r="BP196" s="514">
        <f>IFERROR(IF(AND((BV196+BX196)=100%,BV196&lt;1),BG196,0),0)</f>
        <v>0</v>
      </c>
      <c r="BQ196" s="514">
        <f>IFERROR(IF(AND((CA196+CI196)=BZ196,BI196=0),BG196,0),0)</f>
        <v>0</v>
      </c>
      <c r="BR196" s="514">
        <f>IFERROR(IF(AND((CA196+CI196+CJ196)=BZ196,BI196=0,BQ196=0),BG196,0),0)</f>
        <v>0</v>
      </c>
      <c r="BS196" s="514">
        <f>IFERROR(IF(AND((CA196+CI196+CJ196+CK196)=BZ196,BI196=0,BQ196=0,BR196=0),BG196,0),0)</f>
        <v>0</v>
      </c>
      <c r="BT196" s="514">
        <f>IFERROR(IF(AND((CA196+CI196+CJ196+CK196+CL196)=BZ196,BI196=0,BQ196=0,BR196=0,BS196=0),BG196,0),0)</f>
        <v>0</v>
      </c>
      <c r="BU196" s="501"/>
      <c r="BV196" s="571">
        <f t="shared" si="983"/>
        <v>1</v>
      </c>
      <c r="BW196" s="571">
        <f t="shared" si="984"/>
        <v>0</v>
      </c>
      <c r="BX196" s="571">
        <f t="shared" si="985"/>
        <v>0</v>
      </c>
      <c r="BY196" s="505"/>
      <c r="BZ196" s="514">
        <f>COUNTIF('ST | Drawing List'!$G:$G,"ST-S12-2")</f>
        <v>7</v>
      </c>
      <c r="CA196" s="506">
        <f>COUNTIFS('ST | Drawing List'!$G:$G,"ST-S12-2",'ST | Drawing List'!$I:$I,1)</f>
        <v>7</v>
      </c>
      <c r="CB196" s="572">
        <f>COUNTIFS('ST | Drawing List'!$G:$G,"ST-S12-2",'ST | Drawing List'!$K:$K,1)</f>
        <v>0</v>
      </c>
      <c r="CC196" s="506">
        <f>COUNTIFS('ST | Drawing List'!$G:$G,"ST-S12-2",'ST | Drawing List'!L:L,1)</f>
        <v>0</v>
      </c>
      <c r="CD196" s="506">
        <f>COUNTIFS('ST | Drawing List'!$G:$G,"ST-S12-2",'ST | Drawing List'!M:M,1)</f>
        <v>0</v>
      </c>
      <c r="CE196" s="506">
        <f>COUNTIFS('ST | Drawing List'!$G:$G,"ST-S12-2",'ST | Drawing List'!N:N,1)</f>
        <v>0</v>
      </c>
      <c r="CF196" s="506">
        <f>COUNTIFS('ST | Drawing List'!$G:$G,"ST-S12-2",'ST | Drawing List'!O:O,1)</f>
        <v>0</v>
      </c>
      <c r="CG196" s="471"/>
      <c r="CH196" s="572">
        <f>COUNTIFS('ST | Drawing List'!$G:$G,"ST-S12-2",'ST | Drawing List'!$P:$P,1)</f>
        <v>0</v>
      </c>
      <c r="CI196" s="506">
        <f>COUNTIFS('ST | Drawing List'!$G:$G,"ST-S12-2",'ST | Drawing List'!Q:Q,1)</f>
        <v>0</v>
      </c>
      <c r="CJ196" s="506">
        <f>COUNTIFS('ST | Drawing List'!$G:$G,"ST-S12-2",'ST | Drawing List'!R:R,1)</f>
        <v>0</v>
      </c>
      <c r="CK196" s="506">
        <f>COUNTIFS('ST | Drawing List'!$G:$G,"ST-S12-2",'ST | Drawing List'!S:S,1)</f>
        <v>0</v>
      </c>
      <c r="CL196" s="506">
        <f>COUNTIFS('ST | Drawing List'!$G:$G,"ST-S12-2",'ST | Drawing List'!T:T,1)</f>
        <v>0</v>
      </c>
      <c r="CM196" s="508"/>
      <c r="CN196" s="508"/>
      <c r="CO196" s="511">
        <v>0</v>
      </c>
      <c r="CP196" s="508"/>
      <c r="CQ196" s="509"/>
      <c r="CR196" s="510">
        <f t="shared" si="733"/>
        <v>0</v>
      </c>
      <c r="CS196" s="501"/>
      <c r="CT196" s="501"/>
      <c r="CU196" s="501"/>
      <c r="CV196" s="501"/>
      <c r="CW196" s="501"/>
      <c r="CX196" s="501"/>
      <c r="CY196" s="501"/>
      <c r="CZ196" s="501"/>
      <c r="DA196" s="501"/>
      <c r="DB196" s="501"/>
      <c r="DC196" s="501"/>
      <c r="DD196" s="501"/>
      <c r="DE196" s="501"/>
      <c r="DF196" s="513"/>
      <c r="DG196" s="513"/>
      <c r="DH196" s="513"/>
      <c r="DI196" s="505"/>
      <c r="DJ196" s="551"/>
      <c r="DK196" s="551"/>
      <c r="DL196" s="551"/>
      <c r="DM196" s="501"/>
      <c r="DN196" s="501"/>
      <c r="DO196" s="501"/>
      <c r="DP196" s="501"/>
      <c r="DQ196" s="501"/>
      <c r="DR196" s="551"/>
      <c r="DS196" s="501"/>
      <c r="DT196" s="501"/>
      <c r="DU196" s="501"/>
      <c r="DV196" s="501"/>
      <c r="DW196" s="508"/>
      <c r="DX196" s="508"/>
      <c r="DY196" s="511">
        <v>0</v>
      </c>
      <c r="DZ196" s="508"/>
      <c r="EA196" s="509"/>
      <c r="EB196" s="510">
        <f t="shared" si="748"/>
        <v>0</v>
      </c>
      <c r="EC196" s="515"/>
      <c r="ED196" s="515"/>
      <c r="EE196" s="515"/>
      <c r="EF196" s="515"/>
      <c r="EG196" s="515"/>
      <c r="EH196" s="515"/>
      <c r="EI196" s="515"/>
      <c r="EJ196" s="515"/>
      <c r="EK196" s="515"/>
      <c r="EL196" s="515"/>
      <c r="EM196" s="515"/>
      <c r="EN196" s="515"/>
      <c r="EO196" s="515"/>
      <c r="EP196" s="52"/>
      <c r="EQ196" s="52"/>
      <c r="ER196" s="52"/>
      <c r="ES196" s="516"/>
      <c r="EW196" s="515"/>
      <c r="EX196" s="515"/>
      <c r="EY196" s="515"/>
      <c r="EZ196" s="515"/>
      <c r="FA196" s="515"/>
      <c r="FC196" s="515"/>
      <c r="FD196" s="515"/>
      <c r="FE196" s="515"/>
      <c r="FF196" s="515"/>
    </row>
    <row r="197" spans="2:165" ht="3" customHeight="1" outlineLevel="1">
      <c r="B197" s="564"/>
      <c r="C197" s="565"/>
      <c r="D197" s="566"/>
      <c r="F197" s="499"/>
      <c r="G197" s="500"/>
      <c r="H197" s="501"/>
      <c r="I197" s="501"/>
      <c r="J197" s="501"/>
      <c r="K197" s="501"/>
      <c r="L197" s="501"/>
      <c r="M197" s="501"/>
      <c r="N197" s="501"/>
      <c r="O197" s="501"/>
      <c r="P197" s="501"/>
      <c r="Q197" s="501"/>
      <c r="R197" s="501"/>
      <c r="S197" s="501"/>
      <c r="U197" s="569"/>
      <c r="V197" s="503"/>
      <c r="W197" s="499"/>
      <c r="X197" s="500">
        <f t="shared" ref="X197:X240" si="1000">Y197+AF197</f>
        <v>0</v>
      </c>
      <c r="Y197" s="501"/>
      <c r="Z197" s="501"/>
      <c r="AA197" s="501"/>
      <c r="AB197" s="501"/>
      <c r="AC197" s="501"/>
      <c r="AD197" s="501"/>
      <c r="AE197" s="501"/>
      <c r="AF197" s="501"/>
      <c r="AG197" s="501"/>
      <c r="AH197" s="501"/>
      <c r="AI197" s="501"/>
      <c r="AJ197" s="501"/>
      <c r="AK197" s="501"/>
      <c r="AL197" s="513"/>
      <c r="AM197" s="513"/>
      <c r="AN197" s="513"/>
      <c r="AO197" s="505"/>
      <c r="AP197" s="551"/>
      <c r="AQ197" s="551"/>
      <c r="AR197" s="551"/>
      <c r="AS197" s="466"/>
      <c r="AT197" s="466"/>
      <c r="AU197" s="466"/>
      <c r="AV197" s="466"/>
      <c r="AW197" s="466"/>
      <c r="AX197" s="551"/>
      <c r="AY197" s="466"/>
      <c r="AZ197" s="466"/>
      <c r="BA197" s="466"/>
      <c r="BB197" s="466"/>
      <c r="BC197" s="551"/>
      <c r="BD197" s="551"/>
      <c r="BE197" s="511"/>
      <c r="BF197" s="508"/>
      <c r="BG197" s="509"/>
      <c r="BH197" s="510">
        <f t="shared" ref="BH197:BH240" si="1001">BI197+BP197</f>
        <v>0</v>
      </c>
      <c r="BI197" s="501"/>
      <c r="BJ197" s="501"/>
      <c r="BK197" s="501"/>
      <c r="BL197" s="501"/>
      <c r="BM197" s="501"/>
      <c r="BN197" s="501"/>
      <c r="BO197" s="501"/>
      <c r="BP197" s="501"/>
      <c r="BQ197" s="501"/>
      <c r="BR197" s="501"/>
      <c r="BS197" s="501"/>
      <c r="BT197" s="501"/>
      <c r="BU197" s="501"/>
      <c r="BV197" s="511"/>
      <c r="BW197" s="511"/>
      <c r="BX197" s="511"/>
      <c r="BY197" s="505"/>
      <c r="BZ197" s="552"/>
      <c r="CA197" s="471"/>
      <c r="CB197" s="548"/>
      <c r="CC197" s="471"/>
      <c r="CD197" s="471"/>
      <c r="CE197" s="471"/>
      <c r="CF197" s="471"/>
      <c r="CG197" s="471"/>
      <c r="CH197" s="548"/>
      <c r="CI197" s="471"/>
      <c r="CJ197" s="471"/>
      <c r="CK197" s="471"/>
      <c r="CL197" s="471"/>
      <c r="CM197" s="508"/>
      <c r="CN197" s="508"/>
      <c r="CO197" s="511"/>
      <c r="CP197" s="508"/>
      <c r="CQ197" s="509"/>
      <c r="CR197" s="510">
        <f t="shared" ref="CR197:CR240" si="1002">CS197+CZ197</f>
        <v>0</v>
      </c>
      <c r="CS197" s="501"/>
      <c r="CT197" s="501"/>
      <c r="CU197" s="501"/>
      <c r="CV197" s="501"/>
      <c r="CW197" s="501"/>
      <c r="CX197" s="501"/>
      <c r="CY197" s="501"/>
      <c r="CZ197" s="501"/>
      <c r="DA197" s="501"/>
      <c r="DB197" s="501"/>
      <c r="DC197" s="501"/>
      <c r="DD197" s="501"/>
      <c r="DE197" s="501"/>
      <c r="DF197" s="513"/>
      <c r="DG197" s="513"/>
      <c r="DH197" s="513"/>
      <c r="DI197" s="505"/>
      <c r="DJ197" s="551"/>
      <c r="DK197" s="551"/>
      <c r="DL197" s="551"/>
      <c r="DM197" s="501"/>
      <c r="DN197" s="501"/>
      <c r="DO197" s="501"/>
      <c r="DP197" s="501"/>
      <c r="DQ197" s="501"/>
      <c r="DR197" s="551"/>
      <c r="DS197" s="501"/>
      <c r="DT197" s="501"/>
      <c r="DU197" s="501"/>
      <c r="DV197" s="501"/>
      <c r="DW197" s="508"/>
      <c r="DX197" s="508"/>
      <c r="DY197" s="511"/>
      <c r="DZ197" s="508"/>
      <c r="EA197" s="509"/>
      <c r="EB197" s="510">
        <f t="shared" ref="EB197:EB240" si="1003">EC197+EJ197</f>
        <v>0</v>
      </c>
      <c r="EC197" s="515"/>
      <c r="ED197" s="515"/>
      <c r="EE197" s="515"/>
      <c r="EF197" s="515"/>
      <c r="EG197" s="515"/>
      <c r="EH197" s="515"/>
      <c r="EI197" s="515"/>
      <c r="EJ197" s="515"/>
      <c r="EK197" s="515"/>
      <c r="EL197" s="515"/>
      <c r="EM197" s="515"/>
      <c r="EN197" s="515"/>
      <c r="EO197" s="515"/>
      <c r="EP197" s="52"/>
      <c r="EQ197" s="52"/>
      <c r="ER197" s="52"/>
      <c r="ES197" s="516"/>
      <c r="EW197" s="515"/>
      <c r="EX197" s="515"/>
      <c r="EY197" s="515"/>
      <c r="EZ197" s="515"/>
      <c r="FA197" s="515"/>
      <c r="FC197" s="515"/>
      <c r="FD197" s="515"/>
      <c r="FE197" s="515"/>
      <c r="FF197" s="515"/>
    </row>
    <row r="198" spans="2:165" ht="14.25" outlineLevel="1">
      <c r="B198" s="477"/>
      <c r="C198" s="559">
        <v>10</v>
      </c>
      <c r="D198" s="560" t="s">
        <v>175</v>
      </c>
      <c r="E198" s="479"/>
      <c r="F198" s="480">
        <f>W198+BG198+CQ198+EA198</f>
        <v>1.6112672975277071</v>
      </c>
      <c r="G198" s="480">
        <f>X198+BH198+CR198+EB198</f>
        <v>1.6112672975277071</v>
      </c>
      <c r="H198" s="481">
        <f>F198-G198</f>
        <v>0</v>
      </c>
      <c r="I198" s="480">
        <f t="shared" ref="I198:I201" si="1004">Z198+BJ198+CT198+ED198</f>
        <v>0</v>
      </c>
      <c r="J198" s="480">
        <f t="shared" ref="J198:J201" si="1005">AA198+BK198+CU198+EE198</f>
        <v>0</v>
      </c>
      <c r="K198" s="480">
        <f t="shared" ref="K198:K201" si="1006">AB198+BL198+CV198+EF198</f>
        <v>0</v>
      </c>
      <c r="L198" s="480">
        <f t="shared" ref="L198:L201" si="1007">AC198+BM198+CW198+EG198</f>
        <v>0</v>
      </c>
      <c r="M198" s="480">
        <f t="shared" ref="M198:M201" si="1008">AD198+BN198+CX198+EH198</f>
        <v>0</v>
      </c>
      <c r="N198" s="482"/>
      <c r="O198" s="480">
        <f t="shared" ref="O198:O201" si="1009">AF198+BP198+CZ198+EJ198</f>
        <v>0</v>
      </c>
      <c r="P198" s="480">
        <f t="shared" ref="P198:P201" si="1010">AG198+BQ198+DA198+EK198</f>
        <v>0</v>
      </c>
      <c r="Q198" s="480">
        <f t="shared" ref="Q198:Q201" si="1011">AH198+BR198+DB198+EL198</f>
        <v>0</v>
      </c>
      <c r="R198" s="480">
        <f t="shared" ref="R198:R201" si="1012">AI198+BS198+DC198+EM198</f>
        <v>0</v>
      </c>
      <c r="S198" s="480">
        <f t="shared" ref="S198:S201" si="1013">AJ198+BT198+DD198+EN198</f>
        <v>0</v>
      </c>
      <c r="T198" s="479"/>
      <c r="U198" s="483">
        <f>SUM(U199:U201)</f>
        <v>0.5</v>
      </c>
      <c r="V198" s="483"/>
      <c r="W198" s="480">
        <f>U198*(5%*'BOQ COST'!E16)*(49/69)*1</f>
        <v>1.0229637681159423</v>
      </c>
      <c r="X198" s="480">
        <f t="shared" si="1000"/>
        <v>1.0229637681159423</v>
      </c>
      <c r="Y198" s="481">
        <f>SUM(Y199:Y201)</f>
        <v>1.0229637681159423</v>
      </c>
      <c r="Z198" s="481">
        <f>SUM(Z199:Z201)</f>
        <v>0</v>
      </c>
      <c r="AA198" s="481">
        <f t="shared" ref="AA198:AD198" si="1014">SUM(AA199:AA201)</f>
        <v>0</v>
      </c>
      <c r="AB198" s="481">
        <f t="shared" si="1014"/>
        <v>0</v>
      </c>
      <c r="AC198" s="481">
        <f t="shared" si="1014"/>
        <v>0</v>
      </c>
      <c r="AD198" s="481">
        <f t="shared" si="1014"/>
        <v>0</v>
      </c>
      <c r="AE198" s="482"/>
      <c r="AF198" s="481">
        <f>SUM(AF199:AF201)</f>
        <v>0</v>
      </c>
      <c r="AG198" s="481">
        <f t="shared" ref="AG198:AJ198" si="1015">SUM(AG199:AG201)</f>
        <v>0</v>
      </c>
      <c r="AH198" s="481">
        <f t="shared" si="1015"/>
        <v>0</v>
      </c>
      <c r="AI198" s="481">
        <f t="shared" si="1015"/>
        <v>0</v>
      </c>
      <c r="AJ198" s="481">
        <f t="shared" si="1015"/>
        <v>0</v>
      </c>
      <c r="AK198" s="482"/>
      <c r="AL198" s="492"/>
      <c r="AM198" s="492"/>
      <c r="AN198" s="492"/>
      <c r="AO198" s="481">
        <f t="shared" ref="AO198" si="1016">SUM(AO199:AO201)</f>
        <v>0</v>
      </c>
      <c r="AP198" s="481">
        <f t="shared" ref="AP198" si="1017">SUM(AP199:AP201)</f>
        <v>46</v>
      </c>
      <c r="AQ198" s="481">
        <f t="shared" ref="AQ198" si="1018">SUM(AQ199:AQ201)</f>
        <v>46</v>
      </c>
      <c r="AR198" s="481">
        <f t="shared" si="684"/>
        <v>0</v>
      </c>
      <c r="AS198" s="481">
        <f t="shared" ref="AS198" si="1019">SUM(AS199:AS201)</f>
        <v>0</v>
      </c>
      <c r="AT198" s="481">
        <f t="shared" ref="AT198" si="1020">SUM(AT199:AT201)</f>
        <v>0</v>
      </c>
      <c r="AU198" s="481">
        <f t="shared" ref="AU198" si="1021">SUM(AU199:AU201)</f>
        <v>0</v>
      </c>
      <c r="AV198" s="481">
        <f t="shared" ref="AV198:AX198" si="1022">SUM(AV199:AV201)</f>
        <v>0</v>
      </c>
      <c r="AW198" s="482"/>
      <c r="AX198" s="481">
        <f t="shared" si="1022"/>
        <v>0</v>
      </c>
      <c r="AY198" s="481">
        <f t="shared" ref="AY198:BB198" si="1023">SUM(AY199:AY201)</f>
        <v>0</v>
      </c>
      <c r="AZ198" s="481">
        <f t="shared" si="1023"/>
        <v>0</v>
      </c>
      <c r="BA198" s="481">
        <f t="shared" si="1023"/>
        <v>0</v>
      </c>
      <c r="BB198" s="481">
        <f t="shared" si="1023"/>
        <v>0</v>
      </c>
      <c r="BC198" s="487"/>
      <c r="BD198" s="487"/>
      <c r="BE198" s="483">
        <f>SUM(BE199:BE201)</f>
        <v>0.55000000000000004</v>
      </c>
      <c r="BF198" s="483"/>
      <c r="BG198" s="480">
        <f>BE198*(3%*'BOQ COST'!$F$16)*(48/68)*1</f>
        <v>0.43443529411764703</v>
      </c>
      <c r="BH198" s="480">
        <f t="shared" si="1001"/>
        <v>0.43443529411764703</v>
      </c>
      <c r="BI198" s="481">
        <f>SUM(BI199:BI201)</f>
        <v>0.43443529411764703</v>
      </c>
      <c r="BJ198" s="481">
        <f>SUM(BJ199:BJ201)</f>
        <v>0</v>
      </c>
      <c r="BK198" s="481">
        <f t="shared" ref="BK198:CF198" si="1024">SUM(BK199:BK201)</f>
        <v>0</v>
      </c>
      <c r="BL198" s="481">
        <f t="shared" si="1024"/>
        <v>0</v>
      </c>
      <c r="BM198" s="481">
        <f t="shared" si="1024"/>
        <v>0</v>
      </c>
      <c r="BN198" s="481">
        <f t="shared" si="1024"/>
        <v>0</v>
      </c>
      <c r="BO198" s="482"/>
      <c r="BP198" s="481">
        <f>SUM(BP199:BP201)</f>
        <v>0</v>
      </c>
      <c r="BQ198" s="481">
        <f t="shared" ref="BQ198:BT198" si="1025">SUM(BQ199:BQ201)</f>
        <v>0</v>
      </c>
      <c r="BR198" s="481">
        <f t="shared" si="1025"/>
        <v>0</v>
      </c>
      <c r="BS198" s="481">
        <f t="shared" si="1025"/>
        <v>0</v>
      </c>
      <c r="BT198" s="481">
        <f t="shared" si="1025"/>
        <v>0</v>
      </c>
      <c r="BU198" s="482"/>
      <c r="BV198" s="488"/>
      <c r="BW198" s="488"/>
      <c r="BX198" s="488"/>
      <c r="BY198" s="481">
        <f t="shared" si="1024"/>
        <v>0</v>
      </c>
      <c r="BZ198" s="481">
        <f t="shared" si="1024"/>
        <v>414</v>
      </c>
      <c r="CA198" s="481">
        <f t="shared" si="1024"/>
        <v>414</v>
      </c>
      <c r="CB198" s="481">
        <f t="shared" si="1024"/>
        <v>0</v>
      </c>
      <c r="CC198" s="481">
        <f t="shared" si="1024"/>
        <v>0</v>
      </c>
      <c r="CD198" s="481">
        <f t="shared" si="1024"/>
        <v>0</v>
      </c>
      <c r="CE198" s="481">
        <f t="shared" si="1024"/>
        <v>0</v>
      </c>
      <c r="CF198" s="481">
        <f t="shared" si="1024"/>
        <v>0</v>
      </c>
      <c r="CG198" s="490"/>
      <c r="CH198" s="481">
        <f t="shared" ref="CH198:CL198" si="1026">SUM(CH199:CH201)</f>
        <v>0</v>
      </c>
      <c r="CI198" s="481">
        <f t="shared" si="1026"/>
        <v>0</v>
      </c>
      <c r="CJ198" s="481">
        <f t="shared" si="1026"/>
        <v>0</v>
      </c>
      <c r="CK198" s="481">
        <f t="shared" si="1026"/>
        <v>0</v>
      </c>
      <c r="CL198" s="481">
        <f t="shared" si="1026"/>
        <v>0</v>
      </c>
      <c r="CM198" s="483"/>
      <c r="CN198" s="483"/>
      <c r="CO198" s="483">
        <f>SUM(CO199:CO201)</f>
        <v>0.65</v>
      </c>
      <c r="CP198" s="483"/>
      <c r="CQ198" s="480">
        <f>CO198*(2%*'BOQ COST'!$G$16)*(48/68)*1</f>
        <v>3.2117647058823535E-2</v>
      </c>
      <c r="CR198" s="480">
        <f t="shared" si="1002"/>
        <v>3.2117647058823535E-2</v>
      </c>
      <c r="CS198" s="481">
        <f>SUM(CS199:CS201)</f>
        <v>3.2117647058823535E-2</v>
      </c>
      <c r="CT198" s="481">
        <f>SUM(CT199:CT201)</f>
        <v>0</v>
      </c>
      <c r="CU198" s="481">
        <f t="shared" ref="CU198:DP198" si="1027">SUM(CU199:CU201)</f>
        <v>0</v>
      </c>
      <c r="CV198" s="481">
        <f t="shared" si="1027"/>
        <v>0</v>
      </c>
      <c r="CW198" s="481">
        <f t="shared" si="1027"/>
        <v>0</v>
      </c>
      <c r="CX198" s="481">
        <f t="shared" si="1027"/>
        <v>0</v>
      </c>
      <c r="CY198" s="482"/>
      <c r="CZ198" s="481">
        <f>SUM(CZ199:CZ201)</f>
        <v>0</v>
      </c>
      <c r="DA198" s="481">
        <f t="shared" ref="DA198:DD198" si="1028">SUM(DA199:DA201)</f>
        <v>0</v>
      </c>
      <c r="DB198" s="481">
        <f t="shared" si="1028"/>
        <v>0</v>
      </c>
      <c r="DC198" s="481">
        <f t="shared" si="1028"/>
        <v>0</v>
      </c>
      <c r="DD198" s="481">
        <f t="shared" si="1028"/>
        <v>0</v>
      </c>
      <c r="DE198" s="482"/>
      <c r="DF198" s="492"/>
      <c r="DG198" s="492"/>
      <c r="DH198" s="492"/>
      <c r="DI198" s="481">
        <f t="shared" si="1027"/>
        <v>0</v>
      </c>
      <c r="DJ198" s="481">
        <f t="shared" si="1027"/>
        <v>10</v>
      </c>
      <c r="DK198" s="481">
        <f t="shared" si="1027"/>
        <v>10</v>
      </c>
      <c r="DL198" s="481">
        <f t="shared" si="1027"/>
        <v>0</v>
      </c>
      <c r="DM198" s="481">
        <f t="shared" si="1027"/>
        <v>0</v>
      </c>
      <c r="DN198" s="481">
        <f t="shared" si="1027"/>
        <v>0</v>
      </c>
      <c r="DO198" s="481">
        <f t="shared" si="1027"/>
        <v>0</v>
      </c>
      <c r="DP198" s="481">
        <f t="shared" si="1027"/>
        <v>0</v>
      </c>
      <c r="DQ198" s="482"/>
      <c r="DR198" s="481">
        <f t="shared" ref="DR198:DV198" si="1029">SUM(DR199:DR201)</f>
        <v>0</v>
      </c>
      <c r="DS198" s="481">
        <f t="shared" si="1029"/>
        <v>0</v>
      </c>
      <c r="DT198" s="481">
        <f t="shared" si="1029"/>
        <v>0</v>
      </c>
      <c r="DU198" s="481">
        <f t="shared" si="1029"/>
        <v>0</v>
      </c>
      <c r="DV198" s="481">
        <f t="shared" si="1029"/>
        <v>0</v>
      </c>
      <c r="DW198" s="483"/>
      <c r="DX198" s="483"/>
      <c r="DY198" s="483">
        <f>SUM(DY199:DY201)</f>
        <v>0.55000000000000004</v>
      </c>
      <c r="DZ198" s="483"/>
      <c r="EA198" s="481">
        <f>(DY198*(7%*'BOQ COST'!$H$16)*1)*(48/68)</f>
        <v>0.12175058823529417</v>
      </c>
      <c r="EB198" s="480">
        <f t="shared" si="1003"/>
        <v>0.12175058823529417</v>
      </c>
      <c r="EC198" s="536">
        <f>SUM(EC199:EC201)</f>
        <v>0.12175058823529417</v>
      </c>
      <c r="ED198" s="536">
        <f>SUM(ED199:ED201)</f>
        <v>0</v>
      </c>
      <c r="EE198" s="536">
        <f t="shared" ref="EE198:EZ198" si="1030">SUM(EE199:EE201)</f>
        <v>0</v>
      </c>
      <c r="EF198" s="536">
        <f t="shared" si="1030"/>
        <v>0</v>
      </c>
      <c r="EG198" s="536">
        <f t="shared" si="1030"/>
        <v>0</v>
      </c>
      <c r="EH198" s="536">
        <f t="shared" si="1030"/>
        <v>0</v>
      </c>
      <c r="EI198" s="562"/>
      <c r="EJ198" s="536">
        <f>SUM(EJ199:EJ201)</f>
        <v>0</v>
      </c>
      <c r="EK198" s="536">
        <f t="shared" ref="EK198:EN198" si="1031">SUM(EK199:EK201)</f>
        <v>0</v>
      </c>
      <c r="EL198" s="536">
        <f t="shared" si="1031"/>
        <v>0</v>
      </c>
      <c r="EM198" s="536">
        <f t="shared" si="1031"/>
        <v>0</v>
      </c>
      <c r="EN198" s="536">
        <f t="shared" si="1031"/>
        <v>0</v>
      </c>
      <c r="EO198" s="562"/>
      <c r="EP198" s="563"/>
      <c r="EQ198" s="563"/>
      <c r="ER198" s="563"/>
      <c r="ES198" s="536">
        <f t="shared" si="1030"/>
        <v>0</v>
      </c>
      <c r="ET198" s="536">
        <f t="shared" si="1030"/>
        <v>25</v>
      </c>
      <c r="EU198" s="536">
        <f t="shared" si="1030"/>
        <v>25</v>
      </c>
      <c r="EV198" s="536">
        <f t="shared" si="1030"/>
        <v>0</v>
      </c>
      <c r="EW198" s="536">
        <f t="shared" si="1030"/>
        <v>0</v>
      </c>
      <c r="EX198" s="536">
        <f t="shared" si="1030"/>
        <v>0</v>
      </c>
      <c r="EY198" s="536">
        <f t="shared" si="1030"/>
        <v>0</v>
      </c>
      <c r="EZ198" s="536">
        <f t="shared" si="1030"/>
        <v>0</v>
      </c>
      <c r="FA198" s="562"/>
      <c r="FB198" s="536">
        <f t="shared" ref="FB198:FF198" si="1032">SUM(FB199:FB201)</f>
        <v>0</v>
      </c>
      <c r="FC198" s="536">
        <f t="shared" si="1032"/>
        <v>0</v>
      </c>
      <c r="FD198" s="536">
        <f t="shared" si="1032"/>
        <v>0</v>
      </c>
      <c r="FE198" s="536">
        <f t="shared" si="1032"/>
        <v>0</v>
      </c>
      <c r="FF198" s="536">
        <f t="shared" si="1032"/>
        <v>0</v>
      </c>
    </row>
    <row r="199" spans="2:165" ht="14.25" outlineLevel="2">
      <c r="B199" s="564" t="s">
        <v>176</v>
      </c>
      <c r="C199" s="565">
        <v>1</v>
      </c>
      <c r="D199" s="566" t="s">
        <v>177</v>
      </c>
      <c r="F199" s="500">
        <f t="shared" ref="F199:F201" si="1033">W199+BG199+CQ199+EA199</f>
        <v>0.41688687127024726</v>
      </c>
      <c r="G199" s="500">
        <f t="shared" ref="G199:G201" si="1034">X199+BH199+CR199+EB199</f>
        <v>0.41688687127024726</v>
      </c>
      <c r="H199" s="514">
        <f t="shared" ref="H199:H201" si="1035">F199-G199</f>
        <v>0</v>
      </c>
      <c r="I199" s="514">
        <f t="shared" si="1004"/>
        <v>0</v>
      </c>
      <c r="J199" s="514">
        <f t="shared" si="1005"/>
        <v>0</v>
      </c>
      <c r="K199" s="514">
        <f t="shared" si="1006"/>
        <v>0</v>
      </c>
      <c r="L199" s="514">
        <f t="shared" si="1007"/>
        <v>0</v>
      </c>
      <c r="M199" s="567">
        <f t="shared" si="1008"/>
        <v>0</v>
      </c>
      <c r="N199" s="568"/>
      <c r="O199" s="514">
        <f t="shared" si="1009"/>
        <v>0</v>
      </c>
      <c r="P199" s="514">
        <f t="shared" si="1010"/>
        <v>0</v>
      </c>
      <c r="Q199" s="514">
        <f t="shared" si="1011"/>
        <v>0</v>
      </c>
      <c r="R199" s="514">
        <f t="shared" si="1012"/>
        <v>0</v>
      </c>
      <c r="S199" s="514">
        <f t="shared" si="1013"/>
        <v>0</v>
      </c>
      <c r="U199" s="569">
        <v>0.1</v>
      </c>
      <c r="V199" s="503"/>
      <c r="W199" s="500">
        <f>$W$198/$U$198*U199</f>
        <v>0.20459275362318846</v>
      </c>
      <c r="X199" s="500">
        <f t="shared" si="1000"/>
        <v>0.20459275362318846</v>
      </c>
      <c r="Y199" s="514">
        <f>IFERROR(IF(AL199=100%,W199,0),0)</f>
        <v>0.20459275362318846</v>
      </c>
      <c r="Z199" s="514">
        <f>IFERROR(IF(AND((AL199+AM199)=100%,AL199&lt;1),W199,0),0)</f>
        <v>0</v>
      </c>
      <c r="AA199" s="514">
        <f>IFERROR(IF(AND((AQ199+AS199)=AP199,Y199=0),W199,0),0)</f>
        <v>0</v>
      </c>
      <c r="AB199" s="514">
        <f>IFERROR(IF(AND((AQ199+AS199+AT199)=AP199,Y199=0,AA199=0),W199,0),0)</f>
        <v>0</v>
      </c>
      <c r="AC199" s="514">
        <f>IFERROR(IF(AND((AQ199+AS199+AT199+AU199)=AP199,Y199=0,AA199=0,AB199=0),W199,0),0)</f>
        <v>0</v>
      </c>
      <c r="AD199" s="567">
        <f>IFERROR(IF(AND((AQ199+AS199+AT199+AU199+AV199)=AP199,Y199=0,AA199=0,AB199=0,AC199=0),W199,0),0)</f>
        <v>0</v>
      </c>
      <c r="AE199" s="568"/>
      <c r="AF199" s="514">
        <f>IFERROR(IF(AND((AL199+AN199)=100%,AL199&lt;1),W199,0),0)</f>
        <v>0</v>
      </c>
      <c r="AG199" s="514">
        <f>IFERROR(IF(AND((AQ199+AY199)=AP199,Y199=0),W199,0),0)</f>
        <v>0</v>
      </c>
      <c r="AH199" s="514">
        <f>IFERROR(IF(AND((AQ199+AY199+AZ199)=AP199,Y199=0,AG199=0),W199,0),0)</f>
        <v>0</v>
      </c>
      <c r="AI199" s="514">
        <f>IFERROR(IF(AND((AQ199+AY199+AZ199+BA199)=AP199,Y199=0,AG199=0,AH199=0),W199,0),0)</f>
        <v>0</v>
      </c>
      <c r="AJ199" s="514">
        <f>IFERROR(IF(AND((AQ199+AY199+AZ199+BA199+BB199)=AP199,Y199=0,AG199=0,AH199=0,AI199=0),W199,0),0)</f>
        <v>0</v>
      </c>
      <c r="AK199" s="501"/>
      <c r="AL199" s="570">
        <f>IFERROR(AQ199/AP199,0)</f>
        <v>1</v>
      </c>
      <c r="AM199" s="570">
        <f>IFERROR(AR199/AP199,0)</f>
        <v>0</v>
      </c>
      <c r="AN199" s="570">
        <f>IFERROR(AX199/AP199,0)</f>
        <v>0</v>
      </c>
      <c r="AO199" s="518"/>
      <c r="AP199" s="514">
        <f>COUNTIF('AR | Drawing List'!$G:$G,"AR-VC1-1")</f>
        <v>21</v>
      </c>
      <c r="AQ199" s="506">
        <f>COUNTIFS('AR | Drawing List'!$G:$G,"AR-VC1-1",'AR | Drawing List'!$I:$I,1)</f>
        <v>21</v>
      </c>
      <c r="AR199" s="506">
        <f t="shared" si="684"/>
        <v>0</v>
      </c>
      <c r="AS199" s="506">
        <f>COUNTIFS('AR | Drawing List'!$G:$G,"AR-VC1-1",'AR | Drawing List'!M:M,1)</f>
        <v>0</v>
      </c>
      <c r="AT199" s="506">
        <f>COUNTIFS('AR | Drawing List'!$G:$G,"AR-VC1-1",'AR | Drawing List'!N:N,1)</f>
        <v>0</v>
      </c>
      <c r="AU199" s="506">
        <f>COUNTIFS('AR | Drawing List'!$G:$G,"AR-VC1-1",'AR | Drawing List'!O:O,1)</f>
        <v>0</v>
      </c>
      <c r="AV199" s="506">
        <f>COUNTIFS('AR | Drawing List'!$G:$G,"AR-VC1-1",'AR | Drawing List'!P:P,1)</f>
        <v>0</v>
      </c>
      <c r="AW199" s="466"/>
      <c r="AX199" s="506">
        <f t="shared" si="715"/>
        <v>0</v>
      </c>
      <c r="AY199" s="506">
        <f>COUNTIFS('AR | Drawing List'!$G:$G,"AR-VC1-1",'AR | Drawing List'!R:R,1)</f>
        <v>0</v>
      </c>
      <c r="AZ199" s="506">
        <f>COUNTIFS('AR | Drawing List'!$G:$G,"AR-VC1-1",'AR | Drawing List'!S:S,1)</f>
        <v>0</v>
      </c>
      <c r="BA199" s="506">
        <f>COUNTIFS('AR | Drawing List'!$G:$G,"AR-VC1-1",'AR | Drawing List'!T:T,1)</f>
        <v>0</v>
      </c>
      <c r="BB199" s="506">
        <f>COUNTIFS('AR | Drawing List'!$G:$G,"AR-VC1-1",'AR | Drawing List'!U:U,1)</f>
        <v>0</v>
      </c>
      <c r="BC199" s="551"/>
      <c r="BD199" s="551"/>
      <c r="BE199" s="511">
        <v>0.25</v>
      </c>
      <c r="BF199" s="508"/>
      <c r="BG199" s="506">
        <f>$BG$198/$BE$198*BE199</f>
        <v>0.19747058823529409</v>
      </c>
      <c r="BH199" s="510">
        <f t="shared" si="1001"/>
        <v>0.19747058823529409</v>
      </c>
      <c r="BI199" s="514">
        <f>IFERROR(IF(BV199=100%,BG199,0),0)</f>
        <v>0.19747058823529409</v>
      </c>
      <c r="BJ199" s="514">
        <f>IFERROR(IF(AND((BV199+BW199)=100%,BV199&lt;1),BG199,0),0)</f>
        <v>0</v>
      </c>
      <c r="BK199" s="514">
        <f>IFERROR(IF(AND((CA199+CC199)=BZ199,BI199=0),BG199,0),0)</f>
        <v>0</v>
      </c>
      <c r="BL199" s="514">
        <f>IFERROR(IF(AND((CA199+CC199+CD199)=BZ199,BI199=0,BK199=0),BG199,0),0)</f>
        <v>0</v>
      </c>
      <c r="BM199" s="514">
        <f>IFERROR(IF(AND((CA199+CC199+CD199+CE199)=BZ199,BI199=0,BK199=0,BL199=0),BG199,0),0)</f>
        <v>0</v>
      </c>
      <c r="BN199" s="514">
        <f>IFERROR(IF(AND((CA199+CC199+CD199+CE199+CF199)=BZ199,BI199=0,BK199=0,BL199=0,BM199=0),BG199,0),0)</f>
        <v>0</v>
      </c>
      <c r="BO199" s="501"/>
      <c r="BP199" s="514">
        <f>IFERROR(IF(AND((BV199+BX199)=100%,BV199&lt;1),BG199,0),0)</f>
        <v>0</v>
      </c>
      <c r="BQ199" s="514">
        <f>IFERROR(IF(AND((CA199+CI199)=BZ199,BI199=0),BG199,0),0)</f>
        <v>0</v>
      </c>
      <c r="BR199" s="514">
        <f>IFERROR(IF(AND((CA199+CI199+CJ199)=BZ199,BI199=0,BQ199=0),BG199,0),0)</f>
        <v>0</v>
      </c>
      <c r="BS199" s="514">
        <f>IFERROR(IF(AND((CA199+CI199+CJ199+CK199)=BZ199,BI199=0,BQ199=0,BR199=0),BG199,0),0)</f>
        <v>0</v>
      </c>
      <c r="BT199" s="514">
        <f>IFERROR(IF(AND((CA199+CI199+CJ199+CK199+CL199)=BZ199,BI199=0,BQ199=0,BR199=0,BS199=0),BG199,0),0)</f>
        <v>0</v>
      </c>
      <c r="BU199" s="501"/>
      <c r="BV199" s="571">
        <f t="shared" ref="BV199:BV201" si="1036">IFERROR(CA199/BZ199,0)</f>
        <v>1</v>
      </c>
      <c r="BW199" s="571">
        <f t="shared" ref="BW199:BW201" si="1037">IFERROR(CB199/BZ199,0)</f>
        <v>0</v>
      </c>
      <c r="BX199" s="571">
        <f t="shared" ref="BX199:BX201" si="1038">IFERROR(CH199/BZ199,0)</f>
        <v>0</v>
      </c>
      <c r="BY199" s="518"/>
      <c r="BZ199" s="514">
        <f>COUNTIF('ST | Drawing List'!$G:$G,"ST-VC1-1")</f>
        <v>177</v>
      </c>
      <c r="CA199" s="506">
        <f>COUNTIFS('ST | Drawing List'!$G:$G,"ST-VC1-1",'ST | Drawing List'!$I:$I,1)</f>
        <v>177</v>
      </c>
      <c r="CB199" s="572">
        <f>COUNTIFS('ST | Drawing List'!$G:$G,"ST-VC1-1",'ST | Drawing List'!$K:$K,1)</f>
        <v>0</v>
      </c>
      <c r="CC199" s="506">
        <f>COUNTIFS('ST | Drawing List'!$G:$G,"ST-VC1-1",'ST | Drawing List'!L:L,1)</f>
        <v>0</v>
      </c>
      <c r="CD199" s="506">
        <f>COUNTIFS('ST | Drawing List'!$G:$G,"ST-VC1-1",'ST | Drawing List'!M:M,1)</f>
        <v>0</v>
      </c>
      <c r="CE199" s="506">
        <f>COUNTIFS('ST | Drawing List'!$G:$G,"ST-VC1-1",'ST | Drawing List'!N:N,1)</f>
        <v>0</v>
      </c>
      <c r="CF199" s="506">
        <f>COUNTIFS('ST | Drawing List'!$G:$G,"ST-VC1-1",'ST | Drawing List'!O:O,1)</f>
        <v>0</v>
      </c>
      <c r="CG199" s="471"/>
      <c r="CH199" s="572">
        <f>COUNTIFS('ST | Drawing List'!$G:$G,"ST-VC1-1",'ST | Drawing List'!$P:$P,1)</f>
        <v>0</v>
      </c>
      <c r="CI199" s="506">
        <f>COUNTIFS('ST | Drawing List'!$G:$G,"ST-VC1-1",'ST | Drawing List'!Q:Q,1)</f>
        <v>0</v>
      </c>
      <c r="CJ199" s="506">
        <f>COUNTIFS('ST | Drawing List'!$G:$G,"ST-VC1-1",'ST | Drawing List'!R:R,1)</f>
        <v>0</v>
      </c>
      <c r="CK199" s="506">
        <f>COUNTIFS('ST | Drawing List'!$G:$G,"ST-VC1-1",'ST | Drawing List'!S:S,1)</f>
        <v>0</v>
      </c>
      <c r="CL199" s="506">
        <f>COUNTIFS('ST | Drawing List'!$G:$G,"ST-VC1-1",'ST | Drawing List'!T:T,1)</f>
        <v>0</v>
      </c>
      <c r="CM199" s="508"/>
      <c r="CN199" s="508"/>
      <c r="CO199" s="511">
        <v>0.3</v>
      </c>
      <c r="CP199" s="508"/>
      <c r="CQ199" s="506">
        <f>$CQ$198/$CO$198*CO199</f>
        <v>1.4823529411764708E-2</v>
      </c>
      <c r="CR199" s="510">
        <f t="shared" si="1002"/>
        <v>1.4823529411764708E-2</v>
      </c>
      <c r="CS199" s="514">
        <f>IFERROR(IF(DF199=100%,CQ199,0),0)</f>
        <v>1.4823529411764708E-2</v>
      </c>
      <c r="CT199" s="514">
        <f t="shared" ref="CT199:CT201" si="1039">IFERROR(IF(AND((DF199+DG199)=100%,DF199&lt;1),CQ199,0),0)</f>
        <v>0</v>
      </c>
      <c r="CU199" s="514">
        <f t="shared" ref="CU199:CU201" si="1040">IFERROR(IF(AND((DK199+DM199)=DJ199,CS199=0),CQ199,0),0)</f>
        <v>0</v>
      </c>
      <c r="CV199" s="514">
        <f t="shared" ref="CV199:CV201" si="1041">IFERROR(IF(AND((DK199+DM199+DN199)=DJ199,CS199=0,CU199=0),CQ199,0),0)</f>
        <v>0</v>
      </c>
      <c r="CW199" s="514">
        <f t="shared" ref="CW199:CW201" si="1042">IFERROR(IF(AND((DK199+DM199+DN199+DO199)=DJ199,CS199=0,CU199=0,CV199=0),CQ199,0),0)</f>
        <v>0</v>
      </c>
      <c r="CX199" s="514">
        <f t="shared" ref="CX199:CX201" si="1043">IFERROR(IF(AND((DK199+DM199+DN199+DO199+DP199)=DJ199,CS199=0,CU199=0,CV199=0,CW199=0),CQ199,0),0)</f>
        <v>0</v>
      </c>
      <c r="CY199" s="501"/>
      <c r="CZ199" s="514">
        <f t="shared" ref="CZ199:CZ201" si="1044">IFERROR(IF(AND((DF199+DH199)=100%,DF199&lt;1),CQ199,0),0)</f>
        <v>0</v>
      </c>
      <c r="DA199" s="514">
        <f t="shared" ref="DA199:DA201" si="1045">IFERROR(IF(AND((DK199+DS199)=DJ199,CS199=0),CQ199,0),0)</f>
        <v>0</v>
      </c>
      <c r="DB199" s="514">
        <f t="shared" ref="DB199:DB201" si="1046">IFERROR(IF(AND((DK199+DS199+DT199)=DJ199,CS199=0,DA199=0),CQ199,0),0)</f>
        <v>0</v>
      </c>
      <c r="DC199" s="514">
        <f t="shared" ref="DC199:DC201" si="1047">IFERROR(IF(AND((DK199+DS199+DT199+DU199)=DJ199,CS199=0,DA199=0,DB199=0),CQ199,0),0)</f>
        <v>0</v>
      </c>
      <c r="DD199" s="514">
        <f t="shared" ref="DD199:DD201" si="1048">IFERROR(IF(AND((DK199+DS199+DT199+DU199+DV199)=DJ199,CS199=0,DA199=0,DB199=0,DC199=0),CQ199,0),0)</f>
        <v>0</v>
      </c>
      <c r="DE199" s="501"/>
      <c r="DF199" s="570">
        <f t="shared" ref="DF199:DF201" si="1049">IFERROR(DK199/DJ199,0)</f>
        <v>1</v>
      </c>
      <c r="DG199" s="570">
        <f t="shared" ref="DG199:DG201" si="1050">IFERROR(DL199/DJ199,0)</f>
        <v>0</v>
      </c>
      <c r="DH199" s="570">
        <f t="shared" ref="DH199:DH201" si="1051">IFERROR(DR199/DJ199,0)</f>
        <v>0</v>
      </c>
      <c r="DI199" s="518"/>
      <c r="DJ199" s="514">
        <f>COUNTIF('MEP | Drawing List'!$G:$G,"MEP-VC1-1")</f>
        <v>4</v>
      </c>
      <c r="DK199" s="506">
        <f>COUNTIFS('MEP | Drawing List'!$G:$G,"MEP-VC1-1",'MEP | Drawing List'!$I:$I,1)</f>
        <v>4</v>
      </c>
      <c r="DL199" s="506">
        <f>COUNTIFS('MEP | Drawing List'!$G:$G,"MEP-VC1-1",'MEP | Drawing List'!$K:$K,1)</f>
        <v>0</v>
      </c>
      <c r="DM199" s="514">
        <f>COUNTIFS('MEP | Drawing List'!$G:$G,"MEP-VC1-1",'MEP | Drawing List'!L:L,1)</f>
        <v>0</v>
      </c>
      <c r="DN199" s="514">
        <f>COUNTIFS('MEP | Drawing List'!$G:$G,"MEP-VC1-1",'MEP | Drawing List'!M:M,1)</f>
        <v>0</v>
      </c>
      <c r="DO199" s="514">
        <f>COUNTIFS('MEP | Drawing List'!$G:$G,"MEP-VC1-1",'MEP | Drawing List'!N:N,1)</f>
        <v>0</v>
      </c>
      <c r="DP199" s="514">
        <f>COUNTIFS('MEP | Drawing List'!$G:$G,"MEP-VC1-1",'MEP | Drawing List'!O:O,1)</f>
        <v>0</v>
      </c>
      <c r="DQ199" s="501"/>
      <c r="DR199" s="506">
        <f>COUNTIFS('MEP | Drawing List'!$G:$G,"MEP-VC1-1",'MEP | Drawing List'!$P:$P,1)</f>
        <v>0</v>
      </c>
      <c r="DS199" s="514">
        <f>COUNTIFS('MEP | Drawing List'!$G:$G,"MEP-VC1-1",'MEP | Drawing List'!Q:Q,1)</f>
        <v>0</v>
      </c>
      <c r="DT199" s="514">
        <f>COUNTIFS('MEP | Drawing List'!$G:$G,"MEP-VC1-1",'MEP | Drawing List'!R:R,1)</f>
        <v>0</v>
      </c>
      <c r="DU199" s="514">
        <f>COUNTIFS('MEP | Drawing List'!$G:$G,"MEP-VC1-1",'MEP | Drawing List'!S:S,1)</f>
        <v>0</v>
      </c>
      <c r="DV199" s="514">
        <f>COUNTIFS('MEP | Drawing List'!$G:$G,"MEP-VC1-1",'MEP | Drawing List'!T:T,1)</f>
        <v>0</v>
      </c>
      <c r="DW199" s="508"/>
      <c r="DX199" s="508"/>
      <c r="DY199" s="511">
        <v>0</v>
      </c>
      <c r="DZ199" s="508"/>
      <c r="EA199" s="509">
        <v>0</v>
      </c>
      <c r="EB199" s="510">
        <f t="shared" si="1003"/>
        <v>0</v>
      </c>
      <c r="EC199" s="514">
        <f>IFERROR(IF(EP199=100%,EA199,0),0)</f>
        <v>0</v>
      </c>
      <c r="ED199" s="514">
        <f>IFERROR(IF(AND((EP199+EQ199)=100%,EP199&lt;1),EA199,0),0)</f>
        <v>0</v>
      </c>
      <c r="EE199" s="514">
        <f>IFERROR(IF(AND((EU199+EW199)=ET199,EC199=0),EA199,0),0)</f>
        <v>0</v>
      </c>
      <c r="EF199" s="514">
        <f>IFERROR(IF(AND((EU199+EW199+EX199)=ET199,EC199=0,EE199=0),EA199,0),0)</f>
        <v>0</v>
      </c>
      <c r="EG199" s="514">
        <f>IFERROR(IF(AND((EU199+EW199+EX199+EY199)=ET199,EC199=0,EE199=0,EF199=0),EA199,0),0)</f>
        <v>0</v>
      </c>
      <c r="EH199" s="514">
        <f>IFERROR(IF(AND((EU199+EW199+EX199+EY199+EZ199)=ET199,EC199=0,EE199=0,EF199=0,EG199=0),EA199,0),0)</f>
        <v>0</v>
      </c>
      <c r="EI199" s="501"/>
      <c r="EJ199" s="567">
        <f t="shared" ref="EJ199:EJ201" si="1052">IFERROR(IF(AND((EP199+ER199)=100%,EP199&lt;1),EA199,0),0)</f>
        <v>0</v>
      </c>
      <c r="EK199" s="514">
        <f t="shared" ref="EK199:EK201" si="1053">IFERROR(IF(AND((EU199+FC199)=ET199,EC199=0),EA199,0),0)</f>
        <v>0</v>
      </c>
      <c r="EL199" s="514">
        <f t="shared" ref="EL199:EL201" si="1054">IFERROR(IF(AND((EU199+FC199+FD199)=ET199,EC199=0,EK199=0),EA199,0),0)</f>
        <v>0</v>
      </c>
      <c r="EM199" s="514">
        <f t="shared" ref="EM199:EM201" si="1055">IFERROR(IF(AND((EU199+FC199+FD199+FE199)=ET199,EC199=0,EK199=0,EL199=0),EA199,0),0)</f>
        <v>0</v>
      </c>
      <c r="EN199" s="514">
        <f t="shared" ref="EN199:EN201" si="1056">IFERROR(IF(AND((EU199+FC199+FD199+FE199+FF199)=ET199,EC199=0,EK199=0,EL199=0,EM199=0),EA199,0),0)</f>
        <v>0</v>
      </c>
      <c r="EO199" s="501"/>
      <c r="EP199" s="585">
        <f t="shared" ref="EP199:EP201" si="1057">IFERROR(EU199/ET199,0)</f>
        <v>0</v>
      </c>
      <c r="EQ199" s="585">
        <f t="shared" ref="EQ199:EQ201" si="1058">IFERROR(EV199/ET199,0)</f>
        <v>0</v>
      </c>
      <c r="ER199" s="585">
        <f t="shared" ref="ER199:ER201" si="1059">IFERROR(FB199/ET199,0)</f>
        <v>0</v>
      </c>
      <c r="ET199" s="514">
        <f>COUNTIF('LS | Drawing List'!$G:$G,"LS-V01-1")</f>
        <v>0</v>
      </c>
      <c r="EU199" s="506">
        <f>COUNTIFS('LS | Drawing List'!$G:$G,"LS-V01-1",'LS | Drawing List'!$I:$I,1)</f>
        <v>0</v>
      </c>
      <c r="EV199" s="506">
        <f>COUNTIFS('LS | Drawing List'!$G:$G,"LS-V01-1",'LS | Drawing List'!$K:$K,1)</f>
        <v>0</v>
      </c>
      <c r="EW199" s="514">
        <f>COUNTIFS('LS | Drawing List'!$G:$G,"LS-V01-1",'LS | Drawing List'!L:L,1)</f>
        <v>0</v>
      </c>
      <c r="EX199" s="514">
        <f>COUNTIFS('LS | Drawing List'!$G:$G,"LS-V01-1",'LS | Drawing List'!M:M,1)</f>
        <v>0</v>
      </c>
      <c r="EY199" s="514">
        <f>COUNTIFS('LS | Drawing List'!$G:$G,"LS-V01-1",'LS | Drawing List'!N:N,1)</f>
        <v>0</v>
      </c>
      <c r="EZ199" s="514">
        <f>COUNTIFS('LS | Drawing List'!$G:$G,"LS-V01-1",'LS | Drawing List'!O:O,1)</f>
        <v>0</v>
      </c>
      <c r="FA199" s="515"/>
      <c r="FB199" s="506">
        <f>COUNTIFS('LS | Drawing List'!$G:$G,"LS-V01-1",'LS | Drawing List'!$P:$P,1)</f>
        <v>0</v>
      </c>
      <c r="FC199" s="514">
        <f>COUNTIFS('LS | Drawing List'!$G:$G,"LS-V01-1",'LS | Drawing List'!Q:Q,1)</f>
        <v>0</v>
      </c>
      <c r="FD199" s="514">
        <f>COUNTIFS('LS | Drawing List'!$G:$G,"LS-V01-1",'LS | Drawing List'!R:R,1)</f>
        <v>0</v>
      </c>
      <c r="FE199" s="514">
        <f>COUNTIFS('LS | Drawing List'!$G:$G,"LS-V01-1",'LS | Drawing List'!S:S,1)</f>
        <v>0</v>
      </c>
      <c r="FF199" s="514">
        <f>COUNTIFS('LS | Drawing List'!$G:$G,"LS-V01-1",'LS | Drawing List'!T:T,1)</f>
        <v>0</v>
      </c>
    </row>
    <row r="200" spans="2:165" ht="14.25" outlineLevel="2">
      <c r="B200" s="564" t="s">
        <v>178</v>
      </c>
      <c r="C200" s="565">
        <v>2</v>
      </c>
      <c r="D200" s="566" t="s">
        <v>179</v>
      </c>
      <c r="F200" s="500">
        <f t="shared" si="1033"/>
        <v>0.65603256606990623</v>
      </c>
      <c r="G200" s="500">
        <f t="shared" si="1034"/>
        <v>0.65603256606990623</v>
      </c>
      <c r="H200" s="514">
        <f t="shared" si="1035"/>
        <v>0</v>
      </c>
      <c r="I200" s="514">
        <f t="shared" si="1004"/>
        <v>0</v>
      </c>
      <c r="J200" s="514">
        <f t="shared" si="1005"/>
        <v>0</v>
      </c>
      <c r="K200" s="514">
        <f t="shared" si="1006"/>
        <v>0</v>
      </c>
      <c r="L200" s="514">
        <f t="shared" si="1007"/>
        <v>0</v>
      </c>
      <c r="M200" s="567">
        <f t="shared" si="1008"/>
        <v>0</v>
      </c>
      <c r="N200" s="568"/>
      <c r="O200" s="514">
        <f t="shared" si="1009"/>
        <v>0</v>
      </c>
      <c r="P200" s="514">
        <f t="shared" si="1010"/>
        <v>0</v>
      </c>
      <c r="Q200" s="514">
        <f t="shared" si="1011"/>
        <v>0</v>
      </c>
      <c r="R200" s="514">
        <f t="shared" si="1012"/>
        <v>0</v>
      </c>
      <c r="S200" s="514">
        <f t="shared" si="1013"/>
        <v>0</v>
      </c>
      <c r="U200" s="569">
        <v>0.2</v>
      </c>
      <c r="V200" s="503"/>
      <c r="W200" s="500">
        <f>$W$198/$U$198*U200</f>
        <v>0.40918550724637692</v>
      </c>
      <c r="X200" s="500">
        <f t="shared" si="1000"/>
        <v>0.40918550724637692</v>
      </c>
      <c r="Y200" s="514">
        <f>IFERROR(IF(AL200=100%,W200,0),0)</f>
        <v>0.40918550724637692</v>
      </c>
      <c r="Z200" s="514">
        <f>IFERROR(IF(AND((AL200+AM200)=100%,AL200&lt;1),W200,0),0)</f>
        <v>0</v>
      </c>
      <c r="AA200" s="514">
        <f>IFERROR(IF(AND((AQ200+AS200)=AP200,Y200=0),W200,0),0)</f>
        <v>0</v>
      </c>
      <c r="AB200" s="514">
        <f>IFERROR(IF(AND((AQ200+AS200+AT200)=AP200,Y200=0,AA200=0),W200,0),0)</f>
        <v>0</v>
      </c>
      <c r="AC200" s="514">
        <f>IFERROR(IF(AND((AQ200+AS200+AT200+AU200)=AP200,Y200=0,AA200=0,AB200=0),W200,0),0)</f>
        <v>0</v>
      </c>
      <c r="AD200" s="567">
        <f>IFERROR(IF(AND((AQ200+AS200+AT200+AU200+AV200)=AP200,Y200=0,AA200=0,AB200=0,AC200=0),W200,0),0)</f>
        <v>0</v>
      </c>
      <c r="AE200" s="568"/>
      <c r="AF200" s="514">
        <f>IFERROR(IF(AND((AL200+AN200)=100%,AL200&lt;1),W200,0),0)</f>
        <v>0</v>
      </c>
      <c r="AG200" s="514">
        <f>IFERROR(IF(AND((AQ200+AY200)=AP200,Y200=0),W200,0),0)</f>
        <v>0</v>
      </c>
      <c r="AH200" s="514">
        <f>IFERROR(IF(AND((AQ200+AY200+AZ200)=AP200,Y200=0,AG200=0),W200,0),0)</f>
        <v>0</v>
      </c>
      <c r="AI200" s="514">
        <f>IFERROR(IF(AND((AQ200+AY200+AZ200+BA200)=AP200,Y200=0,AG200=0,AH200=0),W200,0),0)</f>
        <v>0</v>
      </c>
      <c r="AJ200" s="514">
        <f>IFERROR(IF(AND((AQ200+AY200+AZ200+BA200+BB200)=AP200,Y200=0,AG200=0,AH200=0,AI200=0),W200,0),0)</f>
        <v>0</v>
      </c>
      <c r="AK200" s="501"/>
      <c r="AL200" s="570">
        <f>IFERROR(AQ200/AP200,0)</f>
        <v>1</v>
      </c>
      <c r="AM200" s="570">
        <f>IFERROR(AR200/AP200,0)</f>
        <v>0</v>
      </c>
      <c r="AN200" s="570">
        <f>IFERROR(AX200/AP200,0)</f>
        <v>0</v>
      </c>
      <c r="AO200" s="518"/>
      <c r="AP200" s="514">
        <f>COUNTIF('AR | Drawing List'!$G:$G,"AR-VC1-2")</f>
        <v>1</v>
      </c>
      <c r="AQ200" s="506">
        <f>COUNTIFS('AR | Drawing List'!$G:$G,"AR-VC1-2",'AR | Drawing List'!$I:$I,1)</f>
        <v>1</v>
      </c>
      <c r="AR200" s="506">
        <f t="shared" si="684"/>
        <v>0</v>
      </c>
      <c r="AS200" s="506">
        <f>COUNTIFS('AR | Drawing List'!$G:$G,"AR-VC1-2",'AR | Drawing List'!M:M,1)</f>
        <v>0</v>
      </c>
      <c r="AT200" s="506">
        <f>COUNTIFS('AR | Drawing List'!$G:$G,"AR-VC1-2",'AR | Drawing List'!N:N,1)</f>
        <v>0</v>
      </c>
      <c r="AU200" s="506">
        <f>COUNTIFS('AR | Drawing List'!$G:$G,"AR-VC1-2",'AR | Drawing List'!O:O,1)</f>
        <v>0</v>
      </c>
      <c r="AV200" s="506">
        <f>COUNTIFS('AR | Drawing List'!$G:$G,"AR-VC1-2",'AR | Drawing List'!P:P,1)</f>
        <v>0</v>
      </c>
      <c r="AW200" s="466"/>
      <c r="AX200" s="506">
        <f t="shared" si="715"/>
        <v>0</v>
      </c>
      <c r="AY200" s="506">
        <f>COUNTIFS('AR | Drawing List'!$G:$G,"AR-VC1-2",'AR | Drawing List'!R:R,1)</f>
        <v>0</v>
      </c>
      <c r="AZ200" s="506">
        <f>COUNTIFS('AR | Drawing List'!$G:$G,"AR-VC1-2",'AR | Drawing List'!S:S,1)</f>
        <v>0</v>
      </c>
      <c r="BA200" s="506">
        <f>COUNTIFS('AR | Drawing List'!$G:$G,"AR-VC1-2",'AR | Drawing List'!T:T,1)</f>
        <v>0</v>
      </c>
      <c r="BB200" s="506">
        <f>COUNTIFS('AR | Drawing List'!$G:$G,"AR-VC1-2",'AR | Drawing List'!U:U,1)</f>
        <v>0</v>
      </c>
      <c r="BC200" s="551"/>
      <c r="BD200" s="551"/>
      <c r="BE200" s="511">
        <v>0.3</v>
      </c>
      <c r="BF200" s="508"/>
      <c r="BG200" s="506">
        <f>$BG$198/$BE$198*BE200</f>
        <v>0.23696470588235291</v>
      </c>
      <c r="BH200" s="510">
        <f t="shared" si="1001"/>
        <v>0.23696470588235291</v>
      </c>
      <c r="BI200" s="514">
        <f>IFERROR(IF(BV200=100%,BG200,0),0)</f>
        <v>0.23696470588235291</v>
      </c>
      <c r="BJ200" s="514">
        <f>IFERROR(IF(AND((BV200+BW200)=100%,BV200&lt;1),BG200,0),0)</f>
        <v>0</v>
      </c>
      <c r="BK200" s="514">
        <f>IFERROR(IF(AND((CA200+CC200)=BZ200,BI200=0),BG200,0),0)</f>
        <v>0</v>
      </c>
      <c r="BL200" s="514">
        <f>IFERROR(IF(AND((CA200+CC200+CD200)=BZ200,BI200=0,BK200=0),BG200,0),0)</f>
        <v>0</v>
      </c>
      <c r="BM200" s="514">
        <f>IFERROR(IF(AND((CA200+CC200+CD200+CE200)=BZ200,BI200=0,BK200=0,BL200=0),BG200,0),0)</f>
        <v>0</v>
      </c>
      <c r="BN200" s="514">
        <f>IFERROR(IF(AND((CA200+CC200+CD200+CE200+CF200)=BZ200,BI200=0,BK200=0,BL200=0,BM200=0),BG200,0),0)</f>
        <v>0</v>
      </c>
      <c r="BO200" s="501"/>
      <c r="BP200" s="514">
        <f>IFERROR(IF(AND((BV200+BX200)=100%,BV200&lt;1),BG200,0),0)</f>
        <v>0</v>
      </c>
      <c r="BQ200" s="514">
        <f>IFERROR(IF(AND((CA200+CI200)=BZ200,BI200=0),BG200,0),0)</f>
        <v>0</v>
      </c>
      <c r="BR200" s="514">
        <f>IFERROR(IF(AND((CA200+CI200+CJ200)=BZ200,BI200=0,BQ200=0),BG200,0),0)</f>
        <v>0</v>
      </c>
      <c r="BS200" s="514">
        <f>IFERROR(IF(AND((CA200+CI200+CJ200+CK200)=BZ200,BI200=0,BQ200=0,BR200=0),BG200,0),0)</f>
        <v>0</v>
      </c>
      <c r="BT200" s="514">
        <f>IFERROR(IF(AND((CA200+CI200+CJ200+CK200+CL200)=BZ200,BI200=0,BQ200=0,BR200=0,BS200=0),BG200,0),0)</f>
        <v>0</v>
      </c>
      <c r="BU200" s="501"/>
      <c r="BV200" s="571">
        <f t="shared" si="1036"/>
        <v>1</v>
      </c>
      <c r="BW200" s="571">
        <f t="shared" si="1037"/>
        <v>0</v>
      </c>
      <c r="BX200" s="571">
        <f t="shared" si="1038"/>
        <v>0</v>
      </c>
      <c r="BY200" s="518"/>
      <c r="BZ200" s="514">
        <f>COUNTIF('ST | Drawing List'!$G:$G,"ST-VC1-2")</f>
        <v>237</v>
      </c>
      <c r="CA200" s="506">
        <f>COUNTIFS('ST | Drawing List'!$G:$G,"ST-VC1-2",'ST | Drawing List'!$I:$I,1)</f>
        <v>237</v>
      </c>
      <c r="CB200" s="572">
        <f>COUNTIFS('ST | Drawing List'!$G:$G,"ST-VC1-2",'ST | Drawing List'!$K:$K,1)</f>
        <v>0</v>
      </c>
      <c r="CC200" s="506">
        <f>COUNTIFS('ST | Drawing List'!$G:$G,"ST-VC1-2",'ST | Drawing List'!L:L,1)</f>
        <v>0</v>
      </c>
      <c r="CD200" s="506">
        <f>COUNTIFS('ST | Drawing List'!$G:$G,"ST-VC1-2",'ST | Drawing List'!M:M,1)</f>
        <v>0</v>
      </c>
      <c r="CE200" s="506">
        <f>COUNTIFS('ST | Drawing List'!$G:$G,"ST-VC1-2",'ST | Drawing List'!N:N,1)</f>
        <v>0</v>
      </c>
      <c r="CF200" s="506">
        <f>COUNTIFS('ST | Drawing List'!$G:$G,"ST-VC1-2",'ST | Drawing List'!O:O,1)</f>
        <v>0</v>
      </c>
      <c r="CG200" s="471"/>
      <c r="CH200" s="572">
        <f>COUNTIFS('ST | Drawing List'!$G:$G,"ST-VC1-2",'ST | Drawing List'!$P:$P,1)</f>
        <v>0</v>
      </c>
      <c r="CI200" s="506">
        <f>COUNTIFS('ST | Drawing List'!$G:$G,"ST-VC1-2",'ST | Drawing List'!Q:Q,1)</f>
        <v>0</v>
      </c>
      <c r="CJ200" s="506">
        <f>COUNTIFS('ST | Drawing List'!$G:$G,"ST-VC1-2",'ST | Drawing List'!R:R,1)</f>
        <v>0</v>
      </c>
      <c r="CK200" s="506">
        <f>COUNTIFS('ST | Drawing List'!$G:$G,"ST-VC1-2",'ST | Drawing List'!S:S,1)</f>
        <v>0</v>
      </c>
      <c r="CL200" s="506">
        <f>COUNTIFS('ST | Drawing List'!$G:$G,"ST-VC1-2",'ST | Drawing List'!T:T,1)</f>
        <v>0</v>
      </c>
      <c r="CM200" s="508"/>
      <c r="CN200" s="508"/>
      <c r="CO200" s="511">
        <v>0.2</v>
      </c>
      <c r="CP200" s="508"/>
      <c r="CQ200" s="506">
        <f>$CQ$198/$CO$198*CO200</f>
        <v>9.8823529411764741E-3</v>
      </c>
      <c r="CR200" s="510">
        <f t="shared" si="1002"/>
        <v>9.8823529411764741E-3</v>
      </c>
      <c r="CS200" s="514">
        <f>IFERROR(IF(DF200=100%,CQ200,0),0)</f>
        <v>9.8823529411764741E-3</v>
      </c>
      <c r="CT200" s="514">
        <f t="shared" si="1039"/>
        <v>0</v>
      </c>
      <c r="CU200" s="514">
        <f t="shared" si="1040"/>
        <v>0</v>
      </c>
      <c r="CV200" s="514">
        <f t="shared" si="1041"/>
        <v>0</v>
      </c>
      <c r="CW200" s="514">
        <f t="shared" si="1042"/>
        <v>0</v>
      </c>
      <c r="CX200" s="514">
        <f t="shared" si="1043"/>
        <v>0</v>
      </c>
      <c r="CY200" s="501"/>
      <c r="CZ200" s="514">
        <f t="shared" si="1044"/>
        <v>0</v>
      </c>
      <c r="DA200" s="514">
        <f t="shared" si="1045"/>
        <v>0</v>
      </c>
      <c r="DB200" s="514">
        <f t="shared" si="1046"/>
        <v>0</v>
      </c>
      <c r="DC200" s="514">
        <f t="shared" si="1047"/>
        <v>0</v>
      </c>
      <c r="DD200" s="514">
        <f t="shared" si="1048"/>
        <v>0</v>
      </c>
      <c r="DE200" s="501"/>
      <c r="DF200" s="570">
        <f t="shared" si="1049"/>
        <v>1</v>
      </c>
      <c r="DG200" s="570">
        <f t="shared" si="1050"/>
        <v>0</v>
      </c>
      <c r="DH200" s="570">
        <f t="shared" si="1051"/>
        <v>0</v>
      </c>
      <c r="DI200" s="518"/>
      <c r="DJ200" s="514">
        <f>COUNTIF('MEP | Drawing List'!$G:$G,"MEP-VC1-2")</f>
        <v>4</v>
      </c>
      <c r="DK200" s="506">
        <f>COUNTIFS('MEP | Drawing List'!$G:$G,"MEP-VC1-2",'MEP | Drawing List'!$I:$I,1)</f>
        <v>4</v>
      </c>
      <c r="DL200" s="506">
        <f>COUNTIFS('MEP | Drawing List'!$G:$G,"MEP-VC1-2",'MEP | Drawing List'!$K:$K,1)</f>
        <v>0</v>
      </c>
      <c r="DM200" s="514">
        <f>COUNTIFS('MEP | Drawing List'!$G:$G,"MEP-VC1-2",'MEP | Drawing List'!L:L,1)</f>
        <v>0</v>
      </c>
      <c r="DN200" s="514">
        <f>COUNTIFS('MEP | Drawing List'!$G:$G,"MEP-VC1-2",'MEP | Drawing List'!M:M,1)</f>
        <v>0</v>
      </c>
      <c r="DO200" s="514">
        <f>COUNTIFS('MEP | Drawing List'!$G:$G,"MEP-VC1-2",'MEP | Drawing List'!N:N,1)</f>
        <v>0</v>
      </c>
      <c r="DP200" s="514">
        <f>COUNTIFS('MEP | Drawing List'!$G:$G,"MEP-VC1-2",'MEP | Drawing List'!O:O,1)</f>
        <v>0</v>
      </c>
      <c r="DQ200" s="501"/>
      <c r="DR200" s="506">
        <f>COUNTIFS('MEP | Drawing List'!$G:$G,"MEP-VC1-2",'MEP | Drawing List'!$P:$P,1)</f>
        <v>0</v>
      </c>
      <c r="DS200" s="514">
        <f>COUNTIFS('MEP | Drawing List'!$G:$G,"MEP-VC1-2",'MEP | Drawing List'!Q:Q,1)</f>
        <v>0</v>
      </c>
      <c r="DT200" s="514">
        <f>COUNTIFS('MEP | Drawing List'!$G:$G,"MEP-VC1-2",'MEP | Drawing List'!R:R,1)</f>
        <v>0</v>
      </c>
      <c r="DU200" s="514">
        <f>COUNTIFS('MEP | Drawing List'!$G:$G,"MEP-VC1-2",'MEP | Drawing List'!S:S,1)</f>
        <v>0</v>
      </c>
      <c r="DV200" s="514">
        <f>COUNTIFS('MEP | Drawing List'!$G:$G,"MEP-VC1-2",'MEP | Drawing List'!T:T,1)</f>
        <v>0</v>
      </c>
      <c r="DW200" s="508"/>
      <c r="DX200" s="508"/>
      <c r="DY200" s="511">
        <v>0</v>
      </c>
      <c r="DZ200" s="508"/>
      <c r="EA200" s="509">
        <v>0</v>
      </c>
      <c r="EB200" s="510">
        <f t="shared" si="1003"/>
        <v>0</v>
      </c>
      <c r="EC200" s="514">
        <f>IFERROR(IF(EP200=100%,EA200,0),0)</f>
        <v>0</v>
      </c>
      <c r="ED200" s="514">
        <f>IFERROR(IF(AND((EP200+EQ200)=100%,EP200&lt;1),EA200,0),0)</f>
        <v>0</v>
      </c>
      <c r="EE200" s="514">
        <f>IFERROR(IF(AND((EU200+EW200)=ET200,EC200=0),EA200,0),0)</f>
        <v>0</v>
      </c>
      <c r="EF200" s="514">
        <f>IFERROR(IF(AND((EU200+EW200+EX200)=ET200,EC200=0,EE200=0),EA200,0),0)</f>
        <v>0</v>
      </c>
      <c r="EG200" s="514">
        <f>IFERROR(IF(AND((EU200+EW200+EX200+EY200)=ET200,EC200=0,EE200=0,EF200=0),EA200,0),0)</f>
        <v>0</v>
      </c>
      <c r="EH200" s="514">
        <f>IFERROR(IF(AND((EU200+EW200+EX200+EY200+EZ200)=ET200,EC200=0,EE200=0,EF200=0,EG200=0),EA200,0),0)</f>
        <v>0</v>
      </c>
      <c r="EI200" s="501"/>
      <c r="EJ200" s="567">
        <f t="shared" si="1052"/>
        <v>0</v>
      </c>
      <c r="EK200" s="514">
        <f t="shared" si="1053"/>
        <v>0</v>
      </c>
      <c r="EL200" s="514">
        <f t="shared" si="1054"/>
        <v>0</v>
      </c>
      <c r="EM200" s="514">
        <f t="shared" si="1055"/>
        <v>0</v>
      </c>
      <c r="EN200" s="514">
        <f t="shared" si="1056"/>
        <v>0</v>
      </c>
      <c r="EO200" s="501"/>
      <c r="EP200" s="585">
        <f t="shared" si="1057"/>
        <v>0</v>
      </c>
      <c r="EQ200" s="585">
        <f t="shared" si="1058"/>
        <v>0</v>
      </c>
      <c r="ER200" s="585">
        <f t="shared" si="1059"/>
        <v>0</v>
      </c>
      <c r="ET200" s="514">
        <f>COUNTIF('LS | Drawing List'!$G:$G,"LS-V01-2")</f>
        <v>0</v>
      </c>
      <c r="EU200" s="506">
        <f>COUNTIFS('LS | Drawing List'!$G:$G,"LS-V01-2",'LS | Drawing List'!$I:$I,1)</f>
        <v>0</v>
      </c>
      <c r="EV200" s="506">
        <f>COUNTIFS('LS | Drawing List'!$G:$G,"LS-V01-2",'LS | Drawing List'!$K:$K,1)</f>
        <v>0</v>
      </c>
      <c r="EW200" s="514">
        <f>COUNTIFS('LS | Drawing List'!$G:$G,"LS-V01-2",'LS | Drawing List'!L:L,1)</f>
        <v>0</v>
      </c>
      <c r="EX200" s="514">
        <f>COUNTIFS('LS | Drawing List'!$G:$G,"LS-V01-2",'LS | Drawing List'!M:M,1)</f>
        <v>0</v>
      </c>
      <c r="EY200" s="514">
        <f>COUNTIFS('LS | Drawing List'!$G:$G,"LS-V01-2",'LS | Drawing List'!N:N,1)</f>
        <v>0</v>
      </c>
      <c r="EZ200" s="514">
        <f>COUNTIFS('LS | Drawing List'!$G:$G,"LS-V01-2",'LS | Drawing List'!O:O,1)</f>
        <v>0</v>
      </c>
      <c r="FA200" s="515"/>
      <c r="FB200" s="506">
        <f>COUNTIFS('LS | Drawing List'!$G:$G,"LS-V01-2",'LS | Drawing List'!$P:$P,1)</f>
        <v>0</v>
      </c>
      <c r="FC200" s="514">
        <f>COUNTIFS('LS | Drawing List'!$G:$G,"LS-V01-2",'LS | Drawing List'!Q:Q,1)</f>
        <v>0</v>
      </c>
      <c r="FD200" s="514">
        <f>COUNTIFS('LS | Drawing List'!$G:$G,"LS-V01-2",'LS | Drawing List'!R:R,1)</f>
        <v>0</v>
      </c>
      <c r="FE200" s="514">
        <f>COUNTIFS('LS | Drawing List'!$G:$G,"LS-V01-2",'LS | Drawing List'!S:S,1)</f>
        <v>0</v>
      </c>
      <c r="FF200" s="514">
        <f>COUNTIFS('LS | Drawing List'!$G:$G,"LS-V01-2",'LS | Drawing List'!T:T,1)</f>
        <v>0</v>
      </c>
    </row>
    <row r="201" spans="2:165" ht="14.25" outlineLevel="2">
      <c r="B201" s="564" t="s">
        <v>180</v>
      </c>
      <c r="C201" s="565">
        <v>3</v>
      </c>
      <c r="D201" s="566" t="s">
        <v>156</v>
      </c>
      <c r="F201" s="500">
        <f t="shared" si="1033"/>
        <v>0.53834786018755343</v>
      </c>
      <c r="G201" s="500">
        <f t="shared" si="1034"/>
        <v>0.53834786018755343</v>
      </c>
      <c r="H201" s="514">
        <f t="shared" si="1035"/>
        <v>0</v>
      </c>
      <c r="I201" s="514">
        <f t="shared" si="1004"/>
        <v>0</v>
      </c>
      <c r="J201" s="514">
        <f t="shared" si="1005"/>
        <v>0</v>
      </c>
      <c r="K201" s="514">
        <f t="shared" si="1006"/>
        <v>0</v>
      </c>
      <c r="L201" s="514">
        <f t="shared" si="1007"/>
        <v>0</v>
      </c>
      <c r="M201" s="567">
        <f t="shared" si="1008"/>
        <v>0</v>
      </c>
      <c r="N201" s="568"/>
      <c r="O201" s="514">
        <f t="shared" si="1009"/>
        <v>0</v>
      </c>
      <c r="P201" s="514">
        <f t="shared" si="1010"/>
        <v>0</v>
      </c>
      <c r="Q201" s="514">
        <f t="shared" si="1011"/>
        <v>0</v>
      </c>
      <c r="R201" s="514">
        <f t="shared" si="1012"/>
        <v>0</v>
      </c>
      <c r="S201" s="514">
        <f t="shared" si="1013"/>
        <v>0</v>
      </c>
      <c r="U201" s="569">
        <v>0.2</v>
      </c>
      <c r="V201" s="503"/>
      <c r="W201" s="500">
        <f>$W$198/$U$198*U201</f>
        <v>0.40918550724637692</v>
      </c>
      <c r="X201" s="500">
        <f t="shared" si="1000"/>
        <v>0.40918550724637692</v>
      </c>
      <c r="Y201" s="514">
        <f>IFERROR(IF(AL201=100%,W201,0),0)</f>
        <v>0.40918550724637692</v>
      </c>
      <c r="Z201" s="514">
        <f>IFERROR(IF(AND((AL201+AM201)=100%,AL201&lt;1),W201,0),0)</f>
        <v>0</v>
      </c>
      <c r="AA201" s="514">
        <f>IFERROR(IF(AND((AQ201+AS201)=AP201,Y201=0),W201,0),0)</f>
        <v>0</v>
      </c>
      <c r="AB201" s="514">
        <f>IFERROR(IF(AND((AQ201+AS201+AT201)=AP201,Y201=0,AA201=0),W201,0),0)</f>
        <v>0</v>
      </c>
      <c r="AC201" s="514">
        <f>IFERROR(IF(AND((AQ201+AS201+AT201+AU201)=AP201,Y201=0,AA201=0,AB201=0),W201,0),0)</f>
        <v>0</v>
      </c>
      <c r="AD201" s="567">
        <f>IFERROR(IF(AND((AQ201+AS201+AT201+AU201+AV201)=AP201,Y201=0,AA201=0,AB201=0,AC201=0),W201,0),0)</f>
        <v>0</v>
      </c>
      <c r="AE201" s="568"/>
      <c r="AF201" s="514">
        <f>IFERROR(IF(AND((AL201+AN201)=100%,AL201&lt;1),W201,0),0)</f>
        <v>0</v>
      </c>
      <c r="AG201" s="514">
        <f>IFERROR(IF(AND((AQ201+AY201)=AP201,Y201=0),W201,0),0)</f>
        <v>0</v>
      </c>
      <c r="AH201" s="514">
        <f>IFERROR(IF(AND((AQ201+AY201+AZ201)=AP201,Y201=0,AG201=0),W201,0),0)</f>
        <v>0</v>
      </c>
      <c r="AI201" s="514">
        <f>IFERROR(IF(AND((AQ201+AY201+AZ201+BA201)=AP201,Y201=0,AG201=0,AH201=0),W201,0),0)</f>
        <v>0</v>
      </c>
      <c r="AJ201" s="514">
        <f>IFERROR(IF(AND((AQ201+AY201+AZ201+BA201+BB201)=AP201,Y201=0,AG201=0,AH201=0,AI201=0),W201,0),0)</f>
        <v>0</v>
      </c>
      <c r="AK201" s="501"/>
      <c r="AL201" s="570">
        <f>IFERROR(AQ201/AP201,0)</f>
        <v>1</v>
      </c>
      <c r="AM201" s="570">
        <f>IFERROR(AR201/AP201,0)</f>
        <v>0</v>
      </c>
      <c r="AN201" s="570">
        <f>IFERROR(AX201/AP201,0)</f>
        <v>0</v>
      </c>
      <c r="AO201" s="518"/>
      <c r="AP201" s="514">
        <f>COUNTIF('AR | Drawing List'!$G:$G,"AR-VC1-3")</f>
        <v>24</v>
      </c>
      <c r="AQ201" s="506">
        <f>COUNTIFS('AR | Drawing List'!$G:$G,"AR-VC1-3",'AR | Drawing List'!$I:$I,1)</f>
        <v>24</v>
      </c>
      <c r="AR201" s="506">
        <f t="shared" si="684"/>
        <v>0</v>
      </c>
      <c r="AS201" s="506">
        <f>COUNTIFS('AR | Drawing List'!$G:$G,"AR-VC1-3",'AR | Drawing List'!M:M,1)</f>
        <v>0</v>
      </c>
      <c r="AT201" s="506">
        <f>COUNTIFS('AR | Drawing List'!$G:$G,"AR-VC1-3",'AR | Drawing List'!N:N,1)</f>
        <v>0</v>
      </c>
      <c r="AU201" s="506">
        <f>COUNTIFS('AR | Drawing List'!$G:$G,"AR-VC1-3",'AR | Drawing List'!O:O,1)</f>
        <v>0</v>
      </c>
      <c r="AV201" s="506">
        <f>COUNTIFS('AR | Drawing List'!$G:$G,"AR-VC1-3",'AR | Drawing List'!P:P,1)</f>
        <v>0</v>
      </c>
      <c r="AW201" s="466"/>
      <c r="AX201" s="506">
        <f t="shared" si="715"/>
        <v>0</v>
      </c>
      <c r="AY201" s="506">
        <f>COUNTIFS('AR | Drawing List'!$G:$G,"AR-VC1-3",'AR | Drawing List'!R:R,1)</f>
        <v>0</v>
      </c>
      <c r="AZ201" s="506">
        <f>COUNTIFS('AR | Drawing List'!$G:$G,"AR-VC1-3",'AR | Drawing List'!S:S,1)</f>
        <v>0</v>
      </c>
      <c r="BA201" s="506">
        <f>COUNTIFS('AR | Drawing List'!$G:$G,"AR-VC1-3",'AR | Drawing List'!T:T,1)</f>
        <v>0</v>
      </c>
      <c r="BB201" s="506">
        <f>COUNTIFS('AR | Drawing List'!$G:$G,"AR-VC1-3",'AR | Drawing List'!U:U,1)</f>
        <v>0</v>
      </c>
      <c r="BC201" s="551"/>
      <c r="BD201" s="551"/>
      <c r="BE201" s="511"/>
      <c r="BF201" s="508"/>
      <c r="BG201" s="506">
        <f>$BG$198/$BE$198*BE201</f>
        <v>0</v>
      </c>
      <c r="BH201" s="510">
        <f t="shared" si="1001"/>
        <v>0</v>
      </c>
      <c r="BI201" s="514">
        <f>IFERROR(IF(BV201=100%,BG201,0),0)</f>
        <v>0</v>
      </c>
      <c r="BJ201" s="514">
        <f>IFERROR(IF(AND((BV201+BW201)=100%,BV201&lt;1),BG201,0),0)</f>
        <v>0</v>
      </c>
      <c r="BK201" s="514">
        <f>IFERROR(IF(AND((CA201+CC201)=BZ201,BI201=0),BG201,0),0)</f>
        <v>0</v>
      </c>
      <c r="BL201" s="514">
        <f>IFERROR(IF(AND((CA201+CC201+CD201)=BZ201,BI201=0,BK201=0),BG201,0),0)</f>
        <v>0</v>
      </c>
      <c r="BM201" s="514">
        <f>IFERROR(IF(AND((CA201+CC201+CD201+CE201)=BZ201,BI201=0,BK201=0,BL201=0),BG201,0),0)</f>
        <v>0</v>
      </c>
      <c r="BN201" s="514">
        <f>IFERROR(IF(AND((CA201+CC201+CD201+CE201+CF201)=BZ201,BI201=0,BK201=0,BL201=0,BM201=0),BG201,0),0)</f>
        <v>0</v>
      </c>
      <c r="BO201" s="501"/>
      <c r="BP201" s="514">
        <f>IFERROR(IF(AND((BV201+BX201)=100%,BV201&lt;1),BG201,0),0)</f>
        <v>0</v>
      </c>
      <c r="BQ201" s="514">
        <f>IFERROR(IF(AND((CA201+CI201)=BZ201,BI201=0),BG201,0),0)</f>
        <v>0</v>
      </c>
      <c r="BR201" s="514">
        <f>IFERROR(IF(AND((CA201+CI201+CJ201)=BZ201,BI201=0,BQ201=0),BG201,0),0)</f>
        <v>0</v>
      </c>
      <c r="BS201" s="514">
        <f>IFERROR(IF(AND((CA201+CI201+CJ201+CK201)=BZ201,BI201=0,BQ201=0,BR201=0),BG201,0),0)</f>
        <v>0</v>
      </c>
      <c r="BT201" s="514">
        <f>IFERROR(IF(AND((CA201+CI201+CJ201+CK201+CL201)=BZ201,BI201=0,BQ201=0,BR201=0,BS201=0),BG201,0),0)</f>
        <v>0</v>
      </c>
      <c r="BU201" s="501"/>
      <c r="BV201" s="571">
        <f t="shared" si="1036"/>
        <v>0</v>
      </c>
      <c r="BW201" s="571">
        <f t="shared" si="1037"/>
        <v>0</v>
      </c>
      <c r="BX201" s="571">
        <f t="shared" si="1038"/>
        <v>0</v>
      </c>
      <c r="BY201" s="518"/>
      <c r="BZ201" s="514">
        <f>COUNTIF('ST | Drawing List'!$G:$G,"ST-VC1-3")</f>
        <v>0</v>
      </c>
      <c r="CA201" s="506">
        <f>COUNTIFS('ST | Drawing List'!$G:$G,"ST-VC1-3",'ST | Drawing List'!$I:$I,1)</f>
        <v>0</v>
      </c>
      <c r="CB201" s="572">
        <f>COUNTIFS('ST | Drawing List'!$G:$G,"ST-VC1-3",'ST | Drawing List'!$K:$K,1)</f>
        <v>0</v>
      </c>
      <c r="CC201" s="506">
        <f>COUNTIFS('ST | Drawing List'!$G:$G,"ST-VC1-3",'ST | Drawing List'!L:L,1)</f>
        <v>0</v>
      </c>
      <c r="CD201" s="506">
        <f>COUNTIFS('ST | Drawing List'!$G:$G,"ST-VC1-3",'ST | Drawing List'!M:M,1)</f>
        <v>0</v>
      </c>
      <c r="CE201" s="506">
        <f>COUNTIFS('ST | Drawing List'!$G:$G,"ST-VC1-3",'ST | Drawing List'!N:N,1)</f>
        <v>0</v>
      </c>
      <c r="CF201" s="506">
        <f>COUNTIFS('ST | Drawing List'!$G:$G,"ST-VC1-3",'ST | Drawing List'!O:O,1)</f>
        <v>0</v>
      </c>
      <c r="CG201" s="471"/>
      <c r="CH201" s="572">
        <f>COUNTIFS('ST | Drawing List'!$G:$G,"ST-VC1-3",'ST | Drawing List'!$P:$P,1)</f>
        <v>0</v>
      </c>
      <c r="CI201" s="506">
        <f>COUNTIFS('ST | Drawing List'!$G:$G,"ST-VC1-3",'ST | Drawing List'!Q:Q,1)</f>
        <v>0</v>
      </c>
      <c r="CJ201" s="506">
        <f>COUNTIFS('ST | Drawing List'!$G:$G,"ST-VC1-3",'ST | Drawing List'!R:R,1)</f>
        <v>0</v>
      </c>
      <c r="CK201" s="506">
        <f>COUNTIFS('ST | Drawing List'!$G:$G,"ST-VC1-3",'ST | Drawing List'!S:S,1)</f>
        <v>0</v>
      </c>
      <c r="CL201" s="506">
        <f>COUNTIFS('ST | Drawing List'!$G:$G,"ST-VC1-3",'ST | Drawing List'!T:T,1)</f>
        <v>0</v>
      </c>
      <c r="CM201" s="508"/>
      <c r="CN201" s="508"/>
      <c r="CO201" s="511">
        <v>0.15</v>
      </c>
      <c r="CP201" s="508"/>
      <c r="CQ201" s="506">
        <f>$CQ$198/$CO$198*CO201</f>
        <v>7.4117647058823538E-3</v>
      </c>
      <c r="CR201" s="510">
        <f t="shared" si="1002"/>
        <v>7.4117647058823538E-3</v>
      </c>
      <c r="CS201" s="514">
        <f>IFERROR(IF(DF201=100%,CQ201,0),0)</f>
        <v>7.4117647058823538E-3</v>
      </c>
      <c r="CT201" s="514">
        <f t="shared" si="1039"/>
        <v>0</v>
      </c>
      <c r="CU201" s="514">
        <f t="shared" si="1040"/>
        <v>0</v>
      </c>
      <c r="CV201" s="514">
        <f t="shared" si="1041"/>
        <v>0</v>
      </c>
      <c r="CW201" s="514">
        <f t="shared" si="1042"/>
        <v>0</v>
      </c>
      <c r="CX201" s="514">
        <f t="shared" si="1043"/>
        <v>0</v>
      </c>
      <c r="CY201" s="501"/>
      <c r="CZ201" s="514">
        <f t="shared" si="1044"/>
        <v>0</v>
      </c>
      <c r="DA201" s="514">
        <f t="shared" si="1045"/>
        <v>0</v>
      </c>
      <c r="DB201" s="514">
        <f t="shared" si="1046"/>
        <v>0</v>
      </c>
      <c r="DC201" s="514">
        <f t="shared" si="1047"/>
        <v>0</v>
      </c>
      <c r="DD201" s="514">
        <f t="shared" si="1048"/>
        <v>0</v>
      </c>
      <c r="DE201" s="501"/>
      <c r="DF201" s="570">
        <f t="shared" si="1049"/>
        <v>1</v>
      </c>
      <c r="DG201" s="570">
        <f t="shared" si="1050"/>
        <v>0</v>
      </c>
      <c r="DH201" s="570">
        <f t="shared" si="1051"/>
        <v>0</v>
      </c>
      <c r="DI201" s="518"/>
      <c r="DJ201" s="514">
        <f>COUNTIF('MEP | Drawing List'!$G:$G,"MEP-VC1-3")</f>
        <v>2</v>
      </c>
      <c r="DK201" s="506">
        <f>COUNTIFS('MEP | Drawing List'!$G:$G,"MEP-VC1-3",'MEP | Drawing List'!$I:$I,1)</f>
        <v>2</v>
      </c>
      <c r="DL201" s="506">
        <f>COUNTIFS('MEP | Drawing List'!$G:$G,"MEP-VC1-3",'MEP | Drawing List'!$K:$K,1)</f>
        <v>0</v>
      </c>
      <c r="DM201" s="514">
        <f>COUNTIFS('MEP | Drawing List'!$G:$G,"MEP-VC1-3",'MEP | Drawing List'!L:L,1)</f>
        <v>0</v>
      </c>
      <c r="DN201" s="514">
        <f>COUNTIFS('MEP | Drawing List'!$G:$G,"MEP-VC1-3",'MEP | Drawing List'!M:M,1)</f>
        <v>0</v>
      </c>
      <c r="DO201" s="514">
        <f>COUNTIFS('MEP | Drawing List'!$G:$G,"MEP-VC1-3",'MEP | Drawing List'!N:N,1)</f>
        <v>0</v>
      </c>
      <c r="DP201" s="514">
        <f>COUNTIFS('MEP | Drawing List'!$G:$G,"MEP-VC1-3",'MEP | Drawing List'!O:O,1)</f>
        <v>0</v>
      </c>
      <c r="DQ201" s="501"/>
      <c r="DR201" s="506">
        <f>COUNTIFS('MEP | Drawing List'!$G:$G,"MEP-VC1-3",'MEP | Drawing List'!$P:$P,1)</f>
        <v>0</v>
      </c>
      <c r="DS201" s="514">
        <f>COUNTIFS('MEP | Drawing List'!$G:$G,"MEP-VC1-3",'MEP | Drawing List'!Q:Q,1)</f>
        <v>0</v>
      </c>
      <c r="DT201" s="514">
        <f>COUNTIFS('MEP | Drawing List'!$G:$G,"MEP-VC1-3",'MEP | Drawing List'!R:R,1)</f>
        <v>0</v>
      </c>
      <c r="DU201" s="514">
        <f>COUNTIFS('MEP | Drawing List'!$G:$G,"MEP-VC1-3",'MEP | Drawing List'!S:S,1)</f>
        <v>0</v>
      </c>
      <c r="DV201" s="514">
        <f>COUNTIFS('MEP | Drawing List'!$G:$G,"MEP-VC1-3",'MEP | Drawing List'!T:T,1)</f>
        <v>0</v>
      </c>
      <c r="DW201" s="508"/>
      <c r="DX201" s="508"/>
      <c r="DY201" s="511">
        <v>0.55000000000000004</v>
      </c>
      <c r="DZ201" s="508"/>
      <c r="EA201" s="506">
        <f>$EA$198/$DY$198*DY201</f>
        <v>0.12175058823529417</v>
      </c>
      <c r="EB201" s="510">
        <f t="shared" si="1003"/>
        <v>0.12175058823529417</v>
      </c>
      <c r="EC201" s="514">
        <f>IFERROR(IF(EP201=100%,EA201,0),0)</f>
        <v>0.12175058823529417</v>
      </c>
      <c r="ED201" s="514">
        <f>IFERROR(IF(AND((EP201+EQ201)=100%,EP201&lt;1),EA201,0),0)</f>
        <v>0</v>
      </c>
      <c r="EE201" s="514">
        <f>IFERROR(IF(AND((EU201+EW201)=ET201,EC201=0),EA201,0),0)</f>
        <v>0</v>
      </c>
      <c r="EF201" s="514">
        <f>IFERROR(IF(AND((EU201+EW201+EX201)=ET201,EC201=0,EE201=0),EA201,0),0)</f>
        <v>0</v>
      </c>
      <c r="EG201" s="514">
        <f>IFERROR(IF(AND((EU201+EW201+EX201+EY201)=ET201,EC201=0,EE201=0,EF201=0),EA201,0),0)</f>
        <v>0</v>
      </c>
      <c r="EH201" s="514">
        <f>IFERROR(IF(AND((EU201+EW201+EX201+EY201+EZ201)=ET201,EC201=0,EE201=0,EF201=0,EG201=0),EA201,0),0)</f>
        <v>0</v>
      </c>
      <c r="EI201" s="501"/>
      <c r="EJ201" s="567">
        <f t="shared" si="1052"/>
        <v>0</v>
      </c>
      <c r="EK201" s="514">
        <f t="shared" si="1053"/>
        <v>0</v>
      </c>
      <c r="EL201" s="514">
        <f t="shared" si="1054"/>
        <v>0</v>
      </c>
      <c r="EM201" s="514">
        <f t="shared" si="1055"/>
        <v>0</v>
      </c>
      <c r="EN201" s="514">
        <f t="shared" si="1056"/>
        <v>0</v>
      </c>
      <c r="EO201" s="501"/>
      <c r="EP201" s="585">
        <f t="shared" si="1057"/>
        <v>1</v>
      </c>
      <c r="EQ201" s="585">
        <f t="shared" si="1058"/>
        <v>0</v>
      </c>
      <c r="ER201" s="585">
        <f t="shared" si="1059"/>
        <v>0</v>
      </c>
      <c r="ET201" s="514">
        <f>COUNTIF('LS | Drawing List'!$G:$G,"LS-V01-3")</f>
        <v>25</v>
      </c>
      <c r="EU201" s="506">
        <f>COUNTIFS('LS | Drawing List'!$G:$G,"LS-V01-3",'LS | Drawing List'!$I:$I,1)</f>
        <v>25</v>
      </c>
      <c r="EV201" s="506">
        <f>COUNTIFS('LS | Drawing List'!$G:$G,"LS-V01-3",'LS | Drawing List'!$K:$K,1)</f>
        <v>0</v>
      </c>
      <c r="EW201" s="514">
        <f>COUNTIFS('LS | Drawing List'!$G:$G,"LS-V01-3",'LS | Drawing List'!L:L,1)</f>
        <v>0</v>
      </c>
      <c r="EX201" s="514">
        <f>COUNTIFS('LS | Drawing List'!$G:$G,"LS-V01-3",'LS | Drawing List'!M:M,1)</f>
        <v>0</v>
      </c>
      <c r="EY201" s="514">
        <f>COUNTIFS('LS | Drawing List'!$G:$G,"LS-V01-3",'LS | Drawing List'!N:N,1)</f>
        <v>0</v>
      </c>
      <c r="EZ201" s="514">
        <f>COUNTIFS('LS | Drawing List'!$G:$G,"LS-V01-3",'LS | Drawing List'!O:O,1)</f>
        <v>0</v>
      </c>
      <c r="FA201" s="515"/>
      <c r="FB201" s="506">
        <f>COUNTIFS('LS | Drawing List'!$G:$G,"LS-V01-3",'LS | Drawing List'!$P:$P,1)</f>
        <v>0</v>
      </c>
      <c r="FC201" s="514">
        <f>COUNTIFS('LS | Drawing List'!$G:$G,"LS-V01-3",'LS | Drawing List'!Q:Q,1)</f>
        <v>0</v>
      </c>
      <c r="FD201" s="514">
        <f>COUNTIFS('LS | Drawing List'!$G:$G,"LS-V01-3",'LS | Drawing List'!R:R,1)</f>
        <v>0</v>
      </c>
      <c r="FE201" s="514">
        <f>COUNTIFS('LS | Drawing List'!$G:$G,"LS-V01-3",'LS | Drawing List'!S:S,1)</f>
        <v>0</v>
      </c>
      <c r="FF201" s="514">
        <f>COUNTIFS('LS | Drawing List'!$G:$G,"LS-V01-3",'LS | Drawing List'!T:T,1)</f>
        <v>0</v>
      </c>
    </row>
    <row r="202" spans="2:165" ht="3" customHeight="1" outlineLevel="1">
      <c r="C202" s="631"/>
      <c r="D202" s="566"/>
      <c r="F202" s="499"/>
      <c r="G202" s="500"/>
      <c r="H202" s="615"/>
      <c r="I202" s="615"/>
      <c r="J202" s="615"/>
      <c r="K202" s="615"/>
      <c r="L202" s="615"/>
      <c r="M202" s="615"/>
      <c r="N202" s="615"/>
      <c r="O202" s="615"/>
      <c r="P202" s="615"/>
      <c r="Q202" s="615"/>
      <c r="R202" s="615"/>
      <c r="S202" s="615"/>
      <c r="U202" s="569"/>
      <c r="V202" s="503"/>
      <c r="W202" s="499"/>
      <c r="X202" s="500">
        <f t="shared" si="1000"/>
        <v>0</v>
      </c>
      <c r="Y202" s="615"/>
      <c r="Z202" s="615"/>
      <c r="AA202" s="615"/>
      <c r="AB202" s="615"/>
      <c r="AC202" s="615"/>
      <c r="AD202" s="615"/>
      <c r="AE202" s="615"/>
      <c r="AF202" s="615"/>
      <c r="AG202" s="615"/>
      <c r="AH202" s="615"/>
      <c r="AI202" s="615"/>
      <c r="AJ202" s="615"/>
      <c r="AK202" s="615"/>
      <c r="AL202" s="513"/>
      <c r="AM202" s="513"/>
      <c r="AN202" s="513"/>
      <c r="AO202" s="518"/>
      <c r="AP202" s="551"/>
      <c r="AQ202" s="551"/>
      <c r="AR202" s="551"/>
      <c r="AS202" s="551"/>
      <c r="AT202" s="551"/>
      <c r="AU202" s="551"/>
      <c r="AV202" s="551"/>
      <c r="AW202" s="551"/>
      <c r="AX202" s="551"/>
      <c r="AY202" s="551"/>
      <c r="AZ202" s="551"/>
      <c r="BA202" s="551"/>
      <c r="BB202" s="551"/>
      <c r="BC202" s="551"/>
      <c r="BD202" s="551"/>
      <c r="BE202" s="511"/>
      <c r="BF202" s="508"/>
      <c r="BG202" s="509"/>
      <c r="BH202" s="510">
        <f t="shared" si="1001"/>
        <v>0</v>
      </c>
      <c r="BI202" s="615"/>
      <c r="BJ202" s="615"/>
      <c r="BK202" s="615"/>
      <c r="BL202" s="615"/>
      <c r="BM202" s="615"/>
      <c r="BN202" s="615"/>
      <c r="BO202" s="615"/>
      <c r="BP202" s="615"/>
      <c r="BQ202" s="615"/>
      <c r="BR202" s="615"/>
      <c r="BS202" s="615"/>
      <c r="BT202" s="615"/>
      <c r="BU202" s="615"/>
      <c r="BV202" s="511"/>
      <c r="BW202" s="511"/>
      <c r="BX202" s="511"/>
      <c r="BY202" s="518"/>
      <c r="BZ202" s="552"/>
      <c r="CA202" s="552"/>
      <c r="CB202" s="608"/>
      <c r="CC202" s="552"/>
      <c r="CD202" s="552"/>
      <c r="CE202" s="552"/>
      <c r="CF202" s="552"/>
      <c r="CG202" s="552"/>
      <c r="CH202" s="608"/>
      <c r="CI202" s="552"/>
      <c r="CJ202" s="552"/>
      <c r="CK202" s="552"/>
      <c r="CL202" s="552"/>
      <c r="CM202" s="508"/>
      <c r="CN202" s="508"/>
      <c r="CO202" s="511"/>
      <c r="CP202" s="508"/>
      <c r="CQ202" s="509"/>
      <c r="CR202" s="510">
        <f t="shared" si="1002"/>
        <v>0</v>
      </c>
      <c r="CS202" s="615"/>
      <c r="CT202" s="615"/>
      <c r="CU202" s="615"/>
      <c r="CV202" s="615"/>
      <c r="CW202" s="615"/>
      <c r="CX202" s="615"/>
      <c r="CY202" s="615"/>
      <c r="CZ202" s="615"/>
      <c r="DA202" s="615"/>
      <c r="DB202" s="615"/>
      <c r="DC202" s="615"/>
      <c r="DD202" s="615"/>
      <c r="DE202" s="615"/>
      <c r="DF202" s="513"/>
      <c r="DG202" s="513"/>
      <c r="DH202" s="513"/>
      <c r="DI202" s="518"/>
      <c r="DJ202" s="551"/>
      <c r="DK202" s="551"/>
      <c r="DL202" s="551"/>
      <c r="DM202" s="615"/>
      <c r="DN202" s="615"/>
      <c r="DO202" s="615"/>
      <c r="DP202" s="615"/>
      <c r="DQ202" s="615"/>
      <c r="DR202" s="551"/>
      <c r="DS202" s="615"/>
      <c r="DT202" s="615"/>
      <c r="DU202" s="615"/>
      <c r="DV202" s="615"/>
      <c r="DW202" s="508"/>
      <c r="DX202" s="508"/>
      <c r="DY202" s="511"/>
      <c r="DZ202" s="508"/>
      <c r="EA202" s="509"/>
      <c r="EB202" s="510">
        <f t="shared" si="1003"/>
        <v>0</v>
      </c>
      <c r="EC202" s="577"/>
      <c r="ED202" s="577"/>
      <c r="EE202" s="577"/>
      <c r="EF202" s="577"/>
      <c r="EG202" s="577"/>
      <c r="EH202" s="577"/>
      <c r="EI202" s="577"/>
      <c r="EJ202" s="577"/>
      <c r="EK202" s="577"/>
      <c r="EL202" s="577"/>
      <c r="EM202" s="577"/>
      <c r="EN202" s="577"/>
      <c r="EO202" s="577"/>
      <c r="EP202" s="52"/>
      <c r="EQ202" s="52"/>
      <c r="ER202" s="52"/>
      <c r="EW202" s="577"/>
      <c r="EX202" s="577"/>
      <c r="EY202" s="577"/>
      <c r="EZ202" s="577"/>
      <c r="FA202" s="577"/>
      <c r="FC202" s="577"/>
      <c r="FD202" s="577"/>
      <c r="FE202" s="577"/>
      <c r="FF202" s="577"/>
    </row>
    <row r="203" spans="2:165" ht="14.25" outlineLevel="1">
      <c r="B203" s="477"/>
      <c r="C203" s="559">
        <v>11</v>
      </c>
      <c r="D203" s="560" t="s">
        <v>181</v>
      </c>
      <c r="E203" s="479"/>
      <c r="F203" s="480">
        <f>W203+BG203+CQ203+EA203</f>
        <v>0.66266270247229342</v>
      </c>
      <c r="G203" s="480">
        <f>X203+BH203+CR203+EB203</f>
        <v>0.3286337169650469</v>
      </c>
      <c r="H203" s="481">
        <f>F203-G203</f>
        <v>0.33402898550724652</v>
      </c>
      <c r="I203" s="480">
        <f t="shared" ref="I203:I206" si="1060">Z203+BJ203+CT203+ED203</f>
        <v>0.51504369138959938</v>
      </c>
      <c r="J203" s="480">
        <f t="shared" ref="J203:J206" si="1061">AA203+BK203+CU203+EE203</f>
        <v>0.51504369138959938</v>
      </c>
      <c r="K203" s="480">
        <f t="shared" ref="K203:K206" si="1062">AB203+BL203+CV203+EF203</f>
        <v>0</v>
      </c>
      <c r="L203" s="480">
        <f t="shared" ref="L203:L206" si="1063">AC203+BM203+CW203+EG203</f>
        <v>0</v>
      </c>
      <c r="M203" s="480">
        <f t="shared" ref="M203:M206" si="1064">AD203+BN203+CX203+EH203</f>
        <v>0</v>
      </c>
      <c r="N203" s="482"/>
      <c r="O203" s="480">
        <f t="shared" ref="O203:O206" si="1065">AF203+BP203+CZ203+EJ203</f>
        <v>0.18101470588235291</v>
      </c>
      <c r="P203" s="480">
        <f t="shared" ref="P203:P206" si="1066">AG203+BQ203+DA203+EK203</f>
        <v>0.18101470588235291</v>
      </c>
      <c r="Q203" s="480">
        <f t="shared" ref="Q203:Q206" si="1067">AH203+BR203+DB203+EL203</f>
        <v>0</v>
      </c>
      <c r="R203" s="480">
        <f t="shared" ref="R203:R206" si="1068">AI203+BS203+DC203+EM203</f>
        <v>0</v>
      </c>
      <c r="S203" s="480">
        <f t="shared" ref="S203:S206" si="1069">AJ203+BT203+DD203+EN203</f>
        <v>0</v>
      </c>
      <c r="T203" s="479"/>
      <c r="U203" s="483">
        <f>SUM(U204:U206)</f>
        <v>0.5</v>
      </c>
      <c r="V203" s="483"/>
      <c r="W203" s="480">
        <f>U203*(5%*'BOQ COST'!E16)*(20/69)*1</f>
        <v>0.41753623188405803</v>
      </c>
      <c r="X203" s="480">
        <f t="shared" si="1000"/>
        <v>8.3507246376811617E-2</v>
      </c>
      <c r="Y203" s="481">
        <f>SUM(Y204:Y206)</f>
        <v>8.3507246376811617E-2</v>
      </c>
      <c r="Z203" s="481">
        <f>SUM(Z204:Z206)</f>
        <v>0.33402898550724647</v>
      </c>
      <c r="AA203" s="481">
        <f t="shared" ref="AA203:AD203" si="1070">SUM(AA204:AA206)</f>
        <v>0.33402898550724647</v>
      </c>
      <c r="AB203" s="481">
        <f t="shared" si="1070"/>
        <v>0</v>
      </c>
      <c r="AC203" s="481">
        <f t="shared" si="1070"/>
        <v>0</v>
      </c>
      <c r="AD203" s="481">
        <f t="shared" si="1070"/>
        <v>0</v>
      </c>
      <c r="AE203" s="482"/>
      <c r="AF203" s="481">
        <f>SUM(AF204:AF206)</f>
        <v>0</v>
      </c>
      <c r="AG203" s="481">
        <f t="shared" ref="AG203:AJ203" si="1071">SUM(AG204:AG206)</f>
        <v>0</v>
      </c>
      <c r="AH203" s="481">
        <f t="shared" si="1071"/>
        <v>0</v>
      </c>
      <c r="AI203" s="481">
        <f t="shared" si="1071"/>
        <v>0</v>
      </c>
      <c r="AJ203" s="481">
        <f t="shared" si="1071"/>
        <v>0</v>
      </c>
      <c r="AK203" s="482"/>
      <c r="AL203" s="492"/>
      <c r="AM203" s="492"/>
      <c r="AN203" s="492"/>
      <c r="AO203" s="481">
        <f t="shared" ref="AO203" si="1072">SUM(AO204:AO206)</f>
        <v>0</v>
      </c>
      <c r="AP203" s="481">
        <f t="shared" ref="AP203" si="1073">SUM(AP204:AP206)</f>
        <v>44</v>
      </c>
      <c r="AQ203" s="481">
        <f t="shared" ref="AQ203" si="1074">SUM(AQ204:AQ206)</f>
        <v>39</v>
      </c>
      <c r="AR203" s="481">
        <f t="shared" ref="AR203:AR236" si="1075">SUM(AS203:AV203)</f>
        <v>5</v>
      </c>
      <c r="AS203" s="481">
        <f t="shared" ref="AS203" si="1076">SUM(AS204:AS206)</f>
        <v>5</v>
      </c>
      <c r="AT203" s="481">
        <f t="shared" ref="AT203" si="1077">SUM(AT204:AT206)</f>
        <v>0</v>
      </c>
      <c r="AU203" s="481">
        <f t="shared" ref="AU203" si="1078">SUM(AU204:AU206)</f>
        <v>0</v>
      </c>
      <c r="AV203" s="481">
        <f t="shared" ref="AV203:AX203" si="1079">SUM(AV204:AV206)</f>
        <v>0</v>
      </c>
      <c r="AW203" s="482"/>
      <c r="AX203" s="481">
        <f t="shared" si="1079"/>
        <v>0</v>
      </c>
      <c r="AY203" s="481">
        <f t="shared" ref="AY203:BB203" si="1080">SUM(AY204:AY206)</f>
        <v>0</v>
      </c>
      <c r="AZ203" s="481">
        <f t="shared" si="1080"/>
        <v>0</v>
      </c>
      <c r="BA203" s="481">
        <f t="shared" si="1080"/>
        <v>0</v>
      </c>
      <c r="BB203" s="481">
        <f t="shared" si="1080"/>
        <v>0</v>
      </c>
      <c r="BC203" s="487"/>
      <c r="BD203" s="487"/>
      <c r="BE203" s="483">
        <f>SUM(BE204:BE206)</f>
        <v>0.55000000000000004</v>
      </c>
      <c r="BF203" s="483"/>
      <c r="BG203" s="480">
        <f>BE203*(3%*'BOQ COST'!$F$16)*(20/68)*1</f>
        <v>0.18101470588235294</v>
      </c>
      <c r="BH203" s="480">
        <f t="shared" si="1001"/>
        <v>0.18101470588235291</v>
      </c>
      <c r="BI203" s="481">
        <f>SUM(BI204:BI206)</f>
        <v>0</v>
      </c>
      <c r="BJ203" s="481">
        <f>SUM(BJ204:BJ206)</f>
        <v>0.18101470588235291</v>
      </c>
      <c r="BK203" s="481">
        <f t="shared" ref="BK203:CE203" si="1081">SUM(BK204:BK206)</f>
        <v>0.18101470588235291</v>
      </c>
      <c r="BL203" s="481">
        <f t="shared" si="1081"/>
        <v>0</v>
      </c>
      <c r="BM203" s="481">
        <f t="shared" si="1081"/>
        <v>0</v>
      </c>
      <c r="BN203" s="481">
        <f t="shared" si="1081"/>
        <v>0</v>
      </c>
      <c r="BO203" s="482"/>
      <c r="BP203" s="481">
        <f>SUM(BP204:BP206)</f>
        <v>0.18101470588235291</v>
      </c>
      <c r="BQ203" s="481">
        <f t="shared" ref="BQ203:BT203" si="1082">SUM(BQ204:BQ206)</f>
        <v>0.18101470588235291</v>
      </c>
      <c r="BR203" s="481">
        <f t="shared" si="1082"/>
        <v>0</v>
      </c>
      <c r="BS203" s="481">
        <f t="shared" si="1082"/>
        <v>0</v>
      </c>
      <c r="BT203" s="481">
        <f t="shared" si="1082"/>
        <v>0</v>
      </c>
      <c r="BU203" s="482"/>
      <c r="BV203" s="488"/>
      <c r="BW203" s="488"/>
      <c r="BX203" s="488"/>
      <c r="BY203" s="481">
        <f t="shared" si="1081"/>
        <v>0</v>
      </c>
      <c r="BZ203" s="481">
        <f t="shared" si="1081"/>
        <v>119</v>
      </c>
      <c r="CA203" s="481">
        <f t="shared" si="1081"/>
        <v>91</v>
      </c>
      <c r="CB203" s="481">
        <f t="shared" si="1081"/>
        <v>28</v>
      </c>
      <c r="CC203" s="481">
        <f t="shared" si="1081"/>
        <v>28</v>
      </c>
      <c r="CD203" s="481">
        <f t="shared" si="1081"/>
        <v>0</v>
      </c>
      <c r="CE203" s="481">
        <f t="shared" si="1081"/>
        <v>0</v>
      </c>
      <c r="CF203" s="481">
        <f>SUM(CF204:CF206)</f>
        <v>0</v>
      </c>
      <c r="CG203" s="490"/>
      <c r="CH203" s="481">
        <f t="shared" ref="CH203:CK203" si="1083">SUM(CH204:CH206)</f>
        <v>28</v>
      </c>
      <c r="CI203" s="481">
        <f t="shared" si="1083"/>
        <v>28</v>
      </c>
      <c r="CJ203" s="481">
        <f t="shared" si="1083"/>
        <v>0</v>
      </c>
      <c r="CK203" s="481">
        <f t="shared" si="1083"/>
        <v>0</v>
      </c>
      <c r="CL203" s="481">
        <f>SUM(CL204:CL206)</f>
        <v>0</v>
      </c>
      <c r="CM203" s="483"/>
      <c r="CN203" s="483"/>
      <c r="CO203" s="483">
        <f>SUM(CO204:CO206)</f>
        <v>0.65</v>
      </c>
      <c r="CP203" s="483"/>
      <c r="CQ203" s="480">
        <f>CO203*(2%*'BOQ COST'!$G$16)*(20/68)*1</f>
        <v>1.3382352941176472E-2</v>
      </c>
      <c r="CR203" s="480">
        <f t="shared" si="1002"/>
        <v>1.338235294117647E-2</v>
      </c>
      <c r="CS203" s="481">
        <f>SUM(CS204:CS206)</f>
        <v>1.338235294117647E-2</v>
      </c>
      <c r="CT203" s="481">
        <f>SUM(CT204:CT206)</f>
        <v>0</v>
      </c>
      <c r="CU203" s="481">
        <f t="shared" ref="CU203:DP203" si="1084">SUM(CU204:CU206)</f>
        <v>0</v>
      </c>
      <c r="CV203" s="481">
        <f t="shared" si="1084"/>
        <v>0</v>
      </c>
      <c r="CW203" s="481">
        <f t="shared" si="1084"/>
        <v>0</v>
      </c>
      <c r="CX203" s="481">
        <f t="shared" si="1084"/>
        <v>0</v>
      </c>
      <c r="CY203" s="482"/>
      <c r="CZ203" s="481">
        <f>SUM(CZ204:CZ206)</f>
        <v>0</v>
      </c>
      <c r="DA203" s="481">
        <f t="shared" ref="DA203:DD203" si="1085">SUM(DA204:DA206)</f>
        <v>0</v>
      </c>
      <c r="DB203" s="481">
        <f t="shared" si="1085"/>
        <v>0</v>
      </c>
      <c r="DC203" s="481">
        <f t="shared" si="1085"/>
        <v>0</v>
      </c>
      <c r="DD203" s="481">
        <f t="shared" si="1085"/>
        <v>0</v>
      </c>
      <c r="DE203" s="482"/>
      <c r="DF203" s="492"/>
      <c r="DG203" s="492"/>
      <c r="DH203" s="492"/>
      <c r="DI203" s="481">
        <f t="shared" si="1084"/>
        <v>0</v>
      </c>
      <c r="DJ203" s="481">
        <f t="shared" si="1084"/>
        <v>14</v>
      </c>
      <c r="DK203" s="481">
        <f t="shared" si="1084"/>
        <v>14</v>
      </c>
      <c r="DL203" s="481">
        <f t="shared" si="1084"/>
        <v>0</v>
      </c>
      <c r="DM203" s="481">
        <f t="shared" si="1084"/>
        <v>0</v>
      </c>
      <c r="DN203" s="481">
        <f t="shared" si="1084"/>
        <v>0</v>
      </c>
      <c r="DO203" s="481">
        <f t="shared" si="1084"/>
        <v>0</v>
      </c>
      <c r="DP203" s="481">
        <f t="shared" si="1084"/>
        <v>0</v>
      </c>
      <c r="DQ203" s="482"/>
      <c r="DR203" s="481">
        <f t="shared" ref="DR203:DV203" si="1086">SUM(DR204:DR206)</f>
        <v>0</v>
      </c>
      <c r="DS203" s="481">
        <f t="shared" si="1086"/>
        <v>0</v>
      </c>
      <c r="DT203" s="481">
        <f t="shared" si="1086"/>
        <v>0</v>
      </c>
      <c r="DU203" s="481">
        <f t="shared" si="1086"/>
        <v>0</v>
      </c>
      <c r="DV203" s="481">
        <f t="shared" si="1086"/>
        <v>0</v>
      </c>
      <c r="DW203" s="483"/>
      <c r="DX203" s="483"/>
      <c r="DY203" s="483">
        <f>SUM(DY204:DY206)</f>
        <v>0.55000000000000004</v>
      </c>
      <c r="DZ203" s="483"/>
      <c r="EA203" s="481">
        <f>(DY203*(7%*'BOQ COST'!$H$16)*1)*(20/68)</f>
        <v>5.0729411764705898E-2</v>
      </c>
      <c r="EB203" s="480">
        <f t="shared" si="1003"/>
        <v>5.0729411764705898E-2</v>
      </c>
      <c r="EC203" s="536">
        <f>SUM(EC204:EC206)</f>
        <v>5.0729411764705898E-2</v>
      </c>
      <c r="ED203" s="536">
        <f>SUM(ED204:ED206)</f>
        <v>0</v>
      </c>
      <c r="EE203" s="536">
        <f t="shared" ref="EE203:EZ203" si="1087">SUM(EE204:EE206)</f>
        <v>0</v>
      </c>
      <c r="EF203" s="536">
        <f t="shared" si="1087"/>
        <v>0</v>
      </c>
      <c r="EG203" s="536">
        <f t="shared" si="1087"/>
        <v>0</v>
      </c>
      <c r="EH203" s="536">
        <f t="shared" si="1087"/>
        <v>0</v>
      </c>
      <c r="EI203" s="562"/>
      <c r="EJ203" s="536">
        <f>SUM(EJ204:EJ206)</f>
        <v>0</v>
      </c>
      <c r="EK203" s="536">
        <f t="shared" ref="EK203:EN203" si="1088">SUM(EK204:EK206)</f>
        <v>0</v>
      </c>
      <c r="EL203" s="536">
        <f t="shared" si="1088"/>
        <v>0</v>
      </c>
      <c r="EM203" s="536">
        <f t="shared" si="1088"/>
        <v>0</v>
      </c>
      <c r="EN203" s="536">
        <f t="shared" si="1088"/>
        <v>0</v>
      </c>
      <c r="EO203" s="562"/>
      <c r="EP203" s="563"/>
      <c r="EQ203" s="563"/>
      <c r="ER203" s="563"/>
      <c r="ES203" s="536">
        <f t="shared" si="1087"/>
        <v>0</v>
      </c>
      <c r="ET203" s="536">
        <f t="shared" si="1087"/>
        <v>2</v>
      </c>
      <c r="EU203" s="536">
        <f t="shared" si="1087"/>
        <v>2</v>
      </c>
      <c r="EV203" s="536">
        <f t="shared" si="1087"/>
        <v>0</v>
      </c>
      <c r="EW203" s="536">
        <f t="shared" si="1087"/>
        <v>0</v>
      </c>
      <c r="EX203" s="536">
        <f t="shared" si="1087"/>
        <v>0</v>
      </c>
      <c r="EY203" s="536">
        <f t="shared" si="1087"/>
        <v>0</v>
      </c>
      <c r="EZ203" s="536">
        <f t="shared" si="1087"/>
        <v>0</v>
      </c>
      <c r="FA203" s="562"/>
      <c r="FB203" s="536">
        <f t="shared" ref="FB203:FF203" si="1089">SUM(FB204:FB206)</f>
        <v>0</v>
      </c>
      <c r="FC203" s="536">
        <f t="shared" si="1089"/>
        <v>0</v>
      </c>
      <c r="FD203" s="536">
        <f t="shared" si="1089"/>
        <v>0</v>
      </c>
      <c r="FE203" s="536">
        <f t="shared" si="1089"/>
        <v>0</v>
      </c>
      <c r="FF203" s="536">
        <f t="shared" si="1089"/>
        <v>0</v>
      </c>
    </row>
    <row r="204" spans="2:165" ht="14.25" outlineLevel="2">
      <c r="B204" s="564" t="s">
        <v>182</v>
      </c>
      <c r="C204" s="565">
        <v>1</v>
      </c>
      <c r="D204" s="566" t="s">
        <v>177</v>
      </c>
      <c r="F204" s="500">
        <f t="shared" ref="F204:F206" si="1090">W204+BG204+CQ204+EA204</f>
        <v>0.17196312872975278</v>
      </c>
      <c r="G204" s="500">
        <f t="shared" ref="G204:G206" si="1091">X204+BH204+CR204+EB204</f>
        <v>0.17196312872975278</v>
      </c>
      <c r="H204" s="514">
        <f t="shared" ref="H204:H206" si="1092">F204-G204</f>
        <v>0</v>
      </c>
      <c r="I204" s="514">
        <f t="shared" si="1060"/>
        <v>8.2279411764705879E-2</v>
      </c>
      <c r="J204" s="514">
        <f t="shared" si="1061"/>
        <v>8.2279411764705879E-2</v>
      </c>
      <c r="K204" s="514">
        <f t="shared" si="1062"/>
        <v>0</v>
      </c>
      <c r="L204" s="514">
        <f t="shared" si="1063"/>
        <v>0</v>
      </c>
      <c r="M204" s="567">
        <f t="shared" si="1064"/>
        <v>0</v>
      </c>
      <c r="N204" s="568"/>
      <c r="O204" s="514">
        <f t="shared" si="1065"/>
        <v>8.2279411764705879E-2</v>
      </c>
      <c r="P204" s="514">
        <f t="shared" si="1066"/>
        <v>8.2279411764705879E-2</v>
      </c>
      <c r="Q204" s="514">
        <f t="shared" si="1067"/>
        <v>0</v>
      </c>
      <c r="R204" s="514">
        <f t="shared" si="1068"/>
        <v>0</v>
      </c>
      <c r="S204" s="514">
        <f t="shared" si="1069"/>
        <v>0</v>
      </c>
      <c r="U204" s="569">
        <v>0.1</v>
      </c>
      <c r="V204" s="503"/>
      <c r="W204" s="500">
        <f>$W$203/$U$203*U204</f>
        <v>8.3507246376811617E-2</v>
      </c>
      <c r="X204" s="500">
        <f t="shared" si="1000"/>
        <v>8.3507246376811617E-2</v>
      </c>
      <c r="Y204" s="514">
        <f>IFERROR(IF(AL204=100%,W204,0),0)</f>
        <v>8.3507246376811617E-2</v>
      </c>
      <c r="Z204" s="514">
        <f>IFERROR(IF(AND((AL204+AM204)=100%,AL204&lt;1),W204,0),0)</f>
        <v>0</v>
      </c>
      <c r="AA204" s="514">
        <f>IFERROR(IF(AND((AQ204+AS204)=AP204,Y204=0),W204,0),0)</f>
        <v>0</v>
      </c>
      <c r="AB204" s="514">
        <f>IFERROR(IF(AND((AQ204+AS204+AT204)=AP204,Y204=0,AA204=0),W204,0),0)</f>
        <v>0</v>
      </c>
      <c r="AC204" s="514">
        <f>IFERROR(IF(AND((AQ204+AS204+AT204+AU204)=AP204,Y204=0,AA204=0,AB204=0),W204,0),0)</f>
        <v>0</v>
      </c>
      <c r="AD204" s="567">
        <f>IFERROR(IF(AND((AQ204+AS204+AT204+AU204+AV204)=AP204,Y204=0,AA204=0,AB204=0,AC204=0),W204,0),0)</f>
        <v>0</v>
      </c>
      <c r="AE204" s="568"/>
      <c r="AF204" s="514">
        <f>IFERROR(IF(AND((AL204+AN204)=100%,AL204&lt;1),W204,0),0)</f>
        <v>0</v>
      </c>
      <c r="AG204" s="514">
        <f>IFERROR(IF(AND((AQ204+AY204)=AP204,Y204=0),W204,0),0)</f>
        <v>0</v>
      </c>
      <c r="AH204" s="514">
        <f>IFERROR(IF(AND((AQ204+AY204+AZ204)=AP204,Y204=0,AG204=0),W204,0),0)</f>
        <v>0</v>
      </c>
      <c r="AI204" s="514">
        <f>IFERROR(IF(AND((AQ204+AY204+AZ204+BA204)=AP204,Y204=0,AG204=0,AH204=0),W204,0),0)</f>
        <v>0</v>
      </c>
      <c r="AJ204" s="514">
        <f>IFERROR(IF(AND((AQ204+AY204+AZ204+BA204+BB204)=AP204,Y204=0,AG204=0,AH204=0,AI204=0),W204,0),0)</f>
        <v>0</v>
      </c>
      <c r="AK204" s="501"/>
      <c r="AL204" s="570">
        <f>IFERROR(AQ204/AP204,0)</f>
        <v>1</v>
      </c>
      <c r="AM204" s="570">
        <f>IFERROR(AR204/AP204,0)</f>
        <v>0</v>
      </c>
      <c r="AN204" s="570">
        <f>IFERROR(AX204/AP204,0)</f>
        <v>0</v>
      </c>
      <c r="AO204" s="518"/>
      <c r="AP204" s="514">
        <f>COUNTIF('AR | Drawing List'!$G:$G,"AR-VC3-1")</f>
        <v>3</v>
      </c>
      <c r="AQ204" s="506">
        <f>COUNTIFS('AR | Drawing List'!$G:$G,"AR-VC3-1",'AR | Drawing List'!$I:$I,1)</f>
        <v>3</v>
      </c>
      <c r="AR204" s="506">
        <f t="shared" si="1075"/>
        <v>0</v>
      </c>
      <c r="AS204" s="506">
        <f>COUNTIFS('AR | Drawing List'!$G:$G,"AR-VC3-1",'AR | Drawing List'!M:M,1)</f>
        <v>0</v>
      </c>
      <c r="AT204" s="506">
        <f>COUNTIFS('AR | Drawing List'!$G:$G,"AR-VC3-1",'AR | Drawing List'!N:N,1)</f>
        <v>0</v>
      </c>
      <c r="AU204" s="506">
        <f>COUNTIFS('AR | Drawing List'!$G:$G,"AR-VC3-1",'AR | Drawing List'!O:O,1)</f>
        <v>0</v>
      </c>
      <c r="AV204" s="506">
        <f>COUNTIFS('AR | Drawing List'!$G:$G,"AR-VC3-1",'AR | Drawing List'!P:P,1)</f>
        <v>0</v>
      </c>
      <c r="AW204" s="466"/>
      <c r="AX204" s="506">
        <f t="shared" ref="AX204:AX231" si="1093">SUM(AY204:BB204)</f>
        <v>0</v>
      </c>
      <c r="AY204" s="506">
        <f>COUNTIFS('AR | Drawing List'!$G:$G,"AR-VC3-1",'AR | Drawing List'!R:R,1)</f>
        <v>0</v>
      </c>
      <c r="AZ204" s="506">
        <f>COUNTIFS('AR | Drawing List'!$G:$G,"AR-VC3-1",'AR | Drawing List'!S:S,1)</f>
        <v>0</v>
      </c>
      <c r="BA204" s="506">
        <f>COUNTIFS('AR | Drawing List'!$G:$G,"AR-VC3-1",'AR | Drawing List'!T:T,1)</f>
        <v>0</v>
      </c>
      <c r="BB204" s="506">
        <f>COUNTIFS('AR | Drawing List'!$G:$G,"AR-VC3-1",'AR | Drawing List'!U:U,1)</f>
        <v>0</v>
      </c>
      <c r="BC204" s="551"/>
      <c r="BD204" s="551"/>
      <c r="BE204" s="511">
        <v>0.25</v>
      </c>
      <c r="BF204" s="508"/>
      <c r="BG204" s="506">
        <f>$BG$203/$BE$203*BE204</f>
        <v>8.2279411764705879E-2</v>
      </c>
      <c r="BH204" s="510">
        <f t="shared" si="1001"/>
        <v>8.2279411764705879E-2</v>
      </c>
      <c r="BI204" s="514">
        <f>IFERROR(IF(BV204=100%,BG204,0),0)</f>
        <v>0</v>
      </c>
      <c r="BJ204" s="514">
        <f>IFERROR(IF(AND((BV204+BW204)=100%,BV204&lt;1),BG204,0),0)</f>
        <v>8.2279411764705879E-2</v>
      </c>
      <c r="BK204" s="514">
        <f>IFERROR(IF(AND((CA204+CC204)=BZ204,BI204=0),BG204,0),0)</f>
        <v>8.2279411764705879E-2</v>
      </c>
      <c r="BL204" s="514">
        <f>IFERROR(IF(AND((CA204+CC204+CD204)=BZ204,BI204=0,BK204=0),BG204,0),0)</f>
        <v>0</v>
      </c>
      <c r="BM204" s="514">
        <f>IFERROR(IF(AND((CA204+CC204+CD204+CE204)=BZ204,BI204=0,BK204=0,BL204=0),BG204,0),0)</f>
        <v>0</v>
      </c>
      <c r="BN204" s="514">
        <f>IFERROR(IF(AND((CA204+CC204+CD204+CE204+CF204)=BZ204,BI204=0,BK204=0,BL204=0,BM204=0),BG204,0),0)</f>
        <v>0</v>
      </c>
      <c r="BO204" s="501"/>
      <c r="BP204" s="514">
        <f>IFERROR(IF(AND((BV204+BX204)=100%,BV204&lt;1),BG204,0),0)</f>
        <v>8.2279411764705879E-2</v>
      </c>
      <c r="BQ204" s="514">
        <f>IFERROR(IF(AND((CA204+CI204)=BZ204,BI204=0),BG204,0),0)</f>
        <v>8.2279411764705879E-2</v>
      </c>
      <c r="BR204" s="514">
        <f>IFERROR(IF(AND((CA204+CI204+CJ204)=BZ204,BI204=0,BQ204=0),BG204,0),0)</f>
        <v>0</v>
      </c>
      <c r="BS204" s="514">
        <f>IFERROR(IF(AND((CA204+CI204+CJ204+CK204)=BZ204,BI204=0,BQ204=0,BR204=0),BG204,0),0)</f>
        <v>0</v>
      </c>
      <c r="BT204" s="514">
        <f>IFERROR(IF(AND((CA204+CI204+CJ204+CK204+CL204)=BZ204,BI204=0,BQ204=0,BR204=0,BS204=0),BG204,0),0)</f>
        <v>0</v>
      </c>
      <c r="BU204" s="501"/>
      <c r="BV204" s="571">
        <f t="shared" ref="BV204:BV206" si="1094">IFERROR(CA204/BZ204,0)</f>
        <v>0.93103448275862066</v>
      </c>
      <c r="BW204" s="571">
        <f t="shared" ref="BW204:BW206" si="1095">IFERROR(CB204/BZ204,0)</f>
        <v>6.8965517241379309E-2</v>
      </c>
      <c r="BX204" s="571">
        <f t="shared" ref="BX204:BX206" si="1096">IFERROR(CH204/BZ204,0)</f>
        <v>6.8965517241379309E-2</v>
      </c>
      <c r="BY204" s="518"/>
      <c r="BZ204" s="514">
        <f>COUNTIF('ST | Drawing List'!$G:$G,"ST-VC3-1")</f>
        <v>29</v>
      </c>
      <c r="CA204" s="506">
        <f>COUNTIFS('ST | Drawing List'!$G:$G,"ST-VC3-1",'ST | Drawing List'!$I:$I,1)</f>
        <v>27</v>
      </c>
      <c r="CB204" s="572">
        <f>COUNTIFS('ST | Drawing List'!$G:$G,"ST-VC3-1",'ST | Drawing List'!$K:$K,1)</f>
        <v>2</v>
      </c>
      <c r="CC204" s="506">
        <f>COUNTIFS('ST | Drawing List'!$G:$G,"ST-VC3-1",'ST | Drawing List'!L:L,1)</f>
        <v>2</v>
      </c>
      <c r="CD204" s="506">
        <f>COUNTIFS('ST | Drawing List'!$G:$G,"ST-VC3-1",'ST | Drawing List'!M:M,1)</f>
        <v>0</v>
      </c>
      <c r="CE204" s="506">
        <f>COUNTIFS('ST | Drawing List'!$G:$G,"ST-VC3-1",'ST | Drawing List'!N:N,1)</f>
        <v>0</v>
      </c>
      <c r="CF204" s="506">
        <f>COUNTIFS('ST | Drawing List'!$G:$G,"ST-VC3-1",'ST | Drawing List'!O:O,1)</f>
        <v>0</v>
      </c>
      <c r="CG204" s="471"/>
      <c r="CH204" s="572">
        <f>COUNTIFS('ST | Drawing List'!$G:$G,"ST-VC3-1",'ST | Drawing List'!$P:$P,1)</f>
        <v>2</v>
      </c>
      <c r="CI204" s="506">
        <f>COUNTIFS('ST | Drawing List'!$G:$G,"ST-VC3-1",'ST | Drawing List'!Q:Q,1)</f>
        <v>2</v>
      </c>
      <c r="CJ204" s="506">
        <f>COUNTIFS('ST | Drawing List'!$G:$G,"ST-VC3-1",'ST | Drawing List'!R:R,1)</f>
        <v>0</v>
      </c>
      <c r="CK204" s="506">
        <f>COUNTIFS('ST | Drawing List'!$G:$G,"ST-VC3-1",'ST | Drawing List'!S:S,1)</f>
        <v>0</v>
      </c>
      <c r="CL204" s="506">
        <f>COUNTIFS('ST | Drawing List'!$G:$G,"ST-VC3-1",'ST | Drawing List'!T:T,1)</f>
        <v>0</v>
      </c>
      <c r="CM204" s="508"/>
      <c r="CN204" s="508"/>
      <c r="CO204" s="511">
        <v>0.3</v>
      </c>
      <c r="CP204" s="508"/>
      <c r="CQ204" s="506">
        <f>$CQ$203/$CO$203*CO204</f>
        <v>6.1764705882352937E-3</v>
      </c>
      <c r="CR204" s="510">
        <f t="shared" si="1002"/>
        <v>6.1764705882352937E-3</v>
      </c>
      <c r="CS204" s="514">
        <f>IFERROR(IF(DF204=100%,CQ204,0),0)</f>
        <v>6.1764705882352937E-3</v>
      </c>
      <c r="CT204" s="514">
        <f t="shared" ref="CT204:CT206" si="1097">IFERROR(IF(AND((DF204+DG204)=100%,DF204&lt;1),CQ204,0),0)</f>
        <v>0</v>
      </c>
      <c r="CU204" s="514">
        <f t="shared" ref="CU204:CU206" si="1098">IFERROR(IF(AND((DK204+DM204)=DJ204,CS204=0),CQ204,0),0)</f>
        <v>0</v>
      </c>
      <c r="CV204" s="514">
        <f t="shared" ref="CV204:CV206" si="1099">IFERROR(IF(AND((DK204+DM204+DN204)=DJ204,CS204=0,CU204=0),CQ204,0),0)</f>
        <v>0</v>
      </c>
      <c r="CW204" s="514">
        <f t="shared" ref="CW204:CW206" si="1100">IFERROR(IF(AND((DK204+DM204+DN204+DO204)=DJ204,CS204=0,CU204=0,CV204=0),CQ204,0),0)</f>
        <v>0</v>
      </c>
      <c r="CX204" s="514">
        <f t="shared" ref="CX204:CX206" si="1101">IFERROR(IF(AND((DK204+DM204+DN204+DO204+DP204)=DJ204,CS204=0,CU204=0,CV204=0,CW204=0),CQ204,0),0)</f>
        <v>0</v>
      </c>
      <c r="CY204" s="501"/>
      <c r="CZ204" s="514">
        <f t="shared" ref="CZ204:CZ206" si="1102">IFERROR(IF(AND((DF204+DH204)=100%,DF204&lt;1),CQ204,0),0)</f>
        <v>0</v>
      </c>
      <c r="DA204" s="514">
        <f t="shared" ref="DA204:DA206" si="1103">IFERROR(IF(AND((DK204+DS204)=DJ204,CS204=0),CQ204,0),0)</f>
        <v>0</v>
      </c>
      <c r="DB204" s="514">
        <f t="shared" ref="DB204:DB206" si="1104">IFERROR(IF(AND((DK204+DS204+DT204)=DJ204,CS204=0,DA204=0),CQ204,0),0)</f>
        <v>0</v>
      </c>
      <c r="DC204" s="514">
        <f t="shared" ref="DC204:DC206" si="1105">IFERROR(IF(AND((DK204+DS204+DT204+DU204)=DJ204,CS204=0,DA204=0,DB204=0),CQ204,0),0)</f>
        <v>0</v>
      </c>
      <c r="DD204" s="514">
        <f t="shared" ref="DD204:DD206" si="1106">IFERROR(IF(AND((DK204+DS204+DT204+DU204+DV204)=DJ204,CS204=0,DA204=0,DB204=0,DC204=0),CQ204,0),0)</f>
        <v>0</v>
      </c>
      <c r="DE204" s="501"/>
      <c r="DF204" s="570">
        <f t="shared" ref="DF204:DF206" si="1107">IFERROR(DK204/DJ204,0)</f>
        <v>1</v>
      </c>
      <c r="DG204" s="570">
        <f t="shared" ref="DG204:DG206" si="1108">IFERROR(DL204/DJ204,0)</f>
        <v>0</v>
      </c>
      <c r="DH204" s="570">
        <f t="shared" ref="DH204:DH206" si="1109">IFERROR(DR204/DJ204,0)</f>
        <v>0</v>
      </c>
      <c r="DI204" s="518"/>
      <c r="DJ204" s="514">
        <f>COUNTIF('MEP | Drawing List'!$G:$G,"MEP-VC3-1")</f>
        <v>1</v>
      </c>
      <c r="DK204" s="506">
        <f>COUNTIFS('MEP | Drawing List'!$G:$G,"MEP-VC3-1",'MEP | Drawing List'!$I:$I,1)</f>
        <v>1</v>
      </c>
      <c r="DL204" s="506">
        <f>COUNTIFS('MEP | Drawing List'!$G:$G,"MEP-VC3-1",'MEP | Drawing List'!$K:$K,1)</f>
        <v>0</v>
      </c>
      <c r="DM204" s="514">
        <f>COUNTIFS('MEP | Drawing List'!$G:$G,"MEP-VC3-1",'MEP | Drawing List'!L:L,1)</f>
        <v>0</v>
      </c>
      <c r="DN204" s="514">
        <f>COUNTIFS('MEP | Drawing List'!$G:$G,"MEP-VC3-1",'MEP | Drawing List'!M:M,1)</f>
        <v>0</v>
      </c>
      <c r="DO204" s="514">
        <f>COUNTIFS('MEP | Drawing List'!$G:$G,"MEP-VC3-1",'MEP | Drawing List'!N:N,1)</f>
        <v>0</v>
      </c>
      <c r="DP204" s="514">
        <f>COUNTIFS('MEP | Drawing List'!$G:$G,"MEP-VC3-1",'MEP | Drawing List'!O:O,1)</f>
        <v>0</v>
      </c>
      <c r="DQ204" s="501"/>
      <c r="DR204" s="506">
        <f>COUNTIFS('MEP | Drawing List'!$G:$G,"MEP-VC3-1",'MEP | Drawing List'!$P:$P,1)</f>
        <v>0</v>
      </c>
      <c r="DS204" s="514">
        <f>COUNTIFS('MEP | Drawing List'!$G:$G,"MEP-VC3-1",'MEP | Drawing List'!Q:Q,1)</f>
        <v>0</v>
      </c>
      <c r="DT204" s="514">
        <f>COUNTIFS('MEP | Drawing List'!$G:$G,"MEP-VC3-1",'MEP | Drawing List'!R:R,1)</f>
        <v>0</v>
      </c>
      <c r="DU204" s="514">
        <f>COUNTIFS('MEP | Drawing List'!$G:$G,"MEP-VC3-1",'MEP | Drawing List'!S:S,1)</f>
        <v>0</v>
      </c>
      <c r="DV204" s="514">
        <f>COUNTIFS('MEP | Drawing List'!$G:$G,"MEP-VC3-1",'MEP | Drawing List'!T:T,1)</f>
        <v>0</v>
      </c>
      <c r="DW204" s="508"/>
      <c r="DX204" s="508"/>
      <c r="DY204" s="511">
        <v>0</v>
      </c>
      <c r="DZ204" s="508"/>
      <c r="EA204" s="509">
        <v>0</v>
      </c>
      <c r="EB204" s="510">
        <f t="shared" si="1003"/>
        <v>0</v>
      </c>
      <c r="EC204" s="514">
        <f>IFERROR(IF(EP204=100%,EA204,0),0)</f>
        <v>0</v>
      </c>
      <c r="ED204" s="514">
        <f>IFERROR(IF(AND((EP204+EQ204)=100%,EP204&lt;1),EA204,0),0)</f>
        <v>0</v>
      </c>
      <c r="EE204" s="514">
        <f>IFERROR(IF(AND((EU204+EW204)=ET204,EC204=0),EA204,0),0)</f>
        <v>0</v>
      </c>
      <c r="EF204" s="514">
        <f>IFERROR(IF(AND((EU204+EW204+EX204)=ET204,EC204=0,EE204=0),EA204,0),0)</f>
        <v>0</v>
      </c>
      <c r="EG204" s="514">
        <f>IFERROR(IF(AND((EU204+EW204+EX204+EY204)=ET204,EC204=0,EE204=0,EF204=0),EA204,0),0)</f>
        <v>0</v>
      </c>
      <c r="EH204" s="514">
        <f>IFERROR(IF(AND((EU204+EW204+EX204+EY204+EZ204)=ET204,EC204=0,EE204=0,EF204=0,EG204=0),EA204,0),0)</f>
        <v>0</v>
      </c>
      <c r="EI204" s="501"/>
      <c r="EJ204" s="567">
        <f t="shared" ref="EJ204:EJ206" si="1110">IFERROR(IF(AND((EP204+ER204)=100%,EP204&lt;1),EA204,0),0)</f>
        <v>0</v>
      </c>
      <c r="EK204" s="514">
        <f t="shared" ref="EK204:EK206" si="1111">IFERROR(IF(AND((EU204+FC204)=ET204,EC204=0),EA204,0),0)</f>
        <v>0</v>
      </c>
      <c r="EL204" s="514">
        <f t="shared" ref="EL204:EL206" si="1112">IFERROR(IF(AND((EU204+FC204+FD204)=ET204,EC204=0,EK204=0),EA204,0),0)</f>
        <v>0</v>
      </c>
      <c r="EM204" s="514">
        <f t="shared" ref="EM204:EM206" si="1113">IFERROR(IF(AND((EU204+FC204+FD204+FE204)=ET204,EC204=0,EK204=0,EL204=0),EA204,0),0)</f>
        <v>0</v>
      </c>
      <c r="EN204" s="514">
        <f t="shared" ref="EN204:EN206" si="1114">IFERROR(IF(AND((EU204+FC204+FD204+FE204+FF204)=ET204,EC204=0,EK204=0,EL204=0,EM204=0),EA204,0),0)</f>
        <v>0</v>
      </c>
      <c r="EO204" s="501"/>
      <c r="EP204" s="585">
        <f t="shared" ref="EP204:EP206" si="1115">IFERROR(EU204/ET204,0)</f>
        <v>0</v>
      </c>
      <c r="EQ204" s="585">
        <f t="shared" ref="EQ204:EQ206" si="1116">IFERROR(EV204/ET204,0)</f>
        <v>0</v>
      </c>
      <c r="ER204" s="585">
        <f t="shared" ref="ER204:ER206" si="1117">IFERROR(FB204/ET204,0)</f>
        <v>0</v>
      </c>
      <c r="ET204" s="514">
        <f>COUNTIF('LS | Drawing List'!$G:$G,"LS-V03-1")</f>
        <v>0</v>
      </c>
      <c r="EU204" s="506">
        <f>COUNTIFS('LS | Drawing List'!$G:$G,"LS-V03-1",'LS | Drawing List'!$I:$I,1)</f>
        <v>0</v>
      </c>
      <c r="EV204" s="506">
        <f>COUNTIFS('LS | Drawing List'!$G:$G,"LS-V03-1",'LS | Drawing List'!$K:$K,1)</f>
        <v>0</v>
      </c>
      <c r="EW204" s="514">
        <f>COUNTIFS('LS | Drawing List'!$G:$G,"LS-V03-1",'LS | Drawing List'!L:L,1)</f>
        <v>0</v>
      </c>
      <c r="EX204" s="514">
        <f>COUNTIFS('LS | Drawing List'!$G:$G,"LS-V03-1",'LS | Drawing List'!M:M,1)</f>
        <v>0</v>
      </c>
      <c r="EY204" s="514">
        <f>COUNTIFS('LS | Drawing List'!$G:$G,"LS-V03-1",'LS | Drawing List'!N:N,1)</f>
        <v>0</v>
      </c>
      <c r="EZ204" s="514">
        <f>COUNTIFS('LS | Drawing List'!$G:$G,"LS-V03-1",'LS | Drawing List'!O:O,1)</f>
        <v>0</v>
      </c>
      <c r="FA204" s="515"/>
      <c r="FB204" s="506">
        <f>COUNTIFS('LS | Drawing List'!$G:$G,"LS-V03-1",'LS | Drawing List'!$P:$P,1)</f>
        <v>0</v>
      </c>
      <c r="FC204" s="514">
        <f>COUNTIFS('LS | Drawing List'!$G:$G,"LS-V03-1",'LS | Drawing List'!Q:Q,1)</f>
        <v>0</v>
      </c>
      <c r="FD204" s="514">
        <f>COUNTIFS('LS | Drawing List'!$G:$G,"LS-V03-1",'LS | Drawing List'!R:R,1)</f>
        <v>0</v>
      </c>
      <c r="FE204" s="514">
        <f>COUNTIFS('LS | Drawing List'!$G:$G,"LS-V03-1",'LS | Drawing List'!S:S,1)</f>
        <v>0</v>
      </c>
      <c r="FF204" s="514">
        <f>COUNTIFS('LS | Drawing List'!$G:$G,"LS-V03-1",'LS | Drawing List'!T:T,1)</f>
        <v>0</v>
      </c>
    </row>
    <row r="205" spans="2:165" ht="14.25" outlineLevel="2">
      <c r="B205" s="564" t="s">
        <v>183</v>
      </c>
      <c r="C205" s="565">
        <v>2</v>
      </c>
      <c r="D205" s="566" t="s">
        <v>179</v>
      </c>
      <c r="F205" s="500">
        <f t="shared" si="1090"/>
        <v>0.26986743393009377</v>
      </c>
      <c r="G205" s="500">
        <f t="shared" si="1091"/>
        <v>0.10285294117647058</v>
      </c>
      <c r="H205" s="514">
        <f t="shared" si="1092"/>
        <v>0.16701449275362318</v>
      </c>
      <c r="I205" s="514">
        <f t="shared" si="1060"/>
        <v>0.26574978687127027</v>
      </c>
      <c r="J205" s="514">
        <f t="shared" si="1061"/>
        <v>0.26574978687127027</v>
      </c>
      <c r="K205" s="514">
        <f t="shared" si="1062"/>
        <v>0</v>
      </c>
      <c r="L205" s="514">
        <f t="shared" si="1063"/>
        <v>0</v>
      </c>
      <c r="M205" s="567">
        <f t="shared" si="1064"/>
        <v>0</v>
      </c>
      <c r="N205" s="568"/>
      <c r="O205" s="514">
        <f t="shared" si="1065"/>
        <v>9.8735294117647046E-2</v>
      </c>
      <c r="P205" s="514">
        <f t="shared" si="1066"/>
        <v>9.8735294117647046E-2</v>
      </c>
      <c r="Q205" s="514">
        <f t="shared" si="1067"/>
        <v>0</v>
      </c>
      <c r="R205" s="514">
        <f t="shared" si="1068"/>
        <v>0</v>
      </c>
      <c r="S205" s="514">
        <f t="shared" si="1069"/>
        <v>0</v>
      </c>
      <c r="U205" s="569">
        <v>0.2</v>
      </c>
      <c r="V205" s="503"/>
      <c r="W205" s="500">
        <f>$W$203/$U$203*U205</f>
        <v>0.16701449275362323</v>
      </c>
      <c r="X205" s="500">
        <f t="shared" si="1000"/>
        <v>0</v>
      </c>
      <c r="Y205" s="514">
        <f>IFERROR(IF(AL205=100%,W205,0),0)</f>
        <v>0</v>
      </c>
      <c r="Z205" s="514">
        <f>IFERROR(IF(AND((AL205+AM205)=100%,AL205&lt;1),W205,0),0)</f>
        <v>0.16701449275362323</v>
      </c>
      <c r="AA205" s="514">
        <f>IFERROR(IF(AND((AQ205+AS205)=AP205,Y205=0),W205,0),0)</f>
        <v>0.16701449275362323</v>
      </c>
      <c r="AB205" s="514">
        <f>IFERROR(IF(AND((AQ205+AS205+AT205)=AP205,Y205=0,AA205=0),W205,0),0)</f>
        <v>0</v>
      </c>
      <c r="AC205" s="514">
        <f>IFERROR(IF(AND((AQ205+AS205+AT205+AU205)=AP205,Y205=0,AA205=0,AB205=0),W205,0),0)</f>
        <v>0</v>
      </c>
      <c r="AD205" s="567">
        <f>IFERROR(IF(AND((AQ205+AS205+AT205+AU205+AV205)=AP205,Y205=0,AA205=0,AB205=0,AC205=0),W205,0),0)</f>
        <v>0</v>
      </c>
      <c r="AE205" s="568"/>
      <c r="AF205" s="514">
        <f>IFERROR(IF(AND((AL205+AN205)=100%,AL205&lt;1),W205,0),0)</f>
        <v>0</v>
      </c>
      <c r="AG205" s="514">
        <f>IFERROR(IF(AND((AQ205+AY205)=AP205,Y205=0),W205,0),0)</f>
        <v>0</v>
      </c>
      <c r="AH205" s="514">
        <f>IFERROR(IF(AND((AQ205+AY205+AZ205)=AP205,Y205=0,AG205=0),W205,0),0)</f>
        <v>0</v>
      </c>
      <c r="AI205" s="514">
        <f>IFERROR(IF(AND((AQ205+AY205+AZ205+BA205)=AP205,Y205=0,AG205=0,AH205=0),W205,0),0)</f>
        <v>0</v>
      </c>
      <c r="AJ205" s="514">
        <f>IFERROR(IF(AND((AQ205+AY205+AZ205+BA205+BB205)=AP205,Y205=0,AG205=0,AH205=0,AI205=0),W205,0),0)</f>
        <v>0</v>
      </c>
      <c r="AK205" s="501"/>
      <c r="AL205" s="570">
        <f>IFERROR(AQ205/AP205,0)</f>
        <v>0.90476190476190477</v>
      </c>
      <c r="AM205" s="570">
        <f>IFERROR(AR205/AP205,0)</f>
        <v>9.5238095238095233E-2</v>
      </c>
      <c r="AN205" s="570">
        <f>IFERROR(AX205/AP205,0)</f>
        <v>0</v>
      </c>
      <c r="AO205" s="518"/>
      <c r="AP205" s="514">
        <f>COUNTIF('AR | Drawing List'!$G:$G,"AR-VC3-2")</f>
        <v>21</v>
      </c>
      <c r="AQ205" s="506">
        <f>COUNTIFS('AR | Drawing List'!$G:$G,"AR-VC3-2",'AR | Drawing List'!$I:$I,1)</f>
        <v>19</v>
      </c>
      <c r="AR205" s="506">
        <f t="shared" si="1075"/>
        <v>2</v>
      </c>
      <c r="AS205" s="506">
        <f>COUNTIFS('AR | Drawing List'!$G:$G,"AR-VC3-2",'AR | Drawing List'!M:M,1)</f>
        <v>2</v>
      </c>
      <c r="AT205" s="506">
        <f>COUNTIFS('AR | Drawing List'!$G:$G,"AR-VC3-2",'AR | Drawing List'!N:N,1)</f>
        <v>0</v>
      </c>
      <c r="AU205" s="506">
        <f>COUNTIFS('AR | Drawing List'!$G:$G,"AR-VC3-2",'AR | Drawing List'!O:O,1)</f>
        <v>0</v>
      </c>
      <c r="AV205" s="506">
        <f>COUNTIFS('AR | Drawing List'!$G:$G,"AR-VC3-2",'AR | Drawing List'!P:P,1)</f>
        <v>0</v>
      </c>
      <c r="AW205" s="466"/>
      <c r="AX205" s="506">
        <f t="shared" si="1093"/>
        <v>0</v>
      </c>
      <c r="AY205" s="506">
        <f>COUNTIFS('AR | Drawing List'!$G:$G,"AR-VC3-2",'AR | Drawing List'!R:R,1)</f>
        <v>0</v>
      </c>
      <c r="AZ205" s="506">
        <f>COUNTIFS('AR | Drawing List'!$G:$G,"AR-VC3-2",'AR | Drawing List'!S:S,1)</f>
        <v>0</v>
      </c>
      <c r="BA205" s="506">
        <f>COUNTIFS('AR | Drawing List'!$G:$G,"AR-VC3-2",'AR | Drawing List'!T:T,1)</f>
        <v>0</v>
      </c>
      <c r="BB205" s="506">
        <f>COUNTIFS('AR | Drawing List'!$G:$G,"AR-VC3-2",'AR | Drawing List'!U:U,1)</f>
        <v>0</v>
      </c>
      <c r="BC205" s="551"/>
      <c r="BD205" s="551"/>
      <c r="BE205" s="511">
        <v>0.3</v>
      </c>
      <c r="BF205" s="508"/>
      <c r="BG205" s="506">
        <f>$BG$203/$BE$203*BE205</f>
        <v>9.8735294117647046E-2</v>
      </c>
      <c r="BH205" s="510">
        <f t="shared" si="1001"/>
        <v>9.8735294117647046E-2</v>
      </c>
      <c r="BI205" s="514">
        <f>IFERROR(IF(BV205=100%,BG205,0),0)</f>
        <v>0</v>
      </c>
      <c r="BJ205" s="514">
        <f>IFERROR(IF(AND((BV205+BW205)=100%,BV205&lt;1),BG205,0),0)</f>
        <v>9.8735294117647046E-2</v>
      </c>
      <c r="BK205" s="514">
        <f>IFERROR(IF(AND((CA205+CC205)=BZ205,BI205=0),BG205,0),0)</f>
        <v>9.8735294117647046E-2</v>
      </c>
      <c r="BL205" s="514">
        <f>IFERROR(IF(AND((CA205+CC205+CD205)=BZ205,BI205=0,BK205=0),BG205,0),0)</f>
        <v>0</v>
      </c>
      <c r="BM205" s="514">
        <f>IFERROR(IF(AND((CA205+CC205+CD205+CE205)=BZ205,BI205=0,BK205=0,BL205=0),BG205,0),0)</f>
        <v>0</v>
      </c>
      <c r="BN205" s="514">
        <f>IFERROR(IF(AND((CA205+CC205+CD205+CE205+CF205)=BZ205,BI205=0,BK205=0,BL205=0,BM205=0),BG205,0),0)</f>
        <v>0</v>
      </c>
      <c r="BO205" s="501"/>
      <c r="BP205" s="514">
        <f>IFERROR(IF(AND((BV205+BX205)=100%,BV205&lt;1),BG205,0),0)</f>
        <v>9.8735294117647046E-2</v>
      </c>
      <c r="BQ205" s="514">
        <f>IFERROR(IF(AND((CA205+CI205)=BZ205,BI205=0),BG205,0),0)</f>
        <v>9.8735294117647046E-2</v>
      </c>
      <c r="BR205" s="514">
        <f>IFERROR(IF(AND((CA205+CI205+CJ205)=BZ205,BI205=0,BQ205=0),BG205,0),0)</f>
        <v>0</v>
      </c>
      <c r="BS205" s="514">
        <f>IFERROR(IF(AND((CA205+CI205+CJ205+CK205)=BZ205,BI205=0,BQ205=0,BR205=0),BG205,0),0)</f>
        <v>0</v>
      </c>
      <c r="BT205" s="514">
        <f>IFERROR(IF(AND((CA205+CI205+CJ205+CK205+CL205)=BZ205,BI205=0,BQ205=0,BR205=0,BS205=0),BG205,0),0)</f>
        <v>0</v>
      </c>
      <c r="BU205" s="501"/>
      <c r="BV205" s="571">
        <f t="shared" si="1094"/>
        <v>0.71111111111111114</v>
      </c>
      <c r="BW205" s="571">
        <f t="shared" si="1095"/>
        <v>0.28888888888888886</v>
      </c>
      <c r="BX205" s="571">
        <f t="shared" si="1096"/>
        <v>0.28888888888888886</v>
      </c>
      <c r="BY205" s="518"/>
      <c r="BZ205" s="514">
        <f>COUNTIF('ST | Drawing List'!$G:$G,"ST-VC3-2")</f>
        <v>90</v>
      </c>
      <c r="CA205" s="506">
        <f>COUNTIFS('ST | Drawing List'!$G:$G,"ST-VC3-2",'ST | Drawing List'!$I:$I,1)</f>
        <v>64</v>
      </c>
      <c r="CB205" s="572">
        <f>COUNTIFS('ST | Drawing List'!$G:$G,"ST-VC3-2",'ST | Drawing List'!$K:$K,1)</f>
        <v>26</v>
      </c>
      <c r="CC205" s="506">
        <f>COUNTIFS('ST | Drawing List'!$G:$G,"ST-VC3-2",'ST | Drawing List'!L:L,1)</f>
        <v>26</v>
      </c>
      <c r="CD205" s="506">
        <f>COUNTIFS('ST | Drawing List'!$G:$G,"ST-VC3-2",'ST | Drawing List'!M:M,1)</f>
        <v>0</v>
      </c>
      <c r="CE205" s="506">
        <f>COUNTIFS('ST | Drawing List'!$G:$G,"ST-VC3-2",'ST | Drawing List'!N:N,1)</f>
        <v>0</v>
      </c>
      <c r="CF205" s="506">
        <f>COUNTIFS('ST | Drawing List'!$G:$G,"ST-VC3-2",'ST | Drawing List'!O:O,1)</f>
        <v>0</v>
      </c>
      <c r="CG205" s="471"/>
      <c r="CH205" s="572">
        <f>COUNTIFS('ST | Drawing List'!$G:$G,"ST-VC3-2",'ST | Drawing List'!$P:$P,1)</f>
        <v>26</v>
      </c>
      <c r="CI205" s="506">
        <f>COUNTIFS('ST | Drawing List'!$G:$G,"ST-VC3-2",'ST | Drawing List'!Q:Q,1)</f>
        <v>26</v>
      </c>
      <c r="CJ205" s="506">
        <f>COUNTIFS('ST | Drawing List'!$G:$G,"ST-VC3-2",'ST | Drawing List'!R:R,1)</f>
        <v>0</v>
      </c>
      <c r="CK205" s="506">
        <f>COUNTIFS('ST | Drawing List'!$G:$G,"ST-VC3-2",'ST | Drawing List'!S:S,1)</f>
        <v>0</v>
      </c>
      <c r="CL205" s="506">
        <f>COUNTIFS('ST | Drawing List'!$G:$G,"ST-VC3-2",'ST | Drawing List'!T:T,1)</f>
        <v>0</v>
      </c>
      <c r="CM205" s="508"/>
      <c r="CN205" s="508"/>
      <c r="CO205" s="511">
        <v>0.2</v>
      </c>
      <c r="CP205" s="508"/>
      <c r="CQ205" s="632">
        <f>$CQ$203/$CO$203*CO205</f>
        <v>4.1176470588235297E-3</v>
      </c>
      <c r="CR205" s="510">
        <f t="shared" si="1002"/>
        <v>4.1176470588235297E-3</v>
      </c>
      <c r="CS205" s="514">
        <f>IFERROR(IF(DF205=100%,CQ205,0),0)</f>
        <v>4.1176470588235297E-3</v>
      </c>
      <c r="CT205" s="514">
        <f t="shared" si="1097"/>
        <v>0</v>
      </c>
      <c r="CU205" s="514">
        <f t="shared" si="1098"/>
        <v>0</v>
      </c>
      <c r="CV205" s="514">
        <f t="shared" si="1099"/>
        <v>0</v>
      </c>
      <c r="CW205" s="514">
        <f t="shared" si="1100"/>
        <v>0</v>
      </c>
      <c r="CX205" s="514">
        <f t="shared" si="1101"/>
        <v>0</v>
      </c>
      <c r="CY205" s="501"/>
      <c r="CZ205" s="514">
        <f t="shared" si="1102"/>
        <v>0</v>
      </c>
      <c r="DA205" s="514">
        <f t="shared" si="1103"/>
        <v>0</v>
      </c>
      <c r="DB205" s="514">
        <f t="shared" si="1104"/>
        <v>0</v>
      </c>
      <c r="DC205" s="514">
        <f t="shared" si="1105"/>
        <v>0</v>
      </c>
      <c r="DD205" s="514">
        <f t="shared" si="1106"/>
        <v>0</v>
      </c>
      <c r="DE205" s="501"/>
      <c r="DF205" s="570">
        <f t="shared" si="1107"/>
        <v>1</v>
      </c>
      <c r="DG205" s="570">
        <f t="shared" si="1108"/>
        <v>0</v>
      </c>
      <c r="DH205" s="570">
        <f t="shared" si="1109"/>
        <v>0</v>
      </c>
      <c r="DI205" s="518"/>
      <c r="DJ205" s="514">
        <f>COUNTIF('MEP | Drawing List'!$G:$G,"MEP-VC3-2")</f>
        <v>10</v>
      </c>
      <c r="DK205" s="506">
        <f>COUNTIFS('MEP | Drawing List'!$G:$G,"MEP-VC3-2",'MEP | Drawing List'!$I:$I,1)</f>
        <v>10</v>
      </c>
      <c r="DL205" s="506">
        <f>COUNTIFS('MEP | Drawing List'!$G:$G,"MEP-VC3-2",'MEP | Drawing List'!$K:$K,1)</f>
        <v>0</v>
      </c>
      <c r="DM205" s="514">
        <f>COUNTIFS('MEP | Drawing List'!$G:$G,"MEP-VC3-2",'MEP | Drawing List'!L:L,1)</f>
        <v>0</v>
      </c>
      <c r="DN205" s="514">
        <f>COUNTIFS('MEP | Drawing List'!$G:$G,"MEP-VC3-2",'MEP | Drawing List'!M:M,1)</f>
        <v>0</v>
      </c>
      <c r="DO205" s="514">
        <f>COUNTIFS('MEP | Drawing List'!$G:$G,"MEP-VC3-2",'MEP | Drawing List'!N:N,1)</f>
        <v>0</v>
      </c>
      <c r="DP205" s="514">
        <f>COUNTIFS('MEP | Drawing List'!$G:$G,"MEP-VC3-2",'MEP | Drawing List'!O:O,1)</f>
        <v>0</v>
      </c>
      <c r="DQ205" s="501"/>
      <c r="DR205" s="506">
        <f>COUNTIFS('MEP | Drawing List'!$G:$G,"MEP-VC3-2",'MEP | Drawing List'!$P:$P,1)</f>
        <v>0</v>
      </c>
      <c r="DS205" s="514">
        <f>COUNTIFS('MEP | Drawing List'!$G:$G,"MEP-VC3-2",'MEP | Drawing List'!Q:Q,1)</f>
        <v>0</v>
      </c>
      <c r="DT205" s="514">
        <f>COUNTIFS('MEP | Drawing List'!$G:$G,"MEP-VC3-2",'MEP | Drawing List'!R:R,1)</f>
        <v>0</v>
      </c>
      <c r="DU205" s="514">
        <f>COUNTIFS('MEP | Drawing List'!$G:$G,"MEP-VC3-2",'MEP | Drawing List'!S:S,1)</f>
        <v>0</v>
      </c>
      <c r="DV205" s="514">
        <f>COUNTIFS('MEP | Drawing List'!$G:$G,"MEP-VC3-2",'MEP | Drawing List'!T:T,1)</f>
        <v>0</v>
      </c>
      <c r="DW205" s="508"/>
      <c r="DX205" s="508"/>
      <c r="DY205" s="511">
        <v>0</v>
      </c>
      <c r="DZ205" s="508"/>
      <c r="EA205" s="509">
        <v>0</v>
      </c>
      <c r="EB205" s="510">
        <f t="shared" si="1003"/>
        <v>0</v>
      </c>
      <c r="EC205" s="514">
        <f>IFERROR(IF(EP205=100%,EA205,0),0)</f>
        <v>0</v>
      </c>
      <c r="ED205" s="514">
        <f>IFERROR(IF(AND((EP205+EQ205)=100%,EP205&lt;1),EA205,0),0)</f>
        <v>0</v>
      </c>
      <c r="EE205" s="514">
        <f>IFERROR(IF(AND((EU205+EW205)=ET205,EC205=0),EA205,0),0)</f>
        <v>0</v>
      </c>
      <c r="EF205" s="514">
        <f>IFERROR(IF(AND((EU205+EW205+EX205)=ET205,EC205=0,EE205=0),EA205,0),0)</f>
        <v>0</v>
      </c>
      <c r="EG205" s="514">
        <f>IFERROR(IF(AND((EU205+EW205+EX205+EY205)=ET205,EC205=0,EE205=0,EF205=0),EA205,0),0)</f>
        <v>0</v>
      </c>
      <c r="EH205" s="514">
        <f>IFERROR(IF(AND((EU205+EW205+EX205+EY205+EZ205)=ET205,EC205=0,EE205=0,EF205=0,EG205=0),EA205,0),0)</f>
        <v>0</v>
      </c>
      <c r="EI205" s="501"/>
      <c r="EJ205" s="567">
        <f t="shared" si="1110"/>
        <v>0</v>
      </c>
      <c r="EK205" s="514">
        <f t="shared" si="1111"/>
        <v>0</v>
      </c>
      <c r="EL205" s="514">
        <f t="shared" si="1112"/>
        <v>0</v>
      </c>
      <c r="EM205" s="514">
        <f t="shared" si="1113"/>
        <v>0</v>
      </c>
      <c r="EN205" s="514">
        <f t="shared" si="1114"/>
        <v>0</v>
      </c>
      <c r="EO205" s="501"/>
      <c r="EP205" s="585">
        <f t="shared" si="1115"/>
        <v>0</v>
      </c>
      <c r="EQ205" s="585">
        <f t="shared" si="1116"/>
        <v>0</v>
      </c>
      <c r="ER205" s="585">
        <f t="shared" si="1117"/>
        <v>0</v>
      </c>
      <c r="ET205" s="514">
        <f>COUNTIF('LS | Drawing List'!$G:$G,"LS-V03-2")</f>
        <v>0</v>
      </c>
      <c r="EU205" s="506">
        <f>COUNTIFS('LS | Drawing List'!$G:$G,"LS-V03-2",'LS | Drawing List'!$I:$I,1)</f>
        <v>0</v>
      </c>
      <c r="EV205" s="506">
        <f>COUNTIFS('LS | Drawing List'!$G:$G,"LS-V03-2",'LS | Drawing List'!$K:$K,1)</f>
        <v>0</v>
      </c>
      <c r="EW205" s="514">
        <f>COUNTIFS('LS | Drawing List'!$G:$G,"LS-V03-2",'LS | Drawing List'!L:L,1)</f>
        <v>0</v>
      </c>
      <c r="EX205" s="514">
        <f>COUNTIFS('LS | Drawing List'!$G:$G,"LS-V03-2",'LS | Drawing List'!M:M,1)</f>
        <v>0</v>
      </c>
      <c r="EY205" s="514">
        <f>COUNTIFS('LS | Drawing List'!$G:$G,"LS-V03-2",'LS | Drawing List'!N:N,1)</f>
        <v>0</v>
      </c>
      <c r="EZ205" s="514">
        <f>COUNTIFS('LS | Drawing List'!$G:$G,"LS-V03-2",'LS | Drawing List'!O:O,1)</f>
        <v>0</v>
      </c>
      <c r="FA205" s="515"/>
      <c r="FB205" s="506">
        <f>COUNTIFS('LS | Drawing List'!$G:$G,"LS-V03-2",'LS | Drawing List'!$P:$P,1)</f>
        <v>0</v>
      </c>
      <c r="FC205" s="514">
        <f>COUNTIFS('LS | Drawing List'!$G:$G,"LS-V03-2",'LS | Drawing List'!Q:Q,1)</f>
        <v>0</v>
      </c>
      <c r="FD205" s="514">
        <f>COUNTIFS('LS | Drawing List'!$G:$G,"LS-V03-2",'LS | Drawing List'!R:R,1)</f>
        <v>0</v>
      </c>
      <c r="FE205" s="514">
        <f>COUNTIFS('LS | Drawing List'!$G:$G,"LS-V03-2",'LS | Drawing List'!S:S,1)</f>
        <v>0</v>
      </c>
      <c r="FF205" s="514">
        <f>COUNTIFS('LS | Drawing List'!$G:$G,"LS-V03-2",'LS | Drawing List'!T:T,1)</f>
        <v>0</v>
      </c>
      <c r="FI205" s="686">
        <v>1670144.9275362301</v>
      </c>
    </row>
    <row r="206" spans="2:165" ht="14.25" outlineLevel="2">
      <c r="B206" s="564" t="s">
        <v>184</v>
      </c>
      <c r="C206" s="565">
        <v>3</v>
      </c>
      <c r="D206" s="566" t="s">
        <v>156</v>
      </c>
      <c r="F206" s="500">
        <f t="shared" si="1090"/>
        <v>0.22083213981244676</v>
      </c>
      <c r="G206" s="500">
        <f t="shared" si="1091"/>
        <v>5.3817647058823546E-2</v>
      </c>
      <c r="H206" s="514">
        <f t="shared" si="1092"/>
        <v>0.16701449275362321</v>
      </c>
      <c r="I206" s="514">
        <f t="shared" si="1060"/>
        <v>0.16701449275362323</v>
      </c>
      <c r="J206" s="514">
        <f t="shared" si="1061"/>
        <v>0.16701449275362323</v>
      </c>
      <c r="K206" s="514">
        <f t="shared" si="1062"/>
        <v>0</v>
      </c>
      <c r="L206" s="514">
        <f t="shared" si="1063"/>
        <v>0</v>
      </c>
      <c r="M206" s="567">
        <f t="shared" si="1064"/>
        <v>0</v>
      </c>
      <c r="N206" s="568"/>
      <c r="O206" s="514">
        <f t="shared" si="1065"/>
        <v>0</v>
      </c>
      <c r="P206" s="514">
        <f t="shared" si="1066"/>
        <v>0</v>
      </c>
      <c r="Q206" s="514">
        <f t="shared" si="1067"/>
        <v>0</v>
      </c>
      <c r="R206" s="514">
        <f t="shared" si="1068"/>
        <v>0</v>
      </c>
      <c r="S206" s="514">
        <f t="shared" si="1069"/>
        <v>0</v>
      </c>
      <c r="U206" s="569">
        <v>0.2</v>
      </c>
      <c r="V206" s="503"/>
      <c r="W206" s="500">
        <f>$W$203/$U$203*U206</f>
        <v>0.16701449275362323</v>
      </c>
      <c r="X206" s="500">
        <f t="shared" si="1000"/>
        <v>0</v>
      </c>
      <c r="Y206" s="514">
        <f>IFERROR(IF(AL206=100%,W206,0),0)</f>
        <v>0</v>
      </c>
      <c r="Z206" s="514">
        <f>IFERROR(IF(AND((AL206+AM206)=100%,AL206&lt;1),W206,0),0)</f>
        <v>0.16701449275362323</v>
      </c>
      <c r="AA206" s="514">
        <f>IFERROR(IF(AND((AQ206+AS206)=AP206,Y206=0),W206,0),0)</f>
        <v>0.16701449275362323</v>
      </c>
      <c r="AB206" s="514">
        <f>IFERROR(IF(AND((AQ206+AS206+AT206)=AP206,Y206=0,AA206=0),W206,0),0)</f>
        <v>0</v>
      </c>
      <c r="AC206" s="514">
        <f>IFERROR(IF(AND((AQ206+AS206+AT206+AU206)=AP206,Y206=0,AA206=0,AB206=0),W206,0),0)</f>
        <v>0</v>
      </c>
      <c r="AD206" s="567">
        <f>IFERROR(IF(AND((AQ206+AS206+AT206+AU206+AV206)=AP206,Y206=0,AA206=0,AB206=0,AC206=0),W206,0),0)</f>
        <v>0</v>
      </c>
      <c r="AE206" s="568"/>
      <c r="AF206" s="514">
        <f>IFERROR(IF(AND((AL206+AN206)=100%,AL206&lt;1),W206,0),0)</f>
        <v>0</v>
      </c>
      <c r="AG206" s="514">
        <f>IFERROR(IF(AND((AQ206+AY206)=AP206,Y206=0),W206,0),0)</f>
        <v>0</v>
      </c>
      <c r="AH206" s="514">
        <f>IFERROR(IF(AND((AQ206+AY206+AZ206)=AP206,Y206=0,AG206=0),W206,0),0)</f>
        <v>0</v>
      </c>
      <c r="AI206" s="514">
        <f>IFERROR(IF(AND((AQ206+AY206+AZ206+BA206)=AP206,Y206=0,AG206=0,AH206=0),W206,0),0)</f>
        <v>0</v>
      </c>
      <c r="AJ206" s="514">
        <f>IFERROR(IF(AND((AQ206+AY206+AZ206+BA206+BB206)=AP206,Y206=0,AG206=0,AH206=0,AI206=0),W206,0),0)</f>
        <v>0</v>
      </c>
      <c r="AK206" s="501"/>
      <c r="AL206" s="570">
        <f>IFERROR(AQ206/AP206,0)</f>
        <v>0.85</v>
      </c>
      <c r="AM206" s="570">
        <f>IFERROR(AR206/AP206,0)</f>
        <v>0.15</v>
      </c>
      <c r="AN206" s="570">
        <f>IFERROR(AX206/AP206,0)</f>
        <v>0</v>
      </c>
      <c r="AO206" s="518"/>
      <c r="AP206" s="514">
        <f>COUNTIF('AR | Drawing List'!$G:$G,"AR-VC3-3")</f>
        <v>20</v>
      </c>
      <c r="AQ206" s="506">
        <f>COUNTIFS('AR | Drawing List'!$G:$G,"AR-VC3-3",'AR | Drawing List'!$I:$I,1)</f>
        <v>17</v>
      </c>
      <c r="AR206" s="506">
        <f t="shared" si="1075"/>
        <v>3</v>
      </c>
      <c r="AS206" s="506">
        <f>COUNTIFS('AR | Drawing List'!$G:$G,"AR-VC3-3",'AR | Drawing List'!M:M,1)</f>
        <v>3</v>
      </c>
      <c r="AT206" s="506">
        <f>COUNTIFS('AR | Drawing List'!$G:$G,"AR-VC3-3",'AR | Drawing List'!N:N,1)</f>
        <v>0</v>
      </c>
      <c r="AU206" s="506">
        <f>COUNTIFS('AR | Drawing List'!$G:$G,"AR-VC3-3",'AR | Drawing List'!O:O,1)</f>
        <v>0</v>
      </c>
      <c r="AV206" s="506">
        <f>COUNTIFS('AR | Drawing List'!$G:$G,"AR-VC3-3",'AR | Drawing List'!P:P,1)</f>
        <v>0</v>
      </c>
      <c r="AW206" s="466"/>
      <c r="AX206" s="506">
        <f t="shared" si="1093"/>
        <v>0</v>
      </c>
      <c r="AY206" s="506">
        <f>COUNTIFS('AR | Drawing List'!$G:$G,"AR-VC3-3",'AR | Drawing List'!R:R,1)</f>
        <v>0</v>
      </c>
      <c r="AZ206" s="506">
        <f>COUNTIFS('AR | Drawing List'!$G:$G,"AR-VC3-3",'AR | Drawing List'!S:S,1)</f>
        <v>0</v>
      </c>
      <c r="BA206" s="506">
        <f>COUNTIFS('AR | Drawing List'!$G:$G,"AR-VC3-3",'AR | Drawing List'!T:T,1)</f>
        <v>0</v>
      </c>
      <c r="BB206" s="506">
        <f>COUNTIFS('AR | Drawing List'!$G:$G,"AR-VC3-3",'AR | Drawing List'!U:U,1)</f>
        <v>0</v>
      </c>
      <c r="BC206" s="551"/>
      <c r="BD206" s="551"/>
      <c r="BE206" s="511"/>
      <c r="BF206" s="508"/>
      <c r="BG206" s="506">
        <f>$BG$203/$BE$203*BE206</f>
        <v>0</v>
      </c>
      <c r="BH206" s="510">
        <f t="shared" si="1001"/>
        <v>0</v>
      </c>
      <c r="BI206" s="514">
        <f>IFERROR(IF(BV206=100%,BG206,0),0)</f>
        <v>0</v>
      </c>
      <c r="BJ206" s="514">
        <f>IFERROR(IF(AND((BV206+BW206)=100%,BV206&lt;1),BG206,0),0)</f>
        <v>0</v>
      </c>
      <c r="BK206" s="514">
        <f>IFERROR(IF(AND((CA206+CC206)=BZ206,BI206=0),BG206,0),0)</f>
        <v>0</v>
      </c>
      <c r="BL206" s="514">
        <f>IFERROR(IF(AND((CA206+CC206+CD206)=BZ206,BI206=0,BK206=0),BG206,0),0)</f>
        <v>0</v>
      </c>
      <c r="BM206" s="514">
        <f>IFERROR(IF(AND((CA206+CC206+CD206+CE206)=BZ206,BI206=0,BK206=0,BL206=0),BG206,0),0)</f>
        <v>0</v>
      </c>
      <c r="BN206" s="514">
        <f>IFERROR(IF(AND((CA206+CC206+CD206+CE206+CF206)=BZ206,BI206=0,BK206=0,BL206=0,BM206=0),BG206,0),0)</f>
        <v>0</v>
      </c>
      <c r="BO206" s="501"/>
      <c r="BP206" s="514">
        <f>IFERROR(IF(AND((BV206+BX206)=100%,BV206&lt;1),BG206,0),0)</f>
        <v>0</v>
      </c>
      <c r="BQ206" s="514">
        <f>IFERROR(IF(AND((CA206+CI206)=BZ206,BI206=0),BG206,0),0)</f>
        <v>0</v>
      </c>
      <c r="BR206" s="514">
        <f>IFERROR(IF(AND((CA206+CI206+CJ206)=BZ206,BI206=0,BQ206=0),BG206,0),0)</f>
        <v>0</v>
      </c>
      <c r="BS206" s="514">
        <f>IFERROR(IF(AND((CA206+CI206+CJ206+CK206)=BZ206,BI206=0,BQ206=0,BR206=0),BG206,0),0)</f>
        <v>0</v>
      </c>
      <c r="BT206" s="514">
        <f>IFERROR(IF(AND((CA206+CI206+CJ206+CK206+CL206)=BZ206,BI206=0,BQ206=0,BR206=0,BS206=0),BG206,0),0)</f>
        <v>0</v>
      </c>
      <c r="BU206" s="501"/>
      <c r="BV206" s="571">
        <f t="shared" si="1094"/>
        <v>0</v>
      </c>
      <c r="BW206" s="571">
        <f t="shared" si="1095"/>
        <v>0</v>
      </c>
      <c r="BX206" s="571">
        <f t="shared" si="1096"/>
        <v>0</v>
      </c>
      <c r="BY206" s="518"/>
      <c r="BZ206" s="514">
        <f>COUNTIF('ST | Drawing List'!$G:$G,"ST-VC3-3")</f>
        <v>0</v>
      </c>
      <c r="CA206" s="506">
        <f>COUNTIFS('ST | Drawing List'!$G:$G,"ST-VC3-3",'ST | Drawing List'!$I:$I,1)</f>
        <v>0</v>
      </c>
      <c r="CB206" s="572">
        <f>COUNTIFS('ST | Drawing List'!$G:$G,"ST-VC3-3",'ST | Drawing List'!$K:$K,1)</f>
        <v>0</v>
      </c>
      <c r="CC206" s="506">
        <f>COUNTIFS('ST | Drawing List'!$G:$G,"ST-VC3-3",'ST | Drawing List'!L:L,1)</f>
        <v>0</v>
      </c>
      <c r="CD206" s="506">
        <f>COUNTIFS('ST | Drawing List'!$G:$G,"ST-VC3-3",'ST | Drawing List'!M:M,1)</f>
        <v>0</v>
      </c>
      <c r="CE206" s="506">
        <f>COUNTIFS('ST | Drawing List'!$G:$G,"ST-VC3-3",'ST | Drawing List'!N:N,1)</f>
        <v>0</v>
      </c>
      <c r="CF206" s="506">
        <f>COUNTIFS('ST | Drawing List'!$G:$G,"ST-VC3-3",'ST | Drawing List'!O:O,1)</f>
        <v>0</v>
      </c>
      <c r="CG206" s="471"/>
      <c r="CH206" s="572">
        <f>COUNTIFS('ST | Drawing List'!$G:$G,"ST-VC3-3",'ST | Drawing List'!$P:$P,1)</f>
        <v>0</v>
      </c>
      <c r="CI206" s="506">
        <f>COUNTIFS('ST | Drawing List'!$G:$G,"ST-VC3-3",'ST | Drawing List'!Q:Q,1)</f>
        <v>0</v>
      </c>
      <c r="CJ206" s="506">
        <f>COUNTIFS('ST | Drawing List'!$G:$G,"ST-VC3-3",'ST | Drawing List'!R:R,1)</f>
        <v>0</v>
      </c>
      <c r="CK206" s="506">
        <f>COUNTIFS('ST | Drawing List'!$G:$G,"ST-VC3-3",'ST | Drawing List'!S:S,1)</f>
        <v>0</v>
      </c>
      <c r="CL206" s="506">
        <f>COUNTIFS('ST | Drawing List'!$G:$G,"ST-VC3-3",'ST | Drawing List'!T:T,1)</f>
        <v>0</v>
      </c>
      <c r="CM206" s="508"/>
      <c r="CN206" s="508"/>
      <c r="CO206" s="511">
        <v>0.15</v>
      </c>
      <c r="CP206" s="508"/>
      <c r="CQ206" s="632">
        <f>$CQ$203/$CO$203*CO206</f>
        <v>3.0882352941176468E-3</v>
      </c>
      <c r="CR206" s="510">
        <f t="shared" si="1002"/>
        <v>3.0882352941176468E-3</v>
      </c>
      <c r="CS206" s="514">
        <f>IFERROR(IF(DF206=100%,CQ206,0),0)</f>
        <v>3.0882352941176468E-3</v>
      </c>
      <c r="CT206" s="514">
        <f t="shared" si="1097"/>
        <v>0</v>
      </c>
      <c r="CU206" s="514">
        <f t="shared" si="1098"/>
        <v>0</v>
      </c>
      <c r="CV206" s="514">
        <f t="shared" si="1099"/>
        <v>0</v>
      </c>
      <c r="CW206" s="514">
        <f t="shared" si="1100"/>
        <v>0</v>
      </c>
      <c r="CX206" s="514">
        <f t="shared" si="1101"/>
        <v>0</v>
      </c>
      <c r="CY206" s="501"/>
      <c r="CZ206" s="514">
        <f t="shared" si="1102"/>
        <v>0</v>
      </c>
      <c r="DA206" s="514">
        <f t="shared" si="1103"/>
        <v>0</v>
      </c>
      <c r="DB206" s="514">
        <f t="shared" si="1104"/>
        <v>0</v>
      </c>
      <c r="DC206" s="514">
        <f t="shared" si="1105"/>
        <v>0</v>
      </c>
      <c r="DD206" s="514">
        <f t="shared" si="1106"/>
        <v>0</v>
      </c>
      <c r="DE206" s="501"/>
      <c r="DF206" s="570">
        <f t="shared" si="1107"/>
        <v>1</v>
      </c>
      <c r="DG206" s="570">
        <f t="shared" si="1108"/>
        <v>0</v>
      </c>
      <c r="DH206" s="570">
        <f t="shared" si="1109"/>
        <v>0</v>
      </c>
      <c r="DI206" s="518"/>
      <c r="DJ206" s="514">
        <f>COUNTIF('MEP | Drawing List'!$G:$G,"MEP-VC3-3")</f>
        <v>3</v>
      </c>
      <c r="DK206" s="506">
        <f>COUNTIFS('MEP | Drawing List'!$G:$G,"MEP-VC3-3",'MEP | Drawing List'!$I:$I,1)</f>
        <v>3</v>
      </c>
      <c r="DL206" s="506">
        <f>COUNTIFS('MEP | Drawing List'!$G:$G,"MEP-VC3-3",'MEP | Drawing List'!$K:$K,1)</f>
        <v>0</v>
      </c>
      <c r="DM206" s="514">
        <f>COUNTIFS('MEP | Drawing List'!$G:$G,"MEP-VC3-3",'MEP | Drawing List'!L:L,1)</f>
        <v>0</v>
      </c>
      <c r="DN206" s="514">
        <f>COUNTIFS('MEP | Drawing List'!$G:$G,"MEP-VC3-3",'MEP | Drawing List'!M:M,1)</f>
        <v>0</v>
      </c>
      <c r="DO206" s="514">
        <f>COUNTIFS('MEP | Drawing List'!$G:$G,"MEP-VC3-3",'MEP | Drawing List'!N:N,1)</f>
        <v>0</v>
      </c>
      <c r="DP206" s="514">
        <f>COUNTIFS('MEP | Drawing List'!$G:$G,"MEP-VC3-3",'MEP | Drawing List'!O:O,1)</f>
        <v>0</v>
      </c>
      <c r="DQ206" s="501"/>
      <c r="DR206" s="506">
        <f>COUNTIFS('MEP | Drawing List'!$G:$G,"MEP-VC3-3",'MEP | Drawing List'!$P:$P,1)</f>
        <v>0</v>
      </c>
      <c r="DS206" s="514">
        <f>COUNTIFS('MEP | Drawing List'!$G:$G,"MEP-VC3-3",'MEP | Drawing List'!Q:Q,1)</f>
        <v>0</v>
      </c>
      <c r="DT206" s="514">
        <f>COUNTIFS('MEP | Drawing List'!$G:$G,"MEP-VC3-3",'MEP | Drawing List'!R:R,1)</f>
        <v>0</v>
      </c>
      <c r="DU206" s="514">
        <f>COUNTIFS('MEP | Drawing List'!$G:$G,"MEP-VC3-3",'MEP | Drawing List'!S:S,1)</f>
        <v>0</v>
      </c>
      <c r="DV206" s="514">
        <f>COUNTIFS('MEP | Drawing List'!$G:$G,"MEP-VC3-3",'MEP | Drawing List'!T:T,1)</f>
        <v>0</v>
      </c>
      <c r="DW206" s="508"/>
      <c r="DX206" s="508"/>
      <c r="DY206" s="511">
        <v>0.55000000000000004</v>
      </c>
      <c r="DZ206" s="508"/>
      <c r="EA206" s="506">
        <f>$EA$203/$DY$203*DY206</f>
        <v>5.0729411764705898E-2</v>
      </c>
      <c r="EB206" s="510">
        <f t="shared" si="1003"/>
        <v>5.0729411764705898E-2</v>
      </c>
      <c r="EC206" s="514">
        <f>IFERROR(IF(EP206=100%,EA206,0),0)</f>
        <v>5.0729411764705898E-2</v>
      </c>
      <c r="ED206" s="514">
        <f>IFERROR(IF(AND((EP206+EQ206)=100%,EP206&lt;1),EA206,0),0)</f>
        <v>0</v>
      </c>
      <c r="EE206" s="514">
        <f>IFERROR(IF(AND((EU206+EW206)=ET206,EC206=0),EA206,0),0)</f>
        <v>0</v>
      </c>
      <c r="EF206" s="514">
        <f>IFERROR(IF(AND((EU206+EW206+EX206)=ET206,EC206=0,EE206=0),EA206,0),0)</f>
        <v>0</v>
      </c>
      <c r="EG206" s="514">
        <f>IFERROR(IF(AND((EU206+EW206+EX206+EY206)=ET206,EC206=0,EE206=0,EF206=0),EA206,0),0)</f>
        <v>0</v>
      </c>
      <c r="EH206" s="514">
        <f>IFERROR(IF(AND((EU206+EW206+EX206+EY206+EZ206)=ET206,EC206=0,EE206=0,EF206=0,EG206=0),EA206,0),0)</f>
        <v>0</v>
      </c>
      <c r="EI206" s="501"/>
      <c r="EJ206" s="567">
        <f t="shared" si="1110"/>
        <v>0</v>
      </c>
      <c r="EK206" s="514">
        <f t="shared" si="1111"/>
        <v>0</v>
      </c>
      <c r="EL206" s="514">
        <f t="shared" si="1112"/>
        <v>0</v>
      </c>
      <c r="EM206" s="514">
        <f t="shared" si="1113"/>
        <v>0</v>
      </c>
      <c r="EN206" s="514">
        <f t="shared" si="1114"/>
        <v>0</v>
      </c>
      <c r="EO206" s="501"/>
      <c r="EP206" s="585">
        <f t="shared" si="1115"/>
        <v>1</v>
      </c>
      <c r="EQ206" s="585">
        <f t="shared" si="1116"/>
        <v>0</v>
      </c>
      <c r="ER206" s="585">
        <f t="shared" si="1117"/>
        <v>0</v>
      </c>
      <c r="ET206" s="514">
        <f>COUNTIF('LS | Drawing List'!$G:$G,"LS-V03-3")</f>
        <v>2</v>
      </c>
      <c r="EU206" s="506">
        <f>COUNTIFS('LS | Drawing List'!$G:$G,"LS-V03-3",'LS | Drawing List'!$I:$I,1)</f>
        <v>2</v>
      </c>
      <c r="EV206" s="506">
        <f>COUNTIFS('LS | Drawing List'!$G:$G,"LS-V03-3",'LS | Drawing List'!$K:$K,1)</f>
        <v>0</v>
      </c>
      <c r="EW206" s="514">
        <f>COUNTIFS('LS | Drawing List'!$G:$G,"LS-V03-3",'LS | Drawing List'!L:L,1)</f>
        <v>0</v>
      </c>
      <c r="EX206" s="514">
        <f>COUNTIFS('LS | Drawing List'!$G:$G,"LS-V03-3",'LS | Drawing List'!M:M,1)</f>
        <v>0</v>
      </c>
      <c r="EY206" s="514">
        <f>COUNTIFS('LS | Drawing List'!$G:$G,"LS-V03-3",'LS | Drawing List'!N:N,1)</f>
        <v>0</v>
      </c>
      <c r="EZ206" s="514">
        <f>COUNTIFS('LS | Drawing List'!$G:$G,"LS-V03-3",'LS | Drawing List'!O:O,1)</f>
        <v>0</v>
      </c>
      <c r="FA206" s="515"/>
      <c r="FB206" s="506">
        <f>COUNTIFS('LS | Drawing List'!$G:$G,"LS-V03-3",'LS | Drawing List'!$P:$P,1)</f>
        <v>0</v>
      </c>
      <c r="FC206" s="514">
        <f>COUNTIFS('LS | Drawing List'!$G:$G,"LS-V03-3",'LS | Drawing List'!Q:Q,1)</f>
        <v>0</v>
      </c>
      <c r="FD206" s="514">
        <f>COUNTIFS('LS | Drawing List'!$G:$G,"LS-V03-3",'LS | Drawing List'!R:R,1)</f>
        <v>0</v>
      </c>
      <c r="FE206" s="514">
        <f>COUNTIFS('LS | Drawing List'!$G:$G,"LS-V03-3",'LS | Drawing List'!S:S,1)</f>
        <v>0</v>
      </c>
      <c r="FF206" s="514">
        <f>COUNTIFS('LS | Drawing List'!$G:$G,"LS-V03-3",'LS | Drawing List'!T:T,1)</f>
        <v>0</v>
      </c>
    </row>
    <row r="207" spans="2:165" ht="3" customHeight="1" outlineLevel="1">
      <c r="C207" s="631"/>
      <c r="D207" s="566"/>
      <c r="F207" s="499"/>
      <c r="G207" s="500"/>
      <c r="H207" s="615"/>
      <c r="I207" s="615"/>
      <c r="J207" s="615"/>
      <c r="K207" s="615"/>
      <c r="L207" s="615"/>
      <c r="M207" s="615"/>
      <c r="N207" s="615"/>
      <c r="O207" s="615"/>
      <c r="P207" s="615"/>
      <c r="Q207" s="615"/>
      <c r="R207" s="615"/>
      <c r="S207" s="615"/>
      <c r="U207" s="569"/>
      <c r="V207" s="503"/>
      <c r="W207" s="499"/>
      <c r="X207" s="500">
        <f t="shared" si="1000"/>
        <v>0</v>
      </c>
      <c r="Y207" s="615"/>
      <c r="Z207" s="615"/>
      <c r="AA207" s="615"/>
      <c r="AB207" s="615"/>
      <c r="AC207" s="615"/>
      <c r="AD207" s="615"/>
      <c r="AE207" s="615"/>
      <c r="AF207" s="615"/>
      <c r="AG207" s="615"/>
      <c r="AH207" s="615"/>
      <c r="AI207" s="615"/>
      <c r="AJ207" s="615"/>
      <c r="AK207" s="615"/>
      <c r="AL207" s="513"/>
      <c r="AM207" s="513"/>
      <c r="AN207" s="513"/>
      <c r="AO207" s="518"/>
      <c r="AP207" s="551"/>
      <c r="AQ207" s="551"/>
      <c r="AR207" s="551"/>
      <c r="AS207" s="551"/>
      <c r="AT207" s="551"/>
      <c r="AU207" s="551"/>
      <c r="AV207" s="551"/>
      <c r="AW207" s="551"/>
      <c r="AX207" s="551"/>
      <c r="AY207" s="551"/>
      <c r="AZ207" s="551"/>
      <c r="BA207" s="551"/>
      <c r="BB207" s="551"/>
      <c r="BC207" s="551"/>
      <c r="BD207" s="551"/>
      <c r="BE207" s="511"/>
      <c r="BF207" s="508"/>
      <c r="BG207" s="509"/>
      <c r="BH207" s="510">
        <f t="shared" si="1001"/>
        <v>0</v>
      </c>
      <c r="BI207" s="615"/>
      <c r="BJ207" s="615"/>
      <c r="BK207" s="615"/>
      <c r="BL207" s="615"/>
      <c r="BM207" s="615"/>
      <c r="BN207" s="615"/>
      <c r="BO207" s="615"/>
      <c r="BP207" s="615"/>
      <c r="BQ207" s="615"/>
      <c r="BR207" s="615"/>
      <c r="BS207" s="615"/>
      <c r="BT207" s="615"/>
      <c r="BU207" s="615"/>
      <c r="BV207" s="511"/>
      <c r="BW207" s="511"/>
      <c r="BX207" s="511"/>
      <c r="BY207" s="518"/>
      <c r="BZ207" s="552"/>
      <c r="CA207" s="552"/>
      <c r="CB207" s="608"/>
      <c r="CC207" s="552"/>
      <c r="CD207" s="552"/>
      <c r="CE207" s="552"/>
      <c r="CF207" s="552"/>
      <c r="CG207" s="552"/>
      <c r="CH207" s="608"/>
      <c r="CI207" s="552"/>
      <c r="CJ207" s="552"/>
      <c r="CK207" s="552"/>
      <c r="CL207" s="552"/>
      <c r="CM207" s="508"/>
      <c r="CN207" s="508"/>
      <c r="CO207" s="511"/>
      <c r="CP207" s="508"/>
      <c r="CQ207" s="509"/>
      <c r="CR207" s="510">
        <f t="shared" si="1002"/>
        <v>0</v>
      </c>
      <c r="CS207" s="615"/>
      <c r="CT207" s="615"/>
      <c r="CU207" s="615"/>
      <c r="CV207" s="615"/>
      <c r="CW207" s="615"/>
      <c r="CX207" s="615"/>
      <c r="CY207" s="615"/>
      <c r="CZ207" s="615"/>
      <c r="DA207" s="615"/>
      <c r="DB207" s="615"/>
      <c r="DC207" s="615"/>
      <c r="DD207" s="615"/>
      <c r="DE207" s="615"/>
      <c r="DF207" s="513"/>
      <c r="DG207" s="513"/>
      <c r="DH207" s="513"/>
      <c r="DI207" s="518"/>
      <c r="DJ207" s="551"/>
      <c r="DK207" s="551"/>
      <c r="DL207" s="551"/>
      <c r="DM207" s="615"/>
      <c r="DN207" s="615"/>
      <c r="DO207" s="615"/>
      <c r="DP207" s="615"/>
      <c r="DQ207" s="615"/>
      <c r="DR207" s="551"/>
      <c r="DS207" s="615"/>
      <c r="DT207" s="615"/>
      <c r="DU207" s="615"/>
      <c r="DV207" s="615"/>
      <c r="DW207" s="508"/>
      <c r="DX207" s="508"/>
      <c r="DY207" s="511"/>
      <c r="DZ207" s="508"/>
      <c r="EA207" s="509"/>
      <c r="EB207" s="510">
        <f t="shared" si="1003"/>
        <v>0</v>
      </c>
      <c r="EC207" s="577"/>
      <c r="ED207" s="577"/>
      <c r="EE207" s="577"/>
      <c r="EF207" s="577"/>
      <c r="EG207" s="577"/>
      <c r="EH207" s="577"/>
      <c r="EI207" s="577"/>
      <c r="EJ207" s="577"/>
      <c r="EK207" s="577"/>
      <c r="EL207" s="577"/>
      <c r="EM207" s="577"/>
      <c r="EN207" s="577"/>
      <c r="EO207" s="577"/>
      <c r="EP207" s="52"/>
      <c r="EQ207" s="52"/>
      <c r="ER207" s="52"/>
      <c r="EW207" s="577"/>
      <c r="EX207" s="577"/>
      <c r="EY207" s="577"/>
      <c r="EZ207" s="577"/>
      <c r="FA207" s="577"/>
      <c r="FC207" s="577"/>
      <c r="FD207" s="577"/>
      <c r="FE207" s="577"/>
      <c r="FF207" s="577"/>
    </row>
    <row r="208" spans="2:165" ht="14.25" outlineLevel="1">
      <c r="B208" s="477"/>
      <c r="C208" s="559">
        <v>14</v>
      </c>
      <c r="D208" s="560" t="s">
        <v>185</v>
      </c>
      <c r="E208" s="479"/>
      <c r="F208" s="480">
        <f>W208+BG208+CQ208+EA208</f>
        <v>13.435389623856771</v>
      </c>
      <c r="G208" s="480">
        <f>X208+BH208+CR208+EB208</f>
        <v>12.25331462385677</v>
      </c>
      <c r="H208" s="481">
        <f>F208-G208</f>
        <v>1.1820750000000011</v>
      </c>
      <c r="I208" s="480">
        <f t="shared" ref="I208:I218" si="1118">Z208+BJ208+CT208+ED208</f>
        <v>4.888386371940677</v>
      </c>
      <c r="J208" s="480">
        <f t="shared" ref="J208:J218" si="1119">AA208+BK208+CU208+EE208</f>
        <v>4.888386371940677</v>
      </c>
      <c r="K208" s="480">
        <f t="shared" ref="K208:K218" si="1120">AB208+BL208+CV208+EF208</f>
        <v>0</v>
      </c>
      <c r="L208" s="480">
        <f t="shared" ref="L208:L218" si="1121">AC208+BM208+CW208+EG208</f>
        <v>0</v>
      </c>
      <c r="M208" s="480">
        <f t="shared" ref="M208:M218" si="1122">AD208+BN208+CX208+EH208</f>
        <v>0</v>
      </c>
      <c r="N208" s="482"/>
      <c r="O208" s="480">
        <f t="shared" ref="O208:O218" si="1123">AF208+BP208+CZ208+EJ208</f>
        <v>3.7063113719406768</v>
      </c>
      <c r="P208" s="480">
        <f t="shared" ref="P208:P218" si="1124">AG208+BQ208+DA208+EK208</f>
        <v>3.5462249999999997</v>
      </c>
      <c r="Q208" s="480">
        <f t="shared" ref="Q208:Q218" si="1125">AH208+BR208+DB208+EL208</f>
        <v>0.16008637194067718</v>
      </c>
      <c r="R208" s="480">
        <f t="shared" ref="R208:R218" si="1126">AI208+BS208+DC208+EM208</f>
        <v>0</v>
      </c>
      <c r="S208" s="480">
        <f t="shared" ref="S208:S218" si="1127">AJ208+BT208+DD208+EN208</f>
        <v>0</v>
      </c>
      <c r="T208" s="479"/>
      <c r="U208" s="483">
        <v>0.5</v>
      </c>
      <c r="V208" s="483"/>
      <c r="W208" s="480">
        <f>U208*(5%*'BOQ COST'!E17)*1</f>
        <v>11.82075</v>
      </c>
      <c r="X208" s="480">
        <f t="shared" si="1000"/>
        <v>10.638674999999999</v>
      </c>
      <c r="Y208" s="481">
        <f>SUM(Y209:Y218)</f>
        <v>7.0924500000000004</v>
      </c>
      <c r="Z208" s="481">
        <f t="shared" ref="Z208:AD208" si="1128">SUM(Z209:Z218)</f>
        <v>4.7282999999999999</v>
      </c>
      <c r="AA208" s="481">
        <f t="shared" si="1128"/>
        <v>4.7282999999999999</v>
      </c>
      <c r="AB208" s="481">
        <f t="shared" si="1128"/>
        <v>0</v>
      </c>
      <c r="AC208" s="481">
        <f t="shared" si="1128"/>
        <v>0</v>
      </c>
      <c r="AD208" s="481">
        <f t="shared" si="1128"/>
        <v>0</v>
      </c>
      <c r="AE208" s="482"/>
      <c r="AF208" s="481">
        <f t="shared" ref="AF208:AJ208" si="1129">SUM(AF209:AF218)</f>
        <v>3.5462249999999997</v>
      </c>
      <c r="AG208" s="481">
        <f t="shared" si="1129"/>
        <v>3.5462249999999997</v>
      </c>
      <c r="AH208" s="481">
        <f t="shared" si="1129"/>
        <v>0</v>
      </c>
      <c r="AI208" s="481">
        <f t="shared" si="1129"/>
        <v>0</v>
      </c>
      <c r="AJ208" s="481">
        <f t="shared" si="1129"/>
        <v>0</v>
      </c>
      <c r="AK208" s="482"/>
      <c r="AL208" s="492"/>
      <c r="AM208" s="492"/>
      <c r="AN208" s="492"/>
      <c r="AO208" s="481">
        <f t="shared" ref="AO208" si="1130">SUM(AO209:AO213)</f>
        <v>0</v>
      </c>
      <c r="AP208" s="481">
        <f t="shared" ref="AP208" si="1131">SUM(AP209:AP218)</f>
        <v>2342</v>
      </c>
      <c r="AQ208" s="481">
        <f t="shared" ref="AQ208" si="1132">SUM(AQ209:AQ218)</f>
        <v>1542</v>
      </c>
      <c r="AR208" s="481">
        <f t="shared" ref="AR208" si="1133">SUM(AR209:AR218)</f>
        <v>800</v>
      </c>
      <c r="AS208" s="481">
        <f t="shared" ref="AS208" si="1134">SUM(AS209:AS218)</f>
        <v>800</v>
      </c>
      <c r="AT208" s="481">
        <f t="shared" ref="AT208" si="1135">SUM(AT209:AT218)</f>
        <v>0</v>
      </c>
      <c r="AU208" s="481">
        <f t="shared" ref="AU208" si="1136">SUM(AU209:AU218)</f>
        <v>0</v>
      </c>
      <c r="AV208" s="481">
        <f t="shared" ref="AV208" si="1137">SUM(AV209:AV218)</f>
        <v>0</v>
      </c>
      <c r="AW208" s="481">
        <f t="shared" ref="AW208" si="1138">SUM(AW209:AW218)</f>
        <v>0</v>
      </c>
      <c r="AX208" s="481">
        <f t="shared" ref="AX208" si="1139">SUM(AX209:AX218)</f>
        <v>733</v>
      </c>
      <c r="AY208" s="481">
        <f t="shared" ref="AY208" si="1140">SUM(AY209:AY218)</f>
        <v>733</v>
      </c>
      <c r="AZ208" s="481">
        <f t="shared" ref="AZ208" si="1141">SUM(AZ209:AZ218)</f>
        <v>0</v>
      </c>
      <c r="BA208" s="481">
        <f t="shared" ref="BA208" si="1142">SUM(BA209:BA218)</f>
        <v>0</v>
      </c>
      <c r="BB208" s="481">
        <f t="shared" ref="BB208" si="1143">SUM(BB209:BB218)</f>
        <v>0</v>
      </c>
      <c r="BC208" s="487"/>
      <c r="BD208" s="487"/>
      <c r="BE208" s="483">
        <f>SUM(BE209:BE213)</f>
        <v>0</v>
      </c>
      <c r="BF208" s="483"/>
      <c r="BG208" s="633">
        <v>0</v>
      </c>
      <c r="BH208" s="480">
        <f t="shared" si="1001"/>
        <v>0</v>
      </c>
      <c r="BI208" s="481">
        <f>SUM(BI209:BI218)</f>
        <v>0</v>
      </c>
      <c r="BJ208" s="481">
        <f t="shared" ref="BJ208" si="1144">SUM(BJ209:BJ218)</f>
        <v>0</v>
      </c>
      <c r="BK208" s="481">
        <f t="shared" ref="BK208" si="1145">SUM(BK209:BK218)</f>
        <v>0</v>
      </c>
      <c r="BL208" s="481">
        <f t="shared" ref="BL208" si="1146">SUM(BL209:BL218)</f>
        <v>0</v>
      </c>
      <c r="BM208" s="481">
        <f t="shared" ref="BM208" si="1147">SUM(BM209:BM218)</f>
        <v>0</v>
      </c>
      <c r="BN208" s="481">
        <f t="shared" ref="BN208" si="1148">SUM(BN209:BN218)</f>
        <v>0</v>
      </c>
      <c r="BO208" s="482"/>
      <c r="BP208" s="481">
        <f t="shared" ref="BP208" si="1149">SUM(BP209:BP218)</f>
        <v>0</v>
      </c>
      <c r="BQ208" s="481">
        <f t="shared" ref="BQ208" si="1150">SUM(BQ209:BQ218)</f>
        <v>0</v>
      </c>
      <c r="BR208" s="481">
        <f t="shared" ref="BR208" si="1151">SUM(BR209:BR218)</f>
        <v>0</v>
      </c>
      <c r="BS208" s="481">
        <f t="shared" ref="BS208" si="1152">SUM(BS209:BS218)</f>
        <v>0</v>
      </c>
      <c r="BT208" s="481">
        <f t="shared" ref="BT208" si="1153">SUM(BT209:BT218)</f>
        <v>0</v>
      </c>
      <c r="BU208" s="482"/>
      <c r="BV208" s="492"/>
      <c r="BW208" s="492"/>
      <c r="BX208" s="492"/>
      <c r="BY208" s="481">
        <f t="shared" ref="BY208" si="1154">SUM(BY209:BY213)</f>
        <v>0</v>
      </c>
      <c r="BZ208" s="481">
        <f t="shared" ref="BZ208" si="1155">SUM(BZ209:BZ218)</f>
        <v>0</v>
      </c>
      <c r="CA208" s="481">
        <f t="shared" ref="CA208" si="1156">SUM(CA209:CA218)</f>
        <v>0</v>
      </c>
      <c r="CB208" s="481">
        <f t="shared" ref="CB208" si="1157">SUM(CB209:CB218)</f>
        <v>0</v>
      </c>
      <c r="CC208" s="481">
        <f t="shared" ref="CC208" si="1158">SUM(CC209:CC218)</f>
        <v>0</v>
      </c>
      <c r="CD208" s="481">
        <f t="shared" ref="CD208" si="1159">SUM(CD209:CD218)</f>
        <v>0</v>
      </c>
      <c r="CE208" s="481">
        <f t="shared" ref="CE208" si="1160">SUM(CE209:CE218)</f>
        <v>0</v>
      </c>
      <c r="CF208" s="481">
        <f t="shared" ref="CF208" si="1161">SUM(CF209:CF218)</f>
        <v>0</v>
      </c>
      <c r="CG208" s="490"/>
      <c r="CH208" s="481">
        <f t="shared" ref="CH208:CL208" si="1162">SUM(CH209:CH213)</f>
        <v>0</v>
      </c>
      <c r="CI208" s="481">
        <f t="shared" si="1162"/>
        <v>0</v>
      </c>
      <c r="CJ208" s="481">
        <f t="shared" si="1162"/>
        <v>0</v>
      </c>
      <c r="CK208" s="481">
        <f t="shared" si="1162"/>
        <v>0</v>
      </c>
      <c r="CL208" s="481">
        <f t="shared" si="1162"/>
        <v>0</v>
      </c>
      <c r="CM208" s="483"/>
      <c r="CN208" s="483"/>
      <c r="CO208" s="483">
        <f>SUM(CO209:CP218)</f>
        <v>0.64999999999999991</v>
      </c>
      <c r="CP208" s="483"/>
      <c r="CQ208" s="480">
        <f>CO208*(2%*'BOQ COST'!$G$17)*1</f>
        <v>1.6008637194067716</v>
      </c>
      <c r="CR208" s="480">
        <f t="shared" si="1002"/>
        <v>1.6008637194067716</v>
      </c>
      <c r="CS208" s="481">
        <f>SUM(CS209:CS218)</f>
        <v>1.4407773474660945</v>
      </c>
      <c r="CT208" s="481">
        <f t="shared" ref="CT208" si="1163">SUM(CT209:CT218)</f>
        <v>0.16008637194067718</v>
      </c>
      <c r="CU208" s="481">
        <f t="shared" ref="CU208" si="1164">SUM(CU209:CU218)</f>
        <v>0.16008637194067718</v>
      </c>
      <c r="CV208" s="481">
        <f t="shared" ref="CV208" si="1165">SUM(CV209:CV218)</f>
        <v>0</v>
      </c>
      <c r="CW208" s="481">
        <f t="shared" ref="CW208" si="1166">SUM(CW209:CW218)</f>
        <v>0</v>
      </c>
      <c r="CX208" s="481">
        <f t="shared" ref="CX208" si="1167">SUM(CX209:CX218)</f>
        <v>0</v>
      </c>
      <c r="CY208" s="482"/>
      <c r="CZ208" s="481">
        <f t="shared" ref="CZ208" si="1168">SUM(CZ209:CZ218)</f>
        <v>0.16008637194067718</v>
      </c>
      <c r="DA208" s="481">
        <f t="shared" ref="DA208" si="1169">SUM(DA209:DA218)</f>
        <v>0</v>
      </c>
      <c r="DB208" s="481">
        <f t="shared" ref="DB208" si="1170">SUM(DB209:DB218)</f>
        <v>0.16008637194067718</v>
      </c>
      <c r="DC208" s="481">
        <f t="shared" ref="DC208" si="1171">SUM(DC209:DC218)</f>
        <v>0</v>
      </c>
      <c r="DD208" s="481">
        <f t="shared" ref="DD208" si="1172">SUM(DD209:DD218)</f>
        <v>0</v>
      </c>
      <c r="DE208" s="482"/>
      <c r="DF208" s="492"/>
      <c r="DG208" s="492"/>
      <c r="DH208" s="492"/>
      <c r="DI208" s="481">
        <f t="shared" ref="DI208" si="1173">SUM(DI209:DI213)</f>
        <v>0</v>
      </c>
      <c r="DJ208" s="481">
        <f t="shared" ref="DJ208" si="1174">SUM(DJ209:DJ218)</f>
        <v>288</v>
      </c>
      <c r="DK208" s="481">
        <f t="shared" ref="DK208" si="1175">SUM(DK209:DK218)</f>
        <v>260</v>
      </c>
      <c r="DL208" s="481">
        <f t="shared" ref="DL208" si="1176">SUM(DL209:DL218)</f>
        <v>28</v>
      </c>
      <c r="DM208" s="481">
        <f t="shared" ref="DM208" si="1177">SUM(DM209:DM218)</f>
        <v>28</v>
      </c>
      <c r="DN208" s="481">
        <f t="shared" ref="DN208" si="1178">SUM(DN209:DN218)</f>
        <v>0</v>
      </c>
      <c r="DO208" s="481">
        <f t="shared" ref="DO208" si="1179">SUM(DO209:DO218)</f>
        <v>0</v>
      </c>
      <c r="DP208" s="481">
        <f t="shared" ref="DP208" si="1180">SUM(DP209:DP218)</f>
        <v>0</v>
      </c>
      <c r="DQ208" s="634">
        <f t="shared" ref="DQ208:DV208" si="1181">SUM(DQ209:DQ218)</f>
        <v>0</v>
      </c>
      <c r="DR208" s="481">
        <f t="shared" si="1181"/>
        <v>28</v>
      </c>
      <c r="DS208" s="481">
        <f t="shared" si="1181"/>
        <v>19</v>
      </c>
      <c r="DT208" s="481">
        <f t="shared" si="1181"/>
        <v>9</v>
      </c>
      <c r="DU208" s="481">
        <f t="shared" si="1181"/>
        <v>0</v>
      </c>
      <c r="DV208" s="481">
        <f t="shared" si="1181"/>
        <v>0</v>
      </c>
      <c r="DW208" s="483"/>
      <c r="DX208" s="483"/>
      <c r="DY208" s="635">
        <f>SUM(DY209:DY218)</f>
        <v>0.55000000000000004</v>
      </c>
      <c r="DZ208" s="483"/>
      <c r="EA208" s="481">
        <f>(DY208*(7%*'BOQ COST'!$H$17)*1)</f>
        <v>1.3775904450000003E-2</v>
      </c>
      <c r="EB208" s="480">
        <f t="shared" si="1003"/>
        <v>1.3775904450000003E-2</v>
      </c>
      <c r="EC208" s="481">
        <f>SUM(EC209:EC218)</f>
        <v>1.3775904450000003E-2</v>
      </c>
      <c r="ED208" s="481">
        <f t="shared" ref="ED208" si="1182">SUM(ED209:ED218)</f>
        <v>0</v>
      </c>
      <c r="EE208" s="481">
        <f t="shared" ref="EE208" si="1183">SUM(EE209:EE218)</f>
        <v>0</v>
      </c>
      <c r="EF208" s="481">
        <f t="shared" ref="EF208" si="1184">SUM(EF209:EF218)</f>
        <v>0</v>
      </c>
      <c r="EG208" s="481">
        <f t="shared" ref="EG208" si="1185">SUM(EG209:EG218)</f>
        <v>0</v>
      </c>
      <c r="EH208" s="481">
        <f t="shared" ref="EH208" si="1186">SUM(EH209:EH218)</f>
        <v>0</v>
      </c>
      <c r="EI208" s="482"/>
      <c r="EJ208" s="481">
        <f t="shared" ref="EJ208" si="1187">SUM(EJ209:EJ218)</f>
        <v>0</v>
      </c>
      <c r="EK208" s="481">
        <f t="shared" ref="EK208" si="1188">SUM(EK209:EK218)</f>
        <v>0</v>
      </c>
      <c r="EL208" s="481">
        <f t="shared" ref="EL208" si="1189">SUM(EL209:EL218)</f>
        <v>0</v>
      </c>
      <c r="EM208" s="481">
        <f t="shared" ref="EM208" si="1190">SUM(EM209:EM218)</f>
        <v>0</v>
      </c>
      <c r="EN208" s="481">
        <f t="shared" ref="EN208" si="1191">SUM(EN209:EN218)</f>
        <v>0</v>
      </c>
      <c r="EO208" s="482"/>
      <c r="EP208" s="492"/>
      <c r="EQ208" s="492"/>
      <c r="ER208" s="492"/>
      <c r="ES208" s="481">
        <f t="shared" ref="ES208" si="1192">SUM(ES209:ES213)</f>
        <v>0</v>
      </c>
      <c r="ET208" s="481">
        <f t="shared" ref="ET208" si="1193">SUM(ET209:ET218)</f>
        <v>104</v>
      </c>
      <c r="EU208" s="481">
        <f t="shared" ref="EU208" si="1194">SUM(EU209:EU218)</f>
        <v>104</v>
      </c>
      <c r="EV208" s="481">
        <f t="shared" ref="EV208" si="1195">SUM(EV209:EV218)</f>
        <v>0</v>
      </c>
      <c r="EW208" s="481">
        <f t="shared" ref="EW208" si="1196">SUM(EW209:EW218)</f>
        <v>0</v>
      </c>
      <c r="EX208" s="481">
        <f t="shared" ref="EX208" si="1197">SUM(EX209:EX218)</f>
        <v>0</v>
      </c>
      <c r="EY208" s="481">
        <f t="shared" ref="EY208" si="1198">SUM(EY209:EY218)</f>
        <v>0</v>
      </c>
      <c r="EZ208" s="481">
        <f t="shared" ref="EZ208" si="1199">SUM(EZ209:EZ218)</f>
        <v>0</v>
      </c>
      <c r="FA208" s="562"/>
      <c r="FB208" s="536">
        <f t="shared" ref="FB208:FF208" si="1200">SUM(FB209:FB213)</f>
        <v>0</v>
      </c>
      <c r="FC208" s="536">
        <f t="shared" si="1200"/>
        <v>0</v>
      </c>
      <c r="FD208" s="536">
        <f t="shared" si="1200"/>
        <v>0</v>
      </c>
      <c r="FE208" s="536">
        <f t="shared" si="1200"/>
        <v>0</v>
      </c>
      <c r="FF208" s="536">
        <f t="shared" si="1200"/>
        <v>0</v>
      </c>
    </row>
    <row r="209" spans="2:162" ht="14.25" outlineLevel="2">
      <c r="B209" s="564" t="s">
        <v>186</v>
      </c>
      <c r="C209" s="565">
        <v>1</v>
      </c>
      <c r="D209" s="580" t="s">
        <v>187</v>
      </c>
      <c r="F209" s="500">
        <f t="shared" ref="F209:F218" si="1201">W209+BG209+CQ209+EA209</f>
        <v>1.343538962385677</v>
      </c>
      <c r="G209" s="500">
        <f t="shared" ref="G209:G218" si="1202">X209+BH209+CR209+EB209</f>
        <v>1.343538962385677</v>
      </c>
      <c r="H209" s="514">
        <f t="shared" ref="H209:H218" si="1203">F209-G209</f>
        <v>0</v>
      </c>
      <c r="I209" s="514">
        <f t="shared" si="1118"/>
        <v>0</v>
      </c>
      <c r="J209" s="514">
        <f t="shared" si="1119"/>
        <v>0</v>
      </c>
      <c r="K209" s="514">
        <f t="shared" si="1120"/>
        <v>0</v>
      </c>
      <c r="L209" s="514">
        <f t="shared" si="1121"/>
        <v>0</v>
      </c>
      <c r="M209" s="567">
        <f t="shared" si="1122"/>
        <v>0</v>
      </c>
      <c r="N209" s="568"/>
      <c r="O209" s="514">
        <f t="shared" si="1123"/>
        <v>0</v>
      </c>
      <c r="P209" s="514">
        <f t="shared" si="1124"/>
        <v>0</v>
      </c>
      <c r="Q209" s="514">
        <f t="shared" si="1125"/>
        <v>0</v>
      </c>
      <c r="R209" s="514">
        <f t="shared" si="1126"/>
        <v>0</v>
      </c>
      <c r="S209" s="514">
        <f t="shared" si="1127"/>
        <v>0</v>
      </c>
      <c r="U209" s="571">
        <f>0.5/10</f>
        <v>0.05</v>
      </c>
      <c r="V209" s="503"/>
      <c r="W209" s="500">
        <f t="shared" ref="W209:W215" si="1204">$W$208/$U$208*U209</f>
        <v>1.182075</v>
      </c>
      <c r="X209" s="500">
        <f t="shared" si="1000"/>
        <v>1.182075</v>
      </c>
      <c r="Y209" s="514">
        <f t="shared" ref="Y209:Y215" si="1205">IFERROR(IF(AL209=100%,W209,0),0)</f>
        <v>1.182075</v>
      </c>
      <c r="Z209" s="514">
        <f t="shared" ref="Z209:Z215" si="1206">IFERROR(IF(AND((AL209+AM209)=100%,AL209&lt;1),W209,0),0)</f>
        <v>0</v>
      </c>
      <c r="AA209" s="514">
        <f t="shared" ref="AA209:AA215" si="1207">IFERROR(IF(AND((AQ209+AS209)=AP209,Y209=0),W209,0),0)</f>
        <v>0</v>
      </c>
      <c r="AB209" s="514">
        <f t="shared" ref="AB209:AB215" si="1208">IFERROR(IF(AND((AQ209+AS209+AT209)=AP209,Y209=0,AA209=0),W209,0),0)</f>
        <v>0</v>
      </c>
      <c r="AC209" s="514">
        <f t="shared" ref="AC209:AC215" si="1209">IFERROR(IF(AND((AQ209+AS209+AT209+AU209)=AP209,Y209=0,AA209=0,AB209=0),W209,0),0)</f>
        <v>0</v>
      </c>
      <c r="AD209" s="567">
        <f t="shared" ref="AD209:AD215" si="1210">IFERROR(IF(AND((AQ209+AS209+AT209+AU209+AV209)=AP209,Y209=0,AA209=0,AB209=0,AC209=0),W209,0),0)</f>
        <v>0</v>
      </c>
      <c r="AE209" s="568"/>
      <c r="AF209" s="514">
        <f t="shared" ref="AF209:AF215" si="1211">IFERROR(IF(AND((AL209+AN209)=100%,AL209&lt;1),W209,0),0)</f>
        <v>0</v>
      </c>
      <c r="AG209" s="514">
        <f t="shared" ref="AG209:AG215" si="1212">IFERROR(IF(AND((AQ209+AY209)=AP209,Y209=0),W209,0),0)</f>
        <v>0</v>
      </c>
      <c r="AH209" s="514">
        <f t="shared" ref="AH209:AH215" si="1213">IFERROR(IF(AND((AQ209+AY209+AZ209)=AP209,Y209=0,AG209=0),W209,0),0)</f>
        <v>0</v>
      </c>
      <c r="AI209" s="514">
        <f t="shared" ref="AI209:AI215" si="1214">IFERROR(IF(AND((AQ209+AY209+AZ209+BA209)=AP209,Y209=0,AG209=0,AH209=0),W209,0),0)</f>
        <v>0</v>
      </c>
      <c r="AJ209" s="514">
        <f t="shared" ref="AJ209:AJ215" si="1215">IFERROR(IF(AND((AQ209+AY209+AZ209+BA209+BB209)=AP209,Y209=0,AG209=0,AH209=0,AI209=0),W209,0),0)</f>
        <v>0</v>
      </c>
      <c r="AK209" s="501"/>
      <c r="AL209" s="570">
        <f t="shared" ref="AL209:AL215" si="1216">IFERROR(AQ209/AP209,0)</f>
        <v>1</v>
      </c>
      <c r="AM209" s="570">
        <f t="shared" ref="AM209:AM215" si="1217">IFERROR(AR209/AP209,0)</f>
        <v>0</v>
      </c>
      <c r="AN209" s="570">
        <f t="shared" ref="AN209:AN215" si="1218">IFERROR(AX209/AP209,0)</f>
        <v>0</v>
      </c>
      <c r="AO209" s="518"/>
      <c r="AP209" s="514">
        <f>COUNTIF('AR | Drawing List'!$G:$G,"AR-C20-1")</f>
        <v>47</v>
      </c>
      <c r="AQ209" s="506">
        <f>COUNTIFS('AR | Drawing List'!$G:$G,"AR-C20-1",'AR | Drawing List'!$I:$I,1)</f>
        <v>47</v>
      </c>
      <c r="AR209" s="506">
        <f t="shared" si="1075"/>
        <v>0</v>
      </c>
      <c r="AS209" s="506">
        <f>COUNTIFS('AR | Drawing List'!$G:$G,"AR-C20-1",'AR | Drawing List'!M:M,1)</f>
        <v>0</v>
      </c>
      <c r="AT209" s="506">
        <f>COUNTIFS('AR | Drawing List'!$G:$G,"AR-C20-1",'AR | Drawing List'!N:N,1)</f>
        <v>0</v>
      </c>
      <c r="AU209" s="506">
        <f>COUNTIFS('AR | Drawing List'!$G:$G,"AR-C20-1",'AR | Drawing List'!O:O,1)</f>
        <v>0</v>
      </c>
      <c r="AV209" s="506">
        <f>COUNTIFS('AR | Drawing List'!$G:$G,"AR-C20-1",'AR | Drawing List'!P:P,1)</f>
        <v>0</v>
      </c>
      <c r="AW209" s="466"/>
      <c r="AX209" s="506">
        <f t="shared" si="1093"/>
        <v>0</v>
      </c>
      <c r="AY209" s="506">
        <f>COUNTIFS('AR | Drawing List'!$G:$G,"AR-C20-1",'AR | Drawing List'!R:R,1)</f>
        <v>0</v>
      </c>
      <c r="AZ209" s="506">
        <f>COUNTIFS('AR | Drawing List'!$G:$G,"AR-C20-1",'AR | Drawing List'!S:S,1)</f>
        <v>0</v>
      </c>
      <c r="BA209" s="506">
        <f>COUNTIFS('AR | Drawing List'!$G:$G,"AR-C20-1",'AR | Drawing List'!T:T,1)</f>
        <v>0</v>
      </c>
      <c r="BB209" s="506">
        <f>COUNTIFS('AR | Drawing List'!$G:$G,"AR-C20-1",'AR | Drawing List'!U:U,1)</f>
        <v>0</v>
      </c>
      <c r="BC209" s="551"/>
      <c r="BD209" s="551"/>
      <c r="BE209" s="511">
        <v>0</v>
      </c>
      <c r="BF209" s="508"/>
      <c r="BG209" s="509"/>
      <c r="BH209" s="510">
        <f t="shared" si="1001"/>
        <v>0</v>
      </c>
      <c r="BI209" s="615"/>
      <c r="BJ209" s="615"/>
      <c r="BK209" s="514">
        <f t="shared" ref="BK209:BK215" si="1219">IFERROR(IF(AND((CA209+CC209)=BZ209,BI209=0),BG209,0),0)</f>
        <v>0</v>
      </c>
      <c r="BL209" s="514">
        <f t="shared" ref="BL209:BL215" si="1220">IFERROR(IF(AND((CA209+CC209+CD209)=BZ209,BI209=0,BK209=0),BG209,0),0)</f>
        <v>0</v>
      </c>
      <c r="BM209" s="514">
        <f t="shared" ref="BM209:BM215" si="1221">IFERROR(IF(AND((CA209+CC209+CD209+CE209)=BZ209,BI209=0,BK209=0,BL209=0),BG209,0),0)</f>
        <v>0</v>
      </c>
      <c r="BN209" s="514">
        <f t="shared" ref="BN209:BN215" si="1222">IFERROR(IF(AND((CA209+CC209+CD209+CE209+CF209)=BZ209,BI209=0,BK209=0,BL209=0,BM209=0),BG209,0),0)</f>
        <v>0</v>
      </c>
      <c r="BO209" s="501"/>
      <c r="BP209" s="514">
        <f t="shared" ref="BP209:BP215" si="1223">IFERROR(IF(AND((BV209+BX209)=100%,BV209&lt;1),BG209,0),0)</f>
        <v>0</v>
      </c>
      <c r="BQ209" s="514">
        <f t="shared" ref="BQ209:BQ215" si="1224">IFERROR(IF(AND((CA209+CI209)=BZ209,BI209=0),BG209,0),0)</f>
        <v>0</v>
      </c>
      <c r="BR209" s="514">
        <f t="shared" ref="BR209:BR215" si="1225">IFERROR(IF(AND((CA209+CI209+CJ209)=BZ209,BI209=0,BQ209=0),BG209,0),0)</f>
        <v>0</v>
      </c>
      <c r="BS209" s="514">
        <f t="shared" ref="BS209:BS215" si="1226">IFERROR(IF(AND((CA209+CI209+CJ209+CK209)=BZ209,BI209=0,BQ209=0,BR209=0),BG209,0),0)</f>
        <v>0</v>
      </c>
      <c r="BT209" s="514">
        <f t="shared" ref="BT209:BT215" si="1227">IFERROR(IF(AND((CA209+CI209+CJ209+CK209+CL209)=BZ209,BI209=0,BQ209=0,BR209=0,BS209=0),BG209,0),0)</f>
        <v>0</v>
      </c>
      <c r="BU209" s="501"/>
      <c r="BV209" s="571">
        <f t="shared" ref="BV209:BV213" si="1228">IFERROR(CA209/BZ209,0)</f>
        <v>0</v>
      </c>
      <c r="BW209" s="571">
        <f t="shared" ref="BW209:BW213" si="1229">IFERROR(CB209/BZ209,0)</f>
        <v>0</v>
      </c>
      <c r="BX209" s="571">
        <f t="shared" ref="BX209:BX213" si="1230">IFERROR(CH209/BZ209,0)</f>
        <v>0</v>
      </c>
      <c r="BY209" s="518"/>
      <c r="BZ209" s="552"/>
      <c r="CA209" s="552"/>
      <c r="CB209" s="608"/>
      <c r="CC209" s="506">
        <f>COUNTIFS('ST | Drawing List'!$G:$G,"ST-T01-1",'ST | Drawing List'!L:L,1)</f>
        <v>0</v>
      </c>
      <c r="CD209" s="506">
        <f>COUNTIFS('ST | Drawing List'!$G:$G,"ST-T01-1",'ST | Drawing List'!M:M,1)</f>
        <v>0</v>
      </c>
      <c r="CE209" s="506">
        <f>COUNTIFS('ST | Drawing List'!$G:$G,"ST-T01-1",'ST | Drawing List'!N:N,1)</f>
        <v>0</v>
      </c>
      <c r="CF209" s="506">
        <f>COUNTIFS('ST | Drawing List'!$G:$G,"ST-T01-1",'ST | Drawing List'!O:O,1)</f>
        <v>0</v>
      </c>
      <c r="CG209" s="471"/>
      <c r="CH209" s="608"/>
      <c r="CI209" s="506">
        <f>COUNTIFS('ST | Drawing List'!$G:$G,"ST-T01-1",'ST | Drawing List'!Q:Q,1)</f>
        <v>0</v>
      </c>
      <c r="CJ209" s="506">
        <f>COUNTIFS('ST | Drawing List'!$G:$G,"ST-T01-1",'ST | Drawing List'!R:R,1)</f>
        <v>0</v>
      </c>
      <c r="CK209" s="506">
        <f>COUNTIFS('ST | Drawing List'!$G:$G,"ST-T01-1",'ST | Drawing List'!S:S,1)</f>
        <v>0</v>
      </c>
      <c r="CL209" s="506">
        <f>COUNTIFS('ST | Drawing List'!$G:$G,"ST-T01-1",'ST | Drawing List'!T:T,1)</f>
        <v>0</v>
      </c>
      <c r="CM209" s="508"/>
      <c r="CN209" s="508"/>
      <c r="CO209" s="571">
        <f>0.65/10</f>
        <v>6.5000000000000002E-2</v>
      </c>
      <c r="CP209" s="508"/>
      <c r="CQ209" s="506">
        <f t="shared" ref="CQ209:CQ215" si="1231">$CQ$208/$CO$208*CO209</f>
        <v>0.16008637194067718</v>
      </c>
      <c r="CR209" s="510">
        <f t="shared" si="1002"/>
        <v>0.16008637194067718</v>
      </c>
      <c r="CS209" s="514">
        <f t="shared" ref="CS209:CS215" si="1232">IFERROR(IF(DF209=100%,CQ209,0),0)</f>
        <v>0.16008637194067718</v>
      </c>
      <c r="CT209" s="514">
        <f t="shared" ref="CT209:CT213" si="1233">IFERROR(IF(AND((DF209+DG209)=100%,DF209&lt;1),CQ209,0),0)</f>
        <v>0</v>
      </c>
      <c r="CU209" s="514">
        <f t="shared" ref="CU209:CU213" si="1234">IFERROR(IF(AND((DK209+DM209)=DJ209,CS209=0),CQ209,0),0)</f>
        <v>0</v>
      </c>
      <c r="CV209" s="514">
        <f t="shared" ref="CV209:CV213" si="1235">IFERROR(IF(AND((DK209+DM209+DN209)=DJ209,CS209=0,CU209=0),CQ209,0),0)</f>
        <v>0</v>
      </c>
      <c r="CW209" s="514">
        <f t="shared" ref="CW209:CW213" si="1236">IFERROR(IF(AND((DK209+DM209+DN209+DO209)=DJ209,CS209=0,CU209=0,CV209=0),CQ209,0),0)</f>
        <v>0</v>
      </c>
      <c r="CX209" s="514">
        <f t="shared" ref="CX209:CX213" si="1237">IFERROR(IF(AND((DK209+DM209+DN209+DO209+DP209)=DJ209,CS209=0,CU209=0,CV209=0,CW209=0),CQ209,0),0)</f>
        <v>0</v>
      </c>
      <c r="CY209" s="501"/>
      <c r="CZ209" s="514">
        <f t="shared" ref="CZ209:CZ213" si="1238">IFERROR(IF(AND((DF209+DH209)=100%,DF209&lt;1),CQ209,0),0)</f>
        <v>0</v>
      </c>
      <c r="DA209" s="514">
        <f t="shared" ref="DA209:DA213" si="1239">IFERROR(IF(AND((DK209+DS209)=DJ209,CS209=0),CQ209,0),0)</f>
        <v>0</v>
      </c>
      <c r="DB209" s="514">
        <f t="shared" ref="DB209:DB213" si="1240">IFERROR(IF(AND((DK209+DS209+DT209)=DJ209,CS209=0,DA209=0),CQ209,0),0)</f>
        <v>0</v>
      </c>
      <c r="DC209" s="514">
        <f t="shared" ref="DC209:DC213" si="1241">IFERROR(IF(AND((DK209+DS209+DT209+DU209)=DJ209,CS209=0,DA209=0,DB209=0),CQ209,0),0)</f>
        <v>0</v>
      </c>
      <c r="DD209" s="514">
        <f t="shared" ref="DD209:DD213" si="1242">IFERROR(IF(AND((DK209+DS209+DT209+DU209+DV209)=DJ209,CS209=0,DA209=0,DB209=0,DC209=0),CQ209,0),0)</f>
        <v>0</v>
      </c>
      <c r="DE209" s="501"/>
      <c r="DF209" s="570">
        <f t="shared" ref="DF209:DF213" si="1243">IFERROR(DK209/DJ209,0)</f>
        <v>1</v>
      </c>
      <c r="DG209" s="570">
        <f t="shared" ref="DG209:DG213" si="1244">IFERROR(DL209/DJ209,0)</f>
        <v>0</v>
      </c>
      <c r="DH209" s="570">
        <f t="shared" ref="DH209:DH213" si="1245">IFERROR(DR209/DJ209,0)</f>
        <v>0</v>
      </c>
      <c r="DI209" s="518"/>
      <c r="DJ209" s="514">
        <f>COUNTIF('MEP | Drawing List'!$G:$G,"MEP-C20-1")</f>
        <v>24</v>
      </c>
      <c r="DK209" s="506">
        <f>COUNTIFS('MEP | Drawing List'!$G:$G,"MEP-C20-1",'MEP | Drawing List'!$I:$I,1)</f>
        <v>24</v>
      </c>
      <c r="DL209" s="506">
        <f>COUNTIFS('MEP | Drawing List'!$G:$G,"MEP-C20-1",'MEP | Drawing List'!$K:$K,1)</f>
        <v>0</v>
      </c>
      <c r="DM209" s="514">
        <f>COUNTIFS('MEP | Drawing List'!$G:$G,"MEP-C20-1",'MEP | Drawing List'!L:L,1)</f>
        <v>0</v>
      </c>
      <c r="DN209" s="514">
        <f>COUNTIFS('MEP | Drawing List'!$G:$G,"MEP-C20-1",'MEP | Drawing List'!M:M,1)</f>
        <v>0</v>
      </c>
      <c r="DO209" s="514">
        <f>COUNTIFS('MEP | Drawing List'!$G:$G,"MEP-C20-1",'MEP | Drawing List'!N:N,1)</f>
        <v>0</v>
      </c>
      <c r="DP209" s="514">
        <f>COUNTIFS('MEP | Drawing List'!$G:$G,"MEP-C20-1",'MEP | Drawing List'!O:O,1)</f>
        <v>0</v>
      </c>
      <c r="DQ209" s="501"/>
      <c r="DR209" s="506">
        <f>COUNTIFS('MEP | Drawing List'!$G:$G,"MEP-C20-1",'MEP | Drawing List'!$P:$P,1)</f>
        <v>0</v>
      </c>
      <c r="DS209" s="514">
        <f>COUNTIFS('MEP | Drawing List'!$G:$G,"MEP-C20-1",'MEP | Drawing List'!Q:Q,1)</f>
        <v>0</v>
      </c>
      <c r="DT209" s="514">
        <f>COUNTIFS('MEP | Drawing List'!$G:$G,"MEP-C20-1",'MEP | Drawing List'!R:R,1)</f>
        <v>0</v>
      </c>
      <c r="DU209" s="514">
        <f>COUNTIFS('MEP | Drawing List'!$G:$G,"MEP-C20-1",'MEP | Drawing List'!S:S,1)</f>
        <v>0</v>
      </c>
      <c r="DV209" s="514">
        <f>COUNTIFS('MEP | Drawing List'!$G:$G,"MEP-C20-1",'MEP | Drawing List'!T:T,1)</f>
        <v>0</v>
      </c>
      <c r="DW209" s="508"/>
      <c r="DX209" s="508"/>
      <c r="DY209" s="571">
        <f>0.55/10</f>
        <v>5.5000000000000007E-2</v>
      </c>
      <c r="DZ209" s="508"/>
      <c r="EA209" s="506">
        <f t="shared" ref="EA209:EA215" si="1246">$EA$208/$DY$208*DY209</f>
        <v>1.3775904450000003E-3</v>
      </c>
      <c r="EB209" s="510">
        <f t="shared" si="1003"/>
        <v>1.3775904450000003E-3</v>
      </c>
      <c r="EC209" s="514">
        <f t="shared" ref="EC209:EC215" si="1247">IFERROR(IF(EP209=100%,EA209,0),0)</f>
        <v>1.3775904450000003E-3</v>
      </c>
      <c r="ED209" s="514">
        <f t="shared" ref="ED209:ED215" si="1248">IFERROR(IF(AND((EP209+EQ209)=100%,EP209&lt;1),EA209,0),0)</f>
        <v>0</v>
      </c>
      <c r="EE209" s="514">
        <f t="shared" ref="EE209:EE215" si="1249">IFERROR(IF(AND((EU209+EW209)=ET209,EC209=0),EA209,0),0)</f>
        <v>0</v>
      </c>
      <c r="EF209" s="514">
        <f t="shared" ref="EF209:EF215" si="1250">IFERROR(IF(AND((EU209+EW209+EX209)=ET209,EC209=0,EE209=0),EA209,0),0)</f>
        <v>0</v>
      </c>
      <c r="EG209" s="514">
        <f t="shared" ref="EG209:EG215" si="1251">IFERROR(IF(AND((EU209+EW209+EX209+EY209)=ET209,EC209=0,EE209=0,EF209=0),EA209,0),0)</f>
        <v>0</v>
      </c>
      <c r="EH209" s="514">
        <f t="shared" ref="EH209:EH215" si="1252">IFERROR(IF(AND((EU209+EW209+EX209+EY209+EZ209)=ET209,EC209=0,EE209=0,EF209=0,EG209=0),EA209,0),0)</f>
        <v>0</v>
      </c>
      <c r="EI209" s="501"/>
      <c r="EJ209" s="567">
        <f t="shared" ref="EJ209:EJ213" si="1253">IFERROR(IF(AND((EP209+ER209)=100%,EP209&lt;1),EA209,0),0)</f>
        <v>0</v>
      </c>
      <c r="EK209" s="514">
        <f t="shared" ref="EK209:EK213" si="1254">IFERROR(IF(AND((EU209+FC209)=ET209,EC209=0),EA209,0),0)</f>
        <v>0</v>
      </c>
      <c r="EL209" s="514">
        <f t="shared" ref="EL209:EL213" si="1255">IFERROR(IF(AND((EU209+FC209+FD209)=ET209,EC209=0,EK209=0),EA209,0),0)</f>
        <v>0</v>
      </c>
      <c r="EM209" s="514">
        <f t="shared" ref="EM209:EM213" si="1256">IFERROR(IF(AND((EU209+FC209+FD209+FE209)=ET209,EC209=0,EK209=0,EL209=0),EA209,0),0)</f>
        <v>0</v>
      </c>
      <c r="EN209" s="514">
        <f t="shared" ref="EN209:EN213" si="1257">IFERROR(IF(AND((EU209+FC209+FD209+FE209+FF209)=ET209,EC209=0,EK209=0,EL209=0,EM209=0),EA209,0),0)</f>
        <v>0</v>
      </c>
      <c r="EO209" s="501"/>
      <c r="EP209" s="585">
        <f t="shared" ref="EP209:EP213" si="1258">IFERROR(EU209/ET209,0)</f>
        <v>1</v>
      </c>
      <c r="EQ209" s="585">
        <f t="shared" ref="EQ209:EQ213" si="1259">IFERROR(EV209/ET209,0)</f>
        <v>0</v>
      </c>
      <c r="ER209" s="585">
        <f t="shared" ref="ER209:ER213" si="1260">IFERROR(FB209/ET209,0)</f>
        <v>0</v>
      </c>
      <c r="ET209" s="514">
        <f>COUNTIF('LS | Drawing List'!$G:$G,"LS-C20-1")</f>
        <v>8</v>
      </c>
      <c r="EU209" s="506">
        <f>COUNTIFS('LS | Drawing List'!$G:$G,"LS-C20-1",'LS | Drawing List'!$I:$I,1)</f>
        <v>8</v>
      </c>
      <c r="EV209" s="506">
        <f>COUNTIFS('LS | Drawing List'!$G:$G,"LS-C20-1",'LS | Drawing List'!$K:$K,1)</f>
        <v>0</v>
      </c>
      <c r="EW209" s="514">
        <f>COUNTIFS('LS | Drawing List'!$G:$G,"LS-C20-1",'LS | Drawing List'!L:L,1)</f>
        <v>0</v>
      </c>
      <c r="EX209" s="514">
        <f>COUNTIFS('LS | Drawing List'!$G:$G,"LS-C20-1",'LS | Drawing List'!M:M,1)</f>
        <v>0</v>
      </c>
      <c r="EY209" s="514">
        <f>COUNTIFS('LS | Drawing List'!$G:$G,"LS-C20-1",'LS | Drawing List'!N:N,1)</f>
        <v>0</v>
      </c>
      <c r="EZ209" s="514">
        <f>COUNTIFS('LS | Drawing List'!$G:$G,"LS-C20-1",'LS | Drawing List'!O:O,1)</f>
        <v>0</v>
      </c>
      <c r="FA209" s="515"/>
      <c r="FB209" s="506">
        <f>COUNTIFS('LS | Drawing List'!$G:$G,"LS-C20-1",'LS | Drawing List'!$P:$P,1)</f>
        <v>0</v>
      </c>
      <c r="FC209" s="514">
        <f>COUNTIFS('LS | Drawing List'!$G:$G,"LS-C20-1",'LS | Drawing List'!Q:Q,1)</f>
        <v>0</v>
      </c>
      <c r="FD209" s="514">
        <f>COUNTIFS('LS | Drawing List'!$G:$G,"LS-C20-1",'LS | Drawing List'!R:R,1)</f>
        <v>0</v>
      </c>
      <c r="FE209" s="514">
        <f>COUNTIFS('LS | Drawing List'!$G:$G,"LS-C20-1",'LS | Drawing List'!S:S,1)</f>
        <v>0</v>
      </c>
      <c r="FF209" s="514">
        <f>COUNTIFS('LS | Drawing List'!$G:$G,"LS-C20-1",'LS | Drawing List'!T:T,1)</f>
        <v>0</v>
      </c>
    </row>
    <row r="210" spans="2:162" ht="14.25" outlineLevel="2">
      <c r="B210" s="564" t="s">
        <v>188</v>
      </c>
      <c r="C210" s="565">
        <v>2</v>
      </c>
      <c r="D210" s="580" t="s">
        <v>189</v>
      </c>
      <c r="F210" s="500">
        <f t="shared" si="1201"/>
        <v>1.343538962385677</v>
      </c>
      <c r="G210" s="500">
        <f t="shared" si="1202"/>
        <v>1.343538962385677</v>
      </c>
      <c r="H210" s="514">
        <f t="shared" si="1203"/>
        <v>0</v>
      </c>
      <c r="I210" s="514">
        <f t="shared" si="1118"/>
        <v>0</v>
      </c>
      <c r="J210" s="514">
        <f t="shared" si="1119"/>
        <v>0</v>
      </c>
      <c r="K210" s="514">
        <f t="shared" si="1120"/>
        <v>0</v>
      </c>
      <c r="L210" s="514">
        <f t="shared" si="1121"/>
        <v>0</v>
      </c>
      <c r="M210" s="567">
        <f t="shared" si="1122"/>
        <v>0</v>
      </c>
      <c r="N210" s="568"/>
      <c r="O210" s="514">
        <f t="shared" si="1123"/>
        <v>0</v>
      </c>
      <c r="P210" s="514">
        <f t="shared" si="1124"/>
        <v>0</v>
      </c>
      <c r="Q210" s="514">
        <f t="shared" si="1125"/>
        <v>0</v>
      </c>
      <c r="R210" s="514">
        <f t="shared" si="1126"/>
        <v>0</v>
      </c>
      <c r="S210" s="514">
        <f t="shared" si="1127"/>
        <v>0</v>
      </c>
      <c r="U210" s="571">
        <f t="shared" ref="U210:U218" si="1261">0.5/10</f>
        <v>0.05</v>
      </c>
      <c r="V210" s="503"/>
      <c r="W210" s="500">
        <f t="shared" si="1204"/>
        <v>1.182075</v>
      </c>
      <c r="X210" s="500">
        <f t="shared" si="1000"/>
        <v>1.182075</v>
      </c>
      <c r="Y210" s="514">
        <f t="shared" si="1205"/>
        <v>1.182075</v>
      </c>
      <c r="Z210" s="514">
        <f t="shared" si="1206"/>
        <v>0</v>
      </c>
      <c r="AA210" s="514">
        <f t="shared" si="1207"/>
        <v>0</v>
      </c>
      <c r="AB210" s="514">
        <f t="shared" si="1208"/>
        <v>0</v>
      </c>
      <c r="AC210" s="514">
        <f t="shared" si="1209"/>
        <v>0</v>
      </c>
      <c r="AD210" s="567">
        <f t="shared" si="1210"/>
        <v>0</v>
      </c>
      <c r="AE210" s="568"/>
      <c r="AF210" s="514">
        <f t="shared" si="1211"/>
        <v>0</v>
      </c>
      <c r="AG210" s="514">
        <f t="shared" si="1212"/>
        <v>0</v>
      </c>
      <c r="AH210" s="514">
        <f t="shared" si="1213"/>
        <v>0</v>
      </c>
      <c r="AI210" s="514">
        <f t="shared" si="1214"/>
        <v>0</v>
      </c>
      <c r="AJ210" s="514">
        <f t="shared" si="1215"/>
        <v>0</v>
      </c>
      <c r="AK210" s="501"/>
      <c r="AL210" s="570">
        <f t="shared" si="1216"/>
        <v>1</v>
      </c>
      <c r="AM210" s="570">
        <f t="shared" si="1217"/>
        <v>0</v>
      </c>
      <c r="AN210" s="570">
        <f t="shared" si="1218"/>
        <v>0</v>
      </c>
      <c r="AO210" s="518"/>
      <c r="AP210" s="514">
        <f>COUNTIF('AR | Drawing List'!$G:$G,"AR-L30-1")</f>
        <v>194</v>
      </c>
      <c r="AQ210" s="506">
        <f>COUNTIFS('AR | Drawing List'!$G:$G,"AR-L30-1",'AR | Drawing List'!$I:$I,1)</f>
        <v>194</v>
      </c>
      <c r="AR210" s="506">
        <f t="shared" si="1075"/>
        <v>0</v>
      </c>
      <c r="AS210" s="506">
        <f>COUNTIFS('AR | Drawing List'!$G:$G,"AR-L30-1",'AR | Drawing List'!M:M,1)</f>
        <v>0</v>
      </c>
      <c r="AT210" s="506">
        <f>COUNTIFS('AR | Drawing List'!$G:$G,"AR-L30-1",'AR | Drawing List'!N:N,1)</f>
        <v>0</v>
      </c>
      <c r="AU210" s="506">
        <f>COUNTIFS('AR | Drawing List'!$G:$G,"AR-L30-1",'AR | Drawing List'!O:O,1)</f>
        <v>0</v>
      </c>
      <c r="AV210" s="506">
        <f>COUNTIFS('AR | Drawing List'!$G:$G,"AR-L30-1",'AR | Drawing List'!P:P,1)</f>
        <v>0</v>
      </c>
      <c r="AW210" s="466"/>
      <c r="AX210" s="506">
        <f t="shared" si="1093"/>
        <v>0</v>
      </c>
      <c r="AY210" s="506">
        <f>COUNTIFS('AR | Drawing List'!$G:$G,"AR-L30-1",'AR | Drawing List'!R:R,1)</f>
        <v>0</v>
      </c>
      <c r="AZ210" s="506">
        <f>COUNTIFS('AR | Drawing List'!$G:$G,"AR-L30-1",'AR | Drawing List'!S:S,1)</f>
        <v>0</v>
      </c>
      <c r="BA210" s="506">
        <f>COUNTIFS('AR | Drawing List'!$G:$G,"AR-L30-1",'AR | Drawing List'!T:T,1)</f>
        <v>0</v>
      </c>
      <c r="BB210" s="506">
        <f>COUNTIFS('AR | Drawing List'!$G:$G,"AR-L30-1",'AR | Drawing List'!U:U,1)</f>
        <v>0</v>
      </c>
      <c r="BC210" s="551"/>
      <c r="BD210" s="551"/>
      <c r="BE210" s="511">
        <v>0</v>
      </c>
      <c r="BF210" s="508"/>
      <c r="BG210" s="509"/>
      <c r="BH210" s="510">
        <f t="shared" si="1001"/>
        <v>0</v>
      </c>
      <c r="BI210" s="615"/>
      <c r="BJ210" s="615"/>
      <c r="BK210" s="514">
        <f t="shared" si="1219"/>
        <v>0</v>
      </c>
      <c r="BL210" s="514">
        <f t="shared" si="1220"/>
        <v>0</v>
      </c>
      <c r="BM210" s="514">
        <f t="shared" si="1221"/>
        <v>0</v>
      </c>
      <c r="BN210" s="514">
        <f t="shared" si="1222"/>
        <v>0</v>
      </c>
      <c r="BO210" s="501"/>
      <c r="BP210" s="514">
        <f t="shared" si="1223"/>
        <v>0</v>
      </c>
      <c r="BQ210" s="514">
        <f t="shared" si="1224"/>
        <v>0</v>
      </c>
      <c r="BR210" s="514">
        <f t="shared" si="1225"/>
        <v>0</v>
      </c>
      <c r="BS210" s="514">
        <f t="shared" si="1226"/>
        <v>0</v>
      </c>
      <c r="BT210" s="514">
        <f t="shared" si="1227"/>
        <v>0</v>
      </c>
      <c r="BU210" s="501"/>
      <c r="BV210" s="571">
        <f t="shared" si="1228"/>
        <v>0</v>
      </c>
      <c r="BW210" s="571">
        <f t="shared" si="1229"/>
        <v>0</v>
      </c>
      <c r="BX210" s="571">
        <f t="shared" si="1230"/>
        <v>0</v>
      </c>
      <c r="BY210" s="518"/>
      <c r="BZ210" s="552"/>
      <c r="CA210" s="552"/>
      <c r="CB210" s="608"/>
      <c r="CC210" s="506">
        <f>COUNTIFS('ST | Drawing List'!$G:$G,"ST-T01-2",'ST | Drawing List'!L:L,1)</f>
        <v>0</v>
      </c>
      <c r="CD210" s="506">
        <f>COUNTIFS('ST | Drawing List'!$G:$G,"ST-T01-2",'ST | Drawing List'!M:M,1)</f>
        <v>0</v>
      </c>
      <c r="CE210" s="506">
        <f>COUNTIFS('ST | Drawing List'!$G:$G,"ST-T01-2",'ST | Drawing List'!N:N,1)</f>
        <v>0</v>
      </c>
      <c r="CF210" s="506">
        <f>COUNTIFS('ST | Drawing List'!$G:$G,"ST-T01-2",'ST | Drawing List'!O:O,1)</f>
        <v>0</v>
      </c>
      <c r="CG210" s="471"/>
      <c r="CH210" s="608"/>
      <c r="CI210" s="506">
        <f>COUNTIFS('ST | Drawing List'!$G:$G,"ST-T01-2",'ST | Drawing List'!Q:Q,1)</f>
        <v>0</v>
      </c>
      <c r="CJ210" s="506">
        <f>COUNTIFS('ST | Drawing List'!$G:$G,"ST-T01-2",'ST | Drawing List'!R:R,1)</f>
        <v>0</v>
      </c>
      <c r="CK210" s="506">
        <f>COUNTIFS('ST | Drawing List'!$G:$G,"ST-T01-2",'ST | Drawing List'!S:S,1)</f>
        <v>0</v>
      </c>
      <c r="CL210" s="506">
        <f>COUNTIFS('ST | Drawing List'!$G:$G,"ST-T01-2",'ST | Drawing List'!T:T,1)</f>
        <v>0</v>
      </c>
      <c r="CM210" s="508"/>
      <c r="CN210" s="508"/>
      <c r="CO210" s="571">
        <f t="shared" ref="CO210:CO218" si="1262">0.65/10</f>
        <v>6.5000000000000002E-2</v>
      </c>
      <c r="CP210" s="508"/>
      <c r="CQ210" s="506">
        <f t="shared" si="1231"/>
        <v>0.16008637194067718</v>
      </c>
      <c r="CR210" s="510">
        <f t="shared" si="1002"/>
        <v>0.16008637194067718</v>
      </c>
      <c r="CS210" s="514">
        <f t="shared" si="1232"/>
        <v>0.16008637194067718</v>
      </c>
      <c r="CT210" s="514">
        <f t="shared" si="1233"/>
        <v>0</v>
      </c>
      <c r="CU210" s="514">
        <f t="shared" si="1234"/>
        <v>0</v>
      </c>
      <c r="CV210" s="514">
        <f t="shared" si="1235"/>
        <v>0</v>
      </c>
      <c r="CW210" s="514">
        <f t="shared" si="1236"/>
        <v>0</v>
      </c>
      <c r="CX210" s="514">
        <f t="shared" si="1237"/>
        <v>0</v>
      </c>
      <c r="CY210" s="501"/>
      <c r="CZ210" s="514">
        <f t="shared" si="1238"/>
        <v>0</v>
      </c>
      <c r="DA210" s="514">
        <f t="shared" si="1239"/>
        <v>0</v>
      </c>
      <c r="DB210" s="514">
        <f t="shared" si="1240"/>
        <v>0</v>
      </c>
      <c r="DC210" s="514">
        <f t="shared" si="1241"/>
        <v>0</v>
      </c>
      <c r="DD210" s="514">
        <f t="shared" si="1242"/>
        <v>0</v>
      </c>
      <c r="DE210" s="501"/>
      <c r="DF210" s="570">
        <f t="shared" si="1243"/>
        <v>1</v>
      </c>
      <c r="DG210" s="570">
        <f t="shared" si="1244"/>
        <v>0</v>
      </c>
      <c r="DH210" s="570">
        <f t="shared" si="1245"/>
        <v>0</v>
      </c>
      <c r="DI210" s="518"/>
      <c r="DJ210" s="514">
        <f>COUNTIF('MEP | Drawing List'!$G:$G,"MEP-L30-1")</f>
        <v>23</v>
      </c>
      <c r="DK210" s="506">
        <f>COUNTIFS('MEP | Drawing List'!$G:$G,"MEP-L30-1",'MEP | Drawing List'!$I:$I,1)</f>
        <v>23</v>
      </c>
      <c r="DL210" s="506">
        <f>COUNTIFS('MEP | Drawing List'!$G:$G,"MEP-L30-1",'MEP | Drawing List'!$K:$K,1)</f>
        <v>0</v>
      </c>
      <c r="DM210" s="514">
        <f>COUNTIFS('MEP | Drawing List'!$G:$G,"MEP-L30-1",'MEP | Drawing List'!L:L,1)</f>
        <v>0</v>
      </c>
      <c r="DN210" s="514">
        <f>COUNTIFS('MEP | Drawing List'!$G:$G,"MEP-L30-1",'MEP | Drawing List'!M:M,1)</f>
        <v>0</v>
      </c>
      <c r="DO210" s="514">
        <f>COUNTIFS('MEP | Drawing List'!$G:$G,"MEP-L30-1",'MEP | Drawing List'!N:N,1)</f>
        <v>0</v>
      </c>
      <c r="DP210" s="514">
        <f>COUNTIFS('MEP | Drawing List'!$G:$G,"MEP-L30-1",'MEP | Drawing List'!O:O,1)</f>
        <v>0</v>
      </c>
      <c r="DQ210" s="501"/>
      <c r="DR210" s="506">
        <f>COUNTIFS('MEP | Drawing List'!$G:$G,"MEP-L30-1",'MEP | Drawing List'!$P:$P,1)</f>
        <v>0</v>
      </c>
      <c r="DS210" s="514">
        <f>COUNTIFS('MEP | Drawing List'!$G:$G,"MEP-L30-1",'MEP | Drawing List'!Q:Q,1)</f>
        <v>0</v>
      </c>
      <c r="DT210" s="514">
        <f>COUNTIFS('MEP | Drawing List'!$G:$G,"MEP-L30-1",'MEP | Drawing List'!R:R,1)</f>
        <v>0</v>
      </c>
      <c r="DU210" s="514">
        <f>COUNTIFS('MEP | Drawing List'!$G:$G,"MEP-L30-1",'MEP | Drawing List'!S:S,1)</f>
        <v>0</v>
      </c>
      <c r="DV210" s="514">
        <f>COUNTIFS('MEP | Drawing List'!$G:$G,"MEP-L30-1",'MEP | Drawing List'!T:T,1)</f>
        <v>0</v>
      </c>
      <c r="DW210" s="508"/>
      <c r="DX210" s="508"/>
      <c r="DY210" s="571">
        <f t="shared" ref="DY210:DY218" si="1263">0.55/10</f>
        <v>5.5000000000000007E-2</v>
      </c>
      <c r="DZ210" s="508"/>
      <c r="EA210" s="506">
        <f t="shared" si="1246"/>
        <v>1.3775904450000003E-3</v>
      </c>
      <c r="EB210" s="510">
        <f t="shared" si="1003"/>
        <v>1.3775904450000003E-3</v>
      </c>
      <c r="EC210" s="514">
        <f t="shared" si="1247"/>
        <v>1.3775904450000003E-3</v>
      </c>
      <c r="ED210" s="514">
        <f t="shared" si="1248"/>
        <v>0</v>
      </c>
      <c r="EE210" s="514">
        <f t="shared" si="1249"/>
        <v>0</v>
      </c>
      <c r="EF210" s="514">
        <f t="shared" si="1250"/>
        <v>0</v>
      </c>
      <c r="EG210" s="514">
        <f t="shared" si="1251"/>
        <v>0</v>
      </c>
      <c r="EH210" s="514">
        <f t="shared" si="1252"/>
        <v>0</v>
      </c>
      <c r="EI210" s="501"/>
      <c r="EJ210" s="567">
        <f t="shared" si="1253"/>
        <v>0</v>
      </c>
      <c r="EK210" s="514">
        <f t="shared" si="1254"/>
        <v>0</v>
      </c>
      <c r="EL210" s="514">
        <f t="shared" si="1255"/>
        <v>0</v>
      </c>
      <c r="EM210" s="514">
        <f t="shared" si="1256"/>
        <v>0</v>
      </c>
      <c r="EN210" s="514">
        <f t="shared" si="1257"/>
        <v>0</v>
      </c>
      <c r="EO210" s="501"/>
      <c r="EP210" s="585">
        <f t="shared" si="1258"/>
        <v>1</v>
      </c>
      <c r="EQ210" s="585">
        <f t="shared" si="1259"/>
        <v>0</v>
      </c>
      <c r="ER210" s="585">
        <f t="shared" si="1260"/>
        <v>0</v>
      </c>
      <c r="ET210" s="514">
        <f>COUNTIF('LS | Drawing List'!$G:$G,"LS-L30-1")</f>
        <v>8</v>
      </c>
      <c r="EU210" s="506">
        <f>COUNTIFS('LS | Drawing List'!$G:$G,"LS-L30-1",'LS | Drawing List'!$I:$I,1)</f>
        <v>8</v>
      </c>
      <c r="EV210" s="506">
        <f>COUNTIFS('LS | Drawing List'!$G:$G,"LS-L30-1",'LS | Drawing List'!$K:$K,1)</f>
        <v>0</v>
      </c>
      <c r="EW210" s="514">
        <f>COUNTIFS('LS | Drawing List'!$G:$G,"LS-L30-1",'LS | Drawing List'!L:L,1)</f>
        <v>0</v>
      </c>
      <c r="EX210" s="514">
        <f>COUNTIFS('LS | Drawing List'!$G:$G,"LS-L30-1",'LS | Drawing List'!M:M,1)</f>
        <v>0</v>
      </c>
      <c r="EY210" s="514">
        <f>COUNTIFS('LS | Drawing List'!$G:$G,"LS-L30-1",'LS | Drawing List'!N:N,1)</f>
        <v>0</v>
      </c>
      <c r="EZ210" s="514">
        <f>COUNTIFS('LS | Drawing List'!$G:$G,"LS-L30-1",'LS | Drawing List'!O:O,1)</f>
        <v>0</v>
      </c>
      <c r="FA210" s="515"/>
      <c r="FB210" s="506">
        <f>COUNTIFS('LS | Drawing List'!$G:$G,"LS-L30-1",'LS | Drawing List'!$P:$P,1)</f>
        <v>0</v>
      </c>
      <c r="FC210" s="514">
        <f>COUNTIFS('LS | Drawing List'!$G:$G,"LS-L30-1",'LS | Drawing List'!Q:Q,1)</f>
        <v>0</v>
      </c>
      <c r="FD210" s="514">
        <f>COUNTIFS('LS | Drawing List'!$G:$G,"LS-L30-1",'LS | Drawing List'!R:R,1)</f>
        <v>0</v>
      </c>
      <c r="FE210" s="514">
        <f>COUNTIFS('LS | Drawing List'!$G:$G,"LS-L30-1",'LS | Drawing List'!S:S,1)</f>
        <v>0</v>
      </c>
      <c r="FF210" s="514">
        <f>COUNTIFS('LS | Drawing List'!$G:$G,"LS-L30-1",'LS | Drawing List'!T:T,1)</f>
        <v>0</v>
      </c>
    </row>
    <row r="211" spans="2:162" ht="14.25" outlineLevel="2">
      <c r="B211" s="564" t="s">
        <v>190</v>
      </c>
      <c r="C211" s="565">
        <v>3</v>
      </c>
      <c r="D211" s="580" t="s">
        <v>191</v>
      </c>
      <c r="F211" s="500">
        <f t="shared" si="1201"/>
        <v>1.343538962385677</v>
      </c>
      <c r="G211" s="500">
        <f t="shared" si="1202"/>
        <v>1.343538962385677</v>
      </c>
      <c r="H211" s="514">
        <f t="shared" si="1203"/>
        <v>0</v>
      </c>
      <c r="I211" s="514">
        <f t="shared" si="1118"/>
        <v>0</v>
      </c>
      <c r="J211" s="514">
        <f t="shared" si="1119"/>
        <v>0</v>
      </c>
      <c r="K211" s="514">
        <f t="shared" si="1120"/>
        <v>0</v>
      </c>
      <c r="L211" s="514">
        <f t="shared" si="1121"/>
        <v>0</v>
      </c>
      <c r="M211" s="567">
        <f t="shared" si="1122"/>
        <v>0</v>
      </c>
      <c r="N211" s="568"/>
      <c r="O211" s="514">
        <f t="shared" si="1123"/>
        <v>0</v>
      </c>
      <c r="P211" s="514">
        <f t="shared" si="1124"/>
        <v>0</v>
      </c>
      <c r="Q211" s="514">
        <f t="shared" si="1125"/>
        <v>0</v>
      </c>
      <c r="R211" s="514">
        <f t="shared" si="1126"/>
        <v>0</v>
      </c>
      <c r="S211" s="514">
        <f t="shared" si="1127"/>
        <v>0</v>
      </c>
      <c r="U211" s="571">
        <f t="shared" si="1261"/>
        <v>0.05</v>
      </c>
      <c r="V211" s="503"/>
      <c r="W211" s="500">
        <f t="shared" si="1204"/>
        <v>1.182075</v>
      </c>
      <c r="X211" s="500">
        <f t="shared" si="1000"/>
        <v>1.182075</v>
      </c>
      <c r="Y211" s="514">
        <f t="shared" si="1205"/>
        <v>1.182075</v>
      </c>
      <c r="Z211" s="514">
        <f t="shared" si="1206"/>
        <v>0</v>
      </c>
      <c r="AA211" s="514">
        <f t="shared" si="1207"/>
        <v>0</v>
      </c>
      <c r="AB211" s="514">
        <f t="shared" si="1208"/>
        <v>0</v>
      </c>
      <c r="AC211" s="514">
        <f t="shared" si="1209"/>
        <v>0</v>
      </c>
      <c r="AD211" s="567">
        <f t="shared" si="1210"/>
        <v>0</v>
      </c>
      <c r="AE211" s="568"/>
      <c r="AF211" s="514">
        <f t="shared" si="1211"/>
        <v>0</v>
      </c>
      <c r="AG211" s="514">
        <f t="shared" si="1212"/>
        <v>0</v>
      </c>
      <c r="AH211" s="514">
        <f t="shared" si="1213"/>
        <v>0</v>
      </c>
      <c r="AI211" s="514">
        <f t="shared" si="1214"/>
        <v>0</v>
      </c>
      <c r="AJ211" s="514">
        <f t="shared" si="1215"/>
        <v>0</v>
      </c>
      <c r="AK211" s="501"/>
      <c r="AL211" s="570">
        <f t="shared" si="1216"/>
        <v>1</v>
      </c>
      <c r="AM211" s="570">
        <f t="shared" si="1217"/>
        <v>0</v>
      </c>
      <c r="AN211" s="570">
        <f t="shared" si="1218"/>
        <v>0</v>
      </c>
      <c r="AO211" s="518"/>
      <c r="AP211" s="514">
        <f>COUNTIF('AR | Drawing List'!$G:$G,"AR-L45-1")</f>
        <v>403</v>
      </c>
      <c r="AQ211" s="506">
        <f>COUNTIFS('AR | Drawing List'!$G:$G,"AR-L45-1",'AR | Drawing List'!$I:$I,1)</f>
        <v>403</v>
      </c>
      <c r="AR211" s="506">
        <f t="shared" si="1075"/>
        <v>0</v>
      </c>
      <c r="AS211" s="506">
        <f>COUNTIFS('AR | Drawing List'!$G:$G,"AR-L45-1",'AR | Drawing List'!M:M,1)</f>
        <v>0</v>
      </c>
      <c r="AT211" s="506">
        <f>COUNTIFS('AR | Drawing List'!$G:$G,"AR-L45-1",'AR | Drawing List'!N:N,1)</f>
        <v>0</v>
      </c>
      <c r="AU211" s="506">
        <f>COUNTIFS('AR | Drawing List'!$G:$G,"AR-L45-1",'AR | Drawing List'!O:O,1)</f>
        <v>0</v>
      </c>
      <c r="AV211" s="506">
        <f>COUNTIFS('AR | Drawing List'!$G:$G,"AR-L45-1",'AR | Drawing List'!P:P,1)</f>
        <v>0</v>
      </c>
      <c r="AW211" s="466"/>
      <c r="AX211" s="506">
        <f t="shared" si="1093"/>
        <v>0</v>
      </c>
      <c r="AY211" s="506">
        <f>COUNTIFS('AR | Drawing List'!$G:$G,"AR-L45-1",'AR | Drawing List'!R:R,1)</f>
        <v>0</v>
      </c>
      <c r="AZ211" s="506">
        <f>COUNTIFS('AR | Drawing List'!$G:$G,"AR-L45-1",'AR | Drawing List'!S:S,1)</f>
        <v>0</v>
      </c>
      <c r="BA211" s="506">
        <f>COUNTIFS('AR | Drawing List'!$G:$G,"AR-L45-1",'AR | Drawing List'!T:T,1)</f>
        <v>0</v>
      </c>
      <c r="BB211" s="506">
        <f>COUNTIFS('AR | Drawing List'!$G:$G,"AR-L45-1",'AR | Drawing List'!U:U,1)</f>
        <v>0</v>
      </c>
      <c r="BC211" s="551"/>
      <c r="BD211" s="551"/>
      <c r="BE211" s="511">
        <v>0</v>
      </c>
      <c r="BF211" s="508"/>
      <c r="BG211" s="509"/>
      <c r="BH211" s="510">
        <f t="shared" si="1001"/>
        <v>0</v>
      </c>
      <c r="BI211" s="615"/>
      <c r="BJ211" s="615"/>
      <c r="BK211" s="514">
        <f t="shared" si="1219"/>
        <v>0</v>
      </c>
      <c r="BL211" s="514">
        <f t="shared" si="1220"/>
        <v>0</v>
      </c>
      <c r="BM211" s="514">
        <f t="shared" si="1221"/>
        <v>0</v>
      </c>
      <c r="BN211" s="514">
        <f t="shared" si="1222"/>
        <v>0</v>
      </c>
      <c r="BO211" s="501"/>
      <c r="BP211" s="514">
        <f t="shared" si="1223"/>
        <v>0</v>
      </c>
      <c r="BQ211" s="514">
        <f t="shared" si="1224"/>
        <v>0</v>
      </c>
      <c r="BR211" s="514">
        <f t="shared" si="1225"/>
        <v>0</v>
      </c>
      <c r="BS211" s="514">
        <f t="shared" si="1226"/>
        <v>0</v>
      </c>
      <c r="BT211" s="514">
        <f t="shared" si="1227"/>
        <v>0</v>
      </c>
      <c r="BU211" s="501"/>
      <c r="BV211" s="571">
        <f t="shared" si="1228"/>
        <v>0</v>
      </c>
      <c r="BW211" s="571">
        <f t="shared" si="1229"/>
        <v>0</v>
      </c>
      <c r="BX211" s="571">
        <f t="shared" si="1230"/>
        <v>0</v>
      </c>
      <c r="BY211" s="518"/>
      <c r="BZ211" s="552"/>
      <c r="CA211" s="552"/>
      <c r="CB211" s="608"/>
      <c r="CC211" s="506">
        <f>COUNTIFS('ST | Drawing List'!$G:$G,"ST-T01-3",'ST | Drawing List'!L:L,1)</f>
        <v>0</v>
      </c>
      <c r="CD211" s="506">
        <f>COUNTIFS('ST | Drawing List'!$G:$G,"ST-T01-3",'ST | Drawing List'!M:M,1)</f>
        <v>0</v>
      </c>
      <c r="CE211" s="506">
        <f>COUNTIFS('ST | Drawing List'!$G:$G,"ST-T01-3",'ST | Drawing List'!N:N,1)</f>
        <v>0</v>
      </c>
      <c r="CF211" s="506">
        <f>COUNTIFS('ST | Drawing List'!$G:$G,"ST-T01-3",'ST | Drawing List'!O:O,1)</f>
        <v>0</v>
      </c>
      <c r="CG211" s="471"/>
      <c r="CH211" s="608"/>
      <c r="CI211" s="506">
        <f>COUNTIFS('ST | Drawing List'!$G:$G,"ST-T01-3",'ST | Drawing List'!Q:Q,1)</f>
        <v>0</v>
      </c>
      <c r="CJ211" s="506">
        <f>COUNTIFS('ST | Drawing List'!$G:$G,"ST-T01-3",'ST | Drawing List'!R:R,1)</f>
        <v>0</v>
      </c>
      <c r="CK211" s="506">
        <f>COUNTIFS('ST | Drawing List'!$G:$G,"ST-T01-3",'ST | Drawing List'!S:S,1)</f>
        <v>0</v>
      </c>
      <c r="CL211" s="506">
        <f>COUNTIFS('ST | Drawing List'!$G:$G,"ST-T01-3",'ST | Drawing List'!T:T,1)</f>
        <v>0</v>
      </c>
      <c r="CM211" s="508"/>
      <c r="CN211" s="508"/>
      <c r="CO211" s="571">
        <f t="shared" si="1262"/>
        <v>6.5000000000000002E-2</v>
      </c>
      <c r="CP211" s="508"/>
      <c r="CQ211" s="506">
        <f t="shared" si="1231"/>
        <v>0.16008637194067718</v>
      </c>
      <c r="CR211" s="510">
        <f t="shared" si="1002"/>
        <v>0.16008637194067718</v>
      </c>
      <c r="CS211" s="514">
        <f t="shared" si="1232"/>
        <v>0.16008637194067718</v>
      </c>
      <c r="CT211" s="514">
        <f t="shared" si="1233"/>
        <v>0</v>
      </c>
      <c r="CU211" s="514">
        <f t="shared" si="1234"/>
        <v>0</v>
      </c>
      <c r="CV211" s="514">
        <f t="shared" si="1235"/>
        <v>0</v>
      </c>
      <c r="CW211" s="514">
        <f t="shared" si="1236"/>
        <v>0</v>
      </c>
      <c r="CX211" s="514">
        <f t="shared" si="1237"/>
        <v>0</v>
      </c>
      <c r="CY211" s="501"/>
      <c r="CZ211" s="514">
        <f t="shared" si="1238"/>
        <v>0</v>
      </c>
      <c r="DA211" s="514">
        <f t="shared" si="1239"/>
        <v>0</v>
      </c>
      <c r="DB211" s="514">
        <f t="shared" si="1240"/>
        <v>0</v>
      </c>
      <c r="DC211" s="514">
        <f t="shared" si="1241"/>
        <v>0</v>
      </c>
      <c r="DD211" s="514">
        <f t="shared" si="1242"/>
        <v>0</v>
      </c>
      <c r="DE211" s="501"/>
      <c r="DF211" s="570">
        <f t="shared" si="1243"/>
        <v>1</v>
      </c>
      <c r="DG211" s="570">
        <f t="shared" si="1244"/>
        <v>0</v>
      </c>
      <c r="DH211" s="570">
        <f t="shared" si="1245"/>
        <v>0</v>
      </c>
      <c r="DI211" s="518"/>
      <c r="DJ211" s="514">
        <f>COUNTIF('MEP | Drawing List'!$G:$G,"MEP-L45-1")</f>
        <v>49</v>
      </c>
      <c r="DK211" s="506">
        <f>COUNTIFS('MEP | Drawing List'!$G:$G,"MEP-L45-1",'MEP | Drawing List'!$I:$I,1)</f>
        <v>49</v>
      </c>
      <c r="DL211" s="506">
        <f>COUNTIFS('MEP | Drawing List'!$G:$G,"MEP-L45-1",'MEP | Drawing List'!$K:$K,1)</f>
        <v>0</v>
      </c>
      <c r="DM211" s="514">
        <f>COUNTIFS('MEP | Drawing List'!$G:$G,"MEP-L45-1",'MEP | Drawing List'!L:L,1)</f>
        <v>0</v>
      </c>
      <c r="DN211" s="514">
        <f>COUNTIFS('MEP | Drawing List'!$G:$G,"MEP-L45-1",'MEP | Drawing List'!M:M,1)</f>
        <v>0</v>
      </c>
      <c r="DO211" s="514">
        <f>COUNTIFS('MEP | Drawing List'!$G:$G,"MEP-L45-1",'MEP | Drawing List'!N:N,1)</f>
        <v>0</v>
      </c>
      <c r="DP211" s="514">
        <f>COUNTIFS('MEP | Drawing List'!$G:$G,"MEP-L45-1",'MEP | Drawing List'!O:O,1)</f>
        <v>0</v>
      </c>
      <c r="DQ211" s="501"/>
      <c r="DR211" s="506">
        <f>COUNTIFS('MEP | Drawing List'!$G:$G,"MEP-L45-1",'MEP | Drawing List'!$P:$P,1)</f>
        <v>0</v>
      </c>
      <c r="DS211" s="514">
        <f>COUNTIFS('MEP | Drawing List'!$G:$G,"MEP-L45-1",'MEP | Drawing List'!Q:Q,1)</f>
        <v>0</v>
      </c>
      <c r="DT211" s="514">
        <f>COUNTIFS('MEP | Drawing List'!$G:$G,"MEP-L45-1",'MEP | Drawing List'!R:R,1)</f>
        <v>0</v>
      </c>
      <c r="DU211" s="514">
        <f>COUNTIFS('MEP | Drawing List'!$G:$G,"MEP-L45-1",'MEP | Drawing List'!S:S,1)</f>
        <v>0</v>
      </c>
      <c r="DV211" s="514">
        <f>COUNTIFS('MEP | Drawing List'!$G:$G,"MEP-L45-1",'MEP | Drawing List'!T:T,1)</f>
        <v>0</v>
      </c>
      <c r="DW211" s="508"/>
      <c r="DX211" s="508"/>
      <c r="DY211" s="571">
        <f t="shared" si="1263"/>
        <v>5.5000000000000007E-2</v>
      </c>
      <c r="DZ211" s="508"/>
      <c r="EA211" s="506">
        <f t="shared" si="1246"/>
        <v>1.3775904450000003E-3</v>
      </c>
      <c r="EB211" s="510">
        <f t="shared" si="1003"/>
        <v>1.3775904450000003E-3</v>
      </c>
      <c r="EC211" s="514">
        <f t="shared" si="1247"/>
        <v>1.3775904450000003E-3</v>
      </c>
      <c r="ED211" s="514">
        <f t="shared" si="1248"/>
        <v>0</v>
      </c>
      <c r="EE211" s="514">
        <f t="shared" si="1249"/>
        <v>0</v>
      </c>
      <c r="EF211" s="514">
        <f t="shared" si="1250"/>
        <v>0</v>
      </c>
      <c r="EG211" s="514">
        <f t="shared" si="1251"/>
        <v>0</v>
      </c>
      <c r="EH211" s="514">
        <f t="shared" si="1252"/>
        <v>0</v>
      </c>
      <c r="EI211" s="501"/>
      <c r="EJ211" s="567">
        <f t="shared" si="1253"/>
        <v>0</v>
      </c>
      <c r="EK211" s="514">
        <f t="shared" si="1254"/>
        <v>0</v>
      </c>
      <c r="EL211" s="514">
        <f t="shared" si="1255"/>
        <v>0</v>
      </c>
      <c r="EM211" s="514">
        <f t="shared" si="1256"/>
        <v>0</v>
      </c>
      <c r="EN211" s="514">
        <f t="shared" si="1257"/>
        <v>0</v>
      </c>
      <c r="EO211" s="501"/>
      <c r="EP211" s="585">
        <f t="shared" si="1258"/>
        <v>1</v>
      </c>
      <c r="EQ211" s="585">
        <f t="shared" si="1259"/>
        <v>0</v>
      </c>
      <c r="ER211" s="585">
        <f t="shared" si="1260"/>
        <v>0</v>
      </c>
      <c r="ET211" s="514">
        <f>COUNTIF('LS | Drawing List'!$G:$G,"LS-L45-1")</f>
        <v>8</v>
      </c>
      <c r="EU211" s="506">
        <f>COUNTIFS('LS | Drawing List'!$G:$G,"LS-L45-1",'LS | Drawing List'!$I:$I,1)</f>
        <v>8</v>
      </c>
      <c r="EV211" s="506">
        <f>COUNTIFS('LS | Drawing List'!$G:$G,"LS-L45-1",'LS | Drawing List'!$K:$K,1)</f>
        <v>0</v>
      </c>
      <c r="EW211" s="514">
        <f>COUNTIFS('LS | Drawing List'!$G:$G,"LS-L45-1",'LS | Drawing List'!L:L,1)</f>
        <v>0</v>
      </c>
      <c r="EX211" s="514">
        <f>COUNTIFS('LS | Drawing List'!$G:$G,"LS-L45-1",'LS | Drawing List'!M:M,1)</f>
        <v>0</v>
      </c>
      <c r="EY211" s="514">
        <f>COUNTIFS('LS | Drawing List'!$G:$G,"LS-L45-1",'LS | Drawing List'!N:N,1)</f>
        <v>0</v>
      </c>
      <c r="EZ211" s="514">
        <f>COUNTIFS('LS | Drawing List'!$G:$G,"LS-L45-1",'LS | Drawing List'!O:O,1)</f>
        <v>0</v>
      </c>
      <c r="FA211" s="515"/>
      <c r="FB211" s="506">
        <f>COUNTIFS('LS | Drawing List'!$G:$G,"LS-L45-1",'LS | Drawing List'!$P:$P,1)</f>
        <v>0</v>
      </c>
      <c r="FC211" s="514">
        <f>COUNTIFS('LS | Drawing List'!$G:$G,"LS-L45-1",'LS | Drawing List'!Q:Q,1)</f>
        <v>0</v>
      </c>
      <c r="FD211" s="514">
        <f>COUNTIFS('LS | Drawing List'!$G:$G,"LS-L45-1",'LS | Drawing List'!R:R,1)</f>
        <v>0</v>
      </c>
      <c r="FE211" s="514">
        <f>COUNTIFS('LS | Drawing List'!$G:$G,"LS-L45-1",'LS | Drawing List'!S:S,1)</f>
        <v>0</v>
      </c>
      <c r="FF211" s="514">
        <f>COUNTIFS('LS | Drawing List'!$G:$G,"LS-L45-1",'LS | Drawing List'!T:T,1)</f>
        <v>0</v>
      </c>
    </row>
    <row r="212" spans="2:162" ht="14.25" outlineLevel="2">
      <c r="B212" s="564" t="s">
        <v>192</v>
      </c>
      <c r="C212" s="565">
        <v>4</v>
      </c>
      <c r="D212" s="566" t="s">
        <v>193</v>
      </c>
      <c r="F212" s="500">
        <f t="shared" si="1201"/>
        <v>1.343538962385677</v>
      </c>
      <c r="G212" s="500">
        <f t="shared" si="1202"/>
        <v>1.343538962385677</v>
      </c>
      <c r="H212" s="514">
        <f t="shared" si="1203"/>
        <v>0</v>
      </c>
      <c r="I212" s="514">
        <f t="shared" si="1118"/>
        <v>0</v>
      </c>
      <c r="J212" s="514">
        <f t="shared" si="1119"/>
        <v>0</v>
      </c>
      <c r="K212" s="514">
        <f t="shared" si="1120"/>
        <v>0</v>
      </c>
      <c r="L212" s="514">
        <f t="shared" si="1121"/>
        <v>0</v>
      </c>
      <c r="M212" s="567">
        <f t="shared" si="1122"/>
        <v>0</v>
      </c>
      <c r="N212" s="568"/>
      <c r="O212" s="514">
        <f t="shared" si="1123"/>
        <v>0</v>
      </c>
      <c r="P212" s="514">
        <f t="shared" si="1124"/>
        <v>0</v>
      </c>
      <c r="Q212" s="514">
        <f t="shared" si="1125"/>
        <v>0</v>
      </c>
      <c r="R212" s="514">
        <f t="shared" si="1126"/>
        <v>0</v>
      </c>
      <c r="S212" s="514">
        <f t="shared" si="1127"/>
        <v>0</v>
      </c>
      <c r="U212" s="571">
        <f t="shared" si="1261"/>
        <v>0.05</v>
      </c>
      <c r="V212" s="503"/>
      <c r="W212" s="500">
        <f t="shared" si="1204"/>
        <v>1.182075</v>
      </c>
      <c r="X212" s="500">
        <f t="shared" si="1000"/>
        <v>1.182075</v>
      </c>
      <c r="Y212" s="514">
        <f t="shared" si="1205"/>
        <v>1.182075</v>
      </c>
      <c r="Z212" s="514">
        <f t="shared" si="1206"/>
        <v>0</v>
      </c>
      <c r="AA212" s="514">
        <f t="shared" si="1207"/>
        <v>0</v>
      </c>
      <c r="AB212" s="514">
        <f t="shared" si="1208"/>
        <v>0</v>
      </c>
      <c r="AC212" s="514">
        <f t="shared" si="1209"/>
        <v>0</v>
      </c>
      <c r="AD212" s="567">
        <f t="shared" si="1210"/>
        <v>0</v>
      </c>
      <c r="AE212" s="568"/>
      <c r="AF212" s="514">
        <f t="shared" si="1211"/>
        <v>0</v>
      </c>
      <c r="AG212" s="514">
        <f t="shared" si="1212"/>
        <v>0</v>
      </c>
      <c r="AH212" s="514">
        <f t="shared" si="1213"/>
        <v>0</v>
      </c>
      <c r="AI212" s="514">
        <f t="shared" si="1214"/>
        <v>0</v>
      </c>
      <c r="AJ212" s="514">
        <f t="shared" si="1215"/>
        <v>0</v>
      </c>
      <c r="AK212" s="501"/>
      <c r="AL212" s="570">
        <f t="shared" si="1216"/>
        <v>1</v>
      </c>
      <c r="AM212" s="570">
        <f t="shared" si="1217"/>
        <v>0</v>
      </c>
      <c r="AN212" s="570">
        <f t="shared" si="1218"/>
        <v>0</v>
      </c>
      <c r="AO212" s="518"/>
      <c r="AP212" s="514">
        <f>COUNTIF('AR | Drawing List'!$G:$G,"AR-V50-1")</f>
        <v>73</v>
      </c>
      <c r="AQ212" s="506">
        <f>COUNTIFS('AR | Drawing List'!$G:$G,"AR-V50-1",'AR | Drawing List'!$I:$I,1)</f>
        <v>73</v>
      </c>
      <c r="AR212" s="506">
        <f t="shared" si="1075"/>
        <v>0</v>
      </c>
      <c r="AS212" s="506">
        <f>COUNTIFS('AR | Drawing List'!$G:$G,"AR-V50-4",'AR | Drawing List'!M:M,1)</f>
        <v>0</v>
      </c>
      <c r="AT212" s="506">
        <f>COUNTIFS('AR | Drawing List'!$G:$G,"AR-V50-4",'AR | Drawing List'!N:N,1)</f>
        <v>0</v>
      </c>
      <c r="AU212" s="506">
        <f>COUNTIFS('AR | Drawing List'!$G:$G,"AR-V50-4",'AR | Drawing List'!O:O,1)</f>
        <v>0</v>
      </c>
      <c r="AV212" s="506">
        <f>COUNTIFS('AR | Drawing List'!$G:$G,"AR-V50-4",'AR | Drawing List'!P:P,1)</f>
        <v>0</v>
      </c>
      <c r="AW212" s="466"/>
      <c r="AX212" s="506">
        <f t="shared" si="1093"/>
        <v>0</v>
      </c>
      <c r="AY212" s="506">
        <f>COUNTIFS('AR | Drawing List'!$G:$G,"AR-V50-4",'AR | Drawing List'!R:R,1)</f>
        <v>0</v>
      </c>
      <c r="AZ212" s="506">
        <f>COUNTIFS('AR | Drawing List'!$G:$G,"AR-V50-4",'AR | Drawing List'!S:S,1)</f>
        <v>0</v>
      </c>
      <c r="BA212" s="506">
        <f>COUNTIFS('AR | Drawing List'!$G:$G,"AR-V50-4",'AR | Drawing List'!T:T,1)</f>
        <v>0</v>
      </c>
      <c r="BB212" s="506">
        <f>COUNTIFS('AR | Drawing List'!$G:$G,"AR-V50-4",'AR | Drawing List'!U:U,1)</f>
        <v>0</v>
      </c>
      <c r="BC212" s="551"/>
      <c r="BD212" s="551"/>
      <c r="BE212" s="511">
        <v>0</v>
      </c>
      <c r="BF212" s="508"/>
      <c r="BG212" s="509"/>
      <c r="BH212" s="510">
        <f t="shared" si="1001"/>
        <v>0</v>
      </c>
      <c r="BI212" s="615"/>
      <c r="BJ212" s="615"/>
      <c r="BK212" s="514">
        <f t="shared" si="1219"/>
        <v>0</v>
      </c>
      <c r="BL212" s="514">
        <f t="shared" si="1220"/>
        <v>0</v>
      </c>
      <c r="BM212" s="514">
        <f t="shared" si="1221"/>
        <v>0</v>
      </c>
      <c r="BN212" s="514">
        <f t="shared" si="1222"/>
        <v>0</v>
      </c>
      <c r="BO212" s="501"/>
      <c r="BP212" s="514">
        <f t="shared" si="1223"/>
        <v>0</v>
      </c>
      <c r="BQ212" s="514">
        <f t="shared" si="1224"/>
        <v>0</v>
      </c>
      <c r="BR212" s="514">
        <f t="shared" si="1225"/>
        <v>0</v>
      </c>
      <c r="BS212" s="514">
        <f t="shared" si="1226"/>
        <v>0</v>
      </c>
      <c r="BT212" s="514">
        <f t="shared" si="1227"/>
        <v>0</v>
      </c>
      <c r="BU212" s="501"/>
      <c r="BV212" s="571">
        <f t="shared" si="1228"/>
        <v>0</v>
      </c>
      <c r="BW212" s="571">
        <f t="shared" si="1229"/>
        <v>0</v>
      </c>
      <c r="BX212" s="571">
        <f t="shared" si="1230"/>
        <v>0</v>
      </c>
      <c r="BY212" s="518"/>
      <c r="BZ212" s="552"/>
      <c r="CA212" s="552"/>
      <c r="CB212" s="608"/>
      <c r="CC212" s="506">
        <f>COUNTIFS('ST | Drawing List'!$G:$G,"ST-T01-4",'ST | Drawing List'!L:L,1)</f>
        <v>0</v>
      </c>
      <c r="CD212" s="506">
        <f>COUNTIFS('ST | Drawing List'!$G:$G,"ST-T01-4",'ST | Drawing List'!M:M,1)</f>
        <v>0</v>
      </c>
      <c r="CE212" s="506">
        <f>COUNTIFS('ST | Drawing List'!$G:$G,"ST-T01-4",'ST | Drawing List'!N:N,1)</f>
        <v>0</v>
      </c>
      <c r="CF212" s="506">
        <f>COUNTIFS('ST | Drawing List'!$G:$G,"ST-T01-4",'ST | Drawing List'!O:O,1)</f>
        <v>0</v>
      </c>
      <c r="CG212" s="471"/>
      <c r="CH212" s="608"/>
      <c r="CI212" s="506">
        <f>COUNTIFS('ST | Drawing List'!$G:$G,"ST-T01-4",'ST | Drawing List'!Q:Q,1)</f>
        <v>0</v>
      </c>
      <c r="CJ212" s="506">
        <f>COUNTIFS('ST | Drawing List'!$G:$G,"ST-T01-4",'ST | Drawing List'!R:R,1)</f>
        <v>0</v>
      </c>
      <c r="CK212" s="506">
        <f>COUNTIFS('ST | Drawing List'!$G:$G,"ST-T01-4",'ST | Drawing List'!S:S,1)</f>
        <v>0</v>
      </c>
      <c r="CL212" s="506">
        <f>COUNTIFS('ST | Drawing List'!$G:$G,"ST-T01-4",'ST | Drawing List'!T:T,1)</f>
        <v>0</v>
      </c>
      <c r="CM212" s="508"/>
      <c r="CN212" s="508"/>
      <c r="CO212" s="571">
        <f t="shared" si="1262"/>
        <v>6.5000000000000002E-2</v>
      </c>
      <c r="CP212" s="508"/>
      <c r="CQ212" s="506">
        <f t="shared" si="1231"/>
        <v>0.16008637194067718</v>
      </c>
      <c r="CR212" s="510">
        <f t="shared" si="1002"/>
        <v>0.16008637194067718</v>
      </c>
      <c r="CS212" s="514">
        <f t="shared" si="1232"/>
        <v>0.16008637194067718</v>
      </c>
      <c r="CT212" s="514">
        <f t="shared" si="1233"/>
        <v>0</v>
      </c>
      <c r="CU212" s="514">
        <f t="shared" si="1234"/>
        <v>0</v>
      </c>
      <c r="CV212" s="514">
        <f t="shared" si="1235"/>
        <v>0</v>
      </c>
      <c r="CW212" s="514">
        <f t="shared" si="1236"/>
        <v>0</v>
      </c>
      <c r="CX212" s="514">
        <f t="shared" si="1237"/>
        <v>0</v>
      </c>
      <c r="CY212" s="501"/>
      <c r="CZ212" s="514">
        <f t="shared" si="1238"/>
        <v>0</v>
      </c>
      <c r="DA212" s="514">
        <f t="shared" si="1239"/>
        <v>0</v>
      </c>
      <c r="DB212" s="514">
        <f t="shared" si="1240"/>
        <v>0</v>
      </c>
      <c r="DC212" s="514">
        <f t="shared" si="1241"/>
        <v>0</v>
      </c>
      <c r="DD212" s="514">
        <f t="shared" si="1242"/>
        <v>0</v>
      </c>
      <c r="DE212" s="501"/>
      <c r="DF212" s="570">
        <f t="shared" si="1243"/>
        <v>1</v>
      </c>
      <c r="DG212" s="570">
        <f t="shared" si="1244"/>
        <v>0</v>
      </c>
      <c r="DH212" s="570">
        <f t="shared" si="1245"/>
        <v>0</v>
      </c>
      <c r="DI212" s="518"/>
      <c r="DJ212" s="514">
        <f>COUNTIF('MEP | Drawing List'!$G:$G,"MEP-V50-1")</f>
        <v>31</v>
      </c>
      <c r="DK212" s="506">
        <f>COUNTIFS('MEP | Drawing List'!$G:$G,"MEP-V50-1",'MEP | Drawing List'!$I:$I,1)</f>
        <v>31</v>
      </c>
      <c r="DL212" s="506">
        <f>COUNTIFS('MEP | Drawing List'!$G:$G,"MEP-V50-1",'MEP | Drawing List'!$K:$K,1)</f>
        <v>0</v>
      </c>
      <c r="DM212" s="514">
        <f>COUNTIFS('MEP | Drawing List'!$G:$G,"MEP-V50-1",'MEP | Drawing List'!L:L,1)</f>
        <v>0</v>
      </c>
      <c r="DN212" s="514">
        <f>COUNTIFS('MEP | Drawing List'!$G:$G,"MEP-V50-1",'MEP | Drawing List'!M:M,1)</f>
        <v>0</v>
      </c>
      <c r="DO212" s="514">
        <f>COUNTIFS('MEP | Drawing List'!$G:$G,"MEP-V50-1",'MEP | Drawing List'!N:N,1)</f>
        <v>0</v>
      </c>
      <c r="DP212" s="514">
        <f>COUNTIFS('MEP | Drawing List'!$G:$G,"MEP-V50-1",'MEP | Drawing List'!O:O,1)</f>
        <v>0</v>
      </c>
      <c r="DQ212" s="501"/>
      <c r="DR212" s="506">
        <f>COUNTIFS('MEP | Drawing List'!$G:$G,"MEP-V50-1",'MEP | Drawing List'!$P:$P,1)</f>
        <v>0</v>
      </c>
      <c r="DS212" s="514">
        <f>COUNTIFS('MEP | Drawing List'!$G:$G,"MEP-V50-1",'MEP | Drawing List'!Q:Q,1)</f>
        <v>0</v>
      </c>
      <c r="DT212" s="514">
        <f>COUNTIFS('MEP | Drawing List'!$G:$G,"MEP-V50-1",'MEP | Drawing List'!R:R,1)</f>
        <v>0</v>
      </c>
      <c r="DU212" s="514">
        <f>COUNTIFS('MEP | Drawing List'!$G:$G,"MEP-V50-1",'MEP | Drawing List'!S:S,1)</f>
        <v>0</v>
      </c>
      <c r="DV212" s="514">
        <f>COUNTIFS('MEP | Drawing List'!$G:$G,"MEP-V50-1",'MEP | Drawing List'!T:T,1)</f>
        <v>0</v>
      </c>
      <c r="DW212" s="508"/>
      <c r="DX212" s="508"/>
      <c r="DY212" s="571">
        <f t="shared" si="1263"/>
        <v>5.5000000000000007E-2</v>
      </c>
      <c r="DZ212" s="508"/>
      <c r="EA212" s="506">
        <f t="shared" si="1246"/>
        <v>1.3775904450000003E-3</v>
      </c>
      <c r="EB212" s="510">
        <f t="shared" si="1003"/>
        <v>1.3775904450000003E-3</v>
      </c>
      <c r="EC212" s="514">
        <f t="shared" si="1247"/>
        <v>1.3775904450000003E-3</v>
      </c>
      <c r="ED212" s="514">
        <f t="shared" si="1248"/>
        <v>0</v>
      </c>
      <c r="EE212" s="514">
        <f t="shared" si="1249"/>
        <v>0</v>
      </c>
      <c r="EF212" s="514">
        <f t="shared" si="1250"/>
        <v>0</v>
      </c>
      <c r="EG212" s="514">
        <f t="shared" si="1251"/>
        <v>0</v>
      </c>
      <c r="EH212" s="514">
        <f t="shared" si="1252"/>
        <v>0</v>
      </c>
      <c r="EI212" s="501"/>
      <c r="EJ212" s="567">
        <f t="shared" si="1253"/>
        <v>0</v>
      </c>
      <c r="EK212" s="514">
        <f t="shared" si="1254"/>
        <v>0</v>
      </c>
      <c r="EL212" s="514">
        <f t="shared" si="1255"/>
        <v>0</v>
      </c>
      <c r="EM212" s="514">
        <f t="shared" si="1256"/>
        <v>0</v>
      </c>
      <c r="EN212" s="514">
        <f t="shared" si="1257"/>
        <v>0</v>
      </c>
      <c r="EO212" s="501"/>
      <c r="EP212" s="585">
        <f t="shared" si="1258"/>
        <v>1</v>
      </c>
      <c r="EQ212" s="585">
        <f t="shared" si="1259"/>
        <v>0</v>
      </c>
      <c r="ER212" s="585">
        <f t="shared" si="1260"/>
        <v>0</v>
      </c>
      <c r="ET212" s="514">
        <f>COUNTIF('LS | Drawing List'!$G:$G,"LS-V50-1")</f>
        <v>10</v>
      </c>
      <c r="EU212" s="506">
        <f>COUNTIFS('LS | Drawing List'!$G:$G,"LS-V50-1",'LS | Drawing List'!$I:$I,1)</f>
        <v>10</v>
      </c>
      <c r="EV212" s="506">
        <f>COUNTIFS('LS | Drawing List'!$G:$G,"LS-V50-1",'LS | Drawing List'!$K:$K,1)</f>
        <v>0</v>
      </c>
      <c r="EW212" s="514">
        <f>COUNTIFS('LS | Drawing List'!$G:$G,"LS-V50-1",'LS | Drawing List'!L:L,1)</f>
        <v>0</v>
      </c>
      <c r="EX212" s="514">
        <f>COUNTIFS('LS | Drawing List'!$G:$G,"LS-V50-1",'LS | Drawing List'!M:M,1)</f>
        <v>0</v>
      </c>
      <c r="EY212" s="514">
        <f>COUNTIFS('LS | Drawing List'!$G:$G,"LS-V50-1",'LS | Drawing List'!N:N,1)</f>
        <v>0</v>
      </c>
      <c r="EZ212" s="514">
        <f>COUNTIFS('LS | Drawing List'!$G:$G,"LS-V50-1",'LS | Drawing List'!O:O,1)</f>
        <v>0</v>
      </c>
      <c r="FA212" s="515"/>
      <c r="FB212" s="506">
        <f>COUNTIFS('LS | Drawing List'!$G:$G,"LS-V50-1",'LS | Drawing List'!$P:$P,1)</f>
        <v>0</v>
      </c>
      <c r="FC212" s="514">
        <f>COUNTIFS('LS | Drawing List'!$G:$G,"LS-V50-1",'LS | Drawing List'!Q:Q,1)</f>
        <v>0</v>
      </c>
      <c r="FD212" s="514">
        <f>COUNTIFS('LS | Drawing List'!$G:$G,"LS-V50-1",'LS | Drawing List'!R:R,1)</f>
        <v>0</v>
      </c>
      <c r="FE212" s="514">
        <f>COUNTIFS('LS | Drawing List'!$G:$G,"LS-V50-1",'LS | Drawing List'!S:S,1)</f>
        <v>0</v>
      </c>
      <c r="FF212" s="514">
        <f>COUNTIFS('LS | Drawing List'!$G:$G,"LS-V50-1",'LS | Drawing List'!T:T,1)</f>
        <v>0</v>
      </c>
    </row>
    <row r="213" spans="2:162" s="51" customFormat="1" ht="14.25" outlineLevel="2">
      <c r="B213" s="604" t="s">
        <v>194</v>
      </c>
      <c r="C213" s="579">
        <v>5</v>
      </c>
      <c r="D213" s="580" t="s">
        <v>195</v>
      </c>
      <c r="F213" s="500">
        <f t="shared" si="1201"/>
        <v>1.343538962385677</v>
      </c>
      <c r="G213" s="500">
        <f t="shared" si="1202"/>
        <v>0.16146396238567717</v>
      </c>
      <c r="H213" s="514">
        <f t="shared" si="1203"/>
        <v>1.1820749999999998</v>
      </c>
      <c r="I213" s="514">
        <f t="shared" si="1118"/>
        <v>1.3421613719406771</v>
      </c>
      <c r="J213" s="514">
        <f t="shared" si="1119"/>
        <v>1.3421613719406771</v>
      </c>
      <c r="K213" s="514">
        <f t="shared" si="1120"/>
        <v>0</v>
      </c>
      <c r="L213" s="514">
        <f t="shared" si="1121"/>
        <v>0</v>
      </c>
      <c r="M213" s="567">
        <f t="shared" si="1122"/>
        <v>0</v>
      </c>
      <c r="N213" s="568"/>
      <c r="O213" s="514">
        <f t="shared" si="1123"/>
        <v>0.16008637194067718</v>
      </c>
      <c r="P213" s="514">
        <f t="shared" si="1124"/>
        <v>0</v>
      </c>
      <c r="Q213" s="514">
        <f t="shared" si="1125"/>
        <v>0.16008637194067718</v>
      </c>
      <c r="R213" s="514">
        <f t="shared" si="1126"/>
        <v>0</v>
      </c>
      <c r="S213" s="514">
        <f t="shared" si="1127"/>
        <v>0</v>
      </c>
      <c r="U213" s="571">
        <f t="shared" si="1261"/>
        <v>0.05</v>
      </c>
      <c r="V213" s="584"/>
      <c r="W213" s="581">
        <f t="shared" si="1204"/>
        <v>1.182075</v>
      </c>
      <c r="X213" s="581">
        <f t="shared" si="1000"/>
        <v>0</v>
      </c>
      <c r="Y213" s="567">
        <f t="shared" si="1205"/>
        <v>0</v>
      </c>
      <c r="Z213" s="567">
        <f t="shared" si="1206"/>
        <v>1.182075</v>
      </c>
      <c r="AA213" s="567">
        <f t="shared" si="1207"/>
        <v>1.182075</v>
      </c>
      <c r="AB213" s="567">
        <f t="shared" si="1208"/>
        <v>0</v>
      </c>
      <c r="AC213" s="567">
        <f t="shared" si="1209"/>
        <v>0</v>
      </c>
      <c r="AD213" s="567">
        <f t="shared" si="1210"/>
        <v>0</v>
      </c>
      <c r="AE213" s="568"/>
      <c r="AF213" s="514">
        <f t="shared" si="1211"/>
        <v>0</v>
      </c>
      <c r="AG213" s="514">
        <f t="shared" si="1212"/>
        <v>0</v>
      </c>
      <c r="AH213" s="514">
        <f t="shared" si="1213"/>
        <v>0</v>
      </c>
      <c r="AI213" s="514">
        <f t="shared" si="1214"/>
        <v>0</v>
      </c>
      <c r="AJ213" s="514">
        <f t="shared" si="1215"/>
        <v>0</v>
      </c>
      <c r="AK213" s="501"/>
      <c r="AL213" s="585">
        <f t="shared" si="1216"/>
        <v>0</v>
      </c>
      <c r="AM213" s="585">
        <f t="shared" si="1217"/>
        <v>1</v>
      </c>
      <c r="AN213" s="570">
        <f t="shared" si="1218"/>
        <v>0</v>
      </c>
      <c r="AO213" s="605"/>
      <c r="AP213" s="567">
        <f>COUNTIF('AR | Drawing List'!$G:$G,"AR-V40-1")</f>
        <v>67</v>
      </c>
      <c r="AQ213" s="582">
        <f>COUNTIFS('AR | Drawing List'!$G:$G,"AR-V40-1",'AR | Drawing List'!$I:$I,1)</f>
        <v>0</v>
      </c>
      <c r="AR213" s="582">
        <f t="shared" si="1075"/>
        <v>67</v>
      </c>
      <c r="AS213" s="582">
        <f>COUNTIFS('AR | Drawing List'!$G:$G,"AR-V40-1",'AR | Drawing List'!M:M,1)</f>
        <v>67</v>
      </c>
      <c r="AT213" s="582">
        <f>COUNTIFS('AR | Drawing List'!$G:$G,"AR-V40-1",'AR | Drawing List'!N:N,1)</f>
        <v>0</v>
      </c>
      <c r="AU213" s="582">
        <f>COUNTIFS('AR | Drawing List'!$G:$G,"AR-V40-1",'AR | Drawing List'!O:O,1)</f>
        <v>0</v>
      </c>
      <c r="AV213" s="582">
        <f>COUNTIFS('AR | Drawing List'!$G:$G,"AR-V40-1",'AR | Drawing List'!P:P,1)</f>
        <v>0</v>
      </c>
      <c r="AW213" s="587"/>
      <c r="AX213" s="582">
        <f t="shared" si="1093"/>
        <v>0</v>
      </c>
      <c r="AY213" s="582">
        <f>COUNTIFS('AR | Drawing List'!$G:$G,"AR-V40-1",'AR | Drawing List'!R:R,1)</f>
        <v>0</v>
      </c>
      <c r="AZ213" s="582">
        <f>COUNTIFS('AR | Drawing List'!$G:$G,"AR-V40-1",'AR | Drawing List'!S:S,1)</f>
        <v>0</v>
      </c>
      <c r="BA213" s="582">
        <f>COUNTIFS('AR | Drawing List'!$G:$G,"AR-V40-1",'AR | Drawing List'!T:T,1)</f>
        <v>0</v>
      </c>
      <c r="BB213" s="582">
        <f>COUNTIFS('AR | Drawing List'!$G:$G,"AR-V40-1",'AR | Drawing List'!U:U,1)</f>
        <v>0</v>
      </c>
      <c r="BC213" s="599"/>
      <c r="BD213" s="599"/>
      <c r="BE213" s="592">
        <v>0</v>
      </c>
      <c r="BF213" s="588"/>
      <c r="BG213" s="617"/>
      <c r="BH213" s="589">
        <f t="shared" si="1001"/>
        <v>0</v>
      </c>
      <c r="BI213" s="636"/>
      <c r="BJ213" s="636"/>
      <c r="BK213" s="514">
        <f t="shared" si="1219"/>
        <v>0</v>
      </c>
      <c r="BL213" s="514">
        <f t="shared" si="1220"/>
        <v>0</v>
      </c>
      <c r="BM213" s="514">
        <f t="shared" si="1221"/>
        <v>0</v>
      </c>
      <c r="BN213" s="514">
        <f t="shared" si="1222"/>
        <v>0</v>
      </c>
      <c r="BO213" s="501"/>
      <c r="BP213" s="514">
        <f t="shared" si="1223"/>
        <v>0</v>
      </c>
      <c r="BQ213" s="514">
        <f t="shared" si="1224"/>
        <v>0</v>
      </c>
      <c r="BR213" s="514">
        <f t="shared" si="1225"/>
        <v>0</v>
      </c>
      <c r="BS213" s="514">
        <f t="shared" si="1226"/>
        <v>0</v>
      </c>
      <c r="BT213" s="514">
        <f t="shared" si="1227"/>
        <v>0</v>
      </c>
      <c r="BU213" s="501"/>
      <c r="BV213" s="571">
        <f t="shared" si="1228"/>
        <v>0</v>
      </c>
      <c r="BW213" s="571">
        <f t="shared" si="1229"/>
        <v>0</v>
      </c>
      <c r="BX213" s="571">
        <f t="shared" si="1230"/>
        <v>0</v>
      </c>
      <c r="BY213" s="605"/>
      <c r="BZ213" s="618"/>
      <c r="CA213" s="618"/>
      <c r="CB213" s="637"/>
      <c r="CC213" s="582">
        <f>COUNTIFS('ST | Drawing List'!$G:$G,"ST-T01-5",'ST | Drawing List'!L:L,1)</f>
        <v>0</v>
      </c>
      <c r="CD213" s="582">
        <f>COUNTIFS('ST | Drawing List'!$G:$G,"ST-T01-5",'ST | Drawing List'!M:M,1)</f>
        <v>0</v>
      </c>
      <c r="CE213" s="582">
        <f>COUNTIFS('ST | Drawing List'!$G:$G,"ST-T01-5",'ST | Drawing List'!N:N,1)</f>
        <v>0</v>
      </c>
      <c r="CF213" s="582">
        <f>COUNTIFS('ST | Drawing List'!$G:$G,"ST-T01-5",'ST | Drawing List'!O:O,1)</f>
        <v>0</v>
      </c>
      <c r="CG213" s="591"/>
      <c r="CH213" s="637"/>
      <c r="CI213" s="582">
        <f>COUNTIFS('ST | Drawing List'!$G:$G,"ST-T01-5",'ST | Drawing List'!Q:Q,1)</f>
        <v>0</v>
      </c>
      <c r="CJ213" s="582">
        <f>COUNTIFS('ST | Drawing List'!$G:$G,"ST-T01-5",'ST | Drawing List'!R:R,1)</f>
        <v>0</v>
      </c>
      <c r="CK213" s="582">
        <f>COUNTIFS('ST | Drawing List'!$G:$G,"ST-T01-5",'ST | Drawing List'!S:S,1)</f>
        <v>0</v>
      </c>
      <c r="CL213" s="582">
        <f>COUNTIFS('ST | Drawing List'!$G:$G,"ST-T01-5",'ST | Drawing List'!T:T,1)</f>
        <v>0</v>
      </c>
      <c r="CM213" s="588"/>
      <c r="CN213" s="588"/>
      <c r="CO213" s="571">
        <f t="shared" si="1262"/>
        <v>6.5000000000000002E-2</v>
      </c>
      <c r="CP213" s="588"/>
      <c r="CQ213" s="582">
        <f t="shared" si="1231"/>
        <v>0.16008637194067718</v>
      </c>
      <c r="CR213" s="589">
        <f t="shared" si="1002"/>
        <v>0.16008637194067718</v>
      </c>
      <c r="CS213" s="567">
        <f t="shared" si="1232"/>
        <v>0</v>
      </c>
      <c r="CT213" s="514">
        <f t="shared" si="1233"/>
        <v>0.16008637194067718</v>
      </c>
      <c r="CU213" s="514">
        <f t="shared" si="1234"/>
        <v>0.16008637194067718</v>
      </c>
      <c r="CV213" s="514">
        <f t="shared" si="1235"/>
        <v>0</v>
      </c>
      <c r="CW213" s="514">
        <f t="shared" si="1236"/>
        <v>0</v>
      </c>
      <c r="CX213" s="514">
        <f t="shared" si="1237"/>
        <v>0</v>
      </c>
      <c r="CY213" s="501"/>
      <c r="CZ213" s="514">
        <f t="shared" si="1238"/>
        <v>0.16008637194067718</v>
      </c>
      <c r="DA213" s="514">
        <f t="shared" si="1239"/>
        <v>0</v>
      </c>
      <c r="DB213" s="514">
        <f t="shared" si="1240"/>
        <v>0.16008637194067718</v>
      </c>
      <c r="DC213" s="514">
        <f t="shared" si="1241"/>
        <v>0</v>
      </c>
      <c r="DD213" s="514">
        <f t="shared" si="1242"/>
        <v>0</v>
      </c>
      <c r="DE213" s="501"/>
      <c r="DF213" s="570">
        <f t="shared" si="1243"/>
        <v>0</v>
      </c>
      <c r="DG213" s="570">
        <f t="shared" si="1244"/>
        <v>1</v>
      </c>
      <c r="DH213" s="570">
        <f t="shared" si="1245"/>
        <v>1</v>
      </c>
      <c r="DI213" s="605"/>
      <c r="DJ213" s="567">
        <f>COUNTIF('MEP | Drawing List'!$G:$G,"MEP-V40-1")</f>
        <v>28</v>
      </c>
      <c r="DK213" s="582">
        <f>COUNTIFS('MEP | Drawing List'!$G:$G,"MEP-V40-1",'MEP | Drawing List'!$I:$I,1)</f>
        <v>0</v>
      </c>
      <c r="DL213" s="582">
        <f>COUNTIFS('MEP | Drawing List'!$G:$G,"MEP-V40-1",'MEP | Drawing List'!$K:$K,1)</f>
        <v>28</v>
      </c>
      <c r="DM213" s="567">
        <f>COUNTIFS('MEP | Drawing List'!$G:$G,"MEP-V40-1",'MEP | Drawing List'!L:L,1)</f>
        <v>28</v>
      </c>
      <c r="DN213" s="567">
        <f>COUNTIFS('MEP | Drawing List'!$G:$G,"MEP-V40-1",'MEP | Drawing List'!M:M,1)</f>
        <v>0</v>
      </c>
      <c r="DO213" s="567">
        <f>COUNTIFS('MEP | Drawing List'!$G:$G,"MEP-V40-1",'MEP | Drawing List'!N:N,1)</f>
        <v>0</v>
      </c>
      <c r="DP213" s="567">
        <f>COUNTIFS('MEP | Drawing List'!$G:$G,"MEP-V40-1",'MEP | Drawing List'!O:O,1)</f>
        <v>0</v>
      </c>
      <c r="DQ213" s="568"/>
      <c r="DR213" s="582">
        <f>COUNTIFS('MEP | Drawing List'!$G:$G,"MEP-V40-1",'MEP | Drawing List'!$P:$P,1)</f>
        <v>28</v>
      </c>
      <c r="DS213" s="567">
        <f>COUNTIFS('MEP | Drawing List'!$G:$G,"MEP-V40-1",'MEP | Drawing List'!Q:Q,1)</f>
        <v>19</v>
      </c>
      <c r="DT213" s="567">
        <f>COUNTIFS('MEP | Drawing List'!$G:$G,"MEP-V40-1",'MEP | Drawing List'!R:R,1)</f>
        <v>9</v>
      </c>
      <c r="DU213" s="567">
        <f>COUNTIFS('MEP | Drawing List'!$G:$G,"MEP-V40-1",'MEP | Drawing List'!S:S,1)</f>
        <v>0</v>
      </c>
      <c r="DV213" s="567">
        <f>COUNTIFS('MEP | Drawing List'!$G:$G,"MEP-V40-1",'MEP | Drawing List'!T:T,1)</f>
        <v>0</v>
      </c>
      <c r="DW213" s="588"/>
      <c r="DX213" s="588"/>
      <c r="DY213" s="571">
        <f t="shared" si="1263"/>
        <v>5.5000000000000007E-2</v>
      </c>
      <c r="DZ213" s="588"/>
      <c r="EA213" s="582">
        <f t="shared" si="1246"/>
        <v>1.3775904450000003E-3</v>
      </c>
      <c r="EB213" s="589">
        <f t="shared" si="1003"/>
        <v>1.3775904450000003E-3</v>
      </c>
      <c r="EC213" s="567">
        <f t="shared" si="1247"/>
        <v>1.3775904450000003E-3</v>
      </c>
      <c r="ED213" s="567">
        <f t="shared" si="1248"/>
        <v>0</v>
      </c>
      <c r="EE213" s="514">
        <f t="shared" si="1249"/>
        <v>0</v>
      </c>
      <c r="EF213" s="514">
        <f t="shared" si="1250"/>
        <v>0</v>
      </c>
      <c r="EG213" s="514">
        <f t="shared" si="1251"/>
        <v>0</v>
      </c>
      <c r="EH213" s="514">
        <f t="shared" si="1252"/>
        <v>0</v>
      </c>
      <c r="EI213" s="501"/>
      <c r="EJ213" s="567">
        <f t="shared" si="1253"/>
        <v>0</v>
      </c>
      <c r="EK213" s="514">
        <f t="shared" si="1254"/>
        <v>0</v>
      </c>
      <c r="EL213" s="514">
        <f t="shared" si="1255"/>
        <v>0</v>
      </c>
      <c r="EM213" s="514">
        <f t="shared" si="1256"/>
        <v>0</v>
      </c>
      <c r="EN213" s="514">
        <f t="shared" si="1257"/>
        <v>0</v>
      </c>
      <c r="EO213" s="501"/>
      <c r="EP213" s="585">
        <f t="shared" si="1258"/>
        <v>1</v>
      </c>
      <c r="EQ213" s="585">
        <f t="shared" si="1259"/>
        <v>0</v>
      </c>
      <c r="ER213" s="585">
        <f t="shared" si="1260"/>
        <v>0</v>
      </c>
      <c r="ES213" s="606"/>
      <c r="ET213" s="567">
        <f>COUNTIF('LS | Drawing List'!$G:$G,"LS-V40-1")</f>
        <v>10</v>
      </c>
      <c r="EU213" s="582">
        <f>COUNTIFS('LS | Drawing List'!$G:$G,"LS-V40-1",'LS | Drawing List'!$I:$I,1)</f>
        <v>10</v>
      </c>
      <c r="EV213" s="582">
        <f>COUNTIFS('LS | Drawing List'!$G:$G,"LS-V40-1",'LS | Drawing List'!$K:$K,1)</f>
        <v>0</v>
      </c>
      <c r="EW213" s="567">
        <f>COUNTIFS('LS | Drawing List'!$G:$G,"LS-V40-1",'LS | Drawing List'!L:L,1)</f>
        <v>0</v>
      </c>
      <c r="EX213" s="567">
        <f>COUNTIFS('LS | Drawing List'!$G:$G,"LS-V40-1",'LS | Drawing List'!M:M,1)</f>
        <v>0</v>
      </c>
      <c r="EY213" s="567">
        <f>COUNTIFS('LS | Drawing List'!$G:$G,"LS-V40-1",'LS | Drawing List'!N:N,1)</f>
        <v>0</v>
      </c>
      <c r="EZ213" s="567">
        <f>COUNTIFS('LS | Drawing List'!$G:$G,"LS-V40-1",'LS | Drawing List'!O:O,1)</f>
        <v>0</v>
      </c>
      <c r="FA213" s="574"/>
      <c r="FB213" s="582">
        <f>COUNTIFS('LS | Drawing List'!$G:$G,"LS-V40-1",'LS | Drawing List'!$P:$P,1)</f>
        <v>0</v>
      </c>
      <c r="FC213" s="567">
        <f>COUNTIFS('LS | Drawing List'!$G:$G,"LS-V40-1",'LS | Drawing List'!Q:Q,1)</f>
        <v>0</v>
      </c>
      <c r="FD213" s="567">
        <f>COUNTIFS('LS | Drawing List'!$G:$G,"LS-V40-1",'LS | Drawing List'!R:R,1)</f>
        <v>0</v>
      </c>
      <c r="FE213" s="567">
        <f>COUNTIFS('LS | Drawing List'!$G:$G,"LS-V40-1",'LS | Drawing List'!S:S,1)</f>
        <v>0</v>
      </c>
      <c r="FF213" s="567">
        <f>COUNTIFS('LS | Drawing List'!$G:$G,"LS-V40-1",'LS | Drawing List'!T:T,1)</f>
        <v>0</v>
      </c>
    </row>
    <row r="214" spans="2:162" ht="14.25" outlineLevel="2">
      <c r="B214" s="564" t="s">
        <v>255</v>
      </c>
      <c r="C214" s="565">
        <v>6</v>
      </c>
      <c r="D214" s="566" t="s">
        <v>196</v>
      </c>
      <c r="F214" s="500">
        <f t="shared" si="1201"/>
        <v>1.343538962385677</v>
      </c>
      <c r="G214" s="500">
        <f t="shared" si="1202"/>
        <v>1.343538962385677</v>
      </c>
      <c r="H214" s="514">
        <f t="shared" si="1203"/>
        <v>0</v>
      </c>
      <c r="I214" s="514">
        <f t="shared" si="1118"/>
        <v>0</v>
      </c>
      <c r="J214" s="514">
        <f t="shared" si="1119"/>
        <v>0</v>
      </c>
      <c r="K214" s="514">
        <f t="shared" si="1120"/>
        <v>0</v>
      </c>
      <c r="L214" s="514">
        <f t="shared" si="1121"/>
        <v>0</v>
      </c>
      <c r="M214" s="567">
        <f t="shared" si="1122"/>
        <v>0</v>
      </c>
      <c r="N214" s="568"/>
      <c r="O214" s="514">
        <f t="shared" si="1123"/>
        <v>0</v>
      </c>
      <c r="P214" s="514">
        <f t="shared" si="1124"/>
        <v>0</v>
      </c>
      <c r="Q214" s="514">
        <f t="shared" si="1125"/>
        <v>0</v>
      </c>
      <c r="R214" s="514">
        <f t="shared" si="1126"/>
        <v>0</v>
      </c>
      <c r="S214" s="514">
        <f t="shared" si="1127"/>
        <v>0</v>
      </c>
      <c r="U214" s="571">
        <f t="shared" si="1261"/>
        <v>0.05</v>
      </c>
      <c r="V214" s="503"/>
      <c r="W214" s="500">
        <f t="shared" si="1204"/>
        <v>1.182075</v>
      </c>
      <c r="X214" s="500">
        <f t="shared" si="1000"/>
        <v>1.182075</v>
      </c>
      <c r="Y214" s="514">
        <f t="shared" si="1205"/>
        <v>1.182075</v>
      </c>
      <c r="Z214" s="514">
        <f t="shared" si="1206"/>
        <v>0</v>
      </c>
      <c r="AA214" s="514">
        <f t="shared" si="1207"/>
        <v>0</v>
      </c>
      <c r="AB214" s="514">
        <f t="shared" si="1208"/>
        <v>0</v>
      </c>
      <c r="AC214" s="514">
        <f t="shared" si="1209"/>
        <v>0</v>
      </c>
      <c r="AD214" s="567">
        <f t="shared" si="1210"/>
        <v>0</v>
      </c>
      <c r="AE214" s="568"/>
      <c r="AF214" s="514">
        <f t="shared" si="1211"/>
        <v>0</v>
      </c>
      <c r="AG214" s="514">
        <f t="shared" si="1212"/>
        <v>0</v>
      </c>
      <c r="AH214" s="514">
        <f t="shared" si="1213"/>
        <v>0</v>
      </c>
      <c r="AI214" s="514">
        <f t="shared" si="1214"/>
        <v>0</v>
      </c>
      <c r="AJ214" s="514">
        <f t="shared" si="1215"/>
        <v>0</v>
      </c>
      <c r="AK214" s="501"/>
      <c r="AL214" s="570">
        <f t="shared" si="1216"/>
        <v>1</v>
      </c>
      <c r="AM214" s="570">
        <f t="shared" si="1217"/>
        <v>0</v>
      </c>
      <c r="AN214" s="570">
        <f t="shared" si="1218"/>
        <v>0</v>
      </c>
      <c r="AO214" s="518"/>
      <c r="AP214" s="514">
        <f>COUNTIF('AR | Drawing List'!$G:$G,"AR-R11-1")</f>
        <v>231</v>
      </c>
      <c r="AQ214" s="506">
        <f>COUNTIFS('AR | Drawing List'!$G:$G,"AR-R11-1",'AR | Drawing List'!$I:$I,1)</f>
        <v>231</v>
      </c>
      <c r="AR214" s="506">
        <f t="shared" ref="AR214:AR215" si="1264">SUM(AS214:AV214)</f>
        <v>0</v>
      </c>
      <c r="AS214" s="506">
        <f>COUNTIFS('AR | Drawing List'!$G:$G,"AR-R11-1",'AR | Drawing List'!M:M,1)</f>
        <v>0</v>
      </c>
      <c r="AT214" s="506">
        <f>COUNTIFS('AR | Drawing List'!$G:$G,"AR-R11-1",'AR | Drawing List'!N:N,1)</f>
        <v>0</v>
      </c>
      <c r="AU214" s="506">
        <f>COUNTIFS('AR | Drawing List'!$G:$G,"AR-R11-1",'AR | Drawing List'!O:O,1)</f>
        <v>0</v>
      </c>
      <c r="AV214" s="506">
        <f>COUNTIFS('AR | Drawing List'!$G:$G,"AR-R11-1",'AR | Drawing List'!P:P,1)</f>
        <v>0</v>
      </c>
      <c r="AW214" s="466"/>
      <c r="AX214" s="506">
        <f t="shared" ref="AX214:AX218" si="1265">SUM(AY214:BB214)</f>
        <v>0</v>
      </c>
      <c r="AY214" s="506">
        <f>COUNTIFS('AR | Drawing List'!$G:$G,"AR-R11-1",'AR | Drawing List'!R:R,1)</f>
        <v>0</v>
      </c>
      <c r="AZ214" s="506">
        <f>COUNTIFS('AR | Drawing List'!$G:$G,"AR-R11-1",'AR | Drawing List'!S:S,1)</f>
        <v>0</v>
      </c>
      <c r="BA214" s="506">
        <f>COUNTIFS('AR | Drawing List'!$G:$G,"AR-R11-1",'AR | Drawing List'!T:T,1)</f>
        <v>0</v>
      </c>
      <c r="BB214" s="506">
        <f>COUNTIFS('AR | Drawing List'!$G:$G,"AR-R11-1",'AR | Drawing List'!U:U,1)</f>
        <v>0</v>
      </c>
      <c r="BC214" s="551"/>
      <c r="BD214" s="551"/>
      <c r="BE214" s="511">
        <v>0</v>
      </c>
      <c r="BF214" s="508"/>
      <c r="BG214" s="509"/>
      <c r="BH214" s="510">
        <f t="shared" si="1001"/>
        <v>0</v>
      </c>
      <c r="BI214" s="615"/>
      <c r="BJ214" s="615"/>
      <c r="BK214" s="514">
        <f t="shared" si="1219"/>
        <v>0</v>
      </c>
      <c r="BL214" s="514">
        <f t="shared" si="1220"/>
        <v>0</v>
      </c>
      <c r="BM214" s="514">
        <f t="shared" si="1221"/>
        <v>0</v>
      </c>
      <c r="BN214" s="514">
        <f t="shared" si="1222"/>
        <v>0</v>
      </c>
      <c r="BO214" s="501"/>
      <c r="BP214" s="514">
        <f t="shared" si="1223"/>
        <v>0</v>
      </c>
      <c r="BQ214" s="514">
        <f t="shared" si="1224"/>
        <v>0</v>
      </c>
      <c r="BR214" s="514">
        <f t="shared" si="1225"/>
        <v>0</v>
      </c>
      <c r="BS214" s="514">
        <f t="shared" si="1226"/>
        <v>0</v>
      </c>
      <c r="BT214" s="514">
        <f t="shared" si="1227"/>
        <v>0</v>
      </c>
      <c r="BU214" s="501"/>
      <c r="BV214" s="571">
        <f t="shared" ref="BV214:BV218" si="1266">IFERROR(CA214/BZ214,0)</f>
        <v>0</v>
      </c>
      <c r="BW214" s="571">
        <f t="shared" ref="BW214:BW218" si="1267">IFERROR(CB214/BZ214,0)</f>
        <v>0</v>
      </c>
      <c r="BX214" s="571">
        <f t="shared" ref="BX214:BX218" si="1268">IFERROR(CH214/BZ214,0)</f>
        <v>0</v>
      </c>
      <c r="BY214" s="518"/>
      <c r="BZ214" s="552"/>
      <c r="CA214" s="552"/>
      <c r="CB214" s="608"/>
      <c r="CC214" s="506">
        <f>COUNTIFS('ST | Drawing List'!$G:$G,"ST-T01-4",'ST | Drawing List'!L:L,1)</f>
        <v>0</v>
      </c>
      <c r="CD214" s="506">
        <f>COUNTIFS('ST | Drawing List'!$G:$G,"ST-T01-4",'ST | Drawing List'!M:M,1)</f>
        <v>0</v>
      </c>
      <c r="CE214" s="506">
        <f>COUNTIFS('ST | Drawing List'!$G:$G,"ST-T01-4",'ST | Drawing List'!N:N,1)</f>
        <v>0</v>
      </c>
      <c r="CF214" s="506">
        <f>COUNTIFS('ST | Drawing List'!$G:$G,"ST-T01-4",'ST | Drawing List'!O:O,1)</f>
        <v>0</v>
      </c>
      <c r="CG214" s="471"/>
      <c r="CH214" s="608"/>
      <c r="CI214" s="506">
        <f>COUNTIFS('ST | Drawing List'!$G:$G,"ST-T01-4",'ST | Drawing List'!Q:Q,1)</f>
        <v>0</v>
      </c>
      <c r="CJ214" s="506">
        <f>COUNTIFS('ST | Drawing List'!$G:$G,"ST-T01-4",'ST | Drawing List'!R:R,1)</f>
        <v>0</v>
      </c>
      <c r="CK214" s="506">
        <f>COUNTIFS('ST | Drawing List'!$G:$G,"ST-T01-4",'ST | Drawing List'!S:S,1)</f>
        <v>0</v>
      </c>
      <c r="CL214" s="506">
        <f>COUNTIFS('ST | Drawing List'!$G:$G,"ST-T01-4",'ST | Drawing List'!T:T,1)</f>
        <v>0</v>
      </c>
      <c r="CM214" s="508"/>
      <c r="CN214" s="508"/>
      <c r="CO214" s="571">
        <f t="shared" si="1262"/>
        <v>6.5000000000000002E-2</v>
      </c>
      <c r="CP214" s="508"/>
      <c r="CQ214" s="506">
        <f t="shared" si="1231"/>
        <v>0.16008637194067718</v>
      </c>
      <c r="CR214" s="510">
        <f t="shared" si="1002"/>
        <v>0.16008637194067718</v>
      </c>
      <c r="CS214" s="514">
        <f t="shared" si="1232"/>
        <v>0.16008637194067718</v>
      </c>
      <c r="CT214" s="514">
        <f t="shared" ref="CT214:CT218" si="1269">IFERROR(IF(AND((DF214+DG214)=100%,DF214&lt;1),CQ214,0),0)</f>
        <v>0</v>
      </c>
      <c r="CU214" s="514">
        <f t="shared" ref="CU214:CU218" si="1270">IFERROR(IF(AND((DK214+DM214)=DJ214,CS214=0),CQ214,0),0)</f>
        <v>0</v>
      </c>
      <c r="CV214" s="514">
        <f t="shared" ref="CV214:CV218" si="1271">IFERROR(IF(AND((DK214+DM214+DN214)=DJ214,CS214=0,CU214=0),CQ214,0),0)</f>
        <v>0</v>
      </c>
      <c r="CW214" s="514">
        <f t="shared" ref="CW214:CW218" si="1272">IFERROR(IF(AND((DK214+DM214+DN214+DO214)=DJ214,CS214=0,CU214=0,CV214=0),CQ214,0),0)</f>
        <v>0</v>
      </c>
      <c r="CX214" s="514">
        <f t="shared" ref="CX214:CX218" si="1273">IFERROR(IF(AND((DK214+DM214+DN214+DO214+DP214)=DJ214,CS214=0,CU214=0,CV214=0,CW214=0),CQ214,0),0)</f>
        <v>0</v>
      </c>
      <c r="CY214" s="501"/>
      <c r="CZ214" s="514">
        <f t="shared" ref="CZ214:CZ218" si="1274">IFERROR(IF(AND((DF214+DH214)=100%,DF214&lt;1),CQ214,0),0)</f>
        <v>0</v>
      </c>
      <c r="DA214" s="514">
        <f t="shared" ref="DA214:DA218" si="1275">IFERROR(IF(AND((DK214+DS214)=DJ214,CS214=0),CQ214,0),0)</f>
        <v>0</v>
      </c>
      <c r="DB214" s="514">
        <f t="shared" ref="DB214:DB218" si="1276">IFERROR(IF(AND((DK214+DS214+DT214)=DJ214,CS214=0,DA214=0),CQ214,0),0)</f>
        <v>0</v>
      </c>
      <c r="DC214" s="514">
        <f t="shared" ref="DC214:DC218" si="1277">IFERROR(IF(AND((DK214+DS214+DT214+DU214)=DJ214,CS214=0,DA214=0,DB214=0),CQ214,0),0)</f>
        <v>0</v>
      </c>
      <c r="DD214" s="514">
        <f t="shared" ref="DD214:DD218" si="1278">IFERROR(IF(AND((DK214+DS214+DT214+DU214+DV214)=DJ214,CS214=0,DA214=0,DB214=0,DC214=0),CQ214,0),0)</f>
        <v>0</v>
      </c>
      <c r="DE214" s="501"/>
      <c r="DF214" s="570">
        <f t="shared" ref="DF214:DF218" si="1279">IFERROR(DK214/DJ214,0)</f>
        <v>1</v>
      </c>
      <c r="DG214" s="570">
        <f t="shared" ref="DG214:DG218" si="1280">IFERROR(DL214/DJ214,0)</f>
        <v>0</v>
      </c>
      <c r="DH214" s="570">
        <f t="shared" ref="DH214:DH218" si="1281">IFERROR(DR214/DJ214,0)</f>
        <v>0</v>
      </c>
      <c r="DI214" s="518"/>
      <c r="DJ214" s="514">
        <f>COUNTIF('MEP | Drawing List'!$G:$G,"MEP-R11-1")</f>
        <v>13</v>
      </c>
      <c r="DK214" s="506">
        <f>COUNTIFS('MEP | Drawing List'!$G:$G,"MEP-R11-1",'MEP | Drawing List'!$I:$I,1)</f>
        <v>13</v>
      </c>
      <c r="DL214" s="506">
        <f>COUNTIFS('MEP | Drawing List'!$G:$G,"MEP-R11-1",'MEP | Drawing List'!$K:$K,1)</f>
        <v>0</v>
      </c>
      <c r="DM214" s="514">
        <f>COUNTIFS('MEP | Drawing List'!$G:$G,"MEP-R11-1",'MEP | Drawing List'!L:L,1)</f>
        <v>0</v>
      </c>
      <c r="DN214" s="514">
        <f>COUNTIFS('MEP | Drawing List'!$G:$G,"MEP-R11-1",'MEP | Drawing List'!M:M,1)</f>
        <v>0</v>
      </c>
      <c r="DO214" s="514">
        <f>COUNTIFS('MEP | Drawing List'!$G:$G,"MEP-R11-1",'MEP | Drawing List'!N:N,1)</f>
        <v>0</v>
      </c>
      <c r="DP214" s="514">
        <f>COUNTIFS('MEP | Drawing List'!$G:$G,"MEP-R11-1",'MEP | Drawing List'!O:O,1)</f>
        <v>0</v>
      </c>
      <c r="DQ214" s="501"/>
      <c r="DR214" s="506">
        <f>COUNTIFS('MEP | Drawing List'!$G:$G,"MEP-R11-1",'MEP | Drawing List'!$P:$P,1)</f>
        <v>0</v>
      </c>
      <c r="DS214" s="514">
        <f>COUNTIFS('MEP | Drawing List'!$G:$G,"MEP-R11-1",'MEP | Drawing List'!Q:Q,1)</f>
        <v>0</v>
      </c>
      <c r="DT214" s="514">
        <f>COUNTIFS('MEP | Drawing List'!$G:$G,"MEP-R11-1",'MEP | Drawing List'!R:R,1)</f>
        <v>0</v>
      </c>
      <c r="DU214" s="514">
        <f>COUNTIFS('MEP | Drawing List'!$G:$G,"MEP-R11-1",'MEP | Drawing List'!S:S,1)</f>
        <v>0</v>
      </c>
      <c r="DV214" s="514">
        <f>COUNTIFS('MEP | Drawing List'!$G:$G,"MEP-R11-1",'MEP | Drawing List'!T:T,1)</f>
        <v>0</v>
      </c>
      <c r="DW214" s="508"/>
      <c r="DX214" s="508"/>
      <c r="DY214" s="571">
        <f t="shared" si="1263"/>
        <v>5.5000000000000007E-2</v>
      </c>
      <c r="DZ214" s="508"/>
      <c r="EA214" s="506">
        <f t="shared" si="1246"/>
        <v>1.3775904450000003E-3</v>
      </c>
      <c r="EB214" s="510">
        <f t="shared" si="1003"/>
        <v>1.3775904450000003E-3</v>
      </c>
      <c r="EC214" s="514">
        <f t="shared" si="1247"/>
        <v>1.3775904450000003E-3</v>
      </c>
      <c r="ED214" s="514">
        <f t="shared" si="1248"/>
        <v>0</v>
      </c>
      <c r="EE214" s="514">
        <f t="shared" si="1249"/>
        <v>0</v>
      </c>
      <c r="EF214" s="514">
        <f t="shared" si="1250"/>
        <v>0</v>
      </c>
      <c r="EG214" s="514">
        <f t="shared" si="1251"/>
        <v>0</v>
      </c>
      <c r="EH214" s="514">
        <f t="shared" si="1252"/>
        <v>0</v>
      </c>
      <c r="EI214" s="501"/>
      <c r="EJ214" s="567">
        <f t="shared" ref="EJ214:EJ218" si="1282">IFERROR(IF(AND((EP214+ER214)=100%,EP214&lt;1),EA214,0),0)</f>
        <v>0</v>
      </c>
      <c r="EK214" s="514">
        <f t="shared" ref="EK214:EK218" si="1283">IFERROR(IF(AND((EU214+FC214)=ET214,EC214=0),EA214,0),0)</f>
        <v>0</v>
      </c>
      <c r="EL214" s="514">
        <f t="shared" ref="EL214:EL218" si="1284">IFERROR(IF(AND((EU214+FC214+FD214)=ET214,EC214=0,EK214=0),EA214,0),0)</f>
        <v>0</v>
      </c>
      <c r="EM214" s="514">
        <f t="shared" ref="EM214:EM218" si="1285">IFERROR(IF(AND((EU214+FC214+FD214+FE214)=ET214,EC214=0,EK214=0,EL214=0),EA214,0),0)</f>
        <v>0</v>
      </c>
      <c r="EN214" s="514">
        <f t="shared" ref="EN214:EN218" si="1286">IFERROR(IF(AND((EU214+FC214+FD214+FE214+FF214)=ET214,EC214=0,EK214=0,EL214=0,EM214=0),EA214,0),0)</f>
        <v>0</v>
      </c>
      <c r="EO214" s="501"/>
      <c r="EP214" s="585">
        <f t="shared" ref="EP214:EP218" si="1287">IFERROR(EU214/ET214,0)</f>
        <v>1</v>
      </c>
      <c r="EQ214" s="585">
        <f t="shared" ref="EQ214:EQ218" si="1288">IFERROR(EV214/ET214,0)</f>
        <v>0</v>
      </c>
      <c r="ER214" s="585">
        <f t="shared" ref="ER214:ER218" si="1289">IFERROR(FB214/ET214,0)</f>
        <v>0</v>
      </c>
      <c r="ET214" s="514">
        <f>COUNTIF('LS | Drawing List'!$G:$G,"LS-R11-1")</f>
        <v>10</v>
      </c>
      <c r="EU214" s="506">
        <f>COUNTIFS('LS | Drawing List'!$G:$G,"LS-R11-1",'LS | Drawing List'!$I:$I,1)</f>
        <v>10</v>
      </c>
      <c r="EV214" s="506">
        <f>COUNTIFS('LS | Drawing List'!$G:$G,"LS-R11-1",'LS | Drawing List'!$K:$K,1)</f>
        <v>0</v>
      </c>
      <c r="EW214" s="514">
        <f>COUNTIFS('LS | Drawing List'!$G:$G,"LS-R11-1",'LS | Drawing List'!L:L,1)</f>
        <v>0</v>
      </c>
      <c r="EX214" s="514">
        <f>COUNTIFS('LS | Drawing List'!$G:$G,"LS-R11-1",'LS | Drawing List'!M:M,1)</f>
        <v>0</v>
      </c>
      <c r="EY214" s="514">
        <f>COUNTIFS('LS | Drawing List'!$G:$G,"LS-R11-1",'LS | Drawing List'!N:N,1)</f>
        <v>0</v>
      </c>
      <c r="EZ214" s="514">
        <f>COUNTIFS('LS | Drawing List'!$G:$G,"LS-R11-1",'LS | Drawing List'!O:O,1)</f>
        <v>0</v>
      </c>
      <c r="FA214" s="515"/>
      <c r="FB214" s="506">
        <f>COUNTIFS('LS | Drawing List'!$G:$G,"LS-R11-1",'LS | Drawing List'!$P:$P,1)</f>
        <v>0</v>
      </c>
      <c r="FC214" s="514">
        <f>COUNTIFS('LS | Drawing List'!$G:$G,"LS-R11-1",'LS | Drawing List'!Q:Q,1)</f>
        <v>0</v>
      </c>
      <c r="FD214" s="514">
        <f>COUNTIFS('LS | Drawing List'!$G:$G,"LS-R11-1",'LS | Drawing List'!R:R,1)</f>
        <v>0</v>
      </c>
      <c r="FE214" s="514">
        <f>COUNTIFS('LS | Drawing List'!$G:$G,"LS-R11-1",'LS | Drawing List'!S:S,1)</f>
        <v>0</v>
      </c>
      <c r="FF214" s="514">
        <f>COUNTIFS('LS | Drawing List'!$G:$G,"LS-R11-1",'LS | Drawing List'!T:T,1)</f>
        <v>0</v>
      </c>
    </row>
    <row r="215" spans="2:162" s="51" customFormat="1" ht="14.25" outlineLevel="2">
      <c r="B215" s="604" t="s">
        <v>256</v>
      </c>
      <c r="C215" s="579">
        <v>7</v>
      </c>
      <c r="D215" s="580" t="s">
        <v>197</v>
      </c>
      <c r="F215" s="500">
        <f t="shared" si="1201"/>
        <v>1.343538962385677</v>
      </c>
      <c r="G215" s="500">
        <f t="shared" si="1202"/>
        <v>1.343538962385677</v>
      </c>
      <c r="H215" s="514">
        <f t="shared" si="1203"/>
        <v>0</v>
      </c>
      <c r="I215" s="514">
        <f t="shared" si="1118"/>
        <v>0</v>
      </c>
      <c r="J215" s="514">
        <f t="shared" si="1119"/>
        <v>0</v>
      </c>
      <c r="K215" s="514">
        <f t="shared" si="1120"/>
        <v>0</v>
      </c>
      <c r="L215" s="514">
        <f t="shared" si="1121"/>
        <v>0</v>
      </c>
      <c r="M215" s="567">
        <f t="shared" si="1122"/>
        <v>0</v>
      </c>
      <c r="N215" s="568"/>
      <c r="O215" s="514">
        <f t="shared" si="1123"/>
        <v>0</v>
      </c>
      <c r="P215" s="514">
        <f t="shared" si="1124"/>
        <v>0</v>
      </c>
      <c r="Q215" s="514">
        <f t="shared" si="1125"/>
        <v>0</v>
      </c>
      <c r="R215" s="514">
        <f t="shared" si="1126"/>
        <v>0</v>
      </c>
      <c r="S215" s="514">
        <f t="shared" si="1127"/>
        <v>0</v>
      </c>
      <c r="U215" s="571">
        <f t="shared" si="1261"/>
        <v>0.05</v>
      </c>
      <c r="V215" s="584"/>
      <c r="W215" s="581">
        <f t="shared" si="1204"/>
        <v>1.182075</v>
      </c>
      <c r="X215" s="581">
        <f t="shared" si="1000"/>
        <v>1.182075</v>
      </c>
      <c r="Y215" s="567">
        <f t="shared" si="1205"/>
        <v>1.182075</v>
      </c>
      <c r="Z215" s="567">
        <f t="shared" si="1206"/>
        <v>0</v>
      </c>
      <c r="AA215" s="567">
        <f t="shared" si="1207"/>
        <v>0</v>
      </c>
      <c r="AB215" s="567">
        <f t="shared" si="1208"/>
        <v>0</v>
      </c>
      <c r="AC215" s="567">
        <f t="shared" si="1209"/>
        <v>0</v>
      </c>
      <c r="AD215" s="567">
        <f t="shared" si="1210"/>
        <v>0</v>
      </c>
      <c r="AE215" s="568"/>
      <c r="AF215" s="514">
        <f t="shared" si="1211"/>
        <v>0</v>
      </c>
      <c r="AG215" s="514">
        <f t="shared" si="1212"/>
        <v>0</v>
      </c>
      <c r="AH215" s="514">
        <f t="shared" si="1213"/>
        <v>0</v>
      </c>
      <c r="AI215" s="514">
        <f t="shared" si="1214"/>
        <v>0</v>
      </c>
      <c r="AJ215" s="514">
        <f t="shared" si="1215"/>
        <v>0</v>
      </c>
      <c r="AK215" s="501"/>
      <c r="AL215" s="585">
        <f t="shared" si="1216"/>
        <v>1</v>
      </c>
      <c r="AM215" s="585">
        <f t="shared" si="1217"/>
        <v>0</v>
      </c>
      <c r="AN215" s="570">
        <f t="shared" si="1218"/>
        <v>0</v>
      </c>
      <c r="AO215" s="605"/>
      <c r="AP215" s="567">
        <f>COUNTIF('AR | Drawing List'!$G:$G,"AR-R22-1")</f>
        <v>594</v>
      </c>
      <c r="AQ215" s="582">
        <f>COUNTIFS('AR | Drawing List'!$G:$G,"AR-R22-1",'AR | Drawing List'!$I:$I,1)</f>
        <v>594</v>
      </c>
      <c r="AR215" s="582">
        <f t="shared" si="1264"/>
        <v>0</v>
      </c>
      <c r="AS215" s="582">
        <f>COUNTIFS('AR | Drawing List'!$G:$G,"AR-R22-1",'AR | Drawing List'!M:M,1)</f>
        <v>0</v>
      </c>
      <c r="AT215" s="582">
        <f>COUNTIFS('AR | Drawing List'!$G:$G,"AR-R22-1",'AR | Drawing List'!N:N,1)</f>
        <v>0</v>
      </c>
      <c r="AU215" s="582">
        <f>COUNTIFS('AR | Drawing List'!$G:$G,"AR-R22-1",'AR | Drawing List'!O:O,1)</f>
        <v>0</v>
      </c>
      <c r="AV215" s="582">
        <f>COUNTIFS('AR | Drawing List'!$G:$G,"AR-R22-1",'AR | Drawing List'!P:P,1)</f>
        <v>0</v>
      </c>
      <c r="AW215" s="587"/>
      <c r="AX215" s="582">
        <f t="shared" si="1265"/>
        <v>0</v>
      </c>
      <c r="AY215" s="582">
        <f>COUNTIFS('AR | Drawing List'!$G:$G,"AR-R22-1",'AR | Drawing List'!R:R,1)</f>
        <v>0</v>
      </c>
      <c r="AZ215" s="582">
        <f>COUNTIFS('AR | Drawing List'!$G:$G,"AR-R22-1",'AR | Drawing List'!S:S,1)</f>
        <v>0</v>
      </c>
      <c r="BA215" s="582">
        <f>COUNTIFS('AR | Drawing List'!$G:$G,"AR-R22-1",'AR | Drawing List'!T:T,1)</f>
        <v>0</v>
      </c>
      <c r="BB215" s="582">
        <f>COUNTIFS('AR | Drawing List'!$G:$G,"AR-R22-1",'AR | Drawing List'!U:U,1)</f>
        <v>0</v>
      </c>
      <c r="BC215" s="599"/>
      <c r="BD215" s="599"/>
      <c r="BE215" s="592">
        <v>0</v>
      </c>
      <c r="BF215" s="588"/>
      <c r="BG215" s="617"/>
      <c r="BH215" s="589">
        <f t="shared" si="1001"/>
        <v>0</v>
      </c>
      <c r="BI215" s="636"/>
      <c r="BJ215" s="636"/>
      <c r="BK215" s="514">
        <f t="shared" si="1219"/>
        <v>0</v>
      </c>
      <c r="BL215" s="514">
        <f t="shared" si="1220"/>
        <v>0</v>
      </c>
      <c r="BM215" s="514">
        <f t="shared" si="1221"/>
        <v>0</v>
      </c>
      <c r="BN215" s="514">
        <f t="shared" si="1222"/>
        <v>0</v>
      </c>
      <c r="BO215" s="501"/>
      <c r="BP215" s="514">
        <f t="shared" si="1223"/>
        <v>0</v>
      </c>
      <c r="BQ215" s="514">
        <f t="shared" si="1224"/>
        <v>0</v>
      </c>
      <c r="BR215" s="514">
        <f t="shared" si="1225"/>
        <v>0</v>
      </c>
      <c r="BS215" s="514">
        <f t="shared" si="1226"/>
        <v>0</v>
      </c>
      <c r="BT215" s="514">
        <f t="shared" si="1227"/>
        <v>0</v>
      </c>
      <c r="BU215" s="501"/>
      <c r="BV215" s="571">
        <f t="shared" si="1266"/>
        <v>0</v>
      </c>
      <c r="BW215" s="571">
        <f t="shared" si="1267"/>
        <v>0</v>
      </c>
      <c r="BX215" s="571">
        <f t="shared" si="1268"/>
        <v>0</v>
      </c>
      <c r="BY215" s="605"/>
      <c r="BZ215" s="618"/>
      <c r="CA215" s="618"/>
      <c r="CB215" s="637"/>
      <c r="CC215" s="582">
        <f>COUNTIFS('ST | Drawing List'!$G:$G,"ST-T01-5",'ST | Drawing List'!L:L,1)</f>
        <v>0</v>
      </c>
      <c r="CD215" s="582">
        <f>COUNTIFS('ST | Drawing List'!$G:$G,"ST-T01-5",'ST | Drawing List'!M:M,1)</f>
        <v>0</v>
      </c>
      <c r="CE215" s="582">
        <f>COUNTIFS('ST | Drawing List'!$G:$G,"ST-T01-5",'ST | Drawing List'!N:N,1)</f>
        <v>0</v>
      </c>
      <c r="CF215" s="582">
        <f>COUNTIFS('ST | Drawing List'!$G:$G,"ST-T01-5",'ST | Drawing List'!O:O,1)</f>
        <v>0</v>
      </c>
      <c r="CG215" s="591"/>
      <c r="CH215" s="637"/>
      <c r="CI215" s="582">
        <f>COUNTIFS('ST | Drawing List'!$G:$G,"ST-T01-5",'ST | Drawing List'!Q:Q,1)</f>
        <v>0</v>
      </c>
      <c r="CJ215" s="582">
        <f>COUNTIFS('ST | Drawing List'!$G:$G,"ST-T01-5",'ST | Drawing List'!R:R,1)</f>
        <v>0</v>
      </c>
      <c r="CK215" s="582">
        <f>COUNTIFS('ST | Drawing List'!$G:$G,"ST-T01-5",'ST | Drawing List'!S:S,1)</f>
        <v>0</v>
      </c>
      <c r="CL215" s="582">
        <f>COUNTIFS('ST | Drawing List'!$G:$G,"ST-T01-5",'ST | Drawing List'!T:T,1)</f>
        <v>0</v>
      </c>
      <c r="CM215" s="588"/>
      <c r="CN215" s="588"/>
      <c r="CO215" s="571">
        <f t="shared" si="1262"/>
        <v>6.5000000000000002E-2</v>
      </c>
      <c r="CP215" s="588"/>
      <c r="CQ215" s="582">
        <f t="shared" si="1231"/>
        <v>0.16008637194067718</v>
      </c>
      <c r="CR215" s="589">
        <f t="shared" si="1002"/>
        <v>0.16008637194067718</v>
      </c>
      <c r="CS215" s="567">
        <f t="shared" si="1232"/>
        <v>0.16008637194067718</v>
      </c>
      <c r="CT215" s="514">
        <f t="shared" si="1269"/>
        <v>0</v>
      </c>
      <c r="CU215" s="514">
        <f t="shared" si="1270"/>
        <v>0</v>
      </c>
      <c r="CV215" s="514">
        <f t="shared" si="1271"/>
        <v>0</v>
      </c>
      <c r="CW215" s="514">
        <f t="shared" si="1272"/>
        <v>0</v>
      </c>
      <c r="CX215" s="514">
        <f t="shared" si="1273"/>
        <v>0</v>
      </c>
      <c r="CY215" s="501"/>
      <c r="CZ215" s="514">
        <f t="shared" si="1274"/>
        <v>0</v>
      </c>
      <c r="DA215" s="514">
        <f t="shared" si="1275"/>
        <v>0</v>
      </c>
      <c r="DB215" s="514">
        <f t="shared" si="1276"/>
        <v>0</v>
      </c>
      <c r="DC215" s="514">
        <f t="shared" si="1277"/>
        <v>0</v>
      </c>
      <c r="DD215" s="514">
        <f t="shared" si="1278"/>
        <v>0</v>
      </c>
      <c r="DE215" s="501"/>
      <c r="DF215" s="570">
        <f t="shared" si="1279"/>
        <v>1</v>
      </c>
      <c r="DG215" s="570">
        <f t="shared" si="1280"/>
        <v>0</v>
      </c>
      <c r="DH215" s="570">
        <f t="shared" si="1281"/>
        <v>0</v>
      </c>
      <c r="DI215" s="605"/>
      <c r="DJ215" s="567">
        <f>COUNTIF('MEP | Drawing List'!$G:$G,"MEP-R22-1")</f>
        <v>13</v>
      </c>
      <c r="DK215" s="582">
        <f>COUNTIFS('MEP | Drawing List'!$G:$G,"MEP-R22-1",'MEP | Drawing List'!$I:$I,1)</f>
        <v>13</v>
      </c>
      <c r="DL215" s="582">
        <f>COUNTIFS('MEP | Drawing List'!$G:$G,"MEP-R22-1",'MEP | Drawing List'!$K:$K,1)</f>
        <v>0</v>
      </c>
      <c r="DM215" s="567">
        <f>COUNTIFS('MEP | Drawing List'!$G:$G,"MEP-R22-1",'MEP | Drawing List'!L:L,1)</f>
        <v>0</v>
      </c>
      <c r="DN215" s="567">
        <f>COUNTIFS('MEP | Drawing List'!$G:$G,"MEP-R22-1",'MEP | Drawing List'!M:M,1)</f>
        <v>0</v>
      </c>
      <c r="DO215" s="567">
        <f>COUNTIFS('MEP | Drawing List'!$G:$G,"MEP-R22-1",'MEP | Drawing List'!N:N,1)</f>
        <v>0</v>
      </c>
      <c r="DP215" s="567">
        <f>COUNTIFS('MEP | Drawing List'!$G:$G,"MEP-R22-1",'MEP | Drawing List'!O:O,1)</f>
        <v>0</v>
      </c>
      <c r="DQ215" s="568"/>
      <c r="DR215" s="582">
        <f>COUNTIFS('MEP | Drawing List'!$G:$G,"MEP-R22-1",'MEP | Drawing List'!$P:$P,1)</f>
        <v>0</v>
      </c>
      <c r="DS215" s="567">
        <f>COUNTIFS('MEP | Drawing List'!$G:$G,"MEP-R22-1",'MEP | Drawing List'!Q:Q,1)</f>
        <v>0</v>
      </c>
      <c r="DT215" s="567">
        <f>COUNTIFS('MEP | Drawing List'!$G:$G,"MEP-R22-1",'MEP | Drawing List'!R:R,1)</f>
        <v>0</v>
      </c>
      <c r="DU215" s="567">
        <f>COUNTIFS('MEP | Drawing List'!$G:$G,"MEP-R22-1",'MEP | Drawing List'!S:S,1)</f>
        <v>0</v>
      </c>
      <c r="DV215" s="567">
        <f>COUNTIFS('MEP | Drawing List'!$G:$G,"MEP-R22-1",'MEP | Drawing List'!T:T,1)</f>
        <v>0</v>
      </c>
      <c r="DW215" s="588"/>
      <c r="DX215" s="588"/>
      <c r="DY215" s="571">
        <f t="shared" si="1263"/>
        <v>5.5000000000000007E-2</v>
      </c>
      <c r="DZ215" s="588"/>
      <c r="EA215" s="582">
        <f t="shared" si="1246"/>
        <v>1.3775904450000003E-3</v>
      </c>
      <c r="EB215" s="589">
        <f t="shared" si="1003"/>
        <v>1.3775904450000003E-3</v>
      </c>
      <c r="EC215" s="567">
        <f t="shared" si="1247"/>
        <v>1.3775904450000003E-3</v>
      </c>
      <c r="ED215" s="567">
        <f t="shared" si="1248"/>
        <v>0</v>
      </c>
      <c r="EE215" s="514">
        <f t="shared" si="1249"/>
        <v>0</v>
      </c>
      <c r="EF215" s="514">
        <f t="shared" si="1250"/>
        <v>0</v>
      </c>
      <c r="EG215" s="514">
        <f t="shared" si="1251"/>
        <v>0</v>
      </c>
      <c r="EH215" s="514">
        <f t="shared" si="1252"/>
        <v>0</v>
      </c>
      <c r="EI215" s="501"/>
      <c r="EJ215" s="567">
        <f t="shared" si="1282"/>
        <v>0</v>
      </c>
      <c r="EK215" s="514">
        <f t="shared" si="1283"/>
        <v>0</v>
      </c>
      <c r="EL215" s="514">
        <f t="shared" si="1284"/>
        <v>0</v>
      </c>
      <c r="EM215" s="514">
        <f t="shared" si="1285"/>
        <v>0</v>
      </c>
      <c r="EN215" s="514">
        <f t="shared" si="1286"/>
        <v>0</v>
      </c>
      <c r="EO215" s="501"/>
      <c r="EP215" s="585">
        <f t="shared" si="1287"/>
        <v>1</v>
      </c>
      <c r="EQ215" s="585">
        <f t="shared" si="1288"/>
        <v>0</v>
      </c>
      <c r="ER215" s="585">
        <f t="shared" si="1289"/>
        <v>0</v>
      </c>
      <c r="ES215" s="606"/>
      <c r="ET215" s="567">
        <f>COUNTIF('LS | Drawing List'!$G:$G,"LS-R22-1")</f>
        <v>10</v>
      </c>
      <c r="EU215" s="582">
        <f>COUNTIFS('LS | Drawing List'!$G:$G,"LS-R22-1",'LS | Drawing List'!$I:$I,1)</f>
        <v>10</v>
      </c>
      <c r="EV215" s="582">
        <f>COUNTIFS('LS | Drawing List'!$G:$G,"LS-R22-1",'LS | Drawing List'!$K:$K,1)</f>
        <v>0</v>
      </c>
      <c r="EW215" s="567">
        <f>COUNTIFS('LS | Drawing List'!$G:$G,"LS-R22-1",'LS | Drawing List'!L:L,1)</f>
        <v>0</v>
      </c>
      <c r="EX215" s="567">
        <f>COUNTIFS('LS | Drawing List'!$G:$G,"LS-R22-1",'LS | Drawing List'!M:M,1)</f>
        <v>0</v>
      </c>
      <c r="EY215" s="567">
        <f>COUNTIFS('LS | Drawing List'!$G:$G,"LS-R22-1",'LS | Drawing List'!N:N,1)</f>
        <v>0</v>
      </c>
      <c r="EZ215" s="567">
        <f>COUNTIFS('LS | Drawing List'!$G:$G,"LS-R22-1",'LS | Drawing List'!O:O,1)</f>
        <v>0</v>
      </c>
      <c r="FA215" s="574"/>
      <c r="FB215" s="582">
        <f>COUNTIFS('LS | Drawing List'!$G:$G,"LS-R22-1",'LS | Drawing List'!$P:$P,1)</f>
        <v>0</v>
      </c>
      <c r="FC215" s="567">
        <f>COUNTIFS('LS | Drawing List'!$G:$G,"LS-R22-1",'LS | Drawing List'!Q:Q,1)</f>
        <v>0</v>
      </c>
      <c r="FD215" s="567">
        <f>COUNTIFS('LS | Drawing List'!$G:$G,"LS-R22-1",'LS | Drawing List'!R:R,1)</f>
        <v>0</v>
      </c>
      <c r="FE215" s="567">
        <f>COUNTIFS('LS | Drawing List'!$G:$G,"LS-R22-1",'LS | Drawing List'!S:S,1)</f>
        <v>0</v>
      </c>
      <c r="FF215" s="567">
        <f>COUNTIFS('LS | Drawing List'!$G:$G,"LS-R22-1",'LS | Drawing List'!T:T,1)</f>
        <v>0</v>
      </c>
    </row>
    <row r="216" spans="2:162" ht="14.25" outlineLevel="2">
      <c r="B216" s="564" t="s">
        <v>257</v>
      </c>
      <c r="C216" s="565">
        <v>8</v>
      </c>
      <c r="D216" s="580" t="s">
        <v>198</v>
      </c>
      <c r="F216" s="500">
        <f t="shared" si="1201"/>
        <v>1.343538962385677</v>
      </c>
      <c r="G216" s="500">
        <f t="shared" si="1202"/>
        <v>1.343538962385677</v>
      </c>
      <c r="H216" s="514">
        <f t="shared" si="1203"/>
        <v>0</v>
      </c>
      <c r="I216" s="514">
        <f t="shared" si="1118"/>
        <v>1.182075</v>
      </c>
      <c r="J216" s="514">
        <f t="shared" si="1119"/>
        <v>1.182075</v>
      </c>
      <c r="K216" s="514">
        <f t="shared" si="1120"/>
        <v>0</v>
      </c>
      <c r="L216" s="514">
        <f t="shared" si="1121"/>
        <v>0</v>
      </c>
      <c r="M216" s="567">
        <f t="shared" si="1122"/>
        <v>0</v>
      </c>
      <c r="N216" s="568"/>
      <c r="O216" s="514">
        <f t="shared" si="1123"/>
        <v>1.182075</v>
      </c>
      <c r="P216" s="514">
        <f t="shared" si="1124"/>
        <v>1.182075</v>
      </c>
      <c r="Q216" s="514">
        <f t="shared" si="1125"/>
        <v>0</v>
      </c>
      <c r="R216" s="514">
        <f t="shared" si="1126"/>
        <v>0</v>
      </c>
      <c r="S216" s="514">
        <f t="shared" si="1127"/>
        <v>0</v>
      </c>
      <c r="U216" s="571">
        <f t="shared" si="1261"/>
        <v>0.05</v>
      </c>
      <c r="V216" s="503"/>
      <c r="W216" s="500">
        <f t="shared" ref="W216:W218" si="1290">$W$208/$U$208*U216</f>
        <v>1.182075</v>
      </c>
      <c r="X216" s="500">
        <f t="shared" ref="X216:X218" si="1291">Y216+AF216</f>
        <v>1.182075</v>
      </c>
      <c r="Y216" s="514">
        <f t="shared" ref="Y216:Y218" si="1292">IFERROR(IF(AL216=100%,W216,0),0)</f>
        <v>0</v>
      </c>
      <c r="Z216" s="514">
        <f t="shared" ref="Z216:Z218" si="1293">IFERROR(IF(AND((AL216+AM216)=100%,AL216&lt;1),W216,0),0)</f>
        <v>1.182075</v>
      </c>
      <c r="AA216" s="514">
        <f t="shared" ref="AA216:AA218" si="1294">IFERROR(IF(AND((AQ216+AS216)=AP216,Y216=0),W216,0),0)</f>
        <v>1.182075</v>
      </c>
      <c r="AB216" s="514">
        <f t="shared" ref="AB216:AB218" si="1295">IFERROR(IF(AND((AQ216+AS216+AT216)=AP216,Y216=0,AA216=0),W216,0),0)</f>
        <v>0</v>
      </c>
      <c r="AC216" s="514">
        <f t="shared" ref="AC216:AC218" si="1296">IFERROR(IF(AND((AQ216+AS216+AT216+AU216)=AP216,Y216=0,AA216=0,AB216=0),W216,0),0)</f>
        <v>0</v>
      </c>
      <c r="AD216" s="567">
        <f t="shared" ref="AD216:AD218" si="1297">IFERROR(IF(AND((AQ216+AS216+AT216+AU216+AV216)=AP216,Y216=0,AA216=0,AB216=0,AC216=0),W216,0),0)</f>
        <v>0</v>
      </c>
      <c r="AE216" s="568"/>
      <c r="AF216" s="514">
        <f t="shared" ref="AF216:AF218" si="1298">IFERROR(IF(AND((AL216+AN216)=100%,AL216&lt;1),W216,0),0)</f>
        <v>1.182075</v>
      </c>
      <c r="AG216" s="514">
        <f t="shared" ref="AG216:AG218" si="1299">IFERROR(IF(AND((AQ216+AY216)=AP216,Y216=0),W216,0),0)</f>
        <v>1.182075</v>
      </c>
      <c r="AH216" s="514">
        <f t="shared" ref="AH216:AH218" si="1300">IFERROR(IF(AND((AQ216+AY216+AZ216)=AP216,Y216=0,AG216=0),W216,0),0)</f>
        <v>0</v>
      </c>
      <c r="AI216" s="514">
        <f t="shared" ref="AI216:AI218" si="1301">IFERROR(IF(AND((AQ216+AY216+AZ216+BA216)=AP216,Y216=0,AG216=0,AH216=0),W216,0),0)</f>
        <v>0</v>
      </c>
      <c r="AJ216" s="514">
        <f t="shared" ref="AJ216:AJ218" si="1302">IFERROR(IF(AND((AQ216+AY216+AZ216+BA216+BB216)=AP216,Y216=0,AG216=0,AH216=0,AI216=0),W216,0),0)</f>
        <v>0</v>
      </c>
      <c r="AK216" s="501"/>
      <c r="AL216" s="570">
        <f t="shared" ref="AL216:AL218" si="1303">IFERROR(AQ216/AP216,0)</f>
        <v>0</v>
      </c>
      <c r="AM216" s="570">
        <f t="shared" ref="AM216:AM218" si="1304">IFERROR(AR216/AP216,0)</f>
        <v>1</v>
      </c>
      <c r="AN216" s="570">
        <f t="shared" ref="AN216:AN218" si="1305">IFERROR(AX216/AP216,0)</f>
        <v>1</v>
      </c>
      <c r="AO216" s="518"/>
      <c r="AP216" s="514">
        <f>COUNTIF('AR | Drawing List'!$G:$G,"AR-C20P-1")</f>
        <v>402</v>
      </c>
      <c r="AQ216" s="506">
        <f>COUNTIFS('AR | Drawing List'!$G:$G,"AR-C20P-1",'AR | Drawing List'!$I:$I,1)</f>
        <v>0</v>
      </c>
      <c r="AR216" s="506">
        <f t="shared" ref="AR216:AR218" si="1306">SUM(AS216:AV216)</f>
        <v>402</v>
      </c>
      <c r="AS216" s="506">
        <f>COUNTIFS('AR | Drawing List'!$G:$G,"AR-C20P-1",'AR | Drawing List'!M:M,1)</f>
        <v>402</v>
      </c>
      <c r="AT216" s="506">
        <f>COUNTIFS('AR | Drawing List'!$G:$G,"AR-C20P-1",'AR | Drawing List'!N:N,1)</f>
        <v>0</v>
      </c>
      <c r="AU216" s="506">
        <f>COUNTIFS('AR | Drawing List'!$G:$G,"AR-C20P-1",'AR | Drawing List'!O:O,1)</f>
        <v>0</v>
      </c>
      <c r="AV216" s="506">
        <f>COUNTIFS('AR | Drawing List'!$G:$G,"AR-C20P-1",'AR | Drawing List'!P:P,1)</f>
        <v>0</v>
      </c>
      <c r="AW216" s="466"/>
      <c r="AX216" s="506">
        <f t="shared" si="1265"/>
        <v>402</v>
      </c>
      <c r="AY216" s="506">
        <f>COUNTIFS('AR | Drawing List'!$G:$G,"AR-C20P-1",'AR | Drawing List'!R:R,1)</f>
        <v>402</v>
      </c>
      <c r="AZ216" s="506">
        <f>COUNTIFS('AR | Drawing List'!$G:$G,"AR-C20P-1",'AR | Drawing List'!S:S,1)</f>
        <v>0</v>
      </c>
      <c r="BA216" s="506">
        <f>COUNTIFS('AR | Drawing List'!$G:$G,"AR-C20P-1",'AR | Drawing List'!T:T,1)</f>
        <v>0</v>
      </c>
      <c r="BB216" s="506">
        <f>COUNTIFS('AR | Drawing List'!$G:$G,"AR-C20P-1",'AR | Drawing List'!U:U,1)</f>
        <v>0</v>
      </c>
      <c r="BC216" s="551"/>
      <c r="BD216" s="551"/>
      <c r="BE216" s="511">
        <v>0</v>
      </c>
      <c r="BF216" s="508"/>
      <c r="BG216" s="509"/>
      <c r="BH216" s="510">
        <f t="shared" ref="BH216:BH218" si="1307">BI216+BP216</f>
        <v>0</v>
      </c>
      <c r="BI216" s="615"/>
      <c r="BJ216" s="615"/>
      <c r="BK216" s="514">
        <f t="shared" ref="BK216:BK218" si="1308">IFERROR(IF(AND((CA216+CC216)=BZ216,BI216=0),BG216,0),0)</f>
        <v>0</v>
      </c>
      <c r="BL216" s="514">
        <f t="shared" ref="BL216:BL218" si="1309">IFERROR(IF(AND((CA216+CC216+CD216)=BZ216,BI216=0,BK216=0),BG216,0),0)</f>
        <v>0</v>
      </c>
      <c r="BM216" s="514">
        <f t="shared" ref="BM216:BM218" si="1310">IFERROR(IF(AND((CA216+CC216+CD216+CE216)=BZ216,BI216=0,BK216=0,BL216=0),BG216,0),0)</f>
        <v>0</v>
      </c>
      <c r="BN216" s="514">
        <f t="shared" ref="BN216:BN218" si="1311">IFERROR(IF(AND((CA216+CC216+CD216+CE216+CF216)=BZ216,BI216=0,BK216=0,BL216=0,BM216=0),BG216,0),0)</f>
        <v>0</v>
      </c>
      <c r="BO216" s="501"/>
      <c r="BP216" s="514">
        <f t="shared" ref="BP216:BP218" si="1312">IFERROR(IF(AND((BV216+BX216)=100%,BV216&lt;1),BG216,0),0)</f>
        <v>0</v>
      </c>
      <c r="BQ216" s="514">
        <f t="shared" ref="BQ216:BQ218" si="1313">IFERROR(IF(AND((CA216+CI216)=BZ216,BI216=0),BG216,0),0)</f>
        <v>0</v>
      </c>
      <c r="BR216" s="514">
        <f t="shared" ref="BR216:BR218" si="1314">IFERROR(IF(AND((CA216+CI216+CJ216)=BZ216,BI216=0,BQ216=0),BG216,0),0)</f>
        <v>0</v>
      </c>
      <c r="BS216" s="514">
        <f t="shared" ref="BS216:BS218" si="1315">IFERROR(IF(AND((CA216+CI216+CJ216+CK216)=BZ216,BI216=0,BQ216=0,BR216=0),BG216,0),0)</f>
        <v>0</v>
      </c>
      <c r="BT216" s="514">
        <f t="shared" ref="BT216:BT218" si="1316">IFERROR(IF(AND((CA216+CI216+CJ216+CK216+CL216)=BZ216,BI216=0,BQ216=0,BR216=0,BS216=0),BG216,0),0)</f>
        <v>0</v>
      </c>
      <c r="BU216" s="501"/>
      <c r="BV216" s="571">
        <f t="shared" si="1266"/>
        <v>0</v>
      </c>
      <c r="BW216" s="571">
        <f t="shared" si="1267"/>
        <v>0</v>
      </c>
      <c r="BX216" s="571">
        <f t="shared" si="1268"/>
        <v>0</v>
      </c>
      <c r="BY216" s="518"/>
      <c r="BZ216" s="552"/>
      <c r="CA216" s="552"/>
      <c r="CB216" s="608"/>
      <c r="CC216" s="506">
        <f>COUNTIFS('ST | Drawing List'!$G:$G,"ST-T01-1",'ST | Drawing List'!L:L,1)</f>
        <v>0</v>
      </c>
      <c r="CD216" s="506">
        <f>COUNTIFS('ST | Drawing List'!$G:$G,"ST-T01-1",'ST | Drawing List'!M:M,1)</f>
        <v>0</v>
      </c>
      <c r="CE216" s="506">
        <f>COUNTIFS('ST | Drawing List'!$G:$G,"ST-T01-1",'ST | Drawing List'!N:N,1)</f>
        <v>0</v>
      </c>
      <c r="CF216" s="506">
        <f>COUNTIFS('ST | Drawing List'!$G:$G,"ST-T01-1",'ST | Drawing List'!O:O,1)</f>
        <v>0</v>
      </c>
      <c r="CG216" s="471"/>
      <c r="CH216" s="608"/>
      <c r="CI216" s="506">
        <f>COUNTIFS('ST | Drawing List'!$G:$G,"ST-T01-1",'ST | Drawing List'!Q:Q,1)</f>
        <v>0</v>
      </c>
      <c r="CJ216" s="506">
        <f>COUNTIFS('ST | Drawing List'!$G:$G,"ST-T01-1",'ST | Drawing List'!R:R,1)</f>
        <v>0</v>
      </c>
      <c r="CK216" s="506">
        <f>COUNTIFS('ST | Drawing List'!$G:$G,"ST-T01-1",'ST | Drawing List'!S:S,1)</f>
        <v>0</v>
      </c>
      <c r="CL216" s="506">
        <f>COUNTIFS('ST | Drawing List'!$G:$G,"ST-T01-1",'ST | Drawing List'!T:T,1)</f>
        <v>0</v>
      </c>
      <c r="CM216" s="508"/>
      <c r="CN216" s="508"/>
      <c r="CO216" s="571">
        <f t="shared" si="1262"/>
        <v>6.5000000000000002E-2</v>
      </c>
      <c r="CP216" s="508"/>
      <c r="CQ216" s="506">
        <f t="shared" ref="CQ216:CQ218" si="1317">$CQ$208/$CO$208*CO216</f>
        <v>0.16008637194067718</v>
      </c>
      <c r="CR216" s="510">
        <f t="shared" ref="CR216:CR218" si="1318">CS216+CZ216</f>
        <v>0.16008637194067718</v>
      </c>
      <c r="CS216" s="514">
        <f t="shared" ref="CS216:CS218" si="1319">IFERROR(IF(DF216=100%,CQ216,0),0)</f>
        <v>0.16008637194067718</v>
      </c>
      <c r="CT216" s="514">
        <f t="shared" si="1269"/>
        <v>0</v>
      </c>
      <c r="CU216" s="514">
        <f t="shared" si="1270"/>
        <v>0</v>
      </c>
      <c r="CV216" s="514">
        <f t="shared" si="1271"/>
        <v>0</v>
      </c>
      <c r="CW216" s="514">
        <f t="shared" si="1272"/>
        <v>0</v>
      </c>
      <c r="CX216" s="514">
        <f t="shared" si="1273"/>
        <v>0</v>
      </c>
      <c r="CY216" s="501"/>
      <c r="CZ216" s="514">
        <f t="shared" si="1274"/>
        <v>0</v>
      </c>
      <c r="DA216" s="514">
        <f t="shared" si="1275"/>
        <v>0</v>
      </c>
      <c r="DB216" s="514">
        <f t="shared" si="1276"/>
        <v>0</v>
      </c>
      <c r="DC216" s="514">
        <f t="shared" si="1277"/>
        <v>0</v>
      </c>
      <c r="DD216" s="514">
        <f t="shared" si="1278"/>
        <v>0</v>
      </c>
      <c r="DE216" s="501"/>
      <c r="DF216" s="570">
        <f t="shared" si="1279"/>
        <v>1</v>
      </c>
      <c r="DG216" s="570">
        <f t="shared" si="1280"/>
        <v>0</v>
      </c>
      <c r="DH216" s="570">
        <f t="shared" si="1281"/>
        <v>0</v>
      </c>
      <c r="DI216" s="518"/>
      <c r="DJ216" s="514">
        <f>COUNTIF('MEP | Drawing List'!$G:$G,"MEP-C20P-1")</f>
        <v>35</v>
      </c>
      <c r="DK216" s="506">
        <f>COUNTIFS('MEP | Drawing List'!$G:$G,"MEP-C20P-1",'MEP | Drawing List'!$I:$I,1)</f>
        <v>35</v>
      </c>
      <c r="DL216" s="506">
        <f>COUNTIFS('MEP | Drawing List'!$G:$G,"MEP-C20P-1",'MEP | Drawing List'!$K:$K,1)</f>
        <v>0</v>
      </c>
      <c r="DM216" s="514">
        <f>COUNTIFS('MEP | Drawing List'!$G:$G,"MEP-C20P-1",'MEP | Drawing List'!L:L,1)</f>
        <v>0</v>
      </c>
      <c r="DN216" s="514">
        <f>COUNTIFS('MEP | Drawing List'!$G:$G,"MEP-C20P-1",'MEP | Drawing List'!M:M,1)</f>
        <v>0</v>
      </c>
      <c r="DO216" s="514">
        <f>COUNTIFS('MEP | Drawing List'!$G:$G,"MEP-C20P-1",'MEP | Drawing List'!N:N,1)</f>
        <v>0</v>
      </c>
      <c r="DP216" s="514">
        <f>COUNTIFS('MEP | Drawing List'!$G:$G,"MEP-C20P-1",'MEP | Drawing List'!O:O,1)</f>
        <v>0</v>
      </c>
      <c r="DQ216" s="501"/>
      <c r="DR216" s="506">
        <f>COUNTIFS('MEP | Drawing List'!$G:$G,"MEP-C20P-1",'MEP | Drawing List'!$P:$P,1)</f>
        <v>0</v>
      </c>
      <c r="DS216" s="514">
        <f>COUNTIFS('MEP | Drawing List'!$G:$G,"MEP-C20P-1",'MEP | Drawing List'!Q:Q,1)</f>
        <v>0</v>
      </c>
      <c r="DT216" s="514">
        <f>COUNTIFS('MEP | Drawing List'!$G:$G,"MEP-C20P-1",'MEP | Drawing List'!R:R,1)</f>
        <v>0</v>
      </c>
      <c r="DU216" s="514">
        <f>COUNTIFS('MEP | Drawing List'!$G:$G,"MEP-C20P-1",'MEP | Drawing List'!S:S,1)</f>
        <v>0</v>
      </c>
      <c r="DV216" s="514">
        <f>COUNTIFS('MEP | Drawing List'!$G:$G,"MEP-C20P-1",'MEP | Drawing List'!T:T,1)</f>
        <v>0</v>
      </c>
      <c r="DW216" s="508"/>
      <c r="DX216" s="508"/>
      <c r="DY216" s="571">
        <f t="shared" si="1263"/>
        <v>5.5000000000000007E-2</v>
      </c>
      <c r="DZ216" s="508"/>
      <c r="EA216" s="506">
        <f t="shared" ref="EA216:EA218" si="1320">$EA$208/$DY$208*DY216</f>
        <v>1.3775904450000003E-3</v>
      </c>
      <c r="EB216" s="510">
        <f t="shared" ref="EB216:EB218" si="1321">EC216+EJ216</f>
        <v>1.3775904450000003E-3</v>
      </c>
      <c r="EC216" s="514">
        <f t="shared" ref="EC216:EC218" si="1322">IFERROR(IF(EP216=100%,EA216,0),0)</f>
        <v>1.3775904450000003E-3</v>
      </c>
      <c r="ED216" s="514">
        <f t="shared" ref="ED216:ED218" si="1323">IFERROR(IF(AND((EP216+EQ216)=100%,EP216&lt;1),EA216,0),0)</f>
        <v>0</v>
      </c>
      <c r="EE216" s="514">
        <f t="shared" ref="EE216:EE218" si="1324">IFERROR(IF(AND((EU216+EW216)=ET216,EC216=0),EA216,0),0)</f>
        <v>0</v>
      </c>
      <c r="EF216" s="514">
        <f t="shared" ref="EF216:EF218" si="1325">IFERROR(IF(AND((EU216+EW216+EX216)=ET216,EC216=0,EE216=0),EA216,0),0)</f>
        <v>0</v>
      </c>
      <c r="EG216" s="514">
        <f t="shared" ref="EG216:EG218" si="1326">IFERROR(IF(AND((EU216+EW216+EX216+EY216)=ET216,EC216=0,EE216=0,EF216=0),EA216,0),0)</f>
        <v>0</v>
      </c>
      <c r="EH216" s="514">
        <f t="shared" ref="EH216:EH218" si="1327">IFERROR(IF(AND((EU216+EW216+EX216+EY216+EZ216)=ET216,EC216=0,EE216=0,EF216=0,EG216=0),EA216,0),0)</f>
        <v>0</v>
      </c>
      <c r="EI216" s="501"/>
      <c r="EJ216" s="567">
        <f t="shared" si="1282"/>
        <v>0</v>
      </c>
      <c r="EK216" s="514">
        <f t="shared" si="1283"/>
        <v>0</v>
      </c>
      <c r="EL216" s="514">
        <f t="shared" si="1284"/>
        <v>0</v>
      </c>
      <c r="EM216" s="514">
        <f t="shared" si="1285"/>
        <v>0</v>
      </c>
      <c r="EN216" s="514">
        <f t="shared" si="1286"/>
        <v>0</v>
      </c>
      <c r="EO216" s="501"/>
      <c r="EP216" s="585">
        <f t="shared" si="1287"/>
        <v>1</v>
      </c>
      <c r="EQ216" s="585">
        <f t="shared" si="1288"/>
        <v>0</v>
      </c>
      <c r="ER216" s="585">
        <f t="shared" si="1289"/>
        <v>0</v>
      </c>
      <c r="ET216" s="514">
        <f>COUNTIF('LS | Drawing List'!$G:$G,"LS-C20P-1")</f>
        <v>5</v>
      </c>
      <c r="EU216" s="506">
        <f>COUNTIFS('LS | Drawing List'!$G:$G,"LS-C20P-1",'LS | Drawing List'!$I:$I,1)</f>
        <v>5</v>
      </c>
      <c r="EV216" s="506">
        <f>COUNTIFS('LS | Drawing List'!$G:$G,"LS-C20P-1",'LS | Drawing List'!$K:$K,1)</f>
        <v>0</v>
      </c>
      <c r="EW216" s="514">
        <f>COUNTIFS('LS | Drawing List'!$G:$G,"LS-C20P-1",'LS | Drawing List'!L:L,1)</f>
        <v>0</v>
      </c>
      <c r="EX216" s="514">
        <f>COUNTIFS('LS | Drawing List'!$G:$G,"LS-C20P-1",'LS | Drawing List'!M:M,1)</f>
        <v>0</v>
      </c>
      <c r="EY216" s="514">
        <f>COUNTIFS('LS | Drawing List'!$G:$G,"LS-C20P-1",'LS | Drawing List'!N:N,1)</f>
        <v>0</v>
      </c>
      <c r="EZ216" s="514">
        <f>COUNTIFS('LS | Drawing List'!$G:$G,"LS-C20P-1",'LS | Drawing List'!O:O,1)</f>
        <v>0</v>
      </c>
      <c r="FA216" s="515"/>
      <c r="FB216" s="506">
        <f>COUNTIFS('LS | Drawing List'!$G:$G,"LS-C20P-1",'LS | Drawing List'!$P:$P,1)</f>
        <v>0</v>
      </c>
      <c r="FC216" s="514">
        <f>COUNTIFS('LS | Drawing List'!$G:$G,"LS-C20P-1",'LS | Drawing List'!Q:Q,1)</f>
        <v>0</v>
      </c>
      <c r="FD216" s="514">
        <f>COUNTIFS('LS | Drawing List'!$G:$G,"LS-C20P-1",'LS | Drawing List'!R:R,1)</f>
        <v>0</v>
      </c>
      <c r="FE216" s="514">
        <f>COUNTIFS('LS | Drawing List'!$G:$G,"LS-C20P-1",'LS | Drawing List'!S:S,1)</f>
        <v>0</v>
      </c>
      <c r="FF216" s="514">
        <f>COUNTIFS('LS | Drawing List'!$G:$G,"LS-C20P-1",'LS | Drawing List'!T:T,1)</f>
        <v>0</v>
      </c>
    </row>
    <row r="217" spans="2:162" ht="14.25" outlineLevel="2">
      <c r="B217" s="564" t="s">
        <v>258</v>
      </c>
      <c r="C217" s="579">
        <v>9</v>
      </c>
      <c r="D217" s="580" t="s">
        <v>199</v>
      </c>
      <c r="F217" s="500">
        <f t="shared" si="1201"/>
        <v>1.343538962385677</v>
      </c>
      <c r="G217" s="500">
        <f t="shared" si="1202"/>
        <v>1.343538962385677</v>
      </c>
      <c r="H217" s="514">
        <f t="shared" si="1203"/>
        <v>0</v>
      </c>
      <c r="I217" s="514">
        <f t="shared" si="1118"/>
        <v>1.182075</v>
      </c>
      <c r="J217" s="514">
        <f t="shared" si="1119"/>
        <v>1.182075</v>
      </c>
      <c r="K217" s="514">
        <f t="shared" si="1120"/>
        <v>0</v>
      </c>
      <c r="L217" s="514">
        <f t="shared" si="1121"/>
        <v>0</v>
      </c>
      <c r="M217" s="567">
        <f t="shared" si="1122"/>
        <v>0</v>
      </c>
      <c r="N217" s="568"/>
      <c r="O217" s="514">
        <f t="shared" si="1123"/>
        <v>1.182075</v>
      </c>
      <c r="P217" s="514">
        <f t="shared" si="1124"/>
        <v>1.182075</v>
      </c>
      <c r="Q217" s="514">
        <f t="shared" si="1125"/>
        <v>0</v>
      </c>
      <c r="R217" s="514">
        <f t="shared" si="1126"/>
        <v>0</v>
      </c>
      <c r="S217" s="514">
        <f t="shared" si="1127"/>
        <v>0</v>
      </c>
      <c r="U217" s="571">
        <f t="shared" si="1261"/>
        <v>0.05</v>
      </c>
      <c r="V217" s="503"/>
      <c r="W217" s="500">
        <f t="shared" si="1290"/>
        <v>1.182075</v>
      </c>
      <c r="X217" s="500">
        <f t="shared" si="1291"/>
        <v>1.182075</v>
      </c>
      <c r="Y217" s="514">
        <f t="shared" si="1292"/>
        <v>0</v>
      </c>
      <c r="Z217" s="514">
        <f t="shared" si="1293"/>
        <v>1.182075</v>
      </c>
      <c r="AA217" s="514">
        <f t="shared" si="1294"/>
        <v>1.182075</v>
      </c>
      <c r="AB217" s="514">
        <f t="shared" si="1295"/>
        <v>0</v>
      </c>
      <c r="AC217" s="514">
        <f t="shared" si="1296"/>
        <v>0</v>
      </c>
      <c r="AD217" s="567">
        <f t="shared" si="1297"/>
        <v>0</v>
      </c>
      <c r="AE217" s="568"/>
      <c r="AF217" s="514">
        <f t="shared" si="1298"/>
        <v>1.182075</v>
      </c>
      <c r="AG217" s="514">
        <f t="shared" si="1299"/>
        <v>1.182075</v>
      </c>
      <c r="AH217" s="514">
        <f t="shared" si="1300"/>
        <v>0</v>
      </c>
      <c r="AI217" s="514">
        <f t="shared" si="1301"/>
        <v>0</v>
      </c>
      <c r="AJ217" s="514">
        <f t="shared" si="1302"/>
        <v>0</v>
      </c>
      <c r="AK217" s="501"/>
      <c r="AL217" s="570">
        <f t="shared" si="1303"/>
        <v>0</v>
      </c>
      <c r="AM217" s="570">
        <f t="shared" si="1304"/>
        <v>1</v>
      </c>
      <c r="AN217" s="570">
        <f t="shared" si="1305"/>
        <v>1</v>
      </c>
      <c r="AO217" s="518"/>
      <c r="AP217" s="514">
        <f>COUNTIF('AR | Drawing List'!$G:$G,"AR-L30P-1")</f>
        <v>224</v>
      </c>
      <c r="AQ217" s="506">
        <f>COUNTIFS('AR | Drawing List'!$G:$G,"AR-L30P-1",'AR | Drawing List'!$I:$I,1)</f>
        <v>0</v>
      </c>
      <c r="AR217" s="506">
        <f t="shared" si="1306"/>
        <v>224</v>
      </c>
      <c r="AS217" s="506">
        <f>COUNTIFS('AR | Drawing List'!$G:$G,"AR-L30P-1",'AR | Drawing List'!M:M,1)</f>
        <v>224</v>
      </c>
      <c r="AT217" s="506">
        <f>COUNTIFS('AR | Drawing List'!$G:$G,"AR-L30P-1",'AR | Drawing List'!N:N,1)</f>
        <v>0</v>
      </c>
      <c r="AU217" s="506">
        <f>COUNTIFS('AR | Drawing List'!$G:$G,"AR-L30P-1",'AR | Drawing List'!O:O,1)</f>
        <v>0</v>
      </c>
      <c r="AV217" s="506">
        <f>COUNTIFS('AR | Drawing List'!$G:$G,"AR-L30P-1",'AR | Drawing List'!P:P,1)</f>
        <v>0</v>
      </c>
      <c r="AW217" s="466"/>
      <c r="AX217" s="506">
        <f t="shared" si="1265"/>
        <v>224</v>
      </c>
      <c r="AY217" s="506">
        <f>COUNTIFS('AR | Drawing List'!$G:$G,"AR-L30P-1",'AR | Drawing List'!R:R,1)</f>
        <v>224</v>
      </c>
      <c r="AZ217" s="506">
        <f>COUNTIFS('AR | Drawing List'!$G:$G,"AR-L30P-1",'AR | Drawing List'!S:S,1)</f>
        <v>0</v>
      </c>
      <c r="BA217" s="506">
        <f>COUNTIFS('AR | Drawing List'!$G:$G,"AR-L30P-1",'AR | Drawing List'!T:T,1)</f>
        <v>0</v>
      </c>
      <c r="BB217" s="506">
        <f>COUNTIFS('AR | Drawing List'!$G:$G,"AR-L30P-1",'AR | Drawing List'!U:U,1)</f>
        <v>0</v>
      </c>
      <c r="BC217" s="551"/>
      <c r="BD217" s="551"/>
      <c r="BE217" s="511">
        <v>0</v>
      </c>
      <c r="BF217" s="508"/>
      <c r="BG217" s="509"/>
      <c r="BH217" s="510">
        <f t="shared" si="1307"/>
        <v>0</v>
      </c>
      <c r="BI217" s="615"/>
      <c r="BJ217" s="615"/>
      <c r="BK217" s="514">
        <f t="shared" si="1308"/>
        <v>0</v>
      </c>
      <c r="BL217" s="514">
        <f t="shared" si="1309"/>
        <v>0</v>
      </c>
      <c r="BM217" s="514">
        <f t="shared" si="1310"/>
        <v>0</v>
      </c>
      <c r="BN217" s="514">
        <f t="shared" si="1311"/>
        <v>0</v>
      </c>
      <c r="BO217" s="501"/>
      <c r="BP217" s="514">
        <f t="shared" si="1312"/>
        <v>0</v>
      </c>
      <c r="BQ217" s="514">
        <f t="shared" si="1313"/>
        <v>0</v>
      </c>
      <c r="BR217" s="514">
        <f t="shared" si="1314"/>
        <v>0</v>
      </c>
      <c r="BS217" s="514">
        <f t="shared" si="1315"/>
        <v>0</v>
      </c>
      <c r="BT217" s="514">
        <f t="shared" si="1316"/>
        <v>0</v>
      </c>
      <c r="BU217" s="501"/>
      <c r="BV217" s="571">
        <f t="shared" si="1266"/>
        <v>0</v>
      </c>
      <c r="BW217" s="571">
        <f t="shared" si="1267"/>
        <v>0</v>
      </c>
      <c r="BX217" s="571">
        <f t="shared" si="1268"/>
        <v>0</v>
      </c>
      <c r="BY217" s="518"/>
      <c r="BZ217" s="552"/>
      <c r="CA217" s="552"/>
      <c r="CB217" s="608"/>
      <c r="CC217" s="506">
        <f>COUNTIFS('ST | Drawing List'!$G:$G,"ST-T01-2",'ST | Drawing List'!L:L,1)</f>
        <v>0</v>
      </c>
      <c r="CD217" s="506">
        <f>COUNTIFS('ST | Drawing List'!$G:$G,"ST-T01-2",'ST | Drawing List'!M:M,1)</f>
        <v>0</v>
      </c>
      <c r="CE217" s="506">
        <f>COUNTIFS('ST | Drawing List'!$G:$G,"ST-T01-2",'ST | Drawing List'!N:N,1)</f>
        <v>0</v>
      </c>
      <c r="CF217" s="506">
        <f>COUNTIFS('ST | Drawing List'!$G:$G,"ST-T01-2",'ST | Drawing List'!O:O,1)</f>
        <v>0</v>
      </c>
      <c r="CG217" s="471"/>
      <c r="CH217" s="608"/>
      <c r="CI217" s="506">
        <f>COUNTIFS('ST | Drawing List'!$G:$G,"ST-T01-2",'ST | Drawing List'!Q:Q,1)</f>
        <v>0</v>
      </c>
      <c r="CJ217" s="506">
        <f>COUNTIFS('ST | Drawing List'!$G:$G,"ST-T01-2",'ST | Drawing List'!R:R,1)</f>
        <v>0</v>
      </c>
      <c r="CK217" s="506">
        <f>COUNTIFS('ST | Drawing List'!$G:$G,"ST-T01-2",'ST | Drawing List'!S:S,1)</f>
        <v>0</v>
      </c>
      <c r="CL217" s="506">
        <f>COUNTIFS('ST | Drawing List'!$G:$G,"ST-T01-2",'ST | Drawing List'!T:T,1)</f>
        <v>0</v>
      </c>
      <c r="CM217" s="508"/>
      <c r="CN217" s="508"/>
      <c r="CO217" s="571">
        <f t="shared" si="1262"/>
        <v>6.5000000000000002E-2</v>
      </c>
      <c r="CP217" s="508"/>
      <c r="CQ217" s="506">
        <f t="shared" si="1317"/>
        <v>0.16008637194067718</v>
      </c>
      <c r="CR217" s="510">
        <f t="shared" si="1318"/>
        <v>0.16008637194067718</v>
      </c>
      <c r="CS217" s="514">
        <f t="shared" si="1319"/>
        <v>0.16008637194067718</v>
      </c>
      <c r="CT217" s="514">
        <f t="shared" si="1269"/>
        <v>0</v>
      </c>
      <c r="CU217" s="514">
        <f t="shared" si="1270"/>
        <v>0</v>
      </c>
      <c r="CV217" s="514">
        <f t="shared" si="1271"/>
        <v>0</v>
      </c>
      <c r="CW217" s="514">
        <f t="shared" si="1272"/>
        <v>0</v>
      </c>
      <c r="CX217" s="514">
        <f t="shared" si="1273"/>
        <v>0</v>
      </c>
      <c r="CY217" s="501"/>
      <c r="CZ217" s="514">
        <f t="shared" si="1274"/>
        <v>0</v>
      </c>
      <c r="DA217" s="514">
        <f t="shared" si="1275"/>
        <v>0</v>
      </c>
      <c r="DB217" s="514">
        <f t="shared" si="1276"/>
        <v>0</v>
      </c>
      <c r="DC217" s="514">
        <f t="shared" si="1277"/>
        <v>0</v>
      </c>
      <c r="DD217" s="514">
        <f t="shared" si="1278"/>
        <v>0</v>
      </c>
      <c r="DE217" s="501"/>
      <c r="DF217" s="570">
        <f t="shared" si="1279"/>
        <v>1</v>
      </c>
      <c r="DG217" s="570">
        <f t="shared" si="1280"/>
        <v>0</v>
      </c>
      <c r="DH217" s="570">
        <f t="shared" si="1281"/>
        <v>0</v>
      </c>
      <c r="DI217" s="518"/>
      <c r="DJ217" s="514">
        <f>COUNTIF('MEP | Drawing List'!$G:$G,"MEP-L30P-1")</f>
        <v>23</v>
      </c>
      <c r="DK217" s="506">
        <f>COUNTIFS('MEP | Drawing List'!$G:$G,"MEP-L30P-1",'MEP | Drawing List'!$I:$I,1)</f>
        <v>23</v>
      </c>
      <c r="DL217" s="506">
        <f>COUNTIFS('MEP | Drawing List'!$G:$G,"MEP-L30P-1",'MEP | Drawing List'!$K:$K,1)</f>
        <v>0</v>
      </c>
      <c r="DM217" s="514">
        <f>COUNTIFS('MEP | Drawing List'!$G:$G,"MEP-L30P-1",'MEP | Drawing List'!L:L,1)</f>
        <v>0</v>
      </c>
      <c r="DN217" s="514">
        <f>COUNTIFS('MEP | Drawing List'!$G:$G,"MEP-L30P-1",'MEP | Drawing List'!M:M,1)</f>
        <v>0</v>
      </c>
      <c r="DO217" s="514">
        <f>COUNTIFS('MEP | Drawing List'!$G:$G,"MEP-L30P-1",'MEP | Drawing List'!N:N,1)</f>
        <v>0</v>
      </c>
      <c r="DP217" s="514">
        <f>COUNTIFS('MEP | Drawing List'!$G:$G,"MEP-L30P-1",'MEP | Drawing List'!O:O,1)</f>
        <v>0</v>
      </c>
      <c r="DQ217" s="501"/>
      <c r="DR217" s="506">
        <f>COUNTIFS('MEP | Drawing List'!$G:$G,"MEP-L30P-1",'MEP | Drawing List'!$P:$P,1)</f>
        <v>0</v>
      </c>
      <c r="DS217" s="514">
        <f>COUNTIFS('MEP | Drawing List'!$G:$G,"MEP-L30P-1",'MEP | Drawing List'!Q:Q,1)</f>
        <v>0</v>
      </c>
      <c r="DT217" s="514">
        <f>COUNTIFS('MEP | Drawing List'!$G:$G,"MEP-L30P-1",'MEP | Drawing List'!R:R,1)</f>
        <v>0</v>
      </c>
      <c r="DU217" s="514">
        <f>COUNTIFS('MEP | Drawing List'!$G:$G,"MEP-L30P-1",'MEP | Drawing List'!S:S,1)</f>
        <v>0</v>
      </c>
      <c r="DV217" s="514">
        <f>COUNTIFS('MEP | Drawing List'!$G:$G,"MEP-L30P-1",'MEP | Drawing List'!T:T,1)</f>
        <v>0</v>
      </c>
      <c r="DW217" s="508"/>
      <c r="DX217" s="508"/>
      <c r="DY217" s="571">
        <f t="shared" si="1263"/>
        <v>5.5000000000000007E-2</v>
      </c>
      <c r="DZ217" s="508"/>
      <c r="EA217" s="506">
        <f t="shared" si="1320"/>
        <v>1.3775904450000003E-3</v>
      </c>
      <c r="EB217" s="510">
        <f t="shared" si="1321"/>
        <v>1.3775904450000003E-3</v>
      </c>
      <c r="EC217" s="514">
        <f t="shared" si="1322"/>
        <v>1.3775904450000003E-3</v>
      </c>
      <c r="ED217" s="514">
        <f t="shared" si="1323"/>
        <v>0</v>
      </c>
      <c r="EE217" s="514">
        <f t="shared" si="1324"/>
        <v>0</v>
      </c>
      <c r="EF217" s="514">
        <f t="shared" si="1325"/>
        <v>0</v>
      </c>
      <c r="EG217" s="514">
        <f t="shared" si="1326"/>
        <v>0</v>
      </c>
      <c r="EH217" s="514">
        <f t="shared" si="1327"/>
        <v>0</v>
      </c>
      <c r="EI217" s="501"/>
      <c r="EJ217" s="567">
        <f t="shared" si="1282"/>
        <v>0</v>
      </c>
      <c r="EK217" s="514">
        <f t="shared" si="1283"/>
        <v>0</v>
      </c>
      <c r="EL217" s="514">
        <f t="shared" si="1284"/>
        <v>0</v>
      </c>
      <c r="EM217" s="514">
        <f t="shared" si="1285"/>
        <v>0</v>
      </c>
      <c r="EN217" s="514">
        <f t="shared" si="1286"/>
        <v>0</v>
      </c>
      <c r="EO217" s="501"/>
      <c r="EP217" s="585">
        <f t="shared" si="1287"/>
        <v>1</v>
      </c>
      <c r="EQ217" s="585">
        <f t="shared" si="1288"/>
        <v>0</v>
      </c>
      <c r="ER217" s="585">
        <f t="shared" si="1289"/>
        <v>0</v>
      </c>
      <c r="ET217" s="514">
        <f>COUNTIF('LS | Drawing List'!$G:$G,"LS-L30P-1")</f>
        <v>10</v>
      </c>
      <c r="EU217" s="506">
        <f>COUNTIFS('LS | Drawing List'!$G:$G,"LS-L30P-1",'LS | Drawing List'!$I:$I,1)</f>
        <v>10</v>
      </c>
      <c r="EV217" s="506">
        <f>COUNTIFS('LS | Drawing List'!$G:$G,"LS-L30P-1",'LS | Drawing List'!$K:$K,1)</f>
        <v>0</v>
      </c>
      <c r="EW217" s="514">
        <f>COUNTIFS('LS | Drawing List'!$G:$G,"LS-L30P-1",'LS | Drawing List'!L:L,1)</f>
        <v>0</v>
      </c>
      <c r="EX217" s="514">
        <f>COUNTIFS('LS | Drawing List'!$G:$G,"LS-L30P-1",'LS | Drawing List'!M:M,1)</f>
        <v>0</v>
      </c>
      <c r="EY217" s="514">
        <f>COUNTIFS('LS | Drawing List'!$G:$G,"LS-L30P-1",'LS | Drawing List'!N:N,1)</f>
        <v>0</v>
      </c>
      <c r="EZ217" s="514">
        <f>COUNTIFS('LS | Drawing List'!$G:$G,"LS-L30P-1",'LS | Drawing List'!O:O,1)</f>
        <v>0</v>
      </c>
      <c r="FA217" s="515"/>
      <c r="FB217" s="506">
        <f>COUNTIFS('LS | Drawing List'!$G:$G,"LS-L30P-1",'LS | Drawing List'!$P:$P,1)</f>
        <v>0</v>
      </c>
      <c r="FC217" s="514">
        <f>COUNTIFS('LS | Drawing List'!$G:$G,"LS-L30P-1",'LS | Drawing List'!Q:Q,1)</f>
        <v>0</v>
      </c>
      <c r="FD217" s="514">
        <f>COUNTIFS('LS | Drawing List'!$G:$G,"LS-L30P-1",'LS | Drawing List'!R:R,1)</f>
        <v>0</v>
      </c>
      <c r="FE217" s="514">
        <f>COUNTIFS('LS | Drawing List'!$G:$G,"LS-L30P-1",'LS | Drawing List'!S:S,1)</f>
        <v>0</v>
      </c>
      <c r="FF217" s="514">
        <f>COUNTIFS('LS | Drawing List'!$G:$G,"LS-L30P-1",'LS | Drawing List'!T:T,1)</f>
        <v>0</v>
      </c>
    </row>
    <row r="218" spans="2:162" ht="14.25" outlineLevel="2">
      <c r="B218" s="564" t="s">
        <v>259</v>
      </c>
      <c r="C218" s="565">
        <v>10</v>
      </c>
      <c r="D218" s="580" t="s">
        <v>200</v>
      </c>
      <c r="F218" s="500">
        <f t="shared" si="1201"/>
        <v>1.343538962385677</v>
      </c>
      <c r="G218" s="500">
        <f t="shared" si="1202"/>
        <v>1.343538962385677</v>
      </c>
      <c r="H218" s="514">
        <f t="shared" si="1203"/>
        <v>0</v>
      </c>
      <c r="I218" s="514">
        <f t="shared" si="1118"/>
        <v>1.182075</v>
      </c>
      <c r="J218" s="514">
        <f t="shared" si="1119"/>
        <v>1.182075</v>
      </c>
      <c r="K218" s="514">
        <f t="shared" si="1120"/>
        <v>0</v>
      </c>
      <c r="L218" s="514">
        <f t="shared" si="1121"/>
        <v>0</v>
      </c>
      <c r="M218" s="567">
        <f t="shared" si="1122"/>
        <v>0</v>
      </c>
      <c r="N218" s="568"/>
      <c r="O218" s="514">
        <f t="shared" si="1123"/>
        <v>1.182075</v>
      </c>
      <c r="P218" s="514">
        <f t="shared" si="1124"/>
        <v>1.182075</v>
      </c>
      <c r="Q218" s="514">
        <f t="shared" si="1125"/>
        <v>0</v>
      </c>
      <c r="R218" s="514">
        <f t="shared" si="1126"/>
        <v>0</v>
      </c>
      <c r="S218" s="514">
        <f t="shared" si="1127"/>
        <v>0</v>
      </c>
      <c r="U218" s="571">
        <f t="shared" si="1261"/>
        <v>0.05</v>
      </c>
      <c r="V218" s="503"/>
      <c r="W218" s="500">
        <f t="shared" si="1290"/>
        <v>1.182075</v>
      </c>
      <c r="X218" s="500">
        <f t="shared" si="1291"/>
        <v>1.182075</v>
      </c>
      <c r="Y218" s="514">
        <f t="shared" si="1292"/>
        <v>0</v>
      </c>
      <c r="Z218" s="514">
        <f t="shared" si="1293"/>
        <v>1.182075</v>
      </c>
      <c r="AA218" s="514">
        <f t="shared" si="1294"/>
        <v>1.182075</v>
      </c>
      <c r="AB218" s="514">
        <f t="shared" si="1295"/>
        <v>0</v>
      </c>
      <c r="AC218" s="514">
        <f t="shared" si="1296"/>
        <v>0</v>
      </c>
      <c r="AD218" s="567">
        <f t="shared" si="1297"/>
        <v>0</v>
      </c>
      <c r="AE218" s="568"/>
      <c r="AF218" s="514">
        <f t="shared" si="1298"/>
        <v>1.182075</v>
      </c>
      <c r="AG218" s="514">
        <f t="shared" si="1299"/>
        <v>1.182075</v>
      </c>
      <c r="AH218" s="514">
        <f t="shared" si="1300"/>
        <v>0</v>
      </c>
      <c r="AI218" s="514">
        <f t="shared" si="1301"/>
        <v>0</v>
      </c>
      <c r="AJ218" s="514">
        <f t="shared" si="1302"/>
        <v>0</v>
      </c>
      <c r="AK218" s="501"/>
      <c r="AL218" s="570">
        <f t="shared" si="1303"/>
        <v>0</v>
      </c>
      <c r="AM218" s="570">
        <f t="shared" si="1304"/>
        <v>1</v>
      </c>
      <c r="AN218" s="570">
        <f t="shared" si="1305"/>
        <v>1</v>
      </c>
      <c r="AO218" s="518"/>
      <c r="AP218" s="514">
        <f>COUNTIF('AR | Drawing List'!$G:$G,"AR-L45P-1")</f>
        <v>107</v>
      </c>
      <c r="AQ218" s="506">
        <f>COUNTIFS('AR | Drawing List'!$G:$G,"AR-L45P-1",'AR | Drawing List'!$I:$I,1)</f>
        <v>0</v>
      </c>
      <c r="AR218" s="506">
        <f t="shared" si="1306"/>
        <v>107</v>
      </c>
      <c r="AS218" s="506">
        <f>COUNTIFS('AR | Drawing List'!$G:$G,"AR-L45P-1",'AR | Drawing List'!M:M,1)</f>
        <v>107</v>
      </c>
      <c r="AT218" s="506">
        <f>COUNTIFS('AR | Drawing List'!$G:$G,"AR-L45P-1",'AR | Drawing List'!N:N,1)</f>
        <v>0</v>
      </c>
      <c r="AU218" s="506">
        <f>COUNTIFS('AR | Drawing List'!$G:$G,"AR-L45P-1",'AR | Drawing List'!O:O,1)</f>
        <v>0</v>
      </c>
      <c r="AV218" s="506">
        <f>COUNTIFS('AR | Drawing List'!$G:$G,"AR-L45P-1",'AR | Drawing List'!P:P,1)</f>
        <v>0</v>
      </c>
      <c r="AW218" s="466"/>
      <c r="AX218" s="506">
        <f t="shared" si="1265"/>
        <v>107</v>
      </c>
      <c r="AY218" s="506">
        <f>COUNTIFS('AR | Drawing List'!$G:$G,"AR-L45P-1",'AR | Drawing List'!R:R,1)</f>
        <v>107</v>
      </c>
      <c r="AZ218" s="506">
        <f>COUNTIFS('AR | Drawing List'!$G:$G,"AR-L45P-1",'AR | Drawing List'!S:S,1)</f>
        <v>0</v>
      </c>
      <c r="BA218" s="506">
        <f>COUNTIFS('AR | Drawing List'!$G:$G,"AR-L45P-1",'AR | Drawing List'!T:T,1)</f>
        <v>0</v>
      </c>
      <c r="BB218" s="506">
        <f>COUNTIFS('AR | Drawing List'!$G:$G,"AR-L45P-1",'AR | Drawing List'!U:U,1)</f>
        <v>0</v>
      </c>
      <c r="BC218" s="551"/>
      <c r="BD218" s="551"/>
      <c r="BE218" s="511">
        <v>0</v>
      </c>
      <c r="BF218" s="508"/>
      <c r="BG218" s="509"/>
      <c r="BH218" s="510">
        <f t="shared" si="1307"/>
        <v>0</v>
      </c>
      <c r="BI218" s="615"/>
      <c r="BJ218" s="615"/>
      <c r="BK218" s="514">
        <f t="shared" si="1308"/>
        <v>0</v>
      </c>
      <c r="BL218" s="514">
        <f t="shared" si="1309"/>
        <v>0</v>
      </c>
      <c r="BM218" s="514">
        <f t="shared" si="1310"/>
        <v>0</v>
      </c>
      <c r="BN218" s="514">
        <f t="shared" si="1311"/>
        <v>0</v>
      </c>
      <c r="BO218" s="501"/>
      <c r="BP218" s="514">
        <f t="shared" si="1312"/>
        <v>0</v>
      </c>
      <c r="BQ218" s="514">
        <f t="shared" si="1313"/>
        <v>0</v>
      </c>
      <c r="BR218" s="514">
        <f t="shared" si="1314"/>
        <v>0</v>
      </c>
      <c r="BS218" s="514">
        <f t="shared" si="1315"/>
        <v>0</v>
      </c>
      <c r="BT218" s="514">
        <f t="shared" si="1316"/>
        <v>0</v>
      </c>
      <c r="BU218" s="501"/>
      <c r="BV218" s="571">
        <f t="shared" si="1266"/>
        <v>0</v>
      </c>
      <c r="BW218" s="571">
        <f t="shared" si="1267"/>
        <v>0</v>
      </c>
      <c r="BX218" s="571">
        <f t="shared" si="1268"/>
        <v>0</v>
      </c>
      <c r="BY218" s="518"/>
      <c r="BZ218" s="552"/>
      <c r="CA218" s="552"/>
      <c r="CB218" s="608"/>
      <c r="CC218" s="506">
        <f>COUNTIFS('ST | Drawing List'!$G:$G,"ST-T01-3",'ST | Drawing List'!L:L,1)</f>
        <v>0</v>
      </c>
      <c r="CD218" s="506">
        <f>COUNTIFS('ST | Drawing List'!$G:$G,"ST-T01-3",'ST | Drawing List'!M:M,1)</f>
        <v>0</v>
      </c>
      <c r="CE218" s="506">
        <f>COUNTIFS('ST | Drawing List'!$G:$G,"ST-T01-3",'ST | Drawing List'!N:N,1)</f>
        <v>0</v>
      </c>
      <c r="CF218" s="506">
        <f>COUNTIFS('ST | Drawing List'!$G:$G,"ST-T01-3",'ST | Drawing List'!O:O,1)</f>
        <v>0</v>
      </c>
      <c r="CG218" s="471"/>
      <c r="CH218" s="608"/>
      <c r="CI218" s="506">
        <f>COUNTIFS('ST | Drawing List'!$G:$G,"ST-T01-3",'ST | Drawing List'!Q:Q,1)</f>
        <v>0</v>
      </c>
      <c r="CJ218" s="506">
        <f>COUNTIFS('ST | Drawing List'!$G:$G,"ST-T01-3",'ST | Drawing List'!R:R,1)</f>
        <v>0</v>
      </c>
      <c r="CK218" s="506">
        <f>COUNTIFS('ST | Drawing List'!$G:$G,"ST-T01-3",'ST | Drawing List'!S:S,1)</f>
        <v>0</v>
      </c>
      <c r="CL218" s="506">
        <f>COUNTIFS('ST | Drawing List'!$G:$G,"ST-T01-3",'ST | Drawing List'!T:T,1)</f>
        <v>0</v>
      </c>
      <c r="CM218" s="508"/>
      <c r="CN218" s="508"/>
      <c r="CO218" s="571">
        <f t="shared" si="1262"/>
        <v>6.5000000000000002E-2</v>
      </c>
      <c r="CP218" s="508"/>
      <c r="CQ218" s="506">
        <f t="shared" si="1317"/>
        <v>0.16008637194067718</v>
      </c>
      <c r="CR218" s="510">
        <f t="shared" si="1318"/>
        <v>0.16008637194067718</v>
      </c>
      <c r="CS218" s="514">
        <f t="shared" si="1319"/>
        <v>0.16008637194067718</v>
      </c>
      <c r="CT218" s="514">
        <f t="shared" si="1269"/>
        <v>0</v>
      </c>
      <c r="CU218" s="514">
        <f t="shared" si="1270"/>
        <v>0</v>
      </c>
      <c r="CV218" s="514">
        <f t="shared" si="1271"/>
        <v>0</v>
      </c>
      <c r="CW218" s="514">
        <f t="shared" si="1272"/>
        <v>0</v>
      </c>
      <c r="CX218" s="514">
        <f t="shared" si="1273"/>
        <v>0</v>
      </c>
      <c r="CY218" s="501"/>
      <c r="CZ218" s="514">
        <f t="shared" si="1274"/>
        <v>0</v>
      </c>
      <c r="DA218" s="514">
        <f t="shared" si="1275"/>
        <v>0</v>
      </c>
      <c r="DB218" s="514">
        <f t="shared" si="1276"/>
        <v>0</v>
      </c>
      <c r="DC218" s="514">
        <f t="shared" si="1277"/>
        <v>0</v>
      </c>
      <c r="DD218" s="514">
        <f t="shared" si="1278"/>
        <v>0</v>
      </c>
      <c r="DE218" s="501"/>
      <c r="DF218" s="570">
        <f t="shared" si="1279"/>
        <v>1</v>
      </c>
      <c r="DG218" s="570">
        <f t="shared" si="1280"/>
        <v>0</v>
      </c>
      <c r="DH218" s="570">
        <f t="shared" si="1281"/>
        <v>0</v>
      </c>
      <c r="DI218" s="518"/>
      <c r="DJ218" s="514">
        <f>COUNTIF('MEP | Drawing List'!$G:$G,"MEP-L45P-1")</f>
        <v>49</v>
      </c>
      <c r="DK218" s="506">
        <f>COUNTIFS('MEP | Drawing List'!$G:$G,"MEP-L45P-1",'MEP | Drawing List'!$I:$I,1)</f>
        <v>49</v>
      </c>
      <c r="DL218" s="506">
        <f>COUNTIFS('MEP | Drawing List'!$G:$G,"MEP-L45P-1",'MEP | Drawing List'!$K:$K,1)</f>
        <v>0</v>
      </c>
      <c r="DM218" s="514">
        <f>COUNTIFS('MEP | Drawing List'!$G:$G,"MEP-L45P-1",'MEP | Drawing List'!L:L,1)</f>
        <v>0</v>
      </c>
      <c r="DN218" s="514">
        <f>COUNTIFS('MEP | Drawing List'!$G:$G,"MEP-L45P-1",'MEP | Drawing List'!M:M,1)</f>
        <v>0</v>
      </c>
      <c r="DO218" s="514">
        <f>COUNTIFS('MEP | Drawing List'!$G:$G,"MEP-L45P-1",'MEP | Drawing List'!N:N,1)</f>
        <v>0</v>
      </c>
      <c r="DP218" s="514">
        <f>COUNTIFS('MEP | Drawing List'!$G:$G,"MEP-L45P-1",'MEP | Drawing List'!O:O,1)</f>
        <v>0</v>
      </c>
      <c r="DQ218" s="501"/>
      <c r="DR218" s="506">
        <f>COUNTIFS('MEP | Drawing List'!$G:$G,"MEP-L45P-1",'MEP | Drawing List'!$P:$P,1)</f>
        <v>0</v>
      </c>
      <c r="DS218" s="514">
        <f>COUNTIFS('MEP | Drawing List'!$G:$G,"MEP-L45P-1",'MEP | Drawing List'!Q:Q,1)</f>
        <v>0</v>
      </c>
      <c r="DT218" s="514">
        <f>COUNTIFS('MEP | Drawing List'!$G:$G,"MEP-L45P-1",'MEP | Drawing List'!R:R,1)</f>
        <v>0</v>
      </c>
      <c r="DU218" s="514">
        <f>COUNTIFS('MEP | Drawing List'!$G:$G,"MEP-L45P-1",'MEP | Drawing List'!S:S,1)</f>
        <v>0</v>
      </c>
      <c r="DV218" s="514">
        <f>COUNTIFS('MEP | Drawing List'!$G:$G,"MEP-L45P-1",'MEP | Drawing List'!T:T,1)</f>
        <v>0</v>
      </c>
      <c r="DW218" s="508"/>
      <c r="DX218" s="508"/>
      <c r="DY218" s="571">
        <f t="shared" si="1263"/>
        <v>5.5000000000000007E-2</v>
      </c>
      <c r="DZ218" s="508"/>
      <c r="EA218" s="506">
        <f t="shared" si="1320"/>
        <v>1.3775904450000003E-3</v>
      </c>
      <c r="EB218" s="510">
        <f t="shared" si="1321"/>
        <v>1.3775904450000003E-3</v>
      </c>
      <c r="EC218" s="514">
        <f t="shared" si="1322"/>
        <v>1.3775904450000003E-3</v>
      </c>
      <c r="ED218" s="514">
        <f t="shared" si="1323"/>
        <v>0</v>
      </c>
      <c r="EE218" s="514">
        <f t="shared" si="1324"/>
        <v>0</v>
      </c>
      <c r="EF218" s="514">
        <f t="shared" si="1325"/>
        <v>0</v>
      </c>
      <c r="EG218" s="514">
        <f t="shared" si="1326"/>
        <v>0</v>
      </c>
      <c r="EH218" s="514">
        <f t="shared" si="1327"/>
        <v>0</v>
      </c>
      <c r="EI218" s="501"/>
      <c r="EJ218" s="567">
        <f t="shared" si="1282"/>
        <v>0</v>
      </c>
      <c r="EK218" s="514">
        <f t="shared" si="1283"/>
        <v>0</v>
      </c>
      <c r="EL218" s="514">
        <f t="shared" si="1284"/>
        <v>0</v>
      </c>
      <c r="EM218" s="514">
        <f t="shared" si="1285"/>
        <v>0</v>
      </c>
      <c r="EN218" s="514">
        <f t="shared" si="1286"/>
        <v>0</v>
      </c>
      <c r="EO218" s="501"/>
      <c r="EP218" s="585">
        <f t="shared" si="1287"/>
        <v>1</v>
      </c>
      <c r="EQ218" s="585">
        <f t="shared" si="1288"/>
        <v>0</v>
      </c>
      <c r="ER218" s="585">
        <f t="shared" si="1289"/>
        <v>0</v>
      </c>
      <c r="ET218" s="514">
        <f>COUNTIF('LS | Drawing List'!$G:$G,"LS-L45P-1")</f>
        <v>25</v>
      </c>
      <c r="EU218" s="506">
        <f>COUNTIFS('LS | Drawing List'!$G:$G,"LS-L45P-1",'LS | Drawing List'!$I:$I,1)</f>
        <v>25</v>
      </c>
      <c r="EV218" s="506">
        <f>COUNTIFS('LS | Drawing List'!$G:$G,"LS-L45P-1",'LS | Drawing List'!$K:$K,1)</f>
        <v>0</v>
      </c>
      <c r="EW218" s="514">
        <f>COUNTIFS('LS | Drawing List'!$G:$G,"LS-L45P-1",'LS | Drawing List'!L:L,1)</f>
        <v>0</v>
      </c>
      <c r="EX218" s="514">
        <f>COUNTIFS('LS | Drawing List'!$G:$G,"LS-L45P-1",'LS | Drawing List'!M:M,1)</f>
        <v>0</v>
      </c>
      <c r="EY218" s="514">
        <f>COUNTIFS('LS | Drawing List'!$G:$G,"LS-L45P-1",'LS | Drawing List'!N:N,1)</f>
        <v>0</v>
      </c>
      <c r="EZ218" s="514">
        <f>COUNTIFS('LS | Drawing List'!$G:$G,"LS-L45P-1",'LS | Drawing List'!O:O,1)</f>
        <v>0</v>
      </c>
      <c r="FA218" s="515"/>
      <c r="FB218" s="506">
        <f>COUNTIFS('LS | Drawing List'!$G:$G,"LS-L45P-1",'LS | Drawing List'!$P:$P,1)</f>
        <v>0</v>
      </c>
      <c r="FC218" s="514">
        <f>COUNTIFS('LS | Drawing List'!$G:$G,"LS-L45P-1",'LS | Drawing List'!Q:Q,1)</f>
        <v>0</v>
      </c>
      <c r="FD218" s="514">
        <f>COUNTIFS('LS | Drawing List'!$G:$G,"LS-L45P-1",'LS | Drawing List'!R:R,1)</f>
        <v>0</v>
      </c>
      <c r="FE218" s="514">
        <f>COUNTIFS('LS | Drawing List'!$G:$G,"LS-L45P-1",'LS | Drawing List'!S:S,1)</f>
        <v>0</v>
      </c>
      <c r="FF218" s="514">
        <f>COUNTIFS('LS | Drawing List'!$G:$G,"LS-L45P-1",'LS | Drawing List'!T:T,1)</f>
        <v>0</v>
      </c>
    </row>
    <row r="219" spans="2:162" ht="3" customHeight="1" outlineLevel="1">
      <c r="C219" s="631"/>
      <c r="D219" s="566"/>
      <c r="F219" s="499"/>
      <c r="G219" s="500"/>
      <c r="H219" s="615"/>
      <c r="I219" s="615"/>
      <c r="J219" s="615"/>
      <c r="K219" s="615"/>
      <c r="L219" s="615"/>
      <c r="M219" s="615"/>
      <c r="N219" s="615"/>
      <c r="O219" s="615"/>
      <c r="P219" s="615"/>
      <c r="Q219" s="615"/>
      <c r="R219" s="615"/>
      <c r="S219" s="615"/>
      <c r="U219" s="569"/>
      <c r="V219" s="503"/>
      <c r="W219" s="499"/>
      <c r="X219" s="500">
        <f t="shared" si="1000"/>
        <v>0</v>
      </c>
      <c r="Y219" s="615"/>
      <c r="Z219" s="615"/>
      <c r="AA219" s="615"/>
      <c r="AB219" s="615"/>
      <c r="AC219" s="615"/>
      <c r="AD219" s="615"/>
      <c r="AE219" s="615"/>
      <c r="AF219" s="615"/>
      <c r="AG219" s="615"/>
      <c r="AH219" s="615"/>
      <c r="AI219" s="615"/>
      <c r="AJ219" s="615"/>
      <c r="AK219" s="615"/>
      <c r="AL219" s="513"/>
      <c r="AM219" s="513"/>
      <c r="AN219" s="513"/>
      <c r="AO219" s="518"/>
      <c r="AP219" s="551"/>
      <c r="AQ219" s="551"/>
      <c r="AR219" s="551"/>
      <c r="AS219" s="551"/>
      <c r="AT219" s="551"/>
      <c r="AU219" s="551"/>
      <c r="AV219" s="551"/>
      <c r="AW219" s="551"/>
      <c r="AX219" s="551"/>
      <c r="AY219" s="551"/>
      <c r="AZ219" s="551"/>
      <c r="BA219" s="551"/>
      <c r="BB219" s="551"/>
      <c r="BC219" s="551"/>
      <c r="BD219" s="551"/>
      <c r="BE219" s="511"/>
      <c r="BF219" s="508"/>
      <c r="BG219" s="509"/>
      <c r="BH219" s="510">
        <f t="shared" si="1001"/>
        <v>0</v>
      </c>
      <c r="BI219" s="615"/>
      <c r="BJ219" s="615"/>
      <c r="BK219" s="615"/>
      <c r="BL219" s="615"/>
      <c r="BM219" s="615"/>
      <c r="BN219" s="615"/>
      <c r="BO219" s="615"/>
      <c r="BP219" s="615"/>
      <c r="BQ219" s="615"/>
      <c r="BR219" s="615"/>
      <c r="BS219" s="615"/>
      <c r="BT219" s="615"/>
      <c r="BU219" s="615"/>
      <c r="BV219" s="511"/>
      <c r="BW219" s="511"/>
      <c r="BX219" s="511"/>
      <c r="BY219" s="518"/>
      <c r="BZ219" s="552"/>
      <c r="CA219" s="552"/>
      <c r="CB219" s="608"/>
      <c r="CC219" s="552"/>
      <c r="CD219" s="552"/>
      <c r="CE219" s="552"/>
      <c r="CF219" s="552"/>
      <c r="CG219" s="552"/>
      <c r="CH219" s="608"/>
      <c r="CI219" s="552"/>
      <c r="CJ219" s="552"/>
      <c r="CK219" s="552"/>
      <c r="CL219" s="552"/>
      <c r="CM219" s="508"/>
      <c r="CN219" s="508"/>
      <c r="CO219" s="511"/>
      <c r="CP219" s="508"/>
      <c r="CQ219" s="509"/>
      <c r="CR219" s="510">
        <f t="shared" si="1002"/>
        <v>0</v>
      </c>
      <c r="CS219" s="615"/>
      <c r="CT219" s="615"/>
      <c r="CU219" s="615"/>
      <c r="CV219" s="615"/>
      <c r="CW219" s="615"/>
      <c r="CX219" s="615"/>
      <c r="CY219" s="615"/>
      <c r="CZ219" s="615"/>
      <c r="DA219" s="615"/>
      <c r="DB219" s="615"/>
      <c r="DC219" s="615"/>
      <c r="DD219" s="615"/>
      <c r="DE219" s="615"/>
      <c r="DF219" s="513"/>
      <c r="DG219" s="513"/>
      <c r="DH219" s="513"/>
      <c r="DI219" s="518"/>
      <c r="DJ219" s="551"/>
      <c r="DK219" s="551"/>
      <c r="DL219" s="551"/>
      <c r="DM219" s="615"/>
      <c r="DN219" s="615"/>
      <c r="DO219" s="615"/>
      <c r="DP219" s="615"/>
      <c r="DQ219" s="615"/>
      <c r="DR219" s="551"/>
      <c r="DS219" s="615"/>
      <c r="DT219" s="615"/>
      <c r="DU219" s="615"/>
      <c r="DV219" s="615"/>
      <c r="DW219" s="508"/>
      <c r="DX219" s="508"/>
      <c r="DY219" s="511"/>
      <c r="DZ219" s="508"/>
      <c r="EA219" s="509"/>
      <c r="EB219" s="510">
        <f t="shared" si="1003"/>
        <v>0</v>
      </c>
      <c r="EC219" s="577"/>
      <c r="ED219" s="577"/>
      <c r="EE219" s="577"/>
      <c r="EF219" s="577"/>
      <c r="EG219" s="577"/>
      <c r="EH219" s="577"/>
      <c r="EI219" s="577"/>
      <c r="EJ219" s="577"/>
      <c r="EK219" s="577"/>
      <c r="EL219" s="577"/>
      <c r="EM219" s="577"/>
      <c r="EN219" s="577"/>
      <c r="EO219" s="577"/>
      <c r="EP219" s="52"/>
      <c r="EQ219" s="52"/>
      <c r="ER219" s="52"/>
      <c r="EW219" s="577"/>
      <c r="EX219" s="577"/>
      <c r="EY219" s="577"/>
      <c r="EZ219" s="577"/>
      <c r="FA219" s="577"/>
      <c r="FC219" s="577"/>
      <c r="FD219" s="577"/>
      <c r="FE219" s="577"/>
      <c r="FF219" s="577"/>
    </row>
    <row r="220" spans="2:162" ht="14.25" outlineLevel="1">
      <c r="B220" s="477"/>
      <c r="C220" s="559">
        <v>15</v>
      </c>
      <c r="D220" s="560" t="s">
        <v>201</v>
      </c>
      <c r="E220" s="479"/>
      <c r="F220" s="480">
        <f>W220+BG220+CQ220+EA220</f>
        <v>2.6975207422432779</v>
      </c>
      <c r="G220" s="480">
        <f>X220+BH220+CR220+EB220</f>
        <v>1.2391834500000001</v>
      </c>
      <c r="H220" s="481">
        <f>F220-G220</f>
        <v>1.4583372922432778</v>
      </c>
      <c r="I220" s="480">
        <f t="shared" ref="I220:I224" si="1328">Z220+BJ220+CT220+ED220</f>
        <v>1.4583372922432778</v>
      </c>
      <c r="J220" s="480">
        <f t="shared" ref="J220:J224" si="1329">AA220+BK220+CU220+EE220</f>
        <v>1.4583372922432778</v>
      </c>
      <c r="K220" s="480">
        <f t="shared" ref="K220:K224" si="1330">AB220+BL220+CV220+EF220</f>
        <v>0</v>
      </c>
      <c r="L220" s="480">
        <f t="shared" ref="L220:L224" si="1331">AC220+BM220+CW220+EG220</f>
        <v>0</v>
      </c>
      <c r="M220" s="480">
        <f t="shared" ref="M220:M224" si="1332">AD220+BN220+CX220+EH220</f>
        <v>0</v>
      </c>
      <c r="N220" s="482"/>
      <c r="O220" s="480">
        <f t="shared" ref="O220:O224" si="1333">AF220+BP220+CZ220+EJ220</f>
        <v>0</v>
      </c>
      <c r="P220" s="480">
        <f t="shared" ref="P220:P224" si="1334">AG220+BQ220+DA220+EK220</f>
        <v>0</v>
      </c>
      <c r="Q220" s="480">
        <f t="shared" ref="Q220:Q224" si="1335">AH220+BR220+DB220+EL220</f>
        <v>0</v>
      </c>
      <c r="R220" s="480">
        <f t="shared" ref="R220:R224" si="1336">AI220+BS220+DC220+EM220</f>
        <v>0</v>
      </c>
      <c r="S220" s="480">
        <f t="shared" ref="S220:S224" si="1337">AJ220+BT220+DD220+EN220</f>
        <v>0</v>
      </c>
      <c r="T220" s="479"/>
      <c r="U220" s="483">
        <f>SUM(U221:U224)</f>
        <v>0.5</v>
      </c>
      <c r="V220" s="483"/>
      <c r="W220" s="480">
        <f>U220*(5%*'BOQ COST'!$E$18)*1</f>
        <v>1.5033750000000001</v>
      </c>
      <c r="X220" s="480">
        <f t="shared" si="1000"/>
        <v>0.75168750000000006</v>
      </c>
      <c r="Y220" s="481">
        <f t="shared" ref="Y220:AJ220" si="1338">SUM(Y221:Y224)</f>
        <v>0.75168750000000006</v>
      </c>
      <c r="Z220" s="481">
        <f t="shared" si="1338"/>
        <v>0.75168750000000006</v>
      </c>
      <c r="AA220" s="481">
        <f t="shared" si="1338"/>
        <v>0.75168750000000006</v>
      </c>
      <c r="AB220" s="481">
        <f t="shared" si="1338"/>
        <v>0</v>
      </c>
      <c r="AC220" s="481">
        <f t="shared" si="1338"/>
        <v>0</v>
      </c>
      <c r="AD220" s="481">
        <f t="shared" si="1338"/>
        <v>0</v>
      </c>
      <c r="AE220" s="482"/>
      <c r="AF220" s="481">
        <f t="shared" si="1338"/>
        <v>0</v>
      </c>
      <c r="AG220" s="481">
        <f t="shared" si="1338"/>
        <v>0</v>
      </c>
      <c r="AH220" s="481">
        <f t="shared" si="1338"/>
        <v>0</v>
      </c>
      <c r="AI220" s="481">
        <f t="shared" si="1338"/>
        <v>0</v>
      </c>
      <c r="AJ220" s="481">
        <f t="shared" si="1338"/>
        <v>0</v>
      </c>
      <c r="AK220" s="482"/>
      <c r="AL220" s="492"/>
      <c r="AM220" s="492"/>
      <c r="AN220" s="492"/>
      <c r="AO220" s="481">
        <f>SUM(AO221:AO224)</f>
        <v>0</v>
      </c>
      <c r="AP220" s="481">
        <f>SUM(AP221:AP224)</f>
        <v>143</v>
      </c>
      <c r="AQ220" s="481">
        <f>SUM(AQ221:AQ224)</f>
        <v>107</v>
      </c>
      <c r="AR220" s="481">
        <f t="shared" si="1075"/>
        <v>36</v>
      </c>
      <c r="AS220" s="481">
        <f t="shared" ref="AS220:BB220" si="1339">SUM(AS221:AS224)</f>
        <v>36</v>
      </c>
      <c r="AT220" s="481">
        <f t="shared" si="1339"/>
        <v>0</v>
      </c>
      <c r="AU220" s="481">
        <f t="shared" si="1339"/>
        <v>0</v>
      </c>
      <c r="AV220" s="481">
        <f t="shared" si="1339"/>
        <v>0</v>
      </c>
      <c r="AW220" s="482"/>
      <c r="AX220" s="481">
        <f t="shared" si="1339"/>
        <v>0</v>
      </c>
      <c r="AY220" s="481">
        <f t="shared" si="1339"/>
        <v>0</v>
      </c>
      <c r="AZ220" s="481">
        <f t="shared" si="1339"/>
        <v>0</v>
      </c>
      <c r="BA220" s="481">
        <f t="shared" si="1339"/>
        <v>0</v>
      </c>
      <c r="BB220" s="481">
        <f t="shared" si="1339"/>
        <v>0</v>
      </c>
      <c r="BC220" s="487"/>
      <c r="BD220" s="487"/>
      <c r="BE220" s="483">
        <f>SUM(BE221:BE224)</f>
        <v>0.55000000000000004</v>
      </c>
      <c r="BF220" s="483"/>
      <c r="BG220" s="480">
        <f>BE220*(3%*'BOQ COST'!$F$18)*1</f>
        <v>0.34919879224327777</v>
      </c>
      <c r="BH220" s="480">
        <f t="shared" si="1001"/>
        <v>0</v>
      </c>
      <c r="BI220" s="481">
        <f t="shared" ref="BI220:BT220" si="1340">SUM(BI221:BI224)</f>
        <v>0</v>
      </c>
      <c r="BJ220" s="481">
        <f t="shared" si="1340"/>
        <v>0.34919879224327777</v>
      </c>
      <c r="BK220" s="481">
        <f t="shared" si="1340"/>
        <v>0.34919879224327777</v>
      </c>
      <c r="BL220" s="481">
        <f t="shared" si="1340"/>
        <v>0</v>
      </c>
      <c r="BM220" s="481">
        <f t="shared" si="1340"/>
        <v>0</v>
      </c>
      <c r="BN220" s="481">
        <f t="shared" si="1340"/>
        <v>0</v>
      </c>
      <c r="BO220" s="482"/>
      <c r="BP220" s="481">
        <f t="shared" si="1340"/>
        <v>0</v>
      </c>
      <c r="BQ220" s="481">
        <f t="shared" si="1340"/>
        <v>0</v>
      </c>
      <c r="BR220" s="481">
        <f t="shared" si="1340"/>
        <v>0</v>
      </c>
      <c r="BS220" s="481">
        <f t="shared" si="1340"/>
        <v>0</v>
      </c>
      <c r="BT220" s="481">
        <f t="shared" si="1340"/>
        <v>0</v>
      </c>
      <c r="BU220" s="482"/>
      <c r="BV220" s="488"/>
      <c r="BW220" s="488"/>
      <c r="BX220" s="488"/>
      <c r="BY220" s="481">
        <f t="shared" ref="BY220:CL220" si="1341">SUM(BY221:BY224)</f>
        <v>0</v>
      </c>
      <c r="BZ220" s="481">
        <f t="shared" si="1341"/>
        <v>359</v>
      </c>
      <c r="CA220" s="481">
        <f t="shared" si="1341"/>
        <v>352</v>
      </c>
      <c r="CB220" s="481">
        <f t="shared" si="1341"/>
        <v>7</v>
      </c>
      <c r="CC220" s="481">
        <f t="shared" si="1341"/>
        <v>7</v>
      </c>
      <c r="CD220" s="481">
        <f t="shared" si="1341"/>
        <v>0</v>
      </c>
      <c r="CE220" s="481">
        <f t="shared" si="1341"/>
        <v>0</v>
      </c>
      <c r="CF220" s="481">
        <f t="shared" si="1341"/>
        <v>0</v>
      </c>
      <c r="CG220" s="490"/>
      <c r="CH220" s="481">
        <f t="shared" si="1341"/>
        <v>0</v>
      </c>
      <c r="CI220" s="481">
        <f t="shared" si="1341"/>
        <v>0</v>
      </c>
      <c r="CJ220" s="481">
        <f t="shared" si="1341"/>
        <v>0</v>
      </c>
      <c r="CK220" s="481">
        <f t="shared" si="1341"/>
        <v>0</v>
      </c>
      <c r="CL220" s="481">
        <f t="shared" si="1341"/>
        <v>0</v>
      </c>
      <c r="CM220" s="483"/>
      <c r="CN220" s="483"/>
      <c r="CO220" s="483">
        <f>SUM(CO221:CO224)</f>
        <v>0.65</v>
      </c>
      <c r="CP220" s="483"/>
      <c r="CQ220" s="480">
        <f>CO220*(2%*'BOQ COST'!$G$18)*1</f>
        <v>0.46468630000000005</v>
      </c>
      <c r="CR220" s="480">
        <f t="shared" si="1002"/>
        <v>0.10723530000000001</v>
      </c>
      <c r="CS220" s="481">
        <f t="shared" ref="CS220:DD220" si="1342">SUM(CS221:CS224)</f>
        <v>0.10723530000000001</v>
      </c>
      <c r="CT220" s="481">
        <f t="shared" si="1342"/>
        <v>0.35745100000000002</v>
      </c>
      <c r="CU220" s="481">
        <f t="shared" si="1342"/>
        <v>0.35745100000000002</v>
      </c>
      <c r="CV220" s="481">
        <f t="shared" si="1342"/>
        <v>0</v>
      </c>
      <c r="CW220" s="481">
        <f t="shared" si="1342"/>
        <v>0</v>
      </c>
      <c r="CX220" s="481">
        <f t="shared" si="1342"/>
        <v>0</v>
      </c>
      <c r="CY220" s="482"/>
      <c r="CZ220" s="481">
        <f t="shared" si="1342"/>
        <v>0</v>
      </c>
      <c r="DA220" s="481">
        <f t="shared" si="1342"/>
        <v>0</v>
      </c>
      <c r="DB220" s="481">
        <f t="shared" si="1342"/>
        <v>0</v>
      </c>
      <c r="DC220" s="481">
        <f t="shared" si="1342"/>
        <v>0</v>
      </c>
      <c r="DD220" s="481">
        <f t="shared" si="1342"/>
        <v>0</v>
      </c>
      <c r="DE220" s="482"/>
      <c r="DF220" s="492"/>
      <c r="DG220" s="492"/>
      <c r="DH220" s="492"/>
      <c r="DI220" s="481">
        <f t="shared" ref="DI220:DV220" si="1343">SUM(DI221:DI224)</f>
        <v>0</v>
      </c>
      <c r="DJ220" s="481">
        <f t="shared" si="1343"/>
        <v>95</v>
      </c>
      <c r="DK220" s="481">
        <f t="shared" si="1343"/>
        <v>88</v>
      </c>
      <c r="DL220" s="481">
        <f t="shared" si="1343"/>
        <v>7</v>
      </c>
      <c r="DM220" s="481">
        <f t="shared" si="1343"/>
        <v>7</v>
      </c>
      <c r="DN220" s="481">
        <f t="shared" si="1343"/>
        <v>0</v>
      </c>
      <c r="DO220" s="481">
        <f t="shared" si="1343"/>
        <v>0</v>
      </c>
      <c r="DP220" s="481">
        <f t="shared" si="1343"/>
        <v>0</v>
      </c>
      <c r="DQ220" s="482"/>
      <c r="DR220" s="481">
        <f t="shared" si="1343"/>
        <v>6</v>
      </c>
      <c r="DS220" s="481">
        <f t="shared" si="1343"/>
        <v>2</v>
      </c>
      <c r="DT220" s="481">
        <f t="shared" si="1343"/>
        <v>2</v>
      </c>
      <c r="DU220" s="481">
        <f t="shared" si="1343"/>
        <v>2</v>
      </c>
      <c r="DV220" s="481">
        <f t="shared" si="1343"/>
        <v>0</v>
      </c>
      <c r="DW220" s="483"/>
      <c r="DX220" s="483"/>
      <c r="DY220" s="483">
        <f>SUM(DY221:DY224)</f>
        <v>0.55000000000000004</v>
      </c>
      <c r="DZ220" s="483"/>
      <c r="EA220" s="481">
        <f>DY220*(7%*'BOQ COST'!H18)*1</f>
        <v>0.38026065000000003</v>
      </c>
      <c r="EB220" s="480">
        <f t="shared" si="1003"/>
        <v>0.38026064999999998</v>
      </c>
      <c r="EC220" s="536">
        <f t="shared" ref="EC220:EN220" si="1344">SUM(EC221:EC224)</f>
        <v>0.38026064999999998</v>
      </c>
      <c r="ED220" s="536">
        <f t="shared" si="1344"/>
        <v>0</v>
      </c>
      <c r="EE220" s="536">
        <f t="shared" si="1344"/>
        <v>0</v>
      </c>
      <c r="EF220" s="536">
        <f t="shared" si="1344"/>
        <v>0</v>
      </c>
      <c r="EG220" s="536">
        <f t="shared" si="1344"/>
        <v>0</v>
      </c>
      <c r="EH220" s="536">
        <f t="shared" si="1344"/>
        <v>0</v>
      </c>
      <c r="EI220" s="562"/>
      <c r="EJ220" s="536">
        <f t="shared" si="1344"/>
        <v>0</v>
      </c>
      <c r="EK220" s="536">
        <f t="shared" si="1344"/>
        <v>0</v>
      </c>
      <c r="EL220" s="536">
        <f t="shared" si="1344"/>
        <v>0</v>
      </c>
      <c r="EM220" s="536">
        <f t="shared" si="1344"/>
        <v>0</v>
      </c>
      <c r="EN220" s="536">
        <f t="shared" si="1344"/>
        <v>0</v>
      </c>
      <c r="EO220" s="562"/>
      <c r="EP220" s="563"/>
      <c r="EQ220" s="563"/>
      <c r="ER220" s="563"/>
      <c r="ES220" s="536">
        <f t="shared" ref="ES220:FF220" si="1345">SUM(ES221:ES224)</f>
        <v>0</v>
      </c>
      <c r="ET220" s="536">
        <f t="shared" si="1345"/>
        <v>56</v>
      </c>
      <c r="EU220" s="536">
        <f t="shared" si="1345"/>
        <v>56</v>
      </c>
      <c r="EV220" s="536">
        <f t="shared" si="1345"/>
        <v>0</v>
      </c>
      <c r="EW220" s="536">
        <f t="shared" si="1345"/>
        <v>0</v>
      </c>
      <c r="EX220" s="536">
        <f t="shared" si="1345"/>
        <v>0</v>
      </c>
      <c r="EY220" s="536">
        <f t="shared" si="1345"/>
        <v>0</v>
      </c>
      <c r="EZ220" s="536">
        <f t="shared" si="1345"/>
        <v>0</v>
      </c>
      <c r="FA220" s="562"/>
      <c r="FB220" s="536">
        <f t="shared" si="1345"/>
        <v>0</v>
      </c>
      <c r="FC220" s="536">
        <f t="shared" si="1345"/>
        <v>0</v>
      </c>
      <c r="FD220" s="536">
        <f t="shared" si="1345"/>
        <v>0</v>
      </c>
      <c r="FE220" s="536">
        <f t="shared" si="1345"/>
        <v>0</v>
      </c>
      <c r="FF220" s="536">
        <f t="shared" si="1345"/>
        <v>0</v>
      </c>
    </row>
    <row r="221" spans="2:162" ht="14.25" outlineLevel="2">
      <c r="B221" s="564" t="s">
        <v>202</v>
      </c>
      <c r="C221" s="565">
        <v>1</v>
      </c>
      <c r="D221" s="566" t="s">
        <v>27</v>
      </c>
      <c r="F221" s="500">
        <f t="shared" ref="F221:F224" si="1346">W221+BG221+CQ221+EA221</f>
        <v>1.03176855</v>
      </c>
      <c r="G221" s="500">
        <f t="shared" ref="G221:G224" si="1347">X221+BH221+CR221+EB221</f>
        <v>1.03176855</v>
      </c>
      <c r="H221" s="514">
        <f t="shared" ref="H221:H224" si="1348">F221-G221</f>
        <v>0</v>
      </c>
      <c r="I221" s="514">
        <f t="shared" si="1328"/>
        <v>0</v>
      </c>
      <c r="J221" s="514">
        <f t="shared" si="1329"/>
        <v>0</v>
      </c>
      <c r="K221" s="514">
        <f t="shared" si="1330"/>
        <v>0</v>
      </c>
      <c r="L221" s="514">
        <f t="shared" si="1331"/>
        <v>0</v>
      </c>
      <c r="M221" s="567">
        <f t="shared" si="1332"/>
        <v>0</v>
      </c>
      <c r="N221" s="568"/>
      <c r="O221" s="514">
        <f t="shared" si="1333"/>
        <v>0</v>
      </c>
      <c r="P221" s="514">
        <f t="shared" si="1334"/>
        <v>0</v>
      </c>
      <c r="Q221" s="514">
        <f t="shared" si="1335"/>
        <v>0</v>
      </c>
      <c r="R221" s="514">
        <f t="shared" si="1336"/>
        <v>0</v>
      </c>
      <c r="S221" s="514">
        <f t="shared" si="1337"/>
        <v>0</v>
      </c>
      <c r="U221" s="569">
        <v>0.25</v>
      </c>
      <c r="V221" s="503"/>
      <c r="W221" s="500">
        <f t="shared" ref="W221:W224" si="1349">$W$220/$U$220*U221</f>
        <v>0.75168750000000006</v>
      </c>
      <c r="X221" s="500">
        <f t="shared" si="1000"/>
        <v>0.75168750000000006</v>
      </c>
      <c r="Y221" s="582">
        <f t="shared" ref="Y221:Y224" si="1350">IFERROR(IF(AL221=100%,W221,0),0)</f>
        <v>0.75168750000000006</v>
      </c>
      <c r="Z221" s="582">
        <f t="shared" ref="Z221:Z224" si="1351">IFERROR(IF(AND((AL221+AM221)=100%,AL221&lt;1),W221,0),0)</f>
        <v>0</v>
      </c>
      <c r="AA221" s="514">
        <f t="shared" ref="AA221:AA224" si="1352">IFERROR(IF(AND((AQ221+AS221)=AP221,Y221=0),W221,0),0)</f>
        <v>0</v>
      </c>
      <c r="AB221" s="514">
        <f t="shared" ref="AB221:AB224" si="1353">IFERROR(IF(AND((AQ221+AS221+AT221)=AP221,Y221=0,AA221=0),W221,0),0)</f>
        <v>0</v>
      </c>
      <c r="AC221" s="514">
        <f t="shared" ref="AC221:AC224" si="1354">IFERROR(IF(AND((AQ221+AS221+AT221+AU221)=AP221,Y221=0,AA221=0,AB221=0),W221,0),0)</f>
        <v>0</v>
      </c>
      <c r="AD221" s="567">
        <f t="shared" ref="AD221:AD224" si="1355">IFERROR(IF(AND((AQ221+AS221+AT221+AU221+AV221)=AP221,Y221=0,AA221=0,AB221=0,AC221=0),W221,0),0)</f>
        <v>0</v>
      </c>
      <c r="AE221" s="568"/>
      <c r="AF221" s="514">
        <f t="shared" ref="AF221:AF224" si="1356">IFERROR(IF(AND((AL221+AN221)=100%,AL221&lt;1),W221,0),0)</f>
        <v>0</v>
      </c>
      <c r="AG221" s="514">
        <f>IFERROR(IF(AND((AQ221+AY221)=AP221,Y221=0),W221,0),0)</f>
        <v>0</v>
      </c>
      <c r="AH221" s="514">
        <f>IFERROR(IF(AND((AQ221+AY221+AZ221)=AP221,Y221=0,AG221=0),W221,0),0)</f>
        <v>0</v>
      </c>
      <c r="AI221" s="514">
        <f>IFERROR(IF(AND((AQ221+AY221+AZ221+BA221)=AP221,Y221=0,AG221=0,AH221=0),W221,0),0)</f>
        <v>0</v>
      </c>
      <c r="AJ221" s="514">
        <f>IFERROR(IF(AND((AQ221+AY221+AZ221+BA221+BB221)=AP221,Y221=0,AG221=0,AH221=0,AI221=0),W221,0),0)</f>
        <v>0</v>
      </c>
      <c r="AK221" s="501"/>
      <c r="AL221" s="570">
        <f t="shared" ref="AL221:AL224" si="1357">IFERROR(AQ221/AP221,0)</f>
        <v>1</v>
      </c>
      <c r="AM221" s="570">
        <f t="shared" ref="AM221:AM224" si="1358">IFERROR(AR221/AP221,0)</f>
        <v>0</v>
      </c>
      <c r="AN221" s="570">
        <f>IFERROR(AX221/AP221,0)</f>
        <v>0</v>
      </c>
      <c r="AO221" s="518"/>
      <c r="AP221" s="514">
        <f>COUNTIF('AR | Drawing List'!$G:$G,"AR-SDV-1")</f>
        <v>6</v>
      </c>
      <c r="AQ221" s="506">
        <f>COUNTIFS('AR | Drawing List'!$G:$G,"AR-SDV-1",'AR | Drawing List'!$I:$I,1)</f>
        <v>6</v>
      </c>
      <c r="AR221" s="506">
        <f t="shared" si="1075"/>
        <v>0</v>
      </c>
      <c r="AS221" s="506">
        <f>COUNTIFS('AR | Drawing List'!$G:$G,"AR-SDV-1",'AR | Drawing List'!M:M,1)</f>
        <v>0</v>
      </c>
      <c r="AT221" s="506">
        <f>COUNTIFS('AR | Drawing List'!$G:$G,"AR-SDV-1",'AR | Drawing List'!N:N,1)</f>
        <v>0</v>
      </c>
      <c r="AU221" s="506">
        <f>COUNTIFS('AR | Drawing List'!$G:$G,"AR-SDV-1",'AR | Drawing List'!O:O,1)</f>
        <v>0</v>
      </c>
      <c r="AV221" s="506">
        <f>COUNTIFS('AR | Drawing List'!$G:$G,"AR-SDV-1",'AR | Drawing List'!P:P,1)</f>
        <v>0</v>
      </c>
      <c r="AW221" s="466"/>
      <c r="AX221" s="506">
        <f t="shared" si="1093"/>
        <v>0</v>
      </c>
      <c r="AY221" s="506">
        <f>COUNTIFS('AR | Drawing List'!$G:$G,"AR-SDV-1",'AR | Drawing List'!R:R,1)</f>
        <v>0</v>
      </c>
      <c r="AZ221" s="506">
        <f>COUNTIFS('AR | Drawing List'!$G:$G,"AR-SDV-1",'AR | Drawing List'!S:S,1)</f>
        <v>0</v>
      </c>
      <c r="BA221" s="506">
        <f>COUNTIFS('AR | Drawing List'!$G:$G,"AR-SDV-1",'AR | Drawing List'!T:T,1)</f>
        <v>0</v>
      </c>
      <c r="BB221" s="506">
        <f>COUNTIFS('AR | Drawing List'!$G:$G,"AR-SDV-1",'AR | Drawing List'!U:U,1)</f>
        <v>0</v>
      </c>
      <c r="BC221" s="551"/>
      <c r="BD221" s="551"/>
      <c r="BE221" s="576">
        <v>0</v>
      </c>
      <c r="BF221" s="508"/>
      <c r="BG221" s="506">
        <f t="shared" ref="BG221:BG224" si="1359">$BG$220/$BE$220*BE221</f>
        <v>0</v>
      </c>
      <c r="BH221" s="510">
        <f t="shared" si="1001"/>
        <v>0</v>
      </c>
      <c r="BI221" s="514">
        <f>IFERROR(IF(BV221=100%,BG221,0),0)</f>
        <v>0</v>
      </c>
      <c r="BJ221" s="514">
        <f>IFERROR(IF(AND((BV221+BW221)=100%,BV221&lt;1),BG221,0),0)</f>
        <v>0</v>
      </c>
      <c r="BK221" s="514">
        <f>IFERROR(IF(AND((CA221+CC221)=BZ221,BI221=0),BG221,0),0)</f>
        <v>0</v>
      </c>
      <c r="BL221" s="514">
        <f>IFERROR(IF(AND((CA221+CC221+CD221)=BZ221,BI221=0,BK221=0),BG221,0),0)</f>
        <v>0</v>
      </c>
      <c r="BM221" s="514">
        <f>IFERROR(IF(AND((CA221+CC221+CD221+CE221)=BZ221,BI221=0,BK221=0,BL221=0),BG221,0),0)</f>
        <v>0</v>
      </c>
      <c r="BN221" s="514">
        <f>IFERROR(IF(AND((CA221+CC221+CD221+CE221+CF221)=BZ221,BI221=0,BK221=0,BL221=0,BM221=0),BG221,0),0)</f>
        <v>0</v>
      </c>
      <c r="BO221" s="501"/>
      <c r="BP221" s="514">
        <f>IFERROR(IF(AND((BV221+BX221)=100%,BV221&lt;1),BG221,0),0)</f>
        <v>0</v>
      </c>
      <c r="BQ221" s="514">
        <f>IFERROR(IF(AND((CA221+CI221)=BZ221,BI221=0),BG221,0),0)</f>
        <v>0</v>
      </c>
      <c r="BR221" s="514">
        <f>IFERROR(IF(AND((CA221+CI221+CJ221)=BZ221,BI221=0,BQ221=0),BG221,0),0)</f>
        <v>0</v>
      </c>
      <c r="BS221" s="514">
        <f>IFERROR(IF(AND((CA221+CI221+CJ221+CK221)=BZ221,BI221=0,BQ221=0,BR221=0),BG221,0),0)</f>
        <v>0</v>
      </c>
      <c r="BT221" s="514">
        <f>IFERROR(IF(AND((CA221+CI221+CJ221+CK221+CL221)=BZ221,BI221=0,BQ221=0,BR221=0,BS221=0),BG221,0),0)</f>
        <v>0</v>
      </c>
      <c r="BU221" s="501"/>
      <c r="BV221" s="571">
        <f t="shared" ref="BV221:BV224" si="1360">IFERROR(CA221/BZ221,0)</f>
        <v>0</v>
      </c>
      <c r="BW221" s="571">
        <f t="shared" ref="BW221:BW224" si="1361">IFERROR(CB221/BZ221,0)</f>
        <v>0</v>
      </c>
      <c r="BX221" s="571">
        <f t="shared" ref="BX221:BX224" si="1362">IFERROR(CH221/BZ221,0)</f>
        <v>0</v>
      </c>
      <c r="BY221" s="518"/>
      <c r="BZ221" s="514">
        <f>COUNTIF('ST | Drawing List'!$G:$G,"ST-SDV-1")</f>
        <v>0</v>
      </c>
      <c r="CA221" s="506">
        <f>COUNTIFS('ST | Drawing List'!$G:$G,"ST-SDV-1",'ST | Drawing List'!$I:$I,1)</f>
        <v>0</v>
      </c>
      <c r="CB221" s="572">
        <f>COUNTIFS('ST | Drawing List'!$G:$G,"ST-SDV-1",'ST | Drawing List'!$K:$K,1)</f>
        <v>0</v>
      </c>
      <c r="CC221" s="506">
        <f>COUNTIFS('ST | Drawing List'!$G:$G,"ST-SDV-1",'ST | Drawing List'!L:L,1)</f>
        <v>0</v>
      </c>
      <c r="CD221" s="506">
        <f>COUNTIFS('ST | Drawing List'!$G:$G,"ST-SDV-1",'ST | Drawing List'!M:M,1)</f>
        <v>0</v>
      </c>
      <c r="CE221" s="506">
        <f>COUNTIFS('ST | Drawing List'!$G:$G,"ST-SDV-1",'ST | Drawing List'!N:N,1)</f>
        <v>0</v>
      </c>
      <c r="CF221" s="506">
        <f>COUNTIFS('ST | Drawing List'!$G:$G,"ST-SDV-1",'ST | Drawing List'!O:O,1)</f>
        <v>0</v>
      </c>
      <c r="CG221" s="471"/>
      <c r="CH221" s="572">
        <f>COUNTIFS('ST | Drawing List'!$G:$G,"ST-SDV-1",'ST | Drawing List'!$P:$P,1)</f>
        <v>0</v>
      </c>
      <c r="CI221" s="506">
        <f>COUNTIFS('ST | Drawing List'!$G:$G,"ST-SDV-1",'ST | Drawing List'!Q:Q,1)</f>
        <v>0</v>
      </c>
      <c r="CJ221" s="506">
        <f>COUNTIFS('ST | Drawing List'!$G:$G,"ST-SDV-1",'ST | Drawing List'!R:R,1)</f>
        <v>0</v>
      </c>
      <c r="CK221" s="506">
        <f>COUNTIFS('ST | Drawing List'!$G:$G,"ST-SDV-1",'ST | Drawing List'!S:S,1)</f>
        <v>0</v>
      </c>
      <c r="CL221" s="506">
        <f>COUNTIFS('ST | Drawing List'!$G:$G,"ST-SDV-1",'ST | Drawing List'!T:T,1)</f>
        <v>0</v>
      </c>
      <c r="CM221" s="508"/>
      <c r="CN221" s="508"/>
      <c r="CO221" s="511">
        <v>0.15</v>
      </c>
      <c r="CP221" s="508"/>
      <c r="CQ221" s="506">
        <f t="shared" ref="CQ221:CQ224" si="1363">$CQ$220/$CO$220*CO221</f>
        <v>0.10723530000000001</v>
      </c>
      <c r="CR221" s="510">
        <f t="shared" si="1002"/>
        <v>0.10723530000000001</v>
      </c>
      <c r="CS221" s="514">
        <f t="shared" ref="CS221:CS224" si="1364">IFERROR(IF(DF221=100%,CQ221,0),0)</f>
        <v>0.10723530000000001</v>
      </c>
      <c r="CT221" s="514">
        <f t="shared" ref="CT221:CT224" si="1365">IFERROR(IF(AND((DF221+DG221)=100%,DF221&lt;1),CQ221,0),0)</f>
        <v>0</v>
      </c>
      <c r="CU221" s="514">
        <f t="shared" ref="CU221:CU224" si="1366">IFERROR(IF(AND((DK221+DM221)=DJ221,CS221=0),CQ221,0),0)</f>
        <v>0</v>
      </c>
      <c r="CV221" s="514">
        <f t="shared" ref="CV221:CV224" si="1367">IFERROR(IF(AND((DK221+DM221+DN221)=DJ221,CS221=0,CU221=0),CQ221,0),0)</f>
        <v>0</v>
      </c>
      <c r="CW221" s="514">
        <f t="shared" ref="CW221:CW224" si="1368">IFERROR(IF(AND((DK221+DM221+DN221+DO221)=DJ221,CS221=0,CU221=0,CV221=0),CQ221,0),0)</f>
        <v>0</v>
      </c>
      <c r="CX221" s="514">
        <f t="shared" ref="CX221:CX224" si="1369">IFERROR(IF(AND((DK221+DM221+DN221+DO221+DP221)=DJ221,CS221=0,CU221=0,CV221=0,CW221=0),CQ221,0),0)</f>
        <v>0</v>
      </c>
      <c r="CY221" s="501"/>
      <c r="CZ221" s="514">
        <f t="shared" ref="CZ221:CZ224" si="1370">IFERROR(IF(AND((DF221+DH221)=100%,DF221&lt;1),CQ221,0),0)</f>
        <v>0</v>
      </c>
      <c r="DA221" s="514">
        <f t="shared" ref="DA221:DA224" si="1371">IFERROR(IF(AND((DK221+DS221)=DJ221,CS221=0),CQ221,0),0)</f>
        <v>0</v>
      </c>
      <c r="DB221" s="514">
        <f t="shared" ref="DB221:DB224" si="1372">IFERROR(IF(AND((DK221+DS221+DT221)=DJ221,CS221=0,DA221=0),CQ221,0),0)</f>
        <v>0</v>
      </c>
      <c r="DC221" s="514">
        <f t="shared" ref="DC221:DC224" si="1373">IFERROR(IF(AND((DK221+DS221+DT221+DU221)=DJ221,CS221=0,DA221=0,DB221=0),CQ221,0),0)</f>
        <v>0</v>
      </c>
      <c r="DD221" s="514">
        <f t="shared" ref="DD221:DD224" si="1374">IFERROR(IF(AND((DK221+DS221+DT221+DU221+DV221)=DJ221,CS221=0,DA221=0,DB221=0,DC221=0),CQ221,0),0)</f>
        <v>0</v>
      </c>
      <c r="DE221" s="501"/>
      <c r="DF221" s="570">
        <f t="shared" ref="DF221:DF224" si="1375">IFERROR(DK221/DJ221,0)</f>
        <v>1</v>
      </c>
      <c r="DG221" s="570">
        <f t="shared" ref="DG221:DG224" si="1376">IFERROR(DL221/DJ221,0)</f>
        <v>0</v>
      </c>
      <c r="DH221" s="570">
        <f t="shared" ref="DH221:DH224" si="1377">IFERROR(DR221/DJ221,0)</f>
        <v>0</v>
      </c>
      <c r="DI221" s="518"/>
      <c r="DJ221" s="514">
        <f>COUNTIF('MEP | Drawing List'!$G:$G,"MEP-SDV-1")</f>
        <v>46</v>
      </c>
      <c r="DK221" s="506">
        <f>COUNTIFS('MEP | Drawing List'!$G:$G,"MEP-SDV-1",'MEP | Drawing List'!$I:$I,1)</f>
        <v>46</v>
      </c>
      <c r="DL221" s="506">
        <f>COUNTIFS('MEP | Drawing List'!$G:$G,"MEP-SDV-1",'MEP | Drawing List'!$K:$K,1)</f>
        <v>0</v>
      </c>
      <c r="DM221" s="514">
        <f>COUNTIFS('MEP | Drawing List'!$G:$G,"MEP-SDV-1",'MEP | Drawing List'!L:L,1)</f>
        <v>0</v>
      </c>
      <c r="DN221" s="514">
        <f>COUNTIFS('MEP | Drawing List'!$G:$G,"MEP-SDV-1",'MEP | Drawing List'!M:M,1)</f>
        <v>0</v>
      </c>
      <c r="DO221" s="514">
        <f>COUNTIFS('MEP | Drawing List'!$G:$G,"MEP-SDV-1",'MEP | Drawing List'!N:N,1)</f>
        <v>0</v>
      </c>
      <c r="DP221" s="514">
        <f>COUNTIFS('MEP | Drawing List'!$G:$G,"MEP-SDV-1",'MEP | Drawing List'!O:O,1)</f>
        <v>0</v>
      </c>
      <c r="DQ221" s="501"/>
      <c r="DR221" s="506">
        <f>COUNTIFS('MEP | Drawing List'!$G:$G,"MEP-SDV-1",'MEP | Drawing List'!$P:$P,1)</f>
        <v>0</v>
      </c>
      <c r="DS221" s="514">
        <f>COUNTIFS('MEP | Drawing List'!$G:$G,"MEP-SDV-1",'MEP | Drawing List'!Q:Q,1)</f>
        <v>0</v>
      </c>
      <c r="DT221" s="514">
        <f>COUNTIFS('MEP | Drawing List'!$G:$G,"MEP-SDV-1",'MEP | Drawing List'!R:R,1)</f>
        <v>0</v>
      </c>
      <c r="DU221" s="514">
        <f>COUNTIFS('MEP | Drawing List'!$G:$G,"MEP-SDV-1",'MEP | Drawing List'!S:S,1)</f>
        <v>0</v>
      </c>
      <c r="DV221" s="514">
        <f>COUNTIFS('MEP | Drawing List'!$G:$G,"MEP-SDV-1",'MEP | Drawing List'!T:T,1)</f>
        <v>0</v>
      </c>
      <c r="DW221" s="508"/>
      <c r="DX221" s="508"/>
      <c r="DY221" s="511">
        <v>0.25</v>
      </c>
      <c r="DZ221" s="508"/>
      <c r="EA221" s="506">
        <f t="shared" ref="EA221:EA224" si="1378">$EA$220/$DY$220*DY221</f>
        <v>0.17284574999999999</v>
      </c>
      <c r="EB221" s="510">
        <f t="shared" si="1003"/>
        <v>0.17284574999999999</v>
      </c>
      <c r="EC221" s="514">
        <f t="shared" ref="EC221:EC224" si="1379">IFERROR(IF(EP221=100%,EA221,0),0)</f>
        <v>0.17284574999999999</v>
      </c>
      <c r="ED221" s="514">
        <f t="shared" ref="ED221:ED224" si="1380">IFERROR(IF(AND((EP221+EQ221)=100%,EP221&lt;1),EA221,0),0)</f>
        <v>0</v>
      </c>
      <c r="EE221" s="514">
        <f t="shared" ref="EE221:EE224" si="1381">IFERROR(IF(AND((EU221+EW221)=ET221,EC221=0),EA221,0),0)</f>
        <v>0</v>
      </c>
      <c r="EF221" s="514">
        <f t="shared" ref="EF221:EF224" si="1382">IFERROR(IF(AND((EU221+EW221+EX221)=ET221,EC221=0,EE221=0),EA221,0),0)</f>
        <v>0</v>
      </c>
      <c r="EG221" s="514">
        <f t="shared" ref="EG221:EG224" si="1383">IFERROR(IF(AND((EU221+EW221+EX221+EY221)=ET221,EC221=0,EE221=0,EF221=0),EA221,0),0)</f>
        <v>0</v>
      </c>
      <c r="EH221" s="514">
        <f t="shared" ref="EH221:EH224" si="1384">IFERROR(IF(AND((EU221+EW221+EX221+EY221+EZ221)=ET221,EC221=0,EE221=0,EF221=0,EG221=0),EA221,0),0)</f>
        <v>0</v>
      </c>
      <c r="EI221" s="501"/>
      <c r="EJ221" s="567">
        <f t="shared" ref="EJ221:EJ224" si="1385">IFERROR(IF(AND((EP221+ER221)=100%,EP221&lt;1),EA221,0),0)</f>
        <v>0</v>
      </c>
      <c r="EK221" s="514">
        <f t="shared" ref="EK221:EK224" si="1386">IFERROR(IF(AND((EU221+FC221)=ET221,EC221=0),EA221,0),0)</f>
        <v>0</v>
      </c>
      <c r="EL221" s="514">
        <f t="shared" ref="EL221:EL224" si="1387">IFERROR(IF(AND((EU221+FC221+FD221)=ET221,EC221=0,EK221=0),EA221,0),0)</f>
        <v>0</v>
      </c>
      <c r="EM221" s="514">
        <f t="shared" ref="EM221:EM224" si="1388">IFERROR(IF(AND((EU221+FC221+FD221+FE221)=ET221,EC221=0,EK221=0,EL221=0),EA221,0),0)</f>
        <v>0</v>
      </c>
      <c r="EN221" s="514">
        <f t="shared" ref="EN221:EN224" si="1389">IFERROR(IF(AND((EU221+FC221+FD221+FE221+FF221)=ET221,EC221=0,EK221=0,EL221=0,EM221=0),EA221,0),0)</f>
        <v>0</v>
      </c>
      <c r="EO221" s="501"/>
      <c r="EP221" s="585">
        <f t="shared" ref="EP221:EP224" si="1390">IFERROR(EU221/ET221,0)</f>
        <v>1</v>
      </c>
      <c r="EQ221" s="585">
        <f t="shared" ref="EQ221:EQ224" si="1391">IFERROR(EV221/ET221,0)</f>
        <v>0</v>
      </c>
      <c r="ER221" s="585">
        <f t="shared" ref="ER221:ER224" si="1392">IFERROR(FB221/ET221,0)</f>
        <v>0</v>
      </c>
      <c r="ET221" s="514">
        <f>COUNTIF('LS | Drawing List'!$G:$G,"LS-SDV-1")</f>
        <v>20</v>
      </c>
      <c r="EU221" s="506">
        <f>COUNTIFS('LS | Drawing List'!$G:$G,"LS-SDV-1",'LS | Drawing List'!$I:$I,1)</f>
        <v>20</v>
      </c>
      <c r="EV221" s="506">
        <f>COUNTIFS('LS | Drawing List'!$G:$G,"LS-SDV-1",'LS | Drawing List'!$K:$K,1)</f>
        <v>0</v>
      </c>
      <c r="EW221" s="514">
        <f>COUNTIFS('LS | Drawing List'!$G:$G,"LS-SDV-1",'LS | Drawing List'!L:L,1)</f>
        <v>0</v>
      </c>
      <c r="EX221" s="514">
        <f>COUNTIFS('LS | Drawing List'!$G:$G,"LS-SDV-1",'LS | Drawing List'!M:M,1)</f>
        <v>0</v>
      </c>
      <c r="EY221" s="514">
        <f>COUNTIFS('LS | Drawing List'!$G:$G,"LS-SDV-1",'LS | Drawing List'!N:N,1)</f>
        <v>0</v>
      </c>
      <c r="EZ221" s="514">
        <f>COUNTIFS('LS | Drawing List'!$G:$G,"LS-SDV-1",'LS | Drawing List'!O:O,1)</f>
        <v>0</v>
      </c>
      <c r="FA221" s="515"/>
      <c r="FB221" s="506">
        <f>COUNTIFS('LS | Drawing List'!$G:$G,"LS-SDV-1",'LS | Drawing List'!$P:$P,1)</f>
        <v>0</v>
      </c>
      <c r="FC221" s="514">
        <f>COUNTIFS('LS | Drawing List'!$G:$G,"LS-SDV-1",'LS | Drawing List'!Q:Q,1)</f>
        <v>0</v>
      </c>
      <c r="FD221" s="514">
        <f>COUNTIFS('LS | Drawing List'!$G:$G,"LS-SDV-1",'LS | Drawing List'!R:R,1)</f>
        <v>0</v>
      </c>
      <c r="FE221" s="514">
        <f>COUNTIFS('LS | Drawing List'!$G:$G,"LS-SDV-1",'LS | Drawing List'!S:S,1)</f>
        <v>0</v>
      </c>
      <c r="FF221" s="514">
        <f>COUNTIFS('LS | Drawing List'!$G:$G,"LS-SDV-1",'LS | Drawing List'!T:T,1)</f>
        <v>0</v>
      </c>
    </row>
    <row r="222" spans="2:162" ht="14.25" outlineLevel="2">
      <c r="B222" s="564" t="s">
        <v>203</v>
      </c>
      <c r="C222" s="565">
        <v>2</v>
      </c>
      <c r="D222" s="566" t="s">
        <v>204</v>
      </c>
      <c r="F222" s="500">
        <f t="shared" si="1346"/>
        <v>0.6414845684963334</v>
      </c>
      <c r="G222" s="500">
        <f t="shared" si="1347"/>
        <v>0</v>
      </c>
      <c r="H222" s="514">
        <f t="shared" si="1348"/>
        <v>0.6414845684963334</v>
      </c>
      <c r="I222" s="514">
        <f t="shared" si="1328"/>
        <v>0.6414845684963334</v>
      </c>
      <c r="J222" s="514">
        <f t="shared" si="1329"/>
        <v>0.6414845684963334</v>
      </c>
      <c r="K222" s="514">
        <f t="shared" si="1330"/>
        <v>0</v>
      </c>
      <c r="L222" s="514">
        <f t="shared" si="1331"/>
        <v>0</v>
      </c>
      <c r="M222" s="567">
        <f t="shared" si="1332"/>
        <v>0</v>
      </c>
      <c r="N222" s="568"/>
      <c r="O222" s="514">
        <f t="shared" si="1333"/>
        <v>0</v>
      </c>
      <c r="P222" s="514">
        <f t="shared" si="1334"/>
        <v>0</v>
      </c>
      <c r="Q222" s="514">
        <f t="shared" si="1335"/>
        <v>0</v>
      </c>
      <c r="R222" s="514">
        <f t="shared" si="1336"/>
        <v>0</v>
      </c>
      <c r="S222" s="514">
        <f t="shared" si="1337"/>
        <v>0</v>
      </c>
      <c r="U222" s="569">
        <v>0.15</v>
      </c>
      <c r="V222" s="503"/>
      <c r="W222" s="500">
        <f t="shared" si="1349"/>
        <v>0.45101250000000004</v>
      </c>
      <c r="X222" s="500">
        <f t="shared" si="1000"/>
        <v>0</v>
      </c>
      <c r="Y222" s="582">
        <f t="shared" si="1350"/>
        <v>0</v>
      </c>
      <c r="Z222" s="582">
        <f t="shared" si="1351"/>
        <v>0.45101250000000004</v>
      </c>
      <c r="AA222" s="514">
        <f t="shared" si="1352"/>
        <v>0.45101250000000004</v>
      </c>
      <c r="AB222" s="514">
        <f t="shared" si="1353"/>
        <v>0</v>
      </c>
      <c r="AC222" s="514">
        <f t="shared" si="1354"/>
        <v>0</v>
      </c>
      <c r="AD222" s="567">
        <f t="shared" si="1355"/>
        <v>0</v>
      </c>
      <c r="AE222" s="568"/>
      <c r="AF222" s="514">
        <f t="shared" si="1356"/>
        <v>0</v>
      </c>
      <c r="AG222" s="514">
        <f>IFERROR(IF(AND((AQ222+AY222)=AP222,Y222=0),W222,0),0)</f>
        <v>0</v>
      </c>
      <c r="AH222" s="514">
        <f>IFERROR(IF(AND((AQ222+AY222+AZ222)=AP222,Y222=0,AG222=0),W222,0),0)</f>
        <v>0</v>
      </c>
      <c r="AI222" s="514">
        <f>IFERROR(IF(AND((AQ222+AY222+AZ222+BA222)=AP222,Y222=0,AG222=0,AH222=0),W222,0),0)</f>
        <v>0</v>
      </c>
      <c r="AJ222" s="514">
        <f>IFERROR(IF(AND((AQ222+AY222+AZ222+BA222+BB222)=AP222,Y222=0,AG222=0,AH222=0,AI222=0),W222,0),0)</f>
        <v>0</v>
      </c>
      <c r="AK222" s="501"/>
      <c r="AL222" s="570">
        <f t="shared" si="1357"/>
        <v>0.95714285714285718</v>
      </c>
      <c r="AM222" s="570">
        <f t="shared" si="1358"/>
        <v>4.2857142857142858E-2</v>
      </c>
      <c r="AN222" s="570">
        <f>IFERROR(AX222/AP222,0)</f>
        <v>0</v>
      </c>
      <c r="AO222" s="518"/>
      <c r="AP222" s="514">
        <f>COUNTIF('AR | Drawing List'!$G:$G,"AR-SDV-2")</f>
        <v>70</v>
      </c>
      <c r="AQ222" s="506">
        <f>COUNTIFS('AR | Drawing List'!$G:$G,"AR-SDV-2",'AR | Drawing List'!$I:$I,1)</f>
        <v>67</v>
      </c>
      <c r="AR222" s="506">
        <f t="shared" si="1075"/>
        <v>3</v>
      </c>
      <c r="AS222" s="506">
        <f>COUNTIFS('AR | Drawing List'!$G:$G,"AR-SDV-2",'AR | Drawing List'!M:M,1)</f>
        <v>3</v>
      </c>
      <c r="AT222" s="506">
        <f>COUNTIFS('AR | Drawing List'!$G:$G,"AR-SDV-2",'AR | Drawing List'!N:N,1)</f>
        <v>0</v>
      </c>
      <c r="AU222" s="506">
        <f>COUNTIFS('AR | Drawing List'!$G:$G,"AR-SDV-2",'AR | Drawing List'!O:O,1)</f>
        <v>0</v>
      </c>
      <c r="AV222" s="506">
        <f>COUNTIFS('AR | Drawing List'!$G:$G,"AR-SDV-2",'AR | Drawing List'!P:P,1)</f>
        <v>0</v>
      </c>
      <c r="AW222" s="466"/>
      <c r="AX222" s="506">
        <f t="shared" si="1093"/>
        <v>0</v>
      </c>
      <c r="AY222" s="506">
        <f>COUNTIFS('AR | Drawing List'!$G:$G,"AR-SDV-2",'AR | Drawing List'!R:R,1)</f>
        <v>0</v>
      </c>
      <c r="AZ222" s="506">
        <f>COUNTIFS('AR | Drawing List'!$G:$G,"AR-SDV-2",'AR | Drawing List'!S:S,1)</f>
        <v>0</v>
      </c>
      <c r="BA222" s="506">
        <f>COUNTIFS('AR | Drawing List'!$G:$G,"AR-SDV-2",'AR | Drawing List'!T:T,1)</f>
        <v>0</v>
      </c>
      <c r="BB222" s="506">
        <f>COUNTIFS('AR | Drawing List'!$G:$G,"AR-SDV-2",'AR | Drawing List'!U:U,1)</f>
        <v>0</v>
      </c>
      <c r="BC222" s="551"/>
      <c r="BD222" s="551"/>
      <c r="BE222" s="511">
        <v>0.3</v>
      </c>
      <c r="BF222" s="508"/>
      <c r="BG222" s="506">
        <f t="shared" si="1359"/>
        <v>0.19047206849633333</v>
      </c>
      <c r="BH222" s="510">
        <f t="shared" si="1001"/>
        <v>0</v>
      </c>
      <c r="BI222" s="514">
        <f>IFERROR(IF(BV222=100%,BG222,0),0)</f>
        <v>0</v>
      </c>
      <c r="BJ222" s="514">
        <f>IFERROR(IF(AND((BV222+BW222)=100%,BV222&lt;1),BG222,0),0)</f>
        <v>0.19047206849633333</v>
      </c>
      <c r="BK222" s="514">
        <f>IFERROR(IF(AND((CA222+CC222)=BZ222,BI222=0),BG222,0),0)</f>
        <v>0.19047206849633333</v>
      </c>
      <c r="BL222" s="514">
        <f>IFERROR(IF(AND((CA222+CC222+CD222)=BZ222,BI222=0,BK222=0),BG222,0),0)</f>
        <v>0</v>
      </c>
      <c r="BM222" s="514">
        <f>IFERROR(IF(AND((CA222+CC222+CD222+CE222)=BZ222,BI222=0,BK222=0,BL222=0),BG222,0),0)</f>
        <v>0</v>
      </c>
      <c r="BN222" s="514">
        <f>IFERROR(IF(AND((CA222+CC222+CD222+CE222+CF222)=BZ222,BI222=0,BK222=0,BL222=0,BM222=0),BG222,0),0)</f>
        <v>0</v>
      </c>
      <c r="BO222" s="501"/>
      <c r="BP222" s="514">
        <f>IFERROR(IF(AND((BV222+BX222)=100%,BV222&lt;1),BG222,0),0)</f>
        <v>0</v>
      </c>
      <c r="BQ222" s="514">
        <f>IFERROR(IF(AND((CA222+CI222)=BZ222,BI222=0),BG222,0),0)</f>
        <v>0</v>
      </c>
      <c r="BR222" s="514">
        <f>IFERROR(IF(AND((CA222+CI222+CJ222)=BZ222,BI222=0,BQ222=0),BG222,0),0)</f>
        <v>0</v>
      </c>
      <c r="BS222" s="514">
        <f>IFERROR(IF(AND((CA222+CI222+CJ222+CK222)=BZ222,BI222=0,BQ222=0,BR222=0),BG222,0),0)</f>
        <v>0</v>
      </c>
      <c r="BT222" s="514">
        <f>IFERROR(IF(AND((CA222+CI222+CJ222+CK222+CL222)=BZ222,BI222=0,BQ222=0,BR222=0,BS222=0),BG222,0),0)</f>
        <v>0</v>
      </c>
      <c r="BU222" s="501"/>
      <c r="BV222" s="571">
        <f t="shared" si="1360"/>
        <v>0.93103448275862066</v>
      </c>
      <c r="BW222" s="571">
        <f t="shared" si="1361"/>
        <v>6.8965517241379309E-2</v>
      </c>
      <c r="BX222" s="571">
        <f t="shared" si="1362"/>
        <v>0</v>
      </c>
      <c r="BY222" s="518"/>
      <c r="BZ222" s="514">
        <f>COUNTIF('ST | Drawing List'!$G:$G,"ST-SDV-2")</f>
        <v>29</v>
      </c>
      <c r="CA222" s="506">
        <f>COUNTIFS('ST | Drawing List'!$G:$G,"ST-SDV-2",'ST | Drawing List'!$I:$I,1)</f>
        <v>27</v>
      </c>
      <c r="CB222" s="572">
        <f>COUNTIFS('ST | Drawing List'!$G:$G,"ST-SDV-2",'ST | Drawing List'!$K:$K,1)</f>
        <v>2</v>
      </c>
      <c r="CC222" s="506">
        <f>COUNTIFS('ST | Drawing List'!$G:$G,"ST-SDV-2",'ST | Drawing List'!L:L,1)</f>
        <v>2</v>
      </c>
      <c r="CD222" s="506">
        <f>COUNTIFS('ST | Drawing List'!$G:$G,"ST-SDV-2",'ST | Drawing List'!M:M,1)</f>
        <v>0</v>
      </c>
      <c r="CE222" s="506">
        <f>COUNTIFS('ST | Drawing List'!$G:$G,"ST-SDV-2",'ST | Drawing List'!N:N,1)</f>
        <v>0</v>
      </c>
      <c r="CF222" s="506">
        <f>COUNTIFS('ST | Drawing List'!$G:$G,"ST-SDV-2",'ST | Drawing List'!O:O,1)</f>
        <v>0</v>
      </c>
      <c r="CG222" s="471"/>
      <c r="CH222" s="572">
        <f>COUNTIFS('ST | Drawing List'!$G:$G,"ST-SDV-2",'ST | Drawing List'!$P:$P,1)</f>
        <v>0</v>
      </c>
      <c r="CI222" s="506">
        <f>COUNTIFS('ST | Drawing List'!$G:$G,"ST-SDV-2",'ST | Drawing List'!Q:Q,1)</f>
        <v>0</v>
      </c>
      <c r="CJ222" s="506">
        <f>COUNTIFS('ST | Drawing List'!$G:$G,"ST-SDV-2",'ST | Drawing List'!R:R,1)</f>
        <v>0</v>
      </c>
      <c r="CK222" s="506">
        <f>COUNTIFS('ST | Drawing List'!$G:$G,"ST-SDV-2",'ST | Drawing List'!S:S,1)</f>
        <v>0</v>
      </c>
      <c r="CL222" s="506">
        <f>COUNTIFS('ST | Drawing List'!$G:$G,"ST-SDV-2",'ST | Drawing List'!T:T,1)</f>
        <v>0</v>
      </c>
      <c r="CM222" s="508"/>
      <c r="CN222" s="508"/>
      <c r="CO222" s="576">
        <v>0</v>
      </c>
      <c r="CP222" s="508"/>
      <c r="CQ222" s="506">
        <f t="shared" si="1363"/>
        <v>0</v>
      </c>
      <c r="CR222" s="510">
        <f t="shared" si="1002"/>
        <v>0</v>
      </c>
      <c r="CS222" s="514">
        <f t="shared" si="1364"/>
        <v>0</v>
      </c>
      <c r="CT222" s="514">
        <f t="shared" si="1365"/>
        <v>0</v>
      </c>
      <c r="CU222" s="514">
        <f t="shared" si="1366"/>
        <v>0</v>
      </c>
      <c r="CV222" s="514">
        <f t="shared" si="1367"/>
        <v>0</v>
      </c>
      <c r="CW222" s="514">
        <f t="shared" si="1368"/>
        <v>0</v>
      </c>
      <c r="CX222" s="514">
        <f t="shared" si="1369"/>
        <v>0</v>
      </c>
      <c r="CY222" s="501"/>
      <c r="CZ222" s="514">
        <f t="shared" si="1370"/>
        <v>0</v>
      </c>
      <c r="DA222" s="514">
        <f t="shared" si="1371"/>
        <v>0</v>
      </c>
      <c r="DB222" s="514">
        <f t="shared" si="1372"/>
        <v>0</v>
      </c>
      <c r="DC222" s="514">
        <f t="shared" si="1373"/>
        <v>0</v>
      </c>
      <c r="DD222" s="514">
        <f t="shared" si="1374"/>
        <v>0</v>
      </c>
      <c r="DE222" s="501"/>
      <c r="DF222" s="570">
        <f t="shared" si="1375"/>
        <v>0</v>
      </c>
      <c r="DG222" s="570">
        <f t="shared" si="1376"/>
        <v>0</v>
      </c>
      <c r="DH222" s="570">
        <f t="shared" si="1377"/>
        <v>0</v>
      </c>
      <c r="DI222" s="518"/>
      <c r="DJ222" s="514">
        <f>COUNTIF('MEP | Drawing List'!$G:$G,"MEP-SDV-2")</f>
        <v>0</v>
      </c>
      <c r="DK222" s="506">
        <f>COUNTIFS('MEP | Drawing List'!$G:$G,"MEP-SDV-2",'MEP | Drawing List'!$I:$I,1)</f>
        <v>0</v>
      </c>
      <c r="DL222" s="506">
        <f>COUNTIFS('MEP | Drawing List'!$G:$G,"MEP-SDV-2",'MEP | Drawing List'!$K:$K,1)</f>
        <v>0</v>
      </c>
      <c r="DM222" s="514">
        <f>COUNTIFS('MEP | Drawing List'!$G:$G,"MEP-SDV-2",'MEP | Drawing List'!L:L,1)</f>
        <v>0</v>
      </c>
      <c r="DN222" s="514">
        <f>COUNTIFS('MEP | Drawing List'!$G:$G,"MEP-SDV-2",'MEP | Drawing List'!M:M,1)</f>
        <v>0</v>
      </c>
      <c r="DO222" s="514">
        <f>COUNTIFS('MEP | Drawing List'!$G:$G,"MEP-SDV-2",'MEP | Drawing List'!N:N,1)</f>
        <v>0</v>
      </c>
      <c r="DP222" s="514">
        <f>COUNTIFS('MEP | Drawing List'!$G:$G,"MEP-SDV-2",'MEP | Drawing List'!O:O,1)</f>
        <v>0</v>
      </c>
      <c r="DQ222" s="501"/>
      <c r="DR222" s="506">
        <f>COUNTIFS('MEP | Drawing List'!$G:$G,"MEP-SDV-2",'MEP | Drawing List'!$P:$P,1)</f>
        <v>0</v>
      </c>
      <c r="DS222" s="514">
        <f>COUNTIFS('MEP | Drawing List'!$G:$G,"MEP-SDV-2",'MEP | Drawing List'!Q:Q,1)</f>
        <v>0</v>
      </c>
      <c r="DT222" s="514">
        <f>COUNTIFS('MEP | Drawing List'!$G:$G,"MEP-SDV-2",'MEP | Drawing List'!R:R,1)</f>
        <v>0</v>
      </c>
      <c r="DU222" s="514">
        <f>COUNTIFS('MEP | Drawing List'!$G:$G,"MEP-SDV-2",'MEP | Drawing List'!S:S,1)</f>
        <v>0</v>
      </c>
      <c r="DV222" s="514">
        <f>COUNTIFS('MEP | Drawing List'!$G:$G,"MEP-SDV-2",'MEP | Drawing List'!T:T,1)</f>
        <v>0</v>
      </c>
      <c r="DW222" s="508"/>
      <c r="DX222" s="508"/>
      <c r="DY222" s="511">
        <v>0</v>
      </c>
      <c r="DZ222" s="508"/>
      <c r="EA222" s="506">
        <f t="shared" si="1378"/>
        <v>0</v>
      </c>
      <c r="EB222" s="510">
        <f t="shared" si="1003"/>
        <v>0</v>
      </c>
      <c r="EC222" s="514">
        <f t="shared" si="1379"/>
        <v>0</v>
      </c>
      <c r="ED222" s="514">
        <f t="shared" si="1380"/>
        <v>0</v>
      </c>
      <c r="EE222" s="514">
        <f t="shared" si="1381"/>
        <v>0</v>
      </c>
      <c r="EF222" s="514">
        <f t="shared" si="1382"/>
        <v>0</v>
      </c>
      <c r="EG222" s="514">
        <f t="shared" si="1383"/>
        <v>0</v>
      </c>
      <c r="EH222" s="514">
        <f t="shared" si="1384"/>
        <v>0</v>
      </c>
      <c r="EI222" s="501"/>
      <c r="EJ222" s="567">
        <f t="shared" si="1385"/>
        <v>0</v>
      </c>
      <c r="EK222" s="514">
        <f t="shared" si="1386"/>
        <v>0</v>
      </c>
      <c r="EL222" s="514">
        <f t="shared" si="1387"/>
        <v>0</v>
      </c>
      <c r="EM222" s="514">
        <f t="shared" si="1388"/>
        <v>0</v>
      </c>
      <c r="EN222" s="514">
        <f t="shared" si="1389"/>
        <v>0</v>
      </c>
      <c r="EO222" s="501"/>
      <c r="EP222" s="585">
        <f t="shared" si="1390"/>
        <v>0</v>
      </c>
      <c r="EQ222" s="585">
        <f t="shared" si="1391"/>
        <v>0</v>
      </c>
      <c r="ER222" s="585">
        <f t="shared" si="1392"/>
        <v>0</v>
      </c>
      <c r="ET222" s="514">
        <f>COUNTIF('LS | Drawing List'!$G:$G,"LS-SDV-2")</f>
        <v>0</v>
      </c>
      <c r="EU222" s="506">
        <f>COUNTIFS('LS | Drawing List'!$G:$G,"LS-SDV-2",'LS | Drawing List'!$I:$I,1)</f>
        <v>0</v>
      </c>
      <c r="EV222" s="506">
        <f>COUNTIFS('LS | Drawing List'!$G:$G,"LS-SDV-2",'LS | Drawing List'!$K:$K,1)</f>
        <v>0</v>
      </c>
      <c r="EW222" s="514">
        <f>COUNTIFS('LS | Drawing List'!$G:$G,"LS-SDV-2",'LS | Drawing List'!L:L,1)</f>
        <v>0</v>
      </c>
      <c r="EX222" s="514">
        <f>COUNTIFS('LS | Drawing List'!$G:$G,"LS-SDV-2",'LS | Drawing List'!M:M,1)</f>
        <v>0</v>
      </c>
      <c r="EY222" s="514">
        <f>COUNTIFS('LS | Drawing List'!$G:$G,"LS-SDV-2",'LS | Drawing List'!N:N,1)</f>
        <v>0</v>
      </c>
      <c r="EZ222" s="514">
        <f>COUNTIFS('LS | Drawing List'!$G:$G,"LS-SDV-2",'LS | Drawing List'!O:O,1)</f>
        <v>0</v>
      </c>
      <c r="FA222" s="515"/>
      <c r="FB222" s="506">
        <f>COUNTIFS('LS | Drawing List'!$G:$G,"LS-SDV-2",'LS | Drawing List'!$P:$P,1)</f>
        <v>0</v>
      </c>
      <c r="FC222" s="514">
        <f>COUNTIFS('LS | Drawing List'!$G:$G,"LS-SDV-2",'LS | Drawing List'!Q:Q,1)</f>
        <v>0</v>
      </c>
      <c r="FD222" s="514">
        <f>COUNTIFS('LS | Drawing List'!$G:$G,"LS-SDV-2",'LS | Drawing List'!R:R,1)</f>
        <v>0</v>
      </c>
      <c r="FE222" s="514">
        <f>COUNTIFS('LS | Drawing List'!$G:$G,"LS-SDV-2",'LS | Drawing List'!S:S,1)</f>
        <v>0</v>
      </c>
      <c r="FF222" s="514">
        <f>COUNTIFS('LS | Drawing List'!$G:$G,"LS-SDV-2",'LS | Drawing List'!T:T,1)</f>
        <v>0</v>
      </c>
    </row>
    <row r="223" spans="2:162" ht="14.25" outlineLevel="2">
      <c r="B223" s="564" t="s">
        <v>205</v>
      </c>
      <c r="C223" s="565">
        <v>3</v>
      </c>
      <c r="D223" s="566" t="s">
        <v>206</v>
      </c>
      <c r="F223" s="500">
        <f t="shared" si="1346"/>
        <v>0.6665152237469445</v>
      </c>
      <c r="G223" s="500">
        <f t="shared" si="1347"/>
        <v>0</v>
      </c>
      <c r="H223" s="514">
        <f t="shared" si="1348"/>
        <v>0.6665152237469445</v>
      </c>
      <c r="I223" s="514">
        <f t="shared" si="1328"/>
        <v>0.6665152237469445</v>
      </c>
      <c r="J223" s="514">
        <f t="shared" si="1329"/>
        <v>0.6665152237469445</v>
      </c>
      <c r="K223" s="514">
        <f t="shared" si="1330"/>
        <v>0</v>
      </c>
      <c r="L223" s="514">
        <f t="shared" si="1331"/>
        <v>0</v>
      </c>
      <c r="M223" s="567">
        <f t="shared" si="1332"/>
        <v>0</v>
      </c>
      <c r="N223" s="568"/>
      <c r="O223" s="514">
        <f t="shared" si="1333"/>
        <v>0</v>
      </c>
      <c r="P223" s="514">
        <f t="shared" si="1334"/>
        <v>0</v>
      </c>
      <c r="Q223" s="514">
        <f t="shared" si="1335"/>
        <v>0</v>
      </c>
      <c r="R223" s="514">
        <f t="shared" si="1336"/>
        <v>0</v>
      </c>
      <c r="S223" s="514">
        <f t="shared" si="1337"/>
        <v>0</v>
      </c>
      <c r="U223" s="569">
        <v>0.05</v>
      </c>
      <c r="V223" s="503"/>
      <c r="W223" s="500">
        <f t="shared" si="1349"/>
        <v>0.15033750000000001</v>
      </c>
      <c r="X223" s="500">
        <f t="shared" si="1000"/>
        <v>0</v>
      </c>
      <c r="Y223" s="582">
        <f t="shared" si="1350"/>
        <v>0</v>
      </c>
      <c r="Z223" s="582">
        <f t="shared" si="1351"/>
        <v>0.15033750000000001</v>
      </c>
      <c r="AA223" s="514">
        <f t="shared" si="1352"/>
        <v>0.15033750000000001</v>
      </c>
      <c r="AB223" s="514">
        <f t="shared" si="1353"/>
        <v>0</v>
      </c>
      <c r="AC223" s="514">
        <f t="shared" si="1354"/>
        <v>0</v>
      </c>
      <c r="AD223" s="567">
        <f t="shared" si="1355"/>
        <v>0</v>
      </c>
      <c r="AE223" s="568"/>
      <c r="AF223" s="514">
        <f t="shared" si="1356"/>
        <v>0</v>
      </c>
      <c r="AG223" s="514">
        <f>IFERROR(IF(AND((AQ223+AY223)=AP223,Y223=0),W223,0),0)</f>
        <v>0</v>
      </c>
      <c r="AH223" s="514">
        <f>IFERROR(IF(AND((AQ223+AY223+AZ223)=AP223,Y223=0,AG223=0),W223,0),0)</f>
        <v>0</v>
      </c>
      <c r="AI223" s="514">
        <f>IFERROR(IF(AND((AQ223+AY223+AZ223+BA223)=AP223,Y223=0,AG223=0,AH223=0),W223,0),0)</f>
        <v>0</v>
      </c>
      <c r="AJ223" s="514">
        <f>IFERROR(IF(AND((AQ223+AY223+AZ223+BA223+BB223)=AP223,Y223=0,AG223=0,AH223=0,AI223=0),W223,0),0)</f>
        <v>0</v>
      </c>
      <c r="AK223" s="501"/>
      <c r="AL223" s="570">
        <f t="shared" si="1357"/>
        <v>0.52307692307692311</v>
      </c>
      <c r="AM223" s="570">
        <f t="shared" si="1358"/>
        <v>0.47692307692307695</v>
      </c>
      <c r="AN223" s="570">
        <f>IFERROR(AX223/AP223,0)</f>
        <v>0</v>
      </c>
      <c r="AO223" s="518"/>
      <c r="AP223" s="514">
        <f>COUNTIF('AR | Drawing List'!$G:$G,"AR-SDV-3")</f>
        <v>65</v>
      </c>
      <c r="AQ223" s="506">
        <f>COUNTIFS('AR | Drawing List'!$G:$G,"AR-SDV-3",'AR | Drawing List'!$I:$I,1)</f>
        <v>34</v>
      </c>
      <c r="AR223" s="506">
        <f t="shared" si="1075"/>
        <v>31</v>
      </c>
      <c r="AS223" s="506">
        <f>COUNTIFS('AR | Drawing List'!$G:$G,"AR-SDV-3",'AR | Drawing List'!M:M,1)</f>
        <v>31</v>
      </c>
      <c r="AT223" s="506">
        <f>COUNTIFS('AR | Drawing List'!$G:$G,"AR-SDV-3",'AR | Drawing List'!N:N,1)</f>
        <v>0</v>
      </c>
      <c r="AU223" s="506">
        <f>COUNTIFS('AR | Drawing List'!$G:$G,"AR-SDV-3",'AR | Drawing List'!O:O,1)</f>
        <v>0</v>
      </c>
      <c r="AV223" s="506">
        <f>COUNTIFS('AR | Drawing List'!$G:$G,"AR-SDV-3",'AR | Drawing List'!P:P,1)</f>
        <v>0</v>
      </c>
      <c r="AW223" s="466"/>
      <c r="AX223" s="506">
        <f t="shared" si="1093"/>
        <v>0</v>
      </c>
      <c r="AY223" s="506">
        <f>COUNTIFS('AR | Drawing List'!$G:$G,"AR-SDV-3",'AR | Drawing List'!R:R,1)</f>
        <v>0</v>
      </c>
      <c r="AZ223" s="506">
        <f>COUNTIFS('AR | Drawing List'!$G:$G,"AR-SDV-3",'AR | Drawing List'!S:S,1)</f>
        <v>0</v>
      </c>
      <c r="BA223" s="506">
        <f>COUNTIFS('AR | Drawing List'!$G:$G,"AR-SDV-3",'AR | Drawing List'!T:T,1)</f>
        <v>0</v>
      </c>
      <c r="BB223" s="506">
        <f>COUNTIFS('AR | Drawing List'!$G:$G,"AR-SDV-3",'AR | Drawing List'!U:U,1)</f>
        <v>0</v>
      </c>
      <c r="BC223" s="551"/>
      <c r="BD223" s="551"/>
      <c r="BE223" s="511">
        <v>0.25</v>
      </c>
      <c r="BF223" s="508"/>
      <c r="BG223" s="506">
        <f t="shared" si="1359"/>
        <v>0.15872672374694444</v>
      </c>
      <c r="BH223" s="510">
        <f t="shared" si="1001"/>
        <v>0</v>
      </c>
      <c r="BI223" s="514">
        <f>IFERROR(IF(BV223=100%,BG223,0),0)</f>
        <v>0</v>
      </c>
      <c r="BJ223" s="514">
        <f>IFERROR(IF(AND((BV223+BW223)=100%,BV223&lt;1),BG223,0),0)</f>
        <v>0.15872672374694444</v>
      </c>
      <c r="BK223" s="514">
        <f>IFERROR(IF(AND((CA223+CC223)=BZ223,BI223=0),BG223,0),0)</f>
        <v>0.15872672374694444</v>
      </c>
      <c r="BL223" s="514">
        <f>IFERROR(IF(AND((CA223+CC223+CD223)=BZ223,BI223=0,BK223=0),BG223,0),0)</f>
        <v>0</v>
      </c>
      <c r="BM223" s="514">
        <f>IFERROR(IF(AND((CA223+CC223+CD223+CE223)=BZ223,BI223=0,BK223=0,BL223=0),BG223,0),0)</f>
        <v>0</v>
      </c>
      <c r="BN223" s="514">
        <f>IFERROR(IF(AND((CA223+CC223+CD223+CE223+CF223)=BZ223,BI223=0,BK223=0,BL223=0,BM223=0),BG223,0),0)</f>
        <v>0</v>
      </c>
      <c r="BO223" s="501"/>
      <c r="BP223" s="514">
        <f>IFERROR(IF(AND((BV223+BX223)=100%,BV223&lt;1),BG223,0),0)</f>
        <v>0</v>
      </c>
      <c r="BQ223" s="514">
        <f>IFERROR(IF(AND((CA223+CI223)=BZ223,BI223=0),BG223,0),0)</f>
        <v>0</v>
      </c>
      <c r="BR223" s="514">
        <f>IFERROR(IF(AND((CA223+CI223+CJ223)=BZ223,BI223=0,BQ223=0),BG223,0),0)</f>
        <v>0</v>
      </c>
      <c r="BS223" s="514">
        <f>IFERROR(IF(AND((CA223+CI223+CJ223+CK223)=BZ223,BI223=0,BQ223=0,BR223=0),BG223,0),0)</f>
        <v>0</v>
      </c>
      <c r="BT223" s="514">
        <f>IFERROR(IF(AND((CA223+CI223+CJ223+CK223+CL223)=BZ223,BI223=0,BQ223=0,BR223=0,BS223=0),BG223,0),0)</f>
        <v>0</v>
      </c>
      <c r="BU223" s="501"/>
      <c r="BV223" s="571">
        <f t="shared" si="1360"/>
        <v>0.98484848484848486</v>
      </c>
      <c r="BW223" s="571">
        <f t="shared" si="1361"/>
        <v>1.5151515151515152E-2</v>
      </c>
      <c r="BX223" s="571">
        <f t="shared" si="1362"/>
        <v>0</v>
      </c>
      <c r="BY223" s="518"/>
      <c r="BZ223" s="514">
        <f>COUNTIF('ST | Drawing List'!$G:$G,"ST-SDV-3")</f>
        <v>330</v>
      </c>
      <c r="CA223" s="506">
        <f>COUNTIFS('ST | Drawing List'!$G:$G,"ST-SDV-3",'ST | Drawing List'!$I:$I,1)</f>
        <v>325</v>
      </c>
      <c r="CB223" s="572">
        <f>COUNTIFS('ST | Drawing List'!$G:$G,"ST-SDV-3",'ST | Drawing List'!$K:$K,1)</f>
        <v>5</v>
      </c>
      <c r="CC223" s="506">
        <f>COUNTIFS('ST | Drawing List'!$G:$G,"ST-SDV-3",'ST | Drawing List'!L:L,1)</f>
        <v>5</v>
      </c>
      <c r="CD223" s="506">
        <f>COUNTIFS('ST | Drawing List'!$G:$G,"ST-SDV-3",'ST | Drawing List'!M:M,1)</f>
        <v>0</v>
      </c>
      <c r="CE223" s="506">
        <f>COUNTIFS('ST | Drawing List'!$G:$G,"ST-SDV-3",'ST | Drawing List'!N:N,1)</f>
        <v>0</v>
      </c>
      <c r="CF223" s="506">
        <f>COUNTIFS('ST | Drawing List'!$G:$G,"ST-SDV-3",'ST | Drawing List'!O:O,1)</f>
        <v>0</v>
      </c>
      <c r="CG223" s="471"/>
      <c r="CH223" s="572">
        <f>COUNTIFS('ST | Drawing List'!$G:$G,"ST-SDV-3",'ST | Drawing List'!$P:$P,1)</f>
        <v>0</v>
      </c>
      <c r="CI223" s="506">
        <f>COUNTIFS('ST | Drawing List'!$G:$G,"ST-SDV-3",'ST | Drawing List'!Q:Q,1)</f>
        <v>0</v>
      </c>
      <c r="CJ223" s="506">
        <f>COUNTIFS('ST | Drawing List'!$G:$G,"ST-SDV-3",'ST | Drawing List'!R:R,1)</f>
        <v>0</v>
      </c>
      <c r="CK223" s="506">
        <f>COUNTIFS('ST | Drawing List'!$G:$G,"ST-SDV-3",'ST | Drawing List'!S:S,1)</f>
        <v>0</v>
      </c>
      <c r="CL223" s="506">
        <f>COUNTIFS('ST | Drawing List'!$G:$G,"ST-SDV-3",'ST | Drawing List'!T:T,1)</f>
        <v>0</v>
      </c>
      <c r="CM223" s="508"/>
      <c r="CN223" s="508"/>
      <c r="CO223" s="511">
        <v>0.5</v>
      </c>
      <c r="CP223" s="508"/>
      <c r="CQ223" s="506">
        <f t="shared" si="1363"/>
        <v>0.35745100000000002</v>
      </c>
      <c r="CR223" s="510">
        <f t="shared" si="1002"/>
        <v>0</v>
      </c>
      <c r="CS223" s="514">
        <f t="shared" si="1364"/>
        <v>0</v>
      </c>
      <c r="CT223" s="514">
        <f t="shared" si="1365"/>
        <v>0.35745100000000002</v>
      </c>
      <c r="CU223" s="514">
        <f t="shared" si="1366"/>
        <v>0.35745100000000002</v>
      </c>
      <c r="CV223" s="514">
        <f t="shared" si="1367"/>
        <v>0</v>
      </c>
      <c r="CW223" s="514">
        <f t="shared" si="1368"/>
        <v>0</v>
      </c>
      <c r="CX223" s="514">
        <f t="shared" si="1369"/>
        <v>0</v>
      </c>
      <c r="CY223" s="501"/>
      <c r="CZ223" s="514">
        <f t="shared" si="1370"/>
        <v>0</v>
      </c>
      <c r="DA223" s="514">
        <f t="shared" si="1371"/>
        <v>0</v>
      </c>
      <c r="DB223" s="514">
        <f t="shared" si="1372"/>
        <v>0</v>
      </c>
      <c r="DC223" s="514">
        <f t="shared" si="1373"/>
        <v>0</v>
      </c>
      <c r="DD223" s="514">
        <f t="shared" si="1374"/>
        <v>0</v>
      </c>
      <c r="DE223" s="501"/>
      <c r="DF223" s="570">
        <f t="shared" si="1375"/>
        <v>0.8571428571428571</v>
      </c>
      <c r="DG223" s="570">
        <f t="shared" si="1376"/>
        <v>0.14285714285714285</v>
      </c>
      <c r="DH223" s="570">
        <f t="shared" si="1377"/>
        <v>0.12244897959183673</v>
      </c>
      <c r="DI223" s="518"/>
      <c r="DJ223" s="514">
        <f>COUNTIF('MEP | Drawing List'!$G:$G,"MEP-SDV-3")</f>
        <v>49</v>
      </c>
      <c r="DK223" s="506">
        <f>COUNTIFS('MEP | Drawing List'!$G:$G,"MEP-SDV-3",'MEP | Drawing List'!$I:$I,1)</f>
        <v>42</v>
      </c>
      <c r="DL223" s="506">
        <f>COUNTIFS('MEP | Drawing List'!$G:$G,"MEP-SDV-3",'MEP | Drawing List'!$K:$K,1)</f>
        <v>7</v>
      </c>
      <c r="DM223" s="514">
        <f>COUNTIFS('MEP | Drawing List'!$G:$G,"MEP-SDV-3",'MEP | Drawing List'!L:L,1)</f>
        <v>7</v>
      </c>
      <c r="DN223" s="514">
        <f>COUNTIFS('MEP | Drawing List'!$G:$G,"MEP-SDV-3",'MEP | Drawing List'!M:M,1)</f>
        <v>0</v>
      </c>
      <c r="DO223" s="514">
        <f>COUNTIFS('MEP | Drawing List'!$G:$G,"MEP-SDV-3",'MEP | Drawing List'!N:N,1)</f>
        <v>0</v>
      </c>
      <c r="DP223" s="514">
        <f>COUNTIFS('MEP | Drawing List'!$G:$G,"MEP-SDV-3",'MEP | Drawing List'!O:O,1)</f>
        <v>0</v>
      </c>
      <c r="DQ223" s="501"/>
      <c r="DR223" s="506">
        <f>COUNTIFS('MEP | Drawing List'!$G:$G,"MEP-SDV-3",'MEP | Drawing List'!$P:$P,1)</f>
        <v>6</v>
      </c>
      <c r="DS223" s="514">
        <f>COUNTIFS('MEP | Drawing List'!$G:$G,"MEP-SDV-3",'MEP | Drawing List'!Q:Q,1)</f>
        <v>2</v>
      </c>
      <c r="DT223" s="514">
        <f>COUNTIFS('MEP | Drawing List'!$G:$G,"MEP-SDV-3",'MEP | Drawing List'!R:R,1)</f>
        <v>2</v>
      </c>
      <c r="DU223" s="514">
        <f>COUNTIFS('MEP | Drawing List'!$G:$G,"MEP-SDV-3",'MEP | Drawing List'!S:S,1)</f>
        <v>2</v>
      </c>
      <c r="DV223" s="514">
        <f>COUNTIFS('MEP | Drawing List'!$G:$G,"MEP-SDV-3",'MEP | Drawing List'!T:T,1)</f>
        <v>0</v>
      </c>
      <c r="DW223" s="508"/>
      <c r="DX223" s="508"/>
      <c r="DY223" s="511">
        <v>0</v>
      </c>
      <c r="DZ223" s="508"/>
      <c r="EA223" s="506">
        <f t="shared" si="1378"/>
        <v>0</v>
      </c>
      <c r="EB223" s="510">
        <f t="shared" si="1003"/>
        <v>0</v>
      </c>
      <c r="EC223" s="514">
        <f t="shared" si="1379"/>
        <v>0</v>
      </c>
      <c r="ED223" s="514">
        <f t="shared" si="1380"/>
        <v>0</v>
      </c>
      <c r="EE223" s="514">
        <f t="shared" si="1381"/>
        <v>0</v>
      </c>
      <c r="EF223" s="514">
        <f t="shared" si="1382"/>
        <v>0</v>
      </c>
      <c r="EG223" s="514">
        <f t="shared" si="1383"/>
        <v>0</v>
      </c>
      <c r="EH223" s="514">
        <f t="shared" si="1384"/>
        <v>0</v>
      </c>
      <c r="EI223" s="501"/>
      <c r="EJ223" s="567">
        <f t="shared" si="1385"/>
        <v>0</v>
      </c>
      <c r="EK223" s="514">
        <f t="shared" si="1386"/>
        <v>0</v>
      </c>
      <c r="EL223" s="514">
        <f t="shared" si="1387"/>
        <v>0</v>
      </c>
      <c r="EM223" s="514">
        <f t="shared" si="1388"/>
        <v>0</v>
      </c>
      <c r="EN223" s="514">
        <f t="shared" si="1389"/>
        <v>0</v>
      </c>
      <c r="EO223" s="501"/>
      <c r="EP223" s="585">
        <f t="shared" si="1390"/>
        <v>0</v>
      </c>
      <c r="EQ223" s="585">
        <f t="shared" si="1391"/>
        <v>0</v>
      </c>
      <c r="ER223" s="585">
        <f t="shared" si="1392"/>
        <v>0</v>
      </c>
      <c r="ET223" s="514">
        <f>COUNTIF('LS | Drawing List'!$G:$G,"LS-SDV-3")</f>
        <v>0</v>
      </c>
      <c r="EU223" s="506">
        <f>COUNTIFS('LS | Drawing List'!$G:$G,"LS-SDV-3",'LS | Drawing List'!$I:$I,1)</f>
        <v>0</v>
      </c>
      <c r="EV223" s="506">
        <f>COUNTIFS('LS | Drawing List'!$G:$G,"LS-SDV-3",'LS | Drawing List'!$K:$K,1)</f>
        <v>0</v>
      </c>
      <c r="EW223" s="514">
        <f>COUNTIFS('LS | Drawing List'!$G:$G,"LS-SDV-3",'LS | Drawing List'!L:L,1)</f>
        <v>0</v>
      </c>
      <c r="EX223" s="514">
        <f>COUNTIFS('LS | Drawing List'!$G:$G,"LS-SDV-3",'LS | Drawing List'!M:M,1)</f>
        <v>0</v>
      </c>
      <c r="EY223" s="514">
        <f>COUNTIFS('LS | Drawing List'!$G:$G,"LS-SDV-3",'LS | Drawing List'!N:N,1)</f>
        <v>0</v>
      </c>
      <c r="EZ223" s="514">
        <f>COUNTIFS('LS | Drawing List'!$G:$G,"LS-SDV-3",'LS | Drawing List'!O:O,1)</f>
        <v>0</v>
      </c>
      <c r="FA223" s="515"/>
      <c r="FB223" s="506">
        <f>COUNTIFS('LS | Drawing List'!$G:$G,"LS-SDV-3",'LS | Drawing List'!$P:$P,1)</f>
        <v>0</v>
      </c>
      <c r="FC223" s="514">
        <f>COUNTIFS('LS | Drawing List'!$G:$G,"LS-SDV-3",'LS | Drawing List'!Q:Q,1)</f>
        <v>0</v>
      </c>
      <c r="FD223" s="514">
        <f>COUNTIFS('LS | Drawing List'!$G:$G,"LS-SDV-3",'LS | Drawing List'!R:R,1)</f>
        <v>0</v>
      </c>
      <c r="FE223" s="514">
        <f>COUNTIFS('LS | Drawing List'!$G:$G,"LS-SDV-3",'LS | Drawing List'!S:S,1)</f>
        <v>0</v>
      </c>
      <c r="FF223" s="514">
        <f>COUNTIFS('LS | Drawing List'!$G:$G,"LS-SDV-3",'LS | Drawing List'!T:T,1)</f>
        <v>0</v>
      </c>
    </row>
    <row r="224" spans="2:162" ht="14.25" outlineLevel="2">
      <c r="B224" s="564" t="s">
        <v>207</v>
      </c>
      <c r="C224" s="565">
        <v>4</v>
      </c>
      <c r="D224" s="566" t="s">
        <v>208</v>
      </c>
      <c r="F224" s="500">
        <f t="shared" si="1346"/>
        <v>0.35775239999999997</v>
      </c>
      <c r="G224" s="500">
        <f t="shared" si="1347"/>
        <v>0.20741489999999999</v>
      </c>
      <c r="H224" s="514">
        <f t="shared" si="1348"/>
        <v>0.15033749999999999</v>
      </c>
      <c r="I224" s="514">
        <f t="shared" si="1328"/>
        <v>0.15033750000000001</v>
      </c>
      <c r="J224" s="514">
        <f t="shared" si="1329"/>
        <v>0.15033750000000001</v>
      </c>
      <c r="K224" s="514">
        <f t="shared" si="1330"/>
        <v>0</v>
      </c>
      <c r="L224" s="514">
        <f t="shared" si="1331"/>
        <v>0</v>
      </c>
      <c r="M224" s="567">
        <f t="shared" si="1332"/>
        <v>0</v>
      </c>
      <c r="N224" s="568"/>
      <c r="O224" s="514">
        <f t="shared" si="1333"/>
        <v>0</v>
      </c>
      <c r="P224" s="514">
        <f t="shared" si="1334"/>
        <v>0</v>
      </c>
      <c r="Q224" s="514">
        <f t="shared" si="1335"/>
        <v>0</v>
      </c>
      <c r="R224" s="514">
        <f t="shared" si="1336"/>
        <v>0</v>
      </c>
      <c r="S224" s="514">
        <f t="shared" si="1337"/>
        <v>0</v>
      </c>
      <c r="U224" s="569">
        <v>0.05</v>
      </c>
      <c r="V224" s="503"/>
      <c r="W224" s="500">
        <f t="shared" si="1349"/>
        <v>0.15033750000000001</v>
      </c>
      <c r="X224" s="500">
        <f t="shared" si="1000"/>
        <v>0</v>
      </c>
      <c r="Y224" s="582">
        <f t="shared" si="1350"/>
        <v>0</v>
      </c>
      <c r="Z224" s="582">
        <f t="shared" si="1351"/>
        <v>0.15033750000000001</v>
      </c>
      <c r="AA224" s="514">
        <f t="shared" si="1352"/>
        <v>0.15033750000000001</v>
      </c>
      <c r="AB224" s="514">
        <f t="shared" si="1353"/>
        <v>0</v>
      </c>
      <c r="AC224" s="514">
        <f t="shared" si="1354"/>
        <v>0</v>
      </c>
      <c r="AD224" s="567">
        <f t="shared" si="1355"/>
        <v>0</v>
      </c>
      <c r="AE224" s="568"/>
      <c r="AF224" s="514">
        <f t="shared" si="1356"/>
        <v>0</v>
      </c>
      <c r="AG224" s="514">
        <f>IFERROR(IF(AND((AQ224+AY224)=AP224,Y224=0),W224,0),0)</f>
        <v>0</v>
      </c>
      <c r="AH224" s="514">
        <f>IFERROR(IF(AND((AQ224+AY224+AZ224)=AP224,Y224=0,AG224=0),W224,0),0)</f>
        <v>0</v>
      </c>
      <c r="AI224" s="514">
        <f>IFERROR(IF(AND((AQ224+AY224+AZ224+BA224)=AP224,Y224=0,AG224=0,AH224=0),W224,0),0)</f>
        <v>0</v>
      </c>
      <c r="AJ224" s="514">
        <f>IFERROR(IF(AND((AQ224+AY224+AZ224+BA224+BB224)=AP224,Y224=0,AG224=0,AH224=0,AI224=0),W224,0),0)</f>
        <v>0</v>
      </c>
      <c r="AK224" s="501"/>
      <c r="AL224" s="570">
        <f t="shared" si="1357"/>
        <v>0</v>
      </c>
      <c r="AM224" s="570">
        <f t="shared" si="1358"/>
        <v>1</v>
      </c>
      <c r="AN224" s="570">
        <f>IFERROR(AX224/AP224,0)</f>
        <v>0</v>
      </c>
      <c r="AO224" s="518"/>
      <c r="AP224" s="514">
        <f>COUNTIF('AR | Drawing List'!$G:$G,"AR-SDV-4")</f>
        <v>2</v>
      </c>
      <c r="AQ224" s="506">
        <f>COUNTIFS('AR | Drawing List'!$G:$G,"AR-SDV-4",'AR | Drawing List'!$I:$I,1)</f>
        <v>0</v>
      </c>
      <c r="AR224" s="506">
        <f t="shared" si="1075"/>
        <v>2</v>
      </c>
      <c r="AS224" s="506">
        <f>COUNTIFS('AR | Drawing List'!$G:$G,"AR-SDV-4",'AR | Drawing List'!M:M,1)</f>
        <v>2</v>
      </c>
      <c r="AT224" s="506">
        <f>COUNTIFS('AR | Drawing List'!$G:$G,"AR-SDV-4",'AR | Drawing List'!N:N,1)</f>
        <v>0</v>
      </c>
      <c r="AU224" s="506">
        <f>COUNTIFS('AR | Drawing List'!$G:$G,"AR-SDV-4",'AR | Drawing List'!O:O,1)</f>
        <v>0</v>
      </c>
      <c r="AV224" s="506">
        <f>COUNTIFS('AR | Drawing List'!$G:$G,"AR-SDV-4",'AR | Drawing List'!P:P,1)</f>
        <v>0</v>
      </c>
      <c r="AW224" s="466"/>
      <c r="AX224" s="506">
        <f t="shared" si="1093"/>
        <v>0</v>
      </c>
      <c r="AY224" s="506">
        <f>COUNTIFS('AR | Drawing List'!$G:$G,"AR-SDV-4",'AR | Drawing List'!R:R,1)</f>
        <v>0</v>
      </c>
      <c r="AZ224" s="506">
        <f>COUNTIFS('AR | Drawing List'!$G:$G,"AR-SDV-4",'AR | Drawing List'!S:S,1)</f>
        <v>0</v>
      </c>
      <c r="BA224" s="506">
        <f>COUNTIFS('AR | Drawing List'!$G:$G,"AR-SDV-4",'AR | Drawing List'!T:T,1)</f>
        <v>0</v>
      </c>
      <c r="BB224" s="506">
        <f>COUNTIFS('AR | Drawing List'!$G:$G,"AR-SDV-4",'AR | Drawing List'!U:U,1)</f>
        <v>0</v>
      </c>
      <c r="BC224" s="551"/>
      <c r="BD224" s="551"/>
      <c r="BE224" s="576">
        <v>0</v>
      </c>
      <c r="BF224" s="508"/>
      <c r="BG224" s="506">
        <f t="shared" si="1359"/>
        <v>0</v>
      </c>
      <c r="BH224" s="510">
        <f t="shared" si="1001"/>
        <v>0</v>
      </c>
      <c r="BI224" s="514">
        <f>IFERROR(IF(BV224=100%,BG224,0),0)</f>
        <v>0</v>
      </c>
      <c r="BJ224" s="514">
        <f>IFERROR(IF(AND((BV224+BW224)=100%,BV224&lt;1),BG224,0),0)</f>
        <v>0</v>
      </c>
      <c r="BK224" s="514">
        <f>IFERROR(IF(AND((CA224+CC224)=BZ224,BI224=0),BG224,0),0)</f>
        <v>0</v>
      </c>
      <c r="BL224" s="514">
        <f>IFERROR(IF(AND((CA224+CC224+CD224)=BZ224,BI224=0,BK224=0),BG224,0),0)</f>
        <v>0</v>
      </c>
      <c r="BM224" s="514">
        <f>IFERROR(IF(AND((CA224+CC224+CD224+CE224)=BZ224,BI224=0,BK224=0,BL224=0),BG224,0),0)</f>
        <v>0</v>
      </c>
      <c r="BN224" s="514">
        <f>IFERROR(IF(AND((CA224+CC224+CD224+CE224+CF224)=BZ224,BI224=0,BK224=0,BL224=0,BM224=0),BG224,0),0)</f>
        <v>0</v>
      </c>
      <c r="BO224" s="501"/>
      <c r="BP224" s="514">
        <f>IFERROR(IF(AND((BV224+BX224)=100%,BV224&lt;1),BG224,0),0)</f>
        <v>0</v>
      </c>
      <c r="BQ224" s="514">
        <f>IFERROR(IF(AND((CA224+CI224)=BZ224,BI224=0),BG224,0),0)</f>
        <v>0</v>
      </c>
      <c r="BR224" s="514">
        <f>IFERROR(IF(AND((CA224+CI224+CJ224)=BZ224,BI224=0,BQ224=0),BG224,0),0)</f>
        <v>0</v>
      </c>
      <c r="BS224" s="514">
        <f>IFERROR(IF(AND((CA224+CI224+CJ224+CK224)=BZ224,BI224=0,BQ224=0,BR224=0),BG224,0),0)</f>
        <v>0</v>
      </c>
      <c r="BT224" s="514">
        <f>IFERROR(IF(AND((CA224+CI224+CJ224+CK224+CL224)=BZ224,BI224=0,BQ224=0,BR224=0,BS224=0),BG224,0),0)</f>
        <v>0</v>
      </c>
      <c r="BU224" s="501"/>
      <c r="BV224" s="571">
        <f t="shared" si="1360"/>
        <v>0</v>
      </c>
      <c r="BW224" s="571">
        <f t="shared" si="1361"/>
        <v>0</v>
      </c>
      <c r="BX224" s="571">
        <f t="shared" si="1362"/>
        <v>0</v>
      </c>
      <c r="BY224" s="518"/>
      <c r="BZ224" s="514">
        <f>COUNTIF('ST | Drawing List'!$G:$G,"ST-SDV-4")</f>
        <v>0</v>
      </c>
      <c r="CA224" s="506">
        <f>COUNTIFS('ST | Drawing List'!$G:$G,"ST-SDV-4",'ST | Drawing List'!$I:$I,1)</f>
        <v>0</v>
      </c>
      <c r="CB224" s="572">
        <f>COUNTIFS('ST | Drawing List'!$G:$G,"ST-SDV-4",'ST | Drawing List'!$K:$K,1)</f>
        <v>0</v>
      </c>
      <c r="CC224" s="506">
        <f>COUNTIFS('ST | Drawing List'!$G:$G,"ST-SDV-4",'ST | Drawing List'!L:L,1)</f>
        <v>0</v>
      </c>
      <c r="CD224" s="506">
        <f>COUNTIFS('ST | Drawing List'!$G:$G,"ST-SDV-4",'ST | Drawing List'!M:M,1)</f>
        <v>0</v>
      </c>
      <c r="CE224" s="506">
        <f>COUNTIFS('ST | Drawing List'!$G:$G,"ST-SDV-4",'ST | Drawing List'!N:N,1)</f>
        <v>0</v>
      </c>
      <c r="CF224" s="506">
        <f>COUNTIFS('ST | Drawing List'!$G:$G,"ST-SDV-4",'ST | Drawing List'!O:O,1)</f>
        <v>0</v>
      </c>
      <c r="CG224" s="471"/>
      <c r="CH224" s="572">
        <f>COUNTIFS('ST | Drawing List'!$G:$G,"ST-SDV-4",'ST | Drawing List'!$P:$P,1)</f>
        <v>0</v>
      </c>
      <c r="CI224" s="506">
        <f>COUNTIFS('ST | Drawing List'!$G:$G,"ST-SDV-4",'ST | Drawing List'!Q:Q,1)</f>
        <v>0</v>
      </c>
      <c r="CJ224" s="506">
        <f>COUNTIFS('ST | Drawing List'!$G:$G,"ST-SDV-4",'ST | Drawing List'!R:R,1)</f>
        <v>0</v>
      </c>
      <c r="CK224" s="506">
        <f>COUNTIFS('ST | Drawing List'!$G:$G,"ST-SDV-4",'ST | Drawing List'!S:S,1)</f>
        <v>0</v>
      </c>
      <c r="CL224" s="506">
        <f>COUNTIFS('ST | Drawing List'!$G:$G,"ST-SDV-4",'ST | Drawing List'!T:T,1)</f>
        <v>0</v>
      </c>
      <c r="CM224" s="508"/>
      <c r="CN224" s="508"/>
      <c r="CO224" s="576">
        <v>0</v>
      </c>
      <c r="CP224" s="508"/>
      <c r="CQ224" s="506">
        <f t="shared" si="1363"/>
        <v>0</v>
      </c>
      <c r="CR224" s="510">
        <f t="shared" si="1002"/>
        <v>0</v>
      </c>
      <c r="CS224" s="514">
        <f t="shared" si="1364"/>
        <v>0</v>
      </c>
      <c r="CT224" s="514">
        <f t="shared" si="1365"/>
        <v>0</v>
      </c>
      <c r="CU224" s="514">
        <f t="shared" si="1366"/>
        <v>0</v>
      </c>
      <c r="CV224" s="514">
        <f t="shared" si="1367"/>
        <v>0</v>
      </c>
      <c r="CW224" s="514">
        <f t="shared" si="1368"/>
        <v>0</v>
      </c>
      <c r="CX224" s="514">
        <f t="shared" si="1369"/>
        <v>0</v>
      </c>
      <c r="CY224" s="501"/>
      <c r="CZ224" s="514">
        <f t="shared" si="1370"/>
        <v>0</v>
      </c>
      <c r="DA224" s="514">
        <f t="shared" si="1371"/>
        <v>0</v>
      </c>
      <c r="DB224" s="514">
        <f t="shared" si="1372"/>
        <v>0</v>
      </c>
      <c r="DC224" s="514">
        <f t="shared" si="1373"/>
        <v>0</v>
      </c>
      <c r="DD224" s="514">
        <f t="shared" si="1374"/>
        <v>0</v>
      </c>
      <c r="DE224" s="501"/>
      <c r="DF224" s="570">
        <f t="shared" si="1375"/>
        <v>0</v>
      </c>
      <c r="DG224" s="570">
        <f t="shared" si="1376"/>
        <v>0</v>
      </c>
      <c r="DH224" s="570">
        <f t="shared" si="1377"/>
        <v>0</v>
      </c>
      <c r="DI224" s="518"/>
      <c r="DJ224" s="514">
        <f>COUNTIF('MEP | Drawing List'!$G:$G,"MEP-SDV-4")</f>
        <v>0</v>
      </c>
      <c r="DK224" s="506">
        <f>COUNTIFS('MEP | Drawing List'!$G:$G,"MEP-SDV-4",'MEP | Drawing List'!$I:$I,1)</f>
        <v>0</v>
      </c>
      <c r="DL224" s="506">
        <f>COUNTIFS('MEP | Drawing List'!$G:$G,"MEP-SDV-4",'MEP | Drawing List'!$K:$K,1)</f>
        <v>0</v>
      </c>
      <c r="DM224" s="514">
        <f>COUNTIFS('MEP | Drawing List'!$G:$G,"MEP-SDV-4",'MEP | Drawing List'!L:L,1)</f>
        <v>0</v>
      </c>
      <c r="DN224" s="514">
        <f>COUNTIFS('MEP | Drawing List'!$G:$G,"MEP-SDV-4",'MEP | Drawing List'!M:M,1)</f>
        <v>0</v>
      </c>
      <c r="DO224" s="514">
        <f>COUNTIFS('MEP | Drawing List'!$G:$G,"MEP-SDV-4",'MEP | Drawing List'!N:N,1)</f>
        <v>0</v>
      </c>
      <c r="DP224" s="514">
        <f>COUNTIFS('MEP | Drawing List'!$G:$G,"MEP-SDV-4",'MEP | Drawing List'!O:O,1)</f>
        <v>0</v>
      </c>
      <c r="DQ224" s="501"/>
      <c r="DR224" s="506">
        <f>COUNTIFS('MEP | Drawing List'!$G:$G,"MEP-SDV-4",'MEP | Drawing List'!$P:$P,1)</f>
        <v>0</v>
      </c>
      <c r="DS224" s="514">
        <f>COUNTIFS('MEP | Drawing List'!$G:$G,"MEP-SDV-4",'MEP | Drawing List'!Q:Q,1)</f>
        <v>0</v>
      </c>
      <c r="DT224" s="514">
        <f>COUNTIFS('MEP | Drawing List'!$G:$G,"MEP-SDV-4",'MEP | Drawing List'!R:R,1)</f>
        <v>0</v>
      </c>
      <c r="DU224" s="514">
        <f>COUNTIFS('MEP | Drawing List'!$G:$G,"MEP-SDV-4",'MEP | Drawing List'!S:S,1)</f>
        <v>0</v>
      </c>
      <c r="DV224" s="514">
        <f>COUNTIFS('MEP | Drawing List'!$G:$G,"MEP-SDV-4",'MEP | Drawing List'!T:T,1)</f>
        <v>0</v>
      </c>
      <c r="DW224" s="508"/>
      <c r="DX224" s="508"/>
      <c r="DY224" s="511">
        <v>0.3</v>
      </c>
      <c r="DZ224" s="508"/>
      <c r="EA224" s="506">
        <f t="shared" si="1378"/>
        <v>0.20741489999999999</v>
      </c>
      <c r="EB224" s="510">
        <f t="shared" si="1003"/>
        <v>0.20741489999999999</v>
      </c>
      <c r="EC224" s="514">
        <f t="shared" si="1379"/>
        <v>0.20741489999999999</v>
      </c>
      <c r="ED224" s="514">
        <f t="shared" si="1380"/>
        <v>0</v>
      </c>
      <c r="EE224" s="514">
        <f t="shared" si="1381"/>
        <v>0</v>
      </c>
      <c r="EF224" s="514">
        <f t="shared" si="1382"/>
        <v>0</v>
      </c>
      <c r="EG224" s="514">
        <f t="shared" si="1383"/>
        <v>0</v>
      </c>
      <c r="EH224" s="514">
        <f t="shared" si="1384"/>
        <v>0</v>
      </c>
      <c r="EI224" s="501"/>
      <c r="EJ224" s="567">
        <f t="shared" si="1385"/>
        <v>0</v>
      </c>
      <c r="EK224" s="514">
        <f t="shared" si="1386"/>
        <v>0</v>
      </c>
      <c r="EL224" s="514">
        <f t="shared" si="1387"/>
        <v>0</v>
      </c>
      <c r="EM224" s="514">
        <f t="shared" si="1388"/>
        <v>0</v>
      </c>
      <c r="EN224" s="514">
        <f t="shared" si="1389"/>
        <v>0</v>
      </c>
      <c r="EO224" s="501"/>
      <c r="EP224" s="585">
        <f t="shared" si="1390"/>
        <v>1</v>
      </c>
      <c r="EQ224" s="585">
        <f t="shared" si="1391"/>
        <v>0</v>
      </c>
      <c r="ER224" s="585">
        <f t="shared" si="1392"/>
        <v>0</v>
      </c>
      <c r="ET224" s="514">
        <f>COUNTIF('LS | Drawing List'!$G:$G,"LS-SDV-4")</f>
        <v>36</v>
      </c>
      <c r="EU224" s="506">
        <f>COUNTIFS('LS | Drawing List'!$G:$G,"LS-SDV-4",'LS | Drawing List'!$I:$I,1)</f>
        <v>36</v>
      </c>
      <c r="EV224" s="506">
        <f>COUNTIFS('LS | Drawing List'!$G:$G,"LS-SDV-4",'LS | Drawing List'!$K:$K,1)</f>
        <v>0</v>
      </c>
      <c r="EW224" s="514">
        <f>COUNTIFS('LS | Drawing List'!$G:$G,"LS-SDV-4",'LS | Drawing List'!L:L,1)</f>
        <v>0</v>
      </c>
      <c r="EX224" s="514">
        <f>COUNTIFS('LS | Drawing List'!$G:$G,"LS-SDV-4",'LS | Drawing List'!M:M,1)</f>
        <v>0</v>
      </c>
      <c r="EY224" s="514">
        <f>COUNTIFS('LS | Drawing List'!$G:$G,"LS-SDV-4",'LS | Drawing List'!N:N,1)</f>
        <v>0</v>
      </c>
      <c r="EZ224" s="514">
        <f>COUNTIFS('LS | Drawing List'!$G:$G,"LS-SDV-4",'LS | Drawing List'!O:O,1)</f>
        <v>0</v>
      </c>
      <c r="FA224" s="515"/>
      <c r="FB224" s="506">
        <f>COUNTIFS('LS | Drawing List'!$G:$G,"LS-SDV-4",'LS | Drawing List'!$P:$P,1)</f>
        <v>0</v>
      </c>
      <c r="FC224" s="514">
        <f>COUNTIFS('LS | Drawing List'!$G:$G,"LS-SDV-4",'LS | Drawing List'!Q:Q,1)</f>
        <v>0</v>
      </c>
      <c r="FD224" s="514">
        <f>COUNTIFS('LS | Drawing List'!$G:$G,"LS-SDV-4",'LS | Drawing List'!R:R,1)</f>
        <v>0</v>
      </c>
      <c r="FE224" s="514">
        <f>COUNTIFS('LS | Drawing List'!$G:$G,"LS-SDV-4",'LS | Drawing List'!S:S,1)</f>
        <v>0</v>
      </c>
      <c r="FF224" s="514">
        <f>COUNTIFS('LS | Drawing List'!$G:$G,"LS-SDV-4",'LS | Drawing List'!T:T,1)</f>
        <v>0</v>
      </c>
    </row>
    <row r="225" spans="2:163" ht="3" customHeight="1" outlineLevel="1">
      <c r="C225" s="631"/>
      <c r="D225" s="566"/>
      <c r="F225" s="499"/>
      <c r="G225" s="500"/>
      <c r="H225" s="615"/>
      <c r="I225" s="615"/>
      <c r="J225" s="615"/>
      <c r="K225" s="615"/>
      <c r="L225" s="615"/>
      <c r="M225" s="615"/>
      <c r="N225" s="615"/>
      <c r="O225" s="615"/>
      <c r="P225" s="615"/>
      <c r="Q225" s="615"/>
      <c r="R225" s="615"/>
      <c r="S225" s="615"/>
      <c r="U225" s="569"/>
      <c r="V225" s="503"/>
      <c r="W225" s="499"/>
      <c r="X225" s="500">
        <f t="shared" si="1000"/>
        <v>0</v>
      </c>
      <c r="Y225" s="615"/>
      <c r="Z225" s="615"/>
      <c r="AA225" s="615"/>
      <c r="AB225" s="615"/>
      <c r="AC225" s="615"/>
      <c r="AD225" s="615"/>
      <c r="AE225" s="615"/>
      <c r="AF225" s="615"/>
      <c r="AG225" s="615"/>
      <c r="AH225" s="615"/>
      <c r="AI225" s="615"/>
      <c r="AJ225" s="615"/>
      <c r="AK225" s="615"/>
      <c r="AL225" s="513"/>
      <c r="AM225" s="513"/>
      <c r="AN225" s="513"/>
      <c r="AO225" s="518"/>
      <c r="AP225" s="551"/>
      <c r="AQ225" s="551"/>
      <c r="AR225" s="551"/>
      <c r="AS225" s="466"/>
      <c r="AT225" s="466"/>
      <c r="AU225" s="466"/>
      <c r="AV225" s="466"/>
      <c r="AW225" s="466"/>
      <c r="AX225" s="551"/>
      <c r="AY225" s="466"/>
      <c r="AZ225" s="466"/>
      <c r="BA225" s="466"/>
      <c r="BB225" s="466"/>
      <c r="BC225" s="551"/>
      <c r="BD225" s="551"/>
      <c r="BE225" s="511"/>
      <c r="BF225" s="508"/>
      <c r="BG225" s="509"/>
      <c r="BH225" s="510">
        <f t="shared" si="1001"/>
        <v>0</v>
      </c>
      <c r="BI225" s="615"/>
      <c r="BJ225" s="615"/>
      <c r="BK225" s="615"/>
      <c r="BL225" s="615"/>
      <c r="BM225" s="615"/>
      <c r="BN225" s="615"/>
      <c r="BO225" s="615"/>
      <c r="BP225" s="615"/>
      <c r="BQ225" s="615"/>
      <c r="BR225" s="615"/>
      <c r="BS225" s="615"/>
      <c r="BT225" s="615"/>
      <c r="BU225" s="615"/>
      <c r="BV225" s="511"/>
      <c r="BW225" s="511"/>
      <c r="BX225" s="511"/>
      <c r="BY225" s="518"/>
      <c r="BZ225" s="552"/>
      <c r="CA225" s="552"/>
      <c r="CB225" s="608"/>
      <c r="CC225" s="552"/>
      <c r="CD225" s="552"/>
      <c r="CE225" s="552"/>
      <c r="CF225" s="552"/>
      <c r="CG225" s="552"/>
      <c r="CH225" s="608"/>
      <c r="CI225" s="552"/>
      <c r="CJ225" s="552"/>
      <c r="CK225" s="552"/>
      <c r="CL225" s="552"/>
      <c r="CM225" s="508"/>
      <c r="CN225" s="508"/>
      <c r="CO225" s="511"/>
      <c r="CP225" s="508"/>
      <c r="CQ225" s="509"/>
      <c r="CR225" s="510">
        <f t="shared" si="1002"/>
        <v>0</v>
      </c>
      <c r="CS225" s="615"/>
      <c r="CT225" s="615"/>
      <c r="CU225" s="615"/>
      <c r="CV225" s="615"/>
      <c r="CW225" s="615"/>
      <c r="CX225" s="615"/>
      <c r="CY225" s="615"/>
      <c r="CZ225" s="615"/>
      <c r="DA225" s="615"/>
      <c r="DB225" s="615"/>
      <c r="DC225" s="615"/>
      <c r="DD225" s="615"/>
      <c r="DE225" s="615"/>
      <c r="DF225" s="513"/>
      <c r="DG225" s="513"/>
      <c r="DH225" s="513"/>
      <c r="DI225" s="518"/>
      <c r="DJ225" s="551"/>
      <c r="DK225" s="551"/>
      <c r="DL225" s="551"/>
      <c r="DM225" s="615"/>
      <c r="DN225" s="615"/>
      <c r="DO225" s="615"/>
      <c r="DP225" s="615"/>
      <c r="DQ225" s="615"/>
      <c r="DR225" s="551"/>
      <c r="DS225" s="615"/>
      <c r="DT225" s="615"/>
      <c r="DU225" s="615"/>
      <c r="DV225" s="615"/>
      <c r="DW225" s="508"/>
      <c r="DX225" s="508"/>
      <c r="DY225" s="511"/>
      <c r="DZ225" s="508"/>
      <c r="EA225" s="509"/>
      <c r="EB225" s="510">
        <f t="shared" si="1003"/>
        <v>0</v>
      </c>
      <c r="EC225" s="577"/>
      <c r="ED225" s="577"/>
      <c r="EE225" s="577"/>
      <c r="EF225" s="577"/>
      <c r="EG225" s="577"/>
      <c r="EH225" s="577"/>
      <c r="EI225" s="577"/>
      <c r="EJ225" s="577"/>
      <c r="EK225" s="577"/>
      <c r="EL225" s="577"/>
      <c r="EM225" s="577"/>
      <c r="EN225" s="577"/>
      <c r="EO225" s="577"/>
      <c r="EP225" s="52"/>
      <c r="EQ225" s="52"/>
      <c r="ER225" s="52"/>
      <c r="EW225" s="577"/>
      <c r="EX225" s="577"/>
      <c r="EY225" s="577"/>
      <c r="EZ225" s="577"/>
      <c r="FA225" s="577"/>
      <c r="FC225" s="577"/>
      <c r="FD225" s="577"/>
      <c r="FE225" s="577"/>
      <c r="FF225" s="577"/>
    </row>
    <row r="226" spans="2:163" ht="14.25" outlineLevel="1">
      <c r="B226" s="477"/>
      <c r="C226" s="559">
        <v>16</v>
      </c>
      <c r="D226" s="560" t="s">
        <v>209</v>
      </c>
      <c r="E226" s="479"/>
      <c r="F226" s="480">
        <f>W226+BG226+CQ226+EA226</f>
        <v>0.51756774999999999</v>
      </c>
      <c r="G226" s="480">
        <f>X226+BH226+CR226+EB226</f>
        <v>0.42530784999999999</v>
      </c>
      <c r="H226" s="481">
        <f>F226-G226</f>
        <v>9.2259900000000006E-2</v>
      </c>
      <c r="I226" s="480">
        <f t="shared" ref="I226:I231" si="1393">Z226+BJ226+CT226+ED226</f>
        <v>9.2259900000000006E-2</v>
      </c>
      <c r="J226" s="480">
        <f t="shared" ref="J226:J231" si="1394">AA226+BK226+CU226+EE226</f>
        <v>9.2259900000000006E-2</v>
      </c>
      <c r="K226" s="480">
        <f t="shared" ref="K226:K231" si="1395">AB226+BL226+CV226+EF226</f>
        <v>0</v>
      </c>
      <c r="L226" s="480">
        <f t="shared" ref="L226:L231" si="1396">AC226+BM226+CW226+EG226</f>
        <v>0</v>
      </c>
      <c r="M226" s="480">
        <f t="shared" ref="M226:M231" si="1397">AD226+BN226+CX226+EH226</f>
        <v>0</v>
      </c>
      <c r="N226" s="482"/>
      <c r="O226" s="480">
        <f t="shared" ref="O226:O231" si="1398">AF226+BP226+CZ226+EJ226</f>
        <v>0</v>
      </c>
      <c r="P226" s="480">
        <f t="shared" ref="P226:P231" si="1399">AG226+BQ226+DA226+EK226</f>
        <v>0</v>
      </c>
      <c r="Q226" s="480">
        <f t="shared" ref="Q226:Q231" si="1400">AH226+BR226+DB226+EL226</f>
        <v>0</v>
      </c>
      <c r="R226" s="480">
        <f t="shared" ref="R226:R231" si="1401">AI226+BS226+DC226+EM226</f>
        <v>0</v>
      </c>
      <c r="S226" s="480">
        <f t="shared" ref="S226:S231" si="1402">AJ226+BT226+DD226+EN226</f>
        <v>0</v>
      </c>
      <c r="T226" s="479"/>
      <c r="U226" s="483">
        <f>SUM(U227:U231)</f>
        <v>0.49999999999999994</v>
      </c>
      <c r="V226" s="483"/>
      <c r="W226" s="480">
        <f>U226*(5%*'BOQ COST'!E19)*1</f>
        <v>0.33655499999999994</v>
      </c>
      <c r="X226" s="480">
        <f t="shared" si="1000"/>
        <v>0.30289949999999999</v>
      </c>
      <c r="Y226" s="481">
        <f>SUM(Y227:Y231)</f>
        <v>0.30289949999999999</v>
      </c>
      <c r="Z226" s="481">
        <f>SUM(Z227:Z231)</f>
        <v>3.3655499999999998E-2</v>
      </c>
      <c r="AA226" s="481">
        <f t="shared" ref="AA226:AD226" si="1403">SUM(AA227:AA231)</f>
        <v>3.3655499999999998E-2</v>
      </c>
      <c r="AB226" s="481">
        <f t="shared" si="1403"/>
        <v>0</v>
      </c>
      <c r="AC226" s="481">
        <f t="shared" si="1403"/>
        <v>0</v>
      </c>
      <c r="AD226" s="481">
        <f t="shared" si="1403"/>
        <v>0</v>
      </c>
      <c r="AE226" s="482"/>
      <c r="AF226" s="481">
        <f>SUM(AF227:AF231)</f>
        <v>0</v>
      </c>
      <c r="AG226" s="481">
        <f t="shared" ref="AG226:AJ226" si="1404">SUM(AG227:AG231)</f>
        <v>0</v>
      </c>
      <c r="AH226" s="481">
        <f t="shared" si="1404"/>
        <v>0</v>
      </c>
      <c r="AI226" s="481">
        <f t="shared" si="1404"/>
        <v>0</v>
      </c>
      <c r="AJ226" s="481">
        <f t="shared" si="1404"/>
        <v>0</v>
      </c>
      <c r="AK226" s="482"/>
      <c r="AL226" s="492"/>
      <c r="AM226" s="492"/>
      <c r="AN226" s="492"/>
      <c r="AO226" s="481">
        <f t="shared" ref="AO226" si="1405">SUM(AO227:AO231)</f>
        <v>0</v>
      </c>
      <c r="AP226" s="481">
        <f t="shared" ref="AP226" si="1406">SUM(AP227:AP231)</f>
        <v>145</v>
      </c>
      <c r="AQ226" s="481">
        <f t="shared" ref="AQ226" si="1407">SUM(AQ227:AQ231)</f>
        <v>108</v>
      </c>
      <c r="AR226" s="481">
        <f t="shared" si="1075"/>
        <v>37</v>
      </c>
      <c r="AS226" s="481">
        <f t="shared" ref="AS226" si="1408">SUM(AS227:AS231)</f>
        <v>37</v>
      </c>
      <c r="AT226" s="481">
        <f t="shared" ref="AT226" si="1409">SUM(AT227:AT231)</f>
        <v>0</v>
      </c>
      <c r="AU226" s="481">
        <f t="shared" ref="AU226" si="1410">SUM(AU227:AU231)</f>
        <v>0</v>
      </c>
      <c r="AV226" s="481">
        <f t="shared" ref="AV226:AX226" si="1411">SUM(AV227:AV231)</f>
        <v>0</v>
      </c>
      <c r="AW226" s="482"/>
      <c r="AX226" s="481">
        <f t="shared" si="1411"/>
        <v>0</v>
      </c>
      <c r="AY226" s="481">
        <f t="shared" ref="AY226:BB226" si="1412">SUM(AY227:AY231)</f>
        <v>0</v>
      </c>
      <c r="AZ226" s="481">
        <f t="shared" si="1412"/>
        <v>0</v>
      </c>
      <c r="BA226" s="481">
        <f t="shared" si="1412"/>
        <v>0</v>
      </c>
      <c r="BB226" s="481">
        <f t="shared" si="1412"/>
        <v>0</v>
      </c>
      <c r="BC226" s="487"/>
      <c r="BD226" s="487"/>
      <c r="BE226" s="483">
        <f>SUM(BE227:BE231)</f>
        <v>0.54999999999999993</v>
      </c>
      <c r="BF226" s="483"/>
      <c r="BG226" s="480">
        <f>BE226*(3%*'BOQ COST'!$F$19)*1</f>
        <v>7.5162449999999992E-2</v>
      </c>
      <c r="BH226" s="480">
        <f t="shared" si="1001"/>
        <v>6.1496549999999997E-2</v>
      </c>
      <c r="BI226" s="481">
        <f>SUM(BI227:BI231)</f>
        <v>6.1496549999999997E-2</v>
      </c>
      <c r="BJ226" s="481">
        <f t="shared" ref="BJ226:CF226" si="1413">SUM(BJ227:BJ231)</f>
        <v>1.3665900000000002E-2</v>
      </c>
      <c r="BK226" s="481">
        <f t="shared" si="1413"/>
        <v>1.3665900000000002E-2</v>
      </c>
      <c r="BL226" s="481">
        <f t="shared" si="1413"/>
        <v>0</v>
      </c>
      <c r="BM226" s="481">
        <f t="shared" si="1413"/>
        <v>0</v>
      </c>
      <c r="BN226" s="481">
        <f t="shared" si="1413"/>
        <v>0</v>
      </c>
      <c r="BO226" s="482"/>
      <c r="BP226" s="481">
        <f t="shared" ref="BP226:BT226" si="1414">SUM(BP227:BP231)</f>
        <v>0</v>
      </c>
      <c r="BQ226" s="481">
        <f t="shared" si="1414"/>
        <v>0</v>
      </c>
      <c r="BR226" s="481">
        <f t="shared" si="1414"/>
        <v>0</v>
      </c>
      <c r="BS226" s="481">
        <f t="shared" si="1414"/>
        <v>0</v>
      </c>
      <c r="BT226" s="481">
        <f t="shared" si="1414"/>
        <v>0</v>
      </c>
      <c r="BU226" s="482"/>
      <c r="BV226" s="488"/>
      <c r="BW226" s="488"/>
      <c r="BX226" s="488"/>
      <c r="BY226" s="481">
        <f t="shared" si="1413"/>
        <v>0</v>
      </c>
      <c r="BZ226" s="481">
        <f t="shared" si="1413"/>
        <v>181</v>
      </c>
      <c r="CA226" s="481">
        <f t="shared" si="1413"/>
        <v>173</v>
      </c>
      <c r="CB226" s="481">
        <f t="shared" si="1413"/>
        <v>8</v>
      </c>
      <c r="CC226" s="481">
        <f t="shared" si="1413"/>
        <v>8</v>
      </c>
      <c r="CD226" s="481">
        <f t="shared" si="1413"/>
        <v>0</v>
      </c>
      <c r="CE226" s="481">
        <f t="shared" si="1413"/>
        <v>0</v>
      </c>
      <c r="CF226" s="481">
        <f t="shared" si="1413"/>
        <v>0</v>
      </c>
      <c r="CG226" s="490"/>
      <c r="CH226" s="481">
        <f t="shared" ref="CH226:CL226" si="1415">SUM(CH227:CH231)</f>
        <v>0</v>
      </c>
      <c r="CI226" s="481">
        <f t="shared" si="1415"/>
        <v>0</v>
      </c>
      <c r="CJ226" s="481">
        <f t="shared" si="1415"/>
        <v>0</v>
      </c>
      <c r="CK226" s="481">
        <f t="shared" si="1415"/>
        <v>0</v>
      </c>
      <c r="CL226" s="481">
        <f t="shared" si="1415"/>
        <v>0</v>
      </c>
      <c r="CM226" s="483"/>
      <c r="CN226" s="483"/>
      <c r="CO226" s="483">
        <f>SUM(CO227:CO231)</f>
        <v>0.65</v>
      </c>
      <c r="CP226" s="483"/>
      <c r="CQ226" s="480">
        <f>CO226*(2%*'BOQ COST'!$G$19)*1</f>
        <v>1.4189499999999999E-2</v>
      </c>
      <c r="CR226" s="480">
        <f t="shared" si="1002"/>
        <v>1.0914999999999998E-2</v>
      </c>
      <c r="CS226" s="481">
        <f>SUM(CS227:CS231)</f>
        <v>1.0914999999999998E-2</v>
      </c>
      <c r="CT226" s="481">
        <f>SUM(CT227:CT231)</f>
        <v>3.2745000000000001E-3</v>
      </c>
      <c r="CU226" s="481">
        <f t="shared" ref="CU226:DP226" si="1416">SUM(CU227:CU231)</f>
        <v>3.2745000000000001E-3</v>
      </c>
      <c r="CV226" s="481">
        <f t="shared" si="1416"/>
        <v>0</v>
      </c>
      <c r="CW226" s="481">
        <f t="shared" si="1416"/>
        <v>0</v>
      </c>
      <c r="CX226" s="481">
        <f t="shared" si="1416"/>
        <v>0</v>
      </c>
      <c r="CY226" s="482"/>
      <c r="CZ226" s="481">
        <f>SUM(CZ227:CZ231)</f>
        <v>0</v>
      </c>
      <c r="DA226" s="481">
        <f t="shared" ref="DA226:DD226" si="1417">SUM(DA227:DA231)</f>
        <v>0</v>
      </c>
      <c r="DB226" s="481">
        <f t="shared" si="1417"/>
        <v>0</v>
      </c>
      <c r="DC226" s="481">
        <f t="shared" si="1417"/>
        <v>0</v>
      </c>
      <c r="DD226" s="481">
        <f t="shared" si="1417"/>
        <v>0</v>
      </c>
      <c r="DE226" s="482"/>
      <c r="DF226" s="492"/>
      <c r="DG226" s="492"/>
      <c r="DH226" s="492"/>
      <c r="DI226" s="481">
        <f t="shared" si="1416"/>
        <v>0</v>
      </c>
      <c r="DJ226" s="481">
        <f t="shared" si="1416"/>
        <v>37</v>
      </c>
      <c r="DK226" s="481">
        <f t="shared" si="1416"/>
        <v>35</v>
      </c>
      <c r="DL226" s="481">
        <f t="shared" si="1416"/>
        <v>2</v>
      </c>
      <c r="DM226" s="481">
        <f t="shared" si="1416"/>
        <v>2</v>
      </c>
      <c r="DN226" s="481">
        <f t="shared" si="1416"/>
        <v>0</v>
      </c>
      <c r="DO226" s="481">
        <f t="shared" si="1416"/>
        <v>0</v>
      </c>
      <c r="DP226" s="481">
        <f t="shared" si="1416"/>
        <v>0</v>
      </c>
      <c r="DQ226" s="482"/>
      <c r="DR226" s="481">
        <f t="shared" ref="DR226:DV226" si="1418">SUM(DR227:DR231)</f>
        <v>0</v>
      </c>
      <c r="DS226" s="481">
        <f t="shared" si="1418"/>
        <v>0</v>
      </c>
      <c r="DT226" s="481">
        <f t="shared" si="1418"/>
        <v>0</v>
      </c>
      <c r="DU226" s="481">
        <f t="shared" si="1418"/>
        <v>0</v>
      </c>
      <c r="DV226" s="481">
        <f t="shared" si="1418"/>
        <v>0</v>
      </c>
      <c r="DW226" s="483"/>
      <c r="DX226" s="483"/>
      <c r="DY226" s="483">
        <f>SUM(DY227:DY231)</f>
        <v>0.55000000000000004</v>
      </c>
      <c r="DZ226" s="483"/>
      <c r="EA226" s="481">
        <f>DY226*('BOQ COST'!H19*7%)*1</f>
        <v>9.1660800000000001E-2</v>
      </c>
      <c r="EB226" s="480">
        <f t="shared" si="1003"/>
        <v>4.9996799999999994E-2</v>
      </c>
      <c r="EC226" s="536">
        <f>SUM(EC227:EC231)</f>
        <v>4.9996799999999994E-2</v>
      </c>
      <c r="ED226" s="536">
        <f>SUM(ED227:ED231)</f>
        <v>4.1664E-2</v>
      </c>
      <c r="EE226" s="536">
        <f t="shared" ref="EE226:EZ226" si="1419">SUM(EE227:EE231)</f>
        <v>4.1664E-2</v>
      </c>
      <c r="EF226" s="536">
        <f t="shared" si="1419"/>
        <v>0</v>
      </c>
      <c r="EG226" s="536">
        <f t="shared" si="1419"/>
        <v>0</v>
      </c>
      <c r="EH226" s="536">
        <f t="shared" si="1419"/>
        <v>0</v>
      </c>
      <c r="EI226" s="562"/>
      <c r="EJ226" s="536">
        <f>SUM(EJ227:EJ231)</f>
        <v>0</v>
      </c>
      <c r="EK226" s="536">
        <f t="shared" ref="EK226:EN226" si="1420">SUM(EK227:EK231)</f>
        <v>0</v>
      </c>
      <c r="EL226" s="536">
        <f t="shared" si="1420"/>
        <v>0</v>
      </c>
      <c r="EM226" s="536">
        <f t="shared" si="1420"/>
        <v>0</v>
      </c>
      <c r="EN226" s="536">
        <f t="shared" si="1420"/>
        <v>0</v>
      </c>
      <c r="EO226" s="562"/>
      <c r="EP226" s="563"/>
      <c r="EQ226" s="563"/>
      <c r="ER226" s="563"/>
      <c r="ES226" s="536">
        <f t="shared" si="1419"/>
        <v>0</v>
      </c>
      <c r="ET226" s="536">
        <f t="shared" si="1419"/>
        <v>60</v>
      </c>
      <c r="EU226" s="536">
        <f t="shared" si="1419"/>
        <v>50</v>
      </c>
      <c r="EV226" s="536">
        <f t="shared" si="1419"/>
        <v>10</v>
      </c>
      <c r="EW226" s="536">
        <f t="shared" si="1419"/>
        <v>10</v>
      </c>
      <c r="EX226" s="536">
        <f t="shared" si="1419"/>
        <v>0</v>
      </c>
      <c r="EY226" s="536">
        <f t="shared" si="1419"/>
        <v>0</v>
      </c>
      <c r="EZ226" s="536">
        <f t="shared" si="1419"/>
        <v>0</v>
      </c>
      <c r="FA226" s="562"/>
      <c r="FB226" s="536">
        <f t="shared" ref="FB226:FF226" si="1421">SUM(FB227:FB231)</f>
        <v>0</v>
      </c>
      <c r="FC226" s="536">
        <f t="shared" si="1421"/>
        <v>0</v>
      </c>
      <c r="FD226" s="536">
        <f t="shared" si="1421"/>
        <v>0</v>
      </c>
      <c r="FE226" s="536">
        <f t="shared" si="1421"/>
        <v>0</v>
      </c>
      <c r="FF226" s="536">
        <f t="shared" si="1421"/>
        <v>0</v>
      </c>
    </row>
    <row r="227" spans="2:163" ht="14.25" outlineLevel="2">
      <c r="B227" s="564" t="s">
        <v>210</v>
      </c>
      <c r="C227" s="564">
        <v>1</v>
      </c>
      <c r="D227" s="295" t="s">
        <v>211</v>
      </c>
      <c r="F227" s="500">
        <f t="shared" ref="F227:F231" si="1422">W227+BG227+CQ227+EA227</f>
        <v>0.15643764999999998</v>
      </c>
      <c r="G227" s="500">
        <f t="shared" ref="G227:G231" si="1423">X227+BH227+CR227+EB227</f>
        <v>0.15643764999999998</v>
      </c>
      <c r="H227" s="514">
        <f t="shared" ref="H227:H231" si="1424">F227-G227</f>
        <v>0</v>
      </c>
      <c r="I227" s="514">
        <f t="shared" si="1393"/>
        <v>0</v>
      </c>
      <c r="J227" s="514">
        <f t="shared" si="1394"/>
        <v>0</v>
      </c>
      <c r="K227" s="514">
        <f t="shared" si="1395"/>
        <v>0</v>
      </c>
      <c r="L227" s="514">
        <f t="shared" si="1396"/>
        <v>0</v>
      </c>
      <c r="M227" s="567">
        <f t="shared" si="1397"/>
        <v>0</v>
      </c>
      <c r="N227" s="568"/>
      <c r="O227" s="514">
        <f t="shared" si="1398"/>
        <v>0</v>
      </c>
      <c r="P227" s="514">
        <f t="shared" si="1399"/>
        <v>0</v>
      </c>
      <c r="Q227" s="514">
        <f t="shared" si="1400"/>
        <v>0</v>
      </c>
      <c r="R227" s="514">
        <f t="shared" si="1401"/>
        <v>0</v>
      </c>
      <c r="S227" s="514">
        <f t="shared" si="1402"/>
        <v>0</v>
      </c>
      <c r="U227" s="569">
        <v>0.15</v>
      </c>
      <c r="V227" s="503"/>
      <c r="W227" s="500">
        <f>$W$226/$U$226*U227</f>
        <v>0.1009665</v>
      </c>
      <c r="X227" s="500">
        <f t="shared" si="1000"/>
        <v>0.1009665</v>
      </c>
      <c r="Y227" s="514">
        <f>IFERROR(IF(AL227=100%,W227,0),0)</f>
        <v>0.1009665</v>
      </c>
      <c r="Z227" s="514">
        <f>IFERROR(IF(AND((AL227+AM227)=100%,AL227&lt;1),W227,0),0)</f>
        <v>0</v>
      </c>
      <c r="AA227" s="514">
        <f t="shared" ref="AA227:AA232" si="1425">IFERROR(IF(AND((AQ227+AS227)=AP227,Y227=0),W227,0),0)</f>
        <v>0</v>
      </c>
      <c r="AB227" s="514">
        <f t="shared" ref="AB227:AB232" si="1426">IFERROR(IF(AND((AQ227+AS227+AT227)=AP227,Y227=0,AA227=0),W227,0),0)</f>
        <v>0</v>
      </c>
      <c r="AC227" s="514">
        <f t="shared" ref="AC227:AC232" si="1427">IFERROR(IF(AND((AQ227+AS227+AT227+AU227)=AP227,Y227=0,AA227=0,AB227=0),W227,0),0)</f>
        <v>0</v>
      </c>
      <c r="AD227" s="567">
        <f t="shared" ref="AD227:AD232" si="1428">IFERROR(IF(AND((AQ227+AS227+AT227+AU227+AV227)=AP227,Y227=0,AA227=0,AB227=0,AC227=0),W227,0),0)</f>
        <v>0</v>
      </c>
      <c r="AE227" s="568"/>
      <c r="AF227" s="514">
        <f>IFERROR(IF(AND((AL227+AN227)=100%,AL227&lt;1),W227,0),0)</f>
        <v>0</v>
      </c>
      <c r="AG227" s="514">
        <f>IFERROR(IF(AND((AQ227+AY227)=AP227,Y227=0),W227,0),0)</f>
        <v>0</v>
      </c>
      <c r="AH227" s="514">
        <f>IFERROR(IF(AND((AQ227+AY227+AZ227)=AP227,Y227=0,AG227=0),W227,0),0)</f>
        <v>0</v>
      </c>
      <c r="AI227" s="514">
        <f>IFERROR(IF(AND((AQ227+AY227+AZ227+BA227)=AP227,Y227=0,AG227=0,AH227=0),W227,0),0)</f>
        <v>0</v>
      </c>
      <c r="AJ227" s="514">
        <f>IFERROR(IF(AND((AQ227+AY227+AZ227+BA227+BB227)=AP227,Y227=0,AG227=0,AH227=0,AI227=0),W227,0),0)</f>
        <v>0</v>
      </c>
      <c r="AK227" s="501"/>
      <c r="AL227" s="570">
        <f>IFERROR(AQ227/AP227,0)</f>
        <v>1</v>
      </c>
      <c r="AM227" s="570">
        <f>IFERROR(AR227/AP227,0)</f>
        <v>0</v>
      </c>
      <c r="AN227" s="570">
        <f>IFERROR(AX227/AP227,0)</f>
        <v>0</v>
      </c>
      <c r="AO227" s="518"/>
      <c r="AP227" s="514">
        <f>COUNTIF('AR | Drawing List'!$G:$G,"AR-AMN-1")</f>
        <v>23</v>
      </c>
      <c r="AQ227" s="506">
        <f>COUNTIFS('AR | Drawing List'!$G:$G,"AR-AMN-1",'AR | Drawing List'!$I:$I,1)</f>
        <v>23</v>
      </c>
      <c r="AR227" s="506">
        <f t="shared" si="1075"/>
        <v>0</v>
      </c>
      <c r="AS227" s="506">
        <f>COUNTIFS('AR | Drawing List'!$G:$G,"AR-AMN-1",'AR | Drawing List'!M:M,1)</f>
        <v>0</v>
      </c>
      <c r="AT227" s="506">
        <f>COUNTIFS('AR | Drawing List'!$G:$G,"AR-AMN-1",'AR | Drawing List'!N:N,1)</f>
        <v>0</v>
      </c>
      <c r="AU227" s="506">
        <f>COUNTIFS('AR | Drawing List'!$G:$G,"AR-AMN-1",'AR | Drawing List'!O:O,1)</f>
        <v>0</v>
      </c>
      <c r="AV227" s="506">
        <f>COUNTIFS('AR | Drawing List'!$G:$G,"AR-AMN-1",'AR | Drawing List'!P:P,1)</f>
        <v>0</v>
      </c>
      <c r="AW227" s="466"/>
      <c r="AX227" s="506">
        <f t="shared" si="1093"/>
        <v>0</v>
      </c>
      <c r="AY227" s="506">
        <f>COUNTIFS('AR | Drawing List'!$G:$G,"AR-AMN-1",'AR | Drawing List'!R:R,1)</f>
        <v>0</v>
      </c>
      <c r="AZ227" s="506">
        <f>COUNTIFS('AR | Drawing List'!$G:$G,"AR-AMN-1",'AR | Drawing List'!S:S,1)</f>
        <v>0</v>
      </c>
      <c r="BA227" s="506">
        <f>COUNTIFS('AR | Drawing List'!$G:$G,"AR-AMN-1",'AR | Drawing List'!T:T,1)</f>
        <v>0</v>
      </c>
      <c r="BB227" s="506">
        <f>COUNTIFS('AR | Drawing List'!$G:$G,"AR-AMN-1",'AR | Drawing List'!U:U,1)</f>
        <v>0</v>
      </c>
      <c r="BC227" s="551"/>
      <c r="BD227" s="551"/>
      <c r="BE227" s="467">
        <v>0.35</v>
      </c>
      <c r="BF227" s="508"/>
      <c r="BG227" s="506">
        <f>$BG$226/$BE$226*BE227</f>
        <v>4.7830649999999995E-2</v>
      </c>
      <c r="BH227" s="510">
        <f t="shared" si="1001"/>
        <v>4.7830649999999995E-2</v>
      </c>
      <c r="BI227" s="514">
        <f>IFERROR(IF(BV227=100%,BG227,0),0)</f>
        <v>4.7830649999999995E-2</v>
      </c>
      <c r="BJ227" s="514">
        <f>IFERROR(IF(AND((BV227+BW227)=100%,BV227&lt;1),BG227,0),0)</f>
        <v>0</v>
      </c>
      <c r="BK227" s="514">
        <f>IFERROR(IF(AND((CA227+CC227)=BZ227,BI227=0),BG227,0),0)</f>
        <v>0</v>
      </c>
      <c r="BL227" s="514">
        <f>IFERROR(IF(AND((CA227+CC227+CD227)=BZ227,BI227=0,BK227=0),BG227,0),0)</f>
        <v>0</v>
      </c>
      <c r="BM227" s="514">
        <f>IFERROR(IF(AND((CA227+CC227+CD227+CE227)=BZ227,BI227=0,BJ227=0,BK227=0,BL227=0),BG227,0),0)</f>
        <v>0</v>
      </c>
      <c r="BN227" s="514">
        <f>IFERROR(IF(AND((CA227+CC227+CD227+CE227+CF227)=BZ227,BI227=0,BJ227=0,BK227=0,BL227=0,BM227=0),BG227,0),0)</f>
        <v>0</v>
      </c>
      <c r="BO227" s="501"/>
      <c r="BP227" s="514">
        <f>IFERROR(IF(AND((BV227+BX227)=100%,BV227&lt;1),BG227,0),0)</f>
        <v>0</v>
      </c>
      <c r="BQ227" s="514">
        <f>IFERROR(IF(AND((CA227+CI227)=BZ227,BI227=0),BG227,0),0)</f>
        <v>0</v>
      </c>
      <c r="BR227" s="514">
        <f>IFERROR(IF(AND((CA227+CI227+CJ227)=BZ227,BI227=0,BQ227=0),BG227,0),0)</f>
        <v>0</v>
      </c>
      <c r="BS227" s="514">
        <f>IFERROR(IF(AND((CA227+CI227+CJ227+CK227)=BZ227,BI227=0,BQ227=0,BR227=0),BG227,0),0)</f>
        <v>0</v>
      </c>
      <c r="BT227" s="514">
        <f>IFERROR(IF(AND((CA227+CI227+CJ227+CK227+CL227)=BZ227,BI227=0,BQ227=0,BR227=0,BS227=0),BG227,0),0)</f>
        <v>0</v>
      </c>
      <c r="BU227" s="501"/>
      <c r="BV227" s="571">
        <f t="shared" ref="BV227:BV231" si="1429">IFERROR(CA227/BZ227,0)</f>
        <v>1</v>
      </c>
      <c r="BW227" s="571">
        <f t="shared" ref="BW227:BW231" si="1430">IFERROR(CB227/BZ227,0)</f>
        <v>0</v>
      </c>
      <c r="BX227" s="571">
        <f t="shared" ref="BX227:BX231" si="1431">IFERROR(CH227/BZ227,0)</f>
        <v>0</v>
      </c>
      <c r="BY227" s="518"/>
      <c r="BZ227" s="514">
        <f>COUNTIF('ST | Drawing List'!$G:$G,"ST-AMN-1")</f>
        <v>167</v>
      </c>
      <c r="CA227" s="506">
        <f>COUNTIFS('ST | Drawing List'!$G:$G,"ST-AMN-1",'ST | Drawing List'!$I:$I,1)</f>
        <v>167</v>
      </c>
      <c r="CB227" s="572">
        <f>COUNTIFS('ST | Drawing List'!$G:$G,"ST-AMN-1",'ST | Drawing List'!$K:$K,1)</f>
        <v>0</v>
      </c>
      <c r="CC227" s="506">
        <f>COUNTIFS('ST | Drawing List'!$G:$G,"ST-AMN-1",'ST | Drawing List'!L:L,1)</f>
        <v>0</v>
      </c>
      <c r="CD227" s="506">
        <f>COUNTIFS('ST | Drawing List'!$G:$G,"ST-AMN-1",'ST | Drawing List'!M:M,1)</f>
        <v>0</v>
      </c>
      <c r="CE227" s="506">
        <f>COUNTIFS('ST | Drawing List'!$G:$G,"ST-AMN-1",'ST | Drawing List'!N:N,1)</f>
        <v>0</v>
      </c>
      <c r="CF227" s="506">
        <f>COUNTIFS('ST | Drawing List'!$G:$G,"ST-AMN-1",'ST | Drawing List'!O:O,1)</f>
        <v>0</v>
      </c>
      <c r="CG227" s="471"/>
      <c r="CH227" s="572">
        <f>COUNTIFS('ST | Drawing List'!$G:$G,"ST-AMN-1",'ST | Drawing List'!$P:$P,1)</f>
        <v>0</v>
      </c>
      <c r="CI227" s="506">
        <f>COUNTIFS('ST | Drawing List'!$G:$G,"ST-AMN-1",'ST | Drawing List'!Q:Q,1)</f>
        <v>0</v>
      </c>
      <c r="CJ227" s="506">
        <f>COUNTIFS('ST | Drawing List'!$G:$G,"ST-AMN-1",'ST | Drawing List'!R:R,1)</f>
        <v>0</v>
      </c>
      <c r="CK227" s="506">
        <f>COUNTIFS('ST | Drawing List'!$G:$G,"ST-AMN-1",'ST | Drawing List'!S:S,1)</f>
        <v>0</v>
      </c>
      <c r="CL227" s="506">
        <f>COUNTIFS('ST | Drawing List'!$G:$G,"ST-AMN-1",'ST | Drawing List'!T:T,1)</f>
        <v>0</v>
      </c>
      <c r="CM227" s="508"/>
      <c r="CN227" s="508"/>
      <c r="CO227" s="511">
        <v>0.35</v>
      </c>
      <c r="CP227" s="508"/>
      <c r="CQ227" s="506">
        <f>$CQ$226/$CO$226*CO227</f>
        <v>7.6404999999999989E-3</v>
      </c>
      <c r="CR227" s="510">
        <f t="shared" si="1002"/>
        <v>7.6404999999999989E-3</v>
      </c>
      <c r="CS227" s="514">
        <f>IFERROR(IF(DF227=100%,CQ227,0),0)</f>
        <v>7.6404999999999989E-3</v>
      </c>
      <c r="CT227" s="514">
        <f t="shared" ref="CT227:CT231" si="1432">IFERROR(IF(AND((DF227+DG227)=100%,DF227&lt;1),CQ227,0),0)</f>
        <v>0</v>
      </c>
      <c r="CU227" s="514">
        <f t="shared" ref="CU227:CU231" si="1433">IFERROR(IF(AND((DK227+DM227)=DJ227,CS227=0),CQ227,0),0)</f>
        <v>0</v>
      </c>
      <c r="CV227" s="514">
        <f t="shared" ref="CV227:CV231" si="1434">IFERROR(IF(AND((DK227+DM227+DN227)=DJ227,CS227=0,CU227=0),CQ227,0),0)</f>
        <v>0</v>
      </c>
      <c r="CW227" s="514">
        <f t="shared" ref="CW227:CW231" si="1435">IFERROR(IF(AND((DK227+DM227+DN227+DO227)=DJ227,CS227=0,CU227=0,CV227=0),CQ227,0),0)</f>
        <v>0</v>
      </c>
      <c r="CX227" s="514">
        <f t="shared" ref="CX227:CX231" si="1436">IFERROR(IF(AND((DK227+DM227+DN227+DO227+DP227)=DJ227,CS227=0,CU227=0,CV227=0,CW227=0),CQ227,0),0)</f>
        <v>0</v>
      </c>
      <c r="CY227" s="501"/>
      <c r="CZ227" s="514">
        <f t="shared" ref="CZ227:CZ231" si="1437">IFERROR(IF(AND((DF227+DH227)=100%,DF227&lt;1),CQ227,0),0)</f>
        <v>0</v>
      </c>
      <c r="DA227" s="514">
        <f t="shared" ref="DA227:DA231" si="1438">IFERROR(IF(AND((DK227+DS227)=DJ227,CS227=0),CQ227,0),0)</f>
        <v>0</v>
      </c>
      <c r="DB227" s="514">
        <f t="shared" ref="DB227:DB231" si="1439">IFERROR(IF(AND((DK227+DS227+DT227)=DJ227,CS227=0,DA227=0),CQ227,0),0)</f>
        <v>0</v>
      </c>
      <c r="DC227" s="514">
        <f t="shared" ref="DC227:DC231" si="1440">IFERROR(IF(AND((DK227+DS227+DT227+DU227)=DJ227,CS227=0,DA227=0,DB227=0),CQ227,0),0)</f>
        <v>0</v>
      </c>
      <c r="DD227" s="514">
        <f t="shared" ref="DD227:DD231" si="1441">IFERROR(IF(AND((DK227+DS227+DT227+DU227+DV227)=DJ227,CS227=0,DA227=0,DB227=0,DC227=0),CQ227,0),0)</f>
        <v>0</v>
      </c>
      <c r="DE227" s="501"/>
      <c r="DF227" s="570">
        <f t="shared" ref="DF227:DF231" si="1442">IFERROR(DK227/DJ227,0)</f>
        <v>1</v>
      </c>
      <c r="DG227" s="570">
        <f t="shared" ref="DG227:DG231" si="1443">IFERROR(DL227/DJ227,0)</f>
        <v>0</v>
      </c>
      <c r="DH227" s="570">
        <f t="shared" ref="DH227:DH231" si="1444">IFERROR(DR227/DJ227,0)</f>
        <v>0</v>
      </c>
      <c r="DI227" s="518"/>
      <c r="DJ227" s="514">
        <f>COUNTIF('MEP | Drawing List'!$G:$G,"MEP-AMN-1")</f>
        <v>21</v>
      </c>
      <c r="DK227" s="506">
        <f>COUNTIFS('MEP | Drawing List'!$G:$G,"MEP-AMN-1",'MEP | Drawing List'!$I:$I,1)</f>
        <v>21</v>
      </c>
      <c r="DL227" s="506">
        <f>COUNTIFS('MEP | Drawing List'!$G:$G,"MEP-AMN-1",'MEP | Drawing List'!$K:$K,1)</f>
        <v>0</v>
      </c>
      <c r="DM227" s="514">
        <f>COUNTIFS('MEP | Drawing List'!$G:$G,"MEP-AMN-1",'MEP | Drawing List'!L:L,1)</f>
        <v>0</v>
      </c>
      <c r="DN227" s="514">
        <f>COUNTIFS('MEP | Drawing List'!$G:$G,"MEP-AMN-1",'MEP | Drawing List'!M:M,1)</f>
        <v>0</v>
      </c>
      <c r="DO227" s="514">
        <f>COUNTIFS('MEP | Drawing List'!$G:$G,"MEP-AMN-1",'MEP | Drawing List'!N:N,1)</f>
        <v>0</v>
      </c>
      <c r="DP227" s="514">
        <f>COUNTIFS('MEP | Drawing List'!$G:$G,"MEP-AMN-1",'MEP | Drawing List'!O:O,1)</f>
        <v>0</v>
      </c>
      <c r="DQ227" s="501"/>
      <c r="DR227" s="506">
        <f>COUNTIFS('MEP | Drawing List'!$G:$G,"MEP-AMN-1",'MEP | Drawing List'!$P:$P,1)</f>
        <v>0</v>
      </c>
      <c r="DS227" s="514">
        <f>COUNTIFS('MEP | Drawing List'!$G:$G,"MEP-AMN-1",'MEP | Drawing List'!Q:Q,1)</f>
        <v>0</v>
      </c>
      <c r="DT227" s="514">
        <f>COUNTIFS('MEP | Drawing List'!$G:$G,"MEP-AMN-1",'MEP | Drawing List'!R:R,1)</f>
        <v>0</v>
      </c>
      <c r="DU227" s="514">
        <f>COUNTIFS('MEP | Drawing List'!$G:$G,"MEP-AMN-1",'MEP | Drawing List'!S:S,1)</f>
        <v>0</v>
      </c>
      <c r="DV227" s="514">
        <f>COUNTIFS('MEP | Drawing List'!$G:$G,"MEP-AMN-1",'MEP | Drawing List'!T:T,1)</f>
        <v>0</v>
      </c>
      <c r="DW227" s="508"/>
      <c r="DX227" s="508"/>
      <c r="DY227" s="576">
        <v>0</v>
      </c>
      <c r="DZ227" s="508"/>
      <c r="EA227" s="506">
        <f>$EA$226/$DY$226*DY227</f>
        <v>0</v>
      </c>
      <c r="EB227" s="510">
        <f t="shared" si="1003"/>
        <v>0</v>
      </c>
      <c r="EC227" s="514">
        <f>IFERROR(IF(EP227=100%,EA227,0),0)</f>
        <v>0</v>
      </c>
      <c r="ED227" s="514">
        <f>IFERROR(IF(AND((EP227+EQ227)=100%,EP227&lt;1),EA227,0),0)</f>
        <v>0</v>
      </c>
      <c r="EE227" s="514">
        <f>IFERROR(IF(AND((EU227+EW227)=ET227,EC227=0),EA227,0),0)</f>
        <v>0</v>
      </c>
      <c r="EF227" s="514">
        <f>IFERROR(IF(AND((EU227+EW227+EX227)=ET227,EC227=0,EE227=0),EA227,0),0)</f>
        <v>0</v>
      </c>
      <c r="EG227" s="514">
        <f>IFERROR(IF(AND((EU227+EW227+EX227+EY227)=ET227,EC227=0,EE227=0,EF227=0),EA227,0),0)</f>
        <v>0</v>
      </c>
      <c r="EH227" s="514">
        <f>IFERROR(IF(AND((EU227+EW227+EX227+EY227+EZ227)=ET227,EC227=0,EE227=0,EF227=0,EG227=0),EA227,0),0)</f>
        <v>0</v>
      </c>
      <c r="EI227" s="501"/>
      <c r="EJ227" s="567">
        <f t="shared" ref="EJ227:EJ231" si="1445">IFERROR(IF(AND((EP227+ER227)=100%,EP227&lt;1),EA227,0),0)</f>
        <v>0</v>
      </c>
      <c r="EK227" s="514">
        <f t="shared" ref="EK227:EK231" si="1446">IFERROR(IF(AND((EU227+FC227)=ET227,EC227=0),EA227,0),0)</f>
        <v>0</v>
      </c>
      <c r="EL227" s="514">
        <f t="shared" ref="EL227:EL231" si="1447">IFERROR(IF(AND((EU227+FC227+FD227)=ET227,EC227=0,EK227=0),EA227,0),0)</f>
        <v>0</v>
      </c>
      <c r="EM227" s="514">
        <f t="shared" ref="EM227:EM231" si="1448">IFERROR(IF(AND((EU227+FC227+FD227+FE227)=ET227,EC227=0,EK227=0,EL227=0),EA227,0),0)</f>
        <v>0</v>
      </c>
      <c r="EN227" s="514">
        <f t="shared" ref="EN227:EN231" si="1449">IFERROR(IF(AND((EU227+FC227+FD227+FE227+FF227)=ET227,EC227=0,EK227=0,EL227=0,EM227=0),EA227,0),0)</f>
        <v>0</v>
      </c>
      <c r="EO227" s="501"/>
      <c r="EP227" s="585">
        <f t="shared" ref="EP227:EP231" si="1450">IFERROR(EU227/ET227,0)</f>
        <v>0</v>
      </c>
      <c r="EQ227" s="585">
        <f t="shared" ref="EQ227:EQ231" si="1451">IFERROR(EV227/ET227,0)</f>
        <v>0</v>
      </c>
      <c r="ER227" s="585">
        <f t="shared" ref="ER227:ER231" si="1452">IFERROR(FB227/ET227,0)</f>
        <v>0</v>
      </c>
      <c r="ET227" s="514">
        <f>COUNTIF('LS | Drawing List'!$G:$G,"LS-AMN-1")</f>
        <v>0</v>
      </c>
      <c r="EU227" s="506">
        <f>COUNTIFS('LS | Drawing List'!$G:$G,"LS-AMN-1",'LS | Drawing List'!$I:$I,1)</f>
        <v>0</v>
      </c>
      <c r="EV227" s="506">
        <f>COUNTIFS('LS | Drawing List'!$G:$G,"LS-AMN-1",'LS | Drawing List'!$K:$K,1)</f>
        <v>0</v>
      </c>
      <c r="EW227" s="514">
        <f>COUNTIFS('LS | Drawing List'!$G:$G,"LS-AMN-1",'LS | Drawing List'!L:L,1)</f>
        <v>0</v>
      </c>
      <c r="EX227" s="514">
        <f>COUNTIFS('LS | Drawing List'!$G:$G,"LS-AMN-1",'LS | Drawing List'!M:M,1)</f>
        <v>0</v>
      </c>
      <c r="EY227" s="514">
        <f>COUNTIFS('LS | Drawing List'!$G:$G,"LS-AMN-1",'LS | Drawing List'!N:N,1)</f>
        <v>0</v>
      </c>
      <c r="EZ227" s="514">
        <f>COUNTIFS('LS | Drawing List'!$G:$G,"LS-AMN-1",'LS | Drawing List'!O:O,1)</f>
        <v>0</v>
      </c>
      <c r="FA227" s="515"/>
      <c r="FB227" s="506">
        <f>COUNTIFS('LS | Drawing List'!$G:$G,"LS-AMN-1",'LS | Drawing List'!$P:$P,1)</f>
        <v>0</v>
      </c>
      <c r="FC227" s="514">
        <f>COUNTIFS('LS | Drawing List'!$G:$G,"LS-AMN-1",'LS | Drawing List'!Q:Q,1)</f>
        <v>0</v>
      </c>
      <c r="FD227" s="514">
        <f>COUNTIFS('LS | Drawing List'!$G:$G,"LS-AMN-1",'LS | Drawing List'!R:R,1)</f>
        <v>0</v>
      </c>
      <c r="FE227" s="514">
        <f>COUNTIFS('LS | Drawing List'!$G:$G,"LS-AMN-1",'LS | Drawing List'!S:S,1)</f>
        <v>0</v>
      </c>
      <c r="FF227" s="514">
        <f>COUNTIFS('LS | Drawing List'!$G:$G,"LS-AMN-1",'LS | Drawing List'!T:T,1)</f>
        <v>0</v>
      </c>
    </row>
    <row r="228" spans="2:163" ht="14.25" outlineLevel="2">
      <c r="B228" s="564" t="s">
        <v>212</v>
      </c>
      <c r="C228" s="564">
        <v>2</v>
      </c>
      <c r="D228" s="295" t="s">
        <v>213</v>
      </c>
      <c r="F228" s="500">
        <f t="shared" si="1422"/>
        <v>0.15456209999999998</v>
      </c>
      <c r="G228" s="500">
        <f t="shared" si="1423"/>
        <v>0.15456209999999998</v>
      </c>
      <c r="H228" s="514">
        <f t="shared" si="1424"/>
        <v>0</v>
      </c>
      <c r="I228" s="514">
        <f t="shared" si="1393"/>
        <v>0</v>
      </c>
      <c r="J228" s="514">
        <f t="shared" si="1394"/>
        <v>0</v>
      </c>
      <c r="K228" s="514">
        <f t="shared" si="1395"/>
        <v>0</v>
      </c>
      <c r="L228" s="514">
        <f t="shared" si="1396"/>
        <v>0</v>
      </c>
      <c r="M228" s="567">
        <f t="shared" si="1397"/>
        <v>0</v>
      </c>
      <c r="N228" s="568"/>
      <c r="O228" s="514">
        <f t="shared" si="1398"/>
        <v>0</v>
      </c>
      <c r="P228" s="514">
        <f t="shared" si="1399"/>
        <v>0</v>
      </c>
      <c r="Q228" s="514">
        <f t="shared" si="1400"/>
        <v>0</v>
      </c>
      <c r="R228" s="514">
        <f t="shared" si="1401"/>
        <v>0</v>
      </c>
      <c r="S228" s="514">
        <f t="shared" si="1402"/>
        <v>0</v>
      </c>
      <c r="U228" s="569">
        <v>0.2</v>
      </c>
      <c r="V228" s="503"/>
      <c r="W228" s="500">
        <f>$W$226/$U$226*U228</f>
        <v>0.13462199999999999</v>
      </c>
      <c r="X228" s="500">
        <f t="shared" si="1000"/>
        <v>0.13462199999999999</v>
      </c>
      <c r="Y228" s="514">
        <f>IFERROR(IF(AL228=100%,W228,0),0)</f>
        <v>0.13462199999999999</v>
      </c>
      <c r="Z228" s="514">
        <f>IFERROR(IF(AND((AL228+AM228)=100%,AL228&lt;1),W228,0),0)</f>
        <v>0</v>
      </c>
      <c r="AA228" s="514">
        <f t="shared" si="1425"/>
        <v>0</v>
      </c>
      <c r="AB228" s="514">
        <f t="shared" si="1426"/>
        <v>0</v>
      </c>
      <c r="AC228" s="514">
        <f t="shared" si="1427"/>
        <v>0</v>
      </c>
      <c r="AD228" s="567">
        <f t="shared" si="1428"/>
        <v>0</v>
      </c>
      <c r="AE228" s="568"/>
      <c r="AF228" s="514">
        <f>IFERROR(IF(AND((AL228+AN228)=100%,AL228&lt;1),W228,0),0)</f>
        <v>0</v>
      </c>
      <c r="AG228" s="514">
        <f>IFERROR(IF(AND((AQ228+AY228)=AP228,Y228=0),W228,0),0)</f>
        <v>0</v>
      </c>
      <c r="AH228" s="514">
        <f>IFERROR(IF(AND((AQ228+AY228+AZ228)=AP228,Y228=0,AG228=0),W228,0),0)</f>
        <v>0</v>
      </c>
      <c r="AI228" s="514">
        <f>IFERROR(IF(AND((AQ228+AY228+AZ228+BA228)=AP228,Y228=0,AG228=0,AH228=0),W228,0),0)</f>
        <v>0</v>
      </c>
      <c r="AJ228" s="514">
        <f>IFERROR(IF(AND((AQ228+AY228+AZ228+BA228+BB228)=AP228,Y228=0,AG228=0,AH228=0,AI228=0),W228,0),0)</f>
        <v>0</v>
      </c>
      <c r="AK228" s="501"/>
      <c r="AL228" s="570">
        <f>IFERROR(AQ228/AP228,0)</f>
        <v>1</v>
      </c>
      <c r="AM228" s="570">
        <f>IFERROR(AR228/AP228,0)</f>
        <v>0</v>
      </c>
      <c r="AN228" s="570">
        <f>IFERROR(AX228/AP228,0)</f>
        <v>0</v>
      </c>
      <c r="AO228" s="518"/>
      <c r="AP228" s="514">
        <f>COUNTIF('AR | Drawing List'!$G:$G,"AR-AMN-2")</f>
        <v>73</v>
      </c>
      <c r="AQ228" s="506">
        <f>COUNTIFS('AR | Drawing List'!$G:$G,"AR-AMN-2",'AR | Drawing List'!$I:$I,1)</f>
        <v>73</v>
      </c>
      <c r="AR228" s="506">
        <f t="shared" si="1075"/>
        <v>0</v>
      </c>
      <c r="AS228" s="506">
        <f>COUNTIFS('AR | Drawing List'!$G:$G,"AR-AMN-2",'AR | Drawing List'!M:M,1)</f>
        <v>0</v>
      </c>
      <c r="AT228" s="506">
        <f>COUNTIFS('AR | Drawing List'!$G:$G,"AR-AMN-2",'AR | Drawing List'!N:N,1)</f>
        <v>0</v>
      </c>
      <c r="AU228" s="506">
        <f>COUNTIFS('AR | Drawing List'!$G:$G,"AR-AMN-2",'AR | Drawing List'!O:O,1)</f>
        <v>0</v>
      </c>
      <c r="AV228" s="506">
        <f>COUNTIFS('AR | Drawing List'!$G:$G,"AR-AMN-2",'AR | Drawing List'!P:P,1)</f>
        <v>0</v>
      </c>
      <c r="AW228" s="466"/>
      <c r="AX228" s="506">
        <f t="shared" si="1093"/>
        <v>0</v>
      </c>
      <c r="AY228" s="506">
        <f>COUNTIFS('AR | Drawing List'!$G:$G,"AR-AMN-2",'AR | Drawing List'!R:R,1)</f>
        <v>0</v>
      </c>
      <c r="AZ228" s="506">
        <f>COUNTIFS('AR | Drawing List'!$G:$G,"AR-AMN-2",'AR | Drawing List'!S:S,1)</f>
        <v>0</v>
      </c>
      <c r="BA228" s="506">
        <f>COUNTIFS('AR | Drawing List'!$G:$G,"AR-AMN-2",'AR | Drawing List'!T:T,1)</f>
        <v>0</v>
      </c>
      <c r="BB228" s="506">
        <f>COUNTIFS('AR | Drawing List'!$G:$G,"AR-AMN-2",'AR | Drawing List'!U:U,1)</f>
        <v>0</v>
      </c>
      <c r="BC228" s="551"/>
      <c r="BD228" s="551"/>
      <c r="BE228" s="467">
        <v>0</v>
      </c>
      <c r="BF228" s="508"/>
      <c r="BG228" s="506">
        <f>$BG$226/$BE$226*BE228</f>
        <v>0</v>
      </c>
      <c r="BH228" s="510">
        <f t="shared" si="1001"/>
        <v>0</v>
      </c>
      <c r="BI228" s="514">
        <f>IFERROR(IF(BV228=100%,BG228,0),0)</f>
        <v>0</v>
      </c>
      <c r="BJ228" s="514">
        <f>IFERROR(IF(AND((BV228+BW228)=100%,BV228&lt;1),BG228,0),0)</f>
        <v>0</v>
      </c>
      <c r="BK228" s="514">
        <f>IFERROR(IF(AND((CA228+CC228)=BZ228,BI228=0),BG228,0),0)</f>
        <v>0</v>
      </c>
      <c r="BL228" s="514">
        <f>IFERROR(IF(AND((CA228+CC228+CD228)=BZ228,BI228=0,BK228=0),BG228,0),0)</f>
        <v>0</v>
      </c>
      <c r="BM228" s="514">
        <f>IFERROR(IF(AND((CA228+CC228+CD228+CE228)=BZ228,BI228=0,BJ228=0,BK228=0,BL228=0),BG228,0),0)</f>
        <v>0</v>
      </c>
      <c r="BN228" s="514">
        <f>IFERROR(IF(AND((CA228+CC228+CD228+CE228+CF228)=BZ228,BI228=0,BJ228=0,BK228=0,BL228=0,BM228=0),BG228,0),0)</f>
        <v>0</v>
      </c>
      <c r="BO228" s="501"/>
      <c r="BP228" s="514">
        <f>IFERROR(IF(AND((BV228+BX228)=100%,BV228&lt;1),BG228,0),0)</f>
        <v>0</v>
      </c>
      <c r="BQ228" s="514">
        <f>IFERROR(IF(AND((CA228+CI228)=BZ228,BI228=0),BG228,0),0)</f>
        <v>0</v>
      </c>
      <c r="BR228" s="514">
        <f>IFERROR(IF(AND((CA228+CI228+CJ228)=BZ228,BI228=0,BQ228=0),BG228,0),0)</f>
        <v>0</v>
      </c>
      <c r="BS228" s="514">
        <f>IFERROR(IF(AND((CA228+CI228+CJ228+CK228)=BZ228,BI228=0,BQ228=0,BR228=0),BG228,0),0)</f>
        <v>0</v>
      </c>
      <c r="BT228" s="514">
        <f>IFERROR(IF(AND((CA228+CI228+CJ228+CK228+CL228)=BZ228,BI228=0,BQ228=0,BR228=0,BS228=0),BG228,0),0)</f>
        <v>0</v>
      </c>
      <c r="BU228" s="501"/>
      <c r="BV228" s="571">
        <f t="shared" si="1429"/>
        <v>0</v>
      </c>
      <c r="BW228" s="571">
        <f t="shared" si="1430"/>
        <v>0</v>
      </c>
      <c r="BX228" s="571">
        <f t="shared" si="1431"/>
        <v>0</v>
      </c>
      <c r="BY228" s="518"/>
      <c r="BZ228" s="514">
        <f>COUNTIF('ST | Drawing List'!$G:$G,"ST-AMN-2")</f>
        <v>0</v>
      </c>
      <c r="CA228" s="506">
        <f>COUNTIFS('ST | Drawing List'!$G:$G,"ST-AMN-2",'ST | Drawing List'!$I:$I,1)</f>
        <v>0</v>
      </c>
      <c r="CB228" s="572">
        <f>COUNTIFS('ST | Drawing List'!$G:$G,"ST-AMN-2",'ST | Drawing List'!$K:$K,1)</f>
        <v>0</v>
      </c>
      <c r="CC228" s="506">
        <f>COUNTIFS('ST | Drawing List'!$G:$G,"ST-AMN-2",'ST | Drawing List'!L:L,1)</f>
        <v>0</v>
      </c>
      <c r="CD228" s="506">
        <f>COUNTIFS('ST | Drawing List'!$G:$G,"ST-AMN-2",'ST | Drawing List'!M:M,1)</f>
        <v>0</v>
      </c>
      <c r="CE228" s="506">
        <f>COUNTIFS('ST | Drawing List'!$G:$G,"ST-AMN-2",'ST | Drawing List'!N:N,1)</f>
        <v>0</v>
      </c>
      <c r="CF228" s="506">
        <f>COUNTIFS('ST | Drawing List'!$G:$G,"ST-AMN-2",'ST | Drawing List'!O:O,1)</f>
        <v>0</v>
      </c>
      <c r="CG228" s="471"/>
      <c r="CH228" s="572">
        <f>COUNTIFS('ST | Drawing List'!$G:$G,"ST-AMN-2",'ST | Drawing List'!$P:$P,1)</f>
        <v>0</v>
      </c>
      <c r="CI228" s="506">
        <f>COUNTIFS('ST | Drawing List'!$G:$G,"ST-AMN-2",'ST | Drawing List'!Q:Q,1)</f>
        <v>0</v>
      </c>
      <c r="CJ228" s="506">
        <f>COUNTIFS('ST | Drawing List'!$G:$G,"ST-AMN-2",'ST | Drawing List'!R:R,1)</f>
        <v>0</v>
      </c>
      <c r="CK228" s="506">
        <f>COUNTIFS('ST | Drawing List'!$G:$G,"ST-AMN-2",'ST | Drawing List'!S:S,1)</f>
        <v>0</v>
      </c>
      <c r="CL228" s="506">
        <f>COUNTIFS('ST | Drawing List'!$G:$G,"ST-AMN-2",'ST | Drawing List'!T:T,1)</f>
        <v>0</v>
      </c>
      <c r="CM228" s="508"/>
      <c r="CN228" s="508"/>
      <c r="CO228" s="511">
        <v>0.15</v>
      </c>
      <c r="CP228" s="508"/>
      <c r="CQ228" s="506">
        <f>$CQ$226/$CO$226*CO228</f>
        <v>3.2744999999999996E-3</v>
      </c>
      <c r="CR228" s="510">
        <f t="shared" si="1002"/>
        <v>3.2744999999999996E-3</v>
      </c>
      <c r="CS228" s="514">
        <f>IFERROR(IF(DF228=100%,CQ228,0),0)</f>
        <v>3.2744999999999996E-3</v>
      </c>
      <c r="CT228" s="514">
        <f t="shared" si="1432"/>
        <v>0</v>
      </c>
      <c r="CU228" s="514">
        <f t="shared" si="1433"/>
        <v>0</v>
      </c>
      <c r="CV228" s="514">
        <f t="shared" si="1434"/>
        <v>0</v>
      </c>
      <c r="CW228" s="514">
        <f t="shared" si="1435"/>
        <v>0</v>
      </c>
      <c r="CX228" s="514">
        <f t="shared" si="1436"/>
        <v>0</v>
      </c>
      <c r="CY228" s="501"/>
      <c r="CZ228" s="514">
        <f t="shared" si="1437"/>
        <v>0</v>
      </c>
      <c r="DA228" s="514">
        <f t="shared" si="1438"/>
        <v>0</v>
      </c>
      <c r="DB228" s="514">
        <f t="shared" si="1439"/>
        <v>0</v>
      </c>
      <c r="DC228" s="514">
        <f t="shared" si="1440"/>
        <v>0</v>
      </c>
      <c r="DD228" s="514">
        <f t="shared" si="1441"/>
        <v>0</v>
      </c>
      <c r="DE228" s="501"/>
      <c r="DF228" s="570">
        <f t="shared" si="1442"/>
        <v>1</v>
      </c>
      <c r="DG228" s="570">
        <f t="shared" si="1443"/>
        <v>0</v>
      </c>
      <c r="DH228" s="570">
        <f t="shared" si="1444"/>
        <v>0</v>
      </c>
      <c r="DI228" s="518"/>
      <c r="DJ228" s="514">
        <f>COUNTIF('MEP | Drawing List'!$G:$G,"MEP-AMN-2")</f>
        <v>8</v>
      </c>
      <c r="DK228" s="506">
        <f>COUNTIFS('MEP | Drawing List'!$G:$G,"MEP-AMN-2",'MEP | Drawing List'!$I:$I,1)</f>
        <v>8</v>
      </c>
      <c r="DL228" s="506">
        <f>COUNTIFS('MEP | Drawing List'!$G:$G,"MEP-AMN-2",'MEP | Drawing List'!$K:$K,1)</f>
        <v>0</v>
      </c>
      <c r="DM228" s="514">
        <f>COUNTIFS('MEP | Drawing List'!$G:$G,"MEP-AMN-2",'MEP | Drawing List'!L:L,1)</f>
        <v>0</v>
      </c>
      <c r="DN228" s="514">
        <f>COUNTIFS('MEP | Drawing List'!$G:$G,"MEP-AMN-2",'MEP | Drawing List'!M:M,1)</f>
        <v>0</v>
      </c>
      <c r="DO228" s="514">
        <f>COUNTIFS('MEP | Drawing List'!$G:$G,"MEP-AMN-2",'MEP | Drawing List'!N:N,1)</f>
        <v>0</v>
      </c>
      <c r="DP228" s="514">
        <f>COUNTIFS('MEP | Drawing List'!$G:$G,"MEP-AMN-2",'MEP | Drawing List'!O:O,1)</f>
        <v>0</v>
      </c>
      <c r="DQ228" s="501"/>
      <c r="DR228" s="506">
        <f>COUNTIFS('MEP | Drawing List'!$G:$G,"MEP-AMN-2",'MEP | Drawing List'!$P:$P,1)</f>
        <v>0</v>
      </c>
      <c r="DS228" s="514">
        <f>COUNTIFS('MEP | Drawing List'!$G:$G,"MEP-AMN-2",'MEP | Drawing List'!Q:Q,1)</f>
        <v>0</v>
      </c>
      <c r="DT228" s="514">
        <f>COUNTIFS('MEP | Drawing List'!$G:$G,"MEP-AMN-2",'MEP | Drawing List'!R:R,1)</f>
        <v>0</v>
      </c>
      <c r="DU228" s="514">
        <f>COUNTIFS('MEP | Drawing List'!$G:$G,"MEP-AMN-2",'MEP | Drawing List'!S:S,1)</f>
        <v>0</v>
      </c>
      <c r="DV228" s="514">
        <f>COUNTIFS('MEP | Drawing List'!$G:$G,"MEP-AMN-2",'MEP | Drawing List'!T:T,1)</f>
        <v>0</v>
      </c>
      <c r="DW228" s="508"/>
      <c r="DX228" s="508"/>
      <c r="DY228" s="511">
        <v>0.1</v>
      </c>
      <c r="DZ228" s="508"/>
      <c r="EA228" s="506">
        <f>$EA$226/$DY$226*DY228</f>
        <v>1.6665599999999999E-2</v>
      </c>
      <c r="EB228" s="510">
        <f t="shared" si="1003"/>
        <v>1.6665599999999999E-2</v>
      </c>
      <c r="EC228" s="514">
        <f>IFERROR(IF(EP228=100%,EA228,0),0)</f>
        <v>1.6665599999999999E-2</v>
      </c>
      <c r="ED228" s="514">
        <f>IFERROR(IF(AND((EP228+EQ228)=100%,EP228&lt;1),EA228,0),0)</f>
        <v>0</v>
      </c>
      <c r="EE228" s="514">
        <f>IFERROR(IF(AND((EU228+EW228)=ET228,EC228=0),EA228,0),0)</f>
        <v>0</v>
      </c>
      <c r="EF228" s="514">
        <f>IFERROR(IF(AND((EU228+EW228+EX228)=ET228,EC228=0,EE228=0),EA228,0),0)</f>
        <v>0</v>
      </c>
      <c r="EG228" s="514">
        <f>IFERROR(IF(AND((EU228+EW228+EX228+EY228)=ET228,EC228=0,EE228=0,EF228=0),EA228,0),0)</f>
        <v>0</v>
      </c>
      <c r="EH228" s="514">
        <f>IFERROR(IF(AND((EU228+EW228+EX228+EY228+EZ228)=ET228,EC228=0,EE228=0,EF228=0,EG228=0),EA228,0),0)</f>
        <v>0</v>
      </c>
      <c r="EI228" s="501"/>
      <c r="EJ228" s="567">
        <f t="shared" si="1445"/>
        <v>0</v>
      </c>
      <c r="EK228" s="514">
        <f t="shared" si="1446"/>
        <v>0</v>
      </c>
      <c r="EL228" s="514">
        <f t="shared" si="1447"/>
        <v>0</v>
      </c>
      <c r="EM228" s="514">
        <f t="shared" si="1448"/>
        <v>0</v>
      </c>
      <c r="EN228" s="514">
        <f t="shared" si="1449"/>
        <v>0</v>
      </c>
      <c r="EO228" s="501"/>
      <c r="EP228" s="585">
        <f t="shared" si="1450"/>
        <v>1</v>
      </c>
      <c r="EQ228" s="585">
        <f t="shared" si="1451"/>
        <v>0</v>
      </c>
      <c r="ER228" s="585">
        <f t="shared" si="1452"/>
        <v>0</v>
      </c>
      <c r="ET228" s="514">
        <f>COUNTIF('LS | Drawing List'!$G:$G,"LS-AMN-2")</f>
        <v>5</v>
      </c>
      <c r="EU228" s="506">
        <f>COUNTIFS('LS | Drawing List'!$G:$G,"LS-AMN-2",'LS | Drawing List'!$I:$I,1)</f>
        <v>5</v>
      </c>
      <c r="EV228" s="506">
        <f>COUNTIFS('LS | Drawing List'!$G:$G,"LS-AMN-2",'LS | Drawing List'!$K:$K,1)</f>
        <v>0</v>
      </c>
      <c r="EW228" s="514">
        <f>COUNTIFS('LS | Drawing List'!$G:$G,"LS-AMN-2",'LS | Drawing List'!L:L,1)</f>
        <v>0</v>
      </c>
      <c r="EX228" s="514">
        <f>COUNTIFS('LS | Drawing List'!$G:$G,"LS-AMN-2",'LS | Drawing List'!M:M,1)</f>
        <v>0</v>
      </c>
      <c r="EY228" s="514">
        <f>COUNTIFS('LS | Drawing List'!$G:$G,"LS-AMN-2",'LS | Drawing List'!N:N,1)</f>
        <v>0</v>
      </c>
      <c r="EZ228" s="514">
        <f>COUNTIFS('LS | Drawing List'!$G:$G,"LS-AMN-2",'LS | Drawing List'!O:O,1)</f>
        <v>0</v>
      </c>
      <c r="FA228" s="515"/>
      <c r="FB228" s="506">
        <f>COUNTIFS('LS | Drawing List'!$G:$G,"LS-AMN-2",'LS | Drawing List'!$P:$P,1)</f>
        <v>0</v>
      </c>
      <c r="FC228" s="514">
        <f>COUNTIFS('LS | Drawing List'!$G:$G,"LS-AMN-2",'LS | Drawing List'!Q:Q,1)</f>
        <v>0</v>
      </c>
      <c r="FD228" s="514">
        <f>COUNTIFS('LS | Drawing List'!$G:$G,"LS-AMN-2",'LS | Drawing List'!R:R,1)</f>
        <v>0</v>
      </c>
      <c r="FE228" s="514">
        <f>COUNTIFS('LS | Drawing List'!$G:$G,"LS-AMN-2",'LS | Drawing List'!S:S,1)</f>
        <v>0</v>
      </c>
      <c r="FF228" s="514">
        <f>COUNTIFS('LS | Drawing List'!$G:$G,"LS-AMN-2",'LS | Drawing List'!T:T,1)</f>
        <v>0</v>
      </c>
    </row>
    <row r="229" spans="2:163" s="51" customFormat="1" ht="14.25" outlineLevel="2">
      <c r="B229" s="564" t="s">
        <v>214</v>
      </c>
      <c r="C229" s="604">
        <v>3</v>
      </c>
      <c r="D229" s="63" t="s">
        <v>215</v>
      </c>
      <c r="F229" s="500">
        <f t="shared" si="1422"/>
        <v>7.6002649999999991E-2</v>
      </c>
      <c r="G229" s="500">
        <f t="shared" si="1423"/>
        <v>7.3819649999999987E-2</v>
      </c>
      <c r="H229" s="514">
        <f t="shared" si="1424"/>
        <v>2.1830000000000044E-3</v>
      </c>
      <c r="I229" s="514">
        <f t="shared" si="1393"/>
        <v>2.183E-3</v>
      </c>
      <c r="J229" s="514">
        <f t="shared" si="1394"/>
        <v>2.183E-3</v>
      </c>
      <c r="K229" s="514">
        <f t="shared" si="1395"/>
        <v>0</v>
      </c>
      <c r="L229" s="514">
        <f t="shared" si="1396"/>
        <v>0</v>
      </c>
      <c r="M229" s="567">
        <f t="shared" si="1397"/>
        <v>0</v>
      </c>
      <c r="N229" s="568"/>
      <c r="O229" s="514">
        <f t="shared" si="1398"/>
        <v>0</v>
      </c>
      <c r="P229" s="514">
        <f t="shared" si="1399"/>
        <v>0</v>
      </c>
      <c r="Q229" s="514">
        <f t="shared" si="1400"/>
        <v>0</v>
      </c>
      <c r="R229" s="514">
        <f t="shared" si="1401"/>
        <v>0</v>
      </c>
      <c r="S229" s="514">
        <f t="shared" si="1402"/>
        <v>0</v>
      </c>
      <c r="U229" s="583">
        <v>0.05</v>
      </c>
      <c r="V229" s="584"/>
      <c r="W229" s="581">
        <f>$W$226/$U$226*U229</f>
        <v>3.3655499999999998E-2</v>
      </c>
      <c r="X229" s="581">
        <f t="shared" si="1000"/>
        <v>3.3655499999999998E-2</v>
      </c>
      <c r="Y229" s="567">
        <f>IFERROR(IF(AL229=100%,W229,0),0)</f>
        <v>3.3655499999999998E-2</v>
      </c>
      <c r="Z229" s="567">
        <f>IFERROR(IF(AND((AL229+AM229)=100%,AL229&lt;1),W229,0),0)</f>
        <v>0</v>
      </c>
      <c r="AA229" s="567">
        <f t="shared" si="1425"/>
        <v>0</v>
      </c>
      <c r="AB229" s="567">
        <f t="shared" si="1426"/>
        <v>0</v>
      </c>
      <c r="AC229" s="567">
        <f t="shared" si="1427"/>
        <v>0</v>
      </c>
      <c r="AD229" s="567">
        <f t="shared" si="1428"/>
        <v>0</v>
      </c>
      <c r="AE229" s="568"/>
      <c r="AF229" s="514">
        <f>IFERROR(IF(AND((AL229+AN229)=100%,AL229&lt;1),W229,0),0)</f>
        <v>0</v>
      </c>
      <c r="AG229" s="514">
        <f>IFERROR(IF(AND((AQ229+AY229)=AP229,Y229=0),W229,0),0)</f>
        <v>0</v>
      </c>
      <c r="AH229" s="514">
        <f>IFERROR(IF(AND((AQ229+AY229+AZ229)=AP229,Y229=0,AG229=0),W229,0),0)</f>
        <v>0</v>
      </c>
      <c r="AI229" s="514">
        <f>IFERROR(IF(AND((AQ229+AY229+AZ229+BA229)=AP229,Y229=0,AG229=0,AH229=0),W229,0),0)</f>
        <v>0</v>
      </c>
      <c r="AJ229" s="514">
        <f>IFERROR(IF(AND((AQ229+AY229+AZ229+BA229+BB229)=AP229,Y229=0,AG229=0,AH229=0,AI229=0),W229,0),0)</f>
        <v>0</v>
      </c>
      <c r="AK229" s="501"/>
      <c r="AL229" s="585">
        <f>IFERROR(AQ229/AP229,0)</f>
        <v>1</v>
      </c>
      <c r="AM229" s="585">
        <f>IFERROR(AR229/AP229,0)</f>
        <v>0</v>
      </c>
      <c r="AN229" s="570">
        <f>IFERROR(AX229/AP229,0)</f>
        <v>0</v>
      </c>
      <c r="AO229" s="605"/>
      <c r="AP229" s="567">
        <f>COUNTIF('AR | Drawing List'!$G:$G,"AR-AMN-3")</f>
        <v>11</v>
      </c>
      <c r="AQ229" s="582">
        <f>COUNTIFS('AR | Drawing List'!$G:$G,"AR-AMN-3",'AR | Drawing List'!$I:$I,1)</f>
        <v>11</v>
      </c>
      <c r="AR229" s="582">
        <f t="shared" si="1075"/>
        <v>0</v>
      </c>
      <c r="AS229" s="582">
        <f>COUNTIFS('AR | Drawing List'!$G:$G,"AR-AMN-3",'AR | Drawing List'!M:M,1)</f>
        <v>0</v>
      </c>
      <c r="AT229" s="582">
        <f>COUNTIFS('AR | Drawing List'!$G:$G,"AR-AMN-3",'AR | Drawing List'!N:N,1)</f>
        <v>0</v>
      </c>
      <c r="AU229" s="582">
        <f>COUNTIFS('AR | Drawing List'!$G:$G,"AR-AMN-3",'AR | Drawing List'!O:O,1)</f>
        <v>0</v>
      </c>
      <c r="AV229" s="582">
        <f>COUNTIFS('AR | Drawing List'!$G:$G,"AR-AMN-3",'AR | Drawing List'!P:P,1)</f>
        <v>0</v>
      </c>
      <c r="AW229" s="587"/>
      <c r="AX229" s="582">
        <f t="shared" si="1093"/>
        <v>0</v>
      </c>
      <c r="AY229" s="582">
        <f>COUNTIFS('AR | Drawing List'!$G:$G,"AR-AMN-3",'AR | Drawing List'!R:R,1)</f>
        <v>0</v>
      </c>
      <c r="AZ229" s="582">
        <f>COUNTIFS('AR | Drawing List'!$G:$G,"AR-AMN-3",'AR | Drawing List'!S:S,1)</f>
        <v>0</v>
      </c>
      <c r="BA229" s="582">
        <f>COUNTIFS('AR | Drawing List'!$G:$G,"AR-AMN-3",'AR | Drawing List'!T:T,1)</f>
        <v>0</v>
      </c>
      <c r="BB229" s="582">
        <f>COUNTIFS('AR | Drawing List'!$G:$G,"AR-AMN-3",'AR | Drawing List'!U:U,1)</f>
        <v>0</v>
      </c>
      <c r="BC229" s="599"/>
      <c r="BD229" s="599"/>
      <c r="BE229" s="638">
        <v>0.05</v>
      </c>
      <c r="BF229" s="588"/>
      <c r="BG229" s="582">
        <f>$BG$226/$BE$226*BE229</f>
        <v>6.8329500000000008E-3</v>
      </c>
      <c r="BH229" s="589">
        <f t="shared" si="1001"/>
        <v>6.8329500000000008E-3</v>
      </c>
      <c r="BI229" s="567">
        <f>IFERROR(IF(BV229=100%,BG229,0),0)</f>
        <v>6.8329500000000008E-3</v>
      </c>
      <c r="BJ229" s="567">
        <f>IFERROR(IF(AND((BV229+BW229)=100%,BV229&lt;1),BG229,0),0)</f>
        <v>0</v>
      </c>
      <c r="BK229" s="567">
        <f>IFERROR(IF(AND((CA229+CC229)=BZ229,BI229=0),BG229,0),0)</f>
        <v>0</v>
      </c>
      <c r="BL229" s="567">
        <f>IFERROR(IF(AND((CA229+CC229+CD229)=BZ229,BI229=0,BK229=0),BG229,0),0)</f>
        <v>0</v>
      </c>
      <c r="BM229" s="567">
        <f>IFERROR(IF(AND((CA229+CC229+CD229+CE229)=BZ229,BI229=0,BJ229=0,BK229=0,BL229=0),BG229,0),0)</f>
        <v>0</v>
      </c>
      <c r="BN229" s="567">
        <f>IFERROR(IF(AND((CA229+CC229+CD229+CE229+CF229)=BZ229,BI229=0,BJ229=0,BK229=0,BL229=0,BM229=0),BG229,0),0)</f>
        <v>0</v>
      </c>
      <c r="BO229" s="568"/>
      <c r="BP229" s="514">
        <f>IFERROR(IF(AND((BV229+BX229)=100%,BV229&lt;1),BG229,0),0)</f>
        <v>0</v>
      </c>
      <c r="BQ229" s="514">
        <f>IFERROR(IF(AND((CA229+CI229)=BZ229,BI229=0),BG229,0),0)</f>
        <v>0</v>
      </c>
      <c r="BR229" s="514">
        <f>IFERROR(IF(AND((CA229+CI229+CJ229)=BZ229,BI229=0,BQ229=0),BG229,0),0)</f>
        <v>0</v>
      </c>
      <c r="BS229" s="514">
        <f>IFERROR(IF(AND((CA229+CI229+CJ229+CK229)=BZ229,BI229=0,BQ229=0,BR229=0),BG229,0),0)</f>
        <v>0</v>
      </c>
      <c r="BT229" s="514">
        <f>IFERROR(IF(AND((CA229+CI229+CJ229+CK229+CL229)=BZ229,BI229=0,BQ229=0,BR229=0,BS229=0),BG229,0),0)</f>
        <v>0</v>
      </c>
      <c r="BU229" s="501"/>
      <c r="BV229" s="571">
        <f t="shared" si="1429"/>
        <v>1</v>
      </c>
      <c r="BW229" s="571">
        <f t="shared" si="1430"/>
        <v>0</v>
      </c>
      <c r="BX229" s="571">
        <f t="shared" si="1431"/>
        <v>0</v>
      </c>
      <c r="BY229" s="605"/>
      <c r="BZ229" s="567">
        <f>COUNTIF('ST | Drawing List'!$G:$G,"ST-AMN-3")</f>
        <v>5</v>
      </c>
      <c r="CA229" s="582">
        <f>COUNTIFS('ST | Drawing List'!$G:$G,"ST-AMN-3",'ST | Drawing List'!$I:$I,1)</f>
        <v>5</v>
      </c>
      <c r="CB229" s="590">
        <f>COUNTIFS('ST | Drawing List'!$G:$G,"ST-AMN-3",'ST | Drawing List'!$K:$K,1)</f>
        <v>0</v>
      </c>
      <c r="CC229" s="582">
        <f>COUNTIFS('ST | Drawing List'!$G:$G,"ST-AMN-3",'ST | Drawing List'!L:L,1)</f>
        <v>0</v>
      </c>
      <c r="CD229" s="582">
        <f>COUNTIFS('ST | Drawing List'!$G:$G,"ST-AMN-3",'ST | Drawing List'!M:M,1)</f>
        <v>0</v>
      </c>
      <c r="CE229" s="582">
        <f>COUNTIFS('ST | Drawing List'!$G:$G,"ST-AMN-3",'ST | Drawing List'!N:N,1)</f>
        <v>0</v>
      </c>
      <c r="CF229" s="582">
        <f>COUNTIFS('ST | Drawing List'!$G:$G,"ST-AMN-3",'ST | Drawing List'!O:O,1)</f>
        <v>0</v>
      </c>
      <c r="CG229" s="591"/>
      <c r="CH229" s="590">
        <f>COUNTIFS('ST | Drawing List'!$G:$G,"ST-AMN-3",'ST | Drawing List'!$P:$P,1)</f>
        <v>0</v>
      </c>
      <c r="CI229" s="582">
        <f>COUNTIFS('ST | Drawing List'!$G:$G,"ST-AMN-3",'ST | Drawing List'!Q:Q,1)</f>
        <v>0</v>
      </c>
      <c r="CJ229" s="582">
        <f>COUNTIFS('ST | Drawing List'!$G:$G,"ST-AMN-3",'ST | Drawing List'!R:R,1)</f>
        <v>0</v>
      </c>
      <c r="CK229" s="582">
        <f>COUNTIFS('ST | Drawing List'!$G:$G,"ST-AMN-3",'ST | Drawing List'!S:S,1)</f>
        <v>0</v>
      </c>
      <c r="CL229" s="582">
        <f>COUNTIFS('ST | Drawing List'!$G:$G,"ST-AMN-3",'ST | Drawing List'!T:T,1)</f>
        <v>0</v>
      </c>
      <c r="CM229" s="588"/>
      <c r="CN229" s="588"/>
      <c r="CO229" s="592">
        <v>0.1</v>
      </c>
      <c r="CP229" s="588"/>
      <c r="CQ229" s="582">
        <f>$CQ$226/$CO$226*CO229</f>
        <v>2.183E-3</v>
      </c>
      <c r="CR229" s="589">
        <f t="shared" si="1002"/>
        <v>0</v>
      </c>
      <c r="CS229" s="567">
        <f>IFERROR(IF(DF229=100%,CQ229,0),0)</f>
        <v>0</v>
      </c>
      <c r="CT229" s="514">
        <f t="shared" si="1432"/>
        <v>2.183E-3</v>
      </c>
      <c r="CU229" s="514">
        <f t="shared" si="1433"/>
        <v>2.183E-3</v>
      </c>
      <c r="CV229" s="514">
        <f t="shared" si="1434"/>
        <v>0</v>
      </c>
      <c r="CW229" s="514">
        <f t="shared" si="1435"/>
        <v>0</v>
      </c>
      <c r="CX229" s="514">
        <f t="shared" si="1436"/>
        <v>0</v>
      </c>
      <c r="CY229" s="501"/>
      <c r="CZ229" s="514">
        <f t="shared" si="1437"/>
        <v>0</v>
      </c>
      <c r="DA229" s="514">
        <f t="shared" si="1438"/>
        <v>0</v>
      </c>
      <c r="DB229" s="514">
        <f t="shared" si="1439"/>
        <v>0</v>
      </c>
      <c r="DC229" s="514">
        <f t="shared" si="1440"/>
        <v>0</v>
      </c>
      <c r="DD229" s="514">
        <f t="shared" si="1441"/>
        <v>0</v>
      </c>
      <c r="DE229" s="501"/>
      <c r="DF229" s="570">
        <f t="shared" si="1442"/>
        <v>0.8571428571428571</v>
      </c>
      <c r="DG229" s="570">
        <f t="shared" si="1443"/>
        <v>0.14285714285714285</v>
      </c>
      <c r="DH229" s="570">
        <f t="shared" si="1444"/>
        <v>0</v>
      </c>
      <c r="DI229" s="605"/>
      <c r="DJ229" s="567">
        <f>COUNTIF('MEP | Drawing List'!$G:$G,"MEP-AMN-3")</f>
        <v>7</v>
      </c>
      <c r="DK229" s="582">
        <f>COUNTIFS('MEP | Drawing List'!$G:$G,"MEP-AMN-3",'MEP | Drawing List'!$I:$I,1)</f>
        <v>6</v>
      </c>
      <c r="DL229" s="582">
        <f>COUNTIFS('MEP | Drawing List'!$G:$G,"MEP-AMN-3",'MEP | Drawing List'!$K:$K,1)</f>
        <v>1</v>
      </c>
      <c r="DM229" s="567">
        <f>COUNTIFS('MEP | Drawing List'!$G:$G,"MEP-AMN-3",'MEP | Drawing List'!L:L,1)</f>
        <v>1</v>
      </c>
      <c r="DN229" s="567">
        <f>COUNTIFS('MEP | Drawing List'!$G:$G,"MEP-AMN-3",'MEP | Drawing List'!M:M,1)</f>
        <v>0</v>
      </c>
      <c r="DO229" s="567">
        <f>COUNTIFS('MEP | Drawing List'!$G:$G,"MEP-AMN-3",'MEP | Drawing List'!N:N,1)</f>
        <v>0</v>
      </c>
      <c r="DP229" s="567">
        <f>COUNTIFS('MEP | Drawing List'!$G:$G,"MEP-AMN-3",'MEP | Drawing List'!O:O,1)</f>
        <v>0</v>
      </c>
      <c r="DQ229" s="568"/>
      <c r="DR229" s="582">
        <f>COUNTIFS('MEP | Drawing List'!$G:$G,"MEP-AMN-3",'MEP | Drawing List'!$P:$P,1)</f>
        <v>0</v>
      </c>
      <c r="DS229" s="567">
        <f>COUNTIFS('MEP | Drawing List'!$G:$G,"MEP-AMN-3",'MEP | Drawing List'!Q:Q,1)</f>
        <v>0</v>
      </c>
      <c r="DT229" s="567">
        <f>COUNTIFS('MEP | Drawing List'!$G:$G,"MEP-AMN-3",'MEP | Drawing List'!R:R,1)</f>
        <v>0</v>
      </c>
      <c r="DU229" s="567">
        <f>COUNTIFS('MEP | Drawing List'!$G:$G,"MEP-AMN-3",'MEP | Drawing List'!S:S,1)</f>
        <v>0</v>
      </c>
      <c r="DV229" s="567">
        <f>COUNTIFS('MEP | Drawing List'!$G:$G,"MEP-AMN-3",'MEP | Drawing List'!T:T,1)</f>
        <v>0</v>
      </c>
      <c r="DW229" s="588"/>
      <c r="DX229" s="588"/>
      <c r="DY229" s="592">
        <v>0.2</v>
      </c>
      <c r="DZ229" s="588"/>
      <c r="EA229" s="582">
        <f>$EA$226/$DY$226*DY229</f>
        <v>3.3331199999999998E-2</v>
      </c>
      <c r="EB229" s="589">
        <f t="shared" si="1003"/>
        <v>3.3331199999999998E-2</v>
      </c>
      <c r="EC229" s="567">
        <f>IFERROR(IF(EP229=100%,EA229,0),0)</f>
        <v>3.3331199999999998E-2</v>
      </c>
      <c r="ED229" s="567">
        <f>IFERROR(IF(AND((EP229+EQ229)=100%,EP229&lt;1),EA229,0),0)</f>
        <v>0</v>
      </c>
      <c r="EE229" s="514">
        <f>IFERROR(IF(AND((EU229+EW229)=ET229,EC229=0),EA229,0),0)</f>
        <v>0</v>
      </c>
      <c r="EF229" s="514">
        <f>IFERROR(IF(AND((EU229+EW229+EX229)=ET229,EC229=0,EE229=0),EA229,0),0)</f>
        <v>0</v>
      </c>
      <c r="EG229" s="514">
        <f>IFERROR(IF(AND((EU229+EW229+EX229+EY229)=ET229,EC229=0,EE229=0,EF229=0),EA229,0),0)</f>
        <v>0</v>
      </c>
      <c r="EH229" s="514">
        <f>IFERROR(IF(AND((EU229+EW229+EX229+EY229+EZ229)=ET229,EC229=0,EE229=0,EF229=0,EG229=0),EA229,0),0)</f>
        <v>0</v>
      </c>
      <c r="EI229" s="501"/>
      <c r="EJ229" s="567">
        <f t="shared" si="1445"/>
        <v>0</v>
      </c>
      <c r="EK229" s="514">
        <f t="shared" si="1446"/>
        <v>0</v>
      </c>
      <c r="EL229" s="514">
        <f t="shared" si="1447"/>
        <v>0</v>
      </c>
      <c r="EM229" s="514">
        <f t="shared" si="1448"/>
        <v>0</v>
      </c>
      <c r="EN229" s="514">
        <f t="shared" si="1449"/>
        <v>0</v>
      </c>
      <c r="EO229" s="501"/>
      <c r="EP229" s="585">
        <f t="shared" si="1450"/>
        <v>1</v>
      </c>
      <c r="EQ229" s="585">
        <f t="shared" si="1451"/>
        <v>0</v>
      </c>
      <c r="ER229" s="585">
        <f t="shared" si="1452"/>
        <v>0</v>
      </c>
      <c r="ES229" s="606"/>
      <c r="ET229" s="567">
        <f>COUNTIF('LS | Drawing List'!$G:$G,"LS-AMN-3")</f>
        <v>12</v>
      </c>
      <c r="EU229" s="582">
        <f>COUNTIFS('LS | Drawing List'!$G:$G,"LS-AMN-3",'LS | Drawing List'!$I:$I,1)</f>
        <v>12</v>
      </c>
      <c r="EV229" s="582">
        <f>COUNTIFS('LS | Drawing List'!$G:$G,"LS-AMN-3",'LS | Drawing List'!$K:$K,1)</f>
        <v>0</v>
      </c>
      <c r="EW229" s="567">
        <f>COUNTIFS('LS | Drawing List'!$G:$G,"LS-AMN-3",'LS | Drawing List'!L:L,1)</f>
        <v>0</v>
      </c>
      <c r="EX229" s="567">
        <f>COUNTIFS('LS | Drawing List'!$G:$G,"LS-AMN-3",'LS | Drawing List'!M:M,1)</f>
        <v>0</v>
      </c>
      <c r="EY229" s="567">
        <f>COUNTIFS('LS | Drawing List'!$G:$G,"LS-AMN-3",'LS | Drawing List'!N:N,1)</f>
        <v>0</v>
      </c>
      <c r="EZ229" s="567">
        <f>COUNTIFS('LS | Drawing List'!$G:$G,"LS-AMN-3",'LS | Drawing List'!O:O,1)</f>
        <v>0</v>
      </c>
      <c r="FA229" s="574"/>
      <c r="FB229" s="582">
        <f>COUNTIFS('LS | Drawing List'!$G:$G,"LS-AMN-3",'LS | Drawing List'!$P:$P,1)</f>
        <v>0</v>
      </c>
      <c r="FC229" s="567">
        <f>COUNTIFS('LS | Drawing List'!$G:$G,"LS-AMN-3",'LS | Drawing List'!Q:Q,1)</f>
        <v>0</v>
      </c>
      <c r="FD229" s="567">
        <f>COUNTIFS('LS | Drawing List'!$G:$G,"LS-AMN-3",'LS | Drawing List'!R:R,1)</f>
        <v>0</v>
      </c>
      <c r="FE229" s="567">
        <f>COUNTIFS('LS | Drawing List'!$G:$G,"LS-AMN-3",'LS | Drawing List'!S:S,1)</f>
        <v>0</v>
      </c>
      <c r="FF229" s="567">
        <f>COUNTIFS('LS | Drawing List'!$G:$G,"LS-AMN-3",'LS | Drawing List'!T:T,1)</f>
        <v>0</v>
      </c>
    </row>
    <row r="230" spans="2:163" ht="14.25" outlineLevel="2">
      <c r="B230" s="564" t="s">
        <v>216</v>
      </c>
      <c r="C230" s="564">
        <v>4</v>
      </c>
      <c r="D230" s="295" t="s">
        <v>217</v>
      </c>
      <c r="F230" s="500">
        <f t="shared" si="1422"/>
        <v>8.2152449999999988E-2</v>
      </c>
      <c r="G230" s="500">
        <f t="shared" si="1423"/>
        <v>4.0488449999999995E-2</v>
      </c>
      <c r="H230" s="514">
        <f t="shared" si="1424"/>
        <v>4.1663999999999993E-2</v>
      </c>
      <c r="I230" s="514">
        <f t="shared" si="1393"/>
        <v>4.1664E-2</v>
      </c>
      <c r="J230" s="514">
        <f t="shared" si="1394"/>
        <v>4.1664E-2</v>
      </c>
      <c r="K230" s="514">
        <f t="shared" si="1395"/>
        <v>0</v>
      </c>
      <c r="L230" s="514">
        <f t="shared" si="1396"/>
        <v>0</v>
      </c>
      <c r="M230" s="567">
        <f t="shared" si="1397"/>
        <v>0</v>
      </c>
      <c r="N230" s="568"/>
      <c r="O230" s="514">
        <f t="shared" si="1398"/>
        <v>0</v>
      </c>
      <c r="P230" s="514">
        <f t="shared" si="1399"/>
        <v>0</v>
      </c>
      <c r="Q230" s="514">
        <f t="shared" si="1400"/>
        <v>0</v>
      </c>
      <c r="R230" s="514">
        <f t="shared" si="1401"/>
        <v>0</v>
      </c>
      <c r="S230" s="514">
        <f t="shared" si="1402"/>
        <v>0</v>
      </c>
      <c r="U230" s="569">
        <v>0.05</v>
      </c>
      <c r="V230" s="503"/>
      <c r="W230" s="500">
        <f>$W$226/$U$226*U230</f>
        <v>3.3655499999999998E-2</v>
      </c>
      <c r="X230" s="500">
        <f t="shared" si="1000"/>
        <v>3.3655499999999998E-2</v>
      </c>
      <c r="Y230" s="514">
        <f>IFERROR(IF(AL230=100%,W230,0),0)</f>
        <v>3.3655499999999998E-2</v>
      </c>
      <c r="Z230" s="514">
        <f>IFERROR(IF(AND((AL230+AM230)=100%,AL230&lt;1),W230,0),0)</f>
        <v>0</v>
      </c>
      <c r="AA230" s="514">
        <f t="shared" si="1425"/>
        <v>0</v>
      </c>
      <c r="AB230" s="514">
        <f t="shared" si="1426"/>
        <v>0</v>
      </c>
      <c r="AC230" s="514">
        <f t="shared" si="1427"/>
        <v>0</v>
      </c>
      <c r="AD230" s="567">
        <f t="shared" si="1428"/>
        <v>0</v>
      </c>
      <c r="AE230" s="568"/>
      <c r="AF230" s="514">
        <f>IFERROR(IF(AND((AL230+AN230)=100%,AL230&lt;1),W230,0),0)</f>
        <v>0</v>
      </c>
      <c r="AG230" s="514">
        <f>IFERROR(IF(AND((AQ230+AY230)=AP230,Y230=0),W230,0),0)</f>
        <v>0</v>
      </c>
      <c r="AH230" s="514">
        <f>IFERROR(IF(AND((AQ230+AY230+AZ230)=AP230,Y230=0,AG230=0),W230,0),0)</f>
        <v>0</v>
      </c>
      <c r="AI230" s="514">
        <f>IFERROR(IF(AND((AQ230+AY230+AZ230+BA230)=AP230,Y230=0,AG230=0,AH230=0),W230,0),0)</f>
        <v>0</v>
      </c>
      <c r="AJ230" s="514">
        <f>IFERROR(IF(AND((AQ230+AY230+AZ230+BA230+BB230)=AP230,Y230=0,AG230=0,AH230=0,AI230=0),W230,0),0)</f>
        <v>0</v>
      </c>
      <c r="AK230" s="501"/>
      <c r="AL230" s="570">
        <f>IFERROR(AQ230/AP230,0)</f>
        <v>1</v>
      </c>
      <c r="AM230" s="570">
        <f>IFERROR(AR230/AP230,0)</f>
        <v>0</v>
      </c>
      <c r="AN230" s="570">
        <f>IFERROR(AX230/AP230,0)</f>
        <v>0</v>
      </c>
      <c r="AO230" s="518"/>
      <c r="AP230" s="514">
        <f>COUNTIF('AR | Drawing List'!$G:$G,"AR-AMN-4")</f>
        <v>1</v>
      </c>
      <c r="AQ230" s="506">
        <f>COUNTIFS('AR | Drawing List'!$G:$G,"AR-AMN-4",'AR | Drawing List'!$I:$I,1)</f>
        <v>1</v>
      </c>
      <c r="AR230" s="506">
        <f t="shared" si="1075"/>
        <v>0</v>
      </c>
      <c r="AS230" s="506">
        <f>COUNTIFS('AR | Drawing List'!$G:$G,"AR-AMN-4",'AR | Drawing List'!M:M,1)</f>
        <v>0</v>
      </c>
      <c r="AT230" s="506">
        <f>COUNTIFS('AR | Drawing List'!$G:$G,"AR-AMN-4",'AR | Drawing List'!N:N,1)</f>
        <v>0</v>
      </c>
      <c r="AU230" s="506">
        <f>COUNTIFS('AR | Drawing List'!$G:$G,"AR-AMN-4",'AR | Drawing List'!O:O,1)</f>
        <v>0</v>
      </c>
      <c r="AV230" s="506">
        <f>COUNTIFS('AR | Drawing List'!$G:$G,"AR-AMN-4",'AR | Drawing List'!P:P,1)</f>
        <v>0</v>
      </c>
      <c r="AW230" s="466"/>
      <c r="AX230" s="506">
        <f t="shared" si="1093"/>
        <v>0</v>
      </c>
      <c r="AY230" s="506">
        <f>COUNTIFS('AR | Drawing List'!$G:$G,"AR-AMN-4",'AR | Drawing List'!R:R,1)</f>
        <v>0</v>
      </c>
      <c r="AZ230" s="506">
        <f>COUNTIFS('AR | Drawing List'!$G:$G,"AR-AMN-4",'AR | Drawing List'!S:S,1)</f>
        <v>0</v>
      </c>
      <c r="BA230" s="506">
        <f>COUNTIFS('AR | Drawing List'!$G:$G,"AR-AMN-4",'AR | Drawing List'!T:T,1)</f>
        <v>0</v>
      </c>
      <c r="BB230" s="506">
        <f>COUNTIFS('AR | Drawing List'!$G:$G,"AR-AMN-4",'AR | Drawing List'!U:U,1)</f>
        <v>0</v>
      </c>
      <c r="BC230" s="551"/>
      <c r="BD230" s="551"/>
      <c r="BE230" s="467">
        <v>0.05</v>
      </c>
      <c r="BF230" s="508"/>
      <c r="BG230" s="506">
        <f>$BG$226/$BE$226*BE230</f>
        <v>6.8329500000000008E-3</v>
      </c>
      <c r="BH230" s="510">
        <f t="shared" si="1001"/>
        <v>6.8329500000000008E-3</v>
      </c>
      <c r="BI230" s="514">
        <f>IFERROR(IF(BV230=100%,BG230,0),0)</f>
        <v>6.8329500000000008E-3</v>
      </c>
      <c r="BJ230" s="514">
        <f>IFERROR(IF(AND((BV230+BW230)=100%,BV230&lt;1),BG230,0),0)</f>
        <v>0</v>
      </c>
      <c r="BK230" s="514">
        <f>IFERROR(IF(AND((CA230+CC230)=BZ230,BI230=0),BG230,0),0)</f>
        <v>0</v>
      </c>
      <c r="BL230" s="514">
        <f>IFERROR(IF(AND((CA230+CC230+CD230)=BZ230,BI230=0,BK230=0),BG230,0),0)</f>
        <v>0</v>
      </c>
      <c r="BM230" s="514">
        <f>IFERROR(IF(AND((CA230+CC230+CD230+CE230)=BZ230,BI230=0,BJ230=0,BK230=0,BL230=0),BG230,0),0)</f>
        <v>0</v>
      </c>
      <c r="BN230" s="514">
        <f>IFERROR(IF(AND((CA230+CC230+CD230+CE230+CF230)=BZ230,BI230=0,BJ230=0,BK230=0,BL230=0,BM230=0),BG230,0),0)</f>
        <v>0</v>
      </c>
      <c r="BO230" s="501"/>
      <c r="BP230" s="514">
        <f>IFERROR(IF(AND((BV230+BX230)=100%,BV230&lt;1),BG230,0),0)</f>
        <v>0</v>
      </c>
      <c r="BQ230" s="514">
        <f>IFERROR(IF(AND((CA230+CI230)=BZ230,BI230=0),BG230,0),0)</f>
        <v>0</v>
      </c>
      <c r="BR230" s="514">
        <f>IFERROR(IF(AND((CA230+CI230+CJ230)=BZ230,BI230=0,BQ230=0),BG230,0),0)</f>
        <v>0</v>
      </c>
      <c r="BS230" s="514">
        <f>IFERROR(IF(AND((CA230+CI230+CJ230+CK230)=BZ230,BI230=0,BQ230=0,BR230=0),BG230,0),0)</f>
        <v>0</v>
      </c>
      <c r="BT230" s="514">
        <f>IFERROR(IF(AND((CA230+CI230+CJ230+CK230+CL230)=BZ230,BI230=0,BQ230=0,BR230=0,BS230=0),BG230,0),0)</f>
        <v>0</v>
      </c>
      <c r="BU230" s="501"/>
      <c r="BV230" s="571">
        <f t="shared" si="1429"/>
        <v>1</v>
      </c>
      <c r="BW230" s="571">
        <f t="shared" si="1430"/>
        <v>0</v>
      </c>
      <c r="BX230" s="571">
        <f t="shared" si="1431"/>
        <v>0</v>
      </c>
      <c r="BY230" s="518"/>
      <c r="BZ230" s="514">
        <f>COUNTIF('ST | Drawing List'!$G:$G,"ST-AMN-4")</f>
        <v>1</v>
      </c>
      <c r="CA230" s="506">
        <f>COUNTIFS('ST | Drawing List'!$G:$G,"ST-AMN-4",'ST | Drawing List'!$I:$I,1)</f>
        <v>1</v>
      </c>
      <c r="CB230" s="572">
        <f>COUNTIFS('ST | Drawing List'!$G:$G,"ST-AMN-4",'ST | Drawing List'!$K:$K,1)</f>
        <v>0</v>
      </c>
      <c r="CC230" s="506">
        <f>COUNTIFS('ST | Drawing List'!$G:$G,"ST-AMN-4",'ST | Drawing List'!L:L,1)</f>
        <v>0</v>
      </c>
      <c r="CD230" s="506">
        <f>COUNTIFS('ST | Drawing List'!$G:$G,"ST-AMN-4",'ST | Drawing List'!M:M,1)</f>
        <v>0</v>
      </c>
      <c r="CE230" s="506">
        <f>COUNTIFS('ST | Drawing List'!$G:$G,"ST-AMN-4",'ST | Drawing List'!N:N,1)</f>
        <v>0</v>
      </c>
      <c r="CF230" s="506">
        <f>COUNTIFS('ST | Drawing List'!$G:$G,"ST-AMN-4",'ST | Drawing List'!O:O,1)</f>
        <v>0</v>
      </c>
      <c r="CG230" s="471"/>
      <c r="CH230" s="572">
        <f>COUNTIFS('ST | Drawing List'!$G:$G,"ST-AMN-4",'ST | Drawing List'!$P:$P,1)</f>
        <v>0</v>
      </c>
      <c r="CI230" s="506">
        <f>COUNTIFS('ST | Drawing List'!$G:$G,"ST-AMN-4",'ST | Drawing List'!Q:Q,1)</f>
        <v>0</v>
      </c>
      <c r="CJ230" s="506">
        <f>COUNTIFS('ST | Drawing List'!$G:$G,"ST-AMN-4",'ST | Drawing List'!R:R,1)</f>
        <v>0</v>
      </c>
      <c r="CK230" s="506">
        <f>COUNTIFS('ST | Drawing List'!$G:$G,"ST-AMN-4",'ST | Drawing List'!S:S,1)</f>
        <v>0</v>
      </c>
      <c r="CL230" s="506">
        <f>COUNTIFS('ST | Drawing List'!$G:$G,"ST-AMN-4",'ST | Drawing List'!T:T,1)</f>
        <v>0</v>
      </c>
      <c r="CM230" s="508"/>
      <c r="CN230" s="508"/>
      <c r="CO230" s="576">
        <v>0</v>
      </c>
      <c r="CP230" s="508"/>
      <c r="CQ230" s="506">
        <f>$CQ$226/$CO$226*CO230</f>
        <v>0</v>
      </c>
      <c r="CR230" s="510">
        <f t="shared" si="1002"/>
        <v>0</v>
      </c>
      <c r="CS230" s="514">
        <f>IFERROR(IF(DF230=100%,CQ230,0),0)</f>
        <v>0</v>
      </c>
      <c r="CT230" s="514">
        <f t="shared" si="1432"/>
        <v>0</v>
      </c>
      <c r="CU230" s="514">
        <f t="shared" si="1433"/>
        <v>0</v>
      </c>
      <c r="CV230" s="514">
        <f t="shared" si="1434"/>
        <v>0</v>
      </c>
      <c r="CW230" s="514">
        <f t="shared" si="1435"/>
        <v>0</v>
      </c>
      <c r="CX230" s="514">
        <f t="shared" si="1436"/>
        <v>0</v>
      </c>
      <c r="CY230" s="501"/>
      <c r="CZ230" s="514">
        <f t="shared" si="1437"/>
        <v>0</v>
      </c>
      <c r="DA230" s="514">
        <f t="shared" si="1438"/>
        <v>0</v>
      </c>
      <c r="DB230" s="514">
        <f t="shared" si="1439"/>
        <v>0</v>
      </c>
      <c r="DC230" s="514">
        <f t="shared" si="1440"/>
        <v>0</v>
      </c>
      <c r="DD230" s="514">
        <f t="shared" si="1441"/>
        <v>0</v>
      </c>
      <c r="DE230" s="501"/>
      <c r="DF230" s="570">
        <f t="shared" si="1442"/>
        <v>0</v>
      </c>
      <c r="DG230" s="570">
        <f t="shared" si="1443"/>
        <v>0</v>
      </c>
      <c r="DH230" s="570">
        <f t="shared" si="1444"/>
        <v>0</v>
      </c>
      <c r="DI230" s="518"/>
      <c r="DJ230" s="514">
        <f>COUNTIF('MEP | Drawing List'!$G:$G,"MEP-AMN-4")</f>
        <v>0</v>
      </c>
      <c r="DK230" s="506">
        <f>COUNTIFS('MEP | Drawing List'!$G:$G,"MEP-AMN-4",'MEP | Drawing List'!$I:$I,1)</f>
        <v>0</v>
      </c>
      <c r="DL230" s="506">
        <f>COUNTIFS('MEP | Drawing List'!$G:$G,"MEP-AMN-4",'MEP | Drawing List'!$K:$K,1)</f>
        <v>0</v>
      </c>
      <c r="DM230" s="514">
        <f>COUNTIFS('MEP | Drawing List'!$G:$G,"MEP-AMN-4",'MEP | Drawing List'!L:L,1)</f>
        <v>0</v>
      </c>
      <c r="DN230" s="514">
        <f>COUNTIFS('MEP | Drawing List'!$G:$G,"MEP-AMN-4",'MEP | Drawing List'!M:M,1)</f>
        <v>0</v>
      </c>
      <c r="DO230" s="514">
        <f>COUNTIFS('MEP | Drawing List'!$G:$G,"MEP-AMN-4",'MEP | Drawing List'!N:N,1)</f>
        <v>0</v>
      </c>
      <c r="DP230" s="514">
        <f>COUNTIFS('MEP | Drawing List'!$G:$G,"MEP-AMN-4",'MEP | Drawing List'!O:O,1)</f>
        <v>0</v>
      </c>
      <c r="DQ230" s="501"/>
      <c r="DR230" s="506">
        <f>COUNTIFS('MEP | Drawing List'!$G:$G,"MEP-AMN-4",'MEP | Drawing List'!$P:$P,1)</f>
        <v>0</v>
      </c>
      <c r="DS230" s="514">
        <f>COUNTIFS('MEP | Drawing List'!$G:$G,"MEP-AMN-4",'MEP | Drawing List'!Q:Q,1)</f>
        <v>0</v>
      </c>
      <c r="DT230" s="514">
        <f>COUNTIFS('MEP | Drawing List'!$G:$G,"MEP-AMN-4",'MEP | Drawing List'!R:R,1)</f>
        <v>0</v>
      </c>
      <c r="DU230" s="514">
        <f>COUNTIFS('MEP | Drawing List'!$G:$G,"MEP-AMN-4",'MEP | Drawing List'!S:S,1)</f>
        <v>0</v>
      </c>
      <c r="DV230" s="514">
        <f>COUNTIFS('MEP | Drawing List'!$G:$G,"MEP-AMN-4",'MEP | Drawing List'!T:T,1)</f>
        <v>0</v>
      </c>
      <c r="DW230" s="508"/>
      <c r="DX230" s="508"/>
      <c r="DY230" s="511">
        <v>0.25</v>
      </c>
      <c r="DZ230" s="508"/>
      <c r="EA230" s="506">
        <f>$EA$226/$DY$226*DY230</f>
        <v>4.1664E-2</v>
      </c>
      <c r="EB230" s="510">
        <f t="shared" si="1003"/>
        <v>0</v>
      </c>
      <c r="EC230" s="514">
        <f>IFERROR(IF(EP230=100%,EA230,0),0)</f>
        <v>0</v>
      </c>
      <c r="ED230" s="514">
        <f>IFERROR(IF(AND((EP230+EQ230)=100%,EP230&lt;1),EA230,0),0)</f>
        <v>4.1664E-2</v>
      </c>
      <c r="EE230" s="514">
        <f>IFERROR(IF(AND((EU230+EW230)=ET230,EC230=0),EA230,0),0)</f>
        <v>4.1664E-2</v>
      </c>
      <c r="EF230" s="514">
        <f>IFERROR(IF(AND((EU230+EW230+EX230)=ET230,EC230=0,EE230=0),EA230,0),0)</f>
        <v>0</v>
      </c>
      <c r="EG230" s="514">
        <f>IFERROR(IF(AND((EU230+EW230+EX230+EY230)=ET230,EC230=0,EE230=0,EF230=0),EA230,0),0)</f>
        <v>0</v>
      </c>
      <c r="EH230" s="514">
        <f>IFERROR(IF(AND((EU230+EW230+EX230+EY230+EZ230)=ET230,EC230=0,EE230=0,EF230=0,EG230=0),EA230,0),0)</f>
        <v>0</v>
      </c>
      <c r="EI230" s="501"/>
      <c r="EJ230" s="567">
        <f t="shared" si="1445"/>
        <v>0</v>
      </c>
      <c r="EK230" s="514">
        <f t="shared" si="1446"/>
        <v>0</v>
      </c>
      <c r="EL230" s="514">
        <f t="shared" si="1447"/>
        <v>0</v>
      </c>
      <c r="EM230" s="514">
        <f t="shared" si="1448"/>
        <v>0</v>
      </c>
      <c r="EN230" s="514">
        <f t="shared" si="1449"/>
        <v>0</v>
      </c>
      <c r="EO230" s="501"/>
      <c r="EP230" s="585">
        <f t="shared" si="1450"/>
        <v>0.76744186046511631</v>
      </c>
      <c r="EQ230" s="585">
        <f t="shared" si="1451"/>
        <v>0.23255813953488372</v>
      </c>
      <c r="ER230" s="585">
        <f t="shared" si="1452"/>
        <v>0</v>
      </c>
      <c r="ET230" s="514">
        <f>COUNTIF('LS | Drawing List'!$G:$G,"LS-AMN-4")</f>
        <v>43</v>
      </c>
      <c r="EU230" s="506">
        <f>COUNTIFS('LS | Drawing List'!$G:$G,"LS-AMN-4",'LS | Drawing List'!$I:$I,1)</f>
        <v>33</v>
      </c>
      <c r="EV230" s="506">
        <f>COUNTIFS('LS | Drawing List'!$G:$G,"LS-AMN-4",'LS | Drawing List'!$K:$K,1)</f>
        <v>10</v>
      </c>
      <c r="EW230" s="514">
        <f>COUNTIFS('LS | Drawing List'!$G:$G,"LS-AMN-4",'LS | Drawing List'!L:L,1)</f>
        <v>10</v>
      </c>
      <c r="EX230" s="514">
        <f>COUNTIFS('LS | Drawing List'!$G:$G,"LS-AMN-4",'LS | Drawing List'!M:M,1)</f>
        <v>0</v>
      </c>
      <c r="EY230" s="514">
        <f>COUNTIFS('LS | Drawing List'!$G:$G,"LS-AMN-4",'LS | Drawing List'!N:N,1)</f>
        <v>0</v>
      </c>
      <c r="EZ230" s="514">
        <f>COUNTIFS('LS | Drawing List'!$G:$G,"LS-AMN-4",'LS | Drawing List'!O:O,1)</f>
        <v>0</v>
      </c>
      <c r="FA230" s="515"/>
      <c r="FB230" s="506">
        <f>COUNTIFS('LS | Drawing List'!$G:$G,"LS-AMN-4",'LS | Drawing List'!$P:$P,1)</f>
        <v>0</v>
      </c>
      <c r="FC230" s="514">
        <f>COUNTIFS('LS | Drawing List'!$G:$G,"LS-AMN-4",'LS | Drawing List'!Q:Q,1)</f>
        <v>0</v>
      </c>
      <c r="FD230" s="514">
        <f>COUNTIFS('LS | Drawing List'!$G:$G,"LS-AMN-4",'LS | Drawing List'!R:R,1)</f>
        <v>0</v>
      </c>
      <c r="FE230" s="514">
        <f>COUNTIFS('LS | Drawing List'!$G:$G,"LS-AMN-4",'LS | Drawing List'!S:S,1)</f>
        <v>0</v>
      </c>
      <c r="FF230" s="514">
        <f>COUNTIFS('LS | Drawing List'!$G:$G,"LS-AMN-4",'LS | Drawing List'!T:T,1)</f>
        <v>0</v>
      </c>
    </row>
    <row r="231" spans="2:163" ht="14.25" outlineLevel="2">
      <c r="B231" s="564" t="s">
        <v>218</v>
      </c>
      <c r="C231" s="564">
        <v>5</v>
      </c>
      <c r="D231" s="295" t="s">
        <v>219</v>
      </c>
      <c r="F231" s="500">
        <f t="shared" si="1422"/>
        <v>4.8412900000000002E-2</v>
      </c>
      <c r="G231" s="500">
        <f t="shared" si="1423"/>
        <v>0</v>
      </c>
      <c r="H231" s="514">
        <f t="shared" si="1424"/>
        <v>4.8412900000000002E-2</v>
      </c>
      <c r="I231" s="514">
        <f t="shared" si="1393"/>
        <v>4.8412900000000002E-2</v>
      </c>
      <c r="J231" s="514">
        <f t="shared" si="1394"/>
        <v>4.8412900000000002E-2</v>
      </c>
      <c r="K231" s="514">
        <f t="shared" si="1395"/>
        <v>0</v>
      </c>
      <c r="L231" s="514">
        <f t="shared" si="1396"/>
        <v>0</v>
      </c>
      <c r="M231" s="567">
        <f t="shared" si="1397"/>
        <v>0</v>
      </c>
      <c r="N231" s="568"/>
      <c r="O231" s="514">
        <f t="shared" si="1398"/>
        <v>0</v>
      </c>
      <c r="P231" s="514">
        <f t="shared" si="1399"/>
        <v>0</v>
      </c>
      <c r="Q231" s="514">
        <f t="shared" si="1400"/>
        <v>0</v>
      </c>
      <c r="R231" s="514">
        <f t="shared" si="1401"/>
        <v>0</v>
      </c>
      <c r="S231" s="514">
        <f t="shared" si="1402"/>
        <v>0</v>
      </c>
      <c r="U231" s="569">
        <v>0.05</v>
      </c>
      <c r="V231" s="503"/>
      <c r="W231" s="500">
        <f>$W$226/$U$226*U231</f>
        <v>3.3655499999999998E-2</v>
      </c>
      <c r="X231" s="500">
        <f t="shared" si="1000"/>
        <v>0</v>
      </c>
      <c r="Y231" s="514">
        <f>IFERROR(IF(AL231=100%,W231,0),0)</f>
        <v>0</v>
      </c>
      <c r="Z231" s="514">
        <f>IFERROR(IF(AND((AL231+AM231)=100%,AL231&lt;1),W231,0),0)</f>
        <v>3.3655499999999998E-2</v>
      </c>
      <c r="AA231" s="514">
        <f t="shared" si="1425"/>
        <v>3.3655499999999998E-2</v>
      </c>
      <c r="AB231" s="514">
        <f t="shared" si="1426"/>
        <v>0</v>
      </c>
      <c r="AC231" s="514">
        <f t="shared" si="1427"/>
        <v>0</v>
      </c>
      <c r="AD231" s="567">
        <f t="shared" si="1428"/>
        <v>0</v>
      </c>
      <c r="AE231" s="568"/>
      <c r="AF231" s="514">
        <f>IFERROR(IF(AND((AL231+AN231)=100%,AL231&lt;1),W231,0),0)</f>
        <v>0</v>
      </c>
      <c r="AG231" s="514">
        <f>IFERROR(IF(AND((AQ231+AY231)=AP231,Y231=0),W231,0),0)</f>
        <v>0</v>
      </c>
      <c r="AH231" s="514">
        <f>IFERROR(IF(AND((AQ231+AY231+AZ231)=AP231,Y231=0,AG231=0),W231,0),0)</f>
        <v>0</v>
      </c>
      <c r="AI231" s="514">
        <f>IFERROR(IF(AND((AQ231+AY231+AZ231+BA231)=AP231,Y231=0,AG231=0,AH231=0),W231,0),0)</f>
        <v>0</v>
      </c>
      <c r="AJ231" s="514">
        <f>IFERROR(IF(AND((AQ231+AY231+AZ231+BA231+BB231)=AP231,Y231=0,AG231=0,AH231=0,AI231=0),W231,0),0)</f>
        <v>0</v>
      </c>
      <c r="AK231" s="501"/>
      <c r="AL231" s="570">
        <f>IFERROR(AQ231/AP231,0)</f>
        <v>0</v>
      </c>
      <c r="AM231" s="570">
        <f>IFERROR(AR231/AP231,0)</f>
        <v>1</v>
      </c>
      <c r="AN231" s="570">
        <f>IFERROR(AX231/AP231,0)</f>
        <v>0</v>
      </c>
      <c r="AO231" s="518"/>
      <c r="AP231" s="514">
        <f>COUNTIF('AR | Drawing List'!$G:$G,"AR-AMN-5")</f>
        <v>37</v>
      </c>
      <c r="AQ231" s="506">
        <f>COUNTIFS('AR | Drawing List'!$G:$G,"AR-AMN-5",'AR | Drawing List'!$I:$I,1)</f>
        <v>0</v>
      </c>
      <c r="AR231" s="506">
        <f t="shared" si="1075"/>
        <v>37</v>
      </c>
      <c r="AS231" s="506">
        <f>COUNTIFS('AR | Drawing List'!$G:$G,"AR-AMN-5",'AR | Drawing List'!M:M,1)</f>
        <v>37</v>
      </c>
      <c r="AT231" s="506">
        <f>COUNTIFS('AR | Drawing List'!$G:$G,"AR-AMN-5",'AR | Drawing List'!N:N,1)</f>
        <v>0</v>
      </c>
      <c r="AU231" s="506">
        <f>COUNTIFS('AR | Drawing List'!$G:$G,"AR-AMN-5",'AR | Drawing List'!O:O,1)</f>
        <v>0</v>
      </c>
      <c r="AV231" s="506">
        <f>COUNTIFS('AR | Drawing List'!$G:$G,"AR-AMN-5",'AR | Drawing List'!P:P,1)</f>
        <v>0</v>
      </c>
      <c r="AW231" s="466"/>
      <c r="AX231" s="506">
        <f t="shared" si="1093"/>
        <v>0</v>
      </c>
      <c r="AY231" s="506">
        <f>COUNTIFS('AR | Drawing List'!$G:$G,"AR-AMN-5",'AR | Drawing List'!R:R,1)</f>
        <v>0</v>
      </c>
      <c r="AZ231" s="506">
        <f>COUNTIFS('AR | Drawing List'!$G:$G,"AR-AMN-5",'AR | Drawing List'!S:S,1)</f>
        <v>0</v>
      </c>
      <c r="BA231" s="506">
        <f>COUNTIFS('AR | Drawing List'!$G:$G,"AR-AMN-5",'AR | Drawing List'!T:T,1)</f>
        <v>0</v>
      </c>
      <c r="BB231" s="506">
        <f>COUNTIFS('AR | Drawing List'!$G:$G,"AR-AMN-5",'AR | Drawing List'!U:U,1)</f>
        <v>0</v>
      </c>
      <c r="BC231" s="551"/>
      <c r="BD231" s="551"/>
      <c r="BE231" s="467">
        <v>0.1</v>
      </c>
      <c r="BF231" s="508"/>
      <c r="BG231" s="506">
        <f>$BG$226/$BE$226*BE231</f>
        <v>1.3665900000000002E-2</v>
      </c>
      <c r="BH231" s="510">
        <f t="shared" si="1001"/>
        <v>0</v>
      </c>
      <c r="BI231" s="514">
        <f>IFERROR(IF(BV231=100%,BG231,0),0)</f>
        <v>0</v>
      </c>
      <c r="BJ231" s="514">
        <f>IFERROR(IF(AND((BV231+BW231)=100%,BV231&lt;1),BG231,0),0)</f>
        <v>1.3665900000000002E-2</v>
      </c>
      <c r="BK231" s="514">
        <f>IFERROR(IF(AND((CA231+CC231)=BZ231,BI231=0),BG231,0),0)</f>
        <v>1.3665900000000002E-2</v>
      </c>
      <c r="BL231" s="514">
        <f>IFERROR(IF(AND((CA231+CC231+CD231)=BZ231,BI231=0,BK231=0),BG231,0),0)</f>
        <v>0</v>
      </c>
      <c r="BM231" s="514">
        <f>IFERROR(IF(AND((CA231+CC231+CD231+CE231)=BZ231,BI231=0,BJ231=0,BK231=0,BL231=0),BG231,0),0)</f>
        <v>0</v>
      </c>
      <c r="BN231" s="514">
        <f>IFERROR(IF(AND((CA231+CC231+CD231+CE231+CF231)=BZ231,BI231=0,BJ231=0,BK231=0,BL231=0,BM231=0),BG231,0),0)</f>
        <v>0</v>
      </c>
      <c r="BO231" s="501"/>
      <c r="BP231" s="514">
        <f>IFERROR(IF(AND((BV231+BX231)=100%,BV231&lt;1),BG231,0),0)</f>
        <v>0</v>
      </c>
      <c r="BQ231" s="514">
        <f>IFERROR(IF(AND((CA231+CI231)=BZ231,BI231=0),BG231,0),0)</f>
        <v>0</v>
      </c>
      <c r="BR231" s="514">
        <f>IFERROR(IF(AND((CA231+CI231+CJ231)=BZ231,BI231=0,BQ231=0),BG231,0),0)</f>
        <v>0</v>
      </c>
      <c r="BS231" s="514">
        <f>IFERROR(IF(AND((CA231+CI231+CJ231+CK231)=BZ231,BI231=0,BQ231=0,BR231=0),BG231,0),0)</f>
        <v>0</v>
      </c>
      <c r="BT231" s="514">
        <f>IFERROR(IF(AND((CA231+CI231+CJ231+CK231+CL231)=BZ231,BI231=0,BQ231=0,BR231=0,BS231=0),BG231,0),0)</f>
        <v>0</v>
      </c>
      <c r="BU231" s="501"/>
      <c r="BV231" s="571">
        <f t="shared" si="1429"/>
        <v>0</v>
      </c>
      <c r="BW231" s="571">
        <f t="shared" si="1430"/>
        <v>1</v>
      </c>
      <c r="BX231" s="571">
        <f t="shared" si="1431"/>
        <v>0</v>
      </c>
      <c r="BY231" s="518"/>
      <c r="BZ231" s="514">
        <f>COUNTIF('ST | Drawing List'!$G:$G,"ST-AMN-5")</f>
        <v>8</v>
      </c>
      <c r="CA231" s="506">
        <f>COUNTIFS('ST | Drawing List'!$G:$G,"ST-AMN-5",'ST | Drawing List'!$I:$I,1)</f>
        <v>0</v>
      </c>
      <c r="CB231" s="572">
        <f>COUNTIFS('ST | Drawing List'!$G:$G,"ST-AMN-5",'ST | Drawing List'!$K:$K,1)</f>
        <v>8</v>
      </c>
      <c r="CC231" s="506">
        <f>COUNTIFS('ST | Drawing List'!$G:$G,"ST-AMN-5",'ST | Drawing List'!L:L,1)</f>
        <v>8</v>
      </c>
      <c r="CD231" s="506">
        <f>COUNTIFS('ST | Drawing List'!$G:$G,"ST-AMN-5",'ST | Drawing List'!M:M,1)</f>
        <v>0</v>
      </c>
      <c r="CE231" s="506">
        <f>COUNTIFS('ST | Drawing List'!$G:$G,"ST-AMN-5",'ST | Drawing List'!N:N,1)</f>
        <v>0</v>
      </c>
      <c r="CF231" s="506">
        <f>COUNTIFS('ST | Drawing List'!$G:$G,"ST-AMN-5",'ST | Drawing List'!O:O,1)</f>
        <v>0</v>
      </c>
      <c r="CG231" s="471"/>
      <c r="CH231" s="572">
        <f>COUNTIFS('ST | Drawing List'!$G:$G,"ST-AMN-5",'ST | Drawing List'!$P:$P,1)</f>
        <v>0</v>
      </c>
      <c r="CI231" s="506">
        <f>COUNTIFS('ST | Drawing List'!$G:$G,"ST-AMN-5",'ST | Drawing List'!Q:Q,1)</f>
        <v>0</v>
      </c>
      <c r="CJ231" s="506">
        <f>COUNTIFS('ST | Drawing List'!$G:$G,"ST-AMN-5",'ST | Drawing List'!R:R,1)</f>
        <v>0</v>
      </c>
      <c r="CK231" s="506">
        <f>COUNTIFS('ST | Drawing List'!$G:$G,"ST-AMN-5",'ST | Drawing List'!S:S,1)</f>
        <v>0</v>
      </c>
      <c r="CL231" s="506">
        <f>COUNTIFS('ST | Drawing List'!$G:$G,"ST-AMN-5",'ST | Drawing List'!T:T,1)</f>
        <v>0</v>
      </c>
      <c r="CM231" s="508"/>
      <c r="CN231" s="508"/>
      <c r="CO231" s="511">
        <v>0.05</v>
      </c>
      <c r="CP231" s="508"/>
      <c r="CQ231" s="506">
        <f>$CQ$226/$CO$226*CO231</f>
        <v>1.0915E-3</v>
      </c>
      <c r="CR231" s="510">
        <f t="shared" si="1002"/>
        <v>0</v>
      </c>
      <c r="CS231" s="514">
        <f>IFERROR(IF(DF231=100%,CQ231,0),0)</f>
        <v>0</v>
      </c>
      <c r="CT231" s="514">
        <f t="shared" si="1432"/>
        <v>1.0915E-3</v>
      </c>
      <c r="CU231" s="514">
        <f t="shared" si="1433"/>
        <v>1.0915E-3</v>
      </c>
      <c r="CV231" s="514">
        <f t="shared" si="1434"/>
        <v>0</v>
      </c>
      <c r="CW231" s="514">
        <f t="shared" si="1435"/>
        <v>0</v>
      </c>
      <c r="CX231" s="514">
        <f t="shared" si="1436"/>
        <v>0</v>
      </c>
      <c r="CY231" s="501"/>
      <c r="CZ231" s="514">
        <f t="shared" si="1437"/>
        <v>0</v>
      </c>
      <c r="DA231" s="514">
        <f t="shared" si="1438"/>
        <v>0</v>
      </c>
      <c r="DB231" s="514">
        <f t="shared" si="1439"/>
        <v>0</v>
      </c>
      <c r="DC231" s="514">
        <f t="shared" si="1440"/>
        <v>0</v>
      </c>
      <c r="DD231" s="514">
        <f t="shared" si="1441"/>
        <v>0</v>
      </c>
      <c r="DE231" s="501"/>
      <c r="DF231" s="570">
        <f t="shared" si="1442"/>
        <v>0</v>
      </c>
      <c r="DG231" s="570">
        <f t="shared" si="1443"/>
        <v>1</v>
      </c>
      <c r="DH231" s="570">
        <f t="shared" si="1444"/>
        <v>0</v>
      </c>
      <c r="DI231" s="518"/>
      <c r="DJ231" s="514">
        <f>COUNTIF('MEP | Drawing List'!$G:$G,"MEP-AMN-5")</f>
        <v>1</v>
      </c>
      <c r="DK231" s="506">
        <f>COUNTIFS('MEP | Drawing List'!$G:$G,"MEP-AMN-5",'MEP | Drawing List'!$I:$I,1)</f>
        <v>0</v>
      </c>
      <c r="DL231" s="506">
        <f>COUNTIFS('MEP | Drawing List'!$G:$G,"MEP-AMN-5",'MEP | Drawing List'!$K:$K,1)</f>
        <v>1</v>
      </c>
      <c r="DM231" s="514">
        <f>COUNTIFS('MEP | Drawing List'!$G:$G,"MEP-AMN-5",'MEP | Drawing List'!L:L,1)</f>
        <v>1</v>
      </c>
      <c r="DN231" s="514">
        <f>COUNTIFS('MEP | Drawing List'!$G:$G,"MEP-AMN-5",'MEP | Drawing List'!M:M,1)</f>
        <v>0</v>
      </c>
      <c r="DO231" s="514">
        <f>COUNTIFS('MEP | Drawing List'!$G:$G,"MEP-AMN-5",'MEP | Drawing List'!N:N,1)</f>
        <v>0</v>
      </c>
      <c r="DP231" s="514">
        <f>COUNTIFS('MEP | Drawing List'!$G:$G,"MEP-AMN-5",'MEP | Drawing List'!O:O,1)</f>
        <v>0</v>
      </c>
      <c r="DQ231" s="501"/>
      <c r="DR231" s="506">
        <f>COUNTIFS('MEP | Drawing List'!$G:$G,"MEP-AMN-5",'MEP | Drawing List'!$P:$P,1)</f>
        <v>0</v>
      </c>
      <c r="DS231" s="514">
        <f>COUNTIFS('MEP | Drawing List'!$G:$G,"MEP-AMN-5",'MEP | Drawing List'!Q:Q,1)</f>
        <v>0</v>
      </c>
      <c r="DT231" s="514">
        <f>COUNTIFS('MEP | Drawing List'!$G:$G,"MEP-AMN-5",'MEP | Drawing List'!R:R,1)</f>
        <v>0</v>
      </c>
      <c r="DU231" s="514">
        <f>COUNTIFS('MEP | Drawing List'!$G:$G,"MEP-AMN-5",'MEP | Drawing List'!S:S,1)</f>
        <v>0</v>
      </c>
      <c r="DV231" s="514">
        <f>COUNTIFS('MEP | Drawing List'!$G:$G,"MEP-AMN-5",'MEP | Drawing List'!T:T,1)</f>
        <v>0</v>
      </c>
      <c r="DW231" s="508"/>
      <c r="DX231" s="508"/>
      <c r="DY231" s="576">
        <v>0</v>
      </c>
      <c r="DZ231" s="508"/>
      <c r="EA231" s="506">
        <f>$EA$226/$DY$226*DY231</f>
        <v>0</v>
      </c>
      <c r="EB231" s="510">
        <f t="shared" si="1003"/>
        <v>0</v>
      </c>
      <c r="EC231" s="514">
        <f>IFERROR(IF(EP231=100%,EA231,0),0)</f>
        <v>0</v>
      </c>
      <c r="ED231" s="514">
        <f>IFERROR(IF(AND((EP231+EQ231)=100%,EP231&lt;1),EA231,0),0)</f>
        <v>0</v>
      </c>
      <c r="EE231" s="514">
        <f>IFERROR(IF(AND((EU231+EW231)=ET231,EC231=0),EA231,0),0)</f>
        <v>0</v>
      </c>
      <c r="EF231" s="514">
        <f>IFERROR(IF(AND((EU231+EW231+EX231)=ET231,EC231=0,EE231=0),EA231,0),0)</f>
        <v>0</v>
      </c>
      <c r="EG231" s="514">
        <f>IFERROR(IF(AND((EU231+EW231+EX231+EY231)=ET231,EC231=0,EE231=0,EF231=0),EA231,0),0)</f>
        <v>0</v>
      </c>
      <c r="EH231" s="514">
        <f>IFERROR(IF(AND((EU231+EW231+EX231+EY231+EZ231)=ET231,EC231=0,EE231=0,EF231=0,EG231=0),EA231,0),0)</f>
        <v>0</v>
      </c>
      <c r="EI231" s="501"/>
      <c r="EJ231" s="567">
        <f t="shared" si="1445"/>
        <v>0</v>
      </c>
      <c r="EK231" s="514">
        <f t="shared" si="1446"/>
        <v>0</v>
      </c>
      <c r="EL231" s="514">
        <f t="shared" si="1447"/>
        <v>0</v>
      </c>
      <c r="EM231" s="514">
        <f t="shared" si="1448"/>
        <v>0</v>
      </c>
      <c r="EN231" s="514">
        <f t="shared" si="1449"/>
        <v>0</v>
      </c>
      <c r="EO231" s="501"/>
      <c r="EP231" s="585">
        <f t="shared" si="1450"/>
        <v>0</v>
      </c>
      <c r="EQ231" s="585">
        <f t="shared" si="1451"/>
        <v>0</v>
      </c>
      <c r="ER231" s="585">
        <f t="shared" si="1452"/>
        <v>0</v>
      </c>
      <c r="ET231" s="514">
        <f>COUNTIF('LS | Drawing List'!$G:$G,"LS-AMN-5")</f>
        <v>0</v>
      </c>
      <c r="EU231" s="506">
        <f>COUNTIFS('LS | Drawing List'!$G:$G,"LS-AMN-5",'LS | Drawing List'!$I:$I,1)</f>
        <v>0</v>
      </c>
      <c r="EV231" s="506">
        <f>COUNTIFS('LS | Drawing List'!$G:$G,"LS-AMN-5",'LS | Drawing List'!$K:$K,1)</f>
        <v>0</v>
      </c>
      <c r="EW231" s="514">
        <f>COUNTIFS('LS | Drawing List'!$G:$G,"LS-AMN-5",'LS | Drawing List'!L:L,1)</f>
        <v>0</v>
      </c>
      <c r="EX231" s="514">
        <f>COUNTIFS('LS | Drawing List'!$G:$G,"LS-AMN-5",'LS | Drawing List'!M:M,1)</f>
        <v>0</v>
      </c>
      <c r="EY231" s="514">
        <f>COUNTIFS('LS | Drawing List'!$G:$G,"LS-AMN-5",'LS | Drawing List'!N:N,1)</f>
        <v>0</v>
      </c>
      <c r="EZ231" s="514">
        <f>COUNTIFS('LS | Drawing List'!$G:$G,"LS-AMN-5",'LS | Drawing List'!O:O,1)</f>
        <v>0</v>
      </c>
      <c r="FA231" s="515"/>
      <c r="FB231" s="506">
        <f>COUNTIFS('LS | Drawing List'!$G:$G,"LS-AMN-5",'LS | Drawing List'!$P:$P,1)</f>
        <v>0</v>
      </c>
      <c r="FC231" s="514">
        <f>COUNTIFS('LS | Drawing List'!$G:$G,"LS-AMN-5",'LS | Drawing List'!Q:Q,1)</f>
        <v>0</v>
      </c>
      <c r="FD231" s="514">
        <f>COUNTIFS('LS | Drawing List'!$G:$G,"LS-AMN-5",'LS | Drawing List'!R:R,1)</f>
        <v>0</v>
      </c>
      <c r="FE231" s="514">
        <f>COUNTIFS('LS | Drawing List'!$G:$G,"LS-AMN-5",'LS | Drawing List'!S:S,1)</f>
        <v>0</v>
      </c>
      <c r="FF231" s="514">
        <f>COUNTIFS('LS | Drawing List'!$G:$G,"LS-AMN-5",'LS | Drawing List'!T:T,1)</f>
        <v>0</v>
      </c>
    </row>
    <row r="232" spans="2:163" ht="3" customHeight="1">
      <c r="D232" s="433"/>
      <c r="E232" s="433"/>
      <c r="F232" s="434"/>
      <c r="G232" s="435"/>
      <c r="H232" s="447"/>
      <c r="I232" s="447"/>
      <c r="J232" s="514"/>
      <c r="K232" s="514"/>
      <c r="L232" s="514"/>
      <c r="M232" s="567"/>
      <c r="N232" s="568"/>
      <c r="O232" s="447"/>
      <c r="P232" s="514"/>
      <c r="Q232" s="514"/>
      <c r="R232" s="514"/>
      <c r="S232" s="514"/>
      <c r="T232" s="433"/>
      <c r="U232" s="511"/>
      <c r="V232" s="464"/>
      <c r="W232" s="434"/>
      <c r="X232" s="435">
        <f t="shared" si="1000"/>
        <v>0</v>
      </c>
      <c r="Y232" s="447"/>
      <c r="Z232" s="447"/>
      <c r="AA232" s="514">
        <f t="shared" si="1425"/>
        <v>0</v>
      </c>
      <c r="AB232" s="514">
        <f t="shared" si="1426"/>
        <v>0</v>
      </c>
      <c r="AC232" s="514">
        <f t="shared" si="1427"/>
        <v>0</v>
      </c>
      <c r="AD232" s="567">
        <f t="shared" si="1428"/>
        <v>0</v>
      </c>
      <c r="AE232" s="568"/>
      <c r="AF232" s="447"/>
      <c r="AG232" s="514">
        <f>IFERROR(IF(AND((AV232+AY232)=AU232,AD232=0),AC232,0),0)</f>
        <v>0</v>
      </c>
      <c r="AH232" s="514">
        <f>IFERROR(IF(AND((AV232+AY232+AZ232)=AU232,AD232=0,AG232=0),AC232,0),0)</f>
        <v>0</v>
      </c>
      <c r="AI232" s="514">
        <f>IFERROR(IF(AND((AV232+AY232+AZ232+BA232)=AU232,AD232=0,AG232=0,AH232=0),AC232,0),0)</f>
        <v>0</v>
      </c>
      <c r="AJ232" s="514">
        <f>IFERROR(IF(AND((AV232+AY232+AZ232+BA232+BB232)=AU232,AD232=0,AG232=0,AH232=0,AI232=0),AC232,0),0)</f>
        <v>0</v>
      </c>
      <c r="AK232" s="501"/>
      <c r="AL232" s="465"/>
      <c r="AM232" s="465"/>
      <c r="AN232" s="465"/>
      <c r="AO232" s="465"/>
      <c r="AP232" s="466"/>
      <c r="AQ232" s="466"/>
      <c r="AR232" s="466"/>
      <c r="AS232" s="466"/>
      <c r="AT232" s="466"/>
      <c r="AU232" s="466"/>
      <c r="AV232" s="466"/>
      <c r="AW232" s="466"/>
      <c r="AX232" s="466"/>
      <c r="AY232" s="466"/>
      <c r="AZ232" s="466"/>
      <c r="BA232" s="466"/>
      <c r="BB232" s="466"/>
      <c r="BC232" s="466"/>
      <c r="BD232" s="466"/>
      <c r="BE232" s="467"/>
      <c r="BF232" s="468"/>
      <c r="BG232" s="469"/>
      <c r="BH232" s="450">
        <f t="shared" si="1001"/>
        <v>0</v>
      </c>
      <c r="BI232" s="447"/>
      <c r="BJ232" s="447"/>
      <c r="BK232" s="501"/>
      <c r="BL232" s="501"/>
      <c r="BM232" s="501"/>
      <c r="BN232" s="501"/>
      <c r="BO232" s="501"/>
      <c r="BP232" s="447"/>
      <c r="BQ232" s="501"/>
      <c r="BR232" s="501"/>
      <c r="BS232" s="501"/>
      <c r="BT232" s="501"/>
      <c r="BU232" s="501"/>
      <c r="BV232" s="470"/>
      <c r="BW232" s="470"/>
      <c r="BX232" s="470"/>
      <c r="BY232" s="465"/>
      <c r="BZ232" s="471"/>
      <c r="CA232" s="471"/>
      <c r="CB232" s="548"/>
      <c r="CC232" s="472"/>
      <c r="CD232" s="472"/>
      <c r="CE232" s="472"/>
      <c r="CF232" s="472"/>
      <c r="CG232" s="472"/>
      <c r="CH232" s="548"/>
      <c r="CI232" s="472"/>
      <c r="CJ232" s="472"/>
      <c r="CK232" s="472"/>
      <c r="CL232" s="472"/>
      <c r="CM232" s="468"/>
      <c r="CN232" s="468"/>
      <c r="CO232" s="470"/>
      <c r="CP232" s="468"/>
      <c r="CQ232" s="469"/>
      <c r="CR232" s="450">
        <f t="shared" si="1002"/>
        <v>0</v>
      </c>
      <c r="CS232" s="447"/>
      <c r="CT232" s="447"/>
      <c r="CU232" s="447"/>
      <c r="CV232" s="447"/>
      <c r="CW232" s="447"/>
      <c r="CX232" s="447"/>
      <c r="CY232" s="447"/>
      <c r="CZ232" s="447"/>
      <c r="DA232" s="447"/>
      <c r="DB232" s="447"/>
      <c r="DC232" s="447"/>
      <c r="DD232" s="447"/>
      <c r="DE232" s="447"/>
      <c r="DF232" s="473"/>
      <c r="DG232" s="473"/>
      <c r="DH232" s="473"/>
      <c r="DI232" s="465"/>
      <c r="DJ232" s="466"/>
      <c r="DK232" s="466"/>
      <c r="DL232" s="466"/>
      <c r="DM232" s="501"/>
      <c r="DN232" s="501"/>
      <c r="DO232" s="501"/>
      <c r="DP232" s="501"/>
      <c r="DQ232" s="501"/>
      <c r="DR232" s="466"/>
      <c r="DS232" s="501"/>
      <c r="DT232" s="501"/>
      <c r="DU232" s="501"/>
      <c r="DV232" s="501"/>
      <c r="DW232" s="468"/>
      <c r="DX232" s="468"/>
      <c r="DY232" s="511"/>
      <c r="DZ232" s="468"/>
      <c r="EA232" s="469"/>
      <c r="EB232" s="450">
        <f t="shared" si="1003"/>
        <v>0</v>
      </c>
      <c r="EC232" s="448"/>
      <c r="ED232" s="448"/>
      <c r="EE232" s="515"/>
      <c r="EF232" s="515"/>
      <c r="EG232" s="515"/>
      <c r="EH232" s="515"/>
      <c r="EI232" s="515"/>
      <c r="EJ232" s="448"/>
      <c r="EK232" s="515"/>
      <c r="EL232" s="515"/>
      <c r="EM232" s="515"/>
      <c r="EN232" s="515"/>
      <c r="EO232" s="515"/>
      <c r="EP232" s="474"/>
      <c r="EQ232" s="474"/>
      <c r="ER232" s="474"/>
      <c r="ES232" s="475"/>
      <c r="ET232" s="476"/>
      <c r="EU232" s="476"/>
      <c r="EV232" s="476"/>
      <c r="EW232" s="448"/>
      <c r="EX232" s="448"/>
      <c r="EY232" s="448"/>
      <c r="EZ232" s="448"/>
      <c r="FA232" s="448"/>
      <c r="FB232" s="476"/>
      <c r="FC232" s="448"/>
      <c r="FD232" s="448"/>
      <c r="FE232" s="448"/>
      <c r="FF232" s="448"/>
      <c r="FG232" s="433"/>
    </row>
    <row r="233" spans="2:163" ht="18">
      <c r="B233" s="48"/>
      <c r="C233" s="690" t="s">
        <v>220</v>
      </c>
      <c r="D233" s="690"/>
      <c r="E233" s="433"/>
      <c r="F233" s="450"/>
      <c r="G233" s="450"/>
      <c r="H233" s="451"/>
      <c r="I233" s="451"/>
      <c r="J233" s="639"/>
      <c r="K233" s="639"/>
      <c r="L233" s="639"/>
      <c r="M233" s="639"/>
      <c r="N233" s="639"/>
      <c r="O233" s="451"/>
      <c r="P233" s="639"/>
      <c r="Q233" s="639"/>
      <c r="R233" s="639"/>
      <c r="S233" s="639"/>
      <c r="T233" s="433"/>
      <c r="U233" s="555"/>
      <c r="V233" s="453"/>
      <c r="W233" s="450">
        <f>W235</f>
        <v>2.8797155000000001</v>
      </c>
      <c r="X233" s="450">
        <f t="shared" ref="X233:AB233" si="1453">X235</f>
        <v>0</v>
      </c>
      <c r="Y233" s="450">
        <f t="shared" si="1453"/>
        <v>0</v>
      </c>
      <c r="Z233" s="450">
        <f t="shared" si="1453"/>
        <v>2.8797155000000001</v>
      </c>
      <c r="AA233" s="450">
        <f t="shared" si="1453"/>
        <v>0</v>
      </c>
      <c r="AB233" s="450">
        <f t="shared" si="1453"/>
        <v>2.8797155000000001</v>
      </c>
      <c r="AC233" s="639"/>
      <c r="AD233" s="639"/>
      <c r="AE233" s="639"/>
      <c r="AF233" s="451"/>
      <c r="AG233" s="639"/>
      <c r="AH233" s="639"/>
      <c r="AI233" s="639"/>
      <c r="AJ233" s="639"/>
      <c r="AK233" s="639"/>
      <c r="AL233" s="454"/>
      <c r="AM233" s="454"/>
      <c r="AN233" s="454"/>
      <c r="AO233" s="454"/>
      <c r="AP233" s="455"/>
      <c r="AQ233" s="455"/>
      <c r="AR233" s="455"/>
      <c r="AS233" s="455"/>
      <c r="AT233" s="455"/>
      <c r="AU233" s="455"/>
      <c r="AV233" s="455"/>
      <c r="AW233" s="455"/>
      <c r="AX233" s="455"/>
      <c r="AY233" s="455"/>
      <c r="AZ233" s="455"/>
      <c r="BA233" s="455"/>
      <c r="BB233" s="455"/>
      <c r="BC233" s="455"/>
      <c r="BD233" s="455"/>
      <c r="BE233" s="456"/>
      <c r="BF233" s="453"/>
      <c r="BG233" s="556">
        <f>BG235</f>
        <v>0.67382904474938898</v>
      </c>
      <c r="BH233" s="556">
        <f t="shared" ref="BH233:BM233" si="1454">BH235</f>
        <v>0</v>
      </c>
      <c r="BI233" s="556">
        <f t="shared" si="1454"/>
        <v>0</v>
      </c>
      <c r="BJ233" s="556">
        <f t="shared" si="1454"/>
        <v>0.67382904474938898</v>
      </c>
      <c r="BK233" s="556">
        <f t="shared" si="1454"/>
        <v>0</v>
      </c>
      <c r="BL233" s="556">
        <f t="shared" si="1454"/>
        <v>0.67382904474938898</v>
      </c>
      <c r="BM233" s="556">
        <f t="shared" si="1454"/>
        <v>0</v>
      </c>
      <c r="BN233" s="639"/>
      <c r="BO233" s="639"/>
      <c r="BP233" s="640"/>
      <c r="BQ233" s="639"/>
      <c r="BR233" s="639"/>
      <c r="BS233" s="639"/>
      <c r="BT233" s="639"/>
      <c r="BU233" s="639"/>
      <c r="BV233" s="457"/>
      <c r="BW233" s="457"/>
      <c r="BX233" s="457"/>
      <c r="BY233" s="454"/>
      <c r="BZ233" s="458"/>
      <c r="CA233" s="458"/>
      <c r="CB233" s="459"/>
      <c r="CC233" s="460"/>
      <c r="CD233" s="460"/>
      <c r="CE233" s="460"/>
      <c r="CF233" s="460"/>
      <c r="CG233" s="460"/>
      <c r="CH233" s="459"/>
      <c r="CI233" s="460"/>
      <c r="CJ233" s="460"/>
      <c r="CK233" s="460"/>
      <c r="CL233" s="460"/>
      <c r="CM233" s="453"/>
      <c r="CN233" s="453"/>
      <c r="CO233" s="457"/>
      <c r="CP233" s="453"/>
      <c r="CQ233" s="556">
        <f>CQ235</f>
        <v>0.24054326303129014</v>
      </c>
      <c r="CR233" s="556">
        <f t="shared" ref="CR233:CX233" si="1455">CR235</f>
        <v>0</v>
      </c>
      <c r="CS233" s="556">
        <f t="shared" si="1455"/>
        <v>0</v>
      </c>
      <c r="CT233" s="556">
        <f t="shared" si="1455"/>
        <v>0.24054326303129014</v>
      </c>
      <c r="CU233" s="556">
        <f t="shared" si="1455"/>
        <v>0</v>
      </c>
      <c r="CV233" s="556">
        <f t="shared" si="1455"/>
        <v>0.24054326303129014</v>
      </c>
      <c r="CW233" s="556">
        <f t="shared" si="1455"/>
        <v>0</v>
      </c>
      <c r="CX233" s="556">
        <f t="shared" si="1455"/>
        <v>0</v>
      </c>
      <c r="CY233" s="451"/>
      <c r="CZ233" s="640"/>
      <c r="DA233" s="451"/>
      <c r="DB233" s="451"/>
      <c r="DC233" s="451"/>
      <c r="DD233" s="451"/>
      <c r="DE233" s="451"/>
      <c r="DF233" s="461"/>
      <c r="DG233" s="461"/>
      <c r="DH233" s="461"/>
      <c r="DI233" s="454"/>
      <c r="DJ233" s="455"/>
      <c r="DK233" s="455"/>
      <c r="DL233" s="455"/>
      <c r="DM233" s="451"/>
      <c r="DN233" s="451"/>
      <c r="DO233" s="451"/>
      <c r="DP233" s="451"/>
      <c r="DQ233" s="451"/>
      <c r="DR233" s="455"/>
      <c r="DS233" s="451"/>
      <c r="DT233" s="451"/>
      <c r="DU233" s="451"/>
      <c r="DV233" s="451"/>
      <c r="DW233" s="453"/>
      <c r="DX233" s="453"/>
      <c r="DY233" s="555"/>
      <c r="DZ233" s="453"/>
      <c r="EA233" s="556">
        <f>EA235</f>
        <v>6.6729304949999999E-2</v>
      </c>
      <c r="EB233" s="556">
        <f t="shared" ref="EB233:EH233" si="1456">EB235</f>
        <v>0</v>
      </c>
      <c r="EC233" s="556">
        <f t="shared" si="1456"/>
        <v>0</v>
      </c>
      <c r="ED233" s="556">
        <f t="shared" si="1456"/>
        <v>6.6729304949999999E-2</v>
      </c>
      <c r="EE233" s="556">
        <f t="shared" si="1456"/>
        <v>0</v>
      </c>
      <c r="EF233" s="556">
        <f t="shared" si="1456"/>
        <v>6.6729304949999999E-2</v>
      </c>
      <c r="EG233" s="556">
        <f t="shared" si="1456"/>
        <v>0</v>
      </c>
      <c r="EH233" s="556">
        <f t="shared" si="1456"/>
        <v>0</v>
      </c>
      <c r="EI233" s="641"/>
      <c r="EJ233" s="448"/>
      <c r="EK233" s="641"/>
      <c r="EL233" s="641"/>
      <c r="EM233" s="641"/>
      <c r="EN233" s="641"/>
      <c r="EO233" s="641"/>
      <c r="EP233" s="474"/>
      <c r="EQ233" s="474"/>
      <c r="ER233" s="474"/>
      <c r="ES233" s="475"/>
      <c r="ET233" s="476"/>
      <c r="EU233" s="476"/>
      <c r="EV233" s="476"/>
      <c r="EW233" s="641"/>
      <c r="EX233" s="641"/>
      <c r="EY233" s="641"/>
      <c r="EZ233" s="641"/>
      <c r="FA233" s="641"/>
      <c r="FB233" s="476"/>
      <c r="FC233" s="641"/>
      <c r="FD233" s="641"/>
      <c r="FE233" s="641"/>
      <c r="FF233" s="641"/>
      <c r="FG233" s="433"/>
    </row>
    <row r="234" spans="2:163" ht="3" customHeight="1" outlineLevel="1">
      <c r="D234" s="432"/>
      <c r="E234" s="433"/>
      <c r="F234" s="434"/>
      <c r="G234" s="435"/>
      <c r="H234" s="447"/>
      <c r="I234" s="447"/>
      <c r="J234" s="447"/>
      <c r="K234" s="447"/>
      <c r="L234" s="447"/>
      <c r="M234" s="447"/>
      <c r="N234" s="447"/>
      <c r="O234" s="447"/>
      <c r="P234" s="447"/>
      <c r="Q234" s="447"/>
      <c r="R234" s="447"/>
      <c r="S234" s="447"/>
      <c r="T234" s="433"/>
      <c r="U234" s="511"/>
      <c r="V234" s="464"/>
      <c r="W234" s="434"/>
      <c r="X234" s="435">
        <f t="shared" si="1000"/>
        <v>0</v>
      </c>
      <c r="Y234" s="447"/>
      <c r="Z234" s="447"/>
      <c r="AA234" s="447"/>
      <c r="AB234" s="447"/>
      <c r="AC234" s="447"/>
      <c r="AD234" s="447"/>
      <c r="AE234" s="447"/>
      <c r="AF234" s="447"/>
      <c r="AG234" s="447"/>
      <c r="AH234" s="447"/>
      <c r="AI234" s="447"/>
      <c r="AJ234" s="447"/>
      <c r="AK234" s="447"/>
      <c r="AL234" s="465"/>
      <c r="AM234" s="465"/>
      <c r="AN234" s="465"/>
      <c r="AO234" s="465"/>
      <c r="AP234" s="466"/>
      <c r="AQ234" s="466"/>
      <c r="AR234" s="466"/>
      <c r="AS234" s="466"/>
      <c r="AT234" s="466"/>
      <c r="AU234" s="466"/>
      <c r="AV234" s="466"/>
      <c r="AW234" s="466"/>
      <c r="AX234" s="466"/>
      <c r="AY234" s="466"/>
      <c r="AZ234" s="466"/>
      <c r="BA234" s="466"/>
      <c r="BB234" s="466"/>
      <c r="BC234" s="466"/>
      <c r="BD234" s="466"/>
      <c r="BE234" s="467"/>
      <c r="BF234" s="464"/>
      <c r="BG234" s="469"/>
      <c r="BH234" s="450">
        <f t="shared" si="1001"/>
        <v>0</v>
      </c>
      <c r="BI234" s="447"/>
      <c r="BJ234" s="447"/>
      <c r="BK234" s="447"/>
      <c r="BL234" s="447"/>
      <c r="BM234" s="447"/>
      <c r="BN234" s="447"/>
      <c r="BO234" s="447"/>
      <c r="BP234" s="447"/>
      <c r="BQ234" s="447"/>
      <c r="BR234" s="447"/>
      <c r="BS234" s="447"/>
      <c r="BT234" s="447"/>
      <c r="BU234" s="447"/>
      <c r="BV234" s="470"/>
      <c r="BW234" s="470"/>
      <c r="BX234" s="470"/>
      <c r="BY234" s="465"/>
      <c r="BZ234" s="471"/>
      <c r="CA234" s="471"/>
      <c r="CB234" s="548"/>
      <c r="CC234" s="472"/>
      <c r="CD234" s="472"/>
      <c r="CE234" s="472"/>
      <c r="CF234" s="472"/>
      <c r="CG234" s="472"/>
      <c r="CH234" s="548"/>
      <c r="CI234" s="472"/>
      <c r="CJ234" s="472"/>
      <c r="CK234" s="472"/>
      <c r="CL234" s="472"/>
      <c r="CM234" s="464"/>
      <c r="CN234" s="464"/>
      <c r="CO234" s="470"/>
      <c r="CP234" s="464"/>
      <c r="CQ234" s="469"/>
      <c r="CR234" s="450">
        <f t="shared" si="1002"/>
        <v>0</v>
      </c>
      <c r="CS234" s="447"/>
      <c r="CT234" s="447"/>
      <c r="CU234" s="447"/>
      <c r="CV234" s="447"/>
      <c r="CW234" s="447"/>
      <c r="CX234" s="447"/>
      <c r="CY234" s="447"/>
      <c r="CZ234" s="447"/>
      <c r="DA234" s="447"/>
      <c r="DB234" s="447"/>
      <c r="DC234" s="447"/>
      <c r="DD234" s="447"/>
      <c r="DE234" s="447"/>
      <c r="DF234" s="473"/>
      <c r="DG234" s="473"/>
      <c r="DH234" s="473"/>
      <c r="DI234" s="465"/>
      <c r="DJ234" s="466"/>
      <c r="DK234" s="466"/>
      <c r="DL234" s="466"/>
      <c r="DM234" s="447"/>
      <c r="DN234" s="447"/>
      <c r="DO234" s="447"/>
      <c r="DP234" s="447"/>
      <c r="DQ234" s="447"/>
      <c r="DR234" s="466"/>
      <c r="DS234" s="447"/>
      <c r="DT234" s="447"/>
      <c r="DU234" s="447"/>
      <c r="DV234" s="447"/>
      <c r="DW234" s="464"/>
      <c r="DX234" s="464"/>
      <c r="DY234" s="511"/>
      <c r="DZ234" s="464"/>
      <c r="EA234" s="469"/>
      <c r="EB234" s="450">
        <f t="shared" si="1003"/>
        <v>0</v>
      </c>
      <c r="EC234" s="448"/>
      <c r="ED234" s="448"/>
      <c r="EE234" s="448"/>
      <c r="EF234" s="448"/>
      <c r="EG234" s="448"/>
      <c r="EH234" s="448"/>
      <c r="EI234" s="448"/>
      <c r="EJ234" s="448"/>
      <c r="EK234" s="448"/>
      <c r="EL234" s="448"/>
      <c r="EM234" s="448"/>
      <c r="EN234" s="448"/>
      <c r="EO234" s="448"/>
      <c r="EP234" s="474"/>
      <c r="EQ234" s="474"/>
      <c r="ER234" s="474"/>
      <c r="ES234" s="475"/>
      <c r="ET234" s="476"/>
      <c r="EU234" s="476"/>
      <c r="EV234" s="476"/>
      <c r="EW234" s="448"/>
      <c r="EX234" s="448"/>
      <c r="EY234" s="448"/>
      <c r="EZ234" s="448"/>
      <c r="FA234" s="448"/>
      <c r="FB234" s="476"/>
      <c r="FC234" s="448"/>
      <c r="FD234" s="448"/>
      <c r="FE234" s="448"/>
      <c r="FF234" s="448"/>
      <c r="FG234" s="433"/>
    </row>
    <row r="235" spans="2:163" ht="14.25" outlineLevel="1">
      <c r="B235" s="477"/>
      <c r="C235" s="477">
        <v>1</v>
      </c>
      <c r="D235" s="478" t="s">
        <v>221</v>
      </c>
      <c r="E235" s="479"/>
      <c r="F235" s="480"/>
      <c r="G235" s="480"/>
      <c r="H235" s="481"/>
      <c r="I235" s="481"/>
      <c r="J235" s="482"/>
      <c r="K235" s="482"/>
      <c r="L235" s="482"/>
      <c r="M235" s="482"/>
      <c r="N235" s="482"/>
      <c r="O235" s="481"/>
      <c r="P235" s="482"/>
      <c r="Q235" s="482"/>
      <c r="R235" s="482"/>
      <c r="S235" s="482"/>
      <c r="T235" s="479"/>
      <c r="U235" s="488">
        <v>0.05</v>
      </c>
      <c r="V235" s="483"/>
      <c r="W235" s="480">
        <f>U235*(5%*'BOQ COST'!E4)</f>
        <v>2.8797155000000001</v>
      </c>
      <c r="X235" s="480">
        <f t="shared" si="1000"/>
        <v>0</v>
      </c>
      <c r="Y235" s="481">
        <f>Y236</f>
        <v>0</v>
      </c>
      <c r="Z235" s="481">
        <f>Z236</f>
        <v>2.8797155000000001</v>
      </c>
      <c r="AA235" s="481">
        <f t="shared" ref="AA235:AD235" si="1457">AA236</f>
        <v>0</v>
      </c>
      <c r="AB235" s="481">
        <f t="shared" si="1457"/>
        <v>2.8797155000000001</v>
      </c>
      <c r="AC235" s="481">
        <f t="shared" si="1457"/>
        <v>0</v>
      </c>
      <c r="AD235" s="481">
        <f t="shared" si="1457"/>
        <v>0</v>
      </c>
      <c r="AE235" s="482"/>
      <c r="AF235" s="481">
        <f>AF236</f>
        <v>0</v>
      </c>
      <c r="AG235" s="482"/>
      <c r="AH235" s="482"/>
      <c r="AI235" s="482"/>
      <c r="AJ235" s="482"/>
      <c r="AK235" s="482"/>
      <c r="AL235" s="482"/>
      <c r="AM235" s="482"/>
      <c r="AN235" s="482"/>
      <c r="AO235" s="482"/>
      <c r="AP235" s="482"/>
      <c r="AQ235" s="482"/>
      <c r="AR235" s="481">
        <f t="shared" si="1075"/>
        <v>0</v>
      </c>
      <c r="AS235" s="482"/>
      <c r="AT235" s="482"/>
      <c r="AU235" s="482"/>
      <c r="AV235" s="482"/>
      <c r="AW235" s="482"/>
      <c r="AX235" s="481">
        <f t="shared" ref="AX235:AX236" si="1458">SUM(AY235:BB235)</f>
        <v>0</v>
      </c>
      <c r="AY235" s="482"/>
      <c r="AZ235" s="482"/>
      <c r="BA235" s="482"/>
      <c r="BB235" s="482"/>
      <c r="BC235" s="487"/>
      <c r="BD235" s="487"/>
      <c r="BE235" s="483">
        <v>0.05</v>
      </c>
      <c r="BF235" s="483"/>
      <c r="BG235" s="480">
        <f>BE235*(3%*'BOQ COST'!$F$4)*1</f>
        <v>0.67382904474938898</v>
      </c>
      <c r="BH235" s="480">
        <f t="shared" si="1001"/>
        <v>0</v>
      </c>
      <c r="BI235" s="481">
        <f>BI236</f>
        <v>0</v>
      </c>
      <c r="BJ235" s="481">
        <f>BJ236</f>
        <v>0.67382904474938898</v>
      </c>
      <c r="BK235" s="481">
        <f t="shared" ref="BK235:BM235" si="1459">BK236</f>
        <v>0</v>
      </c>
      <c r="BL235" s="481">
        <f t="shared" si="1459"/>
        <v>0.67382904474938898</v>
      </c>
      <c r="BM235" s="481">
        <f t="shared" si="1459"/>
        <v>0</v>
      </c>
      <c r="BN235" s="482"/>
      <c r="BO235" s="482"/>
      <c r="BP235" s="481">
        <f>BP236</f>
        <v>0</v>
      </c>
      <c r="BQ235" s="482"/>
      <c r="BR235" s="482"/>
      <c r="BS235" s="482"/>
      <c r="BT235" s="482"/>
      <c r="BU235" s="482"/>
      <c r="BV235" s="488"/>
      <c r="BW235" s="488"/>
      <c r="BX235" s="488"/>
      <c r="BY235" s="482"/>
      <c r="BZ235" s="490"/>
      <c r="CA235" s="490"/>
      <c r="CB235" s="490"/>
      <c r="CC235" s="490"/>
      <c r="CD235" s="490"/>
      <c r="CE235" s="490"/>
      <c r="CF235" s="490"/>
      <c r="CG235" s="490"/>
      <c r="CH235" s="490"/>
      <c r="CI235" s="490"/>
      <c r="CJ235" s="490"/>
      <c r="CK235" s="490"/>
      <c r="CL235" s="490"/>
      <c r="CM235" s="483"/>
      <c r="CN235" s="483"/>
      <c r="CO235" s="488">
        <v>0.05</v>
      </c>
      <c r="CP235" s="483"/>
      <c r="CQ235" s="480">
        <f>CO235*(2%*'BOQ COST'!$G$4)*1</f>
        <v>0.24054326303129014</v>
      </c>
      <c r="CR235" s="480">
        <f t="shared" si="1002"/>
        <v>0</v>
      </c>
      <c r="CS235" s="481">
        <f>CS236</f>
        <v>0</v>
      </c>
      <c r="CT235" s="481">
        <f>CT236</f>
        <v>0.24054326303129014</v>
      </c>
      <c r="CU235" s="481">
        <f t="shared" ref="CU235:CX235" si="1460">CU236</f>
        <v>0</v>
      </c>
      <c r="CV235" s="481">
        <f t="shared" si="1460"/>
        <v>0.24054326303129014</v>
      </c>
      <c r="CW235" s="481">
        <f t="shared" si="1460"/>
        <v>0</v>
      </c>
      <c r="CX235" s="481">
        <f t="shared" si="1460"/>
        <v>0</v>
      </c>
      <c r="CY235" s="482"/>
      <c r="CZ235" s="481">
        <f>CZ236</f>
        <v>0</v>
      </c>
      <c r="DA235" s="482"/>
      <c r="DB235" s="482"/>
      <c r="DC235" s="482"/>
      <c r="DD235" s="482"/>
      <c r="DE235" s="482"/>
      <c r="DF235" s="492"/>
      <c r="DG235" s="492"/>
      <c r="DH235" s="492"/>
      <c r="DI235" s="482"/>
      <c r="DJ235" s="482"/>
      <c r="DK235" s="482"/>
      <c r="DL235" s="482"/>
      <c r="DM235" s="482"/>
      <c r="DN235" s="482"/>
      <c r="DO235" s="482"/>
      <c r="DP235" s="482"/>
      <c r="DQ235" s="482"/>
      <c r="DR235" s="482"/>
      <c r="DS235" s="482"/>
      <c r="DT235" s="482"/>
      <c r="DU235" s="482"/>
      <c r="DV235" s="482"/>
      <c r="DW235" s="483"/>
      <c r="DX235" s="483"/>
      <c r="DY235" s="488">
        <v>0.05</v>
      </c>
      <c r="DZ235" s="483"/>
      <c r="EA235" s="481">
        <f>DY235*(7%*'BOQ COST'!$H$4)*1</f>
        <v>6.6729304949999999E-2</v>
      </c>
      <c r="EB235" s="480">
        <f t="shared" si="1003"/>
        <v>0</v>
      </c>
      <c r="EC235" s="536">
        <f>EC236</f>
        <v>0</v>
      </c>
      <c r="ED235" s="536">
        <f>ED236</f>
        <v>6.6729304949999999E-2</v>
      </c>
      <c r="EE235" s="536">
        <f t="shared" ref="EE235:EH235" si="1461">EE236</f>
        <v>0</v>
      </c>
      <c r="EF235" s="536">
        <f t="shared" si="1461"/>
        <v>6.6729304949999999E-2</v>
      </c>
      <c r="EG235" s="536">
        <f t="shared" si="1461"/>
        <v>0</v>
      </c>
      <c r="EH235" s="536">
        <f t="shared" si="1461"/>
        <v>0</v>
      </c>
      <c r="EI235" s="562"/>
      <c r="EJ235" s="536">
        <f>EJ236</f>
        <v>0</v>
      </c>
      <c r="EK235" s="562"/>
      <c r="EL235" s="562"/>
      <c r="EM235" s="562"/>
      <c r="EN235" s="562"/>
      <c r="EO235" s="562"/>
      <c r="EP235" s="563"/>
      <c r="EQ235" s="563"/>
      <c r="ER235" s="563"/>
      <c r="ES235" s="562"/>
      <c r="ET235" s="562"/>
      <c r="EU235" s="562"/>
      <c r="EV235" s="562"/>
      <c r="EW235" s="562"/>
      <c r="EX235" s="562"/>
      <c r="EY235" s="562"/>
      <c r="EZ235" s="562"/>
      <c r="FA235" s="562"/>
      <c r="FB235" s="562"/>
      <c r="FC235" s="562"/>
      <c r="FD235" s="562"/>
      <c r="FE235" s="562"/>
      <c r="FF235" s="562"/>
    </row>
    <row r="236" spans="2:163" ht="14.25" outlineLevel="2">
      <c r="B236" s="564">
        <v>1</v>
      </c>
      <c r="C236" s="564">
        <v>1</v>
      </c>
      <c r="D236" s="50" t="s">
        <v>222</v>
      </c>
      <c r="E236" s="50"/>
      <c r="F236" s="500">
        <f t="shared" ref="F236" si="1462">W236+BG236+CQ236+EA236</f>
        <v>3.8608171127306794</v>
      </c>
      <c r="G236" s="500">
        <f t="shared" ref="G236" si="1463">X236+BH236+CR236+EB236</f>
        <v>0</v>
      </c>
      <c r="H236" s="514">
        <f t="shared" ref="H236" si="1464">F236-G236</f>
        <v>3.8608171127306794</v>
      </c>
      <c r="I236" s="514">
        <f t="shared" ref="I236" si="1465">Z236+BJ236+CT236+ED236</f>
        <v>3.8608171127306794</v>
      </c>
      <c r="J236" s="514">
        <f t="shared" ref="J236" si="1466">AA236+BK236+CU236+EE236</f>
        <v>0</v>
      </c>
      <c r="K236" s="514">
        <f t="shared" ref="K236" si="1467">AB236+BL236+CV236+EF236</f>
        <v>3.8608171127306794</v>
      </c>
      <c r="L236" s="514">
        <f t="shared" ref="L236" si="1468">AC236+BM236+CW236+EG236</f>
        <v>0</v>
      </c>
      <c r="M236" s="567">
        <f t="shared" ref="M236" si="1469">AD236+BN236+CX236+EH236</f>
        <v>0</v>
      </c>
      <c r="N236" s="568"/>
      <c r="O236" s="514">
        <f t="shared" ref="O236" si="1470">AF236+BP236+CZ236+EJ236</f>
        <v>0</v>
      </c>
      <c r="P236" s="514">
        <f t="shared" ref="P236" si="1471">AG236+BQ236+DA236+EK236</f>
        <v>0</v>
      </c>
      <c r="Q236" s="514">
        <f t="shared" ref="Q236" si="1472">AH236+BR236+DB236+EL236</f>
        <v>0</v>
      </c>
      <c r="R236" s="514">
        <f t="shared" ref="R236" si="1473">AI236+BS236+DC236+EM236</f>
        <v>0</v>
      </c>
      <c r="S236" s="514">
        <f t="shared" ref="S236" si="1474">AJ236+BT236+DD236+EN236</f>
        <v>0</v>
      </c>
      <c r="T236" s="50"/>
      <c r="U236" s="569">
        <v>0.05</v>
      </c>
      <c r="V236" s="642"/>
      <c r="W236" s="500">
        <f>W235</f>
        <v>2.8797155000000001</v>
      </c>
      <c r="X236" s="500">
        <f t="shared" si="1000"/>
        <v>0</v>
      </c>
      <c r="Y236" s="514">
        <f>IFERROR(IF(AL236=100%,W236,0),0)</f>
        <v>0</v>
      </c>
      <c r="Z236" s="514">
        <f>W236</f>
        <v>2.8797155000000001</v>
      </c>
      <c r="AA236" s="643"/>
      <c r="AB236" s="514">
        <f>Z236</f>
        <v>2.8797155000000001</v>
      </c>
      <c r="AC236" s="514"/>
      <c r="AD236" s="501"/>
      <c r="AE236" s="501"/>
      <c r="AF236" s="514">
        <f>IFERROR(IF(AND((AQ236+AR236)=100%,AQ236&lt;1),AC236,0),0)</f>
        <v>0</v>
      </c>
      <c r="AG236" s="643"/>
      <c r="AH236" s="501"/>
      <c r="AI236" s="501"/>
      <c r="AJ236" s="501"/>
      <c r="AK236" s="501"/>
      <c r="AL236" s="514">
        <f>IFERROR(AQ236/AP236,0)</f>
        <v>0</v>
      </c>
      <c r="AM236" s="514">
        <f>IFERROR(AR236/AP236,0)</f>
        <v>0</v>
      </c>
      <c r="AN236" s="514">
        <f>IFERROR(#REF!/AP236,0)</f>
        <v>0</v>
      </c>
      <c r="AO236" s="518"/>
      <c r="AP236" s="551"/>
      <c r="AQ236" s="551"/>
      <c r="AR236" s="514">
        <f t="shared" si="1075"/>
        <v>0</v>
      </c>
      <c r="AS236" s="466"/>
      <c r="AT236" s="466"/>
      <c r="AU236" s="466"/>
      <c r="AV236" s="466"/>
      <c r="AW236" s="466"/>
      <c r="AX236" s="514">
        <f t="shared" si="1458"/>
        <v>0</v>
      </c>
      <c r="AY236" s="466"/>
      <c r="AZ236" s="466"/>
      <c r="BA236" s="466"/>
      <c r="BB236" s="466"/>
      <c r="BC236" s="551"/>
      <c r="BD236" s="551"/>
      <c r="BE236" s="527">
        <v>0.05</v>
      </c>
      <c r="BF236" s="642"/>
      <c r="BG236" s="500">
        <f>BG235</f>
        <v>0.67382904474938898</v>
      </c>
      <c r="BH236" s="500">
        <f t="shared" si="1001"/>
        <v>0</v>
      </c>
      <c r="BI236" s="514">
        <f>IFERROR(IF(BV236=100%,BG236,0),0)</f>
        <v>0</v>
      </c>
      <c r="BJ236" s="514">
        <f>BG236</f>
        <v>0.67382904474938898</v>
      </c>
      <c r="BK236" s="643"/>
      <c r="BL236" s="514">
        <f>BJ236</f>
        <v>0.67382904474938898</v>
      </c>
      <c r="BM236" s="514"/>
      <c r="BN236" s="501"/>
      <c r="BO236" s="501"/>
      <c r="BP236" s="514">
        <f>IFERROR(IF(AND((CA236+CB236)=100%,CA236&lt;1),BM236,0),0)</f>
        <v>0</v>
      </c>
      <c r="BQ236" s="643"/>
      <c r="BR236" s="501"/>
      <c r="BS236" s="501"/>
      <c r="BT236" s="501"/>
      <c r="BU236" s="501"/>
      <c r="BV236" s="571">
        <f>IFERROR(CA236/BZ236,0)</f>
        <v>0</v>
      </c>
      <c r="BW236" s="571">
        <f>IFERROR(CB236/BZ236,0)</f>
        <v>0</v>
      </c>
      <c r="BX236" s="571">
        <f>IFERROR(#REF!/BZ236,0)</f>
        <v>0</v>
      </c>
      <c r="BY236" s="518"/>
      <c r="BZ236" s="552"/>
      <c r="CA236" s="552"/>
      <c r="CB236" s="608"/>
      <c r="CC236" s="512"/>
      <c r="CD236" s="512"/>
      <c r="CE236" s="512"/>
      <c r="CF236" s="512"/>
      <c r="CG236" s="512"/>
      <c r="CH236" s="608"/>
      <c r="CI236" s="512"/>
      <c r="CJ236" s="512"/>
      <c r="CK236" s="512"/>
      <c r="CL236" s="512"/>
      <c r="CM236" s="642"/>
      <c r="CN236" s="642"/>
      <c r="CO236" s="569">
        <v>0.05</v>
      </c>
      <c r="CP236" s="642"/>
      <c r="CQ236" s="500">
        <f>CQ235</f>
        <v>0.24054326303129014</v>
      </c>
      <c r="CR236" s="500">
        <f t="shared" si="1002"/>
        <v>0</v>
      </c>
      <c r="CS236" s="514">
        <f>IFERROR(IF(DF236=100%,CQ236,0),0)</f>
        <v>0</v>
      </c>
      <c r="CT236" s="514">
        <f>CQ236</f>
        <v>0.24054326303129014</v>
      </c>
      <c r="CU236" s="643"/>
      <c r="CV236" s="514">
        <f>CT236</f>
        <v>0.24054326303129014</v>
      </c>
      <c r="CW236" s="514"/>
      <c r="CX236" s="501"/>
      <c r="CY236" s="501"/>
      <c r="CZ236" s="514">
        <f>IFERROR(IF(AND((DK236+DL236)=100%,DK236&lt;1),CW236,0),0)</f>
        <v>0</v>
      </c>
      <c r="DA236" s="501"/>
      <c r="DB236" s="501"/>
      <c r="DC236" s="501"/>
      <c r="DD236" s="501"/>
      <c r="DE236" s="501"/>
      <c r="DF236" s="570">
        <f>IFERROR(DK236/DJ236,0)</f>
        <v>0</v>
      </c>
      <c r="DG236" s="570">
        <f>IFERROR(DL236/DJ236,0)</f>
        <v>0</v>
      </c>
      <c r="DH236" s="570">
        <f>IFERROR(#REF!/DJ236,0)</f>
        <v>0</v>
      </c>
      <c r="DI236" s="518"/>
      <c r="DJ236" s="551"/>
      <c r="DK236" s="551"/>
      <c r="DL236" s="551"/>
      <c r="DM236" s="501"/>
      <c r="DN236" s="501"/>
      <c r="DO236" s="501"/>
      <c r="DP236" s="501"/>
      <c r="DQ236" s="501"/>
      <c r="DR236" s="551"/>
      <c r="DS236" s="501"/>
      <c r="DT236" s="501"/>
      <c r="DU236" s="501"/>
      <c r="DV236" s="501"/>
      <c r="DW236" s="642"/>
      <c r="DX236" s="642"/>
      <c r="DY236" s="569">
        <v>0.05</v>
      </c>
      <c r="DZ236" s="642"/>
      <c r="EA236" s="500">
        <f>EA235</f>
        <v>6.6729304949999999E-2</v>
      </c>
      <c r="EB236" s="500">
        <f t="shared" si="1003"/>
        <v>0</v>
      </c>
      <c r="EC236" s="514">
        <f>IFERROR(IF(EP236=100%,EA236,0),0)</f>
        <v>0</v>
      </c>
      <c r="ED236" s="514">
        <f>EA236</f>
        <v>6.6729304949999999E-2</v>
      </c>
      <c r="EE236" s="643"/>
      <c r="EF236" s="514">
        <f>ED236</f>
        <v>6.6729304949999999E-2</v>
      </c>
      <c r="EG236" s="514"/>
      <c r="EH236" s="515"/>
      <c r="EI236" s="515"/>
      <c r="EJ236" s="514">
        <f>IFERROR(IF(AND((EU236+EV236)=100%,EU236&lt;1),EG236,0),0)</f>
        <v>0</v>
      </c>
      <c r="EK236" s="515"/>
      <c r="EL236" s="515"/>
      <c r="EM236" s="515"/>
      <c r="EN236" s="515"/>
      <c r="EO236" s="515"/>
      <c r="EP236" s="570">
        <f>IFERROR(EU236/ET236,0)</f>
        <v>0</v>
      </c>
      <c r="EQ236" s="570">
        <f>IFERROR(EV236/ET236,0)</f>
        <v>0</v>
      </c>
      <c r="ER236" s="570">
        <f>IFERROR(#REF!/ET236,0)</f>
        <v>0</v>
      </c>
      <c r="EW236" s="515"/>
      <c r="EX236" s="515"/>
      <c r="EY236" s="515"/>
      <c r="EZ236" s="515"/>
      <c r="FA236" s="515"/>
      <c r="FC236" s="515"/>
      <c r="FD236" s="515"/>
      <c r="FE236" s="515"/>
      <c r="FF236" s="515"/>
      <c r="FG236" s="50"/>
    </row>
    <row r="237" spans="2:163" ht="3" customHeight="1">
      <c r="B237" s="564"/>
      <c r="C237" s="564"/>
      <c r="E237" s="50"/>
      <c r="F237" s="499"/>
      <c r="G237" s="500"/>
      <c r="H237" s="501"/>
      <c r="I237" s="501"/>
      <c r="J237" s="643"/>
      <c r="K237" s="501"/>
      <c r="L237" s="501"/>
      <c r="M237" s="501"/>
      <c r="N237" s="501"/>
      <c r="O237" s="501"/>
      <c r="P237" s="643"/>
      <c r="Q237" s="501"/>
      <c r="R237" s="501"/>
      <c r="S237" s="501"/>
      <c r="T237" s="50"/>
      <c r="U237" s="569"/>
      <c r="V237" s="642"/>
      <c r="W237" s="499"/>
      <c r="X237" s="500">
        <f t="shared" si="1000"/>
        <v>0</v>
      </c>
      <c r="Y237" s="501"/>
      <c r="Z237" s="501"/>
      <c r="AA237" s="643"/>
      <c r="AB237" s="501"/>
      <c r="AC237" s="501"/>
      <c r="AD237" s="501"/>
      <c r="AE237" s="501"/>
      <c r="AF237" s="501"/>
      <c r="AG237" s="643"/>
      <c r="AH237" s="501"/>
      <c r="AI237" s="501"/>
      <c r="AJ237" s="501"/>
      <c r="AK237" s="501"/>
      <c r="AL237" s="504"/>
      <c r="AM237" s="504"/>
      <c r="AN237" s="504"/>
      <c r="AO237" s="518"/>
      <c r="AP237" s="551"/>
      <c r="AQ237" s="551"/>
      <c r="AR237" s="551"/>
      <c r="AS237" s="466"/>
      <c r="AT237" s="466"/>
      <c r="AU237" s="466"/>
      <c r="AV237" s="466"/>
      <c r="AW237" s="466"/>
      <c r="AX237" s="551"/>
      <c r="AY237" s="466"/>
      <c r="AZ237" s="466"/>
      <c r="BA237" s="466"/>
      <c r="BB237" s="466"/>
      <c r="BC237" s="551"/>
      <c r="BD237" s="551"/>
      <c r="BE237" s="527"/>
      <c r="BF237" s="642"/>
      <c r="BG237" s="509"/>
      <c r="BH237" s="510">
        <f t="shared" si="1001"/>
        <v>0</v>
      </c>
      <c r="BI237" s="501"/>
      <c r="BJ237" s="501"/>
      <c r="BK237" s="643"/>
      <c r="BL237" s="501"/>
      <c r="BM237" s="501"/>
      <c r="BN237" s="501"/>
      <c r="BO237" s="501"/>
      <c r="BP237" s="501"/>
      <c r="BQ237" s="643"/>
      <c r="BR237" s="501"/>
      <c r="BS237" s="501"/>
      <c r="BT237" s="501"/>
      <c r="BU237" s="501"/>
      <c r="BV237" s="511"/>
      <c r="BW237" s="511"/>
      <c r="BX237" s="511"/>
      <c r="BY237" s="518"/>
      <c r="BZ237" s="552"/>
      <c r="CA237" s="552"/>
      <c r="CB237" s="608"/>
      <c r="CC237" s="512"/>
      <c r="CD237" s="512"/>
      <c r="CE237" s="512"/>
      <c r="CF237" s="512"/>
      <c r="CG237" s="512"/>
      <c r="CH237" s="608"/>
      <c r="CI237" s="512"/>
      <c r="CJ237" s="512"/>
      <c r="CK237" s="512"/>
      <c r="CL237" s="512"/>
      <c r="CM237" s="642"/>
      <c r="CN237" s="642"/>
      <c r="CO237" s="569"/>
      <c r="CP237" s="642"/>
      <c r="CQ237" s="509"/>
      <c r="CR237" s="510">
        <f t="shared" si="1002"/>
        <v>0</v>
      </c>
      <c r="CS237" s="501"/>
      <c r="CT237" s="501"/>
      <c r="CU237" s="501"/>
      <c r="CV237" s="501"/>
      <c r="CW237" s="501"/>
      <c r="CX237" s="501"/>
      <c r="CY237" s="501"/>
      <c r="CZ237" s="501"/>
      <c r="DA237" s="501"/>
      <c r="DB237" s="501"/>
      <c r="DC237" s="501"/>
      <c r="DD237" s="501"/>
      <c r="DE237" s="501"/>
      <c r="DF237" s="513"/>
      <c r="DG237" s="513"/>
      <c r="DH237" s="513"/>
      <c r="DI237" s="518"/>
      <c r="DJ237" s="551"/>
      <c r="DK237" s="551"/>
      <c r="DL237" s="551"/>
      <c r="DM237" s="501"/>
      <c r="DN237" s="501"/>
      <c r="DO237" s="501"/>
      <c r="DP237" s="501"/>
      <c r="DQ237" s="501"/>
      <c r="DR237" s="551"/>
      <c r="DS237" s="501"/>
      <c r="DT237" s="501"/>
      <c r="DU237" s="501"/>
      <c r="DV237" s="501"/>
      <c r="DW237" s="642"/>
      <c r="DX237" s="642"/>
      <c r="DY237" s="569"/>
      <c r="DZ237" s="642"/>
      <c r="EA237" s="509"/>
      <c r="EB237" s="510">
        <f t="shared" si="1003"/>
        <v>0</v>
      </c>
      <c r="EC237" s="515"/>
      <c r="ED237" s="515"/>
      <c r="EE237" s="515"/>
      <c r="EF237" s="515"/>
      <c r="EG237" s="515"/>
      <c r="EH237" s="515"/>
      <c r="EI237" s="515"/>
      <c r="EJ237" s="515"/>
      <c r="EK237" s="515"/>
      <c r="EL237" s="515"/>
      <c r="EM237" s="515"/>
      <c r="EN237" s="515"/>
      <c r="EO237" s="515"/>
      <c r="EP237" s="52"/>
      <c r="EQ237" s="52"/>
      <c r="ER237" s="52"/>
      <c r="EW237" s="515"/>
      <c r="EX237" s="515"/>
      <c r="EY237" s="515"/>
      <c r="EZ237" s="515"/>
      <c r="FA237" s="515"/>
      <c r="FC237" s="515"/>
      <c r="FD237" s="515"/>
      <c r="FE237" s="515"/>
      <c r="FF237" s="515"/>
      <c r="FG237" s="50"/>
    </row>
    <row r="238" spans="2:163" ht="18">
      <c r="B238" s="48"/>
      <c r="C238" s="690" t="s">
        <v>223</v>
      </c>
      <c r="D238" s="690"/>
      <c r="E238" s="433"/>
      <c r="F238" s="450"/>
      <c r="G238" s="450"/>
      <c r="H238" s="451"/>
      <c r="I238" s="451"/>
      <c r="J238" s="639"/>
      <c r="K238" s="639"/>
      <c r="L238" s="639"/>
      <c r="M238" s="639"/>
      <c r="N238" s="639"/>
      <c r="O238" s="451"/>
      <c r="P238" s="639"/>
      <c r="Q238" s="639"/>
      <c r="R238" s="639"/>
      <c r="S238" s="639"/>
      <c r="T238" s="433"/>
      <c r="U238" s="555"/>
      <c r="V238" s="453"/>
      <c r="W238" s="450">
        <f>W240</f>
        <v>0</v>
      </c>
      <c r="X238" s="450">
        <f t="shared" si="1000"/>
        <v>0</v>
      </c>
      <c r="Y238" s="451"/>
      <c r="Z238" s="451"/>
      <c r="AA238" s="639"/>
      <c r="AB238" s="639"/>
      <c r="AC238" s="639"/>
      <c r="AD238" s="639"/>
      <c r="AE238" s="639"/>
      <c r="AF238" s="451"/>
      <c r="AG238" s="639"/>
      <c r="AH238" s="639"/>
      <c r="AI238" s="639"/>
      <c r="AJ238" s="639"/>
      <c r="AK238" s="639"/>
      <c r="AL238" s="454"/>
      <c r="AM238" s="454"/>
      <c r="AN238" s="454"/>
      <c r="AO238" s="454"/>
      <c r="AP238" s="455"/>
      <c r="AQ238" s="455"/>
      <c r="AR238" s="455"/>
      <c r="AS238" s="455"/>
      <c r="AT238" s="455"/>
      <c r="AU238" s="455"/>
      <c r="AV238" s="455"/>
      <c r="AW238" s="455"/>
      <c r="AX238" s="455"/>
      <c r="AY238" s="455"/>
      <c r="AZ238" s="455"/>
      <c r="BA238" s="455"/>
      <c r="BB238" s="455"/>
      <c r="BC238" s="455"/>
      <c r="BD238" s="455"/>
      <c r="BE238" s="456"/>
      <c r="BF238" s="453"/>
      <c r="BG238" s="556">
        <f>BG240</f>
        <v>0</v>
      </c>
      <c r="BH238" s="450">
        <f t="shared" si="1001"/>
        <v>0</v>
      </c>
      <c r="BI238" s="640"/>
      <c r="BJ238" s="640"/>
      <c r="BK238" s="639"/>
      <c r="BL238" s="639"/>
      <c r="BM238" s="639"/>
      <c r="BN238" s="639"/>
      <c r="BO238" s="639"/>
      <c r="BP238" s="640"/>
      <c r="BQ238" s="639"/>
      <c r="BR238" s="639"/>
      <c r="BS238" s="639"/>
      <c r="BT238" s="639"/>
      <c r="BU238" s="639"/>
      <c r="BV238" s="457"/>
      <c r="BW238" s="457"/>
      <c r="BX238" s="457"/>
      <c r="BY238" s="454"/>
      <c r="BZ238" s="458"/>
      <c r="CA238" s="458"/>
      <c r="CB238" s="459"/>
      <c r="CC238" s="460"/>
      <c r="CD238" s="460"/>
      <c r="CE238" s="460"/>
      <c r="CF238" s="460"/>
      <c r="CG238" s="460"/>
      <c r="CH238" s="459"/>
      <c r="CI238" s="460"/>
      <c r="CJ238" s="460"/>
      <c r="CK238" s="460"/>
      <c r="CL238" s="460"/>
      <c r="CM238" s="453"/>
      <c r="CN238" s="453"/>
      <c r="CO238" s="457"/>
      <c r="CP238" s="453"/>
      <c r="CQ238" s="556">
        <f>CQ240</f>
        <v>0</v>
      </c>
      <c r="CR238" s="450">
        <f t="shared" si="1002"/>
        <v>0</v>
      </c>
      <c r="CS238" s="640"/>
      <c r="CT238" s="640"/>
      <c r="CU238" s="451"/>
      <c r="CV238" s="451"/>
      <c r="CW238" s="451"/>
      <c r="CX238" s="451"/>
      <c r="CY238" s="451"/>
      <c r="CZ238" s="640"/>
      <c r="DA238" s="451"/>
      <c r="DB238" s="451"/>
      <c r="DC238" s="451"/>
      <c r="DD238" s="451"/>
      <c r="DE238" s="451"/>
      <c r="DF238" s="461"/>
      <c r="DG238" s="461"/>
      <c r="DH238" s="461"/>
      <c r="DI238" s="454"/>
      <c r="DJ238" s="455"/>
      <c r="DK238" s="455"/>
      <c r="DL238" s="455"/>
      <c r="DM238" s="451"/>
      <c r="DN238" s="451"/>
      <c r="DO238" s="451"/>
      <c r="DP238" s="451"/>
      <c r="DQ238" s="451"/>
      <c r="DR238" s="455"/>
      <c r="DS238" s="451"/>
      <c r="DT238" s="451"/>
      <c r="DU238" s="451"/>
      <c r="DV238" s="451"/>
      <c r="DW238" s="453"/>
      <c r="DX238" s="453"/>
      <c r="DY238" s="555"/>
      <c r="DZ238" s="453"/>
      <c r="EA238" s="556">
        <f>EA240</f>
        <v>0</v>
      </c>
      <c r="EB238" s="450">
        <f t="shared" si="1003"/>
        <v>0</v>
      </c>
      <c r="EC238" s="448"/>
      <c r="ED238" s="448"/>
      <c r="EE238" s="641"/>
      <c r="EF238" s="641"/>
      <c r="EG238" s="641"/>
      <c r="EH238" s="641"/>
      <c r="EI238" s="641"/>
      <c r="EJ238" s="448"/>
      <c r="EK238" s="641"/>
      <c r="EL238" s="641"/>
      <c r="EM238" s="641"/>
      <c r="EN238" s="641"/>
      <c r="EO238" s="641"/>
      <c r="EP238" s="474"/>
      <c r="EQ238" s="474"/>
      <c r="ER238" s="474"/>
      <c r="ES238" s="475"/>
      <c r="ET238" s="476"/>
      <c r="EU238" s="476"/>
      <c r="EV238" s="476"/>
      <c r="EW238" s="641"/>
      <c r="EX238" s="641"/>
      <c r="EY238" s="641"/>
      <c r="EZ238" s="641"/>
      <c r="FA238" s="641"/>
      <c r="FB238" s="476"/>
      <c r="FC238" s="641"/>
      <c r="FD238" s="641"/>
      <c r="FE238" s="641"/>
      <c r="FF238" s="641"/>
      <c r="FG238" s="433"/>
    </row>
    <row r="239" spans="2:163" ht="3" customHeight="1" outlineLevel="1">
      <c r="F239" s="499"/>
      <c r="G239" s="500"/>
      <c r="H239" s="519"/>
      <c r="I239" s="519"/>
      <c r="J239" s="519"/>
      <c r="K239" s="519"/>
      <c r="L239" s="519"/>
      <c r="M239" s="519"/>
      <c r="N239" s="519"/>
      <c r="O239" s="519"/>
      <c r="P239" s="519"/>
      <c r="Q239" s="519"/>
      <c r="R239" s="519"/>
      <c r="S239" s="519"/>
      <c r="U239" s="511"/>
      <c r="V239" s="508"/>
      <c r="W239" s="499"/>
      <c r="X239" s="500">
        <f t="shared" si="1000"/>
        <v>0</v>
      </c>
      <c r="Y239" s="519"/>
      <c r="Z239" s="519"/>
      <c r="AA239" s="519"/>
      <c r="AB239" s="519"/>
      <c r="AC239" s="519"/>
      <c r="AD239" s="519"/>
      <c r="AE239" s="519"/>
      <c r="AF239" s="519"/>
      <c r="AG239" s="519"/>
      <c r="AH239" s="519"/>
      <c r="AI239" s="519"/>
      <c r="AJ239" s="519"/>
      <c r="AK239" s="519"/>
      <c r="AL239" s="519"/>
      <c r="AM239" s="519"/>
      <c r="AN239" s="519"/>
      <c r="AO239" s="518"/>
      <c r="AP239" s="551"/>
      <c r="AQ239" s="551"/>
      <c r="AR239" s="551"/>
      <c r="AS239" s="551"/>
      <c r="AT239" s="551"/>
      <c r="AU239" s="551"/>
      <c r="AV239" s="551"/>
      <c r="AW239" s="551"/>
      <c r="AX239" s="551"/>
      <c r="AY239" s="551"/>
      <c r="AZ239" s="551"/>
      <c r="BA239" s="551"/>
      <c r="BB239" s="551"/>
      <c r="BC239" s="551"/>
      <c r="BD239" s="551"/>
      <c r="BE239" s="507"/>
      <c r="BF239" s="508"/>
      <c r="BG239" s="509"/>
      <c r="BH239" s="510">
        <f t="shared" si="1001"/>
        <v>0</v>
      </c>
      <c r="BI239" s="519"/>
      <c r="BJ239" s="519"/>
      <c r="BK239" s="519"/>
      <c r="BL239" s="519"/>
      <c r="BM239" s="519"/>
      <c r="BN239" s="519"/>
      <c r="BO239" s="519"/>
      <c r="BP239" s="519"/>
      <c r="BQ239" s="519"/>
      <c r="BR239" s="519"/>
      <c r="BS239" s="519"/>
      <c r="BT239" s="519"/>
      <c r="BU239" s="519"/>
      <c r="BV239" s="511"/>
      <c r="BW239" s="511"/>
      <c r="BX239" s="511"/>
      <c r="BY239" s="518"/>
      <c r="BZ239" s="552"/>
      <c r="CA239" s="552"/>
      <c r="CB239" s="608"/>
      <c r="CC239" s="552"/>
      <c r="CD239" s="552"/>
      <c r="CE239" s="552"/>
      <c r="CF239" s="552"/>
      <c r="CG239" s="552"/>
      <c r="CH239" s="608"/>
      <c r="CI239" s="552"/>
      <c r="CJ239" s="552"/>
      <c r="CK239" s="552"/>
      <c r="CL239" s="552"/>
      <c r="CM239" s="508"/>
      <c r="CN239" s="508"/>
      <c r="CO239" s="511"/>
      <c r="CP239" s="508"/>
      <c r="CQ239" s="509"/>
      <c r="CR239" s="510">
        <f t="shared" si="1002"/>
        <v>0</v>
      </c>
      <c r="CS239" s="519"/>
      <c r="CT239" s="519"/>
      <c r="CU239" s="519"/>
      <c r="CV239" s="519"/>
      <c r="CW239" s="519"/>
      <c r="CX239" s="519"/>
      <c r="CY239" s="519"/>
      <c r="CZ239" s="519"/>
      <c r="DA239" s="519"/>
      <c r="DB239" s="519"/>
      <c r="DC239" s="519"/>
      <c r="DD239" s="519"/>
      <c r="DE239" s="519"/>
      <c r="DF239" s="513"/>
      <c r="DG239" s="513"/>
      <c r="DH239" s="513"/>
      <c r="DI239" s="518"/>
      <c r="DJ239" s="551"/>
      <c r="DK239" s="551"/>
      <c r="DL239" s="551"/>
      <c r="DM239" s="519"/>
      <c r="DN239" s="519"/>
      <c r="DO239" s="519"/>
      <c r="DP239" s="519"/>
      <c r="DQ239" s="519"/>
      <c r="DR239" s="551"/>
      <c r="DS239" s="519"/>
      <c r="DT239" s="519"/>
      <c r="DU239" s="519"/>
      <c r="DV239" s="519"/>
      <c r="DW239" s="508"/>
      <c r="DX239" s="508"/>
      <c r="DY239" s="511"/>
      <c r="DZ239" s="508"/>
      <c r="EA239" s="509"/>
      <c r="EB239" s="510">
        <f t="shared" si="1003"/>
        <v>0</v>
      </c>
      <c r="EP239" s="52"/>
      <c r="EQ239" s="52"/>
      <c r="ER239" s="52"/>
    </row>
    <row r="240" spans="2:163" ht="14.25" outlineLevel="1">
      <c r="B240" s="477"/>
      <c r="C240" s="559">
        <f t="shared" ref="C240:V243" si="1475">C86</f>
        <v>4</v>
      </c>
      <c r="D240" s="560" t="str">
        <f t="shared" si="1475"/>
        <v>GFC | Tower—3V-5V</v>
      </c>
      <c r="E240" s="644">
        <f t="shared" ref="E240" si="1476">E86</f>
        <v>0</v>
      </c>
      <c r="F240" s="645">
        <f t="shared" ref="F240" si="1477">W240+BG240+CQ240+EA240</f>
        <v>0</v>
      </c>
      <c r="G240" s="645">
        <f t="shared" ref="G240" si="1478">X240+BH240+CR240+EB240</f>
        <v>0</v>
      </c>
      <c r="H240" s="646">
        <f t="shared" ref="H240" si="1479">F240-G240</f>
        <v>0</v>
      </c>
      <c r="I240" s="646">
        <f t="shared" ref="I240" si="1480">Z240+BJ240+CT240+ED240</f>
        <v>0</v>
      </c>
      <c r="J240" s="646">
        <f t="shared" ref="J240" si="1481">AA240+BK240+CU240+EE240</f>
        <v>0</v>
      </c>
      <c r="K240" s="646">
        <f t="shared" ref="K240" si="1482">AB240+BL240+CV240+EF240</f>
        <v>0</v>
      </c>
      <c r="L240" s="646">
        <f t="shared" ref="L240" si="1483">AC240+BM240+CW240+EG240</f>
        <v>0</v>
      </c>
      <c r="M240" s="646">
        <f t="shared" ref="M240" si="1484">AD240+BN240+CX240+EH240</f>
        <v>0</v>
      </c>
      <c r="N240" s="482"/>
      <c r="O240" s="646">
        <f t="shared" ref="O240" si="1485">AF240+BP240+CZ240+EJ240</f>
        <v>0</v>
      </c>
      <c r="P240" s="646">
        <f t="shared" ref="P240" si="1486">AG240+BQ240+DA240+EK240</f>
        <v>0</v>
      </c>
      <c r="Q240" s="646">
        <f t="shared" ref="Q240" si="1487">AH240+BR240+DB240+EL240</f>
        <v>0</v>
      </c>
      <c r="R240" s="646">
        <f t="shared" ref="R240" si="1488">AI240+BS240+DC240+EM240</f>
        <v>0</v>
      </c>
      <c r="S240" s="646">
        <f t="shared" ref="S240" si="1489">AJ240+BT240+DD240+EN240</f>
        <v>0</v>
      </c>
      <c r="T240" s="644">
        <f t="shared" si="1475"/>
        <v>0</v>
      </c>
      <c r="U240" s="483">
        <f t="shared" si="1475"/>
        <v>0.5</v>
      </c>
      <c r="V240" s="645">
        <f t="shared" si="1475"/>
        <v>0</v>
      </c>
      <c r="W240" s="645">
        <f>SUM(W241:W250)</f>
        <v>0</v>
      </c>
      <c r="X240" s="645">
        <f t="shared" si="1000"/>
        <v>0</v>
      </c>
      <c r="Y240" s="646">
        <f t="shared" ref="Y240:CT240" si="1490">SUM(Y241:Y250)</f>
        <v>0</v>
      </c>
      <c r="Z240" s="646">
        <f t="shared" si="1490"/>
        <v>0</v>
      </c>
      <c r="AA240" s="646">
        <f t="shared" si="1490"/>
        <v>0</v>
      </c>
      <c r="AB240" s="646">
        <f t="shared" si="1490"/>
        <v>0</v>
      </c>
      <c r="AC240" s="646">
        <f t="shared" si="1490"/>
        <v>0</v>
      </c>
      <c r="AD240" s="646">
        <f t="shared" si="1490"/>
        <v>0</v>
      </c>
      <c r="AE240" s="482"/>
      <c r="AF240" s="646">
        <f t="shared" si="1490"/>
        <v>0</v>
      </c>
      <c r="AG240" s="646">
        <f t="shared" si="1490"/>
        <v>0</v>
      </c>
      <c r="AH240" s="646">
        <f t="shared" si="1490"/>
        <v>0</v>
      </c>
      <c r="AI240" s="646">
        <f t="shared" si="1490"/>
        <v>0</v>
      </c>
      <c r="AJ240" s="646">
        <f t="shared" si="1490"/>
        <v>0</v>
      </c>
      <c r="AK240" s="482"/>
      <c r="AL240" s="646">
        <f t="shared" si="1490"/>
        <v>0</v>
      </c>
      <c r="AM240" s="646">
        <f t="shared" si="1490"/>
        <v>0</v>
      </c>
      <c r="AN240" s="646">
        <f t="shared" si="1490"/>
        <v>0</v>
      </c>
      <c r="AO240" s="646">
        <f t="shared" si="1490"/>
        <v>0</v>
      </c>
      <c r="AP240" s="646">
        <f t="shared" si="1490"/>
        <v>0</v>
      </c>
      <c r="AQ240" s="646">
        <f t="shared" si="1490"/>
        <v>0</v>
      </c>
      <c r="AR240" s="646">
        <f t="shared" si="1490"/>
        <v>0</v>
      </c>
      <c r="AS240" s="646">
        <f t="shared" si="1490"/>
        <v>0</v>
      </c>
      <c r="AT240" s="646">
        <f t="shared" si="1490"/>
        <v>0</v>
      </c>
      <c r="AU240" s="646">
        <f t="shared" si="1490"/>
        <v>0</v>
      </c>
      <c r="AV240" s="646">
        <f t="shared" si="1490"/>
        <v>0</v>
      </c>
      <c r="AW240" s="482"/>
      <c r="AX240" s="646">
        <f t="shared" si="1490"/>
        <v>0</v>
      </c>
      <c r="AY240" s="646">
        <f t="shared" si="1490"/>
        <v>0</v>
      </c>
      <c r="AZ240" s="646">
        <f t="shared" si="1490"/>
        <v>0</v>
      </c>
      <c r="BA240" s="646">
        <f t="shared" si="1490"/>
        <v>0</v>
      </c>
      <c r="BB240" s="646">
        <f t="shared" si="1490"/>
        <v>0</v>
      </c>
      <c r="BC240" s="646">
        <f t="shared" si="1490"/>
        <v>0</v>
      </c>
      <c r="BD240" s="487"/>
      <c r="BE240" s="483">
        <f t="shared" si="1490"/>
        <v>0</v>
      </c>
      <c r="BF240" s="645">
        <f t="shared" si="1490"/>
        <v>0</v>
      </c>
      <c r="BG240" s="645">
        <f t="shared" si="1490"/>
        <v>0</v>
      </c>
      <c r="BH240" s="645">
        <f t="shared" si="1001"/>
        <v>0</v>
      </c>
      <c r="BI240" s="646">
        <f t="shared" si="1490"/>
        <v>0</v>
      </c>
      <c r="BJ240" s="646">
        <f t="shared" si="1490"/>
        <v>0</v>
      </c>
      <c r="BK240" s="646">
        <f t="shared" si="1490"/>
        <v>0</v>
      </c>
      <c r="BL240" s="646">
        <f t="shared" si="1490"/>
        <v>0</v>
      </c>
      <c r="BM240" s="646">
        <f t="shared" si="1490"/>
        <v>0</v>
      </c>
      <c r="BN240" s="646">
        <f t="shared" si="1490"/>
        <v>0</v>
      </c>
      <c r="BO240" s="482"/>
      <c r="BP240" s="646">
        <f t="shared" si="1490"/>
        <v>0</v>
      </c>
      <c r="BQ240" s="646">
        <f t="shared" si="1490"/>
        <v>0</v>
      </c>
      <c r="BR240" s="646">
        <f t="shared" si="1490"/>
        <v>0</v>
      </c>
      <c r="BS240" s="646">
        <f t="shared" si="1490"/>
        <v>0</v>
      </c>
      <c r="BT240" s="646">
        <f t="shared" si="1490"/>
        <v>0</v>
      </c>
      <c r="BU240" s="482"/>
      <c r="BV240" s="488">
        <f t="shared" si="1490"/>
        <v>0</v>
      </c>
      <c r="BW240" s="488">
        <f t="shared" si="1490"/>
        <v>0</v>
      </c>
      <c r="BX240" s="488">
        <f t="shared" si="1490"/>
        <v>0</v>
      </c>
      <c r="BY240" s="646">
        <f t="shared" si="1490"/>
        <v>0</v>
      </c>
      <c r="BZ240" s="646">
        <f t="shared" si="1490"/>
        <v>0</v>
      </c>
      <c r="CA240" s="646">
        <f t="shared" si="1490"/>
        <v>0</v>
      </c>
      <c r="CB240" s="646">
        <f t="shared" si="1490"/>
        <v>0</v>
      </c>
      <c r="CC240" s="646">
        <f t="shared" si="1490"/>
        <v>0</v>
      </c>
      <c r="CD240" s="646">
        <f t="shared" si="1490"/>
        <v>0</v>
      </c>
      <c r="CE240" s="646">
        <f t="shared" si="1490"/>
        <v>0</v>
      </c>
      <c r="CF240" s="646">
        <f t="shared" si="1490"/>
        <v>0</v>
      </c>
      <c r="CG240" s="490"/>
      <c r="CH240" s="646">
        <f t="shared" si="1490"/>
        <v>0</v>
      </c>
      <c r="CI240" s="646">
        <f t="shared" si="1490"/>
        <v>0</v>
      </c>
      <c r="CJ240" s="646">
        <f t="shared" si="1490"/>
        <v>0</v>
      </c>
      <c r="CK240" s="646">
        <f t="shared" si="1490"/>
        <v>0</v>
      </c>
      <c r="CL240" s="646">
        <f t="shared" si="1490"/>
        <v>0</v>
      </c>
      <c r="CM240" s="645">
        <f t="shared" si="1490"/>
        <v>0</v>
      </c>
      <c r="CN240" s="483"/>
      <c r="CO240" s="645">
        <f t="shared" si="1490"/>
        <v>0</v>
      </c>
      <c r="CP240" s="645">
        <f t="shared" si="1490"/>
        <v>0</v>
      </c>
      <c r="CQ240" s="645">
        <f t="shared" si="1490"/>
        <v>0</v>
      </c>
      <c r="CR240" s="645">
        <f t="shared" si="1002"/>
        <v>0</v>
      </c>
      <c r="CS240" s="646">
        <f t="shared" si="1490"/>
        <v>0</v>
      </c>
      <c r="CT240" s="646">
        <f t="shared" si="1490"/>
        <v>0</v>
      </c>
      <c r="CU240" s="646">
        <f t="shared" ref="CU240:FG240" si="1491">SUM(CU241:CU250)</f>
        <v>0</v>
      </c>
      <c r="CV240" s="646">
        <f t="shared" si="1491"/>
        <v>0</v>
      </c>
      <c r="CW240" s="646">
        <f t="shared" si="1491"/>
        <v>0</v>
      </c>
      <c r="CX240" s="646">
        <f t="shared" si="1491"/>
        <v>0</v>
      </c>
      <c r="CY240" s="482"/>
      <c r="CZ240" s="646">
        <f t="shared" si="1491"/>
        <v>0</v>
      </c>
      <c r="DA240" s="646">
        <f t="shared" si="1491"/>
        <v>0</v>
      </c>
      <c r="DB240" s="646">
        <f t="shared" si="1491"/>
        <v>0</v>
      </c>
      <c r="DC240" s="646">
        <f t="shared" si="1491"/>
        <v>0</v>
      </c>
      <c r="DD240" s="646">
        <f t="shared" si="1491"/>
        <v>0</v>
      </c>
      <c r="DE240" s="482"/>
      <c r="DF240" s="492">
        <f t="shared" si="1491"/>
        <v>0</v>
      </c>
      <c r="DG240" s="492">
        <f t="shared" si="1491"/>
        <v>0</v>
      </c>
      <c r="DH240" s="492">
        <f t="shared" si="1491"/>
        <v>0</v>
      </c>
      <c r="DI240" s="646">
        <f t="shared" si="1491"/>
        <v>0</v>
      </c>
      <c r="DJ240" s="646">
        <f t="shared" si="1491"/>
        <v>0</v>
      </c>
      <c r="DK240" s="646">
        <f t="shared" si="1491"/>
        <v>0</v>
      </c>
      <c r="DL240" s="646">
        <f t="shared" si="1491"/>
        <v>0</v>
      </c>
      <c r="DM240" s="646">
        <f t="shared" si="1491"/>
        <v>0</v>
      </c>
      <c r="DN240" s="646">
        <f t="shared" si="1491"/>
        <v>0</v>
      </c>
      <c r="DO240" s="646">
        <f t="shared" si="1491"/>
        <v>0</v>
      </c>
      <c r="DP240" s="646">
        <f t="shared" si="1491"/>
        <v>0</v>
      </c>
      <c r="DQ240" s="482"/>
      <c r="DR240" s="646">
        <f t="shared" si="1491"/>
        <v>0</v>
      </c>
      <c r="DS240" s="646">
        <f t="shared" si="1491"/>
        <v>0</v>
      </c>
      <c r="DT240" s="646">
        <f t="shared" si="1491"/>
        <v>0</v>
      </c>
      <c r="DU240" s="646">
        <f t="shared" si="1491"/>
        <v>0</v>
      </c>
      <c r="DV240" s="646">
        <f t="shared" si="1491"/>
        <v>0</v>
      </c>
      <c r="DW240" s="645">
        <f t="shared" si="1491"/>
        <v>0</v>
      </c>
      <c r="DX240" s="483"/>
      <c r="DY240" s="645">
        <f t="shared" si="1491"/>
        <v>0</v>
      </c>
      <c r="DZ240" s="645">
        <f t="shared" si="1491"/>
        <v>0</v>
      </c>
      <c r="EA240" s="646">
        <f t="shared" si="1491"/>
        <v>0</v>
      </c>
      <c r="EB240" s="645">
        <f t="shared" si="1003"/>
        <v>0</v>
      </c>
      <c r="EC240" s="647">
        <f t="shared" si="1491"/>
        <v>0</v>
      </c>
      <c r="ED240" s="647">
        <f t="shared" si="1491"/>
        <v>0</v>
      </c>
      <c r="EE240" s="647">
        <f t="shared" si="1491"/>
        <v>0</v>
      </c>
      <c r="EF240" s="647">
        <f t="shared" si="1491"/>
        <v>0</v>
      </c>
      <c r="EG240" s="647">
        <f t="shared" si="1491"/>
        <v>0</v>
      </c>
      <c r="EH240" s="647">
        <f t="shared" si="1491"/>
        <v>0</v>
      </c>
      <c r="EI240" s="562"/>
      <c r="EJ240" s="647">
        <f t="shared" si="1491"/>
        <v>0</v>
      </c>
      <c r="EK240" s="647">
        <f t="shared" si="1491"/>
        <v>0</v>
      </c>
      <c r="EL240" s="647">
        <f t="shared" si="1491"/>
        <v>0</v>
      </c>
      <c r="EM240" s="647">
        <f t="shared" si="1491"/>
        <v>0</v>
      </c>
      <c r="EN240" s="647">
        <f t="shared" si="1491"/>
        <v>0</v>
      </c>
      <c r="EO240" s="562"/>
      <c r="EP240" s="563">
        <f t="shared" si="1491"/>
        <v>0</v>
      </c>
      <c r="EQ240" s="563">
        <f t="shared" si="1491"/>
        <v>0</v>
      </c>
      <c r="ER240" s="563">
        <f t="shared" si="1491"/>
        <v>0</v>
      </c>
      <c r="ES240" s="647">
        <f t="shared" si="1491"/>
        <v>0</v>
      </c>
      <c r="ET240" s="647">
        <f t="shared" si="1491"/>
        <v>0</v>
      </c>
      <c r="EU240" s="647">
        <f t="shared" si="1491"/>
        <v>0</v>
      </c>
      <c r="EV240" s="647">
        <f t="shared" si="1491"/>
        <v>0</v>
      </c>
      <c r="EW240" s="647">
        <f t="shared" si="1491"/>
        <v>0</v>
      </c>
      <c r="EX240" s="647">
        <f t="shared" si="1491"/>
        <v>0</v>
      </c>
      <c r="EY240" s="647">
        <f t="shared" si="1491"/>
        <v>0</v>
      </c>
      <c r="EZ240" s="647">
        <f t="shared" si="1491"/>
        <v>0</v>
      </c>
      <c r="FA240" s="562"/>
      <c r="FB240" s="647">
        <f t="shared" si="1491"/>
        <v>0</v>
      </c>
      <c r="FC240" s="647">
        <f t="shared" si="1491"/>
        <v>0</v>
      </c>
      <c r="FD240" s="647">
        <f t="shared" si="1491"/>
        <v>0</v>
      </c>
      <c r="FE240" s="647">
        <f t="shared" si="1491"/>
        <v>0</v>
      </c>
      <c r="FF240" s="647">
        <f t="shared" si="1491"/>
        <v>0</v>
      </c>
      <c r="FG240" s="648">
        <f t="shared" si="1491"/>
        <v>0</v>
      </c>
    </row>
    <row r="241" spans="2:163" ht="14.25" outlineLevel="2">
      <c r="B241" s="564" t="s">
        <v>96</v>
      </c>
      <c r="C241" s="649">
        <f t="shared" si="1475"/>
        <v>1</v>
      </c>
      <c r="D241" s="566" t="str">
        <f t="shared" si="1475"/>
        <v>Foundation and Grade Slab</v>
      </c>
      <c r="E241" s="648">
        <f t="shared" ref="E241" si="1492">E87</f>
        <v>0</v>
      </c>
      <c r="F241" s="500"/>
      <c r="G241" s="500"/>
      <c r="H241" s="514"/>
      <c r="I241" s="514"/>
      <c r="J241" s="514"/>
      <c r="K241" s="514"/>
      <c r="L241" s="514"/>
      <c r="M241" s="567"/>
      <c r="N241" s="568"/>
      <c r="O241" s="514"/>
      <c r="P241" s="514"/>
      <c r="Q241" s="514"/>
      <c r="R241" s="514"/>
      <c r="S241" s="514"/>
      <c r="T241" s="648"/>
      <c r="U241" s="609"/>
      <c r="V241" s="650"/>
      <c r="W241" s="651"/>
      <c r="X241" s="651"/>
      <c r="Y241" s="501"/>
      <c r="Z241" s="652"/>
      <c r="AA241" s="652"/>
      <c r="AB241" s="652"/>
      <c r="AC241" s="652"/>
      <c r="AD241" s="653"/>
      <c r="AE241" s="568"/>
      <c r="AF241" s="652"/>
      <c r="AG241" s="652"/>
      <c r="AH241" s="652"/>
      <c r="AI241" s="652"/>
      <c r="AJ241" s="652"/>
      <c r="AK241" s="501"/>
      <c r="AL241" s="513"/>
      <c r="AM241" s="513"/>
      <c r="AN241" s="513"/>
      <c r="AO241" s="654"/>
      <c r="AP241" s="652"/>
      <c r="AQ241" s="521"/>
      <c r="AR241" s="521"/>
      <c r="AS241" s="521"/>
      <c r="AT241" s="521"/>
      <c r="AU241" s="521"/>
      <c r="AV241" s="521"/>
      <c r="AW241" s="466"/>
      <c r="AX241" s="521"/>
      <c r="AY241" s="521"/>
      <c r="AZ241" s="521"/>
      <c r="BA241" s="521"/>
      <c r="BB241" s="521"/>
      <c r="BC241" s="521"/>
      <c r="BD241" s="466"/>
      <c r="BE241" s="654"/>
      <c r="BF241" s="652"/>
      <c r="BG241" s="521"/>
      <c r="BH241" s="655"/>
      <c r="BI241" s="501"/>
      <c r="BJ241" s="652"/>
      <c r="BK241" s="652"/>
      <c r="BL241" s="652"/>
      <c r="BM241" s="652"/>
      <c r="BN241" s="652"/>
      <c r="BO241" s="501"/>
      <c r="BP241" s="652"/>
      <c r="BQ241" s="652"/>
      <c r="BR241" s="652"/>
      <c r="BS241" s="652"/>
      <c r="BT241" s="652"/>
      <c r="BU241" s="501"/>
      <c r="BV241" s="511"/>
      <c r="BW241" s="511"/>
      <c r="BX241" s="511"/>
      <c r="BY241" s="518"/>
      <c r="BZ241" s="552"/>
      <c r="CA241" s="471"/>
      <c r="CB241" s="548"/>
      <c r="CC241" s="471"/>
      <c r="CD241" s="471"/>
      <c r="CE241" s="471"/>
      <c r="CF241" s="471"/>
      <c r="CG241" s="471"/>
      <c r="CH241" s="548"/>
      <c r="CI241" s="471"/>
      <c r="CJ241" s="471"/>
      <c r="CK241" s="471"/>
      <c r="CL241" s="471"/>
      <c r="CM241" s="652"/>
      <c r="CN241" s="508"/>
      <c r="CO241" s="654"/>
      <c r="CP241" s="652"/>
      <c r="CQ241" s="521"/>
      <c r="CR241" s="655"/>
      <c r="CS241" s="652"/>
      <c r="CT241" s="652"/>
      <c r="CU241" s="652"/>
      <c r="CV241" s="652"/>
      <c r="CW241" s="652"/>
      <c r="CX241" s="652"/>
      <c r="CY241" s="501"/>
      <c r="CZ241" s="652"/>
      <c r="DA241" s="652"/>
      <c r="DB241" s="652"/>
      <c r="DC241" s="652"/>
      <c r="DD241" s="652"/>
      <c r="DE241" s="501"/>
      <c r="DF241" s="513"/>
      <c r="DG241" s="513"/>
      <c r="DH241" s="513"/>
      <c r="DI241" s="654"/>
      <c r="DJ241" s="652"/>
      <c r="DK241" s="521"/>
      <c r="DL241" s="521"/>
      <c r="DM241" s="652"/>
      <c r="DN241" s="652"/>
      <c r="DO241" s="652"/>
      <c r="DP241" s="652"/>
      <c r="DQ241" s="501"/>
      <c r="DR241" s="521"/>
      <c r="DS241" s="652"/>
      <c r="DT241" s="652"/>
      <c r="DU241" s="652"/>
      <c r="DV241" s="652"/>
      <c r="DW241" s="652"/>
      <c r="DX241" s="508"/>
      <c r="DY241" s="654"/>
      <c r="DZ241" s="652"/>
      <c r="EA241" s="521"/>
      <c r="EB241" s="655"/>
      <c r="EC241" s="656"/>
      <c r="ED241" s="656"/>
      <c r="EE241" s="652"/>
      <c r="EF241" s="652"/>
      <c r="EG241" s="652"/>
      <c r="EH241" s="652"/>
      <c r="EI241" s="501"/>
      <c r="EJ241" s="656"/>
      <c r="EK241" s="652"/>
      <c r="EL241" s="652"/>
      <c r="EM241" s="652"/>
      <c r="EN241" s="652"/>
      <c r="EO241" s="501"/>
      <c r="EP241" s="657"/>
      <c r="EQ241" s="657"/>
      <c r="ER241" s="657"/>
      <c r="ES241" s="658"/>
      <c r="ET241" s="648"/>
      <c r="EU241" s="659"/>
      <c r="EV241" s="659"/>
      <c r="EW241" s="648"/>
      <c r="EX241" s="648"/>
      <c r="EY241" s="648"/>
      <c r="EZ241" s="648"/>
      <c r="FA241" s="515"/>
      <c r="FB241" s="659"/>
      <c r="FC241" s="648"/>
      <c r="FD241" s="648"/>
      <c r="FE241" s="648"/>
      <c r="FF241" s="648"/>
      <c r="FG241" s="648">
        <f t="shared" ref="FG241" si="1493">FG87</f>
        <v>0</v>
      </c>
    </row>
    <row r="242" spans="2:163" ht="14.25" outlineLevel="2">
      <c r="B242" s="564" t="s">
        <v>97</v>
      </c>
      <c r="C242" s="649">
        <f t="shared" si="1475"/>
        <v>2</v>
      </c>
      <c r="D242" s="566" t="str">
        <f t="shared" si="1475"/>
        <v>Parking Level-Sub grade</v>
      </c>
      <c r="E242" s="648">
        <f t="shared" ref="E242" si="1494">E88</f>
        <v>0</v>
      </c>
      <c r="F242" s="500"/>
      <c r="G242" s="500"/>
      <c r="H242" s="514"/>
      <c r="I242" s="514"/>
      <c r="J242" s="514"/>
      <c r="K242" s="514"/>
      <c r="L242" s="514"/>
      <c r="M242" s="567"/>
      <c r="N242" s="568"/>
      <c r="O242" s="514"/>
      <c r="P242" s="514"/>
      <c r="Q242" s="514"/>
      <c r="R242" s="514"/>
      <c r="S242" s="514"/>
      <c r="T242" s="648"/>
      <c r="U242" s="609"/>
      <c r="V242" s="650"/>
      <c r="W242" s="651"/>
      <c r="X242" s="651"/>
      <c r="Y242" s="501"/>
      <c r="Z242" s="652"/>
      <c r="AA242" s="652"/>
      <c r="AB242" s="652"/>
      <c r="AC242" s="652"/>
      <c r="AD242" s="653"/>
      <c r="AE242" s="568"/>
      <c r="AF242" s="652"/>
      <c r="AG242" s="652"/>
      <c r="AH242" s="652"/>
      <c r="AI242" s="652"/>
      <c r="AJ242" s="652"/>
      <c r="AK242" s="501"/>
      <c r="AL242" s="513"/>
      <c r="AM242" s="513"/>
      <c r="AN242" s="513"/>
      <c r="AO242" s="654"/>
      <c r="AP242" s="652"/>
      <c r="AQ242" s="521"/>
      <c r="AR242" s="521"/>
      <c r="AS242" s="521"/>
      <c r="AT242" s="521"/>
      <c r="AU242" s="521"/>
      <c r="AV242" s="521"/>
      <c r="AW242" s="466"/>
      <c r="AX242" s="521"/>
      <c r="AY242" s="521"/>
      <c r="AZ242" s="521"/>
      <c r="BA242" s="521"/>
      <c r="BB242" s="521"/>
      <c r="BC242" s="652"/>
      <c r="BD242" s="551"/>
      <c r="BE242" s="654"/>
      <c r="BF242" s="652"/>
      <c r="BG242" s="521"/>
      <c r="BH242" s="655"/>
      <c r="BI242" s="501"/>
      <c r="BJ242" s="652"/>
      <c r="BK242" s="501"/>
      <c r="BL242" s="652"/>
      <c r="BM242" s="652"/>
      <c r="BN242" s="652"/>
      <c r="BO242" s="501"/>
      <c r="BP242" s="652"/>
      <c r="BQ242" s="652"/>
      <c r="BR242" s="652"/>
      <c r="BS242" s="652"/>
      <c r="BT242" s="652"/>
      <c r="BU242" s="501"/>
      <c r="BV242" s="511"/>
      <c r="BW242" s="511"/>
      <c r="BX242" s="511"/>
      <c r="BY242" s="518"/>
      <c r="BZ242" s="552"/>
      <c r="CA242" s="471"/>
      <c r="CB242" s="548"/>
      <c r="CC242" s="471"/>
      <c r="CD242" s="471"/>
      <c r="CE242" s="471"/>
      <c r="CF242" s="471"/>
      <c r="CG242" s="471"/>
      <c r="CH242" s="548"/>
      <c r="CI242" s="471"/>
      <c r="CJ242" s="471"/>
      <c r="CK242" s="471"/>
      <c r="CL242" s="471"/>
      <c r="CM242" s="652"/>
      <c r="CN242" s="508"/>
      <c r="CO242" s="654"/>
      <c r="CP242" s="652"/>
      <c r="CQ242" s="521"/>
      <c r="CR242" s="655"/>
      <c r="CS242" s="652"/>
      <c r="CT242" s="652"/>
      <c r="CU242" s="652"/>
      <c r="CV242" s="652"/>
      <c r="CW242" s="652"/>
      <c r="CX242" s="652"/>
      <c r="CY242" s="501"/>
      <c r="CZ242" s="652"/>
      <c r="DA242" s="652"/>
      <c r="DB242" s="652"/>
      <c r="DC242" s="652"/>
      <c r="DD242" s="652"/>
      <c r="DE242" s="501"/>
      <c r="DF242" s="513"/>
      <c r="DG242" s="513"/>
      <c r="DH242" s="513"/>
      <c r="DI242" s="654"/>
      <c r="DJ242" s="652"/>
      <c r="DK242" s="521"/>
      <c r="DL242" s="521"/>
      <c r="DM242" s="652"/>
      <c r="DN242" s="652"/>
      <c r="DO242" s="652"/>
      <c r="DP242" s="652"/>
      <c r="DQ242" s="501"/>
      <c r="DR242" s="521"/>
      <c r="DS242" s="652"/>
      <c r="DT242" s="652"/>
      <c r="DU242" s="652"/>
      <c r="DV242" s="652"/>
      <c r="DW242" s="652"/>
      <c r="DX242" s="508"/>
      <c r="DY242" s="654"/>
      <c r="DZ242" s="652"/>
      <c r="EA242" s="521"/>
      <c r="EB242" s="655"/>
      <c r="EC242" s="659"/>
      <c r="ED242" s="659"/>
      <c r="EE242" s="652"/>
      <c r="EF242" s="652"/>
      <c r="EG242" s="652"/>
      <c r="EH242" s="652"/>
      <c r="EI242" s="501"/>
      <c r="EJ242" s="659"/>
      <c r="EK242" s="652"/>
      <c r="EL242" s="652"/>
      <c r="EM242" s="652"/>
      <c r="EN242" s="652"/>
      <c r="EO242" s="501"/>
      <c r="EP242" s="660"/>
      <c r="EQ242" s="660"/>
      <c r="ER242" s="660"/>
      <c r="ES242" s="658"/>
      <c r="ET242" s="648"/>
      <c r="EU242" s="659"/>
      <c r="EV242" s="659"/>
      <c r="EW242" s="648"/>
      <c r="EX242" s="648"/>
      <c r="EY242" s="648"/>
      <c r="EZ242" s="648"/>
      <c r="FA242" s="515"/>
      <c r="FB242" s="659"/>
      <c r="FC242" s="648"/>
      <c r="FD242" s="648"/>
      <c r="FE242" s="648"/>
      <c r="FF242" s="648"/>
      <c r="FG242" s="648">
        <f t="shared" ref="FG242" si="1495">FG88</f>
        <v>0</v>
      </c>
    </row>
    <row r="243" spans="2:163" ht="14.25" outlineLevel="2">
      <c r="B243" s="564" t="s">
        <v>98</v>
      </c>
      <c r="C243" s="649">
        <f t="shared" si="1475"/>
        <v>3</v>
      </c>
      <c r="D243" s="566" t="str">
        <f t="shared" si="1475"/>
        <v>Building Envelope and Common Areas [Basement]</v>
      </c>
      <c r="E243" s="648">
        <f t="shared" ref="E243" si="1496">E89</f>
        <v>0</v>
      </c>
      <c r="F243" s="500"/>
      <c r="G243" s="500"/>
      <c r="H243" s="514"/>
      <c r="I243" s="514"/>
      <c r="J243" s="514"/>
      <c r="K243" s="514"/>
      <c r="L243" s="514"/>
      <c r="M243" s="567"/>
      <c r="N243" s="568"/>
      <c r="O243" s="514"/>
      <c r="P243" s="514"/>
      <c r="Q243" s="514"/>
      <c r="R243" s="514"/>
      <c r="S243" s="514"/>
      <c r="T243" s="648"/>
      <c r="U243" s="661"/>
      <c r="V243" s="650"/>
      <c r="W243" s="651"/>
      <c r="X243" s="651"/>
      <c r="Y243" s="501"/>
      <c r="Z243" s="652"/>
      <c r="AA243" s="501"/>
      <c r="AB243" s="652"/>
      <c r="AC243" s="652"/>
      <c r="AD243" s="653"/>
      <c r="AE243" s="568"/>
      <c r="AF243" s="652"/>
      <c r="AG243" s="652"/>
      <c r="AH243" s="652"/>
      <c r="AI243" s="652"/>
      <c r="AJ243" s="652"/>
      <c r="AK243" s="501"/>
      <c r="AL243" s="513"/>
      <c r="AM243" s="513"/>
      <c r="AN243" s="513"/>
      <c r="AO243" s="654"/>
      <c r="AP243" s="652"/>
      <c r="AQ243" s="521"/>
      <c r="AR243" s="521"/>
      <c r="AS243" s="521"/>
      <c r="AT243" s="521"/>
      <c r="AU243" s="521"/>
      <c r="AV243" s="521"/>
      <c r="AW243" s="466"/>
      <c r="AX243" s="521"/>
      <c r="AY243" s="521"/>
      <c r="AZ243" s="521"/>
      <c r="BA243" s="521"/>
      <c r="BB243" s="521"/>
      <c r="BC243" s="652"/>
      <c r="BD243" s="551"/>
      <c r="BE243" s="654"/>
      <c r="BF243" s="652"/>
      <c r="BG243" s="521"/>
      <c r="BH243" s="655"/>
      <c r="BI243" s="501"/>
      <c r="BJ243" s="652"/>
      <c r="BK243" s="652"/>
      <c r="BL243" s="652"/>
      <c r="BM243" s="652"/>
      <c r="BN243" s="652"/>
      <c r="BO243" s="501"/>
      <c r="BP243" s="652"/>
      <c r="BQ243" s="652"/>
      <c r="BR243" s="652"/>
      <c r="BS243" s="652"/>
      <c r="BT243" s="652"/>
      <c r="BU243" s="501"/>
      <c r="BV243" s="511"/>
      <c r="BW243" s="511"/>
      <c r="BX243" s="511"/>
      <c r="BY243" s="520"/>
      <c r="BZ243" s="552"/>
      <c r="CA243" s="471"/>
      <c r="CB243" s="548"/>
      <c r="CC243" s="471"/>
      <c r="CD243" s="471"/>
      <c r="CE243" s="471"/>
      <c r="CF243" s="471"/>
      <c r="CG243" s="471"/>
      <c r="CH243" s="548"/>
      <c r="CI243" s="471"/>
      <c r="CJ243" s="471"/>
      <c r="CK243" s="471"/>
      <c r="CL243" s="471"/>
      <c r="CM243" s="652"/>
      <c r="CN243" s="508"/>
      <c r="CO243" s="654"/>
      <c r="CP243" s="652"/>
      <c r="CQ243" s="521"/>
      <c r="CR243" s="655"/>
      <c r="CS243" s="652"/>
      <c r="CT243" s="652"/>
      <c r="CU243" s="652"/>
      <c r="CV243" s="652"/>
      <c r="CW243" s="652"/>
      <c r="CX243" s="652"/>
      <c r="CY243" s="501"/>
      <c r="CZ243" s="652"/>
      <c r="DA243" s="652"/>
      <c r="DB243" s="652"/>
      <c r="DC243" s="652"/>
      <c r="DD243" s="652"/>
      <c r="DE243" s="501"/>
      <c r="DF243" s="513"/>
      <c r="DG243" s="513"/>
      <c r="DH243" s="513"/>
      <c r="DI243" s="662"/>
      <c r="DJ243" s="652"/>
      <c r="DK243" s="521"/>
      <c r="DL243" s="521"/>
      <c r="DM243" s="652"/>
      <c r="DN243" s="652"/>
      <c r="DO243" s="652"/>
      <c r="DP243" s="652"/>
      <c r="DQ243" s="501"/>
      <c r="DR243" s="521"/>
      <c r="DS243" s="652"/>
      <c r="DT243" s="652"/>
      <c r="DU243" s="652"/>
      <c r="DV243" s="652"/>
      <c r="DW243" s="652"/>
      <c r="DX243" s="508"/>
      <c r="DY243" s="654"/>
      <c r="DZ243" s="652"/>
      <c r="EA243" s="521"/>
      <c r="EB243" s="655"/>
      <c r="EC243" s="648"/>
      <c r="ED243" s="648"/>
      <c r="EE243" s="652"/>
      <c r="EF243" s="652"/>
      <c r="EG243" s="652"/>
      <c r="EH243" s="652"/>
      <c r="EI243" s="501"/>
      <c r="EJ243" s="648"/>
      <c r="EK243" s="652"/>
      <c r="EL243" s="652"/>
      <c r="EM243" s="652"/>
      <c r="EN243" s="652"/>
      <c r="EO243" s="501"/>
      <c r="EP243" s="663"/>
      <c r="EQ243" s="663"/>
      <c r="ER243" s="663"/>
      <c r="ES243" s="664"/>
      <c r="ET243" s="648"/>
      <c r="EU243" s="659"/>
      <c r="EV243" s="659"/>
      <c r="EW243" s="648"/>
      <c r="EX243" s="648"/>
      <c r="EY243" s="648"/>
      <c r="EZ243" s="648"/>
      <c r="FA243" s="515"/>
      <c r="FB243" s="659"/>
      <c r="FC243" s="648"/>
      <c r="FD243" s="648"/>
      <c r="FE243" s="648"/>
      <c r="FF243" s="648"/>
      <c r="FG243" s="648">
        <f t="shared" ref="FG243" si="1497">FG89</f>
        <v>0</v>
      </c>
    </row>
    <row r="244" spans="2:163" ht="14.25" outlineLevel="2">
      <c r="B244" s="564" t="s">
        <v>99</v>
      </c>
      <c r="C244" s="649">
        <f t="shared" ref="C244:D244" si="1498">C90</f>
        <v>4</v>
      </c>
      <c r="D244" s="566" t="str">
        <f t="shared" si="1498"/>
        <v>Habitable Level 01</v>
      </c>
      <c r="E244" s="648">
        <f t="shared" ref="E244" si="1499">E90</f>
        <v>0</v>
      </c>
      <c r="F244" s="500"/>
      <c r="G244" s="500"/>
      <c r="H244" s="514"/>
      <c r="I244" s="514"/>
      <c r="J244" s="514"/>
      <c r="K244" s="514"/>
      <c r="L244" s="514"/>
      <c r="M244" s="567"/>
      <c r="N244" s="568"/>
      <c r="O244" s="514"/>
      <c r="P244" s="514"/>
      <c r="Q244" s="514"/>
      <c r="R244" s="514"/>
      <c r="S244" s="514"/>
      <c r="T244" s="648"/>
      <c r="U244" s="609"/>
      <c r="V244" s="650"/>
      <c r="W244" s="499"/>
      <c r="X244" s="651"/>
      <c r="Y244" s="501"/>
      <c r="Z244" s="501"/>
      <c r="AA244" s="501"/>
      <c r="AB244" s="501"/>
      <c r="AC244" s="501"/>
      <c r="AD244" s="568"/>
      <c r="AE244" s="568"/>
      <c r="AF244" s="501"/>
      <c r="AG244" s="501"/>
      <c r="AH244" s="501"/>
      <c r="AI244" s="501"/>
      <c r="AJ244" s="501"/>
      <c r="AK244" s="501"/>
      <c r="AL244" s="504"/>
      <c r="AM244" s="504"/>
      <c r="AN244" s="504"/>
      <c r="AO244" s="518"/>
      <c r="AP244" s="551"/>
      <c r="AQ244" s="466"/>
      <c r="AR244" s="466"/>
      <c r="AS244" s="466"/>
      <c r="AT244" s="466"/>
      <c r="AU244" s="466"/>
      <c r="AV244" s="466"/>
      <c r="AW244" s="466"/>
      <c r="AX244" s="466"/>
      <c r="AY244" s="466"/>
      <c r="AZ244" s="466"/>
      <c r="BA244" s="466"/>
      <c r="BB244" s="466"/>
      <c r="BC244" s="551"/>
      <c r="BD244" s="551"/>
      <c r="BE244" s="507"/>
      <c r="BF244" s="508"/>
      <c r="BG244" s="509"/>
      <c r="BH244" s="655"/>
      <c r="BI244" s="501"/>
      <c r="BJ244" s="501"/>
      <c r="BK244" s="501"/>
      <c r="BL244" s="501"/>
      <c r="BM244" s="501"/>
      <c r="BN244" s="501"/>
      <c r="BO244" s="501"/>
      <c r="BP244" s="501"/>
      <c r="BQ244" s="501"/>
      <c r="BR244" s="501"/>
      <c r="BS244" s="501"/>
      <c r="BT244" s="501"/>
      <c r="BU244" s="501"/>
      <c r="BV244" s="511"/>
      <c r="BW244" s="511"/>
      <c r="BX244" s="511"/>
      <c r="BY244" s="505"/>
      <c r="BZ244" s="552"/>
      <c r="CA244" s="471"/>
      <c r="CB244" s="548"/>
      <c r="CC244" s="471"/>
      <c r="CD244" s="471"/>
      <c r="CE244" s="471"/>
      <c r="CF244" s="471"/>
      <c r="CG244" s="471"/>
      <c r="CH244" s="548"/>
      <c r="CI244" s="471"/>
      <c r="CJ244" s="471"/>
      <c r="CK244" s="471"/>
      <c r="CL244" s="471"/>
      <c r="CM244" s="508"/>
      <c r="CN244" s="508"/>
      <c r="CO244" s="507"/>
      <c r="CP244" s="508"/>
      <c r="CQ244" s="509"/>
      <c r="CR244" s="655"/>
      <c r="CS244" s="501"/>
      <c r="CT244" s="501"/>
      <c r="CU244" s="501"/>
      <c r="CV244" s="501"/>
      <c r="CW244" s="501"/>
      <c r="CX244" s="501"/>
      <c r="CY244" s="501"/>
      <c r="CZ244" s="501"/>
      <c r="DA244" s="501"/>
      <c r="DB244" s="501"/>
      <c r="DC244" s="501"/>
      <c r="DD244" s="501"/>
      <c r="DE244" s="501"/>
      <c r="DF244" s="513"/>
      <c r="DG244" s="513"/>
      <c r="DH244" s="513"/>
      <c r="DI244" s="505"/>
      <c r="DJ244" s="551"/>
      <c r="DK244" s="466"/>
      <c r="DL244" s="466"/>
      <c r="DM244" s="501"/>
      <c r="DN244" s="501"/>
      <c r="DO244" s="501"/>
      <c r="DP244" s="501"/>
      <c r="DQ244" s="501"/>
      <c r="DR244" s="466"/>
      <c r="DS244" s="501"/>
      <c r="DT244" s="501"/>
      <c r="DU244" s="501"/>
      <c r="DV244" s="501"/>
      <c r="DW244" s="508"/>
      <c r="DX244" s="508"/>
      <c r="DY244" s="507"/>
      <c r="DZ244" s="508"/>
      <c r="EA244" s="509"/>
      <c r="EB244" s="655"/>
      <c r="EC244" s="515"/>
      <c r="ED244" s="515"/>
      <c r="EE244" s="501"/>
      <c r="EF244" s="501"/>
      <c r="EG244" s="501"/>
      <c r="EH244" s="501"/>
      <c r="EI244" s="501"/>
      <c r="EJ244" s="515"/>
      <c r="EK244" s="501"/>
      <c r="EL244" s="501"/>
      <c r="EM244" s="501"/>
      <c r="EN244" s="501"/>
      <c r="EO244" s="501"/>
      <c r="EP244" s="52"/>
      <c r="EQ244" s="52"/>
      <c r="ER244" s="52"/>
      <c r="ES244" s="516"/>
      <c r="EU244" s="476"/>
      <c r="EV244" s="476"/>
      <c r="EW244" s="515"/>
      <c r="EX244" s="515"/>
      <c r="EY244" s="515"/>
      <c r="EZ244" s="515"/>
      <c r="FA244" s="515"/>
      <c r="FB244" s="476"/>
      <c r="FC244" s="515"/>
      <c r="FD244" s="515"/>
      <c r="FE244" s="515"/>
      <c r="FF244" s="515"/>
    </row>
    <row r="245" spans="2:163" ht="14.25" outlineLevel="2">
      <c r="B245" s="564" t="s">
        <v>100</v>
      </c>
      <c r="C245" s="649">
        <f t="shared" ref="C245:D245" si="1500">C91</f>
        <v>5</v>
      </c>
      <c r="D245" s="580" t="str">
        <f t="shared" si="1500"/>
        <v>Habitable Level - Even</v>
      </c>
      <c r="E245" s="648">
        <f t="shared" ref="E245" si="1501">E91</f>
        <v>0</v>
      </c>
      <c r="F245" s="500"/>
      <c r="G245" s="500"/>
      <c r="H245" s="514"/>
      <c r="I245" s="514"/>
      <c r="J245" s="514"/>
      <c r="K245" s="514"/>
      <c r="L245" s="514"/>
      <c r="M245" s="567"/>
      <c r="N245" s="568"/>
      <c r="O245" s="514"/>
      <c r="P245" s="514"/>
      <c r="Q245" s="514"/>
      <c r="R245" s="514"/>
      <c r="S245" s="514"/>
      <c r="T245" s="648"/>
      <c r="U245" s="609"/>
      <c r="V245" s="650"/>
      <c r="W245" s="499"/>
      <c r="X245" s="651"/>
      <c r="Y245" s="501"/>
      <c r="Z245" s="501"/>
      <c r="AA245" s="501"/>
      <c r="AB245" s="501"/>
      <c r="AC245" s="501"/>
      <c r="AD245" s="568"/>
      <c r="AE245" s="568"/>
      <c r="AF245" s="501"/>
      <c r="AG245" s="501"/>
      <c r="AH245" s="501"/>
      <c r="AI245" s="501"/>
      <c r="AJ245" s="501"/>
      <c r="AK245" s="501"/>
      <c r="AL245" s="504"/>
      <c r="AM245" s="504"/>
      <c r="AN245" s="504"/>
      <c r="AO245" s="518"/>
      <c r="AP245" s="551"/>
      <c r="AQ245" s="466"/>
      <c r="AR245" s="466"/>
      <c r="AS245" s="466"/>
      <c r="AT245" s="466"/>
      <c r="AU245" s="466"/>
      <c r="AV245" s="466"/>
      <c r="AW245" s="466"/>
      <c r="AX245" s="466"/>
      <c r="AY245" s="466"/>
      <c r="AZ245" s="466"/>
      <c r="BA245" s="466"/>
      <c r="BB245" s="466"/>
      <c r="BC245" s="466"/>
      <c r="BD245" s="466"/>
      <c r="BE245" s="507"/>
      <c r="BF245" s="508"/>
      <c r="BG245" s="509"/>
      <c r="BH245" s="655"/>
      <c r="BI245" s="501"/>
      <c r="BJ245" s="501"/>
      <c r="BK245" s="501"/>
      <c r="BL245" s="501"/>
      <c r="BM245" s="501"/>
      <c r="BN245" s="501"/>
      <c r="BO245" s="501"/>
      <c r="BP245" s="501"/>
      <c r="BQ245" s="501"/>
      <c r="BR245" s="501"/>
      <c r="BS245" s="501"/>
      <c r="BT245" s="501"/>
      <c r="BU245" s="501"/>
      <c r="BV245" s="511"/>
      <c r="BW245" s="511"/>
      <c r="BX245" s="511"/>
      <c r="BY245" s="505"/>
      <c r="BZ245" s="552"/>
      <c r="CA245" s="471"/>
      <c r="CB245" s="548"/>
      <c r="CC245" s="471"/>
      <c r="CD245" s="471"/>
      <c r="CE245" s="471"/>
      <c r="CF245" s="471"/>
      <c r="CG245" s="471"/>
      <c r="CH245" s="548"/>
      <c r="CI245" s="471"/>
      <c r="CJ245" s="471"/>
      <c r="CK245" s="471"/>
      <c r="CL245" s="471"/>
      <c r="CM245" s="508"/>
      <c r="CN245" s="508"/>
      <c r="CO245" s="507"/>
      <c r="CP245" s="508"/>
      <c r="CQ245" s="509"/>
      <c r="CR245" s="655"/>
      <c r="CS245" s="501"/>
      <c r="CT245" s="501"/>
      <c r="CU245" s="501"/>
      <c r="CV245" s="501"/>
      <c r="CW245" s="501"/>
      <c r="CX245" s="501"/>
      <c r="CY245" s="501"/>
      <c r="CZ245" s="501"/>
      <c r="DA245" s="501"/>
      <c r="DB245" s="501"/>
      <c r="DC245" s="501"/>
      <c r="DD245" s="501"/>
      <c r="DE245" s="501"/>
      <c r="DF245" s="513"/>
      <c r="DG245" s="513"/>
      <c r="DH245" s="513"/>
      <c r="DI245" s="505"/>
      <c r="DJ245" s="551"/>
      <c r="DK245" s="466"/>
      <c r="DL245" s="466"/>
      <c r="DM245" s="501"/>
      <c r="DN245" s="501"/>
      <c r="DO245" s="501"/>
      <c r="DP245" s="501"/>
      <c r="DQ245" s="501"/>
      <c r="DR245" s="466"/>
      <c r="DS245" s="501"/>
      <c r="DT245" s="501"/>
      <c r="DU245" s="501"/>
      <c r="DV245" s="501"/>
      <c r="DW245" s="508"/>
      <c r="DX245" s="508"/>
      <c r="DY245" s="507"/>
      <c r="DZ245" s="508"/>
      <c r="EA245" s="509"/>
      <c r="EB245" s="655"/>
      <c r="EC245" s="574"/>
      <c r="ED245" s="574"/>
      <c r="EE245" s="501"/>
      <c r="EF245" s="501"/>
      <c r="EG245" s="501"/>
      <c r="EH245" s="501"/>
      <c r="EI245" s="501"/>
      <c r="EJ245" s="574"/>
      <c r="EK245" s="501"/>
      <c r="EL245" s="501"/>
      <c r="EM245" s="501"/>
      <c r="EN245" s="501"/>
      <c r="EO245" s="501"/>
      <c r="EP245" s="575"/>
      <c r="EQ245" s="575"/>
      <c r="ER245" s="575"/>
      <c r="ES245" s="516"/>
      <c r="EU245" s="476"/>
      <c r="EV245" s="476"/>
      <c r="EW245" s="515"/>
      <c r="EX245" s="515"/>
      <c r="EY245" s="515"/>
      <c r="EZ245" s="515"/>
      <c r="FA245" s="515"/>
      <c r="FB245" s="476"/>
      <c r="FC245" s="515"/>
      <c r="FD245" s="515"/>
      <c r="FE245" s="515"/>
      <c r="FF245" s="515"/>
    </row>
    <row r="246" spans="2:163" s="51" customFormat="1" ht="14.25" outlineLevel="2">
      <c r="B246" s="564" t="s">
        <v>101</v>
      </c>
      <c r="C246" s="665">
        <f t="shared" ref="C246:D246" si="1502">C92</f>
        <v>6</v>
      </c>
      <c r="D246" s="580" t="str">
        <f t="shared" si="1502"/>
        <v>Habitable Level - Odd</v>
      </c>
      <c r="E246" s="656">
        <f t="shared" ref="E246" si="1503">E92</f>
        <v>0</v>
      </c>
      <c r="F246" s="500"/>
      <c r="G246" s="500"/>
      <c r="H246" s="514"/>
      <c r="I246" s="514"/>
      <c r="J246" s="514"/>
      <c r="K246" s="514"/>
      <c r="L246" s="514"/>
      <c r="M246" s="567"/>
      <c r="N246" s="568"/>
      <c r="O246" s="514"/>
      <c r="P246" s="514"/>
      <c r="Q246" s="514"/>
      <c r="R246" s="514"/>
      <c r="S246" s="514"/>
      <c r="T246" s="656"/>
      <c r="U246" s="666"/>
      <c r="V246" s="667"/>
      <c r="W246" s="668"/>
      <c r="X246" s="669"/>
      <c r="Y246" s="568"/>
      <c r="Z246" s="568"/>
      <c r="AA246" s="568"/>
      <c r="AB246" s="568"/>
      <c r="AC246" s="568"/>
      <c r="AD246" s="568"/>
      <c r="AE246" s="568"/>
      <c r="AF246" s="501"/>
      <c r="AG246" s="501"/>
      <c r="AH246" s="501"/>
      <c r="AI246" s="501"/>
      <c r="AJ246" s="501"/>
      <c r="AK246" s="501"/>
      <c r="AL246" s="670"/>
      <c r="AM246" s="670"/>
      <c r="AN246" s="504"/>
      <c r="AO246" s="605"/>
      <c r="AP246" s="599"/>
      <c r="AQ246" s="587"/>
      <c r="AR246" s="587"/>
      <c r="AS246" s="587"/>
      <c r="AT246" s="587"/>
      <c r="AU246" s="587"/>
      <c r="AV246" s="587"/>
      <c r="AW246" s="587"/>
      <c r="AX246" s="587"/>
      <c r="AY246" s="587"/>
      <c r="AZ246" s="587"/>
      <c r="BA246" s="587"/>
      <c r="BB246" s="587"/>
      <c r="BC246" s="587"/>
      <c r="BD246" s="587"/>
      <c r="BE246" s="671"/>
      <c r="BF246" s="588"/>
      <c r="BG246" s="617"/>
      <c r="BH246" s="672"/>
      <c r="BI246" s="568"/>
      <c r="BJ246" s="568"/>
      <c r="BK246" s="501"/>
      <c r="BL246" s="501"/>
      <c r="BM246" s="501"/>
      <c r="BN246" s="501"/>
      <c r="BO246" s="501"/>
      <c r="BP246" s="501"/>
      <c r="BQ246" s="501"/>
      <c r="BR246" s="501"/>
      <c r="BS246" s="501"/>
      <c r="BT246" s="501"/>
      <c r="BU246" s="501"/>
      <c r="BV246" s="511"/>
      <c r="BW246" s="511"/>
      <c r="BX246" s="511"/>
      <c r="BY246" s="586"/>
      <c r="BZ246" s="618"/>
      <c r="CA246" s="591"/>
      <c r="CB246" s="619"/>
      <c r="CC246" s="591"/>
      <c r="CD246" s="591"/>
      <c r="CE246" s="591"/>
      <c r="CF246" s="591"/>
      <c r="CG246" s="591"/>
      <c r="CH246" s="619"/>
      <c r="CI246" s="591"/>
      <c r="CJ246" s="591"/>
      <c r="CK246" s="591"/>
      <c r="CL246" s="591"/>
      <c r="CM246" s="588"/>
      <c r="CN246" s="588"/>
      <c r="CO246" s="671"/>
      <c r="CP246" s="588"/>
      <c r="CQ246" s="617"/>
      <c r="CR246" s="672"/>
      <c r="CS246" s="568"/>
      <c r="CT246" s="501"/>
      <c r="CU246" s="501"/>
      <c r="CV246" s="501"/>
      <c r="CW246" s="501"/>
      <c r="CX246" s="501"/>
      <c r="CY246" s="501"/>
      <c r="CZ246" s="501"/>
      <c r="DA246" s="501"/>
      <c r="DB246" s="501"/>
      <c r="DC246" s="501"/>
      <c r="DD246" s="501"/>
      <c r="DE246" s="501"/>
      <c r="DF246" s="513"/>
      <c r="DG246" s="513"/>
      <c r="DH246" s="513"/>
      <c r="DI246" s="586"/>
      <c r="DJ246" s="599"/>
      <c r="DK246" s="587"/>
      <c r="DL246" s="587"/>
      <c r="DM246" s="568"/>
      <c r="DN246" s="568"/>
      <c r="DO246" s="568"/>
      <c r="DP246" s="568"/>
      <c r="DQ246" s="568"/>
      <c r="DR246" s="587"/>
      <c r="DS246" s="568"/>
      <c r="DT246" s="568"/>
      <c r="DU246" s="568"/>
      <c r="DV246" s="568"/>
      <c r="DW246" s="588"/>
      <c r="DX246" s="588"/>
      <c r="DY246" s="671"/>
      <c r="DZ246" s="588"/>
      <c r="EA246" s="617"/>
      <c r="EB246" s="672"/>
      <c r="EC246" s="574"/>
      <c r="ED246" s="574"/>
      <c r="EE246" s="501"/>
      <c r="EF246" s="501"/>
      <c r="EG246" s="501"/>
      <c r="EH246" s="501"/>
      <c r="EI246" s="501"/>
      <c r="EJ246" s="574"/>
      <c r="EK246" s="501"/>
      <c r="EL246" s="501"/>
      <c r="EM246" s="501"/>
      <c r="EN246" s="501"/>
      <c r="EO246" s="501"/>
      <c r="EP246" s="575"/>
      <c r="EQ246" s="575"/>
      <c r="ER246" s="575"/>
      <c r="ES246" s="593"/>
      <c r="ET246" s="673"/>
      <c r="EU246" s="674"/>
      <c r="EV246" s="674"/>
      <c r="EW246" s="574"/>
      <c r="EX246" s="574"/>
      <c r="EY246" s="574"/>
      <c r="EZ246" s="574"/>
      <c r="FA246" s="574"/>
      <c r="FB246" s="674"/>
      <c r="FC246" s="574"/>
      <c r="FD246" s="574"/>
      <c r="FE246" s="574"/>
      <c r="FF246" s="574"/>
    </row>
    <row r="247" spans="2:163" ht="14.25" outlineLevel="2">
      <c r="B247" s="564" t="s">
        <v>102</v>
      </c>
      <c r="C247" s="649">
        <f t="shared" ref="C247:D247" si="1504">C93</f>
        <v>7</v>
      </c>
      <c r="D247" s="566" t="str">
        <f t="shared" si="1504"/>
        <v>Building Envelope and Common Areas [Typical Tower Levels]</v>
      </c>
      <c r="E247" s="648">
        <f t="shared" ref="E247" si="1505">E93</f>
        <v>0</v>
      </c>
      <c r="F247" s="500"/>
      <c r="G247" s="500"/>
      <c r="H247" s="514"/>
      <c r="I247" s="514"/>
      <c r="J247" s="514"/>
      <c r="K247" s="514"/>
      <c r="L247" s="514"/>
      <c r="M247" s="567"/>
      <c r="N247" s="568"/>
      <c r="O247" s="514"/>
      <c r="P247" s="514"/>
      <c r="Q247" s="514"/>
      <c r="R247" s="514"/>
      <c r="S247" s="514"/>
      <c r="T247" s="648"/>
      <c r="U247" s="609"/>
      <c r="V247" s="650"/>
      <c r="W247" s="499"/>
      <c r="X247" s="651"/>
      <c r="Y247" s="501"/>
      <c r="Z247" s="501"/>
      <c r="AA247" s="501"/>
      <c r="AB247" s="501"/>
      <c r="AC247" s="501"/>
      <c r="AD247" s="568"/>
      <c r="AE247" s="568"/>
      <c r="AF247" s="501"/>
      <c r="AG247" s="501"/>
      <c r="AH247" s="501"/>
      <c r="AI247" s="501"/>
      <c r="AJ247" s="501"/>
      <c r="AK247" s="501"/>
      <c r="AL247" s="504"/>
      <c r="AM247" s="504"/>
      <c r="AN247" s="504"/>
      <c r="AO247" s="518"/>
      <c r="AP247" s="551"/>
      <c r="AQ247" s="466"/>
      <c r="AR247" s="466"/>
      <c r="AS247" s="466"/>
      <c r="AT247" s="466"/>
      <c r="AU247" s="466"/>
      <c r="AV247" s="466"/>
      <c r="AW247" s="466"/>
      <c r="AX247" s="466"/>
      <c r="AY247" s="466"/>
      <c r="AZ247" s="466"/>
      <c r="BA247" s="466"/>
      <c r="BB247" s="466"/>
      <c r="BC247" s="466"/>
      <c r="BD247" s="466"/>
      <c r="BE247" s="507"/>
      <c r="BF247" s="508"/>
      <c r="BG247" s="509"/>
      <c r="BH247" s="655"/>
      <c r="BI247" s="501"/>
      <c r="BJ247" s="501"/>
      <c r="BK247" s="501"/>
      <c r="BL247" s="501"/>
      <c r="BM247" s="501"/>
      <c r="BN247" s="501"/>
      <c r="BO247" s="501"/>
      <c r="BP247" s="501"/>
      <c r="BQ247" s="501"/>
      <c r="BR247" s="501"/>
      <c r="BS247" s="501"/>
      <c r="BT247" s="501"/>
      <c r="BU247" s="501"/>
      <c r="BV247" s="511"/>
      <c r="BW247" s="511"/>
      <c r="BX247" s="511"/>
      <c r="BY247" s="505"/>
      <c r="BZ247" s="552"/>
      <c r="CA247" s="471"/>
      <c r="CB247" s="548"/>
      <c r="CC247" s="471"/>
      <c r="CD247" s="471"/>
      <c r="CE247" s="471"/>
      <c r="CF247" s="471"/>
      <c r="CG247" s="471"/>
      <c r="CH247" s="548"/>
      <c r="CI247" s="471"/>
      <c r="CJ247" s="471"/>
      <c r="CK247" s="471"/>
      <c r="CL247" s="471"/>
      <c r="CM247" s="508"/>
      <c r="CN247" s="508"/>
      <c r="CO247" s="507"/>
      <c r="CP247" s="508"/>
      <c r="CQ247" s="509"/>
      <c r="CR247" s="655"/>
      <c r="CS247" s="501"/>
      <c r="CT247" s="501"/>
      <c r="CU247" s="501"/>
      <c r="CV247" s="501"/>
      <c r="CW247" s="501"/>
      <c r="CX247" s="501"/>
      <c r="CY247" s="501"/>
      <c r="CZ247" s="501"/>
      <c r="DA247" s="501"/>
      <c r="DB247" s="501"/>
      <c r="DC247" s="501"/>
      <c r="DD247" s="501"/>
      <c r="DE247" s="501"/>
      <c r="DF247" s="513"/>
      <c r="DG247" s="513"/>
      <c r="DH247" s="513"/>
      <c r="DI247" s="505"/>
      <c r="DJ247" s="551"/>
      <c r="DK247" s="466"/>
      <c r="DL247" s="466"/>
      <c r="DM247" s="501"/>
      <c r="DN247" s="501"/>
      <c r="DO247" s="501"/>
      <c r="DP247" s="501"/>
      <c r="DQ247" s="501"/>
      <c r="DR247" s="466"/>
      <c r="DS247" s="501"/>
      <c r="DT247" s="501"/>
      <c r="DU247" s="501"/>
      <c r="DV247" s="501"/>
      <c r="DW247" s="508"/>
      <c r="DX247" s="508"/>
      <c r="DY247" s="507"/>
      <c r="DZ247" s="508"/>
      <c r="EA247" s="509"/>
      <c r="EB247" s="655"/>
      <c r="EC247" s="515"/>
      <c r="ED247" s="515"/>
      <c r="EE247" s="501"/>
      <c r="EF247" s="501"/>
      <c r="EG247" s="501"/>
      <c r="EH247" s="501"/>
      <c r="EI247" s="501"/>
      <c r="EJ247" s="515"/>
      <c r="EK247" s="501"/>
      <c r="EL247" s="501"/>
      <c r="EM247" s="501"/>
      <c r="EN247" s="501"/>
      <c r="EO247" s="501"/>
      <c r="EP247" s="52"/>
      <c r="EQ247" s="52"/>
      <c r="ER247" s="52"/>
      <c r="ES247" s="516"/>
      <c r="EU247" s="476"/>
      <c r="EV247" s="476"/>
      <c r="EW247" s="515"/>
      <c r="EX247" s="515"/>
      <c r="EY247" s="515"/>
      <c r="EZ247" s="515"/>
      <c r="FA247" s="515"/>
      <c r="FB247" s="476"/>
      <c r="FC247" s="515"/>
      <c r="FD247" s="515"/>
      <c r="FE247" s="515"/>
      <c r="FF247" s="515"/>
    </row>
    <row r="248" spans="2:163" ht="14.25" outlineLevel="2">
      <c r="B248" s="564" t="s">
        <v>103</v>
      </c>
      <c r="C248" s="649">
        <f t="shared" ref="C248:D248" si="1506">C94</f>
        <v>8</v>
      </c>
      <c r="D248" s="566" t="str">
        <f t="shared" si="1506"/>
        <v>Penthouse Levels</v>
      </c>
      <c r="E248" s="648">
        <f t="shared" ref="E248" si="1507">E94</f>
        <v>0</v>
      </c>
      <c r="F248" s="500"/>
      <c r="G248" s="500"/>
      <c r="H248" s="514"/>
      <c r="I248" s="514"/>
      <c r="J248" s="514"/>
      <c r="K248" s="514"/>
      <c r="L248" s="514"/>
      <c r="M248" s="567"/>
      <c r="N248" s="568"/>
      <c r="O248" s="514"/>
      <c r="P248" s="514"/>
      <c r="Q248" s="514"/>
      <c r="R248" s="514"/>
      <c r="S248" s="514"/>
      <c r="T248" s="648"/>
      <c r="U248" s="609"/>
      <c r="V248" s="650"/>
      <c r="W248" s="499"/>
      <c r="X248" s="651"/>
      <c r="Y248" s="501"/>
      <c r="Z248" s="501"/>
      <c r="AA248" s="501"/>
      <c r="AB248" s="501"/>
      <c r="AC248" s="501"/>
      <c r="AD248" s="568"/>
      <c r="AE248" s="568"/>
      <c r="AF248" s="501"/>
      <c r="AG248" s="501"/>
      <c r="AH248" s="501"/>
      <c r="AI248" s="501"/>
      <c r="AJ248" s="501"/>
      <c r="AK248" s="501"/>
      <c r="AL248" s="504"/>
      <c r="AM248" s="504"/>
      <c r="AN248" s="504"/>
      <c r="AO248" s="518"/>
      <c r="AP248" s="551"/>
      <c r="AQ248" s="466"/>
      <c r="AR248" s="466"/>
      <c r="AS248" s="466"/>
      <c r="AT248" s="466"/>
      <c r="AU248" s="466"/>
      <c r="AV248" s="466"/>
      <c r="AW248" s="466"/>
      <c r="AX248" s="466"/>
      <c r="AY248" s="466"/>
      <c r="AZ248" s="466"/>
      <c r="BA248" s="466"/>
      <c r="BB248" s="466"/>
      <c r="BC248" s="466"/>
      <c r="BD248" s="466"/>
      <c r="BE248" s="507"/>
      <c r="BF248" s="508"/>
      <c r="BG248" s="509"/>
      <c r="BH248" s="655"/>
      <c r="BI248" s="501"/>
      <c r="BJ248" s="501"/>
      <c r="BK248" s="501"/>
      <c r="BL248" s="501"/>
      <c r="BM248" s="501"/>
      <c r="BN248" s="501"/>
      <c r="BO248" s="501"/>
      <c r="BP248" s="501"/>
      <c r="BQ248" s="501"/>
      <c r="BR248" s="501"/>
      <c r="BS248" s="501"/>
      <c r="BT248" s="501"/>
      <c r="BU248" s="501"/>
      <c r="BV248" s="511"/>
      <c r="BW248" s="511"/>
      <c r="BX248" s="511"/>
      <c r="BY248" s="505"/>
      <c r="BZ248" s="552"/>
      <c r="CA248" s="471"/>
      <c r="CB248" s="548"/>
      <c r="CC248" s="471"/>
      <c r="CD248" s="471"/>
      <c r="CE248" s="471"/>
      <c r="CF248" s="471"/>
      <c r="CG248" s="471"/>
      <c r="CH248" s="548"/>
      <c r="CI248" s="471"/>
      <c r="CJ248" s="471"/>
      <c r="CK248" s="471"/>
      <c r="CL248" s="471"/>
      <c r="CM248" s="508"/>
      <c r="CN248" s="508"/>
      <c r="CO248" s="507"/>
      <c r="CP248" s="508"/>
      <c r="CQ248" s="509"/>
      <c r="CR248" s="655"/>
      <c r="CS248" s="501"/>
      <c r="CT248" s="501"/>
      <c r="CU248" s="501"/>
      <c r="CV248" s="501"/>
      <c r="CW248" s="501"/>
      <c r="CX248" s="501"/>
      <c r="CY248" s="501"/>
      <c r="CZ248" s="501"/>
      <c r="DA248" s="501"/>
      <c r="DB248" s="501"/>
      <c r="DC248" s="501"/>
      <c r="DD248" s="501"/>
      <c r="DE248" s="501"/>
      <c r="DF248" s="513"/>
      <c r="DG248" s="513"/>
      <c r="DH248" s="513"/>
      <c r="DI248" s="505"/>
      <c r="DJ248" s="551"/>
      <c r="DK248" s="466"/>
      <c r="DL248" s="466"/>
      <c r="DM248" s="501"/>
      <c r="DN248" s="501"/>
      <c r="DO248" s="501"/>
      <c r="DP248" s="501"/>
      <c r="DQ248" s="501"/>
      <c r="DR248" s="466"/>
      <c r="DS248" s="501"/>
      <c r="DT248" s="501"/>
      <c r="DU248" s="501"/>
      <c r="DV248" s="501"/>
      <c r="DW248" s="508"/>
      <c r="DX248" s="508"/>
      <c r="DY248" s="507"/>
      <c r="DZ248" s="508"/>
      <c r="EA248" s="509"/>
      <c r="EB248" s="655"/>
      <c r="EC248" s="533"/>
      <c r="ED248" s="533"/>
      <c r="EE248" s="501"/>
      <c r="EF248" s="501"/>
      <c r="EG248" s="501"/>
      <c r="EH248" s="501"/>
      <c r="EI248" s="501"/>
      <c r="EJ248" s="533"/>
      <c r="EK248" s="501"/>
      <c r="EL248" s="501"/>
      <c r="EM248" s="501"/>
      <c r="EN248" s="501"/>
      <c r="EO248" s="501"/>
      <c r="EP248" s="474"/>
      <c r="EQ248" s="474"/>
      <c r="ER248" s="474"/>
      <c r="ES248" s="516"/>
      <c r="EU248" s="476"/>
      <c r="EV248" s="476"/>
      <c r="EW248" s="515"/>
      <c r="EX248" s="515"/>
      <c r="EY248" s="515"/>
      <c r="EZ248" s="515"/>
      <c r="FA248" s="515"/>
      <c r="FB248" s="476"/>
      <c r="FC248" s="515"/>
      <c r="FD248" s="515"/>
      <c r="FE248" s="515"/>
      <c r="FF248" s="515"/>
    </row>
    <row r="249" spans="2:163" ht="14.25" outlineLevel="2">
      <c r="B249" s="564" t="s">
        <v>104</v>
      </c>
      <c r="C249" s="649">
        <f t="shared" ref="C249:D249" si="1508">C95</f>
        <v>9</v>
      </c>
      <c r="D249" s="566" t="str">
        <f t="shared" si="1508"/>
        <v>Terrace Level</v>
      </c>
      <c r="E249" s="648">
        <f t="shared" ref="E249" si="1509">E95</f>
        <v>0</v>
      </c>
      <c r="F249" s="500"/>
      <c r="G249" s="500"/>
      <c r="H249" s="514"/>
      <c r="I249" s="514"/>
      <c r="J249" s="514"/>
      <c r="K249" s="514"/>
      <c r="L249" s="514"/>
      <c r="M249" s="567"/>
      <c r="N249" s="568"/>
      <c r="O249" s="514"/>
      <c r="P249" s="514"/>
      <c r="Q249" s="514"/>
      <c r="R249" s="514"/>
      <c r="S249" s="514"/>
      <c r="T249" s="648"/>
      <c r="U249" s="609"/>
      <c r="V249" s="650"/>
      <c r="W249" s="499"/>
      <c r="X249" s="651"/>
      <c r="Y249" s="501"/>
      <c r="Z249" s="501"/>
      <c r="AA249" s="501"/>
      <c r="AB249" s="501"/>
      <c r="AC249" s="501"/>
      <c r="AD249" s="568"/>
      <c r="AE249" s="568"/>
      <c r="AF249" s="501"/>
      <c r="AG249" s="501"/>
      <c r="AH249" s="501"/>
      <c r="AI249" s="501"/>
      <c r="AJ249" s="501"/>
      <c r="AK249" s="501"/>
      <c r="AL249" s="504"/>
      <c r="AM249" s="504"/>
      <c r="AN249" s="504"/>
      <c r="AO249" s="518"/>
      <c r="AP249" s="551"/>
      <c r="AQ249" s="466"/>
      <c r="AR249" s="466"/>
      <c r="AS249" s="466"/>
      <c r="AT249" s="466"/>
      <c r="AU249" s="466"/>
      <c r="AV249" s="466"/>
      <c r="AW249" s="466"/>
      <c r="AX249" s="466"/>
      <c r="AY249" s="466"/>
      <c r="AZ249" s="466"/>
      <c r="BA249" s="466"/>
      <c r="BB249" s="466"/>
      <c r="BC249" s="466"/>
      <c r="BD249" s="466"/>
      <c r="BE249" s="507"/>
      <c r="BF249" s="508"/>
      <c r="BG249" s="509"/>
      <c r="BH249" s="655"/>
      <c r="BI249" s="501"/>
      <c r="BJ249" s="501"/>
      <c r="BK249" s="501"/>
      <c r="BL249" s="501"/>
      <c r="BM249" s="501"/>
      <c r="BN249" s="501"/>
      <c r="BO249" s="501"/>
      <c r="BP249" s="501"/>
      <c r="BQ249" s="501"/>
      <c r="BR249" s="501"/>
      <c r="BS249" s="501"/>
      <c r="BT249" s="501"/>
      <c r="BU249" s="501"/>
      <c r="BV249" s="511"/>
      <c r="BW249" s="511"/>
      <c r="BX249" s="511"/>
      <c r="BY249" s="505"/>
      <c r="BZ249" s="552"/>
      <c r="CA249" s="471"/>
      <c r="CB249" s="548"/>
      <c r="CC249" s="471"/>
      <c r="CD249" s="471"/>
      <c r="CE249" s="471"/>
      <c r="CF249" s="471"/>
      <c r="CG249" s="471"/>
      <c r="CH249" s="548"/>
      <c r="CI249" s="471"/>
      <c r="CJ249" s="471"/>
      <c r="CK249" s="471"/>
      <c r="CL249" s="471"/>
      <c r="CM249" s="508"/>
      <c r="CN249" s="508"/>
      <c r="CO249" s="507"/>
      <c r="CP249" s="508"/>
      <c r="CQ249" s="509"/>
      <c r="CR249" s="655"/>
      <c r="CS249" s="501"/>
      <c r="CT249" s="501"/>
      <c r="CU249" s="501"/>
      <c r="CV249" s="501"/>
      <c r="CW249" s="501"/>
      <c r="CX249" s="501"/>
      <c r="CY249" s="501"/>
      <c r="CZ249" s="501"/>
      <c r="DA249" s="501"/>
      <c r="DB249" s="501"/>
      <c r="DC249" s="501"/>
      <c r="DD249" s="501"/>
      <c r="DE249" s="501"/>
      <c r="DF249" s="513"/>
      <c r="DG249" s="513"/>
      <c r="DH249" s="513"/>
      <c r="DI249" s="505"/>
      <c r="DJ249" s="551"/>
      <c r="DK249" s="466"/>
      <c r="DL249" s="466"/>
      <c r="DM249" s="501"/>
      <c r="DN249" s="501"/>
      <c r="DO249" s="501"/>
      <c r="DP249" s="501"/>
      <c r="DQ249" s="501"/>
      <c r="DR249" s="466"/>
      <c r="DS249" s="501"/>
      <c r="DT249" s="501"/>
      <c r="DU249" s="501"/>
      <c r="DV249" s="501"/>
      <c r="DW249" s="508"/>
      <c r="DX249" s="508"/>
      <c r="DY249" s="507"/>
      <c r="DZ249" s="508"/>
      <c r="EA249" s="509"/>
      <c r="EB249" s="655"/>
      <c r="EC249" s="515"/>
      <c r="ED249" s="515"/>
      <c r="EE249" s="501"/>
      <c r="EF249" s="501"/>
      <c r="EG249" s="501"/>
      <c r="EH249" s="501"/>
      <c r="EI249" s="501"/>
      <c r="EJ249" s="515"/>
      <c r="EK249" s="501"/>
      <c r="EL249" s="501"/>
      <c r="EM249" s="501"/>
      <c r="EN249" s="501"/>
      <c r="EO249" s="501"/>
      <c r="EP249" s="52"/>
      <c r="EQ249" s="52"/>
      <c r="ER249" s="52"/>
      <c r="ES249" s="516"/>
      <c r="EU249" s="476"/>
      <c r="EV249" s="476"/>
      <c r="EW249" s="515"/>
      <c r="EX249" s="515"/>
      <c r="EY249" s="515"/>
      <c r="EZ249" s="515"/>
      <c r="FA249" s="515"/>
      <c r="FB249" s="476"/>
      <c r="FC249" s="515"/>
      <c r="FD249" s="515"/>
      <c r="FE249" s="515"/>
      <c r="FF249" s="515"/>
    </row>
    <row r="250" spans="2:163" ht="14.25" outlineLevel="2">
      <c r="B250" s="564" t="s">
        <v>105</v>
      </c>
      <c r="C250" s="649">
        <f t="shared" ref="C250:D250" si="1510">C96</f>
        <v>10</v>
      </c>
      <c r="D250" s="566" t="str">
        <f t="shared" si="1510"/>
        <v>Building Envelope and Common Areas [Penthouse Levels And Terrace Level]</v>
      </c>
      <c r="E250" s="648">
        <f t="shared" ref="E250" si="1511">E96</f>
        <v>0</v>
      </c>
      <c r="F250" s="500"/>
      <c r="G250" s="500"/>
      <c r="H250" s="514"/>
      <c r="I250" s="514"/>
      <c r="J250" s="514"/>
      <c r="K250" s="514"/>
      <c r="L250" s="514"/>
      <c r="M250" s="567"/>
      <c r="N250" s="568"/>
      <c r="O250" s="514"/>
      <c r="P250" s="514"/>
      <c r="Q250" s="514"/>
      <c r="R250" s="514"/>
      <c r="S250" s="514"/>
      <c r="T250" s="648"/>
      <c r="U250" s="609"/>
      <c r="V250" s="650"/>
      <c r="W250" s="499"/>
      <c r="X250" s="651"/>
      <c r="Y250" s="501"/>
      <c r="Z250" s="501"/>
      <c r="AA250" s="501"/>
      <c r="AB250" s="501"/>
      <c r="AC250" s="501"/>
      <c r="AD250" s="568"/>
      <c r="AE250" s="568"/>
      <c r="AF250" s="501"/>
      <c r="AG250" s="501"/>
      <c r="AH250" s="501"/>
      <c r="AI250" s="501"/>
      <c r="AJ250" s="501"/>
      <c r="AK250" s="501"/>
      <c r="AL250" s="504"/>
      <c r="AM250" s="504"/>
      <c r="AN250" s="504"/>
      <c r="AO250" s="518"/>
      <c r="AP250" s="551"/>
      <c r="AQ250" s="466"/>
      <c r="AR250" s="466"/>
      <c r="AS250" s="466"/>
      <c r="AT250" s="466"/>
      <c r="AU250" s="466"/>
      <c r="AV250" s="466"/>
      <c r="AW250" s="466"/>
      <c r="AX250" s="466"/>
      <c r="AY250" s="466"/>
      <c r="AZ250" s="466"/>
      <c r="BA250" s="466"/>
      <c r="BB250" s="466"/>
      <c r="BC250" s="466"/>
      <c r="BD250" s="466"/>
      <c r="BE250" s="507"/>
      <c r="BF250" s="508"/>
      <c r="BG250" s="509"/>
      <c r="BH250" s="655"/>
      <c r="BI250" s="501"/>
      <c r="BJ250" s="501"/>
      <c r="BK250" s="501"/>
      <c r="BL250" s="501"/>
      <c r="BM250" s="501"/>
      <c r="BN250" s="501"/>
      <c r="BO250" s="501"/>
      <c r="BP250" s="501"/>
      <c r="BQ250" s="501"/>
      <c r="BR250" s="501"/>
      <c r="BS250" s="501"/>
      <c r="BT250" s="501"/>
      <c r="BU250" s="501"/>
      <c r="BV250" s="511"/>
      <c r="BW250" s="511"/>
      <c r="BX250" s="511"/>
      <c r="BY250" s="505"/>
      <c r="BZ250" s="552"/>
      <c r="CA250" s="471"/>
      <c r="CB250" s="548"/>
      <c r="CC250" s="471"/>
      <c r="CD250" s="471"/>
      <c r="CE250" s="471"/>
      <c r="CF250" s="471"/>
      <c r="CG250" s="471"/>
      <c r="CH250" s="548"/>
      <c r="CI250" s="471"/>
      <c r="CJ250" s="471"/>
      <c r="CK250" s="471"/>
      <c r="CL250" s="471"/>
      <c r="CM250" s="508"/>
      <c r="CN250" s="508"/>
      <c r="CO250" s="507"/>
      <c r="CP250" s="508"/>
      <c r="CQ250" s="509"/>
      <c r="CR250" s="655"/>
      <c r="CS250" s="501"/>
      <c r="CT250" s="501"/>
      <c r="CU250" s="501"/>
      <c r="CV250" s="501"/>
      <c r="CW250" s="501"/>
      <c r="CX250" s="501"/>
      <c r="CY250" s="501"/>
      <c r="CZ250" s="501"/>
      <c r="DA250" s="501"/>
      <c r="DB250" s="501"/>
      <c r="DC250" s="501"/>
      <c r="DD250" s="501"/>
      <c r="DE250" s="501"/>
      <c r="DF250" s="513"/>
      <c r="DG250" s="513"/>
      <c r="DH250" s="513"/>
      <c r="DI250" s="505"/>
      <c r="DJ250" s="551"/>
      <c r="DK250" s="466"/>
      <c r="DL250" s="466"/>
      <c r="DM250" s="501"/>
      <c r="DN250" s="501"/>
      <c r="DO250" s="501"/>
      <c r="DP250" s="501"/>
      <c r="DQ250" s="501"/>
      <c r="DR250" s="466"/>
      <c r="DS250" s="501"/>
      <c r="DT250" s="501"/>
      <c r="DU250" s="501"/>
      <c r="DV250" s="501"/>
      <c r="DW250" s="508"/>
      <c r="DX250" s="508"/>
      <c r="DY250" s="507"/>
      <c r="DZ250" s="508"/>
      <c r="EA250" s="509"/>
      <c r="EB250" s="655"/>
      <c r="EC250" s="515"/>
      <c r="ED250" s="515"/>
      <c r="EE250" s="501"/>
      <c r="EF250" s="501"/>
      <c r="EG250" s="501"/>
      <c r="EH250" s="501"/>
      <c r="EI250" s="501"/>
      <c r="EJ250" s="515"/>
      <c r="EK250" s="501"/>
      <c r="EL250" s="501"/>
      <c r="EM250" s="501"/>
      <c r="EN250" s="501"/>
      <c r="EO250" s="501"/>
      <c r="EP250" s="52"/>
      <c r="EQ250" s="52"/>
      <c r="ER250" s="52"/>
      <c r="ES250" s="516"/>
      <c r="EU250" s="476"/>
      <c r="EV250" s="476"/>
      <c r="EW250" s="515"/>
      <c r="EX250" s="515"/>
      <c r="EY250" s="515"/>
      <c r="EZ250" s="515"/>
      <c r="FA250" s="515"/>
      <c r="FB250" s="476"/>
      <c r="FC250" s="515"/>
      <c r="FD250" s="515"/>
      <c r="FE250" s="515"/>
      <c r="FF250" s="515"/>
    </row>
    <row r="251" spans="2:163" ht="3" customHeight="1">
      <c r="F251" s="499"/>
      <c r="G251" s="499"/>
      <c r="H251" s="519"/>
      <c r="I251" s="519"/>
      <c r="J251" s="519"/>
      <c r="K251" s="519"/>
      <c r="L251" s="519"/>
      <c r="M251" s="519"/>
      <c r="N251" s="519"/>
      <c r="O251" s="519"/>
      <c r="P251" s="519"/>
      <c r="Q251" s="519"/>
      <c r="R251" s="519"/>
      <c r="S251" s="519"/>
      <c r="U251" s="449"/>
      <c r="V251" s="508"/>
      <c r="W251" s="499"/>
      <c r="X251" s="499"/>
      <c r="Y251" s="519"/>
      <c r="Z251" s="519"/>
      <c r="AA251" s="519"/>
      <c r="AB251" s="519"/>
      <c r="AC251" s="519"/>
      <c r="AD251" s="519"/>
      <c r="AE251" s="519"/>
      <c r="AF251" s="519"/>
      <c r="AG251" s="519"/>
      <c r="AH251" s="519"/>
      <c r="AI251" s="519"/>
      <c r="AJ251" s="519"/>
      <c r="AK251" s="519"/>
      <c r="AL251" s="519"/>
      <c r="AM251" s="519"/>
      <c r="AN251" s="519"/>
      <c r="AO251" s="518"/>
      <c r="AP251" s="551"/>
      <c r="AQ251" s="551"/>
      <c r="AR251" s="551"/>
      <c r="AS251" s="551"/>
      <c r="AT251" s="551"/>
      <c r="AU251" s="551"/>
      <c r="AV251" s="551"/>
      <c r="AW251" s="551"/>
      <c r="AX251" s="551"/>
      <c r="AY251" s="551"/>
      <c r="AZ251" s="551"/>
      <c r="BA251" s="551"/>
      <c r="BB251" s="551"/>
      <c r="BC251" s="551"/>
      <c r="BD251" s="551"/>
      <c r="BE251" s="507"/>
      <c r="BF251" s="508"/>
      <c r="BG251" s="509"/>
      <c r="BH251" s="509"/>
      <c r="BI251" s="519"/>
      <c r="BJ251" s="519"/>
      <c r="BK251" s="519"/>
      <c r="BL251" s="519"/>
      <c r="BM251" s="519"/>
      <c r="BN251" s="519"/>
      <c r="BO251" s="519"/>
      <c r="BP251" s="519"/>
      <c r="BQ251" s="519"/>
      <c r="BR251" s="519"/>
      <c r="BS251" s="519"/>
      <c r="BT251" s="519"/>
      <c r="BU251" s="519"/>
      <c r="BV251" s="511"/>
      <c r="BW251" s="511"/>
      <c r="BX251" s="511"/>
      <c r="BY251" s="518"/>
      <c r="BZ251" s="552"/>
      <c r="CA251" s="552"/>
      <c r="CB251" s="608"/>
      <c r="CC251" s="552"/>
      <c r="CD251" s="552"/>
      <c r="CE251" s="552"/>
      <c r="CF251" s="552"/>
      <c r="CG251" s="552"/>
      <c r="CH251" s="608"/>
      <c r="CI251" s="552"/>
      <c r="CJ251" s="552"/>
      <c r="CK251" s="552"/>
      <c r="CL251" s="552"/>
      <c r="CM251" s="508"/>
      <c r="CN251" s="508"/>
      <c r="CO251" s="507"/>
      <c r="CP251" s="508"/>
      <c r="CQ251" s="509"/>
      <c r="CR251" s="509"/>
      <c r="CS251" s="519"/>
      <c r="CT251" s="519"/>
      <c r="CU251" s="519"/>
      <c r="CV251" s="519"/>
      <c r="CW251" s="519"/>
      <c r="CX251" s="519"/>
      <c r="CY251" s="519"/>
      <c r="CZ251" s="519"/>
      <c r="DA251" s="519"/>
      <c r="DB251" s="519"/>
      <c r="DC251" s="519"/>
      <c r="DD251" s="519"/>
      <c r="DE251" s="519"/>
      <c r="DF251" s="519"/>
      <c r="DG251" s="519"/>
      <c r="DH251" s="519"/>
      <c r="DI251" s="518"/>
      <c r="DJ251" s="551"/>
      <c r="DK251" s="551"/>
      <c r="DL251" s="551"/>
      <c r="DM251" s="519"/>
      <c r="DN251" s="519"/>
      <c r="DO251" s="519"/>
      <c r="DP251" s="519"/>
      <c r="DQ251" s="519"/>
      <c r="DR251" s="551"/>
      <c r="DS251" s="519"/>
      <c r="DT251" s="519"/>
      <c r="DU251" s="519"/>
      <c r="DV251" s="519"/>
      <c r="DW251" s="508"/>
      <c r="DX251" s="508"/>
      <c r="DY251" s="449"/>
      <c r="DZ251" s="508"/>
      <c r="EA251" s="509"/>
      <c r="EB251" s="509"/>
    </row>
    <row r="252" spans="2:163" s="52" customFormat="1" ht="3" customHeight="1">
      <c r="B252" s="439"/>
      <c r="C252" s="439"/>
      <c r="D252" s="675"/>
      <c r="E252" s="676"/>
      <c r="F252" s="677"/>
      <c r="G252" s="677"/>
      <c r="H252" s="678"/>
      <c r="I252" s="678"/>
      <c r="J252" s="678"/>
      <c r="K252" s="678"/>
      <c r="L252" s="678"/>
      <c r="M252" s="678"/>
      <c r="N252" s="678"/>
      <c r="O252" s="678"/>
      <c r="P252" s="678"/>
      <c r="Q252" s="678"/>
      <c r="R252" s="678"/>
      <c r="S252" s="678"/>
      <c r="T252" s="676"/>
      <c r="U252" s="678"/>
      <c r="V252" s="678"/>
      <c r="W252" s="677"/>
      <c r="X252" s="677"/>
      <c r="Y252" s="678"/>
      <c r="Z252" s="678"/>
      <c r="AA252" s="678"/>
      <c r="AB252" s="678"/>
      <c r="AC252" s="678"/>
      <c r="AD252" s="678"/>
      <c r="AE252" s="678"/>
      <c r="AF252" s="678"/>
      <c r="AG252" s="678"/>
      <c r="AH252" s="678"/>
      <c r="AI252" s="678"/>
      <c r="AJ252" s="678"/>
      <c r="AK252" s="678"/>
      <c r="AL252" s="678"/>
      <c r="AM252" s="678"/>
      <c r="AN252" s="678"/>
      <c r="AO252" s="678"/>
      <c r="AP252" s="678"/>
      <c r="AQ252" s="678"/>
      <c r="AR252" s="678"/>
      <c r="AS252" s="678"/>
      <c r="AT252" s="678"/>
      <c r="AU252" s="678"/>
      <c r="AV252" s="678"/>
      <c r="AW252" s="678"/>
      <c r="AX252" s="678"/>
      <c r="AY252" s="678"/>
      <c r="AZ252" s="678"/>
      <c r="BA252" s="678"/>
      <c r="BB252" s="678"/>
      <c r="BC252" s="678"/>
      <c r="BD252" s="678"/>
      <c r="BE252" s="678"/>
      <c r="BF252" s="678"/>
      <c r="BG252" s="679"/>
      <c r="BH252" s="679"/>
      <c r="BI252" s="678"/>
      <c r="BJ252" s="678"/>
      <c r="BK252" s="678"/>
      <c r="BL252" s="678"/>
      <c r="BM252" s="678"/>
      <c r="BN252" s="678"/>
      <c r="BO252" s="678"/>
      <c r="BP252" s="678"/>
      <c r="BQ252" s="678"/>
      <c r="BR252" s="678"/>
      <c r="BS252" s="678"/>
      <c r="BT252" s="678"/>
      <c r="BU252" s="678"/>
      <c r="BV252" s="680"/>
      <c r="BW252" s="680"/>
      <c r="BX252" s="680"/>
      <c r="BY252" s="678"/>
      <c r="BZ252" s="681"/>
      <c r="CA252" s="681"/>
      <c r="CB252" s="681"/>
      <c r="CC252" s="681"/>
      <c r="CD252" s="681"/>
      <c r="CE252" s="681"/>
      <c r="CF252" s="681"/>
      <c r="CG252" s="681"/>
      <c r="CH252" s="681"/>
      <c r="CI252" s="681"/>
      <c r="CJ252" s="681"/>
      <c r="CK252" s="681"/>
      <c r="CL252" s="681"/>
      <c r="CM252" s="678"/>
      <c r="CN252" s="678"/>
      <c r="CO252" s="678"/>
      <c r="CP252" s="678"/>
      <c r="CQ252" s="679"/>
      <c r="CR252" s="679"/>
      <c r="CS252" s="678"/>
      <c r="CT252" s="678"/>
      <c r="CU252" s="678"/>
      <c r="CV252" s="678"/>
      <c r="CW252" s="678"/>
      <c r="CX252" s="678"/>
      <c r="CY252" s="678"/>
      <c r="CZ252" s="678"/>
      <c r="DA252" s="678"/>
      <c r="DB252" s="678"/>
      <c r="DC252" s="678"/>
      <c r="DD252" s="678"/>
      <c r="DE252" s="678"/>
      <c r="DF252" s="678"/>
      <c r="DG252" s="678"/>
      <c r="DH252" s="678"/>
      <c r="DI252" s="678"/>
      <c r="DJ252" s="678"/>
      <c r="DK252" s="678"/>
      <c r="DL252" s="678"/>
      <c r="DM252" s="678"/>
      <c r="DN252" s="678"/>
      <c r="DO252" s="678"/>
      <c r="DP252" s="678"/>
      <c r="DQ252" s="678"/>
      <c r="DR252" s="678"/>
      <c r="DS252" s="678"/>
      <c r="DT252" s="678"/>
      <c r="DU252" s="678"/>
      <c r="DV252" s="678"/>
      <c r="DW252" s="678"/>
      <c r="DX252" s="678"/>
      <c r="DY252" s="678"/>
      <c r="DZ252" s="678"/>
      <c r="EA252" s="679"/>
      <c r="EB252" s="679"/>
      <c r="EC252" s="678"/>
      <c r="ED252" s="678"/>
      <c r="EE252" s="678"/>
      <c r="EF252" s="678"/>
      <c r="EG252" s="678"/>
      <c r="EH252" s="678"/>
      <c r="EI252" s="678"/>
      <c r="EJ252" s="678"/>
      <c r="EK252" s="678"/>
      <c r="EL252" s="678"/>
      <c r="EM252" s="678"/>
      <c r="EN252" s="678"/>
      <c r="EO252" s="678"/>
      <c r="EP252" s="678"/>
      <c r="EQ252" s="678"/>
      <c r="ER252" s="678"/>
      <c r="ES252" s="678"/>
      <c r="ET252" s="678"/>
      <c r="EU252" s="678"/>
      <c r="EV252" s="678"/>
      <c r="EW252" s="678"/>
      <c r="EX252" s="678"/>
      <c r="EY252" s="678"/>
      <c r="EZ252" s="678"/>
      <c r="FA252" s="678"/>
      <c r="FB252" s="678"/>
      <c r="FC252" s="678"/>
      <c r="FD252" s="678"/>
      <c r="FE252" s="678"/>
      <c r="FF252" s="678"/>
      <c r="FG252" s="678"/>
    </row>
    <row r="253" spans="2:163" ht="3" customHeight="1">
      <c r="BV253" s="682"/>
      <c r="BW253" s="682"/>
      <c r="BX253" s="682"/>
      <c r="BZ253" s="683"/>
      <c r="CA253" s="683"/>
      <c r="CB253" s="684"/>
      <c r="CC253" s="683"/>
      <c r="CD253" s="683"/>
      <c r="CE253" s="683"/>
      <c r="CF253" s="683"/>
      <c r="CG253" s="683"/>
      <c r="CH253" s="684"/>
      <c r="CI253" s="683"/>
      <c r="CJ253" s="683"/>
      <c r="CK253" s="683"/>
      <c r="CL253" s="683"/>
    </row>
    <row r="269" spans="4:82" ht="11.85" customHeight="1">
      <c r="D269" s="295"/>
    </row>
    <row r="270" spans="4:82" ht="11.85" customHeight="1">
      <c r="D270" s="63"/>
      <c r="CB270" s="648">
        <f>13.5/57</f>
        <v>0.23684210526315788</v>
      </c>
      <c r="CC270" s="648">
        <f>4.8/57</f>
        <v>8.4210526315789472E-2</v>
      </c>
      <c r="CD270" s="648">
        <f>1.33/57</f>
        <v>2.3333333333333334E-2</v>
      </c>
    </row>
    <row r="271" spans="4:82" ht="11.85" customHeight="1">
      <c r="D271" s="295"/>
    </row>
    <row r="272" spans="4:82" ht="11.85" customHeight="1">
      <c r="D272" s="295"/>
    </row>
    <row r="273" spans="4:4" ht="11.85" customHeight="1">
      <c r="D273" s="63"/>
    </row>
    <row r="274" spans="4:4" ht="11.85" customHeight="1">
      <c r="D274" s="295"/>
    </row>
  </sheetData>
  <sheetProtection selectLockedCells="1" selectUnlockedCells="1"/>
  <mergeCells count="15">
    <mergeCell ref="C238:D238"/>
    <mergeCell ref="C2:D3"/>
    <mergeCell ref="U2:U5"/>
    <mergeCell ref="BE2:BE5"/>
    <mergeCell ref="CO2:CO5"/>
    <mergeCell ref="C49:D49"/>
    <mergeCell ref="C233:D233"/>
    <mergeCell ref="C9:D9"/>
    <mergeCell ref="DY2:DY5"/>
    <mergeCell ref="C5:D5"/>
    <mergeCell ref="C4:D4"/>
    <mergeCell ref="EP4:ER4"/>
    <mergeCell ref="AL4:AN4"/>
    <mergeCell ref="BV4:BX4"/>
    <mergeCell ref="DF4:DH4"/>
  </mergeCells>
  <phoneticPr fontId="37" type="noConversion"/>
  <conditionalFormatting sqref="CP3:CR4 DI3:DI4 ES3:ES4 FG2:FG4 CB5:CL5 CP5:CQ5 DL5:DV5 EV5:FG5 AR5:BC5 BC2:BD2 CP2:DE2 DZ2:EO4 BF2:BU4 V2:AK5 BF5:BG5 BI5:BU5 BH5:BH215 CS5:DE5 CR5:CR215 DZ5:EA5 EC5:EO5 EB5:EB215 BC3:BC4 BD3:BD5 CM2:CN5 DW2:DX5 V216:CN218 V210:BG215 CP216:DX218 BI210:CN215 CP210:CQ215 CO210:CO218 CS210:DX215 DZ210:EA215 DY210:DY218 X6:FG8 FH2:FI5 DZ216:XFD218 EC6:FI215 E2 I2:T2 T209:BG209 T210:U218 E209:S218 FJ2:XFD3 FJ5:XFD215 A1:XFD1 A2:C2 V4:BD4 BF4:CN4 CP4:DX4 DZ4:XFD4 A3:B5 E3:T5 A6:D252 BI6:CQ209 CS6:EA209 DZ2:DZ5 E219:XFD252 E6:BG208">
    <cfRule type="expression" dxfId="116" priority="70">
      <formula>OR(CELL("col")=COLUMN(),CELL("rom")=ROW())</formula>
    </cfRule>
  </conditionalFormatting>
  <conditionalFormatting sqref="AL2:AQ5">
    <cfRule type="expression" dxfId="115" priority="53">
      <formula>OR(CELL("col")=COLUMN(),CELL("rom")=ROW())</formula>
    </cfRule>
  </conditionalFormatting>
  <conditionalFormatting sqref="AR2:BB4">
    <cfRule type="expression" dxfId="114" priority="52">
      <formula>OR(CELL("col")=COLUMN(),CELL("rom")=ROW())</formula>
    </cfRule>
  </conditionalFormatting>
  <conditionalFormatting sqref="BV3:BV4">
    <cfRule type="expression" dxfId="113" priority="46">
      <formula>OR(CELL("col")=COLUMN(),CELL("rom")=ROW())</formula>
    </cfRule>
  </conditionalFormatting>
  <conditionalFormatting sqref="BW3:CB4">
    <cfRule type="expression" dxfId="112" priority="45">
      <formula>OR(CELL("col")=COLUMN(),CELL("rom")=ROW())</formula>
    </cfRule>
  </conditionalFormatting>
  <conditionalFormatting sqref="CC3:CG4 CI3:CL4">
    <cfRule type="expression" dxfId="111" priority="44">
      <formula>OR(CELL("col")=COLUMN(),CELL("rom")=ROW())</formula>
    </cfRule>
  </conditionalFormatting>
  <conditionalFormatting sqref="CS3:CS4 CU3:CY4 DA3:DE4">
    <cfRule type="expression" dxfId="110" priority="42">
      <formula>OR(CELL("col")=COLUMN(),CELL("rom")=ROW())</formula>
    </cfRule>
  </conditionalFormatting>
  <conditionalFormatting sqref="DF3:DH4">
    <cfRule type="expression" dxfId="109" priority="41">
      <formula>OR(CELL("col")=COLUMN(),CELL("rom")=ROW())</formula>
    </cfRule>
  </conditionalFormatting>
  <conditionalFormatting sqref="DJ3:DL4">
    <cfRule type="expression" dxfId="108" priority="40">
      <formula>OR(CELL("col")=COLUMN(),CELL("rom")=ROW())</formula>
    </cfRule>
  </conditionalFormatting>
  <conditionalFormatting sqref="DM3:DQ4 DS3:DV4">
    <cfRule type="expression" dxfId="107" priority="39">
      <formula>OR(CELL("col")=COLUMN(),CELL("rom")=ROW())</formula>
    </cfRule>
  </conditionalFormatting>
  <conditionalFormatting sqref="EP3:ER4">
    <cfRule type="expression" dxfId="106" priority="37">
      <formula>OR(CELL("col")=COLUMN(),CELL("rom")=ROW())</formula>
    </cfRule>
  </conditionalFormatting>
  <conditionalFormatting sqref="ET3:EV4">
    <cfRule type="expression" dxfId="105" priority="36">
      <formula>OR(CELL("col")=COLUMN(),CELL("rom")=ROW())</formula>
    </cfRule>
  </conditionalFormatting>
  <conditionalFormatting sqref="EW3:FA4 FC3:FF4">
    <cfRule type="expression" dxfId="104" priority="35">
      <formula>OR(CELL("col")=COLUMN(),CELL("rom")=ROW())</formula>
    </cfRule>
  </conditionalFormatting>
  <conditionalFormatting sqref="CH3:CH4">
    <cfRule type="expression" dxfId="103" priority="32">
      <formula>OR(CELL("col")=COLUMN(),CELL("rom")=ROW())</formula>
    </cfRule>
  </conditionalFormatting>
  <conditionalFormatting sqref="DR3:DR4">
    <cfRule type="expression" dxfId="102" priority="31">
      <formula>OR(CELL("col")=COLUMN(),CELL("rom")=ROW())</formula>
    </cfRule>
  </conditionalFormatting>
  <conditionalFormatting sqref="FB3:FB4">
    <cfRule type="expression" dxfId="101" priority="30">
      <formula>OR(CELL("col")=COLUMN(),CELL("rom")=ROW())</formula>
    </cfRule>
  </conditionalFormatting>
  <conditionalFormatting sqref="CT3:CT4">
    <cfRule type="expression" dxfId="100" priority="29">
      <formula>OR(CELL("col")=COLUMN(),CELL("rom")=ROW())</formula>
    </cfRule>
  </conditionalFormatting>
  <conditionalFormatting sqref="CZ3:CZ4">
    <cfRule type="expression" dxfId="99" priority="28">
      <formula>OR(CELL("col")=COLUMN(),CELL("rom")=ROW())</formula>
    </cfRule>
  </conditionalFormatting>
  <conditionalFormatting sqref="BV5:CA5">
    <cfRule type="expression" dxfId="98" priority="26">
      <formula>OR(CELL("col")=COLUMN(),CELL("rom")=ROW())</formula>
    </cfRule>
  </conditionalFormatting>
  <conditionalFormatting sqref="DF5:DK5">
    <cfRule type="expression" dxfId="97" priority="25">
      <formula>OR(CELL("col")=COLUMN(),CELL("rom")=ROW())</formula>
    </cfRule>
  </conditionalFormatting>
  <conditionalFormatting sqref="EP5:EU5">
    <cfRule type="expression" dxfId="96" priority="24">
      <formula>OR(CELL("col")=COLUMN(),CELL("rom")=ROW())</formula>
    </cfRule>
  </conditionalFormatting>
  <conditionalFormatting sqref="BV2:CA2">
    <cfRule type="expression" dxfId="95" priority="23">
      <formula>OR(CELL("col")=COLUMN(),CELL("rom")=ROW())</formula>
    </cfRule>
  </conditionalFormatting>
  <conditionalFormatting sqref="CB2:CL2">
    <cfRule type="expression" dxfId="94" priority="22">
      <formula>OR(CELL("col")=COLUMN(),CELL("rom")=ROW())</formula>
    </cfRule>
  </conditionalFormatting>
  <conditionalFormatting sqref="DF2:DK2">
    <cfRule type="expression" dxfId="93" priority="21">
      <formula>OR(CELL("col")=COLUMN(),CELL("rom")=ROW())</formula>
    </cfRule>
  </conditionalFormatting>
  <conditionalFormatting sqref="DL2:DV2">
    <cfRule type="expression" dxfId="92" priority="20">
      <formula>OR(CELL("col")=COLUMN(),CELL("rom")=ROW())</formula>
    </cfRule>
  </conditionalFormatting>
  <conditionalFormatting sqref="EP2:EU2">
    <cfRule type="expression" dxfId="91" priority="19">
      <formula>OR(CELL("col")=COLUMN(),CELL("rom")=ROW())</formula>
    </cfRule>
  </conditionalFormatting>
  <conditionalFormatting sqref="EV2:FF2">
    <cfRule type="expression" dxfId="90" priority="18">
      <formula>OR(CELL("col")=COLUMN(),CELL("rom")=ROW())</formula>
    </cfRule>
  </conditionalFormatting>
  <conditionalFormatting sqref="U2">
    <cfRule type="expression" dxfId="89" priority="15">
      <formula>OR(CELL("col")=COLUMN(),CELL("rom")=ROW())</formula>
    </cfRule>
  </conditionalFormatting>
  <conditionalFormatting sqref="H2">
    <cfRule type="expression" dxfId="88" priority="6">
      <formula>OR(CELL("col")=COLUMN(),CELL("rom")=ROW())</formula>
    </cfRule>
  </conditionalFormatting>
  <conditionalFormatting sqref="BE2">
    <cfRule type="expression" dxfId="87" priority="5">
      <formula>OR(CELL("col")=COLUMN(),CELL("rom")=ROW())</formula>
    </cfRule>
  </conditionalFormatting>
  <conditionalFormatting sqref="CO2">
    <cfRule type="expression" dxfId="86" priority="4">
      <formula>OR(CELL("col")=COLUMN(),CELL("rom")=ROW())</formula>
    </cfRule>
  </conditionalFormatting>
  <conditionalFormatting sqref="DY2">
    <cfRule type="expression" dxfId="85" priority="3">
      <formula>OR(CELL("col")=COLUMN(),CELL("rom")=ROW())</formula>
    </cfRule>
  </conditionalFormatting>
  <conditionalFormatting sqref="D269:D270">
    <cfRule type="expression" dxfId="84" priority="2">
      <formula>OR(CELL("col")=COLUMN(),CELL("rom")=ROW())</formula>
    </cfRule>
  </conditionalFormatting>
  <conditionalFormatting sqref="D271:D274">
    <cfRule type="expression" dxfId="83" priority="1">
      <formula>OR(CELL("col")=COLUMN(),CELL("rom")=ROW())</formula>
    </cfRule>
  </conditionalFormatting>
  <pageMargins left="0.25" right="0.25" top="0.75" bottom="0.75" header="0.3" footer="0.3"/>
  <pageSetup paperSize="9" scale="58" orientation="portrait" r:id="rId1"/>
  <rowBreaks count="1" manualBreakCount="1">
    <brk id="97" max="70" man="1"/>
  </rowBreak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filterMode="1">
    <outlinePr summaryBelow="0" summaryRight="0"/>
    <pageSetUpPr fitToPage="1"/>
  </sheetPr>
  <dimension ref="A2:V3425"/>
  <sheetViews>
    <sheetView tabSelected="1" zoomScaleNormal="100" zoomScaleSheetLayoutView="100" workbookViewId="0">
      <pane ySplit="5" topLeftCell="A156" activePane="bottomLeft" state="frozen"/>
      <selection pane="bottomLeft" activeCell="I5" sqref="I5"/>
    </sheetView>
  </sheetViews>
  <sheetFormatPr defaultColWidth="11.5703125" defaultRowHeight="12.75" outlineLevelRow="2" outlineLevelCol="1"/>
  <cols>
    <col min="1" max="1" width="0.5703125" style="261" customWidth="1"/>
    <col min="2" max="2" width="3.5703125" style="85" customWidth="1"/>
    <col min="3" max="3" width="28.85546875" style="269" customWidth="1"/>
    <col min="4" max="4" width="103.28515625" style="85" bestFit="1" customWidth="1"/>
    <col min="5" max="5" width="0.5703125" style="85" customWidth="1"/>
    <col min="6" max="6" width="8.42578125" style="92" bestFit="1" customWidth="1"/>
    <col min="7" max="7" width="12.42578125" style="92" bestFit="1" customWidth="1"/>
    <col min="8" max="8" width="5.5703125" style="101" customWidth="1"/>
    <col min="9" max="9" width="10" style="96" bestFit="1" customWidth="1"/>
    <col min="10" max="10" width="8.7109375" style="303" customWidth="1"/>
    <col min="11" max="11" width="9.140625" style="303" hidden="1" customWidth="1"/>
    <col min="12" max="12" width="9.42578125" style="96" bestFit="1" customWidth="1"/>
    <col min="13" max="16" width="9.42578125" style="96" customWidth="1" outlineLevel="1"/>
    <col min="17" max="17" width="9.42578125" style="96" bestFit="1" customWidth="1"/>
    <col min="18" max="21" width="9.42578125" style="96" customWidth="1" outlineLevel="1"/>
    <col min="22" max="16384" width="11.5703125" style="87"/>
  </cols>
  <sheetData>
    <row r="2" spans="1:21" s="68" customFormat="1" ht="12.75" customHeight="1">
      <c r="A2" s="256" t="s">
        <v>260</v>
      </c>
      <c r="B2" s="257"/>
      <c r="C2" s="258"/>
      <c r="D2" s="257"/>
      <c r="E2" s="65"/>
      <c r="F2" s="698" t="s">
        <v>261</v>
      </c>
      <c r="G2" s="698" t="s">
        <v>262</v>
      </c>
      <c r="H2" s="699" t="s">
        <v>263</v>
      </c>
      <c r="I2" s="80" t="s">
        <v>264</v>
      </c>
      <c r="J2" s="299"/>
      <c r="K2" s="299"/>
      <c r="L2" s="697" t="s">
        <v>265</v>
      </c>
      <c r="M2" s="69"/>
      <c r="N2" s="69"/>
      <c r="O2" s="69"/>
      <c r="P2" s="69"/>
      <c r="Q2" s="697" t="s">
        <v>266</v>
      </c>
      <c r="R2" s="69"/>
      <c r="S2" s="69"/>
      <c r="T2" s="69"/>
      <c r="U2" s="69"/>
    </row>
    <row r="3" spans="1:21" s="68" customFormat="1">
      <c r="A3" s="256"/>
      <c r="B3" s="257"/>
      <c r="C3" s="258"/>
      <c r="D3" s="257"/>
      <c r="E3" s="65"/>
      <c r="F3" s="698"/>
      <c r="G3" s="698"/>
      <c r="H3" s="699"/>
      <c r="I3" s="67"/>
      <c r="J3" s="298"/>
      <c r="K3" s="298"/>
      <c r="L3" s="697"/>
      <c r="M3" s="69"/>
      <c r="N3" s="69"/>
      <c r="O3" s="69"/>
      <c r="P3" s="69"/>
      <c r="Q3" s="697"/>
      <c r="R3" s="69"/>
      <c r="S3" s="69"/>
      <c r="T3" s="69"/>
      <c r="U3" s="69"/>
    </row>
    <row r="4" spans="1:21" s="68" customFormat="1" ht="25.5">
      <c r="A4" s="259" t="s">
        <v>267</v>
      </c>
      <c r="B4" s="260"/>
      <c r="C4" s="260"/>
      <c r="D4" s="260"/>
      <c r="E4" s="65"/>
      <c r="F4" s="698"/>
      <c r="G4" s="698"/>
      <c r="H4" s="699"/>
      <c r="I4" s="70" t="s">
        <v>268</v>
      </c>
      <c r="J4" s="391" t="s">
        <v>269</v>
      </c>
      <c r="K4" s="70" t="s">
        <v>270</v>
      </c>
      <c r="L4" s="697"/>
      <c r="M4" s="69" t="s">
        <v>7</v>
      </c>
      <c r="N4" s="69" t="s">
        <v>8</v>
      </c>
      <c r="O4" s="69" t="s">
        <v>9</v>
      </c>
      <c r="P4" s="69" t="s">
        <v>10</v>
      </c>
      <c r="Q4" s="697"/>
      <c r="R4" s="69" t="s">
        <v>7</v>
      </c>
      <c r="S4" s="69" t="s">
        <v>8</v>
      </c>
      <c r="T4" s="69" t="s">
        <v>9</v>
      </c>
      <c r="U4" s="69" t="s">
        <v>10</v>
      </c>
    </row>
    <row r="5" spans="1:21" s="68" customFormat="1" ht="21" customHeight="1">
      <c r="A5" s="256"/>
      <c r="B5" s="257"/>
      <c r="C5" s="258"/>
      <c r="D5" s="257"/>
      <c r="E5" s="65"/>
      <c r="F5" s="66"/>
      <c r="G5" s="66"/>
      <c r="H5" s="78"/>
      <c r="I5" s="67"/>
      <c r="J5" s="298"/>
      <c r="K5" s="298"/>
      <c r="L5" s="79"/>
      <c r="M5" s="67"/>
      <c r="N5" s="67"/>
      <c r="O5" s="67"/>
      <c r="P5" s="67"/>
      <c r="Q5" s="79"/>
      <c r="R5" s="67"/>
      <c r="S5" s="67"/>
      <c r="T5" s="67"/>
      <c r="U5" s="67"/>
    </row>
    <row r="6" spans="1:21" s="68" customFormat="1" ht="10.5" hidden="1" customHeight="1">
      <c r="A6" s="256"/>
      <c r="B6" s="257"/>
      <c r="C6" s="258"/>
      <c r="D6" s="257"/>
      <c r="E6" s="65"/>
      <c r="F6" s="66"/>
      <c r="G6" s="66"/>
      <c r="H6" s="78"/>
      <c r="I6" s="67"/>
      <c r="J6" s="298"/>
      <c r="K6" s="298"/>
      <c r="L6" s="81"/>
      <c r="M6" s="75"/>
      <c r="N6" s="75"/>
      <c r="O6" s="75"/>
      <c r="P6" s="75"/>
      <c r="Q6" s="81"/>
      <c r="R6" s="75"/>
      <c r="S6" s="75"/>
      <c r="T6" s="75"/>
      <c r="U6" s="75"/>
    </row>
    <row r="7" spans="1:21" s="83" customFormat="1" ht="13.5" hidden="1">
      <c r="A7" s="72" t="s">
        <v>271</v>
      </c>
      <c r="B7" s="85"/>
      <c r="C7" s="269"/>
      <c r="D7" s="85"/>
      <c r="E7" s="390"/>
      <c r="F7" s="73" t="s">
        <v>261</v>
      </c>
      <c r="G7" s="73" t="s">
        <v>262</v>
      </c>
      <c r="H7" s="74" t="s">
        <v>263</v>
      </c>
      <c r="I7" s="76"/>
      <c r="J7" s="299"/>
      <c r="K7" s="299"/>
      <c r="L7" s="75"/>
      <c r="M7" s="75"/>
      <c r="N7" s="75"/>
      <c r="O7" s="75"/>
      <c r="P7" s="75"/>
      <c r="Q7" s="75"/>
      <c r="R7" s="75"/>
      <c r="S7" s="75"/>
      <c r="T7" s="75"/>
      <c r="U7" s="75"/>
    </row>
    <row r="8" spans="1:21" s="83" customFormat="1" ht="3" hidden="1" customHeight="1" outlineLevel="1">
      <c r="A8" s="261"/>
      <c r="B8" s="262"/>
      <c r="C8" s="263"/>
      <c r="D8" s="262"/>
      <c r="E8" s="82"/>
      <c r="F8" s="73"/>
      <c r="G8" s="73"/>
      <c r="H8" s="74"/>
      <c r="I8" s="76"/>
      <c r="J8" s="299"/>
      <c r="K8" s="299"/>
      <c r="L8" s="84"/>
      <c r="M8" s="76"/>
      <c r="N8" s="76"/>
      <c r="O8" s="76"/>
      <c r="P8" s="76"/>
      <c r="Q8" s="84"/>
      <c r="R8" s="76"/>
      <c r="S8" s="76"/>
      <c r="T8" s="76"/>
      <c r="U8" s="76"/>
    </row>
    <row r="9" spans="1:21" s="83" customFormat="1" ht="13.5" customHeight="1" outlineLevel="1">
      <c r="A9" s="265"/>
      <c r="B9" s="119" t="s">
        <v>272</v>
      </c>
      <c r="C9" s="266" t="s">
        <v>273</v>
      </c>
      <c r="D9" s="124" t="s">
        <v>274</v>
      </c>
      <c r="E9" s="125"/>
      <c r="F9" s="118" t="s">
        <v>275</v>
      </c>
      <c r="G9" s="126" t="str">
        <f t="shared" ref="G9:G19" si="0">CONCATENATE("AR-",F9,"-",H9)</f>
        <v>AR-SS0-4</v>
      </c>
      <c r="H9" s="253">
        <v>4</v>
      </c>
      <c r="I9" s="76"/>
      <c r="J9" s="299"/>
      <c r="K9" s="299"/>
      <c r="L9" s="84">
        <v>1</v>
      </c>
      <c r="M9" s="76">
        <v>1</v>
      </c>
      <c r="N9" s="76"/>
      <c r="O9" s="76"/>
      <c r="P9" s="76"/>
      <c r="Q9" s="84"/>
      <c r="R9" s="76"/>
    </row>
    <row r="10" spans="1:21" s="83" customFormat="1" ht="13.5" customHeight="1" outlineLevel="1">
      <c r="A10" s="265"/>
      <c r="B10" s="119" t="s">
        <v>272</v>
      </c>
      <c r="C10" s="266" t="s">
        <v>276</v>
      </c>
      <c r="D10" s="124" t="s">
        <v>277</v>
      </c>
      <c r="E10" s="125"/>
      <c r="F10" s="118" t="s">
        <v>275</v>
      </c>
      <c r="G10" s="126" t="str">
        <f t="shared" si="0"/>
        <v>AR-SS0-4</v>
      </c>
      <c r="H10" s="253">
        <v>4</v>
      </c>
      <c r="I10" s="76"/>
      <c r="J10" s="299"/>
      <c r="K10" s="299"/>
      <c r="L10" s="84">
        <v>1</v>
      </c>
      <c r="M10" s="76">
        <v>1</v>
      </c>
      <c r="Q10" s="86"/>
    </row>
    <row r="11" spans="1:21" s="83" customFormat="1" ht="13.5" customHeight="1" outlineLevel="1">
      <c r="A11" s="265"/>
      <c r="B11" s="119" t="s">
        <v>272</v>
      </c>
      <c r="C11" s="266" t="s">
        <v>278</v>
      </c>
      <c r="D11" s="124" t="s">
        <v>279</v>
      </c>
      <c r="E11" s="125"/>
      <c r="F11" s="118" t="s">
        <v>275</v>
      </c>
      <c r="G11" s="126" t="str">
        <f t="shared" si="0"/>
        <v>AR-SS0-4</v>
      </c>
      <c r="H11" s="253">
        <v>4</v>
      </c>
      <c r="I11" s="76"/>
      <c r="J11" s="299"/>
      <c r="K11" s="299"/>
      <c r="L11" s="84">
        <v>1</v>
      </c>
      <c r="M11" s="76">
        <v>1</v>
      </c>
      <c r="Q11" s="86"/>
    </row>
    <row r="12" spans="1:21" s="83" customFormat="1" ht="13.5" customHeight="1" outlineLevel="1">
      <c r="A12" s="265"/>
      <c r="B12" s="119" t="s">
        <v>272</v>
      </c>
      <c r="C12" s="266" t="s">
        <v>280</v>
      </c>
      <c r="D12" s="124" t="s">
        <v>281</v>
      </c>
      <c r="E12" s="125"/>
      <c r="F12" s="118" t="s">
        <v>275</v>
      </c>
      <c r="G12" s="126" t="str">
        <f t="shared" si="0"/>
        <v>AR-SS0-4</v>
      </c>
      <c r="H12" s="253">
        <v>4</v>
      </c>
      <c r="I12" s="76"/>
      <c r="J12" s="299"/>
      <c r="K12" s="299"/>
      <c r="L12" s="84">
        <v>1</v>
      </c>
      <c r="M12" s="76">
        <v>1</v>
      </c>
      <c r="Q12" s="86"/>
    </row>
    <row r="13" spans="1:21" s="83" customFormat="1" ht="13.5" customHeight="1" outlineLevel="1">
      <c r="A13" s="265"/>
      <c r="B13" s="119" t="s">
        <v>272</v>
      </c>
      <c r="C13" s="266" t="s">
        <v>282</v>
      </c>
      <c r="D13" s="124" t="s">
        <v>283</v>
      </c>
      <c r="E13" s="125"/>
      <c r="F13" s="118" t="s">
        <v>275</v>
      </c>
      <c r="G13" s="126" t="str">
        <f t="shared" si="0"/>
        <v>AR-SS0-4</v>
      </c>
      <c r="H13" s="253">
        <v>4</v>
      </c>
      <c r="I13" s="76"/>
      <c r="J13" s="299"/>
      <c r="K13" s="299"/>
      <c r="L13" s="84">
        <v>1</v>
      </c>
      <c r="M13" s="76">
        <v>1</v>
      </c>
      <c r="Q13" s="86"/>
    </row>
    <row r="14" spans="1:21" s="318" customFormat="1" ht="13.5" hidden="1" outlineLevel="1">
      <c r="A14" s="315"/>
      <c r="B14" s="119" t="s">
        <v>272</v>
      </c>
      <c r="C14" s="266" t="s">
        <v>284</v>
      </c>
      <c r="D14" s="124" t="s">
        <v>285</v>
      </c>
      <c r="E14" s="125"/>
      <c r="F14" s="118" t="s">
        <v>275</v>
      </c>
      <c r="G14" s="126" t="str">
        <f t="shared" si="0"/>
        <v>AR-SS0-3</v>
      </c>
      <c r="H14" s="253">
        <v>3</v>
      </c>
      <c r="I14" s="129">
        <v>1</v>
      </c>
      <c r="J14" s="316" t="s">
        <v>286</v>
      </c>
      <c r="K14" s="316"/>
      <c r="L14" s="317"/>
      <c r="M14" s="129"/>
      <c r="N14" s="129"/>
      <c r="O14" s="129"/>
      <c r="P14" s="129"/>
      <c r="Q14" s="317"/>
      <c r="R14" s="129"/>
      <c r="S14" s="129"/>
      <c r="T14" s="129"/>
      <c r="U14" s="129"/>
    </row>
    <row r="15" spans="1:21" s="318" customFormat="1" ht="13.5" hidden="1" outlineLevel="1">
      <c r="A15" s="315"/>
      <c r="B15" s="119" t="s">
        <v>272</v>
      </c>
      <c r="C15" s="266" t="s">
        <v>287</v>
      </c>
      <c r="D15" s="124" t="s">
        <v>288</v>
      </c>
      <c r="E15" s="125"/>
      <c r="F15" s="118" t="s">
        <v>275</v>
      </c>
      <c r="G15" s="126" t="str">
        <f t="shared" si="0"/>
        <v>AR-SS0-2</v>
      </c>
      <c r="H15" s="253" t="s">
        <v>289</v>
      </c>
      <c r="I15" s="129">
        <v>1</v>
      </c>
      <c r="J15" s="316" t="s">
        <v>286</v>
      </c>
      <c r="K15" s="316"/>
      <c r="L15" s="317"/>
      <c r="M15" s="129"/>
      <c r="N15" s="129"/>
      <c r="O15" s="129"/>
      <c r="P15" s="129"/>
      <c r="Q15" s="317"/>
      <c r="R15" s="129"/>
      <c r="S15" s="129"/>
      <c r="T15" s="129"/>
      <c r="U15" s="129"/>
    </row>
    <row r="16" spans="1:21" s="318" customFormat="1" ht="13.5" outlineLevel="1">
      <c r="A16" s="315"/>
      <c r="B16" s="119" t="s">
        <v>272</v>
      </c>
      <c r="C16" s="266" t="s">
        <v>290</v>
      </c>
      <c r="D16" s="124" t="s">
        <v>291</v>
      </c>
      <c r="E16" s="125"/>
      <c r="F16" s="118" t="s">
        <v>275</v>
      </c>
      <c r="G16" s="126" t="str">
        <f t="shared" si="0"/>
        <v>AR-SS0-4</v>
      </c>
      <c r="H16" s="253" t="s">
        <v>292</v>
      </c>
      <c r="I16" s="129">
        <v>1</v>
      </c>
      <c r="J16" s="316" t="s">
        <v>286</v>
      </c>
      <c r="K16" s="316"/>
      <c r="L16" s="317"/>
      <c r="M16" s="129"/>
      <c r="N16" s="129"/>
      <c r="O16" s="129"/>
      <c r="P16" s="129"/>
      <c r="Q16" s="317"/>
      <c r="R16" s="129"/>
      <c r="S16" s="129"/>
      <c r="T16" s="129"/>
      <c r="U16" s="129"/>
    </row>
    <row r="17" spans="1:21" s="318" customFormat="1" ht="13.5" outlineLevel="1">
      <c r="A17" s="315"/>
      <c r="B17" s="119" t="s">
        <v>272</v>
      </c>
      <c r="C17" s="266" t="s">
        <v>293</v>
      </c>
      <c r="D17" s="124" t="s">
        <v>294</v>
      </c>
      <c r="E17" s="125"/>
      <c r="F17" s="118" t="s">
        <v>275</v>
      </c>
      <c r="G17" s="126" t="str">
        <f t="shared" si="0"/>
        <v>AR-SS0-4</v>
      </c>
      <c r="H17" s="253" t="s">
        <v>292</v>
      </c>
      <c r="I17" s="129">
        <v>1</v>
      </c>
      <c r="J17" s="316" t="s">
        <v>286</v>
      </c>
      <c r="K17" s="316"/>
      <c r="L17" s="317"/>
      <c r="M17" s="129"/>
      <c r="N17" s="129"/>
      <c r="O17" s="129"/>
      <c r="P17" s="129"/>
      <c r="Q17" s="317"/>
      <c r="R17" s="129"/>
      <c r="S17" s="129"/>
      <c r="T17" s="129"/>
      <c r="U17" s="129"/>
    </row>
    <row r="18" spans="1:21" s="318" customFormat="1" ht="13.5" outlineLevel="1">
      <c r="A18" s="315"/>
      <c r="B18" s="119" t="s">
        <v>272</v>
      </c>
      <c r="C18" s="266" t="s">
        <v>295</v>
      </c>
      <c r="D18" s="124" t="s">
        <v>296</v>
      </c>
      <c r="E18" s="125"/>
      <c r="F18" s="118" t="s">
        <v>275</v>
      </c>
      <c r="G18" s="126" t="str">
        <f t="shared" si="0"/>
        <v>AR-SS0-4</v>
      </c>
      <c r="H18" s="253" t="s">
        <v>292</v>
      </c>
      <c r="I18" s="129">
        <v>1</v>
      </c>
      <c r="J18" s="316" t="s">
        <v>286</v>
      </c>
      <c r="K18" s="316"/>
      <c r="L18" s="317"/>
      <c r="M18" s="129"/>
      <c r="N18" s="129"/>
      <c r="O18" s="129"/>
      <c r="P18" s="129"/>
      <c r="Q18" s="317"/>
      <c r="R18" s="129"/>
      <c r="S18" s="129"/>
      <c r="T18" s="129"/>
      <c r="U18" s="129"/>
    </row>
    <row r="19" spans="1:21" s="318" customFormat="1" ht="13.5" outlineLevel="1">
      <c r="A19" s="315"/>
      <c r="B19" s="119" t="s">
        <v>272</v>
      </c>
      <c r="C19" s="266" t="s">
        <v>297</v>
      </c>
      <c r="D19" s="124" t="s">
        <v>298</v>
      </c>
      <c r="E19" s="125"/>
      <c r="F19" s="118" t="s">
        <v>275</v>
      </c>
      <c r="G19" s="126" t="str">
        <f t="shared" si="0"/>
        <v>AR-SS0-4</v>
      </c>
      <c r="H19" s="253" t="s">
        <v>292</v>
      </c>
      <c r="I19" s="129">
        <v>1</v>
      </c>
      <c r="J19" s="316" t="s">
        <v>286</v>
      </c>
      <c r="K19" s="316"/>
      <c r="L19" s="317"/>
      <c r="M19" s="129"/>
      <c r="N19" s="129"/>
      <c r="O19" s="129"/>
      <c r="P19" s="129"/>
      <c r="Q19" s="317"/>
      <c r="R19" s="129"/>
      <c r="S19" s="129"/>
      <c r="T19" s="129"/>
      <c r="U19" s="129"/>
    </row>
    <row r="20" spans="1:21" s="83" customFormat="1" ht="3" hidden="1" customHeight="1">
      <c r="A20" s="265"/>
      <c r="B20" s="119"/>
      <c r="C20" s="266"/>
      <c r="D20" s="124" t="s">
        <v>299</v>
      </c>
      <c r="E20" s="125"/>
      <c r="F20" s="118"/>
      <c r="G20" s="126"/>
      <c r="H20" s="253"/>
      <c r="I20" s="76"/>
      <c r="J20" s="299"/>
      <c r="K20" s="299"/>
      <c r="L20" s="84"/>
      <c r="M20" s="76"/>
      <c r="N20" s="76"/>
      <c r="O20" s="76"/>
      <c r="P20" s="76"/>
      <c r="Q20" s="84"/>
      <c r="R20" s="76"/>
      <c r="S20" s="76"/>
      <c r="T20" s="76"/>
      <c r="U20" s="76"/>
    </row>
    <row r="21" spans="1:21" s="83" customFormat="1" ht="13.5" hidden="1" collapsed="1">
      <c r="A21" s="72" t="s">
        <v>300</v>
      </c>
      <c r="B21" s="85"/>
      <c r="C21" s="269"/>
      <c r="D21" s="85" t="s">
        <v>299</v>
      </c>
      <c r="E21" s="390"/>
      <c r="F21" s="73"/>
      <c r="G21" s="73"/>
      <c r="H21" s="74"/>
      <c r="I21" s="76"/>
      <c r="J21" s="299"/>
      <c r="K21" s="299"/>
      <c r="L21" s="75"/>
      <c r="M21" s="75"/>
      <c r="N21" s="75"/>
      <c r="O21" s="75"/>
      <c r="P21" s="75"/>
      <c r="Q21" s="75"/>
      <c r="R21" s="75"/>
      <c r="S21" s="75"/>
      <c r="T21" s="75"/>
      <c r="U21" s="75"/>
    </row>
    <row r="22" spans="1:21" s="83" customFormat="1" ht="3" hidden="1" customHeight="1" outlineLevel="1">
      <c r="A22" s="261"/>
      <c r="B22" s="119"/>
      <c r="C22" s="266"/>
      <c r="D22" s="124" t="s">
        <v>299</v>
      </c>
      <c r="E22" s="125"/>
      <c r="F22" s="118"/>
      <c r="G22" s="126"/>
      <c r="H22" s="253"/>
      <c r="I22" s="76"/>
      <c r="J22" s="299"/>
      <c r="K22" s="299"/>
      <c r="L22" s="84"/>
      <c r="M22" s="76"/>
      <c r="N22" s="76"/>
      <c r="O22" s="76"/>
      <c r="P22" s="76"/>
      <c r="Q22" s="84"/>
      <c r="R22" s="76"/>
      <c r="S22" s="76"/>
      <c r="T22" s="76"/>
      <c r="U22" s="76"/>
    </row>
    <row r="23" spans="1:21" s="83" customFormat="1" ht="13.5" hidden="1" customHeight="1" outlineLevel="1">
      <c r="A23" s="264"/>
      <c r="B23" s="119" t="s">
        <v>272</v>
      </c>
      <c r="C23" s="266" t="s">
        <v>301</v>
      </c>
      <c r="D23" s="124" t="s">
        <v>302</v>
      </c>
      <c r="E23" s="125"/>
      <c r="F23" s="118" t="s">
        <v>303</v>
      </c>
      <c r="G23" s="126" t="str">
        <f>CONCATENATE("AR-",F23,"-",H23)</f>
        <v>AR-T01-1</v>
      </c>
      <c r="H23" s="253" t="s">
        <v>304</v>
      </c>
      <c r="I23" s="76">
        <v>1</v>
      </c>
      <c r="J23" s="299" t="s">
        <v>286</v>
      </c>
      <c r="K23" s="299"/>
      <c r="L23" s="86"/>
      <c r="Q23" s="86"/>
    </row>
    <row r="24" spans="1:21" s="83" customFormat="1" ht="14.25" hidden="1" customHeight="1" outlineLevel="1">
      <c r="A24" s="264"/>
      <c r="B24" s="119" t="s">
        <v>272</v>
      </c>
      <c r="C24" s="266" t="s">
        <v>305</v>
      </c>
      <c r="D24" s="124" t="s">
        <v>306</v>
      </c>
      <c r="E24" s="125"/>
      <c r="F24" s="118" t="s">
        <v>303</v>
      </c>
      <c r="G24" s="126" t="str">
        <f t="shared" ref="G24:G33" si="1">CONCATENATE("AR-",F24,"-",H24)</f>
        <v>AR-T01-1</v>
      </c>
      <c r="H24" s="253" t="s">
        <v>304</v>
      </c>
      <c r="I24" s="76">
        <v>1</v>
      </c>
      <c r="J24" s="299" t="s">
        <v>307</v>
      </c>
      <c r="K24" s="299"/>
      <c r="L24" s="86"/>
      <c r="Q24" s="86"/>
    </row>
    <row r="25" spans="1:21" s="83" customFormat="1" ht="14.25" hidden="1" customHeight="1" outlineLevel="1">
      <c r="A25" s="264"/>
      <c r="B25" s="119" t="s">
        <v>272</v>
      </c>
      <c r="C25" s="266" t="s">
        <v>308</v>
      </c>
      <c r="D25" s="124" t="s">
        <v>309</v>
      </c>
      <c r="E25" s="125"/>
      <c r="F25" s="118" t="s">
        <v>303</v>
      </c>
      <c r="G25" s="126" t="str">
        <f t="shared" si="1"/>
        <v>AR-T01-1</v>
      </c>
      <c r="H25" s="253" t="s">
        <v>304</v>
      </c>
      <c r="I25" s="76">
        <v>1</v>
      </c>
      <c r="J25" s="299" t="s">
        <v>310</v>
      </c>
      <c r="K25" s="299"/>
      <c r="L25" s="86"/>
      <c r="Q25" s="86"/>
    </row>
    <row r="26" spans="1:21" s="83" customFormat="1" ht="14.25" hidden="1" customHeight="1" outlineLevel="1">
      <c r="A26" s="264"/>
      <c r="B26" s="119" t="s">
        <v>272</v>
      </c>
      <c r="C26" s="266" t="s">
        <v>311</v>
      </c>
      <c r="D26" s="124" t="s">
        <v>312</v>
      </c>
      <c r="E26" s="125"/>
      <c r="F26" s="118" t="s">
        <v>303</v>
      </c>
      <c r="G26" s="126" t="str">
        <f t="shared" si="1"/>
        <v>AR-T01-1</v>
      </c>
      <c r="H26" s="253" t="s">
        <v>304</v>
      </c>
      <c r="I26" s="76">
        <v>1</v>
      </c>
      <c r="J26" s="299" t="s">
        <v>307</v>
      </c>
      <c r="K26" s="299"/>
      <c r="L26" s="86"/>
      <c r="Q26" s="86"/>
    </row>
    <row r="27" spans="1:21" s="83" customFormat="1" ht="14.25" hidden="1" customHeight="1" outlineLevel="1">
      <c r="A27" s="264"/>
      <c r="B27" s="119" t="s">
        <v>272</v>
      </c>
      <c r="C27" s="266" t="s">
        <v>313</v>
      </c>
      <c r="D27" s="124" t="s">
        <v>314</v>
      </c>
      <c r="E27" s="125"/>
      <c r="F27" s="118" t="s">
        <v>303</v>
      </c>
      <c r="G27" s="126" t="str">
        <f t="shared" si="1"/>
        <v>AR-T01-1</v>
      </c>
      <c r="H27" s="253" t="s">
        <v>304</v>
      </c>
      <c r="I27" s="76">
        <v>1</v>
      </c>
      <c r="J27" s="299" t="s">
        <v>286</v>
      </c>
      <c r="K27" s="299"/>
      <c r="L27" s="86"/>
      <c r="Q27" s="86"/>
    </row>
    <row r="28" spans="1:21" s="83" customFormat="1" ht="14.25" hidden="1" customHeight="1" outlineLevel="1">
      <c r="A28" s="264"/>
      <c r="B28" s="119" t="s">
        <v>272</v>
      </c>
      <c r="C28" s="266" t="s">
        <v>315</v>
      </c>
      <c r="D28" s="124" t="s">
        <v>316</v>
      </c>
      <c r="E28" s="125"/>
      <c r="F28" s="118" t="s">
        <v>303</v>
      </c>
      <c r="G28" s="126" t="str">
        <f t="shared" si="1"/>
        <v>AR-T01-1</v>
      </c>
      <c r="H28" s="253" t="s">
        <v>304</v>
      </c>
      <c r="I28" s="76">
        <v>1</v>
      </c>
      <c r="J28" s="299" t="s">
        <v>310</v>
      </c>
      <c r="K28" s="299"/>
      <c r="L28" s="86"/>
      <c r="Q28" s="86"/>
    </row>
    <row r="29" spans="1:21" s="83" customFormat="1" ht="14.25" hidden="1" customHeight="1" outlineLevel="1">
      <c r="A29" s="264"/>
      <c r="B29" s="119" t="s">
        <v>272</v>
      </c>
      <c r="C29" s="266" t="s">
        <v>317</v>
      </c>
      <c r="D29" s="124" t="s">
        <v>318</v>
      </c>
      <c r="E29" s="125"/>
      <c r="F29" s="118" t="s">
        <v>303</v>
      </c>
      <c r="G29" s="126" t="str">
        <f t="shared" si="1"/>
        <v>AR-T01-1</v>
      </c>
      <c r="H29" s="253" t="s">
        <v>304</v>
      </c>
      <c r="I29" s="76">
        <v>1</v>
      </c>
      <c r="J29" s="299" t="s">
        <v>310</v>
      </c>
      <c r="K29" s="299"/>
      <c r="L29" s="86"/>
      <c r="Q29" s="86"/>
    </row>
    <row r="30" spans="1:21" s="83" customFormat="1" ht="14.25" hidden="1" customHeight="1" outlineLevel="1">
      <c r="A30" s="264"/>
      <c r="B30" s="119" t="s">
        <v>272</v>
      </c>
      <c r="C30" s="266" t="s">
        <v>319</v>
      </c>
      <c r="D30" s="124" t="s">
        <v>320</v>
      </c>
      <c r="E30" s="125"/>
      <c r="F30" s="118" t="s">
        <v>303</v>
      </c>
      <c r="G30" s="126" t="str">
        <f t="shared" si="1"/>
        <v>AR-T01-1</v>
      </c>
      <c r="H30" s="253" t="s">
        <v>304</v>
      </c>
      <c r="I30" s="76">
        <v>1</v>
      </c>
      <c r="J30" s="299" t="s">
        <v>286</v>
      </c>
      <c r="K30" s="299"/>
      <c r="L30" s="86"/>
      <c r="Q30" s="86"/>
    </row>
    <row r="31" spans="1:21" s="83" customFormat="1" ht="14.25" hidden="1" customHeight="1" outlineLevel="1">
      <c r="A31" s="264"/>
      <c r="B31" s="119" t="s">
        <v>272</v>
      </c>
      <c r="C31" s="266" t="s">
        <v>321</v>
      </c>
      <c r="D31" s="124" t="s">
        <v>322</v>
      </c>
      <c r="E31" s="125"/>
      <c r="F31" s="118" t="s">
        <v>303</v>
      </c>
      <c r="G31" s="126" t="str">
        <f t="shared" si="1"/>
        <v>AR-T01-1</v>
      </c>
      <c r="H31" s="253" t="s">
        <v>304</v>
      </c>
      <c r="I31" s="76">
        <v>1</v>
      </c>
      <c r="J31" s="299" t="s">
        <v>307</v>
      </c>
      <c r="K31" s="299"/>
      <c r="L31" s="86"/>
      <c r="Q31" s="86"/>
    </row>
    <row r="32" spans="1:21" s="83" customFormat="1" ht="14.25" hidden="1" customHeight="1" outlineLevel="1">
      <c r="A32" s="264"/>
      <c r="B32" s="119" t="s">
        <v>272</v>
      </c>
      <c r="C32" s="266" t="s">
        <v>323</v>
      </c>
      <c r="D32" s="124" t="s">
        <v>324</v>
      </c>
      <c r="E32" s="125"/>
      <c r="F32" s="118" t="s">
        <v>303</v>
      </c>
      <c r="G32" s="126" t="str">
        <f t="shared" si="1"/>
        <v>AR-T01-1</v>
      </c>
      <c r="H32" s="253" t="s">
        <v>304</v>
      </c>
      <c r="I32" s="76">
        <v>1</v>
      </c>
      <c r="J32" s="299" t="s">
        <v>325</v>
      </c>
      <c r="K32" s="299"/>
      <c r="L32" s="86"/>
      <c r="Q32" s="86"/>
    </row>
    <row r="33" spans="1:17" s="83" customFormat="1" ht="14.25" hidden="1" customHeight="1" outlineLevel="1">
      <c r="A33" s="264"/>
      <c r="B33" s="119" t="s">
        <v>272</v>
      </c>
      <c r="C33" s="266" t="s">
        <v>326</v>
      </c>
      <c r="D33" s="124" t="s">
        <v>327</v>
      </c>
      <c r="E33" s="125"/>
      <c r="F33" s="118" t="s">
        <v>303</v>
      </c>
      <c r="G33" s="126" t="str">
        <f t="shared" si="1"/>
        <v>AR-T01-1</v>
      </c>
      <c r="H33" s="253" t="s">
        <v>304</v>
      </c>
      <c r="I33" s="76">
        <v>1</v>
      </c>
      <c r="J33" s="299" t="s">
        <v>325</v>
      </c>
      <c r="K33" s="299"/>
      <c r="L33" s="86"/>
      <c r="Q33" s="86"/>
    </row>
    <row r="34" spans="1:17" s="83" customFormat="1" ht="13.5" hidden="1" customHeight="1" outlineLevel="1">
      <c r="A34" s="264"/>
      <c r="B34" s="119" t="s">
        <v>272</v>
      </c>
      <c r="C34" s="266" t="s">
        <v>328</v>
      </c>
      <c r="D34" s="124" t="s">
        <v>329</v>
      </c>
      <c r="E34" s="125"/>
      <c r="F34" s="118" t="s">
        <v>303</v>
      </c>
      <c r="G34" s="126" t="str">
        <f t="shared" ref="G34:G41" si="2">CONCATENATE("AR-",F34,"-",H34)</f>
        <v>AR-T01-1</v>
      </c>
      <c r="H34" s="253" t="s">
        <v>304</v>
      </c>
      <c r="I34" s="76">
        <v>1</v>
      </c>
      <c r="J34" s="299" t="s">
        <v>307</v>
      </c>
      <c r="K34" s="299"/>
      <c r="L34" s="86"/>
      <c r="Q34" s="86"/>
    </row>
    <row r="35" spans="1:17" s="83" customFormat="1" ht="14.25" hidden="1" customHeight="1" outlineLevel="1">
      <c r="A35" s="264"/>
      <c r="B35" s="119" t="s">
        <v>272</v>
      </c>
      <c r="C35" s="266" t="s">
        <v>330</v>
      </c>
      <c r="D35" s="124" t="s">
        <v>331</v>
      </c>
      <c r="E35" s="125"/>
      <c r="F35" s="118" t="s">
        <v>303</v>
      </c>
      <c r="G35" s="126" t="str">
        <f t="shared" si="2"/>
        <v>AR-T01-1</v>
      </c>
      <c r="H35" s="253" t="s">
        <v>304</v>
      </c>
      <c r="I35" s="76">
        <v>1</v>
      </c>
      <c r="J35" s="299" t="s">
        <v>307</v>
      </c>
      <c r="K35" s="299"/>
      <c r="L35" s="86"/>
      <c r="Q35" s="86"/>
    </row>
    <row r="36" spans="1:17" s="83" customFormat="1" ht="14.25" hidden="1" customHeight="1" outlineLevel="1">
      <c r="A36" s="264"/>
      <c r="B36" s="119" t="s">
        <v>272</v>
      </c>
      <c r="C36" s="266" t="s">
        <v>332</v>
      </c>
      <c r="D36" s="124" t="s">
        <v>333</v>
      </c>
      <c r="E36" s="125"/>
      <c r="F36" s="118" t="s">
        <v>303</v>
      </c>
      <c r="G36" s="126" t="str">
        <f t="shared" si="2"/>
        <v>AR-T01-1</v>
      </c>
      <c r="H36" s="253" t="s">
        <v>304</v>
      </c>
      <c r="I36" s="76">
        <v>1</v>
      </c>
      <c r="J36" s="299" t="s">
        <v>310</v>
      </c>
      <c r="K36" s="299"/>
      <c r="L36" s="86"/>
      <c r="Q36" s="86"/>
    </row>
    <row r="37" spans="1:17" s="83" customFormat="1" ht="14.25" hidden="1" customHeight="1" outlineLevel="1">
      <c r="A37" s="264"/>
      <c r="B37" s="119" t="s">
        <v>272</v>
      </c>
      <c r="C37" s="266" t="s">
        <v>334</v>
      </c>
      <c r="D37" s="124" t="s">
        <v>335</v>
      </c>
      <c r="E37" s="125"/>
      <c r="F37" s="118" t="s">
        <v>303</v>
      </c>
      <c r="G37" s="126" t="str">
        <f t="shared" si="2"/>
        <v>AR-T01-1</v>
      </c>
      <c r="H37" s="253" t="s">
        <v>304</v>
      </c>
      <c r="I37" s="76">
        <v>1</v>
      </c>
      <c r="J37" s="299" t="s">
        <v>310</v>
      </c>
      <c r="K37" s="299"/>
      <c r="L37" s="86"/>
      <c r="Q37" s="86"/>
    </row>
    <row r="38" spans="1:17" s="83" customFormat="1" ht="14.25" hidden="1" customHeight="1" outlineLevel="1">
      <c r="A38" s="264"/>
      <c r="B38" s="119" t="s">
        <v>272</v>
      </c>
      <c r="C38" s="266" t="s">
        <v>336</v>
      </c>
      <c r="D38" s="124" t="s">
        <v>337</v>
      </c>
      <c r="E38" s="125"/>
      <c r="F38" s="118" t="s">
        <v>303</v>
      </c>
      <c r="G38" s="126" t="str">
        <f t="shared" si="2"/>
        <v>AR-T01-1</v>
      </c>
      <c r="H38" s="253" t="s">
        <v>304</v>
      </c>
      <c r="I38" s="76">
        <v>1</v>
      </c>
      <c r="J38" s="299" t="s">
        <v>310</v>
      </c>
      <c r="K38" s="299"/>
      <c r="L38" s="86"/>
      <c r="Q38" s="86"/>
    </row>
    <row r="39" spans="1:17" s="88" customFormat="1" ht="14.25" hidden="1" customHeight="1" outlineLevel="1">
      <c r="A39" s="267"/>
      <c r="B39" s="119" t="s">
        <v>272</v>
      </c>
      <c r="C39" s="266" t="s">
        <v>338</v>
      </c>
      <c r="D39" s="124" t="s">
        <v>339</v>
      </c>
      <c r="E39" s="125"/>
      <c r="F39" s="118" t="s">
        <v>303</v>
      </c>
      <c r="G39" s="126" t="str">
        <f t="shared" si="2"/>
        <v>AR-T01-2</v>
      </c>
      <c r="H39" s="253">
        <v>2</v>
      </c>
      <c r="I39" s="76">
        <v>1</v>
      </c>
      <c r="J39" s="299" t="s">
        <v>325</v>
      </c>
      <c r="K39" s="299"/>
      <c r="L39" s="286"/>
      <c r="Q39" s="286"/>
    </row>
    <row r="40" spans="1:17" s="83" customFormat="1" ht="14.25" hidden="1" customHeight="1" outlineLevel="1">
      <c r="A40" s="264"/>
      <c r="B40" s="119" t="s">
        <v>272</v>
      </c>
      <c r="C40" s="266" t="s">
        <v>340</v>
      </c>
      <c r="D40" s="124" t="s">
        <v>341</v>
      </c>
      <c r="E40" s="125"/>
      <c r="F40" s="118" t="s">
        <v>303</v>
      </c>
      <c r="G40" s="126" t="str">
        <f t="shared" si="2"/>
        <v>AR-T01-2</v>
      </c>
      <c r="H40" s="253">
        <v>2</v>
      </c>
      <c r="I40" s="76">
        <v>1</v>
      </c>
      <c r="J40" s="299" t="s">
        <v>307</v>
      </c>
      <c r="K40" s="299"/>
      <c r="L40" s="86"/>
      <c r="Q40" s="86"/>
    </row>
    <row r="41" spans="1:17" s="83" customFormat="1" ht="14.25" hidden="1" customHeight="1" outlineLevel="1">
      <c r="A41" s="264"/>
      <c r="B41" s="119" t="s">
        <v>272</v>
      </c>
      <c r="C41" s="266" t="s">
        <v>342</v>
      </c>
      <c r="D41" s="124" t="s">
        <v>343</v>
      </c>
      <c r="E41" s="125"/>
      <c r="F41" s="118" t="s">
        <v>303</v>
      </c>
      <c r="G41" s="126" t="str">
        <f t="shared" si="2"/>
        <v>AR-T01-2</v>
      </c>
      <c r="H41" s="253">
        <v>2</v>
      </c>
      <c r="I41" s="76">
        <v>1</v>
      </c>
      <c r="J41" s="299" t="s">
        <v>310</v>
      </c>
      <c r="K41" s="299"/>
      <c r="L41" s="86"/>
      <c r="Q41" s="86"/>
    </row>
    <row r="42" spans="1:17" s="83" customFormat="1" ht="13.5" hidden="1" customHeight="1" outlineLevel="1">
      <c r="A42" s="264"/>
      <c r="B42" s="119" t="s">
        <v>272</v>
      </c>
      <c r="C42" s="266" t="s">
        <v>344</v>
      </c>
      <c r="D42" s="124" t="s">
        <v>345</v>
      </c>
      <c r="E42" s="125"/>
      <c r="F42" s="118" t="s">
        <v>303</v>
      </c>
      <c r="G42" s="126" t="str">
        <f t="shared" ref="G42:G47" si="3">CONCATENATE("AR-",F42,"-",H42)</f>
        <v>AR-T01-3</v>
      </c>
      <c r="H42" s="253" t="s">
        <v>346</v>
      </c>
      <c r="I42" s="76">
        <v>1</v>
      </c>
      <c r="J42" s="299" t="s">
        <v>286</v>
      </c>
      <c r="K42" s="299"/>
      <c r="L42" s="86"/>
      <c r="Q42" s="86"/>
    </row>
    <row r="43" spans="1:17" s="83" customFormat="1" ht="14.25" hidden="1" customHeight="1" outlineLevel="1">
      <c r="A43" s="264"/>
      <c r="B43" s="119" t="s">
        <v>272</v>
      </c>
      <c r="C43" s="266" t="s">
        <v>347</v>
      </c>
      <c r="D43" s="124" t="s">
        <v>348</v>
      </c>
      <c r="E43" s="125"/>
      <c r="F43" s="118" t="s">
        <v>303</v>
      </c>
      <c r="G43" s="126" t="str">
        <f t="shared" si="3"/>
        <v>AR-T01-3</v>
      </c>
      <c r="H43" s="253" t="s">
        <v>346</v>
      </c>
      <c r="I43" s="76">
        <v>1</v>
      </c>
      <c r="J43" s="299" t="s">
        <v>310</v>
      </c>
      <c r="K43" s="299"/>
      <c r="L43" s="86"/>
      <c r="Q43" s="86"/>
    </row>
    <row r="44" spans="1:17" s="83" customFormat="1" ht="14.25" hidden="1" customHeight="1" outlineLevel="1">
      <c r="A44" s="264"/>
      <c r="B44" s="119" t="s">
        <v>272</v>
      </c>
      <c r="C44" s="266" t="s">
        <v>349</v>
      </c>
      <c r="D44" s="124" t="s">
        <v>350</v>
      </c>
      <c r="E44" s="125"/>
      <c r="F44" s="118" t="s">
        <v>303</v>
      </c>
      <c r="G44" s="126" t="str">
        <f t="shared" si="3"/>
        <v>AR-T01-3</v>
      </c>
      <c r="H44" s="253" t="s">
        <v>346</v>
      </c>
      <c r="I44" s="76">
        <v>1</v>
      </c>
      <c r="J44" s="299" t="s">
        <v>307</v>
      </c>
      <c r="K44" s="299"/>
      <c r="L44" s="86"/>
      <c r="Q44" s="86"/>
    </row>
    <row r="45" spans="1:17" s="83" customFormat="1" ht="14.25" hidden="1" customHeight="1" outlineLevel="1">
      <c r="A45" s="264"/>
      <c r="B45" s="119" t="s">
        <v>272</v>
      </c>
      <c r="C45" s="266" t="s">
        <v>351</v>
      </c>
      <c r="D45" s="124" t="s">
        <v>352</v>
      </c>
      <c r="E45" s="125"/>
      <c r="F45" s="118" t="s">
        <v>303</v>
      </c>
      <c r="G45" s="126" t="str">
        <f t="shared" si="3"/>
        <v>AR-T01-4</v>
      </c>
      <c r="H45" s="253" t="s">
        <v>292</v>
      </c>
      <c r="I45" s="76">
        <v>1</v>
      </c>
      <c r="J45" s="299" t="s">
        <v>286</v>
      </c>
      <c r="K45" s="299"/>
      <c r="L45" s="86"/>
      <c r="Q45" s="86"/>
    </row>
    <row r="46" spans="1:17" s="83" customFormat="1" ht="14.25" hidden="1" customHeight="1" outlineLevel="1">
      <c r="A46" s="264"/>
      <c r="B46" s="119" t="s">
        <v>272</v>
      </c>
      <c r="C46" s="266" t="s">
        <v>353</v>
      </c>
      <c r="D46" s="124" t="s">
        <v>354</v>
      </c>
      <c r="E46" s="125"/>
      <c r="F46" s="118" t="s">
        <v>303</v>
      </c>
      <c r="G46" s="126" t="str">
        <f t="shared" si="3"/>
        <v>AR-T01-4</v>
      </c>
      <c r="H46" s="253" t="s">
        <v>292</v>
      </c>
      <c r="I46" s="76">
        <v>1</v>
      </c>
      <c r="J46" s="299" t="s">
        <v>307</v>
      </c>
      <c r="K46" s="299"/>
      <c r="L46" s="86"/>
      <c r="Q46" s="86"/>
    </row>
    <row r="47" spans="1:17" s="83" customFormat="1" ht="14.25" hidden="1" customHeight="1" outlineLevel="1">
      <c r="A47" s="264"/>
      <c r="B47" s="119" t="s">
        <v>272</v>
      </c>
      <c r="C47" s="266" t="s">
        <v>355</v>
      </c>
      <c r="D47" s="124" t="s">
        <v>356</v>
      </c>
      <c r="E47" s="125"/>
      <c r="F47" s="118" t="s">
        <v>303</v>
      </c>
      <c r="G47" s="126" t="str">
        <f t="shared" si="3"/>
        <v>AR-T01-4</v>
      </c>
      <c r="H47" s="253" t="s">
        <v>292</v>
      </c>
      <c r="I47" s="76">
        <v>1</v>
      </c>
      <c r="J47" s="299" t="s">
        <v>310</v>
      </c>
      <c r="K47" s="299"/>
      <c r="L47" s="86"/>
      <c r="Q47" s="86"/>
    </row>
    <row r="48" spans="1:17" s="83" customFormat="1" ht="14.25" hidden="1" customHeight="1" outlineLevel="1">
      <c r="A48" s="264"/>
      <c r="B48" s="119" t="s">
        <v>272</v>
      </c>
      <c r="C48" s="266" t="s">
        <v>357</v>
      </c>
      <c r="D48" s="124" t="s">
        <v>358</v>
      </c>
      <c r="E48" s="125"/>
      <c r="F48" s="118" t="s">
        <v>303</v>
      </c>
      <c r="G48" s="126" t="str">
        <f t="shared" ref="G48:G62" si="4">CONCATENATE("AR-",F48,"-",H48)</f>
        <v>AR-T01-4</v>
      </c>
      <c r="H48" s="253" t="s">
        <v>292</v>
      </c>
      <c r="I48" s="76">
        <v>1</v>
      </c>
      <c r="J48" s="299" t="s">
        <v>310</v>
      </c>
      <c r="K48" s="299"/>
      <c r="L48" s="86"/>
      <c r="Q48" s="86"/>
    </row>
    <row r="49" spans="1:17" s="83" customFormat="1" ht="14.25" hidden="1" customHeight="1" outlineLevel="1">
      <c r="A49" s="264"/>
      <c r="B49" s="119" t="s">
        <v>272</v>
      </c>
      <c r="C49" s="266" t="s">
        <v>359</v>
      </c>
      <c r="D49" s="124" t="s">
        <v>360</v>
      </c>
      <c r="E49" s="125"/>
      <c r="F49" s="118" t="s">
        <v>303</v>
      </c>
      <c r="G49" s="126" t="str">
        <f t="shared" si="4"/>
        <v>AR-T01-4</v>
      </c>
      <c r="H49" s="253" t="s">
        <v>292</v>
      </c>
      <c r="I49" s="76">
        <v>1</v>
      </c>
      <c r="J49" s="299" t="s">
        <v>310</v>
      </c>
      <c r="K49" s="299"/>
      <c r="L49" s="86"/>
      <c r="Q49" s="86"/>
    </row>
    <row r="50" spans="1:17" s="83" customFormat="1" ht="14.25" hidden="1" customHeight="1" outlineLevel="1">
      <c r="A50" s="264"/>
      <c r="B50" s="119" t="s">
        <v>272</v>
      </c>
      <c r="C50" s="266" t="s">
        <v>361</v>
      </c>
      <c r="D50" s="124" t="s">
        <v>362</v>
      </c>
      <c r="E50" s="125"/>
      <c r="F50" s="118" t="s">
        <v>303</v>
      </c>
      <c r="G50" s="126" t="str">
        <f t="shared" si="4"/>
        <v>AR-T01-5</v>
      </c>
      <c r="H50" s="253" t="s">
        <v>363</v>
      </c>
      <c r="I50" s="76">
        <v>1</v>
      </c>
      <c r="J50" s="299" t="s">
        <v>286</v>
      </c>
      <c r="K50" s="299"/>
      <c r="L50" s="86"/>
      <c r="Q50" s="86"/>
    </row>
    <row r="51" spans="1:17" s="83" customFormat="1" ht="14.25" hidden="1" customHeight="1" outlineLevel="1">
      <c r="A51" s="264"/>
      <c r="B51" s="119" t="s">
        <v>272</v>
      </c>
      <c r="C51" s="266" t="s">
        <v>364</v>
      </c>
      <c r="D51" s="124" t="s">
        <v>365</v>
      </c>
      <c r="E51" s="125"/>
      <c r="F51" s="118" t="s">
        <v>303</v>
      </c>
      <c r="G51" s="126" t="str">
        <f t="shared" si="4"/>
        <v>AR-T01-5</v>
      </c>
      <c r="H51" s="253" t="s">
        <v>363</v>
      </c>
      <c r="I51" s="76">
        <v>1</v>
      </c>
      <c r="J51" s="299" t="s">
        <v>286</v>
      </c>
      <c r="K51" s="299"/>
      <c r="L51" s="86"/>
      <c r="Q51" s="86"/>
    </row>
    <row r="52" spans="1:17" s="83" customFormat="1" ht="13.5" hidden="1" outlineLevel="1">
      <c r="A52" s="264"/>
      <c r="B52" s="119" t="s">
        <v>272</v>
      </c>
      <c r="C52" s="266" t="s">
        <v>366</v>
      </c>
      <c r="D52" s="124" t="s">
        <v>367</v>
      </c>
      <c r="E52" s="125"/>
      <c r="F52" s="118" t="s">
        <v>303</v>
      </c>
      <c r="G52" s="126" t="str">
        <f t="shared" si="4"/>
        <v>AR-T01-6</v>
      </c>
      <c r="H52" s="253" t="s">
        <v>368</v>
      </c>
      <c r="I52" s="76">
        <v>1</v>
      </c>
      <c r="J52" s="299" t="s">
        <v>286</v>
      </c>
      <c r="K52" s="299"/>
      <c r="L52" s="86"/>
      <c r="Q52" s="86"/>
    </row>
    <row r="53" spans="1:17" s="83" customFormat="1" ht="13.5" hidden="1" outlineLevel="1">
      <c r="A53" s="264"/>
      <c r="B53" s="119" t="s">
        <v>272</v>
      </c>
      <c r="C53" s="266" t="s">
        <v>369</v>
      </c>
      <c r="D53" s="124" t="s">
        <v>370</v>
      </c>
      <c r="E53" s="125"/>
      <c r="F53" s="118" t="s">
        <v>303</v>
      </c>
      <c r="G53" s="126" t="str">
        <f t="shared" si="4"/>
        <v>AR-T01-6</v>
      </c>
      <c r="H53" s="253" t="s">
        <v>368</v>
      </c>
      <c r="I53" s="76">
        <v>1</v>
      </c>
      <c r="J53" s="299" t="s">
        <v>286</v>
      </c>
      <c r="K53" s="299"/>
      <c r="L53" s="86"/>
      <c r="Q53" s="86"/>
    </row>
    <row r="54" spans="1:17" s="83" customFormat="1" ht="13.5" hidden="1" outlineLevel="1">
      <c r="A54" s="264"/>
      <c r="B54" s="119" t="s">
        <v>272</v>
      </c>
      <c r="C54" s="266" t="s">
        <v>371</v>
      </c>
      <c r="D54" s="124" t="s">
        <v>372</v>
      </c>
      <c r="E54" s="125"/>
      <c r="F54" s="118" t="s">
        <v>303</v>
      </c>
      <c r="G54" s="126" t="str">
        <f t="shared" si="4"/>
        <v>AR-T01-7</v>
      </c>
      <c r="H54" s="253" t="s">
        <v>373</v>
      </c>
      <c r="I54" s="76">
        <v>1</v>
      </c>
      <c r="J54" s="299" t="s">
        <v>310</v>
      </c>
      <c r="K54" s="299"/>
      <c r="L54" s="86"/>
      <c r="Q54" s="86"/>
    </row>
    <row r="55" spans="1:17" s="83" customFormat="1" ht="13.5" hidden="1" outlineLevel="1">
      <c r="A55" s="264"/>
      <c r="B55" s="119" t="s">
        <v>272</v>
      </c>
      <c r="C55" s="266" t="s">
        <v>374</v>
      </c>
      <c r="D55" s="124" t="s">
        <v>375</v>
      </c>
      <c r="E55" s="125"/>
      <c r="F55" s="118" t="s">
        <v>303</v>
      </c>
      <c r="G55" s="126" t="str">
        <f t="shared" si="4"/>
        <v>AR-T01-7</v>
      </c>
      <c r="H55" s="253" t="s">
        <v>373</v>
      </c>
      <c r="I55" s="76">
        <v>1</v>
      </c>
      <c r="J55" s="299" t="s">
        <v>310</v>
      </c>
      <c r="K55" s="299"/>
      <c r="L55" s="86"/>
      <c r="Q55" s="86"/>
    </row>
    <row r="56" spans="1:17" s="83" customFormat="1" ht="13.5" hidden="1" outlineLevel="1">
      <c r="A56" s="264"/>
      <c r="B56" s="119" t="s">
        <v>272</v>
      </c>
      <c r="C56" s="266" t="s">
        <v>376</v>
      </c>
      <c r="D56" s="124" t="s">
        <v>377</v>
      </c>
      <c r="E56" s="125"/>
      <c r="F56" s="118" t="s">
        <v>303</v>
      </c>
      <c r="G56" s="126" t="str">
        <f t="shared" si="4"/>
        <v>AR-T01-7</v>
      </c>
      <c r="H56" s="253" t="s">
        <v>373</v>
      </c>
      <c r="I56" s="76">
        <v>1</v>
      </c>
      <c r="J56" s="299" t="s">
        <v>325</v>
      </c>
      <c r="K56" s="299"/>
      <c r="L56" s="86"/>
      <c r="Q56" s="86"/>
    </row>
    <row r="57" spans="1:17" s="83" customFormat="1" ht="13.5" hidden="1" outlineLevel="1">
      <c r="A57" s="264"/>
      <c r="B57" s="119" t="s">
        <v>272</v>
      </c>
      <c r="C57" s="266" t="s">
        <v>378</v>
      </c>
      <c r="D57" s="124" t="s">
        <v>379</v>
      </c>
      <c r="E57" s="125"/>
      <c r="F57" s="118" t="s">
        <v>303</v>
      </c>
      <c r="G57" s="126" t="str">
        <f t="shared" si="4"/>
        <v>AR-T01-7</v>
      </c>
      <c r="H57" s="253" t="s">
        <v>373</v>
      </c>
      <c r="I57" s="76">
        <v>1</v>
      </c>
      <c r="J57" s="299" t="s">
        <v>286</v>
      </c>
      <c r="K57" s="299"/>
      <c r="L57" s="86"/>
      <c r="Q57" s="86"/>
    </row>
    <row r="58" spans="1:17" s="83" customFormat="1" ht="13.5" hidden="1" outlineLevel="1">
      <c r="A58" s="264"/>
      <c r="B58" s="119" t="s">
        <v>272</v>
      </c>
      <c r="C58" s="266" t="s">
        <v>380</v>
      </c>
      <c r="D58" s="124" t="s">
        <v>381</v>
      </c>
      <c r="E58" s="125"/>
      <c r="F58" s="118" t="s">
        <v>303</v>
      </c>
      <c r="G58" s="126" t="str">
        <f t="shared" si="4"/>
        <v>AR-T01-7</v>
      </c>
      <c r="H58" s="253" t="s">
        <v>373</v>
      </c>
      <c r="I58" s="76">
        <v>1</v>
      </c>
      <c r="J58" s="299" t="s">
        <v>286</v>
      </c>
      <c r="K58" s="299"/>
      <c r="L58" s="86"/>
      <c r="Q58" s="86"/>
    </row>
    <row r="59" spans="1:17" s="83" customFormat="1" ht="13.5" hidden="1" outlineLevel="1">
      <c r="A59" s="264"/>
      <c r="B59" s="119" t="s">
        <v>272</v>
      </c>
      <c r="C59" s="266" t="s">
        <v>382</v>
      </c>
      <c r="D59" s="124" t="s">
        <v>383</v>
      </c>
      <c r="E59" s="125"/>
      <c r="F59" s="118" t="s">
        <v>303</v>
      </c>
      <c r="G59" s="126" t="str">
        <f t="shared" si="4"/>
        <v>AR-T01-7</v>
      </c>
      <c r="H59" s="253" t="s">
        <v>373</v>
      </c>
      <c r="I59" s="76">
        <v>1</v>
      </c>
      <c r="J59" s="299" t="s">
        <v>286</v>
      </c>
      <c r="K59" s="299"/>
      <c r="L59" s="86"/>
      <c r="Q59" s="86"/>
    </row>
    <row r="60" spans="1:17" s="91" customFormat="1" ht="13.5" hidden="1" outlineLevel="1">
      <c r="A60" s="268"/>
      <c r="B60" s="119" t="s">
        <v>272</v>
      </c>
      <c r="C60" s="266" t="s">
        <v>384</v>
      </c>
      <c r="D60" s="124" t="s">
        <v>385</v>
      </c>
      <c r="E60" s="125"/>
      <c r="F60" s="118" t="s">
        <v>303</v>
      </c>
      <c r="G60" s="126" t="str">
        <f t="shared" si="4"/>
        <v>AR-T01-7</v>
      </c>
      <c r="H60" s="253" t="s">
        <v>373</v>
      </c>
      <c r="I60" s="76">
        <v>1</v>
      </c>
      <c r="J60" s="299" t="s">
        <v>286</v>
      </c>
      <c r="K60" s="299"/>
      <c r="L60" s="287"/>
      <c r="Q60" s="287"/>
    </row>
    <row r="61" spans="1:17" s="83" customFormat="1" ht="13.5" hidden="1" outlineLevel="1">
      <c r="A61" s="264"/>
      <c r="B61" s="119" t="s">
        <v>272</v>
      </c>
      <c r="C61" s="266" t="s">
        <v>386</v>
      </c>
      <c r="D61" s="124" t="s">
        <v>387</v>
      </c>
      <c r="E61" s="125"/>
      <c r="F61" s="118" t="s">
        <v>303</v>
      </c>
      <c r="G61" s="126" t="str">
        <f t="shared" si="4"/>
        <v>AR-T01-7</v>
      </c>
      <c r="H61" s="253" t="s">
        <v>373</v>
      </c>
      <c r="I61" s="76">
        <v>1</v>
      </c>
      <c r="J61" s="299" t="s">
        <v>286</v>
      </c>
      <c r="K61" s="299"/>
      <c r="L61" s="86"/>
      <c r="Q61" s="86"/>
    </row>
    <row r="62" spans="1:17" s="91" customFormat="1" ht="13.5" hidden="1" outlineLevel="1">
      <c r="A62" s="268"/>
      <c r="B62" s="119" t="s">
        <v>272</v>
      </c>
      <c r="C62" s="266" t="s">
        <v>388</v>
      </c>
      <c r="D62" s="124" t="s">
        <v>389</v>
      </c>
      <c r="E62" s="125"/>
      <c r="F62" s="118" t="s">
        <v>303</v>
      </c>
      <c r="G62" s="126" t="str">
        <f t="shared" si="4"/>
        <v>AR-T01-7</v>
      </c>
      <c r="H62" s="253" t="s">
        <v>373</v>
      </c>
      <c r="I62" s="76">
        <v>1</v>
      </c>
      <c r="J62" s="299" t="s">
        <v>286</v>
      </c>
      <c r="K62" s="299"/>
      <c r="L62" s="287"/>
      <c r="Q62" s="287"/>
    </row>
    <row r="63" spans="1:17" s="91" customFormat="1" ht="14.25" hidden="1" customHeight="1" outlineLevel="1">
      <c r="A63" s="268"/>
      <c r="B63" s="119" t="s">
        <v>272</v>
      </c>
      <c r="C63" s="266" t="s">
        <v>347</v>
      </c>
      <c r="D63" s="124" t="s">
        <v>390</v>
      </c>
      <c r="E63" s="125"/>
      <c r="F63" s="118" t="s">
        <v>303</v>
      </c>
      <c r="G63" s="126" t="str">
        <f t="shared" ref="G63:G78" si="5">CONCATENATE("AR-",F63,"-",H63)</f>
        <v>AR-T01-7</v>
      </c>
      <c r="H63" s="253" t="s">
        <v>373</v>
      </c>
      <c r="I63" s="76">
        <v>1</v>
      </c>
      <c r="J63" s="299" t="s">
        <v>286</v>
      </c>
      <c r="K63" s="299"/>
      <c r="L63" s="287"/>
      <c r="Q63" s="287"/>
    </row>
    <row r="64" spans="1:17" s="91" customFormat="1" ht="14.25" hidden="1" customHeight="1" outlineLevel="1">
      <c r="A64" s="268"/>
      <c r="B64" s="119" t="s">
        <v>272</v>
      </c>
      <c r="C64" s="266" t="s">
        <v>391</v>
      </c>
      <c r="D64" s="124" t="s">
        <v>392</v>
      </c>
      <c r="E64" s="125"/>
      <c r="F64" s="118" t="s">
        <v>303</v>
      </c>
      <c r="G64" s="126" t="str">
        <f t="shared" si="5"/>
        <v>AR-T01-7</v>
      </c>
      <c r="H64" s="253" t="s">
        <v>373</v>
      </c>
      <c r="I64" s="76">
        <v>1</v>
      </c>
      <c r="J64" s="299" t="s">
        <v>286</v>
      </c>
      <c r="K64" s="299"/>
      <c r="L64" s="287"/>
      <c r="Q64" s="287"/>
    </row>
    <row r="65" spans="1:21" s="91" customFormat="1" ht="14.25" hidden="1" customHeight="1" outlineLevel="1">
      <c r="A65" s="268"/>
      <c r="B65" s="119" t="s">
        <v>272</v>
      </c>
      <c r="C65" s="266" t="s">
        <v>393</v>
      </c>
      <c r="D65" s="124" t="s">
        <v>394</v>
      </c>
      <c r="E65" s="125"/>
      <c r="F65" s="118" t="s">
        <v>303</v>
      </c>
      <c r="G65" s="126" t="str">
        <f t="shared" si="5"/>
        <v>AR-T01-7</v>
      </c>
      <c r="H65" s="253" t="s">
        <v>373</v>
      </c>
      <c r="I65" s="76">
        <v>1</v>
      </c>
      <c r="J65" s="299" t="s">
        <v>286</v>
      </c>
      <c r="K65" s="299"/>
      <c r="L65" s="287"/>
      <c r="Q65" s="287"/>
    </row>
    <row r="66" spans="1:21" s="91" customFormat="1" ht="14.25" hidden="1" customHeight="1" outlineLevel="1">
      <c r="A66" s="268"/>
      <c r="B66" s="119" t="s">
        <v>272</v>
      </c>
      <c r="C66" s="266" t="s">
        <v>395</v>
      </c>
      <c r="D66" s="124" t="s">
        <v>396</v>
      </c>
      <c r="E66" s="125"/>
      <c r="F66" s="118" t="s">
        <v>303</v>
      </c>
      <c r="G66" s="126" t="str">
        <f t="shared" si="5"/>
        <v>AR-T01-7</v>
      </c>
      <c r="H66" s="253" t="s">
        <v>373</v>
      </c>
      <c r="I66" s="76">
        <v>1</v>
      </c>
      <c r="J66" s="299" t="s">
        <v>286</v>
      </c>
      <c r="K66" s="299"/>
      <c r="L66" s="287"/>
      <c r="Q66" s="287"/>
    </row>
    <row r="67" spans="1:21" s="91" customFormat="1" ht="14.25" hidden="1" customHeight="1" outlineLevel="1">
      <c r="A67" s="268"/>
      <c r="B67" s="119" t="s">
        <v>272</v>
      </c>
      <c r="C67" s="266" t="s">
        <v>397</v>
      </c>
      <c r="D67" s="124" t="s">
        <v>398</v>
      </c>
      <c r="E67" s="125"/>
      <c r="F67" s="118" t="s">
        <v>303</v>
      </c>
      <c r="G67" s="126" t="str">
        <f t="shared" si="5"/>
        <v>AR-T01-7</v>
      </c>
      <c r="H67" s="253" t="s">
        <v>373</v>
      </c>
      <c r="I67" s="76">
        <v>1</v>
      </c>
      <c r="J67" s="299" t="s">
        <v>286</v>
      </c>
      <c r="K67" s="299"/>
      <c r="L67" s="287"/>
      <c r="Q67" s="287"/>
    </row>
    <row r="68" spans="1:21" s="91" customFormat="1" ht="14.25" hidden="1" customHeight="1" outlineLevel="1">
      <c r="A68" s="268"/>
      <c r="B68" s="119" t="s">
        <v>272</v>
      </c>
      <c r="C68" s="266" t="s">
        <v>399</v>
      </c>
      <c r="D68" s="124" t="s">
        <v>400</v>
      </c>
      <c r="E68" s="125"/>
      <c r="F68" s="118" t="s">
        <v>303</v>
      </c>
      <c r="G68" s="126" t="str">
        <f t="shared" si="5"/>
        <v>AR-T01-7</v>
      </c>
      <c r="H68" s="253" t="s">
        <v>373</v>
      </c>
      <c r="I68" s="76">
        <v>1</v>
      </c>
      <c r="J68" s="299" t="s">
        <v>286</v>
      </c>
      <c r="K68" s="299"/>
      <c r="L68" s="287"/>
      <c r="Q68" s="287"/>
    </row>
    <row r="69" spans="1:21" s="91" customFormat="1" ht="14.25" hidden="1" customHeight="1" outlineLevel="1">
      <c r="A69" s="268"/>
      <c r="B69" s="119" t="s">
        <v>272</v>
      </c>
      <c r="C69" s="266" t="s">
        <v>401</v>
      </c>
      <c r="D69" s="124" t="s">
        <v>402</v>
      </c>
      <c r="E69" s="125"/>
      <c r="F69" s="118" t="s">
        <v>303</v>
      </c>
      <c r="G69" s="126" t="str">
        <f t="shared" si="5"/>
        <v>AR-T01-7</v>
      </c>
      <c r="H69" s="253" t="s">
        <v>373</v>
      </c>
      <c r="I69" s="76">
        <v>1</v>
      </c>
      <c r="J69" s="299" t="s">
        <v>286</v>
      </c>
      <c r="K69" s="299"/>
      <c r="L69" s="287"/>
      <c r="Q69" s="287"/>
    </row>
    <row r="70" spans="1:21" s="91" customFormat="1" ht="14.25" hidden="1" customHeight="1" outlineLevel="1">
      <c r="A70" s="268"/>
      <c r="B70" s="119" t="s">
        <v>272</v>
      </c>
      <c r="C70" s="266" t="s">
        <v>403</v>
      </c>
      <c r="D70" s="124" t="s">
        <v>404</v>
      </c>
      <c r="E70" s="125"/>
      <c r="F70" s="118" t="s">
        <v>303</v>
      </c>
      <c r="G70" s="126" t="str">
        <f t="shared" si="5"/>
        <v>AR-T01-7</v>
      </c>
      <c r="H70" s="253" t="s">
        <v>373</v>
      </c>
      <c r="I70" s="76">
        <v>1</v>
      </c>
      <c r="J70" s="299" t="s">
        <v>286</v>
      </c>
      <c r="K70" s="299"/>
      <c r="L70" s="287"/>
      <c r="Q70" s="287"/>
    </row>
    <row r="71" spans="1:21" s="91" customFormat="1" ht="14.25" hidden="1" customHeight="1" outlineLevel="1">
      <c r="A71" s="268"/>
      <c r="B71" s="119" t="s">
        <v>272</v>
      </c>
      <c r="C71" s="266" t="s">
        <v>405</v>
      </c>
      <c r="D71" s="124" t="s">
        <v>406</v>
      </c>
      <c r="E71" s="125"/>
      <c r="F71" s="118" t="s">
        <v>303</v>
      </c>
      <c r="G71" s="126" t="str">
        <f t="shared" si="5"/>
        <v>AR-T01-7</v>
      </c>
      <c r="H71" s="253" t="s">
        <v>373</v>
      </c>
      <c r="I71" s="76">
        <v>1</v>
      </c>
      <c r="J71" s="299" t="s">
        <v>310</v>
      </c>
      <c r="K71" s="299"/>
      <c r="L71" s="287"/>
      <c r="Q71" s="287"/>
    </row>
    <row r="72" spans="1:21" s="91" customFormat="1" ht="14.25" hidden="1" customHeight="1" outlineLevel="1">
      <c r="A72" s="268"/>
      <c r="B72" s="119" t="s">
        <v>272</v>
      </c>
      <c r="C72" s="266" t="s">
        <v>407</v>
      </c>
      <c r="D72" s="124" t="s">
        <v>406</v>
      </c>
      <c r="E72" s="125"/>
      <c r="F72" s="118" t="s">
        <v>303</v>
      </c>
      <c r="G72" s="126" t="str">
        <f t="shared" si="5"/>
        <v>AR-T01-7</v>
      </c>
      <c r="H72" s="253" t="s">
        <v>373</v>
      </c>
      <c r="I72" s="76">
        <v>1</v>
      </c>
      <c r="J72" s="299" t="s">
        <v>286</v>
      </c>
      <c r="K72" s="299"/>
      <c r="L72" s="287"/>
      <c r="Q72" s="287"/>
    </row>
    <row r="73" spans="1:21" s="91" customFormat="1" ht="14.25" hidden="1" customHeight="1" outlineLevel="1">
      <c r="A73" s="268"/>
      <c r="B73" s="119" t="s">
        <v>272</v>
      </c>
      <c r="C73" s="266" t="s">
        <v>408</v>
      </c>
      <c r="D73" s="124" t="s">
        <v>409</v>
      </c>
      <c r="E73" s="125"/>
      <c r="F73" s="118" t="s">
        <v>303</v>
      </c>
      <c r="G73" s="126" t="str">
        <f t="shared" si="5"/>
        <v>AR-T01-8</v>
      </c>
      <c r="H73" s="253" t="s">
        <v>410</v>
      </c>
      <c r="I73" s="76">
        <v>1</v>
      </c>
      <c r="J73" s="299" t="s">
        <v>286</v>
      </c>
      <c r="K73" s="299"/>
      <c r="L73" s="287"/>
      <c r="Q73" s="287"/>
    </row>
    <row r="74" spans="1:21" s="91" customFormat="1" ht="14.25" hidden="1" customHeight="1" outlineLevel="1">
      <c r="A74" s="268"/>
      <c r="B74" s="119" t="s">
        <v>272</v>
      </c>
      <c r="C74" s="266" t="s">
        <v>411</v>
      </c>
      <c r="D74" s="124" t="s">
        <v>412</v>
      </c>
      <c r="E74" s="125"/>
      <c r="F74" s="118" t="s">
        <v>303</v>
      </c>
      <c r="G74" s="126" t="str">
        <f t="shared" si="5"/>
        <v>AR-T01-8</v>
      </c>
      <c r="H74" s="253" t="s">
        <v>410</v>
      </c>
      <c r="I74" s="76">
        <v>1</v>
      </c>
      <c r="J74" s="299" t="s">
        <v>286</v>
      </c>
      <c r="K74" s="299"/>
      <c r="L74" s="287"/>
      <c r="Q74" s="287"/>
    </row>
    <row r="75" spans="1:21" s="91" customFormat="1" ht="14.25" hidden="1" customHeight="1" outlineLevel="1">
      <c r="A75" s="268"/>
      <c r="B75" s="119" t="s">
        <v>272</v>
      </c>
      <c r="C75" s="266" t="s">
        <v>413</v>
      </c>
      <c r="D75" s="124" t="s">
        <v>414</v>
      </c>
      <c r="E75" s="125"/>
      <c r="F75" s="118" t="s">
        <v>303</v>
      </c>
      <c r="G75" s="126" t="str">
        <f t="shared" si="5"/>
        <v>AR-T01-8</v>
      </c>
      <c r="H75" s="253" t="s">
        <v>410</v>
      </c>
      <c r="I75" s="76">
        <v>1</v>
      </c>
      <c r="J75" s="299" t="s">
        <v>310</v>
      </c>
      <c r="K75" s="299"/>
      <c r="L75" s="287"/>
      <c r="Q75" s="287"/>
    </row>
    <row r="76" spans="1:21" s="91" customFormat="1" ht="14.25" hidden="1" customHeight="1" outlineLevel="1">
      <c r="A76" s="268"/>
      <c r="B76" s="119" t="s">
        <v>272</v>
      </c>
      <c r="C76" s="266" t="s">
        <v>415</v>
      </c>
      <c r="D76" s="124" t="s">
        <v>416</v>
      </c>
      <c r="E76" s="125"/>
      <c r="F76" s="118" t="s">
        <v>303</v>
      </c>
      <c r="G76" s="126" t="str">
        <f t="shared" si="5"/>
        <v>AR-T01-8</v>
      </c>
      <c r="H76" s="253" t="s">
        <v>410</v>
      </c>
      <c r="I76" s="76">
        <v>1</v>
      </c>
      <c r="J76" s="299" t="s">
        <v>310</v>
      </c>
      <c r="K76" s="299"/>
      <c r="L76" s="287"/>
      <c r="Q76" s="287"/>
    </row>
    <row r="77" spans="1:21" s="91" customFormat="1" ht="14.25" hidden="1" customHeight="1" outlineLevel="1">
      <c r="A77" s="268"/>
      <c r="B77" s="119" t="s">
        <v>272</v>
      </c>
      <c r="C77" s="266" t="s">
        <v>417</v>
      </c>
      <c r="D77" s="124" t="s">
        <v>418</v>
      </c>
      <c r="E77" s="125"/>
      <c r="F77" s="118" t="s">
        <v>303</v>
      </c>
      <c r="G77" s="126" t="str">
        <f t="shared" si="5"/>
        <v>AR-T01-8</v>
      </c>
      <c r="H77" s="253" t="s">
        <v>410</v>
      </c>
      <c r="I77" s="76">
        <v>1</v>
      </c>
      <c r="J77" s="299" t="s">
        <v>286</v>
      </c>
      <c r="K77" s="299"/>
      <c r="L77" s="287"/>
      <c r="Q77" s="287"/>
    </row>
    <row r="78" spans="1:21" s="91" customFormat="1" ht="14.25" hidden="1" customHeight="1" outlineLevel="1">
      <c r="A78" s="268"/>
      <c r="B78" s="119" t="s">
        <v>272</v>
      </c>
      <c r="C78" s="266" t="s">
        <v>419</v>
      </c>
      <c r="D78" s="124" t="s">
        <v>420</v>
      </c>
      <c r="E78" s="125"/>
      <c r="F78" s="118" t="s">
        <v>303</v>
      </c>
      <c r="G78" s="126" t="str">
        <f t="shared" si="5"/>
        <v>AR-T01-9</v>
      </c>
      <c r="H78" s="253" t="s">
        <v>421</v>
      </c>
      <c r="I78" s="76">
        <v>1</v>
      </c>
      <c r="J78" s="299" t="s">
        <v>286</v>
      </c>
      <c r="K78" s="299"/>
      <c r="L78" s="287"/>
      <c r="Q78" s="287"/>
    </row>
    <row r="79" spans="1:21" s="83" customFormat="1" ht="13.5" hidden="1" customHeight="1" outlineLevel="1">
      <c r="A79" s="264"/>
      <c r="B79" s="119" t="s">
        <v>272</v>
      </c>
      <c r="C79" s="266" t="s">
        <v>417</v>
      </c>
      <c r="D79" s="124" t="s">
        <v>422</v>
      </c>
      <c r="E79" s="125"/>
      <c r="F79" s="118" t="s">
        <v>303</v>
      </c>
      <c r="G79" s="126" t="str">
        <f>CONCATENATE("AR-",F79,"-",H79)</f>
        <v>AR-T01-10</v>
      </c>
      <c r="H79" s="253" t="s">
        <v>423</v>
      </c>
      <c r="I79" s="76">
        <v>1</v>
      </c>
      <c r="J79" s="299" t="s">
        <v>286</v>
      </c>
      <c r="K79" s="299"/>
      <c r="L79" s="84"/>
      <c r="M79" s="76"/>
      <c r="N79" s="76"/>
      <c r="O79" s="76"/>
      <c r="P79" s="76"/>
      <c r="Q79" s="84"/>
      <c r="R79" s="76"/>
      <c r="S79" s="76"/>
      <c r="T79" s="76"/>
      <c r="U79" s="76"/>
    </row>
    <row r="80" spans="1:21" s="83" customFormat="1" ht="13.5" hidden="1" customHeight="1" outlineLevel="1">
      <c r="A80" s="264"/>
      <c r="B80" s="119" t="s">
        <v>272</v>
      </c>
      <c r="C80" s="266" t="s">
        <v>424</v>
      </c>
      <c r="D80" s="124" t="s">
        <v>425</v>
      </c>
      <c r="E80" s="125"/>
      <c r="F80" s="118" t="s">
        <v>303</v>
      </c>
      <c r="G80" s="126" t="str">
        <f>CONCATENATE("AR-",F80,"-",H80)</f>
        <v>AR-T01-10</v>
      </c>
      <c r="H80" s="253" t="s">
        <v>423</v>
      </c>
      <c r="I80" s="76">
        <v>1</v>
      </c>
      <c r="J80" s="299" t="s">
        <v>286</v>
      </c>
      <c r="K80" s="299"/>
      <c r="L80" s="84"/>
      <c r="M80" s="76"/>
      <c r="N80" s="76"/>
      <c r="O80" s="76"/>
      <c r="P80" s="76"/>
      <c r="Q80" s="84"/>
      <c r="R80" s="76"/>
      <c r="S80" s="76"/>
      <c r="T80" s="76"/>
      <c r="U80" s="76"/>
    </row>
    <row r="81" spans="1:21" s="83" customFormat="1" ht="13.5" hidden="1" customHeight="1" outlineLevel="1">
      <c r="A81" s="264"/>
      <c r="B81" s="119" t="s">
        <v>272</v>
      </c>
      <c r="C81" s="266" t="s">
        <v>426</v>
      </c>
      <c r="D81" s="124" t="s">
        <v>427</v>
      </c>
      <c r="E81" s="125"/>
      <c r="F81" s="118" t="s">
        <v>303</v>
      </c>
      <c r="G81" s="126" t="str">
        <f>CONCATENATE("AR-",F81,"-",H81)</f>
        <v>AR-T01-10</v>
      </c>
      <c r="H81" s="253" t="s">
        <v>423</v>
      </c>
      <c r="I81" s="76">
        <v>1</v>
      </c>
      <c r="J81" s="299" t="s">
        <v>310</v>
      </c>
      <c r="K81" s="299"/>
      <c r="L81" s="84"/>
      <c r="M81" s="76"/>
      <c r="N81" s="76"/>
      <c r="O81" s="76"/>
      <c r="P81" s="76"/>
      <c r="Q81" s="84"/>
      <c r="R81" s="76"/>
      <c r="S81" s="76"/>
      <c r="T81" s="76"/>
      <c r="U81" s="76"/>
    </row>
    <row r="82" spans="1:21" s="83" customFormat="1" ht="13.5" hidden="1" customHeight="1" outlineLevel="1">
      <c r="A82" s="264"/>
      <c r="B82" s="119" t="s">
        <v>272</v>
      </c>
      <c r="C82" s="266" t="s">
        <v>428</v>
      </c>
      <c r="D82" s="124" t="s">
        <v>429</v>
      </c>
      <c r="E82" s="125"/>
      <c r="F82" s="118" t="s">
        <v>303</v>
      </c>
      <c r="G82" s="126" t="str">
        <f>CONCATENATE("AR-",F82,"-",H82)</f>
        <v>AR-T01-10</v>
      </c>
      <c r="H82" s="253" t="s">
        <v>423</v>
      </c>
      <c r="I82" s="76">
        <v>1</v>
      </c>
      <c r="J82" s="299" t="s">
        <v>286</v>
      </c>
      <c r="K82" s="299"/>
      <c r="L82" s="86"/>
      <c r="Q82" s="86"/>
    </row>
    <row r="83" spans="1:21" s="91" customFormat="1" ht="3" hidden="1" customHeight="1">
      <c r="A83" s="268"/>
      <c r="B83" s="119"/>
      <c r="C83" s="266"/>
      <c r="D83" s="124" t="s">
        <v>299</v>
      </c>
      <c r="E83" s="125"/>
      <c r="F83" s="118"/>
      <c r="G83" s="126"/>
      <c r="H83" s="253"/>
      <c r="I83" s="89"/>
      <c r="J83" s="301"/>
      <c r="K83" s="301"/>
      <c r="L83" s="287"/>
      <c r="Q83" s="287"/>
    </row>
    <row r="84" spans="1:21" s="83" customFormat="1" ht="13.5" hidden="1" collapsed="1">
      <c r="A84" s="72" t="s">
        <v>430</v>
      </c>
      <c r="B84" s="85"/>
      <c r="C84" s="269"/>
      <c r="D84" s="85" t="s">
        <v>299</v>
      </c>
      <c r="E84" s="390"/>
      <c r="F84" s="73"/>
      <c r="G84" s="73"/>
      <c r="H84" s="74"/>
      <c r="I84" s="76"/>
      <c r="J84" s="299"/>
      <c r="K84" s="299"/>
      <c r="L84" s="75"/>
      <c r="M84" s="75"/>
      <c r="N84" s="75"/>
      <c r="O84" s="75"/>
      <c r="P84" s="75"/>
      <c r="Q84" s="75"/>
      <c r="R84" s="75"/>
      <c r="S84" s="75"/>
      <c r="T84" s="75"/>
      <c r="U84" s="75"/>
    </row>
    <row r="85" spans="1:21" s="83" customFormat="1" ht="3" hidden="1" customHeight="1" outlineLevel="1">
      <c r="A85" s="261"/>
      <c r="B85" s="119"/>
      <c r="C85" s="266"/>
      <c r="D85" s="124"/>
      <c r="E85" s="125"/>
      <c r="F85" s="118"/>
      <c r="G85" s="126"/>
      <c r="H85" s="253"/>
      <c r="I85" s="76"/>
      <c r="J85" s="300"/>
      <c r="K85" s="300"/>
      <c r="L85" s="86"/>
      <c r="Q85" s="86"/>
    </row>
    <row r="86" spans="1:21" s="95" customFormat="1" ht="15" hidden="1" customHeight="1" outlineLevel="1">
      <c r="B86" s="119" t="s">
        <v>272</v>
      </c>
      <c r="C86" s="266" t="s">
        <v>431</v>
      </c>
      <c r="D86" s="124" t="s">
        <v>432</v>
      </c>
      <c r="E86" s="125"/>
      <c r="F86" s="118" t="s">
        <v>433</v>
      </c>
      <c r="G86" s="126" t="str">
        <f t="shared" ref="G86:G93" si="6">CONCATENATE("AR-",F86,"-",H86)</f>
        <v>AR-T2V-1</v>
      </c>
      <c r="H86" s="253" t="s">
        <v>304</v>
      </c>
      <c r="I86" s="76">
        <v>1</v>
      </c>
      <c r="J86" s="299" t="s">
        <v>310</v>
      </c>
      <c r="K86" s="299"/>
      <c r="L86" s="288"/>
      <c r="Q86" s="288"/>
    </row>
    <row r="87" spans="1:21" s="95" customFormat="1" ht="15" hidden="1" customHeight="1" outlineLevel="1">
      <c r="B87" s="119" t="s">
        <v>272</v>
      </c>
      <c r="C87" s="266" t="s">
        <v>434</v>
      </c>
      <c r="D87" s="124" t="s">
        <v>435</v>
      </c>
      <c r="E87" s="125"/>
      <c r="F87" s="118" t="s">
        <v>433</v>
      </c>
      <c r="G87" s="126" t="str">
        <f t="shared" si="6"/>
        <v>AR-T2V-1</v>
      </c>
      <c r="H87" s="253" t="s">
        <v>304</v>
      </c>
      <c r="I87" s="76">
        <v>1</v>
      </c>
      <c r="J87" s="299" t="s">
        <v>310</v>
      </c>
      <c r="K87" s="299"/>
      <c r="L87" s="288"/>
      <c r="Q87" s="288"/>
    </row>
    <row r="88" spans="1:21" s="95" customFormat="1" ht="15" hidden="1" customHeight="1" outlineLevel="1">
      <c r="B88" s="119" t="s">
        <v>272</v>
      </c>
      <c r="C88" s="266" t="s">
        <v>436</v>
      </c>
      <c r="D88" s="124" t="s">
        <v>437</v>
      </c>
      <c r="E88" s="125"/>
      <c r="F88" s="118" t="s">
        <v>433</v>
      </c>
      <c r="G88" s="126" t="str">
        <f t="shared" si="6"/>
        <v>AR-T2V-1</v>
      </c>
      <c r="H88" s="253" t="s">
        <v>304</v>
      </c>
      <c r="I88" s="76">
        <v>1</v>
      </c>
      <c r="J88" s="299" t="s">
        <v>307</v>
      </c>
      <c r="K88" s="299"/>
      <c r="L88" s="288"/>
      <c r="Q88" s="288"/>
    </row>
    <row r="89" spans="1:21" s="95" customFormat="1" ht="15" hidden="1" customHeight="1" outlineLevel="1">
      <c r="B89" s="119" t="s">
        <v>272</v>
      </c>
      <c r="C89" s="266" t="s">
        <v>438</v>
      </c>
      <c r="D89" s="124" t="s">
        <v>439</v>
      </c>
      <c r="E89" s="125"/>
      <c r="F89" s="118" t="s">
        <v>433</v>
      </c>
      <c r="G89" s="126" t="str">
        <f t="shared" si="6"/>
        <v>AR-T2V-1</v>
      </c>
      <c r="H89" s="253" t="s">
        <v>304</v>
      </c>
      <c r="I89" s="76">
        <v>1</v>
      </c>
      <c r="J89" s="299" t="s">
        <v>307</v>
      </c>
      <c r="K89" s="299"/>
      <c r="L89" s="288"/>
      <c r="Q89" s="288"/>
    </row>
    <row r="90" spans="1:21" s="95" customFormat="1" ht="15" hidden="1" customHeight="1" outlineLevel="1">
      <c r="B90" s="119" t="s">
        <v>272</v>
      </c>
      <c r="C90" s="266" t="s">
        <v>440</v>
      </c>
      <c r="D90" s="124" t="s">
        <v>441</v>
      </c>
      <c r="E90" s="125"/>
      <c r="F90" s="118" t="s">
        <v>433</v>
      </c>
      <c r="G90" s="126" t="str">
        <f t="shared" si="6"/>
        <v>AR-T2V-1</v>
      </c>
      <c r="H90" s="253" t="s">
        <v>304</v>
      </c>
      <c r="I90" s="76">
        <v>1</v>
      </c>
      <c r="J90" s="299" t="s">
        <v>310</v>
      </c>
      <c r="K90" s="299"/>
      <c r="L90" s="288"/>
      <c r="Q90" s="288"/>
    </row>
    <row r="91" spans="1:21" s="95" customFormat="1" ht="15" hidden="1" customHeight="1" outlineLevel="1">
      <c r="B91" s="119" t="s">
        <v>272</v>
      </c>
      <c r="C91" s="266" t="s">
        <v>442</v>
      </c>
      <c r="D91" s="124" t="s">
        <v>443</v>
      </c>
      <c r="E91" s="125"/>
      <c r="F91" s="118" t="s">
        <v>433</v>
      </c>
      <c r="G91" s="126" t="str">
        <f t="shared" si="6"/>
        <v>AR-T2V-1</v>
      </c>
      <c r="H91" s="253" t="s">
        <v>304</v>
      </c>
      <c r="I91" s="76">
        <v>1</v>
      </c>
      <c r="J91" s="299" t="s">
        <v>307</v>
      </c>
      <c r="K91" s="299"/>
      <c r="L91" s="288"/>
      <c r="Q91" s="288"/>
    </row>
    <row r="92" spans="1:21" s="95" customFormat="1" ht="15" hidden="1" customHeight="1" outlineLevel="1">
      <c r="B92" s="119" t="s">
        <v>272</v>
      </c>
      <c r="C92" s="266" t="s">
        <v>444</v>
      </c>
      <c r="D92" s="124" t="s">
        <v>445</v>
      </c>
      <c r="E92" s="125"/>
      <c r="F92" s="118" t="s">
        <v>433</v>
      </c>
      <c r="G92" s="126" t="str">
        <f t="shared" si="6"/>
        <v>AR-T2V-1</v>
      </c>
      <c r="H92" s="253" t="s">
        <v>304</v>
      </c>
      <c r="I92" s="76">
        <v>1</v>
      </c>
      <c r="J92" s="299" t="s">
        <v>307</v>
      </c>
      <c r="K92" s="299"/>
      <c r="L92" s="288"/>
      <c r="Q92" s="288"/>
    </row>
    <row r="93" spans="1:21" s="95" customFormat="1" ht="15" hidden="1" customHeight="1" outlineLevel="1">
      <c r="B93" s="119" t="s">
        <v>272</v>
      </c>
      <c r="C93" s="266" t="s">
        <v>446</v>
      </c>
      <c r="D93" s="124" t="s">
        <v>447</v>
      </c>
      <c r="E93" s="125"/>
      <c r="F93" s="118" t="s">
        <v>433</v>
      </c>
      <c r="G93" s="126" t="str">
        <f t="shared" si="6"/>
        <v>AR-T2V-1</v>
      </c>
      <c r="H93" s="253" t="s">
        <v>304</v>
      </c>
      <c r="I93" s="76">
        <v>1</v>
      </c>
      <c r="J93" s="299" t="s">
        <v>307</v>
      </c>
      <c r="K93" s="299"/>
      <c r="L93" s="288"/>
      <c r="Q93" s="288"/>
    </row>
    <row r="94" spans="1:21" s="95" customFormat="1" ht="15" hidden="1" customHeight="1" outlineLevel="1">
      <c r="B94" s="119" t="s">
        <v>272</v>
      </c>
      <c r="C94" s="266" t="s">
        <v>448</v>
      </c>
      <c r="D94" s="124" t="s">
        <v>449</v>
      </c>
      <c r="E94" s="125"/>
      <c r="F94" s="118" t="s">
        <v>433</v>
      </c>
      <c r="G94" s="126" t="str">
        <f t="shared" ref="G94:G104" si="7">CONCATENATE("AR-",F94,"-",H94)</f>
        <v>AR-T2V-1</v>
      </c>
      <c r="H94" s="253" t="s">
        <v>304</v>
      </c>
      <c r="I94" s="76">
        <v>1</v>
      </c>
      <c r="J94" s="299" t="s">
        <v>286</v>
      </c>
      <c r="K94" s="299"/>
      <c r="L94" s="288"/>
      <c r="Q94" s="288"/>
    </row>
    <row r="95" spans="1:21" s="95" customFormat="1" ht="15" hidden="1" customHeight="1" outlineLevel="1">
      <c r="B95" s="119" t="s">
        <v>272</v>
      </c>
      <c r="C95" s="266" t="s">
        <v>450</v>
      </c>
      <c r="D95" s="124" t="s">
        <v>451</v>
      </c>
      <c r="E95" s="125"/>
      <c r="F95" s="118" t="s">
        <v>433</v>
      </c>
      <c r="G95" s="126" t="str">
        <f t="shared" si="7"/>
        <v>AR-T2V-1</v>
      </c>
      <c r="H95" s="253" t="s">
        <v>304</v>
      </c>
      <c r="I95" s="76">
        <v>1</v>
      </c>
      <c r="J95" s="299" t="s">
        <v>310</v>
      </c>
      <c r="K95" s="299"/>
      <c r="L95" s="288"/>
      <c r="Q95" s="288"/>
    </row>
    <row r="96" spans="1:21" s="95" customFormat="1" ht="15" hidden="1" customHeight="1" outlineLevel="1">
      <c r="B96" s="119" t="s">
        <v>272</v>
      </c>
      <c r="C96" s="266" t="s">
        <v>452</v>
      </c>
      <c r="D96" s="124" t="s">
        <v>453</v>
      </c>
      <c r="E96" s="125"/>
      <c r="F96" s="118" t="s">
        <v>433</v>
      </c>
      <c r="G96" s="126" t="str">
        <f t="shared" si="7"/>
        <v>AR-T2V-1</v>
      </c>
      <c r="H96" s="253" t="s">
        <v>304</v>
      </c>
      <c r="I96" s="76">
        <v>1</v>
      </c>
      <c r="J96" s="299" t="s">
        <v>310</v>
      </c>
      <c r="K96" s="299"/>
      <c r="L96" s="288"/>
      <c r="Q96" s="288"/>
    </row>
    <row r="97" spans="2:17" s="95" customFormat="1" ht="15" hidden="1" customHeight="1" outlineLevel="1">
      <c r="B97" s="119" t="s">
        <v>272</v>
      </c>
      <c r="C97" s="266" t="s">
        <v>454</v>
      </c>
      <c r="D97" s="124" t="s">
        <v>455</v>
      </c>
      <c r="E97" s="125"/>
      <c r="F97" s="118" t="s">
        <v>433</v>
      </c>
      <c r="G97" s="126" t="str">
        <f t="shared" si="7"/>
        <v>AR-T2V-1</v>
      </c>
      <c r="H97" s="253" t="s">
        <v>304</v>
      </c>
      <c r="I97" s="76">
        <v>1</v>
      </c>
      <c r="J97" s="299" t="s">
        <v>310</v>
      </c>
      <c r="K97" s="299"/>
      <c r="L97" s="288"/>
      <c r="Q97" s="288"/>
    </row>
    <row r="98" spans="2:17" s="95" customFormat="1" ht="15" hidden="1" customHeight="1" outlineLevel="1">
      <c r="B98" s="119" t="s">
        <v>272</v>
      </c>
      <c r="C98" s="266" t="s">
        <v>456</v>
      </c>
      <c r="D98" s="124" t="s">
        <v>457</v>
      </c>
      <c r="E98" s="125"/>
      <c r="F98" s="118" t="s">
        <v>433</v>
      </c>
      <c r="G98" s="126" t="str">
        <f t="shared" si="7"/>
        <v>AR-T2V-1</v>
      </c>
      <c r="H98" s="253" t="s">
        <v>304</v>
      </c>
      <c r="I98" s="76">
        <v>1</v>
      </c>
      <c r="J98" s="299" t="s">
        <v>286</v>
      </c>
      <c r="K98" s="299"/>
      <c r="L98" s="288"/>
      <c r="Q98" s="288"/>
    </row>
    <row r="99" spans="2:17" s="95" customFormat="1" ht="15" hidden="1" customHeight="1" outlineLevel="1">
      <c r="B99" s="119" t="s">
        <v>272</v>
      </c>
      <c r="C99" s="266" t="s">
        <v>458</v>
      </c>
      <c r="D99" s="124" t="s">
        <v>459</v>
      </c>
      <c r="E99" s="125"/>
      <c r="F99" s="118" t="s">
        <v>433</v>
      </c>
      <c r="G99" s="126" t="str">
        <f t="shared" si="7"/>
        <v>AR-T2V-1</v>
      </c>
      <c r="H99" s="253" t="s">
        <v>304</v>
      </c>
      <c r="I99" s="76">
        <v>1</v>
      </c>
      <c r="J99" s="299" t="s">
        <v>286</v>
      </c>
      <c r="K99" s="299"/>
      <c r="L99" s="288"/>
      <c r="Q99" s="288"/>
    </row>
    <row r="100" spans="2:17" s="95" customFormat="1" ht="15" hidden="1" customHeight="1" outlineLevel="1">
      <c r="B100" s="119" t="s">
        <v>272</v>
      </c>
      <c r="C100" s="266" t="s">
        <v>460</v>
      </c>
      <c r="D100" s="124" t="s">
        <v>461</v>
      </c>
      <c r="E100" s="125"/>
      <c r="F100" s="118" t="s">
        <v>433</v>
      </c>
      <c r="G100" s="126" t="str">
        <f t="shared" si="7"/>
        <v>AR-T2V-1</v>
      </c>
      <c r="H100" s="253" t="s">
        <v>304</v>
      </c>
      <c r="I100" s="76">
        <v>1</v>
      </c>
      <c r="J100" s="299" t="s">
        <v>325</v>
      </c>
      <c r="K100" s="299"/>
      <c r="L100" s="288"/>
      <c r="Q100" s="288"/>
    </row>
    <row r="101" spans="2:17" s="95" customFormat="1" ht="15" hidden="1" customHeight="1" outlineLevel="1">
      <c r="B101" s="119" t="s">
        <v>272</v>
      </c>
      <c r="C101" s="266" t="s">
        <v>462</v>
      </c>
      <c r="D101" s="124" t="s">
        <v>463</v>
      </c>
      <c r="E101" s="125"/>
      <c r="F101" s="118" t="s">
        <v>433</v>
      </c>
      <c r="G101" s="126" t="str">
        <f t="shared" si="7"/>
        <v>AR-T2V-1</v>
      </c>
      <c r="H101" s="253" t="s">
        <v>304</v>
      </c>
      <c r="I101" s="76">
        <v>1</v>
      </c>
      <c r="J101" s="299" t="s">
        <v>310</v>
      </c>
      <c r="K101" s="299"/>
      <c r="L101" s="288"/>
      <c r="Q101" s="288"/>
    </row>
    <row r="102" spans="2:17" s="95" customFormat="1" ht="15" hidden="1" customHeight="1" outlineLevel="1">
      <c r="B102" s="119" t="s">
        <v>272</v>
      </c>
      <c r="C102" s="266" t="s">
        <v>464</v>
      </c>
      <c r="D102" s="124" t="s">
        <v>465</v>
      </c>
      <c r="E102" s="125"/>
      <c r="F102" s="118" t="s">
        <v>433</v>
      </c>
      <c r="G102" s="126" t="str">
        <f t="shared" si="7"/>
        <v>AR-T2V-1</v>
      </c>
      <c r="H102" s="253" t="s">
        <v>304</v>
      </c>
      <c r="I102" s="76">
        <v>1</v>
      </c>
      <c r="J102" s="299" t="s">
        <v>310</v>
      </c>
      <c r="K102" s="299"/>
      <c r="L102" s="288"/>
      <c r="Q102" s="288"/>
    </row>
    <row r="103" spans="2:17" s="95" customFormat="1" ht="15" hidden="1" customHeight="1" outlineLevel="1">
      <c r="B103" s="119" t="s">
        <v>272</v>
      </c>
      <c r="C103" s="266" t="s">
        <v>466</v>
      </c>
      <c r="D103" s="124" t="s">
        <v>467</v>
      </c>
      <c r="E103" s="125"/>
      <c r="F103" s="118" t="s">
        <v>433</v>
      </c>
      <c r="G103" s="126" t="str">
        <f t="shared" si="7"/>
        <v>AR-T2V-1</v>
      </c>
      <c r="H103" s="253" t="s">
        <v>304</v>
      </c>
      <c r="I103" s="76">
        <v>1</v>
      </c>
      <c r="J103" s="299" t="s">
        <v>310</v>
      </c>
      <c r="K103" s="299"/>
      <c r="L103" s="288"/>
      <c r="Q103" s="288"/>
    </row>
    <row r="104" spans="2:17" s="95" customFormat="1" ht="15" hidden="1" customHeight="1" outlineLevel="1">
      <c r="B104" s="119" t="s">
        <v>272</v>
      </c>
      <c r="C104" s="266" t="s">
        <v>468</v>
      </c>
      <c r="D104" s="124" t="s">
        <v>469</v>
      </c>
      <c r="E104" s="125"/>
      <c r="F104" s="118" t="s">
        <v>433</v>
      </c>
      <c r="G104" s="126" t="str">
        <f t="shared" si="7"/>
        <v>AR-T2V-1</v>
      </c>
      <c r="H104" s="253" t="s">
        <v>304</v>
      </c>
      <c r="I104" s="76">
        <v>1</v>
      </c>
      <c r="J104" s="299" t="s">
        <v>310</v>
      </c>
      <c r="K104" s="299"/>
      <c r="L104" s="288"/>
      <c r="Q104" s="288"/>
    </row>
    <row r="105" spans="2:17" s="95" customFormat="1" ht="15" hidden="1" customHeight="1" outlineLevel="1">
      <c r="B105" s="119" t="s">
        <v>272</v>
      </c>
      <c r="C105" s="266" t="s">
        <v>470</v>
      </c>
      <c r="D105" s="124" t="s">
        <v>471</v>
      </c>
      <c r="E105" s="125"/>
      <c r="F105" s="118" t="s">
        <v>433</v>
      </c>
      <c r="G105" s="126" t="str">
        <f t="shared" ref="G105:G117" si="8">CONCATENATE("AR-",F105,"-",H105)</f>
        <v>AR-T2V-1</v>
      </c>
      <c r="H105" s="253" t="s">
        <v>304</v>
      </c>
      <c r="I105" s="76">
        <v>1</v>
      </c>
      <c r="J105" s="299" t="s">
        <v>286</v>
      </c>
      <c r="K105" s="299"/>
      <c r="L105" s="288"/>
      <c r="Q105" s="288"/>
    </row>
    <row r="106" spans="2:17" s="95" customFormat="1" ht="15" hidden="1" customHeight="1" outlineLevel="1">
      <c r="B106" s="119" t="s">
        <v>272</v>
      </c>
      <c r="C106" s="266" t="s">
        <v>472</v>
      </c>
      <c r="D106" s="124" t="s">
        <v>473</v>
      </c>
      <c r="E106" s="125"/>
      <c r="F106" s="118" t="s">
        <v>433</v>
      </c>
      <c r="G106" s="126" t="str">
        <f t="shared" si="8"/>
        <v>AR-T2V-1</v>
      </c>
      <c r="H106" s="253" t="s">
        <v>304</v>
      </c>
      <c r="I106" s="76">
        <v>1</v>
      </c>
      <c r="J106" s="299" t="s">
        <v>286</v>
      </c>
      <c r="K106" s="299"/>
      <c r="L106" s="288"/>
      <c r="Q106" s="288"/>
    </row>
    <row r="107" spans="2:17" s="95" customFormat="1" ht="15" hidden="1" customHeight="1" outlineLevel="1">
      <c r="B107" s="119" t="s">
        <v>272</v>
      </c>
      <c r="C107" s="266" t="s">
        <v>474</v>
      </c>
      <c r="D107" s="124" t="s">
        <v>473</v>
      </c>
      <c r="E107" s="125"/>
      <c r="F107" s="118" t="s">
        <v>433</v>
      </c>
      <c r="G107" s="126" t="str">
        <f t="shared" si="8"/>
        <v>AR-T2V-1</v>
      </c>
      <c r="H107" s="253" t="s">
        <v>304</v>
      </c>
      <c r="I107" s="76">
        <v>1</v>
      </c>
      <c r="J107" s="299" t="s">
        <v>286</v>
      </c>
      <c r="K107" s="299"/>
      <c r="L107" s="288"/>
      <c r="Q107" s="288"/>
    </row>
    <row r="108" spans="2:17" s="95" customFormat="1" ht="15" hidden="1" customHeight="1" outlineLevel="1">
      <c r="B108" s="119" t="s">
        <v>272</v>
      </c>
      <c r="C108" s="266" t="s">
        <v>475</v>
      </c>
      <c r="D108" s="124" t="s">
        <v>476</v>
      </c>
      <c r="E108" s="125"/>
      <c r="F108" s="118" t="s">
        <v>433</v>
      </c>
      <c r="G108" s="126" t="str">
        <f t="shared" si="8"/>
        <v>AR-T2V-1</v>
      </c>
      <c r="H108" s="253" t="s">
        <v>304</v>
      </c>
      <c r="I108" s="76">
        <v>1</v>
      </c>
      <c r="J108" s="299" t="s">
        <v>286</v>
      </c>
      <c r="K108" s="299"/>
      <c r="L108" s="288"/>
      <c r="Q108" s="288"/>
    </row>
    <row r="109" spans="2:17" s="95" customFormat="1" ht="15" hidden="1" customHeight="1" outlineLevel="1">
      <c r="B109" s="119" t="s">
        <v>272</v>
      </c>
      <c r="C109" s="266" t="s">
        <v>477</v>
      </c>
      <c r="D109" s="124" t="s">
        <v>478</v>
      </c>
      <c r="E109" s="125"/>
      <c r="F109" s="118" t="s">
        <v>433</v>
      </c>
      <c r="G109" s="126" t="str">
        <f t="shared" si="8"/>
        <v>AR-T2V-2</v>
      </c>
      <c r="H109" s="253">
        <v>2</v>
      </c>
      <c r="I109" s="76">
        <v>1</v>
      </c>
      <c r="J109" s="299" t="s">
        <v>286</v>
      </c>
      <c r="K109" s="299"/>
      <c r="L109" s="288"/>
      <c r="Q109" s="288"/>
    </row>
    <row r="110" spans="2:17" s="95" customFormat="1" ht="15" hidden="1" customHeight="1" outlineLevel="1">
      <c r="B110" s="119" t="s">
        <v>272</v>
      </c>
      <c r="C110" s="266" t="s">
        <v>479</v>
      </c>
      <c r="D110" s="124" t="s">
        <v>480</v>
      </c>
      <c r="E110" s="125"/>
      <c r="F110" s="118" t="s">
        <v>433</v>
      </c>
      <c r="G110" s="126" t="str">
        <f t="shared" si="8"/>
        <v>AR-T2V-2</v>
      </c>
      <c r="H110" s="253">
        <v>2</v>
      </c>
      <c r="I110" s="76">
        <v>1</v>
      </c>
      <c r="J110" s="299" t="s">
        <v>310</v>
      </c>
      <c r="K110" s="299"/>
      <c r="L110" s="288"/>
      <c r="Q110" s="288"/>
    </row>
    <row r="111" spans="2:17" s="95" customFormat="1" ht="15" hidden="1" customHeight="1" outlineLevel="1">
      <c r="B111" s="119" t="s">
        <v>272</v>
      </c>
      <c r="C111" s="266" t="s">
        <v>481</v>
      </c>
      <c r="D111" s="124" t="s">
        <v>449</v>
      </c>
      <c r="E111" s="125"/>
      <c r="F111" s="118" t="s">
        <v>433</v>
      </c>
      <c r="G111" s="126" t="str">
        <f t="shared" si="8"/>
        <v>AR-T2V-2</v>
      </c>
      <c r="H111" s="253">
        <v>2</v>
      </c>
      <c r="I111" s="76">
        <v>1</v>
      </c>
      <c r="J111" s="299" t="s">
        <v>286</v>
      </c>
      <c r="K111" s="299"/>
      <c r="L111" s="288"/>
      <c r="Q111" s="288"/>
    </row>
    <row r="112" spans="2:17" s="95" customFormat="1" ht="15" hidden="1" customHeight="1" outlineLevel="1">
      <c r="B112" s="119" t="s">
        <v>272</v>
      </c>
      <c r="C112" s="266" t="s">
        <v>482</v>
      </c>
      <c r="D112" s="124" t="s">
        <v>483</v>
      </c>
      <c r="E112" s="125"/>
      <c r="F112" s="118" t="s">
        <v>433</v>
      </c>
      <c r="G112" s="126" t="str">
        <f t="shared" si="8"/>
        <v>AR-T2V-3</v>
      </c>
      <c r="H112" s="253" t="s">
        <v>346</v>
      </c>
      <c r="I112" s="76">
        <v>1</v>
      </c>
      <c r="J112" s="299" t="s">
        <v>307</v>
      </c>
      <c r="K112" s="299"/>
      <c r="L112" s="288"/>
      <c r="Q112" s="288"/>
    </row>
    <row r="113" spans="1:17" s="95" customFormat="1" ht="15" hidden="1" customHeight="1" outlineLevel="1">
      <c r="B113" s="119" t="s">
        <v>272</v>
      </c>
      <c r="C113" s="266" t="s">
        <v>484</v>
      </c>
      <c r="D113" s="124" t="s">
        <v>485</v>
      </c>
      <c r="E113" s="125"/>
      <c r="F113" s="118" t="s">
        <v>433</v>
      </c>
      <c r="G113" s="126" t="str">
        <f t="shared" si="8"/>
        <v>AR-T2V-3</v>
      </c>
      <c r="H113" s="253" t="s">
        <v>346</v>
      </c>
      <c r="I113" s="76">
        <v>1</v>
      </c>
      <c r="J113" s="299" t="s">
        <v>307</v>
      </c>
      <c r="K113" s="299"/>
      <c r="L113" s="288"/>
      <c r="Q113" s="288"/>
    </row>
    <row r="114" spans="1:17" s="95" customFormat="1" ht="15" hidden="1" customHeight="1" outlineLevel="1">
      <c r="B114" s="119" t="s">
        <v>272</v>
      </c>
      <c r="C114" s="266" t="s">
        <v>486</v>
      </c>
      <c r="D114" s="124" t="s">
        <v>487</v>
      </c>
      <c r="E114" s="125"/>
      <c r="F114" s="118" t="s">
        <v>433</v>
      </c>
      <c r="G114" s="126" t="str">
        <f t="shared" si="8"/>
        <v>AR-T2V-3</v>
      </c>
      <c r="H114" s="253" t="s">
        <v>346</v>
      </c>
      <c r="I114" s="76">
        <v>1</v>
      </c>
      <c r="J114" s="299" t="s">
        <v>286</v>
      </c>
      <c r="K114" s="299"/>
      <c r="L114" s="288"/>
      <c r="Q114" s="288"/>
    </row>
    <row r="115" spans="1:17" s="95" customFormat="1" ht="15" hidden="1" customHeight="1" outlineLevel="1">
      <c r="B115" s="119" t="s">
        <v>272</v>
      </c>
      <c r="C115" s="266" t="s">
        <v>488</v>
      </c>
      <c r="D115" s="124" t="s">
        <v>489</v>
      </c>
      <c r="E115" s="125"/>
      <c r="F115" s="118" t="s">
        <v>433</v>
      </c>
      <c r="G115" s="126" t="str">
        <f t="shared" si="8"/>
        <v>AR-T2V-4</v>
      </c>
      <c r="H115" s="253" t="s">
        <v>292</v>
      </c>
      <c r="I115" s="76">
        <v>1</v>
      </c>
      <c r="J115" s="299" t="s">
        <v>286</v>
      </c>
      <c r="K115" s="299"/>
      <c r="L115" s="288"/>
      <c r="Q115" s="288"/>
    </row>
    <row r="116" spans="1:17" s="95" customFormat="1" ht="15" hidden="1" customHeight="1" outlineLevel="1">
      <c r="B116" s="119" t="s">
        <v>272</v>
      </c>
      <c r="C116" s="266" t="s">
        <v>490</v>
      </c>
      <c r="D116" s="124" t="s">
        <v>491</v>
      </c>
      <c r="E116" s="125"/>
      <c r="F116" s="118" t="s">
        <v>433</v>
      </c>
      <c r="G116" s="126" t="str">
        <f t="shared" si="8"/>
        <v>AR-T2V-4</v>
      </c>
      <c r="H116" s="253" t="s">
        <v>292</v>
      </c>
      <c r="I116" s="76">
        <v>1</v>
      </c>
      <c r="J116" s="299" t="s">
        <v>286</v>
      </c>
      <c r="K116" s="299"/>
      <c r="L116" s="288"/>
      <c r="Q116" s="288"/>
    </row>
    <row r="117" spans="1:17" s="95" customFormat="1" ht="15" hidden="1" customHeight="1" outlineLevel="1">
      <c r="B117" s="119" t="s">
        <v>272</v>
      </c>
      <c r="C117" s="266" t="s">
        <v>492</v>
      </c>
      <c r="D117" s="124" t="s">
        <v>493</v>
      </c>
      <c r="E117" s="125"/>
      <c r="F117" s="118" t="s">
        <v>433</v>
      </c>
      <c r="G117" s="126" t="str">
        <f t="shared" si="8"/>
        <v>AR-T2V-4</v>
      </c>
      <c r="H117" s="253" t="s">
        <v>292</v>
      </c>
      <c r="I117" s="76">
        <v>1</v>
      </c>
      <c r="J117" s="299" t="s">
        <v>286</v>
      </c>
      <c r="K117" s="299"/>
      <c r="L117" s="288"/>
      <c r="Q117" s="288"/>
    </row>
    <row r="118" spans="1:17" s="95" customFormat="1" ht="15" hidden="1" customHeight="1" outlineLevel="1">
      <c r="B118" s="119" t="s">
        <v>272</v>
      </c>
      <c r="C118" s="266" t="s">
        <v>494</v>
      </c>
      <c r="D118" s="124" t="s">
        <v>495</v>
      </c>
      <c r="E118" s="125"/>
      <c r="F118" s="118" t="s">
        <v>433</v>
      </c>
      <c r="G118" s="126" t="str">
        <f>CONCATENATE("AR-",F118,"-",H118)</f>
        <v>AR-T2V-5</v>
      </c>
      <c r="H118" s="253" t="s">
        <v>363</v>
      </c>
      <c r="I118" s="76">
        <v>1</v>
      </c>
      <c r="J118" s="299" t="s">
        <v>286</v>
      </c>
      <c r="K118" s="299"/>
      <c r="L118" s="288"/>
      <c r="Q118" s="288"/>
    </row>
    <row r="119" spans="1:17" s="95" customFormat="1" ht="15" hidden="1" customHeight="1" outlineLevel="1">
      <c r="B119" s="119" t="s">
        <v>272</v>
      </c>
      <c r="C119" s="266" t="s">
        <v>496</v>
      </c>
      <c r="D119" s="124" t="s">
        <v>497</v>
      </c>
      <c r="E119" s="125"/>
      <c r="F119" s="118" t="s">
        <v>433</v>
      </c>
      <c r="G119" s="126" t="str">
        <f>CONCATENATE("AR-",F119,"-",H119)</f>
        <v>AR-T2V-5</v>
      </c>
      <c r="H119" s="253" t="s">
        <v>363</v>
      </c>
      <c r="I119" s="76">
        <v>1</v>
      </c>
      <c r="J119" s="299" t="s">
        <v>286</v>
      </c>
      <c r="K119" s="299"/>
      <c r="L119" s="288"/>
      <c r="Q119" s="288"/>
    </row>
    <row r="120" spans="1:17" s="95" customFormat="1" ht="15" hidden="1" customHeight="1" outlineLevel="1">
      <c r="B120" s="119" t="s">
        <v>272</v>
      </c>
      <c r="C120" s="266" t="s">
        <v>498</v>
      </c>
      <c r="D120" s="124" t="s">
        <v>499</v>
      </c>
      <c r="E120" s="125"/>
      <c r="F120" s="118" t="s">
        <v>433</v>
      </c>
      <c r="G120" s="126" t="str">
        <f>CONCATENATE("AR-",F120,"-",H120)</f>
        <v>AR-T2V-5</v>
      </c>
      <c r="H120" s="253" t="s">
        <v>363</v>
      </c>
      <c r="I120" s="76">
        <v>1</v>
      </c>
      <c r="J120" s="299" t="s">
        <v>286</v>
      </c>
      <c r="K120" s="299"/>
      <c r="L120" s="288"/>
      <c r="Q120" s="288"/>
    </row>
    <row r="121" spans="1:17" s="95" customFormat="1" ht="15" hidden="1" customHeight="1" outlineLevel="1">
      <c r="B121" s="119" t="s">
        <v>272</v>
      </c>
      <c r="C121" s="266" t="s">
        <v>500</v>
      </c>
      <c r="D121" s="124" t="s">
        <v>501</v>
      </c>
      <c r="E121" s="125"/>
      <c r="F121" s="118" t="s">
        <v>433</v>
      </c>
      <c r="G121" s="126" t="str">
        <f>CONCATENATE("AR-",F121,"-",H121)</f>
        <v>AR-T2V-5</v>
      </c>
      <c r="H121" s="253" t="s">
        <v>363</v>
      </c>
      <c r="I121" s="76">
        <v>1</v>
      </c>
      <c r="J121" s="299" t="s">
        <v>286</v>
      </c>
      <c r="K121" s="299"/>
      <c r="L121" s="288"/>
      <c r="Q121" s="288"/>
    </row>
    <row r="122" spans="1:17" s="83" customFormat="1" ht="15" hidden="1" customHeight="1" outlineLevel="1">
      <c r="A122" s="264"/>
      <c r="B122" s="119" t="s">
        <v>272</v>
      </c>
      <c r="C122" s="266" t="s">
        <v>502</v>
      </c>
      <c r="D122" s="124" t="s">
        <v>503</v>
      </c>
      <c r="E122" s="125"/>
      <c r="F122" s="118" t="s">
        <v>433</v>
      </c>
      <c r="G122" s="126" t="str">
        <f t="shared" ref="G122:G128" si="9">CONCATENATE("AR-",F122,"-",H122)</f>
        <v>AR-T2V-5</v>
      </c>
      <c r="H122" s="253" t="s">
        <v>363</v>
      </c>
      <c r="I122" s="76">
        <v>1</v>
      </c>
      <c r="J122" s="299" t="s">
        <v>286</v>
      </c>
      <c r="K122" s="299"/>
      <c r="L122" s="86"/>
      <c r="Q122" s="86"/>
    </row>
    <row r="123" spans="1:17" s="83" customFormat="1" ht="15" hidden="1" customHeight="1" outlineLevel="1">
      <c r="A123" s="264"/>
      <c r="B123" s="119" t="s">
        <v>272</v>
      </c>
      <c r="C123" s="266" t="s">
        <v>504</v>
      </c>
      <c r="D123" s="124" t="s">
        <v>505</v>
      </c>
      <c r="E123" s="125"/>
      <c r="F123" s="118" t="s">
        <v>433</v>
      </c>
      <c r="G123" s="126" t="str">
        <f t="shared" si="9"/>
        <v>AR-T2V-5</v>
      </c>
      <c r="H123" s="253" t="s">
        <v>363</v>
      </c>
      <c r="I123" s="76">
        <v>1</v>
      </c>
      <c r="J123" s="299" t="s">
        <v>286</v>
      </c>
      <c r="K123" s="299"/>
      <c r="L123" s="86"/>
      <c r="Q123" s="86"/>
    </row>
    <row r="124" spans="1:17" s="83" customFormat="1" ht="15" hidden="1" customHeight="1" outlineLevel="1">
      <c r="A124" s="264"/>
      <c r="B124" s="119" t="s">
        <v>272</v>
      </c>
      <c r="C124" s="266" t="s">
        <v>506</v>
      </c>
      <c r="D124" s="124" t="s">
        <v>507</v>
      </c>
      <c r="E124" s="125"/>
      <c r="F124" s="118" t="s">
        <v>433</v>
      </c>
      <c r="G124" s="126" t="str">
        <f t="shared" si="9"/>
        <v>AR-T2V-5</v>
      </c>
      <c r="H124" s="253" t="s">
        <v>363</v>
      </c>
      <c r="I124" s="76">
        <v>1</v>
      </c>
      <c r="J124" s="299" t="s">
        <v>286</v>
      </c>
      <c r="K124" s="299"/>
      <c r="L124" s="86"/>
      <c r="Q124" s="86"/>
    </row>
    <row r="125" spans="1:17" s="83" customFormat="1" ht="15" hidden="1" customHeight="1" outlineLevel="1">
      <c r="A125" s="264"/>
      <c r="B125" s="119" t="s">
        <v>272</v>
      </c>
      <c r="C125" s="266" t="s">
        <v>508</v>
      </c>
      <c r="D125" s="124" t="s">
        <v>509</v>
      </c>
      <c r="E125" s="125"/>
      <c r="F125" s="118" t="s">
        <v>433</v>
      </c>
      <c r="G125" s="126" t="str">
        <f t="shared" si="9"/>
        <v>AR-T2V-5</v>
      </c>
      <c r="H125" s="253" t="s">
        <v>363</v>
      </c>
      <c r="I125" s="76">
        <v>1</v>
      </c>
      <c r="J125" s="299" t="s">
        <v>286</v>
      </c>
      <c r="K125" s="299"/>
      <c r="L125" s="86"/>
      <c r="Q125" s="86"/>
    </row>
    <row r="126" spans="1:17" s="83" customFormat="1" ht="15" hidden="1" customHeight="1" outlineLevel="1">
      <c r="A126" s="264"/>
      <c r="B126" s="119" t="s">
        <v>272</v>
      </c>
      <c r="C126" s="266" t="s">
        <v>510</v>
      </c>
      <c r="D126" s="124" t="s">
        <v>509</v>
      </c>
      <c r="E126" s="125"/>
      <c r="F126" s="118" t="s">
        <v>433</v>
      </c>
      <c r="G126" s="126" t="str">
        <f t="shared" si="9"/>
        <v>AR-T2V-5</v>
      </c>
      <c r="H126" s="253" t="s">
        <v>363</v>
      </c>
      <c r="I126" s="76">
        <v>1</v>
      </c>
      <c r="J126" s="299" t="s">
        <v>286</v>
      </c>
      <c r="K126" s="299"/>
      <c r="L126" s="86"/>
      <c r="Q126" s="86"/>
    </row>
    <row r="127" spans="1:17" s="83" customFormat="1" ht="15" hidden="1" customHeight="1" outlineLevel="1">
      <c r="A127" s="264"/>
      <c r="B127" s="119" t="s">
        <v>272</v>
      </c>
      <c r="C127" s="266" t="s">
        <v>511</v>
      </c>
      <c r="D127" s="124" t="s">
        <v>509</v>
      </c>
      <c r="E127" s="125"/>
      <c r="F127" s="118" t="s">
        <v>433</v>
      </c>
      <c r="G127" s="126" t="str">
        <f t="shared" si="9"/>
        <v>AR-T2V-5</v>
      </c>
      <c r="H127" s="253" t="s">
        <v>363</v>
      </c>
      <c r="I127" s="76">
        <v>1</v>
      </c>
      <c r="J127" s="299" t="s">
        <v>286</v>
      </c>
      <c r="K127" s="299"/>
      <c r="L127" s="86"/>
      <c r="Q127" s="86"/>
    </row>
    <row r="128" spans="1:17" s="83" customFormat="1" ht="15" hidden="1" customHeight="1" outlineLevel="1">
      <c r="A128" s="264"/>
      <c r="B128" s="119" t="s">
        <v>272</v>
      </c>
      <c r="C128" s="266" t="s">
        <v>512</v>
      </c>
      <c r="D128" s="124" t="s">
        <v>513</v>
      </c>
      <c r="E128" s="125"/>
      <c r="F128" s="118" t="s">
        <v>433</v>
      </c>
      <c r="G128" s="126" t="str">
        <f t="shared" si="9"/>
        <v>AR-T2V-6</v>
      </c>
      <c r="H128" s="253" t="s">
        <v>368</v>
      </c>
      <c r="I128" s="76">
        <v>1</v>
      </c>
      <c r="J128" s="299" t="s">
        <v>286</v>
      </c>
      <c r="K128" s="299"/>
      <c r="L128" s="86"/>
      <c r="Q128" s="86"/>
    </row>
    <row r="129" spans="2:18" s="95" customFormat="1" ht="15" hidden="1" customHeight="1" outlineLevel="1">
      <c r="B129" s="119" t="s">
        <v>272</v>
      </c>
      <c r="C129" s="266" t="s">
        <v>514</v>
      </c>
      <c r="D129" s="124" t="s">
        <v>515</v>
      </c>
      <c r="E129" s="125"/>
      <c r="F129" s="118" t="s">
        <v>433</v>
      </c>
      <c r="G129" s="126" t="str">
        <f t="shared" ref="G129:G166" si="10">CONCATENATE("AR-",F129,"-",H129)</f>
        <v>AR-T2V-6</v>
      </c>
      <c r="H129" s="253" t="s">
        <v>368</v>
      </c>
      <c r="I129" s="76">
        <v>1</v>
      </c>
      <c r="J129" s="299" t="s">
        <v>286</v>
      </c>
      <c r="K129" s="299"/>
      <c r="L129" s="288"/>
      <c r="Q129" s="288"/>
    </row>
    <row r="130" spans="2:18" s="95" customFormat="1" ht="15" hidden="1" customHeight="1" outlineLevel="1">
      <c r="B130" s="119" t="s">
        <v>272</v>
      </c>
      <c r="C130" s="266" t="s">
        <v>516</v>
      </c>
      <c r="D130" s="124" t="s">
        <v>517</v>
      </c>
      <c r="E130" s="125"/>
      <c r="F130" s="118" t="s">
        <v>433</v>
      </c>
      <c r="G130" s="126" t="s">
        <v>518</v>
      </c>
      <c r="H130" s="253" t="s">
        <v>373</v>
      </c>
      <c r="I130" s="76">
        <v>1</v>
      </c>
      <c r="J130" s="299" t="s">
        <v>310</v>
      </c>
      <c r="K130" s="299"/>
      <c r="L130" s="288"/>
      <c r="Q130" s="288"/>
    </row>
    <row r="131" spans="2:18" s="95" customFormat="1" ht="15" hidden="1" customHeight="1" outlineLevel="1">
      <c r="B131" s="119" t="s">
        <v>272</v>
      </c>
      <c r="C131" s="266" t="s">
        <v>519</v>
      </c>
      <c r="D131" s="124" t="s">
        <v>517</v>
      </c>
      <c r="E131" s="125"/>
      <c r="F131" s="118" t="s">
        <v>433</v>
      </c>
      <c r="G131" s="126" t="s">
        <v>518</v>
      </c>
      <c r="H131" s="253" t="s">
        <v>373</v>
      </c>
      <c r="I131" s="76">
        <v>1</v>
      </c>
      <c r="J131" s="299" t="s">
        <v>310</v>
      </c>
      <c r="K131" s="299"/>
      <c r="L131" s="288"/>
      <c r="Q131" s="288"/>
    </row>
    <row r="132" spans="2:18" s="95" customFormat="1" ht="15" hidden="1" customHeight="1" outlineLevel="1">
      <c r="B132" s="119" t="s">
        <v>272</v>
      </c>
      <c r="C132" s="266" t="s">
        <v>520</v>
      </c>
      <c r="D132" s="124" t="s">
        <v>402</v>
      </c>
      <c r="E132" s="125"/>
      <c r="F132" s="118" t="s">
        <v>433</v>
      </c>
      <c r="G132" s="126" t="str">
        <f t="shared" si="10"/>
        <v>AR-T2V-7</v>
      </c>
      <c r="H132" s="253" t="s">
        <v>373</v>
      </c>
      <c r="I132" s="76">
        <v>1</v>
      </c>
      <c r="J132" s="299" t="s">
        <v>310</v>
      </c>
      <c r="K132" s="299"/>
      <c r="L132" s="288"/>
      <c r="Q132" s="288"/>
    </row>
    <row r="133" spans="2:18" s="95" customFormat="1" ht="15" hidden="1" customHeight="1" outlineLevel="1">
      <c r="B133" s="119" t="s">
        <v>272</v>
      </c>
      <c r="C133" s="266" t="s">
        <v>521</v>
      </c>
      <c r="D133" s="124" t="s">
        <v>522</v>
      </c>
      <c r="E133" s="125"/>
      <c r="F133" s="118" t="s">
        <v>433</v>
      </c>
      <c r="G133" s="126" t="str">
        <f t="shared" si="10"/>
        <v>AR-T2V-7</v>
      </c>
      <c r="H133" s="253" t="s">
        <v>373</v>
      </c>
      <c r="I133" s="76">
        <v>1</v>
      </c>
      <c r="J133" s="299" t="s">
        <v>286</v>
      </c>
      <c r="K133" s="299"/>
      <c r="L133" s="288"/>
      <c r="Q133" s="288"/>
    </row>
    <row r="134" spans="2:18" s="95" customFormat="1" ht="15" hidden="1" customHeight="1" outlineLevel="1">
      <c r="B134" s="119" t="s">
        <v>272</v>
      </c>
      <c r="C134" s="266" t="s">
        <v>523</v>
      </c>
      <c r="D134" s="124" t="s">
        <v>402</v>
      </c>
      <c r="E134" s="125"/>
      <c r="F134" s="118" t="s">
        <v>433</v>
      </c>
      <c r="G134" s="126" t="str">
        <f t="shared" si="10"/>
        <v>AR-T2V-7</v>
      </c>
      <c r="H134" s="253" t="s">
        <v>373</v>
      </c>
      <c r="I134" s="76">
        <v>1</v>
      </c>
      <c r="J134" s="299" t="s">
        <v>286</v>
      </c>
      <c r="K134" s="299"/>
      <c r="L134" s="288"/>
      <c r="Q134" s="288"/>
    </row>
    <row r="135" spans="2:18" s="95" customFormat="1" ht="15" hidden="1" customHeight="1" outlineLevel="1">
      <c r="B135" s="119" t="s">
        <v>272</v>
      </c>
      <c r="C135" s="266" t="s">
        <v>524</v>
      </c>
      <c r="D135" s="124" t="s">
        <v>525</v>
      </c>
      <c r="E135" s="125"/>
      <c r="F135" s="118" t="s">
        <v>433</v>
      </c>
      <c r="G135" s="126" t="str">
        <f t="shared" si="10"/>
        <v>AR-T2V-7</v>
      </c>
      <c r="H135" s="253" t="s">
        <v>373</v>
      </c>
      <c r="I135" s="76">
        <v>1</v>
      </c>
      <c r="J135" s="299" t="s">
        <v>286</v>
      </c>
      <c r="K135" s="299"/>
      <c r="L135" s="84"/>
      <c r="M135" s="76"/>
      <c r="N135" s="76"/>
      <c r="O135" s="76"/>
      <c r="P135" s="76"/>
      <c r="Q135" s="84"/>
      <c r="R135" s="76"/>
    </row>
    <row r="136" spans="2:18" s="95" customFormat="1" ht="15" hidden="1" customHeight="1" outlineLevel="1">
      <c r="B136" s="119" t="s">
        <v>272</v>
      </c>
      <c r="C136" s="266" t="s">
        <v>526</v>
      </c>
      <c r="D136" s="124" t="s">
        <v>527</v>
      </c>
      <c r="E136" s="125"/>
      <c r="F136" s="118" t="s">
        <v>433</v>
      </c>
      <c r="G136" s="126" t="str">
        <f t="shared" si="10"/>
        <v>AR-T2V-7</v>
      </c>
      <c r="H136" s="253" t="s">
        <v>373</v>
      </c>
      <c r="I136" s="76">
        <v>1</v>
      </c>
      <c r="J136" s="299" t="s">
        <v>307</v>
      </c>
      <c r="K136" s="299"/>
      <c r="L136" s="84"/>
      <c r="M136" s="76"/>
      <c r="N136" s="76"/>
      <c r="O136" s="76"/>
      <c r="P136" s="76"/>
      <c r="Q136" s="84"/>
      <c r="R136" s="76"/>
    </row>
    <row r="137" spans="2:18" s="95" customFormat="1" ht="15" hidden="1" customHeight="1" outlineLevel="1">
      <c r="B137" s="119" t="s">
        <v>272</v>
      </c>
      <c r="C137" s="266" t="s">
        <v>528</v>
      </c>
      <c r="D137" s="124" t="s">
        <v>529</v>
      </c>
      <c r="E137" s="125"/>
      <c r="F137" s="118" t="s">
        <v>433</v>
      </c>
      <c r="G137" s="126" t="str">
        <f t="shared" si="10"/>
        <v>AR-T2V-7</v>
      </c>
      <c r="H137" s="253" t="s">
        <v>373</v>
      </c>
      <c r="I137" s="76">
        <v>1</v>
      </c>
      <c r="J137" s="299" t="s">
        <v>307</v>
      </c>
      <c r="K137" s="299"/>
      <c r="L137" s="84"/>
      <c r="M137" s="76"/>
      <c r="N137" s="76"/>
      <c r="O137" s="76"/>
      <c r="P137" s="76"/>
      <c r="Q137" s="84"/>
      <c r="R137" s="76"/>
    </row>
    <row r="138" spans="2:18" s="95" customFormat="1" ht="15" hidden="1" customHeight="1" outlineLevel="1">
      <c r="B138" s="119" t="s">
        <v>272</v>
      </c>
      <c r="C138" s="266" t="s">
        <v>530</v>
      </c>
      <c r="D138" s="124" t="s">
        <v>531</v>
      </c>
      <c r="E138" s="125"/>
      <c r="F138" s="118" t="s">
        <v>433</v>
      </c>
      <c r="G138" s="126" t="str">
        <f t="shared" si="10"/>
        <v>AR-T2V-7</v>
      </c>
      <c r="H138" s="253" t="s">
        <v>373</v>
      </c>
      <c r="I138" s="76">
        <v>1</v>
      </c>
      <c r="J138" s="299" t="s">
        <v>286</v>
      </c>
      <c r="K138" s="299"/>
      <c r="L138" s="84"/>
      <c r="M138" s="76"/>
      <c r="N138" s="76"/>
      <c r="O138" s="76"/>
      <c r="P138" s="76"/>
      <c r="Q138" s="84"/>
      <c r="R138" s="76"/>
    </row>
    <row r="139" spans="2:18" s="95" customFormat="1" ht="15" hidden="1" customHeight="1" outlineLevel="1">
      <c r="B139" s="119" t="s">
        <v>272</v>
      </c>
      <c r="C139" s="266" t="s">
        <v>532</v>
      </c>
      <c r="D139" s="124" t="s">
        <v>533</v>
      </c>
      <c r="E139" s="125"/>
      <c r="F139" s="118" t="s">
        <v>433</v>
      </c>
      <c r="G139" s="126" t="str">
        <f t="shared" si="10"/>
        <v>AR-T2V-7</v>
      </c>
      <c r="H139" s="253" t="s">
        <v>373</v>
      </c>
      <c r="I139" s="76">
        <v>1</v>
      </c>
      <c r="J139" s="299" t="s">
        <v>310</v>
      </c>
      <c r="K139" s="299"/>
      <c r="L139" s="84"/>
      <c r="M139" s="76"/>
      <c r="N139" s="76"/>
      <c r="O139" s="76"/>
      <c r="P139" s="76"/>
      <c r="Q139" s="84"/>
      <c r="R139" s="76"/>
    </row>
    <row r="140" spans="2:18" s="95" customFormat="1" ht="15" hidden="1" customHeight="1" outlineLevel="1">
      <c r="B140" s="119" t="s">
        <v>272</v>
      </c>
      <c r="C140" s="266" t="s">
        <v>534</v>
      </c>
      <c r="D140" s="124" t="s">
        <v>535</v>
      </c>
      <c r="E140" s="125"/>
      <c r="F140" s="118" t="s">
        <v>433</v>
      </c>
      <c r="G140" s="126" t="str">
        <f t="shared" si="10"/>
        <v>AR-T2V-7</v>
      </c>
      <c r="H140" s="253" t="s">
        <v>373</v>
      </c>
      <c r="I140" s="76">
        <v>1</v>
      </c>
      <c r="J140" s="299" t="s">
        <v>310</v>
      </c>
      <c r="K140" s="299"/>
      <c r="L140" s="84"/>
      <c r="M140" s="76"/>
      <c r="N140" s="76"/>
      <c r="O140" s="76"/>
      <c r="P140" s="76"/>
      <c r="Q140" s="84"/>
      <c r="R140" s="76"/>
    </row>
    <row r="141" spans="2:18" s="95" customFormat="1" ht="15" hidden="1" customHeight="1" outlineLevel="1">
      <c r="B141" s="119" t="s">
        <v>272</v>
      </c>
      <c r="C141" s="266" t="s">
        <v>536</v>
      </c>
      <c r="D141" s="124" t="s">
        <v>537</v>
      </c>
      <c r="E141" s="125"/>
      <c r="F141" s="118" t="s">
        <v>433</v>
      </c>
      <c r="G141" s="126" t="str">
        <f t="shared" si="10"/>
        <v>AR-T2V-7</v>
      </c>
      <c r="H141" s="253" t="s">
        <v>373</v>
      </c>
      <c r="I141" s="76">
        <v>1</v>
      </c>
      <c r="J141" s="299" t="s">
        <v>310</v>
      </c>
      <c r="K141" s="299"/>
      <c r="L141" s="84"/>
      <c r="M141" s="76"/>
      <c r="N141" s="76"/>
      <c r="O141" s="76"/>
      <c r="P141" s="76"/>
      <c r="Q141" s="84"/>
      <c r="R141" s="76"/>
    </row>
    <row r="142" spans="2:18" s="95" customFormat="1" ht="15" hidden="1" customHeight="1" outlineLevel="1">
      <c r="B142" s="119" t="s">
        <v>272</v>
      </c>
      <c r="C142" s="266" t="s">
        <v>538</v>
      </c>
      <c r="D142" s="124" t="s">
        <v>539</v>
      </c>
      <c r="E142" s="125"/>
      <c r="F142" s="118" t="s">
        <v>433</v>
      </c>
      <c r="G142" s="126" t="str">
        <f t="shared" si="10"/>
        <v>AR-T2V-7</v>
      </c>
      <c r="H142" s="253" t="s">
        <v>373</v>
      </c>
      <c r="I142" s="76">
        <v>1</v>
      </c>
      <c r="J142" s="299" t="s">
        <v>307</v>
      </c>
      <c r="K142" s="299"/>
      <c r="L142" s="84"/>
      <c r="M142" s="76"/>
      <c r="N142" s="76"/>
      <c r="O142" s="76"/>
      <c r="P142" s="76"/>
      <c r="Q142" s="84"/>
      <c r="R142" s="76"/>
    </row>
    <row r="143" spans="2:18" s="95" customFormat="1" ht="15" hidden="1" customHeight="1" outlineLevel="1">
      <c r="B143" s="119" t="s">
        <v>272</v>
      </c>
      <c r="C143" s="266" t="s">
        <v>540</v>
      </c>
      <c r="D143" s="124" t="s">
        <v>541</v>
      </c>
      <c r="E143" s="125"/>
      <c r="F143" s="118" t="s">
        <v>433</v>
      </c>
      <c r="G143" s="126" t="str">
        <f t="shared" si="10"/>
        <v>AR-T2V-7</v>
      </c>
      <c r="H143" s="253" t="s">
        <v>373</v>
      </c>
      <c r="I143" s="76">
        <v>1</v>
      </c>
      <c r="J143" s="299" t="s">
        <v>310</v>
      </c>
      <c r="K143" s="299"/>
      <c r="L143" s="84"/>
      <c r="M143" s="76"/>
      <c r="N143" s="76"/>
      <c r="O143" s="76"/>
      <c r="P143" s="76"/>
      <c r="Q143" s="84"/>
      <c r="R143" s="76"/>
    </row>
    <row r="144" spans="2:18" s="95" customFormat="1" ht="15" hidden="1" customHeight="1" outlineLevel="1">
      <c r="B144" s="119" t="s">
        <v>272</v>
      </c>
      <c r="C144" s="266" t="s">
        <v>542</v>
      </c>
      <c r="D144" s="124" t="s">
        <v>543</v>
      </c>
      <c r="E144" s="125"/>
      <c r="F144" s="118" t="s">
        <v>433</v>
      </c>
      <c r="G144" s="126" t="str">
        <f t="shared" si="10"/>
        <v>AR-T2V-7</v>
      </c>
      <c r="H144" s="253" t="s">
        <v>373</v>
      </c>
      <c r="I144" s="76">
        <v>1</v>
      </c>
      <c r="J144" s="299" t="s">
        <v>310</v>
      </c>
      <c r="K144" s="299"/>
      <c r="L144" s="84"/>
      <c r="M144" s="76"/>
      <c r="N144" s="76"/>
      <c r="O144" s="76"/>
      <c r="P144" s="76"/>
      <c r="Q144" s="94"/>
      <c r="R144" s="76"/>
    </row>
    <row r="145" spans="2:18" s="95" customFormat="1" ht="15" hidden="1" customHeight="1" outlineLevel="1">
      <c r="B145" s="119" t="s">
        <v>272</v>
      </c>
      <c r="C145" s="266" t="s">
        <v>544</v>
      </c>
      <c r="D145" s="124" t="s">
        <v>545</v>
      </c>
      <c r="E145" s="125"/>
      <c r="F145" s="118" t="s">
        <v>433</v>
      </c>
      <c r="G145" s="126" t="str">
        <f t="shared" si="10"/>
        <v>AR-T2V-7</v>
      </c>
      <c r="H145" s="253" t="s">
        <v>373</v>
      </c>
      <c r="I145" s="76">
        <v>1</v>
      </c>
      <c r="J145" s="299" t="s">
        <v>310</v>
      </c>
      <c r="K145" s="299"/>
      <c r="L145" s="84"/>
      <c r="M145" s="76"/>
      <c r="N145" s="76"/>
      <c r="O145" s="76"/>
      <c r="P145" s="76"/>
      <c r="Q145" s="94"/>
      <c r="R145" s="76"/>
    </row>
    <row r="146" spans="2:18" s="95" customFormat="1" ht="15" hidden="1" customHeight="1" outlineLevel="1">
      <c r="B146" s="119" t="s">
        <v>272</v>
      </c>
      <c r="C146" s="266" t="s">
        <v>546</v>
      </c>
      <c r="D146" s="124" t="s">
        <v>547</v>
      </c>
      <c r="E146" s="125"/>
      <c r="F146" s="118" t="s">
        <v>433</v>
      </c>
      <c r="G146" s="126" t="str">
        <f t="shared" ref="G146" si="11">CONCATENATE("AR-",F146,"-",H146)</f>
        <v>AR-T2V-7</v>
      </c>
      <c r="H146" s="253" t="s">
        <v>373</v>
      </c>
      <c r="I146" s="76">
        <v>1</v>
      </c>
      <c r="J146" s="299" t="s">
        <v>310</v>
      </c>
      <c r="K146" s="299"/>
      <c r="L146" s="84"/>
      <c r="M146" s="76"/>
      <c r="N146" s="76"/>
      <c r="O146" s="76"/>
      <c r="P146" s="76"/>
      <c r="Q146" s="94"/>
      <c r="R146" s="76"/>
    </row>
    <row r="147" spans="2:18" s="95" customFormat="1" ht="14.25" hidden="1" customHeight="1" outlineLevel="1">
      <c r="B147" s="119" t="s">
        <v>272</v>
      </c>
      <c r="C147" s="266" t="s">
        <v>548</v>
      </c>
      <c r="D147" s="124" t="s">
        <v>549</v>
      </c>
      <c r="E147" s="125"/>
      <c r="F147" s="118" t="s">
        <v>433</v>
      </c>
      <c r="G147" s="126" t="str">
        <f t="shared" ref="G147:G153" si="12">CONCATENATE("AR-",F147,"-",H147)</f>
        <v>AR-T2V-7</v>
      </c>
      <c r="H147" s="253" t="s">
        <v>373</v>
      </c>
      <c r="I147" s="76">
        <v>1</v>
      </c>
      <c r="J147" s="299" t="s">
        <v>310</v>
      </c>
      <c r="K147" s="299"/>
      <c r="L147" s="94"/>
      <c r="M147" s="76"/>
      <c r="N147" s="76"/>
      <c r="O147" s="76"/>
      <c r="P147" s="76"/>
      <c r="Q147" s="94"/>
      <c r="R147" s="76"/>
    </row>
    <row r="148" spans="2:18" s="95" customFormat="1" ht="14.25" hidden="1" customHeight="1" outlineLevel="1">
      <c r="B148" s="119" t="s">
        <v>272</v>
      </c>
      <c r="C148" s="266" t="s">
        <v>550</v>
      </c>
      <c r="D148" s="124" t="s">
        <v>551</v>
      </c>
      <c r="E148" s="125"/>
      <c r="F148" s="118" t="s">
        <v>433</v>
      </c>
      <c r="G148" s="126" t="str">
        <f t="shared" si="12"/>
        <v>AR-T2V-7</v>
      </c>
      <c r="H148" s="253" t="s">
        <v>373</v>
      </c>
      <c r="I148" s="76">
        <v>1</v>
      </c>
      <c r="J148" s="299" t="s">
        <v>286</v>
      </c>
      <c r="K148" s="299"/>
      <c r="L148" s="94"/>
      <c r="M148" s="76"/>
      <c r="N148" s="76"/>
      <c r="O148" s="76"/>
      <c r="P148" s="76"/>
      <c r="Q148" s="94"/>
      <c r="R148" s="76"/>
    </row>
    <row r="149" spans="2:18" s="95" customFormat="1" ht="14.25" hidden="1" customHeight="1" outlineLevel="1">
      <c r="B149" s="119" t="s">
        <v>272</v>
      </c>
      <c r="C149" s="266" t="s">
        <v>552</v>
      </c>
      <c r="D149" s="124" t="s">
        <v>553</v>
      </c>
      <c r="E149" s="125"/>
      <c r="F149" s="118" t="s">
        <v>433</v>
      </c>
      <c r="G149" s="126" t="str">
        <f t="shared" si="12"/>
        <v>AR-T2V-7</v>
      </c>
      <c r="H149" s="253" t="s">
        <v>373</v>
      </c>
      <c r="I149" s="76">
        <v>1</v>
      </c>
      <c r="J149" s="299" t="s">
        <v>286</v>
      </c>
      <c r="K149" s="299"/>
      <c r="L149" s="288"/>
      <c r="Q149" s="288"/>
    </row>
    <row r="150" spans="2:18" s="95" customFormat="1" ht="14.25" hidden="1" customHeight="1" outlineLevel="1">
      <c r="B150" s="119" t="s">
        <v>272</v>
      </c>
      <c r="C150" s="266" t="s">
        <v>554</v>
      </c>
      <c r="D150" s="124" t="s">
        <v>555</v>
      </c>
      <c r="E150" s="125"/>
      <c r="F150" s="118" t="s">
        <v>433</v>
      </c>
      <c r="G150" s="126" t="str">
        <f t="shared" si="12"/>
        <v>AR-T2V-7</v>
      </c>
      <c r="H150" s="253" t="s">
        <v>373</v>
      </c>
      <c r="I150" s="76">
        <v>1</v>
      </c>
      <c r="J150" s="299" t="s">
        <v>307</v>
      </c>
      <c r="K150" s="392">
        <v>46000</v>
      </c>
      <c r="L150" s="288"/>
      <c r="Q150" s="288"/>
    </row>
    <row r="151" spans="2:18" s="95" customFormat="1" ht="14.25" hidden="1" customHeight="1" outlineLevel="1">
      <c r="B151" s="119" t="s">
        <v>272</v>
      </c>
      <c r="C151" s="266" t="s">
        <v>470</v>
      </c>
      <c r="D151" s="124" t="s">
        <v>471</v>
      </c>
      <c r="E151" s="125"/>
      <c r="F151" s="118" t="s">
        <v>433</v>
      </c>
      <c r="G151" s="126" t="str">
        <f t="shared" si="12"/>
        <v>AR-T2V-7</v>
      </c>
      <c r="H151" s="253" t="s">
        <v>373</v>
      </c>
      <c r="I151" s="76">
        <v>1</v>
      </c>
      <c r="J151" s="299" t="s">
        <v>310</v>
      </c>
      <c r="K151" s="299"/>
      <c r="L151" s="288"/>
      <c r="Q151" s="288"/>
    </row>
    <row r="152" spans="2:18" s="95" customFormat="1" ht="15" hidden="1" customHeight="1" outlineLevel="1">
      <c r="B152" s="119" t="s">
        <v>272</v>
      </c>
      <c r="C152" s="266" t="s">
        <v>556</v>
      </c>
      <c r="D152" s="124" t="s">
        <v>557</v>
      </c>
      <c r="E152" s="125"/>
      <c r="F152" s="118" t="s">
        <v>433</v>
      </c>
      <c r="G152" s="126" t="str">
        <f t="shared" si="12"/>
        <v>AR-T2V-7</v>
      </c>
      <c r="H152" s="253" t="s">
        <v>373</v>
      </c>
      <c r="I152" s="76">
        <v>1</v>
      </c>
      <c r="J152" s="299" t="s">
        <v>286</v>
      </c>
      <c r="K152" s="299"/>
      <c r="L152" s="288"/>
      <c r="Q152" s="288"/>
    </row>
    <row r="153" spans="2:18" s="95" customFormat="1" ht="15" hidden="1" customHeight="1" outlineLevel="1">
      <c r="B153" s="119" t="s">
        <v>272</v>
      </c>
      <c r="C153" s="266" t="s">
        <v>558</v>
      </c>
      <c r="D153" s="124" t="s">
        <v>559</v>
      </c>
      <c r="E153" s="125"/>
      <c r="F153" s="118" t="s">
        <v>433</v>
      </c>
      <c r="G153" s="126" t="str">
        <f t="shared" si="12"/>
        <v>AR-T2V-7</v>
      </c>
      <c r="H153" s="253" t="s">
        <v>373</v>
      </c>
      <c r="I153" s="76">
        <v>1</v>
      </c>
      <c r="J153" s="299" t="s">
        <v>286</v>
      </c>
      <c r="K153" s="299"/>
      <c r="L153" s="288"/>
      <c r="Q153" s="288"/>
    </row>
    <row r="154" spans="2:18" s="95" customFormat="1" ht="14.25" hidden="1" customHeight="1" outlineLevel="1">
      <c r="B154" s="119" t="s">
        <v>272</v>
      </c>
      <c r="C154" s="266" t="s">
        <v>560</v>
      </c>
      <c r="D154" s="124" t="s">
        <v>561</v>
      </c>
      <c r="E154" s="125"/>
      <c r="F154" s="118" t="s">
        <v>433</v>
      </c>
      <c r="G154" s="126" t="str">
        <f t="shared" ref="G154:G163" si="13">CONCATENATE("AR-",F154,"-",H154)</f>
        <v>AR-T2V-7</v>
      </c>
      <c r="H154" s="253" t="s">
        <v>373</v>
      </c>
      <c r="I154" s="76">
        <v>1</v>
      </c>
      <c r="J154" s="299" t="s">
        <v>286</v>
      </c>
      <c r="K154" s="299"/>
      <c r="L154" s="288"/>
      <c r="Q154" s="288"/>
    </row>
    <row r="155" spans="2:18" s="95" customFormat="1" ht="14.25" hidden="1" customHeight="1" outlineLevel="1">
      <c r="B155" s="119" t="s">
        <v>272</v>
      </c>
      <c r="C155" s="266" t="s">
        <v>562</v>
      </c>
      <c r="D155" s="124" t="s">
        <v>563</v>
      </c>
      <c r="E155" s="125"/>
      <c r="F155" s="118" t="s">
        <v>433</v>
      </c>
      <c r="G155" s="126" t="str">
        <f t="shared" si="13"/>
        <v>AR-T2V-7</v>
      </c>
      <c r="H155" s="253" t="s">
        <v>373</v>
      </c>
      <c r="I155" s="76">
        <v>1</v>
      </c>
      <c r="J155" s="299" t="s">
        <v>286</v>
      </c>
      <c r="K155" s="299"/>
      <c r="L155" s="288"/>
      <c r="Q155" s="288"/>
    </row>
    <row r="156" spans="2:18" s="95" customFormat="1" ht="14.25" hidden="1" customHeight="1" outlineLevel="1">
      <c r="B156" s="119" t="s">
        <v>272</v>
      </c>
      <c r="C156" s="266" t="s">
        <v>564</v>
      </c>
      <c r="D156" s="124" t="s">
        <v>565</v>
      </c>
      <c r="E156" s="125"/>
      <c r="F156" s="118" t="s">
        <v>433</v>
      </c>
      <c r="G156" s="126" t="str">
        <f t="shared" ref="G156:G159" si="14">CONCATENATE("AR-",F156,"-",H156)</f>
        <v>AR-T2V-7</v>
      </c>
      <c r="H156" s="253" t="s">
        <v>373</v>
      </c>
      <c r="I156" s="76">
        <v>1</v>
      </c>
      <c r="J156" s="299" t="s">
        <v>286</v>
      </c>
      <c r="K156" s="299"/>
      <c r="L156" s="288"/>
      <c r="Q156" s="288"/>
    </row>
    <row r="157" spans="2:18" s="95" customFormat="1" ht="14.25" hidden="1" customHeight="1" outlineLevel="1">
      <c r="B157" s="119" t="s">
        <v>272</v>
      </c>
      <c r="C157" s="266" t="s">
        <v>566</v>
      </c>
      <c r="D157" s="124" t="s">
        <v>567</v>
      </c>
      <c r="E157" s="125"/>
      <c r="F157" s="118" t="s">
        <v>433</v>
      </c>
      <c r="G157" s="126" t="str">
        <f t="shared" si="14"/>
        <v>AR-T2V-7</v>
      </c>
      <c r="H157" s="253" t="s">
        <v>373</v>
      </c>
      <c r="I157" s="76">
        <v>1</v>
      </c>
      <c r="J157" s="299" t="s">
        <v>286</v>
      </c>
      <c r="K157" s="299"/>
      <c r="L157" s="288"/>
      <c r="Q157" s="288"/>
    </row>
    <row r="158" spans="2:18" s="95" customFormat="1" ht="14.25" hidden="1" customHeight="1" outlineLevel="1">
      <c r="B158" s="119" t="s">
        <v>272</v>
      </c>
      <c r="C158" s="266" t="s">
        <v>568</v>
      </c>
      <c r="D158" s="124" t="s">
        <v>569</v>
      </c>
      <c r="E158" s="125"/>
      <c r="F158" s="118" t="s">
        <v>433</v>
      </c>
      <c r="G158" s="126" t="str">
        <f t="shared" si="14"/>
        <v>AR-T2V-7</v>
      </c>
      <c r="H158" s="253" t="s">
        <v>373</v>
      </c>
      <c r="I158" s="76">
        <v>1</v>
      </c>
      <c r="J158" s="299" t="s">
        <v>286</v>
      </c>
      <c r="K158" s="299"/>
      <c r="L158" s="288"/>
      <c r="Q158" s="288"/>
    </row>
    <row r="159" spans="2:18" s="95" customFormat="1" ht="14.25" hidden="1" customHeight="1" outlineLevel="1">
      <c r="B159" s="119" t="s">
        <v>272</v>
      </c>
      <c r="C159" s="266" t="s">
        <v>570</v>
      </c>
      <c r="D159" s="124" t="s">
        <v>571</v>
      </c>
      <c r="E159" s="125"/>
      <c r="F159" s="118" t="s">
        <v>433</v>
      </c>
      <c r="G159" s="126" t="str">
        <f t="shared" si="14"/>
        <v>AR-T2V-7</v>
      </c>
      <c r="H159" s="253" t="s">
        <v>373</v>
      </c>
      <c r="I159" s="76">
        <v>1</v>
      </c>
      <c r="J159" s="299" t="s">
        <v>286</v>
      </c>
      <c r="K159" s="299"/>
      <c r="L159" s="288"/>
      <c r="Q159" s="288"/>
    </row>
    <row r="160" spans="2:18" s="95" customFormat="1" ht="14.25" hidden="1" customHeight="1" outlineLevel="1">
      <c r="B160" s="119" t="s">
        <v>272</v>
      </c>
      <c r="C160" s="266" t="s">
        <v>572</v>
      </c>
      <c r="D160" s="124" t="s">
        <v>573</v>
      </c>
      <c r="E160" s="125"/>
      <c r="F160" s="118" t="s">
        <v>433</v>
      </c>
      <c r="G160" s="126" t="str">
        <f t="shared" si="13"/>
        <v>AR-T2V-7</v>
      </c>
      <c r="H160" s="253" t="s">
        <v>373</v>
      </c>
      <c r="I160" s="76">
        <v>1</v>
      </c>
      <c r="J160" s="299" t="s">
        <v>310</v>
      </c>
      <c r="K160" s="299"/>
      <c r="L160" s="288"/>
      <c r="Q160" s="288"/>
    </row>
    <row r="161" spans="2:21" s="95" customFormat="1" ht="14.25" hidden="1" customHeight="1" outlineLevel="1">
      <c r="B161" s="119" t="s">
        <v>272</v>
      </c>
      <c r="C161" s="266" t="s">
        <v>574</v>
      </c>
      <c r="D161" s="124" t="s">
        <v>575</v>
      </c>
      <c r="E161" s="125"/>
      <c r="F161" s="118" t="s">
        <v>433</v>
      </c>
      <c r="G161" s="126" t="str">
        <f t="shared" si="13"/>
        <v>AR-T2V-7</v>
      </c>
      <c r="H161" s="253" t="s">
        <v>373</v>
      </c>
      <c r="I161" s="76">
        <v>1</v>
      </c>
      <c r="J161" s="299" t="s">
        <v>310</v>
      </c>
      <c r="K161" s="299"/>
      <c r="L161" s="288"/>
      <c r="Q161" s="288"/>
    </row>
    <row r="162" spans="2:21" s="95" customFormat="1" ht="14.25" hidden="1" customHeight="1" outlineLevel="1">
      <c r="B162" s="119" t="s">
        <v>272</v>
      </c>
      <c r="C162" s="266" t="s">
        <v>576</v>
      </c>
      <c r="D162" s="124" t="s">
        <v>577</v>
      </c>
      <c r="E162" s="125"/>
      <c r="F162" s="118" t="s">
        <v>433</v>
      </c>
      <c r="G162" s="126" t="str">
        <f t="shared" si="13"/>
        <v>AR-T2V-7</v>
      </c>
      <c r="H162" s="253" t="s">
        <v>373</v>
      </c>
      <c r="I162" s="76">
        <v>1</v>
      </c>
      <c r="J162" s="299" t="s">
        <v>286</v>
      </c>
      <c r="K162" s="299"/>
      <c r="L162" s="288"/>
      <c r="Q162" s="288"/>
    </row>
    <row r="163" spans="2:21" s="95" customFormat="1" ht="14.25" hidden="1" customHeight="1" outlineLevel="1">
      <c r="B163" s="119" t="s">
        <v>272</v>
      </c>
      <c r="C163" s="266" t="s">
        <v>578</v>
      </c>
      <c r="D163" s="124" t="s">
        <v>579</v>
      </c>
      <c r="E163" s="125"/>
      <c r="F163" s="118" t="s">
        <v>433</v>
      </c>
      <c r="G163" s="126" t="str">
        <f t="shared" si="13"/>
        <v>AR-T2V-7</v>
      </c>
      <c r="H163" s="253" t="s">
        <v>373</v>
      </c>
      <c r="I163" s="76">
        <v>1</v>
      </c>
      <c r="J163" s="299" t="s">
        <v>286</v>
      </c>
      <c r="K163" s="299"/>
      <c r="L163" s="288"/>
      <c r="Q163" s="288"/>
    </row>
    <row r="164" spans="2:21" s="95" customFormat="1" ht="15" hidden="1" customHeight="1" outlineLevel="1">
      <c r="B164" s="119" t="s">
        <v>272</v>
      </c>
      <c r="C164" s="266" t="s">
        <v>580</v>
      </c>
      <c r="D164" s="124" t="s">
        <v>581</v>
      </c>
      <c r="E164" s="125"/>
      <c r="F164" s="118" t="s">
        <v>433</v>
      </c>
      <c r="G164" s="126" t="str">
        <f>CONCATENATE("AR-",F164,"-",H164)</f>
        <v>AR-T2V-7</v>
      </c>
      <c r="H164" s="253" t="s">
        <v>373</v>
      </c>
      <c r="I164" s="76">
        <v>1</v>
      </c>
      <c r="J164" s="299" t="s">
        <v>286</v>
      </c>
      <c r="K164" s="299"/>
      <c r="L164" s="94"/>
      <c r="M164" s="76"/>
      <c r="N164" s="76"/>
      <c r="O164" s="76"/>
      <c r="P164" s="76"/>
      <c r="Q164" s="94"/>
      <c r="R164" s="76"/>
      <c r="S164" s="76"/>
      <c r="T164" s="76"/>
      <c r="U164" s="76"/>
    </row>
    <row r="165" spans="2:21" s="95" customFormat="1" ht="15" hidden="1" customHeight="1" outlineLevel="1">
      <c r="B165" s="119" t="s">
        <v>272</v>
      </c>
      <c r="C165" s="266" t="s">
        <v>582</v>
      </c>
      <c r="D165" s="124" t="s">
        <v>583</v>
      </c>
      <c r="E165" s="125"/>
      <c r="F165" s="118" t="s">
        <v>433</v>
      </c>
      <c r="G165" s="126" t="str">
        <f>CONCATENATE("AR-",F165,"-",H165)</f>
        <v>AR-T2V-7</v>
      </c>
      <c r="H165" s="253" t="s">
        <v>373</v>
      </c>
      <c r="I165" s="76">
        <v>1</v>
      </c>
      <c r="J165" s="299" t="s">
        <v>286</v>
      </c>
      <c r="K165" s="299"/>
      <c r="L165" s="94"/>
      <c r="M165" s="76"/>
      <c r="N165" s="76"/>
      <c r="O165" s="76"/>
      <c r="P165" s="76"/>
      <c r="Q165" s="94"/>
      <c r="R165" s="76"/>
      <c r="S165" s="76"/>
      <c r="T165" s="76"/>
      <c r="U165" s="76"/>
    </row>
    <row r="166" spans="2:21" s="95" customFormat="1" ht="15" hidden="1" customHeight="1" outlineLevel="1">
      <c r="B166" s="119" t="s">
        <v>272</v>
      </c>
      <c r="C166" s="266" t="s">
        <v>584</v>
      </c>
      <c r="D166" s="124" t="s">
        <v>585</v>
      </c>
      <c r="E166" s="125"/>
      <c r="F166" s="118" t="s">
        <v>433</v>
      </c>
      <c r="G166" s="126" t="str">
        <f t="shared" si="10"/>
        <v>AR-T2V-7</v>
      </c>
      <c r="H166" s="253" t="s">
        <v>373</v>
      </c>
      <c r="I166" s="76">
        <v>1</v>
      </c>
      <c r="J166" s="299" t="s">
        <v>286</v>
      </c>
      <c r="K166" s="299"/>
      <c r="L166" s="84"/>
      <c r="M166" s="76"/>
      <c r="N166" s="76"/>
      <c r="O166" s="76"/>
      <c r="P166" s="76"/>
      <c r="Q166" s="94"/>
      <c r="R166" s="76"/>
    </row>
    <row r="167" spans="2:21" s="95" customFormat="1" ht="14.25" hidden="1" customHeight="1" outlineLevel="1">
      <c r="B167" s="119" t="s">
        <v>272</v>
      </c>
      <c r="C167" s="266" t="s">
        <v>586</v>
      </c>
      <c r="D167" s="124" t="s">
        <v>587</v>
      </c>
      <c r="E167" s="125"/>
      <c r="F167" s="118" t="s">
        <v>433</v>
      </c>
      <c r="G167" s="126" t="str">
        <f t="shared" ref="G167:G173" si="15">CONCATENATE("AR-",F167,"-",H167)</f>
        <v>AR-T2V-7</v>
      </c>
      <c r="H167" s="253" t="s">
        <v>373</v>
      </c>
      <c r="I167" s="76">
        <v>1</v>
      </c>
      <c r="J167" s="299" t="s">
        <v>286</v>
      </c>
      <c r="K167" s="299"/>
      <c r="L167" s="94"/>
      <c r="M167" s="76"/>
      <c r="N167" s="76"/>
      <c r="O167" s="76"/>
      <c r="P167" s="76"/>
      <c r="Q167" s="94"/>
      <c r="R167" s="76"/>
    </row>
    <row r="168" spans="2:21" s="95" customFormat="1" ht="14.25" hidden="1" customHeight="1" outlineLevel="1">
      <c r="B168" s="119" t="s">
        <v>272</v>
      </c>
      <c r="C168" s="266" t="s">
        <v>588</v>
      </c>
      <c r="D168" s="124" t="s">
        <v>589</v>
      </c>
      <c r="E168" s="125"/>
      <c r="F168" s="118" t="s">
        <v>433</v>
      </c>
      <c r="G168" s="126" t="str">
        <f t="shared" si="15"/>
        <v>AR-T2V-7</v>
      </c>
      <c r="H168" s="253" t="s">
        <v>373</v>
      </c>
      <c r="I168" s="76">
        <v>1</v>
      </c>
      <c r="J168" s="299" t="s">
        <v>286</v>
      </c>
      <c r="K168" s="299"/>
      <c r="L168" s="94"/>
      <c r="M168" s="76"/>
      <c r="N168" s="76"/>
      <c r="O168" s="76"/>
      <c r="P168" s="76"/>
      <c r="Q168" s="94"/>
      <c r="R168" s="76"/>
    </row>
    <row r="169" spans="2:21" s="95" customFormat="1" ht="14.25" hidden="1" customHeight="1" outlineLevel="1">
      <c r="B169" s="119" t="s">
        <v>272</v>
      </c>
      <c r="C169" s="266" t="s">
        <v>590</v>
      </c>
      <c r="D169" s="124" t="s">
        <v>517</v>
      </c>
      <c r="E169" s="125"/>
      <c r="F169" s="118" t="s">
        <v>433</v>
      </c>
      <c r="G169" s="126" t="str">
        <f t="shared" si="15"/>
        <v>AR-T2V-7</v>
      </c>
      <c r="H169" s="253" t="s">
        <v>373</v>
      </c>
      <c r="I169" s="76">
        <v>1</v>
      </c>
      <c r="J169" s="299" t="s">
        <v>286</v>
      </c>
      <c r="K169" s="299"/>
      <c r="L169" s="288"/>
      <c r="Q169" s="288"/>
    </row>
    <row r="170" spans="2:21" s="95" customFormat="1" ht="14.25" hidden="1" customHeight="1" outlineLevel="1">
      <c r="B170" s="119" t="s">
        <v>272</v>
      </c>
      <c r="C170" s="266" t="s">
        <v>591</v>
      </c>
      <c r="D170" s="124" t="s">
        <v>517</v>
      </c>
      <c r="E170" s="125"/>
      <c r="F170" s="118" t="s">
        <v>433</v>
      </c>
      <c r="G170" s="126" t="str">
        <f t="shared" si="15"/>
        <v>AR-T2V-7</v>
      </c>
      <c r="H170" s="253" t="s">
        <v>373</v>
      </c>
      <c r="I170" s="76">
        <v>1</v>
      </c>
      <c r="J170" s="299" t="s">
        <v>286</v>
      </c>
      <c r="K170" s="299"/>
      <c r="L170" s="288"/>
      <c r="Q170" s="288"/>
    </row>
    <row r="171" spans="2:21" s="95" customFormat="1" ht="14.25" hidden="1" customHeight="1" outlineLevel="1">
      <c r="B171" s="119" t="s">
        <v>272</v>
      </c>
      <c r="C171" s="266" t="s">
        <v>592</v>
      </c>
      <c r="D171" s="124" t="s">
        <v>593</v>
      </c>
      <c r="E171" s="125"/>
      <c r="F171" s="118" t="s">
        <v>433</v>
      </c>
      <c r="G171" s="126" t="str">
        <f t="shared" si="15"/>
        <v>AR-T2V-7</v>
      </c>
      <c r="H171" s="253" t="s">
        <v>373</v>
      </c>
      <c r="I171" s="76">
        <v>1</v>
      </c>
      <c r="J171" s="299" t="s">
        <v>286</v>
      </c>
      <c r="K171" s="299"/>
      <c r="L171" s="288"/>
      <c r="Q171" s="288"/>
    </row>
    <row r="172" spans="2:21" s="95" customFormat="1" ht="15" hidden="1" customHeight="1" outlineLevel="1">
      <c r="B172" s="119" t="s">
        <v>272</v>
      </c>
      <c r="C172" s="266" t="s">
        <v>594</v>
      </c>
      <c r="D172" s="124" t="s">
        <v>593</v>
      </c>
      <c r="E172" s="125"/>
      <c r="F172" s="118" t="s">
        <v>433</v>
      </c>
      <c r="G172" s="126" t="str">
        <f t="shared" si="15"/>
        <v>AR-T2V-7</v>
      </c>
      <c r="H172" s="253" t="s">
        <v>373</v>
      </c>
      <c r="I172" s="76">
        <v>1</v>
      </c>
      <c r="J172" s="299" t="s">
        <v>286</v>
      </c>
      <c r="K172" s="299"/>
      <c r="L172" s="288"/>
      <c r="Q172" s="288"/>
    </row>
    <row r="173" spans="2:21" s="95" customFormat="1" ht="15" hidden="1" customHeight="1" outlineLevel="1">
      <c r="B173" s="119" t="s">
        <v>272</v>
      </c>
      <c r="C173" s="266" t="s">
        <v>595</v>
      </c>
      <c r="D173" s="124" t="s">
        <v>593</v>
      </c>
      <c r="E173" s="125"/>
      <c r="F173" s="118" t="s">
        <v>433</v>
      </c>
      <c r="G173" s="126" t="str">
        <f t="shared" si="15"/>
        <v>AR-T2V-7</v>
      </c>
      <c r="H173" s="253" t="s">
        <v>373</v>
      </c>
      <c r="I173" s="76">
        <v>1</v>
      </c>
      <c r="J173" s="299" t="s">
        <v>286</v>
      </c>
      <c r="K173" s="299"/>
      <c r="L173" s="288"/>
      <c r="Q173" s="288"/>
    </row>
    <row r="174" spans="2:21" s="95" customFormat="1" ht="14.25" hidden="1" customHeight="1" outlineLevel="1">
      <c r="B174" s="119" t="s">
        <v>272</v>
      </c>
      <c r="C174" s="266" t="s">
        <v>596</v>
      </c>
      <c r="D174" s="124" t="s">
        <v>597</v>
      </c>
      <c r="E174" s="125"/>
      <c r="F174" s="118" t="s">
        <v>433</v>
      </c>
      <c r="G174" s="126" t="str">
        <f t="shared" ref="G174:G178" si="16">CONCATENATE("AR-",F174,"-",H174)</f>
        <v>AR-T2V-8</v>
      </c>
      <c r="H174" s="253" t="s">
        <v>410</v>
      </c>
      <c r="I174" s="76">
        <v>1</v>
      </c>
      <c r="J174" s="299" t="s">
        <v>286</v>
      </c>
      <c r="K174" s="299"/>
      <c r="L174" s="288"/>
      <c r="Q174" s="288"/>
    </row>
    <row r="175" spans="2:21" s="95" customFormat="1" ht="14.25" hidden="1" customHeight="1" outlineLevel="1">
      <c r="B175" s="119" t="s">
        <v>272</v>
      </c>
      <c r="C175" s="266" t="s">
        <v>598</v>
      </c>
      <c r="D175" s="124" t="s">
        <v>599</v>
      </c>
      <c r="E175" s="125"/>
      <c r="F175" s="118" t="s">
        <v>433</v>
      </c>
      <c r="G175" s="126" t="str">
        <f t="shared" si="16"/>
        <v>AR-T2V-8</v>
      </c>
      <c r="H175" s="253" t="s">
        <v>410</v>
      </c>
      <c r="I175" s="76">
        <v>1</v>
      </c>
      <c r="J175" s="299" t="s">
        <v>286</v>
      </c>
      <c r="K175" s="299"/>
      <c r="L175" s="288"/>
      <c r="Q175" s="288"/>
    </row>
    <row r="176" spans="2:21" s="95" customFormat="1" ht="14.25" hidden="1" customHeight="1" outlineLevel="1">
      <c r="B176" s="119" t="s">
        <v>272</v>
      </c>
      <c r="C176" s="266" t="s">
        <v>600</v>
      </c>
      <c r="D176" s="124" t="s">
        <v>601</v>
      </c>
      <c r="E176" s="125"/>
      <c r="F176" s="118" t="s">
        <v>433</v>
      </c>
      <c r="G176" s="126" t="str">
        <f t="shared" si="16"/>
        <v>AR-T2V-9</v>
      </c>
      <c r="H176" s="253">
        <v>9</v>
      </c>
      <c r="I176" s="76">
        <v>1</v>
      </c>
      <c r="J176" s="299" t="s">
        <v>310</v>
      </c>
      <c r="K176" s="299"/>
      <c r="L176" s="288"/>
      <c r="Q176" s="288"/>
    </row>
    <row r="177" spans="1:21" s="95" customFormat="1" ht="14.25" hidden="1" customHeight="1" outlineLevel="1">
      <c r="B177" s="119" t="s">
        <v>272</v>
      </c>
      <c r="C177" s="266" t="s">
        <v>602</v>
      </c>
      <c r="D177" s="124" t="s">
        <v>427</v>
      </c>
      <c r="E177" s="125"/>
      <c r="F177" s="118" t="s">
        <v>433</v>
      </c>
      <c r="G177" s="126" t="str">
        <f t="shared" si="16"/>
        <v>AR-T2V-9</v>
      </c>
      <c r="H177" s="253" t="s">
        <v>421</v>
      </c>
      <c r="I177" s="76">
        <v>1</v>
      </c>
      <c r="J177" s="299" t="s">
        <v>286</v>
      </c>
      <c r="K177" s="299"/>
      <c r="L177" s="288"/>
      <c r="Q177" s="288"/>
    </row>
    <row r="178" spans="1:21" s="95" customFormat="1" ht="14.25" hidden="1" customHeight="1" outlineLevel="1">
      <c r="B178" s="119" t="s">
        <v>272</v>
      </c>
      <c r="C178" s="266" t="s">
        <v>603</v>
      </c>
      <c r="D178" s="124" t="s">
        <v>429</v>
      </c>
      <c r="E178" s="125"/>
      <c r="F178" s="118" t="s">
        <v>433</v>
      </c>
      <c r="G178" s="126" t="str">
        <f t="shared" si="16"/>
        <v>AR-T2V-9</v>
      </c>
      <c r="H178" s="253" t="s">
        <v>421</v>
      </c>
      <c r="I178" s="76">
        <v>1</v>
      </c>
      <c r="J178" s="299" t="s">
        <v>286</v>
      </c>
      <c r="K178" s="299"/>
      <c r="L178" s="288"/>
      <c r="Q178" s="288"/>
    </row>
    <row r="179" spans="1:21" s="95" customFormat="1" ht="15" hidden="1" customHeight="1" outlineLevel="1">
      <c r="B179" s="119" t="s">
        <v>272</v>
      </c>
      <c r="C179" s="266" t="s">
        <v>604</v>
      </c>
      <c r="D179" s="124" t="s">
        <v>605</v>
      </c>
      <c r="E179" s="125"/>
      <c r="F179" s="118" t="s">
        <v>433</v>
      </c>
      <c r="G179" s="126" t="str">
        <f t="shared" ref="G179:G188" si="17">CONCATENATE("AR-",F179,"-",H179)</f>
        <v>AR-T2V-10</v>
      </c>
      <c r="H179" s="253" t="s">
        <v>423</v>
      </c>
      <c r="I179" s="76">
        <v>1</v>
      </c>
      <c r="J179" s="299" t="s">
        <v>286</v>
      </c>
      <c r="K179" s="299"/>
      <c r="L179" s="288"/>
      <c r="Q179" s="288"/>
    </row>
    <row r="180" spans="1:21" s="95" customFormat="1" ht="15" hidden="1" customHeight="1" outlineLevel="1">
      <c r="B180" s="119" t="s">
        <v>272</v>
      </c>
      <c r="C180" s="266" t="s">
        <v>606</v>
      </c>
      <c r="D180" s="124" t="s">
        <v>607</v>
      </c>
      <c r="E180" s="125"/>
      <c r="F180" s="118" t="s">
        <v>433</v>
      </c>
      <c r="G180" s="126" t="str">
        <f t="shared" si="17"/>
        <v>AR-T2V-10</v>
      </c>
      <c r="H180" s="253" t="s">
        <v>423</v>
      </c>
      <c r="I180" s="76">
        <v>1</v>
      </c>
      <c r="J180" s="299" t="s">
        <v>286</v>
      </c>
      <c r="K180" s="299"/>
      <c r="L180" s="288"/>
      <c r="Q180" s="288"/>
    </row>
    <row r="181" spans="1:21" s="95" customFormat="1" ht="15" hidden="1" customHeight="1" outlineLevel="1">
      <c r="B181" s="119" t="s">
        <v>272</v>
      </c>
      <c r="C181" s="266" t="s">
        <v>608</v>
      </c>
      <c r="D181" s="124" t="s">
        <v>422</v>
      </c>
      <c r="E181" s="125"/>
      <c r="F181" s="118" t="s">
        <v>433</v>
      </c>
      <c r="G181" s="126" t="str">
        <f t="shared" si="17"/>
        <v>AR-T2V-10</v>
      </c>
      <c r="H181" s="253" t="s">
        <v>423</v>
      </c>
      <c r="I181" s="76">
        <v>1</v>
      </c>
      <c r="J181" s="299" t="s">
        <v>307</v>
      </c>
      <c r="K181" s="299"/>
      <c r="L181" s="288"/>
      <c r="Q181" s="288"/>
    </row>
    <row r="182" spans="1:21" s="95" customFormat="1" ht="15" hidden="1" customHeight="1" outlineLevel="1">
      <c r="B182" s="119" t="s">
        <v>272</v>
      </c>
      <c r="C182" s="266" t="s">
        <v>609</v>
      </c>
      <c r="D182" s="124" t="s">
        <v>610</v>
      </c>
      <c r="E182" s="125"/>
      <c r="F182" s="118" t="s">
        <v>433</v>
      </c>
      <c r="G182" s="126" t="str">
        <f t="shared" si="17"/>
        <v>AR-T2V-10</v>
      </c>
      <c r="H182" s="253" t="s">
        <v>423</v>
      </c>
      <c r="I182" s="76">
        <v>1</v>
      </c>
      <c r="J182" s="299" t="s">
        <v>286</v>
      </c>
      <c r="K182" s="299"/>
      <c r="L182" s="288"/>
      <c r="Q182" s="288"/>
    </row>
    <row r="183" spans="1:21" s="95" customFormat="1" ht="15" hidden="1" customHeight="1" outlineLevel="1">
      <c r="B183" s="119" t="s">
        <v>272</v>
      </c>
      <c r="C183" s="266" t="s">
        <v>611</v>
      </c>
      <c r="D183" s="124" t="s">
        <v>612</v>
      </c>
      <c r="E183" s="125"/>
      <c r="F183" s="118" t="s">
        <v>433</v>
      </c>
      <c r="G183" s="126" t="str">
        <f t="shared" si="17"/>
        <v>AR-T2V-10</v>
      </c>
      <c r="H183" s="253" t="s">
        <v>423</v>
      </c>
      <c r="I183" s="76">
        <v>1</v>
      </c>
      <c r="J183" s="299" t="s">
        <v>286</v>
      </c>
      <c r="K183" s="299"/>
      <c r="L183" s="288"/>
      <c r="Q183" s="288"/>
    </row>
    <row r="184" spans="1:21" s="95" customFormat="1" ht="15" hidden="1" customHeight="1" outlineLevel="1">
      <c r="B184" s="119" t="s">
        <v>272</v>
      </c>
      <c r="C184" s="266" t="s">
        <v>613</v>
      </c>
      <c r="D184" s="124" t="s">
        <v>614</v>
      </c>
      <c r="E184" s="125"/>
      <c r="F184" s="118" t="s">
        <v>433</v>
      </c>
      <c r="G184" s="126" t="str">
        <f t="shared" si="17"/>
        <v>AR-T2V-10</v>
      </c>
      <c r="H184" s="253" t="s">
        <v>423</v>
      </c>
      <c r="I184" s="76">
        <v>1</v>
      </c>
      <c r="J184" s="299" t="s">
        <v>286</v>
      </c>
      <c r="K184" s="299"/>
      <c r="L184" s="288"/>
      <c r="Q184" s="288"/>
    </row>
    <row r="185" spans="1:21" s="95" customFormat="1" ht="15" hidden="1" customHeight="1" outlineLevel="1">
      <c r="B185" s="119" t="s">
        <v>272</v>
      </c>
      <c r="C185" s="266" t="s">
        <v>602</v>
      </c>
      <c r="D185" s="124" t="s">
        <v>427</v>
      </c>
      <c r="E185" s="125"/>
      <c r="F185" s="118" t="s">
        <v>433</v>
      </c>
      <c r="G185" s="126" t="str">
        <f t="shared" si="17"/>
        <v>AR-T2V-10</v>
      </c>
      <c r="H185" s="253" t="s">
        <v>423</v>
      </c>
      <c r="I185" s="76">
        <v>1</v>
      </c>
      <c r="J185" s="299" t="s">
        <v>286</v>
      </c>
      <c r="K185" s="299"/>
      <c r="L185" s="288"/>
      <c r="Q185" s="288"/>
    </row>
    <row r="186" spans="1:21" s="95" customFormat="1" ht="15" hidden="1" customHeight="1" outlineLevel="1">
      <c r="B186" s="119" t="s">
        <v>272</v>
      </c>
      <c r="C186" s="266" t="s">
        <v>603</v>
      </c>
      <c r="D186" s="124" t="s">
        <v>429</v>
      </c>
      <c r="E186" s="125"/>
      <c r="F186" s="118" t="s">
        <v>433</v>
      </c>
      <c r="G186" s="126" t="str">
        <f t="shared" si="17"/>
        <v>AR-T2V-10</v>
      </c>
      <c r="H186" s="253" t="s">
        <v>423</v>
      </c>
      <c r="I186" s="76">
        <v>1</v>
      </c>
      <c r="J186" s="299" t="s">
        <v>286</v>
      </c>
      <c r="K186" s="299"/>
      <c r="L186" s="288"/>
      <c r="Q186" s="288"/>
    </row>
    <row r="187" spans="1:21" s="95" customFormat="1" ht="15" hidden="1" customHeight="1" outlineLevel="1">
      <c r="B187" s="119" t="s">
        <v>272</v>
      </c>
      <c r="C187" s="266" t="s">
        <v>615</v>
      </c>
      <c r="D187" s="124" t="s">
        <v>616</v>
      </c>
      <c r="E187" s="125"/>
      <c r="F187" s="118" t="s">
        <v>433</v>
      </c>
      <c r="G187" s="126" t="str">
        <f t="shared" si="17"/>
        <v>AR-T2V-10</v>
      </c>
      <c r="H187" s="253" t="s">
        <v>423</v>
      </c>
      <c r="I187" s="76">
        <v>1</v>
      </c>
      <c r="J187" s="299" t="s">
        <v>286</v>
      </c>
      <c r="K187" s="299"/>
      <c r="L187" s="288"/>
      <c r="Q187" s="288"/>
    </row>
    <row r="188" spans="1:21" s="95" customFormat="1" ht="15" hidden="1" customHeight="1" outlineLevel="1">
      <c r="B188" s="119" t="s">
        <v>272</v>
      </c>
      <c r="C188" s="266" t="s">
        <v>617</v>
      </c>
      <c r="D188" s="124" t="s">
        <v>618</v>
      </c>
      <c r="E188" s="125"/>
      <c r="F188" s="118" t="s">
        <v>433</v>
      </c>
      <c r="G188" s="126" t="str">
        <f t="shared" si="17"/>
        <v>AR-T2V-10</v>
      </c>
      <c r="H188" s="253" t="s">
        <v>423</v>
      </c>
      <c r="I188" s="76">
        <v>1</v>
      </c>
      <c r="J188" s="299" t="s">
        <v>286</v>
      </c>
      <c r="K188" s="299"/>
      <c r="L188" s="288"/>
      <c r="Q188" s="288"/>
    </row>
    <row r="189" spans="1:21" s="95" customFormat="1" ht="3" hidden="1" customHeight="1">
      <c r="B189" s="119"/>
      <c r="C189" s="266"/>
      <c r="D189" s="124"/>
      <c r="E189" s="125"/>
      <c r="F189" s="118"/>
      <c r="G189" s="126"/>
      <c r="H189" s="253"/>
      <c r="I189" s="76"/>
      <c r="J189" s="303"/>
      <c r="K189" s="303"/>
      <c r="L189" s="94"/>
      <c r="M189" s="76"/>
      <c r="N189" s="76"/>
      <c r="O189" s="76"/>
      <c r="P189" s="76"/>
      <c r="Q189" s="94"/>
      <c r="R189" s="76"/>
      <c r="S189" s="76"/>
      <c r="T189" s="76"/>
      <c r="U189" s="76"/>
    </row>
    <row r="190" spans="1:21" s="83" customFormat="1" ht="13.5" hidden="1" collapsed="1">
      <c r="A190" s="72" t="s">
        <v>619</v>
      </c>
      <c r="B190" s="85"/>
      <c r="C190" s="269"/>
      <c r="D190" s="85" t="s">
        <v>299</v>
      </c>
      <c r="E190" s="390"/>
      <c r="F190" s="73"/>
      <c r="G190" s="73"/>
      <c r="H190" s="74"/>
      <c r="I190" s="76"/>
      <c r="J190" s="299"/>
      <c r="K190" s="299"/>
      <c r="L190" s="75"/>
      <c r="M190" s="75"/>
      <c r="N190" s="75"/>
      <c r="O190" s="75"/>
      <c r="P190" s="75"/>
      <c r="Q190" s="75"/>
      <c r="R190" s="75"/>
      <c r="S190" s="75"/>
      <c r="T190" s="75"/>
      <c r="U190" s="75"/>
    </row>
    <row r="191" spans="1:21" s="83" customFormat="1" ht="3" hidden="1" customHeight="1" outlineLevel="1">
      <c r="A191" s="256"/>
      <c r="B191" s="119"/>
      <c r="C191" s="266"/>
      <c r="D191" s="124" t="s">
        <v>299</v>
      </c>
      <c r="E191" s="125"/>
      <c r="F191" s="118"/>
      <c r="G191" s="126"/>
      <c r="H191" s="253"/>
      <c r="I191" s="76"/>
      <c r="J191" s="299"/>
      <c r="K191" s="299"/>
      <c r="L191" s="84"/>
      <c r="M191" s="76"/>
      <c r="N191" s="76"/>
      <c r="O191" s="76"/>
      <c r="P191" s="76"/>
      <c r="Q191" s="84"/>
      <c r="R191" s="76"/>
      <c r="S191" s="76"/>
      <c r="T191" s="76"/>
      <c r="U191" s="76"/>
    </row>
    <row r="192" spans="1:21" s="98" customFormat="1" ht="14.25" hidden="1" customHeight="1" outlineLevel="1">
      <c r="A192" s="99"/>
      <c r="B192" s="119" t="s">
        <v>272</v>
      </c>
      <c r="C192" s="266" t="s">
        <v>620</v>
      </c>
      <c r="D192" s="124" t="s">
        <v>621</v>
      </c>
      <c r="E192" s="125"/>
      <c r="F192" s="118" t="s">
        <v>622</v>
      </c>
      <c r="G192" s="126" t="str">
        <f>CONCATENATE("AR-",F192,"-",H192)</f>
        <v>AR-T2S-1</v>
      </c>
      <c r="H192" s="253" t="s">
        <v>304</v>
      </c>
      <c r="I192" s="76">
        <v>1</v>
      </c>
      <c r="J192" s="299" t="s">
        <v>286</v>
      </c>
      <c r="K192" s="299"/>
      <c r="L192" s="90"/>
      <c r="M192" s="76"/>
      <c r="N192" s="76"/>
      <c r="O192" s="76"/>
      <c r="P192" s="76"/>
      <c r="Q192" s="90"/>
      <c r="R192" s="76"/>
      <c r="S192" s="76"/>
      <c r="T192" s="76"/>
      <c r="U192" s="76"/>
    </row>
    <row r="193" spans="1:21" s="98" customFormat="1" ht="14.25" hidden="1" customHeight="1" outlineLevel="1">
      <c r="A193" s="99"/>
      <c r="B193" s="119" t="s">
        <v>272</v>
      </c>
      <c r="C193" s="266" t="s">
        <v>623</v>
      </c>
      <c r="D193" s="124" t="s">
        <v>624</v>
      </c>
      <c r="E193" s="125"/>
      <c r="F193" s="118" t="s">
        <v>622</v>
      </c>
      <c r="G193" s="126" t="str">
        <f>CONCATENATE("AR-",F193,"-",H193)</f>
        <v>AR-T2S-1</v>
      </c>
      <c r="H193" s="253" t="s">
        <v>304</v>
      </c>
      <c r="I193" s="76">
        <v>1</v>
      </c>
      <c r="J193" s="299" t="s">
        <v>286</v>
      </c>
      <c r="K193" s="299"/>
      <c r="L193" s="90"/>
      <c r="M193" s="76"/>
      <c r="N193" s="76"/>
      <c r="O193" s="76"/>
      <c r="P193" s="76"/>
      <c r="Q193" s="90"/>
      <c r="R193" s="76"/>
      <c r="S193" s="76"/>
      <c r="T193" s="76"/>
      <c r="U193" s="76"/>
    </row>
    <row r="194" spans="1:21" s="95" customFormat="1" ht="14.25" hidden="1" customHeight="1" outlineLevel="1">
      <c r="B194" s="119" t="s">
        <v>272</v>
      </c>
      <c r="C194" s="266" t="s">
        <v>625</v>
      </c>
      <c r="D194" s="124" t="s">
        <v>626</v>
      </c>
      <c r="E194" s="125"/>
      <c r="F194" s="118" t="s">
        <v>622</v>
      </c>
      <c r="G194" s="126" t="str">
        <f t="shared" ref="G194:G203" si="18">CONCATENATE("AR-",F194,"-",H194)</f>
        <v>AR-T2S-1</v>
      </c>
      <c r="H194" s="253" t="s">
        <v>304</v>
      </c>
      <c r="I194" s="76">
        <v>1</v>
      </c>
      <c r="J194" s="299" t="s">
        <v>310</v>
      </c>
      <c r="K194" s="299"/>
      <c r="L194" s="94"/>
      <c r="M194" s="76"/>
      <c r="N194" s="76"/>
      <c r="O194" s="76"/>
      <c r="P194" s="76"/>
      <c r="Q194" s="94"/>
      <c r="R194" s="76"/>
      <c r="S194" s="76"/>
      <c r="T194" s="76"/>
      <c r="U194" s="76"/>
    </row>
    <row r="195" spans="1:21" s="95" customFormat="1" ht="14.25" hidden="1" customHeight="1" outlineLevel="1">
      <c r="B195" s="119" t="s">
        <v>272</v>
      </c>
      <c r="C195" s="266" t="s">
        <v>627</v>
      </c>
      <c r="D195" s="124" t="s">
        <v>628</v>
      </c>
      <c r="E195" s="125"/>
      <c r="F195" s="118" t="s">
        <v>622</v>
      </c>
      <c r="G195" s="126" t="str">
        <f t="shared" si="18"/>
        <v>AR-T2S-1</v>
      </c>
      <c r="H195" s="253" t="s">
        <v>304</v>
      </c>
      <c r="I195" s="76">
        <v>1</v>
      </c>
      <c r="J195" s="299" t="s">
        <v>310</v>
      </c>
      <c r="K195" s="299"/>
      <c r="L195" s="94"/>
      <c r="M195" s="76"/>
      <c r="N195" s="76"/>
      <c r="O195" s="76"/>
      <c r="P195" s="76"/>
      <c r="Q195" s="94"/>
      <c r="R195" s="76"/>
      <c r="S195" s="76"/>
      <c r="T195" s="76"/>
      <c r="U195" s="76"/>
    </row>
    <row r="196" spans="1:21" s="95" customFormat="1" ht="14.25" hidden="1" customHeight="1" outlineLevel="1">
      <c r="B196" s="119" t="s">
        <v>272</v>
      </c>
      <c r="C196" s="266" t="s">
        <v>629</v>
      </c>
      <c r="D196" s="124" t="s">
        <v>630</v>
      </c>
      <c r="E196" s="125"/>
      <c r="F196" s="118" t="s">
        <v>622</v>
      </c>
      <c r="G196" s="126" t="str">
        <f t="shared" si="18"/>
        <v>AR-T2S-1</v>
      </c>
      <c r="H196" s="253" t="s">
        <v>304</v>
      </c>
      <c r="I196" s="76">
        <v>1</v>
      </c>
      <c r="J196" s="299" t="s">
        <v>310</v>
      </c>
      <c r="K196" s="299"/>
      <c r="L196" s="94"/>
      <c r="M196" s="76"/>
      <c r="N196" s="76"/>
      <c r="O196" s="76"/>
      <c r="P196" s="76"/>
      <c r="Q196" s="94"/>
      <c r="R196" s="76"/>
      <c r="S196" s="76"/>
      <c r="T196" s="76"/>
      <c r="U196" s="76"/>
    </row>
    <row r="197" spans="1:21" s="95" customFormat="1" ht="14.25" hidden="1" customHeight="1" outlineLevel="1">
      <c r="B197" s="119" t="s">
        <v>272</v>
      </c>
      <c r="C197" s="266" t="s">
        <v>631</v>
      </c>
      <c r="D197" s="124" t="s">
        <v>632</v>
      </c>
      <c r="E197" s="125"/>
      <c r="F197" s="118" t="s">
        <v>622</v>
      </c>
      <c r="G197" s="126" t="str">
        <f t="shared" si="18"/>
        <v>AR-T2S-1</v>
      </c>
      <c r="H197" s="253" t="s">
        <v>304</v>
      </c>
      <c r="I197" s="76">
        <v>1</v>
      </c>
      <c r="J197" s="299" t="s">
        <v>310</v>
      </c>
      <c r="K197" s="299"/>
      <c r="L197" s="94"/>
      <c r="M197" s="76"/>
      <c r="N197" s="76"/>
      <c r="O197" s="76"/>
      <c r="P197" s="76"/>
      <c r="Q197" s="94"/>
      <c r="R197" s="76"/>
      <c r="S197" s="76"/>
      <c r="T197" s="76"/>
      <c r="U197" s="76"/>
    </row>
    <row r="198" spans="1:21" s="95" customFormat="1" ht="14.25" hidden="1" customHeight="1" outlineLevel="1">
      <c r="B198" s="119" t="s">
        <v>272</v>
      </c>
      <c r="C198" s="266" t="s">
        <v>633</v>
      </c>
      <c r="D198" s="124" t="s">
        <v>634</v>
      </c>
      <c r="E198" s="125"/>
      <c r="F198" s="118" t="s">
        <v>622</v>
      </c>
      <c r="G198" s="126" t="str">
        <f t="shared" si="18"/>
        <v>AR-T2S-1</v>
      </c>
      <c r="H198" s="253" t="s">
        <v>304</v>
      </c>
      <c r="I198" s="76">
        <v>1</v>
      </c>
      <c r="J198" s="299" t="s">
        <v>310</v>
      </c>
      <c r="K198" s="299"/>
      <c r="L198" s="288"/>
      <c r="Q198" s="288"/>
    </row>
    <row r="199" spans="1:21" s="95" customFormat="1" ht="14.25" hidden="1" customHeight="1" outlineLevel="1">
      <c r="B199" s="119" t="s">
        <v>272</v>
      </c>
      <c r="C199" s="266" t="s">
        <v>635</v>
      </c>
      <c r="D199" s="124" t="s">
        <v>636</v>
      </c>
      <c r="E199" s="125"/>
      <c r="F199" s="118" t="s">
        <v>622</v>
      </c>
      <c r="G199" s="126" t="str">
        <f t="shared" si="18"/>
        <v>AR-T2S-1</v>
      </c>
      <c r="H199" s="253" t="s">
        <v>304</v>
      </c>
      <c r="I199" s="76">
        <v>1</v>
      </c>
      <c r="J199" s="299" t="s">
        <v>310</v>
      </c>
      <c r="K199" s="299"/>
      <c r="L199" s="288"/>
      <c r="Q199" s="288"/>
    </row>
    <row r="200" spans="1:21" s="95" customFormat="1" ht="14.25" hidden="1" customHeight="1" outlineLevel="1">
      <c r="B200" s="119" t="s">
        <v>272</v>
      </c>
      <c r="C200" s="266" t="s">
        <v>637</v>
      </c>
      <c r="D200" s="124" t="s">
        <v>638</v>
      </c>
      <c r="E200" s="125"/>
      <c r="F200" s="118" t="s">
        <v>622</v>
      </c>
      <c r="G200" s="126" t="str">
        <f t="shared" si="18"/>
        <v>AR-T2S-1</v>
      </c>
      <c r="H200" s="253" t="s">
        <v>304</v>
      </c>
      <c r="I200" s="76">
        <v>1</v>
      </c>
      <c r="J200" s="299" t="s">
        <v>286</v>
      </c>
      <c r="K200" s="299"/>
      <c r="L200" s="288"/>
      <c r="Q200" s="288"/>
    </row>
    <row r="201" spans="1:21" s="95" customFormat="1" ht="14.25" hidden="1" customHeight="1" outlineLevel="1">
      <c r="B201" s="119" t="s">
        <v>272</v>
      </c>
      <c r="C201" s="266" t="s">
        <v>639</v>
      </c>
      <c r="D201" s="124" t="s">
        <v>640</v>
      </c>
      <c r="E201" s="125"/>
      <c r="F201" s="118" t="s">
        <v>622</v>
      </c>
      <c r="G201" s="126" t="str">
        <f t="shared" si="18"/>
        <v>AR-T2S-1</v>
      </c>
      <c r="H201" s="253" t="s">
        <v>304</v>
      </c>
      <c r="I201" s="76">
        <v>1</v>
      </c>
      <c r="J201" s="299" t="s">
        <v>310</v>
      </c>
      <c r="K201" s="299"/>
      <c r="L201" s="288"/>
      <c r="Q201" s="288"/>
    </row>
    <row r="202" spans="1:21" s="95" customFormat="1" ht="14.25" hidden="1" customHeight="1" outlineLevel="1">
      <c r="B202" s="119" t="s">
        <v>272</v>
      </c>
      <c r="C202" s="266" t="s">
        <v>641</v>
      </c>
      <c r="D202" s="124" t="s">
        <v>642</v>
      </c>
      <c r="E202" s="125"/>
      <c r="F202" s="118" t="s">
        <v>622</v>
      </c>
      <c r="G202" s="126" t="str">
        <f t="shared" si="18"/>
        <v>AR-T2S-1</v>
      </c>
      <c r="H202" s="253" t="s">
        <v>304</v>
      </c>
      <c r="I202" s="76">
        <v>1</v>
      </c>
      <c r="J202" s="299" t="s">
        <v>286</v>
      </c>
      <c r="K202" s="299"/>
      <c r="L202" s="288"/>
      <c r="Q202" s="288"/>
    </row>
    <row r="203" spans="1:21" s="95" customFormat="1" ht="14.25" hidden="1" customHeight="1" outlineLevel="1">
      <c r="B203" s="119" t="s">
        <v>272</v>
      </c>
      <c r="C203" s="266" t="s">
        <v>643</v>
      </c>
      <c r="D203" s="124" t="s">
        <v>644</v>
      </c>
      <c r="E203" s="125"/>
      <c r="F203" s="118" t="s">
        <v>622</v>
      </c>
      <c r="G203" s="126" t="str">
        <f t="shared" si="18"/>
        <v>AR-T2S-1</v>
      </c>
      <c r="H203" s="253" t="s">
        <v>304</v>
      </c>
      <c r="I203" s="76">
        <v>1</v>
      </c>
      <c r="J203" s="299" t="s">
        <v>286</v>
      </c>
      <c r="K203" s="299"/>
      <c r="L203" s="288"/>
      <c r="Q203" s="288"/>
    </row>
    <row r="204" spans="1:21" s="95" customFormat="1" ht="13.5" hidden="1" outlineLevel="1">
      <c r="B204" s="119" t="s">
        <v>272</v>
      </c>
      <c r="C204" s="266" t="s">
        <v>645</v>
      </c>
      <c r="D204" s="124" t="s">
        <v>646</v>
      </c>
      <c r="E204" s="125"/>
      <c r="F204" s="118" t="s">
        <v>622</v>
      </c>
      <c r="G204" s="126" t="str">
        <f t="shared" ref="G204:G212" si="19">CONCATENATE("AR-",F204,"-",H204)</f>
        <v>AR-T2S-1</v>
      </c>
      <c r="H204" s="253" t="s">
        <v>304</v>
      </c>
      <c r="I204" s="76">
        <v>1</v>
      </c>
      <c r="J204" s="299" t="s">
        <v>310</v>
      </c>
      <c r="K204" s="299"/>
      <c r="L204" s="288"/>
      <c r="Q204" s="288"/>
    </row>
    <row r="205" spans="1:21" s="95" customFormat="1" ht="13.5" hidden="1" outlineLevel="1">
      <c r="B205" s="119" t="s">
        <v>272</v>
      </c>
      <c r="C205" s="266" t="s">
        <v>647</v>
      </c>
      <c r="D205" s="124" t="s">
        <v>648</v>
      </c>
      <c r="E205" s="125"/>
      <c r="F205" s="118" t="s">
        <v>622</v>
      </c>
      <c r="G205" s="126" t="str">
        <f t="shared" si="19"/>
        <v>AR-T2S-1</v>
      </c>
      <c r="H205" s="253" t="s">
        <v>304</v>
      </c>
      <c r="I205" s="76">
        <v>1</v>
      </c>
      <c r="J205" s="299" t="s">
        <v>286</v>
      </c>
      <c r="K205" s="299"/>
      <c r="L205" s="288"/>
      <c r="Q205" s="288"/>
    </row>
    <row r="206" spans="1:21" s="95" customFormat="1" ht="13.5" hidden="1" outlineLevel="1">
      <c r="B206" s="119" t="s">
        <v>272</v>
      </c>
      <c r="C206" s="266" t="s">
        <v>649</v>
      </c>
      <c r="D206" s="124" t="s">
        <v>650</v>
      </c>
      <c r="E206" s="125"/>
      <c r="F206" s="118" t="s">
        <v>622</v>
      </c>
      <c r="G206" s="126" t="str">
        <f t="shared" si="19"/>
        <v>AR-T2S-1</v>
      </c>
      <c r="H206" s="253" t="s">
        <v>304</v>
      </c>
      <c r="I206" s="76">
        <v>1</v>
      </c>
      <c r="J206" s="299" t="s">
        <v>310</v>
      </c>
      <c r="K206" s="299"/>
      <c r="L206" s="288"/>
      <c r="Q206" s="288"/>
    </row>
    <row r="207" spans="1:21" s="95" customFormat="1" ht="13.5" hidden="1" outlineLevel="1">
      <c r="B207" s="119" t="s">
        <v>272</v>
      </c>
      <c r="C207" s="266" t="s">
        <v>651</v>
      </c>
      <c r="D207" s="124" t="s">
        <v>652</v>
      </c>
      <c r="E207" s="125"/>
      <c r="F207" s="118" t="s">
        <v>622</v>
      </c>
      <c r="G207" s="126" t="str">
        <f t="shared" si="19"/>
        <v>AR-T2S-1</v>
      </c>
      <c r="H207" s="253" t="s">
        <v>304</v>
      </c>
      <c r="I207" s="76">
        <v>1</v>
      </c>
      <c r="J207" s="299" t="s">
        <v>310</v>
      </c>
      <c r="K207" s="299"/>
      <c r="L207" s="288"/>
      <c r="Q207" s="288"/>
    </row>
    <row r="208" spans="1:21" s="95" customFormat="1" ht="13.5" hidden="1" outlineLevel="1">
      <c r="B208" s="119" t="s">
        <v>272</v>
      </c>
      <c r="C208" s="266" t="s">
        <v>653</v>
      </c>
      <c r="D208" s="124" t="s">
        <v>654</v>
      </c>
      <c r="E208" s="125"/>
      <c r="F208" s="118" t="s">
        <v>622</v>
      </c>
      <c r="G208" s="126" t="str">
        <f t="shared" si="19"/>
        <v>AR-T2S-1</v>
      </c>
      <c r="H208" s="253" t="s">
        <v>304</v>
      </c>
      <c r="I208" s="76">
        <v>1</v>
      </c>
      <c r="J208" s="299" t="s">
        <v>286</v>
      </c>
      <c r="K208" s="299"/>
      <c r="L208" s="288"/>
      <c r="Q208" s="288"/>
    </row>
    <row r="209" spans="1:17" s="95" customFormat="1" ht="13.5" hidden="1" outlineLevel="1">
      <c r="B209" s="119" t="s">
        <v>272</v>
      </c>
      <c r="C209" s="266" t="s">
        <v>655</v>
      </c>
      <c r="D209" s="124" t="s">
        <v>656</v>
      </c>
      <c r="E209" s="125"/>
      <c r="F209" s="118" t="s">
        <v>622</v>
      </c>
      <c r="G209" s="126" t="str">
        <f t="shared" si="19"/>
        <v>AR-T2S-1</v>
      </c>
      <c r="H209" s="253" t="s">
        <v>304</v>
      </c>
      <c r="I209" s="76">
        <v>1</v>
      </c>
      <c r="J209" s="299" t="s">
        <v>286</v>
      </c>
      <c r="K209" s="299"/>
      <c r="L209" s="288"/>
      <c r="Q209" s="288"/>
    </row>
    <row r="210" spans="1:17" s="95" customFormat="1" ht="13.5" hidden="1" outlineLevel="1">
      <c r="B210" s="119" t="s">
        <v>272</v>
      </c>
      <c r="C210" s="266" t="s">
        <v>657</v>
      </c>
      <c r="D210" s="124" t="s">
        <v>658</v>
      </c>
      <c r="E210" s="125"/>
      <c r="F210" s="118" t="s">
        <v>622</v>
      </c>
      <c r="G210" s="126" t="str">
        <f t="shared" si="19"/>
        <v>AR-T2S-1</v>
      </c>
      <c r="H210" s="253" t="s">
        <v>304</v>
      </c>
      <c r="I210" s="76">
        <v>1</v>
      </c>
      <c r="J210" s="299" t="s">
        <v>286</v>
      </c>
      <c r="K210" s="299"/>
      <c r="L210" s="288"/>
      <c r="Q210" s="288"/>
    </row>
    <row r="211" spans="1:17" s="95" customFormat="1" ht="13.5" hidden="1" outlineLevel="1">
      <c r="B211" s="119" t="s">
        <v>272</v>
      </c>
      <c r="C211" s="266" t="s">
        <v>659</v>
      </c>
      <c r="D211" s="124" t="s">
        <v>660</v>
      </c>
      <c r="E211" s="125"/>
      <c r="F211" s="118" t="s">
        <v>622</v>
      </c>
      <c r="G211" s="126" t="str">
        <f t="shared" si="19"/>
        <v>AR-T2S-1</v>
      </c>
      <c r="H211" s="253" t="s">
        <v>304</v>
      </c>
      <c r="I211" s="76">
        <v>1</v>
      </c>
      <c r="J211" s="299" t="s">
        <v>307</v>
      </c>
      <c r="K211" s="299"/>
      <c r="L211" s="288"/>
      <c r="Q211" s="288"/>
    </row>
    <row r="212" spans="1:17" s="95" customFormat="1" ht="13.5" hidden="1" outlineLevel="1">
      <c r="B212" s="119" t="s">
        <v>272</v>
      </c>
      <c r="C212" s="266" t="s">
        <v>661</v>
      </c>
      <c r="D212" s="124" t="s">
        <v>662</v>
      </c>
      <c r="E212" s="125"/>
      <c r="F212" s="118" t="s">
        <v>622</v>
      </c>
      <c r="G212" s="126" t="str">
        <f t="shared" si="19"/>
        <v>AR-T2S-1</v>
      </c>
      <c r="H212" s="253" t="s">
        <v>304</v>
      </c>
      <c r="I212" s="76">
        <v>1</v>
      </c>
      <c r="J212" s="299" t="s">
        <v>307</v>
      </c>
      <c r="K212" s="299"/>
      <c r="L212" s="288"/>
      <c r="Q212" s="288"/>
    </row>
    <row r="213" spans="1:17" s="83" customFormat="1" ht="13.5" hidden="1" customHeight="1" outlineLevel="1">
      <c r="A213" s="264"/>
      <c r="B213" s="119" t="s">
        <v>272</v>
      </c>
      <c r="C213" s="266" t="s">
        <v>663</v>
      </c>
      <c r="D213" s="124" t="s">
        <v>664</v>
      </c>
      <c r="E213" s="125"/>
      <c r="F213" s="118" t="s">
        <v>622</v>
      </c>
      <c r="G213" s="126" t="str">
        <f t="shared" ref="G213:G221" si="20">CONCATENATE("AR-",F213,"-",H213)</f>
        <v>AR-T2S-1</v>
      </c>
      <c r="H213" s="253" t="s">
        <v>304</v>
      </c>
      <c r="I213" s="76">
        <v>1</v>
      </c>
      <c r="J213" s="299" t="s">
        <v>310</v>
      </c>
      <c r="K213" s="299"/>
      <c r="L213" s="86"/>
      <c r="Q213" s="86"/>
    </row>
    <row r="214" spans="1:17" s="83" customFormat="1" ht="13.5" hidden="1" customHeight="1" outlineLevel="1">
      <c r="A214" s="264"/>
      <c r="B214" s="119" t="s">
        <v>272</v>
      </c>
      <c r="C214" s="266" t="s">
        <v>665</v>
      </c>
      <c r="D214" s="124" t="s">
        <v>666</v>
      </c>
      <c r="E214" s="125"/>
      <c r="F214" s="118" t="s">
        <v>622</v>
      </c>
      <c r="G214" s="126" t="str">
        <f t="shared" si="20"/>
        <v>AR-T2S-1</v>
      </c>
      <c r="H214" s="253" t="s">
        <v>304</v>
      </c>
      <c r="I214" s="76">
        <v>1</v>
      </c>
      <c r="J214" s="299" t="s">
        <v>310</v>
      </c>
      <c r="K214" s="299"/>
      <c r="L214" s="86"/>
      <c r="Q214" s="86"/>
    </row>
    <row r="215" spans="1:17" s="95" customFormat="1" ht="14.25" hidden="1" customHeight="1" outlineLevel="1">
      <c r="B215" s="119" t="s">
        <v>272</v>
      </c>
      <c r="C215" s="266" t="s">
        <v>667</v>
      </c>
      <c r="D215" s="124" t="s">
        <v>668</v>
      </c>
      <c r="E215" s="125"/>
      <c r="F215" s="118" t="s">
        <v>622</v>
      </c>
      <c r="G215" s="126" t="str">
        <f t="shared" si="20"/>
        <v>AR-T2S-1</v>
      </c>
      <c r="H215" s="253" t="s">
        <v>304</v>
      </c>
      <c r="I215" s="76">
        <v>1</v>
      </c>
      <c r="J215" s="299" t="s">
        <v>286</v>
      </c>
      <c r="K215" s="299"/>
      <c r="L215" s="288"/>
      <c r="Q215" s="288"/>
    </row>
    <row r="216" spans="1:17" s="95" customFormat="1" ht="14.25" hidden="1" customHeight="1" outlineLevel="1">
      <c r="B216" s="119" t="s">
        <v>272</v>
      </c>
      <c r="C216" s="266" t="s">
        <v>669</v>
      </c>
      <c r="D216" s="124" t="s">
        <v>670</v>
      </c>
      <c r="E216" s="125"/>
      <c r="F216" s="118" t="s">
        <v>622</v>
      </c>
      <c r="G216" s="126" t="str">
        <f t="shared" si="20"/>
        <v>AR-T2S-1</v>
      </c>
      <c r="H216" s="253" t="s">
        <v>304</v>
      </c>
      <c r="I216" s="76">
        <v>1</v>
      </c>
      <c r="J216" s="299" t="s">
        <v>286</v>
      </c>
      <c r="K216" s="299"/>
      <c r="L216" s="288"/>
      <c r="Q216" s="288"/>
    </row>
    <row r="217" spans="1:17" s="95" customFormat="1" ht="14.25" hidden="1" customHeight="1" outlineLevel="1">
      <c r="B217" s="119" t="s">
        <v>272</v>
      </c>
      <c r="C217" s="266" t="s">
        <v>671</v>
      </c>
      <c r="D217" s="124" t="s">
        <v>672</v>
      </c>
      <c r="E217" s="125"/>
      <c r="F217" s="118" t="s">
        <v>622</v>
      </c>
      <c r="G217" s="126" t="str">
        <f t="shared" si="20"/>
        <v>AR-T2S-1</v>
      </c>
      <c r="H217" s="253" t="s">
        <v>304</v>
      </c>
      <c r="I217" s="76">
        <v>1</v>
      </c>
      <c r="J217" s="299" t="s">
        <v>286</v>
      </c>
      <c r="K217" s="299"/>
      <c r="L217" s="288"/>
      <c r="Q217" s="288"/>
    </row>
    <row r="218" spans="1:17" s="95" customFormat="1" ht="14.25" hidden="1" customHeight="1" outlineLevel="1">
      <c r="B218" s="119" t="s">
        <v>272</v>
      </c>
      <c r="C218" s="266" t="s">
        <v>673</v>
      </c>
      <c r="D218" s="124" t="s">
        <v>674</v>
      </c>
      <c r="E218" s="125"/>
      <c r="F218" s="118" t="s">
        <v>622</v>
      </c>
      <c r="G218" s="126" t="str">
        <f t="shared" si="20"/>
        <v>AR-T2S-1</v>
      </c>
      <c r="H218" s="253" t="s">
        <v>304</v>
      </c>
      <c r="I218" s="76">
        <v>1</v>
      </c>
      <c r="J218" s="299" t="s">
        <v>286</v>
      </c>
      <c r="K218" s="299"/>
      <c r="L218" s="288"/>
      <c r="Q218" s="288"/>
    </row>
    <row r="219" spans="1:17" s="95" customFormat="1" ht="14.25" hidden="1" customHeight="1" outlineLevel="1">
      <c r="B219" s="119" t="s">
        <v>272</v>
      </c>
      <c r="C219" s="266" t="s">
        <v>675</v>
      </c>
      <c r="D219" s="124" t="s">
        <v>676</v>
      </c>
      <c r="E219" s="125"/>
      <c r="F219" s="118" t="s">
        <v>622</v>
      </c>
      <c r="G219" s="126" t="str">
        <f t="shared" si="20"/>
        <v>AR-T2S-1</v>
      </c>
      <c r="H219" s="253" t="s">
        <v>304</v>
      </c>
      <c r="I219" s="76">
        <v>1</v>
      </c>
      <c r="J219" s="299" t="s">
        <v>286</v>
      </c>
      <c r="K219" s="299"/>
      <c r="L219" s="288"/>
      <c r="Q219" s="288"/>
    </row>
    <row r="220" spans="1:17" s="95" customFormat="1" ht="13.9" hidden="1" customHeight="1" outlineLevel="1">
      <c r="B220" s="119" t="s">
        <v>272</v>
      </c>
      <c r="C220" s="266" t="s">
        <v>677</v>
      </c>
      <c r="D220" s="124" t="s">
        <v>678</v>
      </c>
      <c r="E220" s="125"/>
      <c r="F220" s="118" t="s">
        <v>622</v>
      </c>
      <c r="G220" s="126" t="str">
        <f t="shared" si="20"/>
        <v>AR-T2S-1</v>
      </c>
      <c r="H220" s="253" t="s">
        <v>304</v>
      </c>
      <c r="I220" s="76">
        <v>1</v>
      </c>
      <c r="J220" s="299" t="s">
        <v>286</v>
      </c>
      <c r="K220" s="299"/>
      <c r="L220" s="288"/>
      <c r="Q220" s="288"/>
    </row>
    <row r="221" spans="1:17" s="95" customFormat="1" ht="14.25" hidden="1" customHeight="1" outlineLevel="1">
      <c r="B221" s="119" t="s">
        <v>272</v>
      </c>
      <c r="C221" s="266" t="s">
        <v>679</v>
      </c>
      <c r="D221" s="124" t="s">
        <v>680</v>
      </c>
      <c r="E221" s="125"/>
      <c r="F221" s="118" t="s">
        <v>622</v>
      </c>
      <c r="G221" s="126" t="str">
        <f t="shared" si="20"/>
        <v>AR-T2S-2</v>
      </c>
      <c r="H221" s="253" t="s">
        <v>289</v>
      </c>
      <c r="I221" s="76">
        <v>1</v>
      </c>
      <c r="J221" s="299" t="s">
        <v>286</v>
      </c>
      <c r="K221" s="299"/>
      <c r="L221" s="288"/>
      <c r="Q221" s="288"/>
    </row>
    <row r="222" spans="1:17" s="95" customFormat="1" ht="14.25" hidden="1" customHeight="1" outlineLevel="1">
      <c r="B222" s="119" t="s">
        <v>272</v>
      </c>
      <c r="C222" s="266" t="s">
        <v>681</v>
      </c>
      <c r="D222" s="124" t="s">
        <v>682</v>
      </c>
      <c r="E222" s="125"/>
      <c r="F222" s="118" t="s">
        <v>622</v>
      </c>
      <c r="G222" s="126" t="str">
        <f>CONCATENATE("AR-",F222,"-",H222)</f>
        <v>AR-T2S-3</v>
      </c>
      <c r="H222" s="253" t="s">
        <v>346</v>
      </c>
      <c r="I222" s="76">
        <v>1</v>
      </c>
      <c r="J222" s="299" t="s">
        <v>307</v>
      </c>
      <c r="K222" s="299"/>
      <c r="L222" s="288"/>
      <c r="Q222" s="288"/>
    </row>
    <row r="223" spans="1:17" s="95" customFormat="1" ht="14.25" hidden="1" customHeight="1" outlineLevel="1">
      <c r="B223" s="119" t="s">
        <v>272</v>
      </c>
      <c r="C223" s="266" t="s">
        <v>683</v>
      </c>
      <c r="D223" s="124" t="s">
        <v>684</v>
      </c>
      <c r="E223" s="125"/>
      <c r="F223" s="118" t="s">
        <v>622</v>
      </c>
      <c r="G223" s="126" t="str">
        <f>CONCATENATE("AR-",F223,"-",H223)</f>
        <v>AR-T2S-3</v>
      </c>
      <c r="H223" s="253" t="s">
        <v>346</v>
      </c>
      <c r="I223" s="76">
        <v>1</v>
      </c>
      <c r="J223" s="299" t="s">
        <v>286</v>
      </c>
      <c r="K223" s="299"/>
      <c r="L223" s="288"/>
      <c r="Q223" s="288"/>
    </row>
    <row r="224" spans="1:17" s="95" customFormat="1" ht="14.25" hidden="1" customHeight="1" outlineLevel="1">
      <c r="B224" s="119" t="s">
        <v>272</v>
      </c>
      <c r="C224" s="266" t="s">
        <v>685</v>
      </c>
      <c r="D224" s="124" t="s">
        <v>686</v>
      </c>
      <c r="E224" s="125"/>
      <c r="F224" s="118" t="s">
        <v>622</v>
      </c>
      <c r="G224" s="126" t="str">
        <f>CONCATENATE("AR-",F224,"-",H224)</f>
        <v>AR-T2S-3</v>
      </c>
      <c r="H224" s="253" t="s">
        <v>346</v>
      </c>
      <c r="I224" s="76">
        <v>1</v>
      </c>
      <c r="J224" s="299" t="s">
        <v>310</v>
      </c>
      <c r="K224" s="299"/>
      <c r="L224" s="288"/>
      <c r="Q224" s="288"/>
    </row>
    <row r="225" spans="1:20" s="95" customFormat="1" ht="14.25" hidden="1" customHeight="1" outlineLevel="1">
      <c r="B225" s="119" t="s">
        <v>272</v>
      </c>
      <c r="C225" s="266" t="s">
        <v>687</v>
      </c>
      <c r="D225" s="124" t="s">
        <v>688</v>
      </c>
      <c r="E225" s="125"/>
      <c r="F225" s="118" t="s">
        <v>622</v>
      </c>
      <c r="G225" s="126" t="str">
        <f>CONCATENATE("AR-",F225,"-",H225)</f>
        <v>AR-T2S-3</v>
      </c>
      <c r="H225" s="253" t="s">
        <v>346</v>
      </c>
      <c r="I225" s="76">
        <v>1</v>
      </c>
      <c r="J225" s="299" t="s">
        <v>286</v>
      </c>
      <c r="K225" s="299"/>
      <c r="L225" s="288"/>
      <c r="Q225" s="288"/>
    </row>
    <row r="226" spans="1:20" s="95" customFormat="1" ht="14.25" hidden="1" customHeight="1" outlineLevel="1">
      <c r="B226" s="119" t="s">
        <v>272</v>
      </c>
      <c r="C226" s="266" t="s">
        <v>689</v>
      </c>
      <c r="D226" s="124" t="s">
        <v>690</v>
      </c>
      <c r="E226" s="125"/>
      <c r="F226" s="118" t="s">
        <v>622</v>
      </c>
      <c r="G226" s="126" t="str">
        <f>CONCATENATE("AR-",F226,"-",H226)</f>
        <v>AR-T2S-3</v>
      </c>
      <c r="H226" s="253" t="s">
        <v>346</v>
      </c>
      <c r="I226" s="76">
        <v>1</v>
      </c>
      <c r="J226" s="299" t="s">
        <v>286</v>
      </c>
      <c r="K226" s="299"/>
      <c r="L226" s="288"/>
      <c r="Q226" s="288"/>
    </row>
    <row r="227" spans="1:20" s="95" customFormat="1" ht="14.25" hidden="1" customHeight="1" outlineLevel="1">
      <c r="B227" s="119" t="s">
        <v>272</v>
      </c>
      <c r="C227" s="266" t="s">
        <v>691</v>
      </c>
      <c r="D227" s="124" t="s">
        <v>692</v>
      </c>
      <c r="E227" s="125"/>
      <c r="F227" s="118" t="s">
        <v>622</v>
      </c>
      <c r="G227" s="126" t="str">
        <f t="shared" ref="G227:G228" si="21">CONCATENATE("AR-",F227,"-",H227)</f>
        <v>AR-T2S-3</v>
      </c>
      <c r="H227" s="253" t="s">
        <v>346</v>
      </c>
      <c r="I227" s="76">
        <v>1</v>
      </c>
      <c r="J227" s="299" t="s">
        <v>286</v>
      </c>
      <c r="K227" s="299"/>
      <c r="L227" s="288"/>
      <c r="Q227" s="288"/>
    </row>
    <row r="228" spans="1:20" s="95" customFormat="1" ht="14.25" hidden="1" customHeight="1" outlineLevel="1">
      <c r="B228" s="119" t="s">
        <v>272</v>
      </c>
      <c r="C228" s="266" t="s">
        <v>693</v>
      </c>
      <c r="D228" s="124" t="s">
        <v>694</v>
      </c>
      <c r="E228" s="125"/>
      <c r="F228" s="118" t="s">
        <v>622</v>
      </c>
      <c r="G228" s="126" t="str">
        <f t="shared" si="21"/>
        <v>AR-T2S-3</v>
      </c>
      <c r="H228" s="253" t="s">
        <v>346</v>
      </c>
      <c r="I228" s="76">
        <v>1</v>
      </c>
      <c r="J228" s="299" t="s">
        <v>286</v>
      </c>
      <c r="K228" s="299"/>
      <c r="L228" s="288"/>
      <c r="Q228" s="288"/>
    </row>
    <row r="229" spans="1:20" s="95" customFormat="1" ht="14.25" hidden="1" customHeight="1" outlineLevel="1">
      <c r="B229" s="119" t="s">
        <v>272</v>
      </c>
      <c r="C229" s="266" t="s">
        <v>695</v>
      </c>
      <c r="D229" s="124" t="s">
        <v>696</v>
      </c>
      <c r="E229" s="125"/>
      <c r="F229" s="118" t="s">
        <v>622</v>
      </c>
      <c r="G229" s="126" t="str">
        <f t="shared" ref="G229:G270" si="22">CONCATENATE("AR-",F229,"-",H229)</f>
        <v>AR-T2S-3</v>
      </c>
      <c r="H229" s="253" t="s">
        <v>346</v>
      </c>
      <c r="I229" s="76">
        <v>1</v>
      </c>
      <c r="J229" s="299" t="s">
        <v>286</v>
      </c>
      <c r="K229" s="299"/>
      <c r="L229" s="288"/>
      <c r="Q229" s="288"/>
    </row>
    <row r="230" spans="1:20" s="95" customFormat="1" ht="14.25" hidden="1" customHeight="1" outlineLevel="1">
      <c r="B230" s="119" t="s">
        <v>272</v>
      </c>
      <c r="C230" s="266" t="s">
        <v>697</v>
      </c>
      <c r="D230" s="124" t="s">
        <v>698</v>
      </c>
      <c r="E230" s="125"/>
      <c r="F230" s="118" t="s">
        <v>622</v>
      </c>
      <c r="G230" s="126" t="str">
        <f t="shared" si="22"/>
        <v>AR-T2S-3</v>
      </c>
      <c r="H230" s="253" t="s">
        <v>346</v>
      </c>
      <c r="I230" s="76">
        <v>1</v>
      </c>
      <c r="J230" s="299" t="s">
        <v>286</v>
      </c>
      <c r="K230" s="299"/>
      <c r="L230" s="288"/>
      <c r="Q230" s="288"/>
    </row>
    <row r="231" spans="1:20" s="95" customFormat="1" ht="14.25" hidden="1" customHeight="1" outlineLevel="1">
      <c r="B231" s="119" t="s">
        <v>272</v>
      </c>
      <c r="C231" s="266" t="s">
        <v>699</v>
      </c>
      <c r="D231" s="124" t="s">
        <v>700</v>
      </c>
      <c r="E231" s="125"/>
      <c r="F231" s="118" t="s">
        <v>622</v>
      </c>
      <c r="G231" s="126" t="str">
        <f t="shared" si="22"/>
        <v>AR-T2S-3</v>
      </c>
      <c r="H231" s="253" t="s">
        <v>346</v>
      </c>
      <c r="I231" s="76">
        <v>1</v>
      </c>
      <c r="J231" s="299" t="s">
        <v>286</v>
      </c>
      <c r="K231" s="299"/>
      <c r="L231" s="288"/>
      <c r="Q231" s="288"/>
    </row>
    <row r="232" spans="1:20" s="247" customFormat="1" ht="14.25" hidden="1" customHeight="1" outlineLevel="1">
      <c r="B232" s="119" t="s">
        <v>272</v>
      </c>
      <c r="C232" s="266" t="s">
        <v>701</v>
      </c>
      <c r="D232" s="124" t="s">
        <v>702</v>
      </c>
      <c r="E232" s="125"/>
      <c r="F232" s="118" t="s">
        <v>622</v>
      </c>
      <c r="G232" s="126" t="str">
        <f t="shared" ref="G232:G236" si="23">CONCATENATE("AR-",F232,"-",H232)</f>
        <v>AR-T2S-3</v>
      </c>
      <c r="H232" s="253" t="s">
        <v>346</v>
      </c>
      <c r="I232" s="76">
        <v>1</v>
      </c>
      <c r="J232" s="299" t="s">
        <v>310</v>
      </c>
      <c r="K232" s="299"/>
      <c r="L232" s="84"/>
      <c r="N232" s="294"/>
      <c r="Q232" s="84"/>
      <c r="T232" s="294"/>
    </row>
    <row r="233" spans="1:20" s="247" customFormat="1" ht="14.25" hidden="1" customHeight="1" outlineLevel="1">
      <c r="B233" s="119" t="s">
        <v>272</v>
      </c>
      <c r="C233" s="266" t="s">
        <v>703</v>
      </c>
      <c r="D233" s="124" t="s">
        <v>704</v>
      </c>
      <c r="E233" s="125"/>
      <c r="F233" s="118" t="s">
        <v>622</v>
      </c>
      <c r="G233" s="126" t="str">
        <f t="shared" si="23"/>
        <v>AR-T2S-3</v>
      </c>
      <c r="H233" s="253" t="s">
        <v>346</v>
      </c>
      <c r="I233" s="76">
        <v>1</v>
      </c>
      <c r="J233" s="299" t="s">
        <v>286</v>
      </c>
      <c r="K233" s="299"/>
      <c r="L233" s="84"/>
      <c r="N233" s="294"/>
      <c r="Q233" s="84"/>
      <c r="T233" s="294"/>
    </row>
    <row r="234" spans="1:20" s="247" customFormat="1" ht="14.25" hidden="1" customHeight="1" outlineLevel="1">
      <c r="B234" s="119" t="s">
        <v>272</v>
      </c>
      <c r="C234" s="266" t="s">
        <v>705</v>
      </c>
      <c r="D234" s="124" t="s">
        <v>706</v>
      </c>
      <c r="E234" s="125"/>
      <c r="F234" s="118" t="s">
        <v>622</v>
      </c>
      <c r="G234" s="126" t="str">
        <f t="shared" si="23"/>
        <v>AR-T2S-3</v>
      </c>
      <c r="H234" s="253" t="s">
        <v>346</v>
      </c>
      <c r="I234" s="76">
        <v>1</v>
      </c>
      <c r="J234" s="299" t="s">
        <v>286</v>
      </c>
      <c r="K234" s="299"/>
      <c r="L234" s="84"/>
      <c r="N234" s="294"/>
      <c r="Q234" s="84"/>
      <c r="T234" s="294"/>
    </row>
    <row r="235" spans="1:20" s="247" customFormat="1" ht="14.25" hidden="1" customHeight="1" outlineLevel="1">
      <c r="B235" s="119" t="s">
        <v>272</v>
      </c>
      <c r="C235" s="266" t="s">
        <v>707</v>
      </c>
      <c r="D235" s="124" t="s">
        <v>708</v>
      </c>
      <c r="E235" s="125"/>
      <c r="F235" s="118" t="s">
        <v>622</v>
      </c>
      <c r="G235" s="126" t="str">
        <f t="shared" si="23"/>
        <v>AR-T2S-3</v>
      </c>
      <c r="H235" s="253" t="s">
        <v>346</v>
      </c>
      <c r="I235" s="76">
        <v>1</v>
      </c>
      <c r="J235" s="299" t="s">
        <v>286</v>
      </c>
      <c r="K235" s="299"/>
      <c r="L235" s="84"/>
      <c r="N235" s="294"/>
      <c r="Q235" s="84"/>
      <c r="T235" s="294"/>
    </row>
    <row r="236" spans="1:20" s="247" customFormat="1" ht="14.25" hidden="1" customHeight="1" outlineLevel="1">
      <c r="B236" s="119" t="s">
        <v>272</v>
      </c>
      <c r="C236" s="266" t="s">
        <v>709</v>
      </c>
      <c r="D236" s="124" t="s">
        <v>710</v>
      </c>
      <c r="E236" s="125"/>
      <c r="F236" s="118" t="s">
        <v>622</v>
      </c>
      <c r="G236" s="126" t="str">
        <f t="shared" si="23"/>
        <v>AR-T2S-3</v>
      </c>
      <c r="H236" s="253" t="s">
        <v>346</v>
      </c>
      <c r="I236" s="76">
        <v>1</v>
      </c>
      <c r="J236" s="299" t="s">
        <v>286</v>
      </c>
      <c r="K236" s="299"/>
      <c r="L236" s="84"/>
      <c r="N236" s="294"/>
      <c r="Q236" s="84"/>
      <c r="T236" s="294"/>
    </row>
    <row r="237" spans="1:20" s="247" customFormat="1" ht="14.25" hidden="1" customHeight="1" outlineLevel="1">
      <c r="A237" s="247" t="s">
        <v>711</v>
      </c>
      <c r="B237" s="119" t="s">
        <v>272</v>
      </c>
      <c r="C237" s="266" t="s">
        <v>712</v>
      </c>
      <c r="D237" s="124" t="s">
        <v>713</v>
      </c>
      <c r="E237" s="125"/>
      <c r="F237" s="118" t="s">
        <v>622</v>
      </c>
      <c r="G237" s="126" t="str">
        <f t="shared" si="22"/>
        <v>AR-T2S-3</v>
      </c>
      <c r="H237" s="253" t="s">
        <v>346</v>
      </c>
      <c r="I237" s="76">
        <v>1</v>
      </c>
      <c r="J237" s="299" t="s">
        <v>286</v>
      </c>
      <c r="K237" s="316"/>
      <c r="L237" s="289"/>
      <c r="Q237" s="289"/>
    </row>
    <row r="238" spans="1:20" s="247" customFormat="1" ht="14.25" hidden="1" customHeight="1" outlineLevel="1">
      <c r="A238" s="247" t="s">
        <v>711</v>
      </c>
      <c r="B238" s="119" t="s">
        <v>272</v>
      </c>
      <c r="C238" s="266" t="s">
        <v>714</v>
      </c>
      <c r="D238" s="124" t="s">
        <v>715</v>
      </c>
      <c r="E238" s="125"/>
      <c r="F238" s="118" t="s">
        <v>622</v>
      </c>
      <c r="G238" s="126" t="str">
        <f t="shared" si="22"/>
        <v>AR-T2S-3</v>
      </c>
      <c r="H238" s="253" t="s">
        <v>346</v>
      </c>
      <c r="I238" s="76">
        <v>1</v>
      </c>
      <c r="J238" s="299" t="s">
        <v>286</v>
      </c>
      <c r="K238" s="316"/>
      <c r="L238" s="289"/>
      <c r="Q238" s="289"/>
    </row>
    <row r="239" spans="1:20" s="247" customFormat="1" ht="14.25" hidden="1" customHeight="1" outlineLevel="1">
      <c r="B239" s="119" t="s">
        <v>272</v>
      </c>
      <c r="C239" s="266" t="s">
        <v>716</v>
      </c>
      <c r="D239" s="124" t="s">
        <v>717</v>
      </c>
      <c r="E239" s="125"/>
      <c r="F239" s="118" t="s">
        <v>622</v>
      </c>
      <c r="G239" s="126" t="str">
        <f t="shared" ref="G239:G250" si="24">CONCATENATE("AR-",F239,"-",H239)</f>
        <v>AR-T2S-3</v>
      </c>
      <c r="H239" s="253" t="s">
        <v>346</v>
      </c>
      <c r="I239" s="76">
        <v>1</v>
      </c>
      <c r="J239" s="299" t="s">
        <v>286</v>
      </c>
      <c r="K239" s="316"/>
      <c r="L239" s="289"/>
      <c r="Q239" s="289"/>
    </row>
    <row r="240" spans="1:20" s="247" customFormat="1" ht="14.25" hidden="1" customHeight="1" outlineLevel="1">
      <c r="A240" s="247" t="s">
        <v>718</v>
      </c>
      <c r="B240" s="119" t="s">
        <v>272</v>
      </c>
      <c r="C240" s="266" t="s">
        <v>719</v>
      </c>
      <c r="D240" s="124" t="s">
        <v>720</v>
      </c>
      <c r="E240" s="125"/>
      <c r="F240" s="118" t="s">
        <v>622</v>
      </c>
      <c r="G240" s="126" t="str">
        <f t="shared" si="24"/>
        <v>AR-T2S-3</v>
      </c>
      <c r="H240" s="253" t="s">
        <v>346</v>
      </c>
      <c r="I240" s="76">
        <v>1</v>
      </c>
      <c r="J240" s="299" t="s">
        <v>286</v>
      </c>
      <c r="K240" s="316"/>
      <c r="L240" s="289"/>
      <c r="Q240" s="289"/>
    </row>
    <row r="241" spans="1:17" s="95" customFormat="1" ht="13.5" hidden="1" outlineLevel="1">
      <c r="B241" s="119" t="s">
        <v>272</v>
      </c>
      <c r="C241" s="266" t="s">
        <v>721</v>
      </c>
      <c r="D241" s="124" t="s">
        <v>722</v>
      </c>
      <c r="E241" s="125"/>
      <c r="F241" s="118" t="s">
        <v>622</v>
      </c>
      <c r="G241" s="126" t="str">
        <f t="shared" ref="G241" si="25">CONCATENATE("AR-",F241,"-",H241)</f>
        <v>AR-T2S-4</v>
      </c>
      <c r="H241" s="253">
        <v>4</v>
      </c>
      <c r="I241" s="76">
        <v>1</v>
      </c>
      <c r="J241" s="299" t="s">
        <v>286</v>
      </c>
      <c r="K241" s="299"/>
      <c r="L241" s="288"/>
      <c r="Q241" s="288"/>
    </row>
    <row r="242" spans="1:17" s="95" customFormat="1" ht="14.25" hidden="1" customHeight="1" outlineLevel="1">
      <c r="A242" s="247" t="s">
        <v>718</v>
      </c>
      <c r="B242" s="119" t="s">
        <v>272</v>
      </c>
      <c r="C242" s="266" t="s">
        <v>723</v>
      </c>
      <c r="D242" s="124" t="s">
        <v>724</v>
      </c>
      <c r="E242" s="125"/>
      <c r="F242" s="118" t="s">
        <v>622</v>
      </c>
      <c r="G242" s="126" t="str">
        <f t="shared" si="24"/>
        <v>AR-T2S-4</v>
      </c>
      <c r="H242" s="253" t="s">
        <v>292</v>
      </c>
      <c r="I242" s="76">
        <v>1</v>
      </c>
      <c r="J242" s="299" t="s">
        <v>310</v>
      </c>
      <c r="K242" s="299"/>
      <c r="L242" s="288"/>
      <c r="Q242" s="288"/>
    </row>
    <row r="243" spans="1:17" s="95" customFormat="1" ht="14.25" hidden="1" customHeight="1" outlineLevel="1">
      <c r="B243" s="119" t="s">
        <v>272</v>
      </c>
      <c r="C243" s="266" t="s">
        <v>725</v>
      </c>
      <c r="D243" s="124" t="s">
        <v>726</v>
      </c>
      <c r="E243" s="125"/>
      <c r="F243" s="118" t="s">
        <v>622</v>
      </c>
      <c r="G243" s="126" t="str">
        <f t="shared" si="24"/>
        <v>AR-T2S-4</v>
      </c>
      <c r="H243" s="253" t="s">
        <v>292</v>
      </c>
      <c r="I243" s="76">
        <v>1</v>
      </c>
      <c r="J243" s="299" t="s">
        <v>310</v>
      </c>
      <c r="K243" s="299"/>
      <c r="L243" s="288"/>
      <c r="Q243" s="288"/>
    </row>
    <row r="244" spans="1:17" s="95" customFormat="1" ht="14.25" hidden="1" customHeight="1" outlineLevel="1">
      <c r="B244" s="119" t="s">
        <v>272</v>
      </c>
      <c r="C244" s="266" t="s">
        <v>727</v>
      </c>
      <c r="D244" s="124" t="s">
        <v>728</v>
      </c>
      <c r="E244" s="125"/>
      <c r="F244" s="118" t="s">
        <v>622</v>
      </c>
      <c r="G244" s="126" t="str">
        <f t="shared" si="24"/>
        <v>AR-T2S-4</v>
      </c>
      <c r="H244" s="253" t="s">
        <v>292</v>
      </c>
      <c r="I244" s="76">
        <v>1</v>
      </c>
      <c r="J244" s="299" t="s">
        <v>286</v>
      </c>
      <c r="K244" s="299"/>
      <c r="L244" s="288"/>
      <c r="Q244" s="288"/>
    </row>
    <row r="245" spans="1:17" s="95" customFormat="1" ht="14.25" hidden="1" customHeight="1" outlineLevel="1">
      <c r="B245" s="119" t="s">
        <v>272</v>
      </c>
      <c r="C245" s="266" t="s">
        <v>729</v>
      </c>
      <c r="D245" s="124" t="s">
        <v>730</v>
      </c>
      <c r="E245" s="125"/>
      <c r="F245" s="118" t="s">
        <v>622</v>
      </c>
      <c r="G245" s="126" t="str">
        <f t="shared" si="24"/>
        <v>AR-T2S-5</v>
      </c>
      <c r="H245" s="253" t="s">
        <v>363</v>
      </c>
      <c r="I245" s="76">
        <v>1</v>
      </c>
      <c r="J245" s="299" t="s">
        <v>286</v>
      </c>
      <c r="K245" s="299"/>
      <c r="L245" s="288"/>
      <c r="Q245" s="288"/>
    </row>
    <row r="246" spans="1:17" s="95" customFormat="1" ht="14.25" hidden="1" customHeight="1" outlineLevel="1">
      <c r="B246" s="119" t="s">
        <v>272</v>
      </c>
      <c r="C246" s="266" t="s">
        <v>731</v>
      </c>
      <c r="D246" s="124" t="s">
        <v>732</v>
      </c>
      <c r="E246" s="125"/>
      <c r="F246" s="118" t="s">
        <v>622</v>
      </c>
      <c r="G246" s="126" t="str">
        <f t="shared" si="24"/>
        <v>AR-T2S-5</v>
      </c>
      <c r="H246" s="253" t="s">
        <v>363</v>
      </c>
      <c r="I246" s="76">
        <v>1</v>
      </c>
      <c r="J246" s="299" t="s">
        <v>286</v>
      </c>
      <c r="K246" s="299"/>
      <c r="L246" s="288"/>
      <c r="Q246" s="288"/>
    </row>
    <row r="247" spans="1:17" s="95" customFormat="1" ht="14.25" hidden="1" customHeight="1" outlineLevel="1">
      <c r="B247" s="119" t="s">
        <v>272</v>
      </c>
      <c r="C247" s="266" t="s">
        <v>733</v>
      </c>
      <c r="D247" s="124" t="s">
        <v>734</v>
      </c>
      <c r="E247" s="125"/>
      <c r="F247" s="118" t="s">
        <v>622</v>
      </c>
      <c r="G247" s="126" t="str">
        <f t="shared" si="24"/>
        <v>AR-T2S-5</v>
      </c>
      <c r="H247" s="253" t="s">
        <v>363</v>
      </c>
      <c r="I247" s="76">
        <v>1</v>
      </c>
      <c r="J247" s="299" t="s">
        <v>310</v>
      </c>
      <c r="K247" s="299"/>
      <c r="L247" s="288"/>
      <c r="Q247" s="288"/>
    </row>
    <row r="248" spans="1:17" s="95" customFormat="1" ht="14.25" hidden="1" customHeight="1" outlineLevel="1">
      <c r="B248" s="119" t="s">
        <v>272</v>
      </c>
      <c r="C248" s="266" t="s">
        <v>735</v>
      </c>
      <c r="D248" s="124" t="s">
        <v>736</v>
      </c>
      <c r="E248" s="125"/>
      <c r="F248" s="118" t="s">
        <v>622</v>
      </c>
      <c r="G248" s="126" t="str">
        <f t="shared" si="24"/>
        <v>AR-T2S-5</v>
      </c>
      <c r="H248" s="253" t="s">
        <v>363</v>
      </c>
      <c r="I248" s="76">
        <v>1</v>
      </c>
      <c r="J248" s="299" t="s">
        <v>286</v>
      </c>
      <c r="K248" s="299"/>
      <c r="L248" s="288"/>
      <c r="Q248" s="288"/>
    </row>
    <row r="249" spans="1:17" s="95" customFormat="1" ht="14.25" hidden="1" customHeight="1" outlineLevel="1">
      <c r="B249" s="119" t="s">
        <v>272</v>
      </c>
      <c r="C249" s="266" t="s">
        <v>737</v>
      </c>
      <c r="D249" s="124" t="s">
        <v>738</v>
      </c>
      <c r="E249" s="125"/>
      <c r="F249" s="118" t="s">
        <v>622</v>
      </c>
      <c r="G249" s="126" t="str">
        <f t="shared" si="24"/>
        <v>AR-T2S-6</v>
      </c>
      <c r="H249" s="253" t="s">
        <v>368</v>
      </c>
      <c r="I249" s="76">
        <v>1</v>
      </c>
      <c r="J249" s="299" t="s">
        <v>325</v>
      </c>
      <c r="K249" s="299"/>
      <c r="L249" s="288"/>
      <c r="Q249" s="288"/>
    </row>
    <row r="250" spans="1:17" s="95" customFormat="1" ht="14.25" hidden="1" customHeight="1" outlineLevel="1">
      <c r="B250" s="119" t="s">
        <v>272</v>
      </c>
      <c r="C250" s="266" t="s">
        <v>739</v>
      </c>
      <c r="D250" s="124" t="s">
        <v>740</v>
      </c>
      <c r="E250" s="125"/>
      <c r="F250" s="118" t="s">
        <v>622</v>
      </c>
      <c r="G250" s="126" t="str">
        <f t="shared" si="24"/>
        <v>AR-T2S-6</v>
      </c>
      <c r="H250" s="253" t="s">
        <v>368</v>
      </c>
      <c r="I250" s="76">
        <v>1</v>
      </c>
      <c r="J250" s="299" t="s">
        <v>325</v>
      </c>
      <c r="K250" s="299"/>
      <c r="L250" s="288"/>
      <c r="Q250" s="288"/>
    </row>
    <row r="251" spans="1:17" s="95" customFormat="1" ht="14.25" hidden="1" customHeight="1" outlineLevel="1">
      <c r="B251" s="119" t="s">
        <v>272</v>
      </c>
      <c r="C251" s="266" t="s">
        <v>741</v>
      </c>
      <c r="D251" s="124" t="s">
        <v>742</v>
      </c>
      <c r="E251" s="125"/>
      <c r="F251" s="118" t="s">
        <v>622</v>
      </c>
      <c r="G251" s="126" t="str">
        <f>CONCATENATE("AR-",F251,"-",H251)</f>
        <v>AR-T2S-6</v>
      </c>
      <c r="H251" s="253" t="s">
        <v>368</v>
      </c>
      <c r="I251" s="76">
        <v>1</v>
      </c>
      <c r="J251" s="299" t="s">
        <v>743</v>
      </c>
      <c r="K251" s="299"/>
      <c r="L251" s="288"/>
      <c r="Q251" s="288"/>
    </row>
    <row r="252" spans="1:17" s="95" customFormat="1" ht="14.25" hidden="1" customHeight="1" outlineLevel="1">
      <c r="B252" s="119" t="s">
        <v>272</v>
      </c>
      <c r="C252" s="266" t="s">
        <v>744</v>
      </c>
      <c r="D252" s="124" t="s">
        <v>745</v>
      </c>
      <c r="E252" s="125"/>
      <c r="F252" s="118" t="s">
        <v>622</v>
      </c>
      <c r="G252" s="126" t="str">
        <f>CONCATENATE("AR-",F252,"-",H252)</f>
        <v>AR-T2S-6</v>
      </c>
      <c r="H252" s="253" t="s">
        <v>368</v>
      </c>
      <c r="I252" s="76">
        <v>1</v>
      </c>
      <c r="J252" s="299" t="s">
        <v>307</v>
      </c>
      <c r="K252" s="299"/>
      <c r="L252" s="288"/>
      <c r="Q252" s="288"/>
    </row>
    <row r="253" spans="1:17" s="95" customFormat="1" ht="14.25" hidden="1" customHeight="1" outlineLevel="1">
      <c r="B253" s="119" t="s">
        <v>272</v>
      </c>
      <c r="C253" s="266" t="s">
        <v>746</v>
      </c>
      <c r="D253" s="124" t="s">
        <v>747</v>
      </c>
      <c r="E253" s="125"/>
      <c r="F253" s="118" t="s">
        <v>622</v>
      </c>
      <c r="G253" s="126" t="str">
        <f>CONCATENATE("AR-",F253,"-",H253)</f>
        <v>AR-T2S-6</v>
      </c>
      <c r="H253" s="253" t="s">
        <v>368</v>
      </c>
      <c r="I253" s="76">
        <v>1</v>
      </c>
      <c r="J253" s="299" t="s">
        <v>307</v>
      </c>
      <c r="K253" s="299"/>
      <c r="L253" s="288"/>
      <c r="Q253" s="288"/>
    </row>
    <row r="254" spans="1:17" s="95" customFormat="1" ht="14.25" hidden="1" customHeight="1" outlineLevel="1">
      <c r="B254" s="119" t="s">
        <v>272</v>
      </c>
      <c r="C254" s="266" t="s">
        <v>748</v>
      </c>
      <c r="D254" s="124" t="s">
        <v>749</v>
      </c>
      <c r="E254" s="125"/>
      <c r="F254" s="118" t="s">
        <v>622</v>
      </c>
      <c r="G254" s="126" t="str">
        <f t="shared" ref="G254:G266" si="26">CONCATENATE("AR-",F254,"-",H254)</f>
        <v>AR-T2S-6</v>
      </c>
      <c r="H254" s="253" t="s">
        <v>368</v>
      </c>
      <c r="I254" s="76">
        <v>1</v>
      </c>
      <c r="J254" s="299" t="s">
        <v>286</v>
      </c>
      <c r="K254" s="299"/>
      <c r="L254" s="288"/>
      <c r="Q254" s="288"/>
    </row>
    <row r="255" spans="1:17" s="95" customFormat="1" ht="14.25" hidden="1" customHeight="1" outlineLevel="1">
      <c r="B255" s="119" t="s">
        <v>272</v>
      </c>
      <c r="C255" s="266" t="s">
        <v>750</v>
      </c>
      <c r="D255" s="124" t="s">
        <v>751</v>
      </c>
      <c r="E255" s="125"/>
      <c r="F255" s="118" t="s">
        <v>622</v>
      </c>
      <c r="G255" s="126" t="str">
        <f t="shared" si="26"/>
        <v>AR-T2S-6</v>
      </c>
      <c r="H255" s="253" t="s">
        <v>368</v>
      </c>
      <c r="I255" s="76">
        <v>1</v>
      </c>
      <c r="J255" s="299" t="s">
        <v>286</v>
      </c>
      <c r="K255" s="299"/>
      <c r="L255" s="288"/>
      <c r="Q255" s="288"/>
    </row>
    <row r="256" spans="1:17" s="95" customFormat="1" ht="14.25" hidden="1" customHeight="1" outlineLevel="1">
      <c r="B256" s="119" t="s">
        <v>272</v>
      </c>
      <c r="C256" s="266" t="s">
        <v>752</v>
      </c>
      <c r="D256" s="124" t="s">
        <v>753</v>
      </c>
      <c r="E256" s="125"/>
      <c r="F256" s="118" t="s">
        <v>622</v>
      </c>
      <c r="G256" s="126" t="str">
        <f t="shared" si="26"/>
        <v>AR-T2S-6</v>
      </c>
      <c r="H256" s="253" t="s">
        <v>368</v>
      </c>
      <c r="I256" s="76">
        <v>1</v>
      </c>
      <c r="J256" s="299" t="s">
        <v>286</v>
      </c>
      <c r="K256" s="299"/>
      <c r="L256" s="288"/>
      <c r="Q256" s="288"/>
    </row>
    <row r="257" spans="1:17" s="95" customFormat="1" ht="14.25" hidden="1" customHeight="1" outlineLevel="1">
      <c r="B257" s="119" t="s">
        <v>272</v>
      </c>
      <c r="C257" s="266" t="s">
        <v>754</v>
      </c>
      <c r="D257" s="124" t="s">
        <v>755</v>
      </c>
      <c r="E257" s="125"/>
      <c r="F257" s="118" t="s">
        <v>622</v>
      </c>
      <c r="G257" s="126" t="str">
        <f t="shared" si="26"/>
        <v>AR-T2S-6</v>
      </c>
      <c r="H257" s="253" t="s">
        <v>368</v>
      </c>
      <c r="I257" s="76">
        <v>1</v>
      </c>
      <c r="J257" s="299" t="s">
        <v>286</v>
      </c>
      <c r="K257" s="299"/>
      <c r="L257" s="288"/>
      <c r="Q257" s="288"/>
    </row>
    <row r="258" spans="1:17" s="95" customFormat="1" ht="14.25" hidden="1" customHeight="1" outlineLevel="1">
      <c r="B258" s="119" t="s">
        <v>272</v>
      </c>
      <c r="C258" s="266" t="s">
        <v>756</v>
      </c>
      <c r="D258" s="124" t="s">
        <v>757</v>
      </c>
      <c r="E258" s="125"/>
      <c r="F258" s="118" t="s">
        <v>622</v>
      </c>
      <c r="G258" s="126" t="str">
        <f t="shared" si="26"/>
        <v>AR-T2S-6</v>
      </c>
      <c r="H258" s="253" t="s">
        <v>368</v>
      </c>
      <c r="I258" s="76">
        <v>1</v>
      </c>
      <c r="J258" s="299" t="s">
        <v>286</v>
      </c>
      <c r="K258" s="299"/>
      <c r="L258" s="288"/>
      <c r="Q258" s="288"/>
    </row>
    <row r="259" spans="1:17" s="95" customFormat="1" ht="14.25" hidden="1" customHeight="1" outlineLevel="1">
      <c r="B259" s="119" t="s">
        <v>272</v>
      </c>
      <c r="C259" s="266" t="s">
        <v>758</v>
      </c>
      <c r="D259" s="124" t="s">
        <v>759</v>
      </c>
      <c r="E259" s="125"/>
      <c r="F259" s="118" t="s">
        <v>622</v>
      </c>
      <c r="G259" s="126" t="str">
        <f t="shared" si="26"/>
        <v>AR-T2S-6</v>
      </c>
      <c r="H259" s="253" t="s">
        <v>368</v>
      </c>
      <c r="I259" s="76">
        <v>1</v>
      </c>
      <c r="J259" s="299" t="s">
        <v>310</v>
      </c>
      <c r="K259" s="299"/>
      <c r="L259" s="288"/>
      <c r="Q259" s="288"/>
    </row>
    <row r="260" spans="1:17" s="95" customFormat="1" ht="14.25" hidden="1" customHeight="1" outlineLevel="1">
      <c r="B260" s="119" t="s">
        <v>272</v>
      </c>
      <c r="C260" s="266" t="s">
        <v>760</v>
      </c>
      <c r="D260" s="124" t="s">
        <v>761</v>
      </c>
      <c r="E260" s="125"/>
      <c r="F260" s="118" t="s">
        <v>622</v>
      </c>
      <c r="G260" s="126" t="str">
        <f t="shared" si="26"/>
        <v>AR-T2S-6</v>
      </c>
      <c r="H260" s="253" t="s">
        <v>368</v>
      </c>
      <c r="I260" s="76">
        <v>1</v>
      </c>
      <c r="J260" s="299" t="s">
        <v>310</v>
      </c>
      <c r="K260" s="299"/>
      <c r="L260" s="288"/>
      <c r="Q260" s="288"/>
    </row>
    <row r="261" spans="1:17" s="95" customFormat="1" ht="14.25" hidden="1" customHeight="1" outlineLevel="1">
      <c r="B261" s="119" t="s">
        <v>272</v>
      </c>
      <c r="C261" s="266" t="s">
        <v>762</v>
      </c>
      <c r="D261" s="124" t="s">
        <v>763</v>
      </c>
      <c r="E261" s="125"/>
      <c r="F261" s="118" t="s">
        <v>622</v>
      </c>
      <c r="G261" s="126" t="str">
        <f t="shared" si="26"/>
        <v>AR-T2S-6</v>
      </c>
      <c r="H261" s="253" t="s">
        <v>368</v>
      </c>
      <c r="I261" s="76">
        <v>1</v>
      </c>
      <c r="J261" s="299" t="s">
        <v>286</v>
      </c>
      <c r="K261" s="299"/>
      <c r="L261" s="288"/>
      <c r="Q261" s="288"/>
    </row>
    <row r="262" spans="1:17" s="95" customFormat="1" ht="14.25" hidden="1" customHeight="1" outlineLevel="1">
      <c r="B262" s="119" t="s">
        <v>272</v>
      </c>
      <c r="C262" s="266" t="s">
        <v>764</v>
      </c>
      <c r="D262" s="124" t="s">
        <v>765</v>
      </c>
      <c r="E262" s="125"/>
      <c r="F262" s="118" t="s">
        <v>622</v>
      </c>
      <c r="G262" s="126" t="str">
        <f t="shared" si="26"/>
        <v>AR-T2S-6</v>
      </c>
      <c r="H262" s="253" t="s">
        <v>368</v>
      </c>
      <c r="I262" s="76">
        <v>1</v>
      </c>
      <c r="J262" s="299" t="s">
        <v>286</v>
      </c>
      <c r="K262" s="299"/>
      <c r="L262" s="288"/>
      <c r="Q262" s="288"/>
    </row>
    <row r="263" spans="1:17" s="95" customFormat="1" ht="14.1" hidden="1" customHeight="1" outlineLevel="1">
      <c r="B263" s="119" t="s">
        <v>272</v>
      </c>
      <c r="C263" s="266" t="s">
        <v>766</v>
      </c>
      <c r="D263" s="124" t="s">
        <v>767</v>
      </c>
      <c r="E263" s="125"/>
      <c r="F263" s="118" t="s">
        <v>622</v>
      </c>
      <c r="G263" s="126" t="str">
        <f t="shared" si="26"/>
        <v>AR-T2S-6</v>
      </c>
      <c r="H263" s="253" t="s">
        <v>368</v>
      </c>
      <c r="I263" s="76">
        <v>1</v>
      </c>
      <c r="J263" s="299" t="s">
        <v>286</v>
      </c>
      <c r="K263" s="299"/>
      <c r="L263" s="288"/>
      <c r="Q263" s="288"/>
    </row>
    <row r="264" spans="1:17" s="95" customFormat="1" ht="14.1" hidden="1" customHeight="1" outlineLevel="1">
      <c r="B264" s="119" t="s">
        <v>272</v>
      </c>
      <c r="C264" s="266" t="s">
        <v>768</v>
      </c>
      <c r="D264" s="124" t="s">
        <v>769</v>
      </c>
      <c r="E264" s="125"/>
      <c r="F264" s="118" t="s">
        <v>622</v>
      </c>
      <c r="G264" s="126" t="str">
        <f t="shared" si="26"/>
        <v>AR-T2S-6</v>
      </c>
      <c r="H264" s="253" t="s">
        <v>368</v>
      </c>
      <c r="I264" s="76">
        <v>1</v>
      </c>
      <c r="J264" s="299" t="s">
        <v>286</v>
      </c>
      <c r="K264" s="299"/>
      <c r="L264" s="288"/>
      <c r="Q264" s="288"/>
    </row>
    <row r="265" spans="1:17" s="95" customFormat="1" ht="14.1" hidden="1" customHeight="1" outlineLevel="1">
      <c r="B265" s="119" t="s">
        <v>272</v>
      </c>
      <c r="C265" s="266" t="s">
        <v>770</v>
      </c>
      <c r="D265" s="124" t="s">
        <v>771</v>
      </c>
      <c r="E265" s="125"/>
      <c r="F265" s="118" t="s">
        <v>622</v>
      </c>
      <c r="G265" s="126" t="str">
        <f t="shared" si="26"/>
        <v>AR-T2S-6</v>
      </c>
      <c r="H265" s="253" t="s">
        <v>368</v>
      </c>
      <c r="I265" s="76">
        <v>1</v>
      </c>
      <c r="J265" s="299" t="s">
        <v>286</v>
      </c>
      <c r="K265" s="299"/>
      <c r="L265" s="288"/>
      <c r="Q265" s="288"/>
    </row>
    <row r="266" spans="1:17" s="95" customFormat="1" ht="14.1" hidden="1" customHeight="1" outlineLevel="1">
      <c r="B266" s="119" t="s">
        <v>272</v>
      </c>
      <c r="C266" s="266" t="s">
        <v>721</v>
      </c>
      <c r="D266" s="124" t="s">
        <v>772</v>
      </c>
      <c r="E266" s="125"/>
      <c r="F266" s="118" t="s">
        <v>622</v>
      </c>
      <c r="G266" s="126" t="str">
        <f t="shared" si="26"/>
        <v>AR-T2S-6</v>
      </c>
      <c r="H266" s="253" t="s">
        <v>368</v>
      </c>
      <c r="I266" s="76">
        <v>1</v>
      </c>
      <c r="J266" s="299" t="s">
        <v>310</v>
      </c>
      <c r="K266" s="299"/>
      <c r="L266" s="288"/>
      <c r="Q266" s="288"/>
    </row>
    <row r="267" spans="1:17" s="83" customFormat="1" ht="14.25" hidden="1" customHeight="1" outlineLevel="1">
      <c r="A267" s="264"/>
      <c r="B267" s="119" t="s">
        <v>272</v>
      </c>
      <c r="C267" s="266" t="s">
        <v>773</v>
      </c>
      <c r="D267" s="124" t="s">
        <v>774</v>
      </c>
      <c r="E267" s="125"/>
      <c r="F267" s="118" t="s">
        <v>622</v>
      </c>
      <c r="G267" s="126" t="str">
        <f>CONCATENATE("AR-",F267,"-",H267)</f>
        <v>AR-T2S-6</v>
      </c>
      <c r="H267" s="253" t="s">
        <v>368</v>
      </c>
      <c r="I267" s="76">
        <v>1</v>
      </c>
      <c r="J267" s="299" t="s">
        <v>286</v>
      </c>
      <c r="K267" s="299"/>
      <c r="L267" s="86"/>
      <c r="Q267" s="86"/>
    </row>
    <row r="268" spans="1:17" s="247" customFormat="1" ht="14.25" hidden="1" customHeight="1" outlineLevel="1">
      <c r="B268" s="119" t="s">
        <v>272</v>
      </c>
      <c r="C268" s="266" t="s">
        <v>775</v>
      </c>
      <c r="D268" s="124" t="s">
        <v>776</v>
      </c>
      <c r="E268" s="125"/>
      <c r="F268" s="118" t="s">
        <v>622</v>
      </c>
      <c r="G268" s="126" t="str">
        <f t="shared" si="22"/>
        <v>AR-T2S-6</v>
      </c>
      <c r="H268" s="253" t="s">
        <v>368</v>
      </c>
      <c r="I268" s="76">
        <v>1</v>
      </c>
      <c r="J268" s="299" t="s">
        <v>286</v>
      </c>
      <c r="K268" s="316"/>
      <c r="L268" s="289"/>
      <c r="Q268" s="289"/>
    </row>
    <row r="269" spans="1:17" s="247" customFormat="1" ht="14.25" hidden="1" customHeight="1" outlineLevel="1">
      <c r="A269" s="247" t="s">
        <v>718</v>
      </c>
      <c r="B269" s="119" t="s">
        <v>272</v>
      </c>
      <c r="C269" s="266" t="s">
        <v>777</v>
      </c>
      <c r="D269" s="124" t="s">
        <v>778</v>
      </c>
      <c r="E269" s="125"/>
      <c r="F269" s="118" t="s">
        <v>622</v>
      </c>
      <c r="G269" s="126" t="str">
        <f t="shared" si="22"/>
        <v>AR-T2S-6</v>
      </c>
      <c r="H269" s="253" t="s">
        <v>368</v>
      </c>
      <c r="I269" s="76">
        <v>1</v>
      </c>
      <c r="J269" s="299" t="s">
        <v>286</v>
      </c>
      <c r="K269" s="316"/>
      <c r="L269" s="289"/>
      <c r="Q269" s="289"/>
    </row>
    <row r="270" spans="1:17" s="95" customFormat="1" ht="14.25" hidden="1" customHeight="1" outlineLevel="1">
      <c r="A270" s="247" t="s">
        <v>718</v>
      </c>
      <c r="B270" s="119" t="s">
        <v>272</v>
      </c>
      <c r="C270" s="266" t="s">
        <v>779</v>
      </c>
      <c r="D270" s="124" t="s">
        <v>780</v>
      </c>
      <c r="E270" s="125"/>
      <c r="F270" s="118" t="s">
        <v>622</v>
      </c>
      <c r="G270" s="126" t="str">
        <f t="shared" si="22"/>
        <v>AR-T2S-6</v>
      </c>
      <c r="H270" s="253" t="s">
        <v>368</v>
      </c>
      <c r="I270" s="76">
        <v>1</v>
      </c>
      <c r="J270" s="299" t="s">
        <v>286</v>
      </c>
      <c r="K270" s="299"/>
      <c r="L270" s="288"/>
      <c r="Q270" s="288"/>
    </row>
    <row r="271" spans="1:17" s="95" customFormat="1" ht="14.25" hidden="1" customHeight="1" outlineLevel="1">
      <c r="B271" s="119" t="s">
        <v>272</v>
      </c>
      <c r="C271" s="266" t="s">
        <v>781</v>
      </c>
      <c r="D271" s="124" t="s">
        <v>782</v>
      </c>
      <c r="E271" s="125"/>
      <c r="F271" s="118" t="s">
        <v>622</v>
      </c>
      <c r="G271" s="126" t="str">
        <f t="shared" ref="G271:G278" si="27">CONCATENATE("AR-",F271,"-",H271)</f>
        <v>AR-T2S-6</v>
      </c>
      <c r="H271" s="253" t="s">
        <v>368</v>
      </c>
      <c r="I271" s="76">
        <v>1</v>
      </c>
      <c r="J271" s="299" t="s">
        <v>286</v>
      </c>
      <c r="K271" s="299"/>
      <c r="L271" s="288"/>
      <c r="Q271" s="288"/>
    </row>
    <row r="272" spans="1:17" s="95" customFormat="1" ht="14.25" hidden="1" customHeight="1" outlineLevel="1">
      <c r="B272" s="119" t="s">
        <v>272</v>
      </c>
      <c r="C272" s="266" t="s">
        <v>783</v>
      </c>
      <c r="D272" s="124" t="s">
        <v>784</v>
      </c>
      <c r="E272" s="125"/>
      <c r="F272" s="118" t="s">
        <v>622</v>
      </c>
      <c r="G272" s="126" t="str">
        <f t="shared" si="27"/>
        <v>AR-T2S-6</v>
      </c>
      <c r="H272" s="253" t="s">
        <v>368</v>
      </c>
      <c r="I272" s="76">
        <v>1</v>
      </c>
      <c r="J272" s="299" t="s">
        <v>286</v>
      </c>
      <c r="K272" s="299"/>
      <c r="L272" s="288"/>
      <c r="Q272" s="288"/>
    </row>
    <row r="273" spans="2:17" s="95" customFormat="1" ht="14.25" hidden="1" customHeight="1" outlineLevel="1">
      <c r="B273" s="119" t="s">
        <v>272</v>
      </c>
      <c r="C273" s="266" t="s">
        <v>785</v>
      </c>
      <c r="D273" s="124" t="s">
        <v>786</v>
      </c>
      <c r="E273" s="125"/>
      <c r="F273" s="118" t="s">
        <v>622</v>
      </c>
      <c r="G273" s="126" t="str">
        <f t="shared" si="27"/>
        <v>AR-T2S-6</v>
      </c>
      <c r="H273" s="253" t="s">
        <v>368</v>
      </c>
      <c r="I273" s="76">
        <v>1</v>
      </c>
      <c r="J273" s="299" t="s">
        <v>286</v>
      </c>
      <c r="K273" s="299"/>
      <c r="L273" s="288"/>
      <c r="Q273" s="288"/>
    </row>
    <row r="274" spans="2:17" s="95" customFormat="1" ht="14.25" hidden="1" customHeight="1" outlineLevel="1">
      <c r="B274" s="119" t="s">
        <v>272</v>
      </c>
      <c r="C274" s="266" t="s">
        <v>787</v>
      </c>
      <c r="D274" s="124" t="s">
        <v>788</v>
      </c>
      <c r="E274" s="125"/>
      <c r="F274" s="118" t="s">
        <v>622</v>
      </c>
      <c r="G274" s="126" t="str">
        <f t="shared" si="27"/>
        <v>AR-T2S-6</v>
      </c>
      <c r="H274" s="253" t="s">
        <v>368</v>
      </c>
      <c r="I274" s="76">
        <v>1</v>
      </c>
      <c r="J274" s="299" t="s">
        <v>286</v>
      </c>
      <c r="K274" s="299"/>
      <c r="L274" s="288"/>
      <c r="Q274" s="288"/>
    </row>
    <row r="275" spans="2:17" s="95" customFormat="1" ht="14.25" hidden="1" customHeight="1" outlineLevel="1">
      <c r="B275" s="119" t="s">
        <v>272</v>
      </c>
      <c r="C275" s="266" t="s">
        <v>789</v>
      </c>
      <c r="D275" s="124" t="s">
        <v>790</v>
      </c>
      <c r="E275" s="125"/>
      <c r="F275" s="118" t="s">
        <v>622</v>
      </c>
      <c r="G275" s="126" t="str">
        <f t="shared" si="27"/>
        <v>AR-T2S-6</v>
      </c>
      <c r="H275" s="253" t="s">
        <v>368</v>
      </c>
      <c r="I275" s="76">
        <v>1</v>
      </c>
      <c r="J275" s="299" t="s">
        <v>286</v>
      </c>
      <c r="K275" s="299"/>
      <c r="L275" s="288"/>
      <c r="Q275" s="288"/>
    </row>
    <row r="276" spans="2:17" s="95" customFormat="1" ht="14.25" hidden="1" customHeight="1" outlineLevel="1">
      <c r="B276" s="119" t="s">
        <v>272</v>
      </c>
      <c r="C276" s="266" t="s">
        <v>791</v>
      </c>
      <c r="D276" s="124" t="s">
        <v>792</v>
      </c>
      <c r="E276" s="125"/>
      <c r="F276" s="118" t="s">
        <v>622</v>
      </c>
      <c r="G276" s="126" t="str">
        <f t="shared" si="27"/>
        <v>AR-T2S-6</v>
      </c>
      <c r="H276" s="253" t="s">
        <v>368</v>
      </c>
      <c r="I276" s="76">
        <v>1</v>
      </c>
      <c r="J276" s="299" t="s">
        <v>286</v>
      </c>
      <c r="K276" s="299"/>
      <c r="L276" s="288"/>
      <c r="Q276" s="288"/>
    </row>
    <row r="277" spans="2:17" s="95" customFormat="1" ht="14.25" hidden="1" customHeight="1" outlineLevel="1">
      <c r="B277" s="119" t="s">
        <v>272</v>
      </c>
      <c r="C277" s="266" t="s">
        <v>793</v>
      </c>
      <c r="D277" s="124" t="s">
        <v>794</v>
      </c>
      <c r="E277" s="125"/>
      <c r="F277" s="118" t="s">
        <v>622</v>
      </c>
      <c r="G277" s="126" t="str">
        <f t="shared" si="27"/>
        <v>AR-T2S-6</v>
      </c>
      <c r="H277" s="253" t="s">
        <v>368</v>
      </c>
      <c r="I277" s="76">
        <v>1</v>
      </c>
      <c r="J277" s="299" t="s">
        <v>286</v>
      </c>
      <c r="K277" s="299"/>
      <c r="L277" s="288"/>
      <c r="Q277" s="288"/>
    </row>
    <row r="278" spans="2:17" s="95" customFormat="1" ht="14.25" hidden="1" customHeight="1" outlineLevel="1">
      <c r="B278" s="119" t="s">
        <v>272</v>
      </c>
      <c r="C278" s="266" t="s">
        <v>795</v>
      </c>
      <c r="D278" s="124" t="s">
        <v>796</v>
      </c>
      <c r="E278" s="125"/>
      <c r="F278" s="118" t="s">
        <v>622</v>
      </c>
      <c r="G278" s="126" t="str">
        <f t="shared" si="27"/>
        <v>AR-T2S-6</v>
      </c>
      <c r="H278" s="253" t="s">
        <v>368</v>
      </c>
      <c r="I278" s="76">
        <v>1</v>
      </c>
      <c r="J278" s="299" t="s">
        <v>286</v>
      </c>
      <c r="K278" s="299"/>
      <c r="L278" s="288"/>
      <c r="Q278" s="288"/>
    </row>
    <row r="279" spans="2:17" s="95" customFormat="1" ht="14.25" hidden="1" customHeight="1" outlineLevel="1">
      <c r="B279" s="119" t="s">
        <v>272</v>
      </c>
      <c r="C279" s="266" t="s">
        <v>797</v>
      </c>
      <c r="D279" s="124" t="s">
        <v>798</v>
      </c>
      <c r="E279" s="125"/>
      <c r="F279" s="118" t="s">
        <v>622</v>
      </c>
      <c r="G279" s="126" t="str">
        <f>CONCATENATE("AR-",F279,"-",H279)</f>
        <v>AR-T2S-6</v>
      </c>
      <c r="H279" s="253" t="s">
        <v>368</v>
      </c>
      <c r="I279" s="76">
        <v>1</v>
      </c>
      <c r="J279" s="299" t="s">
        <v>310</v>
      </c>
      <c r="K279" s="299"/>
      <c r="L279" s="288"/>
      <c r="Q279" s="288"/>
    </row>
    <row r="280" spans="2:17" s="95" customFormat="1" ht="14.25" hidden="1" customHeight="1" outlineLevel="1">
      <c r="B280" s="119" t="s">
        <v>272</v>
      </c>
      <c r="C280" s="266" t="s">
        <v>799</v>
      </c>
      <c r="D280" s="124" t="s">
        <v>800</v>
      </c>
      <c r="E280" s="125"/>
      <c r="F280" s="118" t="s">
        <v>622</v>
      </c>
      <c r="G280" s="126" t="str">
        <f>CONCATENATE("AR-",F280,"-",H280)</f>
        <v>AR-T2S-6</v>
      </c>
      <c r="H280" s="253" t="s">
        <v>368</v>
      </c>
      <c r="I280" s="76">
        <v>1</v>
      </c>
      <c r="J280" s="299" t="s">
        <v>310</v>
      </c>
      <c r="K280" s="299"/>
      <c r="L280" s="288"/>
      <c r="Q280" s="288"/>
    </row>
    <row r="281" spans="2:17" s="95" customFormat="1" ht="14.25" hidden="1" customHeight="1" outlineLevel="1">
      <c r="B281" s="119" t="s">
        <v>272</v>
      </c>
      <c r="C281" s="266" t="s">
        <v>801</v>
      </c>
      <c r="D281" s="124" t="s">
        <v>800</v>
      </c>
      <c r="E281" s="125"/>
      <c r="F281" s="118" t="s">
        <v>622</v>
      </c>
      <c r="G281" s="126" t="str">
        <f>CONCATENATE("AR-",F281,"-",H281)</f>
        <v>AR-T2S-6</v>
      </c>
      <c r="H281" s="253" t="s">
        <v>368</v>
      </c>
      <c r="I281" s="76">
        <v>1</v>
      </c>
      <c r="J281" s="299" t="s">
        <v>310</v>
      </c>
      <c r="K281" s="299"/>
      <c r="L281" s="288"/>
      <c r="Q281" s="288"/>
    </row>
    <row r="282" spans="2:17" s="95" customFormat="1" ht="14.25" hidden="1" customHeight="1" outlineLevel="1">
      <c r="B282" s="119" t="s">
        <v>272</v>
      </c>
      <c r="C282" s="266" t="s">
        <v>802</v>
      </c>
      <c r="D282" s="124" t="s">
        <v>803</v>
      </c>
      <c r="E282" s="125"/>
      <c r="F282" s="118" t="s">
        <v>622</v>
      </c>
      <c r="G282" s="126" t="str">
        <f t="shared" ref="G282:G287" si="28">CONCATENATE("AR-",F282,"-",H282)</f>
        <v>AR-T2S-6</v>
      </c>
      <c r="H282" s="253" t="s">
        <v>368</v>
      </c>
      <c r="I282" s="76">
        <v>1</v>
      </c>
      <c r="J282" s="299" t="s">
        <v>743</v>
      </c>
      <c r="K282" s="299"/>
      <c r="L282" s="288"/>
      <c r="Q282" s="288"/>
    </row>
    <row r="283" spans="2:17" s="95" customFormat="1" ht="14.25" hidden="1" customHeight="1" outlineLevel="1">
      <c r="B283" s="119" t="s">
        <v>272</v>
      </c>
      <c r="C283" s="266" t="s">
        <v>804</v>
      </c>
      <c r="D283" s="124" t="s">
        <v>805</v>
      </c>
      <c r="E283" s="125"/>
      <c r="F283" s="118" t="s">
        <v>622</v>
      </c>
      <c r="G283" s="126" t="str">
        <f t="shared" si="28"/>
        <v>AR-T2S-6</v>
      </c>
      <c r="H283" s="253" t="s">
        <v>368</v>
      </c>
      <c r="I283" s="76">
        <v>1</v>
      </c>
      <c r="J283" s="299" t="s">
        <v>310</v>
      </c>
      <c r="K283" s="299"/>
      <c r="L283" s="288"/>
      <c r="Q283" s="288"/>
    </row>
    <row r="284" spans="2:17" s="95" customFormat="1" ht="14.25" hidden="1" customHeight="1" outlineLevel="1">
      <c r="B284" s="119" t="s">
        <v>272</v>
      </c>
      <c r="C284" s="266" t="s">
        <v>415</v>
      </c>
      <c r="D284" s="124" t="s">
        <v>416</v>
      </c>
      <c r="E284" s="125"/>
      <c r="F284" s="118" t="s">
        <v>622</v>
      </c>
      <c r="G284" s="126" t="str">
        <f t="shared" si="28"/>
        <v>AR-T2S-7</v>
      </c>
      <c r="H284" s="253" t="s">
        <v>373</v>
      </c>
      <c r="I284" s="76">
        <v>1</v>
      </c>
      <c r="J284" s="299" t="s">
        <v>286</v>
      </c>
      <c r="K284" s="299"/>
      <c r="L284" s="288"/>
      <c r="Q284" s="288"/>
    </row>
    <row r="285" spans="2:17" s="95" customFormat="1" ht="14.25" hidden="1" customHeight="1" outlineLevel="1">
      <c r="B285" s="119" t="s">
        <v>272</v>
      </c>
      <c r="C285" s="266" t="s">
        <v>806</v>
      </c>
      <c r="D285" s="124" t="s">
        <v>807</v>
      </c>
      <c r="E285" s="125"/>
      <c r="F285" s="118" t="s">
        <v>622</v>
      </c>
      <c r="G285" s="126" t="str">
        <f t="shared" si="28"/>
        <v>AR-T2S-7</v>
      </c>
      <c r="H285" s="253" t="s">
        <v>373</v>
      </c>
      <c r="I285" s="76">
        <v>1</v>
      </c>
      <c r="J285" s="299" t="s">
        <v>286</v>
      </c>
      <c r="K285" s="299"/>
      <c r="L285" s="288"/>
      <c r="Q285" s="288"/>
    </row>
    <row r="286" spans="2:17" s="95" customFormat="1" ht="14.25" hidden="1" customHeight="1" outlineLevel="1">
      <c r="B286" s="119" t="s">
        <v>272</v>
      </c>
      <c r="C286" s="266" t="s">
        <v>808</v>
      </c>
      <c r="D286" s="124" t="s">
        <v>809</v>
      </c>
      <c r="E286" s="125"/>
      <c r="F286" s="118" t="s">
        <v>622</v>
      </c>
      <c r="G286" s="126" t="str">
        <f t="shared" si="28"/>
        <v>AR-T2S-7</v>
      </c>
      <c r="H286" s="253" t="s">
        <v>373</v>
      </c>
      <c r="I286" s="76">
        <v>1</v>
      </c>
      <c r="J286" s="299" t="s">
        <v>286</v>
      </c>
      <c r="K286" s="299"/>
      <c r="L286" s="288"/>
      <c r="Q286" s="288"/>
    </row>
    <row r="287" spans="2:17" s="95" customFormat="1" ht="14.25" hidden="1" customHeight="1" outlineLevel="1">
      <c r="B287" s="119" t="s">
        <v>272</v>
      </c>
      <c r="C287" s="266" t="s">
        <v>810</v>
      </c>
      <c r="D287" s="124" t="s">
        <v>811</v>
      </c>
      <c r="E287" s="125"/>
      <c r="F287" s="118" t="s">
        <v>622</v>
      </c>
      <c r="G287" s="126" t="str">
        <f t="shared" si="28"/>
        <v>AR-T2S-8</v>
      </c>
      <c r="H287" s="253" t="s">
        <v>410</v>
      </c>
      <c r="I287" s="76">
        <v>1</v>
      </c>
      <c r="J287" s="299" t="s">
        <v>286</v>
      </c>
      <c r="K287" s="299"/>
      <c r="L287" s="288"/>
      <c r="Q287" s="288"/>
    </row>
    <row r="288" spans="2:17" s="95" customFormat="1" ht="14.25" hidden="1" customHeight="1" outlineLevel="1">
      <c r="B288" s="119" t="s">
        <v>272</v>
      </c>
      <c r="C288" s="266" t="s">
        <v>812</v>
      </c>
      <c r="D288" s="124" t="s">
        <v>813</v>
      </c>
      <c r="E288" s="125"/>
      <c r="F288" s="118" t="s">
        <v>622</v>
      </c>
      <c r="G288" s="126" t="str">
        <f t="shared" ref="G288:G294" si="29">CONCATENATE("AR-",F288,"-",H288)</f>
        <v>AR-T2S-9</v>
      </c>
      <c r="H288" s="253" t="s">
        <v>421</v>
      </c>
      <c r="I288" s="76">
        <v>1</v>
      </c>
      <c r="J288" s="299" t="s">
        <v>286</v>
      </c>
      <c r="K288" s="299"/>
      <c r="L288" s="288"/>
      <c r="Q288" s="288"/>
    </row>
    <row r="289" spans="1:21" s="95" customFormat="1" ht="14.25" hidden="1" customHeight="1" outlineLevel="1">
      <c r="B289" s="119" t="s">
        <v>272</v>
      </c>
      <c r="C289" s="266" t="s">
        <v>814</v>
      </c>
      <c r="D289" s="124" t="s">
        <v>815</v>
      </c>
      <c r="E289" s="125"/>
      <c r="F289" s="118" t="s">
        <v>622</v>
      </c>
      <c r="G289" s="126" t="str">
        <f t="shared" si="29"/>
        <v>AR-T2S-9</v>
      </c>
      <c r="H289" s="253" t="s">
        <v>421</v>
      </c>
      <c r="I289" s="76">
        <v>1</v>
      </c>
      <c r="J289" s="299" t="s">
        <v>286</v>
      </c>
      <c r="K289" s="299"/>
      <c r="L289" s="288"/>
      <c r="Q289" s="288"/>
    </row>
    <row r="290" spans="1:21" s="95" customFormat="1" ht="14.25" hidden="1" customHeight="1" outlineLevel="1">
      <c r="B290" s="119" t="s">
        <v>272</v>
      </c>
      <c r="C290" s="266" t="s">
        <v>816</v>
      </c>
      <c r="D290" s="124" t="s">
        <v>817</v>
      </c>
      <c r="E290" s="125"/>
      <c r="F290" s="118" t="s">
        <v>622</v>
      </c>
      <c r="G290" s="126" t="str">
        <f t="shared" si="29"/>
        <v>AR-T2S-9</v>
      </c>
      <c r="H290" s="253" t="s">
        <v>421</v>
      </c>
      <c r="I290" s="76">
        <v>1</v>
      </c>
      <c r="J290" s="299" t="s">
        <v>286</v>
      </c>
      <c r="K290" s="299"/>
      <c r="L290" s="288"/>
      <c r="Q290" s="288"/>
    </row>
    <row r="291" spans="1:21" s="95" customFormat="1" ht="14.1" hidden="1" customHeight="1" outlineLevel="1">
      <c r="B291" s="119" t="s">
        <v>272</v>
      </c>
      <c r="C291" s="266" t="s">
        <v>818</v>
      </c>
      <c r="D291" s="124" t="s">
        <v>819</v>
      </c>
      <c r="E291" s="125"/>
      <c r="F291" s="118" t="s">
        <v>622</v>
      </c>
      <c r="G291" s="126" t="str">
        <f t="shared" si="29"/>
        <v>AR-T2S-9</v>
      </c>
      <c r="H291" s="253" t="s">
        <v>421</v>
      </c>
      <c r="I291" s="76">
        <v>1</v>
      </c>
      <c r="J291" s="299" t="s">
        <v>286</v>
      </c>
      <c r="K291" s="299"/>
      <c r="L291" s="288"/>
      <c r="Q291" s="288"/>
    </row>
    <row r="292" spans="1:21" s="95" customFormat="1" ht="14.1" hidden="1" customHeight="1" outlineLevel="1">
      <c r="B292" s="119" t="s">
        <v>272</v>
      </c>
      <c r="C292" s="266" t="s">
        <v>820</v>
      </c>
      <c r="D292" s="124" t="s">
        <v>821</v>
      </c>
      <c r="E292" s="125"/>
      <c r="F292" s="118" t="s">
        <v>622</v>
      </c>
      <c r="G292" s="126" t="str">
        <f t="shared" si="29"/>
        <v>AR-T2S-9</v>
      </c>
      <c r="H292" s="253" t="s">
        <v>421</v>
      </c>
      <c r="I292" s="76">
        <v>1</v>
      </c>
      <c r="J292" s="299" t="s">
        <v>286</v>
      </c>
      <c r="K292" s="299"/>
      <c r="L292" s="288"/>
      <c r="Q292" s="288"/>
    </row>
    <row r="293" spans="1:21" s="95" customFormat="1" ht="14.1" hidden="1" customHeight="1" outlineLevel="1">
      <c r="B293" s="119" t="s">
        <v>272</v>
      </c>
      <c r="C293" s="266" t="s">
        <v>822</v>
      </c>
      <c r="D293" s="124" t="s">
        <v>823</v>
      </c>
      <c r="E293" s="125"/>
      <c r="F293" s="118" t="s">
        <v>622</v>
      </c>
      <c r="G293" s="126" t="str">
        <f t="shared" si="29"/>
        <v>AR-T2S-9</v>
      </c>
      <c r="H293" s="253" t="s">
        <v>421</v>
      </c>
      <c r="I293" s="76">
        <v>1</v>
      </c>
      <c r="J293" s="299" t="s">
        <v>286</v>
      </c>
      <c r="K293" s="299"/>
      <c r="L293" s="288"/>
      <c r="Q293" s="288"/>
    </row>
    <row r="294" spans="1:21" s="95" customFormat="1" ht="14.1" hidden="1" customHeight="1" outlineLevel="1">
      <c r="B294" s="119" t="s">
        <v>272</v>
      </c>
      <c r="C294" s="266" t="s">
        <v>824</v>
      </c>
      <c r="D294" s="124" t="s">
        <v>825</v>
      </c>
      <c r="E294" s="125"/>
      <c r="F294" s="118" t="s">
        <v>622</v>
      </c>
      <c r="G294" s="126" t="str">
        <f t="shared" si="29"/>
        <v>AR-T2S-9</v>
      </c>
      <c r="H294" s="253" t="s">
        <v>421</v>
      </c>
      <c r="I294" s="76">
        <v>1</v>
      </c>
      <c r="J294" s="299" t="s">
        <v>286</v>
      </c>
      <c r="K294" s="299"/>
      <c r="L294" s="288"/>
      <c r="Q294" s="288"/>
    </row>
    <row r="295" spans="1:21" s="83" customFormat="1" ht="3" hidden="1" customHeight="1">
      <c r="A295" s="264"/>
      <c r="B295" s="119"/>
      <c r="C295" s="266"/>
      <c r="D295" s="124" t="s">
        <v>299</v>
      </c>
      <c r="E295" s="125"/>
      <c r="F295" s="118"/>
      <c r="G295" s="126"/>
      <c r="H295" s="253"/>
      <c r="I295" s="76"/>
      <c r="J295" s="300"/>
      <c r="K295" s="300"/>
      <c r="L295" s="86"/>
      <c r="Q295" s="86"/>
    </row>
    <row r="296" spans="1:21" s="83" customFormat="1" ht="13.5" hidden="1" collapsed="1">
      <c r="A296" s="72" t="s">
        <v>826</v>
      </c>
      <c r="B296" s="85"/>
      <c r="C296" s="269"/>
      <c r="D296" s="85" t="s">
        <v>299</v>
      </c>
      <c r="E296" s="390"/>
      <c r="F296" s="73"/>
      <c r="G296" s="73"/>
      <c r="H296" s="74"/>
      <c r="I296" s="76"/>
      <c r="J296" s="299"/>
      <c r="K296" s="299"/>
      <c r="L296" s="75"/>
      <c r="M296" s="75"/>
      <c r="N296" s="75"/>
      <c r="O296" s="75"/>
      <c r="P296" s="75"/>
      <c r="Q296" s="75"/>
      <c r="R296" s="75"/>
      <c r="S296" s="75"/>
      <c r="T296" s="75"/>
      <c r="U296" s="75"/>
    </row>
    <row r="297" spans="1:21" s="83" customFormat="1" ht="3" hidden="1" customHeight="1" outlineLevel="2">
      <c r="A297" s="261"/>
      <c r="B297" s="119"/>
      <c r="C297" s="266"/>
      <c r="D297" s="124" t="s">
        <v>299</v>
      </c>
      <c r="E297" s="125"/>
      <c r="F297" s="118"/>
      <c r="G297" s="126"/>
      <c r="H297" s="253"/>
      <c r="I297" s="76"/>
      <c r="J297" s="300"/>
      <c r="K297" s="300"/>
      <c r="L297" s="86"/>
      <c r="Q297" s="86"/>
    </row>
    <row r="298" spans="1:21" s="95" customFormat="1" ht="13.5" hidden="1" outlineLevel="2">
      <c r="B298" s="119" t="s">
        <v>272</v>
      </c>
      <c r="C298" s="266" t="s">
        <v>827</v>
      </c>
      <c r="D298" s="124" t="s">
        <v>473</v>
      </c>
      <c r="E298" s="125"/>
      <c r="F298" s="118" t="s">
        <v>828</v>
      </c>
      <c r="G298" s="126" t="str">
        <f t="shared" ref="G298:G341" si="30">CONCATENATE("AR-",F298,"-",H298)</f>
        <v>AR-TXV-1</v>
      </c>
      <c r="H298" s="253" t="s">
        <v>304</v>
      </c>
      <c r="I298" s="76">
        <v>1</v>
      </c>
      <c r="J298" s="299" t="s">
        <v>286</v>
      </c>
      <c r="K298" s="299"/>
      <c r="L298" s="288"/>
      <c r="Q298" s="288"/>
    </row>
    <row r="299" spans="1:21" s="95" customFormat="1" ht="13.5" hidden="1" outlineLevel="2">
      <c r="B299" s="119" t="s">
        <v>272</v>
      </c>
      <c r="C299" s="266" t="s">
        <v>829</v>
      </c>
      <c r="D299" s="124" t="s">
        <v>830</v>
      </c>
      <c r="E299" s="125"/>
      <c r="F299" s="118" t="s">
        <v>828</v>
      </c>
      <c r="G299" s="126" t="str">
        <f t="shared" si="30"/>
        <v>AR-TXV-1</v>
      </c>
      <c r="H299" s="253" t="s">
        <v>304</v>
      </c>
      <c r="I299" s="76">
        <v>1</v>
      </c>
      <c r="J299" s="299" t="s">
        <v>286</v>
      </c>
      <c r="K299" s="299"/>
      <c r="L299" s="288"/>
      <c r="Q299" s="288"/>
    </row>
    <row r="300" spans="1:21" s="95" customFormat="1" ht="13.5" hidden="1" outlineLevel="2">
      <c r="B300" s="119" t="s">
        <v>272</v>
      </c>
      <c r="C300" s="266" t="s">
        <v>831</v>
      </c>
      <c r="D300" s="124" t="s">
        <v>476</v>
      </c>
      <c r="E300" s="125"/>
      <c r="F300" s="118" t="s">
        <v>828</v>
      </c>
      <c r="G300" s="126" t="str">
        <f t="shared" si="30"/>
        <v>AR-TXV-1</v>
      </c>
      <c r="H300" s="253" t="s">
        <v>304</v>
      </c>
      <c r="I300" s="76">
        <v>1</v>
      </c>
      <c r="J300" s="299" t="s">
        <v>286</v>
      </c>
      <c r="K300" s="299"/>
      <c r="L300" s="288"/>
      <c r="Q300" s="288"/>
    </row>
    <row r="301" spans="1:21" s="95" customFormat="1" ht="13.5" hidden="1" outlineLevel="2">
      <c r="B301" s="119" t="s">
        <v>272</v>
      </c>
      <c r="C301" s="266" t="s">
        <v>832</v>
      </c>
      <c r="D301" s="124" t="s">
        <v>833</v>
      </c>
      <c r="E301" s="125"/>
      <c r="F301" s="118" t="s">
        <v>828</v>
      </c>
      <c r="G301" s="126" t="str">
        <f t="shared" si="30"/>
        <v>AR-TXV-1</v>
      </c>
      <c r="H301" s="253" t="s">
        <v>304</v>
      </c>
      <c r="I301" s="76">
        <v>1</v>
      </c>
      <c r="J301" s="299" t="s">
        <v>286</v>
      </c>
      <c r="K301" s="299"/>
      <c r="L301" s="288"/>
      <c r="Q301" s="288"/>
    </row>
    <row r="302" spans="1:21" s="95" customFormat="1" ht="13.5" hidden="1" outlineLevel="2">
      <c r="B302" s="119" t="s">
        <v>272</v>
      </c>
      <c r="C302" s="266" t="s">
        <v>834</v>
      </c>
      <c r="D302" s="124" t="s">
        <v>435</v>
      </c>
      <c r="E302" s="125"/>
      <c r="F302" s="118" t="s">
        <v>828</v>
      </c>
      <c r="G302" s="126" t="str">
        <f t="shared" si="30"/>
        <v>AR-TXV-1</v>
      </c>
      <c r="H302" s="253" t="s">
        <v>304</v>
      </c>
      <c r="I302" s="76">
        <v>1</v>
      </c>
      <c r="J302" s="299" t="s">
        <v>286</v>
      </c>
      <c r="K302" s="299"/>
      <c r="L302" s="288"/>
      <c r="Q302" s="288"/>
    </row>
    <row r="303" spans="1:21" s="95" customFormat="1" ht="13.5" hidden="1" outlineLevel="2">
      <c r="B303" s="119" t="s">
        <v>272</v>
      </c>
      <c r="C303" s="266" t="s">
        <v>835</v>
      </c>
      <c r="D303" s="124" t="s">
        <v>836</v>
      </c>
      <c r="E303" s="125"/>
      <c r="F303" s="118" t="s">
        <v>828</v>
      </c>
      <c r="G303" s="126" t="str">
        <f t="shared" si="30"/>
        <v>AR-TXV-1</v>
      </c>
      <c r="H303" s="253" t="s">
        <v>304</v>
      </c>
      <c r="I303" s="76">
        <v>1</v>
      </c>
      <c r="J303" s="299" t="s">
        <v>286</v>
      </c>
      <c r="K303" s="299"/>
      <c r="L303" s="288"/>
      <c r="Q303" s="288"/>
    </row>
    <row r="304" spans="1:21" s="95" customFormat="1" ht="13.5" hidden="1" outlineLevel="2">
      <c r="B304" s="119" t="s">
        <v>272</v>
      </c>
      <c r="C304" s="266" t="s">
        <v>837</v>
      </c>
      <c r="D304" s="124" t="s">
        <v>439</v>
      </c>
      <c r="E304" s="125"/>
      <c r="F304" s="118" t="s">
        <v>828</v>
      </c>
      <c r="G304" s="126" t="str">
        <f t="shared" si="30"/>
        <v>AR-TXV-1</v>
      </c>
      <c r="H304" s="253" t="s">
        <v>304</v>
      </c>
      <c r="I304" s="76">
        <v>1</v>
      </c>
      <c r="J304" s="299" t="s">
        <v>286</v>
      </c>
      <c r="K304" s="299"/>
      <c r="L304" s="288"/>
      <c r="Q304" s="288"/>
    </row>
    <row r="305" spans="2:17" s="95" customFormat="1" ht="13.5" hidden="1" outlineLevel="2">
      <c r="B305" s="119" t="s">
        <v>272</v>
      </c>
      <c r="C305" s="266" t="s">
        <v>838</v>
      </c>
      <c r="D305" s="124" t="s">
        <v>839</v>
      </c>
      <c r="E305" s="125"/>
      <c r="F305" s="118" t="s">
        <v>828</v>
      </c>
      <c r="G305" s="126" t="str">
        <f t="shared" si="30"/>
        <v>AR-TXV-1</v>
      </c>
      <c r="H305" s="253" t="s">
        <v>304</v>
      </c>
      <c r="I305" s="76">
        <v>1</v>
      </c>
      <c r="J305" s="299" t="s">
        <v>286</v>
      </c>
      <c r="K305" s="299"/>
      <c r="L305" s="288"/>
      <c r="Q305" s="288"/>
    </row>
    <row r="306" spans="2:17" s="95" customFormat="1" ht="13.5" hidden="1" outlineLevel="2">
      <c r="B306" s="119" t="s">
        <v>272</v>
      </c>
      <c r="C306" s="266" t="s">
        <v>840</v>
      </c>
      <c r="D306" s="124" t="s">
        <v>443</v>
      </c>
      <c r="E306" s="125"/>
      <c r="F306" s="118" t="s">
        <v>828</v>
      </c>
      <c r="G306" s="126" t="str">
        <f t="shared" si="30"/>
        <v>AR-TXV-1</v>
      </c>
      <c r="H306" s="253" t="s">
        <v>304</v>
      </c>
      <c r="I306" s="76">
        <v>1</v>
      </c>
      <c r="J306" s="299" t="s">
        <v>286</v>
      </c>
      <c r="K306" s="299"/>
      <c r="L306" s="288"/>
      <c r="Q306" s="288"/>
    </row>
    <row r="307" spans="2:17" s="95" customFormat="1" ht="13.5" hidden="1" outlineLevel="2">
      <c r="B307" s="119" t="s">
        <v>272</v>
      </c>
      <c r="C307" s="266" t="s">
        <v>841</v>
      </c>
      <c r="D307" s="124" t="s">
        <v>842</v>
      </c>
      <c r="E307" s="125"/>
      <c r="F307" s="118" t="s">
        <v>828</v>
      </c>
      <c r="G307" s="126" t="str">
        <f t="shared" si="30"/>
        <v>AR-TXV-1</v>
      </c>
      <c r="H307" s="253" t="s">
        <v>304</v>
      </c>
      <c r="I307" s="76">
        <v>1</v>
      </c>
      <c r="J307" s="299" t="s">
        <v>286</v>
      </c>
      <c r="K307" s="299"/>
      <c r="L307" s="288"/>
      <c r="Q307" s="288"/>
    </row>
    <row r="308" spans="2:17" s="95" customFormat="1" ht="13.5" hidden="1" outlineLevel="2">
      <c r="B308" s="119" t="s">
        <v>272</v>
      </c>
      <c r="C308" s="266" t="s">
        <v>843</v>
      </c>
      <c r="D308" s="124" t="s">
        <v>844</v>
      </c>
      <c r="E308" s="125"/>
      <c r="F308" s="118" t="s">
        <v>828</v>
      </c>
      <c r="G308" s="126" t="str">
        <f t="shared" si="30"/>
        <v>AR-TXV-1</v>
      </c>
      <c r="H308" s="253" t="s">
        <v>304</v>
      </c>
      <c r="I308" s="76">
        <v>1</v>
      </c>
      <c r="J308" s="299" t="s">
        <v>286</v>
      </c>
      <c r="K308" s="299"/>
      <c r="L308" s="288"/>
      <c r="Q308" s="288"/>
    </row>
    <row r="309" spans="2:17" s="95" customFormat="1" ht="13.5" hidden="1" outlineLevel="2">
      <c r="B309" s="119" t="s">
        <v>272</v>
      </c>
      <c r="C309" s="266" t="s">
        <v>845</v>
      </c>
      <c r="D309" s="124" t="s">
        <v>846</v>
      </c>
      <c r="E309" s="125"/>
      <c r="F309" s="118" t="s">
        <v>828</v>
      </c>
      <c r="G309" s="126" t="str">
        <f t="shared" si="30"/>
        <v>AR-TXV-1</v>
      </c>
      <c r="H309" s="253" t="s">
        <v>304</v>
      </c>
      <c r="I309" s="76">
        <v>1</v>
      </c>
      <c r="J309" s="299" t="s">
        <v>286</v>
      </c>
      <c r="K309" s="299"/>
      <c r="L309" s="288"/>
      <c r="Q309" s="288"/>
    </row>
    <row r="310" spans="2:17" s="95" customFormat="1" ht="13.5" hidden="1" outlineLevel="2">
      <c r="B310" s="119" t="s">
        <v>272</v>
      </c>
      <c r="C310" s="266" t="s">
        <v>847</v>
      </c>
      <c r="D310" s="124" t="s">
        <v>848</v>
      </c>
      <c r="E310" s="125"/>
      <c r="F310" s="118" t="s">
        <v>828</v>
      </c>
      <c r="G310" s="126" t="str">
        <f t="shared" si="30"/>
        <v>AR-TXV-1</v>
      </c>
      <c r="H310" s="253" t="s">
        <v>304</v>
      </c>
      <c r="I310" s="76">
        <v>1</v>
      </c>
      <c r="J310" s="299" t="s">
        <v>286</v>
      </c>
      <c r="K310" s="299"/>
      <c r="L310" s="288"/>
      <c r="Q310" s="288"/>
    </row>
    <row r="311" spans="2:17" s="95" customFormat="1" ht="13.5" hidden="1" outlineLevel="2">
      <c r="B311" s="119" t="s">
        <v>272</v>
      </c>
      <c r="C311" s="266" t="s">
        <v>849</v>
      </c>
      <c r="D311" s="124" t="s">
        <v>850</v>
      </c>
      <c r="E311" s="125"/>
      <c r="F311" s="118" t="s">
        <v>828</v>
      </c>
      <c r="G311" s="126" t="str">
        <f t="shared" si="30"/>
        <v>AR-TXV-1</v>
      </c>
      <c r="H311" s="253" t="s">
        <v>304</v>
      </c>
      <c r="I311" s="76">
        <v>1</v>
      </c>
      <c r="J311" s="299" t="s">
        <v>286</v>
      </c>
      <c r="K311" s="299"/>
      <c r="L311" s="288"/>
      <c r="Q311" s="288"/>
    </row>
    <row r="312" spans="2:17" s="95" customFormat="1" ht="13.5" hidden="1" outlineLevel="2">
      <c r="B312" s="119" t="s">
        <v>272</v>
      </c>
      <c r="C312" s="266" t="s">
        <v>851</v>
      </c>
      <c r="D312" s="124" t="s">
        <v>852</v>
      </c>
      <c r="E312" s="125"/>
      <c r="F312" s="118" t="s">
        <v>828</v>
      </c>
      <c r="G312" s="126" t="str">
        <f t="shared" si="30"/>
        <v>AR-TXV-1</v>
      </c>
      <c r="H312" s="253" t="s">
        <v>304</v>
      </c>
      <c r="I312" s="76">
        <v>1</v>
      </c>
      <c r="J312" s="299" t="s">
        <v>286</v>
      </c>
      <c r="K312" s="299"/>
      <c r="L312" s="288"/>
      <c r="Q312" s="288"/>
    </row>
    <row r="313" spans="2:17" s="95" customFormat="1" ht="13.5" hidden="1" outlineLevel="2">
      <c r="B313" s="119" t="s">
        <v>272</v>
      </c>
      <c r="C313" s="266" t="s">
        <v>853</v>
      </c>
      <c r="D313" s="124" t="s">
        <v>854</v>
      </c>
      <c r="E313" s="125"/>
      <c r="F313" s="118" t="s">
        <v>828</v>
      </c>
      <c r="G313" s="126" t="str">
        <f t="shared" si="30"/>
        <v>AR-TXV-1</v>
      </c>
      <c r="H313" s="253" t="s">
        <v>304</v>
      </c>
      <c r="I313" s="76">
        <v>1</v>
      </c>
      <c r="J313" s="299" t="s">
        <v>286</v>
      </c>
      <c r="K313" s="299"/>
      <c r="L313" s="288"/>
      <c r="Q313" s="288"/>
    </row>
    <row r="314" spans="2:17" s="95" customFormat="1" ht="13.5" hidden="1" outlineLevel="2">
      <c r="B314" s="119" t="s">
        <v>272</v>
      </c>
      <c r="C314" s="266" t="s">
        <v>855</v>
      </c>
      <c r="D314" s="124" t="s">
        <v>856</v>
      </c>
      <c r="E314" s="125"/>
      <c r="F314" s="118" t="s">
        <v>828</v>
      </c>
      <c r="G314" s="126" t="str">
        <f t="shared" si="30"/>
        <v>AR-TXV-1</v>
      </c>
      <c r="H314" s="253" t="s">
        <v>304</v>
      </c>
      <c r="I314" s="76">
        <v>1</v>
      </c>
      <c r="J314" s="299" t="s">
        <v>286</v>
      </c>
      <c r="K314" s="299"/>
      <c r="L314" s="288"/>
      <c r="Q314" s="288"/>
    </row>
    <row r="315" spans="2:17" s="95" customFormat="1" ht="13.5" hidden="1" outlineLevel="2">
      <c r="B315" s="119" t="s">
        <v>272</v>
      </c>
      <c r="C315" s="266" t="s">
        <v>857</v>
      </c>
      <c r="D315" s="124" t="s">
        <v>858</v>
      </c>
      <c r="E315" s="125"/>
      <c r="F315" s="118" t="s">
        <v>828</v>
      </c>
      <c r="G315" s="126" t="str">
        <f t="shared" si="30"/>
        <v>AR-TXV-1</v>
      </c>
      <c r="H315" s="253" t="s">
        <v>304</v>
      </c>
      <c r="I315" s="76">
        <v>1</v>
      </c>
      <c r="J315" s="299" t="s">
        <v>286</v>
      </c>
      <c r="K315" s="299"/>
      <c r="L315" s="288"/>
      <c r="Q315" s="288"/>
    </row>
    <row r="316" spans="2:17" s="95" customFormat="1" ht="13.5" hidden="1" outlineLevel="2">
      <c r="B316" s="119" t="s">
        <v>272</v>
      </c>
      <c r="C316" s="266" t="s">
        <v>859</v>
      </c>
      <c r="D316" s="124" t="s">
        <v>860</v>
      </c>
      <c r="E316" s="125"/>
      <c r="F316" s="118" t="s">
        <v>828</v>
      </c>
      <c r="G316" s="126" t="str">
        <f t="shared" si="30"/>
        <v>AR-TXV-1</v>
      </c>
      <c r="H316" s="253" t="s">
        <v>304</v>
      </c>
      <c r="I316" s="76">
        <v>1</v>
      </c>
      <c r="J316" s="299" t="s">
        <v>286</v>
      </c>
      <c r="K316" s="299"/>
      <c r="L316" s="288"/>
      <c r="Q316" s="288"/>
    </row>
    <row r="317" spans="2:17" s="95" customFormat="1" ht="13.5" hidden="1" outlineLevel="2">
      <c r="B317" s="119" t="s">
        <v>272</v>
      </c>
      <c r="C317" s="266" t="s">
        <v>861</v>
      </c>
      <c r="D317" s="124" t="s">
        <v>862</v>
      </c>
      <c r="E317" s="125"/>
      <c r="F317" s="118" t="s">
        <v>828</v>
      </c>
      <c r="G317" s="126" t="str">
        <f t="shared" si="30"/>
        <v>AR-TXV-1</v>
      </c>
      <c r="H317" s="253" t="s">
        <v>304</v>
      </c>
      <c r="I317" s="76">
        <v>1</v>
      </c>
      <c r="J317" s="299" t="s">
        <v>286</v>
      </c>
      <c r="K317" s="299"/>
      <c r="L317" s="288"/>
      <c r="Q317" s="288"/>
    </row>
    <row r="318" spans="2:17" s="95" customFormat="1" ht="13.5" hidden="1" outlineLevel="2">
      <c r="B318" s="119" t="s">
        <v>272</v>
      </c>
      <c r="C318" s="266" t="s">
        <v>863</v>
      </c>
      <c r="D318" s="124" t="s">
        <v>864</v>
      </c>
      <c r="E318" s="125"/>
      <c r="F318" s="118" t="s">
        <v>828</v>
      </c>
      <c r="G318" s="126" t="str">
        <f t="shared" si="30"/>
        <v>AR-TXV-1</v>
      </c>
      <c r="H318" s="253" t="s">
        <v>304</v>
      </c>
      <c r="I318" s="76">
        <v>1</v>
      </c>
      <c r="J318" s="299" t="s">
        <v>286</v>
      </c>
      <c r="K318" s="299"/>
      <c r="L318" s="288"/>
      <c r="Q318" s="288"/>
    </row>
    <row r="319" spans="2:17" s="95" customFormat="1" ht="13.5" hidden="1" outlineLevel="2">
      <c r="B319" s="119" t="s">
        <v>272</v>
      </c>
      <c r="C319" s="266" t="s">
        <v>865</v>
      </c>
      <c r="D319" s="124" t="s">
        <v>866</v>
      </c>
      <c r="E319" s="125"/>
      <c r="F319" s="118" t="s">
        <v>828</v>
      </c>
      <c r="G319" s="126" t="str">
        <f t="shared" si="30"/>
        <v>AR-TXV-1</v>
      </c>
      <c r="H319" s="253" t="s">
        <v>304</v>
      </c>
      <c r="I319" s="76">
        <v>1</v>
      </c>
      <c r="J319" s="299" t="s">
        <v>286</v>
      </c>
      <c r="K319" s="299"/>
      <c r="L319" s="288"/>
      <c r="Q319" s="288"/>
    </row>
    <row r="320" spans="2:17" s="95" customFormat="1" ht="13.5" hidden="1" outlineLevel="2">
      <c r="B320" s="119" t="s">
        <v>272</v>
      </c>
      <c r="C320" s="266" t="s">
        <v>867</v>
      </c>
      <c r="D320" s="124" t="s">
        <v>868</v>
      </c>
      <c r="E320" s="125"/>
      <c r="F320" s="118" t="s">
        <v>828</v>
      </c>
      <c r="G320" s="126" t="str">
        <f t="shared" si="30"/>
        <v>AR-TXV-1</v>
      </c>
      <c r="H320" s="253" t="s">
        <v>304</v>
      </c>
      <c r="I320" s="76">
        <v>1</v>
      </c>
      <c r="J320" s="299" t="s">
        <v>286</v>
      </c>
      <c r="K320" s="299"/>
      <c r="L320" s="288"/>
      <c r="Q320" s="288"/>
    </row>
    <row r="321" spans="2:17" s="95" customFormat="1" ht="13.5" hidden="1" outlineLevel="2">
      <c r="B321" s="119" t="s">
        <v>272</v>
      </c>
      <c r="C321" s="266" t="s">
        <v>869</v>
      </c>
      <c r="D321" s="124" t="s">
        <v>465</v>
      </c>
      <c r="E321" s="125"/>
      <c r="F321" s="118" t="s">
        <v>828</v>
      </c>
      <c r="G321" s="126" t="str">
        <f t="shared" si="30"/>
        <v>AR-TXV-1</v>
      </c>
      <c r="H321" s="253" t="s">
        <v>304</v>
      </c>
      <c r="I321" s="76">
        <v>1</v>
      </c>
      <c r="J321" s="299" t="s">
        <v>286</v>
      </c>
      <c r="K321" s="299"/>
      <c r="L321" s="288"/>
      <c r="Q321" s="288"/>
    </row>
    <row r="322" spans="2:17" s="95" customFormat="1" ht="13.5" hidden="1" outlineLevel="2">
      <c r="B322" s="119" t="s">
        <v>272</v>
      </c>
      <c r="C322" s="266" t="s">
        <v>870</v>
      </c>
      <c r="D322" s="124" t="s">
        <v>871</v>
      </c>
      <c r="E322" s="125"/>
      <c r="F322" s="118" t="s">
        <v>828</v>
      </c>
      <c r="G322" s="126" t="str">
        <f t="shared" si="30"/>
        <v>AR-TXV-1</v>
      </c>
      <c r="H322" s="253" t="s">
        <v>304</v>
      </c>
      <c r="I322" s="76">
        <v>1</v>
      </c>
      <c r="J322" s="299" t="s">
        <v>286</v>
      </c>
      <c r="K322" s="299"/>
      <c r="L322" s="288"/>
      <c r="Q322" s="288"/>
    </row>
    <row r="323" spans="2:17" s="95" customFormat="1" ht="13.5" hidden="1" outlineLevel="2">
      <c r="B323" s="119" t="s">
        <v>272</v>
      </c>
      <c r="C323" s="266" t="s">
        <v>872</v>
      </c>
      <c r="D323" s="124" t="s">
        <v>467</v>
      </c>
      <c r="E323" s="125"/>
      <c r="F323" s="118" t="s">
        <v>828</v>
      </c>
      <c r="G323" s="126" t="str">
        <f t="shared" si="30"/>
        <v>AR-TXV-1</v>
      </c>
      <c r="H323" s="253" t="s">
        <v>304</v>
      </c>
      <c r="I323" s="76">
        <v>1</v>
      </c>
      <c r="J323" s="299" t="s">
        <v>286</v>
      </c>
      <c r="K323" s="299"/>
      <c r="L323" s="288"/>
      <c r="Q323" s="288"/>
    </row>
    <row r="324" spans="2:17" s="95" customFormat="1" ht="13.5" hidden="1" outlineLevel="2">
      <c r="B324" s="119" t="s">
        <v>272</v>
      </c>
      <c r="C324" s="266" t="s">
        <v>873</v>
      </c>
      <c r="D324" s="124" t="s">
        <v>469</v>
      </c>
      <c r="E324" s="125"/>
      <c r="F324" s="118" t="s">
        <v>828</v>
      </c>
      <c r="G324" s="126" t="str">
        <f t="shared" si="30"/>
        <v>AR-TXV-1</v>
      </c>
      <c r="H324" s="253" t="s">
        <v>304</v>
      </c>
      <c r="I324" s="76">
        <v>1</v>
      </c>
      <c r="J324" s="299" t="s">
        <v>286</v>
      </c>
      <c r="K324" s="299"/>
      <c r="L324" s="288"/>
      <c r="Q324" s="288"/>
    </row>
    <row r="325" spans="2:17" s="95" customFormat="1" ht="13.5" hidden="1" outlineLevel="2">
      <c r="B325" s="119" t="s">
        <v>272</v>
      </c>
      <c r="C325" s="266" t="s">
        <v>874</v>
      </c>
      <c r="D325" s="124" t="s">
        <v>875</v>
      </c>
      <c r="E325" s="125"/>
      <c r="F325" s="118" t="s">
        <v>828</v>
      </c>
      <c r="G325" s="126" t="str">
        <f>CONCATENATE("AR-",F325,"-",H325)</f>
        <v>AR-TXV-2</v>
      </c>
      <c r="H325" s="253">
        <v>2</v>
      </c>
      <c r="I325" s="76">
        <v>1</v>
      </c>
      <c r="J325" s="299" t="s">
        <v>286</v>
      </c>
      <c r="K325" s="299"/>
      <c r="L325" s="288"/>
      <c r="Q325" s="288"/>
    </row>
    <row r="326" spans="2:17" s="95" customFormat="1" ht="13.5" hidden="1" outlineLevel="2">
      <c r="B326" s="119" t="s">
        <v>272</v>
      </c>
      <c r="C326" s="266" t="s">
        <v>876</v>
      </c>
      <c r="D326" s="124" t="s">
        <v>877</v>
      </c>
      <c r="E326" s="125"/>
      <c r="F326" s="118" t="s">
        <v>828</v>
      </c>
      <c r="G326" s="126" t="str">
        <f>CONCATENATE("AR-",F326,"-",H326)</f>
        <v>AR-TXV-2</v>
      </c>
      <c r="H326" s="253">
        <v>2</v>
      </c>
      <c r="I326" s="76">
        <v>1</v>
      </c>
      <c r="J326" s="299" t="s">
        <v>286</v>
      </c>
      <c r="K326" s="299"/>
      <c r="L326" s="288"/>
      <c r="Q326" s="288"/>
    </row>
    <row r="327" spans="2:17" s="95" customFormat="1" ht="13.5" hidden="1" outlineLevel="2">
      <c r="B327" s="119" t="s">
        <v>272</v>
      </c>
      <c r="C327" s="266" t="s">
        <v>347</v>
      </c>
      <c r="D327" s="124" t="s">
        <v>878</v>
      </c>
      <c r="E327" s="125"/>
      <c r="F327" s="118" t="s">
        <v>828</v>
      </c>
      <c r="G327" s="126" t="str">
        <f t="shared" si="30"/>
        <v>AR-TXV-3</v>
      </c>
      <c r="H327" s="253" t="s">
        <v>346</v>
      </c>
      <c r="I327" s="76">
        <v>1</v>
      </c>
      <c r="J327" s="299" t="s">
        <v>286</v>
      </c>
      <c r="K327" s="299"/>
      <c r="L327" s="288"/>
      <c r="Q327" s="288"/>
    </row>
    <row r="328" spans="2:17" s="95" customFormat="1" ht="13.5" hidden="1" outlineLevel="2">
      <c r="B328" s="119" t="s">
        <v>272</v>
      </c>
      <c r="C328" s="266" t="s">
        <v>879</v>
      </c>
      <c r="D328" s="124" t="s">
        <v>880</v>
      </c>
      <c r="E328" s="125"/>
      <c r="F328" s="118" t="s">
        <v>828</v>
      </c>
      <c r="G328" s="126" t="str">
        <f t="shared" si="30"/>
        <v>AR-TXV-3</v>
      </c>
      <c r="H328" s="253" t="s">
        <v>346</v>
      </c>
      <c r="I328" s="76">
        <v>1</v>
      </c>
      <c r="J328" s="299" t="s">
        <v>286</v>
      </c>
      <c r="K328" s="299"/>
      <c r="L328" s="288"/>
      <c r="Q328" s="288"/>
    </row>
    <row r="329" spans="2:17" s="95" customFormat="1" ht="13.5" hidden="1" outlineLevel="2">
      <c r="B329" s="119" t="s">
        <v>272</v>
      </c>
      <c r="C329" s="266" t="s">
        <v>881</v>
      </c>
      <c r="D329" s="124" t="s">
        <v>882</v>
      </c>
      <c r="E329" s="125"/>
      <c r="F329" s="118" t="s">
        <v>828</v>
      </c>
      <c r="G329" s="126" t="str">
        <f t="shared" si="30"/>
        <v>AR-TXV-3</v>
      </c>
      <c r="H329" s="253" t="s">
        <v>346</v>
      </c>
      <c r="I329" s="76">
        <v>1</v>
      </c>
      <c r="J329" s="299" t="s">
        <v>286</v>
      </c>
      <c r="K329" s="299"/>
      <c r="L329" s="288"/>
      <c r="Q329" s="288"/>
    </row>
    <row r="330" spans="2:17" s="95" customFormat="1" ht="13.5" hidden="1" outlineLevel="2">
      <c r="B330" s="119" t="s">
        <v>272</v>
      </c>
      <c r="C330" s="266" t="s">
        <v>883</v>
      </c>
      <c r="D330" s="124" t="s">
        <v>884</v>
      </c>
      <c r="E330" s="125"/>
      <c r="F330" s="118" t="s">
        <v>828</v>
      </c>
      <c r="G330" s="126" t="str">
        <f t="shared" si="30"/>
        <v>AR-TXV-3</v>
      </c>
      <c r="H330" s="253" t="s">
        <v>346</v>
      </c>
      <c r="I330" s="76">
        <v>1</v>
      </c>
      <c r="J330" s="299" t="s">
        <v>286</v>
      </c>
      <c r="K330" s="299"/>
      <c r="L330" s="288"/>
      <c r="Q330" s="288"/>
    </row>
    <row r="331" spans="2:17" s="95" customFormat="1" ht="13.5" hidden="1" outlineLevel="2">
      <c r="B331" s="119" t="s">
        <v>272</v>
      </c>
      <c r="C331" s="266" t="s">
        <v>885</v>
      </c>
      <c r="D331" s="124" t="s">
        <v>886</v>
      </c>
      <c r="E331" s="125"/>
      <c r="F331" s="118" t="s">
        <v>828</v>
      </c>
      <c r="G331" s="126" t="str">
        <f t="shared" si="30"/>
        <v>AR-TXV-3</v>
      </c>
      <c r="H331" s="253" t="s">
        <v>346</v>
      </c>
      <c r="I331" s="76">
        <v>1</v>
      </c>
      <c r="J331" s="299" t="s">
        <v>286</v>
      </c>
      <c r="K331" s="299"/>
      <c r="L331" s="288"/>
      <c r="Q331" s="288"/>
    </row>
    <row r="332" spans="2:17" s="95" customFormat="1" ht="13.5" hidden="1" outlineLevel="2">
      <c r="B332" s="119" t="s">
        <v>272</v>
      </c>
      <c r="C332" s="266" t="s">
        <v>887</v>
      </c>
      <c r="D332" s="124" t="s">
        <v>888</v>
      </c>
      <c r="E332" s="125"/>
      <c r="F332" s="118" t="s">
        <v>828</v>
      </c>
      <c r="G332" s="126" t="str">
        <f t="shared" si="30"/>
        <v>AR-TXV-3</v>
      </c>
      <c r="H332" s="253" t="s">
        <v>346</v>
      </c>
      <c r="I332" s="76">
        <v>1</v>
      </c>
      <c r="J332" s="299" t="s">
        <v>286</v>
      </c>
      <c r="K332" s="299"/>
      <c r="L332" s="288"/>
      <c r="Q332" s="288"/>
    </row>
    <row r="333" spans="2:17" s="95" customFormat="1" ht="13.5" hidden="1" outlineLevel="2">
      <c r="B333" s="119" t="s">
        <v>272</v>
      </c>
      <c r="C333" s="266" t="s">
        <v>889</v>
      </c>
      <c r="D333" s="124" t="s">
        <v>890</v>
      </c>
      <c r="E333" s="125"/>
      <c r="F333" s="118" t="s">
        <v>828</v>
      </c>
      <c r="G333" s="126" t="str">
        <f t="shared" si="30"/>
        <v>AR-TXV-3</v>
      </c>
      <c r="H333" s="253" t="s">
        <v>346</v>
      </c>
      <c r="I333" s="76">
        <v>1</v>
      </c>
      <c r="J333" s="299" t="s">
        <v>286</v>
      </c>
      <c r="K333" s="299"/>
      <c r="L333" s="288"/>
      <c r="Q333" s="288"/>
    </row>
    <row r="334" spans="2:17" s="95" customFormat="1" ht="13.5" hidden="1" outlineLevel="2">
      <c r="B334" s="119" t="s">
        <v>272</v>
      </c>
      <c r="C334" s="266" t="s">
        <v>891</v>
      </c>
      <c r="D334" s="124" t="s">
        <v>892</v>
      </c>
      <c r="E334" s="125"/>
      <c r="F334" s="118" t="s">
        <v>828</v>
      </c>
      <c r="G334" s="126" t="str">
        <f t="shared" si="30"/>
        <v>AR-TXV-3</v>
      </c>
      <c r="H334" s="253" t="s">
        <v>346</v>
      </c>
      <c r="I334" s="76">
        <v>1</v>
      </c>
      <c r="J334" s="299" t="s">
        <v>286</v>
      </c>
      <c r="K334" s="299"/>
      <c r="L334" s="288"/>
      <c r="Q334" s="288"/>
    </row>
    <row r="335" spans="2:17" s="95" customFormat="1" ht="13.5" hidden="1" outlineLevel="2">
      <c r="B335" s="119" t="s">
        <v>272</v>
      </c>
      <c r="C335" s="266" t="s">
        <v>893</v>
      </c>
      <c r="D335" s="124" t="s">
        <v>894</v>
      </c>
      <c r="E335" s="125"/>
      <c r="F335" s="118" t="s">
        <v>828</v>
      </c>
      <c r="G335" s="126" t="str">
        <f t="shared" si="30"/>
        <v>AR-TXV-3</v>
      </c>
      <c r="H335" s="253" t="s">
        <v>346</v>
      </c>
      <c r="I335" s="76">
        <v>1</v>
      </c>
      <c r="J335" s="299" t="s">
        <v>286</v>
      </c>
      <c r="K335" s="299"/>
      <c r="L335" s="288"/>
      <c r="Q335" s="288"/>
    </row>
    <row r="336" spans="2:17" s="95" customFormat="1" ht="13.5" hidden="1" outlineLevel="2">
      <c r="B336" s="119" t="s">
        <v>272</v>
      </c>
      <c r="C336" s="266" t="s">
        <v>895</v>
      </c>
      <c r="D336" s="124" t="s">
        <v>896</v>
      </c>
      <c r="E336" s="125"/>
      <c r="F336" s="118" t="s">
        <v>828</v>
      </c>
      <c r="G336" s="126" t="str">
        <f t="shared" si="30"/>
        <v>AR-TXV-4</v>
      </c>
      <c r="H336" s="253" t="s">
        <v>292</v>
      </c>
      <c r="I336" s="76">
        <v>1</v>
      </c>
      <c r="J336" s="299" t="s">
        <v>286</v>
      </c>
      <c r="K336" s="299"/>
      <c r="L336" s="288"/>
      <c r="Q336" s="288"/>
    </row>
    <row r="337" spans="2:17" s="95" customFormat="1" ht="13.5" hidden="1" outlineLevel="2">
      <c r="B337" s="119" t="s">
        <v>272</v>
      </c>
      <c r="C337" s="266" t="s">
        <v>897</v>
      </c>
      <c r="D337" s="124" t="s">
        <v>898</v>
      </c>
      <c r="E337" s="125"/>
      <c r="F337" s="118" t="s">
        <v>828</v>
      </c>
      <c r="G337" s="126" t="str">
        <f t="shared" si="30"/>
        <v>AR-TXV-4</v>
      </c>
      <c r="H337" s="253" t="s">
        <v>292</v>
      </c>
      <c r="I337" s="76">
        <v>1</v>
      </c>
      <c r="J337" s="299" t="s">
        <v>286</v>
      </c>
      <c r="K337" s="299"/>
      <c r="L337" s="288"/>
      <c r="Q337" s="288"/>
    </row>
    <row r="338" spans="2:17" s="95" customFormat="1" ht="13.5" hidden="1" outlineLevel="2">
      <c r="B338" s="119" t="s">
        <v>272</v>
      </c>
      <c r="C338" s="266" t="s">
        <v>899</v>
      </c>
      <c r="D338" s="124" t="s">
        <v>900</v>
      </c>
      <c r="E338" s="125"/>
      <c r="F338" s="118" t="s">
        <v>828</v>
      </c>
      <c r="G338" s="126" t="str">
        <f t="shared" si="30"/>
        <v>AR-TXV-4</v>
      </c>
      <c r="H338" s="253" t="s">
        <v>292</v>
      </c>
      <c r="I338" s="76">
        <v>1</v>
      </c>
      <c r="J338" s="299" t="s">
        <v>286</v>
      </c>
      <c r="K338" s="299"/>
      <c r="L338" s="288"/>
      <c r="Q338" s="288"/>
    </row>
    <row r="339" spans="2:17" s="95" customFormat="1" ht="13.5" hidden="1" outlineLevel="2">
      <c r="B339" s="119" t="s">
        <v>272</v>
      </c>
      <c r="C339" s="266" t="s">
        <v>901</v>
      </c>
      <c r="D339" s="124" t="s">
        <v>902</v>
      </c>
      <c r="E339" s="125"/>
      <c r="F339" s="118" t="s">
        <v>828</v>
      </c>
      <c r="G339" s="126" t="str">
        <f t="shared" si="30"/>
        <v>AR-TXV-4</v>
      </c>
      <c r="H339" s="253" t="s">
        <v>292</v>
      </c>
      <c r="I339" s="76">
        <v>1</v>
      </c>
      <c r="J339" s="299" t="s">
        <v>286</v>
      </c>
      <c r="K339" s="299"/>
      <c r="L339" s="288"/>
      <c r="Q339" s="288"/>
    </row>
    <row r="340" spans="2:17" s="95" customFormat="1" ht="13.5" hidden="1" outlineLevel="2">
      <c r="B340" s="119" t="s">
        <v>272</v>
      </c>
      <c r="C340" s="266" t="s">
        <v>903</v>
      </c>
      <c r="D340" s="124" t="s">
        <v>904</v>
      </c>
      <c r="E340" s="125"/>
      <c r="F340" s="118" t="s">
        <v>828</v>
      </c>
      <c r="G340" s="126" t="str">
        <f t="shared" si="30"/>
        <v>AR-TXV-4</v>
      </c>
      <c r="H340" s="253" t="s">
        <v>292</v>
      </c>
      <c r="I340" s="76">
        <v>1</v>
      </c>
      <c r="J340" s="299" t="s">
        <v>286</v>
      </c>
      <c r="K340" s="299"/>
      <c r="L340" s="288"/>
      <c r="Q340" s="288"/>
    </row>
    <row r="341" spans="2:17" s="95" customFormat="1" ht="13.5" hidden="1" outlineLevel="2">
      <c r="B341" s="119" t="s">
        <v>272</v>
      </c>
      <c r="C341" s="266" t="s">
        <v>905</v>
      </c>
      <c r="D341" s="124" t="s">
        <v>906</v>
      </c>
      <c r="E341" s="125"/>
      <c r="F341" s="118" t="s">
        <v>828</v>
      </c>
      <c r="G341" s="126" t="str">
        <f t="shared" si="30"/>
        <v>AR-TXV-4</v>
      </c>
      <c r="H341" s="253" t="s">
        <v>292</v>
      </c>
      <c r="I341" s="76">
        <v>1</v>
      </c>
      <c r="J341" s="299" t="s">
        <v>286</v>
      </c>
      <c r="K341" s="299"/>
      <c r="L341" s="288"/>
      <c r="Q341" s="288"/>
    </row>
    <row r="342" spans="2:17" s="95" customFormat="1" ht="13.5" hidden="1" outlineLevel="2">
      <c r="B342" s="119" t="s">
        <v>272</v>
      </c>
      <c r="C342" s="266" t="s">
        <v>907</v>
      </c>
      <c r="D342" s="124" t="s">
        <v>908</v>
      </c>
      <c r="E342" s="125"/>
      <c r="F342" s="118" t="s">
        <v>828</v>
      </c>
      <c r="G342" s="126" t="str">
        <f t="shared" ref="G342:G356" si="31">CONCATENATE("AR-",F342,"-",H342)</f>
        <v>AR-TXV-4</v>
      </c>
      <c r="H342" s="253" t="s">
        <v>292</v>
      </c>
      <c r="I342" s="76">
        <v>1</v>
      </c>
      <c r="J342" s="299" t="s">
        <v>286</v>
      </c>
      <c r="K342" s="299"/>
      <c r="L342" s="288"/>
      <c r="Q342" s="288"/>
    </row>
    <row r="343" spans="2:17" s="95" customFormat="1" ht="13.5" hidden="1" outlineLevel="2">
      <c r="B343" s="119" t="s">
        <v>272</v>
      </c>
      <c r="C343" s="266" t="s">
        <v>909</v>
      </c>
      <c r="D343" s="124" t="s">
        <v>910</v>
      </c>
      <c r="E343" s="125"/>
      <c r="F343" s="118" t="s">
        <v>828</v>
      </c>
      <c r="G343" s="126" t="str">
        <f t="shared" si="31"/>
        <v>AR-TXV-4</v>
      </c>
      <c r="H343" s="253" t="s">
        <v>292</v>
      </c>
      <c r="I343" s="76">
        <v>1</v>
      </c>
      <c r="J343" s="299" t="s">
        <v>286</v>
      </c>
      <c r="K343" s="299"/>
      <c r="L343" s="288"/>
      <c r="Q343" s="288"/>
    </row>
    <row r="344" spans="2:17" s="95" customFormat="1" ht="13.5" hidden="1" outlineLevel="2">
      <c r="B344" s="119" t="s">
        <v>272</v>
      </c>
      <c r="C344" s="266" t="s">
        <v>911</v>
      </c>
      <c r="D344" s="124" t="s">
        <v>912</v>
      </c>
      <c r="E344" s="125"/>
      <c r="F344" s="118" t="s">
        <v>828</v>
      </c>
      <c r="G344" s="126" t="str">
        <f t="shared" si="31"/>
        <v>AR-TXV-4</v>
      </c>
      <c r="H344" s="253" t="s">
        <v>292</v>
      </c>
      <c r="I344" s="76">
        <v>1</v>
      </c>
      <c r="J344" s="299" t="s">
        <v>286</v>
      </c>
      <c r="K344" s="299"/>
      <c r="L344" s="288"/>
      <c r="Q344" s="288"/>
    </row>
    <row r="345" spans="2:17" s="95" customFormat="1" ht="13.5" hidden="1" outlineLevel="2">
      <c r="B345" s="119" t="s">
        <v>272</v>
      </c>
      <c r="C345" s="266" t="s">
        <v>913</v>
      </c>
      <c r="D345" s="124" t="s">
        <v>583</v>
      </c>
      <c r="E345" s="125"/>
      <c r="F345" s="118" t="s">
        <v>828</v>
      </c>
      <c r="G345" s="126" t="str">
        <f t="shared" si="31"/>
        <v>AR-TXV-4</v>
      </c>
      <c r="H345" s="253" t="s">
        <v>292</v>
      </c>
      <c r="I345" s="76">
        <v>1</v>
      </c>
      <c r="J345" s="299" t="s">
        <v>286</v>
      </c>
      <c r="K345" s="299"/>
      <c r="L345" s="288"/>
      <c r="Q345" s="288"/>
    </row>
    <row r="346" spans="2:17" s="95" customFormat="1" ht="13.5" hidden="1" outlineLevel="2">
      <c r="B346" s="119" t="s">
        <v>272</v>
      </c>
      <c r="C346" s="266" t="s">
        <v>914</v>
      </c>
      <c r="D346" s="124" t="s">
        <v>915</v>
      </c>
      <c r="E346" s="125"/>
      <c r="F346" s="118" t="s">
        <v>828</v>
      </c>
      <c r="G346" s="126" t="str">
        <f t="shared" si="31"/>
        <v>AR-TXV-4</v>
      </c>
      <c r="H346" s="253" t="s">
        <v>292</v>
      </c>
      <c r="I346" s="76">
        <v>1</v>
      </c>
      <c r="J346" s="299" t="s">
        <v>286</v>
      </c>
      <c r="K346" s="299"/>
      <c r="L346" s="288"/>
      <c r="Q346" s="288"/>
    </row>
    <row r="347" spans="2:17" s="95" customFormat="1" ht="13.5" hidden="1" outlineLevel="2">
      <c r="B347" s="119" t="s">
        <v>272</v>
      </c>
      <c r="C347" s="266" t="s">
        <v>916</v>
      </c>
      <c r="D347" s="124" t="s">
        <v>917</v>
      </c>
      <c r="E347" s="125"/>
      <c r="F347" s="118" t="s">
        <v>828</v>
      </c>
      <c r="G347" s="126" t="str">
        <f t="shared" si="31"/>
        <v>AR-TXV-4</v>
      </c>
      <c r="H347" s="253" t="s">
        <v>292</v>
      </c>
      <c r="I347" s="76">
        <v>1</v>
      </c>
      <c r="J347" s="299" t="s">
        <v>286</v>
      </c>
      <c r="K347" s="299"/>
      <c r="L347" s="288"/>
      <c r="Q347" s="288"/>
    </row>
    <row r="348" spans="2:17" s="95" customFormat="1" ht="13.5" hidden="1" outlineLevel="2">
      <c r="B348" s="119" t="s">
        <v>272</v>
      </c>
      <c r="C348" s="266" t="s">
        <v>918</v>
      </c>
      <c r="D348" s="124" t="s">
        <v>919</v>
      </c>
      <c r="E348" s="125"/>
      <c r="F348" s="118" t="s">
        <v>828</v>
      </c>
      <c r="G348" s="126" t="str">
        <f t="shared" si="31"/>
        <v>AR-TXV-4</v>
      </c>
      <c r="H348" s="253" t="s">
        <v>292</v>
      </c>
      <c r="I348" s="76">
        <v>1</v>
      </c>
      <c r="J348" s="299" t="s">
        <v>286</v>
      </c>
      <c r="K348" s="299"/>
      <c r="L348" s="288"/>
      <c r="Q348" s="288"/>
    </row>
    <row r="349" spans="2:17" s="95" customFormat="1" ht="13.5" hidden="1" outlineLevel="2">
      <c r="B349" s="119" t="s">
        <v>272</v>
      </c>
      <c r="C349" s="266" t="s">
        <v>920</v>
      </c>
      <c r="D349" s="124" t="s">
        <v>921</v>
      </c>
      <c r="E349" s="125"/>
      <c r="F349" s="118" t="s">
        <v>828</v>
      </c>
      <c r="G349" s="126" t="str">
        <f t="shared" si="31"/>
        <v>AR-TXV-4</v>
      </c>
      <c r="H349" s="253" t="s">
        <v>292</v>
      </c>
      <c r="I349" s="76">
        <v>1</v>
      </c>
      <c r="J349" s="299" t="s">
        <v>286</v>
      </c>
      <c r="K349" s="299"/>
      <c r="L349" s="288"/>
      <c r="Q349" s="288"/>
    </row>
    <row r="350" spans="2:17" s="95" customFormat="1" ht="13.5" hidden="1" outlineLevel="2">
      <c r="B350" s="119" t="s">
        <v>272</v>
      </c>
      <c r="C350" s="266" t="s">
        <v>922</v>
      </c>
      <c r="D350" s="124" t="s">
        <v>923</v>
      </c>
      <c r="E350" s="125"/>
      <c r="F350" s="118" t="s">
        <v>828</v>
      </c>
      <c r="G350" s="126" t="str">
        <f t="shared" si="31"/>
        <v>AR-TXV-4</v>
      </c>
      <c r="H350" s="253" t="s">
        <v>292</v>
      </c>
      <c r="I350" s="76">
        <v>1</v>
      </c>
      <c r="J350" s="299" t="s">
        <v>286</v>
      </c>
      <c r="K350" s="299"/>
      <c r="L350" s="288"/>
      <c r="Q350" s="288"/>
    </row>
    <row r="351" spans="2:17" s="95" customFormat="1" ht="13.5" hidden="1" outlineLevel="2">
      <c r="B351" s="119" t="s">
        <v>272</v>
      </c>
      <c r="C351" s="266" t="s">
        <v>924</v>
      </c>
      <c r="D351" s="124" t="s">
        <v>923</v>
      </c>
      <c r="E351" s="125"/>
      <c r="F351" s="118" t="s">
        <v>828</v>
      </c>
      <c r="G351" s="126" t="str">
        <f t="shared" si="31"/>
        <v>AR-TXV-4</v>
      </c>
      <c r="H351" s="253" t="s">
        <v>292</v>
      </c>
      <c r="I351" s="76">
        <v>1</v>
      </c>
      <c r="J351" s="299" t="s">
        <v>286</v>
      </c>
      <c r="K351" s="299"/>
      <c r="L351" s="288"/>
      <c r="Q351" s="288"/>
    </row>
    <row r="352" spans="2:17" s="95" customFormat="1" ht="13.5" hidden="1" outlineLevel="2">
      <c r="B352" s="119" t="s">
        <v>272</v>
      </c>
      <c r="C352" s="266" t="s">
        <v>925</v>
      </c>
      <c r="D352" s="124" t="s">
        <v>926</v>
      </c>
      <c r="E352" s="125"/>
      <c r="F352" s="118" t="s">
        <v>828</v>
      </c>
      <c r="G352" s="126" t="str">
        <f t="shared" si="31"/>
        <v>AR-TXV-4</v>
      </c>
      <c r="H352" s="253" t="s">
        <v>292</v>
      </c>
      <c r="I352" s="76">
        <v>1</v>
      </c>
      <c r="J352" s="299" t="s">
        <v>286</v>
      </c>
      <c r="K352" s="299"/>
      <c r="L352" s="288"/>
      <c r="Q352" s="288"/>
    </row>
    <row r="353" spans="2:17" s="95" customFormat="1" ht="13.5" hidden="1" outlineLevel="2">
      <c r="B353" s="119" t="s">
        <v>272</v>
      </c>
      <c r="C353" s="266" t="s">
        <v>927</v>
      </c>
      <c r="D353" s="124" t="s">
        <v>928</v>
      </c>
      <c r="E353" s="125"/>
      <c r="F353" s="118" t="s">
        <v>828</v>
      </c>
      <c r="G353" s="126" t="str">
        <f t="shared" si="31"/>
        <v>AR-TXV-4</v>
      </c>
      <c r="H353" s="253" t="s">
        <v>292</v>
      </c>
      <c r="I353" s="76">
        <v>1</v>
      </c>
      <c r="J353" s="299" t="s">
        <v>286</v>
      </c>
      <c r="K353" s="299"/>
      <c r="L353" s="288"/>
      <c r="Q353" s="288"/>
    </row>
    <row r="354" spans="2:17" s="95" customFormat="1" ht="13.5" hidden="1" outlineLevel="2">
      <c r="B354" s="119" t="s">
        <v>272</v>
      </c>
      <c r="C354" s="266" t="s">
        <v>929</v>
      </c>
      <c r="D354" s="124" t="s">
        <v>930</v>
      </c>
      <c r="E354" s="125"/>
      <c r="F354" s="118" t="s">
        <v>828</v>
      </c>
      <c r="G354" s="126" t="str">
        <f t="shared" si="31"/>
        <v>AR-TXV-4</v>
      </c>
      <c r="H354" s="253" t="s">
        <v>292</v>
      </c>
      <c r="I354" s="76">
        <v>1</v>
      </c>
      <c r="J354" s="299" t="s">
        <v>286</v>
      </c>
      <c r="K354" s="299"/>
      <c r="L354" s="288"/>
      <c r="Q354" s="288"/>
    </row>
    <row r="355" spans="2:17" s="95" customFormat="1" ht="13.5" hidden="1" outlineLevel="2">
      <c r="B355" s="119" t="s">
        <v>272</v>
      </c>
      <c r="C355" s="266" t="s">
        <v>931</v>
      </c>
      <c r="D355" s="124" t="s">
        <v>932</v>
      </c>
      <c r="E355" s="125"/>
      <c r="F355" s="118" t="s">
        <v>828</v>
      </c>
      <c r="G355" s="126" t="str">
        <f t="shared" si="31"/>
        <v>AR-TXV-5</v>
      </c>
      <c r="H355" s="253" t="s">
        <v>363</v>
      </c>
      <c r="I355" s="76">
        <v>1</v>
      </c>
      <c r="J355" s="299" t="s">
        <v>286</v>
      </c>
      <c r="K355" s="299"/>
      <c r="L355" s="288"/>
      <c r="Q355" s="288"/>
    </row>
    <row r="356" spans="2:17" s="95" customFormat="1" ht="13.5" hidden="1" outlineLevel="2">
      <c r="B356" s="119" t="s">
        <v>272</v>
      </c>
      <c r="C356" s="266" t="s">
        <v>895</v>
      </c>
      <c r="D356" s="124" t="s">
        <v>896</v>
      </c>
      <c r="E356" s="125"/>
      <c r="F356" s="118" t="s">
        <v>828</v>
      </c>
      <c r="G356" s="126" t="str">
        <f t="shared" si="31"/>
        <v>AR-TXV-5</v>
      </c>
      <c r="H356" s="253" t="s">
        <v>363</v>
      </c>
      <c r="I356" s="76">
        <v>1</v>
      </c>
      <c r="J356" s="299" t="s">
        <v>286</v>
      </c>
      <c r="K356" s="299"/>
      <c r="L356" s="288"/>
      <c r="Q356" s="288"/>
    </row>
    <row r="357" spans="2:17" s="95" customFormat="1" ht="13.5" hidden="1" outlineLevel="2">
      <c r="B357" s="119" t="s">
        <v>272</v>
      </c>
      <c r="C357" s="266" t="s">
        <v>897</v>
      </c>
      <c r="D357" s="124" t="s">
        <v>898</v>
      </c>
      <c r="E357" s="125"/>
      <c r="F357" s="118" t="s">
        <v>828</v>
      </c>
      <c r="G357" s="126" t="str">
        <f t="shared" ref="G357:G368" si="32">CONCATENATE("AR-",F357,"-",H357)</f>
        <v>AR-TXV-5</v>
      </c>
      <c r="H357" s="253" t="s">
        <v>363</v>
      </c>
      <c r="I357" s="76">
        <v>1</v>
      </c>
      <c r="J357" s="299" t="s">
        <v>286</v>
      </c>
      <c r="K357" s="299"/>
      <c r="L357" s="288"/>
      <c r="Q357" s="288"/>
    </row>
    <row r="358" spans="2:17" s="95" customFormat="1" ht="13.5" hidden="1" outlineLevel="2">
      <c r="B358" s="119" t="s">
        <v>272</v>
      </c>
      <c r="C358" s="266" t="s">
        <v>933</v>
      </c>
      <c r="D358" s="124" t="s">
        <v>573</v>
      </c>
      <c r="E358" s="125"/>
      <c r="F358" s="118" t="s">
        <v>828</v>
      </c>
      <c r="G358" s="126" t="str">
        <f t="shared" si="32"/>
        <v>AR-TXV-6</v>
      </c>
      <c r="H358" s="253" t="s">
        <v>368</v>
      </c>
      <c r="I358" s="76">
        <v>1</v>
      </c>
      <c r="J358" s="299" t="s">
        <v>286</v>
      </c>
      <c r="K358" s="299"/>
      <c r="L358" s="288"/>
      <c r="Q358" s="288"/>
    </row>
    <row r="359" spans="2:17" s="95" customFormat="1" ht="13.5" hidden="1" outlineLevel="2">
      <c r="B359" s="119" t="s">
        <v>272</v>
      </c>
      <c r="C359" s="266" t="s">
        <v>934</v>
      </c>
      <c r="D359" s="124" t="s">
        <v>575</v>
      </c>
      <c r="E359" s="125"/>
      <c r="F359" s="118" t="s">
        <v>828</v>
      </c>
      <c r="G359" s="126" t="str">
        <f t="shared" si="32"/>
        <v>AR-TXV-6</v>
      </c>
      <c r="H359" s="253" t="s">
        <v>368</v>
      </c>
      <c r="I359" s="76">
        <v>1</v>
      </c>
      <c r="J359" s="299" t="s">
        <v>286</v>
      </c>
      <c r="K359" s="299"/>
      <c r="L359" s="288"/>
      <c r="Q359" s="288"/>
    </row>
    <row r="360" spans="2:17" s="95" customFormat="1" ht="13.5" hidden="1" outlineLevel="2">
      <c r="B360" s="119" t="s">
        <v>272</v>
      </c>
      <c r="C360" s="266" t="s">
        <v>935</v>
      </c>
      <c r="D360" s="124" t="s">
        <v>936</v>
      </c>
      <c r="E360" s="125"/>
      <c r="F360" s="118" t="s">
        <v>828</v>
      </c>
      <c r="G360" s="126" t="str">
        <f t="shared" si="32"/>
        <v>AR-TXV-7</v>
      </c>
      <c r="H360" s="253" t="s">
        <v>373</v>
      </c>
      <c r="I360" s="76">
        <v>1</v>
      </c>
      <c r="J360" s="299" t="s">
        <v>286</v>
      </c>
      <c r="K360" s="299"/>
      <c r="L360" s="288"/>
      <c r="Q360" s="288"/>
    </row>
    <row r="361" spans="2:17" s="95" customFormat="1" ht="13.5" hidden="1" outlineLevel="2">
      <c r="B361" s="119" t="s">
        <v>272</v>
      </c>
      <c r="C361" s="266" t="s">
        <v>937</v>
      </c>
      <c r="D361" s="124" t="s">
        <v>509</v>
      </c>
      <c r="E361" s="125"/>
      <c r="F361" s="118" t="s">
        <v>828</v>
      </c>
      <c r="G361" s="126" t="str">
        <f t="shared" si="32"/>
        <v>AR-TXV-7</v>
      </c>
      <c r="H361" s="253" t="s">
        <v>373</v>
      </c>
      <c r="I361" s="76">
        <v>1</v>
      </c>
      <c r="J361" s="299" t="s">
        <v>286</v>
      </c>
      <c r="K361" s="299"/>
      <c r="L361" s="288"/>
      <c r="Q361" s="288"/>
    </row>
    <row r="362" spans="2:17" s="95" customFormat="1" ht="13.5" hidden="1" outlineLevel="2">
      <c r="B362" s="119" t="s">
        <v>272</v>
      </c>
      <c r="C362" s="266" t="s">
        <v>938</v>
      </c>
      <c r="D362" s="124" t="s">
        <v>509</v>
      </c>
      <c r="E362" s="125"/>
      <c r="F362" s="118" t="s">
        <v>828</v>
      </c>
      <c r="G362" s="126" t="str">
        <f t="shared" si="32"/>
        <v>AR-TXV-7</v>
      </c>
      <c r="H362" s="253" t="s">
        <v>373</v>
      </c>
      <c r="I362" s="76">
        <v>1</v>
      </c>
      <c r="J362" s="299" t="s">
        <v>286</v>
      </c>
      <c r="K362" s="299"/>
      <c r="L362" s="288"/>
      <c r="Q362" s="288"/>
    </row>
    <row r="363" spans="2:17" s="95" customFormat="1" ht="13.5" hidden="1" outlineLevel="2">
      <c r="B363" s="119" t="s">
        <v>272</v>
      </c>
      <c r="C363" s="266" t="s">
        <v>939</v>
      </c>
      <c r="D363" s="124" t="s">
        <v>509</v>
      </c>
      <c r="E363" s="125"/>
      <c r="F363" s="118" t="s">
        <v>828</v>
      </c>
      <c r="G363" s="126" t="str">
        <f t="shared" si="32"/>
        <v>AR-TXV-7</v>
      </c>
      <c r="H363" s="253" t="s">
        <v>373</v>
      </c>
      <c r="I363" s="76">
        <v>1</v>
      </c>
      <c r="J363" s="299" t="s">
        <v>286</v>
      </c>
      <c r="K363" s="299"/>
      <c r="L363" s="288"/>
      <c r="Q363" s="288"/>
    </row>
    <row r="364" spans="2:17" s="95" customFormat="1" ht="13.5" hidden="1" outlineLevel="2">
      <c r="B364" s="119" t="s">
        <v>272</v>
      </c>
      <c r="C364" s="266" t="s">
        <v>940</v>
      </c>
      <c r="D364" s="124" t="s">
        <v>509</v>
      </c>
      <c r="E364" s="125"/>
      <c r="F364" s="118" t="s">
        <v>828</v>
      </c>
      <c r="G364" s="126" t="str">
        <f t="shared" si="32"/>
        <v>AR-TXV-7</v>
      </c>
      <c r="H364" s="253" t="s">
        <v>373</v>
      </c>
      <c r="I364" s="76">
        <v>1</v>
      </c>
      <c r="J364" s="299" t="s">
        <v>286</v>
      </c>
      <c r="K364" s="299"/>
      <c r="L364" s="288"/>
      <c r="Q364" s="288"/>
    </row>
    <row r="365" spans="2:17" s="95" customFormat="1" ht="13.5" hidden="1" outlineLevel="2">
      <c r="B365" s="119" t="s">
        <v>272</v>
      </c>
      <c r="C365" s="266" t="s">
        <v>941</v>
      </c>
      <c r="D365" s="124" t="s">
        <v>509</v>
      </c>
      <c r="E365" s="125"/>
      <c r="F365" s="118" t="s">
        <v>828</v>
      </c>
      <c r="G365" s="126" t="str">
        <f t="shared" si="32"/>
        <v>AR-TXV-7</v>
      </c>
      <c r="H365" s="253" t="s">
        <v>373</v>
      </c>
      <c r="I365" s="76">
        <v>1</v>
      </c>
      <c r="J365" s="299" t="s">
        <v>286</v>
      </c>
      <c r="K365" s="299"/>
      <c r="L365" s="288"/>
      <c r="Q365" s="288"/>
    </row>
    <row r="366" spans="2:17" s="95" customFormat="1" ht="13.5" hidden="1" outlineLevel="2">
      <c r="B366" s="119" t="s">
        <v>272</v>
      </c>
      <c r="C366" s="266" t="s">
        <v>942</v>
      </c>
      <c r="D366" s="124" t="s">
        <v>943</v>
      </c>
      <c r="E366" s="125"/>
      <c r="F366" s="118" t="s">
        <v>828</v>
      </c>
      <c r="G366" s="126" t="str">
        <f t="shared" si="32"/>
        <v>AR-TXV-7</v>
      </c>
      <c r="H366" s="253" t="s">
        <v>373</v>
      </c>
      <c r="I366" s="76">
        <v>1</v>
      </c>
      <c r="J366" s="299" t="s">
        <v>286</v>
      </c>
      <c r="K366" s="299"/>
      <c r="L366" s="288"/>
      <c r="Q366" s="288"/>
    </row>
    <row r="367" spans="2:17" s="95" customFormat="1" ht="13.5" hidden="1" outlineLevel="2">
      <c r="B367" s="119" t="s">
        <v>272</v>
      </c>
      <c r="C367" s="266" t="s">
        <v>944</v>
      </c>
      <c r="D367" s="124" t="s">
        <v>945</v>
      </c>
      <c r="E367" s="125"/>
      <c r="F367" s="118" t="s">
        <v>828</v>
      </c>
      <c r="G367" s="126" t="str">
        <f t="shared" si="32"/>
        <v>AR-TXV-7</v>
      </c>
      <c r="H367" s="253" t="s">
        <v>373</v>
      </c>
      <c r="I367" s="76">
        <v>1</v>
      </c>
      <c r="J367" s="299" t="s">
        <v>286</v>
      </c>
      <c r="K367" s="299"/>
      <c r="L367" s="288"/>
      <c r="Q367" s="288"/>
    </row>
    <row r="368" spans="2:17" s="95" customFormat="1" ht="13.5" hidden="1" outlineLevel="2">
      <c r="B368" s="119" t="s">
        <v>272</v>
      </c>
      <c r="C368" s="266" t="s">
        <v>946</v>
      </c>
      <c r="D368" s="124" t="s">
        <v>947</v>
      </c>
      <c r="E368" s="125"/>
      <c r="F368" s="118" t="s">
        <v>828</v>
      </c>
      <c r="G368" s="126" t="str">
        <f t="shared" si="32"/>
        <v>AR-TXV-7</v>
      </c>
      <c r="H368" s="253" t="s">
        <v>373</v>
      </c>
      <c r="I368" s="76">
        <v>1</v>
      </c>
      <c r="J368" s="299" t="s">
        <v>310</v>
      </c>
      <c r="K368" s="299"/>
      <c r="L368" s="288"/>
      <c r="Q368" s="288"/>
    </row>
    <row r="369" spans="1:21" s="95" customFormat="1" ht="14.25" hidden="1" customHeight="1" outlineLevel="2">
      <c r="B369" s="119" t="s">
        <v>272</v>
      </c>
      <c r="C369" s="266" t="s">
        <v>596</v>
      </c>
      <c r="D369" s="124" t="s">
        <v>597</v>
      </c>
      <c r="E369" s="125"/>
      <c r="F369" s="118" t="s">
        <v>828</v>
      </c>
      <c r="G369" s="126" t="str">
        <f t="shared" ref="G369:G373" si="33">CONCATENATE("AR-",F369,"-",H369)</f>
        <v>AR-TXV-8</v>
      </c>
      <c r="H369" s="253" t="s">
        <v>410</v>
      </c>
      <c r="I369" s="76">
        <v>1</v>
      </c>
      <c r="J369" s="299" t="s">
        <v>286</v>
      </c>
      <c r="K369" s="299"/>
      <c r="L369" s="288"/>
      <c r="Q369" s="288"/>
    </row>
    <row r="370" spans="1:21" s="95" customFormat="1" ht="14.25" hidden="1" customHeight="1" outlineLevel="2">
      <c r="B370" s="119" t="s">
        <v>272</v>
      </c>
      <c r="C370" s="266" t="s">
        <v>598</v>
      </c>
      <c r="D370" s="124" t="s">
        <v>599</v>
      </c>
      <c r="E370" s="125"/>
      <c r="F370" s="118" t="s">
        <v>828</v>
      </c>
      <c r="G370" s="126" t="str">
        <f t="shared" si="33"/>
        <v>AR-TXV-8</v>
      </c>
      <c r="H370" s="253" t="s">
        <v>410</v>
      </c>
      <c r="I370" s="76">
        <v>1</v>
      </c>
      <c r="J370" s="299" t="s">
        <v>286</v>
      </c>
      <c r="K370" s="299"/>
      <c r="L370" s="288"/>
      <c r="Q370" s="288"/>
    </row>
    <row r="371" spans="1:21" s="95" customFormat="1" ht="14.25" hidden="1" customHeight="1" outlineLevel="2">
      <c r="B371" s="119" t="s">
        <v>272</v>
      </c>
      <c r="C371" s="266" t="s">
        <v>600</v>
      </c>
      <c r="D371" s="124" t="s">
        <v>601</v>
      </c>
      <c r="E371" s="125"/>
      <c r="F371" s="118" t="s">
        <v>828</v>
      </c>
      <c r="G371" s="126" t="str">
        <f t="shared" si="33"/>
        <v>AR-TXV-9</v>
      </c>
      <c r="H371" s="253">
        <v>9</v>
      </c>
      <c r="I371" s="76">
        <v>1</v>
      </c>
      <c r="J371" s="299" t="s">
        <v>286</v>
      </c>
      <c r="K371" s="299"/>
      <c r="L371" s="288"/>
      <c r="Q371" s="288"/>
    </row>
    <row r="372" spans="1:21" s="95" customFormat="1" ht="14.25" hidden="1" customHeight="1" outlineLevel="2">
      <c r="B372" s="119" t="s">
        <v>272</v>
      </c>
      <c r="C372" s="266" t="s">
        <v>602</v>
      </c>
      <c r="D372" s="124" t="s">
        <v>427</v>
      </c>
      <c r="E372" s="125"/>
      <c r="F372" s="118" t="s">
        <v>828</v>
      </c>
      <c r="G372" s="126" t="str">
        <f t="shared" si="33"/>
        <v>AR-TXV-9</v>
      </c>
      <c r="H372" s="253" t="s">
        <v>421</v>
      </c>
      <c r="I372" s="76">
        <v>1</v>
      </c>
      <c r="J372" s="299" t="s">
        <v>286</v>
      </c>
      <c r="K372" s="299"/>
      <c r="L372" s="288"/>
      <c r="Q372" s="288"/>
    </row>
    <row r="373" spans="1:21" s="95" customFormat="1" ht="14.25" hidden="1" customHeight="1" outlineLevel="2">
      <c r="B373" s="119" t="s">
        <v>272</v>
      </c>
      <c r="C373" s="266" t="s">
        <v>603</v>
      </c>
      <c r="D373" s="124" t="s">
        <v>429</v>
      </c>
      <c r="E373" s="125"/>
      <c r="F373" s="118" t="s">
        <v>828</v>
      </c>
      <c r="G373" s="126" t="str">
        <f t="shared" si="33"/>
        <v>AR-TXV-9</v>
      </c>
      <c r="H373" s="253" t="s">
        <v>421</v>
      </c>
      <c r="I373" s="76">
        <v>1</v>
      </c>
      <c r="J373" s="299" t="s">
        <v>286</v>
      </c>
      <c r="K373" s="299"/>
      <c r="L373" s="288"/>
      <c r="Q373" s="288"/>
    </row>
    <row r="374" spans="1:21" s="95" customFormat="1" ht="13.5" hidden="1" outlineLevel="2">
      <c r="B374" s="119" t="s">
        <v>272</v>
      </c>
      <c r="C374" s="266" t="s">
        <v>948</v>
      </c>
      <c r="D374" s="124" t="s">
        <v>949</v>
      </c>
      <c r="E374" s="125"/>
      <c r="F374" s="118" t="s">
        <v>828</v>
      </c>
      <c r="G374" s="126" t="str">
        <f>CONCATENATE("AR-",F374,"-",H374)</f>
        <v>AR-TXV-10</v>
      </c>
      <c r="H374" s="253" t="s">
        <v>423</v>
      </c>
      <c r="I374" s="76">
        <v>1</v>
      </c>
      <c r="J374" s="299" t="s">
        <v>286</v>
      </c>
      <c r="K374" s="299"/>
      <c r="L374" s="288"/>
      <c r="Q374" s="288"/>
    </row>
    <row r="375" spans="1:21" s="51" customFormat="1" ht="3" hidden="1" customHeight="1">
      <c r="A375" s="265"/>
      <c r="B375" s="119"/>
      <c r="C375" s="266"/>
      <c r="D375" s="124" t="s">
        <v>299</v>
      </c>
      <c r="E375" s="125"/>
      <c r="F375" s="118"/>
      <c r="G375" s="126"/>
      <c r="H375" s="253"/>
      <c r="I375" s="96"/>
      <c r="J375" s="303"/>
      <c r="K375" s="303"/>
      <c r="L375" s="97"/>
      <c r="M375" s="76"/>
      <c r="N375" s="76"/>
      <c r="O375" s="76"/>
      <c r="P375" s="76"/>
      <c r="Q375" s="97"/>
      <c r="R375" s="76"/>
      <c r="S375" s="76"/>
      <c r="T375" s="76"/>
      <c r="U375" s="76"/>
    </row>
    <row r="376" spans="1:21" s="83" customFormat="1" ht="13.5" hidden="1" collapsed="1">
      <c r="A376" s="72" t="s">
        <v>950</v>
      </c>
      <c r="B376" s="85"/>
      <c r="C376" s="269"/>
      <c r="D376" s="85" t="s">
        <v>299</v>
      </c>
      <c r="E376" s="390"/>
      <c r="F376" s="73"/>
      <c r="G376" s="73"/>
      <c r="H376" s="74"/>
      <c r="I376" s="76"/>
      <c r="J376" s="299"/>
      <c r="K376" s="299"/>
      <c r="L376" s="75"/>
      <c r="M376" s="75"/>
      <c r="N376" s="75"/>
      <c r="O376" s="75"/>
      <c r="P376" s="75"/>
      <c r="Q376" s="75"/>
      <c r="R376" s="75"/>
      <c r="S376" s="75"/>
      <c r="T376" s="75"/>
      <c r="U376" s="75"/>
    </row>
    <row r="377" spans="1:21" s="51" customFormat="1" ht="14.25" hidden="1" customHeight="1" outlineLevel="1">
      <c r="A377" s="99"/>
      <c r="B377" s="119" t="s">
        <v>272</v>
      </c>
      <c r="C377" s="266" t="s">
        <v>951</v>
      </c>
      <c r="D377" s="124" t="s">
        <v>952</v>
      </c>
      <c r="E377" s="125"/>
      <c r="F377" s="118" t="s">
        <v>953</v>
      </c>
      <c r="G377" s="126" t="str">
        <f>CONCATENATE("AR-",F377,"-",H377)</f>
        <v>AR-TXS-1</v>
      </c>
      <c r="H377" s="253" t="s">
        <v>304</v>
      </c>
      <c r="I377" s="76">
        <v>1</v>
      </c>
      <c r="J377" s="299" t="s">
        <v>286</v>
      </c>
      <c r="K377" s="299"/>
      <c r="L377" s="90"/>
      <c r="M377" s="76"/>
      <c r="N377" s="76"/>
      <c r="O377" s="76"/>
      <c r="P377" s="76"/>
      <c r="Q377" s="90"/>
      <c r="R377" s="76"/>
      <c r="S377" s="76"/>
      <c r="T377" s="76"/>
      <c r="U377" s="76"/>
    </row>
    <row r="378" spans="1:21" s="51" customFormat="1" ht="14.25" hidden="1" customHeight="1" outlineLevel="1">
      <c r="A378" s="99"/>
      <c r="B378" s="119" t="s">
        <v>272</v>
      </c>
      <c r="C378" s="266" t="s">
        <v>954</v>
      </c>
      <c r="D378" s="124" t="s">
        <v>955</v>
      </c>
      <c r="E378" s="125"/>
      <c r="F378" s="118" t="s">
        <v>953</v>
      </c>
      <c r="G378" s="126" t="str">
        <f>CONCATENATE("AR-",F378,"-",H378)</f>
        <v>AR-TXS-1</v>
      </c>
      <c r="H378" s="253" t="s">
        <v>304</v>
      </c>
      <c r="I378" s="76">
        <v>1</v>
      </c>
      <c r="J378" s="299" t="s">
        <v>286</v>
      </c>
      <c r="K378" s="299"/>
      <c r="L378" s="90"/>
      <c r="M378" s="76"/>
      <c r="N378" s="76"/>
      <c r="O378" s="76"/>
      <c r="P378" s="76"/>
      <c r="Q378" s="90"/>
      <c r="R378" s="76"/>
      <c r="S378" s="76"/>
      <c r="T378" s="76"/>
      <c r="U378" s="76"/>
    </row>
    <row r="379" spans="1:21" s="51" customFormat="1" ht="14.25" hidden="1" customHeight="1" outlineLevel="1">
      <c r="A379" s="95"/>
      <c r="B379" s="119" t="s">
        <v>272</v>
      </c>
      <c r="C379" s="266" t="s">
        <v>956</v>
      </c>
      <c r="D379" s="124" t="s">
        <v>626</v>
      </c>
      <c r="E379" s="125"/>
      <c r="F379" s="118" t="s">
        <v>953</v>
      </c>
      <c r="G379" s="126" t="str">
        <f t="shared" ref="G379:G388" si="34">CONCATENATE("AR-",F379,"-",H379)</f>
        <v>AR-TXS-1</v>
      </c>
      <c r="H379" s="253" t="s">
        <v>304</v>
      </c>
      <c r="I379" s="76">
        <v>1</v>
      </c>
      <c r="J379" s="299" t="s">
        <v>286</v>
      </c>
      <c r="K379" s="299"/>
      <c r="L379" s="288"/>
      <c r="M379" s="95"/>
      <c r="N379" s="95"/>
      <c r="O379" s="95"/>
      <c r="P379" s="95"/>
      <c r="Q379" s="288"/>
      <c r="R379" s="95"/>
      <c r="S379" s="95"/>
      <c r="T379" s="95"/>
      <c r="U379" s="95"/>
    </row>
    <row r="380" spans="1:21" s="95" customFormat="1" ht="14.25" hidden="1" customHeight="1" outlineLevel="1">
      <c r="B380" s="119" t="s">
        <v>272</v>
      </c>
      <c r="C380" s="266" t="s">
        <v>957</v>
      </c>
      <c r="D380" s="124" t="s">
        <v>628</v>
      </c>
      <c r="E380" s="125"/>
      <c r="F380" s="118" t="s">
        <v>953</v>
      </c>
      <c r="G380" s="126" t="str">
        <f t="shared" si="34"/>
        <v>AR-TXS-1</v>
      </c>
      <c r="H380" s="253" t="s">
        <v>304</v>
      </c>
      <c r="I380" s="76">
        <v>1</v>
      </c>
      <c r="J380" s="299" t="s">
        <v>286</v>
      </c>
      <c r="K380" s="299"/>
      <c r="L380" s="288"/>
      <c r="Q380" s="288"/>
    </row>
    <row r="381" spans="1:21" s="95" customFormat="1" ht="14.25" hidden="1" customHeight="1" outlineLevel="1">
      <c r="B381" s="119" t="s">
        <v>272</v>
      </c>
      <c r="C381" s="266" t="s">
        <v>958</v>
      </c>
      <c r="D381" s="124" t="s">
        <v>630</v>
      </c>
      <c r="E381" s="125"/>
      <c r="F381" s="118" t="s">
        <v>953</v>
      </c>
      <c r="G381" s="126" t="str">
        <f t="shared" si="34"/>
        <v>AR-TXS-1</v>
      </c>
      <c r="H381" s="253" t="s">
        <v>304</v>
      </c>
      <c r="I381" s="76">
        <v>1</v>
      </c>
      <c r="J381" s="299" t="s">
        <v>286</v>
      </c>
      <c r="K381" s="299"/>
      <c r="L381" s="288"/>
      <c r="Q381" s="288"/>
    </row>
    <row r="382" spans="1:21" s="95" customFormat="1" ht="14.25" hidden="1" customHeight="1" outlineLevel="1">
      <c r="B382" s="119" t="s">
        <v>272</v>
      </c>
      <c r="C382" s="266" t="s">
        <v>959</v>
      </c>
      <c r="D382" s="124" t="s">
        <v>960</v>
      </c>
      <c r="E382" s="125"/>
      <c r="F382" s="118" t="s">
        <v>953</v>
      </c>
      <c r="G382" s="126" t="str">
        <f t="shared" si="34"/>
        <v>AR-TXS-1</v>
      </c>
      <c r="H382" s="253" t="s">
        <v>304</v>
      </c>
      <c r="I382" s="76">
        <v>1</v>
      </c>
      <c r="J382" s="299" t="s">
        <v>286</v>
      </c>
      <c r="K382" s="299"/>
      <c r="L382" s="288"/>
      <c r="Q382" s="288"/>
    </row>
    <row r="383" spans="1:21" s="95" customFormat="1" ht="14.25" hidden="1" customHeight="1" outlineLevel="1">
      <c r="B383" s="119" t="s">
        <v>272</v>
      </c>
      <c r="C383" s="266" t="s">
        <v>961</v>
      </c>
      <c r="D383" s="124" t="s">
        <v>962</v>
      </c>
      <c r="E383" s="125"/>
      <c r="F383" s="118" t="s">
        <v>953</v>
      </c>
      <c r="G383" s="126" t="str">
        <f t="shared" si="34"/>
        <v>AR-TXS-1</v>
      </c>
      <c r="H383" s="253" t="s">
        <v>304</v>
      </c>
      <c r="I383" s="76">
        <v>1</v>
      </c>
      <c r="J383" s="299" t="s">
        <v>286</v>
      </c>
      <c r="K383" s="299"/>
      <c r="L383" s="288"/>
      <c r="Q383" s="288"/>
    </row>
    <row r="384" spans="1:21" s="95" customFormat="1" ht="14.25" hidden="1" customHeight="1" outlineLevel="1">
      <c r="B384" s="119" t="s">
        <v>272</v>
      </c>
      <c r="C384" s="266" t="s">
        <v>963</v>
      </c>
      <c r="D384" s="124" t="s">
        <v>964</v>
      </c>
      <c r="E384" s="125"/>
      <c r="F384" s="118" t="s">
        <v>953</v>
      </c>
      <c r="G384" s="126" t="str">
        <f t="shared" si="34"/>
        <v>AR-TXS-1</v>
      </c>
      <c r="H384" s="253" t="s">
        <v>304</v>
      </c>
      <c r="I384" s="76">
        <v>1</v>
      </c>
      <c r="J384" s="299" t="s">
        <v>286</v>
      </c>
      <c r="K384" s="299"/>
      <c r="L384" s="288"/>
      <c r="Q384" s="288"/>
    </row>
    <row r="385" spans="1:17" s="95" customFormat="1" ht="14.25" hidden="1" customHeight="1" outlineLevel="1">
      <c r="B385" s="119" t="s">
        <v>272</v>
      </c>
      <c r="C385" s="266" t="s">
        <v>965</v>
      </c>
      <c r="D385" s="124" t="s">
        <v>966</v>
      </c>
      <c r="E385" s="125"/>
      <c r="F385" s="118" t="s">
        <v>953</v>
      </c>
      <c r="G385" s="126" t="str">
        <f t="shared" si="34"/>
        <v>AR-TXS-1</v>
      </c>
      <c r="H385" s="253" t="s">
        <v>304</v>
      </c>
      <c r="I385" s="76">
        <v>1</v>
      </c>
      <c r="J385" s="299" t="s">
        <v>286</v>
      </c>
      <c r="K385" s="299"/>
      <c r="L385" s="288"/>
      <c r="Q385" s="288"/>
    </row>
    <row r="386" spans="1:17" s="95" customFormat="1" ht="14.25" hidden="1" customHeight="1" outlineLevel="1">
      <c r="B386" s="119" t="s">
        <v>272</v>
      </c>
      <c r="C386" s="266" t="s">
        <v>967</v>
      </c>
      <c r="D386" s="124" t="s">
        <v>968</v>
      </c>
      <c r="E386" s="125"/>
      <c r="F386" s="118" t="s">
        <v>953</v>
      </c>
      <c r="G386" s="126" t="str">
        <f t="shared" si="34"/>
        <v>AR-TXS-1</v>
      </c>
      <c r="H386" s="253" t="s">
        <v>304</v>
      </c>
      <c r="I386" s="76">
        <v>1</v>
      </c>
      <c r="J386" s="299" t="s">
        <v>286</v>
      </c>
      <c r="K386" s="299"/>
      <c r="L386" s="288"/>
      <c r="Q386" s="288"/>
    </row>
    <row r="387" spans="1:17" s="95" customFormat="1" ht="14.25" hidden="1" customHeight="1" outlineLevel="1">
      <c r="B387" s="119" t="s">
        <v>272</v>
      </c>
      <c r="C387" s="266" t="s">
        <v>969</v>
      </c>
      <c r="D387" s="124" t="s">
        <v>970</v>
      </c>
      <c r="E387" s="125"/>
      <c r="F387" s="118" t="s">
        <v>953</v>
      </c>
      <c r="G387" s="126" t="str">
        <f t="shared" si="34"/>
        <v>AR-TXS-1</v>
      </c>
      <c r="H387" s="253" t="s">
        <v>304</v>
      </c>
      <c r="I387" s="76">
        <v>1</v>
      </c>
      <c r="J387" s="299" t="s">
        <v>286</v>
      </c>
      <c r="K387" s="299"/>
      <c r="L387" s="288"/>
      <c r="Q387" s="288"/>
    </row>
    <row r="388" spans="1:17" s="95" customFormat="1" ht="14.25" hidden="1" customHeight="1" outlineLevel="1">
      <c r="B388" s="119" t="s">
        <v>272</v>
      </c>
      <c r="C388" s="266" t="s">
        <v>971</v>
      </c>
      <c r="D388" s="124" t="s">
        <v>644</v>
      </c>
      <c r="E388" s="125"/>
      <c r="F388" s="118" t="s">
        <v>953</v>
      </c>
      <c r="G388" s="126" t="str">
        <f t="shared" si="34"/>
        <v>AR-TXS-1</v>
      </c>
      <c r="H388" s="253" t="s">
        <v>304</v>
      </c>
      <c r="I388" s="76">
        <v>1</v>
      </c>
      <c r="J388" s="299" t="s">
        <v>286</v>
      </c>
      <c r="K388" s="299"/>
      <c r="L388" s="288"/>
      <c r="Q388" s="288"/>
    </row>
    <row r="389" spans="1:17" s="95" customFormat="1" ht="13.5" hidden="1" outlineLevel="1">
      <c r="B389" s="119" t="s">
        <v>272</v>
      </c>
      <c r="C389" s="266" t="s">
        <v>972</v>
      </c>
      <c r="D389" s="124" t="s">
        <v>973</v>
      </c>
      <c r="E389" s="125"/>
      <c r="F389" s="118" t="s">
        <v>953</v>
      </c>
      <c r="G389" s="126" t="str">
        <f t="shared" ref="G389:G397" si="35">CONCATENATE("AR-",F389,"-",H389)</f>
        <v>AR-TXS-1</v>
      </c>
      <c r="H389" s="253" t="s">
        <v>304</v>
      </c>
      <c r="I389" s="76">
        <v>1</v>
      </c>
      <c r="J389" s="299" t="s">
        <v>286</v>
      </c>
      <c r="K389" s="299"/>
      <c r="L389" s="288"/>
      <c r="Q389" s="288"/>
    </row>
    <row r="390" spans="1:17" s="95" customFormat="1" ht="13.5" hidden="1" outlineLevel="1">
      <c r="B390" s="119" t="s">
        <v>272</v>
      </c>
      <c r="C390" s="266" t="s">
        <v>974</v>
      </c>
      <c r="D390" s="124" t="s">
        <v>646</v>
      </c>
      <c r="E390" s="125"/>
      <c r="F390" s="118" t="s">
        <v>953</v>
      </c>
      <c r="G390" s="126" t="str">
        <f t="shared" si="35"/>
        <v>AR-TXS-1</v>
      </c>
      <c r="H390" s="253" t="s">
        <v>304</v>
      </c>
      <c r="I390" s="76">
        <v>1</v>
      </c>
      <c r="J390" s="299" t="s">
        <v>286</v>
      </c>
      <c r="K390" s="299"/>
      <c r="L390" s="288"/>
      <c r="Q390" s="288"/>
    </row>
    <row r="391" spans="1:17" s="95" customFormat="1" ht="13.5" hidden="1" outlineLevel="1">
      <c r="B391" s="119" t="s">
        <v>272</v>
      </c>
      <c r="C391" s="266" t="s">
        <v>975</v>
      </c>
      <c r="D391" s="124" t="s">
        <v>650</v>
      </c>
      <c r="E391" s="125"/>
      <c r="F391" s="118" t="s">
        <v>953</v>
      </c>
      <c r="G391" s="126" t="str">
        <f t="shared" si="35"/>
        <v>AR-TXS-1</v>
      </c>
      <c r="H391" s="253" t="s">
        <v>304</v>
      </c>
      <c r="I391" s="76">
        <v>1</v>
      </c>
      <c r="J391" s="299" t="s">
        <v>286</v>
      </c>
      <c r="K391" s="299"/>
      <c r="L391" s="288"/>
      <c r="Q391" s="288"/>
    </row>
    <row r="392" spans="1:17" s="95" customFormat="1" ht="13.5" hidden="1" outlineLevel="1">
      <c r="B392" s="119" t="s">
        <v>272</v>
      </c>
      <c r="C392" s="266" t="s">
        <v>976</v>
      </c>
      <c r="D392" s="124" t="s">
        <v>652</v>
      </c>
      <c r="E392" s="125"/>
      <c r="F392" s="118" t="s">
        <v>953</v>
      </c>
      <c r="G392" s="126" t="str">
        <f t="shared" si="35"/>
        <v>AR-TXS-1</v>
      </c>
      <c r="H392" s="253" t="s">
        <v>304</v>
      </c>
      <c r="I392" s="76">
        <v>1</v>
      </c>
      <c r="J392" s="299" t="s">
        <v>286</v>
      </c>
      <c r="K392" s="299"/>
      <c r="L392" s="288"/>
      <c r="Q392" s="288"/>
    </row>
    <row r="393" spans="1:17" s="95" customFormat="1" ht="13.5" hidden="1" outlineLevel="1">
      <c r="B393" s="119" t="s">
        <v>272</v>
      </c>
      <c r="C393" s="266" t="s">
        <v>977</v>
      </c>
      <c r="D393" s="124" t="s">
        <v>654</v>
      </c>
      <c r="E393" s="125"/>
      <c r="F393" s="118" t="s">
        <v>953</v>
      </c>
      <c r="G393" s="126" t="str">
        <f t="shared" si="35"/>
        <v>AR-TXS-1</v>
      </c>
      <c r="H393" s="253" t="s">
        <v>304</v>
      </c>
      <c r="I393" s="76">
        <v>1</v>
      </c>
      <c r="J393" s="299" t="s">
        <v>286</v>
      </c>
      <c r="K393" s="299"/>
      <c r="L393" s="288"/>
      <c r="Q393" s="288"/>
    </row>
    <row r="394" spans="1:17" s="95" customFormat="1" ht="13.5" hidden="1" outlineLevel="1">
      <c r="B394" s="119" t="s">
        <v>272</v>
      </c>
      <c r="C394" s="266" t="s">
        <v>978</v>
      </c>
      <c r="D394" s="124" t="s">
        <v>979</v>
      </c>
      <c r="E394" s="125"/>
      <c r="F394" s="118" t="s">
        <v>953</v>
      </c>
      <c r="G394" s="126" t="str">
        <f t="shared" si="35"/>
        <v>AR-TXS-1</v>
      </c>
      <c r="H394" s="253" t="s">
        <v>304</v>
      </c>
      <c r="I394" s="76">
        <v>1</v>
      </c>
      <c r="J394" s="299" t="s">
        <v>286</v>
      </c>
      <c r="K394" s="299"/>
      <c r="L394" s="288"/>
      <c r="Q394" s="288"/>
    </row>
    <row r="395" spans="1:17" s="95" customFormat="1" ht="13.5" hidden="1" outlineLevel="1">
      <c r="B395" s="119" t="s">
        <v>272</v>
      </c>
      <c r="C395" s="266" t="s">
        <v>980</v>
      </c>
      <c r="D395" s="124" t="s">
        <v>981</v>
      </c>
      <c r="E395" s="125"/>
      <c r="F395" s="118" t="s">
        <v>953</v>
      </c>
      <c r="G395" s="126" t="str">
        <f t="shared" si="35"/>
        <v>AR-TXS-1</v>
      </c>
      <c r="H395" s="253" t="s">
        <v>304</v>
      </c>
      <c r="I395" s="76">
        <v>1</v>
      </c>
      <c r="J395" s="299" t="s">
        <v>286</v>
      </c>
      <c r="K395" s="299"/>
      <c r="L395" s="288"/>
      <c r="Q395" s="288"/>
    </row>
    <row r="396" spans="1:17" s="95" customFormat="1" ht="13.5" hidden="1" outlineLevel="1">
      <c r="B396" s="119" t="s">
        <v>272</v>
      </c>
      <c r="C396" s="266" t="s">
        <v>982</v>
      </c>
      <c r="D396" s="124" t="s">
        <v>983</v>
      </c>
      <c r="E396" s="125"/>
      <c r="F396" s="118" t="s">
        <v>953</v>
      </c>
      <c r="G396" s="126" t="str">
        <f t="shared" si="35"/>
        <v>AR-TXS-1</v>
      </c>
      <c r="H396" s="253" t="s">
        <v>304</v>
      </c>
      <c r="I396" s="76">
        <v>1</v>
      </c>
      <c r="J396" s="299" t="s">
        <v>286</v>
      </c>
      <c r="K396" s="299"/>
      <c r="L396" s="288"/>
      <c r="Q396" s="288"/>
    </row>
    <row r="397" spans="1:17" s="95" customFormat="1" ht="13.5" hidden="1" outlineLevel="1">
      <c r="B397" s="119" t="s">
        <v>272</v>
      </c>
      <c r="C397" s="266" t="s">
        <v>984</v>
      </c>
      <c r="D397" s="124" t="s">
        <v>985</v>
      </c>
      <c r="E397" s="125"/>
      <c r="F397" s="118" t="s">
        <v>953</v>
      </c>
      <c r="G397" s="126" t="str">
        <f t="shared" si="35"/>
        <v>AR-TXS-1</v>
      </c>
      <c r="H397" s="253" t="s">
        <v>304</v>
      </c>
      <c r="I397" s="76">
        <v>1</v>
      </c>
      <c r="J397" s="299" t="s">
        <v>286</v>
      </c>
      <c r="K397" s="299"/>
      <c r="L397" s="288"/>
      <c r="Q397" s="288"/>
    </row>
    <row r="398" spans="1:17" s="83" customFormat="1" ht="13.5" hidden="1" customHeight="1" outlineLevel="1">
      <c r="A398" s="264"/>
      <c r="B398" s="119" t="s">
        <v>272</v>
      </c>
      <c r="C398" s="266" t="s">
        <v>986</v>
      </c>
      <c r="D398" s="124" t="s">
        <v>987</v>
      </c>
      <c r="E398" s="125"/>
      <c r="F398" s="118" t="s">
        <v>953</v>
      </c>
      <c r="G398" s="126" t="str">
        <f t="shared" ref="G398:G411" si="36">CONCATENATE("AR-",F398,"-",H398)</f>
        <v>AR-TXS-1</v>
      </c>
      <c r="H398" s="253" t="s">
        <v>304</v>
      </c>
      <c r="I398" s="76">
        <v>1</v>
      </c>
      <c r="J398" s="299" t="s">
        <v>286</v>
      </c>
      <c r="K398" s="299"/>
      <c r="L398" s="86"/>
      <c r="Q398" s="86"/>
    </row>
    <row r="399" spans="1:17" s="83" customFormat="1" ht="13.5" hidden="1" customHeight="1" outlineLevel="1">
      <c r="A399" s="264"/>
      <c r="B399" s="119" t="s">
        <v>272</v>
      </c>
      <c r="C399" s="266" t="s">
        <v>988</v>
      </c>
      <c r="D399" s="124" t="s">
        <v>989</v>
      </c>
      <c r="E399" s="125"/>
      <c r="F399" s="118" t="s">
        <v>953</v>
      </c>
      <c r="G399" s="126" t="str">
        <f t="shared" si="36"/>
        <v>AR-TXS-2</v>
      </c>
      <c r="H399" s="253" t="s">
        <v>289</v>
      </c>
      <c r="I399" s="76">
        <v>1</v>
      </c>
      <c r="J399" s="299" t="s">
        <v>286</v>
      </c>
      <c r="K399" s="299"/>
      <c r="L399" s="86"/>
      <c r="Q399" s="86"/>
    </row>
    <row r="400" spans="1:17" s="95" customFormat="1" ht="14.25" hidden="1" customHeight="1" outlineLevel="1">
      <c r="B400" s="119" t="s">
        <v>272</v>
      </c>
      <c r="C400" s="266" t="s">
        <v>990</v>
      </c>
      <c r="D400" s="124" t="s">
        <v>991</v>
      </c>
      <c r="E400" s="125"/>
      <c r="F400" s="118" t="s">
        <v>953</v>
      </c>
      <c r="G400" s="126" t="str">
        <f t="shared" si="36"/>
        <v>AR-TXS-2</v>
      </c>
      <c r="H400" s="253" t="s">
        <v>289</v>
      </c>
      <c r="I400" s="76">
        <v>1</v>
      </c>
      <c r="J400" s="299" t="s">
        <v>286</v>
      </c>
      <c r="K400" s="299"/>
      <c r="L400" s="288"/>
      <c r="Q400" s="288"/>
    </row>
    <row r="401" spans="1:19" s="95" customFormat="1" ht="14.25" hidden="1" customHeight="1" outlineLevel="1">
      <c r="B401" s="119" t="s">
        <v>272</v>
      </c>
      <c r="C401" s="266" t="s">
        <v>992</v>
      </c>
      <c r="D401" s="124" t="s">
        <v>993</v>
      </c>
      <c r="E401" s="125"/>
      <c r="F401" s="118" t="s">
        <v>953</v>
      </c>
      <c r="G401" s="126" t="str">
        <f>CONCATENATE("AR-",F401,"-",H401)</f>
        <v>AR-TXS-3</v>
      </c>
      <c r="H401" s="253">
        <v>3</v>
      </c>
      <c r="I401" s="76">
        <v>1</v>
      </c>
      <c r="J401" s="299" t="s">
        <v>286</v>
      </c>
      <c r="K401" s="299"/>
      <c r="L401" s="288"/>
      <c r="Q401" s="288"/>
    </row>
    <row r="402" spans="1:19" s="95" customFormat="1" ht="14.25" hidden="1" customHeight="1" outlineLevel="1">
      <c r="B402" s="119" t="s">
        <v>272</v>
      </c>
      <c r="C402" s="266" t="s">
        <v>994</v>
      </c>
      <c r="D402" s="124" t="s">
        <v>738</v>
      </c>
      <c r="E402" s="125"/>
      <c r="F402" s="118" t="s">
        <v>953</v>
      </c>
      <c r="G402" s="126" t="str">
        <f t="shared" si="36"/>
        <v>AR-TXS-4</v>
      </c>
      <c r="H402" s="253" t="s">
        <v>292</v>
      </c>
      <c r="I402" s="76">
        <v>1</v>
      </c>
      <c r="J402" s="299" t="s">
        <v>286</v>
      </c>
      <c r="K402" s="299"/>
      <c r="L402" s="288"/>
      <c r="Q402" s="288"/>
    </row>
    <row r="403" spans="1:19" s="95" customFormat="1" ht="14.25" hidden="1" customHeight="1" outlineLevel="1">
      <c r="B403" s="119" t="s">
        <v>272</v>
      </c>
      <c r="C403" s="266" t="s">
        <v>995</v>
      </c>
      <c r="D403" s="124" t="s">
        <v>996</v>
      </c>
      <c r="E403" s="125"/>
      <c r="F403" s="118" t="s">
        <v>953</v>
      </c>
      <c r="G403" s="126" t="str">
        <f t="shared" si="36"/>
        <v>AR-TXS-4</v>
      </c>
      <c r="H403" s="253" t="s">
        <v>292</v>
      </c>
      <c r="I403" s="76">
        <v>1</v>
      </c>
      <c r="J403" s="299" t="s">
        <v>286</v>
      </c>
      <c r="K403" s="299"/>
      <c r="L403" s="288"/>
      <c r="Q403" s="288"/>
    </row>
    <row r="404" spans="1:19" s="95" customFormat="1" ht="14.25" hidden="1" customHeight="1" outlineLevel="1">
      <c r="B404" s="119" t="s">
        <v>272</v>
      </c>
      <c r="C404" s="266" t="s">
        <v>997</v>
      </c>
      <c r="D404" s="124" t="s">
        <v>996</v>
      </c>
      <c r="E404" s="125"/>
      <c r="F404" s="118" t="s">
        <v>953</v>
      </c>
      <c r="G404" s="126" t="str">
        <f t="shared" si="36"/>
        <v>AR-TXS-4</v>
      </c>
      <c r="H404" s="253" t="s">
        <v>292</v>
      </c>
      <c r="I404" s="76">
        <v>1</v>
      </c>
      <c r="J404" s="299" t="s">
        <v>286</v>
      </c>
      <c r="K404" s="299"/>
      <c r="L404" s="288"/>
      <c r="Q404" s="288"/>
    </row>
    <row r="405" spans="1:19" s="95" customFormat="1" ht="14.25" hidden="1" customHeight="1" outlineLevel="1">
      <c r="B405" s="119" t="s">
        <v>272</v>
      </c>
      <c r="C405" s="266" t="s">
        <v>998</v>
      </c>
      <c r="D405" s="124" t="s">
        <v>726</v>
      </c>
      <c r="E405" s="125"/>
      <c r="F405" s="118" t="s">
        <v>953</v>
      </c>
      <c r="G405" s="126" t="str">
        <f t="shared" ref="G405" si="37">CONCATENATE("AR-",F405,"-",H405)</f>
        <v>AR-TXS-4</v>
      </c>
      <c r="H405" s="253" t="s">
        <v>292</v>
      </c>
      <c r="I405" s="76">
        <v>1</v>
      </c>
      <c r="J405" s="299" t="s">
        <v>286</v>
      </c>
      <c r="K405" s="299"/>
      <c r="L405" s="288"/>
      <c r="Q405" s="288"/>
    </row>
    <row r="406" spans="1:19" s="83" customFormat="1" ht="13.5" hidden="1" customHeight="1" outlineLevel="1">
      <c r="A406" s="264"/>
      <c r="B406" s="119" t="s">
        <v>272</v>
      </c>
      <c r="C406" s="266" t="s">
        <v>999</v>
      </c>
      <c r="D406" s="124" t="s">
        <v>724</v>
      </c>
      <c r="E406" s="125"/>
      <c r="F406" s="118" t="s">
        <v>953</v>
      </c>
      <c r="G406" s="126" t="str">
        <f>CONCATENATE("AR-",F406,"-",H406)</f>
        <v>AR-TXS-4</v>
      </c>
      <c r="H406" s="253" t="s">
        <v>292</v>
      </c>
      <c r="I406" s="76">
        <v>1</v>
      </c>
      <c r="J406" s="299" t="s">
        <v>286</v>
      </c>
      <c r="K406" s="299"/>
      <c r="L406" s="86"/>
      <c r="Q406" s="86"/>
      <c r="S406" s="95"/>
    </row>
    <row r="407" spans="1:19" s="83" customFormat="1" ht="13.5" hidden="1" customHeight="1" outlineLevel="1">
      <c r="A407" s="264"/>
      <c r="B407" s="119" t="s">
        <v>272</v>
      </c>
      <c r="C407" s="266" t="s">
        <v>1000</v>
      </c>
      <c r="D407" s="124" t="s">
        <v>732</v>
      </c>
      <c r="E407" s="125"/>
      <c r="F407" s="118" t="s">
        <v>953</v>
      </c>
      <c r="G407" s="126" t="str">
        <f>CONCATENATE("AR-",F407,"-",H407)</f>
        <v>AR-TXS-5</v>
      </c>
      <c r="H407" s="253" t="s">
        <v>363</v>
      </c>
      <c r="I407" s="76">
        <v>1</v>
      </c>
      <c r="J407" s="299" t="s">
        <v>286</v>
      </c>
      <c r="K407" s="299"/>
      <c r="L407" s="86"/>
      <c r="Q407" s="86"/>
      <c r="S407" s="95"/>
    </row>
    <row r="408" spans="1:19" s="95" customFormat="1" ht="14.25" hidden="1" customHeight="1" outlineLevel="1">
      <c r="B408" s="119" t="s">
        <v>272</v>
      </c>
      <c r="C408" s="266" t="s">
        <v>1001</v>
      </c>
      <c r="D408" s="124" t="s">
        <v>730</v>
      </c>
      <c r="E408" s="125"/>
      <c r="F408" s="118" t="s">
        <v>953</v>
      </c>
      <c r="G408" s="126" t="str">
        <f>CONCATENATE("AR-",F408,"-",H408)</f>
        <v>AR-TXS-5</v>
      </c>
      <c r="H408" s="253" t="s">
        <v>363</v>
      </c>
      <c r="I408" s="76">
        <v>1</v>
      </c>
      <c r="J408" s="299" t="s">
        <v>286</v>
      </c>
      <c r="K408" s="299"/>
      <c r="L408" s="288"/>
      <c r="Q408" s="288"/>
    </row>
    <row r="409" spans="1:19" s="95" customFormat="1" ht="13.5" hidden="1" outlineLevel="1">
      <c r="B409" s="119" t="s">
        <v>272</v>
      </c>
      <c r="C409" s="266" t="s">
        <v>1002</v>
      </c>
      <c r="D409" s="124" t="s">
        <v>1003</v>
      </c>
      <c r="E409" s="125"/>
      <c r="F409" s="118" t="s">
        <v>953</v>
      </c>
      <c r="G409" s="126" t="str">
        <f>CONCATENATE("AR-",F409,"-",H409)</f>
        <v>AR-TXS-6</v>
      </c>
      <c r="H409" s="253" t="s">
        <v>368</v>
      </c>
      <c r="I409" s="76">
        <v>1</v>
      </c>
      <c r="J409" s="299" t="s">
        <v>286</v>
      </c>
      <c r="K409" s="299"/>
      <c r="L409" s="288"/>
      <c r="Q409" s="288"/>
    </row>
    <row r="410" spans="1:19" s="95" customFormat="1" ht="14.25" hidden="1" customHeight="1" outlineLevel="1">
      <c r="B410" s="119" t="s">
        <v>272</v>
      </c>
      <c r="C410" s="266" t="s">
        <v>1004</v>
      </c>
      <c r="D410" s="124" t="s">
        <v>1005</v>
      </c>
      <c r="E410" s="125"/>
      <c r="F410" s="118" t="s">
        <v>953</v>
      </c>
      <c r="G410" s="126" t="str">
        <f t="shared" si="36"/>
        <v>AR-TXS-6</v>
      </c>
      <c r="H410" s="253" t="s">
        <v>368</v>
      </c>
      <c r="I410" s="76">
        <v>1</v>
      </c>
      <c r="J410" s="299" t="s">
        <v>286</v>
      </c>
      <c r="K410" s="299"/>
      <c r="L410" s="288"/>
      <c r="Q410" s="288"/>
    </row>
    <row r="411" spans="1:19" s="95" customFormat="1" ht="14.25" hidden="1" customHeight="1" outlineLevel="1">
      <c r="B411" s="119" t="s">
        <v>272</v>
      </c>
      <c r="C411" s="266" t="s">
        <v>1006</v>
      </c>
      <c r="D411" s="124" t="s">
        <v>1007</v>
      </c>
      <c r="E411" s="125"/>
      <c r="F411" s="118" t="s">
        <v>953</v>
      </c>
      <c r="G411" s="126" t="str">
        <f t="shared" si="36"/>
        <v>AR-TXS-6</v>
      </c>
      <c r="H411" s="253" t="s">
        <v>368</v>
      </c>
      <c r="I411" s="76">
        <v>1</v>
      </c>
      <c r="J411" s="299" t="s">
        <v>286</v>
      </c>
      <c r="K411" s="299"/>
      <c r="L411" s="288"/>
      <c r="Q411" s="288"/>
    </row>
    <row r="412" spans="1:19" s="83" customFormat="1" ht="13.5" hidden="1" customHeight="1" outlineLevel="1">
      <c r="A412" s="264"/>
      <c r="B412" s="119" t="s">
        <v>272</v>
      </c>
      <c r="C412" s="266" t="s">
        <v>1008</v>
      </c>
      <c r="D412" s="124" t="s">
        <v>1009</v>
      </c>
      <c r="E412" s="125"/>
      <c r="F412" s="118" t="s">
        <v>953</v>
      </c>
      <c r="G412" s="126" t="str">
        <f>CONCATENATE("AR-",F412,"-",H412)</f>
        <v>AR-TXS-6</v>
      </c>
      <c r="H412" s="253" t="s">
        <v>368</v>
      </c>
      <c r="I412" s="76">
        <v>1</v>
      </c>
      <c r="J412" s="299" t="s">
        <v>286</v>
      </c>
      <c r="K412" s="299"/>
      <c r="L412" s="86"/>
      <c r="Q412" s="86"/>
      <c r="S412" s="95"/>
    </row>
    <row r="413" spans="1:19" s="83" customFormat="1" ht="13.5" hidden="1" customHeight="1" outlineLevel="1">
      <c r="A413" s="264"/>
      <c r="B413" s="119" t="s">
        <v>272</v>
      </c>
      <c r="C413" s="266" t="s">
        <v>1010</v>
      </c>
      <c r="D413" s="124" t="s">
        <v>1011</v>
      </c>
      <c r="E413" s="125"/>
      <c r="F413" s="118" t="s">
        <v>953</v>
      </c>
      <c r="G413" s="126" t="str">
        <f>CONCATENATE("AR-",F413,"-",H413)</f>
        <v>AR-TXS-6</v>
      </c>
      <c r="H413" s="253" t="s">
        <v>368</v>
      </c>
      <c r="I413" s="76">
        <v>1</v>
      </c>
      <c r="J413" s="299" t="s">
        <v>286</v>
      </c>
      <c r="K413" s="299"/>
      <c r="L413" s="86"/>
      <c r="Q413" s="86"/>
      <c r="S413" s="95"/>
    </row>
    <row r="414" spans="1:19" s="95" customFormat="1" ht="14.25" hidden="1" customHeight="1" outlineLevel="1">
      <c r="B414" s="119" t="s">
        <v>272</v>
      </c>
      <c r="C414" s="266" t="s">
        <v>1012</v>
      </c>
      <c r="D414" s="124" t="s">
        <v>1013</v>
      </c>
      <c r="E414" s="125"/>
      <c r="F414" s="118" t="s">
        <v>953</v>
      </c>
      <c r="G414" s="126" t="str">
        <f>CONCATENATE("AR-",F414,"-",H414)</f>
        <v>AR-TXS-6</v>
      </c>
      <c r="H414" s="253" t="s">
        <v>368</v>
      </c>
      <c r="I414" s="76">
        <v>1</v>
      </c>
      <c r="J414" s="299" t="s">
        <v>286</v>
      </c>
      <c r="K414" s="299"/>
      <c r="L414" s="288"/>
      <c r="Q414" s="288"/>
    </row>
    <row r="415" spans="1:19" s="95" customFormat="1" ht="14.25" hidden="1" customHeight="1" outlineLevel="1">
      <c r="B415" s="119" t="s">
        <v>272</v>
      </c>
      <c r="C415" s="266" t="s">
        <v>1014</v>
      </c>
      <c r="D415" s="124" t="s">
        <v>734</v>
      </c>
      <c r="E415" s="125"/>
      <c r="F415" s="118" t="s">
        <v>953</v>
      </c>
      <c r="G415" s="126" t="str">
        <f>CONCATENATE("AR-",F415,"-",H415)</f>
        <v>AR-TXS-7</v>
      </c>
      <c r="H415" s="253">
        <v>7</v>
      </c>
      <c r="I415" s="76">
        <v>1</v>
      </c>
      <c r="J415" s="299" t="s">
        <v>286</v>
      </c>
      <c r="K415" s="299"/>
      <c r="L415" s="288"/>
      <c r="Q415" s="288"/>
    </row>
    <row r="416" spans="1:19" s="95" customFormat="1" ht="14.25" hidden="1" customHeight="1" outlineLevel="1">
      <c r="B416" s="119" t="s">
        <v>272</v>
      </c>
      <c r="C416" s="266" t="s">
        <v>810</v>
      </c>
      <c r="D416" s="124" t="s">
        <v>811</v>
      </c>
      <c r="E416" s="125"/>
      <c r="F416" s="118" t="s">
        <v>953</v>
      </c>
      <c r="G416" s="126" t="str">
        <f t="shared" ref="G416:G419" si="38">CONCATENATE("AR-",F416,"-",H416)</f>
        <v>AR-TXS-8</v>
      </c>
      <c r="H416" s="253" t="s">
        <v>410</v>
      </c>
      <c r="I416" s="76">
        <v>1</v>
      </c>
      <c r="J416" s="299" t="s">
        <v>286</v>
      </c>
      <c r="K416" s="299"/>
      <c r="L416" s="288"/>
      <c r="Q416" s="288"/>
    </row>
    <row r="417" spans="1:21" s="95" customFormat="1" ht="14.25" hidden="1" customHeight="1" outlineLevel="1">
      <c r="B417" s="119" t="s">
        <v>272</v>
      </c>
      <c r="C417" s="266" t="s">
        <v>812</v>
      </c>
      <c r="D417" s="124" t="s">
        <v>813</v>
      </c>
      <c r="E417" s="125"/>
      <c r="F417" s="118" t="s">
        <v>953</v>
      </c>
      <c r="G417" s="126" t="str">
        <f t="shared" si="38"/>
        <v>AR-TXS-9</v>
      </c>
      <c r="H417" s="253" t="s">
        <v>421</v>
      </c>
      <c r="I417" s="76">
        <v>1</v>
      </c>
      <c r="J417" s="299" t="s">
        <v>286</v>
      </c>
      <c r="K417" s="299"/>
      <c r="L417" s="288"/>
      <c r="Q417" s="288"/>
    </row>
    <row r="418" spans="1:21" s="95" customFormat="1" ht="14.25" hidden="1" customHeight="1" outlineLevel="1">
      <c r="B418" s="119" t="s">
        <v>272</v>
      </c>
      <c r="C418" s="266" t="s">
        <v>814</v>
      </c>
      <c r="D418" s="124" t="s">
        <v>815</v>
      </c>
      <c r="E418" s="125"/>
      <c r="F418" s="118" t="s">
        <v>953</v>
      </c>
      <c r="G418" s="126" t="str">
        <f t="shared" si="38"/>
        <v>AR-TXS-9</v>
      </c>
      <c r="H418" s="253" t="s">
        <v>421</v>
      </c>
      <c r="I418" s="76">
        <v>1</v>
      </c>
      <c r="J418" s="299" t="s">
        <v>286</v>
      </c>
      <c r="K418" s="299"/>
      <c r="L418" s="288"/>
      <c r="Q418" s="288"/>
    </row>
    <row r="419" spans="1:21" s="95" customFormat="1" ht="14.25" hidden="1" customHeight="1" outlineLevel="1">
      <c r="B419" s="119" t="s">
        <v>272</v>
      </c>
      <c r="C419" s="266" t="s">
        <v>816</v>
      </c>
      <c r="D419" s="124" t="s">
        <v>817</v>
      </c>
      <c r="E419" s="125"/>
      <c r="F419" s="118" t="s">
        <v>953</v>
      </c>
      <c r="G419" s="126" t="str">
        <f t="shared" si="38"/>
        <v>AR-TXS-9</v>
      </c>
      <c r="H419" s="253" t="s">
        <v>421</v>
      </c>
      <c r="I419" s="76">
        <v>1</v>
      </c>
      <c r="J419" s="299" t="s">
        <v>286</v>
      </c>
      <c r="K419" s="299"/>
      <c r="L419" s="288"/>
      <c r="Q419" s="288"/>
    </row>
    <row r="420" spans="1:21" s="95" customFormat="1" ht="3" hidden="1" customHeight="1">
      <c r="A420" s="261"/>
      <c r="B420" s="119"/>
      <c r="C420" s="266"/>
      <c r="D420" s="124" t="s">
        <v>299</v>
      </c>
      <c r="E420" s="125"/>
      <c r="F420" s="118"/>
      <c r="G420" s="126"/>
      <c r="H420" s="253"/>
      <c r="I420" s="93"/>
      <c r="J420" s="303"/>
      <c r="K420" s="303"/>
      <c r="L420" s="94"/>
      <c r="M420" s="76"/>
      <c r="N420" s="76"/>
      <c r="O420" s="76"/>
      <c r="P420" s="76"/>
      <c r="Q420" s="94"/>
      <c r="R420" s="76"/>
      <c r="T420" s="76"/>
      <c r="U420" s="76"/>
    </row>
    <row r="421" spans="1:21" s="83" customFormat="1" ht="13.5" hidden="1" collapsed="1">
      <c r="A421" s="72" t="s">
        <v>1015</v>
      </c>
      <c r="B421" s="85"/>
      <c r="C421" s="269"/>
      <c r="D421" s="85" t="s">
        <v>299</v>
      </c>
      <c r="E421" s="390"/>
      <c r="F421" s="73"/>
      <c r="G421" s="73"/>
      <c r="H421" s="74"/>
      <c r="I421" s="76"/>
      <c r="J421" s="299"/>
      <c r="K421" s="299"/>
      <c r="L421" s="75"/>
      <c r="M421" s="75"/>
      <c r="N421" s="75"/>
      <c r="O421" s="75"/>
      <c r="P421" s="75"/>
      <c r="Q421" s="75"/>
      <c r="R421" s="75"/>
      <c r="S421" s="75"/>
      <c r="T421" s="75"/>
      <c r="U421" s="75"/>
    </row>
    <row r="422" spans="1:21" s="83" customFormat="1" ht="3" hidden="1" customHeight="1" outlineLevel="1">
      <c r="A422" s="261"/>
      <c r="B422" s="119"/>
      <c r="C422" s="266"/>
      <c r="D422" s="124" t="s">
        <v>299</v>
      </c>
      <c r="E422" s="125"/>
      <c r="F422" s="118"/>
      <c r="G422" s="126"/>
      <c r="H422" s="253"/>
      <c r="I422" s="76"/>
      <c r="J422" s="299"/>
      <c r="K422" s="299"/>
      <c r="L422" s="84"/>
      <c r="M422" s="76"/>
      <c r="N422" s="76"/>
      <c r="O422" s="76"/>
      <c r="P422" s="76"/>
      <c r="Q422" s="84"/>
      <c r="R422" s="76"/>
      <c r="S422" s="76"/>
      <c r="T422" s="76"/>
      <c r="U422" s="76"/>
    </row>
    <row r="423" spans="1:21" s="95" customFormat="1" ht="13.5" hidden="1" outlineLevel="1">
      <c r="B423" s="119" t="s">
        <v>272</v>
      </c>
      <c r="C423" s="266" t="s">
        <v>1016</v>
      </c>
      <c r="D423" s="124" t="s">
        <v>1017</v>
      </c>
      <c r="E423" s="125"/>
      <c r="F423" s="118" t="s">
        <v>1018</v>
      </c>
      <c r="G423" s="126" t="str">
        <f>CONCATENATE("AR-",F423,"-",H423)</f>
        <v>AR-T6V-1</v>
      </c>
      <c r="H423" s="253">
        <v>1</v>
      </c>
      <c r="I423" s="76">
        <v>1</v>
      </c>
      <c r="J423" s="299" t="s">
        <v>286</v>
      </c>
      <c r="K423" s="299"/>
      <c r="L423" s="94"/>
      <c r="M423" s="76"/>
      <c r="N423" s="76"/>
      <c r="O423" s="76"/>
      <c r="P423" s="76"/>
      <c r="Q423" s="94"/>
      <c r="R423" s="76"/>
      <c r="S423" s="76"/>
      <c r="T423" s="76"/>
      <c r="U423" s="76"/>
    </row>
    <row r="424" spans="1:21" s="95" customFormat="1" ht="13.5" hidden="1" outlineLevel="1">
      <c r="B424" s="119" t="s">
        <v>272</v>
      </c>
      <c r="C424" s="266" t="s">
        <v>1019</v>
      </c>
      <c r="D424" s="124" t="s">
        <v>1020</v>
      </c>
      <c r="E424" s="125"/>
      <c r="F424" s="118" t="s">
        <v>1018</v>
      </c>
      <c r="G424" s="126" t="str">
        <f>CONCATENATE("AR-",F424,"-",H424)</f>
        <v>AR-T6V-1</v>
      </c>
      <c r="H424" s="253">
        <v>1</v>
      </c>
      <c r="I424" s="76">
        <v>1</v>
      </c>
      <c r="J424" s="299" t="s">
        <v>286</v>
      </c>
      <c r="K424" s="299"/>
      <c r="L424" s="94"/>
      <c r="M424" s="76"/>
      <c r="N424" s="76"/>
      <c r="O424" s="76"/>
      <c r="P424" s="76"/>
      <c r="Q424" s="94"/>
      <c r="R424" s="76"/>
      <c r="S424" s="76"/>
      <c r="T424" s="76"/>
      <c r="U424" s="76"/>
    </row>
    <row r="425" spans="1:21" s="95" customFormat="1" ht="13.5" hidden="1" outlineLevel="1">
      <c r="B425" s="119" t="s">
        <v>272</v>
      </c>
      <c r="C425" s="266" t="s">
        <v>1021</v>
      </c>
      <c r="D425" s="124" t="s">
        <v>1022</v>
      </c>
      <c r="E425" s="125"/>
      <c r="F425" s="118" t="s">
        <v>1018</v>
      </c>
      <c r="G425" s="126" t="str">
        <f>CONCATENATE("AR-",F425,"-",H425)</f>
        <v>AR-T6V-2</v>
      </c>
      <c r="H425" s="253">
        <v>2</v>
      </c>
      <c r="I425" s="76">
        <v>1</v>
      </c>
      <c r="J425" s="299" t="s">
        <v>286</v>
      </c>
      <c r="K425" s="299"/>
      <c r="L425" s="94"/>
      <c r="M425" s="76"/>
      <c r="N425" s="76"/>
      <c r="O425" s="76"/>
      <c r="P425" s="76"/>
      <c r="Q425" s="94"/>
      <c r="R425" s="76"/>
      <c r="S425" s="76"/>
      <c r="T425" s="76"/>
      <c r="U425" s="76"/>
    </row>
    <row r="426" spans="1:21" s="95" customFormat="1" ht="13.5" hidden="1" outlineLevel="1">
      <c r="B426" s="119" t="s">
        <v>272</v>
      </c>
      <c r="C426" s="266" t="s">
        <v>1023</v>
      </c>
      <c r="D426" s="124" t="s">
        <v>1024</v>
      </c>
      <c r="E426" s="125"/>
      <c r="F426" s="118" t="s">
        <v>1018</v>
      </c>
      <c r="G426" s="126" t="str">
        <f>CONCATENATE("AR-",F426,"-",H426)</f>
        <v>AR-T6V-3</v>
      </c>
      <c r="H426" s="253">
        <v>3</v>
      </c>
      <c r="I426" s="76">
        <v>1</v>
      </c>
      <c r="J426" s="299" t="s">
        <v>286</v>
      </c>
      <c r="K426" s="299"/>
      <c r="L426" s="94"/>
      <c r="M426" s="76"/>
      <c r="N426" s="76"/>
      <c r="O426" s="76"/>
      <c r="P426" s="76"/>
      <c r="Q426" s="94"/>
      <c r="R426" s="76"/>
      <c r="S426" s="76"/>
      <c r="T426" s="76"/>
      <c r="U426" s="76"/>
    </row>
    <row r="427" spans="1:21" s="95" customFormat="1" ht="15" hidden="1" customHeight="1" outlineLevel="1">
      <c r="B427" s="119" t="s">
        <v>272</v>
      </c>
      <c r="C427" s="266" t="s">
        <v>488</v>
      </c>
      <c r="D427" s="124" t="s">
        <v>489</v>
      </c>
      <c r="E427" s="125"/>
      <c r="F427" s="118" t="s">
        <v>1018</v>
      </c>
      <c r="G427" s="126" t="str">
        <f t="shared" ref="G427:G429" si="39">CONCATENATE("AR-",F427,"-",H427)</f>
        <v>AR-T6V-4</v>
      </c>
      <c r="H427" s="253" t="s">
        <v>292</v>
      </c>
      <c r="I427" s="76">
        <v>1</v>
      </c>
      <c r="J427" s="299" t="s">
        <v>286</v>
      </c>
      <c r="K427" s="299"/>
      <c r="L427" s="288"/>
      <c r="Q427" s="288"/>
    </row>
    <row r="428" spans="1:21" s="95" customFormat="1" ht="15" hidden="1" customHeight="1" outlineLevel="1">
      <c r="B428" s="119" t="s">
        <v>272</v>
      </c>
      <c r="C428" s="266" t="s">
        <v>490</v>
      </c>
      <c r="D428" s="124" t="s">
        <v>491</v>
      </c>
      <c r="E428" s="125"/>
      <c r="F428" s="118" t="s">
        <v>1018</v>
      </c>
      <c r="G428" s="126" t="str">
        <f t="shared" si="39"/>
        <v>AR-T6V-4</v>
      </c>
      <c r="H428" s="253" t="s">
        <v>292</v>
      </c>
      <c r="I428" s="76">
        <v>1</v>
      </c>
      <c r="J428" s="299" t="s">
        <v>286</v>
      </c>
      <c r="K428" s="299"/>
      <c r="L428" s="288"/>
      <c r="Q428" s="288"/>
    </row>
    <row r="429" spans="1:21" s="95" customFormat="1" ht="15" hidden="1" customHeight="1" outlineLevel="1">
      <c r="B429" s="119" t="s">
        <v>272</v>
      </c>
      <c r="C429" s="266" t="s">
        <v>492</v>
      </c>
      <c r="D429" s="124" t="s">
        <v>493</v>
      </c>
      <c r="E429" s="125"/>
      <c r="F429" s="118" t="s">
        <v>1018</v>
      </c>
      <c r="G429" s="126" t="str">
        <f t="shared" si="39"/>
        <v>AR-T6V-4</v>
      </c>
      <c r="H429" s="253" t="s">
        <v>292</v>
      </c>
      <c r="I429" s="76">
        <v>1</v>
      </c>
      <c r="J429" s="299" t="s">
        <v>286</v>
      </c>
      <c r="K429" s="299"/>
      <c r="L429" s="288"/>
      <c r="Q429" s="288"/>
    </row>
    <row r="430" spans="1:21" s="95" customFormat="1" ht="15" hidden="1" customHeight="1" outlineLevel="1">
      <c r="B430" s="119" t="s">
        <v>272</v>
      </c>
      <c r="C430" s="266" t="s">
        <v>500</v>
      </c>
      <c r="D430" s="124" t="s">
        <v>501</v>
      </c>
      <c r="E430" s="125"/>
      <c r="F430" s="118" t="s">
        <v>1018</v>
      </c>
      <c r="G430" s="126" t="str">
        <f>CONCATENATE("AR-",F430,"-",H430)</f>
        <v>AR-T6V-5</v>
      </c>
      <c r="H430" s="253" t="s">
        <v>363</v>
      </c>
      <c r="I430" s="76">
        <v>1</v>
      </c>
      <c r="J430" s="299" t="s">
        <v>286</v>
      </c>
      <c r="K430" s="299"/>
      <c r="L430" s="288"/>
      <c r="Q430" s="288"/>
    </row>
    <row r="431" spans="1:21" s="83" customFormat="1" ht="15" hidden="1" customHeight="1" outlineLevel="1">
      <c r="A431" s="264"/>
      <c r="B431" s="119" t="s">
        <v>272</v>
      </c>
      <c r="C431" s="266" t="s">
        <v>502</v>
      </c>
      <c r="D431" s="124" t="s">
        <v>503</v>
      </c>
      <c r="E431" s="125"/>
      <c r="F431" s="118" t="s">
        <v>1018</v>
      </c>
      <c r="G431" s="126" t="str">
        <f t="shared" ref="G431:G438" si="40">CONCATENATE("AR-",F431,"-",H431)</f>
        <v>AR-T6V-5</v>
      </c>
      <c r="H431" s="253" t="s">
        <v>363</v>
      </c>
      <c r="I431" s="76">
        <v>1</v>
      </c>
      <c r="J431" s="299" t="s">
        <v>286</v>
      </c>
      <c r="K431" s="299"/>
      <c r="L431" s="86"/>
      <c r="Q431" s="86"/>
    </row>
    <row r="432" spans="1:21" s="83" customFormat="1" ht="15" hidden="1" customHeight="1" outlineLevel="1">
      <c r="A432" s="264"/>
      <c r="B432" s="119" t="s">
        <v>272</v>
      </c>
      <c r="C432" s="266" t="s">
        <v>504</v>
      </c>
      <c r="D432" s="124" t="s">
        <v>505</v>
      </c>
      <c r="E432" s="125"/>
      <c r="F432" s="118" t="s">
        <v>1018</v>
      </c>
      <c r="G432" s="126" t="str">
        <f t="shared" si="40"/>
        <v>AR-T6V-5</v>
      </c>
      <c r="H432" s="253" t="s">
        <v>363</v>
      </c>
      <c r="I432" s="76">
        <v>1</v>
      </c>
      <c r="J432" s="299" t="s">
        <v>286</v>
      </c>
      <c r="K432" s="299"/>
      <c r="L432" s="86"/>
      <c r="Q432" s="86"/>
    </row>
    <row r="433" spans="1:21" s="83" customFormat="1" ht="15" hidden="1" customHeight="1" outlineLevel="1">
      <c r="A433" s="264"/>
      <c r="B433" s="119" t="s">
        <v>272</v>
      </c>
      <c r="C433" s="266" t="s">
        <v>512</v>
      </c>
      <c r="D433" s="124" t="s">
        <v>513</v>
      </c>
      <c r="E433" s="125"/>
      <c r="F433" s="118" t="s">
        <v>1018</v>
      </c>
      <c r="G433" s="126" t="str">
        <f t="shared" si="40"/>
        <v>AR-T6V-6</v>
      </c>
      <c r="H433" s="253" t="s">
        <v>368</v>
      </c>
      <c r="I433" s="76">
        <v>1</v>
      </c>
      <c r="J433" s="299" t="s">
        <v>286</v>
      </c>
      <c r="K433" s="299"/>
      <c r="L433" s="86"/>
      <c r="Q433" s="86"/>
    </row>
    <row r="434" spans="1:21" s="95" customFormat="1" ht="15" hidden="1" customHeight="1" outlineLevel="1">
      <c r="B434" s="119" t="s">
        <v>272</v>
      </c>
      <c r="C434" s="266" t="s">
        <v>514</v>
      </c>
      <c r="D434" s="124" t="s">
        <v>515</v>
      </c>
      <c r="E434" s="125"/>
      <c r="F434" s="118" t="s">
        <v>1018</v>
      </c>
      <c r="G434" s="126" t="str">
        <f t="shared" si="40"/>
        <v>AR-T6V-6</v>
      </c>
      <c r="H434" s="253" t="s">
        <v>368</v>
      </c>
      <c r="I434" s="76">
        <v>1</v>
      </c>
      <c r="J434" s="299" t="s">
        <v>286</v>
      </c>
      <c r="K434" s="299"/>
      <c r="L434" s="288"/>
      <c r="Q434" s="288"/>
    </row>
    <row r="435" spans="1:21" s="95" customFormat="1" ht="15" hidden="1" customHeight="1" outlineLevel="1">
      <c r="B435" s="119" t="s">
        <v>272</v>
      </c>
      <c r="C435" s="266" t="s">
        <v>540</v>
      </c>
      <c r="D435" s="124" t="s">
        <v>541</v>
      </c>
      <c r="E435" s="125"/>
      <c r="F435" s="118" t="s">
        <v>1018</v>
      </c>
      <c r="G435" s="126" t="str">
        <f t="shared" si="40"/>
        <v>AR-T6V-7</v>
      </c>
      <c r="H435" s="253" t="s">
        <v>373</v>
      </c>
      <c r="I435" s="76">
        <v>1</v>
      </c>
      <c r="J435" s="299" t="s">
        <v>310</v>
      </c>
      <c r="K435" s="299"/>
      <c r="L435" s="84"/>
      <c r="M435" s="76"/>
      <c r="N435" s="76"/>
      <c r="O435" s="76"/>
      <c r="P435" s="76"/>
      <c r="Q435" s="84"/>
      <c r="R435" s="76"/>
    </row>
    <row r="436" spans="1:21" s="95" customFormat="1" ht="15" hidden="1" customHeight="1" outlineLevel="1">
      <c r="B436" s="119" t="s">
        <v>272</v>
      </c>
      <c r="C436" s="266" t="s">
        <v>542</v>
      </c>
      <c r="D436" s="124" t="s">
        <v>543</v>
      </c>
      <c r="E436" s="125"/>
      <c r="F436" s="118" t="s">
        <v>1018</v>
      </c>
      <c r="G436" s="126" t="str">
        <f t="shared" si="40"/>
        <v>AR-T6V-7</v>
      </c>
      <c r="H436" s="253" t="s">
        <v>373</v>
      </c>
      <c r="I436" s="76">
        <v>1</v>
      </c>
      <c r="J436" s="299" t="s">
        <v>310</v>
      </c>
      <c r="K436" s="299"/>
      <c r="L436" s="84"/>
      <c r="M436" s="76"/>
      <c r="N436" s="76"/>
      <c r="O436" s="76"/>
      <c r="P436" s="76"/>
      <c r="Q436" s="94"/>
      <c r="R436" s="76"/>
    </row>
    <row r="437" spans="1:21" s="95" customFormat="1" ht="14.25" hidden="1" customHeight="1" outlineLevel="1">
      <c r="B437" s="119" t="s">
        <v>272</v>
      </c>
      <c r="C437" s="266" t="s">
        <v>596</v>
      </c>
      <c r="D437" s="124" t="s">
        <v>597</v>
      </c>
      <c r="E437" s="125"/>
      <c r="F437" s="118" t="s">
        <v>1018</v>
      </c>
      <c r="G437" s="126" t="str">
        <f t="shared" si="40"/>
        <v>AR-T6V-8</v>
      </c>
      <c r="H437" s="253" t="s">
        <v>410</v>
      </c>
      <c r="I437" s="76">
        <v>1</v>
      </c>
      <c r="J437" s="299" t="s">
        <v>286</v>
      </c>
      <c r="K437" s="299"/>
      <c r="L437" s="288"/>
      <c r="Q437" s="288"/>
    </row>
    <row r="438" spans="1:21" s="95" customFormat="1" ht="14.25" hidden="1" customHeight="1" outlineLevel="1">
      <c r="B438" s="119" t="s">
        <v>272</v>
      </c>
      <c r="C438" s="266" t="s">
        <v>598</v>
      </c>
      <c r="D438" s="124" t="s">
        <v>599</v>
      </c>
      <c r="E438" s="125"/>
      <c r="F438" s="118" t="s">
        <v>1018</v>
      </c>
      <c r="G438" s="126" t="str">
        <f t="shared" si="40"/>
        <v>AR-T6V-8</v>
      </c>
      <c r="H438" s="253" t="s">
        <v>410</v>
      </c>
      <c r="I438" s="76">
        <v>1</v>
      </c>
      <c r="J438" s="299" t="s">
        <v>286</v>
      </c>
      <c r="K438" s="299"/>
      <c r="L438" s="288"/>
      <c r="Q438" s="288"/>
    </row>
    <row r="439" spans="1:21" s="95" customFormat="1" ht="13.5" hidden="1" outlineLevel="1">
      <c r="B439" s="119" t="s">
        <v>272</v>
      </c>
      <c r="C439" s="266" t="s">
        <v>1025</v>
      </c>
      <c r="D439" s="124" t="s">
        <v>1026</v>
      </c>
      <c r="E439" s="125"/>
      <c r="F439" s="118" t="s">
        <v>1018</v>
      </c>
      <c r="G439" s="126" t="str">
        <f>CONCATENATE("AR-",F439,"-",H439)</f>
        <v>AR-T6V-9</v>
      </c>
      <c r="H439" s="253">
        <v>9</v>
      </c>
      <c r="I439" s="76">
        <v>1</v>
      </c>
      <c r="J439" s="299" t="s">
        <v>286</v>
      </c>
      <c r="K439" s="299"/>
      <c r="L439" s="94"/>
      <c r="M439" s="76"/>
      <c r="N439" s="76"/>
      <c r="O439" s="76"/>
      <c r="P439" s="76"/>
      <c r="Q439" s="94"/>
      <c r="R439" s="76"/>
      <c r="S439" s="76"/>
      <c r="T439" s="76"/>
      <c r="U439" s="76"/>
    </row>
    <row r="440" spans="1:21" s="95" customFormat="1" ht="13.5" hidden="1" outlineLevel="1">
      <c r="B440" s="119" t="s">
        <v>272</v>
      </c>
      <c r="C440" s="266" t="s">
        <v>1027</v>
      </c>
      <c r="D440" s="124" t="s">
        <v>1026</v>
      </c>
      <c r="E440" s="125"/>
      <c r="F440" s="118" t="s">
        <v>1018</v>
      </c>
      <c r="G440" s="126" t="str">
        <f>CONCATENATE("AR-",F440,"-",H440)</f>
        <v>AR-T6V-9</v>
      </c>
      <c r="H440" s="253">
        <v>9</v>
      </c>
      <c r="I440" s="76">
        <v>1</v>
      </c>
      <c r="J440" s="299" t="s">
        <v>286</v>
      </c>
      <c r="K440" s="299"/>
      <c r="L440" s="288"/>
      <c r="Q440" s="288"/>
    </row>
    <row r="441" spans="1:21" s="95" customFormat="1" ht="15" hidden="1" customHeight="1" outlineLevel="1">
      <c r="B441" s="119" t="s">
        <v>272</v>
      </c>
      <c r="C441" s="266" t="s">
        <v>615</v>
      </c>
      <c r="D441" s="124" t="s">
        <v>616</v>
      </c>
      <c r="E441" s="125"/>
      <c r="F441" s="118" t="s">
        <v>1018</v>
      </c>
      <c r="G441" s="126" t="str">
        <f>CONCATENATE("AR-",F441,"-",H441)</f>
        <v>AR-T6V-10</v>
      </c>
      <c r="H441" s="253" t="s">
        <v>423</v>
      </c>
      <c r="I441" s="76">
        <v>1</v>
      </c>
      <c r="J441" s="299" t="s">
        <v>286</v>
      </c>
      <c r="K441" s="299"/>
      <c r="L441" s="288"/>
      <c r="Q441" s="288"/>
    </row>
    <row r="442" spans="1:21" s="95" customFormat="1" ht="15" hidden="1" customHeight="1" outlineLevel="1">
      <c r="B442" s="119" t="s">
        <v>272</v>
      </c>
      <c r="C442" s="266" t="s">
        <v>617</v>
      </c>
      <c r="D442" s="124" t="s">
        <v>618</v>
      </c>
      <c r="E442" s="125"/>
      <c r="F442" s="118" t="s">
        <v>1018</v>
      </c>
      <c r="G442" s="126" t="str">
        <f>CONCATENATE("AR-",F442,"-",H442)</f>
        <v>AR-T6V-10</v>
      </c>
      <c r="H442" s="253" t="s">
        <v>423</v>
      </c>
      <c r="I442" s="76">
        <v>1</v>
      </c>
      <c r="J442" s="299" t="s">
        <v>286</v>
      </c>
      <c r="K442" s="299"/>
      <c r="L442" s="288"/>
      <c r="Q442" s="288"/>
    </row>
    <row r="443" spans="1:21" s="95" customFormat="1" ht="3" hidden="1" customHeight="1">
      <c r="A443" s="261"/>
      <c r="B443" s="119"/>
      <c r="C443" s="266"/>
      <c r="D443" s="124" t="s">
        <v>299</v>
      </c>
      <c r="E443" s="125"/>
      <c r="F443" s="118"/>
      <c r="G443" s="126"/>
      <c r="H443" s="253"/>
      <c r="I443" s="93"/>
      <c r="J443" s="303"/>
      <c r="K443" s="303"/>
      <c r="L443" s="94"/>
      <c r="M443" s="76"/>
      <c r="N443" s="76"/>
      <c r="O443" s="76"/>
      <c r="P443" s="76"/>
      <c r="Q443" s="94"/>
      <c r="R443" s="76"/>
      <c r="S443" s="76"/>
      <c r="T443" s="76"/>
      <c r="U443" s="76"/>
    </row>
    <row r="444" spans="1:21" s="83" customFormat="1" ht="13.5" hidden="1" collapsed="1">
      <c r="A444" s="72" t="s">
        <v>1028</v>
      </c>
      <c r="B444" s="85"/>
      <c r="C444" s="269"/>
      <c r="D444" s="85" t="s">
        <v>299</v>
      </c>
      <c r="E444" s="390"/>
      <c r="F444" s="73"/>
      <c r="G444" s="73"/>
      <c r="H444" s="74"/>
      <c r="I444" s="76"/>
      <c r="J444" s="299"/>
      <c r="K444" s="299"/>
      <c r="L444" s="75"/>
      <c r="M444" s="75"/>
      <c r="N444" s="75"/>
      <c r="O444" s="75"/>
      <c r="P444" s="75"/>
      <c r="Q444" s="75"/>
      <c r="R444" s="75"/>
      <c r="S444" s="75"/>
      <c r="T444" s="75"/>
      <c r="U444" s="75"/>
    </row>
    <row r="445" spans="1:21" s="83" customFormat="1" ht="3" hidden="1" customHeight="1" outlineLevel="1">
      <c r="A445" s="256"/>
      <c r="B445" s="119"/>
      <c r="C445" s="266"/>
      <c r="D445" s="124" t="s">
        <v>299</v>
      </c>
      <c r="E445" s="125"/>
      <c r="F445" s="118"/>
      <c r="G445" s="126"/>
      <c r="H445" s="253"/>
      <c r="I445" s="76"/>
      <c r="J445" s="299"/>
      <c r="K445" s="299"/>
      <c r="L445" s="84"/>
      <c r="M445" s="76"/>
      <c r="N445" s="76"/>
      <c r="O445" s="76"/>
      <c r="P445" s="76"/>
      <c r="Q445" s="84"/>
      <c r="R445" s="76"/>
      <c r="S445" s="76"/>
      <c r="T445" s="76"/>
      <c r="U445" s="76"/>
    </row>
    <row r="446" spans="1:21" s="98" customFormat="1" ht="14.25" hidden="1" customHeight="1" outlineLevel="1">
      <c r="A446" s="99"/>
      <c r="B446" s="119" t="s">
        <v>272</v>
      </c>
      <c r="C446" s="266" t="s">
        <v>1029</v>
      </c>
      <c r="D446" s="124" t="s">
        <v>626</v>
      </c>
      <c r="E446" s="125"/>
      <c r="F446" s="118" t="s">
        <v>1030</v>
      </c>
      <c r="G446" s="126" t="str">
        <f>CONCATENATE("AR-",F446,"-",H446)</f>
        <v>AR-T6S-1</v>
      </c>
      <c r="H446" s="253" t="s">
        <v>304</v>
      </c>
      <c r="I446" s="76">
        <v>1</v>
      </c>
      <c r="J446" s="299" t="s">
        <v>307</v>
      </c>
      <c r="K446" s="299"/>
      <c r="L446" s="90"/>
      <c r="M446" s="76"/>
      <c r="N446" s="76"/>
      <c r="O446" s="76"/>
      <c r="P446" s="76"/>
      <c r="Q446" s="90"/>
      <c r="R446" s="76"/>
      <c r="S446" s="76"/>
      <c r="T446" s="76"/>
      <c r="U446" s="76"/>
    </row>
    <row r="447" spans="1:21" s="98" customFormat="1" ht="14.25" hidden="1" customHeight="1" outlineLevel="1">
      <c r="A447" s="99"/>
      <c r="B447" s="119" t="s">
        <v>272</v>
      </c>
      <c r="C447" s="266" t="s">
        <v>1031</v>
      </c>
      <c r="D447" s="124" t="s">
        <v>628</v>
      </c>
      <c r="E447" s="125"/>
      <c r="F447" s="118" t="s">
        <v>1030</v>
      </c>
      <c r="G447" s="126" t="str">
        <f>CONCATENATE("AR-",F447,"-",H447)</f>
        <v>AR-T6S-1</v>
      </c>
      <c r="H447" s="253" t="s">
        <v>304</v>
      </c>
      <c r="I447" s="76">
        <v>1</v>
      </c>
      <c r="J447" s="299" t="s">
        <v>307</v>
      </c>
      <c r="K447" s="299"/>
      <c r="L447" s="90"/>
      <c r="M447" s="76"/>
      <c r="N447" s="76"/>
      <c r="O447" s="76"/>
      <c r="P447" s="76"/>
      <c r="Q447" s="90"/>
      <c r="R447" s="76"/>
      <c r="S447" s="76"/>
      <c r="T447" s="76"/>
      <c r="U447" s="76"/>
    </row>
    <row r="448" spans="1:21" s="95" customFormat="1" ht="14.25" hidden="1" customHeight="1" outlineLevel="1">
      <c r="B448" s="119" t="s">
        <v>272</v>
      </c>
      <c r="C448" s="266" t="s">
        <v>1032</v>
      </c>
      <c r="D448" s="124" t="s">
        <v>1033</v>
      </c>
      <c r="E448" s="125"/>
      <c r="F448" s="118" t="s">
        <v>1030</v>
      </c>
      <c r="G448" s="126" t="str">
        <f t="shared" ref="G448:G456" si="41">CONCATENATE("AR-",F448,"-",H448)</f>
        <v>AR-T6S-1</v>
      </c>
      <c r="H448" s="253" t="s">
        <v>304</v>
      </c>
      <c r="I448" s="76">
        <v>1</v>
      </c>
      <c r="J448" s="299" t="s">
        <v>310</v>
      </c>
      <c r="K448" s="299"/>
      <c r="L448" s="84"/>
      <c r="M448" s="76"/>
      <c r="N448" s="76"/>
      <c r="O448" s="76"/>
      <c r="P448" s="76"/>
      <c r="Q448" s="84"/>
      <c r="R448" s="76"/>
      <c r="S448" s="76"/>
      <c r="T448" s="76"/>
      <c r="U448" s="76"/>
    </row>
    <row r="449" spans="2:21" s="95" customFormat="1" ht="14.25" hidden="1" customHeight="1" outlineLevel="1">
      <c r="B449" s="119" t="s">
        <v>272</v>
      </c>
      <c r="C449" s="266" t="s">
        <v>1034</v>
      </c>
      <c r="D449" s="124" t="s">
        <v>632</v>
      </c>
      <c r="E449" s="125"/>
      <c r="F449" s="118" t="s">
        <v>1030</v>
      </c>
      <c r="G449" s="126" t="str">
        <f t="shared" si="41"/>
        <v>AR-T6S-1</v>
      </c>
      <c r="H449" s="253" t="s">
        <v>304</v>
      </c>
      <c r="I449" s="76">
        <v>1</v>
      </c>
      <c r="J449" s="299" t="s">
        <v>310</v>
      </c>
      <c r="K449" s="299"/>
      <c r="L449" s="84"/>
      <c r="M449" s="76"/>
      <c r="N449" s="76"/>
      <c r="O449" s="76"/>
      <c r="P449" s="76"/>
      <c r="Q449" s="84"/>
      <c r="R449" s="76"/>
      <c r="S449" s="76"/>
      <c r="T449" s="76"/>
      <c r="U449" s="76"/>
    </row>
    <row r="450" spans="2:21" s="95" customFormat="1" ht="14.25" hidden="1" customHeight="1" outlineLevel="1">
      <c r="B450" s="119" t="s">
        <v>272</v>
      </c>
      <c r="C450" s="266" t="s">
        <v>1035</v>
      </c>
      <c r="D450" s="124" t="s">
        <v>634</v>
      </c>
      <c r="E450" s="125"/>
      <c r="F450" s="118" t="s">
        <v>1030</v>
      </c>
      <c r="G450" s="126" t="str">
        <f t="shared" si="41"/>
        <v>AR-T6S-1</v>
      </c>
      <c r="H450" s="253" t="s">
        <v>304</v>
      </c>
      <c r="I450" s="76">
        <v>1</v>
      </c>
      <c r="J450" s="299" t="s">
        <v>310</v>
      </c>
      <c r="K450" s="299"/>
      <c r="L450" s="84"/>
      <c r="M450" s="76"/>
      <c r="N450" s="76"/>
      <c r="O450" s="76"/>
      <c r="P450" s="76"/>
      <c r="Q450" s="84"/>
      <c r="R450" s="76"/>
      <c r="S450" s="76"/>
      <c r="T450" s="76"/>
      <c r="U450" s="76"/>
    </row>
    <row r="451" spans="2:21" s="95" customFormat="1" ht="14.25" hidden="1" customHeight="1" outlineLevel="1">
      <c r="B451" s="119" t="s">
        <v>272</v>
      </c>
      <c r="C451" s="266" t="s">
        <v>1036</v>
      </c>
      <c r="D451" s="124" t="s">
        <v>636</v>
      </c>
      <c r="E451" s="125"/>
      <c r="F451" s="118" t="s">
        <v>1030</v>
      </c>
      <c r="G451" s="126" t="str">
        <f t="shared" si="41"/>
        <v>AR-T6S-1</v>
      </c>
      <c r="H451" s="253" t="s">
        <v>304</v>
      </c>
      <c r="I451" s="76">
        <v>1</v>
      </c>
      <c r="J451" s="299" t="s">
        <v>310</v>
      </c>
      <c r="K451" s="299"/>
      <c r="L451" s="84"/>
      <c r="M451" s="76"/>
      <c r="N451" s="76"/>
      <c r="O451" s="76"/>
      <c r="P451" s="76"/>
      <c r="Q451" s="84"/>
      <c r="R451" s="76"/>
      <c r="S451" s="76"/>
      <c r="T451" s="76"/>
      <c r="U451" s="76"/>
    </row>
    <row r="452" spans="2:21" s="95" customFormat="1" ht="14.25" hidden="1" customHeight="1" outlineLevel="1">
      <c r="B452" s="119" t="s">
        <v>272</v>
      </c>
      <c r="C452" s="266" t="s">
        <v>1037</v>
      </c>
      <c r="D452" s="124" t="s">
        <v>638</v>
      </c>
      <c r="E452" s="125"/>
      <c r="F452" s="118" t="s">
        <v>1030</v>
      </c>
      <c r="G452" s="126" t="str">
        <f t="shared" si="41"/>
        <v>AR-T6S-1</v>
      </c>
      <c r="H452" s="253" t="s">
        <v>304</v>
      </c>
      <c r="I452" s="76">
        <v>1</v>
      </c>
      <c r="J452" s="299" t="s">
        <v>310</v>
      </c>
      <c r="K452" s="299"/>
      <c r="L452" s="84"/>
      <c r="M452" s="76"/>
      <c r="N452" s="76"/>
      <c r="O452" s="76"/>
      <c r="P452" s="76"/>
      <c r="Q452" s="84"/>
      <c r="R452" s="76"/>
      <c r="S452" s="76"/>
      <c r="T452" s="76"/>
      <c r="U452" s="76"/>
    </row>
    <row r="453" spans="2:21" s="95" customFormat="1" ht="14.25" hidden="1" customHeight="1" outlineLevel="1">
      <c r="B453" s="119" t="s">
        <v>272</v>
      </c>
      <c r="C453" s="266" t="s">
        <v>1038</v>
      </c>
      <c r="D453" s="124" t="s">
        <v>640</v>
      </c>
      <c r="E453" s="125"/>
      <c r="F453" s="118" t="s">
        <v>1030</v>
      </c>
      <c r="G453" s="126" t="str">
        <f t="shared" si="41"/>
        <v>AR-T6S-1</v>
      </c>
      <c r="H453" s="253" t="s">
        <v>304</v>
      </c>
      <c r="I453" s="76">
        <v>1</v>
      </c>
      <c r="J453" s="299" t="s">
        <v>310</v>
      </c>
      <c r="K453" s="299"/>
      <c r="L453" s="84"/>
      <c r="M453" s="76"/>
      <c r="N453" s="76"/>
      <c r="O453" s="76"/>
      <c r="P453" s="76"/>
      <c r="Q453" s="84"/>
      <c r="R453" s="76"/>
      <c r="S453" s="76"/>
      <c r="T453" s="76"/>
      <c r="U453" s="76"/>
    </row>
    <row r="454" spans="2:21" s="95" customFormat="1" ht="14.25" hidden="1" customHeight="1" outlineLevel="1">
      <c r="B454" s="119" t="s">
        <v>272</v>
      </c>
      <c r="C454" s="266" t="s">
        <v>1039</v>
      </c>
      <c r="D454" s="124" t="s">
        <v>642</v>
      </c>
      <c r="E454" s="125"/>
      <c r="F454" s="118" t="s">
        <v>1030</v>
      </c>
      <c r="G454" s="126" t="str">
        <f t="shared" si="41"/>
        <v>AR-T6S-1</v>
      </c>
      <c r="H454" s="253" t="s">
        <v>304</v>
      </c>
      <c r="I454" s="76">
        <v>1</v>
      </c>
      <c r="J454" s="299" t="s">
        <v>310</v>
      </c>
      <c r="K454" s="299"/>
      <c r="L454" s="84"/>
      <c r="M454" s="76"/>
      <c r="N454" s="76"/>
      <c r="O454" s="76"/>
      <c r="P454" s="76"/>
      <c r="Q454" s="84"/>
      <c r="R454" s="76"/>
    </row>
    <row r="455" spans="2:21" s="95" customFormat="1" ht="14.25" hidden="1" customHeight="1" outlineLevel="1">
      <c r="B455" s="119" t="s">
        <v>272</v>
      </c>
      <c r="C455" s="266" t="s">
        <v>1040</v>
      </c>
      <c r="D455" s="124" t="s">
        <v>644</v>
      </c>
      <c r="E455" s="125"/>
      <c r="F455" s="118" t="s">
        <v>1030</v>
      </c>
      <c r="G455" s="126" t="str">
        <f t="shared" si="41"/>
        <v>AR-T6S-1</v>
      </c>
      <c r="H455" s="253" t="s">
        <v>304</v>
      </c>
      <c r="I455" s="76">
        <v>1</v>
      </c>
      <c r="J455" s="299" t="s">
        <v>286</v>
      </c>
      <c r="K455" s="299"/>
      <c r="L455" s="84"/>
      <c r="M455" s="76"/>
      <c r="N455" s="76"/>
      <c r="O455" s="76"/>
      <c r="P455" s="76"/>
      <c r="Q455" s="84"/>
      <c r="R455" s="76"/>
    </row>
    <row r="456" spans="2:21" s="95" customFormat="1" ht="13.9" hidden="1" customHeight="1" outlineLevel="1">
      <c r="B456" s="119" t="s">
        <v>272</v>
      </c>
      <c r="C456" s="266" t="s">
        <v>1041</v>
      </c>
      <c r="D456" s="124" t="s">
        <v>646</v>
      </c>
      <c r="E456" s="125"/>
      <c r="F456" s="118" t="s">
        <v>1030</v>
      </c>
      <c r="G456" s="126" t="str">
        <f t="shared" si="41"/>
        <v>AR-T6S-1</v>
      </c>
      <c r="H456" s="253" t="s">
        <v>304</v>
      </c>
      <c r="I456" s="76">
        <v>1</v>
      </c>
      <c r="J456" s="299" t="s">
        <v>310</v>
      </c>
      <c r="K456" s="299"/>
      <c r="L456" s="84"/>
      <c r="M456" s="76"/>
      <c r="N456" s="76"/>
      <c r="O456" s="76"/>
      <c r="P456" s="76"/>
      <c r="Q456" s="84"/>
      <c r="R456" s="76"/>
    </row>
    <row r="457" spans="2:21" s="95" customFormat="1" ht="14.25" hidden="1" customHeight="1" outlineLevel="1">
      <c r="B457" s="119" t="s">
        <v>272</v>
      </c>
      <c r="C457" s="266" t="s">
        <v>1042</v>
      </c>
      <c r="D457" s="124" t="s">
        <v>1043</v>
      </c>
      <c r="E457" s="125"/>
      <c r="F457" s="118" t="s">
        <v>1030</v>
      </c>
      <c r="G457" s="126" t="str">
        <f>CONCATENATE("AR-",F457,"-",H457)</f>
        <v>AR-T6S-1</v>
      </c>
      <c r="H457" s="253" t="s">
        <v>304</v>
      </c>
      <c r="I457" s="76">
        <v>1</v>
      </c>
      <c r="J457" s="299" t="s">
        <v>310</v>
      </c>
      <c r="K457" s="299"/>
      <c r="L457" s="84"/>
      <c r="M457" s="76"/>
      <c r="N457" s="76"/>
      <c r="O457" s="76"/>
      <c r="P457" s="76"/>
      <c r="Q457" s="84"/>
      <c r="R457" s="76"/>
    </row>
    <row r="458" spans="2:21" s="95" customFormat="1" ht="14.25" hidden="1" customHeight="1" outlineLevel="1">
      <c r="B458" s="119" t="s">
        <v>272</v>
      </c>
      <c r="C458" s="266" t="s">
        <v>1044</v>
      </c>
      <c r="D458" s="124" t="s">
        <v>650</v>
      </c>
      <c r="E458" s="125"/>
      <c r="F458" s="118" t="s">
        <v>1030</v>
      </c>
      <c r="G458" s="126" t="str">
        <f>CONCATENATE("AR-",F458,"-",H458)</f>
        <v>AR-T6S-1</v>
      </c>
      <c r="H458" s="253" t="s">
        <v>304</v>
      </c>
      <c r="I458" s="76">
        <v>1</v>
      </c>
      <c r="J458" s="299" t="s">
        <v>310</v>
      </c>
      <c r="K458" s="299"/>
      <c r="L458" s="84"/>
      <c r="M458" s="76"/>
      <c r="N458" s="76"/>
      <c r="O458" s="76"/>
      <c r="P458" s="76"/>
      <c r="Q458" s="84"/>
      <c r="R458" s="76"/>
    </row>
    <row r="459" spans="2:21" s="95" customFormat="1" ht="13.5" hidden="1" outlineLevel="1">
      <c r="B459" s="119" t="s">
        <v>272</v>
      </c>
      <c r="C459" s="266" t="s">
        <v>1045</v>
      </c>
      <c r="D459" s="124" t="s">
        <v>652</v>
      </c>
      <c r="E459" s="125"/>
      <c r="F459" s="118" t="s">
        <v>1030</v>
      </c>
      <c r="G459" s="126" t="str">
        <f t="shared" ref="G459:G467" si="42">CONCATENATE("AR-",F459,"-",H459)</f>
        <v>AR-T6S-1</v>
      </c>
      <c r="H459" s="253" t="s">
        <v>304</v>
      </c>
      <c r="I459" s="76">
        <v>1</v>
      </c>
      <c r="J459" s="299" t="s">
        <v>310</v>
      </c>
      <c r="K459" s="299"/>
      <c r="L459" s="84"/>
      <c r="M459" s="76"/>
      <c r="N459" s="76"/>
      <c r="O459" s="76"/>
      <c r="P459" s="76"/>
      <c r="Q459" s="84"/>
      <c r="R459" s="76"/>
    </row>
    <row r="460" spans="2:21" s="95" customFormat="1" ht="13.5" hidden="1" outlineLevel="1">
      <c r="B460" s="119" t="s">
        <v>272</v>
      </c>
      <c r="C460" s="266" t="s">
        <v>1046</v>
      </c>
      <c r="D460" s="124" t="s">
        <v>654</v>
      </c>
      <c r="E460" s="125"/>
      <c r="F460" s="118" t="s">
        <v>1030</v>
      </c>
      <c r="G460" s="126" t="str">
        <f t="shared" si="42"/>
        <v>AR-T6S-1</v>
      </c>
      <c r="H460" s="253" t="s">
        <v>304</v>
      </c>
      <c r="I460" s="76">
        <v>1</v>
      </c>
      <c r="J460" s="299" t="s">
        <v>310</v>
      </c>
      <c r="K460" s="299"/>
      <c r="L460" s="84"/>
      <c r="M460" s="76"/>
      <c r="N460" s="76"/>
      <c r="O460" s="76"/>
      <c r="P460" s="76"/>
      <c r="Q460" s="84"/>
      <c r="R460" s="76"/>
    </row>
    <row r="461" spans="2:21" s="95" customFormat="1" ht="13.5" hidden="1" outlineLevel="1">
      <c r="B461" s="119" t="s">
        <v>272</v>
      </c>
      <c r="C461" s="266" t="s">
        <v>1047</v>
      </c>
      <c r="D461" s="124" t="s">
        <v>979</v>
      </c>
      <c r="E461" s="125"/>
      <c r="F461" s="118" t="s">
        <v>1030</v>
      </c>
      <c r="G461" s="126" t="str">
        <f t="shared" si="42"/>
        <v>AR-T6S-1</v>
      </c>
      <c r="H461" s="253" t="s">
        <v>304</v>
      </c>
      <c r="I461" s="76">
        <v>1</v>
      </c>
      <c r="J461" s="299" t="s">
        <v>286</v>
      </c>
      <c r="K461" s="299"/>
      <c r="L461" s="84"/>
      <c r="M461" s="76"/>
      <c r="N461" s="76"/>
      <c r="O461" s="76"/>
      <c r="P461" s="76"/>
      <c r="Q461" s="84"/>
      <c r="R461" s="76"/>
    </row>
    <row r="462" spans="2:21" s="95" customFormat="1" ht="13.5" hidden="1" outlineLevel="1">
      <c r="B462" s="119" t="s">
        <v>272</v>
      </c>
      <c r="C462" s="266" t="s">
        <v>1048</v>
      </c>
      <c r="D462" s="124" t="s">
        <v>981</v>
      </c>
      <c r="E462" s="125"/>
      <c r="F462" s="118" t="s">
        <v>1030</v>
      </c>
      <c r="G462" s="126" t="str">
        <f t="shared" si="42"/>
        <v>AR-T6S-1</v>
      </c>
      <c r="H462" s="253" t="s">
        <v>304</v>
      </c>
      <c r="I462" s="76">
        <v>1</v>
      </c>
      <c r="J462" s="299" t="s">
        <v>286</v>
      </c>
      <c r="K462" s="299"/>
      <c r="L462" s="84"/>
      <c r="M462" s="76"/>
      <c r="N462" s="76"/>
      <c r="O462" s="76"/>
      <c r="P462" s="76"/>
      <c r="Q462" s="84"/>
      <c r="R462" s="76"/>
    </row>
    <row r="463" spans="2:21" s="95" customFormat="1" ht="13.5" hidden="1" outlineLevel="1">
      <c r="B463" s="119" t="s">
        <v>272</v>
      </c>
      <c r="C463" s="266" t="s">
        <v>1049</v>
      </c>
      <c r="D463" s="124" t="s">
        <v>983</v>
      </c>
      <c r="E463" s="125"/>
      <c r="F463" s="118" t="s">
        <v>1030</v>
      </c>
      <c r="G463" s="126" t="str">
        <f t="shared" si="42"/>
        <v>AR-T6S-1</v>
      </c>
      <c r="H463" s="253" t="s">
        <v>304</v>
      </c>
      <c r="I463" s="76">
        <v>1</v>
      </c>
      <c r="J463" s="299" t="s">
        <v>286</v>
      </c>
      <c r="K463" s="299"/>
      <c r="L463" s="84"/>
      <c r="M463" s="76"/>
      <c r="N463" s="76"/>
      <c r="O463" s="76"/>
      <c r="P463" s="76"/>
      <c r="Q463" s="84"/>
      <c r="R463" s="76"/>
    </row>
    <row r="464" spans="2:21" s="95" customFormat="1" ht="13.5" hidden="1" outlineLevel="1">
      <c r="B464" s="119" t="s">
        <v>272</v>
      </c>
      <c r="C464" s="266" t="s">
        <v>1050</v>
      </c>
      <c r="D464" s="124" t="s">
        <v>985</v>
      </c>
      <c r="E464" s="125"/>
      <c r="F464" s="118" t="s">
        <v>1030</v>
      </c>
      <c r="G464" s="126" t="str">
        <f t="shared" si="42"/>
        <v>AR-T6S-1</v>
      </c>
      <c r="H464" s="253" t="s">
        <v>304</v>
      </c>
      <c r="I464" s="76">
        <v>1</v>
      </c>
      <c r="J464" s="299" t="s">
        <v>286</v>
      </c>
      <c r="K464" s="299"/>
      <c r="L464" s="84"/>
      <c r="M464" s="76"/>
      <c r="N464" s="76"/>
      <c r="O464" s="76"/>
      <c r="P464" s="76"/>
      <c r="Q464" s="84"/>
      <c r="R464" s="76"/>
    </row>
    <row r="465" spans="1:18" s="95" customFormat="1" ht="13.5" hidden="1" outlineLevel="1">
      <c r="B465" s="119" t="s">
        <v>272</v>
      </c>
      <c r="C465" s="266" t="s">
        <v>1051</v>
      </c>
      <c r="D465" s="124" t="s">
        <v>987</v>
      </c>
      <c r="E465" s="125"/>
      <c r="F465" s="118" t="s">
        <v>1030</v>
      </c>
      <c r="G465" s="126" t="str">
        <f t="shared" si="42"/>
        <v>AR-T6S-1</v>
      </c>
      <c r="H465" s="253" t="s">
        <v>304</v>
      </c>
      <c r="I465" s="76">
        <v>1</v>
      </c>
      <c r="J465" s="299" t="s">
        <v>286</v>
      </c>
      <c r="K465" s="299"/>
      <c r="L465" s="84"/>
      <c r="M465" s="76"/>
      <c r="N465" s="76"/>
      <c r="O465" s="76"/>
      <c r="P465" s="76"/>
      <c r="Q465" s="84"/>
      <c r="R465" s="76"/>
    </row>
    <row r="466" spans="1:18" s="95" customFormat="1" ht="13.5" hidden="1" outlineLevel="1">
      <c r="B466" s="119" t="s">
        <v>272</v>
      </c>
      <c r="C466" s="266" t="s">
        <v>1052</v>
      </c>
      <c r="D466" s="124" t="s">
        <v>1053</v>
      </c>
      <c r="E466" s="125"/>
      <c r="F466" s="118" t="s">
        <v>1030</v>
      </c>
      <c r="G466" s="126" t="str">
        <f t="shared" si="42"/>
        <v>AR-T6S-1</v>
      </c>
      <c r="H466" s="253" t="s">
        <v>304</v>
      </c>
      <c r="I466" s="76">
        <v>1</v>
      </c>
      <c r="J466" s="299" t="s">
        <v>286</v>
      </c>
      <c r="K466" s="299"/>
      <c r="L466" s="84"/>
      <c r="M466" s="76"/>
      <c r="N466" s="76"/>
      <c r="O466" s="76"/>
      <c r="P466" s="76"/>
      <c r="Q466" s="84"/>
      <c r="R466" s="76"/>
    </row>
    <row r="467" spans="1:18" s="95" customFormat="1" ht="13.5" hidden="1" outlineLevel="1">
      <c r="B467" s="119" t="s">
        <v>272</v>
      </c>
      <c r="C467" s="266" t="s">
        <v>1054</v>
      </c>
      <c r="D467" s="124" t="s">
        <v>1055</v>
      </c>
      <c r="E467" s="125"/>
      <c r="F467" s="118" t="s">
        <v>1030</v>
      </c>
      <c r="G467" s="126" t="str">
        <f t="shared" si="42"/>
        <v>AR-T6S-2</v>
      </c>
      <c r="H467" s="253" t="s">
        <v>289</v>
      </c>
      <c r="I467" s="76">
        <v>1</v>
      </c>
      <c r="J467" s="299" t="s">
        <v>286</v>
      </c>
      <c r="K467" s="299"/>
      <c r="L467" s="84"/>
      <c r="M467" s="76"/>
      <c r="N467" s="76"/>
      <c r="O467" s="76"/>
      <c r="P467" s="76"/>
      <c r="Q467" s="84"/>
      <c r="R467" s="76"/>
    </row>
    <row r="468" spans="1:18" s="83" customFormat="1" ht="13.5" hidden="1" customHeight="1" outlineLevel="1">
      <c r="A468" s="264"/>
      <c r="B468" s="119" t="s">
        <v>272</v>
      </c>
      <c r="C468" s="266" t="s">
        <v>1056</v>
      </c>
      <c r="D468" s="124" t="s">
        <v>680</v>
      </c>
      <c r="E468" s="125"/>
      <c r="F468" s="118" t="s">
        <v>1030</v>
      </c>
      <c r="G468" s="126" t="str">
        <f t="shared" ref="G468:G479" si="43">CONCATENATE("AR-",F468,"-",H468)</f>
        <v>AR-T6S-2</v>
      </c>
      <c r="H468" s="253" t="s">
        <v>289</v>
      </c>
      <c r="I468" s="76">
        <v>1</v>
      </c>
      <c r="J468" s="299" t="s">
        <v>286</v>
      </c>
      <c r="K468" s="299"/>
      <c r="L468" s="84"/>
      <c r="M468" s="76"/>
      <c r="N468" s="76"/>
      <c r="O468" s="76"/>
      <c r="P468" s="76"/>
      <c r="Q468" s="84"/>
      <c r="R468" s="76"/>
    </row>
    <row r="469" spans="1:18" s="83" customFormat="1" ht="13.5" hidden="1" customHeight="1" outlineLevel="1">
      <c r="A469" s="264"/>
      <c r="B469" s="119" t="s">
        <v>272</v>
      </c>
      <c r="C469" s="266" t="s">
        <v>1057</v>
      </c>
      <c r="D469" s="124" t="s">
        <v>682</v>
      </c>
      <c r="E469" s="125"/>
      <c r="F469" s="118" t="s">
        <v>1030</v>
      </c>
      <c r="G469" s="126" t="str">
        <f t="shared" si="43"/>
        <v>AR-T6S-3</v>
      </c>
      <c r="H469" s="253" t="s">
        <v>346</v>
      </c>
      <c r="I469" s="76">
        <v>1</v>
      </c>
      <c r="J469" s="299" t="s">
        <v>286</v>
      </c>
      <c r="K469" s="299"/>
      <c r="L469" s="84"/>
      <c r="M469" s="76"/>
      <c r="N469" s="76"/>
      <c r="O469" s="76"/>
      <c r="P469" s="76"/>
      <c r="Q469" s="84"/>
      <c r="R469" s="76"/>
    </row>
    <row r="470" spans="1:18" s="95" customFormat="1" ht="14.25" hidden="1" customHeight="1" outlineLevel="1">
      <c r="B470" s="119" t="s">
        <v>272</v>
      </c>
      <c r="C470" s="266" t="s">
        <v>1058</v>
      </c>
      <c r="D470" s="124" t="s">
        <v>684</v>
      </c>
      <c r="E470" s="125"/>
      <c r="F470" s="118" t="s">
        <v>1030</v>
      </c>
      <c r="G470" s="126" t="str">
        <f t="shared" si="43"/>
        <v>AR-T6S-3</v>
      </c>
      <c r="H470" s="253" t="s">
        <v>346</v>
      </c>
      <c r="I470" s="76">
        <v>1</v>
      </c>
      <c r="J470" s="299" t="s">
        <v>286</v>
      </c>
      <c r="K470" s="299"/>
      <c r="L470" s="84"/>
      <c r="M470" s="76"/>
      <c r="N470" s="76"/>
      <c r="O470" s="76"/>
      <c r="P470" s="76"/>
      <c r="Q470" s="84"/>
      <c r="R470" s="76"/>
    </row>
    <row r="471" spans="1:18" s="95" customFormat="1" ht="14.25" hidden="1" customHeight="1" outlineLevel="1">
      <c r="B471" s="119" t="s">
        <v>272</v>
      </c>
      <c r="C471" s="266" t="s">
        <v>1059</v>
      </c>
      <c r="D471" s="124" t="s">
        <v>724</v>
      </c>
      <c r="E471" s="125"/>
      <c r="F471" s="118" t="s">
        <v>1030</v>
      </c>
      <c r="G471" s="126" t="str">
        <f t="shared" si="43"/>
        <v>AR-T6S-4</v>
      </c>
      <c r="H471" s="253" t="s">
        <v>292</v>
      </c>
      <c r="I471" s="76">
        <v>1</v>
      </c>
      <c r="J471" s="299" t="s">
        <v>286</v>
      </c>
      <c r="K471" s="299"/>
      <c r="L471" s="84"/>
      <c r="M471" s="76"/>
      <c r="N471" s="76"/>
      <c r="O471" s="76"/>
      <c r="P471" s="76"/>
      <c r="Q471" s="84"/>
      <c r="R471" s="76"/>
    </row>
    <row r="472" spans="1:18" s="95" customFormat="1" ht="14.25" hidden="1" customHeight="1" outlineLevel="1">
      <c r="B472" s="119" t="s">
        <v>272</v>
      </c>
      <c r="C472" s="266" t="s">
        <v>1060</v>
      </c>
      <c r="D472" s="124" t="s">
        <v>726</v>
      </c>
      <c r="E472" s="125"/>
      <c r="F472" s="118" t="s">
        <v>1030</v>
      </c>
      <c r="G472" s="126" t="str">
        <f t="shared" si="43"/>
        <v>AR-T6S-4</v>
      </c>
      <c r="H472" s="253" t="s">
        <v>292</v>
      </c>
      <c r="I472" s="76">
        <v>1</v>
      </c>
      <c r="J472" s="299" t="s">
        <v>286</v>
      </c>
      <c r="K472" s="299"/>
      <c r="L472" s="84"/>
      <c r="M472" s="76"/>
      <c r="N472" s="76"/>
      <c r="O472" s="76"/>
      <c r="P472" s="76"/>
      <c r="Q472" s="84"/>
      <c r="R472" s="76"/>
    </row>
    <row r="473" spans="1:18" s="95" customFormat="1" ht="14.25" hidden="1" customHeight="1" outlineLevel="1">
      <c r="B473" s="119" t="s">
        <v>272</v>
      </c>
      <c r="C473" s="266" t="s">
        <v>1061</v>
      </c>
      <c r="D473" s="124" t="s">
        <v>728</v>
      </c>
      <c r="E473" s="125"/>
      <c r="F473" s="118" t="s">
        <v>1030</v>
      </c>
      <c r="G473" s="126" t="str">
        <f t="shared" si="43"/>
        <v>AR-T6S-4</v>
      </c>
      <c r="H473" s="253" t="s">
        <v>292</v>
      </c>
      <c r="I473" s="76">
        <v>1</v>
      </c>
      <c r="J473" s="299" t="s">
        <v>286</v>
      </c>
      <c r="K473" s="299"/>
      <c r="L473" s="84"/>
      <c r="M473" s="76"/>
      <c r="N473" s="76"/>
      <c r="O473" s="76"/>
      <c r="P473" s="76"/>
      <c r="Q473" s="84"/>
      <c r="R473" s="76"/>
    </row>
    <row r="474" spans="1:18" s="95" customFormat="1" ht="14.25" hidden="1" customHeight="1" outlineLevel="1">
      <c r="B474" s="119" t="s">
        <v>272</v>
      </c>
      <c r="C474" s="266" t="s">
        <v>1062</v>
      </c>
      <c r="D474" s="124" t="s">
        <v>730</v>
      </c>
      <c r="E474" s="125"/>
      <c r="F474" s="118" t="s">
        <v>1030</v>
      </c>
      <c r="G474" s="126" t="str">
        <f t="shared" si="43"/>
        <v>AR-T6S-5</v>
      </c>
      <c r="H474" s="253" t="s">
        <v>363</v>
      </c>
      <c r="I474" s="76">
        <v>1</v>
      </c>
      <c r="J474" s="299" t="s">
        <v>286</v>
      </c>
      <c r="K474" s="299"/>
      <c r="L474" s="84"/>
      <c r="M474" s="76"/>
      <c r="N474" s="76"/>
      <c r="O474" s="76"/>
      <c r="P474" s="76"/>
      <c r="Q474" s="84"/>
      <c r="R474" s="76"/>
    </row>
    <row r="475" spans="1:18" s="95" customFormat="1" ht="14.25" hidden="1" customHeight="1" outlineLevel="1">
      <c r="B475" s="119" t="s">
        <v>272</v>
      </c>
      <c r="C475" s="266" t="s">
        <v>1063</v>
      </c>
      <c r="D475" s="124" t="s">
        <v>732</v>
      </c>
      <c r="E475" s="125"/>
      <c r="F475" s="118" t="s">
        <v>1030</v>
      </c>
      <c r="G475" s="126" t="str">
        <f t="shared" si="43"/>
        <v>AR-T6S-5</v>
      </c>
      <c r="H475" s="253" t="s">
        <v>363</v>
      </c>
      <c r="I475" s="76">
        <v>1</v>
      </c>
      <c r="J475" s="299" t="s">
        <v>286</v>
      </c>
      <c r="K475" s="299"/>
      <c r="L475" s="84"/>
      <c r="M475" s="76"/>
      <c r="N475" s="76"/>
      <c r="O475" s="76"/>
      <c r="P475" s="76"/>
      <c r="Q475" s="94"/>
      <c r="R475" s="76"/>
    </row>
    <row r="476" spans="1:18" s="95" customFormat="1" ht="14.25" hidden="1" customHeight="1" outlineLevel="1">
      <c r="B476" s="119" t="s">
        <v>272</v>
      </c>
      <c r="C476" s="266" t="s">
        <v>1064</v>
      </c>
      <c r="D476" s="124" t="s">
        <v>734</v>
      </c>
      <c r="E476" s="125"/>
      <c r="F476" s="118" t="s">
        <v>1030</v>
      </c>
      <c r="G476" s="126" t="str">
        <f t="shared" ref="G476:G477" si="44">CONCATENATE("AR-",F476,"-",H476)</f>
        <v>AR-T6S-5</v>
      </c>
      <c r="H476" s="253" t="s">
        <v>363</v>
      </c>
      <c r="I476" s="76">
        <v>1</v>
      </c>
      <c r="J476" s="299" t="s">
        <v>286</v>
      </c>
      <c r="K476" s="299"/>
      <c r="L476" s="84"/>
      <c r="M476" s="76"/>
      <c r="N476" s="76"/>
      <c r="O476" s="76"/>
      <c r="P476" s="76"/>
      <c r="Q476" s="94"/>
      <c r="R476" s="76"/>
    </row>
    <row r="477" spans="1:18" s="95" customFormat="1" ht="14.25" hidden="1" customHeight="1" outlineLevel="1">
      <c r="B477" s="119" t="s">
        <v>272</v>
      </c>
      <c r="C477" s="266" t="s">
        <v>1065</v>
      </c>
      <c r="D477" s="124" t="s">
        <v>1066</v>
      </c>
      <c r="E477" s="125"/>
      <c r="F477" s="118" t="s">
        <v>1030</v>
      </c>
      <c r="G477" s="126" t="str">
        <f t="shared" si="44"/>
        <v>AR-T6S-5</v>
      </c>
      <c r="H477" s="253" t="s">
        <v>363</v>
      </c>
      <c r="I477" s="76">
        <v>1</v>
      </c>
      <c r="J477" s="299" t="s">
        <v>286</v>
      </c>
      <c r="K477" s="299"/>
      <c r="L477" s="84"/>
      <c r="M477" s="76"/>
      <c r="N477" s="76"/>
      <c r="O477" s="76"/>
      <c r="P477" s="76"/>
      <c r="Q477" s="94"/>
      <c r="R477" s="76"/>
    </row>
    <row r="478" spans="1:18" s="95" customFormat="1" ht="14.25" hidden="1" customHeight="1" outlineLevel="1">
      <c r="B478" s="119" t="s">
        <v>272</v>
      </c>
      <c r="C478" s="266" t="s">
        <v>1067</v>
      </c>
      <c r="D478" s="124" t="s">
        <v>738</v>
      </c>
      <c r="E478" s="125"/>
      <c r="F478" s="118" t="s">
        <v>1030</v>
      </c>
      <c r="G478" s="126" t="str">
        <f t="shared" ref="G478" si="45">CONCATENATE("AR-",F478,"-",H478)</f>
        <v>AR-T6S-6</v>
      </c>
      <c r="H478" s="253" t="s">
        <v>368</v>
      </c>
      <c r="I478" s="76">
        <v>1</v>
      </c>
      <c r="J478" s="299" t="s">
        <v>286</v>
      </c>
      <c r="K478" s="299"/>
      <c r="L478" s="84"/>
      <c r="M478" s="76"/>
      <c r="N478" s="76"/>
      <c r="O478" s="76"/>
      <c r="P478" s="76"/>
      <c r="Q478" s="94"/>
      <c r="R478" s="76"/>
    </row>
    <row r="479" spans="1:18" s="95" customFormat="1" ht="14.25" hidden="1" customHeight="1" outlineLevel="1">
      <c r="B479" s="119" t="s">
        <v>272</v>
      </c>
      <c r="C479" s="266" t="s">
        <v>1068</v>
      </c>
      <c r="D479" s="124" t="s">
        <v>740</v>
      </c>
      <c r="E479" s="125"/>
      <c r="F479" s="118" t="s">
        <v>1030</v>
      </c>
      <c r="G479" s="126" t="str">
        <f t="shared" si="43"/>
        <v>AR-T6S-6</v>
      </c>
      <c r="H479" s="253" t="s">
        <v>368</v>
      </c>
      <c r="I479" s="76">
        <v>1</v>
      </c>
      <c r="J479" s="299" t="s">
        <v>286</v>
      </c>
      <c r="K479" s="299"/>
      <c r="L479" s="84"/>
      <c r="M479" s="76"/>
      <c r="N479" s="76"/>
      <c r="O479" s="76"/>
      <c r="P479" s="76"/>
      <c r="Q479" s="94"/>
      <c r="R479" s="76"/>
    </row>
    <row r="480" spans="1:18" s="95" customFormat="1" ht="14.25" hidden="1" customHeight="1" outlineLevel="1">
      <c r="B480" s="119" t="s">
        <v>272</v>
      </c>
      <c r="C480" s="266" t="s">
        <v>1069</v>
      </c>
      <c r="D480" s="124" t="s">
        <v>742</v>
      </c>
      <c r="E480" s="125"/>
      <c r="F480" s="118" t="s">
        <v>1030</v>
      </c>
      <c r="G480" s="126" t="str">
        <f>CONCATENATE("AR-",F480,"-",H480)</f>
        <v>AR-T6S-6</v>
      </c>
      <c r="H480" s="253" t="s">
        <v>368</v>
      </c>
      <c r="I480" s="76">
        <v>1</v>
      </c>
      <c r="J480" s="299" t="s">
        <v>286</v>
      </c>
      <c r="K480" s="299"/>
      <c r="L480" s="84"/>
      <c r="M480" s="76"/>
      <c r="N480" s="76"/>
      <c r="O480" s="76"/>
      <c r="P480" s="76"/>
      <c r="Q480" s="84"/>
      <c r="R480" s="76"/>
    </row>
    <row r="481" spans="1:21" s="95" customFormat="1" ht="14.25" hidden="1" customHeight="1" outlineLevel="1">
      <c r="B481" s="119" t="s">
        <v>272</v>
      </c>
      <c r="C481" s="266" t="s">
        <v>1070</v>
      </c>
      <c r="D481" s="124" t="s">
        <v>745</v>
      </c>
      <c r="E481" s="125"/>
      <c r="F481" s="118" t="s">
        <v>1030</v>
      </c>
      <c r="G481" s="126" t="str">
        <f>CONCATENATE("AR-",F481,"-",H481)</f>
        <v>AR-T6S-6</v>
      </c>
      <c r="H481" s="253" t="s">
        <v>368</v>
      </c>
      <c r="I481" s="76">
        <v>1</v>
      </c>
      <c r="J481" s="299" t="s">
        <v>286</v>
      </c>
      <c r="K481" s="299"/>
      <c r="L481" s="84"/>
      <c r="M481" s="76"/>
      <c r="N481" s="76"/>
      <c r="O481" s="76"/>
      <c r="P481" s="76"/>
      <c r="Q481" s="84"/>
      <c r="R481" s="76"/>
    </row>
    <row r="482" spans="1:21" s="95" customFormat="1" ht="14.25" hidden="1" customHeight="1" outlineLevel="1">
      <c r="B482" s="119" t="s">
        <v>272</v>
      </c>
      <c r="C482" s="266" t="s">
        <v>1071</v>
      </c>
      <c r="D482" s="124" t="s">
        <v>747</v>
      </c>
      <c r="E482" s="125"/>
      <c r="F482" s="118" t="s">
        <v>1030</v>
      </c>
      <c r="G482" s="126" t="str">
        <f>CONCATENATE("AR-",F482,"-",H482)</f>
        <v>AR-T6S-6</v>
      </c>
      <c r="H482" s="253" t="s">
        <v>368</v>
      </c>
      <c r="I482" s="76">
        <v>1</v>
      </c>
      <c r="J482" s="299" t="s">
        <v>286</v>
      </c>
      <c r="K482" s="299"/>
      <c r="L482" s="84"/>
      <c r="M482" s="76"/>
      <c r="N482" s="76"/>
      <c r="O482" s="76"/>
      <c r="P482" s="76"/>
      <c r="Q482" s="84"/>
      <c r="R482" s="76"/>
    </row>
    <row r="483" spans="1:21" s="95" customFormat="1" ht="14.25" hidden="1" customHeight="1" outlineLevel="1">
      <c r="B483" s="119" t="s">
        <v>272</v>
      </c>
      <c r="C483" s="266" t="s">
        <v>1072</v>
      </c>
      <c r="D483" s="124" t="s">
        <v>1073</v>
      </c>
      <c r="E483" s="125"/>
      <c r="F483" s="118" t="s">
        <v>1030</v>
      </c>
      <c r="G483" s="126" t="str">
        <f t="shared" ref="G483:G489" si="46">CONCATENATE("AR-",F483,"-",H483)</f>
        <v>AR-T6S-6</v>
      </c>
      <c r="H483" s="253" t="s">
        <v>368</v>
      </c>
      <c r="I483" s="76">
        <v>1</v>
      </c>
      <c r="J483" s="299" t="s">
        <v>286</v>
      </c>
      <c r="K483" s="299"/>
      <c r="L483" s="84"/>
      <c r="M483" s="76"/>
      <c r="N483" s="76"/>
      <c r="O483" s="76"/>
      <c r="P483" s="76"/>
      <c r="Q483" s="84"/>
      <c r="R483" s="76"/>
    </row>
    <row r="484" spans="1:21" s="95" customFormat="1" ht="13.9" hidden="1" customHeight="1" outlineLevel="1">
      <c r="B484" s="119" t="s">
        <v>272</v>
      </c>
      <c r="C484" s="266" t="s">
        <v>1074</v>
      </c>
      <c r="D484" s="124" t="s">
        <v>807</v>
      </c>
      <c r="E484" s="125"/>
      <c r="F484" s="118" t="s">
        <v>1030</v>
      </c>
      <c r="G484" s="126" t="str">
        <f t="shared" si="46"/>
        <v>AR-T6S-7</v>
      </c>
      <c r="H484" s="253" t="s">
        <v>373</v>
      </c>
      <c r="I484" s="76">
        <v>1</v>
      </c>
      <c r="J484" s="299" t="s">
        <v>286</v>
      </c>
      <c r="K484" s="299"/>
      <c r="L484" s="84"/>
      <c r="M484" s="76"/>
      <c r="N484" s="76"/>
      <c r="O484" s="76"/>
      <c r="P484" s="76"/>
      <c r="Q484" s="84"/>
      <c r="R484" s="76"/>
    </row>
    <row r="485" spans="1:21" s="95" customFormat="1" ht="14.25" hidden="1" customHeight="1" outlineLevel="1">
      <c r="B485" s="119" t="s">
        <v>272</v>
      </c>
      <c r="C485" s="266" t="s">
        <v>1075</v>
      </c>
      <c r="D485" s="124" t="s">
        <v>809</v>
      </c>
      <c r="E485" s="125"/>
      <c r="F485" s="118" t="s">
        <v>1030</v>
      </c>
      <c r="G485" s="126" t="str">
        <f t="shared" si="46"/>
        <v>AR-T6S-7</v>
      </c>
      <c r="H485" s="253" t="s">
        <v>373</v>
      </c>
      <c r="I485" s="76">
        <v>1</v>
      </c>
      <c r="J485" s="299" t="s">
        <v>286</v>
      </c>
      <c r="K485" s="299"/>
      <c r="L485" s="84"/>
      <c r="M485" s="76"/>
      <c r="N485" s="76"/>
      <c r="O485" s="76"/>
      <c r="P485" s="76"/>
      <c r="Q485" s="84"/>
      <c r="R485" s="76"/>
    </row>
    <row r="486" spans="1:21" s="95" customFormat="1" ht="13.9" hidden="1" customHeight="1" outlineLevel="1">
      <c r="B486" s="119" t="s">
        <v>272</v>
      </c>
      <c r="C486" s="266" t="s">
        <v>1076</v>
      </c>
      <c r="D486" s="124" t="s">
        <v>1077</v>
      </c>
      <c r="E486" s="125"/>
      <c r="F486" s="118" t="s">
        <v>1030</v>
      </c>
      <c r="G486" s="126" t="str">
        <f t="shared" si="46"/>
        <v>AR-T6S-8</v>
      </c>
      <c r="H486" s="253" t="s">
        <v>410</v>
      </c>
      <c r="I486" s="76">
        <v>1</v>
      </c>
      <c r="J486" s="299" t="s">
        <v>286</v>
      </c>
      <c r="K486" s="299"/>
      <c r="L486" s="84"/>
      <c r="M486" s="76"/>
      <c r="N486" s="76"/>
      <c r="O486" s="76"/>
      <c r="P486" s="76"/>
      <c r="Q486" s="84"/>
      <c r="R486" s="76"/>
    </row>
    <row r="487" spans="1:21" s="95" customFormat="1" ht="14.25" hidden="1" customHeight="1" outlineLevel="1">
      <c r="B487" s="119" t="s">
        <v>272</v>
      </c>
      <c r="C487" s="266" t="s">
        <v>1078</v>
      </c>
      <c r="D487" s="124" t="s">
        <v>813</v>
      </c>
      <c r="E487" s="125"/>
      <c r="F487" s="118" t="s">
        <v>1030</v>
      </c>
      <c r="G487" s="126" t="str">
        <f t="shared" si="46"/>
        <v>AR-T6S-9</v>
      </c>
      <c r="H487" s="253" t="s">
        <v>421</v>
      </c>
      <c r="I487" s="76">
        <v>1</v>
      </c>
      <c r="J487" s="299" t="s">
        <v>286</v>
      </c>
      <c r="K487" s="299"/>
      <c r="L487" s="84"/>
      <c r="M487" s="76"/>
      <c r="N487" s="76"/>
      <c r="O487" s="76"/>
      <c r="P487" s="76"/>
      <c r="Q487" s="84"/>
      <c r="R487" s="76"/>
    </row>
    <row r="488" spans="1:21" s="95" customFormat="1" ht="14.25" hidden="1" customHeight="1" outlineLevel="1">
      <c r="B488" s="119" t="s">
        <v>272</v>
      </c>
      <c r="C488" s="266" t="s">
        <v>1079</v>
      </c>
      <c r="D488" s="124" t="s">
        <v>1080</v>
      </c>
      <c r="E488" s="125"/>
      <c r="F488" s="118" t="s">
        <v>1030</v>
      </c>
      <c r="G488" s="126" t="str">
        <f t="shared" si="46"/>
        <v>AR-T6S-9</v>
      </c>
      <c r="H488" s="253" t="s">
        <v>421</v>
      </c>
      <c r="I488" s="76">
        <v>1</v>
      </c>
      <c r="J488" s="299" t="s">
        <v>310</v>
      </c>
      <c r="K488" s="299"/>
      <c r="L488" s="84"/>
      <c r="M488" s="76"/>
      <c r="N488" s="76"/>
      <c r="O488" s="76"/>
      <c r="P488" s="76"/>
      <c r="Q488" s="84"/>
      <c r="R488" s="76"/>
    </row>
    <row r="489" spans="1:21" s="95" customFormat="1" ht="14.25" hidden="1" customHeight="1" outlineLevel="1">
      <c r="B489" s="119" t="s">
        <v>272</v>
      </c>
      <c r="C489" s="266" t="s">
        <v>1081</v>
      </c>
      <c r="D489" s="124" t="s">
        <v>1082</v>
      </c>
      <c r="E489" s="125"/>
      <c r="F489" s="118" t="s">
        <v>1030</v>
      </c>
      <c r="G489" s="126" t="str">
        <f t="shared" si="46"/>
        <v>AR-T6S-9</v>
      </c>
      <c r="H489" s="253" t="s">
        <v>421</v>
      </c>
      <c r="I489" s="76">
        <v>1</v>
      </c>
      <c r="J489" s="299" t="s">
        <v>310</v>
      </c>
      <c r="K489" s="299"/>
      <c r="L489" s="84"/>
      <c r="M489" s="76"/>
      <c r="N489" s="76"/>
      <c r="O489" s="76"/>
      <c r="P489" s="76"/>
      <c r="Q489" s="84"/>
      <c r="R489" s="76"/>
    </row>
    <row r="490" spans="1:21" s="83" customFormat="1" ht="3" hidden="1" customHeight="1">
      <c r="A490" s="264"/>
      <c r="B490" s="119"/>
      <c r="C490" s="266"/>
      <c r="D490" s="124" t="s">
        <v>299</v>
      </c>
      <c r="E490" s="125"/>
      <c r="F490" s="118"/>
      <c r="G490" s="126"/>
      <c r="H490" s="253"/>
      <c r="I490" s="76"/>
      <c r="J490" s="299"/>
      <c r="K490" s="299"/>
      <c r="L490" s="84"/>
      <c r="M490" s="76"/>
      <c r="N490" s="76"/>
      <c r="O490" s="76"/>
      <c r="P490" s="76"/>
      <c r="Q490" s="84"/>
      <c r="R490" s="76"/>
      <c r="S490" s="76"/>
      <c r="T490" s="76"/>
      <c r="U490" s="76"/>
    </row>
    <row r="491" spans="1:21" s="83" customFormat="1" ht="13.5" hidden="1" collapsed="1">
      <c r="A491" s="72" t="s">
        <v>1083</v>
      </c>
      <c r="B491" s="85"/>
      <c r="C491" s="269"/>
      <c r="D491" s="85" t="s">
        <v>299</v>
      </c>
      <c r="E491" s="390"/>
      <c r="F491" s="73"/>
      <c r="G491" s="73"/>
      <c r="H491" s="74"/>
      <c r="I491" s="76"/>
      <c r="J491" s="299"/>
      <c r="K491" s="299"/>
      <c r="L491" s="75"/>
      <c r="M491" s="75"/>
      <c r="N491" s="75"/>
      <c r="O491" s="75"/>
      <c r="P491" s="75"/>
      <c r="Q491" s="75"/>
      <c r="R491" s="75"/>
      <c r="S491" s="75"/>
      <c r="T491" s="75"/>
      <c r="U491" s="75"/>
    </row>
    <row r="492" spans="1:21" s="83" customFormat="1" ht="3" hidden="1" customHeight="1" outlineLevel="1">
      <c r="A492" s="261"/>
      <c r="B492" s="119"/>
      <c r="C492" s="266"/>
      <c r="D492" s="124" t="s">
        <v>299</v>
      </c>
      <c r="E492" s="125"/>
      <c r="F492" s="118"/>
      <c r="G492" s="126"/>
      <c r="H492" s="253"/>
      <c r="I492" s="76"/>
      <c r="J492" s="299"/>
      <c r="K492" s="299"/>
      <c r="L492" s="84"/>
      <c r="M492" s="76"/>
      <c r="N492" s="76"/>
      <c r="O492" s="76"/>
      <c r="P492" s="76"/>
      <c r="Q492" s="84"/>
      <c r="R492" s="76"/>
      <c r="S492" s="76"/>
      <c r="T492" s="76"/>
      <c r="U492" s="76"/>
    </row>
    <row r="493" spans="1:21" s="83" customFormat="1" ht="13.5" hidden="1" customHeight="1" outlineLevel="1">
      <c r="A493" s="264"/>
      <c r="B493" s="119" t="s">
        <v>272</v>
      </c>
      <c r="C493" s="266" t="s">
        <v>1084</v>
      </c>
      <c r="D493" s="124" t="s">
        <v>1085</v>
      </c>
      <c r="E493" s="125"/>
      <c r="F493" s="118" t="s">
        <v>1086</v>
      </c>
      <c r="G493" s="126" t="str">
        <f>CONCATENATE("AR-",F493,"-",H493)</f>
        <v>AR-T07-1</v>
      </c>
      <c r="H493" s="253" t="s">
        <v>304</v>
      </c>
      <c r="I493" s="76">
        <v>1</v>
      </c>
      <c r="J493" s="299" t="s">
        <v>286</v>
      </c>
      <c r="K493" s="299"/>
      <c r="L493" s="86"/>
      <c r="Q493" s="86"/>
    </row>
    <row r="494" spans="1:21" s="83" customFormat="1" ht="13.5" hidden="1" customHeight="1" outlineLevel="1">
      <c r="A494" s="264"/>
      <c r="B494" s="119" t="s">
        <v>272</v>
      </c>
      <c r="C494" s="266" t="s">
        <v>1087</v>
      </c>
      <c r="D494" s="124" t="s">
        <v>1088</v>
      </c>
      <c r="E494" s="125"/>
      <c r="F494" s="118" t="s">
        <v>1086</v>
      </c>
      <c r="G494" s="126" t="str">
        <f>CONCATENATE("AR-",F494,"-",H494)</f>
        <v>AR-T07-1</v>
      </c>
      <c r="H494" s="253" t="s">
        <v>304</v>
      </c>
      <c r="I494" s="76">
        <v>1</v>
      </c>
      <c r="J494" s="299" t="s">
        <v>286</v>
      </c>
      <c r="K494" s="299"/>
      <c r="L494" s="86"/>
      <c r="Q494" s="86"/>
    </row>
    <row r="495" spans="1:21" s="88" customFormat="1" ht="14.25" hidden="1" customHeight="1" outlineLevel="1">
      <c r="A495" s="267"/>
      <c r="B495" s="119" t="s">
        <v>272</v>
      </c>
      <c r="C495" s="266" t="s">
        <v>338</v>
      </c>
      <c r="D495" s="124" t="s">
        <v>339</v>
      </c>
      <c r="E495" s="125"/>
      <c r="F495" s="118" t="s">
        <v>1086</v>
      </c>
      <c r="G495" s="126" t="str">
        <f t="shared" ref="G495:G497" si="47">CONCATENATE("AR-",F495,"-",H495)</f>
        <v>AR-T07-2</v>
      </c>
      <c r="H495" s="253">
        <v>2</v>
      </c>
      <c r="I495" s="76">
        <v>1</v>
      </c>
      <c r="J495" s="299" t="s">
        <v>325</v>
      </c>
      <c r="K495" s="299"/>
      <c r="L495" s="286"/>
      <c r="Q495" s="286"/>
    </row>
    <row r="496" spans="1:21" s="83" customFormat="1" ht="14.25" hidden="1" customHeight="1" outlineLevel="1">
      <c r="A496" s="264"/>
      <c r="B496" s="119" t="s">
        <v>272</v>
      </c>
      <c r="C496" s="266" t="s">
        <v>340</v>
      </c>
      <c r="D496" s="124" t="s">
        <v>341</v>
      </c>
      <c r="E496" s="125"/>
      <c r="F496" s="118" t="s">
        <v>1086</v>
      </c>
      <c r="G496" s="126" t="str">
        <f t="shared" si="47"/>
        <v>AR-T07-2</v>
      </c>
      <c r="H496" s="253">
        <v>2</v>
      </c>
      <c r="I496" s="76">
        <v>1</v>
      </c>
      <c r="J496" s="299" t="s">
        <v>307</v>
      </c>
      <c r="K496" s="299"/>
      <c r="L496" s="86"/>
      <c r="Q496" s="86"/>
    </row>
    <row r="497" spans="1:17" s="83" customFormat="1" ht="14.25" hidden="1" customHeight="1" outlineLevel="1">
      <c r="A497" s="264"/>
      <c r="B497" s="119" t="s">
        <v>272</v>
      </c>
      <c r="C497" s="266" t="s">
        <v>342</v>
      </c>
      <c r="D497" s="124" t="s">
        <v>343</v>
      </c>
      <c r="E497" s="125"/>
      <c r="F497" s="118" t="s">
        <v>1086</v>
      </c>
      <c r="G497" s="126" t="str">
        <f t="shared" si="47"/>
        <v>AR-T07-2</v>
      </c>
      <c r="H497" s="253">
        <v>2</v>
      </c>
      <c r="I497" s="76">
        <v>1</v>
      </c>
      <c r="J497" s="299" t="s">
        <v>310</v>
      </c>
      <c r="K497" s="299"/>
      <c r="L497" s="86"/>
      <c r="Q497" s="86"/>
    </row>
    <row r="498" spans="1:17" s="83" customFormat="1" ht="13.5" hidden="1" customHeight="1" outlineLevel="1">
      <c r="A498" s="264"/>
      <c r="B498" s="119" t="s">
        <v>272</v>
      </c>
      <c r="C498" s="266" t="s">
        <v>1087</v>
      </c>
      <c r="D498" s="124" t="s">
        <v>1088</v>
      </c>
      <c r="E498" s="125"/>
      <c r="F498" s="118" t="s">
        <v>1086</v>
      </c>
      <c r="G498" s="126" t="str">
        <f t="shared" ref="G498:G506" si="48">CONCATENATE("AR-",F498,"-",H498)</f>
        <v>AR-T07-3</v>
      </c>
      <c r="H498" s="253" t="s">
        <v>346</v>
      </c>
      <c r="I498" s="76">
        <v>1</v>
      </c>
      <c r="J498" s="299" t="s">
        <v>286</v>
      </c>
      <c r="K498" s="299"/>
      <c r="L498" s="86"/>
      <c r="Q498" s="86"/>
    </row>
    <row r="499" spans="1:17" s="83" customFormat="1" ht="13.5" hidden="1" customHeight="1" outlineLevel="1">
      <c r="A499" s="264"/>
      <c r="B499" s="119" t="s">
        <v>272</v>
      </c>
      <c r="C499" s="266" t="s">
        <v>1089</v>
      </c>
      <c r="D499" s="124" t="s">
        <v>1090</v>
      </c>
      <c r="E499" s="125"/>
      <c r="F499" s="118" t="s">
        <v>1086</v>
      </c>
      <c r="G499" s="126" t="str">
        <f t="shared" si="48"/>
        <v>AR-T07-3</v>
      </c>
      <c r="H499" s="253" t="s">
        <v>346</v>
      </c>
      <c r="I499" s="76">
        <v>1</v>
      </c>
      <c r="J499" s="299" t="s">
        <v>310</v>
      </c>
      <c r="K499" s="299"/>
      <c r="L499" s="86"/>
      <c r="Q499" s="86"/>
    </row>
    <row r="500" spans="1:17" s="83" customFormat="1" ht="13.5" hidden="1" customHeight="1" outlineLevel="1">
      <c r="A500" s="264"/>
      <c r="B500" s="119" t="s">
        <v>272</v>
      </c>
      <c r="C500" s="266" t="s">
        <v>1091</v>
      </c>
      <c r="D500" s="124" t="s">
        <v>1092</v>
      </c>
      <c r="E500" s="125"/>
      <c r="F500" s="118" t="s">
        <v>1086</v>
      </c>
      <c r="G500" s="126" t="str">
        <f t="shared" si="48"/>
        <v>AR-T07-4</v>
      </c>
      <c r="H500" s="253" t="s">
        <v>292</v>
      </c>
      <c r="I500" s="76">
        <v>1</v>
      </c>
      <c r="J500" s="299" t="s">
        <v>286</v>
      </c>
      <c r="K500" s="299"/>
      <c r="L500" s="86"/>
      <c r="Q500" s="86"/>
    </row>
    <row r="501" spans="1:17" s="83" customFormat="1" ht="14.25" hidden="1" customHeight="1" outlineLevel="1">
      <c r="A501" s="264"/>
      <c r="B501" s="119" t="s">
        <v>272</v>
      </c>
      <c r="C501" s="266" t="s">
        <v>1093</v>
      </c>
      <c r="D501" s="124" t="s">
        <v>1094</v>
      </c>
      <c r="E501" s="125"/>
      <c r="F501" s="118" t="s">
        <v>1086</v>
      </c>
      <c r="G501" s="126" t="str">
        <f t="shared" si="48"/>
        <v>AR-T07-4</v>
      </c>
      <c r="H501" s="253" t="s">
        <v>292</v>
      </c>
      <c r="I501" s="76">
        <v>1</v>
      </c>
      <c r="J501" s="299" t="s">
        <v>286</v>
      </c>
      <c r="K501" s="299"/>
      <c r="L501" s="86"/>
      <c r="Q501" s="86"/>
    </row>
    <row r="502" spans="1:17" s="83" customFormat="1" ht="14.25" hidden="1" customHeight="1" outlineLevel="1">
      <c r="A502" s="264"/>
      <c r="B502" s="119" t="s">
        <v>272</v>
      </c>
      <c r="C502" s="266" t="s">
        <v>1095</v>
      </c>
      <c r="D502" s="124" t="s">
        <v>1096</v>
      </c>
      <c r="E502" s="125"/>
      <c r="F502" s="118" t="s">
        <v>1086</v>
      </c>
      <c r="G502" s="126" t="str">
        <f t="shared" si="48"/>
        <v>AR-T07-4</v>
      </c>
      <c r="H502" s="253" t="s">
        <v>292</v>
      </c>
      <c r="I502" s="76">
        <v>1</v>
      </c>
      <c r="J502" s="299" t="s">
        <v>286</v>
      </c>
      <c r="K502" s="299"/>
      <c r="L502" s="86"/>
      <c r="Q502" s="86"/>
    </row>
    <row r="503" spans="1:17" s="83" customFormat="1" ht="14.25" hidden="1" customHeight="1" outlineLevel="1">
      <c r="A503" s="264"/>
      <c r="B503" s="119" t="s">
        <v>272</v>
      </c>
      <c r="C503" s="266" t="s">
        <v>361</v>
      </c>
      <c r="D503" s="124" t="s">
        <v>362</v>
      </c>
      <c r="E503" s="125"/>
      <c r="F503" s="118" t="s">
        <v>1086</v>
      </c>
      <c r="G503" s="126" t="str">
        <f t="shared" si="48"/>
        <v>AR-T07-5</v>
      </c>
      <c r="H503" s="253" t="s">
        <v>363</v>
      </c>
      <c r="I503" s="76">
        <v>1</v>
      </c>
      <c r="J503" s="299" t="s">
        <v>286</v>
      </c>
      <c r="K503" s="299"/>
      <c r="L503" s="86"/>
      <c r="Q503" s="86"/>
    </row>
    <row r="504" spans="1:17" s="83" customFormat="1" ht="14.25" hidden="1" customHeight="1" outlineLevel="1">
      <c r="A504" s="264"/>
      <c r="B504" s="119" t="s">
        <v>272</v>
      </c>
      <c r="C504" s="266" t="s">
        <v>364</v>
      </c>
      <c r="D504" s="124" t="s">
        <v>365</v>
      </c>
      <c r="E504" s="125"/>
      <c r="F504" s="118" t="s">
        <v>1086</v>
      </c>
      <c r="G504" s="126" t="str">
        <f t="shared" si="48"/>
        <v>AR-T07-5</v>
      </c>
      <c r="H504" s="253" t="s">
        <v>363</v>
      </c>
      <c r="I504" s="76">
        <v>1</v>
      </c>
      <c r="J504" s="299" t="s">
        <v>286</v>
      </c>
      <c r="K504" s="299"/>
      <c r="L504" s="86"/>
      <c r="Q504" s="86"/>
    </row>
    <row r="505" spans="1:17" s="83" customFormat="1" ht="13.5" hidden="1" outlineLevel="1">
      <c r="A505" s="264"/>
      <c r="B505" s="119" t="s">
        <v>272</v>
      </c>
      <c r="C505" s="266" t="s">
        <v>366</v>
      </c>
      <c r="D505" s="124" t="s">
        <v>367</v>
      </c>
      <c r="E505" s="125"/>
      <c r="F505" s="118" t="s">
        <v>1086</v>
      </c>
      <c r="G505" s="126" t="str">
        <f t="shared" si="48"/>
        <v>AR-T07-6</v>
      </c>
      <c r="H505" s="253" t="s">
        <v>368</v>
      </c>
      <c r="I505" s="76">
        <v>1</v>
      </c>
      <c r="J505" s="299" t="s">
        <v>286</v>
      </c>
      <c r="K505" s="299"/>
      <c r="L505" s="86"/>
      <c r="Q505" s="86"/>
    </row>
    <row r="506" spans="1:17" s="83" customFormat="1" ht="13.5" hidden="1" outlineLevel="1">
      <c r="A506" s="264"/>
      <c r="B506" s="119" t="s">
        <v>272</v>
      </c>
      <c r="C506" s="266" t="s">
        <v>369</v>
      </c>
      <c r="D506" s="124" t="s">
        <v>370</v>
      </c>
      <c r="E506" s="125"/>
      <c r="F506" s="118" t="s">
        <v>1086</v>
      </c>
      <c r="G506" s="126" t="str">
        <f t="shared" si="48"/>
        <v>AR-T07-6</v>
      </c>
      <c r="H506" s="253" t="s">
        <v>368</v>
      </c>
      <c r="I506" s="76">
        <v>1</v>
      </c>
      <c r="J506" s="299" t="s">
        <v>286</v>
      </c>
      <c r="K506" s="299"/>
      <c r="L506" s="86"/>
      <c r="Q506" s="86"/>
    </row>
    <row r="507" spans="1:17" s="91" customFormat="1" ht="14.25" hidden="1" customHeight="1" outlineLevel="1">
      <c r="A507" s="268"/>
      <c r="B507" s="119" t="s">
        <v>272</v>
      </c>
      <c r="C507" s="266" t="s">
        <v>401</v>
      </c>
      <c r="D507" s="124" t="s">
        <v>402</v>
      </c>
      <c r="E507" s="125"/>
      <c r="F507" s="118" t="s">
        <v>1086</v>
      </c>
      <c r="G507" s="126" t="str">
        <f t="shared" ref="G507:G508" si="49">CONCATENATE("AR-",F507,"-",H507)</f>
        <v>AR-T07-7</v>
      </c>
      <c r="H507" s="253" t="s">
        <v>373</v>
      </c>
      <c r="I507" s="76">
        <v>1</v>
      </c>
      <c r="J507" s="299" t="s">
        <v>286</v>
      </c>
      <c r="K507" s="299"/>
      <c r="L507" s="287"/>
      <c r="Q507" s="287"/>
    </row>
    <row r="508" spans="1:17" s="91" customFormat="1" ht="14.25" hidden="1" customHeight="1" outlineLevel="1">
      <c r="A508" s="268"/>
      <c r="B508" s="119" t="s">
        <v>272</v>
      </c>
      <c r="C508" s="266" t="s">
        <v>403</v>
      </c>
      <c r="D508" s="124" t="s">
        <v>404</v>
      </c>
      <c r="E508" s="125"/>
      <c r="F508" s="118" t="s">
        <v>1086</v>
      </c>
      <c r="G508" s="126" t="str">
        <f t="shared" si="49"/>
        <v>AR-T07-7</v>
      </c>
      <c r="H508" s="253" t="s">
        <v>373</v>
      </c>
      <c r="I508" s="76">
        <v>1</v>
      </c>
      <c r="J508" s="299" t="s">
        <v>286</v>
      </c>
      <c r="K508" s="299"/>
      <c r="L508" s="287"/>
      <c r="Q508" s="287"/>
    </row>
    <row r="509" spans="1:17" s="83" customFormat="1" ht="14.25" hidden="1" customHeight="1" outlineLevel="1">
      <c r="A509" s="264"/>
      <c r="B509" s="119" t="s">
        <v>272</v>
      </c>
      <c r="C509" s="266" t="s">
        <v>1097</v>
      </c>
      <c r="D509" s="124" t="s">
        <v>1098</v>
      </c>
      <c r="E509" s="125"/>
      <c r="F509" s="118" t="s">
        <v>1086</v>
      </c>
      <c r="G509" s="126" t="str">
        <f>CONCATENATE("AR-",F509,"-",H509)</f>
        <v>AR-T07-7</v>
      </c>
      <c r="H509" s="253" t="s">
        <v>373</v>
      </c>
      <c r="I509" s="76">
        <v>1</v>
      </c>
      <c r="J509" s="299" t="s">
        <v>286</v>
      </c>
      <c r="K509" s="299"/>
      <c r="L509" s="86"/>
      <c r="Q509" s="86"/>
    </row>
    <row r="510" spans="1:17" s="91" customFormat="1" ht="14.25" hidden="1" customHeight="1" outlineLevel="1">
      <c r="A510" s="268"/>
      <c r="B510" s="119" t="s">
        <v>272</v>
      </c>
      <c r="C510" s="266" t="s">
        <v>408</v>
      </c>
      <c r="D510" s="124" t="s">
        <v>409</v>
      </c>
      <c r="E510" s="125"/>
      <c r="F510" s="118" t="s">
        <v>1086</v>
      </c>
      <c r="G510" s="126" t="str">
        <f t="shared" ref="G510:G512" si="50">CONCATENATE("AR-",F510,"-",H510)</f>
        <v>AR-T07-8</v>
      </c>
      <c r="H510" s="253" t="s">
        <v>410</v>
      </c>
      <c r="I510" s="76">
        <v>1</v>
      </c>
      <c r="J510" s="299" t="s">
        <v>286</v>
      </c>
      <c r="K510" s="299"/>
      <c r="L510" s="287"/>
      <c r="Q510" s="287"/>
    </row>
    <row r="511" spans="1:17" s="91" customFormat="1" ht="14.25" hidden="1" customHeight="1" outlineLevel="1">
      <c r="A511" s="268"/>
      <c r="B511" s="119" t="s">
        <v>272</v>
      </c>
      <c r="C511" s="266" t="s">
        <v>411</v>
      </c>
      <c r="D511" s="124" t="s">
        <v>412</v>
      </c>
      <c r="E511" s="125"/>
      <c r="F511" s="118" t="s">
        <v>1086</v>
      </c>
      <c r="G511" s="126" t="str">
        <f t="shared" si="50"/>
        <v>AR-T07-8</v>
      </c>
      <c r="H511" s="253" t="s">
        <v>410</v>
      </c>
      <c r="I511" s="76">
        <v>1</v>
      </c>
      <c r="J511" s="299" t="s">
        <v>286</v>
      </c>
      <c r="K511" s="299"/>
      <c r="L511" s="287"/>
      <c r="Q511" s="287"/>
    </row>
    <row r="512" spans="1:17" s="91" customFormat="1" ht="14.25" hidden="1" customHeight="1" outlineLevel="1">
      <c r="A512" s="268"/>
      <c r="B512" s="119" t="s">
        <v>272</v>
      </c>
      <c r="C512" s="266" t="s">
        <v>419</v>
      </c>
      <c r="D512" s="124" t="s">
        <v>420</v>
      </c>
      <c r="E512" s="125"/>
      <c r="F512" s="118" t="s">
        <v>1086</v>
      </c>
      <c r="G512" s="126" t="str">
        <f t="shared" si="50"/>
        <v>AR-T07-9</v>
      </c>
      <c r="H512" s="253" t="s">
        <v>421</v>
      </c>
      <c r="I512" s="76">
        <v>1</v>
      </c>
      <c r="J512" s="299" t="s">
        <v>286</v>
      </c>
      <c r="K512" s="299"/>
      <c r="L512" s="287"/>
      <c r="Q512" s="287"/>
    </row>
    <row r="513" spans="1:21" s="83" customFormat="1" ht="14.25" hidden="1" customHeight="1" outlineLevel="1">
      <c r="A513" s="264"/>
      <c r="B513" s="119" t="s">
        <v>272</v>
      </c>
      <c r="C513" s="266" t="s">
        <v>1099</v>
      </c>
      <c r="D513" s="124" t="s">
        <v>1100</v>
      </c>
      <c r="E513" s="125"/>
      <c r="F513" s="118" t="s">
        <v>1086</v>
      </c>
      <c r="G513" s="126" t="str">
        <f>CONCATENATE("AR-",F513,"-",H513)</f>
        <v>AR-T07-10</v>
      </c>
      <c r="H513" s="253" t="s">
        <v>423</v>
      </c>
      <c r="I513" s="76">
        <v>1</v>
      </c>
      <c r="J513" s="299" t="s">
        <v>286</v>
      </c>
      <c r="K513" s="299"/>
      <c r="L513" s="84"/>
      <c r="M513" s="76"/>
      <c r="N513" s="76"/>
      <c r="O513" s="76"/>
      <c r="P513" s="76"/>
      <c r="Q513" s="84"/>
      <c r="R513" s="76"/>
      <c r="S513" s="76"/>
      <c r="T513" s="76"/>
      <c r="U513" s="76"/>
    </row>
    <row r="514" spans="1:21" s="83" customFormat="1" ht="14.25" hidden="1" customHeight="1" outlineLevel="1">
      <c r="A514" s="264"/>
      <c r="B514" s="119" t="s">
        <v>272</v>
      </c>
      <c r="C514" s="266" t="s">
        <v>948</v>
      </c>
      <c r="D514" s="124" t="s">
        <v>949</v>
      </c>
      <c r="E514" s="125"/>
      <c r="F514" s="118" t="s">
        <v>1086</v>
      </c>
      <c r="G514" s="126" t="str">
        <f>CONCATENATE("AR-",F514,"-",H514)</f>
        <v>AR-T07-10</v>
      </c>
      <c r="H514" s="253" t="s">
        <v>423</v>
      </c>
      <c r="I514" s="76">
        <v>1</v>
      </c>
      <c r="J514" s="299" t="s">
        <v>286</v>
      </c>
      <c r="K514" s="299"/>
      <c r="L514" s="84"/>
      <c r="M514" s="76"/>
      <c r="N514" s="76"/>
      <c r="O514" s="76"/>
      <c r="P514" s="76"/>
      <c r="Q514" s="84"/>
      <c r="R514" s="76"/>
      <c r="S514" s="76"/>
      <c r="T514" s="76"/>
      <c r="U514" s="76"/>
    </row>
    <row r="515" spans="1:21" s="83" customFormat="1" ht="3" hidden="1" customHeight="1">
      <c r="A515" s="261"/>
      <c r="B515" s="119"/>
      <c r="C515" s="266"/>
      <c r="D515" s="124" t="s">
        <v>299</v>
      </c>
      <c r="E515" s="125"/>
      <c r="F515" s="118"/>
      <c r="G515" s="126"/>
      <c r="H515" s="253"/>
      <c r="I515" s="76"/>
      <c r="J515" s="299"/>
      <c r="K515" s="299"/>
      <c r="L515" s="84"/>
      <c r="M515" s="76"/>
      <c r="N515" s="76"/>
      <c r="O515" s="76"/>
      <c r="P515" s="76"/>
      <c r="Q515" s="84"/>
      <c r="R515" s="76"/>
      <c r="S515" s="76"/>
      <c r="T515" s="76"/>
      <c r="U515" s="76"/>
    </row>
    <row r="516" spans="1:21" s="83" customFormat="1" ht="13.5" hidden="1" collapsed="1">
      <c r="A516" s="72" t="s">
        <v>1101</v>
      </c>
      <c r="B516" s="85"/>
      <c r="C516" s="269"/>
      <c r="D516" s="85" t="s">
        <v>299</v>
      </c>
      <c r="E516" s="390"/>
      <c r="F516" s="73"/>
      <c r="G516" s="73"/>
      <c r="H516" s="74"/>
      <c r="I516" s="76"/>
      <c r="J516" s="299"/>
      <c r="K516" s="299"/>
      <c r="L516" s="75"/>
      <c r="M516" s="75"/>
      <c r="N516" s="75"/>
      <c r="O516" s="75"/>
      <c r="P516" s="75"/>
      <c r="Q516" s="75"/>
      <c r="R516" s="75"/>
      <c r="S516" s="75"/>
      <c r="T516" s="75"/>
      <c r="U516" s="75"/>
    </row>
    <row r="517" spans="1:21" s="83" customFormat="1" ht="3" hidden="1" customHeight="1" outlineLevel="1">
      <c r="A517" s="261"/>
      <c r="B517" s="119"/>
      <c r="C517" s="266"/>
      <c r="D517" s="124" t="s">
        <v>299</v>
      </c>
      <c r="E517" s="125"/>
      <c r="F517" s="118"/>
      <c r="G517" s="126"/>
      <c r="H517" s="253"/>
      <c r="I517" s="76"/>
      <c r="J517" s="299"/>
      <c r="K517" s="299"/>
      <c r="L517" s="84"/>
      <c r="M517" s="76"/>
      <c r="N517" s="76"/>
      <c r="O517" s="76"/>
      <c r="P517" s="76"/>
      <c r="Q517" s="84"/>
      <c r="R517" s="76"/>
      <c r="S517" s="76"/>
      <c r="T517" s="76"/>
      <c r="U517" s="76"/>
    </row>
    <row r="518" spans="1:21" s="83" customFormat="1" ht="13.5" hidden="1" outlineLevel="1">
      <c r="A518" s="264"/>
      <c r="B518" s="119" t="s">
        <v>272</v>
      </c>
      <c r="C518" s="266" t="s">
        <v>1102</v>
      </c>
      <c r="D518" s="124" t="s">
        <v>1103</v>
      </c>
      <c r="E518" s="125"/>
      <c r="F518" s="118" t="s">
        <v>1104</v>
      </c>
      <c r="G518" s="126" t="str">
        <f>CONCATENATE("AR-",F518,"-",H518)</f>
        <v>AR-VC1-1</v>
      </c>
      <c r="H518" s="253" t="s">
        <v>304</v>
      </c>
      <c r="I518" s="76">
        <v>1</v>
      </c>
      <c r="J518" s="299" t="s">
        <v>286</v>
      </c>
      <c r="K518" s="299"/>
      <c r="L518" s="86"/>
      <c r="Q518" s="86"/>
    </row>
    <row r="519" spans="1:21" s="83" customFormat="1" ht="13.5" hidden="1" outlineLevel="1">
      <c r="A519" s="264"/>
      <c r="B519" s="119" t="s">
        <v>272</v>
      </c>
      <c r="C519" s="266" t="s">
        <v>1105</v>
      </c>
      <c r="D519" s="124" t="s">
        <v>1106</v>
      </c>
      <c r="E519" s="125"/>
      <c r="F519" s="118" t="s">
        <v>1104</v>
      </c>
      <c r="G519" s="126" t="str">
        <f>CONCATENATE("AR-",F519,"-",H519)</f>
        <v>AR-VC1-1</v>
      </c>
      <c r="H519" s="253" t="s">
        <v>304</v>
      </c>
      <c r="I519" s="76">
        <v>1</v>
      </c>
      <c r="J519" s="299" t="s">
        <v>286</v>
      </c>
      <c r="K519" s="299"/>
      <c r="L519" s="86"/>
      <c r="Q519" s="86"/>
    </row>
    <row r="520" spans="1:21" s="83" customFormat="1" ht="13.5" hidden="1" outlineLevel="1">
      <c r="A520" s="264"/>
      <c r="B520" s="119" t="s">
        <v>272</v>
      </c>
      <c r="C520" s="266" t="s">
        <v>1107</v>
      </c>
      <c r="D520" s="124" t="s">
        <v>1108</v>
      </c>
      <c r="E520" s="125"/>
      <c r="F520" s="118" t="s">
        <v>1104</v>
      </c>
      <c r="G520" s="126" t="str">
        <f>CONCATENATE("AR-",F520,"-",H520)</f>
        <v>AR-VC1-1</v>
      </c>
      <c r="H520" s="253" t="s">
        <v>304</v>
      </c>
      <c r="I520" s="76">
        <v>1</v>
      </c>
      <c r="J520" s="299" t="s">
        <v>286</v>
      </c>
      <c r="K520" s="299"/>
      <c r="L520" s="86"/>
      <c r="Q520" s="86"/>
    </row>
    <row r="521" spans="1:21" s="83" customFormat="1" ht="13.5" hidden="1" outlineLevel="1">
      <c r="A521" s="264"/>
      <c r="B521" s="119" t="s">
        <v>272</v>
      </c>
      <c r="C521" s="266" t="s">
        <v>1109</v>
      </c>
      <c r="D521" s="124" t="s">
        <v>1110</v>
      </c>
      <c r="E521" s="125"/>
      <c r="F521" s="118" t="s">
        <v>1104</v>
      </c>
      <c r="G521" s="126" t="str">
        <f>CONCATENATE("AR-",F521,"-",H521)</f>
        <v>AR-VC1-1</v>
      </c>
      <c r="H521" s="253" t="s">
        <v>304</v>
      </c>
      <c r="I521" s="76">
        <v>1</v>
      </c>
      <c r="J521" s="299" t="s">
        <v>286</v>
      </c>
      <c r="K521" s="299"/>
      <c r="L521" s="86"/>
      <c r="Q521" s="86"/>
    </row>
    <row r="522" spans="1:21" s="83" customFormat="1" ht="13.5" hidden="1" outlineLevel="1">
      <c r="A522" s="264"/>
      <c r="B522" s="119" t="s">
        <v>272</v>
      </c>
      <c r="C522" s="266" t="s">
        <v>1111</v>
      </c>
      <c r="D522" s="124" t="s">
        <v>1112</v>
      </c>
      <c r="E522" s="125"/>
      <c r="F522" s="118" t="s">
        <v>1104</v>
      </c>
      <c r="G522" s="126" t="str">
        <f t="shared" ref="G522:G533" si="51">CONCATENATE("AR-",F522,"-",H522)</f>
        <v>AR-VC1-1</v>
      </c>
      <c r="H522" s="253" t="s">
        <v>304</v>
      </c>
      <c r="I522" s="76">
        <v>1</v>
      </c>
      <c r="J522" s="299" t="s">
        <v>286</v>
      </c>
      <c r="K522" s="299"/>
      <c r="L522" s="86"/>
      <c r="Q522" s="86"/>
    </row>
    <row r="523" spans="1:21" s="83" customFormat="1" ht="13.5" hidden="1" outlineLevel="1">
      <c r="A523" s="264"/>
      <c r="B523" s="119" t="s">
        <v>272</v>
      </c>
      <c r="C523" s="266" t="s">
        <v>1113</v>
      </c>
      <c r="D523" s="124" t="s">
        <v>1114</v>
      </c>
      <c r="E523" s="125"/>
      <c r="F523" s="118" t="s">
        <v>1104</v>
      </c>
      <c r="G523" s="126" t="str">
        <f t="shared" si="51"/>
        <v>AR-VC1-1</v>
      </c>
      <c r="H523" s="253" t="s">
        <v>304</v>
      </c>
      <c r="I523" s="76">
        <v>1</v>
      </c>
      <c r="J523" s="299" t="s">
        <v>286</v>
      </c>
      <c r="K523" s="299"/>
      <c r="L523" s="86"/>
      <c r="Q523" s="86"/>
    </row>
    <row r="524" spans="1:21" s="83" customFormat="1" ht="13.5" hidden="1" outlineLevel="1">
      <c r="A524" s="264"/>
      <c r="B524" s="119" t="s">
        <v>272</v>
      </c>
      <c r="C524" s="266" t="s">
        <v>1115</v>
      </c>
      <c r="D524" s="124" t="s">
        <v>1116</v>
      </c>
      <c r="E524" s="125"/>
      <c r="F524" s="118" t="s">
        <v>1104</v>
      </c>
      <c r="G524" s="126" t="str">
        <f t="shared" si="51"/>
        <v>AR-VC1-1</v>
      </c>
      <c r="H524" s="253" t="s">
        <v>304</v>
      </c>
      <c r="I524" s="76">
        <v>1</v>
      </c>
      <c r="J524" s="299" t="s">
        <v>286</v>
      </c>
      <c r="K524" s="299"/>
      <c r="L524" s="86"/>
      <c r="Q524" s="86"/>
    </row>
    <row r="525" spans="1:21" s="83" customFormat="1" ht="13.5" hidden="1" outlineLevel="1">
      <c r="A525" s="264"/>
      <c r="B525" s="119" t="s">
        <v>272</v>
      </c>
      <c r="C525" s="266" t="s">
        <v>1117</v>
      </c>
      <c r="D525" s="124" t="s">
        <v>1118</v>
      </c>
      <c r="E525" s="125"/>
      <c r="F525" s="118" t="s">
        <v>1104</v>
      </c>
      <c r="G525" s="126" t="str">
        <f t="shared" si="51"/>
        <v>AR-VC1-1</v>
      </c>
      <c r="H525" s="253" t="s">
        <v>304</v>
      </c>
      <c r="I525" s="76">
        <v>1</v>
      </c>
      <c r="J525" s="299" t="s">
        <v>286</v>
      </c>
      <c r="K525" s="299"/>
      <c r="L525" s="86"/>
      <c r="Q525" s="86"/>
    </row>
    <row r="526" spans="1:21" s="83" customFormat="1" ht="13.5" hidden="1" outlineLevel="1">
      <c r="A526" s="264"/>
      <c r="B526" s="119" t="s">
        <v>272</v>
      </c>
      <c r="C526" s="266" t="s">
        <v>1119</v>
      </c>
      <c r="D526" s="124" t="s">
        <v>1120</v>
      </c>
      <c r="E526" s="125"/>
      <c r="F526" s="118" t="s">
        <v>1104</v>
      </c>
      <c r="G526" s="126" t="str">
        <f t="shared" si="51"/>
        <v>AR-VC1-1</v>
      </c>
      <c r="H526" s="253" t="s">
        <v>304</v>
      </c>
      <c r="I526" s="76">
        <v>1</v>
      </c>
      <c r="J526" s="299" t="s">
        <v>286</v>
      </c>
      <c r="K526" s="299"/>
      <c r="L526" s="86"/>
      <c r="Q526" s="86"/>
    </row>
    <row r="527" spans="1:21" s="83" customFormat="1" ht="13.5" hidden="1" outlineLevel="1">
      <c r="A527" s="264"/>
      <c r="B527" s="119" t="s">
        <v>272</v>
      </c>
      <c r="C527" s="266" t="s">
        <v>1121</v>
      </c>
      <c r="D527" s="124" t="s">
        <v>1122</v>
      </c>
      <c r="E527" s="125"/>
      <c r="F527" s="118" t="s">
        <v>1104</v>
      </c>
      <c r="G527" s="126" t="str">
        <f t="shared" si="51"/>
        <v>AR-VC1-1</v>
      </c>
      <c r="H527" s="253" t="s">
        <v>304</v>
      </c>
      <c r="I527" s="76">
        <v>1</v>
      </c>
      <c r="J527" s="299" t="s">
        <v>286</v>
      </c>
      <c r="K527" s="299"/>
      <c r="L527" s="86"/>
      <c r="Q527" s="86"/>
    </row>
    <row r="528" spans="1:21" s="83" customFormat="1" ht="13.5" hidden="1" outlineLevel="1">
      <c r="A528" s="264"/>
      <c r="B528" s="119" t="s">
        <v>272</v>
      </c>
      <c r="C528" s="266" t="s">
        <v>1123</v>
      </c>
      <c r="D528" s="124" t="s">
        <v>1124</v>
      </c>
      <c r="E528" s="125"/>
      <c r="F528" s="118" t="s">
        <v>1104</v>
      </c>
      <c r="G528" s="126" t="str">
        <f t="shared" si="51"/>
        <v>AR-VC1-1</v>
      </c>
      <c r="H528" s="253" t="s">
        <v>304</v>
      </c>
      <c r="I528" s="76">
        <v>1</v>
      </c>
      <c r="J528" s="299" t="s">
        <v>307</v>
      </c>
      <c r="K528" s="299"/>
      <c r="L528" s="86"/>
      <c r="Q528" s="86"/>
    </row>
    <row r="529" spans="1:17" s="83" customFormat="1" ht="13.5" hidden="1" outlineLevel="1">
      <c r="A529" s="264"/>
      <c r="B529" s="119" t="s">
        <v>272</v>
      </c>
      <c r="C529" s="266" t="s">
        <v>1125</v>
      </c>
      <c r="D529" s="124" t="s">
        <v>1126</v>
      </c>
      <c r="E529" s="125"/>
      <c r="F529" s="118" t="s">
        <v>1104</v>
      </c>
      <c r="G529" s="126" t="str">
        <f t="shared" si="51"/>
        <v>AR-VC1-1</v>
      </c>
      <c r="H529" s="253" t="s">
        <v>304</v>
      </c>
      <c r="I529" s="76">
        <v>1</v>
      </c>
      <c r="J529" s="299" t="s">
        <v>286</v>
      </c>
      <c r="K529" s="299"/>
      <c r="L529" s="86"/>
      <c r="Q529" s="86"/>
    </row>
    <row r="530" spans="1:17" s="83" customFormat="1" ht="13.5" hidden="1" outlineLevel="1">
      <c r="A530" s="264"/>
      <c r="B530" s="119" t="s">
        <v>272</v>
      </c>
      <c r="C530" s="266" t="s">
        <v>1127</v>
      </c>
      <c r="D530" s="124" t="s">
        <v>1128</v>
      </c>
      <c r="E530" s="125"/>
      <c r="F530" s="118" t="s">
        <v>1104</v>
      </c>
      <c r="G530" s="126" t="str">
        <f t="shared" si="51"/>
        <v>AR-VC1-1</v>
      </c>
      <c r="H530" s="253" t="s">
        <v>304</v>
      </c>
      <c r="I530" s="76">
        <v>1</v>
      </c>
      <c r="J530" s="299" t="s">
        <v>310</v>
      </c>
      <c r="K530" s="299"/>
      <c r="L530" s="86"/>
      <c r="Q530" s="86"/>
    </row>
    <row r="531" spans="1:17" s="83" customFormat="1" ht="13.5" hidden="1" outlineLevel="1">
      <c r="A531" s="264"/>
      <c r="B531" s="119" t="s">
        <v>272</v>
      </c>
      <c r="C531" s="266" t="s">
        <v>1129</v>
      </c>
      <c r="D531" s="124" t="s">
        <v>1130</v>
      </c>
      <c r="E531" s="125"/>
      <c r="F531" s="118" t="s">
        <v>1104</v>
      </c>
      <c r="G531" s="126" t="str">
        <f t="shared" si="51"/>
        <v>AR-VC1-1</v>
      </c>
      <c r="H531" s="253" t="s">
        <v>304</v>
      </c>
      <c r="I531" s="76">
        <v>1</v>
      </c>
      <c r="J531" s="299" t="s">
        <v>286</v>
      </c>
      <c r="K531" s="299"/>
      <c r="L531" s="86"/>
      <c r="Q531" s="86"/>
    </row>
    <row r="532" spans="1:17" s="83" customFormat="1" ht="13.5" hidden="1" outlineLevel="1">
      <c r="A532" s="264"/>
      <c r="B532" s="119" t="s">
        <v>272</v>
      </c>
      <c r="C532" s="266" t="s">
        <v>1131</v>
      </c>
      <c r="D532" s="124" t="s">
        <v>1132</v>
      </c>
      <c r="E532" s="125"/>
      <c r="F532" s="118" t="s">
        <v>1104</v>
      </c>
      <c r="G532" s="126" t="str">
        <f t="shared" si="51"/>
        <v>AR-VC1-1</v>
      </c>
      <c r="H532" s="253" t="s">
        <v>304</v>
      </c>
      <c r="I532" s="76">
        <v>1</v>
      </c>
      <c r="J532" s="299" t="s">
        <v>286</v>
      </c>
      <c r="K532" s="299"/>
      <c r="L532" s="86"/>
      <c r="Q532" s="86"/>
    </row>
    <row r="533" spans="1:17" s="83" customFormat="1" ht="13.5" hidden="1" outlineLevel="1">
      <c r="A533" s="264"/>
      <c r="B533" s="119" t="s">
        <v>272</v>
      </c>
      <c r="C533" s="266" t="s">
        <v>1133</v>
      </c>
      <c r="D533" s="124" t="s">
        <v>1134</v>
      </c>
      <c r="E533" s="125"/>
      <c r="F533" s="118" t="s">
        <v>1104</v>
      </c>
      <c r="G533" s="126" t="str">
        <f t="shared" si="51"/>
        <v>AR-VC1-1</v>
      </c>
      <c r="H533" s="253" t="s">
        <v>304</v>
      </c>
      <c r="I533" s="76">
        <v>1</v>
      </c>
      <c r="J533" s="299" t="s">
        <v>286</v>
      </c>
      <c r="K533" s="299"/>
      <c r="L533" s="86"/>
      <c r="Q533" s="86"/>
    </row>
    <row r="534" spans="1:17" s="83" customFormat="1" ht="13.5" hidden="1" outlineLevel="1">
      <c r="A534" s="264"/>
      <c r="B534" s="119" t="s">
        <v>272</v>
      </c>
      <c r="C534" s="266" t="s">
        <v>1135</v>
      </c>
      <c r="D534" s="124" t="s">
        <v>1136</v>
      </c>
      <c r="E534" s="125"/>
      <c r="F534" s="118" t="s">
        <v>1104</v>
      </c>
      <c r="G534" s="126" t="str">
        <f>CONCATENATE("AR-",F534,"-",H534)</f>
        <v>AR-VC1-1</v>
      </c>
      <c r="H534" s="253" t="s">
        <v>304</v>
      </c>
      <c r="I534" s="76">
        <v>1</v>
      </c>
      <c r="J534" s="299" t="s">
        <v>286</v>
      </c>
      <c r="K534" s="299"/>
      <c r="L534" s="86"/>
      <c r="Q534" s="86"/>
    </row>
    <row r="535" spans="1:17" s="83" customFormat="1" ht="13.5" hidden="1" outlineLevel="1">
      <c r="A535" s="264"/>
      <c r="B535" s="119" t="s">
        <v>272</v>
      </c>
      <c r="C535" s="266" t="s">
        <v>1137</v>
      </c>
      <c r="D535" s="124" t="s">
        <v>1138</v>
      </c>
      <c r="E535" s="125"/>
      <c r="F535" s="118" t="s">
        <v>1104</v>
      </c>
      <c r="G535" s="126" t="str">
        <f>CONCATENATE("AR-",F535,"-",H535)</f>
        <v>AR-VC1-1</v>
      </c>
      <c r="H535" s="253" t="s">
        <v>304</v>
      </c>
      <c r="I535" s="76">
        <v>1</v>
      </c>
      <c r="J535" s="299" t="s">
        <v>286</v>
      </c>
      <c r="K535" s="299"/>
      <c r="L535" s="86"/>
      <c r="Q535" s="86"/>
    </row>
    <row r="536" spans="1:17" s="83" customFormat="1" ht="13.5" hidden="1" outlineLevel="1">
      <c r="A536" s="264"/>
      <c r="B536" s="119" t="s">
        <v>272</v>
      </c>
      <c r="C536" s="266" t="s">
        <v>1139</v>
      </c>
      <c r="D536" s="124" t="s">
        <v>1140</v>
      </c>
      <c r="E536" s="125"/>
      <c r="F536" s="118" t="s">
        <v>1104</v>
      </c>
      <c r="G536" s="126" t="str">
        <f>CONCATENATE("AR-",F536,"-",H536)</f>
        <v>AR-VC1-1</v>
      </c>
      <c r="H536" s="253" t="s">
        <v>304</v>
      </c>
      <c r="I536" s="76">
        <v>1</v>
      </c>
      <c r="J536" s="299" t="s">
        <v>286</v>
      </c>
      <c r="K536" s="299"/>
      <c r="L536" s="86"/>
      <c r="Q536" s="86"/>
    </row>
    <row r="537" spans="1:17" s="83" customFormat="1" ht="13.5" hidden="1" outlineLevel="1">
      <c r="A537" s="264"/>
      <c r="B537" s="119" t="s">
        <v>272</v>
      </c>
      <c r="C537" s="266" t="s">
        <v>1141</v>
      </c>
      <c r="D537" s="124" t="s">
        <v>1142</v>
      </c>
      <c r="E537" s="125"/>
      <c r="F537" s="118" t="s">
        <v>1104</v>
      </c>
      <c r="G537" s="126" t="str">
        <f t="shared" ref="G537:G548" si="52">CONCATENATE("AR-",F537,"-",H537)</f>
        <v>AR-VC1-1</v>
      </c>
      <c r="H537" s="253" t="s">
        <v>304</v>
      </c>
      <c r="I537" s="76">
        <v>1</v>
      </c>
      <c r="J537" s="299" t="s">
        <v>286</v>
      </c>
      <c r="K537" s="299"/>
      <c r="L537" s="86"/>
      <c r="Q537" s="86"/>
    </row>
    <row r="538" spans="1:17" s="83" customFormat="1" ht="13.5" hidden="1" outlineLevel="1">
      <c r="A538" s="264"/>
      <c r="B538" s="119" t="s">
        <v>272</v>
      </c>
      <c r="C538" s="266" t="s">
        <v>1143</v>
      </c>
      <c r="D538" s="124" t="s">
        <v>1144</v>
      </c>
      <c r="E538" s="125"/>
      <c r="F538" s="118" t="s">
        <v>1104</v>
      </c>
      <c r="G538" s="126" t="str">
        <f t="shared" si="52"/>
        <v>AR-VC1-1</v>
      </c>
      <c r="H538" s="253" t="s">
        <v>304</v>
      </c>
      <c r="I538" s="76">
        <v>1</v>
      </c>
      <c r="J538" s="299" t="s">
        <v>286</v>
      </c>
      <c r="K538" s="299"/>
      <c r="L538" s="86"/>
      <c r="Q538" s="86"/>
    </row>
    <row r="539" spans="1:17" s="83" customFormat="1" ht="13.5" hidden="1" outlineLevel="1">
      <c r="A539" s="264"/>
      <c r="B539" s="119" t="s">
        <v>272</v>
      </c>
      <c r="C539" s="266" t="s">
        <v>1117</v>
      </c>
      <c r="D539" s="124" t="s">
        <v>1118</v>
      </c>
      <c r="E539" s="125"/>
      <c r="F539" s="118" t="s">
        <v>1104</v>
      </c>
      <c r="G539" s="126" t="str">
        <f t="shared" si="52"/>
        <v>AR-VC1-2</v>
      </c>
      <c r="H539" s="253" t="s">
        <v>289</v>
      </c>
      <c r="I539" s="76">
        <v>1</v>
      </c>
      <c r="J539" s="299" t="s">
        <v>286</v>
      </c>
      <c r="K539" s="299"/>
      <c r="L539" s="86"/>
      <c r="Q539" s="86"/>
    </row>
    <row r="540" spans="1:17" s="83" customFormat="1" ht="13.5" hidden="1" outlineLevel="1">
      <c r="A540" s="264"/>
      <c r="B540" s="119" t="s">
        <v>272</v>
      </c>
      <c r="C540" s="266" t="s">
        <v>1145</v>
      </c>
      <c r="D540" s="124" t="s">
        <v>1146</v>
      </c>
      <c r="E540" s="125"/>
      <c r="F540" s="118" t="s">
        <v>1104</v>
      </c>
      <c r="G540" s="126" t="str">
        <f t="shared" si="52"/>
        <v>AR-VC1-3</v>
      </c>
      <c r="H540" s="253" t="s">
        <v>346</v>
      </c>
      <c r="I540" s="76">
        <v>1</v>
      </c>
      <c r="J540" s="299" t="s">
        <v>286</v>
      </c>
      <c r="K540" s="299"/>
      <c r="L540" s="86"/>
      <c r="Q540" s="86"/>
    </row>
    <row r="541" spans="1:17" s="83" customFormat="1" ht="13.5" hidden="1" outlineLevel="1">
      <c r="A541" s="264"/>
      <c r="B541" s="119" t="s">
        <v>272</v>
      </c>
      <c r="C541" s="266" t="s">
        <v>1147</v>
      </c>
      <c r="D541" s="124" t="s">
        <v>1148</v>
      </c>
      <c r="E541" s="125"/>
      <c r="F541" s="118" t="s">
        <v>1104</v>
      </c>
      <c r="G541" s="126" t="str">
        <f t="shared" si="52"/>
        <v>AR-VC1-3</v>
      </c>
      <c r="H541" s="253" t="s">
        <v>346</v>
      </c>
      <c r="I541" s="76">
        <v>1</v>
      </c>
      <c r="J541" s="299" t="s">
        <v>286</v>
      </c>
      <c r="K541" s="299"/>
      <c r="L541" s="86"/>
      <c r="Q541" s="86"/>
    </row>
    <row r="542" spans="1:17" s="83" customFormat="1" ht="13.5" hidden="1" outlineLevel="1">
      <c r="A542" s="264"/>
      <c r="B542" s="119" t="s">
        <v>272</v>
      </c>
      <c r="C542" s="266" t="s">
        <v>1149</v>
      </c>
      <c r="D542" s="124" t="s">
        <v>1150</v>
      </c>
      <c r="E542" s="125"/>
      <c r="F542" s="118" t="s">
        <v>1104</v>
      </c>
      <c r="G542" s="126" t="str">
        <f t="shared" si="52"/>
        <v>AR-VC1-3</v>
      </c>
      <c r="H542" s="253" t="s">
        <v>346</v>
      </c>
      <c r="I542" s="76">
        <v>1</v>
      </c>
      <c r="J542" s="299" t="s">
        <v>286</v>
      </c>
      <c r="K542" s="299"/>
      <c r="L542" s="86"/>
      <c r="Q542" s="86"/>
    </row>
    <row r="543" spans="1:17" s="83" customFormat="1" ht="13.5" hidden="1" outlineLevel="1">
      <c r="A543" s="264"/>
      <c r="B543" s="119" t="s">
        <v>272</v>
      </c>
      <c r="C543" s="266" t="s">
        <v>1151</v>
      </c>
      <c r="D543" s="124" t="s">
        <v>1152</v>
      </c>
      <c r="E543" s="125"/>
      <c r="F543" s="118" t="s">
        <v>1104</v>
      </c>
      <c r="G543" s="126" t="str">
        <f t="shared" si="52"/>
        <v>AR-VC1-3</v>
      </c>
      <c r="H543" s="253" t="s">
        <v>346</v>
      </c>
      <c r="I543" s="76">
        <v>1</v>
      </c>
      <c r="J543" s="299" t="s">
        <v>286</v>
      </c>
      <c r="K543" s="299"/>
      <c r="L543" s="86"/>
      <c r="Q543" s="86"/>
    </row>
    <row r="544" spans="1:17" s="83" customFormat="1" ht="13.5" hidden="1" outlineLevel="1">
      <c r="A544" s="264"/>
      <c r="B544" s="119" t="s">
        <v>272</v>
      </c>
      <c r="C544" s="266" t="s">
        <v>1153</v>
      </c>
      <c r="D544" s="124" t="s">
        <v>1154</v>
      </c>
      <c r="E544" s="125"/>
      <c r="F544" s="118" t="s">
        <v>1104</v>
      </c>
      <c r="G544" s="126" t="str">
        <f t="shared" si="52"/>
        <v>AR-VC1-3</v>
      </c>
      <c r="H544" s="253" t="s">
        <v>346</v>
      </c>
      <c r="I544" s="76">
        <v>1</v>
      </c>
      <c r="J544" s="299" t="s">
        <v>286</v>
      </c>
      <c r="K544" s="299"/>
      <c r="L544" s="86"/>
      <c r="Q544" s="86"/>
    </row>
    <row r="545" spans="1:17" s="83" customFormat="1" ht="13.5" hidden="1" outlineLevel="1">
      <c r="A545" s="264"/>
      <c r="B545" s="119" t="s">
        <v>272</v>
      </c>
      <c r="C545" s="266" t="s">
        <v>1155</v>
      </c>
      <c r="D545" s="124" t="s">
        <v>1156</v>
      </c>
      <c r="E545" s="125"/>
      <c r="F545" s="118" t="s">
        <v>1104</v>
      </c>
      <c r="G545" s="126" t="str">
        <f t="shared" si="52"/>
        <v>AR-VC1-3</v>
      </c>
      <c r="H545" s="253" t="s">
        <v>346</v>
      </c>
      <c r="I545" s="76">
        <v>1</v>
      </c>
      <c r="J545" s="299" t="s">
        <v>286</v>
      </c>
      <c r="K545" s="299"/>
      <c r="L545" s="86"/>
      <c r="Q545" s="86"/>
    </row>
    <row r="546" spans="1:17" s="83" customFormat="1" ht="13.5" hidden="1" outlineLevel="1">
      <c r="A546" s="264"/>
      <c r="B546" s="119" t="s">
        <v>272</v>
      </c>
      <c r="C546" s="266" t="s">
        <v>1157</v>
      </c>
      <c r="D546" s="124" t="s">
        <v>1158</v>
      </c>
      <c r="E546" s="125"/>
      <c r="F546" s="118" t="s">
        <v>1104</v>
      </c>
      <c r="G546" s="126" t="str">
        <f t="shared" si="52"/>
        <v>AR-VC1-3</v>
      </c>
      <c r="H546" s="253" t="s">
        <v>346</v>
      </c>
      <c r="I546" s="76">
        <v>1</v>
      </c>
      <c r="J546" s="299" t="s">
        <v>286</v>
      </c>
      <c r="K546" s="299"/>
      <c r="L546" s="86"/>
      <c r="Q546" s="86"/>
    </row>
    <row r="547" spans="1:17" s="83" customFormat="1" ht="13.5" hidden="1" outlineLevel="1">
      <c r="A547" s="264"/>
      <c r="B547" s="119" t="s">
        <v>272</v>
      </c>
      <c r="C547" s="266" t="s">
        <v>1159</v>
      </c>
      <c r="D547" s="124" t="s">
        <v>1160</v>
      </c>
      <c r="E547" s="125"/>
      <c r="F547" s="118" t="s">
        <v>1104</v>
      </c>
      <c r="G547" s="126" t="str">
        <f t="shared" si="52"/>
        <v>AR-VC1-3</v>
      </c>
      <c r="H547" s="253" t="s">
        <v>346</v>
      </c>
      <c r="I547" s="76">
        <v>1</v>
      </c>
      <c r="J547" s="299" t="s">
        <v>286</v>
      </c>
      <c r="K547" s="299"/>
      <c r="L547" s="86"/>
      <c r="Q547" s="86"/>
    </row>
    <row r="548" spans="1:17" s="83" customFormat="1" ht="13.5" hidden="1" outlineLevel="1">
      <c r="A548" s="264"/>
      <c r="B548" s="119" t="s">
        <v>272</v>
      </c>
      <c r="C548" s="266" t="s">
        <v>1161</v>
      </c>
      <c r="D548" s="124" t="s">
        <v>1162</v>
      </c>
      <c r="E548" s="125"/>
      <c r="F548" s="118" t="s">
        <v>1104</v>
      </c>
      <c r="G548" s="126" t="str">
        <f t="shared" si="52"/>
        <v>AR-VC1-3</v>
      </c>
      <c r="H548" s="253" t="s">
        <v>346</v>
      </c>
      <c r="I548" s="76">
        <v>1</v>
      </c>
      <c r="J548" s="299" t="s">
        <v>286</v>
      </c>
      <c r="K548" s="299"/>
      <c r="L548" s="86"/>
      <c r="Q548" s="86"/>
    </row>
    <row r="549" spans="1:17" s="83" customFormat="1" ht="13.5" hidden="1" outlineLevel="1">
      <c r="A549" s="264"/>
      <c r="B549" s="119" t="s">
        <v>272</v>
      </c>
      <c r="C549" s="266" t="s">
        <v>1163</v>
      </c>
      <c r="D549" s="124" t="s">
        <v>1162</v>
      </c>
      <c r="E549" s="125"/>
      <c r="F549" s="118" t="s">
        <v>1104</v>
      </c>
      <c r="G549" s="126" t="str">
        <f>CONCATENATE("AR-",F549,"-",H549)</f>
        <v>AR-VC1-3</v>
      </c>
      <c r="H549" s="253" t="s">
        <v>346</v>
      </c>
      <c r="I549" s="76">
        <v>1</v>
      </c>
      <c r="J549" s="299" t="s">
        <v>286</v>
      </c>
      <c r="K549" s="299"/>
      <c r="L549" s="86"/>
      <c r="Q549" s="86"/>
    </row>
    <row r="550" spans="1:17" s="83" customFormat="1" ht="13.5" hidden="1" outlineLevel="1">
      <c r="A550" s="264"/>
      <c r="B550" s="119" t="s">
        <v>272</v>
      </c>
      <c r="C550" s="266" t="s">
        <v>1164</v>
      </c>
      <c r="D550" s="124" t="s">
        <v>1165</v>
      </c>
      <c r="E550" s="125"/>
      <c r="F550" s="118" t="s">
        <v>1104</v>
      </c>
      <c r="G550" s="126" t="str">
        <f>CONCATENATE("AR-",F550,"-",H550)</f>
        <v>AR-VC1-3</v>
      </c>
      <c r="H550" s="253" t="s">
        <v>346</v>
      </c>
      <c r="I550" s="76">
        <v>1</v>
      </c>
      <c r="J550" s="299" t="s">
        <v>286</v>
      </c>
      <c r="K550" s="299"/>
      <c r="L550" s="86"/>
      <c r="Q550" s="86"/>
    </row>
    <row r="551" spans="1:17" s="83" customFormat="1" ht="13.5" hidden="1" outlineLevel="1">
      <c r="A551" s="264"/>
      <c r="B551" s="119" t="s">
        <v>272</v>
      </c>
      <c r="C551" s="266" t="s">
        <v>1166</v>
      </c>
      <c r="D551" s="124" t="s">
        <v>1167</v>
      </c>
      <c r="E551" s="125"/>
      <c r="F551" s="118" t="s">
        <v>1104</v>
      </c>
      <c r="G551" s="126" t="str">
        <f>CONCATENATE("AR-",F551,"-",H551)</f>
        <v>AR-VC1-3</v>
      </c>
      <c r="H551" s="253" t="s">
        <v>346</v>
      </c>
      <c r="I551" s="76">
        <v>1</v>
      </c>
      <c r="J551" s="299" t="s">
        <v>286</v>
      </c>
      <c r="K551" s="299"/>
      <c r="L551" s="86"/>
      <c r="Q551" s="86"/>
    </row>
    <row r="552" spans="1:17" s="83" customFormat="1" ht="13.5" hidden="1" outlineLevel="1">
      <c r="A552" s="264"/>
      <c r="B552" s="119" t="s">
        <v>272</v>
      </c>
      <c r="C552" s="266" t="s">
        <v>1168</v>
      </c>
      <c r="D552" s="124" t="s">
        <v>1169</v>
      </c>
      <c r="E552" s="125"/>
      <c r="F552" s="118" t="s">
        <v>1104</v>
      </c>
      <c r="G552" s="126" t="str">
        <f t="shared" ref="G552:G563" si="53">CONCATENATE("AR-",F552,"-",H552)</f>
        <v>AR-VC1-3</v>
      </c>
      <c r="H552" s="253" t="s">
        <v>346</v>
      </c>
      <c r="I552" s="76">
        <v>1</v>
      </c>
      <c r="J552" s="299" t="s">
        <v>286</v>
      </c>
      <c r="K552" s="299"/>
      <c r="L552" s="86"/>
      <c r="Q552" s="86"/>
    </row>
    <row r="553" spans="1:17" s="83" customFormat="1" ht="13.5" hidden="1" outlineLevel="1">
      <c r="A553" s="264"/>
      <c r="B553" s="119" t="s">
        <v>272</v>
      </c>
      <c r="C553" s="266" t="s">
        <v>1170</v>
      </c>
      <c r="D553" s="124" t="s">
        <v>1171</v>
      </c>
      <c r="E553" s="125"/>
      <c r="F553" s="118" t="s">
        <v>1104</v>
      </c>
      <c r="G553" s="126" t="str">
        <f t="shared" si="53"/>
        <v>AR-VC1-3</v>
      </c>
      <c r="H553" s="253" t="s">
        <v>346</v>
      </c>
      <c r="I553" s="76">
        <v>1</v>
      </c>
      <c r="J553" s="299" t="s">
        <v>286</v>
      </c>
      <c r="K553" s="299"/>
      <c r="L553" s="86"/>
      <c r="Q553" s="86"/>
    </row>
    <row r="554" spans="1:17" s="83" customFormat="1" ht="13.5" hidden="1" outlineLevel="1">
      <c r="A554" s="264"/>
      <c r="B554" s="119" t="s">
        <v>272</v>
      </c>
      <c r="C554" s="266" t="s">
        <v>1172</v>
      </c>
      <c r="D554" s="124" t="s">
        <v>1171</v>
      </c>
      <c r="E554" s="125"/>
      <c r="F554" s="118" t="s">
        <v>1104</v>
      </c>
      <c r="G554" s="126" t="str">
        <f t="shared" si="53"/>
        <v>AR-VC1-3</v>
      </c>
      <c r="H554" s="253" t="s">
        <v>346</v>
      </c>
      <c r="I554" s="76">
        <v>1</v>
      </c>
      <c r="J554" s="299" t="s">
        <v>286</v>
      </c>
      <c r="K554" s="299"/>
      <c r="L554" s="86"/>
      <c r="Q554" s="86"/>
    </row>
    <row r="555" spans="1:17" s="83" customFormat="1" ht="13.5" hidden="1" outlineLevel="1">
      <c r="A555" s="264"/>
      <c r="B555" s="119" t="s">
        <v>272</v>
      </c>
      <c r="C555" s="266" t="s">
        <v>1173</v>
      </c>
      <c r="D555" s="124" t="s">
        <v>1171</v>
      </c>
      <c r="E555" s="125"/>
      <c r="F555" s="118" t="s">
        <v>1104</v>
      </c>
      <c r="G555" s="126" t="str">
        <f t="shared" si="53"/>
        <v>AR-VC1-3</v>
      </c>
      <c r="H555" s="253" t="s">
        <v>346</v>
      </c>
      <c r="I555" s="76">
        <v>1</v>
      </c>
      <c r="J555" s="299" t="s">
        <v>286</v>
      </c>
      <c r="K555" s="299"/>
      <c r="L555" s="86"/>
      <c r="Q555" s="86"/>
    </row>
    <row r="556" spans="1:17" s="83" customFormat="1" ht="13.5" hidden="1" outlineLevel="1">
      <c r="A556" s="264"/>
      <c r="B556" s="119" t="s">
        <v>272</v>
      </c>
      <c r="C556" s="266" t="s">
        <v>1174</v>
      </c>
      <c r="D556" s="124" t="s">
        <v>1171</v>
      </c>
      <c r="E556" s="125"/>
      <c r="F556" s="118" t="s">
        <v>1104</v>
      </c>
      <c r="G556" s="126" t="str">
        <f t="shared" si="53"/>
        <v>AR-VC1-3</v>
      </c>
      <c r="H556" s="253" t="s">
        <v>346</v>
      </c>
      <c r="I556" s="76">
        <v>1</v>
      </c>
      <c r="J556" s="299" t="s">
        <v>286</v>
      </c>
      <c r="K556" s="299"/>
      <c r="L556" s="86"/>
      <c r="Q556" s="86"/>
    </row>
    <row r="557" spans="1:17" s="83" customFormat="1" ht="13.5" hidden="1" outlineLevel="1">
      <c r="A557" s="264"/>
      <c r="B557" s="119" t="s">
        <v>272</v>
      </c>
      <c r="C557" s="266" t="s">
        <v>1175</v>
      </c>
      <c r="D557" s="124" t="s">
        <v>1171</v>
      </c>
      <c r="E557" s="125"/>
      <c r="F557" s="118" t="s">
        <v>1104</v>
      </c>
      <c r="G557" s="126" t="str">
        <f t="shared" si="53"/>
        <v>AR-VC1-3</v>
      </c>
      <c r="H557" s="253" t="s">
        <v>346</v>
      </c>
      <c r="I557" s="76">
        <v>1</v>
      </c>
      <c r="J557" s="299" t="s">
        <v>286</v>
      </c>
      <c r="K557" s="299"/>
      <c r="L557" s="86"/>
      <c r="Q557" s="86"/>
    </row>
    <row r="558" spans="1:17" s="83" customFormat="1" ht="13.5" hidden="1" outlineLevel="1">
      <c r="A558" s="264"/>
      <c r="B558" s="119" t="s">
        <v>272</v>
      </c>
      <c r="C558" s="266" t="s">
        <v>1176</v>
      </c>
      <c r="D558" s="124" t="s">
        <v>1177</v>
      </c>
      <c r="E558" s="125"/>
      <c r="F558" s="118" t="s">
        <v>1104</v>
      </c>
      <c r="G558" s="126" t="str">
        <f t="shared" si="53"/>
        <v>AR-VC1-3</v>
      </c>
      <c r="H558" s="253" t="s">
        <v>346</v>
      </c>
      <c r="I558" s="76">
        <v>1</v>
      </c>
      <c r="J558" s="299" t="s">
        <v>286</v>
      </c>
      <c r="K558" s="299"/>
      <c r="L558" s="86"/>
      <c r="Q558" s="86"/>
    </row>
    <row r="559" spans="1:17" s="83" customFormat="1" ht="13.5" hidden="1" outlineLevel="1">
      <c r="A559" s="264"/>
      <c r="B559" s="119" t="s">
        <v>272</v>
      </c>
      <c r="C559" s="266" t="s">
        <v>1178</v>
      </c>
      <c r="D559" s="124" t="s">
        <v>1179</v>
      </c>
      <c r="E559" s="125"/>
      <c r="F559" s="118" t="s">
        <v>1104</v>
      </c>
      <c r="G559" s="126" t="str">
        <f t="shared" si="53"/>
        <v>AR-VC1-3</v>
      </c>
      <c r="H559" s="253" t="s">
        <v>346</v>
      </c>
      <c r="I559" s="76">
        <v>1</v>
      </c>
      <c r="J559" s="299" t="s">
        <v>286</v>
      </c>
      <c r="K559" s="299"/>
      <c r="L559" s="86"/>
      <c r="Q559" s="86"/>
    </row>
    <row r="560" spans="1:17" s="83" customFormat="1" ht="13.5" hidden="1" outlineLevel="1">
      <c r="A560" s="264"/>
      <c r="B560" s="119" t="s">
        <v>272</v>
      </c>
      <c r="C560" s="266" t="s">
        <v>1180</v>
      </c>
      <c r="D560" s="124" t="s">
        <v>1181</v>
      </c>
      <c r="E560" s="125"/>
      <c r="F560" s="118" t="s">
        <v>1104</v>
      </c>
      <c r="G560" s="126" t="str">
        <f t="shared" si="53"/>
        <v>AR-VC1-3</v>
      </c>
      <c r="H560" s="253" t="s">
        <v>346</v>
      </c>
      <c r="I560" s="76">
        <v>1</v>
      </c>
      <c r="J560" s="299" t="s">
        <v>286</v>
      </c>
      <c r="K560" s="299"/>
      <c r="L560" s="86"/>
      <c r="Q560" s="86"/>
    </row>
    <row r="561" spans="1:21" s="83" customFormat="1" ht="13.5" hidden="1" outlineLevel="1">
      <c r="A561" s="264"/>
      <c r="B561" s="119" t="s">
        <v>272</v>
      </c>
      <c r="C561" s="266" t="s">
        <v>1182</v>
      </c>
      <c r="D561" s="124" t="s">
        <v>1183</v>
      </c>
      <c r="E561" s="125"/>
      <c r="F561" s="118" t="s">
        <v>1104</v>
      </c>
      <c r="G561" s="126" t="str">
        <f t="shared" si="53"/>
        <v>AR-VC1-3</v>
      </c>
      <c r="H561" s="253" t="s">
        <v>346</v>
      </c>
      <c r="I561" s="76">
        <v>1</v>
      </c>
      <c r="J561" s="299" t="s">
        <v>286</v>
      </c>
      <c r="K561" s="299"/>
      <c r="L561" s="86"/>
      <c r="Q561" s="86"/>
    </row>
    <row r="562" spans="1:21" s="83" customFormat="1" ht="13.5" hidden="1" outlineLevel="1">
      <c r="A562" s="264"/>
      <c r="B562" s="119" t="s">
        <v>272</v>
      </c>
      <c r="C562" s="266" t="s">
        <v>1184</v>
      </c>
      <c r="D562" s="124" t="s">
        <v>1185</v>
      </c>
      <c r="E562" s="125"/>
      <c r="F562" s="118" t="s">
        <v>1104</v>
      </c>
      <c r="G562" s="126" t="str">
        <f t="shared" si="53"/>
        <v>AR-VC1-3</v>
      </c>
      <c r="H562" s="253" t="s">
        <v>346</v>
      </c>
      <c r="I562" s="76">
        <v>1</v>
      </c>
      <c r="J562" s="299" t="s">
        <v>286</v>
      </c>
      <c r="K562" s="299"/>
      <c r="L562" s="86"/>
      <c r="Q562" s="86"/>
    </row>
    <row r="563" spans="1:21" s="83" customFormat="1" ht="13.5" hidden="1" outlineLevel="1">
      <c r="A563" s="264"/>
      <c r="B563" s="119" t="s">
        <v>272</v>
      </c>
      <c r="C563" s="266" t="s">
        <v>1186</v>
      </c>
      <c r="D563" s="124" t="s">
        <v>1187</v>
      </c>
      <c r="E563" s="125"/>
      <c r="F563" s="118" t="s">
        <v>1104</v>
      </c>
      <c r="G563" s="126" t="str">
        <f t="shared" si="53"/>
        <v>AR-VC1-3</v>
      </c>
      <c r="H563" s="253" t="s">
        <v>346</v>
      </c>
      <c r="I563" s="76">
        <v>1</v>
      </c>
      <c r="J563" s="299" t="s">
        <v>286</v>
      </c>
      <c r="K563" s="299"/>
      <c r="L563" s="86"/>
      <c r="Q563" s="86"/>
    </row>
    <row r="564" spans="1:21" s="83" customFormat="1" ht="3" hidden="1" customHeight="1">
      <c r="A564" s="264"/>
      <c r="B564" s="119"/>
      <c r="C564" s="266"/>
      <c r="D564" s="124"/>
      <c r="E564" s="125"/>
      <c r="F564" s="118"/>
      <c r="G564" s="126"/>
      <c r="H564" s="253"/>
      <c r="I564" s="76"/>
      <c r="J564" s="299"/>
      <c r="K564" s="299"/>
      <c r="L564" s="84"/>
      <c r="M564" s="76"/>
      <c r="N564" s="76"/>
      <c r="O564" s="76"/>
      <c r="P564" s="76"/>
      <c r="Q564" s="84"/>
      <c r="R564" s="76"/>
      <c r="S564" s="76"/>
      <c r="T564" s="76"/>
      <c r="U564" s="76"/>
    </row>
    <row r="565" spans="1:21" s="83" customFormat="1" ht="13.5" hidden="1" collapsed="1">
      <c r="A565" s="72" t="s">
        <v>1188</v>
      </c>
      <c r="B565" s="85"/>
      <c r="C565" s="269"/>
      <c r="D565" s="85" t="s">
        <v>299</v>
      </c>
      <c r="E565" s="390"/>
      <c r="F565" s="73"/>
      <c r="G565" s="73"/>
      <c r="H565" s="74"/>
      <c r="I565" s="76"/>
      <c r="J565" s="299"/>
      <c r="K565" s="299"/>
      <c r="L565" s="75"/>
      <c r="M565" s="75"/>
      <c r="N565" s="75"/>
      <c r="O565" s="75"/>
      <c r="P565" s="75"/>
      <c r="Q565" s="75"/>
      <c r="R565" s="75"/>
      <c r="S565" s="75"/>
      <c r="T565" s="75"/>
      <c r="U565" s="75"/>
    </row>
    <row r="566" spans="1:21" s="83" customFormat="1" ht="3" hidden="1" customHeight="1" outlineLevel="1">
      <c r="A566" s="261"/>
      <c r="B566" s="119"/>
      <c r="C566" s="266"/>
      <c r="D566" s="124" t="s">
        <v>299</v>
      </c>
      <c r="E566" s="125"/>
      <c r="F566" s="118"/>
      <c r="G566" s="126"/>
      <c r="H566" s="253"/>
      <c r="I566" s="76"/>
      <c r="J566" s="299"/>
      <c r="K566" s="299"/>
      <c r="L566" s="84"/>
      <c r="M566" s="76"/>
      <c r="N566" s="76"/>
      <c r="O566" s="76"/>
      <c r="P566" s="76"/>
      <c r="Q566" s="84"/>
      <c r="R566" s="76"/>
      <c r="S566" s="76"/>
      <c r="T566" s="76"/>
      <c r="U566" s="76"/>
    </row>
    <row r="567" spans="1:21" s="83" customFormat="1" ht="13.5" hidden="1" outlineLevel="1">
      <c r="A567" s="264" t="s">
        <v>1189</v>
      </c>
      <c r="B567" s="119" t="s">
        <v>272</v>
      </c>
      <c r="C567" s="266"/>
      <c r="D567" s="124" t="s">
        <v>1190</v>
      </c>
      <c r="E567" s="125" t="s">
        <v>1191</v>
      </c>
      <c r="F567" s="118" t="s">
        <v>1192</v>
      </c>
      <c r="G567" s="126" t="str">
        <f>CONCATENATE("AR-",F567,"-",H567)</f>
        <v>AR-VC3-2</v>
      </c>
      <c r="H567" s="253">
        <v>2</v>
      </c>
      <c r="I567" s="76"/>
      <c r="J567" s="299"/>
      <c r="K567" s="299"/>
      <c r="L567" s="84">
        <v>1</v>
      </c>
      <c r="M567" s="76">
        <v>1</v>
      </c>
      <c r="Q567" s="84"/>
    </row>
    <row r="568" spans="1:21" s="83" customFormat="1" ht="13.5" hidden="1" outlineLevel="1">
      <c r="A568" s="264" t="s">
        <v>1189</v>
      </c>
      <c r="B568" s="119" t="s">
        <v>272</v>
      </c>
      <c r="C568" s="266"/>
      <c r="D568" s="124" t="s">
        <v>1193</v>
      </c>
      <c r="E568" s="125" t="s">
        <v>1191</v>
      </c>
      <c r="F568" s="118" t="s">
        <v>1192</v>
      </c>
      <c r="G568" s="126" t="str">
        <f t="shared" ref="G568" si="54">CONCATENATE("AR-",F568,"-",H568)</f>
        <v>AR-VC3-2</v>
      </c>
      <c r="H568" s="253">
        <v>2</v>
      </c>
      <c r="I568" s="76"/>
      <c r="J568" s="299"/>
      <c r="K568" s="299"/>
      <c r="L568" s="84">
        <v>1</v>
      </c>
      <c r="M568" s="76">
        <v>1</v>
      </c>
      <c r="Q568" s="84"/>
    </row>
    <row r="569" spans="1:21" s="83" customFormat="1" ht="13.5" hidden="1" outlineLevel="1">
      <c r="A569" s="264" t="s">
        <v>1189</v>
      </c>
      <c r="B569" s="119" t="s">
        <v>272</v>
      </c>
      <c r="C569" s="266"/>
      <c r="D569" s="124" t="s">
        <v>1194</v>
      </c>
      <c r="E569" s="125" t="s">
        <v>1191</v>
      </c>
      <c r="F569" s="118" t="s">
        <v>1192</v>
      </c>
      <c r="G569" s="126" t="str">
        <f>CONCATENATE("AR-",F569,"-",H569)</f>
        <v>AR-VC3-3</v>
      </c>
      <c r="H569" s="253">
        <v>3</v>
      </c>
      <c r="I569" s="76"/>
      <c r="J569" s="299"/>
      <c r="K569" s="299"/>
      <c r="L569" s="84">
        <v>1</v>
      </c>
      <c r="M569" s="76">
        <v>1</v>
      </c>
      <c r="Q569" s="84"/>
    </row>
    <row r="570" spans="1:21" s="83" customFormat="1" ht="15" hidden="1" customHeight="1" outlineLevel="1">
      <c r="B570" s="119" t="s">
        <v>272</v>
      </c>
      <c r="C570" s="266"/>
      <c r="D570" s="124" t="s">
        <v>1195</v>
      </c>
      <c r="E570" s="125"/>
      <c r="F570" s="118" t="s">
        <v>1192</v>
      </c>
      <c r="G570" s="126" t="str">
        <f>CONCATENATE("AR-",F570,"-",H570)</f>
        <v>AR-VC3-3</v>
      </c>
      <c r="H570" s="253">
        <v>3</v>
      </c>
      <c r="J570" s="299"/>
      <c r="K570" s="299"/>
      <c r="L570" s="84">
        <v>1</v>
      </c>
      <c r="M570" s="76">
        <v>1</v>
      </c>
      <c r="Q570" s="86"/>
    </row>
    <row r="571" spans="1:21" s="83" customFormat="1" ht="15" hidden="1" customHeight="1" outlineLevel="1">
      <c r="B571" s="119" t="s">
        <v>272</v>
      </c>
      <c r="C571" s="266"/>
      <c r="D571" s="124" t="s">
        <v>1196</v>
      </c>
      <c r="E571" s="125"/>
      <c r="F571" s="118" t="s">
        <v>1192</v>
      </c>
      <c r="G571" s="126" t="str">
        <f>CONCATENATE("AR-",F571,"-",H571)</f>
        <v>AR-VC3-3</v>
      </c>
      <c r="H571" s="253">
        <v>3</v>
      </c>
      <c r="J571" s="299"/>
      <c r="K571" s="299"/>
      <c r="L571" s="84">
        <v>1</v>
      </c>
      <c r="M571" s="76">
        <v>1</v>
      </c>
      <c r="Q571" s="86"/>
    </row>
    <row r="572" spans="1:21" s="83" customFormat="1" ht="13.5" hidden="1" outlineLevel="1">
      <c r="A572" s="264" t="s">
        <v>1189</v>
      </c>
      <c r="B572" s="119" t="s">
        <v>272</v>
      </c>
      <c r="C572" s="266" t="s">
        <v>1197</v>
      </c>
      <c r="D572" s="124" t="s">
        <v>1198</v>
      </c>
      <c r="E572" s="125" t="s">
        <v>1199</v>
      </c>
      <c r="F572" s="118" t="s">
        <v>1192</v>
      </c>
      <c r="G572" s="126" t="str">
        <f t="shared" ref="G572:G589" si="55">CONCATENATE("AR-",F572,"-",H572)</f>
        <v>AR-VC3-1</v>
      </c>
      <c r="H572" s="253" t="s">
        <v>304</v>
      </c>
      <c r="I572" s="76">
        <v>1</v>
      </c>
      <c r="J572" s="299" t="s">
        <v>310</v>
      </c>
      <c r="K572" s="299"/>
      <c r="L572" s="84"/>
      <c r="M572" s="76"/>
      <c r="Q572" s="84"/>
    </row>
    <row r="573" spans="1:21" s="83" customFormat="1" ht="13.5" hidden="1" outlineLevel="1">
      <c r="A573" s="264" t="s">
        <v>1189</v>
      </c>
      <c r="B573" s="119" t="s">
        <v>272</v>
      </c>
      <c r="C573" s="266" t="s">
        <v>1200</v>
      </c>
      <c r="D573" s="124" t="s">
        <v>1201</v>
      </c>
      <c r="E573" s="125" t="s">
        <v>1199</v>
      </c>
      <c r="F573" s="118" t="s">
        <v>1192</v>
      </c>
      <c r="G573" s="126" t="str">
        <f t="shared" si="55"/>
        <v>AR-VC3-1</v>
      </c>
      <c r="H573" s="253" t="s">
        <v>304</v>
      </c>
      <c r="I573" s="76">
        <v>1</v>
      </c>
      <c r="J573" s="299" t="s">
        <v>310</v>
      </c>
      <c r="K573" s="299"/>
      <c r="L573" s="84"/>
      <c r="M573" s="76"/>
      <c r="Q573" s="84"/>
    </row>
    <row r="574" spans="1:21" s="83" customFormat="1" ht="13.5" hidden="1" outlineLevel="1">
      <c r="A574" s="264" t="s">
        <v>1189</v>
      </c>
      <c r="B574" s="119" t="s">
        <v>272</v>
      </c>
      <c r="C574" s="266" t="s">
        <v>1202</v>
      </c>
      <c r="D574" s="124" t="s">
        <v>1203</v>
      </c>
      <c r="E574" s="125" t="s">
        <v>1199</v>
      </c>
      <c r="F574" s="118" t="s">
        <v>1192</v>
      </c>
      <c r="G574" s="126" t="str">
        <f t="shared" si="55"/>
        <v>AR-VC3-1</v>
      </c>
      <c r="H574" s="253" t="s">
        <v>304</v>
      </c>
      <c r="I574" s="76">
        <v>1</v>
      </c>
      <c r="J574" s="299" t="s">
        <v>310</v>
      </c>
      <c r="K574" s="299"/>
      <c r="L574" s="84"/>
      <c r="M574" s="76"/>
      <c r="Q574" s="84"/>
    </row>
    <row r="575" spans="1:21" s="83" customFormat="1" ht="13.5" hidden="1" outlineLevel="1">
      <c r="A575" s="264" t="s">
        <v>1189</v>
      </c>
      <c r="B575" s="119" t="s">
        <v>272</v>
      </c>
      <c r="C575" s="266" t="s">
        <v>1204</v>
      </c>
      <c r="D575" s="124" t="s">
        <v>1205</v>
      </c>
      <c r="E575" s="125" t="s">
        <v>1191</v>
      </c>
      <c r="F575" s="118" t="s">
        <v>1192</v>
      </c>
      <c r="G575" s="126" t="str">
        <f t="shared" si="55"/>
        <v>AR-VC3-2</v>
      </c>
      <c r="H575" s="253" t="s">
        <v>289</v>
      </c>
      <c r="I575" s="76">
        <v>1</v>
      </c>
      <c r="J575" s="299" t="s">
        <v>310</v>
      </c>
      <c r="K575" s="299"/>
      <c r="L575" s="84"/>
      <c r="M575" s="76"/>
      <c r="Q575" s="84"/>
    </row>
    <row r="576" spans="1:21" s="83" customFormat="1" ht="13.5" hidden="1" outlineLevel="1">
      <c r="A576" s="264" t="s">
        <v>1189</v>
      </c>
      <c r="B576" s="119" t="s">
        <v>272</v>
      </c>
      <c r="C576" s="266" t="s">
        <v>1206</v>
      </c>
      <c r="D576" s="124" t="s">
        <v>1207</v>
      </c>
      <c r="E576" s="125" t="s">
        <v>1191</v>
      </c>
      <c r="F576" s="118" t="s">
        <v>1192</v>
      </c>
      <c r="G576" s="126" t="str">
        <f t="shared" si="55"/>
        <v>AR-VC3-2</v>
      </c>
      <c r="H576" s="253" t="s">
        <v>289</v>
      </c>
      <c r="I576" s="76">
        <v>1</v>
      </c>
      <c r="J576" s="299" t="s">
        <v>310</v>
      </c>
      <c r="K576" s="299"/>
      <c r="L576" s="84"/>
      <c r="M576" s="76"/>
      <c r="Q576" s="84"/>
    </row>
    <row r="577" spans="1:17" s="83" customFormat="1" ht="13.5" hidden="1" outlineLevel="1">
      <c r="A577" s="264" t="s">
        <v>1189</v>
      </c>
      <c r="B577" s="119" t="s">
        <v>272</v>
      </c>
      <c r="C577" s="266" t="s">
        <v>1208</v>
      </c>
      <c r="D577" s="124" t="s">
        <v>1209</v>
      </c>
      <c r="E577" s="125" t="s">
        <v>1191</v>
      </c>
      <c r="F577" s="118" t="s">
        <v>1192</v>
      </c>
      <c r="G577" s="126" t="str">
        <f t="shared" si="55"/>
        <v>AR-VC3-2</v>
      </c>
      <c r="H577" s="253" t="s">
        <v>289</v>
      </c>
      <c r="I577" s="76">
        <v>1</v>
      </c>
      <c r="J577" s="299" t="s">
        <v>310</v>
      </c>
      <c r="K577" s="299"/>
      <c r="L577" s="84"/>
      <c r="M577" s="76"/>
      <c r="Q577" s="84"/>
    </row>
    <row r="578" spans="1:17" s="83" customFormat="1" ht="13.5" hidden="1" outlineLevel="1">
      <c r="A578" s="264" t="s">
        <v>1189</v>
      </c>
      <c r="B578" s="119" t="s">
        <v>272</v>
      </c>
      <c r="C578" s="266" t="s">
        <v>1210</v>
      </c>
      <c r="D578" s="124" t="s">
        <v>1211</v>
      </c>
      <c r="E578" s="125" t="s">
        <v>1191</v>
      </c>
      <c r="F578" s="118" t="s">
        <v>1192</v>
      </c>
      <c r="G578" s="126" t="str">
        <f t="shared" si="55"/>
        <v>AR-VC3-2</v>
      </c>
      <c r="H578" s="253" t="s">
        <v>289</v>
      </c>
      <c r="I578" s="76">
        <v>1</v>
      </c>
      <c r="J578" s="299" t="s">
        <v>310</v>
      </c>
      <c r="K578" s="299"/>
      <c r="L578" s="84"/>
      <c r="M578" s="76"/>
      <c r="Q578" s="84"/>
    </row>
    <row r="579" spans="1:17" s="83" customFormat="1" ht="13.5" hidden="1" outlineLevel="1">
      <c r="A579" s="264" t="s">
        <v>1189</v>
      </c>
      <c r="B579" s="119" t="s">
        <v>272</v>
      </c>
      <c r="C579" s="266" t="s">
        <v>1212</v>
      </c>
      <c r="D579" s="124" t="s">
        <v>1213</v>
      </c>
      <c r="E579" s="125" t="s">
        <v>1191</v>
      </c>
      <c r="F579" s="118" t="s">
        <v>1192</v>
      </c>
      <c r="G579" s="126" t="str">
        <f t="shared" ref="G579" si="56">CONCATENATE("AR-",F579,"-",H579)</f>
        <v>AR-VC3-2</v>
      </c>
      <c r="H579" s="253" t="s">
        <v>289</v>
      </c>
      <c r="I579" s="76">
        <v>1</v>
      </c>
      <c r="J579" s="299" t="s">
        <v>286</v>
      </c>
      <c r="K579" s="299"/>
      <c r="L579" s="84"/>
      <c r="M579" s="76"/>
      <c r="Q579" s="84"/>
    </row>
    <row r="580" spans="1:17" s="83" customFormat="1" ht="13.5" hidden="1" outlineLevel="1">
      <c r="A580" s="264" t="s">
        <v>1189</v>
      </c>
      <c r="B580" s="119" t="s">
        <v>272</v>
      </c>
      <c r="C580" s="266" t="s">
        <v>1214</v>
      </c>
      <c r="D580" s="124" t="s">
        <v>1215</v>
      </c>
      <c r="E580" s="125" t="s">
        <v>1191</v>
      </c>
      <c r="F580" s="118" t="s">
        <v>1192</v>
      </c>
      <c r="G580" s="126" t="str">
        <f t="shared" ref="G580" si="57">CONCATENATE("AR-",F580,"-",H580)</f>
        <v>AR-VC3-2</v>
      </c>
      <c r="H580" s="253" t="s">
        <v>289</v>
      </c>
      <c r="I580" s="76">
        <v>1</v>
      </c>
      <c r="J580" s="299" t="s">
        <v>286</v>
      </c>
      <c r="K580" s="299"/>
      <c r="L580" s="84"/>
      <c r="M580" s="76"/>
      <c r="Q580" s="84"/>
    </row>
    <row r="581" spans="1:17" s="83" customFormat="1" ht="13.5" hidden="1" outlineLevel="1">
      <c r="A581" s="264" t="s">
        <v>1189</v>
      </c>
      <c r="B581" s="119" t="s">
        <v>272</v>
      </c>
      <c r="C581" s="266" t="s">
        <v>1216</v>
      </c>
      <c r="D581" s="124" t="s">
        <v>1217</v>
      </c>
      <c r="E581" s="125" t="s">
        <v>1191</v>
      </c>
      <c r="F581" s="118" t="s">
        <v>1192</v>
      </c>
      <c r="G581" s="126" t="str">
        <f t="shared" si="55"/>
        <v>AR-VC3-2</v>
      </c>
      <c r="H581" s="253" t="s">
        <v>289</v>
      </c>
      <c r="I581" s="76">
        <v>1</v>
      </c>
      <c r="J581" s="299" t="s">
        <v>286</v>
      </c>
      <c r="K581" s="299"/>
      <c r="L581" s="84"/>
      <c r="M581" s="76"/>
      <c r="Q581" s="84"/>
    </row>
    <row r="582" spans="1:17" s="83" customFormat="1" ht="13.5" hidden="1" outlineLevel="1">
      <c r="A582" s="264" t="s">
        <v>1189</v>
      </c>
      <c r="B582" s="119" t="s">
        <v>272</v>
      </c>
      <c r="C582" s="266" t="s">
        <v>1218</v>
      </c>
      <c r="D582" s="124" t="s">
        <v>1219</v>
      </c>
      <c r="E582" s="125" t="s">
        <v>1199</v>
      </c>
      <c r="F582" s="118" t="s">
        <v>1192</v>
      </c>
      <c r="G582" s="126" t="str">
        <f t="shared" si="55"/>
        <v>AR-VC3-2</v>
      </c>
      <c r="H582" s="253" t="s">
        <v>289</v>
      </c>
      <c r="I582" s="76">
        <v>1</v>
      </c>
      <c r="J582" s="299" t="s">
        <v>307</v>
      </c>
      <c r="K582" s="299"/>
      <c r="L582" s="84"/>
      <c r="M582" s="76"/>
      <c r="Q582" s="84"/>
    </row>
    <row r="583" spans="1:17" s="83" customFormat="1" ht="13.5" hidden="1" outlineLevel="1">
      <c r="A583" s="264" t="s">
        <v>1189</v>
      </c>
      <c r="B583" s="119" t="s">
        <v>272</v>
      </c>
      <c r="C583" s="266" t="s">
        <v>1220</v>
      </c>
      <c r="D583" s="124" t="s">
        <v>1221</v>
      </c>
      <c r="E583" s="125" t="s">
        <v>1199</v>
      </c>
      <c r="F583" s="118" t="s">
        <v>1192</v>
      </c>
      <c r="G583" s="126" t="str">
        <f t="shared" si="55"/>
        <v>AR-VC3-2</v>
      </c>
      <c r="H583" s="253" t="s">
        <v>289</v>
      </c>
      <c r="I583" s="76">
        <v>1</v>
      </c>
      <c r="J583" s="299" t="s">
        <v>307</v>
      </c>
      <c r="K583" s="299"/>
      <c r="L583" s="84"/>
      <c r="M583" s="76"/>
      <c r="Q583" s="84"/>
    </row>
    <row r="584" spans="1:17" s="83" customFormat="1" ht="13.5" hidden="1" outlineLevel="1">
      <c r="A584" s="264" t="s">
        <v>1189</v>
      </c>
      <c r="B584" s="119" t="s">
        <v>272</v>
      </c>
      <c r="C584" s="266" t="s">
        <v>1222</v>
      </c>
      <c r="D584" s="124" t="s">
        <v>1223</v>
      </c>
      <c r="E584" s="125" t="s">
        <v>1199</v>
      </c>
      <c r="F584" s="118" t="s">
        <v>1192</v>
      </c>
      <c r="G584" s="126" t="str">
        <f t="shared" si="55"/>
        <v>AR-VC3-2</v>
      </c>
      <c r="H584" s="253" t="s">
        <v>289</v>
      </c>
      <c r="I584" s="76">
        <v>1</v>
      </c>
      <c r="J584" s="299" t="s">
        <v>307</v>
      </c>
      <c r="K584" s="299"/>
      <c r="L584" s="84"/>
      <c r="M584" s="76"/>
      <c r="Q584" s="84"/>
    </row>
    <row r="585" spans="1:17" s="83" customFormat="1" ht="13.5" hidden="1" outlineLevel="1">
      <c r="A585" s="264" t="s">
        <v>1189</v>
      </c>
      <c r="B585" s="119" t="s">
        <v>272</v>
      </c>
      <c r="C585" s="266" t="s">
        <v>1224</v>
      </c>
      <c r="D585" s="124" t="s">
        <v>1225</v>
      </c>
      <c r="E585" s="125" t="s">
        <v>1191</v>
      </c>
      <c r="F585" s="118" t="s">
        <v>1192</v>
      </c>
      <c r="G585" s="126" t="str">
        <f t="shared" si="55"/>
        <v>AR-VC3-2</v>
      </c>
      <c r="H585" s="253" t="s">
        <v>289</v>
      </c>
      <c r="I585" s="76">
        <v>1</v>
      </c>
      <c r="J585" s="299" t="s">
        <v>286</v>
      </c>
      <c r="K585" s="299"/>
      <c r="L585" s="84"/>
      <c r="M585" s="76"/>
      <c r="Q585" s="84"/>
    </row>
    <row r="586" spans="1:17" s="83" customFormat="1" ht="13.5" hidden="1" outlineLevel="1">
      <c r="A586" s="264" t="s">
        <v>1189</v>
      </c>
      <c r="B586" s="119" t="s">
        <v>272</v>
      </c>
      <c r="C586" s="266" t="s">
        <v>1226</v>
      </c>
      <c r="D586" s="124" t="s">
        <v>1227</v>
      </c>
      <c r="E586" s="125" t="s">
        <v>1191</v>
      </c>
      <c r="F586" s="118" t="s">
        <v>1192</v>
      </c>
      <c r="G586" s="126" t="str">
        <f t="shared" si="55"/>
        <v>AR-VC3-2</v>
      </c>
      <c r="H586" s="253" t="s">
        <v>289</v>
      </c>
      <c r="I586" s="76">
        <v>1</v>
      </c>
      <c r="J586" s="299" t="s">
        <v>310</v>
      </c>
      <c r="K586" s="299"/>
      <c r="L586" s="84"/>
      <c r="M586" s="76"/>
      <c r="Q586" s="84"/>
    </row>
    <row r="587" spans="1:17" s="83" customFormat="1" ht="13.5" hidden="1" outlineLevel="1">
      <c r="A587" s="264" t="s">
        <v>1189</v>
      </c>
      <c r="B587" s="119" t="s">
        <v>272</v>
      </c>
      <c r="C587" s="266" t="s">
        <v>1228</v>
      </c>
      <c r="D587" s="124" t="s">
        <v>1229</v>
      </c>
      <c r="E587" s="125" t="s">
        <v>1191</v>
      </c>
      <c r="F587" s="118" t="s">
        <v>1192</v>
      </c>
      <c r="G587" s="126" t="str">
        <f t="shared" si="55"/>
        <v>AR-VC3-2</v>
      </c>
      <c r="H587" s="253" t="s">
        <v>289</v>
      </c>
      <c r="I587" s="76">
        <v>1</v>
      </c>
      <c r="J587" s="299" t="s">
        <v>310</v>
      </c>
      <c r="K587" s="299"/>
      <c r="L587" s="84"/>
      <c r="M587" s="76"/>
      <c r="Q587" s="84"/>
    </row>
    <row r="588" spans="1:17" s="83" customFormat="1" ht="13.5" hidden="1" outlineLevel="1">
      <c r="A588" s="264" t="s">
        <v>1189</v>
      </c>
      <c r="B588" s="119" t="s">
        <v>272</v>
      </c>
      <c r="C588" s="266" t="s">
        <v>1230</v>
      </c>
      <c r="D588" s="124" t="s">
        <v>1231</v>
      </c>
      <c r="E588" s="125" t="s">
        <v>1191</v>
      </c>
      <c r="F588" s="118" t="s">
        <v>1192</v>
      </c>
      <c r="G588" s="126" t="str">
        <f t="shared" si="55"/>
        <v>AR-VC3-2</v>
      </c>
      <c r="H588" s="253" t="s">
        <v>289</v>
      </c>
      <c r="I588" s="76">
        <v>1</v>
      </c>
      <c r="J588" s="299" t="s">
        <v>310</v>
      </c>
      <c r="K588" s="299"/>
      <c r="L588" s="84"/>
      <c r="M588" s="76"/>
      <c r="Q588" s="84"/>
    </row>
    <row r="589" spans="1:17" s="83" customFormat="1" ht="13.5" hidden="1" outlineLevel="1">
      <c r="A589" s="264" t="s">
        <v>1189</v>
      </c>
      <c r="B589" s="119" t="s">
        <v>272</v>
      </c>
      <c r="C589" s="266" t="s">
        <v>1232</v>
      </c>
      <c r="D589" s="124" t="s">
        <v>1233</v>
      </c>
      <c r="E589" s="125" t="s">
        <v>1191</v>
      </c>
      <c r="F589" s="118" t="s">
        <v>1192</v>
      </c>
      <c r="G589" s="126" t="str">
        <f t="shared" si="55"/>
        <v>AR-VC3-2</v>
      </c>
      <c r="H589" s="253" t="s">
        <v>289</v>
      </c>
      <c r="I589" s="76">
        <v>1</v>
      </c>
      <c r="J589" s="299" t="s">
        <v>310</v>
      </c>
      <c r="K589" s="299"/>
      <c r="L589" s="84"/>
      <c r="M589" s="76"/>
      <c r="Q589" s="84"/>
    </row>
    <row r="590" spans="1:17" s="83" customFormat="1" ht="13.5" hidden="1" outlineLevel="1">
      <c r="A590" s="264" t="s">
        <v>1189</v>
      </c>
      <c r="B590" s="119" t="s">
        <v>272</v>
      </c>
      <c r="C590" s="266" t="s">
        <v>1234</v>
      </c>
      <c r="D590" s="124" t="s">
        <v>1235</v>
      </c>
      <c r="E590" s="125" t="s">
        <v>1199</v>
      </c>
      <c r="F590" s="118" t="s">
        <v>1192</v>
      </c>
      <c r="G590" s="126" t="str">
        <f t="shared" ref="G590:G609" si="58">CONCATENATE("AR-",F590,"-",H590)</f>
        <v>AR-VC3-2</v>
      </c>
      <c r="H590" s="253" t="s">
        <v>289</v>
      </c>
      <c r="I590" s="76">
        <v>1</v>
      </c>
      <c r="J590" s="299" t="s">
        <v>310</v>
      </c>
      <c r="K590" s="299"/>
      <c r="L590" s="84"/>
      <c r="M590" s="76"/>
      <c r="Q590" s="84"/>
    </row>
    <row r="591" spans="1:17" s="83" customFormat="1" ht="13.5" hidden="1" outlineLevel="1">
      <c r="A591" s="264" t="s">
        <v>1189</v>
      </c>
      <c r="B591" s="119" t="s">
        <v>272</v>
      </c>
      <c r="C591" s="266" t="s">
        <v>1236</v>
      </c>
      <c r="D591" s="124" t="s">
        <v>1237</v>
      </c>
      <c r="E591" s="125" t="s">
        <v>1199</v>
      </c>
      <c r="F591" s="118" t="s">
        <v>1192</v>
      </c>
      <c r="G591" s="126" t="str">
        <f t="shared" si="58"/>
        <v>AR-VC3-2</v>
      </c>
      <c r="H591" s="253" t="s">
        <v>289</v>
      </c>
      <c r="I591" s="76">
        <v>1</v>
      </c>
      <c r="J591" s="299" t="s">
        <v>310</v>
      </c>
      <c r="K591" s="299"/>
      <c r="L591" s="84"/>
      <c r="M591" s="76"/>
      <c r="Q591" s="84"/>
    </row>
    <row r="592" spans="1:17" s="83" customFormat="1" ht="13.5" hidden="1" outlineLevel="1">
      <c r="A592" s="264" t="s">
        <v>1189</v>
      </c>
      <c r="B592" s="119" t="s">
        <v>272</v>
      </c>
      <c r="C592" s="266" t="s">
        <v>1238</v>
      </c>
      <c r="D592" s="124" t="s">
        <v>1239</v>
      </c>
      <c r="E592" s="125" t="s">
        <v>1199</v>
      </c>
      <c r="F592" s="118" t="s">
        <v>1192</v>
      </c>
      <c r="G592" s="126" t="str">
        <f t="shared" si="58"/>
        <v>AR-VC3-2</v>
      </c>
      <c r="H592" s="253" t="s">
        <v>289</v>
      </c>
      <c r="I592" s="76">
        <v>1</v>
      </c>
      <c r="J592" s="299" t="s">
        <v>310</v>
      </c>
      <c r="K592" s="299"/>
      <c r="L592" s="84"/>
      <c r="M592" s="76"/>
      <c r="Q592" s="84"/>
    </row>
    <row r="593" spans="1:17" s="83" customFormat="1" ht="13.5" hidden="1" outlineLevel="1">
      <c r="A593" s="264" t="s">
        <v>1189</v>
      </c>
      <c r="B593" s="119" t="s">
        <v>272</v>
      </c>
      <c r="C593" s="266" t="s">
        <v>1240</v>
      </c>
      <c r="D593" s="124" t="s">
        <v>1241</v>
      </c>
      <c r="E593" s="125" t="s">
        <v>1191</v>
      </c>
      <c r="F593" s="118" t="s">
        <v>1192</v>
      </c>
      <c r="G593" s="126" t="str">
        <f t="shared" si="58"/>
        <v>AR-VC3-2</v>
      </c>
      <c r="H593" s="253" t="s">
        <v>289</v>
      </c>
      <c r="I593" s="76">
        <v>1</v>
      </c>
      <c r="J593" s="299" t="s">
        <v>310</v>
      </c>
      <c r="K593" s="299"/>
      <c r="L593" s="84"/>
      <c r="M593" s="76"/>
      <c r="Q593" s="84"/>
    </row>
    <row r="594" spans="1:17" s="83" customFormat="1" ht="13.5" hidden="1" outlineLevel="1">
      <c r="A594" s="264" t="s">
        <v>1189</v>
      </c>
      <c r="B594" s="119" t="s">
        <v>272</v>
      </c>
      <c r="C594" s="266" t="s">
        <v>1242</v>
      </c>
      <c r="D594" s="124" t="s">
        <v>1243</v>
      </c>
      <c r="E594" s="125" t="s">
        <v>1191</v>
      </c>
      <c r="F594" s="118" t="s">
        <v>1192</v>
      </c>
      <c r="G594" s="126" t="str">
        <f t="shared" si="58"/>
        <v>AR-VC3-3</v>
      </c>
      <c r="H594" s="253" t="s">
        <v>346</v>
      </c>
      <c r="I594" s="76">
        <v>1</v>
      </c>
      <c r="J594" s="299" t="s">
        <v>307</v>
      </c>
      <c r="K594" s="299"/>
      <c r="L594" s="84"/>
      <c r="M594" s="76"/>
      <c r="Q594" s="84"/>
    </row>
    <row r="595" spans="1:17" s="83" customFormat="1" ht="13.5" hidden="1" outlineLevel="1">
      <c r="A595" s="264" t="s">
        <v>1189</v>
      </c>
      <c r="B595" s="119" t="s">
        <v>272</v>
      </c>
      <c r="C595" s="266" t="s">
        <v>1244</v>
      </c>
      <c r="D595" s="124" t="s">
        <v>1245</v>
      </c>
      <c r="E595" s="125" t="s">
        <v>1191</v>
      </c>
      <c r="F595" s="118" t="s">
        <v>1192</v>
      </c>
      <c r="G595" s="126" t="str">
        <f t="shared" si="58"/>
        <v>AR-VC3-3</v>
      </c>
      <c r="H595" s="253" t="s">
        <v>346</v>
      </c>
      <c r="I595" s="76">
        <v>1</v>
      </c>
      <c r="J595" s="299" t="s">
        <v>310</v>
      </c>
      <c r="K595" s="299"/>
      <c r="L595" s="84"/>
      <c r="M595" s="76"/>
      <c r="Q595" s="84"/>
    </row>
    <row r="596" spans="1:17" s="83" customFormat="1" ht="13.5" hidden="1" outlineLevel="1">
      <c r="A596" s="264" t="s">
        <v>1189</v>
      </c>
      <c r="B596" s="119" t="s">
        <v>272</v>
      </c>
      <c r="C596" s="266" t="s">
        <v>1246</v>
      </c>
      <c r="D596" s="124" t="s">
        <v>1247</v>
      </c>
      <c r="E596" s="125" t="s">
        <v>1191</v>
      </c>
      <c r="F596" s="118" t="s">
        <v>1192</v>
      </c>
      <c r="G596" s="126" t="str">
        <f t="shared" si="58"/>
        <v>AR-VC3-3</v>
      </c>
      <c r="H596" s="253" t="s">
        <v>346</v>
      </c>
      <c r="I596" s="76">
        <v>1</v>
      </c>
      <c r="J596" s="299" t="s">
        <v>286</v>
      </c>
      <c r="K596" s="299"/>
      <c r="L596" s="84"/>
      <c r="M596" s="76"/>
      <c r="Q596" s="84"/>
    </row>
    <row r="597" spans="1:17" s="83" customFormat="1" ht="13.5" hidden="1" outlineLevel="1">
      <c r="A597" s="264" t="s">
        <v>1189</v>
      </c>
      <c r="B597" s="119" t="s">
        <v>272</v>
      </c>
      <c r="C597" s="266" t="s">
        <v>1248</v>
      </c>
      <c r="D597" s="124" t="s">
        <v>1247</v>
      </c>
      <c r="E597" s="125" t="s">
        <v>1191</v>
      </c>
      <c r="F597" s="118" t="s">
        <v>1192</v>
      </c>
      <c r="G597" s="126" t="str">
        <f t="shared" si="58"/>
        <v>AR-VC3-3</v>
      </c>
      <c r="H597" s="253" t="s">
        <v>346</v>
      </c>
      <c r="I597" s="76">
        <v>1</v>
      </c>
      <c r="J597" s="299" t="s">
        <v>286</v>
      </c>
      <c r="K597" s="299"/>
      <c r="L597" s="84"/>
      <c r="M597" s="76"/>
      <c r="Q597" s="84"/>
    </row>
    <row r="598" spans="1:17" s="83" customFormat="1" ht="13.5" hidden="1" outlineLevel="1">
      <c r="A598" s="264" t="s">
        <v>1189</v>
      </c>
      <c r="B598" s="119" t="s">
        <v>272</v>
      </c>
      <c r="C598" s="266" t="s">
        <v>1249</v>
      </c>
      <c r="D598" s="124" t="s">
        <v>1250</v>
      </c>
      <c r="E598" s="125" t="s">
        <v>1191</v>
      </c>
      <c r="F598" s="118" t="s">
        <v>1192</v>
      </c>
      <c r="G598" s="126" t="str">
        <f t="shared" ref="G598" si="59">CONCATENATE("AR-",F598,"-",H598)</f>
        <v>AR-VC3-3</v>
      </c>
      <c r="H598" s="253" t="s">
        <v>346</v>
      </c>
      <c r="I598" s="76">
        <v>1</v>
      </c>
      <c r="J598" s="299" t="s">
        <v>286</v>
      </c>
      <c r="K598" s="299"/>
      <c r="L598" s="84"/>
      <c r="M598" s="76"/>
      <c r="Q598" s="84"/>
    </row>
    <row r="599" spans="1:17" s="83" customFormat="1" ht="13.5" hidden="1" outlineLevel="1">
      <c r="A599" s="264" t="s">
        <v>1189</v>
      </c>
      <c r="B599" s="119" t="s">
        <v>272</v>
      </c>
      <c r="C599" s="266" t="s">
        <v>1251</v>
      </c>
      <c r="D599" s="124" t="s">
        <v>402</v>
      </c>
      <c r="E599" s="125" t="s">
        <v>1191</v>
      </c>
      <c r="F599" s="118" t="s">
        <v>1192</v>
      </c>
      <c r="G599" s="126" t="str">
        <f t="shared" ref="G599:G601" si="60">CONCATENATE("AR-",F599,"-",H599)</f>
        <v>AR-VC3-3</v>
      </c>
      <c r="H599" s="253" t="s">
        <v>346</v>
      </c>
      <c r="I599" s="76">
        <v>1</v>
      </c>
      <c r="J599" s="299" t="s">
        <v>286</v>
      </c>
      <c r="K599" s="299"/>
      <c r="L599" s="84"/>
      <c r="M599" s="76"/>
      <c r="Q599" s="84"/>
    </row>
    <row r="600" spans="1:17" s="83" customFormat="1" ht="13.5" hidden="1" outlineLevel="1">
      <c r="A600" s="264" t="s">
        <v>1189</v>
      </c>
      <c r="B600" s="119" t="s">
        <v>272</v>
      </c>
      <c r="C600" s="266" t="s">
        <v>1252</v>
      </c>
      <c r="D600" s="124" t="s">
        <v>1253</v>
      </c>
      <c r="E600" s="125" t="s">
        <v>1199</v>
      </c>
      <c r="F600" s="118" t="s">
        <v>1192</v>
      </c>
      <c r="G600" s="126" t="str">
        <f t="shared" si="60"/>
        <v>AR-VC3-3</v>
      </c>
      <c r="H600" s="253" t="s">
        <v>346</v>
      </c>
      <c r="I600" s="76">
        <v>1</v>
      </c>
      <c r="J600" s="299" t="s">
        <v>286</v>
      </c>
      <c r="K600" s="299"/>
      <c r="L600" s="84"/>
      <c r="M600" s="76"/>
      <c r="Q600" s="84"/>
    </row>
    <row r="601" spans="1:17" s="83" customFormat="1" ht="13.5" hidden="1" outlineLevel="1">
      <c r="A601" s="264" t="s">
        <v>1189</v>
      </c>
      <c r="B601" s="119" t="s">
        <v>272</v>
      </c>
      <c r="C601" s="266" t="s">
        <v>1254</v>
      </c>
      <c r="D601" s="124" t="s">
        <v>1255</v>
      </c>
      <c r="E601" s="125" t="s">
        <v>1199</v>
      </c>
      <c r="F601" s="118" t="s">
        <v>1192</v>
      </c>
      <c r="G601" s="126" t="str">
        <f t="shared" si="60"/>
        <v>AR-VC3-3</v>
      </c>
      <c r="H601" s="253" t="s">
        <v>346</v>
      </c>
      <c r="I601" s="76">
        <v>1</v>
      </c>
      <c r="J601" s="299" t="s">
        <v>286</v>
      </c>
      <c r="K601" s="299"/>
      <c r="L601" s="84"/>
      <c r="M601" s="76"/>
      <c r="Q601" s="84"/>
    </row>
    <row r="602" spans="1:17" s="83" customFormat="1" ht="13.5" hidden="1" outlineLevel="1">
      <c r="A602" s="264" t="s">
        <v>1189</v>
      </c>
      <c r="B602" s="119" t="s">
        <v>272</v>
      </c>
      <c r="C602" s="266" t="s">
        <v>1256</v>
      </c>
      <c r="D602" s="124" t="s">
        <v>1257</v>
      </c>
      <c r="E602" s="125" t="s">
        <v>1199</v>
      </c>
      <c r="F602" s="118" t="s">
        <v>1192</v>
      </c>
      <c r="G602" s="126" t="str">
        <f t="shared" si="58"/>
        <v>AR-VC3-3</v>
      </c>
      <c r="H602" s="253" t="s">
        <v>346</v>
      </c>
      <c r="I602" s="76">
        <v>1</v>
      </c>
      <c r="J602" s="299" t="s">
        <v>286</v>
      </c>
      <c r="K602" s="299"/>
      <c r="L602" s="84"/>
      <c r="M602" s="76"/>
      <c r="Q602" s="84"/>
    </row>
    <row r="603" spans="1:17" s="83" customFormat="1" ht="13.5" hidden="1" outlineLevel="1">
      <c r="A603" s="264" t="s">
        <v>1189</v>
      </c>
      <c r="B603" s="119" t="s">
        <v>272</v>
      </c>
      <c r="C603" s="266" t="s">
        <v>1258</v>
      </c>
      <c r="D603" s="124" t="s">
        <v>1259</v>
      </c>
      <c r="E603" s="125" t="s">
        <v>1199</v>
      </c>
      <c r="F603" s="118" t="s">
        <v>1192</v>
      </c>
      <c r="G603" s="126" t="str">
        <f t="shared" si="58"/>
        <v>AR-VC3-3</v>
      </c>
      <c r="H603" s="253" t="s">
        <v>346</v>
      </c>
      <c r="I603" s="76">
        <v>1</v>
      </c>
      <c r="J603" s="299" t="s">
        <v>286</v>
      </c>
      <c r="K603" s="299"/>
      <c r="L603" s="84"/>
      <c r="M603" s="76"/>
      <c r="Q603" s="84"/>
    </row>
    <row r="604" spans="1:17" s="83" customFormat="1" ht="13.5" hidden="1" outlineLevel="1">
      <c r="A604" s="264" t="s">
        <v>1189</v>
      </c>
      <c r="B604" s="119" t="s">
        <v>272</v>
      </c>
      <c r="C604" s="266" t="s">
        <v>1260</v>
      </c>
      <c r="D604" s="124" t="s">
        <v>1261</v>
      </c>
      <c r="E604" s="125" t="s">
        <v>1199</v>
      </c>
      <c r="F604" s="118" t="s">
        <v>1192</v>
      </c>
      <c r="G604" s="126" t="str">
        <f t="shared" si="58"/>
        <v>AR-VC3-3</v>
      </c>
      <c r="H604" s="253" t="s">
        <v>346</v>
      </c>
      <c r="I604" s="76">
        <v>1</v>
      </c>
      <c r="J604" s="299" t="s">
        <v>286</v>
      </c>
      <c r="K604" s="299"/>
      <c r="L604" s="84"/>
      <c r="M604" s="76"/>
      <c r="Q604" s="84"/>
    </row>
    <row r="605" spans="1:17" s="83" customFormat="1" ht="13.5" hidden="1" outlineLevel="1">
      <c r="A605" s="264" t="s">
        <v>1189</v>
      </c>
      <c r="B605" s="119" t="s">
        <v>272</v>
      </c>
      <c r="C605" s="266" t="s">
        <v>1262</v>
      </c>
      <c r="D605" s="124" t="s">
        <v>1263</v>
      </c>
      <c r="E605" s="125" t="s">
        <v>1191</v>
      </c>
      <c r="F605" s="118" t="s">
        <v>1192</v>
      </c>
      <c r="G605" s="126" t="str">
        <f t="shared" si="58"/>
        <v>AR-VC3-3</v>
      </c>
      <c r="H605" s="253" t="s">
        <v>346</v>
      </c>
      <c r="I605" s="76">
        <v>1</v>
      </c>
      <c r="J605" s="299" t="s">
        <v>286</v>
      </c>
      <c r="K605" s="299"/>
      <c r="L605" s="84"/>
      <c r="M605" s="76"/>
      <c r="Q605" s="84"/>
    </row>
    <row r="606" spans="1:17" s="83" customFormat="1" ht="13.5" hidden="1" outlineLevel="1">
      <c r="A606" s="264" t="s">
        <v>1189</v>
      </c>
      <c r="B606" s="119" t="s">
        <v>272</v>
      </c>
      <c r="C606" s="266" t="s">
        <v>1264</v>
      </c>
      <c r="D606" s="124" t="s">
        <v>1265</v>
      </c>
      <c r="E606" s="125" t="s">
        <v>1191</v>
      </c>
      <c r="F606" s="118" t="s">
        <v>1192</v>
      </c>
      <c r="G606" s="126" t="str">
        <f t="shared" si="58"/>
        <v>AR-VC3-3</v>
      </c>
      <c r="H606" s="253" t="s">
        <v>346</v>
      </c>
      <c r="I606" s="76">
        <v>1</v>
      </c>
      <c r="J606" s="299" t="s">
        <v>286</v>
      </c>
      <c r="K606" s="299"/>
      <c r="L606" s="84"/>
      <c r="M606" s="76"/>
      <c r="Q606" s="84"/>
    </row>
    <row r="607" spans="1:17" s="83" customFormat="1" ht="13.5" hidden="1" outlineLevel="1">
      <c r="A607" s="264" t="s">
        <v>1189</v>
      </c>
      <c r="B607" s="119" t="s">
        <v>272</v>
      </c>
      <c r="C607" s="266" t="s">
        <v>1266</v>
      </c>
      <c r="D607" s="124" t="s">
        <v>1267</v>
      </c>
      <c r="E607" s="125" t="s">
        <v>1191</v>
      </c>
      <c r="F607" s="118" t="s">
        <v>1192</v>
      </c>
      <c r="G607" s="126" t="str">
        <f t="shared" si="58"/>
        <v>AR-VC3-3</v>
      </c>
      <c r="H607" s="253" t="s">
        <v>346</v>
      </c>
      <c r="I607" s="76">
        <v>1</v>
      </c>
      <c r="J607" s="299" t="s">
        <v>286</v>
      </c>
      <c r="K607" s="299"/>
      <c r="L607" s="84"/>
      <c r="M607" s="76"/>
      <c r="Q607" s="84"/>
    </row>
    <row r="608" spans="1:17" s="83" customFormat="1" ht="13.5" hidden="1" outlineLevel="1">
      <c r="A608" s="264" t="s">
        <v>1189</v>
      </c>
      <c r="B608" s="119" t="s">
        <v>272</v>
      </c>
      <c r="C608" s="266" t="s">
        <v>1268</v>
      </c>
      <c r="D608" s="124" t="s">
        <v>1267</v>
      </c>
      <c r="E608" s="125" t="s">
        <v>1191</v>
      </c>
      <c r="F608" s="118" t="s">
        <v>1192</v>
      </c>
      <c r="G608" s="126" t="str">
        <f t="shared" si="58"/>
        <v>AR-VC3-3</v>
      </c>
      <c r="H608" s="253" t="s">
        <v>346</v>
      </c>
      <c r="I608" s="76">
        <v>1</v>
      </c>
      <c r="J608" s="299" t="s">
        <v>286</v>
      </c>
      <c r="K608" s="299"/>
      <c r="L608" s="84"/>
      <c r="M608" s="76"/>
      <c r="Q608" s="84"/>
    </row>
    <row r="609" spans="1:21" s="83" customFormat="1" ht="13.5" hidden="1" outlineLevel="1">
      <c r="A609" s="264" t="s">
        <v>1189</v>
      </c>
      <c r="B609" s="119" t="s">
        <v>272</v>
      </c>
      <c r="C609" s="266" t="s">
        <v>1269</v>
      </c>
      <c r="D609" s="124" t="s">
        <v>1267</v>
      </c>
      <c r="E609" s="125" t="s">
        <v>1191</v>
      </c>
      <c r="F609" s="118" t="s">
        <v>1192</v>
      </c>
      <c r="G609" s="126" t="str">
        <f t="shared" si="58"/>
        <v>AR-VC3-3</v>
      </c>
      <c r="H609" s="253" t="s">
        <v>346</v>
      </c>
      <c r="I609" s="76">
        <v>1</v>
      </c>
      <c r="J609" s="299" t="s">
        <v>286</v>
      </c>
      <c r="K609" s="299"/>
      <c r="L609" s="84"/>
      <c r="M609" s="76"/>
      <c r="Q609" s="84"/>
    </row>
    <row r="610" spans="1:21" s="83" customFormat="1" ht="13.5" hidden="1" outlineLevel="1">
      <c r="A610" s="264" t="s">
        <v>1189</v>
      </c>
      <c r="B610" s="119" t="s">
        <v>272</v>
      </c>
      <c r="C610" s="266" t="s">
        <v>1270</v>
      </c>
      <c r="D610" s="124" t="s">
        <v>1267</v>
      </c>
      <c r="E610" s="125" t="s">
        <v>1199</v>
      </c>
      <c r="F610" s="118" t="s">
        <v>1192</v>
      </c>
      <c r="G610" s="126" t="str">
        <f t="shared" ref="G610" si="61">CONCATENATE("AR-",F610,"-",H610)</f>
        <v>AR-VC3-3</v>
      </c>
      <c r="H610" s="253" t="s">
        <v>346</v>
      </c>
      <c r="I610" s="76">
        <v>1</v>
      </c>
      <c r="J610" s="299" t="s">
        <v>286</v>
      </c>
      <c r="K610" s="299"/>
      <c r="L610" s="84"/>
      <c r="M610" s="76"/>
      <c r="Q610" s="84"/>
    </row>
    <row r="611" spans="1:21" s="83" customFormat="1" ht="3" hidden="1" customHeight="1">
      <c r="A611" s="264"/>
      <c r="B611" s="119"/>
      <c r="C611" s="266"/>
      <c r="D611" s="124"/>
      <c r="E611" s="125"/>
      <c r="F611" s="118"/>
      <c r="G611" s="126"/>
      <c r="H611" s="253"/>
      <c r="I611" s="76"/>
      <c r="J611" s="299"/>
      <c r="K611" s="299"/>
      <c r="L611" s="84"/>
      <c r="M611" s="76"/>
      <c r="N611" s="76"/>
      <c r="O611" s="76"/>
      <c r="P611" s="76"/>
      <c r="Q611" s="84"/>
      <c r="R611" s="76"/>
      <c r="S611" s="76"/>
      <c r="T611" s="76"/>
      <c r="U611" s="76"/>
    </row>
    <row r="612" spans="1:21" s="83" customFormat="1" ht="13.5" hidden="1" collapsed="1">
      <c r="A612" s="72" t="s">
        <v>1271</v>
      </c>
      <c r="B612" s="85"/>
      <c r="C612" s="269"/>
      <c r="D612" s="85" t="s">
        <v>299</v>
      </c>
      <c r="E612" s="390"/>
      <c r="F612" s="73"/>
      <c r="G612" s="73"/>
      <c r="H612" s="74"/>
      <c r="I612" s="76"/>
      <c r="J612" s="299"/>
      <c r="K612" s="299"/>
      <c r="L612" s="75"/>
      <c r="M612" s="75"/>
      <c r="N612" s="75"/>
      <c r="O612" s="75"/>
      <c r="P612" s="75"/>
      <c r="Q612" s="75"/>
      <c r="R612" s="75"/>
      <c r="S612" s="75"/>
      <c r="T612" s="75"/>
      <c r="U612" s="75"/>
    </row>
    <row r="613" spans="1:21" s="91" customFormat="1" ht="3" hidden="1" customHeight="1" outlineLevel="1">
      <c r="A613" s="72"/>
      <c r="B613" s="119"/>
      <c r="C613" s="266"/>
      <c r="D613" s="124" t="s">
        <v>299</v>
      </c>
      <c r="E613" s="125"/>
      <c r="F613" s="118"/>
      <c r="G613" s="126"/>
      <c r="H613" s="253"/>
      <c r="I613" s="89"/>
      <c r="J613" s="304"/>
      <c r="K613" s="304"/>
      <c r="L613" s="90"/>
      <c r="M613" s="76"/>
      <c r="N613" s="76"/>
      <c r="O613" s="76"/>
      <c r="P613" s="76"/>
      <c r="Q613" s="90"/>
      <c r="R613" s="76"/>
      <c r="S613" s="76"/>
      <c r="T613" s="76"/>
      <c r="U613" s="76"/>
    </row>
    <row r="614" spans="1:21" s="91" customFormat="1" ht="14.25" hidden="1" customHeight="1" outlineLevel="1">
      <c r="A614" s="268"/>
      <c r="B614" s="135" t="s">
        <v>1272</v>
      </c>
      <c r="C614" s="266"/>
      <c r="D614" s="124"/>
      <c r="E614" s="125"/>
      <c r="F614" s="118"/>
      <c r="G614" s="126"/>
      <c r="H614" s="253"/>
      <c r="I614" s="89"/>
      <c r="J614" s="304"/>
      <c r="K614" s="304"/>
      <c r="L614" s="90"/>
      <c r="M614" s="76"/>
      <c r="N614" s="76"/>
      <c r="O614" s="76"/>
      <c r="P614" s="76"/>
      <c r="Q614" s="90"/>
      <c r="R614" s="76"/>
      <c r="S614" s="76"/>
      <c r="T614" s="76"/>
      <c r="U614" s="76"/>
    </row>
    <row r="615" spans="1:21" s="91" customFormat="1" ht="3" hidden="1" customHeight="1" outlineLevel="2">
      <c r="A615" s="268"/>
      <c r="B615" s="119"/>
      <c r="C615" s="266"/>
      <c r="D615" s="124" t="s">
        <v>299</v>
      </c>
      <c r="E615" s="125"/>
      <c r="F615" s="118"/>
      <c r="G615" s="126"/>
      <c r="H615" s="253"/>
      <c r="I615" s="89"/>
      <c r="J615" s="304"/>
      <c r="K615" s="304"/>
      <c r="L615" s="90"/>
      <c r="M615" s="76"/>
      <c r="N615" s="76"/>
      <c r="O615" s="76"/>
      <c r="P615" s="76"/>
      <c r="Q615" s="90"/>
      <c r="R615" s="76"/>
      <c r="S615" s="76"/>
      <c r="T615" s="76"/>
      <c r="U615" s="76"/>
    </row>
    <row r="616" spans="1:21" s="91" customFormat="1" ht="14.25" hidden="1" customHeight="1" outlineLevel="2">
      <c r="A616" s="268"/>
      <c r="B616" s="119" t="s">
        <v>272</v>
      </c>
      <c r="C616" s="266" t="s">
        <v>1273</v>
      </c>
      <c r="D616" s="124" t="s">
        <v>1274</v>
      </c>
      <c r="E616" s="125"/>
      <c r="F616" s="118" t="s">
        <v>1275</v>
      </c>
      <c r="G616" s="126" t="str">
        <f t="shared" ref="G616:G623" si="62">CONCATENATE("AR-",F616,"-",H616)</f>
        <v>AR-C20-1</v>
      </c>
      <c r="H616" s="253">
        <v>1</v>
      </c>
      <c r="I616" s="76">
        <v>1</v>
      </c>
      <c r="J616" s="299" t="s">
        <v>286</v>
      </c>
      <c r="K616" s="299"/>
      <c r="L616" s="90"/>
      <c r="M616" s="76"/>
      <c r="N616" s="76"/>
      <c r="O616" s="76"/>
      <c r="P616" s="76"/>
      <c r="Q616" s="90"/>
      <c r="R616" s="76"/>
      <c r="S616" s="76"/>
      <c r="T616" s="76"/>
      <c r="U616" s="76"/>
    </row>
    <row r="617" spans="1:21" s="91" customFormat="1" ht="14.25" hidden="1" customHeight="1" outlineLevel="2">
      <c r="A617" s="268"/>
      <c r="B617" s="119" t="s">
        <v>272</v>
      </c>
      <c r="C617" s="266" t="s">
        <v>1276</v>
      </c>
      <c r="D617" s="124" t="s">
        <v>1277</v>
      </c>
      <c r="E617" s="125"/>
      <c r="F617" s="118" t="s">
        <v>1275</v>
      </c>
      <c r="G617" s="126" t="str">
        <f t="shared" si="62"/>
        <v>AR-C20-1</v>
      </c>
      <c r="H617" s="253">
        <v>1</v>
      </c>
      <c r="I617" s="76">
        <v>1</v>
      </c>
      <c r="J617" s="299" t="s">
        <v>286</v>
      </c>
      <c r="K617" s="299"/>
      <c r="L617" s="90"/>
      <c r="M617" s="76"/>
      <c r="N617" s="76"/>
      <c r="O617" s="76"/>
      <c r="P617" s="76"/>
      <c r="Q617" s="90"/>
      <c r="R617" s="76"/>
      <c r="S617" s="76"/>
      <c r="T617" s="76"/>
      <c r="U617" s="76"/>
    </row>
    <row r="618" spans="1:21" s="91" customFormat="1" ht="14.25" hidden="1" customHeight="1" outlineLevel="2">
      <c r="A618" s="268"/>
      <c r="B618" s="119" t="s">
        <v>272</v>
      </c>
      <c r="C618" s="266" t="s">
        <v>1278</v>
      </c>
      <c r="D618" s="124" t="s">
        <v>1279</v>
      </c>
      <c r="E618" s="125"/>
      <c r="F618" s="118" t="s">
        <v>1275</v>
      </c>
      <c r="G618" s="126" t="str">
        <f t="shared" si="62"/>
        <v>AR-C20-1</v>
      </c>
      <c r="H618" s="253">
        <v>1</v>
      </c>
      <c r="I618" s="76">
        <v>1</v>
      </c>
      <c r="J618" s="299" t="s">
        <v>286</v>
      </c>
      <c r="K618" s="299"/>
      <c r="L618" s="90"/>
      <c r="M618" s="76"/>
      <c r="N618" s="76"/>
      <c r="O618" s="76"/>
      <c r="P618" s="76"/>
      <c r="Q618" s="90"/>
      <c r="R618" s="76"/>
      <c r="S618" s="76"/>
      <c r="T618" s="76"/>
      <c r="U618" s="76"/>
    </row>
    <row r="619" spans="1:21" s="91" customFormat="1" ht="14.25" hidden="1" customHeight="1" outlineLevel="2">
      <c r="A619" s="268"/>
      <c r="B619" s="119" t="s">
        <v>272</v>
      </c>
      <c r="C619" s="266" t="s">
        <v>1280</v>
      </c>
      <c r="D619" s="124" t="s">
        <v>1281</v>
      </c>
      <c r="E619" s="125"/>
      <c r="F619" s="118" t="s">
        <v>1275</v>
      </c>
      <c r="G619" s="126" t="str">
        <f t="shared" si="62"/>
        <v>AR-C20-1</v>
      </c>
      <c r="H619" s="253">
        <v>1</v>
      </c>
      <c r="I619" s="76">
        <v>1</v>
      </c>
      <c r="J619" s="299" t="s">
        <v>286</v>
      </c>
      <c r="K619" s="299"/>
      <c r="L619" s="287"/>
      <c r="Q619" s="287"/>
    </row>
    <row r="620" spans="1:21" s="91" customFormat="1" ht="14.25" hidden="1" customHeight="1" outlineLevel="2">
      <c r="A620" s="268"/>
      <c r="B620" s="119" t="s">
        <v>272</v>
      </c>
      <c r="C620" s="266" t="s">
        <v>1282</v>
      </c>
      <c r="D620" s="124" t="s">
        <v>1283</v>
      </c>
      <c r="E620" s="125"/>
      <c r="F620" s="118" t="s">
        <v>1275</v>
      </c>
      <c r="G620" s="126" t="str">
        <f t="shared" si="62"/>
        <v>AR-C20-1</v>
      </c>
      <c r="H620" s="253">
        <v>1</v>
      </c>
      <c r="I620" s="76">
        <v>1</v>
      </c>
      <c r="J620" s="299" t="s">
        <v>286</v>
      </c>
      <c r="K620" s="299"/>
      <c r="L620" s="287"/>
      <c r="Q620" s="287"/>
    </row>
    <row r="621" spans="1:21" s="91" customFormat="1" ht="14.25" hidden="1" customHeight="1" outlineLevel="2">
      <c r="A621" s="268"/>
      <c r="B621" s="119" t="s">
        <v>272</v>
      </c>
      <c r="C621" s="266" t="s">
        <v>1284</v>
      </c>
      <c r="D621" s="124" t="s">
        <v>1285</v>
      </c>
      <c r="E621" s="125"/>
      <c r="F621" s="118" t="s">
        <v>1275</v>
      </c>
      <c r="G621" s="126" t="str">
        <f t="shared" si="62"/>
        <v>AR-C20-1</v>
      </c>
      <c r="H621" s="253">
        <v>1</v>
      </c>
      <c r="I621" s="76">
        <v>1</v>
      </c>
      <c r="J621" s="299" t="s">
        <v>286</v>
      </c>
      <c r="K621" s="299"/>
      <c r="L621" s="287"/>
      <c r="Q621" s="287"/>
    </row>
    <row r="622" spans="1:21" s="91" customFormat="1" ht="14.25" hidden="1" customHeight="1" outlineLevel="2">
      <c r="A622" s="268"/>
      <c r="B622" s="119" t="s">
        <v>272</v>
      </c>
      <c r="C622" s="266" t="s">
        <v>1286</v>
      </c>
      <c r="D622" s="124" t="s">
        <v>1287</v>
      </c>
      <c r="E622" s="125"/>
      <c r="F622" s="118" t="s">
        <v>1275</v>
      </c>
      <c r="G622" s="126" t="str">
        <f t="shared" si="62"/>
        <v>AR-C20-1</v>
      </c>
      <c r="H622" s="253">
        <v>1</v>
      </c>
      <c r="I622" s="76">
        <v>1</v>
      </c>
      <c r="J622" s="299" t="s">
        <v>286</v>
      </c>
      <c r="K622" s="299"/>
      <c r="L622" s="287"/>
      <c r="Q622" s="287"/>
    </row>
    <row r="623" spans="1:21" s="91" customFormat="1" ht="14.25" hidden="1" customHeight="1" outlineLevel="2">
      <c r="A623" s="268"/>
      <c r="B623" s="119" t="s">
        <v>272</v>
      </c>
      <c r="C623" s="266" t="s">
        <v>1288</v>
      </c>
      <c r="D623" s="124" t="s">
        <v>1289</v>
      </c>
      <c r="E623" s="125"/>
      <c r="F623" s="118" t="s">
        <v>1275</v>
      </c>
      <c r="G623" s="126" t="str">
        <f t="shared" si="62"/>
        <v>AR-C20-1</v>
      </c>
      <c r="H623" s="253">
        <v>1</v>
      </c>
      <c r="I623" s="76">
        <v>1</v>
      </c>
      <c r="J623" s="299" t="s">
        <v>286</v>
      </c>
      <c r="K623" s="299"/>
      <c r="L623" s="287"/>
      <c r="Q623" s="287"/>
    </row>
    <row r="624" spans="1:21" s="91" customFormat="1" ht="14.25" hidden="1" customHeight="1" outlineLevel="2">
      <c r="A624" s="268"/>
      <c r="B624" s="119" t="s">
        <v>272</v>
      </c>
      <c r="C624" s="266" t="s">
        <v>1290</v>
      </c>
      <c r="D624" s="124" t="s">
        <v>1291</v>
      </c>
      <c r="E624" s="125"/>
      <c r="F624" s="118" t="s">
        <v>1275</v>
      </c>
      <c r="G624" s="126" t="str">
        <f>CONCATENATE("AR-",F624,"-",H624)</f>
        <v>AR-C20-1</v>
      </c>
      <c r="H624" s="253">
        <v>1</v>
      </c>
      <c r="I624" s="76">
        <v>1</v>
      </c>
      <c r="J624" s="299" t="s">
        <v>286</v>
      </c>
      <c r="K624" s="299"/>
      <c r="L624" s="287"/>
      <c r="Q624" s="287"/>
    </row>
    <row r="625" spans="1:17" s="91" customFormat="1" ht="14.25" hidden="1" customHeight="1" outlineLevel="2">
      <c r="A625" s="268"/>
      <c r="B625" s="119" t="s">
        <v>272</v>
      </c>
      <c r="C625" s="266" t="s">
        <v>1292</v>
      </c>
      <c r="D625" s="124" t="s">
        <v>1291</v>
      </c>
      <c r="E625" s="125"/>
      <c r="F625" s="118" t="s">
        <v>1275</v>
      </c>
      <c r="G625" s="126" t="str">
        <f>CONCATENATE("AR-",F625,"-",H625)</f>
        <v>AR-C20-1</v>
      </c>
      <c r="H625" s="253">
        <v>1</v>
      </c>
      <c r="I625" s="76">
        <v>1</v>
      </c>
      <c r="J625" s="299" t="s">
        <v>286</v>
      </c>
      <c r="K625" s="299"/>
      <c r="L625" s="287"/>
      <c r="Q625" s="287"/>
    </row>
    <row r="626" spans="1:17" s="91" customFormat="1" ht="14.25" hidden="1" customHeight="1" outlineLevel="2">
      <c r="A626" s="268"/>
      <c r="B626" s="119" t="s">
        <v>272</v>
      </c>
      <c r="C626" s="266" t="s">
        <v>1293</v>
      </c>
      <c r="D626" s="124" t="s">
        <v>1294</v>
      </c>
      <c r="E626" s="125"/>
      <c r="F626" s="118" t="s">
        <v>1275</v>
      </c>
      <c r="G626" s="126" t="str">
        <f t="shared" ref="G626:G638" si="63">CONCATENATE("AR-",F626,"-",H626)</f>
        <v>AR-C20-1</v>
      </c>
      <c r="H626" s="253">
        <v>1</v>
      </c>
      <c r="I626" s="76">
        <v>1</v>
      </c>
      <c r="J626" s="299" t="s">
        <v>286</v>
      </c>
      <c r="K626" s="299"/>
      <c r="L626" s="287"/>
      <c r="Q626" s="287"/>
    </row>
    <row r="627" spans="1:17" s="91" customFormat="1" ht="14.25" hidden="1" customHeight="1" outlineLevel="2">
      <c r="A627" s="268"/>
      <c r="B627" s="119" t="s">
        <v>272</v>
      </c>
      <c r="C627" s="266" t="s">
        <v>1295</v>
      </c>
      <c r="D627" s="124" t="s">
        <v>1296</v>
      </c>
      <c r="E627" s="125"/>
      <c r="F627" s="118" t="s">
        <v>1275</v>
      </c>
      <c r="G627" s="126" t="str">
        <f t="shared" si="63"/>
        <v>AR-C20-1</v>
      </c>
      <c r="H627" s="253">
        <v>1</v>
      </c>
      <c r="I627" s="76">
        <v>1</v>
      </c>
      <c r="J627" s="299" t="s">
        <v>286</v>
      </c>
      <c r="K627" s="299"/>
      <c r="L627" s="287"/>
      <c r="Q627" s="287"/>
    </row>
    <row r="628" spans="1:17" s="91" customFormat="1" ht="14.25" hidden="1" customHeight="1" outlineLevel="2">
      <c r="A628" s="268"/>
      <c r="B628" s="119" t="s">
        <v>272</v>
      </c>
      <c r="C628" s="266" t="s">
        <v>1297</v>
      </c>
      <c r="D628" s="124" t="s">
        <v>1298</v>
      </c>
      <c r="E628" s="125"/>
      <c r="F628" s="118" t="s">
        <v>1275</v>
      </c>
      <c r="G628" s="126" t="str">
        <f t="shared" si="63"/>
        <v>AR-C20-1</v>
      </c>
      <c r="H628" s="253">
        <v>1</v>
      </c>
      <c r="I628" s="76">
        <v>1</v>
      </c>
      <c r="J628" s="299" t="s">
        <v>286</v>
      </c>
      <c r="K628" s="299"/>
      <c r="L628" s="287"/>
      <c r="Q628" s="287"/>
    </row>
    <row r="629" spans="1:17" s="91" customFormat="1" ht="14.25" hidden="1" customHeight="1" outlineLevel="2">
      <c r="A629" s="268"/>
      <c r="B629" s="119" t="s">
        <v>272</v>
      </c>
      <c r="C629" s="266" t="s">
        <v>1299</v>
      </c>
      <c r="D629" s="124" t="s">
        <v>1300</v>
      </c>
      <c r="E629" s="125"/>
      <c r="F629" s="118" t="s">
        <v>1275</v>
      </c>
      <c r="G629" s="126" t="str">
        <f t="shared" si="63"/>
        <v>AR-C20-1</v>
      </c>
      <c r="H629" s="253">
        <v>1</v>
      </c>
      <c r="I629" s="76">
        <v>1</v>
      </c>
      <c r="J629" s="299" t="s">
        <v>286</v>
      </c>
      <c r="K629" s="299"/>
      <c r="L629" s="287"/>
      <c r="Q629" s="287"/>
    </row>
    <row r="630" spans="1:17" s="91" customFormat="1" ht="14.25" hidden="1" customHeight="1" outlineLevel="2">
      <c r="A630" s="268"/>
      <c r="B630" s="119" t="s">
        <v>272</v>
      </c>
      <c r="C630" s="266" t="s">
        <v>1301</v>
      </c>
      <c r="D630" s="124" t="s">
        <v>1302</v>
      </c>
      <c r="E630" s="125"/>
      <c r="F630" s="118" t="s">
        <v>1275</v>
      </c>
      <c r="G630" s="126" t="str">
        <f t="shared" si="63"/>
        <v>AR-C20-1</v>
      </c>
      <c r="H630" s="253">
        <v>1</v>
      </c>
      <c r="I630" s="76">
        <v>1</v>
      </c>
      <c r="J630" s="299" t="s">
        <v>286</v>
      </c>
      <c r="K630" s="299"/>
      <c r="L630" s="287"/>
      <c r="Q630" s="287"/>
    </row>
    <row r="631" spans="1:17" s="91" customFormat="1" ht="14.25" hidden="1" customHeight="1" outlineLevel="2">
      <c r="A631" s="268"/>
      <c r="B631" s="119" t="s">
        <v>272</v>
      </c>
      <c r="C631" s="266" t="s">
        <v>1303</v>
      </c>
      <c r="D631" s="124" t="s">
        <v>1304</v>
      </c>
      <c r="E631" s="125"/>
      <c r="F631" s="118" t="s">
        <v>1275</v>
      </c>
      <c r="G631" s="126" t="str">
        <f t="shared" si="63"/>
        <v>AR-C20-1</v>
      </c>
      <c r="H631" s="253">
        <v>1</v>
      </c>
      <c r="I631" s="76">
        <v>1</v>
      </c>
      <c r="J631" s="299" t="s">
        <v>286</v>
      </c>
      <c r="K631" s="299"/>
      <c r="L631" s="287"/>
      <c r="Q631" s="287"/>
    </row>
    <row r="632" spans="1:17" s="91" customFormat="1" ht="14.25" hidden="1" customHeight="1" outlineLevel="2">
      <c r="A632" s="268"/>
      <c r="B632" s="119" t="s">
        <v>272</v>
      </c>
      <c r="C632" s="266" t="s">
        <v>1305</v>
      </c>
      <c r="D632" s="124" t="s">
        <v>1306</v>
      </c>
      <c r="E632" s="125"/>
      <c r="F632" s="118" t="s">
        <v>1275</v>
      </c>
      <c r="G632" s="126" t="str">
        <f t="shared" si="63"/>
        <v>AR-C20-1</v>
      </c>
      <c r="H632" s="253">
        <v>1</v>
      </c>
      <c r="I632" s="76">
        <v>1</v>
      </c>
      <c r="J632" s="299" t="s">
        <v>286</v>
      </c>
      <c r="K632" s="299"/>
      <c r="L632" s="287"/>
      <c r="Q632" s="287"/>
    </row>
    <row r="633" spans="1:17" s="91" customFormat="1" ht="14.25" hidden="1" customHeight="1" outlineLevel="2">
      <c r="A633" s="268"/>
      <c r="B633" s="119" t="s">
        <v>272</v>
      </c>
      <c r="C633" s="266" t="s">
        <v>1307</v>
      </c>
      <c r="D633" s="124" t="s">
        <v>1308</v>
      </c>
      <c r="E633" s="125"/>
      <c r="F633" s="118" t="s">
        <v>1275</v>
      </c>
      <c r="G633" s="126" t="str">
        <f t="shared" si="63"/>
        <v>AR-C20-1</v>
      </c>
      <c r="H633" s="253">
        <v>1</v>
      </c>
      <c r="I633" s="76">
        <v>1</v>
      </c>
      <c r="J633" s="299" t="s">
        <v>286</v>
      </c>
      <c r="K633" s="299"/>
      <c r="L633" s="287"/>
      <c r="Q633" s="287"/>
    </row>
    <row r="634" spans="1:17" s="91" customFormat="1" ht="14.25" hidden="1" customHeight="1" outlineLevel="2">
      <c r="A634" s="268"/>
      <c r="B634" s="119" t="s">
        <v>272</v>
      </c>
      <c r="C634" s="266" t="s">
        <v>1309</v>
      </c>
      <c r="D634" s="124" t="s">
        <v>1310</v>
      </c>
      <c r="E634" s="125"/>
      <c r="F634" s="118" t="s">
        <v>1275</v>
      </c>
      <c r="G634" s="126" t="str">
        <f t="shared" si="63"/>
        <v>AR-C20-1</v>
      </c>
      <c r="H634" s="253">
        <v>1</v>
      </c>
      <c r="I634" s="76">
        <v>1</v>
      </c>
      <c r="J634" s="299" t="s">
        <v>286</v>
      </c>
      <c r="K634" s="299"/>
      <c r="L634" s="287"/>
      <c r="Q634" s="287"/>
    </row>
    <row r="635" spans="1:17" s="91" customFormat="1" ht="14.25" hidden="1" customHeight="1" outlineLevel="2">
      <c r="A635" s="268"/>
      <c r="B635" s="119" t="s">
        <v>272</v>
      </c>
      <c r="C635" s="266" t="s">
        <v>1311</v>
      </c>
      <c r="D635" s="124" t="s">
        <v>1312</v>
      </c>
      <c r="E635" s="125"/>
      <c r="F635" s="118" t="s">
        <v>1275</v>
      </c>
      <c r="G635" s="126" t="str">
        <f t="shared" si="63"/>
        <v>AR-C20-1</v>
      </c>
      <c r="H635" s="253">
        <v>1</v>
      </c>
      <c r="I635" s="76">
        <v>1</v>
      </c>
      <c r="J635" s="299" t="s">
        <v>286</v>
      </c>
      <c r="K635" s="299"/>
      <c r="L635" s="287"/>
      <c r="Q635" s="287"/>
    </row>
    <row r="636" spans="1:17" s="91" customFormat="1" ht="14.25" hidden="1" customHeight="1" outlineLevel="2">
      <c r="A636" s="268"/>
      <c r="B636" s="119" t="s">
        <v>272</v>
      </c>
      <c r="C636" s="266" t="s">
        <v>1313</v>
      </c>
      <c r="D636" s="124" t="s">
        <v>1314</v>
      </c>
      <c r="E636" s="125"/>
      <c r="F636" s="118" t="s">
        <v>1275</v>
      </c>
      <c r="G636" s="126" t="str">
        <f t="shared" si="63"/>
        <v>AR-C20-1</v>
      </c>
      <c r="H636" s="253">
        <v>1</v>
      </c>
      <c r="I636" s="76">
        <v>1</v>
      </c>
      <c r="J636" s="299" t="s">
        <v>286</v>
      </c>
      <c r="K636" s="299"/>
      <c r="L636" s="287"/>
      <c r="Q636" s="287"/>
    </row>
    <row r="637" spans="1:17" s="91" customFormat="1" ht="14.25" hidden="1" customHeight="1" outlineLevel="2">
      <c r="A637" s="268"/>
      <c r="B637" s="119" t="s">
        <v>272</v>
      </c>
      <c r="C637" s="266" t="s">
        <v>1315</v>
      </c>
      <c r="D637" s="124" t="s">
        <v>1316</v>
      </c>
      <c r="E637" s="125"/>
      <c r="F637" s="118" t="s">
        <v>1275</v>
      </c>
      <c r="G637" s="126" t="str">
        <f t="shared" si="63"/>
        <v>AR-C20-1</v>
      </c>
      <c r="H637" s="253">
        <v>1</v>
      </c>
      <c r="I637" s="76">
        <v>1</v>
      </c>
      <c r="J637" s="299" t="s">
        <v>286</v>
      </c>
      <c r="K637" s="299"/>
      <c r="L637" s="287"/>
      <c r="Q637" s="287"/>
    </row>
    <row r="638" spans="1:17" s="91" customFormat="1" ht="14.25" hidden="1" customHeight="1" outlineLevel="2">
      <c r="A638" s="268"/>
      <c r="B638" s="119" t="s">
        <v>272</v>
      </c>
      <c r="C638" s="266" t="s">
        <v>1317</v>
      </c>
      <c r="D638" s="124" t="s">
        <v>1318</v>
      </c>
      <c r="E638" s="125"/>
      <c r="F638" s="118" t="s">
        <v>1275</v>
      </c>
      <c r="G638" s="126" t="str">
        <f t="shared" si="63"/>
        <v>AR-C20-1</v>
      </c>
      <c r="H638" s="253">
        <v>1</v>
      </c>
      <c r="I638" s="76">
        <v>1</v>
      </c>
      <c r="J638" s="299" t="s">
        <v>286</v>
      </c>
      <c r="K638" s="299"/>
      <c r="L638" s="287"/>
      <c r="Q638" s="287"/>
    </row>
    <row r="639" spans="1:17" s="91" customFormat="1" ht="14.25" hidden="1" customHeight="1" outlineLevel="2">
      <c r="A639" s="268"/>
      <c r="B639" s="119" t="s">
        <v>272</v>
      </c>
      <c r="C639" s="266" t="s">
        <v>1319</v>
      </c>
      <c r="D639" s="124" t="s">
        <v>1320</v>
      </c>
      <c r="E639" s="125"/>
      <c r="F639" s="118" t="s">
        <v>1275</v>
      </c>
      <c r="G639" s="126" t="str">
        <f>CONCATENATE("AR-",F639,"-",H639)</f>
        <v>AR-C20-1</v>
      </c>
      <c r="H639" s="253">
        <v>1</v>
      </c>
      <c r="I639" s="76">
        <v>1</v>
      </c>
      <c r="J639" s="299" t="s">
        <v>286</v>
      </c>
      <c r="K639" s="299"/>
      <c r="L639" s="287"/>
      <c r="Q639" s="287"/>
    </row>
    <row r="640" spans="1:17" s="91" customFormat="1" ht="14.25" hidden="1" customHeight="1" outlineLevel="2">
      <c r="A640" s="268"/>
      <c r="B640" s="119" t="s">
        <v>272</v>
      </c>
      <c r="C640" s="266" t="s">
        <v>1321</v>
      </c>
      <c r="D640" s="124" t="s">
        <v>1322</v>
      </c>
      <c r="E640" s="125"/>
      <c r="F640" s="118" t="s">
        <v>1275</v>
      </c>
      <c r="G640" s="126" t="str">
        <f>CONCATENATE("AR-",F640,"-",H640)</f>
        <v>AR-C20-1</v>
      </c>
      <c r="H640" s="253">
        <v>1</v>
      </c>
      <c r="I640" s="76">
        <v>1</v>
      </c>
      <c r="J640" s="299" t="s">
        <v>286</v>
      </c>
      <c r="K640" s="299"/>
      <c r="L640" s="287"/>
      <c r="Q640" s="287"/>
    </row>
    <row r="641" spans="1:17" s="91" customFormat="1" ht="14.25" hidden="1" customHeight="1" outlineLevel="2">
      <c r="A641" s="268"/>
      <c r="B641" s="119" t="s">
        <v>272</v>
      </c>
      <c r="C641" s="266" t="s">
        <v>1323</v>
      </c>
      <c r="D641" s="124" t="s">
        <v>1324</v>
      </c>
      <c r="E641" s="125"/>
      <c r="F641" s="118" t="s">
        <v>1275</v>
      </c>
      <c r="G641" s="126" t="str">
        <f>CONCATENATE("AR-",F641,"-",H641)</f>
        <v>AR-C20-1</v>
      </c>
      <c r="H641" s="253">
        <v>1</v>
      </c>
      <c r="I641" s="76">
        <v>1</v>
      </c>
      <c r="J641" s="299" t="s">
        <v>286</v>
      </c>
      <c r="K641" s="299"/>
      <c r="L641" s="287"/>
      <c r="Q641" s="287"/>
    </row>
    <row r="642" spans="1:17" s="91" customFormat="1" ht="14.25" hidden="1" customHeight="1" outlineLevel="2">
      <c r="A642" s="268"/>
      <c r="B642" s="119" t="s">
        <v>272</v>
      </c>
      <c r="C642" s="266" t="s">
        <v>1325</v>
      </c>
      <c r="D642" s="124" t="s">
        <v>1326</v>
      </c>
      <c r="E642" s="125"/>
      <c r="F642" s="118" t="s">
        <v>1275</v>
      </c>
      <c r="G642" s="126" t="str">
        <f>CONCATENATE("AR-",F642,"-",H642)</f>
        <v>AR-C20-1</v>
      </c>
      <c r="H642" s="253">
        <v>1</v>
      </c>
      <c r="I642" s="76">
        <v>1</v>
      </c>
      <c r="J642" s="299" t="s">
        <v>286</v>
      </c>
      <c r="K642" s="299"/>
      <c r="L642" s="287"/>
      <c r="Q642" s="287"/>
    </row>
    <row r="643" spans="1:17" s="91" customFormat="1" ht="14.25" hidden="1" customHeight="1" outlineLevel="2">
      <c r="A643" s="268"/>
      <c r="B643" s="119" t="s">
        <v>272</v>
      </c>
      <c r="C643" s="266" t="s">
        <v>1327</v>
      </c>
      <c r="D643" s="124" t="s">
        <v>1328</v>
      </c>
      <c r="E643" s="125"/>
      <c r="F643" s="118" t="s">
        <v>1275</v>
      </c>
      <c r="G643" s="126" t="str">
        <f t="shared" ref="G643:G648" si="64">CONCATENATE("AR-",F643,"-",H643)</f>
        <v>AR-C20-1</v>
      </c>
      <c r="H643" s="253">
        <v>1</v>
      </c>
      <c r="I643" s="76">
        <v>1</v>
      </c>
      <c r="J643" s="299" t="s">
        <v>286</v>
      </c>
      <c r="K643" s="299"/>
      <c r="L643" s="287"/>
      <c r="Q643" s="287"/>
    </row>
    <row r="644" spans="1:17" s="91" customFormat="1" ht="14.25" hidden="1" customHeight="1" outlineLevel="2">
      <c r="A644" s="268"/>
      <c r="B644" s="119" t="s">
        <v>272</v>
      </c>
      <c r="C644" s="266" t="s">
        <v>1329</v>
      </c>
      <c r="D644" s="124" t="s">
        <v>1330</v>
      </c>
      <c r="E644" s="125"/>
      <c r="F644" s="118" t="s">
        <v>1275</v>
      </c>
      <c r="G644" s="126" t="str">
        <f t="shared" si="64"/>
        <v>AR-C20-1</v>
      </c>
      <c r="H644" s="253">
        <v>1</v>
      </c>
      <c r="I644" s="76">
        <v>1</v>
      </c>
      <c r="J644" s="299" t="s">
        <v>286</v>
      </c>
      <c r="K644" s="299"/>
      <c r="L644" s="287"/>
      <c r="Q644" s="287"/>
    </row>
    <row r="645" spans="1:17" s="91" customFormat="1" ht="14.25" hidden="1" customHeight="1" outlineLevel="2">
      <c r="A645" s="268"/>
      <c r="B645" s="119" t="s">
        <v>272</v>
      </c>
      <c r="C645" s="266" t="s">
        <v>1331</v>
      </c>
      <c r="D645" s="124" t="s">
        <v>1332</v>
      </c>
      <c r="E645" s="125"/>
      <c r="F645" s="118" t="s">
        <v>1275</v>
      </c>
      <c r="G645" s="126" t="str">
        <f t="shared" si="64"/>
        <v>AR-C20-1</v>
      </c>
      <c r="H645" s="253">
        <v>1</v>
      </c>
      <c r="I645" s="76">
        <v>1</v>
      </c>
      <c r="J645" s="299" t="s">
        <v>286</v>
      </c>
      <c r="K645" s="299"/>
      <c r="L645" s="287"/>
      <c r="Q645" s="287"/>
    </row>
    <row r="646" spans="1:17" s="91" customFormat="1" ht="14.25" hidden="1" customHeight="1" outlineLevel="2">
      <c r="A646" s="268"/>
      <c r="B646" s="119" t="s">
        <v>272</v>
      </c>
      <c r="C646" s="266" t="s">
        <v>1333</v>
      </c>
      <c r="D646" s="124" t="s">
        <v>1334</v>
      </c>
      <c r="E646" s="125"/>
      <c r="F646" s="118" t="s">
        <v>1275</v>
      </c>
      <c r="G646" s="126" t="str">
        <f t="shared" si="64"/>
        <v>AR-C20-1</v>
      </c>
      <c r="H646" s="253">
        <v>1</v>
      </c>
      <c r="I646" s="76">
        <v>1</v>
      </c>
      <c r="J646" s="299" t="s">
        <v>286</v>
      </c>
      <c r="K646" s="299"/>
      <c r="L646" s="287"/>
      <c r="Q646" s="287"/>
    </row>
    <row r="647" spans="1:17" s="91" customFormat="1" ht="14.25" hidden="1" customHeight="1" outlineLevel="2">
      <c r="A647" s="268"/>
      <c r="B647" s="119" t="s">
        <v>272</v>
      </c>
      <c r="C647" s="266" t="s">
        <v>1335</v>
      </c>
      <c r="D647" s="124" t="s">
        <v>1336</v>
      </c>
      <c r="E647" s="125"/>
      <c r="F647" s="118" t="s">
        <v>1275</v>
      </c>
      <c r="G647" s="126" t="str">
        <f t="shared" si="64"/>
        <v>AR-C20-1</v>
      </c>
      <c r="H647" s="253">
        <v>1</v>
      </c>
      <c r="I647" s="76">
        <v>1</v>
      </c>
      <c r="J647" s="299" t="s">
        <v>286</v>
      </c>
      <c r="K647" s="299"/>
      <c r="L647" s="287"/>
      <c r="Q647" s="287"/>
    </row>
    <row r="648" spans="1:17" s="91" customFormat="1" ht="14.25" hidden="1" customHeight="1" outlineLevel="2">
      <c r="A648" s="268"/>
      <c r="B648" s="119" t="s">
        <v>272</v>
      </c>
      <c r="C648" s="266" t="s">
        <v>1337</v>
      </c>
      <c r="D648" s="124" t="s">
        <v>1338</v>
      </c>
      <c r="E648" s="125"/>
      <c r="F648" s="118" t="s">
        <v>1275</v>
      </c>
      <c r="G648" s="126" t="str">
        <f t="shared" si="64"/>
        <v>AR-C20-1</v>
      </c>
      <c r="H648" s="253">
        <v>1</v>
      </c>
      <c r="I648" s="76">
        <v>1</v>
      </c>
      <c r="J648" s="299" t="s">
        <v>286</v>
      </c>
      <c r="K648" s="299"/>
      <c r="L648" s="287"/>
      <c r="Q648" s="287"/>
    </row>
    <row r="649" spans="1:17" s="91" customFormat="1" ht="14.25" hidden="1" customHeight="1" outlineLevel="2">
      <c r="A649" s="265"/>
      <c r="B649" s="119" t="s">
        <v>272</v>
      </c>
      <c r="C649" s="266">
        <v>7410</v>
      </c>
      <c r="D649" s="124" t="s">
        <v>1339</v>
      </c>
      <c r="E649" s="125"/>
      <c r="F649" s="118" t="s">
        <v>1275</v>
      </c>
      <c r="G649" s="126" t="str">
        <f t="shared" ref="G649:G662" si="65">CONCATENATE("AR-",F649,"-",H649)</f>
        <v>AR-C20-1</v>
      </c>
      <c r="H649" s="253">
        <v>1</v>
      </c>
      <c r="I649" s="76">
        <v>1</v>
      </c>
      <c r="J649" s="299" t="s">
        <v>286</v>
      </c>
      <c r="K649" s="299"/>
      <c r="L649" s="287"/>
      <c r="Q649" s="287"/>
    </row>
    <row r="650" spans="1:17" s="91" customFormat="1" ht="14.25" hidden="1" customHeight="1" outlineLevel="2">
      <c r="A650" s="265"/>
      <c r="B650" s="119" t="s">
        <v>272</v>
      </c>
      <c r="C650" s="266">
        <v>7420</v>
      </c>
      <c r="D650" s="124" t="s">
        <v>1340</v>
      </c>
      <c r="E650" s="125"/>
      <c r="F650" s="118" t="s">
        <v>1275</v>
      </c>
      <c r="G650" s="126" t="str">
        <f t="shared" si="65"/>
        <v>AR-C20-1</v>
      </c>
      <c r="H650" s="253">
        <v>1</v>
      </c>
      <c r="I650" s="76">
        <v>1</v>
      </c>
      <c r="J650" s="299" t="s">
        <v>286</v>
      </c>
      <c r="K650" s="299"/>
      <c r="L650" s="287"/>
      <c r="Q650" s="287"/>
    </row>
    <row r="651" spans="1:17" s="91" customFormat="1" ht="14.25" hidden="1" customHeight="1" outlineLevel="2">
      <c r="A651" s="265"/>
      <c r="B651" s="119" t="s">
        <v>272</v>
      </c>
      <c r="C651" s="266">
        <v>7430</v>
      </c>
      <c r="D651" s="124" t="s">
        <v>1341</v>
      </c>
      <c r="E651" s="125"/>
      <c r="F651" s="118" t="s">
        <v>1275</v>
      </c>
      <c r="G651" s="126" t="str">
        <f t="shared" si="65"/>
        <v>AR-C20-1</v>
      </c>
      <c r="H651" s="253">
        <v>1</v>
      </c>
      <c r="I651" s="76">
        <v>1</v>
      </c>
      <c r="J651" s="299" t="s">
        <v>286</v>
      </c>
      <c r="K651" s="299"/>
      <c r="L651" s="287"/>
      <c r="Q651" s="287"/>
    </row>
    <row r="652" spans="1:17" s="91" customFormat="1" ht="14.25" hidden="1" customHeight="1" outlineLevel="2">
      <c r="A652" s="265"/>
      <c r="B652" s="119" t="s">
        <v>272</v>
      </c>
      <c r="C652" s="266">
        <v>7440</v>
      </c>
      <c r="D652" s="124" t="s">
        <v>1342</v>
      </c>
      <c r="E652" s="125"/>
      <c r="F652" s="118" t="s">
        <v>1275</v>
      </c>
      <c r="G652" s="126" t="str">
        <f t="shared" si="65"/>
        <v>AR-C20-1</v>
      </c>
      <c r="H652" s="253">
        <v>1</v>
      </c>
      <c r="I652" s="76">
        <v>1</v>
      </c>
      <c r="J652" s="299" t="s">
        <v>286</v>
      </c>
      <c r="K652" s="299"/>
      <c r="L652" s="287"/>
      <c r="Q652" s="287"/>
    </row>
    <row r="653" spans="1:17" s="91" customFormat="1" ht="14.25" hidden="1" customHeight="1" outlineLevel="2">
      <c r="A653" s="265"/>
      <c r="B653" s="119" t="s">
        <v>272</v>
      </c>
      <c r="C653" s="266">
        <v>7450</v>
      </c>
      <c r="D653" s="124" t="s">
        <v>1343</v>
      </c>
      <c r="E653" s="125"/>
      <c r="F653" s="118" t="s">
        <v>1275</v>
      </c>
      <c r="G653" s="126" t="str">
        <f t="shared" si="65"/>
        <v>AR-C20-1</v>
      </c>
      <c r="H653" s="253">
        <v>1</v>
      </c>
      <c r="I653" s="76">
        <v>1</v>
      </c>
      <c r="J653" s="299" t="s">
        <v>286</v>
      </c>
      <c r="K653" s="299"/>
      <c r="L653" s="287"/>
      <c r="Q653" s="287"/>
    </row>
    <row r="654" spans="1:17" s="91" customFormat="1" ht="14.25" hidden="1" customHeight="1" outlineLevel="2">
      <c r="A654" s="265"/>
      <c r="B654" s="119" t="s">
        <v>272</v>
      </c>
      <c r="C654" s="266">
        <v>7461</v>
      </c>
      <c r="D654" s="124" t="s">
        <v>1344</v>
      </c>
      <c r="E654" s="125"/>
      <c r="F654" s="118" t="s">
        <v>1275</v>
      </c>
      <c r="G654" s="126" t="str">
        <f t="shared" si="65"/>
        <v>AR-C20-1</v>
      </c>
      <c r="H654" s="253">
        <v>1</v>
      </c>
      <c r="I654" s="76">
        <v>1</v>
      </c>
      <c r="J654" s="299" t="s">
        <v>286</v>
      </c>
      <c r="K654" s="299"/>
      <c r="L654" s="287"/>
      <c r="Q654" s="287"/>
    </row>
    <row r="655" spans="1:17" s="91" customFormat="1" ht="14.25" hidden="1" customHeight="1" outlineLevel="2">
      <c r="A655" s="265"/>
      <c r="B655" s="119" t="s">
        <v>272</v>
      </c>
      <c r="C655" s="266">
        <v>7462</v>
      </c>
      <c r="D655" s="124" t="s">
        <v>1345</v>
      </c>
      <c r="E655" s="125"/>
      <c r="F655" s="118" t="s">
        <v>1275</v>
      </c>
      <c r="G655" s="126" t="str">
        <f t="shared" si="65"/>
        <v>AR-C20-1</v>
      </c>
      <c r="H655" s="253">
        <v>1</v>
      </c>
      <c r="I655" s="76">
        <v>1</v>
      </c>
      <c r="J655" s="299" t="s">
        <v>286</v>
      </c>
      <c r="K655" s="299"/>
      <c r="L655" s="287"/>
      <c r="Q655" s="287"/>
    </row>
    <row r="656" spans="1:17" s="91" customFormat="1" ht="14.25" hidden="1" customHeight="1" outlineLevel="2">
      <c r="A656" s="265"/>
      <c r="B656" s="119" t="s">
        <v>272</v>
      </c>
      <c r="C656" s="266">
        <v>7463</v>
      </c>
      <c r="D656" s="124" t="s">
        <v>1346</v>
      </c>
      <c r="E656" s="125"/>
      <c r="F656" s="118" t="s">
        <v>1275</v>
      </c>
      <c r="G656" s="126" t="str">
        <f t="shared" si="65"/>
        <v>AR-C20-1</v>
      </c>
      <c r="H656" s="253">
        <v>1</v>
      </c>
      <c r="I656" s="76">
        <v>1</v>
      </c>
      <c r="J656" s="299" t="s">
        <v>286</v>
      </c>
      <c r="K656" s="299"/>
      <c r="L656" s="287"/>
      <c r="Q656" s="287"/>
    </row>
    <row r="657" spans="1:17" s="91" customFormat="1" ht="14.25" hidden="1" customHeight="1" outlineLevel="2">
      <c r="A657" s="265"/>
      <c r="B657" s="119" t="s">
        <v>272</v>
      </c>
      <c r="C657" s="266">
        <v>7470</v>
      </c>
      <c r="D657" s="124" t="s">
        <v>1347</v>
      </c>
      <c r="E657" s="125"/>
      <c r="F657" s="118" t="s">
        <v>1275</v>
      </c>
      <c r="G657" s="126" t="str">
        <f t="shared" si="65"/>
        <v>AR-C20-1</v>
      </c>
      <c r="H657" s="253">
        <v>1</v>
      </c>
      <c r="I657" s="76">
        <v>1</v>
      </c>
      <c r="J657" s="299" t="s">
        <v>286</v>
      </c>
      <c r="K657" s="299"/>
      <c r="L657" s="287"/>
      <c r="Q657" s="287"/>
    </row>
    <row r="658" spans="1:17" s="91" customFormat="1" ht="14.25" hidden="1" customHeight="1" outlineLevel="2">
      <c r="A658" s="265"/>
      <c r="B658" s="119" t="s">
        <v>272</v>
      </c>
      <c r="C658" s="266">
        <v>7480</v>
      </c>
      <c r="D658" s="124" t="s">
        <v>1348</v>
      </c>
      <c r="E658" s="125"/>
      <c r="F658" s="118" t="s">
        <v>1275</v>
      </c>
      <c r="G658" s="126" t="str">
        <f t="shared" si="65"/>
        <v>AR-C20-1</v>
      </c>
      <c r="H658" s="253">
        <v>1</v>
      </c>
      <c r="I658" s="76">
        <v>1</v>
      </c>
      <c r="J658" s="299" t="s">
        <v>286</v>
      </c>
      <c r="K658" s="299"/>
      <c r="L658" s="287"/>
      <c r="Q658" s="287"/>
    </row>
    <row r="659" spans="1:17" s="91" customFormat="1" ht="14.25" hidden="1" customHeight="1" outlineLevel="2">
      <c r="A659" s="265"/>
      <c r="B659" s="119" t="s">
        <v>272</v>
      </c>
      <c r="C659" s="266">
        <v>7490</v>
      </c>
      <c r="D659" s="124" t="s">
        <v>1349</v>
      </c>
      <c r="E659" s="125"/>
      <c r="F659" s="118" t="s">
        <v>1275</v>
      </c>
      <c r="G659" s="126" t="str">
        <f t="shared" si="65"/>
        <v>AR-C20-1</v>
      </c>
      <c r="H659" s="253">
        <v>1</v>
      </c>
      <c r="I659" s="76">
        <v>1</v>
      </c>
      <c r="J659" s="299" t="s">
        <v>286</v>
      </c>
      <c r="K659" s="299"/>
      <c r="L659" s="287"/>
      <c r="Q659" s="287"/>
    </row>
    <row r="660" spans="1:17" s="91" customFormat="1" ht="14.25" hidden="1" customHeight="1" outlineLevel="2">
      <c r="A660" s="265"/>
      <c r="B660" s="119" t="s">
        <v>272</v>
      </c>
      <c r="C660" s="266">
        <v>7500</v>
      </c>
      <c r="D660" s="124" t="s">
        <v>1350</v>
      </c>
      <c r="E660" s="125"/>
      <c r="F660" s="118" t="s">
        <v>1275</v>
      </c>
      <c r="G660" s="126" t="str">
        <f t="shared" si="65"/>
        <v>AR-C20-1</v>
      </c>
      <c r="H660" s="253">
        <v>1</v>
      </c>
      <c r="I660" s="76">
        <v>1</v>
      </c>
      <c r="J660" s="299" t="s">
        <v>286</v>
      </c>
      <c r="K660" s="299"/>
      <c r="L660" s="287"/>
      <c r="Q660" s="287"/>
    </row>
    <row r="661" spans="1:17" s="91" customFormat="1" ht="14.25" hidden="1" customHeight="1" outlineLevel="2">
      <c r="A661" s="265"/>
      <c r="B661" s="119" t="s">
        <v>272</v>
      </c>
      <c r="C661" s="266">
        <v>7510</v>
      </c>
      <c r="D661" s="124" t="s">
        <v>1351</v>
      </c>
      <c r="E661" s="125"/>
      <c r="F661" s="118" t="s">
        <v>1275</v>
      </c>
      <c r="G661" s="126" t="str">
        <f t="shared" si="65"/>
        <v>AR-C20-1</v>
      </c>
      <c r="H661" s="253">
        <v>1</v>
      </c>
      <c r="I661" s="76">
        <v>1</v>
      </c>
      <c r="J661" s="299" t="s">
        <v>286</v>
      </c>
      <c r="K661" s="299"/>
      <c r="L661" s="287"/>
      <c r="Q661" s="287"/>
    </row>
    <row r="662" spans="1:17" s="91" customFormat="1" ht="14.25" hidden="1" customHeight="1" outlineLevel="2">
      <c r="A662" s="265"/>
      <c r="B662" s="119" t="s">
        <v>272</v>
      </c>
      <c r="C662" s="266" t="s">
        <v>1352</v>
      </c>
      <c r="D662" s="124" t="s">
        <v>1353</v>
      </c>
      <c r="E662" s="125"/>
      <c r="F662" s="118" t="s">
        <v>1275</v>
      </c>
      <c r="G662" s="126" t="str">
        <f t="shared" si="65"/>
        <v>AR-C20-1</v>
      </c>
      <c r="H662" s="253">
        <v>1</v>
      </c>
      <c r="I662" s="76">
        <v>1</v>
      </c>
      <c r="J662" s="299" t="s">
        <v>286</v>
      </c>
      <c r="K662" s="299"/>
      <c r="L662" s="287"/>
      <c r="Q662" s="287"/>
    </row>
    <row r="663" spans="1:17" s="91" customFormat="1" ht="3" hidden="1" customHeight="1" outlineLevel="1">
      <c r="A663" s="265"/>
      <c r="B663" s="119"/>
      <c r="C663" s="266"/>
      <c r="D663" s="124"/>
      <c r="E663" s="125"/>
      <c r="F663" s="118"/>
      <c r="G663" s="126"/>
      <c r="H663" s="253"/>
      <c r="I663" s="89"/>
      <c r="J663" s="301"/>
      <c r="K663" s="301"/>
      <c r="L663" s="287"/>
      <c r="Q663" s="287"/>
    </row>
    <row r="664" spans="1:17" s="95" customFormat="1" ht="14.25" hidden="1" customHeight="1" outlineLevel="1">
      <c r="B664" s="135" t="s">
        <v>1354</v>
      </c>
      <c r="C664" s="266"/>
      <c r="D664" s="124"/>
      <c r="E664" s="125"/>
      <c r="F664" s="118"/>
      <c r="G664" s="126"/>
      <c r="H664" s="253"/>
      <c r="I664" s="93"/>
      <c r="J664" s="302"/>
      <c r="K664" s="302"/>
      <c r="L664" s="288"/>
      <c r="Q664" s="288"/>
    </row>
    <row r="665" spans="1:17" s="95" customFormat="1" ht="3" hidden="1" customHeight="1" outlineLevel="2">
      <c r="B665" s="119"/>
      <c r="C665" s="266"/>
      <c r="D665" s="124" t="s">
        <v>299</v>
      </c>
      <c r="E665" s="125"/>
      <c r="F665" s="118"/>
      <c r="G665" s="126"/>
      <c r="H665" s="253"/>
      <c r="I665" s="93"/>
      <c r="J665" s="302"/>
      <c r="K665" s="302"/>
      <c r="L665" s="288"/>
      <c r="Q665" s="288"/>
    </row>
    <row r="666" spans="1:17" s="91" customFormat="1" ht="14.25" hidden="1" customHeight="1" outlineLevel="2">
      <c r="A666" s="268"/>
      <c r="B666" s="119" t="s">
        <v>272</v>
      </c>
      <c r="C666" s="266" t="s">
        <v>1355</v>
      </c>
      <c r="D666" s="124" t="s">
        <v>1356</v>
      </c>
      <c r="E666" s="125"/>
      <c r="F666" s="118" t="s">
        <v>1357</v>
      </c>
      <c r="G666" s="126" t="str">
        <f t="shared" ref="G666:G673" si="66">CONCATENATE("AR-",F666,"-",H666)</f>
        <v>AR-L30-1</v>
      </c>
      <c r="H666" s="253">
        <v>1</v>
      </c>
      <c r="I666" s="76">
        <v>1</v>
      </c>
      <c r="J666" s="299" t="s">
        <v>286</v>
      </c>
      <c r="K666" s="299"/>
      <c r="L666" s="287"/>
      <c r="Q666" s="287"/>
    </row>
    <row r="667" spans="1:17" s="91" customFormat="1" ht="14.25" hidden="1" customHeight="1" outlineLevel="2">
      <c r="A667" s="268"/>
      <c r="B667" s="119" t="s">
        <v>272</v>
      </c>
      <c r="C667" s="266" t="s">
        <v>1358</v>
      </c>
      <c r="D667" s="124" t="s">
        <v>1359</v>
      </c>
      <c r="E667" s="125"/>
      <c r="F667" s="118" t="s">
        <v>1357</v>
      </c>
      <c r="G667" s="126" t="str">
        <f t="shared" si="66"/>
        <v>AR-L30-1</v>
      </c>
      <c r="H667" s="253">
        <v>1</v>
      </c>
      <c r="I667" s="76">
        <v>1</v>
      </c>
      <c r="J667" s="299" t="s">
        <v>286</v>
      </c>
      <c r="K667" s="299"/>
      <c r="L667" s="287"/>
      <c r="Q667" s="287"/>
    </row>
    <row r="668" spans="1:17" s="91" customFormat="1" ht="14.25" hidden="1" customHeight="1" outlineLevel="2">
      <c r="A668" s="268"/>
      <c r="B668" s="119" t="s">
        <v>272</v>
      </c>
      <c r="C668" s="266" t="s">
        <v>1360</v>
      </c>
      <c r="D668" s="124" t="s">
        <v>1361</v>
      </c>
      <c r="E668" s="125"/>
      <c r="F668" s="118" t="s">
        <v>1357</v>
      </c>
      <c r="G668" s="126" t="str">
        <f t="shared" si="66"/>
        <v>AR-L30-1</v>
      </c>
      <c r="H668" s="253">
        <v>1</v>
      </c>
      <c r="I668" s="76">
        <v>1</v>
      </c>
      <c r="J668" s="299" t="s">
        <v>286</v>
      </c>
      <c r="K668" s="299"/>
      <c r="L668" s="287"/>
      <c r="Q668" s="287"/>
    </row>
    <row r="669" spans="1:17" s="91" customFormat="1" ht="14.25" hidden="1" customHeight="1" outlineLevel="2">
      <c r="A669" s="268"/>
      <c r="B669" s="119" t="s">
        <v>272</v>
      </c>
      <c r="C669" s="266" t="s">
        <v>1362</v>
      </c>
      <c r="D669" s="124" t="s">
        <v>1363</v>
      </c>
      <c r="E669" s="125"/>
      <c r="F669" s="118" t="s">
        <v>1357</v>
      </c>
      <c r="G669" s="126" t="str">
        <f t="shared" si="66"/>
        <v>AR-L30-1</v>
      </c>
      <c r="H669" s="253">
        <v>1</v>
      </c>
      <c r="I669" s="76">
        <v>1</v>
      </c>
      <c r="J669" s="299" t="s">
        <v>286</v>
      </c>
      <c r="K669" s="299"/>
      <c r="L669" s="287"/>
      <c r="Q669" s="287"/>
    </row>
    <row r="670" spans="1:17" s="91" customFormat="1" ht="14.25" hidden="1" customHeight="1" outlineLevel="2">
      <c r="A670" s="268"/>
      <c r="B670" s="119" t="s">
        <v>272</v>
      </c>
      <c r="C670" s="266" t="s">
        <v>1364</v>
      </c>
      <c r="D670" s="124" t="s">
        <v>1365</v>
      </c>
      <c r="E670" s="125"/>
      <c r="F670" s="118" t="s">
        <v>1357</v>
      </c>
      <c r="G670" s="126" t="str">
        <f t="shared" si="66"/>
        <v>AR-L30-1</v>
      </c>
      <c r="H670" s="253">
        <v>1</v>
      </c>
      <c r="I670" s="76">
        <v>1</v>
      </c>
      <c r="J670" s="299" t="s">
        <v>286</v>
      </c>
      <c r="K670" s="299"/>
      <c r="L670" s="287"/>
      <c r="Q670" s="287"/>
    </row>
    <row r="671" spans="1:17" s="91" customFormat="1" ht="14.25" hidden="1" customHeight="1" outlineLevel="2">
      <c r="A671" s="268"/>
      <c r="B671" s="119" t="s">
        <v>272</v>
      </c>
      <c r="C671" s="266" t="s">
        <v>1366</v>
      </c>
      <c r="D671" s="124" t="s">
        <v>1367</v>
      </c>
      <c r="E671" s="125"/>
      <c r="F671" s="118" t="s">
        <v>1357</v>
      </c>
      <c r="G671" s="126" t="str">
        <f t="shared" si="66"/>
        <v>AR-L30-1</v>
      </c>
      <c r="H671" s="253">
        <v>1</v>
      </c>
      <c r="I671" s="76">
        <v>1</v>
      </c>
      <c r="J671" s="299" t="s">
        <v>286</v>
      </c>
      <c r="K671" s="299"/>
      <c r="L671" s="287"/>
      <c r="Q671" s="287"/>
    </row>
    <row r="672" spans="1:17" s="91" customFormat="1" ht="14.25" hidden="1" customHeight="1" outlineLevel="2">
      <c r="B672" s="119" t="s">
        <v>272</v>
      </c>
      <c r="C672" s="266" t="s">
        <v>1368</v>
      </c>
      <c r="D672" s="124" t="s">
        <v>1369</v>
      </c>
      <c r="E672" s="125"/>
      <c r="F672" s="118" t="s">
        <v>1357</v>
      </c>
      <c r="G672" s="126" t="str">
        <f t="shared" si="66"/>
        <v>AR-L30-1</v>
      </c>
      <c r="H672" s="253">
        <v>1</v>
      </c>
      <c r="I672" s="76">
        <v>1</v>
      </c>
      <c r="J672" s="299" t="s">
        <v>286</v>
      </c>
      <c r="K672" s="299"/>
      <c r="L672" s="287"/>
      <c r="Q672" s="287"/>
    </row>
    <row r="673" spans="2:17" s="91" customFormat="1" ht="14.25" hidden="1" customHeight="1" outlineLevel="2">
      <c r="B673" s="119" t="s">
        <v>272</v>
      </c>
      <c r="C673" s="266" t="s">
        <v>1370</v>
      </c>
      <c r="D673" s="124" t="s">
        <v>1371</v>
      </c>
      <c r="E673" s="125"/>
      <c r="F673" s="118" t="s">
        <v>1357</v>
      </c>
      <c r="G673" s="126" t="str">
        <f t="shared" si="66"/>
        <v>AR-L30-1</v>
      </c>
      <c r="H673" s="253">
        <v>1</v>
      </c>
      <c r="I673" s="76">
        <v>1</v>
      </c>
      <c r="J673" s="299" t="s">
        <v>286</v>
      </c>
      <c r="K673" s="299"/>
      <c r="L673" s="287"/>
      <c r="Q673" s="287"/>
    </row>
    <row r="674" spans="2:17" s="91" customFormat="1" ht="14.25" hidden="1" customHeight="1" outlineLevel="2">
      <c r="B674" s="119" t="s">
        <v>272</v>
      </c>
      <c r="C674" s="266" t="s">
        <v>1372</v>
      </c>
      <c r="D674" s="124" t="s">
        <v>1373</v>
      </c>
      <c r="E674" s="125"/>
      <c r="F674" s="118" t="s">
        <v>1357</v>
      </c>
      <c r="G674" s="126" t="str">
        <f t="shared" ref="G674:G687" si="67">CONCATENATE("AR-",F674,"-",H674)</f>
        <v>AR-L30-1</v>
      </c>
      <c r="H674" s="253">
        <v>1</v>
      </c>
      <c r="I674" s="76">
        <v>1</v>
      </c>
      <c r="J674" s="299" t="s">
        <v>286</v>
      </c>
      <c r="K674" s="299"/>
      <c r="L674" s="287"/>
      <c r="Q674" s="287"/>
    </row>
    <row r="675" spans="2:17" s="91" customFormat="1" ht="14.25" hidden="1" customHeight="1" outlineLevel="2">
      <c r="B675" s="119" t="s">
        <v>272</v>
      </c>
      <c r="C675" s="266" t="s">
        <v>1374</v>
      </c>
      <c r="D675" s="124" t="s">
        <v>1375</v>
      </c>
      <c r="E675" s="125"/>
      <c r="F675" s="118" t="s">
        <v>1357</v>
      </c>
      <c r="G675" s="126" t="str">
        <f t="shared" si="67"/>
        <v>AR-L30-1</v>
      </c>
      <c r="H675" s="253">
        <v>1</v>
      </c>
      <c r="I675" s="76">
        <v>1</v>
      </c>
      <c r="J675" s="299" t="s">
        <v>286</v>
      </c>
      <c r="K675" s="299"/>
      <c r="L675" s="287"/>
      <c r="Q675" s="287"/>
    </row>
    <row r="676" spans="2:17" s="91" customFormat="1" ht="14.25" hidden="1" customHeight="1" outlineLevel="2">
      <c r="B676" s="119" t="s">
        <v>272</v>
      </c>
      <c r="C676" s="266" t="s">
        <v>1376</v>
      </c>
      <c r="D676" s="124" t="s">
        <v>1377</v>
      </c>
      <c r="E676" s="125"/>
      <c r="F676" s="118" t="s">
        <v>1357</v>
      </c>
      <c r="G676" s="126" t="str">
        <f t="shared" si="67"/>
        <v>AR-L30-1</v>
      </c>
      <c r="H676" s="253">
        <v>1</v>
      </c>
      <c r="I676" s="76">
        <v>1</v>
      </c>
      <c r="J676" s="299" t="s">
        <v>286</v>
      </c>
      <c r="K676" s="299"/>
      <c r="L676" s="287"/>
      <c r="Q676" s="287"/>
    </row>
    <row r="677" spans="2:17" s="91" customFormat="1" ht="14.25" hidden="1" customHeight="1" outlineLevel="2">
      <c r="B677" s="119" t="s">
        <v>272</v>
      </c>
      <c r="C677" s="266" t="s">
        <v>1378</v>
      </c>
      <c r="D677" s="124" t="s">
        <v>1379</v>
      </c>
      <c r="E677" s="125"/>
      <c r="F677" s="118" t="s">
        <v>1357</v>
      </c>
      <c r="G677" s="126" t="str">
        <f t="shared" si="67"/>
        <v>AR-L30-1</v>
      </c>
      <c r="H677" s="253">
        <v>1</v>
      </c>
      <c r="I677" s="76">
        <v>1</v>
      </c>
      <c r="J677" s="299" t="s">
        <v>286</v>
      </c>
      <c r="K677" s="299"/>
      <c r="L677" s="287"/>
      <c r="Q677" s="287"/>
    </row>
    <row r="678" spans="2:17" s="91" customFormat="1" ht="14.25" hidden="1" customHeight="1" outlineLevel="2">
      <c r="B678" s="119" t="s">
        <v>272</v>
      </c>
      <c r="C678" s="266" t="s">
        <v>1380</v>
      </c>
      <c r="D678" s="124" t="s">
        <v>1381</v>
      </c>
      <c r="E678" s="125"/>
      <c r="F678" s="118" t="s">
        <v>1357</v>
      </c>
      <c r="G678" s="126" t="str">
        <f t="shared" si="67"/>
        <v>AR-L30-1</v>
      </c>
      <c r="H678" s="253">
        <v>1</v>
      </c>
      <c r="I678" s="76">
        <v>1</v>
      </c>
      <c r="J678" s="299" t="s">
        <v>286</v>
      </c>
      <c r="K678" s="299"/>
      <c r="L678" s="287"/>
      <c r="Q678" s="287"/>
    </row>
    <row r="679" spans="2:17" s="91" customFormat="1" ht="14.25" hidden="1" customHeight="1" outlineLevel="2">
      <c r="B679" s="119" t="s">
        <v>272</v>
      </c>
      <c r="C679" s="266" t="s">
        <v>1382</v>
      </c>
      <c r="D679" s="124" t="s">
        <v>1383</v>
      </c>
      <c r="E679" s="125"/>
      <c r="F679" s="118" t="s">
        <v>1357</v>
      </c>
      <c r="G679" s="126" t="str">
        <f t="shared" si="67"/>
        <v>AR-L30-1</v>
      </c>
      <c r="H679" s="253">
        <v>1</v>
      </c>
      <c r="I679" s="76">
        <v>1</v>
      </c>
      <c r="J679" s="299" t="s">
        <v>286</v>
      </c>
      <c r="K679" s="299"/>
      <c r="L679" s="287"/>
      <c r="Q679" s="287"/>
    </row>
    <row r="680" spans="2:17" s="91" customFormat="1" ht="14.25" hidden="1" customHeight="1" outlineLevel="2">
      <c r="B680" s="119" t="s">
        <v>272</v>
      </c>
      <c r="C680" s="266" t="s">
        <v>1384</v>
      </c>
      <c r="D680" s="124" t="s">
        <v>1385</v>
      </c>
      <c r="E680" s="125"/>
      <c r="F680" s="118" t="s">
        <v>1357</v>
      </c>
      <c r="G680" s="126" t="str">
        <f t="shared" si="67"/>
        <v>AR-L30-1</v>
      </c>
      <c r="H680" s="253">
        <v>1</v>
      </c>
      <c r="I680" s="76">
        <v>1</v>
      </c>
      <c r="J680" s="299" t="s">
        <v>286</v>
      </c>
      <c r="K680" s="299"/>
      <c r="L680" s="287"/>
      <c r="Q680" s="287"/>
    </row>
    <row r="681" spans="2:17" s="91" customFormat="1" ht="14.25" hidden="1" customHeight="1" outlineLevel="2">
      <c r="B681" s="119" t="s">
        <v>272</v>
      </c>
      <c r="C681" s="266" t="s">
        <v>1386</v>
      </c>
      <c r="D681" s="124" t="s">
        <v>1385</v>
      </c>
      <c r="E681" s="125"/>
      <c r="F681" s="118" t="s">
        <v>1357</v>
      </c>
      <c r="G681" s="126" t="str">
        <f t="shared" si="67"/>
        <v>AR-L30-1</v>
      </c>
      <c r="H681" s="253">
        <v>1</v>
      </c>
      <c r="I681" s="76">
        <v>1</v>
      </c>
      <c r="J681" s="299" t="s">
        <v>286</v>
      </c>
      <c r="K681" s="299"/>
      <c r="L681" s="287"/>
      <c r="Q681" s="287"/>
    </row>
    <row r="682" spans="2:17" s="91" customFormat="1" ht="14.25" hidden="1" customHeight="1" outlineLevel="2">
      <c r="B682" s="119" t="s">
        <v>272</v>
      </c>
      <c r="C682" s="266" t="s">
        <v>1387</v>
      </c>
      <c r="D682" s="124" t="s">
        <v>1356</v>
      </c>
      <c r="E682" s="125"/>
      <c r="F682" s="118" t="s">
        <v>1357</v>
      </c>
      <c r="G682" s="126" t="str">
        <f t="shared" si="67"/>
        <v>AR-L30-1</v>
      </c>
      <c r="H682" s="253">
        <v>1</v>
      </c>
      <c r="I682" s="76">
        <v>1</v>
      </c>
      <c r="J682" s="299" t="s">
        <v>286</v>
      </c>
      <c r="K682" s="299"/>
      <c r="L682" s="287"/>
      <c r="Q682" s="287"/>
    </row>
    <row r="683" spans="2:17" s="91" customFormat="1" ht="14.25" hidden="1" customHeight="1" outlineLevel="2">
      <c r="B683" s="119" t="s">
        <v>272</v>
      </c>
      <c r="C683" s="266" t="s">
        <v>1388</v>
      </c>
      <c r="D683" s="124" t="s">
        <v>1359</v>
      </c>
      <c r="E683" s="125"/>
      <c r="F683" s="118" t="s">
        <v>1357</v>
      </c>
      <c r="G683" s="126" t="str">
        <f t="shared" si="67"/>
        <v>AR-L30-1</v>
      </c>
      <c r="H683" s="253">
        <v>1</v>
      </c>
      <c r="I683" s="76">
        <v>1</v>
      </c>
      <c r="J683" s="299" t="s">
        <v>286</v>
      </c>
      <c r="K683" s="299"/>
      <c r="L683" s="287"/>
      <c r="Q683" s="287"/>
    </row>
    <row r="684" spans="2:17" s="91" customFormat="1" ht="14.25" hidden="1" customHeight="1" outlineLevel="2">
      <c r="B684" s="119" t="s">
        <v>272</v>
      </c>
      <c r="C684" s="266" t="s">
        <v>1389</v>
      </c>
      <c r="D684" s="124" t="s">
        <v>1390</v>
      </c>
      <c r="E684" s="125"/>
      <c r="F684" s="118" t="s">
        <v>1357</v>
      </c>
      <c r="G684" s="126" t="str">
        <f t="shared" si="67"/>
        <v>AR-L30-1</v>
      </c>
      <c r="H684" s="253">
        <v>1</v>
      </c>
      <c r="I684" s="76">
        <v>1</v>
      </c>
      <c r="J684" s="299" t="s">
        <v>286</v>
      </c>
      <c r="K684" s="299"/>
      <c r="L684" s="287"/>
      <c r="Q684" s="287"/>
    </row>
    <row r="685" spans="2:17" s="91" customFormat="1" ht="14.25" hidden="1" customHeight="1" outlineLevel="2">
      <c r="B685" s="119" t="s">
        <v>272</v>
      </c>
      <c r="C685" s="266" t="s">
        <v>1391</v>
      </c>
      <c r="D685" s="124" t="s">
        <v>1392</v>
      </c>
      <c r="E685" s="125"/>
      <c r="F685" s="118" t="s">
        <v>1357</v>
      </c>
      <c r="G685" s="126" t="str">
        <f t="shared" si="67"/>
        <v>AR-L30-1</v>
      </c>
      <c r="H685" s="253">
        <v>1</v>
      </c>
      <c r="I685" s="76">
        <v>1</v>
      </c>
      <c r="J685" s="299" t="s">
        <v>286</v>
      </c>
      <c r="K685" s="299"/>
      <c r="L685" s="287"/>
      <c r="Q685" s="287"/>
    </row>
    <row r="686" spans="2:17" s="91" customFormat="1" ht="14.25" hidden="1" customHeight="1" outlineLevel="2">
      <c r="B686" s="119" t="s">
        <v>272</v>
      </c>
      <c r="C686" s="266" t="s">
        <v>1393</v>
      </c>
      <c r="D686" s="124" t="s">
        <v>1394</v>
      </c>
      <c r="E686" s="125"/>
      <c r="F686" s="118" t="s">
        <v>1357</v>
      </c>
      <c r="G686" s="126" t="str">
        <f t="shared" si="67"/>
        <v>AR-L30-1</v>
      </c>
      <c r="H686" s="253">
        <v>1</v>
      </c>
      <c r="I686" s="76">
        <v>1</v>
      </c>
      <c r="J686" s="299" t="s">
        <v>310</v>
      </c>
      <c r="K686" s="299"/>
      <c r="L686" s="287"/>
      <c r="Q686" s="287"/>
    </row>
    <row r="687" spans="2:17" s="91" customFormat="1" ht="14.25" hidden="1" customHeight="1" outlineLevel="2">
      <c r="B687" s="119" t="s">
        <v>272</v>
      </c>
      <c r="C687" s="266" t="s">
        <v>1395</v>
      </c>
      <c r="D687" s="124" t="s">
        <v>1396</v>
      </c>
      <c r="E687" s="125"/>
      <c r="F687" s="118" t="s">
        <v>1357</v>
      </c>
      <c r="G687" s="126" t="str">
        <f t="shared" si="67"/>
        <v>AR-L30-1</v>
      </c>
      <c r="H687" s="253">
        <v>1</v>
      </c>
      <c r="I687" s="76">
        <v>1</v>
      </c>
      <c r="J687" s="299" t="s">
        <v>286</v>
      </c>
      <c r="K687" s="299"/>
      <c r="L687" s="287"/>
      <c r="Q687" s="287"/>
    </row>
    <row r="688" spans="2:17" s="91" customFormat="1" ht="14.25" hidden="1" customHeight="1" outlineLevel="2">
      <c r="B688" s="119" t="s">
        <v>272</v>
      </c>
      <c r="C688" s="266" t="s">
        <v>1397</v>
      </c>
      <c r="D688" s="124" t="s">
        <v>1361</v>
      </c>
      <c r="E688" s="125"/>
      <c r="F688" s="118" t="s">
        <v>1357</v>
      </c>
      <c r="G688" s="126" t="str">
        <f t="shared" ref="G688:G709" si="68">CONCATENATE("AR-",F688,"-",H688)</f>
        <v>AR-L30-1</v>
      </c>
      <c r="H688" s="253">
        <v>1</v>
      </c>
      <c r="I688" s="76">
        <v>1</v>
      </c>
      <c r="J688" s="299" t="s">
        <v>286</v>
      </c>
      <c r="K688" s="299"/>
      <c r="L688" s="287"/>
      <c r="Q688" s="287"/>
    </row>
    <row r="689" spans="1:17" s="91" customFormat="1" ht="14.25" hidden="1" customHeight="1" outlineLevel="2">
      <c r="B689" s="119" t="s">
        <v>272</v>
      </c>
      <c r="C689" s="266" t="s">
        <v>1398</v>
      </c>
      <c r="D689" s="124" t="s">
        <v>1399</v>
      </c>
      <c r="E689" s="125"/>
      <c r="F689" s="118" t="s">
        <v>1357</v>
      </c>
      <c r="G689" s="126" t="str">
        <f t="shared" si="68"/>
        <v>AR-L30-1</v>
      </c>
      <c r="H689" s="253">
        <v>1</v>
      </c>
      <c r="I689" s="76">
        <v>1</v>
      </c>
      <c r="J689" s="299" t="s">
        <v>286</v>
      </c>
      <c r="K689" s="299"/>
      <c r="L689" s="287"/>
      <c r="Q689" s="287"/>
    </row>
    <row r="690" spans="1:17" s="91" customFormat="1" ht="14.25" hidden="1" customHeight="1" outlineLevel="2">
      <c r="B690" s="119" t="s">
        <v>272</v>
      </c>
      <c r="C690" s="266" t="s">
        <v>1400</v>
      </c>
      <c r="D690" s="124" t="s">
        <v>1401</v>
      </c>
      <c r="E690" s="125"/>
      <c r="F690" s="118" t="s">
        <v>1357</v>
      </c>
      <c r="G690" s="126" t="str">
        <f t="shared" si="68"/>
        <v>AR-L30-1</v>
      </c>
      <c r="H690" s="253">
        <v>1</v>
      </c>
      <c r="I690" s="76">
        <v>1</v>
      </c>
      <c r="J690" s="299" t="s">
        <v>286</v>
      </c>
      <c r="K690" s="299"/>
      <c r="L690" s="287"/>
      <c r="Q690" s="287"/>
    </row>
    <row r="691" spans="1:17" s="91" customFormat="1" ht="14.25" hidden="1" customHeight="1" outlineLevel="2">
      <c r="B691" s="119" t="s">
        <v>272</v>
      </c>
      <c r="C691" s="266" t="s">
        <v>1402</v>
      </c>
      <c r="D691" s="124" t="s">
        <v>1403</v>
      </c>
      <c r="E691" s="125"/>
      <c r="F691" s="118" t="s">
        <v>1357</v>
      </c>
      <c r="G691" s="126" t="str">
        <f t="shared" si="68"/>
        <v>AR-L30-1</v>
      </c>
      <c r="H691" s="253">
        <v>1</v>
      </c>
      <c r="I691" s="76">
        <v>1</v>
      </c>
      <c r="J691" s="299" t="s">
        <v>286</v>
      </c>
      <c r="K691" s="299"/>
      <c r="L691" s="287"/>
      <c r="Q691" s="287"/>
    </row>
    <row r="692" spans="1:17" s="91" customFormat="1" ht="14.25" hidden="1" customHeight="1" outlineLevel="2">
      <c r="B692" s="119" t="s">
        <v>272</v>
      </c>
      <c r="C692" s="266" t="s">
        <v>1404</v>
      </c>
      <c r="D692" s="124" t="s">
        <v>1405</v>
      </c>
      <c r="E692" s="125"/>
      <c r="F692" s="118" t="s">
        <v>1357</v>
      </c>
      <c r="G692" s="126" t="str">
        <f t="shared" si="68"/>
        <v>AR-L30-1</v>
      </c>
      <c r="H692" s="253">
        <v>1</v>
      </c>
      <c r="I692" s="76">
        <v>1</v>
      </c>
      <c r="J692" s="299" t="s">
        <v>286</v>
      </c>
      <c r="K692" s="299"/>
      <c r="L692" s="287"/>
      <c r="Q692" s="287"/>
    </row>
    <row r="693" spans="1:17" s="91" customFormat="1" ht="14.25" hidden="1" customHeight="1" outlineLevel="2">
      <c r="B693" s="119" t="s">
        <v>272</v>
      </c>
      <c r="C693" s="266" t="s">
        <v>1406</v>
      </c>
      <c r="D693" s="124" t="s">
        <v>1407</v>
      </c>
      <c r="E693" s="125"/>
      <c r="F693" s="118" t="s">
        <v>1357</v>
      </c>
      <c r="G693" s="126" t="str">
        <f t="shared" si="68"/>
        <v>AR-L30-1</v>
      </c>
      <c r="H693" s="253">
        <v>1</v>
      </c>
      <c r="I693" s="76">
        <v>1</v>
      </c>
      <c r="J693" s="299" t="s">
        <v>286</v>
      </c>
      <c r="K693" s="299"/>
      <c r="L693" s="287"/>
      <c r="Q693" s="287"/>
    </row>
    <row r="694" spans="1:17" s="91" customFormat="1" ht="14.25" hidden="1" customHeight="1" outlineLevel="2">
      <c r="B694" s="119" t="s">
        <v>272</v>
      </c>
      <c r="C694" s="266" t="s">
        <v>1408</v>
      </c>
      <c r="D694" s="124" t="s">
        <v>1409</v>
      </c>
      <c r="E694" s="125"/>
      <c r="F694" s="118" t="s">
        <v>1357</v>
      </c>
      <c r="G694" s="126" t="str">
        <f t="shared" si="68"/>
        <v>AR-L30-1</v>
      </c>
      <c r="H694" s="253">
        <v>1</v>
      </c>
      <c r="I694" s="76">
        <v>1</v>
      </c>
      <c r="J694" s="299" t="s">
        <v>286</v>
      </c>
      <c r="K694" s="299"/>
      <c r="L694" s="287"/>
      <c r="Q694" s="287"/>
    </row>
    <row r="695" spans="1:17" s="91" customFormat="1" ht="14.25" hidden="1" customHeight="1" outlineLevel="2">
      <c r="B695" s="119" t="s">
        <v>272</v>
      </c>
      <c r="C695" s="266" t="s">
        <v>1410</v>
      </c>
      <c r="D695" s="124" t="s">
        <v>1411</v>
      </c>
      <c r="E695" s="125"/>
      <c r="F695" s="118" t="s">
        <v>1357</v>
      </c>
      <c r="G695" s="126" t="str">
        <f t="shared" si="68"/>
        <v>AR-L30-1</v>
      </c>
      <c r="H695" s="253">
        <v>1</v>
      </c>
      <c r="I695" s="76">
        <v>1</v>
      </c>
      <c r="J695" s="299" t="s">
        <v>286</v>
      </c>
      <c r="K695" s="299"/>
      <c r="L695" s="287"/>
      <c r="Q695" s="287"/>
    </row>
    <row r="696" spans="1:17" s="91" customFormat="1" ht="14.25" hidden="1" customHeight="1" outlineLevel="2">
      <c r="B696" s="119" t="s">
        <v>272</v>
      </c>
      <c r="C696" s="266" t="s">
        <v>1412</v>
      </c>
      <c r="D696" s="124" t="s">
        <v>1413</v>
      </c>
      <c r="E696" s="125"/>
      <c r="F696" s="118" t="s">
        <v>1357</v>
      </c>
      <c r="G696" s="126" t="str">
        <f t="shared" si="68"/>
        <v>AR-L30-1</v>
      </c>
      <c r="H696" s="253">
        <v>1</v>
      </c>
      <c r="I696" s="76">
        <v>1</v>
      </c>
      <c r="J696" s="299" t="s">
        <v>286</v>
      </c>
      <c r="K696" s="299"/>
      <c r="L696" s="287"/>
      <c r="Q696" s="287"/>
    </row>
    <row r="697" spans="1:17" s="91" customFormat="1" ht="14.25" hidden="1" customHeight="1" outlineLevel="2">
      <c r="B697" s="119" t="s">
        <v>272</v>
      </c>
      <c r="C697" s="266" t="s">
        <v>1414</v>
      </c>
      <c r="D697" s="124" t="s">
        <v>1415</v>
      </c>
      <c r="E697" s="125"/>
      <c r="F697" s="118" t="s">
        <v>1357</v>
      </c>
      <c r="G697" s="126" t="str">
        <f t="shared" si="68"/>
        <v>AR-L30-1</v>
      </c>
      <c r="H697" s="253">
        <v>1</v>
      </c>
      <c r="I697" s="76">
        <v>1</v>
      </c>
      <c r="J697" s="299" t="s">
        <v>286</v>
      </c>
      <c r="K697" s="299"/>
      <c r="L697" s="287"/>
      <c r="Q697" s="287"/>
    </row>
    <row r="698" spans="1:17" s="91" customFormat="1" ht="14.25" hidden="1" customHeight="1" outlineLevel="2">
      <c r="B698" s="119" t="s">
        <v>272</v>
      </c>
      <c r="C698" s="266" t="s">
        <v>1416</v>
      </c>
      <c r="D698" s="124" t="s">
        <v>1415</v>
      </c>
      <c r="E698" s="125"/>
      <c r="F698" s="118" t="s">
        <v>1357</v>
      </c>
      <c r="G698" s="126" t="str">
        <f t="shared" si="68"/>
        <v>AR-L30-1</v>
      </c>
      <c r="H698" s="253">
        <v>1</v>
      </c>
      <c r="I698" s="76">
        <v>1</v>
      </c>
      <c r="J698" s="299" t="s">
        <v>286</v>
      </c>
      <c r="K698" s="299"/>
      <c r="L698" s="287"/>
      <c r="Q698" s="287"/>
    </row>
    <row r="699" spans="1:17" s="91" customFormat="1" ht="14.25" hidden="1" customHeight="1" outlineLevel="2">
      <c r="B699" s="119" t="s">
        <v>272</v>
      </c>
      <c r="C699" s="266" t="s">
        <v>1417</v>
      </c>
      <c r="D699" s="124" t="s">
        <v>1415</v>
      </c>
      <c r="E699" s="125"/>
      <c r="F699" s="118" t="s">
        <v>1357</v>
      </c>
      <c r="G699" s="126" t="str">
        <f t="shared" si="68"/>
        <v>AR-L30-1</v>
      </c>
      <c r="H699" s="253">
        <v>1</v>
      </c>
      <c r="I699" s="76">
        <v>1</v>
      </c>
      <c r="J699" s="299" t="s">
        <v>286</v>
      </c>
      <c r="K699" s="299"/>
      <c r="L699" s="287"/>
      <c r="Q699" s="287"/>
    </row>
    <row r="700" spans="1:17" s="91" customFormat="1" ht="14.25" hidden="1" customHeight="1" outlineLevel="2">
      <c r="B700" s="119" t="s">
        <v>272</v>
      </c>
      <c r="C700" s="266" t="s">
        <v>1418</v>
      </c>
      <c r="D700" s="124" t="s">
        <v>1415</v>
      </c>
      <c r="E700" s="125"/>
      <c r="F700" s="118" t="s">
        <v>1357</v>
      </c>
      <c r="G700" s="126" t="str">
        <f t="shared" si="68"/>
        <v>AR-L30-1</v>
      </c>
      <c r="H700" s="253">
        <v>1</v>
      </c>
      <c r="I700" s="76">
        <v>1</v>
      </c>
      <c r="J700" s="299" t="s">
        <v>286</v>
      </c>
      <c r="K700" s="299"/>
      <c r="L700" s="287"/>
      <c r="Q700" s="287"/>
    </row>
    <row r="701" spans="1:17" s="91" customFormat="1" ht="14.25" hidden="1" customHeight="1" outlineLevel="2">
      <c r="B701" s="119" t="s">
        <v>272</v>
      </c>
      <c r="C701" s="266" t="s">
        <v>1419</v>
      </c>
      <c r="D701" s="124" t="s">
        <v>1415</v>
      </c>
      <c r="E701" s="125"/>
      <c r="F701" s="118" t="s">
        <v>1357</v>
      </c>
      <c r="G701" s="126" t="str">
        <f t="shared" si="68"/>
        <v>AR-L30-1</v>
      </c>
      <c r="H701" s="253">
        <v>1</v>
      </c>
      <c r="I701" s="76">
        <v>1</v>
      </c>
      <c r="J701" s="299" t="s">
        <v>286</v>
      </c>
      <c r="K701" s="299"/>
      <c r="L701" s="287"/>
      <c r="Q701" s="287"/>
    </row>
    <row r="702" spans="1:17" s="91" customFormat="1" ht="14.25" hidden="1" customHeight="1" outlineLevel="2">
      <c r="A702" s="268"/>
      <c r="B702" s="119" t="s">
        <v>272</v>
      </c>
      <c r="C702" s="266" t="s">
        <v>1420</v>
      </c>
      <c r="D702" s="124" t="s">
        <v>1415</v>
      </c>
      <c r="E702" s="125"/>
      <c r="F702" s="118" t="s">
        <v>1357</v>
      </c>
      <c r="G702" s="126" t="str">
        <f t="shared" si="68"/>
        <v>AR-L30-1</v>
      </c>
      <c r="H702" s="253">
        <v>1</v>
      </c>
      <c r="I702" s="76">
        <v>1</v>
      </c>
      <c r="J702" s="299" t="s">
        <v>286</v>
      </c>
      <c r="K702" s="299"/>
      <c r="L702" s="287"/>
      <c r="Q702" s="287"/>
    </row>
    <row r="703" spans="1:17" s="91" customFormat="1" ht="14.25" hidden="1" customHeight="1" outlineLevel="2">
      <c r="A703" s="268"/>
      <c r="B703" s="119" t="s">
        <v>272</v>
      </c>
      <c r="C703" s="266" t="s">
        <v>1421</v>
      </c>
      <c r="D703" s="124" t="s">
        <v>1422</v>
      </c>
      <c r="E703" s="125"/>
      <c r="F703" s="118" t="s">
        <v>1357</v>
      </c>
      <c r="G703" s="126" t="str">
        <f t="shared" si="68"/>
        <v>AR-L30-1</v>
      </c>
      <c r="H703" s="253">
        <v>1</v>
      </c>
      <c r="I703" s="76">
        <v>1</v>
      </c>
      <c r="J703" s="299" t="s">
        <v>286</v>
      </c>
      <c r="K703" s="299"/>
      <c r="L703" s="287"/>
      <c r="Q703" s="287"/>
    </row>
    <row r="704" spans="1:17" s="91" customFormat="1" ht="14.25" hidden="1" customHeight="1" outlineLevel="2">
      <c r="A704" s="268"/>
      <c r="B704" s="119" t="s">
        <v>272</v>
      </c>
      <c r="C704" s="266" t="s">
        <v>1423</v>
      </c>
      <c r="D704" s="124" t="s">
        <v>1422</v>
      </c>
      <c r="E704" s="125"/>
      <c r="F704" s="118" t="s">
        <v>1357</v>
      </c>
      <c r="G704" s="126" t="str">
        <f t="shared" si="68"/>
        <v>AR-L30-1</v>
      </c>
      <c r="H704" s="253">
        <v>1</v>
      </c>
      <c r="I704" s="76">
        <v>1</v>
      </c>
      <c r="J704" s="299" t="s">
        <v>286</v>
      </c>
      <c r="K704" s="299"/>
      <c r="L704" s="287"/>
      <c r="Q704" s="287"/>
    </row>
    <row r="705" spans="1:17" s="91" customFormat="1" ht="14.25" hidden="1" customHeight="1" outlineLevel="2">
      <c r="A705" s="268"/>
      <c r="B705" s="119" t="s">
        <v>272</v>
      </c>
      <c r="C705" s="266" t="s">
        <v>1424</v>
      </c>
      <c r="D705" s="124" t="s">
        <v>1425</v>
      </c>
      <c r="E705" s="125"/>
      <c r="F705" s="118" t="s">
        <v>1357</v>
      </c>
      <c r="G705" s="126" t="str">
        <f t="shared" si="68"/>
        <v>AR-L30-1</v>
      </c>
      <c r="H705" s="253">
        <v>1</v>
      </c>
      <c r="I705" s="76">
        <v>1</v>
      </c>
      <c r="J705" s="299" t="s">
        <v>286</v>
      </c>
      <c r="K705" s="299"/>
      <c r="L705" s="287"/>
      <c r="Q705" s="287"/>
    </row>
    <row r="706" spans="1:17" s="91" customFormat="1" ht="14.25" hidden="1" customHeight="1" outlineLevel="2">
      <c r="A706" s="268"/>
      <c r="B706" s="119" t="s">
        <v>272</v>
      </c>
      <c r="C706" s="266" t="s">
        <v>1426</v>
      </c>
      <c r="D706" s="124" t="s">
        <v>1425</v>
      </c>
      <c r="E706" s="125"/>
      <c r="F706" s="118" t="s">
        <v>1357</v>
      </c>
      <c r="G706" s="126" t="str">
        <f t="shared" si="68"/>
        <v>AR-L30-1</v>
      </c>
      <c r="H706" s="253">
        <v>1</v>
      </c>
      <c r="I706" s="76">
        <v>1</v>
      </c>
      <c r="J706" s="299" t="s">
        <v>286</v>
      </c>
      <c r="K706" s="299"/>
      <c r="L706" s="287"/>
      <c r="Q706" s="287"/>
    </row>
    <row r="707" spans="1:17" s="91" customFormat="1" ht="14.25" hidden="1" customHeight="1" outlineLevel="2">
      <c r="A707" s="268"/>
      <c r="B707" s="119" t="s">
        <v>272</v>
      </c>
      <c r="C707" s="266" t="s">
        <v>1427</v>
      </c>
      <c r="D707" s="124" t="s">
        <v>1425</v>
      </c>
      <c r="E707" s="125"/>
      <c r="F707" s="118" t="s">
        <v>1357</v>
      </c>
      <c r="G707" s="126" t="str">
        <f t="shared" si="68"/>
        <v>AR-L30-1</v>
      </c>
      <c r="H707" s="253">
        <v>1</v>
      </c>
      <c r="I707" s="76">
        <v>1</v>
      </c>
      <c r="J707" s="299" t="s">
        <v>286</v>
      </c>
      <c r="K707" s="299"/>
      <c r="L707" s="287"/>
      <c r="Q707" s="287"/>
    </row>
    <row r="708" spans="1:17" s="91" customFormat="1" ht="14.25" hidden="1" customHeight="1" outlineLevel="2">
      <c r="B708" s="119" t="s">
        <v>272</v>
      </c>
      <c r="C708" s="266" t="s">
        <v>1428</v>
      </c>
      <c r="D708" s="124" t="s">
        <v>1429</v>
      </c>
      <c r="E708" s="125"/>
      <c r="F708" s="118" t="s">
        <v>1357</v>
      </c>
      <c r="G708" s="126" t="str">
        <f t="shared" si="68"/>
        <v>AR-L30-1</v>
      </c>
      <c r="H708" s="253">
        <v>1</v>
      </c>
      <c r="I708" s="76">
        <v>1</v>
      </c>
      <c r="J708" s="299" t="s">
        <v>286</v>
      </c>
      <c r="K708" s="299"/>
      <c r="L708" s="287"/>
      <c r="Q708" s="287"/>
    </row>
    <row r="709" spans="1:17" s="91" customFormat="1" ht="14.25" hidden="1" customHeight="1" outlineLevel="2">
      <c r="B709" s="119" t="s">
        <v>272</v>
      </c>
      <c r="C709" s="266" t="s">
        <v>1430</v>
      </c>
      <c r="D709" s="124" t="s">
        <v>1429</v>
      </c>
      <c r="E709" s="125"/>
      <c r="F709" s="118" t="s">
        <v>1357</v>
      </c>
      <c r="G709" s="126" t="str">
        <f t="shared" si="68"/>
        <v>AR-L30-1</v>
      </c>
      <c r="H709" s="253">
        <v>1</v>
      </c>
      <c r="I709" s="76">
        <v>1</v>
      </c>
      <c r="J709" s="299" t="s">
        <v>286</v>
      </c>
      <c r="K709" s="299"/>
      <c r="L709" s="287"/>
      <c r="Q709" s="287"/>
    </row>
    <row r="710" spans="1:17" s="91" customFormat="1" ht="14.25" hidden="1" customHeight="1" outlineLevel="2">
      <c r="B710" s="119" t="s">
        <v>272</v>
      </c>
      <c r="C710" s="266" t="s">
        <v>1431</v>
      </c>
      <c r="D710" s="124" t="s">
        <v>1432</v>
      </c>
      <c r="E710" s="125"/>
      <c r="F710" s="118" t="s">
        <v>1357</v>
      </c>
      <c r="G710" s="126" t="str">
        <f t="shared" ref="G710:G723" si="69">CONCATENATE("AR-",F710,"-",H710)</f>
        <v>AR-L30-1</v>
      </c>
      <c r="H710" s="253">
        <v>1</v>
      </c>
      <c r="I710" s="76">
        <v>1</v>
      </c>
      <c r="J710" s="299" t="s">
        <v>286</v>
      </c>
      <c r="K710" s="299"/>
      <c r="L710" s="287"/>
      <c r="Q710" s="287"/>
    </row>
    <row r="711" spans="1:17" s="91" customFormat="1" ht="14.25" hidden="1" customHeight="1" outlineLevel="2">
      <c r="B711" s="119" t="s">
        <v>272</v>
      </c>
      <c r="C711" s="266" t="s">
        <v>1433</v>
      </c>
      <c r="D711" s="124" t="s">
        <v>1434</v>
      </c>
      <c r="E711" s="125"/>
      <c r="F711" s="118" t="s">
        <v>1357</v>
      </c>
      <c r="G711" s="126" t="str">
        <f t="shared" si="69"/>
        <v>AR-L30-1</v>
      </c>
      <c r="H711" s="253">
        <v>1</v>
      </c>
      <c r="I711" s="76">
        <v>1</v>
      </c>
      <c r="J711" s="299" t="s">
        <v>310</v>
      </c>
      <c r="K711" s="299"/>
      <c r="L711" s="287"/>
      <c r="Q711" s="287"/>
    </row>
    <row r="712" spans="1:17" s="91" customFormat="1" ht="14.25" hidden="1" customHeight="1" outlineLevel="2">
      <c r="B712" s="119" t="s">
        <v>272</v>
      </c>
      <c r="C712" s="266" t="s">
        <v>1435</v>
      </c>
      <c r="D712" s="124" t="s">
        <v>1436</v>
      </c>
      <c r="E712" s="125"/>
      <c r="F712" s="118" t="s">
        <v>1357</v>
      </c>
      <c r="G712" s="126" t="str">
        <f t="shared" si="69"/>
        <v>AR-L30-1</v>
      </c>
      <c r="H712" s="253">
        <v>1</v>
      </c>
      <c r="I712" s="76">
        <v>1</v>
      </c>
      <c r="J712" s="299" t="s">
        <v>310</v>
      </c>
      <c r="K712" s="299"/>
      <c r="L712" s="287"/>
      <c r="Q712" s="287"/>
    </row>
    <row r="713" spans="1:17" s="91" customFormat="1" ht="14.25" hidden="1" customHeight="1" outlineLevel="2">
      <c r="B713" s="119" t="s">
        <v>272</v>
      </c>
      <c r="C713" s="266" t="s">
        <v>1437</v>
      </c>
      <c r="D713" s="124" t="s">
        <v>1438</v>
      </c>
      <c r="E713" s="125"/>
      <c r="F713" s="118" t="s">
        <v>1357</v>
      </c>
      <c r="G713" s="126" t="str">
        <f t="shared" si="69"/>
        <v>AR-L30-1</v>
      </c>
      <c r="H713" s="253">
        <v>1</v>
      </c>
      <c r="I713" s="76">
        <v>1</v>
      </c>
      <c r="J713" s="299" t="s">
        <v>310</v>
      </c>
      <c r="K713" s="299"/>
      <c r="L713" s="287"/>
      <c r="Q713" s="287"/>
    </row>
    <row r="714" spans="1:17" s="91" customFormat="1" ht="14.25" hidden="1" customHeight="1" outlineLevel="2">
      <c r="B714" s="119" t="s">
        <v>272</v>
      </c>
      <c r="C714" s="266" t="s">
        <v>1439</v>
      </c>
      <c r="D714" s="124" t="s">
        <v>1094</v>
      </c>
      <c r="E714" s="125"/>
      <c r="F714" s="118" t="s">
        <v>1357</v>
      </c>
      <c r="G714" s="126" t="str">
        <f t="shared" si="69"/>
        <v>AR-L30-1</v>
      </c>
      <c r="H714" s="253">
        <v>1</v>
      </c>
      <c r="I714" s="76">
        <v>1</v>
      </c>
      <c r="J714" s="299" t="s">
        <v>310</v>
      </c>
      <c r="K714" s="299"/>
      <c r="L714" s="287"/>
      <c r="Q714" s="287"/>
    </row>
    <row r="715" spans="1:17" s="91" customFormat="1" ht="14.25" hidden="1" customHeight="1" outlineLevel="2">
      <c r="B715" s="119" t="s">
        <v>272</v>
      </c>
      <c r="C715" s="266" t="s">
        <v>1440</v>
      </c>
      <c r="D715" s="124" t="s">
        <v>1441</v>
      </c>
      <c r="E715" s="125"/>
      <c r="F715" s="118" t="s">
        <v>1357</v>
      </c>
      <c r="G715" s="126" t="str">
        <f t="shared" si="69"/>
        <v>AR-L30-1</v>
      </c>
      <c r="H715" s="253">
        <v>1</v>
      </c>
      <c r="I715" s="76">
        <v>1</v>
      </c>
      <c r="J715" s="299" t="s">
        <v>310</v>
      </c>
      <c r="K715" s="299"/>
      <c r="L715" s="287"/>
      <c r="Q715" s="287"/>
    </row>
    <row r="716" spans="1:17" s="91" customFormat="1" ht="14.25" hidden="1" customHeight="1" outlineLevel="2">
      <c r="B716" s="119" t="s">
        <v>272</v>
      </c>
      <c r="C716" s="266" t="s">
        <v>1442</v>
      </c>
      <c r="D716" s="124" t="s">
        <v>1443</v>
      </c>
      <c r="E716" s="125"/>
      <c r="F716" s="118" t="s">
        <v>1357</v>
      </c>
      <c r="G716" s="126" t="str">
        <f t="shared" si="69"/>
        <v>AR-L30-1</v>
      </c>
      <c r="H716" s="253">
        <v>1</v>
      </c>
      <c r="I716" s="76">
        <v>1</v>
      </c>
      <c r="J716" s="299" t="s">
        <v>310</v>
      </c>
      <c r="K716" s="299"/>
      <c r="L716" s="287"/>
      <c r="Q716" s="287"/>
    </row>
    <row r="717" spans="1:17" s="91" customFormat="1" ht="14.25" hidden="1" customHeight="1" outlineLevel="2">
      <c r="B717" s="119" t="s">
        <v>272</v>
      </c>
      <c r="C717" s="266" t="s">
        <v>1444</v>
      </c>
      <c r="D717" s="124" t="s">
        <v>1445</v>
      </c>
      <c r="E717" s="125"/>
      <c r="F717" s="118" t="s">
        <v>1357</v>
      </c>
      <c r="G717" s="126" t="str">
        <f t="shared" si="69"/>
        <v>AR-L30-1</v>
      </c>
      <c r="H717" s="253">
        <v>1</v>
      </c>
      <c r="I717" s="76">
        <v>1</v>
      </c>
      <c r="J717" s="299" t="s">
        <v>310</v>
      </c>
      <c r="K717" s="299"/>
      <c r="L717" s="287"/>
      <c r="Q717" s="287"/>
    </row>
    <row r="718" spans="1:17" s="91" customFormat="1" ht="14.25" hidden="1" customHeight="1" outlineLevel="2">
      <c r="B718" s="119" t="s">
        <v>272</v>
      </c>
      <c r="C718" s="266" t="s">
        <v>1446</v>
      </c>
      <c r="D718" s="124" t="s">
        <v>1447</v>
      </c>
      <c r="E718" s="125"/>
      <c r="F718" s="118" t="s">
        <v>1357</v>
      </c>
      <c r="G718" s="126" t="str">
        <f t="shared" si="69"/>
        <v>AR-L30-1</v>
      </c>
      <c r="H718" s="253">
        <v>1</v>
      </c>
      <c r="I718" s="76">
        <v>1</v>
      </c>
      <c r="J718" s="299" t="s">
        <v>310</v>
      </c>
      <c r="K718" s="299"/>
      <c r="L718" s="287"/>
      <c r="Q718" s="287"/>
    </row>
    <row r="719" spans="1:17" s="91" customFormat="1" ht="14.25" hidden="1" customHeight="1" outlineLevel="2">
      <c r="B719" s="119" t="s">
        <v>272</v>
      </c>
      <c r="C719" s="266" t="s">
        <v>1448</v>
      </c>
      <c r="D719" s="124" t="s">
        <v>1449</v>
      </c>
      <c r="E719" s="125"/>
      <c r="F719" s="118" t="s">
        <v>1357</v>
      </c>
      <c r="G719" s="126" t="str">
        <f t="shared" si="69"/>
        <v>AR-L30-1</v>
      </c>
      <c r="H719" s="253">
        <v>1</v>
      </c>
      <c r="I719" s="76">
        <v>1</v>
      </c>
      <c r="J719" s="299" t="s">
        <v>310</v>
      </c>
      <c r="K719" s="299"/>
      <c r="L719" s="287"/>
      <c r="Q719" s="287"/>
    </row>
    <row r="720" spans="1:17" s="91" customFormat="1" ht="14.25" hidden="1" customHeight="1" outlineLevel="2">
      <c r="B720" s="119" t="s">
        <v>272</v>
      </c>
      <c r="C720" s="266" t="s">
        <v>1450</v>
      </c>
      <c r="D720" s="124" t="s">
        <v>1447</v>
      </c>
      <c r="E720" s="125"/>
      <c r="F720" s="118" t="s">
        <v>1357</v>
      </c>
      <c r="G720" s="126" t="str">
        <f t="shared" si="69"/>
        <v>AR-L30-1</v>
      </c>
      <c r="H720" s="253">
        <v>1</v>
      </c>
      <c r="I720" s="76">
        <v>1</v>
      </c>
      <c r="J720" s="299" t="s">
        <v>310</v>
      </c>
      <c r="K720" s="299"/>
      <c r="L720" s="287"/>
      <c r="Q720" s="287"/>
    </row>
    <row r="721" spans="2:17" s="91" customFormat="1" ht="14.25" hidden="1" customHeight="1" outlineLevel="2">
      <c r="B721" s="119" t="s">
        <v>272</v>
      </c>
      <c r="C721" s="266" t="s">
        <v>1451</v>
      </c>
      <c r="D721" s="124" t="s">
        <v>1449</v>
      </c>
      <c r="E721" s="125"/>
      <c r="F721" s="118" t="s">
        <v>1357</v>
      </c>
      <c r="G721" s="126" t="str">
        <f t="shared" si="69"/>
        <v>AR-L30-1</v>
      </c>
      <c r="H721" s="253">
        <v>1</v>
      </c>
      <c r="I721" s="76">
        <v>1</v>
      </c>
      <c r="J721" s="299" t="s">
        <v>310</v>
      </c>
      <c r="K721" s="299"/>
      <c r="L721" s="287"/>
      <c r="Q721" s="287"/>
    </row>
    <row r="722" spans="2:17" s="91" customFormat="1" ht="14.25" hidden="1" customHeight="1" outlineLevel="2">
      <c r="B722" s="119" t="s">
        <v>272</v>
      </c>
      <c r="C722" s="266" t="s">
        <v>1452</v>
      </c>
      <c r="D722" s="124" t="s">
        <v>1447</v>
      </c>
      <c r="E722" s="125"/>
      <c r="F722" s="118" t="s">
        <v>1357</v>
      </c>
      <c r="G722" s="126" t="str">
        <f t="shared" si="69"/>
        <v>AR-L30-1</v>
      </c>
      <c r="H722" s="253">
        <v>1</v>
      </c>
      <c r="I722" s="76">
        <v>1</v>
      </c>
      <c r="J722" s="299" t="s">
        <v>310</v>
      </c>
      <c r="K722" s="299"/>
      <c r="L722" s="287"/>
      <c r="Q722" s="287"/>
    </row>
    <row r="723" spans="2:17" s="91" customFormat="1" ht="14.25" hidden="1" customHeight="1" outlineLevel="2">
      <c r="B723" s="119" t="s">
        <v>272</v>
      </c>
      <c r="C723" s="266" t="s">
        <v>1453</v>
      </c>
      <c r="D723" s="124" t="s">
        <v>1449</v>
      </c>
      <c r="E723" s="125"/>
      <c r="F723" s="118" t="s">
        <v>1357</v>
      </c>
      <c r="G723" s="126" t="str">
        <f t="shared" si="69"/>
        <v>AR-L30-1</v>
      </c>
      <c r="H723" s="253">
        <v>1</v>
      </c>
      <c r="I723" s="76">
        <v>1</v>
      </c>
      <c r="J723" s="299" t="s">
        <v>310</v>
      </c>
      <c r="K723" s="299"/>
      <c r="L723" s="287"/>
      <c r="Q723" s="287"/>
    </row>
    <row r="724" spans="2:17" s="91" customFormat="1" ht="14.25" hidden="1" customHeight="1" outlineLevel="2">
      <c r="B724" s="119" t="s">
        <v>272</v>
      </c>
      <c r="C724" s="266" t="s">
        <v>1454</v>
      </c>
      <c r="D724" s="124" t="s">
        <v>1447</v>
      </c>
      <c r="E724" s="125"/>
      <c r="F724" s="118" t="s">
        <v>1357</v>
      </c>
      <c r="G724" s="126" t="str">
        <f t="shared" ref="G724:G737" si="70">CONCATENATE("AR-",F724,"-",H724)</f>
        <v>AR-L30-1</v>
      </c>
      <c r="H724" s="253">
        <v>1</v>
      </c>
      <c r="I724" s="76">
        <v>1</v>
      </c>
      <c r="J724" s="299" t="s">
        <v>310</v>
      </c>
      <c r="K724" s="299"/>
      <c r="L724" s="287"/>
      <c r="Q724" s="287"/>
    </row>
    <row r="725" spans="2:17" s="91" customFormat="1" ht="14.25" hidden="1" customHeight="1" outlineLevel="2">
      <c r="B725" s="119" t="s">
        <v>272</v>
      </c>
      <c r="C725" s="266" t="s">
        <v>1455</v>
      </c>
      <c r="D725" s="124" t="s">
        <v>1449</v>
      </c>
      <c r="E725" s="125"/>
      <c r="F725" s="118" t="s">
        <v>1357</v>
      </c>
      <c r="G725" s="126" t="str">
        <f t="shared" si="70"/>
        <v>AR-L30-1</v>
      </c>
      <c r="H725" s="253">
        <v>1</v>
      </c>
      <c r="I725" s="76">
        <v>1</v>
      </c>
      <c r="J725" s="299" t="s">
        <v>310</v>
      </c>
      <c r="K725" s="299"/>
      <c r="L725" s="287"/>
      <c r="Q725" s="287"/>
    </row>
    <row r="726" spans="2:17" s="91" customFormat="1" ht="14.25" hidden="1" customHeight="1" outlineLevel="2">
      <c r="B726" s="119" t="s">
        <v>272</v>
      </c>
      <c r="C726" s="266" t="s">
        <v>1456</v>
      </c>
      <c r="D726" s="124" t="s">
        <v>1457</v>
      </c>
      <c r="E726" s="125"/>
      <c r="F726" s="118" t="s">
        <v>1357</v>
      </c>
      <c r="G726" s="126" t="str">
        <f t="shared" si="70"/>
        <v>AR-L30-1</v>
      </c>
      <c r="H726" s="253">
        <v>1</v>
      </c>
      <c r="I726" s="76">
        <v>1</v>
      </c>
      <c r="J726" s="299" t="s">
        <v>286</v>
      </c>
      <c r="K726" s="299"/>
      <c r="L726" s="287"/>
      <c r="Q726" s="287"/>
    </row>
    <row r="727" spans="2:17" s="91" customFormat="1" ht="14.25" hidden="1" customHeight="1" outlineLevel="2">
      <c r="B727" s="119" t="s">
        <v>272</v>
      </c>
      <c r="C727" s="266" t="s">
        <v>1458</v>
      </c>
      <c r="D727" s="124" t="s">
        <v>1459</v>
      </c>
      <c r="E727" s="125"/>
      <c r="F727" s="118" t="s">
        <v>1357</v>
      </c>
      <c r="G727" s="126" t="str">
        <f t="shared" si="70"/>
        <v>AR-L30-1</v>
      </c>
      <c r="H727" s="253">
        <v>1</v>
      </c>
      <c r="I727" s="76">
        <v>1</v>
      </c>
      <c r="J727" s="299" t="s">
        <v>310</v>
      </c>
      <c r="K727" s="299"/>
      <c r="L727" s="287"/>
      <c r="Q727" s="287"/>
    </row>
    <row r="728" spans="2:17" s="91" customFormat="1" ht="14.25" hidden="1" customHeight="1" outlineLevel="2">
      <c r="B728" s="119" t="s">
        <v>272</v>
      </c>
      <c r="C728" s="266" t="s">
        <v>1460</v>
      </c>
      <c r="D728" s="124" t="s">
        <v>1461</v>
      </c>
      <c r="E728" s="125"/>
      <c r="F728" s="118" t="s">
        <v>1357</v>
      </c>
      <c r="G728" s="126" t="str">
        <f t="shared" si="70"/>
        <v>AR-L30-1</v>
      </c>
      <c r="H728" s="253">
        <v>1</v>
      </c>
      <c r="I728" s="76">
        <v>1</v>
      </c>
      <c r="J728" s="299" t="s">
        <v>286</v>
      </c>
      <c r="K728" s="299"/>
      <c r="L728" s="287"/>
      <c r="Q728" s="287"/>
    </row>
    <row r="729" spans="2:17" s="91" customFormat="1" ht="14.25" hidden="1" customHeight="1" outlineLevel="2">
      <c r="B729" s="119" t="s">
        <v>272</v>
      </c>
      <c r="C729" s="266" t="s">
        <v>1462</v>
      </c>
      <c r="D729" s="124" t="s">
        <v>1461</v>
      </c>
      <c r="E729" s="125"/>
      <c r="F729" s="118" t="s">
        <v>1357</v>
      </c>
      <c r="G729" s="126" t="str">
        <f t="shared" si="70"/>
        <v>AR-L30-1</v>
      </c>
      <c r="H729" s="253">
        <v>1</v>
      </c>
      <c r="I729" s="76">
        <v>1</v>
      </c>
      <c r="J729" s="299" t="s">
        <v>286</v>
      </c>
      <c r="K729" s="299"/>
      <c r="L729" s="287"/>
      <c r="Q729" s="287"/>
    </row>
    <row r="730" spans="2:17" s="91" customFormat="1" ht="14.25" hidden="1" customHeight="1" outlineLevel="2">
      <c r="B730" s="119" t="s">
        <v>272</v>
      </c>
      <c r="C730" s="266" t="s">
        <v>1463</v>
      </c>
      <c r="D730" s="124" t="s">
        <v>1464</v>
      </c>
      <c r="E730" s="125"/>
      <c r="F730" s="118" t="s">
        <v>1357</v>
      </c>
      <c r="G730" s="126" t="str">
        <f t="shared" si="70"/>
        <v>AR-L30-1</v>
      </c>
      <c r="H730" s="253">
        <v>1</v>
      </c>
      <c r="I730" s="76">
        <v>1</v>
      </c>
      <c r="J730" s="299" t="s">
        <v>286</v>
      </c>
      <c r="K730" s="299"/>
      <c r="L730" s="287"/>
      <c r="Q730" s="287"/>
    </row>
    <row r="731" spans="2:17" s="91" customFormat="1" ht="14.25" hidden="1" customHeight="1" outlineLevel="2">
      <c r="B731" s="119" t="s">
        <v>272</v>
      </c>
      <c r="C731" s="266" t="s">
        <v>1465</v>
      </c>
      <c r="D731" s="124" t="s">
        <v>1466</v>
      </c>
      <c r="E731" s="125"/>
      <c r="F731" s="118" t="s">
        <v>1357</v>
      </c>
      <c r="G731" s="126" t="str">
        <f t="shared" si="70"/>
        <v>AR-L30-1</v>
      </c>
      <c r="H731" s="253">
        <v>1</v>
      </c>
      <c r="I731" s="76">
        <v>1</v>
      </c>
      <c r="J731" s="299" t="s">
        <v>310</v>
      </c>
      <c r="K731" s="299"/>
      <c r="L731" s="287"/>
      <c r="Q731" s="287"/>
    </row>
    <row r="732" spans="2:17" s="91" customFormat="1" ht="14.25" hidden="1" customHeight="1" outlineLevel="2">
      <c r="B732" s="119" t="s">
        <v>272</v>
      </c>
      <c r="C732" s="266" t="s">
        <v>1467</v>
      </c>
      <c r="D732" s="124" t="s">
        <v>1468</v>
      </c>
      <c r="E732" s="125"/>
      <c r="F732" s="118" t="s">
        <v>1357</v>
      </c>
      <c r="G732" s="126" t="str">
        <f t="shared" si="70"/>
        <v>AR-L30-1</v>
      </c>
      <c r="H732" s="253">
        <v>1</v>
      </c>
      <c r="I732" s="76">
        <v>1</v>
      </c>
      <c r="J732" s="299" t="s">
        <v>286</v>
      </c>
      <c r="K732" s="299"/>
      <c r="L732" s="287"/>
      <c r="Q732" s="287"/>
    </row>
    <row r="733" spans="2:17" s="91" customFormat="1" ht="14.25" hidden="1" customHeight="1" outlineLevel="2">
      <c r="B733" s="119" t="s">
        <v>272</v>
      </c>
      <c r="C733" s="266" t="s">
        <v>1469</v>
      </c>
      <c r="D733" s="124" t="s">
        <v>1470</v>
      </c>
      <c r="E733" s="125"/>
      <c r="F733" s="118" t="s">
        <v>1357</v>
      </c>
      <c r="G733" s="126" t="str">
        <f t="shared" si="70"/>
        <v>AR-L30-1</v>
      </c>
      <c r="H733" s="253">
        <v>1</v>
      </c>
      <c r="I733" s="76">
        <v>1</v>
      </c>
      <c r="J733" s="299" t="s">
        <v>286</v>
      </c>
      <c r="K733" s="299"/>
      <c r="L733" s="287"/>
      <c r="Q733" s="287"/>
    </row>
    <row r="734" spans="2:17" s="91" customFormat="1" ht="14.25" hidden="1" customHeight="1" outlineLevel="2">
      <c r="B734" s="119" t="s">
        <v>272</v>
      </c>
      <c r="C734" s="266" t="s">
        <v>1471</v>
      </c>
      <c r="D734" s="124" t="s">
        <v>1472</v>
      </c>
      <c r="E734" s="125"/>
      <c r="F734" s="118" t="s">
        <v>1357</v>
      </c>
      <c r="G734" s="126" t="str">
        <f t="shared" si="70"/>
        <v>AR-L30-1</v>
      </c>
      <c r="H734" s="253">
        <v>1</v>
      </c>
      <c r="I734" s="76">
        <v>1</v>
      </c>
      <c r="J734" s="299" t="s">
        <v>286</v>
      </c>
      <c r="K734" s="299"/>
      <c r="L734" s="287"/>
      <c r="Q734" s="287"/>
    </row>
    <row r="735" spans="2:17" s="91" customFormat="1" ht="14.25" hidden="1" customHeight="1" outlineLevel="2">
      <c r="B735" s="119" t="s">
        <v>272</v>
      </c>
      <c r="C735" s="266" t="s">
        <v>1473</v>
      </c>
      <c r="D735" s="124" t="s">
        <v>1474</v>
      </c>
      <c r="E735" s="125"/>
      <c r="F735" s="118" t="s">
        <v>1357</v>
      </c>
      <c r="G735" s="126" t="str">
        <f t="shared" si="70"/>
        <v>AR-L30-1</v>
      </c>
      <c r="H735" s="253">
        <v>1</v>
      </c>
      <c r="I735" s="76">
        <v>1</v>
      </c>
      <c r="J735" s="299" t="s">
        <v>286</v>
      </c>
      <c r="K735" s="299"/>
      <c r="L735" s="287"/>
      <c r="Q735" s="287"/>
    </row>
    <row r="736" spans="2:17" s="91" customFormat="1" ht="14.25" hidden="1" customHeight="1" outlineLevel="2">
      <c r="B736" s="119" t="s">
        <v>272</v>
      </c>
      <c r="C736" s="266" t="s">
        <v>1475</v>
      </c>
      <c r="D736" s="124" t="s">
        <v>1476</v>
      </c>
      <c r="E736" s="125"/>
      <c r="F736" s="118" t="s">
        <v>1357</v>
      </c>
      <c r="G736" s="126" t="str">
        <f t="shared" si="70"/>
        <v>AR-L30-1</v>
      </c>
      <c r="H736" s="253">
        <v>1</v>
      </c>
      <c r="I736" s="76">
        <v>1</v>
      </c>
      <c r="J736" s="299" t="s">
        <v>286</v>
      </c>
      <c r="K736" s="299"/>
      <c r="L736" s="287"/>
      <c r="Q736" s="287"/>
    </row>
    <row r="737" spans="1:17" s="91" customFormat="1" ht="14.25" hidden="1" customHeight="1" outlineLevel="2">
      <c r="B737" s="119" t="s">
        <v>272</v>
      </c>
      <c r="C737" s="266" t="s">
        <v>1477</v>
      </c>
      <c r="D737" s="124" t="s">
        <v>1478</v>
      </c>
      <c r="E737" s="125"/>
      <c r="F737" s="118" t="s">
        <v>1357</v>
      </c>
      <c r="G737" s="126" t="str">
        <f t="shared" si="70"/>
        <v>AR-L30-1</v>
      </c>
      <c r="H737" s="253">
        <v>1</v>
      </c>
      <c r="I737" s="76">
        <v>1</v>
      </c>
      <c r="J737" s="299" t="s">
        <v>286</v>
      </c>
      <c r="K737" s="299"/>
      <c r="L737" s="287"/>
      <c r="Q737" s="287"/>
    </row>
    <row r="738" spans="1:17" s="91" customFormat="1" ht="14.25" hidden="1" customHeight="1" outlineLevel="2">
      <c r="A738" s="268"/>
      <c r="B738" s="119" t="s">
        <v>272</v>
      </c>
      <c r="C738" s="266" t="s">
        <v>1479</v>
      </c>
      <c r="D738" s="124" t="s">
        <v>1480</v>
      </c>
      <c r="E738" s="125"/>
      <c r="F738" s="118" t="s">
        <v>1357</v>
      </c>
      <c r="G738" s="126" t="str">
        <f t="shared" ref="G738:G745" si="71">CONCATENATE("AR-",F738,"-",H738)</f>
        <v>AR-L30-1</v>
      </c>
      <c r="H738" s="253">
        <v>1</v>
      </c>
      <c r="I738" s="76">
        <v>1</v>
      </c>
      <c r="J738" s="299" t="s">
        <v>286</v>
      </c>
      <c r="K738" s="299"/>
      <c r="L738" s="287"/>
      <c r="Q738" s="287"/>
    </row>
    <row r="739" spans="1:17" s="91" customFormat="1" ht="14.25" hidden="1" customHeight="1" outlineLevel="2">
      <c r="A739" s="268"/>
      <c r="B739" s="119" t="s">
        <v>272</v>
      </c>
      <c r="C739" s="266" t="s">
        <v>1481</v>
      </c>
      <c r="D739" s="124" t="s">
        <v>1482</v>
      </c>
      <c r="E739" s="125"/>
      <c r="F739" s="118" t="s">
        <v>1357</v>
      </c>
      <c r="G739" s="126" t="str">
        <f t="shared" si="71"/>
        <v>AR-L30-1</v>
      </c>
      <c r="H739" s="253">
        <v>1</v>
      </c>
      <c r="I739" s="76">
        <v>1</v>
      </c>
      <c r="J739" s="299" t="s">
        <v>286</v>
      </c>
      <c r="K739" s="299"/>
      <c r="L739" s="287"/>
      <c r="Q739" s="287"/>
    </row>
    <row r="740" spans="1:17" s="91" customFormat="1" ht="14.25" hidden="1" customHeight="1" outlineLevel="2">
      <c r="A740" s="268"/>
      <c r="B740" s="119" t="s">
        <v>272</v>
      </c>
      <c r="C740" s="266" t="s">
        <v>1483</v>
      </c>
      <c r="D740" s="124" t="s">
        <v>1484</v>
      </c>
      <c r="E740" s="125"/>
      <c r="F740" s="118" t="s">
        <v>1357</v>
      </c>
      <c r="G740" s="126" t="str">
        <f t="shared" si="71"/>
        <v>AR-L30-1</v>
      </c>
      <c r="H740" s="253">
        <v>1</v>
      </c>
      <c r="I740" s="76">
        <v>1</v>
      </c>
      <c r="J740" s="299" t="s">
        <v>286</v>
      </c>
      <c r="K740" s="299"/>
      <c r="L740" s="287"/>
      <c r="Q740" s="287"/>
    </row>
    <row r="741" spans="1:17" s="91" customFormat="1" ht="14.25" hidden="1" customHeight="1" outlineLevel="2">
      <c r="A741" s="268"/>
      <c r="B741" s="119" t="s">
        <v>272</v>
      </c>
      <c r="C741" s="266" t="s">
        <v>1485</v>
      </c>
      <c r="D741" s="124" t="s">
        <v>1486</v>
      </c>
      <c r="E741" s="125"/>
      <c r="F741" s="118" t="s">
        <v>1357</v>
      </c>
      <c r="G741" s="126" t="str">
        <f t="shared" si="71"/>
        <v>AR-L30-1</v>
      </c>
      <c r="H741" s="253">
        <v>1</v>
      </c>
      <c r="I741" s="76">
        <v>1</v>
      </c>
      <c r="J741" s="299" t="s">
        <v>286</v>
      </c>
      <c r="K741" s="299"/>
      <c r="L741" s="287"/>
      <c r="Q741" s="287"/>
    </row>
    <row r="742" spans="1:17" s="91" customFormat="1" ht="14.25" hidden="1" customHeight="1" outlineLevel="2">
      <c r="A742" s="268"/>
      <c r="B742" s="119" t="s">
        <v>272</v>
      </c>
      <c r="C742" s="266" t="s">
        <v>1487</v>
      </c>
      <c r="D742" s="124" t="s">
        <v>1488</v>
      </c>
      <c r="E742" s="125"/>
      <c r="F742" s="118" t="s">
        <v>1357</v>
      </c>
      <c r="G742" s="126" t="str">
        <f t="shared" si="71"/>
        <v>AR-L30-1</v>
      </c>
      <c r="H742" s="253">
        <v>1</v>
      </c>
      <c r="I742" s="76">
        <v>1</v>
      </c>
      <c r="J742" s="299" t="s">
        <v>286</v>
      </c>
      <c r="K742" s="299"/>
      <c r="L742" s="287"/>
      <c r="Q742" s="287"/>
    </row>
    <row r="743" spans="1:17" s="91" customFormat="1" ht="14.25" hidden="1" customHeight="1" outlineLevel="2">
      <c r="A743" s="268"/>
      <c r="B743" s="119" t="s">
        <v>272</v>
      </c>
      <c r="C743" s="266" t="s">
        <v>1489</v>
      </c>
      <c r="D743" s="124" t="s">
        <v>1490</v>
      </c>
      <c r="E743" s="125"/>
      <c r="F743" s="118" t="s">
        <v>1357</v>
      </c>
      <c r="G743" s="126" t="str">
        <f t="shared" si="71"/>
        <v>AR-L30-1</v>
      </c>
      <c r="H743" s="253">
        <v>1</v>
      </c>
      <c r="I743" s="76">
        <v>1</v>
      </c>
      <c r="J743" s="299" t="s">
        <v>286</v>
      </c>
      <c r="K743" s="299"/>
      <c r="L743" s="287"/>
      <c r="Q743" s="287"/>
    </row>
    <row r="744" spans="1:17" s="91" customFormat="1" ht="14.25" hidden="1" customHeight="1" outlineLevel="2">
      <c r="B744" s="119" t="s">
        <v>272</v>
      </c>
      <c r="C744" s="266" t="s">
        <v>1491</v>
      </c>
      <c r="D744" s="124" t="s">
        <v>1492</v>
      </c>
      <c r="E744" s="125"/>
      <c r="F744" s="118" t="s">
        <v>1357</v>
      </c>
      <c r="G744" s="126" t="str">
        <f t="shared" si="71"/>
        <v>AR-L30-1</v>
      </c>
      <c r="H744" s="253">
        <v>1</v>
      </c>
      <c r="I744" s="76">
        <v>1</v>
      </c>
      <c r="J744" s="299" t="s">
        <v>286</v>
      </c>
      <c r="K744" s="299"/>
      <c r="L744" s="287"/>
      <c r="Q744" s="287"/>
    </row>
    <row r="745" spans="1:17" s="91" customFormat="1" ht="14.25" hidden="1" customHeight="1" outlineLevel="2">
      <c r="B745" s="119" t="s">
        <v>272</v>
      </c>
      <c r="C745" s="266" t="s">
        <v>1493</v>
      </c>
      <c r="D745" s="124" t="s">
        <v>1494</v>
      </c>
      <c r="E745" s="125"/>
      <c r="F745" s="118" t="s">
        <v>1357</v>
      </c>
      <c r="G745" s="126" t="str">
        <f t="shared" si="71"/>
        <v>AR-L30-1</v>
      </c>
      <c r="H745" s="253">
        <v>1</v>
      </c>
      <c r="I745" s="76">
        <v>1</v>
      </c>
      <c r="J745" s="299" t="s">
        <v>286</v>
      </c>
      <c r="K745" s="299"/>
      <c r="L745" s="287"/>
      <c r="Q745" s="287"/>
    </row>
    <row r="746" spans="1:17" s="91" customFormat="1" ht="14.25" hidden="1" customHeight="1" outlineLevel="2">
      <c r="B746" s="119" t="s">
        <v>272</v>
      </c>
      <c r="C746" s="266" t="s">
        <v>1495</v>
      </c>
      <c r="D746" s="124" t="s">
        <v>1496</v>
      </c>
      <c r="E746" s="125"/>
      <c r="F746" s="118" t="s">
        <v>1357</v>
      </c>
      <c r="G746" s="126" t="str">
        <f t="shared" ref="G746:G759" si="72">CONCATENATE("AR-",F746,"-",H746)</f>
        <v>AR-L30-1</v>
      </c>
      <c r="H746" s="253">
        <v>1</v>
      </c>
      <c r="I746" s="76">
        <v>1</v>
      </c>
      <c r="J746" s="299" t="s">
        <v>286</v>
      </c>
      <c r="K746" s="299"/>
      <c r="L746" s="287"/>
      <c r="Q746" s="287"/>
    </row>
    <row r="747" spans="1:17" s="91" customFormat="1" ht="14.25" hidden="1" customHeight="1" outlineLevel="2">
      <c r="B747" s="119" t="s">
        <v>272</v>
      </c>
      <c r="C747" s="266" t="s">
        <v>1497</v>
      </c>
      <c r="D747" s="124" t="s">
        <v>1498</v>
      </c>
      <c r="E747" s="125"/>
      <c r="F747" s="118" t="s">
        <v>1357</v>
      </c>
      <c r="G747" s="126" t="str">
        <f t="shared" si="72"/>
        <v>AR-L30-1</v>
      </c>
      <c r="H747" s="253">
        <v>1</v>
      </c>
      <c r="I747" s="76">
        <v>1</v>
      </c>
      <c r="J747" s="299" t="s">
        <v>286</v>
      </c>
      <c r="K747" s="299"/>
      <c r="L747" s="287"/>
      <c r="Q747" s="287"/>
    </row>
    <row r="748" spans="1:17" s="91" customFormat="1" ht="14.25" hidden="1" customHeight="1" outlineLevel="2">
      <c r="B748" s="119" t="s">
        <v>272</v>
      </c>
      <c r="C748" s="266" t="s">
        <v>1499</v>
      </c>
      <c r="D748" s="124" t="s">
        <v>1500</v>
      </c>
      <c r="E748" s="125"/>
      <c r="F748" s="118" t="s">
        <v>1357</v>
      </c>
      <c r="G748" s="126" t="str">
        <f t="shared" si="72"/>
        <v>AR-L30-1</v>
      </c>
      <c r="H748" s="253">
        <v>1</v>
      </c>
      <c r="I748" s="76">
        <v>1</v>
      </c>
      <c r="J748" s="299" t="s">
        <v>286</v>
      </c>
      <c r="K748" s="299"/>
      <c r="L748" s="287"/>
      <c r="Q748" s="287"/>
    </row>
    <row r="749" spans="1:17" s="91" customFormat="1" ht="14.25" hidden="1" customHeight="1" outlineLevel="2">
      <c r="B749" s="119" t="s">
        <v>272</v>
      </c>
      <c r="C749" s="266" t="s">
        <v>1501</v>
      </c>
      <c r="D749" s="124" t="s">
        <v>1502</v>
      </c>
      <c r="E749" s="125"/>
      <c r="F749" s="118" t="s">
        <v>1357</v>
      </c>
      <c r="G749" s="126" t="str">
        <f t="shared" si="72"/>
        <v>AR-L30-1</v>
      </c>
      <c r="H749" s="253">
        <v>1</v>
      </c>
      <c r="I749" s="76">
        <v>1</v>
      </c>
      <c r="J749" s="299" t="s">
        <v>286</v>
      </c>
      <c r="K749" s="299"/>
      <c r="L749" s="287"/>
      <c r="Q749" s="287"/>
    </row>
    <row r="750" spans="1:17" s="91" customFormat="1" ht="14.25" hidden="1" customHeight="1" outlineLevel="2">
      <c r="B750" s="119" t="s">
        <v>272</v>
      </c>
      <c r="C750" s="266" t="s">
        <v>1503</v>
      </c>
      <c r="D750" s="124" t="s">
        <v>1092</v>
      </c>
      <c r="E750" s="125"/>
      <c r="F750" s="118" t="s">
        <v>1357</v>
      </c>
      <c r="G750" s="126" t="str">
        <f t="shared" si="72"/>
        <v>AR-L30-1</v>
      </c>
      <c r="H750" s="253">
        <v>1</v>
      </c>
      <c r="I750" s="76">
        <v>1</v>
      </c>
      <c r="J750" s="299" t="s">
        <v>310</v>
      </c>
      <c r="K750" s="299"/>
      <c r="L750" s="287"/>
      <c r="Q750" s="287"/>
    </row>
    <row r="751" spans="1:17" s="91" customFormat="1" ht="14.25" hidden="1" customHeight="1" outlineLevel="2">
      <c r="B751" s="119" t="s">
        <v>272</v>
      </c>
      <c r="C751" s="266" t="s">
        <v>1504</v>
      </c>
      <c r="D751" s="124" t="s">
        <v>1092</v>
      </c>
      <c r="E751" s="125"/>
      <c r="F751" s="118" t="s">
        <v>1357</v>
      </c>
      <c r="G751" s="126" t="str">
        <f t="shared" si="72"/>
        <v>AR-L30-1</v>
      </c>
      <c r="H751" s="253">
        <v>1</v>
      </c>
      <c r="I751" s="76">
        <v>1</v>
      </c>
      <c r="J751" s="299" t="s">
        <v>286</v>
      </c>
      <c r="K751" s="299"/>
      <c r="L751" s="287"/>
      <c r="Q751" s="287"/>
    </row>
    <row r="752" spans="1:17" s="91" customFormat="1" ht="14.25" hidden="1" customHeight="1" outlineLevel="2">
      <c r="B752" s="119" t="s">
        <v>272</v>
      </c>
      <c r="C752" s="266" t="s">
        <v>1505</v>
      </c>
      <c r="D752" s="124" t="s">
        <v>1092</v>
      </c>
      <c r="E752" s="125"/>
      <c r="F752" s="118" t="s">
        <v>1357</v>
      </c>
      <c r="G752" s="126" t="str">
        <f t="shared" si="72"/>
        <v>AR-L30-1</v>
      </c>
      <c r="H752" s="253">
        <v>1</v>
      </c>
      <c r="I752" s="76">
        <v>1</v>
      </c>
      <c r="J752" s="299" t="s">
        <v>286</v>
      </c>
      <c r="K752" s="299"/>
      <c r="L752" s="287"/>
      <c r="Q752" s="287"/>
    </row>
    <row r="753" spans="2:17" s="91" customFormat="1" ht="14.25" hidden="1" customHeight="1" outlineLevel="2">
      <c r="B753" s="119" t="s">
        <v>272</v>
      </c>
      <c r="C753" s="266" t="s">
        <v>1506</v>
      </c>
      <c r="D753" s="124" t="s">
        <v>1092</v>
      </c>
      <c r="E753" s="125"/>
      <c r="F753" s="118" t="s">
        <v>1357</v>
      </c>
      <c r="G753" s="126" t="str">
        <f t="shared" si="72"/>
        <v>AR-L30-1</v>
      </c>
      <c r="H753" s="253">
        <v>1</v>
      </c>
      <c r="I753" s="76">
        <v>1</v>
      </c>
      <c r="J753" s="299" t="s">
        <v>310</v>
      </c>
      <c r="K753" s="299"/>
      <c r="L753" s="287"/>
      <c r="Q753" s="287"/>
    </row>
    <row r="754" spans="2:17" s="91" customFormat="1" ht="14.25" hidden="1" customHeight="1" outlineLevel="2">
      <c r="B754" s="119" t="s">
        <v>272</v>
      </c>
      <c r="C754" s="266" t="s">
        <v>1507</v>
      </c>
      <c r="D754" s="124" t="s">
        <v>1092</v>
      </c>
      <c r="E754" s="125"/>
      <c r="F754" s="118" t="s">
        <v>1357</v>
      </c>
      <c r="G754" s="126" t="str">
        <f t="shared" si="72"/>
        <v>AR-L30-1</v>
      </c>
      <c r="H754" s="253">
        <v>1</v>
      </c>
      <c r="I754" s="76">
        <v>1</v>
      </c>
      <c r="J754" s="299" t="s">
        <v>310</v>
      </c>
      <c r="K754" s="299"/>
      <c r="L754" s="287"/>
      <c r="Q754" s="287"/>
    </row>
    <row r="755" spans="2:17" s="91" customFormat="1" ht="14.25" hidden="1" customHeight="1" outlineLevel="2">
      <c r="B755" s="119" t="s">
        <v>272</v>
      </c>
      <c r="C755" s="266" t="s">
        <v>1508</v>
      </c>
      <c r="D755" s="124" t="s">
        <v>1092</v>
      </c>
      <c r="E755" s="125"/>
      <c r="F755" s="118" t="s">
        <v>1357</v>
      </c>
      <c r="G755" s="126" t="str">
        <f t="shared" si="72"/>
        <v>AR-L30-1</v>
      </c>
      <c r="H755" s="253">
        <v>1</v>
      </c>
      <c r="I755" s="76">
        <v>1</v>
      </c>
      <c r="J755" s="299" t="s">
        <v>310</v>
      </c>
      <c r="K755" s="299"/>
      <c r="L755" s="287"/>
      <c r="Q755" s="287"/>
    </row>
    <row r="756" spans="2:17" s="91" customFormat="1" ht="14.25" hidden="1" customHeight="1" outlineLevel="2">
      <c r="B756" s="119" t="s">
        <v>272</v>
      </c>
      <c r="C756" s="266" t="s">
        <v>1509</v>
      </c>
      <c r="D756" s="124" t="s">
        <v>1092</v>
      </c>
      <c r="E756" s="125"/>
      <c r="F756" s="118" t="s">
        <v>1357</v>
      </c>
      <c r="G756" s="126" t="str">
        <f t="shared" si="72"/>
        <v>AR-L30-1</v>
      </c>
      <c r="H756" s="253">
        <v>1</v>
      </c>
      <c r="I756" s="76">
        <v>1</v>
      </c>
      <c r="J756" s="299" t="s">
        <v>310</v>
      </c>
      <c r="K756" s="299"/>
      <c r="L756" s="287"/>
      <c r="Q756" s="287"/>
    </row>
    <row r="757" spans="2:17" s="91" customFormat="1" ht="14.25" hidden="1" customHeight="1" outlineLevel="2">
      <c r="B757" s="119" t="s">
        <v>272</v>
      </c>
      <c r="C757" s="266" t="s">
        <v>1510</v>
      </c>
      <c r="D757" s="124" t="s">
        <v>1092</v>
      </c>
      <c r="E757" s="125"/>
      <c r="F757" s="118" t="s">
        <v>1357</v>
      </c>
      <c r="G757" s="126" t="str">
        <f t="shared" si="72"/>
        <v>AR-L30-1</v>
      </c>
      <c r="H757" s="253">
        <v>1</v>
      </c>
      <c r="I757" s="76">
        <v>1</v>
      </c>
      <c r="J757" s="299" t="s">
        <v>286</v>
      </c>
      <c r="K757" s="299"/>
      <c r="L757" s="287"/>
      <c r="Q757" s="287"/>
    </row>
    <row r="758" spans="2:17" s="91" customFormat="1" ht="14.25" hidden="1" customHeight="1" outlineLevel="2">
      <c r="B758" s="119" t="s">
        <v>272</v>
      </c>
      <c r="C758" s="266" t="s">
        <v>1511</v>
      </c>
      <c r="D758" s="124" t="s">
        <v>1092</v>
      </c>
      <c r="E758" s="125"/>
      <c r="F758" s="118" t="s">
        <v>1357</v>
      </c>
      <c r="G758" s="126" t="str">
        <f t="shared" si="72"/>
        <v>AR-L30-1</v>
      </c>
      <c r="H758" s="253">
        <v>1</v>
      </c>
      <c r="I758" s="76">
        <v>1</v>
      </c>
      <c r="J758" s="299" t="s">
        <v>310</v>
      </c>
      <c r="K758" s="299"/>
      <c r="L758" s="287"/>
      <c r="Q758" s="287"/>
    </row>
    <row r="759" spans="2:17" s="91" customFormat="1" ht="14.25" hidden="1" customHeight="1" outlineLevel="2">
      <c r="B759" s="119" t="s">
        <v>272</v>
      </c>
      <c r="C759" s="266" t="s">
        <v>1512</v>
      </c>
      <c r="D759" s="124" t="s">
        <v>1092</v>
      </c>
      <c r="E759" s="125"/>
      <c r="F759" s="118" t="s">
        <v>1357</v>
      </c>
      <c r="G759" s="126" t="str">
        <f t="shared" si="72"/>
        <v>AR-L30-1</v>
      </c>
      <c r="H759" s="253">
        <v>1</v>
      </c>
      <c r="I759" s="76">
        <v>1</v>
      </c>
      <c r="J759" s="299" t="s">
        <v>286</v>
      </c>
      <c r="K759" s="299"/>
      <c r="L759" s="287"/>
      <c r="Q759" s="287"/>
    </row>
    <row r="760" spans="2:17" s="91" customFormat="1" ht="14.25" hidden="1" customHeight="1" outlineLevel="2">
      <c r="B760" s="119" t="s">
        <v>272</v>
      </c>
      <c r="C760" s="266" t="s">
        <v>1513</v>
      </c>
      <c r="D760" s="124" t="s">
        <v>1514</v>
      </c>
      <c r="E760" s="125"/>
      <c r="F760" s="118" t="s">
        <v>1357</v>
      </c>
      <c r="G760" s="126" t="str">
        <f t="shared" ref="G760:G781" si="73">CONCATENATE("AR-",F760,"-",H760)</f>
        <v>AR-L30-1</v>
      </c>
      <c r="H760" s="253">
        <v>1</v>
      </c>
      <c r="I760" s="76">
        <v>1</v>
      </c>
      <c r="J760" s="299" t="s">
        <v>286</v>
      </c>
      <c r="K760" s="299"/>
      <c r="L760" s="287"/>
      <c r="Q760" s="287"/>
    </row>
    <row r="761" spans="2:17" s="91" customFormat="1" ht="14.25" hidden="1" customHeight="1" outlineLevel="2">
      <c r="B761" s="119" t="s">
        <v>272</v>
      </c>
      <c r="C761" s="266" t="s">
        <v>1515</v>
      </c>
      <c r="D761" s="124" t="s">
        <v>1425</v>
      </c>
      <c r="E761" s="125"/>
      <c r="F761" s="118" t="s">
        <v>1357</v>
      </c>
      <c r="G761" s="126" t="str">
        <f t="shared" si="73"/>
        <v>AR-L30-1</v>
      </c>
      <c r="H761" s="253">
        <v>1</v>
      </c>
      <c r="I761" s="76">
        <v>1</v>
      </c>
      <c r="J761" s="299" t="s">
        <v>286</v>
      </c>
      <c r="K761" s="299"/>
      <c r="L761" s="287"/>
      <c r="Q761" s="287"/>
    </row>
    <row r="762" spans="2:17" s="91" customFormat="1" ht="14.25" hidden="1" customHeight="1" outlineLevel="2">
      <c r="B762" s="119" t="s">
        <v>272</v>
      </c>
      <c r="C762" s="266" t="s">
        <v>1516</v>
      </c>
      <c r="D762" s="124" t="s">
        <v>1434</v>
      </c>
      <c r="E762" s="125"/>
      <c r="F762" s="118" t="s">
        <v>1357</v>
      </c>
      <c r="G762" s="126" t="str">
        <f t="shared" si="73"/>
        <v>AR-L30-1</v>
      </c>
      <c r="H762" s="253">
        <v>1</v>
      </c>
      <c r="I762" s="76">
        <v>1</v>
      </c>
      <c r="J762" s="299" t="s">
        <v>286</v>
      </c>
      <c r="K762" s="299"/>
      <c r="L762" s="287"/>
      <c r="Q762" s="287"/>
    </row>
    <row r="763" spans="2:17" s="91" customFormat="1" ht="14.25" hidden="1" customHeight="1" outlineLevel="2">
      <c r="B763" s="119" t="s">
        <v>272</v>
      </c>
      <c r="C763" s="266" t="s">
        <v>1517</v>
      </c>
      <c r="D763" s="124" t="s">
        <v>1436</v>
      </c>
      <c r="E763" s="125"/>
      <c r="F763" s="118" t="s">
        <v>1357</v>
      </c>
      <c r="G763" s="126" t="str">
        <f t="shared" si="73"/>
        <v>AR-L30-1</v>
      </c>
      <c r="H763" s="253">
        <v>1</v>
      </c>
      <c r="I763" s="76">
        <v>1</v>
      </c>
      <c r="J763" s="299" t="s">
        <v>286</v>
      </c>
      <c r="K763" s="299"/>
      <c r="L763" s="287"/>
      <c r="Q763" s="287"/>
    </row>
    <row r="764" spans="2:17" s="91" customFormat="1" ht="14.25" hidden="1" customHeight="1" outlineLevel="2">
      <c r="B764" s="119" t="s">
        <v>272</v>
      </c>
      <c r="C764" s="266" t="s">
        <v>1518</v>
      </c>
      <c r="D764" s="124" t="s">
        <v>1438</v>
      </c>
      <c r="E764" s="125"/>
      <c r="F764" s="118" t="s">
        <v>1357</v>
      </c>
      <c r="G764" s="126" t="str">
        <f t="shared" si="73"/>
        <v>AR-L30-1</v>
      </c>
      <c r="H764" s="253">
        <v>1</v>
      </c>
      <c r="I764" s="76">
        <v>1</v>
      </c>
      <c r="J764" s="299" t="s">
        <v>286</v>
      </c>
      <c r="K764" s="299"/>
      <c r="L764" s="287"/>
      <c r="Q764" s="287"/>
    </row>
    <row r="765" spans="2:17" s="91" customFormat="1" ht="14.25" hidden="1" customHeight="1" outlineLevel="2">
      <c r="B765" s="119" t="s">
        <v>272</v>
      </c>
      <c r="C765" s="266" t="s">
        <v>1519</v>
      </c>
      <c r="D765" s="124" t="s">
        <v>1094</v>
      </c>
      <c r="E765" s="125"/>
      <c r="F765" s="118" t="s">
        <v>1357</v>
      </c>
      <c r="G765" s="126" t="str">
        <f t="shared" si="73"/>
        <v>AR-L30-1</v>
      </c>
      <c r="H765" s="253">
        <v>1</v>
      </c>
      <c r="I765" s="76">
        <v>1</v>
      </c>
      <c r="J765" s="299" t="s">
        <v>286</v>
      </c>
      <c r="K765" s="299"/>
      <c r="L765" s="287"/>
      <c r="Q765" s="287"/>
    </row>
    <row r="766" spans="2:17" s="91" customFormat="1" ht="14.25" hidden="1" customHeight="1" outlineLevel="2">
      <c r="B766" s="119" t="s">
        <v>272</v>
      </c>
      <c r="C766" s="266" t="s">
        <v>1520</v>
      </c>
      <c r="D766" s="124" t="s">
        <v>1441</v>
      </c>
      <c r="E766" s="125"/>
      <c r="F766" s="118" t="s">
        <v>1357</v>
      </c>
      <c r="G766" s="126" t="str">
        <f t="shared" si="73"/>
        <v>AR-L30-1</v>
      </c>
      <c r="H766" s="253">
        <v>1</v>
      </c>
      <c r="I766" s="76">
        <v>1</v>
      </c>
      <c r="J766" s="299" t="s">
        <v>286</v>
      </c>
      <c r="K766" s="299"/>
      <c r="L766" s="287"/>
      <c r="Q766" s="287"/>
    </row>
    <row r="767" spans="2:17" s="91" customFormat="1" ht="14.25" hidden="1" customHeight="1" outlineLevel="2">
      <c r="B767" s="119" t="s">
        <v>272</v>
      </c>
      <c r="C767" s="266" t="s">
        <v>1521</v>
      </c>
      <c r="D767" s="124" t="s">
        <v>1445</v>
      </c>
      <c r="E767" s="125"/>
      <c r="F767" s="118" t="s">
        <v>1357</v>
      </c>
      <c r="G767" s="126" t="str">
        <f t="shared" si="73"/>
        <v>AR-L30-1</v>
      </c>
      <c r="H767" s="253">
        <v>1</v>
      </c>
      <c r="I767" s="76">
        <v>1</v>
      </c>
      <c r="J767" s="299" t="s">
        <v>286</v>
      </c>
      <c r="K767" s="299"/>
      <c r="L767" s="287"/>
      <c r="Q767" s="287"/>
    </row>
    <row r="768" spans="2:17" s="91" customFormat="1" ht="14.25" hidden="1" customHeight="1" outlineLevel="2">
      <c r="B768" s="119" t="s">
        <v>272</v>
      </c>
      <c r="C768" s="266" t="s">
        <v>1522</v>
      </c>
      <c r="D768" s="124" t="s">
        <v>1447</v>
      </c>
      <c r="E768" s="125"/>
      <c r="F768" s="118" t="s">
        <v>1357</v>
      </c>
      <c r="G768" s="126" t="str">
        <f t="shared" si="73"/>
        <v>AR-L30-1</v>
      </c>
      <c r="H768" s="253">
        <v>1</v>
      </c>
      <c r="I768" s="76">
        <v>1</v>
      </c>
      <c r="J768" s="299" t="s">
        <v>286</v>
      </c>
      <c r="K768" s="299"/>
      <c r="L768" s="287"/>
      <c r="Q768" s="287"/>
    </row>
    <row r="769" spans="1:17" s="91" customFormat="1" ht="14.25" hidden="1" customHeight="1" outlineLevel="2">
      <c r="B769" s="119" t="s">
        <v>272</v>
      </c>
      <c r="C769" s="266" t="s">
        <v>1523</v>
      </c>
      <c r="D769" s="124" t="s">
        <v>1447</v>
      </c>
      <c r="E769" s="125"/>
      <c r="F769" s="118" t="s">
        <v>1357</v>
      </c>
      <c r="G769" s="126" t="str">
        <f t="shared" si="73"/>
        <v>AR-L30-1</v>
      </c>
      <c r="H769" s="253">
        <v>1</v>
      </c>
      <c r="I769" s="76">
        <v>1</v>
      </c>
      <c r="J769" s="299" t="s">
        <v>286</v>
      </c>
      <c r="K769" s="299"/>
      <c r="L769" s="287"/>
      <c r="Q769" s="287"/>
    </row>
    <row r="770" spans="1:17" s="91" customFormat="1" ht="14.25" hidden="1" customHeight="1" outlineLevel="2">
      <c r="B770" s="119" t="s">
        <v>272</v>
      </c>
      <c r="C770" s="266" t="s">
        <v>1524</v>
      </c>
      <c r="D770" s="124" t="s">
        <v>1447</v>
      </c>
      <c r="E770" s="125"/>
      <c r="F770" s="118" t="s">
        <v>1357</v>
      </c>
      <c r="G770" s="126" t="str">
        <f t="shared" si="73"/>
        <v>AR-L30-1</v>
      </c>
      <c r="H770" s="253">
        <v>1</v>
      </c>
      <c r="I770" s="76">
        <v>1</v>
      </c>
      <c r="J770" s="299" t="s">
        <v>286</v>
      </c>
      <c r="K770" s="299"/>
      <c r="L770" s="287"/>
      <c r="Q770" s="287"/>
    </row>
    <row r="771" spans="1:17" s="91" customFormat="1" ht="14.25" hidden="1" customHeight="1" outlineLevel="2">
      <c r="B771" s="119" t="s">
        <v>272</v>
      </c>
      <c r="C771" s="266" t="s">
        <v>1525</v>
      </c>
      <c r="D771" s="124" t="s">
        <v>1447</v>
      </c>
      <c r="E771" s="125"/>
      <c r="F771" s="118" t="s">
        <v>1357</v>
      </c>
      <c r="G771" s="126" t="str">
        <f t="shared" si="73"/>
        <v>AR-L30-1</v>
      </c>
      <c r="H771" s="253">
        <v>1</v>
      </c>
      <c r="I771" s="76">
        <v>1</v>
      </c>
      <c r="J771" s="299" t="s">
        <v>286</v>
      </c>
      <c r="K771" s="299"/>
      <c r="L771" s="287"/>
      <c r="Q771" s="287"/>
    </row>
    <row r="772" spans="1:17" s="91" customFormat="1" ht="14.25" hidden="1" customHeight="1" outlineLevel="2">
      <c r="B772" s="119" t="s">
        <v>272</v>
      </c>
      <c r="C772" s="266" t="s">
        <v>1526</v>
      </c>
      <c r="D772" s="124" t="s">
        <v>1457</v>
      </c>
      <c r="E772" s="125"/>
      <c r="F772" s="118" t="s">
        <v>1357</v>
      </c>
      <c r="G772" s="126" t="str">
        <f t="shared" si="73"/>
        <v>AR-L30-1</v>
      </c>
      <c r="H772" s="253">
        <v>1</v>
      </c>
      <c r="I772" s="76">
        <v>1</v>
      </c>
      <c r="J772" s="299" t="s">
        <v>286</v>
      </c>
      <c r="K772" s="299"/>
      <c r="L772" s="287"/>
      <c r="Q772" s="287"/>
    </row>
    <row r="773" spans="1:17" s="91" customFormat="1" ht="14.25" hidden="1" customHeight="1" outlineLevel="2">
      <c r="B773" s="119" t="s">
        <v>272</v>
      </c>
      <c r="C773" s="266" t="s">
        <v>1527</v>
      </c>
      <c r="D773" s="124" t="s">
        <v>1459</v>
      </c>
      <c r="E773" s="125"/>
      <c r="F773" s="118" t="s">
        <v>1357</v>
      </c>
      <c r="G773" s="126" t="str">
        <f t="shared" si="73"/>
        <v>AR-L30-1</v>
      </c>
      <c r="H773" s="253">
        <v>1</v>
      </c>
      <c r="I773" s="76">
        <v>1</v>
      </c>
      <c r="J773" s="299" t="s">
        <v>286</v>
      </c>
      <c r="K773" s="299"/>
      <c r="L773" s="287"/>
      <c r="Q773" s="287"/>
    </row>
    <row r="774" spans="1:17" s="91" customFormat="1" ht="14.25" hidden="1" customHeight="1" outlineLevel="2">
      <c r="A774" s="268"/>
      <c r="B774" s="119" t="s">
        <v>272</v>
      </c>
      <c r="C774" s="266" t="s">
        <v>1528</v>
      </c>
      <c r="D774" s="124" t="s">
        <v>1461</v>
      </c>
      <c r="E774" s="125"/>
      <c r="F774" s="118" t="s">
        <v>1357</v>
      </c>
      <c r="G774" s="126" t="str">
        <f t="shared" si="73"/>
        <v>AR-L30-1</v>
      </c>
      <c r="H774" s="253">
        <v>1</v>
      </c>
      <c r="I774" s="76">
        <v>1</v>
      </c>
      <c r="J774" s="299" t="s">
        <v>286</v>
      </c>
      <c r="K774" s="299"/>
      <c r="L774" s="287"/>
      <c r="Q774" s="287"/>
    </row>
    <row r="775" spans="1:17" s="91" customFormat="1" ht="14.25" hidden="1" customHeight="1" outlineLevel="2">
      <c r="A775" s="268"/>
      <c r="B775" s="119" t="s">
        <v>272</v>
      </c>
      <c r="C775" s="266" t="s">
        <v>1529</v>
      </c>
      <c r="D775" s="124" t="s">
        <v>1461</v>
      </c>
      <c r="E775" s="125"/>
      <c r="F775" s="118" t="s">
        <v>1357</v>
      </c>
      <c r="G775" s="126" t="str">
        <f t="shared" si="73"/>
        <v>AR-L30-1</v>
      </c>
      <c r="H775" s="253">
        <v>1</v>
      </c>
      <c r="I775" s="76">
        <v>1</v>
      </c>
      <c r="J775" s="299" t="s">
        <v>286</v>
      </c>
      <c r="K775" s="299"/>
      <c r="L775" s="287"/>
      <c r="Q775" s="287"/>
    </row>
    <row r="776" spans="1:17" s="91" customFormat="1" ht="14.25" hidden="1" customHeight="1" outlineLevel="2">
      <c r="A776" s="268"/>
      <c r="B776" s="119" t="s">
        <v>272</v>
      </c>
      <c r="C776" s="266" t="s">
        <v>1530</v>
      </c>
      <c r="D776" s="124" t="s">
        <v>1464</v>
      </c>
      <c r="E776" s="125"/>
      <c r="F776" s="118" t="s">
        <v>1357</v>
      </c>
      <c r="G776" s="126" t="str">
        <f t="shared" si="73"/>
        <v>AR-L30-1</v>
      </c>
      <c r="H776" s="253">
        <v>1</v>
      </c>
      <c r="I776" s="76">
        <v>1</v>
      </c>
      <c r="J776" s="299" t="s">
        <v>286</v>
      </c>
      <c r="K776" s="299"/>
      <c r="L776" s="287"/>
      <c r="Q776" s="287"/>
    </row>
    <row r="777" spans="1:17" s="91" customFormat="1" ht="14.25" hidden="1" customHeight="1" outlineLevel="2">
      <c r="A777" s="268"/>
      <c r="B777" s="119" t="s">
        <v>272</v>
      </c>
      <c r="C777" s="266" t="s">
        <v>1531</v>
      </c>
      <c r="D777" s="124" t="s">
        <v>1466</v>
      </c>
      <c r="E777" s="125"/>
      <c r="F777" s="118" t="s">
        <v>1357</v>
      </c>
      <c r="G777" s="126" t="str">
        <f t="shared" si="73"/>
        <v>AR-L30-1</v>
      </c>
      <c r="H777" s="253">
        <v>1</v>
      </c>
      <c r="I777" s="76">
        <v>1</v>
      </c>
      <c r="J777" s="299" t="s">
        <v>286</v>
      </c>
      <c r="K777" s="299"/>
      <c r="L777" s="287"/>
      <c r="Q777" s="287"/>
    </row>
    <row r="778" spans="1:17" s="91" customFormat="1" ht="14.25" hidden="1" customHeight="1" outlineLevel="2">
      <c r="A778" s="268"/>
      <c r="B778" s="119" t="s">
        <v>272</v>
      </c>
      <c r="C778" s="266" t="s">
        <v>1532</v>
      </c>
      <c r="D778" s="124" t="s">
        <v>1468</v>
      </c>
      <c r="E778" s="125"/>
      <c r="F778" s="118" t="s">
        <v>1357</v>
      </c>
      <c r="G778" s="126" t="str">
        <f t="shared" si="73"/>
        <v>AR-L30-1</v>
      </c>
      <c r="H778" s="253">
        <v>1</v>
      </c>
      <c r="I778" s="76">
        <v>1</v>
      </c>
      <c r="J778" s="299" t="s">
        <v>286</v>
      </c>
      <c r="K778" s="299"/>
      <c r="L778" s="287"/>
      <c r="Q778" s="287"/>
    </row>
    <row r="779" spans="1:17" s="91" customFormat="1" ht="14.25" hidden="1" customHeight="1" outlineLevel="2">
      <c r="A779" s="268"/>
      <c r="B779" s="119" t="s">
        <v>272</v>
      </c>
      <c r="C779" s="266" t="s">
        <v>1533</v>
      </c>
      <c r="D779" s="124" t="s">
        <v>1534</v>
      </c>
      <c r="E779" s="125"/>
      <c r="F779" s="118" t="s">
        <v>1357</v>
      </c>
      <c r="G779" s="126" t="str">
        <f t="shared" si="73"/>
        <v>AR-L30-1</v>
      </c>
      <c r="H779" s="253">
        <v>1</v>
      </c>
      <c r="I779" s="76">
        <v>1</v>
      </c>
      <c r="J779" s="299" t="s">
        <v>286</v>
      </c>
      <c r="K779" s="299"/>
      <c r="L779" s="287"/>
      <c r="Q779" s="287"/>
    </row>
    <row r="780" spans="1:17" s="91" customFormat="1" ht="14.25" hidden="1" customHeight="1" outlineLevel="2">
      <c r="B780" s="119" t="s">
        <v>272</v>
      </c>
      <c r="C780" s="266" t="s">
        <v>1535</v>
      </c>
      <c r="D780" s="124" t="s">
        <v>1472</v>
      </c>
      <c r="E780" s="125"/>
      <c r="F780" s="118" t="s">
        <v>1357</v>
      </c>
      <c r="G780" s="126" t="str">
        <f t="shared" si="73"/>
        <v>AR-L30-1</v>
      </c>
      <c r="H780" s="253">
        <v>1</v>
      </c>
      <c r="I780" s="76">
        <v>1</v>
      </c>
      <c r="J780" s="299" t="s">
        <v>286</v>
      </c>
      <c r="K780" s="299"/>
      <c r="L780" s="287"/>
      <c r="Q780" s="287"/>
    </row>
    <row r="781" spans="1:17" s="91" customFormat="1" ht="14.25" hidden="1" customHeight="1" outlineLevel="2">
      <c r="B781" s="119" t="s">
        <v>272</v>
      </c>
      <c r="C781" s="266" t="s">
        <v>1536</v>
      </c>
      <c r="D781" s="124" t="s">
        <v>1474</v>
      </c>
      <c r="E781" s="125"/>
      <c r="F781" s="118" t="s">
        <v>1357</v>
      </c>
      <c r="G781" s="126" t="str">
        <f t="shared" si="73"/>
        <v>AR-L30-1</v>
      </c>
      <c r="H781" s="253">
        <v>1</v>
      </c>
      <c r="I781" s="76">
        <v>1</v>
      </c>
      <c r="J781" s="299" t="s">
        <v>286</v>
      </c>
      <c r="K781" s="299"/>
      <c r="L781" s="287"/>
      <c r="Q781" s="287"/>
    </row>
    <row r="782" spans="1:17" s="91" customFormat="1" ht="14.25" hidden="1" customHeight="1" outlineLevel="2">
      <c r="B782" s="119" t="s">
        <v>272</v>
      </c>
      <c r="C782" s="266" t="s">
        <v>1537</v>
      </c>
      <c r="D782" s="124" t="s">
        <v>1476</v>
      </c>
      <c r="E782" s="125"/>
      <c r="F782" s="118" t="s">
        <v>1357</v>
      </c>
      <c r="G782" s="126" t="str">
        <f t="shared" ref="G782:G795" si="74">CONCATENATE("AR-",F782,"-",H782)</f>
        <v>AR-L30-1</v>
      </c>
      <c r="H782" s="253">
        <v>1</v>
      </c>
      <c r="I782" s="76">
        <v>1</v>
      </c>
      <c r="J782" s="299" t="s">
        <v>286</v>
      </c>
      <c r="K782" s="299"/>
      <c r="L782" s="287"/>
      <c r="Q782" s="287"/>
    </row>
    <row r="783" spans="1:17" s="91" customFormat="1" ht="14.25" hidden="1" customHeight="1" outlineLevel="2">
      <c r="B783" s="119" t="s">
        <v>272</v>
      </c>
      <c r="C783" s="266" t="s">
        <v>1538</v>
      </c>
      <c r="D783" s="124" t="s">
        <v>1478</v>
      </c>
      <c r="E783" s="125"/>
      <c r="F783" s="118" t="s">
        <v>1357</v>
      </c>
      <c r="G783" s="126" t="str">
        <f t="shared" si="74"/>
        <v>AR-L30-1</v>
      </c>
      <c r="H783" s="253">
        <v>1</v>
      </c>
      <c r="I783" s="76">
        <v>1</v>
      </c>
      <c r="J783" s="299" t="s">
        <v>286</v>
      </c>
      <c r="K783" s="299"/>
      <c r="L783" s="287"/>
      <c r="Q783" s="287"/>
    </row>
    <row r="784" spans="1:17" s="91" customFormat="1" ht="14.25" hidden="1" customHeight="1" outlineLevel="2">
      <c r="B784" s="119" t="s">
        <v>272</v>
      </c>
      <c r="C784" s="266" t="s">
        <v>1539</v>
      </c>
      <c r="D784" s="124" t="s">
        <v>1540</v>
      </c>
      <c r="E784" s="125"/>
      <c r="F784" s="118" t="s">
        <v>1357</v>
      </c>
      <c r="G784" s="126" t="str">
        <f t="shared" si="74"/>
        <v>AR-L30-1</v>
      </c>
      <c r="H784" s="253">
        <v>1</v>
      </c>
      <c r="I784" s="76">
        <v>1</v>
      </c>
      <c r="J784" s="299" t="s">
        <v>286</v>
      </c>
      <c r="K784" s="299"/>
      <c r="L784" s="287"/>
      <c r="Q784" s="287"/>
    </row>
    <row r="785" spans="2:17" s="91" customFormat="1" ht="14.25" hidden="1" customHeight="1" outlineLevel="2">
      <c r="B785" s="119" t="s">
        <v>272</v>
      </c>
      <c r="C785" s="266" t="s">
        <v>1541</v>
      </c>
      <c r="D785" s="124" t="s">
        <v>1542</v>
      </c>
      <c r="E785" s="125"/>
      <c r="F785" s="118" t="s">
        <v>1357</v>
      </c>
      <c r="G785" s="126" t="str">
        <f t="shared" si="74"/>
        <v>AR-L30-1</v>
      </c>
      <c r="H785" s="253">
        <v>1</v>
      </c>
      <c r="I785" s="76">
        <v>1</v>
      </c>
      <c r="J785" s="299" t="s">
        <v>286</v>
      </c>
      <c r="K785" s="299"/>
      <c r="L785" s="287"/>
      <c r="Q785" s="287"/>
    </row>
    <row r="786" spans="2:17" s="91" customFormat="1" ht="14.25" hidden="1" customHeight="1" outlineLevel="2">
      <c r="B786" s="119" t="s">
        <v>272</v>
      </c>
      <c r="C786" s="266" t="s">
        <v>1543</v>
      </c>
      <c r="D786" s="124" t="s">
        <v>1544</v>
      </c>
      <c r="E786" s="125"/>
      <c r="F786" s="118" t="s">
        <v>1357</v>
      </c>
      <c r="G786" s="126" t="str">
        <f t="shared" si="74"/>
        <v>AR-L30-1</v>
      </c>
      <c r="H786" s="253">
        <v>1</v>
      </c>
      <c r="I786" s="76">
        <v>1</v>
      </c>
      <c r="J786" s="299" t="s">
        <v>286</v>
      </c>
      <c r="K786" s="299"/>
      <c r="L786" s="287"/>
      <c r="Q786" s="287"/>
    </row>
    <row r="787" spans="2:17" s="91" customFormat="1" ht="14.25" hidden="1" customHeight="1" outlineLevel="2">
      <c r="B787" s="119" t="s">
        <v>272</v>
      </c>
      <c r="C787" s="266" t="s">
        <v>1545</v>
      </c>
      <c r="D787" s="124" t="s">
        <v>1486</v>
      </c>
      <c r="E787" s="125"/>
      <c r="F787" s="118" t="s">
        <v>1357</v>
      </c>
      <c r="G787" s="126" t="str">
        <f t="shared" si="74"/>
        <v>AR-L30-1</v>
      </c>
      <c r="H787" s="253">
        <v>1</v>
      </c>
      <c r="I787" s="76">
        <v>1</v>
      </c>
      <c r="J787" s="299" t="s">
        <v>286</v>
      </c>
      <c r="K787" s="299"/>
      <c r="L787" s="287"/>
      <c r="Q787" s="287"/>
    </row>
    <row r="788" spans="2:17" s="91" customFormat="1" ht="14.25" hidden="1" customHeight="1" outlineLevel="2">
      <c r="B788" s="119" t="s">
        <v>272</v>
      </c>
      <c r="C788" s="266" t="s">
        <v>1546</v>
      </c>
      <c r="D788" s="124" t="s">
        <v>1488</v>
      </c>
      <c r="E788" s="125"/>
      <c r="F788" s="118" t="s">
        <v>1357</v>
      </c>
      <c r="G788" s="126" t="str">
        <f t="shared" si="74"/>
        <v>AR-L30-1</v>
      </c>
      <c r="H788" s="253">
        <v>1</v>
      </c>
      <c r="I788" s="76">
        <v>1</v>
      </c>
      <c r="J788" s="299" t="s">
        <v>286</v>
      </c>
      <c r="K788" s="299"/>
      <c r="L788" s="287"/>
      <c r="Q788" s="287"/>
    </row>
    <row r="789" spans="2:17" s="91" customFormat="1" ht="14.25" hidden="1" customHeight="1" outlineLevel="2">
      <c r="B789" s="119" t="s">
        <v>272</v>
      </c>
      <c r="C789" s="266" t="s">
        <v>1547</v>
      </c>
      <c r="D789" s="124" t="s">
        <v>1490</v>
      </c>
      <c r="E789" s="125"/>
      <c r="F789" s="118" t="s">
        <v>1357</v>
      </c>
      <c r="G789" s="126" t="str">
        <f t="shared" si="74"/>
        <v>AR-L30-1</v>
      </c>
      <c r="H789" s="253">
        <v>1</v>
      </c>
      <c r="I789" s="76">
        <v>1</v>
      </c>
      <c r="J789" s="299" t="s">
        <v>286</v>
      </c>
      <c r="K789" s="299"/>
      <c r="L789" s="287"/>
      <c r="Q789" s="287"/>
    </row>
    <row r="790" spans="2:17" s="91" customFormat="1" ht="14.25" hidden="1" customHeight="1" outlineLevel="2">
      <c r="B790" s="119" t="s">
        <v>272</v>
      </c>
      <c r="C790" s="266" t="s">
        <v>1548</v>
      </c>
      <c r="D790" s="124" t="s">
        <v>1549</v>
      </c>
      <c r="E790" s="125"/>
      <c r="F790" s="118" t="s">
        <v>1357</v>
      </c>
      <c r="G790" s="126" t="str">
        <f t="shared" si="74"/>
        <v>AR-L30-1</v>
      </c>
      <c r="H790" s="253">
        <v>1</v>
      </c>
      <c r="I790" s="76">
        <v>1</v>
      </c>
      <c r="J790" s="299" t="s">
        <v>286</v>
      </c>
      <c r="K790" s="299"/>
      <c r="L790" s="287"/>
      <c r="Q790" s="287"/>
    </row>
    <row r="791" spans="2:17" s="91" customFormat="1" ht="14.25" hidden="1" customHeight="1" outlineLevel="2">
      <c r="B791" s="119" t="s">
        <v>272</v>
      </c>
      <c r="C791" s="266" t="s">
        <v>1550</v>
      </c>
      <c r="D791" s="124" t="s">
        <v>1494</v>
      </c>
      <c r="E791" s="125"/>
      <c r="F791" s="118" t="s">
        <v>1357</v>
      </c>
      <c r="G791" s="126" t="str">
        <f t="shared" si="74"/>
        <v>AR-L30-1</v>
      </c>
      <c r="H791" s="253">
        <v>1</v>
      </c>
      <c r="I791" s="76">
        <v>1</v>
      </c>
      <c r="J791" s="299" t="s">
        <v>286</v>
      </c>
      <c r="K791" s="299"/>
      <c r="L791" s="287"/>
      <c r="Q791" s="287"/>
    </row>
    <row r="792" spans="2:17" s="91" customFormat="1" ht="14.25" hidden="1" customHeight="1" outlineLevel="2">
      <c r="B792" s="119" t="s">
        <v>272</v>
      </c>
      <c r="C792" s="266" t="s">
        <v>1551</v>
      </c>
      <c r="D792" s="124" t="s">
        <v>1496</v>
      </c>
      <c r="E792" s="125"/>
      <c r="F792" s="118" t="s">
        <v>1357</v>
      </c>
      <c r="G792" s="126" t="str">
        <f t="shared" si="74"/>
        <v>AR-L30-1</v>
      </c>
      <c r="H792" s="253">
        <v>1</v>
      </c>
      <c r="I792" s="76">
        <v>1</v>
      </c>
      <c r="J792" s="299" t="s">
        <v>286</v>
      </c>
      <c r="K792" s="299"/>
      <c r="L792" s="287"/>
      <c r="Q792" s="287"/>
    </row>
    <row r="793" spans="2:17" s="91" customFormat="1" ht="14.25" hidden="1" customHeight="1" outlineLevel="2">
      <c r="B793" s="119" t="s">
        <v>272</v>
      </c>
      <c r="C793" s="266" t="s">
        <v>1552</v>
      </c>
      <c r="D793" s="124" t="s">
        <v>1498</v>
      </c>
      <c r="E793" s="125"/>
      <c r="F793" s="118" t="s">
        <v>1357</v>
      </c>
      <c r="G793" s="126" t="str">
        <f t="shared" si="74"/>
        <v>AR-L30-1</v>
      </c>
      <c r="H793" s="253">
        <v>1</v>
      </c>
      <c r="I793" s="76">
        <v>1</v>
      </c>
      <c r="J793" s="299" t="s">
        <v>286</v>
      </c>
      <c r="K793" s="299"/>
      <c r="L793" s="287"/>
      <c r="Q793" s="287"/>
    </row>
    <row r="794" spans="2:17" s="91" customFormat="1" ht="14.25" hidden="1" customHeight="1" outlineLevel="2">
      <c r="B794" s="119" t="s">
        <v>272</v>
      </c>
      <c r="C794" s="266" t="s">
        <v>1553</v>
      </c>
      <c r="D794" s="124" t="s">
        <v>1554</v>
      </c>
      <c r="E794" s="125"/>
      <c r="F794" s="118" t="s">
        <v>1357</v>
      </c>
      <c r="G794" s="126" t="str">
        <f t="shared" si="74"/>
        <v>AR-L30-1</v>
      </c>
      <c r="H794" s="253">
        <v>1</v>
      </c>
      <c r="I794" s="76">
        <v>1</v>
      </c>
      <c r="J794" s="299" t="s">
        <v>286</v>
      </c>
      <c r="K794" s="299"/>
      <c r="L794" s="287"/>
      <c r="Q794" s="287"/>
    </row>
    <row r="795" spans="2:17" s="91" customFormat="1" ht="14.25" hidden="1" customHeight="1" outlineLevel="2">
      <c r="B795" s="119" t="s">
        <v>272</v>
      </c>
      <c r="C795" s="266" t="s">
        <v>1555</v>
      </c>
      <c r="D795" s="124" t="s">
        <v>1092</v>
      </c>
      <c r="E795" s="125"/>
      <c r="F795" s="118" t="s">
        <v>1357</v>
      </c>
      <c r="G795" s="126" t="str">
        <f t="shared" si="74"/>
        <v>AR-L30-1</v>
      </c>
      <c r="H795" s="253">
        <v>1</v>
      </c>
      <c r="I795" s="76">
        <v>1</v>
      </c>
      <c r="J795" s="299" t="s">
        <v>286</v>
      </c>
      <c r="K795" s="299"/>
      <c r="L795" s="287"/>
      <c r="Q795" s="287"/>
    </row>
    <row r="796" spans="2:17" s="91" customFormat="1" ht="14.25" hidden="1" customHeight="1" outlineLevel="2">
      <c r="B796" s="119" t="s">
        <v>272</v>
      </c>
      <c r="C796" s="266" t="s">
        <v>1556</v>
      </c>
      <c r="D796" s="124" t="s">
        <v>1092</v>
      </c>
      <c r="E796" s="125"/>
      <c r="F796" s="118" t="s">
        <v>1357</v>
      </c>
      <c r="G796" s="126" t="str">
        <f t="shared" ref="G796:G809" si="75">CONCATENATE("AR-",F796,"-",H796)</f>
        <v>AR-L30-1</v>
      </c>
      <c r="H796" s="253">
        <v>1</v>
      </c>
      <c r="I796" s="76">
        <v>1</v>
      </c>
      <c r="J796" s="299" t="s">
        <v>286</v>
      </c>
      <c r="K796" s="299"/>
      <c r="L796" s="287"/>
      <c r="Q796" s="287"/>
    </row>
    <row r="797" spans="2:17" s="91" customFormat="1" ht="14.25" hidden="1" customHeight="1" outlineLevel="2">
      <c r="B797" s="119" t="s">
        <v>272</v>
      </c>
      <c r="C797" s="266" t="s">
        <v>1557</v>
      </c>
      <c r="D797" s="124" t="s">
        <v>1092</v>
      </c>
      <c r="E797" s="125"/>
      <c r="F797" s="118" t="s">
        <v>1357</v>
      </c>
      <c r="G797" s="126" t="str">
        <f t="shared" si="75"/>
        <v>AR-L30-1</v>
      </c>
      <c r="H797" s="253">
        <v>1</v>
      </c>
      <c r="I797" s="76">
        <v>1</v>
      </c>
      <c r="J797" s="299" t="s">
        <v>286</v>
      </c>
      <c r="K797" s="299"/>
      <c r="L797" s="287"/>
      <c r="Q797" s="287"/>
    </row>
    <row r="798" spans="2:17" s="91" customFormat="1" ht="14.25" hidden="1" customHeight="1" outlineLevel="2">
      <c r="B798" s="119" t="s">
        <v>272</v>
      </c>
      <c r="C798" s="266" t="s">
        <v>1558</v>
      </c>
      <c r="D798" s="124" t="s">
        <v>1092</v>
      </c>
      <c r="E798" s="125"/>
      <c r="F798" s="118" t="s">
        <v>1357</v>
      </c>
      <c r="G798" s="126" t="str">
        <f t="shared" si="75"/>
        <v>AR-L30-1</v>
      </c>
      <c r="H798" s="253">
        <v>1</v>
      </c>
      <c r="I798" s="76">
        <v>1</v>
      </c>
      <c r="J798" s="299" t="s">
        <v>286</v>
      </c>
      <c r="K798" s="299"/>
      <c r="L798" s="287"/>
      <c r="Q798" s="287"/>
    </row>
    <row r="799" spans="2:17" s="91" customFormat="1" ht="14.25" hidden="1" customHeight="1" outlineLevel="2">
      <c r="B799" s="119" t="s">
        <v>272</v>
      </c>
      <c r="C799" s="266" t="s">
        <v>1559</v>
      </c>
      <c r="D799" s="124" t="s">
        <v>1092</v>
      </c>
      <c r="E799" s="125"/>
      <c r="F799" s="118" t="s">
        <v>1357</v>
      </c>
      <c r="G799" s="126" t="str">
        <f t="shared" si="75"/>
        <v>AR-L30-1</v>
      </c>
      <c r="H799" s="253">
        <v>1</v>
      </c>
      <c r="I799" s="76">
        <v>1</v>
      </c>
      <c r="J799" s="299" t="s">
        <v>286</v>
      </c>
      <c r="K799" s="299"/>
      <c r="L799" s="287"/>
      <c r="Q799" s="287"/>
    </row>
    <row r="800" spans="2:17" s="91" customFormat="1" ht="14.25" hidden="1" customHeight="1" outlineLevel="2">
      <c r="B800" s="119" t="s">
        <v>272</v>
      </c>
      <c r="C800" s="266" t="s">
        <v>1560</v>
      </c>
      <c r="D800" s="124" t="s">
        <v>1092</v>
      </c>
      <c r="E800" s="125"/>
      <c r="F800" s="118" t="s">
        <v>1357</v>
      </c>
      <c r="G800" s="126" t="str">
        <f t="shared" si="75"/>
        <v>AR-L30-1</v>
      </c>
      <c r="H800" s="253">
        <v>1</v>
      </c>
      <c r="I800" s="76">
        <v>1</v>
      </c>
      <c r="J800" s="299" t="s">
        <v>286</v>
      </c>
      <c r="K800" s="299"/>
      <c r="L800" s="287"/>
      <c r="Q800" s="287"/>
    </row>
    <row r="801" spans="1:17" s="91" customFormat="1" ht="14.25" hidden="1" customHeight="1" outlineLevel="2">
      <c r="B801" s="119" t="s">
        <v>272</v>
      </c>
      <c r="C801" s="266" t="s">
        <v>1561</v>
      </c>
      <c r="D801" s="124" t="s">
        <v>1092</v>
      </c>
      <c r="E801" s="125"/>
      <c r="F801" s="118" t="s">
        <v>1357</v>
      </c>
      <c r="G801" s="126" t="str">
        <f t="shared" si="75"/>
        <v>AR-L30-1</v>
      </c>
      <c r="H801" s="253">
        <v>1</v>
      </c>
      <c r="I801" s="76">
        <v>1</v>
      </c>
      <c r="J801" s="299" t="s">
        <v>286</v>
      </c>
      <c r="K801" s="299"/>
      <c r="L801" s="287"/>
      <c r="Q801" s="287"/>
    </row>
    <row r="802" spans="1:17" s="91" customFormat="1" ht="14.25" hidden="1" customHeight="1" outlineLevel="2">
      <c r="B802" s="119" t="s">
        <v>272</v>
      </c>
      <c r="C802" s="266" t="s">
        <v>1562</v>
      </c>
      <c r="D802" s="124" t="s">
        <v>1092</v>
      </c>
      <c r="E802" s="125"/>
      <c r="F802" s="118" t="s">
        <v>1357</v>
      </c>
      <c r="G802" s="126" t="str">
        <f t="shared" si="75"/>
        <v>AR-L30-1</v>
      </c>
      <c r="H802" s="253">
        <v>1</v>
      </c>
      <c r="I802" s="76">
        <v>1</v>
      </c>
      <c r="J802" s="299" t="s">
        <v>286</v>
      </c>
      <c r="K802" s="299"/>
      <c r="L802" s="287"/>
      <c r="Q802" s="287"/>
    </row>
    <row r="803" spans="1:17" s="91" customFormat="1" ht="14.25" hidden="1" customHeight="1" outlineLevel="2">
      <c r="B803" s="119" t="s">
        <v>272</v>
      </c>
      <c r="C803" s="266" t="s">
        <v>1563</v>
      </c>
      <c r="D803" s="124" t="s">
        <v>1092</v>
      </c>
      <c r="E803" s="125"/>
      <c r="F803" s="118" t="s">
        <v>1357</v>
      </c>
      <c r="G803" s="126" t="str">
        <f t="shared" si="75"/>
        <v>AR-L30-1</v>
      </c>
      <c r="H803" s="253">
        <v>1</v>
      </c>
      <c r="I803" s="76">
        <v>1</v>
      </c>
      <c r="J803" s="299" t="s">
        <v>286</v>
      </c>
      <c r="K803" s="299"/>
      <c r="L803" s="287"/>
      <c r="Q803" s="287"/>
    </row>
    <row r="804" spans="1:17" s="91" customFormat="1" ht="14.25" hidden="1" customHeight="1" outlineLevel="2">
      <c r="B804" s="119" t="s">
        <v>272</v>
      </c>
      <c r="C804" s="266" t="s">
        <v>1564</v>
      </c>
      <c r="D804" s="124" t="s">
        <v>1092</v>
      </c>
      <c r="E804" s="125"/>
      <c r="F804" s="118" t="s">
        <v>1357</v>
      </c>
      <c r="G804" s="126" t="str">
        <f t="shared" si="75"/>
        <v>AR-L30-1</v>
      </c>
      <c r="H804" s="253">
        <v>1</v>
      </c>
      <c r="I804" s="76">
        <v>1</v>
      </c>
      <c r="J804" s="299" t="s">
        <v>286</v>
      </c>
      <c r="K804" s="299"/>
      <c r="L804" s="287"/>
      <c r="Q804" s="287"/>
    </row>
    <row r="805" spans="1:17" s="91" customFormat="1" ht="14.25" hidden="1" customHeight="1" outlineLevel="2">
      <c r="B805" s="119" t="s">
        <v>272</v>
      </c>
      <c r="C805" s="266" t="s">
        <v>1565</v>
      </c>
      <c r="D805" s="124" t="s">
        <v>1120</v>
      </c>
      <c r="E805" s="125"/>
      <c r="F805" s="118" t="s">
        <v>1357</v>
      </c>
      <c r="G805" s="126" t="str">
        <f t="shared" si="75"/>
        <v>AR-L30-1</v>
      </c>
      <c r="H805" s="253">
        <v>1</v>
      </c>
      <c r="I805" s="76">
        <v>1</v>
      </c>
      <c r="J805" s="299" t="s">
        <v>286</v>
      </c>
      <c r="K805" s="299"/>
      <c r="L805" s="287"/>
      <c r="Q805" s="287"/>
    </row>
    <row r="806" spans="1:17" s="91" customFormat="1" ht="14.25" hidden="1" customHeight="1" outlineLevel="2">
      <c r="B806" s="119" t="s">
        <v>272</v>
      </c>
      <c r="C806" s="266" t="s">
        <v>1566</v>
      </c>
      <c r="D806" s="124" t="s">
        <v>1434</v>
      </c>
      <c r="E806" s="125"/>
      <c r="F806" s="118" t="s">
        <v>1357</v>
      </c>
      <c r="G806" s="126" t="str">
        <f t="shared" si="75"/>
        <v>AR-L30-1</v>
      </c>
      <c r="H806" s="253">
        <v>1</v>
      </c>
      <c r="I806" s="76">
        <v>1</v>
      </c>
      <c r="J806" s="299" t="s">
        <v>286</v>
      </c>
      <c r="K806" s="299"/>
      <c r="L806" s="287"/>
      <c r="Q806" s="287"/>
    </row>
    <row r="807" spans="1:17" s="91" customFormat="1" ht="14.25" hidden="1" customHeight="1" outlineLevel="2">
      <c r="B807" s="119" t="s">
        <v>272</v>
      </c>
      <c r="C807" s="266" t="s">
        <v>1567</v>
      </c>
      <c r="D807" s="124" t="s">
        <v>1436</v>
      </c>
      <c r="E807" s="125"/>
      <c r="F807" s="118" t="s">
        <v>1357</v>
      </c>
      <c r="G807" s="126" t="str">
        <f t="shared" si="75"/>
        <v>AR-L30-1</v>
      </c>
      <c r="H807" s="253">
        <v>1</v>
      </c>
      <c r="I807" s="76">
        <v>1</v>
      </c>
      <c r="J807" s="299" t="s">
        <v>286</v>
      </c>
      <c r="K807" s="299"/>
      <c r="L807" s="287"/>
      <c r="Q807" s="287"/>
    </row>
    <row r="808" spans="1:17" s="91" customFormat="1" ht="14.25" hidden="1" customHeight="1" outlineLevel="2">
      <c r="B808" s="119" t="s">
        <v>272</v>
      </c>
      <c r="C808" s="266" t="s">
        <v>1568</v>
      </c>
      <c r="D808" s="124" t="s">
        <v>1438</v>
      </c>
      <c r="E808" s="125"/>
      <c r="F808" s="118" t="s">
        <v>1357</v>
      </c>
      <c r="G808" s="126" t="str">
        <f t="shared" si="75"/>
        <v>AR-L30-1</v>
      </c>
      <c r="H808" s="253">
        <v>1</v>
      </c>
      <c r="I808" s="76">
        <v>1</v>
      </c>
      <c r="J808" s="299" t="s">
        <v>286</v>
      </c>
      <c r="K808" s="299"/>
      <c r="L808" s="287"/>
      <c r="Q808" s="287"/>
    </row>
    <row r="809" spans="1:17" s="91" customFormat="1" ht="14.25" hidden="1" customHeight="1" outlineLevel="2">
      <c r="B809" s="119" t="s">
        <v>272</v>
      </c>
      <c r="C809" s="266" t="s">
        <v>1569</v>
      </c>
      <c r="D809" s="124" t="s">
        <v>1094</v>
      </c>
      <c r="E809" s="125"/>
      <c r="F809" s="118" t="s">
        <v>1357</v>
      </c>
      <c r="G809" s="126" t="str">
        <f t="shared" si="75"/>
        <v>AR-L30-1</v>
      </c>
      <c r="H809" s="253">
        <v>1</v>
      </c>
      <c r="I809" s="76">
        <v>1</v>
      </c>
      <c r="J809" s="299" t="s">
        <v>286</v>
      </c>
      <c r="K809" s="299"/>
      <c r="L809" s="287"/>
      <c r="Q809" s="287"/>
    </row>
    <row r="810" spans="1:17" s="91" customFormat="1" ht="14.25" hidden="1" customHeight="1" outlineLevel="2">
      <c r="A810" s="268"/>
      <c r="B810" s="119" t="s">
        <v>272</v>
      </c>
      <c r="C810" s="266" t="s">
        <v>1570</v>
      </c>
      <c r="D810" s="124" t="s">
        <v>1441</v>
      </c>
      <c r="E810" s="125"/>
      <c r="F810" s="118" t="s">
        <v>1357</v>
      </c>
      <c r="G810" s="126" t="str">
        <f t="shared" ref="G810:G817" si="76">CONCATENATE("AR-",F810,"-",H810)</f>
        <v>AR-L30-1</v>
      </c>
      <c r="H810" s="253">
        <v>1</v>
      </c>
      <c r="I810" s="76">
        <v>1</v>
      </c>
      <c r="J810" s="299" t="s">
        <v>286</v>
      </c>
      <c r="K810" s="299"/>
      <c r="L810" s="287"/>
      <c r="Q810" s="287"/>
    </row>
    <row r="811" spans="1:17" s="91" customFormat="1" ht="14.25" hidden="1" customHeight="1" outlineLevel="2">
      <c r="A811" s="268"/>
      <c r="B811" s="119" t="s">
        <v>272</v>
      </c>
      <c r="C811" s="266" t="s">
        <v>1571</v>
      </c>
      <c r="D811" s="124" t="s">
        <v>1443</v>
      </c>
      <c r="E811" s="125"/>
      <c r="F811" s="118" t="s">
        <v>1357</v>
      </c>
      <c r="G811" s="126" t="str">
        <f t="shared" si="76"/>
        <v>AR-L30-1</v>
      </c>
      <c r="H811" s="253">
        <v>1</v>
      </c>
      <c r="I811" s="76">
        <v>1</v>
      </c>
      <c r="J811" s="299" t="s">
        <v>286</v>
      </c>
      <c r="K811" s="299"/>
      <c r="L811" s="287"/>
      <c r="Q811" s="287"/>
    </row>
    <row r="812" spans="1:17" s="91" customFormat="1" ht="14.25" hidden="1" customHeight="1" outlineLevel="2">
      <c r="A812" s="268"/>
      <c r="B812" s="119" t="s">
        <v>272</v>
      </c>
      <c r="C812" s="266" t="s">
        <v>1572</v>
      </c>
      <c r="D812" s="124" t="s">
        <v>1573</v>
      </c>
      <c r="E812" s="125"/>
      <c r="F812" s="118" t="s">
        <v>1357</v>
      </c>
      <c r="G812" s="126" t="str">
        <f t="shared" si="76"/>
        <v>AR-L30-1</v>
      </c>
      <c r="H812" s="253">
        <v>1</v>
      </c>
      <c r="I812" s="76">
        <v>1</v>
      </c>
      <c r="J812" s="299" t="s">
        <v>286</v>
      </c>
      <c r="K812" s="299"/>
      <c r="L812" s="287"/>
      <c r="Q812" s="287"/>
    </row>
    <row r="813" spans="1:17" s="91" customFormat="1" ht="14.25" hidden="1" customHeight="1" outlineLevel="2">
      <c r="A813" s="268"/>
      <c r="B813" s="119" t="s">
        <v>272</v>
      </c>
      <c r="C813" s="266" t="s">
        <v>1574</v>
      </c>
      <c r="D813" s="124" t="s">
        <v>1445</v>
      </c>
      <c r="E813" s="125"/>
      <c r="F813" s="118" t="s">
        <v>1357</v>
      </c>
      <c r="G813" s="126" t="str">
        <f t="shared" si="76"/>
        <v>AR-L30-1</v>
      </c>
      <c r="H813" s="253">
        <v>1</v>
      </c>
      <c r="I813" s="76">
        <v>1</v>
      </c>
      <c r="J813" s="299" t="s">
        <v>286</v>
      </c>
      <c r="K813" s="299"/>
      <c r="L813" s="287"/>
      <c r="Q813" s="287"/>
    </row>
    <row r="814" spans="1:17" s="91" customFormat="1" ht="14.25" hidden="1" customHeight="1" outlineLevel="2">
      <c r="A814" s="268"/>
      <c r="B814" s="119" t="s">
        <v>272</v>
      </c>
      <c r="C814" s="266" t="s">
        <v>1575</v>
      </c>
      <c r="D814" s="124" t="s">
        <v>1576</v>
      </c>
      <c r="E814" s="125"/>
      <c r="F814" s="118" t="s">
        <v>1357</v>
      </c>
      <c r="G814" s="126" t="str">
        <f t="shared" si="76"/>
        <v>AR-L30-1</v>
      </c>
      <c r="H814" s="253">
        <v>1</v>
      </c>
      <c r="I814" s="76">
        <v>1</v>
      </c>
      <c r="J814" s="299" t="s">
        <v>286</v>
      </c>
      <c r="K814" s="299"/>
      <c r="L814" s="287"/>
      <c r="Q814" s="287"/>
    </row>
    <row r="815" spans="1:17" s="91" customFormat="1" ht="14.25" hidden="1" customHeight="1" outlineLevel="2">
      <c r="A815" s="268"/>
      <c r="B815" s="119" t="s">
        <v>272</v>
      </c>
      <c r="C815" s="266" t="s">
        <v>1577</v>
      </c>
      <c r="D815" s="124" t="s">
        <v>1449</v>
      </c>
      <c r="E815" s="125"/>
      <c r="F815" s="118" t="s">
        <v>1357</v>
      </c>
      <c r="G815" s="126" t="str">
        <f t="shared" si="76"/>
        <v>AR-L30-1</v>
      </c>
      <c r="H815" s="253">
        <v>1</v>
      </c>
      <c r="I815" s="76">
        <v>1</v>
      </c>
      <c r="J815" s="299" t="s">
        <v>286</v>
      </c>
      <c r="K815" s="299"/>
      <c r="L815" s="287"/>
      <c r="Q815" s="287"/>
    </row>
    <row r="816" spans="1:17" s="91" customFormat="1" ht="14.25" hidden="1" customHeight="1" outlineLevel="2">
      <c r="B816" s="119" t="s">
        <v>272</v>
      </c>
      <c r="C816" s="266" t="s">
        <v>1578</v>
      </c>
      <c r="D816" s="124" t="s">
        <v>1447</v>
      </c>
      <c r="E816" s="125"/>
      <c r="F816" s="118" t="s">
        <v>1357</v>
      </c>
      <c r="G816" s="126" t="str">
        <f t="shared" si="76"/>
        <v>AR-L30-1</v>
      </c>
      <c r="H816" s="253">
        <v>1</v>
      </c>
      <c r="I816" s="76">
        <v>1</v>
      </c>
      <c r="J816" s="299" t="s">
        <v>286</v>
      </c>
      <c r="K816" s="299"/>
      <c r="L816" s="287"/>
      <c r="Q816" s="287"/>
    </row>
    <row r="817" spans="2:17" s="91" customFormat="1" ht="14.25" hidden="1" customHeight="1" outlineLevel="2">
      <c r="B817" s="119" t="s">
        <v>272</v>
      </c>
      <c r="C817" s="266" t="s">
        <v>1579</v>
      </c>
      <c r="D817" s="124" t="s">
        <v>1449</v>
      </c>
      <c r="E817" s="125"/>
      <c r="F817" s="118" t="s">
        <v>1357</v>
      </c>
      <c r="G817" s="126" t="str">
        <f t="shared" si="76"/>
        <v>AR-L30-1</v>
      </c>
      <c r="H817" s="253">
        <v>1</v>
      </c>
      <c r="I817" s="76">
        <v>1</v>
      </c>
      <c r="J817" s="299" t="s">
        <v>286</v>
      </c>
      <c r="K817" s="299"/>
      <c r="L817" s="287"/>
      <c r="Q817" s="287"/>
    </row>
    <row r="818" spans="2:17" s="91" customFormat="1" ht="14.25" hidden="1" customHeight="1" outlineLevel="2">
      <c r="B818" s="119" t="s">
        <v>272</v>
      </c>
      <c r="C818" s="266" t="s">
        <v>1580</v>
      </c>
      <c r="D818" s="124" t="s">
        <v>1447</v>
      </c>
      <c r="E818" s="125"/>
      <c r="F818" s="118" t="s">
        <v>1357</v>
      </c>
      <c r="G818" s="126" t="str">
        <f t="shared" ref="G818:G831" si="77">CONCATENATE("AR-",F818,"-",H818)</f>
        <v>AR-L30-1</v>
      </c>
      <c r="H818" s="253">
        <v>1</v>
      </c>
      <c r="I818" s="76">
        <v>1</v>
      </c>
      <c r="J818" s="299" t="s">
        <v>286</v>
      </c>
      <c r="K818" s="299"/>
      <c r="L818" s="287"/>
      <c r="Q818" s="287"/>
    </row>
    <row r="819" spans="2:17" s="91" customFormat="1" ht="14.25" hidden="1" customHeight="1" outlineLevel="2">
      <c r="B819" s="119" t="s">
        <v>272</v>
      </c>
      <c r="C819" s="266" t="s">
        <v>1581</v>
      </c>
      <c r="D819" s="124" t="s">
        <v>1449</v>
      </c>
      <c r="E819" s="125"/>
      <c r="F819" s="118" t="s">
        <v>1357</v>
      </c>
      <c r="G819" s="126" t="str">
        <f t="shared" si="77"/>
        <v>AR-L30-1</v>
      </c>
      <c r="H819" s="253">
        <v>1</v>
      </c>
      <c r="I819" s="76">
        <v>1</v>
      </c>
      <c r="J819" s="299" t="s">
        <v>286</v>
      </c>
      <c r="K819" s="299"/>
      <c r="L819" s="287"/>
      <c r="Q819" s="287"/>
    </row>
    <row r="820" spans="2:17" s="91" customFormat="1" ht="14.25" hidden="1" customHeight="1" outlineLevel="2">
      <c r="B820" s="119" t="s">
        <v>272</v>
      </c>
      <c r="C820" s="266" t="s">
        <v>1582</v>
      </c>
      <c r="D820" s="124" t="s">
        <v>1447</v>
      </c>
      <c r="E820" s="125"/>
      <c r="F820" s="118" t="s">
        <v>1357</v>
      </c>
      <c r="G820" s="126" t="str">
        <f t="shared" si="77"/>
        <v>AR-L30-1</v>
      </c>
      <c r="H820" s="253">
        <v>1</v>
      </c>
      <c r="I820" s="76">
        <v>1</v>
      </c>
      <c r="J820" s="299" t="s">
        <v>286</v>
      </c>
      <c r="K820" s="299"/>
      <c r="L820" s="287"/>
      <c r="Q820" s="287"/>
    </row>
    <row r="821" spans="2:17" s="91" customFormat="1" ht="14.25" hidden="1" customHeight="1" outlineLevel="2">
      <c r="B821" s="119" t="s">
        <v>272</v>
      </c>
      <c r="C821" s="266" t="s">
        <v>1583</v>
      </c>
      <c r="D821" s="124" t="s">
        <v>1449</v>
      </c>
      <c r="E821" s="125"/>
      <c r="F821" s="118" t="s">
        <v>1357</v>
      </c>
      <c r="G821" s="126" t="str">
        <f t="shared" si="77"/>
        <v>AR-L30-1</v>
      </c>
      <c r="H821" s="253">
        <v>1</v>
      </c>
      <c r="I821" s="76">
        <v>1</v>
      </c>
      <c r="J821" s="299" t="s">
        <v>286</v>
      </c>
      <c r="K821" s="299"/>
      <c r="L821" s="287"/>
      <c r="Q821" s="287"/>
    </row>
    <row r="822" spans="2:17" s="91" customFormat="1" ht="14.25" hidden="1" customHeight="1" outlineLevel="2">
      <c r="B822" s="119" t="s">
        <v>272</v>
      </c>
      <c r="C822" s="266" t="s">
        <v>1584</v>
      </c>
      <c r="D822" s="124" t="s">
        <v>1457</v>
      </c>
      <c r="E822" s="125"/>
      <c r="F822" s="118" t="s">
        <v>1357</v>
      </c>
      <c r="G822" s="126" t="str">
        <f t="shared" si="77"/>
        <v>AR-L30-1</v>
      </c>
      <c r="H822" s="253">
        <v>1</v>
      </c>
      <c r="I822" s="76">
        <v>1</v>
      </c>
      <c r="J822" s="299" t="s">
        <v>286</v>
      </c>
      <c r="K822" s="299"/>
      <c r="L822" s="287"/>
      <c r="Q822" s="287"/>
    </row>
    <row r="823" spans="2:17" s="91" customFormat="1" ht="14.25" hidden="1" customHeight="1" outlineLevel="2">
      <c r="B823" s="119" t="s">
        <v>272</v>
      </c>
      <c r="C823" s="266" t="s">
        <v>1585</v>
      </c>
      <c r="D823" s="124" t="s">
        <v>1459</v>
      </c>
      <c r="E823" s="125"/>
      <c r="F823" s="118" t="s">
        <v>1357</v>
      </c>
      <c r="G823" s="126" t="str">
        <f t="shared" si="77"/>
        <v>AR-L30-1</v>
      </c>
      <c r="H823" s="253">
        <v>1</v>
      </c>
      <c r="I823" s="76">
        <v>1</v>
      </c>
      <c r="J823" s="299" t="s">
        <v>286</v>
      </c>
      <c r="K823" s="299"/>
      <c r="L823" s="287"/>
      <c r="Q823" s="287"/>
    </row>
    <row r="824" spans="2:17" s="91" customFormat="1" ht="14.25" hidden="1" customHeight="1" outlineLevel="2">
      <c r="B824" s="119" t="s">
        <v>272</v>
      </c>
      <c r="C824" s="266" t="s">
        <v>1586</v>
      </c>
      <c r="D824" s="124" t="s">
        <v>1461</v>
      </c>
      <c r="E824" s="125"/>
      <c r="F824" s="118" t="s">
        <v>1357</v>
      </c>
      <c r="G824" s="126" t="str">
        <f t="shared" si="77"/>
        <v>AR-L30-1</v>
      </c>
      <c r="H824" s="253">
        <v>1</v>
      </c>
      <c r="I824" s="76">
        <v>1</v>
      </c>
      <c r="J824" s="299" t="s">
        <v>286</v>
      </c>
      <c r="K824" s="299"/>
      <c r="L824" s="287"/>
      <c r="Q824" s="287"/>
    </row>
    <row r="825" spans="2:17" s="91" customFormat="1" ht="14.25" hidden="1" customHeight="1" outlineLevel="2">
      <c r="B825" s="119" t="s">
        <v>272</v>
      </c>
      <c r="C825" s="266" t="s">
        <v>1587</v>
      </c>
      <c r="D825" s="124" t="s">
        <v>1461</v>
      </c>
      <c r="E825" s="125"/>
      <c r="F825" s="118" t="s">
        <v>1357</v>
      </c>
      <c r="G825" s="126" t="str">
        <f t="shared" si="77"/>
        <v>AR-L30-1</v>
      </c>
      <c r="H825" s="253">
        <v>1</v>
      </c>
      <c r="I825" s="76">
        <v>1</v>
      </c>
      <c r="J825" s="299" t="s">
        <v>286</v>
      </c>
      <c r="K825" s="299"/>
      <c r="L825" s="287"/>
      <c r="Q825" s="287"/>
    </row>
    <row r="826" spans="2:17" s="91" customFormat="1" ht="14.25" hidden="1" customHeight="1" outlineLevel="2">
      <c r="B826" s="119" t="s">
        <v>272</v>
      </c>
      <c r="C826" s="266" t="s">
        <v>1588</v>
      </c>
      <c r="D826" s="124" t="s">
        <v>1464</v>
      </c>
      <c r="E826" s="125"/>
      <c r="F826" s="118" t="s">
        <v>1357</v>
      </c>
      <c r="G826" s="126" t="str">
        <f t="shared" si="77"/>
        <v>AR-L30-1</v>
      </c>
      <c r="H826" s="253">
        <v>1</v>
      </c>
      <c r="I826" s="76">
        <v>1</v>
      </c>
      <c r="J826" s="299" t="s">
        <v>286</v>
      </c>
      <c r="K826" s="299"/>
      <c r="L826" s="287"/>
      <c r="Q826" s="287"/>
    </row>
    <row r="827" spans="2:17" s="91" customFormat="1" ht="14.25" hidden="1" customHeight="1" outlineLevel="2">
      <c r="B827" s="119" t="s">
        <v>272</v>
      </c>
      <c r="C827" s="266" t="s">
        <v>1589</v>
      </c>
      <c r="D827" s="124" t="s">
        <v>1466</v>
      </c>
      <c r="E827" s="125"/>
      <c r="F827" s="118" t="s">
        <v>1357</v>
      </c>
      <c r="G827" s="126" t="str">
        <f t="shared" si="77"/>
        <v>AR-L30-1</v>
      </c>
      <c r="H827" s="253">
        <v>1</v>
      </c>
      <c r="I827" s="76">
        <v>1</v>
      </c>
      <c r="J827" s="299" t="s">
        <v>286</v>
      </c>
      <c r="K827" s="299"/>
      <c r="L827" s="287"/>
      <c r="Q827" s="287"/>
    </row>
    <row r="828" spans="2:17" s="91" customFormat="1" ht="14.25" hidden="1" customHeight="1" outlineLevel="2">
      <c r="B828" s="119" t="s">
        <v>272</v>
      </c>
      <c r="C828" s="266" t="s">
        <v>1590</v>
      </c>
      <c r="D828" s="124" t="s">
        <v>1468</v>
      </c>
      <c r="E828" s="125"/>
      <c r="F828" s="118" t="s">
        <v>1357</v>
      </c>
      <c r="G828" s="126" t="str">
        <f t="shared" si="77"/>
        <v>AR-L30-1</v>
      </c>
      <c r="H828" s="253">
        <v>1</v>
      </c>
      <c r="I828" s="76">
        <v>1</v>
      </c>
      <c r="J828" s="299" t="s">
        <v>286</v>
      </c>
      <c r="K828" s="299"/>
      <c r="L828" s="287"/>
      <c r="Q828" s="287"/>
    </row>
    <row r="829" spans="2:17" s="91" customFormat="1" ht="14.25" hidden="1" customHeight="1" outlineLevel="2">
      <c r="B829" s="119" t="s">
        <v>272</v>
      </c>
      <c r="C829" s="266" t="s">
        <v>1591</v>
      </c>
      <c r="D829" s="124" t="s">
        <v>1534</v>
      </c>
      <c r="E829" s="125"/>
      <c r="F829" s="118" t="s">
        <v>1357</v>
      </c>
      <c r="G829" s="126" t="str">
        <f t="shared" si="77"/>
        <v>AR-L30-1</v>
      </c>
      <c r="H829" s="253">
        <v>1</v>
      </c>
      <c r="I829" s="76">
        <v>1</v>
      </c>
      <c r="J829" s="299" t="s">
        <v>286</v>
      </c>
      <c r="K829" s="299"/>
      <c r="L829" s="287"/>
      <c r="Q829" s="287"/>
    </row>
    <row r="830" spans="2:17" s="91" customFormat="1" ht="14.25" hidden="1" customHeight="1" outlineLevel="2">
      <c r="B830" s="119" t="s">
        <v>272</v>
      </c>
      <c r="C830" s="266" t="s">
        <v>1592</v>
      </c>
      <c r="D830" s="124" t="s">
        <v>1472</v>
      </c>
      <c r="E830" s="125"/>
      <c r="F830" s="118" t="s">
        <v>1357</v>
      </c>
      <c r="G830" s="126" t="str">
        <f t="shared" si="77"/>
        <v>AR-L30-1</v>
      </c>
      <c r="H830" s="253">
        <v>1</v>
      </c>
      <c r="I830" s="76">
        <v>1</v>
      </c>
      <c r="J830" s="299" t="s">
        <v>286</v>
      </c>
      <c r="K830" s="299"/>
      <c r="L830" s="287"/>
      <c r="Q830" s="287"/>
    </row>
    <row r="831" spans="2:17" s="91" customFormat="1" ht="14.25" hidden="1" customHeight="1" outlineLevel="2">
      <c r="B831" s="119" t="s">
        <v>272</v>
      </c>
      <c r="C831" s="266" t="s">
        <v>1593</v>
      </c>
      <c r="D831" s="124" t="s">
        <v>1594</v>
      </c>
      <c r="E831" s="125"/>
      <c r="F831" s="118" t="s">
        <v>1357</v>
      </c>
      <c r="G831" s="126" t="str">
        <f t="shared" si="77"/>
        <v>AR-L30-1</v>
      </c>
      <c r="H831" s="253">
        <v>1</v>
      </c>
      <c r="I831" s="76">
        <v>1</v>
      </c>
      <c r="J831" s="299" t="s">
        <v>286</v>
      </c>
      <c r="K831" s="299"/>
      <c r="L831" s="287"/>
      <c r="Q831" s="287"/>
    </row>
    <row r="832" spans="2:17" s="91" customFormat="1" ht="14.25" hidden="1" customHeight="1" outlineLevel="2">
      <c r="B832" s="119" t="s">
        <v>272</v>
      </c>
      <c r="C832" s="266" t="s">
        <v>1595</v>
      </c>
      <c r="D832" s="124" t="s">
        <v>1476</v>
      </c>
      <c r="E832" s="125"/>
      <c r="F832" s="118" t="s">
        <v>1357</v>
      </c>
      <c r="G832" s="126" t="str">
        <f t="shared" ref="G832:G845" si="78">CONCATENATE("AR-",F832,"-",H832)</f>
        <v>AR-L30-1</v>
      </c>
      <c r="H832" s="253">
        <v>1</v>
      </c>
      <c r="I832" s="76">
        <v>1</v>
      </c>
      <c r="J832" s="299" t="s">
        <v>286</v>
      </c>
      <c r="K832" s="299"/>
      <c r="L832" s="287"/>
      <c r="Q832" s="287"/>
    </row>
    <row r="833" spans="1:17" s="91" customFormat="1" ht="14.25" hidden="1" customHeight="1" outlineLevel="2">
      <c r="B833" s="119" t="s">
        <v>272</v>
      </c>
      <c r="C833" s="266" t="s">
        <v>1596</v>
      </c>
      <c r="D833" s="124" t="s">
        <v>1478</v>
      </c>
      <c r="E833" s="125"/>
      <c r="F833" s="118" t="s">
        <v>1357</v>
      </c>
      <c r="G833" s="126" t="str">
        <f t="shared" si="78"/>
        <v>AR-L30-1</v>
      </c>
      <c r="H833" s="253">
        <v>1</v>
      </c>
      <c r="I833" s="76">
        <v>1</v>
      </c>
      <c r="J833" s="299" t="s">
        <v>286</v>
      </c>
      <c r="K833" s="299"/>
      <c r="L833" s="287"/>
      <c r="Q833" s="287"/>
    </row>
    <row r="834" spans="1:17" s="91" customFormat="1" ht="14.25" hidden="1" customHeight="1" outlineLevel="2">
      <c r="B834" s="119" t="s">
        <v>272</v>
      </c>
      <c r="C834" s="266" t="s">
        <v>1597</v>
      </c>
      <c r="D834" s="124" t="s">
        <v>1540</v>
      </c>
      <c r="E834" s="125"/>
      <c r="F834" s="118" t="s">
        <v>1357</v>
      </c>
      <c r="G834" s="126" t="str">
        <f t="shared" si="78"/>
        <v>AR-L30-1</v>
      </c>
      <c r="H834" s="253">
        <v>1</v>
      </c>
      <c r="I834" s="76">
        <v>1</v>
      </c>
      <c r="J834" s="299" t="s">
        <v>286</v>
      </c>
      <c r="K834" s="299"/>
      <c r="L834" s="287"/>
      <c r="Q834" s="287"/>
    </row>
    <row r="835" spans="1:17" s="91" customFormat="1" ht="14.25" hidden="1" customHeight="1" outlineLevel="2">
      <c r="B835" s="119" t="s">
        <v>272</v>
      </c>
      <c r="C835" s="266" t="s">
        <v>1598</v>
      </c>
      <c r="D835" s="124" t="s">
        <v>1542</v>
      </c>
      <c r="E835" s="125"/>
      <c r="F835" s="118" t="s">
        <v>1357</v>
      </c>
      <c r="G835" s="126" t="str">
        <f t="shared" si="78"/>
        <v>AR-L30-1</v>
      </c>
      <c r="H835" s="253">
        <v>1</v>
      </c>
      <c r="I835" s="76">
        <v>1</v>
      </c>
      <c r="J835" s="299" t="s">
        <v>286</v>
      </c>
      <c r="K835" s="299"/>
      <c r="L835" s="287"/>
      <c r="Q835" s="287"/>
    </row>
    <row r="836" spans="1:17" s="91" customFormat="1" ht="14.25" hidden="1" customHeight="1" outlineLevel="2">
      <c r="B836" s="119" t="s">
        <v>272</v>
      </c>
      <c r="C836" s="266" t="s">
        <v>1599</v>
      </c>
      <c r="D836" s="124" t="s">
        <v>1544</v>
      </c>
      <c r="E836" s="125"/>
      <c r="F836" s="118" t="s">
        <v>1357</v>
      </c>
      <c r="G836" s="126" t="str">
        <f t="shared" si="78"/>
        <v>AR-L30-1</v>
      </c>
      <c r="H836" s="253">
        <v>1</v>
      </c>
      <c r="I836" s="76">
        <v>1</v>
      </c>
      <c r="J836" s="299" t="s">
        <v>286</v>
      </c>
      <c r="K836" s="299"/>
      <c r="L836" s="287"/>
      <c r="Q836" s="287"/>
    </row>
    <row r="837" spans="1:17" s="91" customFormat="1" ht="14.25" hidden="1" customHeight="1" outlineLevel="2">
      <c r="B837" s="119" t="s">
        <v>272</v>
      </c>
      <c r="C837" s="266" t="s">
        <v>1600</v>
      </c>
      <c r="D837" s="124" t="s">
        <v>1486</v>
      </c>
      <c r="E837" s="125"/>
      <c r="F837" s="118" t="s">
        <v>1357</v>
      </c>
      <c r="G837" s="126" t="str">
        <f t="shared" si="78"/>
        <v>AR-L30-1</v>
      </c>
      <c r="H837" s="253">
        <v>1</v>
      </c>
      <c r="I837" s="76">
        <v>1</v>
      </c>
      <c r="J837" s="299" t="s">
        <v>286</v>
      </c>
      <c r="K837" s="299"/>
      <c r="L837" s="287"/>
      <c r="Q837" s="287"/>
    </row>
    <row r="838" spans="1:17" s="91" customFormat="1" ht="14.25" hidden="1" customHeight="1" outlineLevel="2">
      <c r="B838" s="119" t="s">
        <v>272</v>
      </c>
      <c r="C838" s="266" t="s">
        <v>1601</v>
      </c>
      <c r="D838" s="124" t="s">
        <v>1488</v>
      </c>
      <c r="E838" s="125"/>
      <c r="F838" s="118" t="s">
        <v>1357</v>
      </c>
      <c r="G838" s="126" t="str">
        <f t="shared" si="78"/>
        <v>AR-L30-1</v>
      </c>
      <c r="H838" s="253">
        <v>1</v>
      </c>
      <c r="I838" s="76">
        <v>1</v>
      </c>
      <c r="J838" s="299" t="s">
        <v>286</v>
      </c>
      <c r="K838" s="299"/>
      <c r="L838" s="287"/>
      <c r="Q838" s="287"/>
    </row>
    <row r="839" spans="1:17" s="91" customFormat="1" ht="14.25" hidden="1" customHeight="1" outlineLevel="2">
      <c r="B839" s="119" t="s">
        <v>272</v>
      </c>
      <c r="C839" s="266" t="s">
        <v>1602</v>
      </c>
      <c r="D839" s="124" t="s">
        <v>1490</v>
      </c>
      <c r="E839" s="125"/>
      <c r="F839" s="118" t="s">
        <v>1357</v>
      </c>
      <c r="G839" s="126" t="str">
        <f t="shared" si="78"/>
        <v>AR-L30-1</v>
      </c>
      <c r="H839" s="253">
        <v>1</v>
      </c>
      <c r="I839" s="76">
        <v>1</v>
      </c>
      <c r="J839" s="299" t="s">
        <v>286</v>
      </c>
      <c r="K839" s="299"/>
      <c r="L839" s="287"/>
      <c r="Q839" s="287"/>
    </row>
    <row r="840" spans="1:17" s="91" customFormat="1" ht="14.25" hidden="1" customHeight="1" outlineLevel="2">
      <c r="B840" s="119" t="s">
        <v>272</v>
      </c>
      <c r="C840" s="266" t="s">
        <v>1603</v>
      </c>
      <c r="D840" s="124" t="s">
        <v>1492</v>
      </c>
      <c r="E840" s="125"/>
      <c r="F840" s="118" t="s">
        <v>1357</v>
      </c>
      <c r="G840" s="126" t="str">
        <f t="shared" si="78"/>
        <v>AR-L30-1</v>
      </c>
      <c r="H840" s="253">
        <v>1</v>
      </c>
      <c r="I840" s="76">
        <v>1</v>
      </c>
      <c r="J840" s="299" t="s">
        <v>286</v>
      </c>
      <c r="K840" s="299"/>
      <c r="L840" s="287"/>
      <c r="Q840" s="287"/>
    </row>
    <row r="841" spans="1:17" s="91" customFormat="1" ht="14.25" hidden="1" customHeight="1" outlineLevel="2">
      <c r="B841" s="119" t="s">
        <v>272</v>
      </c>
      <c r="C841" s="266" t="s">
        <v>1604</v>
      </c>
      <c r="D841" s="124" t="s">
        <v>1494</v>
      </c>
      <c r="E841" s="125"/>
      <c r="F841" s="118" t="s">
        <v>1357</v>
      </c>
      <c r="G841" s="126" t="str">
        <f t="shared" si="78"/>
        <v>AR-L30-1</v>
      </c>
      <c r="H841" s="253">
        <v>1</v>
      </c>
      <c r="I841" s="76">
        <v>1</v>
      </c>
      <c r="J841" s="299" t="s">
        <v>286</v>
      </c>
      <c r="K841" s="299"/>
      <c r="L841" s="287"/>
      <c r="Q841" s="287"/>
    </row>
    <row r="842" spans="1:17" s="91" customFormat="1" ht="14.25" hidden="1" customHeight="1" outlineLevel="2">
      <c r="B842" s="119" t="s">
        <v>272</v>
      </c>
      <c r="C842" s="266" t="s">
        <v>1605</v>
      </c>
      <c r="D842" s="124" t="s">
        <v>1496</v>
      </c>
      <c r="E842" s="125"/>
      <c r="F842" s="118" t="s">
        <v>1357</v>
      </c>
      <c r="G842" s="126" t="str">
        <f t="shared" si="78"/>
        <v>AR-L30-1</v>
      </c>
      <c r="H842" s="253">
        <v>1</v>
      </c>
      <c r="I842" s="76">
        <v>1</v>
      </c>
      <c r="J842" s="299" t="s">
        <v>286</v>
      </c>
      <c r="K842" s="299"/>
      <c r="L842" s="287"/>
      <c r="Q842" s="287"/>
    </row>
    <row r="843" spans="1:17" s="91" customFormat="1" ht="14.25" hidden="1" customHeight="1" outlineLevel="2">
      <c r="B843" s="119" t="s">
        <v>272</v>
      </c>
      <c r="C843" s="266" t="s">
        <v>1606</v>
      </c>
      <c r="D843" s="124" t="s">
        <v>1498</v>
      </c>
      <c r="E843" s="125"/>
      <c r="F843" s="118" t="s">
        <v>1357</v>
      </c>
      <c r="G843" s="126" t="str">
        <f t="shared" si="78"/>
        <v>AR-L30-1</v>
      </c>
      <c r="H843" s="253">
        <v>1</v>
      </c>
      <c r="I843" s="76">
        <v>1</v>
      </c>
      <c r="J843" s="299" t="s">
        <v>286</v>
      </c>
      <c r="K843" s="299"/>
      <c r="L843" s="287"/>
      <c r="Q843" s="287"/>
    </row>
    <row r="844" spans="1:17" s="91" customFormat="1" ht="14.25" hidden="1" customHeight="1" outlineLevel="2">
      <c r="B844" s="119" t="s">
        <v>272</v>
      </c>
      <c r="C844" s="266" t="s">
        <v>1607</v>
      </c>
      <c r="D844" s="124" t="s">
        <v>1608</v>
      </c>
      <c r="E844" s="125"/>
      <c r="F844" s="118" t="s">
        <v>1357</v>
      </c>
      <c r="G844" s="126" t="str">
        <f t="shared" si="78"/>
        <v>AR-L30-1</v>
      </c>
      <c r="H844" s="253">
        <v>1</v>
      </c>
      <c r="I844" s="76">
        <v>1</v>
      </c>
      <c r="J844" s="299" t="s">
        <v>286</v>
      </c>
      <c r="K844" s="299"/>
      <c r="L844" s="287"/>
      <c r="Q844" s="287"/>
    </row>
    <row r="845" spans="1:17" s="91" customFormat="1" ht="14.25" hidden="1" customHeight="1" outlineLevel="2">
      <c r="B845" s="119" t="s">
        <v>272</v>
      </c>
      <c r="C845" s="266" t="s">
        <v>1609</v>
      </c>
      <c r="D845" s="124" t="s">
        <v>1610</v>
      </c>
      <c r="E845" s="125"/>
      <c r="F845" s="118" t="s">
        <v>1357</v>
      </c>
      <c r="G845" s="126" t="str">
        <f t="shared" si="78"/>
        <v>AR-L30-1</v>
      </c>
      <c r="H845" s="253">
        <v>1</v>
      </c>
      <c r="I845" s="76">
        <v>1</v>
      </c>
      <c r="J845" s="299" t="s">
        <v>286</v>
      </c>
      <c r="K845" s="299"/>
      <c r="L845" s="287"/>
      <c r="Q845" s="287"/>
    </row>
    <row r="846" spans="1:17" s="91" customFormat="1" ht="14.25" hidden="1" customHeight="1" outlineLevel="2">
      <c r="A846" s="268"/>
      <c r="B846" s="119" t="s">
        <v>272</v>
      </c>
      <c r="C846" s="266" t="s">
        <v>1611</v>
      </c>
      <c r="D846" s="124" t="s">
        <v>1502</v>
      </c>
      <c r="E846" s="125"/>
      <c r="F846" s="118" t="s">
        <v>1357</v>
      </c>
      <c r="G846" s="126" t="str">
        <f t="shared" ref="G846:G853" si="79">CONCATENATE("AR-",F846,"-",H846)</f>
        <v>AR-L30-1</v>
      </c>
      <c r="H846" s="253">
        <v>1</v>
      </c>
      <c r="I846" s="76">
        <v>1</v>
      </c>
      <c r="J846" s="299" t="s">
        <v>286</v>
      </c>
      <c r="K846" s="299"/>
      <c r="L846" s="287"/>
      <c r="Q846" s="287"/>
    </row>
    <row r="847" spans="1:17" s="91" customFormat="1" ht="14.25" hidden="1" customHeight="1" outlineLevel="2">
      <c r="A847" s="268"/>
      <c r="B847" s="119" t="s">
        <v>272</v>
      </c>
      <c r="C847" s="266" t="s">
        <v>1612</v>
      </c>
      <c r="D847" s="124" t="s">
        <v>1092</v>
      </c>
      <c r="E847" s="125"/>
      <c r="F847" s="118" t="s">
        <v>1357</v>
      </c>
      <c r="G847" s="126" t="str">
        <f t="shared" si="79"/>
        <v>AR-L30-1</v>
      </c>
      <c r="H847" s="253">
        <v>1</v>
      </c>
      <c r="I847" s="76">
        <v>1</v>
      </c>
      <c r="J847" s="299" t="s">
        <v>286</v>
      </c>
      <c r="K847" s="299"/>
      <c r="L847" s="287"/>
      <c r="Q847" s="287"/>
    </row>
    <row r="848" spans="1:17" s="91" customFormat="1" ht="14.25" hidden="1" customHeight="1" outlineLevel="2">
      <c r="A848" s="268"/>
      <c r="B848" s="119" t="s">
        <v>272</v>
      </c>
      <c r="C848" s="266" t="s">
        <v>1613</v>
      </c>
      <c r="D848" s="124" t="s">
        <v>1092</v>
      </c>
      <c r="E848" s="125"/>
      <c r="F848" s="118" t="s">
        <v>1357</v>
      </c>
      <c r="G848" s="126" t="str">
        <f t="shared" si="79"/>
        <v>AR-L30-1</v>
      </c>
      <c r="H848" s="253">
        <v>1</v>
      </c>
      <c r="I848" s="76">
        <v>1</v>
      </c>
      <c r="J848" s="299" t="s">
        <v>286</v>
      </c>
      <c r="K848" s="299"/>
      <c r="L848" s="287"/>
      <c r="Q848" s="287"/>
    </row>
    <row r="849" spans="1:17" s="91" customFormat="1" ht="14.25" hidden="1" customHeight="1" outlineLevel="2">
      <c r="A849" s="268"/>
      <c r="B849" s="119" t="s">
        <v>272</v>
      </c>
      <c r="C849" s="266" t="s">
        <v>1614</v>
      </c>
      <c r="D849" s="124" t="s">
        <v>1092</v>
      </c>
      <c r="E849" s="125"/>
      <c r="F849" s="118" t="s">
        <v>1357</v>
      </c>
      <c r="G849" s="126" t="str">
        <f t="shared" si="79"/>
        <v>AR-L30-1</v>
      </c>
      <c r="H849" s="253">
        <v>1</v>
      </c>
      <c r="I849" s="76">
        <v>1</v>
      </c>
      <c r="J849" s="299" t="s">
        <v>286</v>
      </c>
      <c r="K849" s="299"/>
      <c r="L849" s="287"/>
      <c r="Q849" s="287"/>
    </row>
    <row r="850" spans="1:17" s="91" customFormat="1" ht="14.25" hidden="1" customHeight="1" outlineLevel="2">
      <c r="A850" s="268"/>
      <c r="B850" s="119" t="s">
        <v>272</v>
      </c>
      <c r="C850" s="266" t="s">
        <v>1615</v>
      </c>
      <c r="D850" s="124" t="s">
        <v>1092</v>
      </c>
      <c r="E850" s="125"/>
      <c r="F850" s="118" t="s">
        <v>1357</v>
      </c>
      <c r="G850" s="126" t="str">
        <f t="shared" si="79"/>
        <v>AR-L30-1</v>
      </c>
      <c r="H850" s="253">
        <v>1</v>
      </c>
      <c r="I850" s="76">
        <v>1</v>
      </c>
      <c r="J850" s="299" t="s">
        <v>286</v>
      </c>
      <c r="K850" s="299"/>
      <c r="L850" s="287"/>
      <c r="Q850" s="287"/>
    </row>
    <row r="851" spans="1:17" s="91" customFormat="1" ht="14.25" hidden="1" customHeight="1" outlineLevel="2">
      <c r="A851" s="268"/>
      <c r="B851" s="119" t="s">
        <v>272</v>
      </c>
      <c r="C851" s="266" t="s">
        <v>1616</v>
      </c>
      <c r="D851" s="124" t="s">
        <v>1092</v>
      </c>
      <c r="E851" s="125"/>
      <c r="F851" s="118" t="s">
        <v>1357</v>
      </c>
      <c r="G851" s="126" t="str">
        <f t="shared" si="79"/>
        <v>AR-L30-1</v>
      </c>
      <c r="H851" s="253">
        <v>1</v>
      </c>
      <c r="I851" s="76">
        <v>1</v>
      </c>
      <c r="J851" s="299" t="s">
        <v>286</v>
      </c>
      <c r="K851" s="299"/>
      <c r="L851" s="287"/>
      <c r="Q851" s="287"/>
    </row>
    <row r="852" spans="1:17" s="91" customFormat="1" ht="14.25" hidden="1" customHeight="1" outlineLevel="2">
      <c r="B852" s="119" t="s">
        <v>272</v>
      </c>
      <c r="C852" s="266" t="s">
        <v>1617</v>
      </c>
      <c r="D852" s="124" t="s">
        <v>1092</v>
      </c>
      <c r="E852" s="125"/>
      <c r="F852" s="118" t="s">
        <v>1357</v>
      </c>
      <c r="G852" s="126" t="str">
        <f t="shared" si="79"/>
        <v>AR-L30-1</v>
      </c>
      <c r="H852" s="253">
        <v>1</v>
      </c>
      <c r="I852" s="76">
        <v>1</v>
      </c>
      <c r="J852" s="299" t="s">
        <v>286</v>
      </c>
      <c r="K852" s="299"/>
      <c r="L852" s="287"/>
      <c r="Q852" s="287"/>
    </row>
    <row r="853" spans="1:17" s="91" customFormat="1" ht="14.25" hidden="1" customHeight="1" outlineLevel="2">
      <c r="B853" s="119" t="s">
        <v>272</v>
      </c>
      <c r="C853" s="266" t="s">
        <v>1618</v>
      </c>
      <c r="D853" s="124" t="s">
        <v>1092</v>
      </c>
      <c r="E853" s="125"/>
      <c r="F853" s="118" t="s">
        <v>1357</v>
      </c>
      <c r="G853" s="126" t="str">
        <f t="shared" si="79"/>
        <v>AR-L30-1</v>
      </c>
      <c r="H853" s="253">
        <v>1</v>
      </c>
      <c r="I853" s="76">
        <v>1</v>
      </c>
      <c r="J853" s="299" t="s">
        <v>286</v>
      </c>
      <c r="K853" s="299"/>
      <c r="L853" s="287"/>
      <c r="Q853" s="287"/>
    </row>
    <row r="854" spans="1:17" s="91" customFormat="1" ht="14.25" hidden="1" customHeight="1" outlineLevel="2">
      <c r="B854" s="119" t="s">
        <v>272</v>
      </c>
      <c r="C854" s="266" t="s">
        <v>1619</v>
      </c>
      <c r="D854" s="124" t="s">
        <v>1092</v>
      </c>
      <c r="E854" s="125"/>
      <c r="F854" s="118" t="s">
        <v>1357</v>
      </c>
      <c r="G854" s="126" t="str">
        <f t="shared" ref="G854:G859" si="80">CONCATENATE("AR-",F854,"-",H854)</f>
        <v>AR-L30-1</v>
      </c>
      <c r="H854" s="253">
        <v>1</v>
      </c>
      <c r="I854" s="76">
        <v>1</v>
      </c>
      <c r="J854" s="299" t="s">
        <v>286</v>
      </c>
      <c r="K854" s="299"/>
      <c r="L854" s="287"/>
      <c r="Q854" s="287"/>
    </row>
    <row r="855" spans="1:17" s="91" customFormat="1" ht="14.25" hidden="1" customHeight="1" outlineLevel="2">
      <c r="B855" s="119" t="s">
        <v>272</v>
      </c>
      <c r="C855" s="266" t="s">
        <v>1620</v>
      </c>
      <c r="D855" s="124" t="s">
        <v>1092</v>
      </c>
      <c r="E855" s="125"/>
      <c r="F855" s="118" t="s">
        <v>1357</v>
      </c>
      <c r="G855" s="126" t="str">
        <f t="shared" si="80"/>
        <v>AR-L30-1</v>
      </c>
      <c r="H855" s="253">
        <v>1</v>
      </c>
      <c r="I855" s="76">
        <v>1</v>
      </c>
      <c r="J855" s="299" t="s">
        <v>286</v>
      </c>
      <c r="K855" s="299"/>
      <c r="L855" s="287"/>
      <c r="Q855" s="287"/>
    </row>
    <row r="856" spans="1:17" s="91" customFormat="1" ht="14.25" hidden="1" customHeight="1" outlineLevel="2">
      <c r="B856" s="119" t="s">
        <v>272</v>
      </c>
      <c r="C856" s="266" t="s">
        <v>1621</v>
      </c>
      <c r="D856" s="124" t="s">
        <v>1092</v>
      </c>
      <c r="E856" s="125"/>
      <c r="F856" s="118" t="s">
        <v>1357</v>
      </c>
      <c r="G856" s="126" t="str">
        <f t="shared" si="80"/>
        <v>AR-L30-1</v>
      </c>
      <c r="H856" s="253">
        <v>1</v>
      </c>
      <c r="I856" s="76">
        <v>1</v>
      </c>
      <c r="J856" s="299" t="s">
        <v>286</v>
      </c>
      <c r="K856" s="299"/>
      <c r="L856" s="287"/>
      <c r="Q856" s="287"/>
    </row>
    <row r="857" spans="1:17" s="91" customFormat="1" ht="14.25" hidden="1" customHeight="1" outlineLevel="2">
      <c r="B857" s="119" t="s">
        <v>272</v>
      </c>
      <c r="C857" s="266" t="s">
        <v>1622</v>
      </c>
      <c r="D857" s="124" t="s">
        <v>1514</v>
      </c>
      <c r="E857" s="125"/>
      <c r="F857" s="118" t="s">
        <v>1357</v>
      </c>
      <c r="G857" s="126" t="str">
        <f t="shared" si="80"/>
        <v>AR-L30-1</v>
      </c>
      <c r="H857" s="253">
        <v>1</v>
      </c>
      <c r="I857" s="76">
        <v>1</v>
      </c>
      <c r="J857" s="299" t="s">
        <v>286</v>
      </c>
      <c r="K857" s="299"/>
      <c r="L857" s="287"/>
      <c r="Q857" s="287"/>
    </row>
    <row r="858" spans="1:17" s="91" customFormat="1" ht="14.25" hidden="1" customHeight="1" outlineLevel="2">
      <c r="B858" s="119" t="s">
        <v>272</v>
      </c>
      <c r="C858" s="266" t="s">
        <v>1623</v>
      </c>
      <c r="D858" s="124" t="s">
        <v>1425</v>
      </c>
      <c r="E858" s="125"/>
      <c r="F858" s="118" t="s">
        <v>1357</v>
      </c>
      <c r="G858" s="126" t="str">
        <f t="shared" si="80"/>
        <v>AR-L30-1</v>
      </c>
      <c r="H858" s="253">
        <v>1</v>
      </c>
      <c r="I858" s="76">
        <v>1</v>
      </c>
      <c r="J858" s="299" t="s">
        <v>286</v>
      </c>
      <c r="K858" s="299"/>
      <c r="L858" s="287"/>
      <c r="Q858" s="287"/>
    </row>
    <row r="859" spans="1:17" s="91" customFormat="1" ht="14.25" hidden="1" customHeight="1" outlineLevel="2">
      <c r="B859" s="119" t="s">
        <v>272</v>
      </c>
      <c r="C859" s="266" t="s">
        <v>1624</v>
      </c>
      <c r="D859" s="124" t="s">
        <v>1120</v>
      </c>
      <c r="E859" s="125"/>
      <c r="F859" s="118" t="s">
        <v>1357</v>
      </c>
      <c r="G859" s="126" t="str">
        <f t="shared" si="80"/>
        <v>AR-L30-1</v>
      </c>
      <c r="H859" s="253">
        <v>1</v>
      </c>
      <c r="I859" s="76">
        <v>1</v>
      </c>
      <c r="J859" s="299" t="s">
        <v>286</v>
      </c>
      <c r="K859" s="299"/>
      <c r="L859" s="287"/>
      <c r="Q859" s="287"/>
    </row>
    <row r="860" spans="1:17" s="91" customFormat="1" ht="3" hidden="1" customHeight="1" outlineLevel="1">
      <c r="B860" s="119"/>
      <c r="C860" s="266"/>
      <c r="D860" s="124" t="s">
        <v>299</v>
      </c>
      <c r="E860" s="125"/>
      <c r="F860" s="118"/>
      <c r="G860" s="126"/>
      <c r="H860" s="253"/>
      <c r="I860" s="89"/>
      <c r="J860" s="301"/>
      <c r="K860" s="301"/>
      <c r="L860" s="287"/>
      <c r="Q860" s="287"/>
    </row>
    <row r="861" spans="1:17" s="91" customFormat="1" ht="14.25" hidden="1" customHeight="1" outlineLevel="1">
      <c r="B861" s="135" t="s">
        <v>1625</v>
      </c>
      <c r="C861" s="266"/>
      <c r="D861" s="124"/>
      <c r="E861" s="125"/>
      <c r="F861" s="118"/>
      <c r="G861" s="126"/>
      <c r="H861" s="253"/>
      <c r="I861" s="89"/>
      <c r="J861" s="301"/>
      <c r="K861" s="301"/>
      <c r="L861" s="287"/>
      <c r="Q861" s="287"/>
    </row>
    <row r="862" spans="1:17" s="95" customFormat="1" ht="14.25" hidden="1" customHeight="1" outlineLevel="2">
      <c r="B862" s="119" t="s">
        <v>272</v>
      </c>
      <c r="C862" s="266" t="s">
        <v>1626</v>
      </c>
      <c r="D862" s="124" t="s">
        <v>1627</v>
      </c>
      <c r="E862" s="125"/>
      <c r="F862" s="118" t="s">
        <v>1628</v>
      </c>
      <c r="G862" s="126" t="str">
        <f t="shared" ref="G862:G899" si="81">CONCATENATE("AR-",F862,"-",H862)</f>
        <v>AR-L45-1</v>
      </c>
      <c r="H862" s="253">
        <v>1</v>
      </c>
      <c r="I862" s="76">
        <v>1</v>
      </c>
      <c r="J862" s="299" t="s">
        <v>286</v>
      </c>
      <c r="K862" s="299"/>
      <c r="L862" s="288"/>
      <c r="Q862" s="288"/>
    </row>
    <row r="863" spans="1:17" s="95" customFormat="1" ht="14.25" hidden="1" customHeight="1" outlineLevel="2">
      <c r="B863" s="119" t="s">
        <v>272</v>
      </c>
      <c r="C863" s="266" t="s">
        <v>1629</v>
      </c>
      <c r="D863" s="124" t="s">
        <v>1630</v>
      </c>
      <c r="E863" s="125"/>
      <c r="F863" s="118" t="s">
        <v>1628</v>
      </c>
      <c r="G863" s="126" t="str">
        <f t="shared" si="81"/>
        <v>AR-L45-1</v>
      </c>
      <c r="H863" s="253">
        <v>1</v>
      </c>
      <c r="I863" s="76">
        <v>1</v>
      </c>
      <c r="J863" s="299" t="s">
        <v>286</v>
      </c>
      <c r="K863" s="299"/>
      <c r="L863" s="288"/>
      <c r="Q863" s="288"/>
    </row>
    <row r="864" spans="1:17" s="95" customFormat="1" ht="14.25" hidden="1" customHeight="1" outlineLevel="2">
      <c r="B864" s="119" t="s">
        <v>272</v>
      </c>
      <c r="C864" s="266" t="s">
        <v>1631</v>
      </c>
      <c r="D864" s="124" t="s">
        <v>1632</v>
      </c>
      <c r="E864" s="125"/>
      <c r="F864" s="118" t="s">
        <v>1628</v>
      </c>
      <c r="G864" s="126" t="str">
        <f t="shared" si="81"/>
        <v>AR-L45-1</v>
      </c>
      <c r="H864" s="253">
        <v>1</v>
      </c>
      <c r="I864" s="76">
        <v>1</v>
      </c>
      <c r="J864" s="299" t="s">
        <v>286</v>
      </c>
      <c r="K864" s="299"/>
      <c r="L864" s="288"/>
      <c r="Q864" s="288"/>
    </row>
    <row r="865" spans="2:17" s="95" customFormat="1" ht="14.25" hidden="1" customHeight="1" outlineLevel="2">
      <c r="B865" s="119" t="s">
        <v>272</v>
      </c>
      <c r="C865" s="266" t="s">
        <v>1633</v>
      </c>
      <c r="D865" s="124" t="s">
        <v>1634</v>
      </c>
      <c r="E865" s="125"/>
      <c r="F865" s="118" t="s">
        <v>1628</v>
      </c>
      <c r="G865" s="126" t="str">
        <f t="shared" si="81"/>
        <v>AR-L45-1</v>
      </c>
      <c r="H865" s="253">
        <v>1</v>
      </c>
      <c r="I865" s="76">
        <v>1</v>
      </c>
      <c r="J865" s="299" t="s">
        <v>286</v>
      </c>
      <c r="K865" s="299"/>
      <c r="L865" s="288"/>
      <c r="Q865" s="288"/>
    </row>
    <row r="866" spans="2:17" s="95" customFormat="1" ht="14.25" hidden="1" customHeight="1" outlineLevel="2">
      <c r="B866" s="119" t="s">
        <v>272</v>
      </c>
      <c r="C866" s="266" t="s">
        <v>1635</v>
      </c>
      <c r="D866" s="124" t="s">
        <v>1636</v>
      </c>
      <c r="E866" s="125"/>
      <c r="F866" s="118" t="s">
        <v>1628</v>
      </c>
      <c r="G866" s="126" t="str">
        <f t="shared" si="81"/>
        <v>AR-L45-1</v>
      </c>
      <c r="H866" s="253">
        <v>1</v>
      </c>
      <c r="I866" s="76">
        <v>1</v>
      </c>
      <c r="J866" s="299" t="s">
        <v>286</v>
      </c>
      <c r="K866" s="299"/>
      <c r="L866" s="288"/>
      <c r="Q866" s="288"/>
    </row>
    <row r="867" spans="2:17" s="95" customFormat="1" ht="14.25" hidden="1" customHeight="1" outlineLevel="2">
      <c r="B867" s="119" t="s">
        <v>272</v>
      </c>
      <c r="C867" s="266" t="s">
        <v>1637</v>
      </c>
      <c r="D867" s="124" t="s">
        <v>1638</v>
      </c>
      <c r="E867" s="125"/>
      <c r="F867" s="118" t="s">
        <v>1628</v>
      </c>
      <c r="G867" s="126" t="str">
        <f t="shared" si="81"/>
        <v>AR-L45-1</v>
      </c>
      <c r="H867" s="253">
        <v>1</v>
      </c>
      <c r="I867" s="76">
        <v>1</v>
      </c>
      <c r="J867" s="299" t="s">
        <v>286</v>
      </c>
      <c r="K867" s="299"/>
      <c r="L867" s="288"/>
      <c r="Q867" s="288"/>
    </row>
    <row r="868" spans="2:17" s="95" customFormat="1" ht="14.25" hidden="1" customHeight="1" outlineLevel="2">
      <c r="B868" s="119" t="s">
        <v>272</v>
      </c>
      <c r="C868" s="266" t="s">
        <v>1639</v>
      </c>
      <c r="D868" s="124" t="s">
        <v>1640</v>
      </c>
      <c r="E868" s="125"/>
      <c r="F868" s="118" t="s">
        <v>1628</v>
      </c>
      <c r="G868" s="126" t="str">
        <f t="shared" si="81"/>
        <v>AR-L45-1</v>
      </c>
      <c r="H868" s="253">
        <v>1</v>
      </c>
      <c r="I868" s="76">
        <v>1</v>
      </c>
      <c r="J868" s="299" t="s">
        <v>286</v>
      </c>
      <c r="K868" s="299"/>
      <c r="L868" s="288"/>
      <c r="Q868" s="288"/>
    </row>
    <row r="869" spans="2:17" s="95" customFormat="1" ht="14.25" hidden="1" customHeight="1" outlineLevel="2">
      <c r="B869" s="119" t="s">
        <v>272</v>
      </c>
      <c r="C869" s="266" t="s">
        <v>1641</v>
      </c>
      <c r="D869" s="124" t="s">
        <v>1642</v>
      </c>
      <c r="E869" s="125"/>
      <c r="F869" s="118" t="s">
        <v>1628</v>
      </c>
      <c r="G869" s="126" t="str">
        <f t="shared" si="81"/>
        <v>AR-L45-1</v>
      </c>
      <c r="H869" s="253">
        <v>1</v>
      </c>
      <c r="I869" s="76">
        <v>1</v>
      </c>
      <c r="J869" s="299" t="s">
        <v>286</v>
      </c>
      <c r="K869" s="299"/>
      <c r="L869" s="288"/>
      <c r="Q869" s="288"/>
    </row>
    <row r="870" spans="2:17" s="95" customFormat="1" ht="14.25" hidden="1" customHeight="1" outlineLevel="2">
      <c r="B870" s="119" t="s">
        <v>272</v>
      </c>
      <c r="C870" s="266" t="s">
        <v>1643</v>
      </c>
      <c r="D870" s="124" t="s">
        <v>1644</v>
      </c>
      <c r="E870" s="125"/>
      <c r="F870" s="118" t="s">
        <v>1628</v>
      </c>
      <c r="G870" s="126" t="str">
        <f t="shared" si="81"/>
        <v>AR-L45-1</v>
      </c>
      <c r="H870" s="253">
        <v>1</v>
      </c>
      <c r="I870" s="76">
        <v>1</v>
      </c>
      <c r="J870" s="299" t="s">
        <v>286</v>
      </c>
      <c r="K870" s="299"/>
      <c r="L870" s="288"/>
      <c r="Q870" s="288"/>
    </row>
    <row r="871" spans="2:17" s="95" customFormat="1" ht="14.25" hidden="1" customHeight="1" outlineLevel="2">
      <c r="B871" s="119" t="s">
        <v>272</v>
      </c>
      <c r="C871" s="266" t="s">
        <v>1645</v>
      </c>
      <c r="D871" s="124" t="s">
        <v>1646</v>
      </c>
      <c r="E871" s="125"/>
      <c r="F871" s="118" t="s">
        <v>1628</v>
      </c>
      <c r="G871" s="126" t="str">
        <f t="shared" si="81"/>
        <v>AR-L45-1</v>
      </c>
      <c r="H871" s="253">
        <v>1</v>
      </c>
      <c r="I871" s="76">
        <v>1</v>
      </c>
      <c r="J871" s="299" t="s">
        <v>286</v>
      </c>
      <c r="K871" s="299"/>
      <c r="L871" s="288"/>
      <c r="Q871" s="288"/>
    </row>
    <row r="872" spans="2:17" s="95" customFormat="1" ht="14.25" hidden="1" customHeight="1" outlineLevel="2">
      <c r="B872" s="119" t="s">
        <v>272</v>
      </c>
      <c r="C872" s="266" t="s">
        <v>1647</v>
      </c>
      <c r="D872" s="124" t="s">
        <v>1648</v>
      </c>
      <c r="E872" s="125"/>
      <c r="F872" s="118" t="s">
        <v>1628</v>
      </c>
      <c r="G872" s="126" t="str">
        <f t="shared" si="81"/>
        <v>AR-L45-1</v>
      </c>
      <c r="H872" s="253">
        <v>1</v>
      </c>
      <c r="I872" s="76">
        <v>1</v>
      </c>
      <c r="J872" s="299" t="s">
        <v>286</v>
      </c>
      <c r="K872" s="299"/>
      <c r="L872" s="288"/>
      <c r="Q872" s="288"/>
    </row>
    <row r="873" spans="2:17" s="95" customFormat="1" ht="14.25" hidden="1" customHeight="1" outlineLevel="2">
      <c r="B873" s="119" t="s">
        <v>272</v>
      </c>
      <c r="C873" s="266" t="s">
        <v>1649</v>
      </c>
      <c r="D873" s="124" t="s">
        <v>1650</v>
      </c>
      <c r="E873" s="125"/>
      <c r="F873" s="118" t="s">
        <v>1628</v>
      </c>
      <c r="G873" s="126" t="str">
        <f t="shared" si="81"/>
        <v>AR-L45-1</v>
      </c>
      <c r="H873" s="253">
        <v>1</v>
      </c>
      <c r="I873" s="76">
        <v>1</v>
      </c>
      <c r="J873" s="299" t="s">
        <v>286</v>
      </c>
      <c r="K873" s="299"/>
      <c r="L873" s="288"/>
      <c r="Q873" s="288"/>
    </row>
    <row r="874" spans="2:17" s="95" customFormat="1" ht="14.25" hidden="1" customHeight="1" outlineLevel="2">
      <c r="B874" s="119" t="s">
        <v>272</v>
      </c>
      <c r="C874" s="266" t="s">
        <v>1651</v>
      </c>
      <c r="D874" s="124" t="s">
        <v>1652</v>
      </c>
      <c r="E874" s="125"/>
      <c r="F874" s="118" t="s">
        <v>1628</v>
      </c>
      <c r="G874" s="126" t="str">
        <f t="shared" si="81"/>
        <v>AR-L45-1</v>
      </c>
      <c r="H874" s="253">
        <v>1</v>
      </c>
      <c r="I874" s="76">
        <v>1</v>
      </c>
      <c r="J874" s="299" t="s">
        <v>286</v>
      </c>
      <c r="K874" s="299"/>
      <c r="L874" s="288"/>
      <c r="Q874" s="288"/>
    </row>
    <row r="875" spans="2:17" s="95" customFormat="1" ht="14.25" hidden="1" customHeight="1" outlineLevel="2">
      <c r="B875" s="119" t="s">
        <v>272</v>
      </c>
      <c r="C875" s="266" t="s">
        <v>1653</v>
      </c>
      <c r="D875" s="124" t="s">
        <v>1654</v>
      </c>
      <c r="E875" s="125"/>
      <c r="F875" s="118" t="s">
        <v>1628</v>
      </c>
      <c r="G875" s="126" t="str">
        <f t="shared" si="81"/>
        <v>AR-L45-1</v>
      </c>
      <c r="H875" s="253">
        <v>1</v>
      </c>
      <c r="I875" s="76">
        <v>1</v>
      </c>
      <c r="J875" s="299" t="s">
        <v>286</v>
      </c>
      <c r="K875" s="299"/>
      <c r="L875" s="288"/>
      <c r="Q875" s="288"/>
    </row>
    <row r="876" spans="2:17" s="95" customFormat="1" ht="14.25" hidden="1" customHeight="1" outlineLevel="2">
      <c r="B876" s="119" t="s">
        <v>272</v>
      </c>
      <c r="C876" s="266" t="s">
        <v>1655</v>
      </c>
      <c r="D876" s="124" t="s">
        <v>1656</v>
      </c>
      <c r="E876" s="125"/>
      <c r="F876" s="118" t="s">
        <v>1628</v>
      </c>
      <c r="G876" s="126" t="str">
        <f t="shared" si="81"/>
        <v>AR-L45-1</v>
      </c>
      <c r="H876" s="253">
        <v>1</v>
      </c>
      <c r="I876" s="76">
        <v>1</v>
      </c>
      <c r="J876" s="299" t="s">
        <v>286</v>
      </c>
      <c r="K876" s="299"/>
      <c r="L876" s="288"/>
      <c r="Q876" s="288"/>
    </row>
    <row r="877" spans="2:17" s="95" customFormat="1" ht="14.25" hidden="1" customHeight="1" outlineLevel="2">
      <c r="B877" s="119" t="s">
        <v>272</v>
      </c>
      <c r="C877" s="266" t="s">
        <v>1657</v>
      </c>
      <c r="D877" s="124" t="s">
        <v>1658</v>
      </c>
      <c r="E877" s="125"/>
      <c r="F877" s="118" t="s">
        <v>1628</v>
      </c>
      <c r="G877" s="126" t="str">
        <f t="shared" si="81"/>
        <v>AR-L45-1</v>
      </c>
      <c r="H877" s="253">
        <v>1</v>
      </c>
      <c r="I877" s="76">
        <v>1</v>
      </c>
      <c r="J877" s="299" t="s">
        <v>286</v>
      </c>
      <c r="K877" s="299"/>
      <c r="L877" s="288"/>
      <c r="Q877" s="288"/>
    </row>
    <row r="878" spans="2:17" s="95" customFormat="1" ht="14.25" hidden="1" customHeight="1" outlineLevel="2">
      <c r="B878" s="119" t="s">
        <v>272</v>
      </c>
      <c r="C878" s="266" t="s">
        <v>1659</v>
      </c>
      <c r="D878" s="124" t="s">
        <v>1660</v>
      </c>
      <c r="E878" s="125"/>
      <c r="F878" s="118" t="s">
        <v>1628</v>
      </c>
      <c r="G878" s="126" t="str">
        <f t="shared" si="81"/>
        <v>AR-L45-1</v>
      </c>
      <c r="H878" s="253">
        <v>1</v>
      </c>
      <c r="I878" s="76">
        <v>1</v>
      </c>
      <c r="J878" s="299" t="s">
        <v>286</v>
      </c>
      <c r="K878" s="299"/>
      <c r="L878" s="288"/>
      <c r="Q878" s="288"/>
    </row>
    <row r="879" spans="2:17" s="95" customFormat="1" ht="14.25" hidden="1" customHeight="1" outlineLevel="2">
      <c r="B879" s="119" t="s">
        <v>272</v>
      </c>
      <c r="C879" s="266" t="s">
        <v>1661</v>
      </c>
      <c r="D879" s="124" t="s">
        <v>1662</v>
      </c>
      <c r="E879" s="125"/>
      <c r="F879" s="118" t="s">
        <v>1628</v>
      </c>
      <c r="G879" s="126" t="str">
        <f t="shared" si="81"/>
        <v>AR-L45-1</v>
      </c>
      <c r="H879" s="253">
        <v>1</v>
      </c>
      <c r="I879" s="76">
        <v>1</v>
      </c>
      <c r="J879" s="299" t="s">
        <v>286</v>
      </c>
      <c r="K879" s="299"/>
      <c r="L879" s="288"/>
      <c r="Q879" s="288"/>
    </row>
    <row r="880" spans="2:17" s="95" customFormat="1" ht="14.25" hidden="1" customHeight="1" outlineLevel="2">
      <c r="B880" s="119" t="s">
        <v>272</v>
      </c>
      <c r="C880" s="266" t="s">
        <v>1663</v>
      </c>
      <c r="D880" s="124" t="s">
        <v>1664</v>
      </c>
      <c r="E880" s="125"/>
      <c r="F880" s="118" t="s">
        <v>1628</v>
      </c>
      <c r="G880" s="126" t="str">
        <f t="shared" si="81"/>
        <v>AR-L45-1</v>
      </c>
      <c r="H880" s="253">
        <v>1</v>
      </c>
      <c r="I880" s="76">
        <v>1</v>
      </c>
      <c r="J880" s="299" t="s">
        <v>286</v>
      </c>
      <c r="K880" s="299"/>
      <c r="L880" s="288"/>
      <c r="Q880" s="288"/>
    </row>
    <row r="881" spans="2:17" s="95" customFormat="1" ht="14.25" hidden="1" customHeight="1" outlineLevel="2">
      <c r="B881" s="119" t="s">
        <v>272</v>
      </c>
      <c r="C881" s="266" t="s">
        <v>1665</v>
      </c>
      <c r="D881" s="124" t="s">
        <v>1666</v>
      </c>
      <c r="E881" s="125"/>
      <c r="F881" s="118" t="s">
        <v>1628</v>
      </c>
      <c r="G881" s="126" t="str">
        <f t="shared" si="81"/>
        <v>AR-L45-1</v>
      </c>
      <c r="H881" s="253">
        <v>1</v>
      </c>
      <c r="I881" s="76">
        <v>1</v>
      </c>
      <c r="J881" s="299" t="s">
        <v>286</v>
      </c>
      <c r="K881" s="299"/>
      <c r="L881" s="288"/>
      <c r="Q881" s="288"/>
    </row>
    <row r="882" spans="2:17" s="95" customFormat="1" ht="14.25" hidden="1" customHeight="1" outlineLevel="2">
      <c r="B882" s="119" t="s">
        <v>272</v>
      </c>
      <c r="C882" s="266" t="s">
        <v>1667</v>
      </c>
      <c r="D882" s="124" t="s">
        <v>1668</v>
      </c>
      <c r="E882" s="125"/>
      <c r="F882" s="118" t="s">
        <v>1628</v>
      </c>
      <c r="G882" s="126" t="str">
        <f t="shared" si="81"/>
        <v>AR-L45-1</v>
      </c>
      <c r="H882" s="253">
        <v>1</v>
      </c>
      <c r="I882" s="76">
        <v>1</v>
      </c>
      <c r="J882" s="299" t="s">
        <v>286</v>
      </c>
      <c r="K882" s="299"/>
      <c r="L882" s="288"/>
      <c r="Q882" s="288"/>
    </row>
    <row r="883" spans="2:17" s="95" customFormat="1" ht="14.25" hidden="1" customHeight="1" outlineLevel="2">
      <c r="B883" s="119" t="s">
        <v>272</v>
      </c>
      <c r="C883" s="266" t="s">
        <v>1669</v>
      </c>
      <c r="D883" s="124" t="s">
        <v>1670</v>
      </c>
      <c r="E883" s="125"/>
      <c r="F883" s="118" t="s">
        <v>1628</v>
      </c>
      <c r="G883" s="126" t="str">
        <f t="shared" si="81"/>
        <v>AR-L45-1</v>
      </c>
      <c r="H883" s="253">
        <v>1</v>
      </c>
      <c r="I883" s="76">
        <v>1</v>
      </c>
      <c r="J883" s="299" t="s">
        <v>286</v>
      </c>
      <c r="K883" s="299"/>
      <c r="L883" s="288"/>
      <c r="Q883" s="288"/>
    </row>
    <row r="884" spans="2:17" s="95" customFormat="1" ht="14.25" hidden="1" customHeight="1" outlineLevel="2">
      <c r="B884" s="119" t="s">
        <v>272</v>
      </c>
      <c r="C884" s="266" t="s">
        <v>1671</v>
      </c>
      <c r="D884" s="124" t="s">
        <v>1672</v>
      </c>
      <c r="E884" s="125"/>
      <c r="F884" s="118" t="s">
        <v>1628</v>
      </c>
      <c r="G884" s="126" t="str">
        <f t="shared" si="81"/>
        <v>AR-L45-1</v>
      </c>
      <c r="H884" s="253">
        <v>1</v>
      </c>
      <c r="I884" s="76">
        <v>1</v>
      </c>
      <c r="J884" s="299" t="s">
        <v>286</v>
      </c>
      <c r="K884" s="299"/>
      <c r="L884" s="288"/>
      <c r="Q884" s="288"/>
    </row>
    <row r="885" spans="2:17" s="95" customFormat="1" ht="14.25" hidden="1" customHeight="1" outlineLevel="2">
      <c r="B885" s="119" t="s">
        <v>272</v>
      </c>
      <c r="C885" s="266" t="s">
        <v>1673</v>
      </c>
      <c r="D885" s="124" t="s">
        <v>1674</v>
      </c>
      <c r="E885" s="125"/>
      <c r="F885" s="118" t="s">
        <v>1628</v>
      </c>
      <c r="G885" s="126" t="str">
        <f t="shared" si="81"/>
        <v>AR-L45-1</v>
      </c>
      <c r="H885" s="253">
        <v>1</v>
      </c>
      <c r="I885" s="76">
        <v>1</v>
      </c>
      <c r="J885" s="299" t="s">
        <v>286</v>
      </c>
      <c r="K885" s="299"/>
      <c r="L885" s="288"/>
      <c r="Q885" s="288"/>
    </row>
    <row r="886" spans="2:17" s="95" customFormat="1" ht="14.25" hidden="1" customHeight="1" outlineLevel="2">
      <c r="B886" s="119" t="s">
        <v>272</v>
      </c>
      <c r="C886" s="266" t="s">
        <v>1675</v>
      </c>
      <c r="D886" s="124" t="s">
        <v>1676</v>
      </c>
      <c r="E886" s="125"/>
      <c r="F886" s="118" t="s">
        <v>1628</v>
      </c>
      <c r="G886" s="126" t="str">
        <f t="shared" si="81"/>
        <v>AR-L45-1</v>
      </c>
      <c r="H886" s="253">
        <v>1</v>
      </c>
      <c r="I886" s="76">
        <v>1</v>
      </c>
      <c r="J886" s="299" t="s">
        <v>286</v>
      </c>
      <c r="K886" s="299"/>
      <c r="L886" s="288"/>
      <c r="Q886" s="288"/>
    </row>
    <row r="887" spans="2:17" s="95" customFormat="1" ht="14.25" hidden="1" customHeight="1" outlineLevel="2">
      <c r="B887" s="119" t="s">
        <v>272</v>
      </c>
      <c r="C887" s="266" t="s">
        <v>1677</v>
      </c>
      <c r="D887" s="124" t="s">
        <v>1678</v>
      </c>
      <c r="E887" s="125"/>
      <c r="F887" s="118" t="s">
        <v>1628</v>
      </c>
      <c r="G887" s="126" t="str">
        <f t="shared" si="81"/>
        <v>AR-L45-1</v>
      </c>
      <c r="H887" s="253">
        <v>1</v>
      </c>
      <c r="I887" s="76">
        <v>1</v>
      </c>
      <c r="J887" s="299" t="s">
        <v>286</v>
      </c>
      <c r="K887" s="299"/>
      <c r="L887" s="288"/>
      <c r="Q887" s="288"/>
    </row>
    <row r="888" spans="2:17" s="95" customFormat="1" ht="14.25" hidden="1" customHeight="1" outlineLevel="2">
      <c r="B888" s="119" t="s">
        <v>272</v>
      </c>
      <c r="C888" s="266" t="s">
        <v>1679</v>
      </c>
      <c r="D888" s="124" t="s">
        <v>1363</v>
      </c>
      <c r="E888" s="125"/>
      <c r="F888" s="118" t="s">
        <v>1628</v>
      </c>
      <c r="G888" s="126" t="str">
        <f t="shared" si="81"/>
        <v>AR-L45-1</v>
      </c>
      <c r="H888" s="253">
        <v>1</v>
      </c>
      <c r="I888" s="76">
        <v>1</v>
      </c>
      <c r="J888" s="299" t="s">
        <v>286</v>
      </c>
      <c r="K888" s="299"/>
      <c r="L888" s="288"/>
      <c r="Q888" s="288"/>
    </row>
    <row r="889" spans="2:17" s="95" customFormat="1" ht="14.25" hidden="1" customHeight="1" outlineLevel="2">
      <c r="B889" s="119" t="s">
        <v>272</v>
      </c>
      <c r="C889" s="266" t="s">
        <v>1680</v>
      </c>
      <c r="D889" s="124" t="s">
        <v>1365</v>
      </c>
      <c r="E889" s="125"/>
      <c r="F889" s="118" t="s">
        <v>1628</v>
      </c>
      <c r="G889" s="126" t="str">
        <f t="shared" si="81"/>
        <v>AR-L45-1</v>
      </c>
      <c r="H889" s="253">
        <v>1</v>
      </c>
      <c r="I889" s="76">
        <v>1</v>
      </c>
      <c r="J889" s="299" t="s">
        <v>286</v>
      </c>
      <c r="K889" s="299"/>
      <c r="L889" s="288"/>
      <c r="Q889" s="288"/>
    </row>
    <row r="890" spans="2:17" s="95" customFormat="1" ht="14.25" hidden="1" customHeight="1" outlineLevel="2">
      <c r="B890" s="119" t="s">
        <v>272</v>
      </c>
      <c r="C890" s="266" t="s">
        <v>1681</v>
      </c>
      <c r="D890" s="124" t="s">
        <v>1367</v>
      </c>
      <c r="E890" s="125"/>
      <c r="F890" s="118" t="s">
        <v>1628</v>
      </c>
      <c r="G890" s="126" t="str">
        <f t="shared" si="81"/>
        <v>AR-L45-1</v>
      </c>
      <c r="H890" s="253">
        <v>1</v>
      </c>
      <c r="I890" s="76">
        <v>1</v>
      </c>
      <c r="J890" s="299" t="s">
        <v>286</v>
      </c>
      <c r="K890" s="299"/>
      <c r="L890" s="288"/>
      <c r="Q890" s="288"/>
    </row>
    <row r="891" spans="2:17" s="95" customFormat="1" ht="14.25" hidden="1" customHeight="1" outlineLevel="2">
      <c r="B891" s="119" t="s">
        <v>272</v>
      </c>
      <c r="C891" s="266" t="s">
        <v>1682</v>
      </c>
      <c r="D891" s="124" t="s">
        <v>1683</v>
      </c>
      <c r="E891" s="125"/>
      <c r="F891" s="118" t="s">
        <v>1628</v>
      </c>
      <c r="G891" s="126" t="str">
        <f t="shared" si="81"/>
        <v>AR-L45-1</v>
      </c>
      <c r="H891" s="253">
        <v>1</v>
      </c>
      <c r="I891" s="76">
        <v>1</v>
      </c>
      <c r="J891" s="299" t="s">
        <v>286</v>
      </c>
      <c r="K891" s="299"/>
      <c r="L891" s="288"/>
      <c r="Q891" s="288"/>
    </row>
    <row r="892" spans="2:17" s="95" customFormat="1" ht="14.25" hidden="1" customHeight="1" outlineLevel="2">
      <c r="B892" s="119" t="s">
        <v>272</v>
      </c>
      <c r="C892" s="266" t="s">
        <v>1684</v>
      </c>
      <c r="D892" s="124" t="s">
        <v>1371</v>
      </c>
      <c r="E892" s="125"/>
      <c r="F892" s="118" t="s">
        <v>1628</v>
      </c>
      <c r="G892" s="126" t="str">
        <f t="shared" si="81"/>
        <v>AR-L45-1</v>
      </c>
      <c r="H892" s="253">
        <v>1</v>
      </c>
      <c r="I892" s="76">
        <v>1</v>
      </c>
      <c r="J892" s="299" t="s">
        <v>286</v>
      </c>
      <c r="K892" s="299"/>
      <c r="L892" s="288"/>
      <c r="Q892" s="288"/>
    </row>
    <row r="893" spans="2:17" s="95" customFormat="1" ht="14.25" hidden="1" customHeight="1" outlineLevel="2">
      <c r="B893" s="119" t="s">
        <v>272</v>
      </c>
      <c r="C893" s="266" t="s">
        <v>1685</v>
      </c>
      <c r="D893" s="124" t="s">
        <v>1686</v>
      </c>
      <c r="E893" s="125"/>
      <c r="F893" s="118" t="s">
        <v>1628</v>
      </c>
      <c r="G893" s="126" t="str">
        <f t="shared" si="81"/>
        <v>AR-L45-1</v>
      </c>
      <c r="H893" s="253">
        <v>1</v>
      </c>
      <c r="I893" s="76">
        <v>1</v>
      </c>
      <c r="J893" s="299" t="s">
        <v>286</v>
      </c>
      <c r="K893" s="299"/>
      <c r="L893" s="288"/>
      <c r="Q893" s="288"/>
    </row>
    <row r="894" spans="2:17" s="95" customFormat="1" ht="14.25" hidden="1" customHeight="1" outlineLevel="2">
      <c r="B894" s="119" t="s">
        <v>272</v>
      </c>
      <c r="C894" s="266" t="s">
        <v>1687</v>
      </c>
      <c r="D894" s="124" t="s">
        <v>1688</v>
      </c>
      <c r="E894" s="125"/>
      <c r="F894" s="118" t="s">
        <v>1628</v>
      </c>
      <c r="G894" s="126" t="str">
        <f t="shared" si="81"/>
        <v>AR-L45-1</v>
      </c>
      <c r="H894" s="253">
        <v>1</v>
      </c>
      <c r="I894" s="76">
        <v>1</v>
      </c>
      <c r="J894" s="299" t="s">
        <v>286</v>
      </c>
      <c r="K894" s="299"/>
      <c r="L894" s="288"/>
      <c r="Q894" s="288"/>
    </row>
    <row r="895" spans="2:17" s="95" customFormat="1" ht="14.25" hidden="1" customHeight="1" outlineLevel="2">
      <c r="B895" s="119" t="s">
        <v>272</v>
      </c>
      <c r="C895" s="266" t="s">
        <v>1689</v>
      </c>
      <c r="D895" s="124" t="s">
        <v>1381</v>
      </c>
      <c r="E895" s="125"/>
      <c r="F895" s="118" t="s">
        <v>1628</v>
      </c>
      <c r="G895" s="126" t="str">
        <f t="shared" si="81"/>
        <v>AR-L45-1</v>
      </c>
      <c r="H895" s="253">
        <v>1</v>
      </c>
      <c r="I895" s="76">
        <v>1</v>
      </c>
      <c r="J895" s="299" t="s">
        <v>286</v>
      </c>
      <c r="K895" s="299"/>
      <c r="L895" s="288"/>
      <c r="Q895" s="288"/>
    </row>
    <row r="896" spans="2:17" s="95" customFormat="1" ht="14.25" hidden="1" customHeight="1" outlineLevel="2">
      <c r="B896" s="119" t="s">
        <v>272</v>
      </c>
      <c r="C896" s="266" t="s">
        <v>1690</v>
      </c>
      <c r="D896" s="124" t="s">
        <v>1383</v>
      </c>
      <c r="E896" s="125"/>
      <c r="F896" s="118" t="s">
        <v>1628</v>
      </c>
      <c r="G896" s="126" t="str">
        <f t="shared" si="81"/>
        <v>AR-L45-1</v>
      </c>
      <c r="H896" s="253">
        <v>1</v>
      </c>
      <c r="I896" s="76">
        <v>1</v>
      </c>
      <c r="J896" s="299" t="s">
        <v>286</v>
      </c>
      <c r="K896" s="299"/>
      <c r="L896" s="288"/>
      <c r="Q896" s="288"/>
    </row>
    <row r="897" spans="2:17" s="95" customFormat="1" ht="14.25" hidden="1" customHeight="1" outlineLevel="2">
      <c r="B897" s="119" t="s">
        <v>272</v>
      </c>
      <c r="C897" s="266" t="s">
        <v>1691</v>
      </c>
      <c r="D897" s="124" t="s">
        <v>1692</v>
      </c>
      <c r="E897" s="125"/>
      <c r="F897" s="118" t="s">
        <v>1628</v>
      </c>
      <c r="G897" s="126" t="str">
        <f t="shared" si="81"/>
        <v>AR-L45-1</v>
      </c>
      <c r="H897" s="253">
        <v>1</v>
      </c>
      <c r="I897" s="76">
        <v>1</v>
      </c>
      <c r="J897" s="299" t="s">
        <v>310</v>
      </c>
      <c r="K897" s="299"/>
      <c r="L897" s="288"/>
      <c r="Q897" s="288"/>
    </row>
    <row r="898" spans="2:17" s="95" customFormat="1" ht="14.25" hidden="1" customHeight="1" outlineLevel="2">
      <c r="B898" s="119" t="s">
        <v>272</v>
      </c>
      <c r="C898" s="266" t="s">
        <v>1693</v>
      </c>
      <c r="D898" s="124" t="s">
        <v>1694</v>
      </c>
      <c r="E898" s="125"/>
      <c r="F898" s="118" t="s">
        <v>1628</v>
      </c>
      <c r="G898" s="126" t="str">
        <f t="shared" si="81"/>
        <v>AR-L45-1</v>
      </c>
      <c r="H898" s="253">
        <v>1</v>
      </c>
      <c r="I898" s="76">
        <v>1</v>
      </c>
      <c r="J898" s="299" t="s">
        <v>286</v>
      </c>
      <c r="K898" s="299"/>
      <c r="L898" s="288"/>
      <c r="Q898" s="288"/>
    </row>
    <row r="899" spans="2:17" s="95" customFormat="1" ht="14.25" hidden="1" customHeight="1" outlineLevel="2">
      <c r="B899" s="119" t="s">
        <v>272</v>
      </c>
      <c r="C899" s="266" t="s">
        <v>1695</v>
      </c>
      <c r="D899" s="124" t="s">
        <v>1356</v>
      </c>
      <c r="E899" s="125"/>
      <c r="F899" s="118" t="s">
        <v>1628</v>
      </c>
      <c r="G899" s="126" t="str">
        <f t="shared" si="81"/>
        <v>AR-L45-1</v>
      </c>
      <c r="H899" s="253">
        <v>1</v>
      </c>
      <c r="I899" s="76">
        <v>1</v>
      </c>
      <c r="J899" s="299" t="s">
        <v>286</v>
      </c>
      <c r="K899" s="299"/>
      <c r="L899" s="288"/>
      <c r="Q899" s="288"/>
    </row>
    <row r="900" spans="2:17" s="95" customFormat="1" ht="14.25" hidden="1" customHeight="1" outlineLevel="2">
      <c r="B900" s="119" t="s">
        <v>272</v>
      </c>
      <c r="C900" s="266" t="s">
        <v>1696</v>
      </c>
      <c r="D900" s="124" t="s">
        <v>1697</v>
      </c>
      <c r="E900" s="125"/>
      <c r="F900" s="118" t="s">
        <v>1628</v>
      </c>
      <c r="G900" s="126" t="str">
        <f t="shared" ref="G900:G963" si="82">CONCATENATE("AR-",F900,"-",H900)</f>
        <v>AR-L45-1</v>
      </c>
      <c r="H900" s="253">
        <v>1</v>
      </c>
      <c r="I900" s="76">
        <v>1</v>
      </c>
      <c r="J900" s="299" t="s">
        <v>286</v>
      </c>
      <c r="K900" s="299"/>
      <c r="L900" s="288"/>
      <c r="Q900" s="288"/>
    </row>
    <row r="901" spans="2:17" s="95" customFormat="1" ht="14.25" hidden="1" customHeight="1" outlineLevel="2">
      <c r="B901" s="119" t="s">
        <v>272</v>
      </c>
      <c r="C901" s="266" t="s">
        <v>1698</v>
      </c>
      <c r="D901" s="124" t="s">
        <v>1699</v>
      </c>
      <c r="E901" s="125"/>
      <c r="F901" s="118" t="s">
        <v>1628</v>
      </c>
      <c r="G901" s="126" t="str">
        <f t="shared" si="82"/>
        <v>AR-L45-1</v>
      </c>
      <c r="H901" s="253">
        <v>1</v>
      </c>
      <c r="I901" s="76">
        <v>1</v>
      </c>
      <c r="J901" s="299" t="s">
        <v>286</v>
      </c>
      <c r="K901" s="299"/>
      <c r="L901" s="288"/>
      <c r="Q901" s="288"/>
    </row>
    <row r="902" spans="2:17" s="95" customFormat="1" ht="14.25" hidden="1" customHeight="1" outlineLevel="2">
      <c r="B902" s="119" t="s">
        <v>272</v>
      </c>
      <c r="C902" s="266" t="s">
        <v>1700</v>
      </c>
      <c r="D902" s="124" t="s">
        <v>1359</v>
      </c>
      <c r="E902" s="125"/>
      <c r="F902" s="118" t="s">
        <v>1628</v>
      </c>
      <c r="G902" s="126" t="str">
        <f t="shared" si="82"/>
        <v>AR-L45-1</v>
      </c>
      <c r="H902" s="253">
        <v>1</v>
      </c>
      <c r="I902" s="76">
        <v>1</v>
      </c>
      <c r="J902" s="299" t="s">
        <v>286</v>
      </c>
      <c r="K902" s="299"/>
      <c r="L902" s="288"/>
      <c r="Q902" s="288"/>
    </row>
    <row r="903" spans="2:17" s="95" customFormat="1" ht="14.25" hidden="1" customHeight="1" outlineLevel="2">
      <c r="B903" s="119" t="s">
        <v>272</v>
      </c>
      <c r="C903" s="266" t="s">
        <v>1701</v>
      </c>
      <c r="D903" s="124" t="s">
        <v>1702</v>
      </c>
      <c r="E903" s="125"/>
      <c r="F903" s="118" t="s">
        <v>1628</v>
      </c>
      <c r="G903" s="126" t="str">
        <f t="shared" si="82"/>
        <v>AR-L45-1</v>
      </c>
      <c r="H903" s="253">
        <v>1</v>
      </c>
      <c r="I903" s="76">
        <v>1</v>
      </c>
      <c r="J903" s="299" t="s">
        <v>286</v>
      </c>
      <c r="K903" s="299"/>
      <c r="L903" s="288"/>
      <c r="Q903" s="288"/>
    </row>
    <row r="904" spans="2:17" s="95" customFormat="1" ht="14.25" hidden="1" customHeight="1" outlineLevel="2">
      <c r="B904" s="119" t="s">
        <v>272</v>
      </c>
      <c r="C904" s="266" t="s">
        <v>1703</v>
      </c>
      <c r="D904" s="124" t="s">
        <v>1394</v>
      </c>
      <c r="E904" s="125"/>
      <c r="F904" s="118" t="s">
        <v>1628</v>
      </c>
      <c r="G904" s="126" t="str">
        <f t="shared" si="82"/>
        <v>AR-L45-1</v>
      </c>
      <c r="H904" s="253">
        <v>1</v>
      </c>
      <c r="I904" s="76">
        <v>1</v>
      </c>
      <c r="J904" s="299" t="s">
        <v>286</v>
      </c>
      <c r="K904" s="299"/>
      <c r="L904" s="288"/>
      <c r="Q904" s="288"/>
    </row>
    <row r="905" spans="2:17" s="95" customFormat="1" ht="14.25" hidden="1" customHeight="1" outlineLevel="2">
      <c r="B905" s="119" t="s">
        <v>272</v>
      </c>
      <c r="C905" s="266" t="s">
        <v>1704</v>
      </c>
      <c r="D905" s="124" t="s">
        <v>1705</v>
      </c>
      <c r="E905" s="125"/>
      <c r="F905" s="118" t="s">
        <v>1628</v>
      </c>
      <c r="G905" s="126" t="str">
        <f t="shared" si="82"/>
        <v>AR-L45-1</v>
      </c>
      <c r="H905" s="253">
        <v>1</v>
      </c>
      <c r="I905" s="76">
        <v>1</v>
      </c>
      <c r="J905" s="299" t="s">
        <v>286</v>
      </c>
      <c r="K905" s="299"/>
      <c r="L905" s="288"/>
      <c r="Q905" s="288"/>
    </row>
    <row r="906" spans="2:17" s="95" customFormat="1" ht="14.25" hidden="1" customHeight="1" outlineLevel="2">
      <c r="B906" s="119" t="s">
        <v>272</v>
      </c>
      <c r="C906" s="266" t="s">
        <v>1706</v>
      </c>
      <c r="D906" s="124" t="s">
        <v>1409</v>
      </c>
      <c r="E906" s="125"/>
      <c r="F906" s="118" t="s">
        <v>1628</v>
      </c>
      <c r="G906" s="126" t="str">
        <f t="shared" si="82"/>
        <v>AR-L45-1</v>
      </c>
      <c r="H906" s="253">
        <v>1</v>
      </c>
      <c r="I906" s="76">
        <v>1</v>
      </c>
      <c r="J906" s="299" t="s">
        <v>286</v>
      </c>
      <c r="K906" s="299"/>
      <c r="L906" s="288"/>
      <c r="Q906" s="288"/>
    </row>
    <row r="907" spans="2:17" s="95" customFormat="1" ht="14.25" hidden="1" customHeight="1" outlineLevel="2">
      <c r="B907" s="119" t="s">
        <v>272</v>
      </c>
      <c r="C907" s="266" t="s">
        <v>1707</v>
      </c>
      <c r="D907" s="124" t="s">
        <v>1708</v>
      </c>
      <c r="E907" s="125"/>
      <c r="F907" s="118" t="s">
        <v>1628</v>
      </c>
      <c r="G907" s="126" t="str">
        <f t="shared" si="82"/>
        <v>AR-L45-1</v>
      </c>
      <c r="H907" s="253">
        <v>1</v>
      </c>
      <c r="I907" s="76">
        <v>1</v>
      </c>
      <c r="J907" s="299" t="s">
        <v>286</v>
      </c>
      <c r="K907" s="299"/>
      <c r="L907" s="288"/>
      <c r="Q907" s="288"/>
    </row>
    <row r="908" spans="2:17" s="95" customFormat="1" ht="14.25" hidden="1" customHeight="1" outlineLevel="2">
      <c r="B908" s="119" t="s">
        <v>272</v>
      </c>
      <c r="C908" s="266" t="s">
        <v>1709</v>
      </c>
      <c r="D908" s="124" t="s">
        <v>1710</v>
      </c>
      <c r="E908" s="125"/>
      <c r="F908" s="118" t="s">
        <v>1628</v>
      </c>
      <c r="G908" s="126" t="str">
        <f t="shared" si="82"/>
        <v>AR-L45-1</v>
      </c>
      <c r="H908" s="253">
        <v>1</v>
      </c>
      <c r="I908" s="76">
        <v>1</v>
      </c>
      <c r="J908" s="299" t="s">
        <v>286</v>
      </c>
      <c r="K908" s="299"/>
      <c r="L908" s="288"/>
      <c r="Q908" s="288"/>
    </row>
    <row r="909" spans="2:17" s="95" customFormat="1" ht="14.25" hidden="1" customHeight="1" outlineLevel="2">
      <c r="B909" s="119" t="s">
        <v>272</v>
      </c>
      <c r="C909" s="266" t="s">
        <v>1711</v>
      </c>
      <c r="D909" s="124" t="s">
        <v>1712</v>
      </c>
      <c r="E909" s="125"/>
      <c r="F909" s="118" t="s">
        <v>1628</v>
      </c>
      <c r="G909" s="126" t="str">
        <f t="shared" si="82"/>
        <v>AR-L45-1</v>
      </c>
      <c r="H909" s="253">
        <v>1</v>
      </c>
      <c r="I909" s="76">
        <v>1</v>
      </c>
      <c r="J909" s="299" t="s">
        <v>286</v>
      </c>
      <c r="K909" s="299"/>
      <c r="L909" s="288"/>
      <c r="Q909" s="288"/>
    </row>
    <row r="910" spans="2:17" s="95" customFormat="1" ht="14.25" hidden="1" customHeight="1" outlineLevel="2">
      <c r="B910" s="119" t="s">
        <v>272</v>
      </c>
      <c r="C910" s="266" t="s">
        <v>1713</v>
      </c>
      <c r="D910" s="124" t="s">
        <v>1712</v>
      </c>
      <c r="E910" s="125"/>
      <c r="F910" s="118" t="s">
        <v>1628</v>
      </c>
      <c r="G910" s="126" t="str">
        <f t="shared" si="82"/>
        <v>AR-L45-1</v>
      </c>
      <c r="H910" s="253">
        <v>1</v>
      </c>
      <c r="I910" s="76">
        <v>1</v>
      </c>
      <c r="J910" s="299" t="s">
        <v>286</v>
      </c>
      <c r="K910" s="299"/>
      <c r="L910" s="288"/>
      <c r="Q910" s="288"/>
    </row>
    <row r="911" spans="2:17" s="95" customFormat="1" ht="14.25" hidden="1" customHeight="1" outlineLevel="2">
      <c r="B911" s="119" t="s">
        <v>272</v>
      </c>
      <c r="C911" s="266" t="s">
        <v>1714</v>
      </c>
      <c r="D911" s="124" t="s">
        <v>1712</v>
      </c>
      <c r="E911" s="125"/>
      <c r="F911" s="118" t="s">
        <v>1628</v>
      </c>
      <c r="G911" s="126" t="str">
        <f t="shared" si="82"/>
        <v>AR-L45-1</v>
      </c>
      <c r="H911" s="253">
        <v>1</v>
      </c>
      <c r="I911" s="76">
        <v>1</v>
      </c>
      <c r="J911" s="299" t="s">
        <v>286</v>
      </c>
      <c r="K911" s="299"/>
      <c r="L911" s="288"/>
      <c r="Q911" s="288"/>
    </row>
    <row r="912" spans="2:17" s="95" customFormat="1" ht="14.25" hidden="1" customHeight="1" outlineLevel="2">
      <c r="B912" s="119" t="s">
        <v>272</v>
      </c>
      <c r="C912" s="266" t="s">
        <v>1715</v>
      </c>
      <c r="D912" s="124" t="s">
        <v>1716</v>
      </c>
      <c r="E912" s="125"/>
      <c r="F912" s="118" t="s">
        <v>1628</v>
      </c>
      <c r="G912" s="126" t="str">
        <f t="shared" si="82"/>
        <v>AR-L45-1</v>
      </c>
      <c r="H912" s="253">
        <v>1</v>
      </c>
      <c r="I912" s="76">
        <v>1</v>
      </c>
      <c r="J912" s="299" t="s">
        <v>286</v>
      </c>
      <c r="K912" s="299"/>
      <c r="L912" s="288"/>
      <c r="Q912" s="288"/>
    </row>
    <row r="913" spans="2:17" s="95" customFormat="1" ht="14.25" hidden="1" customHeight="1" outlineLevel="2">
      <c r="B913" s="119" t="s">
        <v>272</v>
      </c>
      <c r="C913" s="266" t="s">
        <v>1717</v>
      </c>
      <c r="D913" s="124" t="s">
        <v>1718</v>
      </c>
      <c r="E913" s="125"/>
      <c r="F913" s="118" t="s">
        <v>1628</v>
      </c>
      <c r="G913" s="126" t="str">
        <f t="shared" si="82"/>
        <v>AR-L45-1</v>
      </c>
      <c r="H913" s="253">
        <v>1</v>
      </c>
      <c r="I913" s="76">
        <v>1</v>
      </c>
      <c r="J913" s="299" t="s">
        <v>286</v>
      </c>
      <c r="K913" s="299"/>
      <c r="L913" s="288"/>
      <c r="Q913" s="288"/>
    </row>
    <row r="914" spans="2:17" s="95" customFormat="1" ht="14.25" hidden="1" customHeight="1" outlineLevel="2">
      <c r="B914" s="119" t="s">
        <v>272</v>
      </c>
      <c r="C914" s="266" t="s">
        <v>1719</v>
      </c>
      <c r="D914" s="124" t="s">
        <v>1718</v>
      </c>
      <c r="E914" s="125"/>
      <c r="F914" s="118" t="s">
        <v>1628</v>
      </c>
      <c r="G914" s="126" t="str">
        <f t="shared" si="82"/>
        <v>AR-L45-1</v>
      </c>
      <c r="H914" s="253">
        <v>1</v>
      </c>
      <c r="I914" s="76">
        <v>1</v>
      </c>
      <c r="J914" s="299" t="s">
        <v>286</v>
      </c>
      <c r="K914" s="299"/>
      <c r="L914" s="288"/>
      <c r="Q914" s="288"/>
    </row>
    <row r="915" spans="2:17" s="95" customFormat="1" ht="14.25" hidden="1" customHeight="1" outlineLevel="2">
      <c r="B915" s="119" t="s">
        <v>272</v>
      </c>
      <c r="C915" s="266" t="s">
        <v>1720</v>
      </c>
      <c r="D915" s="124" t="s">
        <v>1718</v>
      </c>
      <c r="E915" s="125"/>
      <c r="F915" s="118" t="s">
        <v>1628</v>
      </c>
      <c r="G915" s="126" t="str">
        <f t="shared" si="82"/>
        <v>AR-L45-1</v>
      </c>
      <c r="H915" s="253">
        <v>1</v>
      </c>
      <c r="I915" s="76">
        <v>1</v>
      </c>
      <c r="J915" s="299" t="s">
        <v>286</v>
      </c>
      <c r="K915" s="299"/>
      <c r="L915" s="288"/>
      <c r="Q915" s="288"/>
    </row>
    <row r="916" spans="2:17" s="95" customFormat="1" ht="14.25" hidden="1" customHeight="1" outlineLevel="2">
      <c r="B916" s="119" t="s">
        <v>272</v>
      </c>
      <c r="C916" s="266" t="s">
        <v>1721</v>
      </c>
      <c r="D916" s="124" t="s">
        <v>1722</v>
      </c>
      <c r="E916" s="125"/>
      <c r="F916" s="118" t="s">
        <v>1628</v>
      </c>
      <c r="G916" s="126" t="str">
        <f t="shared" si="82"/>
        <v>AR-L45-1</v>
      </c>
      <c r="H916" s="253">
        <v>1</v>
      </c>
      <c r="I916" s="76">
        <v>1</v>
      </c>
      <c r="J916" s="299" t="s">
        <v>286</v>
      </c>
      <c r="K916" s="299"/>
      <c r="L916" s="288"/>
      <c r="Q916" s="288"/>
    </row>
    <row r="917" spans="2:17" s="95" customFormat="1" ht="14.25" hidden="1" customHeight="1" outlineLevel="2">
      <c r="B917" s="119" t="s">
        <v>272</v>
      </c>
      <c r="C917" s="266" t="s">
        <v>1723</v>
      </c>
      <c r="D917" s="124" t="s">
        <v>1434</v>
      </c>
      <c r="E917" s="125"/>
      <c r="F917" s="118" t="s">
        <v>1628</v>
      </c>
      <c r="G917" s="126" t="str">
        <f t="shared" si="82"/>
        <v>AR-L45-1</v>
      </c>
      <c r="H917" s="253">
        <v>1</v>
      </c>
      <c r="I917" s="76">
        <v>1</v>
      </c>
      <c r="J917" s="299" t="s">
        <v>307</v>
      </c>
      <c r="K917" s="299"/>
      <c r="L917" s="288"/>
      <c r="Q917" s="288"/>
    </row>
    <row r="918" spans="2:17" s="95" customFormat="1" ht="14.25" hidden="1" customHeight="1" outlineLevel="2">
      <c r="B918" s="119" t="s">
        <v>272</v>
      </c>
      <c r="C918" s="266" t="s">
        <v>1724</v>
      </c>
      <c r="D918" s="124" t="s">
        <v>1436</v>
      </c>
      <c r="E918" s="125"/>
      <c r="F918" s="118" t="s">
        <v>1628</v>
      </c>
      <c r="G918" s="126" t="str">
        <f t="shared" si="82"/>
        <v>AR-L45-1</v>
      </c>
      <c r="H918" s="253">
        <v>1</v>
      </c>
      <c r="I918" s="76">
        <v>1</v>
      </c>
      <c r="J918" s="299" t="s">
        <v>325</v>
      </c>
      <c r="K918" s="299"/>
      <c r="L918" s="288"/>
      <c r="Q918" s="288"/>
    </row>
    <row r="919" spans="2:17" s="95" customFormat="1" ht="14.25" hidden="1" customHeight="1" outlineLevel="2">
      <c r="B919" s="119" t="s">
        <v>272</v>
      </c>
      <c r="C919" s="266" t="s">
        <v>1725</v>
      </c>
      <c r="D919" s="124" t="s">
        <v>1438</v>
      </c>
      <c r="E919" s="125"/>
      <c r="F919" s="118" t="s">
        <v>1628</v>
      </c>
      <c r="G919" s="126" t="str">
        <f t="shared" si="82"/>
        <v>AR-L45-1</v>
      </c>
      <c r="H919" s="253">
        <v>1</v>
      </c>
      <c r="I919" s="76">
        <v>1</v>
      </c>
      <c r="J919" s="299" t="s">
        <v>325</v>
      </c>
      <c r="K919" s="299"/>
      <c r="L919" s="288"/>
      <c r="Q919" s="288"/>
    </row>
    <row r="920" spans="2:17" s="95" customFormat="1" ht="14.25" hidden="1" customHeight="1" outlineLevel="2">
      <c r="B920" s="119" t="s">
        <v>272</v>
      </c>
      <c r="C920" s="266" t="s">
        <v>1726</v>
      </c>
      <c r="D920" s="124" t="s">
        <v>1094</v>
      </c>
      <c r="E920" s="125"/>
      <c r="F920" s="118" t="s">
        <v>1628</v>
      </c>
      <c r="G920" s="126" t="str">
        <f t="shared" si="82"/>
        <v>AR-L45-1</v>
      </c>
      <c r="H920" s="253">
        <v>1</v>
      </c>
      <c r="I920" s="76">
        <v>1</v>
      </c>
      <c r="J920" s="299" t="s">
        <v>325</v>
      </c>
      <c r="K920" s="299"/>
      <c r="L920" s="288"/>
      <c r="Q920" s="288"/>
    </row>
    <row r="921" spans="2:17" s="95" customFormat="1" ht="14.25" hidden="1" customHeight="1" outlineLevel="2">
      <c r="B921" s="119" t="s">
        <v>272</v>
      </c>
      <c r="C921" s="266" t="s">
        <v>1727</v>
      </c>
      <c r="D921" s="124" t="s">
        <v>1441</v>
      </c>
      <c r="E921" s="125"/>
      <c r="F921" s="118" t="s">
        <v>1628</v>
      </c>
      <c r="G921" s="126" t="str">
        <f t="shared" si="82"/>
        <v>AR-L45-1</v>
      </c>
      <c r="H921" s="253">
        <v>1</v>
      </c>
      <c r="I921" s="76">
        <v>1</v>
      </c>
      <c r="J921" s="299" t="s">
        <v>325</v>
      </c>
      <c r="K921" s="299"/>
      <c r="L921" s="288"/>
      <c r="Q921" s="288"/>
    </row>
    <row r="922" spans="2:17" s="95" customFormat="1" ht="14.25" hidden="1" customHeight="1" outlineLevel="2">
      <c r="B922" s="119" t="s">
        <v>272</v>
      </c>
      <c r="C922" s="266" t="s">
        <v>1728</v>
      </c>
      <c r="D922" s="124" t="s">
        <v>1443</v>
      </c>
      <c r="E922" s="125"/>
      <c r="F922" s="118" t="s">
        <v>1628</v>
      </c>
      <c r="G922" s="126" t="str">
        <f t="shared" si="82"/>
        <v>AR-L45-1</v>
      </c>
      <c r="H922" s="253">
        <v>1</v>
      </c>
      <c r="I922" s="76">
        <v>1</v>
      </c>
      <c r="J922" s="299" t="s">
        <v>325</v>
      </c>
      <c r="K922" s="299"/>
      <c r="L922" s="288"/>
      <c r="Q922" s="288"/>
    </row>
    <row r="923" spans="2:17" s="95" customFormat="1" ht="14.25" hidden="1" customHeight="1" outlineLevel="2">
      <c r="B923" s="119" t="s">
        <v>272</v>
      </c>
      <c r="C923" s="266" t="s">
        <v>1729</v>
      </c>
      <c r="D923" s="124" t="s">
        <v>1730</v>
      </c>
      <c r="E923" s="125"/>
      <c r="F923" s="118" t="s">
        <v>1628</v>
      </c>
      <c r="G923" s="126" t="str">
        <f t="shared" si="82"/>
        <v>AR-L45-1</v>
      </c>
      <c r="H923" s="253">
        <v>1</v>
      </c>
      <c r="I923" s="76">
        <v>1</v>
      </c>
      <c r="J923" s="299" t="s">
        <v>310</v>
      </c>
      <c r="K923" s="299"/>
      <c r="L923" s="288"/>
      <c r="Q923" s="288"/>
    </row>
    <row r="924" spans="2:17" s="95" customFormat="1" ht="14.25" hidden="1" customHeight="1" outlineLevel="2">
      <c r="B924" s="119" t="s">
        <v>272</v>
      </c>
      <c r="C924" s="266" t="s">
        <v>1731</v>
      </c>
      <c r="D924" s="124" t="s">
        <v>1732</v>
      </c>
      <c r="E924" s="125"/>
      <c r="F924" s="118" t="s">
        <v>1628</v>
      </c>
      <c r="G924" s="126" t="str">
        <f t="shared" si="82"/>
        <v>AR-L45-1</v>
      </c>
      <c r="H924" s="253">
        <v>1</v>
      </c>
      <c r="I924" s="76">
        <v>1</v>
      </c>
      <c r="J924" s="299" t="s">
        <v>310</v>
      </c>
      <c r="K924" s="299"/>
      <c r="L924" s="288"/>
      <c r="Q924" s="288"/>
    </row>
    <row r="925" spans="2:17" s="95" customFormat="1" ht="14.25" hidden="1" customHeight="1" outlineLevel="2">
      <c r="B925" s="119" t="s">
        <v>272</v>
      </c>
      <c r="C925" s="266" t="s">
        <v>1733</v>
      </c>
      <c r="D925" s="124" t="s">
        <v>1734</v>
      </c>
      <c r="E925" s="125"/>
      <c r="F925" s="118" t="s">
        <v>1628</v>
      </c>
      <c r="G925" s="126" t="str">
        <f t="shared" si="82"/>
        <v>AR-L45-1</v>
      </c>
      <c r="H925" s="253">
        <v>1</v>
      </c>
      <c r="I925" s="76">
        <v>1</v>
      </c>
      <c r="J925" s="299" t="s">
        <v>310</v>
      </c>
      <c r="K925" s="299"/>
      <c r="L925" s="288"/>
      <c r="Q925" s="288"/>
    </row>
    <row r="926" spans="2:17" s="95" customFormat="1" ht="14.25" hidden="1" customHeight="1" outlineLevel="2">
      <c r="B926" s="119" t="s">
        <v>272</v>
      </c>
      <c r="C926" s="266" t="s">
        <v>1735</v>
      </c>
      <c r="D926" s="124" t="s">
        <v>1736</v>
      </c>
      <c r="E926" s="125"/>
      <c r="F926" s="118" t="s">
        <v>1628</v>
      </c>
      <c r="G926" s="126" t="str">
        <f t="shared" si="82"/>
        <v>AR-L45-1</v>
      </c>
      <c r="H926" s="253">
        <v>1</v>
      </c>
      <c r="I926" s="76">
        <v>1</v>
      </c>
      <c r="J926" s="299" t="s">
        <v>307</v>
      </c>
      <c r="K926" s="299"/>
      <c r="L926" s="288"/>
      <c r="Q926" s="288"/>
    </row>
    <row r="927" spans="2:17" s="95" customFormat="1" ht="14.25" hidden="1" customHeight="1" outlineLevel="2">
      <c r="B927" s="119" t="s">
        <v>272</v>
      </c>
      <c r="C927" s="266" t="s">
        <v>1737</v>
      </c>
      <c r="D927" s="124" t="s">
        <v>1445</v>
      </c>
      <c r="E927" s="125"/>
      <c r="F927" s="118" t="s">
        <v>1628</v>
      </c>
      <c r="G927" s="126" t="str">
        <f t="shared" si="82"/>
        <v>AR-L45-1</v>
      </c>
      <c r="H927" s="253">
        <v>1</v>
      </c>
      <c r="I927" s="76">
        <v>1</v>
      </c>
      <c r="J927" s="299" t="s">
        <v>307</v>
      </c>
      <c r="K927" s="299"/>
      <c r="L927" s="288"/>
      <c r="Q927" s="288"/>
    </row>
    <row r="928" spans="2:17" s="95" customFormat="1" ht="14.25" hidden="1" customHeight="1" outlineLevel="2">
      <c r="B928" s="119" t="s">
        <v>272</v>
      </c>
      <c r="C928" s="266" t="s">
        <v>1738</v>
      </c>
      <c r="D928" s="124" t="s">
        <v>1739</v>
      </c>
      <c r="E928" s="125"/>
      <c r="F928" s="118" t="s">
        <v>1628</v>
      </c>
      <c r="G928" s="126" t="str">
        <f t="shared" si="82"/>
        <v>AR-L45-1</v>
      </c>
      <c r="H928" s="253">
        <v>1</v>
      </c>
      <c r="I928" s="76">
        <v>1</v>
      </c>
      <c r="J928" s="299" t="s">
        <v>307</v>
      </c>
      <c r="K928" s="299"/>
      <c r="L928" s="288"/>
      <c r="Q928" s="288"/>
    </row>
    <row r="929" spans="2:17" s="95" customFormat="1" ht="14.25" hidden="1" customHeight="1" outlineLevel="2">
      <c r="B929" s="119" t="s">
        <v>272</v>
      </c>
      <c r="C929" s="266" t="s">
        <v>1740</v>
      </c>
      <c r="D929" s="124" t="s">
        <v>1741</v>
      </c>
      <c r="E929" s="125"/>
      <c r="F929" s="118" t="s">
        <v>1628</v>
      </c>
      <c r="G929" s="126" t="str">
        <f t="shared" si="82"/>
        <v>AR-L45-1</v>
      </c>
      <c r="H929" s="253">
        <v>1</v>
      </c>
      <c r="I929" s="76">
        <v>1</v>
      </c>
      <c r="J929" s="299" t="s">
        <v>307</v>
      </c>
      <c r="K929" s="299"/>
      <c r="L929" s="288"/>
      <c r="Q929" s="288"/>
    </row>
    <row r="930" spans="2:17" s="95" customFormat="1" ht="14.25" hidden="1" customHeight="1" outlineLevel="2">
      <c r="B930" s="119" t="s">
        <v>272</v>
      </c>
      <c r="C930" s="266" t="s">
        <v>1742</v>
      </c>
      <c r="D930" s="124" t="s">
        <v>1739</v>
      </c>
      <c r="E930" s="125"/>
      <c r="F930" s="118" t="s">
        <v>1628</v>
      </c>
      <c r="G930" s="126" t="str">
        <f t="shared" si="82"/>
        <v>AR-L45-1</v>
      </c>
      <c r="H930" s="253">
        <v>1</v>
      </c>
      <c r="I930" s="76">
        <v>1</v>
      </c>
      <c r="J930" s="299" t="s">
        <v>307</v>
      </c>
      <c r="K930" s="299"/>
      <c r="L930" s="288"/>
      <c r="Q930" s="288"/>
    </row>
    <row r="931" spans="2:17" s="95" customFormat="1" ht="14.25" hidden="1" customHeight="1" outlineLevel="2">
      <c r="B931" s="119" t="s">
        <v>272</v>
      </c>
      <c r="C931" s="266" t="s">
        <v>1743</v>
      </c>
      <c r="D931" s="124" t="s">
        <v>1741</v>
      </c>
      <c r="E931" s="125"/>
      <c r="F931" s="118" t="s">
        <v>1628</v>
      </c>
      <c r="G931" s="126" t="str">
        <f t="shared" si="82"/>
        <v>AR-L45-1</v>
      </c>
      <c r="H931" s="253">
        <v>1</v>
      </c>
      <c r="I931" s="76">
        <v>1</v>
      </c>
      <c r="J931" s="299" t="s">
        <v>307</v>
      </c>
      <c r="K931" s="299"/>
      <c r="L931" s="288"/>
      <c r="Q931" s="288"/>
    </row>
    <row r="932" spans="2:17" s="95" customFormat="1" ht="14.25" hidden="1" customHeight="1" outlineLevel="2">
      <c r="B932" s="119" t="s">
        <v>272</v>
      </c>
      <c r="C932" s="266" t="s">
        <v>1744</v>
      </c>
      <c r="D932" s="124" t="s">
        <v>1739</v>
      </c>
      <c r="E932" s="125"/>
      <c r="F932" s="118" t="s">
        <v>1628</v>
      </c>
      <c r="G932" s="126" t="str">
        <f t="shared" si="82"/>
        <v>AR-L45-1</v>
      </c>
      <c r="H932" s="253">
        <v>1</v>
      </c>
      <c r="I932" s="76">
        <v>1</v>
      </c>
      <c r="J932" s="299" t="s">
        <v>307</v>
      </c>
      <c r="K932" s="299"/>
      <c r="L932" s="288"/>
      <c r="Q932" s="288"/>
    </row>
    <row r="933" spans="2:17" s="95" customFormat="1" ht="14.25" hidden="1" customHeight="1" outlineLevel="2">
      <c r="B933" s="119" t="s">
        <v>272</v>
      </c>
      <c r="C933" s="266" t="s">
        <v>1745</v>
      </c>
      <c r="D933" s="124" t="s">
        <v>1741</v>
      </c>
      <c r="E933" s="125"/>
      <c r="F933" s="118" t="s">
        <v>1628</v>
      </c>
      <c r="G933" s="126" t="str">
        <f t="shared" si="82"/>
        <v>AR-L45-1</v>
      </c>
      <c r="H933" s="253">
        <v>1</v>
      </c>
      <c r="I933" s="76">
        <v>1</v>
      </c>
      <c r="J933" s="299" t="s">
        <v>307</v>
      </c>
      <c r="K933" s="299"/>
      <c r="L933" s="288"/>
      <c r="Q933" s="288"/>
    </row>
    <row r="934" spans="2:17" s="95" customFormat="1" ht="14.25" hidden="1" customHeight="1" outlineLevel="2">
      <c r="B934" s="119" t="s">
        <v>272</v>
      </c>
      <c r="C934" s="266" t="s">
        <v>1746</v>
      </c>
      <c r="D934" s="124" t="s">
        <v>1747</v>
      </c>
      <c r="E934" s="125"/>
      <c r="F934" s="118" t="s">
        <v>1628</v>
      </c>
      <c r="G934" s="126" t="str">
        <f t="shared" si="82"/>
        <v>AR-L45-1</v>
      </c>
      <c r="H934" s="253">
        <v>1</v>
      </c>
      <c r="I934" s="76">
        <v>1</v>
      </c>
      <c r="J934" s="299" t="s">
        <v>307</v>
      </c>
      <c r="K934" s="299"/>
      <c r="L934" s="288"/>
      <c r="Q934" s="288"/>
    </row>
    <row r="935" spans="2:17" s="95" customFormat="1" ht="14.25" hidden="1" customHeight="1" outlineLevel="2">
      <c r="B935" s="119" t="s">
        <v>272</v>
      </c>
      <c r="C935" s="266" t="s">
        <v>1748</v>
      </c>
      <c r="D935" s="124" t="s">
        <v>1741</v>
      </c>
      <c r="E935" s="125"/>
      <c r="F935" s="118" t="s">
        <v>1628</v>
      </c>
      <c r="G935" s="126" t="str">
        <f t="shared" si="82"/>
        <v>AR-L45-1</v>
      </c>
      <c r="H935" s="253">
        <v>1</v>
      </c>
      <c r="I935" s="76">
        <v>1</v>
      </c>
      <c r="J935" s="299" t="s">
        <v>307</v>
      </c>
      <c r="K935" s="299"/>
      <c r="L935" s="288"/>
      <c r="Q935" s="288"/>
    </row>
    <row r="936" spans="2:17" s="95" customFormat="1" ht="14.25" hidden="1" customHeight="1" outlineLevel="2">
      <c r="B936" s="119" t="s">
        <v>272</v>
      </c>
      <c r="C936" s="266" t="s">
        <v>1749</v>
      </c>
      <c r="D936" s="124" t="s">
        <v>1750</v>
      </c>
      <c r="E936" s="125"/>
      <c r="F936" s="118" t="s">
        <v>1628</v>
      </c>
      <c r="G936" s="126" t="str">
        <f t="shared" si="82"/>
        <v>AR-L45-1</v>
      </c>
      <c r="H936" s="253">
        <v>1</v>
      </c>
      <c r="I936" s="76">
        <v>1</v>
      </c>
      <c r="J936" s="299" t="s">
        <v>310</v>
      </c>
      <c r="K936" s="299"/>
      <c r="L936" s="288"/>
      <c r="Q936" s="288"/>
    </row>
    <row r="937" spans="2:17" s="95" customFormat="1" ht="14.25" hidden="1" customHeight="1" outlineLevel="2">
      <c r="B937" s="119" t="s">
        <v>272</v>
      </c>
      <c r="C937" s="266" t="s">
        <v>1751</v>
      </c>
      <c r="D937" s="124" t="s">
        <v>1461</v>
      </c>
      <c r="E937" s="125"/>
      <c r="F937" s="118" t="s">
        <v>1628</v>
      </c>
      <c r="G937" s="126" t="str">
        <f t="shared" si="82"/>
        <v>AR-L45-1</v>
      </c>
      <c r="H937" s="253">
        <v>1</v>
      </c>
      <c r="I937" s="76">
        <v>1</v>
      </c>
      <c r="J937" s="299" t="s">
        <v>307</v>
      </c>
      <c r="K937" s="299"/>
      <c r="L937" s="288"/>
      <c r="Q937" s="288"/>
    </row>
    <row r="938" spans="2:17" s="95" customFormat="1" ht="14.25" hidden="1" customHeight="1" outlineLevel="2">
      <c r="B938" s="119" t="s">
        <v>272</v>
      </c>
      <c r="C938" s="266" t="s">
        <v>1752</v>
      </c>
      <c r="D938" s="124" t="s">
        <v>1753</v>
      </c>
      <c r="E938" s="125"/>
      <c r="F938" s="118" t="s">
        <v>1628</v>
      </c>
      <c r="G938" s="126" t="str">
        <f t="shared" si="82"/>
        <v>AR-L45-1</v>
      </c>
      <c r="H938" s="253">
        <v>1</v>
      </c>
      <c r="I938" s="76">
        <v>1</v>
      </c>
      <c r="J938" s="299" t="s">
        <v>307</v>
      </c>
      <c r="K938" s="299"/>
      <c r="L938" s="288"/>
      <c r="Q938" s="288"/>
    </row>
    <row r="939" spans="2:17" s="95" customFormat="1" ht="14.25" hidden="1" customHeight="1" outlineLevel="2">
      <c r="B939" s="119" t="s">
        <v>272</v>
      </c>
      <c r="C939" s="266" t="s">
        <v>1754</v>
      </c>
      <c r="D939" s="124" t="s">
        <v>1755</v>
      </c>
      <c r="E939" s="125"/>
      <c r="F939" s="118" t="s">
        <v>1628</v>
      </c>
      <c r="G939" s="126" t="str">
        <f t="shared" si="82"/>
        <v>AR-L45-1</v>
      </c>
      <c r="H939" s="253">
        <v>1</v>
      </c>
      <c r="I939" s="76">
        <v>1</v>
      </c>
      <c r="J939" s="299" t="s">
        <v>310</v>
      </c>
      <c r="K939" s="299"/>
      <c r="L939" s="288"/>
      <c r="Q939" s="288"/>
    </row>
    <row r="940" spans="2:17" s="95" customFormat="1" ht="14.25" hidden="1" customHeight="1" outlineLevel="2">
      <c r="B940" s="119" t="s">
        <v>272</v>
      </c>
      <c r="C940" s="266" t="s">
        <v>1756</v>
      </c>
      <c r="D940" s="124" t="s">
        <v>1757</v>
      </c>
      <c r="E940" s="125"/>
      <c r="F940" s="118" t="s">
        <v>1628</v>
      </c>
      <c r="G940" s="126" t="str">
        <f t="shared" si="82"/>
        <v>AR-L45-1</v>
      </c>
      <c r="H940" s="253">
        <v>1</v>
      </c>
      <c r="I940" s="76">
        <v>1</v>
      </c>
      <c r="J940" s="299" t="s">
        <v>310</v>
      </c>
      <c r="K940" s="299"/>
      <c r="L940" s="288"/>
      <c r="Q940" s="288"/>
    </row>
    <row r="941" spans="2:17" s="95" customFormat="1" ht="14.25" hidden="1" customHeight="1" outlineLevel="2">
      <c r="B941" s="119" t="s">
        <v>272</v>
      </c>
      <c r="C941" s="266" t="s">
        <v>1758</v>
      </c>
      <c r="D941" s="124" t="s">
        <v>1759</v>
      </c>
      <c r="E941" s="125"/>
      <c r="F941" s="118" t="s">
        <v>1628</v>
      </c>
      <c r="G941" s="126" t="str">
        <f t="shared" si="82"/>
        <v>AR-L45-1</v>
      </c>
      <c r="H941" s="253">
        <v>1</v>
      </c>
      <c r="I941" s="76">
        <v>1</v>
      </c>
      <c r="J941" s="299" t="s">
        <v>310</v>
      </c>
      <c r="K941" s="299"/>
      <c r="L941" s="288"/>
      <c r="Q941" s="288"/>
    </row>
    <row r="942" spans="2:17" s="95" customFormat="1" ht="14.25" hidden="1" customHeight="1" outlineLevel="2">
      <c r="B942" s="119" t="s">
        <v>272</v>
      </c>
      <c r="C942" s="266" t="s">
        <v>1760</v>
      </c>
      <c r="D942" s="124" t="s">
        <v>1761</v>
      </c>
      <c r="E942" s="125"/>
      <c r="F942" s="118" t="s">
        <v>1628</v>
      </c>
      <c r="G942" s="126" t="str">
        <f t="shared" si="82"/>
        <v>AR-L45-1</v>
      </c>
      <c r="H942" s="253">
        <v>1</v>
      </c>
      <c r="I942" s="76">
        <v>1</v>
      </c>
      <c r="J942" s="299" t="s">
        <v>310</v>
      </c>
      <c r="K942" s="299"/>
      <c r="L942" s="288"/>
      <c r="Q942" s="288"/>
    </row>
    <row r="943" spans="2:17" s="95" customFormat="1" ht="14.25" hidden="1" customHeight="1" outlineLevel="2">
      <c r="B943" s="119" t="s">
        <v>272</v>
      </c>
      <c r="C943" s="266" t="s">
        <v>1762</v>
      </c>
      <c r="D943" s="124" t="s">
        <v>1763</v>
      </c>
      <c r="E943" s="125"/>
      <c r="F943" s="118" t="s">
        <v>1628</v>
      </c>
      <c r="G943" s="126" t="str">
        <f t="shared" si="82"/>
        <v>AR-L45-1</v>
      </c>
      <c r="H943" s="253">
        <v>1</v>
      </c>
      <c r="I943" s="76">
        <v>1</v>
      </c>
      <c r="J943" s="299" t="s">
        <v>307</v>
      </c>
      <c r="K943" s="299"/>
      <c r="L943" s="288"/>
      <c r="Q943" s="288"/>
    </row>
    <row r="944" spans="2:17" s="95" customFormat="1" ht="14.25" hidden="1" customHeight="1" outlineLevel="2">
      <c r="B944" s="119" t="s">
        <v>272</v>
      </c>
      <c r="C944" s="266" t="s">
        <v>1764</v>
      </c>
      <c r="D944" s="124" t="s">
        <v>1765</v>
      </c>
      <c r="E944" s="125"/>
      <c r="F944" s="118" t="s">
        <v>1628</v>
      </c>
      <c r="G944" s="126" t="str">
        <f t="shared" si="82"/>
        <v>AR-L45-1</v>
      </c>
      <c r="H944" s="253">
        <v>1</v>
      </c>
      <c r="I944" s="76">
        <v>1</v>
      </c>
      <c r="J944" s="299" t="s">
        <v>310</v>
      </c>
      <c r="K944" s="299"/>
      <c r="L944" s="288"/>
      <c r="Q944" s="288"/>
    </row>
    <row r="945" spans="2:17" s="95" customFormat="1" ht="14.25" hidden="1" customHeight="1" outlineLevel="2">
      <c r="B945" s="119" t="s">
        <v>272</v>
      </c>
      <c r="C945" s="266" t="s">
        <v>1766</v>
      </c>
      <c r="D945" s="124" t="s">
        <v>1767</v>
      </c>
      <c r="E945" s="125"/>
      <c r="F945" s="118" t="s">
        <v>1628</v>
      </c>
      <c r="G945" s="126" t="str">
        <f t="shared" si="82"/>
        <v>AR-L45-1</v>
      </c>
      <c r="H945" s="253">
        <v>1</v>
      </c>
      <c r="I945" s="76">
        <v>1</v>
      </c>
      <c r="J945" s="299" t="s">
        <v>310</v>
      </c>
      <c r="K945" s="299"/>
      <c r="L945" s="288"/>
      <c r="Q945" s="288"/>
    </row>
    <row r="946" spans="2:17" s="95" customFormat="1" ht="14.25" hidden="1" customHeight="1" outlineLevel="2">
      <c r="B946" s="119" t="s">
        <v>272</v>
      </c>
      <c r="C946" s="266" t="s">
        <v>1768</v>
      </c>
      <c r="D946" s="124" t="s">
        <v>1769</v>
      </c>
      <c r="E946" s="125"/>
      <c r="F946" s="118" t="s">
        <v>1628</v>
      </c>
      <c r="G946" s="126" t="str">
        <f t="shared" si="82"/>
        <v>AR-L45-1</v>
      </c>
      <c r="H946" s="253">
        <v>1</v>
      </c>
      <c r="I946" s="76">
        <v>1</v>
      </c>
      <c r="J946" s="299" t="s">
        <v>310</v>
      </c>
      <c r="K946" s="299"/>
      <c r="L946" s="288"/>
      <c r="Q946" s="288"/>
    </row>
    <row r="947" spans="2:17" s="95" customFormat="1" ht="14.25" hidden="1" customHeight="1" outlineLevel="2">
      <c r="B947" s="119" t="s">
        <v>272</v>
      </c>
      <c r="C947" s="266" t="s">
        <v>1770</v>
      </c>
      <c r="D947" s="124" t="s">
        <v>1771</v>
      </c>
      <c r="E947" s="125"/>
      <c r="F947" s="118" t="s">
        <v>1628</v>
      </c>
      <c r="G947" s="126" t="str">
        <f t="shared" si="82"/>
        <v>AR-L45-1</v>
      </c>
      <c r="H947" s="253">
        <v>1</v>
      </c>
      <c r="I947" s="76">
        <v>1</v>
      </c>
      <c r="J947" s="299" t="s">
        <v>310</v>
      </c>
      <c r="K947" s="299"/>
      <c r="L947" s="288"/>
      <c r="Q947" s="288"/>
    </row>
    <row r="948" spans="2:17" s="95" customFormat="1" ht="14.25" hidden="1" customHeight="1" outlineLevel="2">
      <c r="B948" s="119" t="s">
        <v>272</v>
      </c>
      <c r="C948" s="266" t="s">
        <v>1772</v>
      </c>
      <c r="D948" s="124" t="s">
        <v>1773</v>
      </c>
      <c r="E948" s="125"/>
      <c r="F948" s="118" t="s">
        <v>1628</v>
      </c>
      <c r="G948" s="126" t="str">
        <f t="shared" si="82"/>
        <v>AR-L45-1</v>
      </c>
      <c r="H948" s="253">
        <v>1</v>
      </c>
      <c r="I948" s="76">
        <v>1</v>
      </c>
      <c r="J948" s="299" t="s">
        <v>307</v>
      </c>
      <c r="K948" s="299"/>
      <c r="L948" s="288"/>
      <c r="Q948" s="288"/>
    </row>
    <row r="949" spans="2:17" s="95" customFormat="1" ht="14.25" hidden="1" customHeight="1" outlineLevel="2">
      <c r="B949" s="119" t="s">
        <v>272</v>
      </c>
      <c r="C949" s="266" t="s">
        <v>1774</v>
      </c>
      <c r="D949" s="124" t="s">
        <v>1775</v>
      </c>
      <c r="E949" s="125"/>
      <c r="F949" s="118" t="s">
        <v>1628</v>
      </c>
      <c r="G949" s="126" t="str">
        <f t="shared" si="82"/>
        <v>AR-L45-1</v>
      </c>
      <c r="H949" s="253">
        <v>1</v>
      </c>
      <c r="I949" s="76">
        <v>1</v>
      </c>
      <c r="J949" s="299" t="s">
        <v>310</v>
      </c>
      <c r="K949" s="299"/>
      <c r="L949" s="288"/>
      <c r="Q949" s="288"/>
    </row>
    <row r="950" spans="2:17" s="95" customFormat="1" ht="14.25" hidden="1" customHeight="1" outlineLevel="2">
      <c r="B950" s="119" t="s">
        <v>272</v>
      </c>
      <c r="C950" s="266" t="s">
        <v>1776</v>
      </c>
      <c r="D950" s="124" t="s">
        <v>1777</v>
      </c>
      <c r="E950" s="125"/>
      <c r="F950" s="118" t="s">
        <v>1628</v>
      </c>
      <c r="G950" s="126" t="str">
        <f t="shared" si="82"/>
        <v>AR-L45-1</v>
      </c>
      <c r="H950" s="253">
        <v>1</v>
      </c>
      <c r="I950" s="76">
        <v>1</v>
      </c>
      <c r="J950" s="299" t="s">
        <v>310</v>
      </c>
      <c r="K950" s="299"/>
      <c r="L950" s="288"/>
      <c r="Q950" s="288"/>
    </row>
    <row r="951" spans="2:17" s="95" customFormat="1" ht="14.25" hidden="1" customHeight="1" outlineLevel="2">
      <c r="B951" s="119" t="s">
        <v>272</v>
      </c>
      <c r="C951" s="266" t="s">
        <v>1778</v>
      </c>
      <c r="D951" s="124" t="s">
        <v>1779</v>
      </c>
      <c r="E951" s="125"/>
      <c r="F951" s="118" t="s">
        <v>1628</v>
      </c>
      <c r="G951" s="126" t="str">
        <f t="shared" si="82"/>
        <v>AR-L45-1</v>
      </c>
      <c r="H951" s="253">
        <v>1</v>
      </c>
      <c r="I951" s="76">
        <v>1</v>
      </c>
      <c r="J951" s="299" t="s">
        <v>310</v>
      </c>
      <c r="K951" s="299"/>
      <c r="L951" s="288"/>
      <c r="Q951" s="288"/>
    </row>
    <row r="952" spans="2:17" s="95" customFormat="1" ht="14.25" hidden="1" customHeight="1" outlineLevel="2">
      <c r="B952" s="119" t="s">
        <v>272</v>
      </c>
      <c r="C952" s="266" t="s">
        <v>1780</v>
      </c>
      <c r="D952" s="124" t="s">
        <v>1781</v>
      </c>
      <c r="E952" s="125"/>
      <c r="F952" s="118" t="s">
        <v>1628</v>
      </c>
      <c r="G952" s="126" t="str">
        <f t="shared" si="82"/>
        <v>AR-L45-1</v>
      </c>
      <c r="H952" s="253">
        <v>1</v>
      </c>
      <c r="I952" s="76">
        <v>1</v>
      </c>
      <c r="J952" s="299" t="s">
        <v>310</v>
      </c>
      <c r="K952" s="299"/>
      <c r="L952" s="288"/>
      <c r="Q952" s="288"/>
    </row>
    <row r="953" spans="2:17" s="95" customFormat="1" ht="14.25" hidden="1" customHeight="1" outlineLevel="2">
      <c r="B953" s="119" t="s">
        <v>272</v>
      </c>
      <c r="C953" s="266" t="s">
        <v>1782</v>
      </c>
      <c r="D953" s="124" t="s">
        <v>1783</v>
      </c>
      <c r="E953" s="125"/>
      <c r="F953" s="118" t="s">
        <v>1628</v>
      </c>
      <c r="G953" s="126" t="str">
        <f t="shared" si="82"/>
        <v>AR-L45-1</v>
      </c>
      <c r="H953" s="253">
        <v>1</v>
      </c>
      <c r="I953" s="76">
        <v>1</v>
      </c>
      <c r="J953" s="299" t="s">
        <v>307</v>
      </c>
      <c r="K953" s="299"/>
      <c r="L953" s="288"/>
      <c r="Q953" s="288"/>
    </row>
    <row r="954" spans="2:17" s="95" customFormat="1" ht="14.25" hidden="1" customHeight="1" outlineLevel="2">
      <c r="B954" s="119" t="s">
        <v>272</v>
      </c>
      <c r="C954" s="266" t="s">
        <v>1784</v>
      </c>
      <c r="D954" s="124" t="s">
        <v>1785</v>
      </c>
      <c r="E954" s="125"/>
      <c r="F954" s="118" t="s">
        <v>1628</v>
      </c>
      <c r="G954" s="126" t="str">
        <f t="shared" si="82"/>
        <v>AR-L45-1</v>
      </c>
      <c r="H954" s="253">
        <v>1</v>
      </c>
      <c r="I954" s="76">
        <v>1</v>
      </c>
      <c r="J954" s="299" t="s">
        <v>307</v>
      </c>
      <c r="K954" s="299"/>
      <c r="L954" s="288"/>
      <c r="Q954" s="288"/>
    </row>
    <row r="955" spans="2:17" s="95" customFormat="1" ht="14.25" hidden="1" customHeight="1" outlineLevel="2">
      <c r="B955" s="119" t="s">
        <v>272</v>
      </c>
      <c r="C955" s="266" t="s">
        <v>1786</v>
      </c>
      <c r="D955" s="124" t="s">
        <v>1787</v>
      </c>
      <c r="E955" s="125"/>
      <c r="F955" s="118" t="s">
        <v>1628</v>
      </c>
      <c r="G955" s="126" t="str">
        <f t="shared" si="82"/>
        <v>AR-L45-1</v>
      </c>
      <c r="H955" s="253">
        <v>1</v>
      </c>
      <c r="I955" s="76">
        <v>1</v>
      </c>
      <c r="J955" s="299" t="s">
        <v>307</v>
      </c>
      <c r="K955" s="299"/>
      <c r="L955" s="288"/>
      <c r="Q955" s="288"/>
    </row>
    <row r="956" spans="2:17" s="95" customFormat="1" ht="14.25" hidden="1" customHeight="1" outlineLevel="2">
      <c r="B956" s="119" t="s">
        <v>272</v>
      </c>
      <c r="C956" s="266" t="s">
        <v>1788</v>
      </c>
      <c r="D956" s="124" t="s">
        <v>1789</v>
      </c>
      <c r="E956" s="125"/>
      <c r="F956" s="118" t="s">
        <v>1628</v>
      </c>
      <c r="G956" s="126" t="str">
        <f t="shared" si="82"/>
        <v>AR-L45-1</v>
      </c>
      <c r="H956" s="253">
        <v>1</v>
      </c>
      <c r="I956" s="76">
        <v>1</v>
      </c>
      <c r="J956" s="299" t="s">
        <v>307</v>
      </c>
      <c r="K956" s="299"/>
      <c r="L956" s="288"/>
      <c r="Q956" s="288"/>
    </row>
    <row r="957" spans="2:17" s="95" customFormat="1" ht="14.25" hidden="1" customHeight="1" outlineLevel="2">
      <c r="B957" s="119" t="s">
        <v>272</v>
      </c>
      <c r="C957" s="266" t="s">
        <v>1790</v>
      </c>
      <c r="D957" s="124" t="s">
        <v>1791</v>
      </c>
      <c r="E957" s="125"/>
      <c r="F957" s="118" t="s">
        <v>1628</v>
      </c>
      <c r="G957" s="126" t="str">
        <f t="shared" si="82"/>
        <v>AR-L45-1</v>
      </c>
      <c r="H957" s="253">
        <v>1</v>
      </c>
      <c r="I957" s="76">
        <v>1</v>
      </c>
      <c r="J957" s="299" t="s">
        <v>307</v>
      </c>
      <c r="K957" s="299"/>
      <c r="L957" s="288"/>
      <c r="Q957" s="288"/>
    </row>
    <row r="958" spans="2:17" s="95" customFormat="1" ht="14.25" hidden="1" customHeight="1" outlineLevel="2">
      <c r="B958" s="119" t="s">
        <v>272</v>
      </c>
      <c r="C958" s="266" t="s">
        <v>1792</v>
      </c>
      <c r="D958" s="124" t="s">
        <v>1793</v>
      </c>
      <c r="E958" s="125"/>
      <c r="F958" s="118" t="s">
        <v>1628</v>
      </c>
      <c r="G958" s="126" t="str">
        <f t="shared" si="82"/>
        <v>AR-L45-1</v>
      </c>
      <c r="H958" s="253">
        <v>1</v>
      </c>
      <c r="I958" s="76">
        <v>1</v>
      </c>
      <c r="J958" s="299" t="s">
        <v>310</v>
      </c>
      <c r="K958" s="299"/>
      <c r="L958" s="288"/>
      <c r="Q958" s="288"/>
    </row>
    <row r="959" spans="2:17" s="95" customFormat="1" ht="14.25" hidden="1" customHeight="1" outlineLevel="2">
      <c r="B959" s="119" t="s">
        <v>272</v>
      </c>
      <c r="C959" s="266" t="s">
        <v>1794</v>
      </c>
      <c r="D959" s="124" t="s">
        <v>1795</v>
      </c>
      <c r="E959" s="125"/>
      <c r="F959" s="118" t="s">
        <v>1628</v>
      </c>
      <c r="G959" s="126" t="str">
        <f t="shared" si="82"/>
        <v>AR-L45-1</v>
      </c>
      <c r="H959" s="253">
        <v>1</v>
      </c>
      <c r="I959" s="76">
        <v>1</v>
      </c>
      <c r="J959" s="299" t="s">
        <v>307</v>
      </c>
      <c r="K959" s="299"/>
      <c r="L959" s="288"/>
      <c r="Q959" s="288"/>
    </row>
    <row r="960" spans="2:17" s="95" customFormat="1" ht="14.25" hidden="1" customHeight="1" outlineLevel="2">
      <c r="B960" s="119" t="s">
        <v>272</v>
      </c>
      <c r="C960" s="266" t="s">
        <v>1796</v>
      </c>
      <c r="D960" s="124" t="s">
        <v>1502</v>
      </c>
      <c r="E960" s="125"/>
      <c r="F960" s="118" t="s">
        <v>1628</v>
      </c>
      <c r="G960" s="126" t="str">
        <f t="shared" si="82"/>
        <v>AR-L45-1</v>
      </c>
      <c r="H960" s="253">
        <v>1</v>
      </c>
      <c r="I960" s="76">
        <v>1</v>
      </c>
      <c r="J960" s="299" t="s">
        <v>307</v>
      </c>
      <c r="K960" s="299"/>
      <c r="L960" s="288"/>
      <c r="Q960" s="288"/>
    </row>
    <row r="961" spans="2:17" s="95" customFormat="1" ht="14.25" hidden="1" customHeight="1" outlineLevel="2">
      <c r="B961" s="119" t="s">
        <v>272</v>
      </c>
      <c r="C961" s="266" t="s">
        <v>1797</v>
      </c>
      <c r="D961" s="124" t="s">
        <v>1092</v>
      </c>
      <c r="E961" s="125"/>
      <c r="F961" s="118" t="s">
        <v>1628</v>
      </c>
      <c r="G961" s="126" t="str">
        <f t="shared" si="82"/>
        <v>AR-L45-1</v>
      </c>
      <c r="H961" s="253">
        <v>1</v>
      </c>
      <c r="I961" s="76">
        <v>1</v>
      </c>
      <c r="J961" s="299" t="s">
        <v>307</v>
      </c>
      <c r="K961" s="299"/>
      <c r="L961" s="288"/>
      <c r="Q961" s="288"/>
    </row>
    <row r="962" spans="2:17" s="95" customFormat="1" ht="14.25" hidden="1" customHeight="1" outlineLevel="2">
      <c r="B962" s="119" t="s">
        <v>272</v>
      </c>
      <c r="C962" s="266" t="s">
        <v>1798</v>
      </c>
      <c r="D962" s="124" t="s">
        <v>1092</v>
      </c>
      <c r="E962" s="125"/>
      <c r="F962" s="118" t="s">
        <v>1628</v>
      </c>
      <c r="G962" s="126" t="str">
        <f t="shared" si="82"/>
        <v>AR-L45-1</v>
      </c>
      <c r="H962" s="253">
        <v>1</v>
      </c>
      <c r="I962" s="76">
        <v>1</v>
      </c>
      <c r="J962" s="299" t="s">
        <v>310</v>
      </c>
      <c r="K962" s="299"/>
      <c r="L962" s="288"/>
      <c r="Q962" s="288"/>
    </row>
    <row r="963" spans="2:17" s="95" customFormat="1" ht="14.25" hidden="1" customHeight="1" outlineLevel="2">
      <c r="B963" s="119" t="s">
        <v>272</v>
      </c>
      <c r="C963" s="266" t="s">
        <v>1799</v>
      </c>
      <c r="D963" s="124" t="s">
        <v>1092</v>
      </c>
      <c r="E963" s="125"/>
      <c r="F963" s="118" t="s">
        <v>1628</v>
      </c>
      <c r="G963" s="126" t="str">
        <f t="shared" si="82"/>
        <v>AR-L45-1</v>
      </c>
      <c r="H963" s="253">
        <v>1</v>
      </c>
      <c r="I963" s="76">
        <v>1</v>
      </c>
      <c r="J963" s="299" t="s">
        <v>310</v>
      </c>
      <c r="K963" s="299"/>
      <c r="L963" s="288"/>
      <c r="Q963" s="288"/>
    </row>
    <row r="964" spans="2:17" s="95" customFormat="1" ht="14.25" hidden="1" customHeight="1" outlineLevel="2">
      <c r="B964" s="119" t="s">
        <v>272</v>
      </c>
      <c r="C964" s="266" t="s">
        <v>1800</v>
      </c>
      <c r="D964" s="124" t="s">
        <v>1092</v>
      </c>
      <c r="E964" s="125"/>
      <c r="F964" s="118" t="s">
        <v>1628</v>
      </c>
      <c r="G964" s="126" t="str">
        <f t="shared" ref="G964:G995" si="83">CONCATENATE("AR-",F964,"-",H964)</f>
        <v>AR-L45-1</v>
      </c>
      <c r="H964" s="253">
        <v>1</v>
      </c>
      <c r="I964" s="76">
        <v>1</v>
      </c>
      <c r="J964" s="299" t="s">
        <v>310</v>
      </c>
      <c r="K964" s="299"/>
      <c r="L964" s="288"/>
      <c r="Q964" s="288"/>
    </row>
    <row r="965" spans="2:17" s="95" customFormat="1" ht="14.25" hidden="1" customHeight="1" outlineLevel="2">
      <c r="B965" s="119" t="s">
        <v>272</v>
      </c>
      <c r="C965" s="266" t="s">
        <v>1801</v>
      </c>
      <c r="D965" s="124" t="s">
        <v>1092</v>
      </c>
      <c r="E965" s="125"/>
      <c r="F965" s="118" t="s">
        <v>1628</v>
      </c>
      <c r="G965" s="126" t="str">
        <f t="shared" si="83"/>
        <v>AR-L45-1</v>
      </c>
      <c r="H965" s="253">
        <v>1</v>
      </c>
      <c r="I965" s="76">
        <v>1</v>
      </c>
      <c r="J965" s="299" t="s">
        <v>310</v>
      </c>
      <c r="K965" s="299"/>
      <c r="L965" s="288"/>
      <c r="Q965" s="288"/>
    </row>
    <row r="966" spans="2:17" s="95" customFormat="1" ht="14.25" hidden="1" customHeight="1" outlineLevel="2">
      <c r="B966" s="119" t="s">
        <v>272</v>
      </c>
      <c r="C966" s="266" t="s">
        <v>1802</v>
      </c>
      <c r="D966" s="124" t="s">
        <v>1092</v>
      </c>
      <c r="E966" s="125"/>
      <c r="F966" s="118" t="s">
        <v>1628</v>
      </c>
      <c r="G966" s="126" t="str">
        <f t="shared" si="83"/>
        <v>AR-L45-1</v>
      </c>
      <c r="H966" s="253">
        <v>1</v>
      </c>
      <c r="I966" s="76">
        <v>1</v>
      </c>
      <c r="J966" s="299" t="s">
        <v>310</v>
      </c>
      <c r="K966" s="299"/>
      <c r="L966" s="288"/>
      <c r="Q966" s="288"/>
    </row>
    <row r="967" spans="2:17" s="95" customFormat="1" ht="14.25" hidden="1" customHeight="1" outlineLevel="2">
      <c r="B967" s="119" t="s">
        <v>272</v>
      </c>
      <c r="C967" s="266" t="s">
        <v>1803</v>
      </c>
      <c r="D967" s="124" t="s">
        <v>1092</v>
      </c>
      <c r="E967" s="125"/>
      <c r="F967" s="118" t="s">
        <v>1628</v>
      </c>
      <c r="G967" s="126" t="str">
        <f t="shared" si="83"/>
        <v>AR-L45-1</v>
      </c>
      <c r="H967" s="253">
        <v>1</v>
      </c>
      <c r="I967" s="76">
        <v>1</v>
      </c>
      <c r="J967" s="299" t="s">
        <v>310</v>
      </c>
      <c r="K967" s="299"/>
      <c r="L967" s="288"/>
      <c r="Q967" s="288"/>
    </row>
    <row r="968" spans="2:17" s="95" customFormat="1" ht="14.25" hidden="1" customHeight="1" outlineLevel="2">
      <c r="B968" s="119" t="s">
        <v>272</v>
      </c>
      <c r="C968" s="266" t="s">
        <v>1804</v>
      </c>
      <c r="D968" s="124" t="s">
        <v>1092</v>
      </c>
      <c r="E968" s="125"/>
      <c r="F968" s="118" t="s">
        <v>1628</v>
      </c>
      <c r="G968" s="126" t="str">
        <f t="shared" si="83"/>
        <v>AR-L45-1</v>
      </c>
      <c r="H968" s="253">
        <v>1</v>
      </c>
      <c r="I968" s="76">
        <v>1</v>
      </c>
      <c r="J968" s="299" t="s">
        <v>310</v>
      </c>
      <c r="K968" s="299"/>
      <c r="L968" s="288"/>
      <c r="Q968" s="288"/>
    </row>
    <row r="969" spans="2:17" s="95" customFormat="1" ht="14.25" hidden="1" customHeight="1" outlineLevel="2">
      <c r="B969" s="119" t="s">
        <v>272</v>
      </c>
      <c r="C969" s="266" t="s">
        <v>1805</v>
      </c>
      <c r="D969" s="124" t="s">
        <v>1092</v>
      </c>
      <c r="E969" s="125"/>
      <c r="F969" s="118" t="s">
        <v>1628</v>
      </c>
      <c r="G969" s="126" t="str">
        <f t="shared" si="83"/>
        <v>AR-L45-1</v>
      </c>
      <c r="H969" s="253">
        <v>1</v>
      </c>
      <c r="I969" s="76">
        <v>1</v>
      </c>
      <c r="J969" s="299" t="s">
        <v>310</v>
      </c>
      <c r="K969" s="299"/>
      <c r="L969" s="288"/>
      <c r="Q969" s="288"/>
    </row>
    <row r="970" spans="2:17" s="95" customFormat="1" ht="14.25" hidden="1" customHeight="1" outlineLevel="2">
      <c r="B970" s="119" t="s">
        <v>272</v>
      </c>
      <c r="C970" s="266" t="s">
        <v>1806</v>
      </c>
      <c r="D970" s="124" t="s">
        <v>1092</v>
      </c>
      <c r="E970" s="125"/>
      <c r="F970" s="118" t="s">
        <v>1628</v>
      </c>
      <c r="G970" s="126" t="str">
        <f t="shared" si="83"/>
        <v>AR-L45-1</v>
      </c>
      <c r="H970" s="253">
        <v>1</v>
      </c>
      <c r="I970" s="76">
        <v>1</v>
      </c>
      <c r="J970" s="299" t="s">
        <v>310</v>
      </c>
      <c r="K970" s="299"/>
      <c r="L970" s="288"/>
      <c r="Q970" s="288"/>
    </row>
    <row r="971" spans="2:17" s="95" customFormat="1" ht="14.25" hidden="1" customHeight="1" outlineLevel="2">
      <c r="B971" s="119" t="s">
        <v>272</v>
      </c>
      <c r="C971" s="266" t="s">
        <v>1807</v>
      </c>
      <c r="D971" s="124" t="s">
        <v>1092</v>
      </c>
      <c r="E971" s="125"/>
      <c r="F971" s="118" t="s">
        <v>1628</v>
      </c>
      <c r="G971" s="126" t="str">
        <f t="shared" si="83"/>
        <v>AR-L45-1</v>
      </c>
      <c r="H971" s="253">
        <v>1</v>
      </c>
      <c r="I971" s="76">
        <v>1</v>
      </c>
      <c r="J971" s="299" t="s">
        <v>310</v>
      </c>
      <c r="K971" s="299"/>
      <c r="L971" s="288"/>
      <c r="Q971" s="288"/>
    </row>
    <row r="972" spans="2:17" s="95" customFormat="1" ht="14.25" hidden="1" customHeight="1" outlineLevel="2">
      <c r="B972" s="119" t="s">
        <v>272</v>
      </c>
      <c r="C972" s="266" t="s">
        <v>1808</v>
      </c>
      <c r="D972" s="124" t="s">
        <v>1120</v>
      </c>
      <c r="E972" s="125"/>
      <c r="F972" s="118" t="s">
        <v>1628</v>
      </c>
      <c r="G972" s="126" t="str">
        <f t="shared" si="83"/>
        <v>AR-L45-1</v>
      </c>
      <c r="H972" s="253">
        <v>1</v>
      </c>
      <c r="I972" s="76">
        <v>1</v>
      </c>
      <c r="J972" s="299" t="s">
        <v>286</v>
      </c>
      <c r="K972" s="299"/>
      <c r="L972" s="288"/>
      <c r="Q972" s="288"/>
    </row>
    <row r="973" spans="2:17" s="95" customFormat="1" ht="14.25" hidden="1" customHeight="1" outlineLevel="2">
      <c r="B973" s="119" t="s">
        <v>272</v>
      </c>
      <c r="C973" s="266" t="s">
        <v>1809</v>
      </c>
      <c r="D973" s="124" t="s">
        <v>1434</v>
      </c>
      <c r="E973" s="125"/>
      <c r="F973" s="118" t="s">
        <v>1628</v>
      </c>
      <c r="G973" s="126" t="str">
        <f t="shared" si="83"/>
        <v>AR-L45-1</v>
      </c>
      <c r="H973" s="253">
        <v>1</v>
      </c>
      <c r="I973" s="76">
        <v>1</v>
      </c>
      <c r="J973" s="299" t="s">
        <v>307</v>
      </c>
      <c r="K973" s="299"/>
      <c r="L973" s="288"/>
      <c r="Q973" s="288"/>
    </row>
    <row r="974" spans="2:17" s="95" customFormat="1" ht="14.25" hidden="1" customHeight="1" outlineLevel="2">
      <c r="B974" s="119" t="s">
        <v>272</v>
      </c>
      <c r="C974" s="266" t="s">
        <v>1810</v>
      </c>
      <c r="D974" s="124" t="s">
        <v>1436</v>
      </c>
      <c r="E974" s="125"/>
      <c r="F974" s="118" t="s">
        <v>1628</v>
      </c>
      <c r="G974" s="126" t="str">
        <f t="shared" si="83"/>
        <v>AR-L45-1</v>
      </c>
      <c r="H974" s="253">
        <v>1</v>
      </c>
      <c r="I974" s="76">
        <v>1</v>
      </c>
      <c r="J974" s="299" t="s">
        <v>325</v>
      </c>
      <c r="K974" s="299"/>
      <c r="L974" s="288"/>
      <c r="Q974" s="288"/>
    </row>
    <row r="975" spans="2:17" s="95" customFormat="1" ht="14.25" hidden="1" customHeight="1" outlineLevel="2">
      <c r="B975" s="119" t="s">
        <v>272</v>
      </c>
      <c r="C975" s="266" t="s">
        <v>1811</v>
      </c>
      <c r="D975" s="124" t="s">
        <v>1438</v>
      </c>
      <c r="E975" s="125"/>
      <c r="F975" s="118" t="s">
        <v>1628</v>
      </c>
      <c r="G975" s="126" t="str">
        <f t="shared" si="83"/>
        <v>AR-L45-1</v>
      </c>
      <c r="H975" s="253">
        <v>1</v>
      </c>
      <c r="I975" s="76">
        <v>1</v>
      </c>
      <c r="J975" s="299" t="s">
        <v>325</v>
      </c>
      <c r="K975" s="299"/>
      <c r="L975" s="288"/>
      <c r="Q975" s="288"/>
    </row>
    <row r="976" spans="2:17" s="95" customFormat="1" ht="14.25" hidden="1" customHeight="1" outlineLevel="2">
      <c r="B976" s="119" t="s">
        <v>272</v>
      </c>
      <c r="C976" s="266" t="s">
        <v>1812</v>
      </c>
      <c r="D976" s="124" t="s">
        <v>1094</v>
      </c>
      <c r="E976" s="125"/>
      <c r="F976" s="118" t="s">
        <v>1628</v>
      </c>
      <c r="G976" s="126" t="str">
        <f t="shared" si="83"/>
        <v>AR-L45-1</v>
      </c>
      <c r="H976" s="253">
        <v>1</v>
      </c>
      <c r="I976" s="76">
        <v>1</v>
      </c>
      <c r="J976" s="299" t="s">
        <v>325</v>
      </c>
      <c r="K976" s="299"/>
      <c r="L976" s="288"/>
      <c r="Q976" s="288"/>
    </row>
    <row r="977" spans="2:17" s="95" customFormat="1" ht="14.25" hidden="1" customHeight="1" outlineLevel="2">
      <c r="B977" s="119" t="s">
        <v>272</v>
      </c>
      <c r="C977" s="266" t="s">
        <v>1813</v>
      </c>
      <c r="D977" s="124" t="s">
        <v>1441</v>
      </c>
      <c r="E977" s="125"/>
      <c r="F977" s="118" t="s">
        <v>1628</v>
      </c>
      <c r="G977" s="126" t="str">
        <f t="shared" si="83"/>
        <v>AR-L45-1</v>
      </c>
      <c r="H977" s="253">
        <v>1</v>
      </c>
      <c r="I977" s="76">
        <v>1</v>
      </c>
      <c r="J977" s="299" t="s">
        <v>307</v>
      </c>
      <c r="K977" s="299"/>
      <c r="L977" s="288"/>
      <c r="Q977" s="288"/>
    </row>
    <row r="978" spans="2:17" s="95" customFormat="1" ht="14.25" hidden="1" customHeight="1" outlineLevel="2">
      <c r="B978" s="119" t="s">
        <v>272</v>
      </c>
      <c r="C978" s="266" t="s">
        <v>1814</v>
      </c>
      <c r="D978" s="124" t="s">
        <v>1815</v>
      </c>
      <c r="E978" s="125"/>
      <c r="F978" s="118" t="s">
        <v>1628</v>
      </c>
      <c r="G978" s="126" t="str">
        <f t="shared" si="83"/>
        <v>AR-L45-1</v>
      </c>
      <c r="H978" s="253">
        <v>1</v>
      </c>
      <c r="I978" s="76">
        <v>1</v>
      </c>
      <c r="J978" s="299" t="s">
        <v>310</v>
      </c>
      <c r="K978" s="299"/>
      <c r="L978" s="288"/>
      <c r="Q978" s="288"/>
    </row>
    <row r="979" spans="2:17" s="95" customFormat="1" ht="14.25" hidden="1" customHeight="1" outlineLevel="2">
      <c r="B979" s="119" t="s">
        <v>272</v>
      </c>
      <c r="C979" s="266" t="s">
        <v>1816</v>
      </c>
      <c r="D979" s="124" t="s">
        <v>1732</v>
      </c>
      <c r="E979" s="125"/>
      <c r="F979" s="118" t="s">
        <v>1628</v>
      </c>
      <c r="G979" s="126" t="str">
        <f t="shared" si="83"/>
        <v>AR-L45-1</v>
      </c>
      <c r="H979" s="253">
        <v>1</v>
      </c>
      <c r="I979" s="76">
        <v>1</v>
      </c>
      <c r="J979" s="299" t="s">
        <v>310</v>
      </c>
      <c r="K979" s="299"/>
      <c r="L979" s="288"/>
      <c r="Q979" s="288"/>
    </row>
    <row r="980" spans="2:17" s="95" customFormat="1" ht="14.25" hidden="1" customHeight="1" outlineLevel="2">
      <c r="B980" s="119" t="s">
        <v>272</v>
      </c>
      <c r="C980" s="266" t="s">
        <v>1817</v>
      </c>
      <c r="D980" s="124" t="s">
        <v>1734</v>
      </c>
      <c r="E980" s="125"/>
      <c r="F980" s="118" t="s">
        <v>1628</v>
      </c>
      <c r="G980" s="126" t="str">
        <f t="shared" si="83"/>
        <v>AR-L45-1</v>
      </c>
      <c r="H980" s="253">
        <v>1</v>
      </c>
      <c r="I980" s="76">
        <v>1</v>
      </c>
      <c r="J980" s="299" t="s">
        <v>307</v>
      </c>
      <c r="K980" s="299"/>
      <c r="L980" s="288"/>
      <c r="Q980" s="288"/>
    </row>
    <row r="981" spans="2:17" s="95" customFormat="1" ht="14.25" hidden="1" customHeight="1" outlineLevel="2">
      <c r="B981" s="119" t="s">
        <v>272</v>
      </c>
      <c r="C981" s="266" t="s">
        <v>1818</v>
      </c>
      <c r="D981" s="124" t="s">
        <v>1445</v>
      </c>
      <c r="E981" s="125"/>
      <c r="F981" s="118" t="s">
        <v>1628</v>
      </c>
      <c r="G981" s="126" t="str">
        <f t="shared" si="83"/>
        <v>AR-L45-1</v>
      </c>
      <c r="H981" s="253">
        <v>1</v>
      </c>
      <c r="I981" s="76">
        <v>1</v>
      </c>
      <c r="J981" s="299" t="s">
        <v>307</v>
      </c>
      <c r="K981" s="299"/>
      <c r="L981" s="288"/>
      <c r="Q981" s="288"/>
    </row>
    <row r="982" spans="2:17" s="95" customFormat="1" ht="14.25" hidden="1" customHeight="1" outlineLevel="2">
      <c r="B982" s="119" t="s">
        <v>272</v>
      </c>
      <c r="C982" s="266" t="s">
        <v>1819</v>
      </c>
      <c r="D982" s="124" t="s">
        <v>1739</v>
      </c>
      <c r="E982" s="125"/>
      <c r="F982" s="118" t="s">
        <v>1628</v>
      </c>
      <c r="G982" s="126" t="str">
        <f t="shared" si="83"/>
        <v>AR-L45-1</v>
      </c>
      <c r="H982" s="253">
        <v>1</v>
      </c>
      <c r="I982" s="76">
        <v>1</v>
      </c>
      <c r="J982" s="299" t="s">
        <v>307</v>
      </c>
      <c r="K982" s="299"/>
      <c r="L982" s="288"/>
      <c r="Q982" s="288"/>
    </row>
    <row r="983" spans="2:17" s="95" customFormat="1" ht="14.25" hidden="1" customHeight="1" outlineLevel="2">
      <c r="B983" s="119" t="s">
        <v>272</v>
      </c>
      <c r="C983" s="266" t="s">
        <v>1820</v>
      </c>
      <c r="D983" s="124" t="s">
        <v>1739</v>
      </c>
      <c r="E983" s="125"/>
      <c r="F983" s="118" t="s">
        <v>1628</v>
      </c>
      <c r="G983" s="126" t="str">
        <f t="shared" si="83"/>
        <v>AR-L45-1</v>
      </c>
      <c r="H983" s="253">
        <v>1</v>
      </c>
      <c r="I983" s="76">
        <v>1</v>
      </c>
      <c r="J983" s="299" t="s">
        <v>307</v>
      </c>
      <c r="K983" s="299"/>
      <c r="L983" s="288"/>
      <c r="Q983" s="288"/>
    </row>
    <row r="984" spans="2:17" s="95" customFormat="1" ht="14.25" hidden="1" customHeight="1" outlineLevel="2">
      <c r="B984" s="119" t="s">
        <v>272</v>
      </c>
      <c r="C984" s="266" t="s">
        <v>1821</v>
      </c>
      <c r="D984" s="124" t="s">
        <v>1822</v>
      </c>
      <c r="E984" s="125"/>
      <c r="F984" s="118" t="s">
        <v>1628</v>
      </c>
      <c r="G984" s="126" t="str">
        <f t="shared" si="83"/>
        <v>AR-L45-1</v>
      </c>
      <c r="H984" s="253">
        <v>1</v>
      </c>
      <c r="I984" s="76">
        <v>1</v>
      </c>
      <c r="J984" s="299" t="s">
        <v>307</v>
      </c>
      <c r="K984" s="299"/>
      <c r="L984" s="288"/>
      <c r="Q984" s="288"/>
    </row>
    <row r="985" spans="2:17" s="95" customFormat="1" ht="14.25" hidden="1" customHeight="1" outlineLevel="2">
      <c r="B985" s="119" t="s">
        <v>272</v>
      </c>
      <c r="C985" s="266" t="s">
        <v>1823</v>
      </c>
      <c r="D985" s="124" t="s">
        <v>1739</v>
      </c>
      <c r="E985" s="125"/>
      <c r="F985" s="118" t="s">
        <v>1628</v>
      </c>
      <c r="G985" s="126" t="str">
        <f t="shared" si="83"/>
        <v>AR-L45-1</v>
      </c>
      <c r="H985" s="253">
        <v>1</v>
      </c>
      <c r="I985" s="76">
        <v>1</v>
      </c>
      <c r="J985" s="299" t="s">
        <v>307</v>
      </c>
      <c r="K985" s="299"/>
      <c r="L985" s="288"/>
      <c r="Q985" s="288"/>
    </row>
    <row r="986" spans="2:17" s="95" customFormat="1" ht="14.25" hidden="1" customHeight="1" outlineLevel="2">
      <c r="B986" s="119" t="s">
        <v>272</v>
      </c>
      <c r="C986" s="266" t="s">
        <v>1824</v>
      </c>
      <c r="D986" s="124" t="s">
        <v>1750</v>
      </c>
      <c r="E986" s="125"/>
      <c r="F986" s="118" t="s">
        <v>1628</v>
      </c>
      <c r="G986" s="126" t="str">
        <f t="shared" si="83"/>
        <v>AR-L45-1</v>
      </c>
      <c r="H986" s="253">
        <v>1</v>
      </c>
      <c r="I986" s="76">
        <v>1</v>
      </c>
      <c r="J986" s="299" t="s">
        <v>310</v>
      </c>
      <c r="K986" s="299"/>
      <c r="L986" s="288"/>
      <c r="Q986" s="288"/>
    </row>
    <row r="987" spans="2:17" s="95" customFormat="1" ht="14.25" hidden="1" customHeight="1" outlineLevel="2">
      <c r="B987" s="119" t="s">
        <v>272</v>
      </c>
      <c r="C987" s="266" t="s">
        <v>1825</v>
      </c>
      <c r="D987" s="124" t="s">
        <v>1461</v>
      </c>
      <c r="E987" s="125"/>
      <c r="F987" s="118" t="s">
        <v>1628</v>
      </c>
      <c r="G987" s="126" t="str">
        <f t="shared" si="83"/>
        <v>AR-L45-1</v>
      </c>
      <c r="H987" s="253">
        <v>1</v>
      </c>
      <c r="I987" s="76">
        <v>1</v>
      </c>
      <c r="J987" s="299" t="s">
        <v>307</v>
      </c>
      <c r="K987" s="299"/>
      <c r="L987" s="288"/>
      <c r="Q987" s="288"/>
    </row>
    <row r="988" spans="2:17" s="95" customFormat="1" ht="14.25" hidden="1" customHeight="1" outlineLevel="2">
      <c r="B988" s="119" t="s">
        <v>272</v>
      </c>
      <c r="C988" s="266" t="s">
        <v>1826</v>
      </c>
      <c r="D988" s="124" t="s">
        <v>1753</v>
      </c>
      <c r="E988" s="125"/>
      <c r="F988" s="118" t="s">
        <v>1628</v>
      </c>
      <c r="G988" s="126" t="str">
        <f t="shared" si="83"/>
        <v>AR-L45-1</v>
      </c>
      <c r="H988" s="253">
        <v>1</v>
      </c>
      <c r="I988" s="76">
        <v>1</v>
      </c>
      <c r="J988" s="299" t="s">
        <v>310</v>
      </c>
      <c r="K988" s="299"/>
      <c r="L988" s="288"/>
      <c r="Q988" s="288"/>
    </row>
    <row r="989" spans="2:17" s="95" customFormat="1" ht="14.25" hidden="1" customHeight="1" outlineLevel="2">
      <c r="B989" s="119" t="s">
        <v>272</v>
      </c>
      <c r="C989" s="266" t="s">
        <v>1827</v>
      </c>
      <c r="D989" s="124" t="s">
        <v>1755</v>
      </c>
      <c r="E989" s="125"/>
      <c r="F989" s="118" t="s">
        <v>1628</v>
      </c>
      <c r="G989" s="126" t="str">
        <f t="shared" si="83"/>
        <v>AR-L45-1</v>
      </c>
      <c r="H989" s="253">
        <v>1</v>
      </c>
      <c r="I989" s="76">
        <v>1</v>
      </c>
      <c r="J989" s="299" t="s">
        <v>310</v>
      </c>
      <c r="K989" s="299"/>
      <c r="L989" s="288"/>
      <c r="Q989" s="288"/>
    </row>
    <row r="990" spans="2:17" s="95" customFormat="1" ht="14.25" hidden="1" customHeight="1" outlineLevel="2">
      <c r="B990" s="119" t="s">
        <v>272</v>
      </c>
      <c r="C990" s="266" t="s">
        <v>1828</v>
      </c>
      <c r="D990" s="124" t="s">
        <v>1757</v>
      </c>
      <c r="E990" s="125"/>
      <c r="F990" s="118" t="s">
        <v>1628</v>
      </c>
      <c r="G990" s="126" t="str">
        <f t="shared" si="83"/>
        <v>AR-L45-1</v>
      </c>
      <c r="H990" s="253">
        <v>1</v>
      </c>
      <c r="I990" s="76">
        <v>1</v>
      </c>
      <c r="J990" s="299" t="s">
        <v>310</v>
      </c>
      <c r="K990" s="299"/>
      <c r="L990" s="288"/>
      <c r="Q990" s="288"/>
    </row>
    <row r="991" spans="2:17" s="95" customFormat="1" ht="14.25" hidden="1" customHeight="1" outlineLevel="2">
      <c r="B991" s="119" t="s">
        <v>272</v>
      </c>
      <c r="C991" s="266" t="s">
        <v>1829</v>
      </c>
      <c r="D991" s="124" t="s">
        <v>1759</v>
      </c>
      <c r="E991" s="125"/>
      <c r="F991" s="118" t="s">
        <v>1628</v>
      </c>
      <c r="G991" s="126" t="str">
        <f t="shared" si="83"/>
        <v>AR-L45-1</v>
      </c>
      <c r="H991" s="253">
        <v>1</v>
      </c>
      <c r="I991" s="76">
        <v>1</v>
      </c>
      <c r="J991" s="299" t="s">
        <v>310</v>
      </c>
      <c r="K991" s="299"/>
      <c r="L991" s="288"/>
      <c r="Q991" s="288"/>
    </row>
    <row r="992" spans="2:17" s="95" customFormat="1" ht="14.25" hidden="1" customHeight="1" outlineLevel="2">
      <c r="B992" s="119" t="s">
        <v>272</v>
      </c>
      <c r="C992" s="266" t="s">
        <v>1830</v>
      </c>
      <c r="D992" s="124" t="s">
        <v>1761</v>
      </c>
      <c r="E992" s="125"/>
      <c r="F992" s="118" t="s">
        <v>1628</v>
      </c>
      <c r="G992" s="126" t="str">
        <f t="shared" si="83"/>
        <v>AR-L45-1</v>
      </c>
      <c r="H992" s="253">
        <v>1</v>
      </c>
      <c r="I992" s="76">
        <v>1</v>
      </c>
      <c r="J992" s="299" t="s">
        <v>310</v>
      </c>
      <c r="K992" s="299"/>
      <c r="L992" s="288"/>
      <c r="Q992" s="288"/>
    </row>
    <row r="993" spans="2:17" s="95" customFormat="1" ht="14.25" hidden="1" customHeight="1" outlineLevel="2">
      <c r="B993" s="119" t="s">
        <v>272</v>
      </c>
      <c r="C993" s="266" t="s">
        <v>1831</v>
      </c>
      <c r="D993" s="124" t="s">
        <v>1763</v>
      </c>
      <c r="E993" s="125"/>
      <c r="F993" s="118" t="s">
        <v>1628</v>
      </c>
      <c r="G993" s="126" t="str">
        <f t="shared" si="83"/>
        <v>AR-L45-1</v>
      </c>
      <c r="H993" s="253">
        <v>1</v>
      </c>
      <c r="I993" s="76">
        <v>1</v>
      </c>
      <c r="J993" s="299" t="s">
        <v>310</v>
      </c>
      <c r="K993" s="299"/>
      <c r="L993" s="288"/>
      <c r="Q993" s="288"/>
    </row>
    <row r="994" spans="2:17" s="95" customFormat="1" ht="14.25" hidden="1" customHeight="1" outlineLevel="2">
      <c r="B994" s="119" t="s">
        <v>272</v>
      </c>
      <c r="C994" s="266" t="s">
        <v>1832</v>
      </c>
      <c r="D994" s="124" t="s">
        <v>1765</v>
      </c>
      <c r="E994" s="125"/>
      <c r="F994" s="118" t="s">
        <v>1628</v>
      </c>
      <c r="G994" s="126" t="str">
        <f t="shared" si="83"/>
        <v>AR-L45-1</v>
      </c>
      <c r="H994" s="253">
        <v>1</v>
      </c>
      <c r="I994" s="76">
        <v>1</v>
      </c>
      <c r="J994" s="299" t="s">
        <v>310</v>
      </c>
      <c r="K994" s="299"/>
      <c r="L994" s="288"/>
      <c r="Q994" s="288"/>
    </row>
    <row r="995" spans="2:17" s="95" customFormat="1" ht="14.25" hidden="1" customHeight="1" outlineLevel="2">
      <c r="B995" s="119" t="s">
        <v>272</v>
      </c>
      <c r="C995" s="266" t="s">
        <v>1833</v>
      </c>
      <c r="D995" s="124" t="s">
        <v>1767</v>
      </c>
      <c r="E995" s="125"/>
      <c r="F995" s="118" t="s">
        <v>1628</v>
      </c>
      <c r="G995" s="126" t="str">
        <f t="shared" si="83"/>
        <v>AR-L45-1</v>
      </c>
      <c r="H995" s="253">
        <v>1</v>
      </c>
      <c r="I995" s="76">
        <v>1</v>
      </c>
      <c r="J995" s="299" t="s">
        <v>310</v>
      </c>
      <c r="K995" s="299"/>
      <c r="L995" s="288"/>
      <c r="Q995" s="288"/>
    </row>
    <row r="996" spans="2:17" s="95" customFormat="1" ht="14.25" hidden="1" customHeight="1" outlineLevel="2">
      <c r="B996" s="119" t="s">
        <v>272</v>
      </c>
      <c r="C996" s="266" t="s">
        <v>1834</v>
      </c>
      <c r="D996" s="124" t="s">
        <v>1769</v>
      </c>
      <c r="E996" s="125"/>
      <c r="F996" s="118" t="s">
        <v>1628</v>
      </c>
      <c r="G996" s="126" t="str">
        <f t="shared" ref="G996:G1059" si="84">CONCATENATE("AR-",F996,"-",H996)</f>
        <v>AR-L45-1</v>
      </c>
      <c r="H996" s="253">
        <v>1</v>
      </c>
      <c r="I996" s="76">
        <v>1</v>
      </c>
      <c r="J996" s="299" t="s">
        <v>310</v>
      </c>
      <c r="K996" s="299"/>
      <c r="L996" s="288"/>
      <c r="Q996" s="288"/>
    </row>
    <row r="997" spans="2:17" s="95" customFormat="1" ht="14.25" hidden="1" customHeight="1" outlineLevel="2">
      <c r="B997" s="119" t="s">
        <v>272</v>
      </c>
      <c r="C997" s="266" t="s">
        <v>1835</v>
      </c>
      <c r="D997" s="124" t="s">
        <v>1771</v>
      </c>
      <c r="E997" s="125"/>
      <c r="F997" s="118" t="s">
        <v>1628</v>
      </c>
      <c r="G997" s="126" t="str">
        <f t="shared" si="84"/>
        <v>AR-L45-1</v>
      </c>
      <c r="H997" s="253">
        <v>1</v>
      </c>
      <c r="I997" s="76">
        <v>1</v>
      </c>
      <c r="J997" s="299" t="s">
        <v>310</v>
      </c>
      <c r="K997" s="299"/>
      <c r="L997" s="288"/>
      <c r="Q997" s="288"/>
    </row>
    <row r="998" spans="2:17" s="95" customFormat="1" ht="14.25" hidden="1" customHeight="1" outlineLevel="2">
      <c r="B998" s="119" t="s">
        <v>272</v>
      </c>
      <c r="C998" s="266" t="s">
        <v>1836</v>
      </c>
      <c r="D998" s="124" t="s">
        <v>1773</v>
      </c>
      <c r="E998" s="125"/>
      <c r="F998" s="118" t="s">
        <v>1628</v>
      </c>
      <c r="G998" s="126" t="str">
        <f t="shared" si="84"/>
        <v>AR-L45-1</v>
      </c>
      <c r="H998" s="253">
        <v>1</v>
      </c>
      <c r="I998" s="76">
        <v>1</v>
      </c>
      <c r="J998" s="299" t="s">
        <v>310</v>
      </c>
      <c r="K998" s="299"/>
      <c r="L998" s="288"/>
      <c r="Q998" s="288"/>
    </row>
    <row r="999" spans="2:17" s="95" customFormat="1" ht="14.25" hidden="1" customHeight="1" outlineLevel="2">
      <c r="B999" s="119" t="s">
        <v>272</v>
      </c>
      <c r="C999" s="266" t="s">
        <v>1837</v>
      </c>
      <c r="D999" s="124" t="s">
        <v>1775</v>
      </c>
      <c r="E999" s="125"/>
      <c r="F999" s="118" t="s">
        <v>1628</v>
      </c>
      <c r="G999" s="126" t="str">
        <f t="shared" si="84"/>
        <v>AR-L45-1</v>
      </c>
      <c r="H999" s="253">
        <v>1</v>
      </c>
      <c r="I999" s="76">
        <v>1</v>
      </c>
      <c r="J999" s="299" t="s">
        <v>310</v>
      </c>
      <c r="K999" s="299"/>
      <c r="L999" s="288"/>
      <c r="Q999" s="288"/>
    </row>
    <row r="1000" spans="2:17" s="95" customFormat="1" ht="14.25" hidden="1" customHeight="1" outlineLevel="2">
      <c r="B1000" s="119" t="s">
        <v>272</v>
      </c>
      <c r="C1000" s="266" t="s">
        <v>1838</v>
      </c>
      <c r="D1000" s="124" t="s">
        <v>1777</v>
      </c>
      <c r="E1000" s="125"/>
      <c r="F1000" s="118" t="s">
        <v>1628</v>
      </c>
      <c r="G1000" s="126" t="str">
        <f t="shared" si="84"/>
        <v>AR-L45-1</v>
      </c>
      <c r="H1000" s="253">
        <v>1</v>
      </c>
      <c r="I1000" s="76">
        <v>1</v>
      </c>
      <c r="J1000" s="299" t="s">
        <v>310</v>
      </c>
      <c r="K1000" s="299"/>
      <c r="L1000" s="288"/>
      <c r="Q1000" s="288"/>
    </row>
    <row r="1001" spans="2:17" s="95" customFormat="1" ht="14.25" hidden="1" customHeight="1" outlineLevel="2">
      <c r="B1001" s="119" t="s">
        <v>272</v>
      </c>
      <c r="C1001" s="266" t="s">
        <v>1839</v>
      </c>
      <c r="D1001" s="124" t="s">
        <v>1779</v>
      </c>
      <c r="E1001" s="125"/>
      <c r="F1001" s="118" t="s">
        <v>1628</v>
      </c>
      <c r="G1001" s="126" t="str">
        <f t="shared" si="84"/>
        <v>AR-L45-1</v>
      </c>
      <c r="H1001" s="253">
        <v>1</v>
      </c>
      <c r="I1001" s="76">
        <v>1</v>
      </c>
      <c r="J1001" s="299" t="s">
        <v>310</v>
      </c>
      <c r="K1001" s="299"/>
      <c r="L1001" s="288"/>
      <c r="Q1001" s="288"/>
    </row>
    <row r="1002" spans="2:17" s="95" customFormat="1" ht="14.25" hidden="1" customHeight="1" outlineLevel="2">
      <c r="B1002" s="119" t="s">
        <v>272</v>
      </c>
      <c r="C1002" s="266" t="s">
        <v>1840</v>
      </c>
      <c r="D1002" s="124" t="s">
        <v>1781</v>
      </c>
      <c r="E1002" s="125"/>
      <c r="F1002" s="118" t="s">
        <v>1628</v>
      </c>
      <c r="G1002" s="126" t="str">
        <f t="shared" si="84"/>
        <v>AR-L45-1</v>
      </c>
      <c r="H1002" s="253">
        <v>1</v>
      </c>
      <c r="I1002" s="76">
        <v>1</v>
      </c>
      <c r="J1002" s="299" t="s">
        <v>310</v>
      </c>
      <c r="K1002" s="299"/>
      <c r="L1002" s="288"/>
      <c r="Q1002" s="288"/>
    </row>
    <row r="1003" spans="2:17" s="95" customFormat="1" ht="14.25" hidden="1" customHeight="1" outlineLevel="2">
      <c r="B1003" s="119" t="s">
        <v>272</v>
      </c>
      <c r="C1003" s="266" t="s">
        <v>1841</v>
      </c>
      <c r="D1003" s="124" t="s">
        <v>1783</v>
      </c>
      <c r="E1003" s="125"/>
      <c r="F1003" s="118" t="s">
        <v>1628</v>
      </c>
      <c r="G1003" s="126" t="str">
        <f t="shared" si="84"/>
        <v>AR-L45-1</v>
      </c>
      <c r="H1003" s="253">
        <v>1</v>
      </c>
      <c r="I1003" s="76">
        <v>1</v>
      </c>
      <c r="J1003" s="299" t="s">
        <v>310</v>
      </c>
      <c r="K1003" s="299"/>
      <c r="L1003" s="288"/>
      <c r="Q1003" s="288"/>
    </row>
    <row r="1004" spans="2:17" s="95" customFormat="1" ht="14.25" hidden="1" customHeight="1" outlineLevel="2">
      <c r="B1004" s="119" t="s">
        <v>272</v>
      </c>
      <c r="C1004" s="266" t="s">
        <v>1842</v>
      </c>
      <c r="D1004" s="124" t="s">
        <v>1785</v>
      </c>
      <c r="E1004" s="125"/>
      <c r="F1004" s="118" t="s">
        <v>1628</v>
      </c>
      <c r="G1004" s="126" t="str">
        <f t="shared" si="84"/>
        <v>AR-L45-1</v>
      </c>
      <c r="H1004" s="253">
        <v>1</v>
      </c>
      <c r="I1004" s="76">
        <v>1</v>
      </c>
      <c r="J1004" s="299" t="s">
        <v>310</v>
      </c>
      <c r="K1004" s="299"/>
      <c r="L1004" s="288"/>
      <c r="Q1004" s="288"/>
    </row>
    <row r="1005" spans="2:17" s="95" customFormat="1" ht="14.25" hidden="1" customHeight="1" outlineLevel="2">
      <c r="B1005" s="119" t="s">
        <v>272</v>
      </c>
      <c r="C1005" s="266" t="s">
        <v>1843</v>
      </c>
      <c r="D1005" s="124" t="s">
        <v>1787</v>
      </c>
      <c r="E1005" s="125"/>
      <c r="F1005" s="118" t="s">
        <v>1628</v>
      </c>
      <c r="G1005" s="126" t="str">
        <f t="shared" si="84"/>
        <v>AR-L45-1</v>
      </c>
      <c r="H1005" s="253">
        <v>1</v>
      </c>
      <c r="I1005" s="76">
        <v>1</v>
      </c>
      <c r="J1005" s="299" t="s">
        <v>310</v>
      </c>
      <c r="K1005" s="299"/>
      <c r="L1005" s="288"/>
      <c r="Q1005" s="288"/>
    </row>
    <row r="1006" spans="2:17" s="95" customFormat="1" ht="14.25" hidden="1" customHeight="1" outlineLevel="2">
      <c r="B1006" s="119" t="s">
        <v>272</v>
      </c>
      <c r="C1006" s="266" t="s">
        <v>1844</v>
      </c>
      <c r="D1006" s="124" t="s">
        <v>1789</v>
      </c>
      <c r="E1006" s="125"/>
      <c r="F1006" s="118" t="s">
        <v>1628</v>
      </c>
      <c r="G1006" s="126" t="str">
        <f t="shared" si="84"/>
        <v>AR-L45-1</v>
      </c>
      <c r="H1006" s="253">
        <v>1</v>
      </c>
      <c r="I1006" s="76">
        <v>1</v>
      </c>
      <c r="J1006" s="299" t="s">
        <v>310</v>
      </c>
      <c r="K1006" s="299"/>
      <c r="L1006" s="288"/>
      <c r="Q1006" s="288"/>
    </row>
    <row r="1007" spans="2:17" s="95" customFormat="1" ht="14.25" hidden="1" customHeight="1" outlineLevel="2">
      <c r="B1007" s="119" t="s">
        <v>272</v>
      </c>
      <c r="C1007" s="266" t="s">
        <v>1845</v>
      </c>
      <c r="D1007" s="124" t="s">
        <v>1791</v>
      </c>
      <c r="E1007" s="125"/>
      <c r="F1007" s="118" t="s">
        <v>1628</v>
      </c>
      <c r="G1007" s="126" t="str">
        <f t="shared" si="84"/>
        <v>AR-L45-1</v>
      </c>
      <c r="H1007" s="253">
        <v>1</v>
      </c>
      <c r="I1007" s="76">
        <v>1</v>
      </c>
      <c r="J1007" s="299" t="s">
        <v>310</v>
      </c>
      <c r="K1007" s="299"/>
      <c r="L1007" s="288"/>
      <c r="Q1007" s="288"/>
    </row>
    <row r="1008" spans="2:17" s="95" customFormat="1" ht="14.25" hidden="1" customHeight="1" outlineLevel="2">
      <c r="B1008" s="119" t="s">
        <v>272</v>
      </c>
      <c r="C1008" s="266" t="s">
        <v>1846</v>
      </c>
      <c r="D1008" s="124" t="s">
        <v>1793</v>
      </c>
      <c r="E1008" s="125"/>
      <c r="F1008" s="118" t="s">
        <v>1628</v>
      </c>
      <c r="G1008" s="126" t="str">
        <f t="shared" si="84"/>
        <v>AR-L45-1</v>
      </c>
      <c r="H1008" s="253">
        <v>1</v>
      </c>
      <c r="I1008" s="76">
        <v>1</v>
      </c>
      <c r="J1008" s="299" t="s">
        <v>310</v>
      </c>
      <c r="K1008" s="299"/>
      <c r="L1008" s="288"/>
      <c r="Q1008" s="288"/>
    </row>
    <row r="1009" spans="2:17" s="95" customFormat="1" ht="14.25" hidden="1" customHeight="1" outlineLevel="2">
      <c r="B1009" s="119" t="s">
        <v>272</v>
      </c>
      <c r="C1009" s="266" t="s">
        <v>1847</v>
      </c>
      <c r="D1009" s="124" t="s">
        <v>1848</v>
      </c>
      <c r="E1009" s="125"/>
      <c r="F1009" s="118" t="s">
        <v>1628</v>
      </c>
      <c r="G1009" s="126" t="str">
        <f t="shared" si="84"/>
        <v>AR-L45-1</v>
      </c>
      <c r="H1009" s="253">
        <v>1</v>
      </c>
      <c r="I1009" s="76">
        <v>1</v>
      </c>
      <c r="J1009" s="299" t="s">
        <v>310</v>
      </c>
      <c r="K1009" s="299"/>
      <c r="L1009" s="288"/>
      <c r="Q1009" s="288"/>
    </row>
    <row r="1010" spans="2:17" s="95" customFormat="1" ht="14.25" hidden="1" customHeight="1" outlineLevel="2">
      <c r="B1010" s="119" t="s">
        <v>272</v>
      </c>
      <c r="C1010" s="266" t="s">
        <v>1849</v>
      </c>
      <c r="D1010" s="124" t="s">
        <v>1502</v>
      </c>
      <c r="E1010" s="125"/>
      <c r="F1010" s="118" t="s">
        <v>1628</v>
      </c>
      <c r="G1010" s="126" t="str">
        <f t="shared" si="84"/>
        <v>AR-L45-1</v>
      </c>
      <c r="H1010" s="253">
        <v>1</v>
      </c>
      <c r="I1010" s="76">
        <v>1</v>
      </c>
      <c r="J1010" s="299" t="s">
        <v>307</v>
      </c>
      <c r="K1010" s="299"/>
      <c r="L1010" s="288"/>
      <c r="Q1010" s="288"/>
    </row>
    <row r="1011" spans="2:17" s="95" customFormat="1" ht="14.25" hidden="1" customHeight="1" outlineLevel="2">
      <c r="B1011" s="119" t="s">
        <v>272</v>
      </c>
      <c r="C1011" s="266" t="s">
        <v>1850</v>
      </c>
      <c r="D1011" s="124" t="s">
        <v>1092</v>
      </c>
      <c r="E1011" s="125"/>
      <c r="F1011" s="118" t="s">
        <v>1628</v>
      </c>
      <c r="G1011" s="126" t="str">
        <f t="shared" si="84"/>
        <v>AR-L45-1</v>
      </c>
      <c r="H1011" s="253">
        <v>1</v>
      </c>
      <c r="I1011" s="76">
        <v>1</v>
      </c>
      <c r="J1011" s="299" t="s">
        <v>310</v>
      </c>
      <c r="K1011" s="299"/>
      <c r="L1011" s="288"/>
      <c r="Q1011" s="288"/>
    </row>
    <row r="1012" spans="2:17" s="95" customFormat="1" ht="14.25" hidden="1" customHeight="1" outlineLevel="2">
      <c r="B1012" s="119" t="s">
        <v>272</v>
      </c>
      <c r="C1012" s="266" t="s">
        <v>1851</v>
      </c>
      <c r="D1012" s="124" t="s">
        <v>1092</v>
      </c>
      <c r="E1012" s="125"/>
      <c r="F1012" s="118" t="s">
        <v>1628</v>
      </c>
      <c r="G1012" s="126" t="str">
        <f t="shared" si="84"/>
        <v>AR-L45-1</v>
      </c>
      <c r="H1012" s="253">
        <v>1</v>
      </c>
      <c r="I1012" s="76">
        <v>1</v>
      </c>
      <c r="J1012" s="299" t="s">
        <v>307</v>
      </c>
      <c r="K1012" s="299"/>
      <c r="L1012" s="288"/>
      <c r="Q1012" s="288"/>
    </row>
    <row r="1013" spans="2:17" s="95" customFormat="1" ht="14.25" hidden="1" customHeight="1" outlineLevel="2">
      <c r="B1013" s="119" t="s">
        <v>272</v>
      </c>
      <c r="C1013" s="266" t="s">
        <v>1852</v>
      </c>
      <c r="D1013" s="124" t="s">
        <v>1092</v>
      </c>
      <c r="E1013" s="125"/>
      <c r="F1013" s="118" t="s">
        <v>1628</v>
      </c>
      <c r="G1013" s="126" t="str">
        <f t="shared" si="84"/>
        <v>AR-L45-1</v>
      </c>
      <c r="H1013" s="253">
        <v>1</v>
      </c>
      <c r="I1013" s="76">
        <v>1</v>
      </c>
      <c r="J1013" s="299" t="s">
        <v>307</v>
      </c>
      <c r="K1013" s="299"/>
      <c r="L1013" s="288"/>
      <c r="Q1013" s="288"/>
    </row>
    <row r="1014" spans="2:17" s="95" customFormat="1" ht="14.25" hidden="1" customHeight="1" outlineLevel="2">
      <c r="B1014" s="119" t="s">
        <v>272</v>
      </c>
      <c r="C1014" s="266" t="s">
        <v>1853</v>
      </c>
      <c r="D1014" s="124" t="s">
        <v>1092</v>
      </c>
      <c r="E1014" s="125"/>
      <c r="F1014" s="118" t="s">
        <v>1628</v>
      </c>
      <c r="G1014" s="126" t="str">
        <f t="shared" si="84"/>
        <v>AR-L45-1</v>
      </c>
      <c r="H1014" s="253">
        <v>1</v>
      </c>
      <c r="I1014" s="76">
        <v>1</v>
      </c>
      <c r="J1014" s="299" t="s">
        <v>307</v>
      </c>
      <c r="K1014" s="299"/>
      <c r="L1014" s="288"/>
      <c r="Q1014" s="288"/>
    </row>
    <row r="1015" spans="2:17" s="95" customFormat="1" ht="14.25" hidden="1" customHeight="1" outlineLevel="2">
      <c r="B1015" s="119" t="s">
        <v>272</v>
      </c>
      <c r="C1015" s="266" t="s">
        <v>1854</v>
      </c>
      <c r="D1015" s="124" t="s">
        <v>1092</v>
      </c>
      <c r="E1015" s="125"/>
      <c r="F1015" s="118" t="s">
        <v>1628</v>
      </c>
      <c r="G1015" s="126" t="str">
        <f t="shared" si="84"/>
        <v>AR-L45-1</v>
      </c>
      <c r="H1015" s="253">
        <v>1</v>
      </c>
      <c r="I1015" s="76">
        <v>1</v>
      </c>
      <c r="J1015" s="299" t="s">
        <v>307</v>
      </c>
      <c r="K1015" s="299"/>
      <c r="L1015" s="288"/>
      <c r="Q1015" s="288"/>
    </row>
    <row r="1016" spans="2:17" s="95" customFormat="1" ht="14.25" hidden="1" customHeight="1" outlineLevel="2">
      <c r="B1016" s="119" t="s">
        <v>272</v>
      </c>
      <c r="C1016" s="266" t="s">
        <v>1855</v>
      </c>
      <c r="D1016" s="124" t="s">
        <v>1092</v>
      </c>
      <c r="E1016" s="125"/>
      <c r="F1016" s="118" t="s">
        <v>1628</v>
      </c>
      <c r="G1016" s="126" t="str">
        <f t="shared" si="84"/>
        <v>AR-L45-1</v>
      </c>
      <c r="H1016" s="253">
        <v>1</v>
      </c>
      <c r="I1016" s="76">
        <v>1</v>
      </c>
      <c r="J1016" s="299" t="s">
        <v>310</v>
      </c>
      <c r="K1016" s="299"/>
      <c r="L1016" s="288"/>
      <c r="Q1016" s="288"/>
    </row>
    <row r="1017" spans="2:17" s="95" customFormat="1" ht="14.25" hidden="1" customHeight="1" outlineLevel="2">
      <c r="B1017" s="119" t="s">
        <v>272</v>
      </c>
      <c r="C1017" s="266" t="s">
        <v>1856</v>
      </c>
      <c r="D1017" s="124" t="s">
        <v>1092</v>
      </c>
      <c r="E1017" s="125"/>
      <c r="F1017" s="118" t="s">
        <v>1628</v>
      </c>
      <c r="G1017" s="126" t="str">
        <f t="shared" si="84"/>
        <v>AR-L45-1</v>
      </c>
      <c r="H1017" s="253">
        <v>1</v>
      </c>
      <c r="I1017" s="76">
        <v>1</v>
      </c>
      <c r="J1017" s="299" t="s">
        <v>310</v>
      </c>
      <c r="K1017" s="299"/>
      <c r="L1017" s="288"/>
      <c r="Q1017" s="288"/>
    </row>
    <row r="1018" spans="2:17" s="95" customFormat="1" ht="14.25" hidden="1" customHeight="1" outlineLevel="2">
      <c r="B1018" s="119" t="s">
        <v>272</v>
      </c>
      <c r="C1018" s="266" t="s">
        <v>1857</v>
      </c>
      <c r="D1018" s="124" t="s">
        <v>1092</v>
      </c>
      <c r="E1018" s="125"/>
      <c r="F1018" s="118" t="s">
        <v>1628</v>
      </c>
      <c r="G1018" s="126" t="str">
        <f t="shared" si="84"/>
        <v>AR-L45-1</v>
      </c>
      <c r="H1018" s="253">
        <v>1</v>
      </c>
      <c r="I1018" s="76">
        <v>1</v>
      </c>
      <c r="J1018" s="299" t="s">
        <v>307</v>
      </c>
      <c r="K1018" s="299"/>
      <c r="L1018" s="288"/>
      <c r="Q1018" s="288"/>
    </row>
    <row r="1019" spans="2:17" s="95" customFormat="1" ht="14.25" hidden="1" customHeight="1" outlineLevel="2">
      <c r="B1019" s="119" t="s">
        <v>272</v>
      </c>
      <c r="C1019" s="266" t="s">
        <v>1858</v>
      </c>
      <c r="D1019" s="124" t="s">
        <v>1859</v>
      </c>
      <c r="E1019" s="125"/>
      <c r="F1019" s="118" t="s">
        <v>1628</v>
      </c>
      <c r="G1019" s="126" t="str">
        <f t="shared" si="84"/>
        <v>AR-L45-1</v>
      </c>
      <c r="H1019" s="253">
        <v>1</v>
      </c>
      <c r="I1019" s="76">
        <v>1</v>
      </c>
      <c r="J1019" s="299" t="s">
        <v>307</v>
      </c>
      <c r="K1019" s="299"/>
      <c r="L1019" s="288"/>
      <c r="Q1019" s="288"/>
    </row>
    <row r="1020" spans="2:17" s="95" customFormat="1" ht="14.25" hidden="1" customHeight="1" outlineLevel="2">
      <c r="B1020" s="119" t="s">
        <v>272</v>
      </c>
      <c r="C1020" s="266" t="s">
        <v>1860</v>
      </c>
      <c r="D1020" s="124" t="s">
        <v>1092</v>
      </c>
      <c r="E1020" s="125"/>
      <c r="F1020" s="118" t="s">
        <v>1628</v>
      </c>
      <c r="G1020" s="126" t="str">
        <f t="shared" si="84"/>
        <v>AR-L45-1</v>
      </c>
      <c r="H1020" s="253">
        <v>1</v>
      </c>
      <c r="I1020" s="76">
        <v>1</v>
      </c>
      <c r="J1020" s="299" t="s">
        <v>307</v>
      </c>
      <c r="K1020" s="299"/>
      <c r="L1020" s="288"/>
      <c r="Q1020" s="288"/>
    </row>
    <row r="1021" spans="2:17" s="95" customFormat="1" ht="14.25" hidden="1" customHeight="1" outlineLevel="2">
      <c r="B1021" s="119" t="s">
        <v>272</v>
      </c>
      <c r="C1021" s="266" t="s">
        <v>1861</v>
      </c>
      <c r="D1021" s="124" t="s">
        <v>1092</v>
      </c>
      <c r="E1021" s="125"/>
      <c r="F1021" s="118" t="s">
        <v>1628</v>
      </c>
      <c r="G1021" s="126" t="str">
        <f t="shared" si="84"/>
        <v>AR-L45-1</v>
      </c>
      <c r="H1021" s="253">
        <v>1</v>
      </c>
      <c r="I1021" s="76">
        <v>1</v>
      </c>
      <c r="J1021" s="299" t="s">
        <v>307</v>
      </c>
      <c r="K1021" s="299"/>
      <c r="L1021" s="288"/>
      <c r="Q1021" s="288"/>
    </row>
    <row r="1022" spans="2:17" s="95" customFormat="1" ht="14.25" hidden="1" customHeight="1" outlineLevel="2">
      <c r="B1022" s="119" t="s">
        <v>272</v>
      </c>
      <c r="C1022" s="266" t="s">
        <v>1862</v>
      </c>
      <c r="D1022" s="124" t="s">
        <v>1120</v>
      </c>
      <c r="E1022" s="125"/>
      <c r="F1022" s="118" t="s">
        <v>1628</v>
      </c>
      <c r="G1022" s="126" t="str">
        <f t="shared" si="84"/>
        <v>AR-L45-1</v>
      </c>
      <c r="H1022" s="253">
        <v>1</v>
      </c>
      <c r="I1022" s="76">
        <v>1</v>
      </c>
      <c r="J1022" s="299" t="s">
        <v>286</v>
      </c>
      <c r="K1022" s="299"/>
      <c r="L1022" s="288"/>
      <c r="Q1022" s="288"/>
    </row>
    <row r="1023" spans="2:17" s="95" customFormat="1" ht="14.25" hidden="1" customHeight="1" outlineLevel="2">
      <c r="B1023" s="119" t="s">
        <v>272</v>
      </c>
      <c r="C1023" s="266" t="s">
        <v>1863</v>
      </c>
      <c r="D1023" s="124" t="s">
        <v>1434</v>
      </c>
      <c r="E1023" s="125"/>
      <c r="F1023" s="118" t="s">
        <v>1628</v>
      </c>
      <c r="G1023" s="126" t="str">
        <f t="shared" si="84"/>
        <v>AR-L45-1</v>
      </c>
      <c r="H1023" s="253">
        <v>1</v>
      </c>
      <c r="I1023" s="76">
        <v>1</v>
      </c>
      <c r="J1023" s="299" t="s">
        <v>307</v>
      </c>
      <c r="K1023" s="299"/>
      <c r="L1023" s="288"/>
      <c r="Q1023" s="288"/>
    </row>
    <row r="1024" spans="2:17" s="95" customFormat="1" ht="14.25" hidden="1" customHeight="1" outlineLevel="2">
      <c r="B1024" s="119" t="s">
        <v>272</v>
      </c>
      <c r="C1024" s="266" t="s">
        <v>1864</v>
      </c>
      <c r="D1024" s="124" t="s">
        <v>1436</v>
      </c>
      <c r="E1024" s="125"/>
      <c r="F1024" s="118" t="s">
        <v>1628</v>
      </c>
      <c r="G1024" s="126" t="str">
        <f t="shared" si="84"/>
        <v>AR-L45-1</v>
      </c>
      <c r="H1024" s="253">
        <v>1</v>
      </c>
      <c r="I1024" s="76">
        <v>1</v>
      </c>
      <c r="J1024" s="299" t="s">
        <v>743</v>
      </c>
      <c r="K1024" s="299"/>
      <c r="L1024" s="288"/>
      <c r="Q1024" s="288"/>
    </row>
    <row r="1025" spans="2:17" s="95" customFormat="1" ht="14.25" hidden="1" customHeight="1" outlineLevel="2">
      <c r="B1025" s="119" t="s">
        <v>272</v>
      </c>
      <c r="C1025" s="266" t="s">
        <v>1865</v>
      </c>
      <c r="D1025" s="124" t="s">
        <v>1438</v>
      </c>
      <c r="E1025" s="125"/>
      <c r="F1025" s="118" t="s">
        <v>1628</v>
      </c>
      <c r="G1025" s="126" t="str">
        <f t="shared" si="84"/>
        <v>AR-L45-1</v>
      </c>
      <c r="H1025" s="253">
        <v>1</v>
      </c>
      <c r="I1025" s="76">
        <v>1</v>
      </c>
      <c r="J1025" s="299" t="s">
        <v>325</v>
      </c>
      <c r="K1025" s="299"/>
      <c r="L1025" s="288"/>
      <c r="Q1025" s="288"/>
    </row>
    <row r="1026" spans="2:17" s="95" customFormat="1" ht="14.25" hidden="1" customHeight="1" outlineLevel="2">
      <c r="B1026" s="119" t="s">
        <v>272</v>
      </c>
      <c r="C1026" s="266" t="s">
        <v>1866</v>
      </c>
      <c r="D1026" s="124" t="s">
        <v>1094</v>
      </c>
      <c r="E1026" s="125"/>
      <c r="F1026" s="118" t="s">
        <v>1628</v>
      </c>
      <c r="G1026" s="126" t="str">
        <f t="shared" si="84"/>
        <v>AR-L45-1</v>
      </c>
      <c r="H1026" s="253">
        <v>1</v>
      </c>
      <c r="I1026" s="76">
        <v>1</v>
      </c>
      <c r="J1026" s="299" t="s">
        <v>743</v>
      </c>
      <c r="K1026" s="299"/>
      <c r="L1026" s="288"/>
      <c r="Q1026" s="288"/>
    </row>
    <row r="1027" spans="2:17" s="95" customFormat="1" ht="14.25" hidden="1" customHeight="1" outlineLevel="2">
      <c r="B1027" s="119" t="s">
        <v>272</v>
      </c>
      <c r="C1027" s="266" t="s">
        <v>1867</v>
      </c>
      <c r="D1027" s="124" t="s">
        <v>1441</v>
      </c>
      <c r="E1027" s="125"/>
      <c r="F1027" s="118" t="s">
        <v>1628</v>
      </c>
      <c r="G1027" s="126" t="str">
        <f t="shared" si="84"/>
        <v>AR-L45-1</v>
      </c>
      <c r="H1027" s="253">
        <v>1</v>
      </c>
      <c r="I1027" s="76">
        <v>1</v>
      </c>
      <c r="J1027" s="299" t="s">
        <v>325</v>
      </c>
      <c r="K1027" s="299"/>
      <c r="L1027" s="288"/>
      <c r="Q1027" s="288"/>
    </row>
    <row r="1028" spans="2:17" s="95" customFormat="1" ht="14.25" hidden="1" customHeight="1" outlineLevel="2">
      <c r="B1028" s="119" t="s">
        <v>272</v>
      </c>
      <c r="C1028" s="266" t="s">
        <v>1868</v>
      </c>
      <c r="D1028" s="124" t="s">
        <v>1443</v>
      </c>
      <c r="E1028" s="125"/>
      <c r="F1028" s="118" t="s">
        <v>1628</v>
      </c>
      <c r="G1028" s="126" t="str">
        <f t="shared" si="84"/>
        <v>AR-L45-1</v>
      </c>
      <c r="H1028" s="253">
        <v>1</v>
      </c>
      <c r="I1028" s="76">
        <v>1</v>
      </c>
      <c r="J1028" s="299" t="s">
        <v>325</v>
      </c>
      <c r="K1028" s="299"/>
      <c r="L1028" s="288"/>
      <c r="Q1028" s="288"/>
    </row>
    <row r="1029" spans="2:17" s="95" customFormat="1" ht="14.25" hidden="1" customHeight="1" outlineLevel="2">
      <c r="B1029" s="119" t="s">
        <v>272</v>
      </c>
      <c r="C1029" s="266" t="s">
        <v>1869</v>
      </c>
      <c r="D1029" s="124" t="s">
        <v>1573</v>
      </c>
      <c r="E1029" s="125"/>
      <c r="F1029" s="118" t="s">
        <v>1628</v>
      </c>
      <c r="G1029" s="126" t="str">
        <f t="shared" si="84"/>
        <v>AR-L45-1</v>
      </c>
      <c r="H1029" s="253">
        <v>1</v>
      </c>
      <c r="I1029" s="76">
        <v>1</v>
      </c>
      <c r="J1029" s="299" t="s">
        <v>310</v>
      </c>
      <c r="K1029" s="299"/>
      <c r="L1029" s="288"/>
      <c r="Q1029" s="288"/>
    </row>
    <row r="1030" spans="2:17" s="95" customFormat="1" ht="14.25" hidden="1" customHeight="1" outlineLevel="2">
      <c r="B1030" s="119" t="s">
        <v>272</v>
      </c>
      <c r="C1030" s="266" t="s">
        <v>1870</v>
      </c>
      <c r="D1030" s="124" t="s">
        <v>1730</v>
      </c>
      <c r="E1030" s="125"/>
      <c r="F1030" s="118" t="s">
        <v>1628</v>
      </c>
      <c r="G1030" s="126" t="str">
        <f t="shared" si="84"/>
        <v>AR-L45-1</v>
      </c>
      <c r="H1030" s="253">
        <v>1</v>
      </c>
      <c r="I1030" s="76">
        <v>1</v>
      </c>
      <c r="J1030" s="299" t="s">
        <v>310</v>
      </c>
      <c r="K1030" s="299"/>
      <c r="L1030" s="288"/>
      <c r="Q1030" s="288"/>
    </row>
    <row r="1031" spans="2:17" s="95" customFormat="1" ht="14.25" hidden="1" customHeight="1" outlineLevel="2">
      <c r="B1031" s="119" t="s">
        <v>272</v>
      </c>
      <c r="C1031" s="266" t="s">
        <v>1871</v>
      </c>
      <c r="D1031" s="124" t="s">
        <v>1732</v>
      </c>
      <c r="E1031" s="125"/>
      <c r="F1031" s="118" t="s">
        <v>1628</v>
      </c>
      <c r="G1031" s="126" t="str">
        <f t="shared" si="84"/>
        <v>AR-L45-1</v>
      </c>
      <c r="H1031" s="253">
        <v>1</v>
      </c>
      <c r="I1031" s="76">
        <v>1</v>
      </c>
      <c r="J1031" s="299" t="s">
        <v>310</v>
      </c>
      <c r="K1031" s="299"/>
      <c r="L1031" s="288"/>
      <c r="Q1031" s="288"/>
    </row>
    <row r="1032" spans="2:17" s="95" customFormat="1" ht="14.25" hidden="1" customHeight="1" outlineLevel="2">
      <c r="B1032" s="119" t="s">
        <v>272</v>
      </c>
      <c r="C1032" s="266" t="s">
        <v>1872</v>
      </c>
      <c r="D1032" s="124" t="s">
        <v>1734</v>
      </c>
      <c r="E1032" s="125"/>
      <c r="F1032" s="118" t="s">
        <v>1628</v>
      </c>
      <c r="G1032" s="126" t="str">
        <f t="shared" si="84"/>
        <v>AR-L45-1</v>
      </c>
      <c r="H1032" s="253">
        <v>1</v>
      </c>
      <c r="I1032" s="76">
        <v>1</v>
      </c>
      <c r="J1032" s="299" t="s">
        <v>310</v>
      </c>
      <c r="K1032" s="299"/>
      <c r="L1032" s="288"/>
      <c r="Q1032" s="288"/>
    </row>
    <row r="1033" spans="2:17" s="95" customFormat="1" ht="14.25" hidden="1" customHeight="1" outlineLevel="2">
      <c r="B1033" s="119" t="s">
        <v>272</v>
      </c>
      <c r="C1033" s="266" t="s">
        <v>1873</v>
      </c>
      <c r="D1033" s="124" t="s">
        <v>1736</v>
      </c>
      <c r="E1033" s="125"/>
      <c r="F1033" s="118" t="s">
        <v>1628</v>
      </c>
      <c r="G1033" s="126" t="str">
        <f t="shared" si="84"/>
        <v>AR-L45-1</v>
      </c>
      <c r="H1033" s="253">
        <v>1</v>
      </c>
      <c r="I1033" s="76">
        <v>1</v>
      </c>
      <c r="J1033" s="299" t="s">
        <v>307</v>
      </c>
      <c r="K1033" s="299"/>
      <c r="L1033" s="288"/>
      <c r="Q1033" s="288"/>
    </row>
    <row r="1034" spans="2:17" s="95" customFormat="1" ht="14.25" hidden="1" customHeight="1" outlineLevel="2">
      <c r="B1034" s="119" t="s">
        <v>272</v>
      </c>
      <c r="C1034" s="266" t="s">
        <v>1874</v>
      </c>
      <c r="D1034" s="124" t="s">
        <v>1445</v>
      </c>
      <c r="E1034" s="125"/>
      <c r="F1034" s="118" t="s">
        <v>1628</v>
      </c>
      <c r="G1034" s="126" t="str">
        <f t="shared" si="84"/>
        <v>AR-L45-1</v>
      </c>
      <c r="H1034" s="253">
        <v>1</v>
      </c>
      <c r="I1034" s="76">
        <v>1</v>
      </c>
      <c r="J1034" s="299" t="s">
        <v>307</v>
      </c>
      <c r="K1034" s="299"/>
      <c r="L1034" s="288"/>
      <c r="Q1034" s="288"/>
    </row>
    <row r="1035" spans="2:17" s="95" customFormat="1" ht="14.25" hidden="1" customHeight="1" outlineLevel="2">
      <c r="B1035" s="119" t="s">
        <v>272</v>
      </c>
      <c r="C1035" s="266" t="s">
        <v>1875</v>
      </c>
      <c r="D1035" s="124" t="s">
        <v>1739</v>
      </c>
      <c r="E1035" s="125"/>
      <c r="F1035" s="118" t="s">
        <v>1628</v>
      </c>
      <c r="G1035" s="126" t="str">
        <f t="shared" si="84"/>
        <v>AR-L45-1</v>
      </c>
      <c r="H1035" s="253">
        <v>1</v>
      </c>
      <c r="I1035" s="76">
        <v>1</v>
      </c>
      <c r="J1035" s="299" t="s">
        <v>307</v>
      </c>
      <c r="K1035" s="299"/>
      <c r="L1035" s="288"/>
      <c r="Q1035" s="288"/>
    </row>
    <row r="1036" spans="2:17" s="95" customFormat="1" ht="14.25" hidden="1" customHeight="1" outlineLevel="2">
      <c r="B1036" s="119" t="s">
        <v>272</v>
      </c>
      <c r="C1036" s="266" t="s">
        <v>1876</v>
      </c>
      <c r="D1036" s="124" t="s">
        <v>1741</v>
      </c>
      <c r="E1036" s="125"/>
      <c r="F1036" s="118" t="s">
        <v>1628</v>
      </c>
      <c r="G1036" s="126" t="str">
        <f t="shared" si="84"/>
        <v>AR-L45-1</v>
      </c>
      <c r="H1036" s="253">
        <v>1</v>
      </c>
      <c r="I1036" s="76">
        <v>1</v>
      </c>
      <c r="J1036" s="299" t="s">
        <v>307</v>
      </c>
      <c r="K1036" s="299"/>
      <c r="L1036" s="288"/>
      <c r="Q1036" s="288"/>
    </row>
    <row r="1037" spans="2:17" s="95" customFormat="1" ht="14.25" hidden="1" customHeight="1" outlineLevel="2">
      <c r="B1037" s="119" t="s">
        <v>272</v>
      </c>
      <c r="C1037" s="266" t="s">
        <v>1877</v>
      </c>
      <c r="D1037" s="124" t="s">
        <v>1739</v>
      </c>
      <c r="E1037" s="125"/>
      <c r="F1037" s="118" t="s">
        <v>1628</v>
      </c>
      <c r="G1037" s="126" t="str">
        <f t="shared" si="84"/>
        <v>AR-L45-1</v>
      </c>
      <c r="H1037" s="253">
        <v>1</v>
      </c>
      <c r="I1037" s="76">
        <v>1</v>
      </c>
      <c r="J1037" s="299" t="s">
        <v>307</v>
      </c>
      <c r="K1037" s="299"/>
      <c r="L1037" s="288"/>
      <c r="Q1037" s="288"/>
    </row>
    <row r="1038" spans="2:17" s="95" customFormat="1" ht="14.25" hidden="1" customHeight="1" outlineLevel="2">
      <c r="B1038" s="119" t="s">
        <v>272</v>
      </c>
      <c r="C1038" s="266" t="s">
        <v>1878</v>
      </c>
      <c r="D1038" s="124" t="s">
        <v>1741</v>
      </c>
      <c r="E1038" s="125"/>
      <c r="F1038" s="118" t="s">
        <v>1628</v>
      </c>
      <c r="G1038" s="126" t="str">
        <f t="shared" si="84"/>
        <v>AR-L45-1</v>
      </c>
      <c r="H1038" s="253">
        <v>1</v>
      </c>
      <c r="I1038" s="76">
        <v>1</v>
      </c>
      <c r="J1038" s="299" t="s">
        <v>307</v>
      </c>
      <c r="K1038" s="299"/>
      <c r="L1038" s="288"/>
      <c r="Q1038" s="288"/>
    </row>
    <row r="1039" spans="2:17" s="95" customFormat="1" ht="14.25" hidden="1" customHeight="1" outlineLevel="2">
      <c r="B1039" s="119" t="s">
        <v>272</v>
      </c>
      <c r="C1039" s="266" t="s">
        <v>1879</v>
      </c>
      <c r="D1039" s="124" t="s">
        <v>1739</v>
      </c>
      <c r="E1039" s="125"/>
      <c r="F1039" s="118" t="s">
        <v>1628</v>
      </c>
      <c r="G1039" s="126" t="str">
        <f t="shared" si="84"/>
        <v>AR-L45-1</v>
      </c>
      <c r="H1039" s="253">
        <v>1</v>
      </c>
      <c r="I1039" s="76">
        <v>1</v>
      </c>
      <c r="J1039" s="299" t="s">
        <v>307</v>
      </c>
      <c r="K1039" s="299"/>
      <c r="L1039" s="288"/>
      <c r="Q1039" s="288"/>
    </row>
    <row r="1040" spans="2:17" s="95" customFormat="1" ht="14.25" hidden="1" customHeight="1" outlineLevel="2">
      <c r="B1040" s="119" t="s">
        <v>272</v>
      </c>
      <c r="C1040" s="266" t="s">
        <v>1880</v>
      </c>
      <c r="D1040" s="124" t="s">
        <v>1741</v>
      </c>
      <c r="E1040" s="125"/>
      <c r="F1040" s="118" t="s">
        <v>1628</v>
      </c>
      <c r="G1040" s="126" t="str">
        <f t="shared" si="84"/>
        <v>AR-L45-1</v>
      </c>
      <c r="H1040" s="253">
        <v>1</v>
      </c>
      <c r="I1040" s="76">
        <v>1</v>
      </c>
      <c r="J1040" s="299" t="s">
        <v>307</v>
      </c>
      <c r="K1040" s="299"/>
      <c r="L1040" s="288"/>
      <c r="Q1040" s="288"/>
    </row>
    <row r="1041" spans="2:17" s="95" customFormat="1" ht="14.25" hidden="1" customHeight="1" outlineLevel="2">
      <c r="B1041" s="119" t="s">
        <v>272</v>
      </c>
      <c r="C1041" s="266" t="s">
        <v>1881</v>
      </c>
      <c r="D1041" s="124" t="s">
        <v>1739</v>
      </c>
      <c r="E1041" s="125"/>
      <c r="F1041" s="118" t="s">
        <v>1628</v>
      </c>
      <c r="G1041" s="126" t="str">
        <f t="shared" si="84"/>
        <v>AR-L45-1</v>
      </c>
      <c r="H1041" s="253">
        <v>1</v>
      </c>
      <c r="I1041" s="76">
        <v>1</v>
      </c>
      <c r="J1041" s="299" t="s">
        <v>307</v>
      </c>
      <c r="K1041" s="299"/>
      <c r="L1041" s="288"/>
      <c r="Q1041" s="288"/>
    </row>
    <row r="1042" spans="2:17" s="95" customFormat="1" ht="14.25" hidden="1" customHeight="1" outlineLevel="2">
      <c r="B1042" s="119" t="s">
        <v>272</v>
      </c>
      <c r="C1042" s="266" t="s">
        <v>1882</v>
      </c>
      <c r="D1042" s="124" t="s">
        <v>1741</v>
      </c>
      <c r="E1042" s="125"/>
      <c r="F1042" s="118" t="s">
        <v>1628</v>
      </c>
      <c r="G1042" s="126" t="str">
        <f t="shared" si="84"/>
        <v>AR-L45-1</v>
      </c>
      <c r="H1042" s="253">
        <v>1</v>
      </c>
      <c r="I1042" s="76">
        <v>1</v>
      </c>
      <c r="J1042" s="299" t="s">
        <v>307</v>
      </c>
      <c r="K1042" s="299"/>
      <c r="L1042" s="288"/>
      <c r="Q1042" s="288"/>
    </row>
    <row r="1043" spans="2:17" s="95" customFormat="1" ht="14.25" hidden="1" customHeight="1" outlineLevel="2">
      <c r="B1043" s="119" t="s">
        <v>272</v>
      </c>
      <c r="C1043" s="266" t="s">
        <v>1883</v>
      </c>
      <c r="D1043" s="124" t="s">
        <v>1750</v>
      </c>
      <c r="E1043" s="125"/>
      <c r="F1043" s="118" t="s">
        <v>1628</v>
      </c>
      <c r="G1043" s="126" t="str">
        <f t="shared" si="84"/>
        <v>AR-L45-1</v>
      </c>
      <c r="H1043" s="253">
        <v>1</v>
      </c>
      <c r="I1043" s="76">
        <v>1</v>
      </c>
      <c r="J1043" s="299" t="s">
        <v>310</v>
      </c>
      <c r="K1043" s="299"/>
      <c r="L1043" s="288"/>
      <c r="Q1043" s="288"/>
    </row>
    <row r="1044" spans="2:17" s="95" customFormat="1" ht="14.25" hidden="1" customHeight="1" outlineLevel="2">
      <c r="B1044" s="119" t="s">
        <v>272</v>
      </c>
      <c r="C1044" s="266" t="s">
        <v>1884</v>
      </c>
      <c r="D1044" s="124" t="s">
        <v>1461</v>
      </c>
      <c r="E1044" s="125"/>
      <c r="F1044" s="118" t="s">
        <v>1628</v>
      </c>
      <c r="G1044" s="126" t="str">
        <f t="shared" si="84"/>
        <v>AR-L45-1</v>
      </c>
      <c r="H1044" s="253">
        <v>1</v>
      </c>
      <c r="I1044" s="76">
        <v>1</v>
      </c>
      <c r="J1044" s="299" t="s">
        <v>307</v>
      </c>
      <c r="K1044" s="299"/>
      <c r="L1044" s="288"/>
      <c r="Q1044" s="288"/>
    </row>
    <row r="1045" spans="2:17" s="95" customFormat="1" ht="14.25" hidden="1" customHeight="1" outlineLevel="2">
      <c r="B1045" s="119" t="s">
        <v>272</v>
      </c>
      <c r="C1045" s="266" t="s">
        <v>1885</v>
      </c>
      <c r="D1045" s="124" t="s">
        <v>1886</v>
      </c>
      <c r="E1045" s="125"/>
      <c r="F1045" s="118" t="s">
        <v>1628</v>
      </c>
      <c r="G1045" s="126" t="str">
        <f t="shared" si="84"/>
        <v>AR-L45-1</v>
      </c>
      <c r="H1045" s="253">
        <v>1</v>
      </c>
      <c r="I1045" s="76">
        <v>1</v>
      </c>
      <c r="J1045" s="299" t="s">
        <v>310</v>
      </c>
      <c r="K1045" s="299"/>
      <c r="L1045" s="288"/>
      <c r="Q1045" s="288"/>
    </row>
    <row r="1046" spans="2:17" s="95" customFormat="1" ht="14.25" hidden="1" customHeight="1" outlineLevel="2">
      <c r="B1046" s="119" t="s">
        <v>272</v>
      </c>
      <c r="C1046" s="266" t="s">
        <v>1887</v>
      </c>
      <c r="D1046" s="124" t="s">
        <v>1888</v>
      </c>
      <c r="E1046" s="125"/>
      <c r="F1046" s="118" t="s">
        <v>1628</v>
      </c>
      <c r="G1046" s="126" t="str">
        <f t="shared" si="84"/>
        <v>AR-L45-1</v>
      </c>
      <c r="H1046" s="253">
        <v>1</v>
      </c>
      <c r="I1046" s="76">
        <v>1</v>
      </c>
      <c r="J1046" s="299" t="s">
        <v>286</v>
      </c>
      <c r="K1046" s="299"/>
      <c r="L1046" s="288"/>
      <c r="Q1046" s="288"/>
    </row>
    <row r="1047" spans="2:17" s="95" customFormat="1" ht="14.25" hidden="1" customHeight="1" outlineLevel="2">
      <c r="B1047" s="119" t="s">
        <v>272</v>
      </c>
      <c r="C1047" s="266" t="s">
        <v>1889</v>
      </c>
      <c r="D1047" s="124" t="s">
        <v>1753</v>
      </c>
      <c r="E1047" s="125"/>
      <c r="F1047" s="118" t="s">
        <v>1628</v>
      </c>
      <c r="G1047" s="126" t="str">
        <f t="shared" si="84"/>
        <v>AR-L45-1</v>
      </c>
      <c r="H1047" s="253">
        <v>1</v>
      </c>
      <c r="I1047" s="76">
        <v>1</v>
      </c>
      <c r="J1047" s="299" t="s">
        <v>307</v>
      </c>
      <c r="K1047" s="299"/>
      <c r="L1047" s="288"/>
      <c r="Q1047" s="288"/>
    </row>
    <row r="1048" spans="2:17" s="95" customFormat="1" ht="14.25" hidden="1" customHeight="1" outlineLevel="2">
      <c r="B1048" s="119" t="s">
        <v>272</v>
      </c>
      <c r="C1048" s="266" t="s">
        <v>1890</v>
      </c>
      <c r="D1048" s="124" t="s">
        <v>1755</v>
      </c>
      <c r="E1048" s="125"/>
      <c r="F1048" s="118" t="s">
        <v>1628</v>
      </c>
      <c r="G1048" s="126" t="str">
        <f t="shared" si="84"/>
        <v>AR-L45-1</v>
      </c>
      <c r="H1048" s="253">
        <v>1</v>
      </c>
      <c r="I1048" s="76">
        <v>1</v>
      </c>
      <c r="J1048" s="299" t="s">
        <v>310</v>
      </c>
      <c r="K1048" s="299"/>
      <c r="L1048" s="288"/>
      <c r="Q1048" s="288"/>
    </row>
    <row r="1049" spans="2:17" s="95" customFormat="1" ht="14.25" hidden="1" customHeight="1" outlineLevel="2">
      <c r="B1049" s="119" t="s">
        <v>272</v>
      </c>
      <c r="C1049" s="266" t="s">
        <v>1891</v>
      </c>
      <c r="D1049" s="124" t="s">
        <v>1757</v>
      </c>
      <c r="E1049" s="125"/>
      <c r="F1049" s="118" t="s">
        <v>1628</v>
      </c>
      <c r="G1049" s="126" t="str">
        <f t="shared" si="84"/>
        <v>AR-L45-1</v>
      </c>
      <c r="H1049" s="253">
        <v>1</v>
      </c>
      <c r="I1049" s="76">
        <v>1</v>
      </c>
      <c r="J1049" s="299" t="s">
        <v>307</v>
      </c>
      <c r="K1049" s="299"/>
      <c r="L1049" s="288"/>
      <c r="Q1049" s="288"/>
    </row>
    <row r="1050" spans="2:17" s="95" customFormat="1" ht="14.25" hidden="1" customHeight="1" outlineLevel="2">
      <c r="B1050" s="119" t="s">
        <v>272</v>
      </c>
      <c r="C1050" s="266" t="s">
        <v>1892</v>
      </c>
      <c r="D1050" s="124" t="s">
        <v>1893</v>
      </c>
      <c r="E1050" s="125"/>
      <c r="F1050" s="118" t="s">
        <v>1628</v>
      </c>
      <c r="G1050" s="126" t="str">
        <f t="shared" si="84"/>
        <v>AR-L45-1</v>
      </c>
      <c r="H1050" s="253">
        <v>1</v>
      </c>
      <c r="I1050" s="76">
        <v>1</v>
      </c>
      <c r="J1050" s="299" t="s">
        <v>310</v>
      </c>
      <c r="K1050" s="299"/>
      <c r="L1050" s="288"/>
      <c r="Q1050" s="288"/>
    </row>
    <row r="1051" spans="2:17" s="95" customFormat="1" ht="14.25" hidden="1" customHeight="1" outlineLevel="2">
      <c r="B1051" s="119" t="s">
        <v>272</v>
      </c>
      <c r="C1051" s="266" t="s">
        <v>1894</v>
      </c>
      <c r="D1051" s="124" t="s">
        <v>1761</v>
      </c>
      <c r="E1051" s="125"/>
      <c r="F1051" s="118" t="s">
        <v>1628</v>
      </c>
      <c r="G1051" s="126" t="str">
        <f t="shared" si="84"/>
        <v>AR-L45-1</v>
      </c>
      <c r="H1051" s="253">
        <v>1</v>
      </c>
      <c r="I1051" s="76">
        <v>1</v>
      </c>
      <c r="J1051" s="299" t="s">
        <v>307</v>
      </c>
      <c r="K1051" s="299"/>
      <c r="L1051" s="288"/>
      <c r="Q1051" s="288"/>
    </row>
    <row r="1052" spans="2:17" s="95" customFormat="1" ht="14.25" hidden="1" customHeight="1" outlineLevel="2">
      <c r="B1052" s="119" t="s">
        <v>272</v>
      </c>
      <c r="C1052" s="266" t="s">
        <v>1895</v>
      </c>
      <c r="D1052" s="124" t="s">
        <v>1763</v>
      </c>
      <c r="E1052" s="125"/>
      <c r="F1052" s="118" t="s">
        <v>1628</v>
      </c>
      <c r="G1052" s="126" t="str">
        <f t="shared" si="84"/>
        <v>AR-L45-1</v>
      </c>
      <c r="H1052" s="253">
        <v>1</v>
      </c>
      <c r="I1052" s="76">
        <v>1</v>
      </c>
      <c r="J1052" s="299" t="s">
        <v>325</v>
      </c>
      <c r="K1052" s="299"/>
      <c r="L1052" s="288"/>
      <c r="Q1052" s="288"/>
    </row>
    <row r="1053" spans="2:17" s="95" customFormat="1" ht="14.25" hidden="1" customHeight="1" outlineLevel="2">
      <c r="B1053" s="119" t="s">
        <v>272</v>
      </c>
      <c r="C1053" s="266" t="s">
        <v>1896</v>
      </c>
      <c r="D1053" s="124" t="s">
        <v>1765</v>
      </c>
      <c r="E1053" s="125"/>
      <c r="F1053" s="118" t="s">
        <v>1628</v>
      </c>
      <c r="G1053" s="126" t="str">
        <f t="shared" si="84"/>
        <v>AR-L45-1</v>
      </c>
      <c r="H1053" s="253">
        <v>1</v>
      </c>
      <c r="I1053" s="76">
        <v>1</v>
      </c>
      <c r="J1053" s="299" t="s">
        <v>310</v>
      </c>
      <c r="K1053" s="299"/>
      <c r="L1053" s="288"/>
      <c r="Q1053" s="288"/>
    </row>
    <row r="1054" spans="2:17" s="95" customFormat="1" ht="14.25" hidden="1" customHeight="1" outlineLevel="2">
      <c r="B1054" s="119" t="s">
        <v>272</v>
      </c>
      <c r="C1054" s="266" t="s">
        <v>1897</v>
      </c>
      <c r="D1054" s="124" t="s">
        <v>1767</v>
      </c>
      <c r="E1054" s="125"/>
      <c r="F1054" s="118" t="s">
        <v>1628</v>
      </c>
      <c r="G1054" s="126" t="str">
        <f t="shared" si="84"/>
        <v>AR-L45-1</v>
      </c>
      <c r="H1054" s="253">
        <v>1</v>
      </c>
      <c r="I1054" s="76">
        <v>1</v>
      </c>
      <c r="J1054" s="299" t="s">
        <v>307</v>
      </c>
      <c r="K1054" s="299"/>
      <c r="L1054" s="288"/>
      <c r="Q1054" s="288"/>
    </row>
    <row r="1055" spans="2:17" s="95" customFormat="1" ht="14.25" hidden="1" customHeight="1" outlineLevel="2">
      <c r="B1055" s="119" t="s">
        <v>272</v>
      </c>
      <c r="C1055" s="266" t="s">
        <v>1898</v>
      </c>
      <c r="D1055" s="124" t="s">
        <v>1769</v>
      </c>
      <c r="E1055" s="125"/>
      <c r="F1055" s="118" t="s">
        <v>1628</v>
      </c>
      <c r="G1055" s="126" t="str">
        <f t="shared" si="84"/>
        <v>AR-L45-1</v>
      </c>
      <c r="H1055" s="253">
        <v>1</v>
      </c>
      <c r="I1055" s="76">
        <v>1</v>
      </c>
      <c r="J1055" s="299" t="s">
        <v>310</v>
      </c>
      <c r="K1055" s="299"/>
      <c r="L1055" s="288"/>
      <c r="Q1055" s="288"/>
    </row>
    <row r="1056" spans="2:17" s="95" customFormat="1" ht="14.25" hidden="1" customHeight="1" outlineLevel="2">
      <c r="B1056" s="119" t="s">
        <v>272</v>
      </c>
      <c r="C1056" s="266" t="s">
        <v>1899</v>
      </c>
      <c r="D1056" s="124" t="s">
        <v>1771</v>
      </c>
      <c r="E1056" s="125"/>
      <c r="F1056" s="118" t="s">
        <v>1628</v>
      </c>
      <c r="G1056" s="126" t="str">
        <f t="shared" si="84"/>
        <v>AR-L45-1</v>
      </c>
      <c r="H1056" s="253">
        <v>1</v>
      </c>
      <c r="I1056" s="76">
        <v>1</v>
      </c>
      <c r="J1056" s="299" t="s">
        <v>310</v>
      </c>
      <c r="K1056" s="299"/>
      <c r="L1056" s="288"/>
      <c r="Q1056" s="288"/>
    </row>
    <row r="1057" spans="2:17" s="95" customFormat="1" ht="14.25" hidden="1" customHeight="1" outlineLevel="2">
      <c r="B1057" s="119" t="s">
        <v>272</v>
      </c>
      <c r="C1057" s="266" t="s">
        <v>1900</v>
      </c>
      <c r="D1057" s="124" t="s">
        <v>1773</v>
      </c>
      <c r="E1057" s="125"/>
      <c r="F1057" s="118" t="s">
        <v>1628</v>
      </c>
      <c r="G1057" s="126" t="str">
        <f t="shared" si="84"/>
        <v>AR-L45-1</v>
      </c>
      <c r="H1057" s="253">
        <v>1</v>
      </c>
      <c r="I1057" s="76">
        <v>1</v>
      </c>
      <c r="J1057" s="299" t="s">
        <v>325</v>
      </c>
      <c r="K1057" s="299"/>
      <c r="L1057" s="288"/>
      <c r="Q1057" s="288"/>
    </row>
    <row r="1058" spans="2:17" s="95" customFormat="1" ht="14.25" hidden="1" customHeight="1" outlineLevel="2">
      <c r="B1058" s="119" t="s">
        <v>272</v>
      </c>
      <c r="C1058" s="266" t="s">
        <v>1901</v>
      </c>
      <c r="D1058" s="124" t="s">
        <v>1775</v>
      </c>
      <c r="E1058" s="125"/>
      <c r="F1058" s="118" t="s">
        <v>1628</v>
      </c>
      <c r="G1058" s="126" t="str">
        <f t="shared" si="84"/>
        <v>AR-L45-1</v>
      </c>
      <c r="H1058" s="253">
        <v>1</v>
      </c>
      <c r="I1058" s="76">
        <v>1</v>
      </c>
      <c r="J1058" s="299" t="s">
        <v>310</v>
      </c>
      <c r="K1058" s="299"/>
      <c r="L1058" s="288"/>
      <c r="Q1058" s="288"/>
    </row>
    <row r="1059" spans="2:17" s="95" customFormat="1" ht="14.25" hidden="1" customHeight="1" outlineLevel="2">
      <c r="B1059" s="119" t="s">
        <v>272</v>
      </c>
      <c r="C1059" s="266" t="s">
        <v>1902</v>
      </c>
      <c r="D1059" s="124" t="s">
        <v>1777</v>
      </c>
      <c r="E1059" s="125"/>
      <c r="F1059" s="118" t="s">
        <v>1628</v>
      </c>
      <c r="G1059" s="126" t="str">
        <f t="shared" si="84"/>
        <v>AR-L45-1</v>
      </c>
      <c r="H1059" s="253">
        <v>1</v>
      </c>
      <c r="I1059" s="76">
        <v>1</v>
      </c>
      <c r="J1059" s="299" t="s">
        <v>307</v>
      </c>
      <c r="K1059" s="299"/>
      <c r="L1059" s="288"/>
      <c r="Q1059" s="288"/>
    </row>
    <row r="1060" spans="2:17" s="95" customFormat="1" ht="14.25" hidden="1" customHeight="1" outlineLevel="2">
      <c r="B1060" s="119" t="s">
        <v>272</v>
      </c>
      <c r="C1060" s="266" t="s">
        <v>1903</v>
      </c>
      <c r="D1060" s="124" t="s">
        <v>1779</v>
      </c>
      <c r="E1060" s="125"/>
      <c r="F1060" s="118" t="s">
        <v>1628</v>
      </c>
      <c r="G1060" s="126" t="str">
        <f t="shared" ref="G1060:G1091" si="85">CONCATENATE("AR-",F1060,"-",H1060)</f>
        <v>AR-L45-1</v>
      </c>
      <c r="H1060" s="253">
        <v>1</v>
      </c>
      <c r="I1060" s="76">
        <v>1</v>
      </c>
      <c r="J1060" s="299" t="s">
        <v>310</v>
      </c>
      <c r="K1060" s="299"/>
      <c r="L1060" s="288"/>
      <c r="Q1060" s="288"/>
    </row>
    <row r="1061" spans="2:17" s="95" customFormat="1" ht="14.25" hidden="1" customHeight="1" outlineLevel="2">
      <c r="B1061" s="119" t="s">
        <v>272</v>
      </c>
      <c r="C1061" s="266" t="s">
        <v>1904</v>
      </c>
      <c r="D1061" s="124" t="s">
        <v>1781</v>
      </c>
      <c r="E1061" s="125"/>
      <c r="F1061" s="118" t="s">
        <v>1628</v>
      </c>
      <c r="G1061" s="126" t="str">
        <f t="shared" si="85"/>
        <v>AR-L45-1</v>
      </c>
      <c r="H1061" s="253">
        <v>1</v>
      </c>
      <c r="I1061" s="76">
        <v>1</v>
      </c>
      <c r="J1061" s="299" t="s">
        <v>310</v>
      </c>
      <c r="K1061" s="299"/>
      <c r="L1061" s="288"/>
      <c r="Q1061" s="288"/>
    </row>
    <row r="1062" spans="2:17" s="95" customFormat="1" ht="14.25" hidden="1" customHeight="1" outlineLevel="2">
      <c r="B1062" s="119" t="s">
        <v>272</v>
      </c>
      <c r="C1062" s="266" t="s">
        <v>1905</v>
      </c>
      <c r="D1062" s="124" t="s">
        <v>1783</v>
      </c>
      <c r="E1062" s="125"/>
      <c r="F1062" s="118" t="s">
        <v>1628</v>
      </c>
      <c r="G1062" s="126" t="str">
        <f t="shared" si="85"/>
        <v>AR-L45-1</v>
      </c>
      <c r="H1062" s="253">
        <v>1</v>
      </c>
      <c r="I1062" s="76">
        <v>1</v>
      </c>
      <c r="J1062" s="299" t="s">
        <v>307</v>
      </c>
      <c r="K1062" s="299"/>
      <c r="L1062" s="288"/>
      <c r="Q1062" s="288"/>
    </row>
    <row r="1063" spans="2:17" s="95" customFormat="1" ht="14.25" hidden="1" customHeight="1" outlineLevel="2">
      <c r="B1063" s="119" t="s">
        <v>272</v>
      </c>
      <c r="C1063" s="266" t="s">
        <v>1906</v>
      </c>
      <c r="D1063" s="124" t="s">
        <v>1785</v>
      </c>
      <c r="E1063" s="125"/>
      <c r="F1063" s="118" t="s">
        <v>1628</v>
      </c>
      <c r="G1063" s="126" t="str">
        <f t="shared" si="85"/>
        <v>AR-L45-1</v>
      </c>
      <c r="H1063" s="253">
        <v>1</v>
      </c>
      <c r="I1063" s="76">
        <v>1</v>
      </c>
      <c r="J1063" s="299" t="s">
        <v>310</v>
      </c>
      <c r="K1063" s="299"/>
      <c r="L1063" s="288"/>
      <c r="Q1063" s="288"/>
    </row>
    <row r="1064" spans="2:17" s="95" customFormat="1" ht="14.25" hidden="1" customHeight="1" outlineLevel="2">
      <c r="B1064" s="119" t="s">
        <v>272</v>
      </c>
      <c r="C1064" s="266" t="s">
        <v>1907</v>
      </c>
      <c r="D1064" s="124" t="s">
        <v>1787</v>
      </c>
      <c r="E1064" s="125"/>
      <c r="F1064" s="118" t="s">
        <v>1628</v>
      </c>
      <c r="G1064" s="126" t="str">
        <f t="shared" si="85"/>
        <v>AR-L45-1</v>
      </c>
      <c r="H1064" s="253">
        <v>1</v>
      </c>
      <c r="I1064" s="76">
        <v>1</v>
      </c>
      <c r="J1064" s="299" t="s">
        <v>310</v>
      </c>
      <c r="K1064" s="299"/>
      <c r="L1064" s="288"/>
      <c r="Q1064" s="288"/>
    </row>
    <row r="1065" spans="2:17" s="95" customFormat="1" ht="14.25" hidden="1" customHeight="1" outlineLevel="2">
      <c r="B1065" s="119" t="s">
        <v>272</v>
      </c>
      <c r="C1065" s="266" t="s">
        <v>1908</v>
      </c>
      <c r="D1065" s="124" t="s">
        <v>1789</v>
      </c>
      <c r="E1065" s="125"/>
      <c r="F1065" s="118" t="s">
        <v>1628</v>
      </c>
      <c r="G1065" s="126" t="str">
        <f t="shared" si="85"/>
        <v>AR-L45-1</v>
      </c>
      <c r="H1065" s="253">
        <v>1</v>
      </c>
      <c r="I1065" s="76">
        <v>1</v>
      </c>
      <c r="J1065" s="299" t="s">
        <v>310</v>
      </c>
      <c r="K1065" s="299"/>
      <c r="L1065" s="288"/>
      <c r="Q1065" s="288"/>
    </row>
    <row r="1066" spans="2:17" s="95" customFormat="1" ht="14.25" hidden="1" customHeight="1" outlineLevel="2">
      <c r="B1066" s="119" t="s">
        <v>272</v>
      </c>
      <c r="C1066" s="266" t="s">
        <v>1909</v>
      </c>
      <c r="D1066" s="124" t="s">
        <v>1791</v>
      </c>
      <c r="E1066" s="125"/>
      <c r="F1066" s="118" t="s">
        <v>1628</v>
      </c>
      <c r="G1066" s="126" t="str">
        <f t="shared" si="85"/>
        <v>AR-L45-1</v>
      </c>
      <c r="H1066" s="253">
        <v>1</v>
      </c>
      <c r="I1066" s="76">
        <v>1</v>
      </c>
      <c r="J1066" s="299" t="s">
        <v>310</v>
      </c>
      <c r="K1066" s="299"/>
      <c r="L1066" s="288"/>
      <c r="Q1066" s="288"/>
    </row>
    <row r="1067" spans="2:17" s="95" customFormat="1" ht="14.25" hidden="1" customHeight="1" outlineLevel="2">
      <c r="B1067" s="119" t="s">
        <v>272</v>
      </c>
      <c r="C1067" s="266" t="s">
        <v>1910</v>
      </c>
      <c r="D1067" s="124" t="s">
        <v>1793</v>
      </c>
      <c r="E1067" s="125"/>
      <c r="F1067" s="118" t="s">
        <v>1628</v>
      </c>
      <c r="G1067" s="126" t="str">
        <f t="shared" si="85"/>
        <v>AR-L45-1</v>
      </c>
      <c r="H1067" s="253">
        <v>1</v>
      </c>
      <c r="I1067" s="76">
        <v>1</v>
      </c>
      <c r="J1067" s="299" t="s">
        <v>310</v>
      </c>
      <c r="K1067" s="299"/>
      <c r="L1067" s="288"/>
      <c r="Q1067" s="288"/>
    </row>
    <row r="1068" spans="2:17" s="95" customFormat="1" ht="14.25" hidden="1" customHeight="1" outlineLevel="2">
      <c r="B1068" s="119" t="s">
        <v>272</v>
      </c>
      <c r="C1068" s="266" t="s">
        <v>1911</v>
      </c>
      <c r="D1068" s="124" t="s">
        <v>1795</v>
      </c>
      <c r="E1068" s="125"/>
      <c r="F1068" s="118" t="s">
        <v>1628</v>
      </c>
      <c r="G1068" s="126" t="str">
        <f t="shared" si="85"/>
        <v>AR-L45-1</v>
      </c>
      <c r="H1068" s="253">
        <v>1</v>
      </c>
      <c r="I1068" s="76">
        <v>1</v>
      </c>
      <c r="J1068" s="299" t="s">
        <v>310</v>
      </c>
      <c r="K1068" s="299"/>
      <c r="L1068" s="288"/>
      <c r="Q1068" s="288"/>
    </row>
    <row r="1069" spans="2:17" s="95" customFormat="1" ht="14.25" hidden="1" customHeight="1" outlineLevel="2">
      <c r="B1069" s="119" t="s">
        <v>272</v>
      </c>
      <c r="C1069" s="266" t="s">
        <v>1912</v>
      </c>
      <c r="D1069" s="124" t="s">
        <v>1502</v>
      </c>
      <c r="E1069" s="125"/>
      <c r="F1069" s="118" t="s">
        <v>1628</v>
      </c>
      <c r="G1069" s="126" t="str">
        <f t="shared" si="85"/>
        <v>AR-L45-1</v>
      </c>
      <c r="H1069" s="253">
        <v>1</v>
      </c>
      <c r="I1069" s="76">
        <v>1</v>
      </c>
      <c r="J1069" s="299" t="s">
        <v>307</v>
      </c>
      <c r="K1069" s="299"/>
      <c r="L1069" s="288"/>
      <c r="Q1069" s="288"/>
    </row>
    <row r="1070" spans="2:17" s="95" customFormat="1" ht="14.25" hidden="1" customHeight="1" outlineLevel="2">
      <c r="B1070" s="119" t="s">
        <v>272</v>
      </c>
      <c r="C1070" s="266" t="s">
        <v>1913</v>
      </c>
      <c r="D1070" s="124" t="s">
        <v>1092</v>
      </c>
      <c r="E1070" s="125"/>
      <c r="F1070" s="118" t="s">
        <v>1628</v>
      </c>
      <c r="G1070" s="126" t="str">
        <f t="shared" si="85"/>
        <v>AR-L45-1</v>
      </c>
      <c r="H1070" s="253">
        <v>1</v>
      </c>
      <c r="I1070" s="76">
        <v>1</v>
      </c>
      <c r="J1070" s="299" t="s">
        <v>307</v>
      </c>
      <c r="K1070" s="299"/>
      <c r="L1070" s="288"/>
      <c r="Q1070" s="288"/>
    </row>
    <row r="1071" spans="2:17" s="95" customFormat="1" ht="14.25" hidden="1" customHeight="1" outlineLevel="2">
      <c r="B1071" s="119" t="s">
        <v>272</v>
      </c>
      <c r="C1071" s="266" t="s">
        <v>1914</v>
      </c>
      <c r="D1071" s="124" t="s">
        <v>1092</v>
      </c>
      <c r="E1071" s="125"/>
      <c r="F1071" s="118" t="s">
        <v>1628</v>
      </c>
      <c r="G1071" s="126" t="str">
        <f t="shared" si="85"/>
        <v>AR-L45-1</v>
      </c>
      <c r="H1071" s="253">
        <v>1</v>
      </c>
      <c r="I1071" s="76">
        <v>1</v>
      </c>
      <c r="J1071" s="299" t="s">
        <v>307</v>
      </c>
      <c r="K1071" s="299"/>
      <c r="L1071" s="288"/>
      <c r="Q1071" s="288"/>
    </row>
    <row r="1072" spans="2:17" s="95" customFormat="1" ht="14.25" hidden="1" customHeight="1" outlineLevel="2">
      <c r="B1072" s="119" t="s">
        <v>272</v>
      </c>
      <c r="C1072" s="266" t="s">
        <v>1915</v>
      </c>
      <c r="D1072" s="124" t="s">
        <v>1092</v>
      </c>
      <c r="E1072" s="125"/>
      <c r="F1072" s="118" t="s">
        <v>1628</v>
      </c>
      <c r="G1072" s="126" t="str">
        <f t="shared" si="85"/>
        <v>AR-L45-1</v>
      </c>
      <c r="H1072" s="253">
        <v>1</v>
      </c>
      <c r="I1072" s="76">
        <v>1</v>
      </c>
      <c r="J1072" s="299" t="s">
        <v>307</v>
      </c>
      <c r="K1072" s="299"/>
      <c r="L1072" s="288"/>
      <c r="Q1072" s="288"/>
    </row>
    <row r="1073" spans="2:17" s="95" customFormat="1" ht="14.25" hidden="1" customHeight="1" outlineLevel="2">
      <c r="B1073" s="119" t="s">
        <v>272</v>
      </c>
      <c r="C1073" s="266" t="s">
        <v>1916</v>
      </c>
      <c r="D1073" s="124" t="s">
        <v>1092</v>
      </c>
      <c r="E1073" s="125"/>
      <c r="F1073" s="118" t="s">
        <v>1628</v>
      </c>
      <c r="G1073" s="126" t="str">
        <f t="shared" si="85"/>
        <v>AR-L45-1</v>
      </c>
      <c r="H1073" s="253">
        <v>1</v>
      </c>
      <c r="I1073" s="76">
        <v>1</v>
      </c>
      <c r="J1073" s="299" t="s">
        <v>307</v>
      </c>
      <c r="K1073" s="299"/>
      <c r="L1073" s="288"/>
      <c r="Q1073" s="288"/>
    </row>
    <row r="1074" spans="2:17" s="95" customFormat="1" ht="14.25" hidden="1" customHeight="1" outlineLevel="2">
      <c r="B1074" s="119" t="s">
        <v>272</v>
      </c>
      <c r="C1074" s="266" t="s">
        <v>1917</v>
      </c>
      <c r="D1074" s="124" t="s">
        <v>1092</v>
      </c>
      <c r="E1074" s="125"/>
      <c r="F1074" s="118" t="s">
        <v>1628</v>
      </c>
      <c r="G1074" s="126" t="str">
        <f t="shared" si="85"/>
        <v>AR-L45-1</v>
      </c>
      <c r="H1074" s="253">
        <v>1</v>
      </c>
      <c r="I1074" s="76">
        <v>1</v>
      </c>
      <c r="J1074" s="299" t="s">
        <v>307</v>
      </c>
      <c r="K1074" s="299"/>
      <c r="L1074" s="288"/>
      <c r="Q1074" s="288"/>
    </row>
    <row r="1075" spans="2:17" s="95" customFormat="1" ht="14.25" hidden="1" customHeight="1" outlineLevel="2">
      <c r="B1075" s="119" t="s">
        <v>272</v>
      </c>
      <c r="C1075" s="266" t="s">
        <v>1918</v>
      </c>
      <c r="D1075" s="124" t="s">
        <v>1092</v>
      </c>
      <c r="E1075" s="125"/>
      <c r="F1075" s="118" t="s">
        <v>1628</v>
      </c>
      <c r="G1075" s="126" t="str">
        <f t="shared" si="85"/>
        <v>AR-L45-1</v>
      </c>
      <c r="H1075" s="253">
        <v>1</v>
      </c>
      <c r="I1075" s="76">
        <v>1</v>
      </c>
      <c r="J1075" s="299" t="s">
        <v>307</v>
      </c>
      <c r="K1075" s="299"/>
      <c r="L1075" s="288"/>
      <c r="Q1075" s="288"/>
    </row>
    <row r="1076" spans="2:17" s="95" customFormat="1" ht="14.25" hidden="1" customHeight="1" outlineLevel="2">
      <c r="B1076" s="119" t="s">
        <v>272</v>
      </c>
      <c r="C1076" s="266" t="s">
        <v>1919</v>
      </c>
      <c r="D1076" s="124" t="s">
        <v>1092</v>
      </c>
      <c r="E1076" s="125"/>
      <c r="F1076" s="118" t="s">
        <v>1628</v>
      </c>
      <c r="G1076" s="126" t="str">
        <f t="shared" si="85"/>
        <v>AR-L45-1</v>
      </c>
      <c r="H1076" s="253">
        <v>1</v>
      </c>
      <c r="I1076" s="76">
        <v>1</v>
      </c>
      <c r="J1076" s="299" t="s">
        <v>310</v>
      </c>
      <c r="K1076" s="299"/>
      <c r="L1076" s="288"/>
      <c r="Q1076" s="288"/>
    </row>
    <row r="1077" spans="2:17" s="95" customFormat="1" ht="14.25" hidden="1" customHeight="1" outlineLevel="2">
      <c r="B1077" s="119" t="s">
        <v>272</v>
      </c>
      <c r="C1077" s="266" t="s">
        <v>1920</v>
      </c>
      <c r="D1077" s="124" t="s">
        <v>1092</v>
      </c>
      <c r="E1077" s="125"/>
      <c r="F1077" s="118" t="s">
        <v>1628</v>
      </c>
      <c r="G1077" s="126" t="str">
        <f t="shared" si="85"/>
        <v>AR-L45-1</v>
      </c>
      <c r="H1077" s="253">
        <v>1</v>
      </c>
      <c r="I1077" s="76">
        <v>1</v>
      </c>
      <c r="J1077" s="299" t="s">
        <v>307</v>
      </c>
      <c r="K1077" s="299"/>
      <c r="L1077" s="288"/>
      <c r="Q1077" s="288"/>
    </row>
    <row r="1078" spans="2:17" s="95" customFormat="1" ht="14.25" hidden="1" customHeight="1" outlineLevel="2">
      <c r="B1078" s="119" t="s">
        <v>272</v>
      </c>
      <c r="C1078" s="266" t="s">
        <v>1921</v>
      </c>
      <c r="D1078" s="124" t="s">
        <v>1092</v>
      </c>
      <c r="E1078" s="125"/>
      <c r="F1078" s="118" t="s">
        <v>1628</v>
      </c>
      <c r="G1078" s="126" t="str">
        <f t="shared" si="85"/>
        <v>AR-L45-1</v>
      </c>
      <c r="H1078" s="253">
        <v>1</v>
      </c>
      <c r="I1078" s="76">
        <v>1</v>
      </c>
      <c r="J1078" s="299" t="s">
        <v>307</v>
      </c>
      <c r="K1078" s="299"/>
      <c r="L1078" s="288"/>
      <c r="Q1078" s="288"/>
    </row>
    <row r="1079" spans="2:17" s="95" customFormat="1" ht="14.25" hidden="1" customHeight="1" outlineLevel="2">
      <c r="B1079" s="119" t="s">
        <v>272</v>
      </c>
      <c r="C1079" s="266" t="s">
        <v>1922</v>
      </c>
      <c r="D1079" s="124" t="s">
        <v>1092</v>
      </c>
      <c r="E1079" s="125"/>
      <c r="F1079" s="118" t="s">
        <v>1628</v>
      </c>
      <c r="G1079" s="126" t="str">
        <f t="shared" si="85"/>
        <v>AR-L45-1</v>
      </c>
      <c r="H1079" s="253">
        <v>1</v>
      </c>
      <c r="I1079" s="76">
        <v>1</v>
      </c>
      <c r="J1079" s="299" t="s">
        <v>307</v>
      </c>
      <c r="K1079" s="299"/>
      <c r="L1079" s="288"/>
      <c r="Q1079" s="288"/>
    </row>
    <row r="1080" spans="2:17" s="95" customFormat="1" ht="14.25" hidden="1" customHeight="1" outlineLevel="2">
      <c r="B1080" s="119" t="s">
        <v>272</v>
      </c>
      <c r="C1080" s="266" t="s">
        <v>1923</v>
      </c>
      <c r="D1080" s="124" t="s">
        <v>1092</v>
      </c>
      <c r="E1080" s="125"/>
      <c r="F1080" s="118" t="s">
        <v>1628</v>
      </c>
      <c r="G1080" s="126" t="str">
        <f t="shared" si="85"/>
        <v>AR-L45-1</v>
      </c>
      <c r="H1080" s="253">
        <v>1</v>
      </c>
      <c r="I1080" s="76">
        <v>1</v>
      </c>
      <c r="J1080" s="299" t="s">
        <v>307</v>
      </c>
      <c r="K1080" s="299"/>
      <c r="L1080" s="288"/>
      <c r="Q1080" s="288"/>
    </row>
    <row r="1081" spans="2:17" s="95" customFormat="1" ht="14.25" hidden="1" customHeight="1" outlineLevel="2">
      <c r="B1081" s="119" t="s">
        <v>272</v>
      </c>
      <c r="C1081" s="266" t="s">
        <v>1924</v>
      </c>
      <c r="D1081" s="124" t="s">
        <v>1120</v>
      </c>
      <c r="E1081" s="125"/>
      <c r="F1081" s="118" t="s">
        <v>1628</v>
      </c>
      <c r="G1081" s="126" t="str">
        <f t="shared" si="85"/>
        <v>AR-L45-1</v>
      </c>
      <c r="H1081" s="253">
        <v>1</v>
      </c>
      <c r="I1081" s="76">
        <v>1</v>
      </c>
      <c r="J1081" s="299" t="s">
        <v>286</v>
      </c>
      <c r="K1081" s="299"/>
      <c r="L1081" s="288"/>
      <c r="Q1081" s="288"/>
    </row>
    <row r="1082" spans="2:17" s="95" customFormat="1" ht="14.25" hidden="1" customHeight="1" outlineLevel="2">
      <c r="B1082" s="119" t="s">
        <v>272</v>
      </c>
      <c r="C1082" s="266" t="s">
        <v>1925</v>
      </c>
      <c r="D1082" s="124" t="s">
        <v>1434</v>
      </c>
      <c r="E1082" s="125"/>
      <c r="F1082" s="118" t="s">
        <v>1628</v>
      </c>
      <c r="G1082" s="126" t="str">
        <f t="shared" si="85"/>
        <v>AR-L45-1</v>
      </c>
      <c r="H1082" s="253">
        <v>1</v>
      </c>
      <c r="I1082" s="76">
        <v>1</v>
      </c>
      <c r="J1082" s="299" t="s">
        <v>286</v>
      </c>
      <c r="K1082" s="299"/>
      <c r="L1082" s="288"/>
      <c r="Q1082" s="288"/>
    </row>
    <row r="1083" spans="2:17" s="95" customFormat="1" ht="14.25" hidden="1" customHeight="1" outlineLevel="2">
      <c r="B1083" s="119" t="s">
        <v>272</v>
      </c>
      <c r="C1083" s="266" t="s">
        <v>1926</v>
      </c>
      <c r="D1083" s="124" t="s">
        <v>1436</v>
      </c>
      <c r="E1083" s="125"/>
      <c r="F1083" s="118" t="s">
        <v>1628</v>
      </c>
      <c r="G1083" s="126" t="str">
        <f t="shared" si="85"/>
        <v>AR-L45-1</v>
      </c>
      <c r="H1083" s="253">
        <v>1</v>
      </c>
      <c r="I1083" s="76">
        <v>1</v>
      </c>
      <c r="J1083" s="299" t="s">
        <v>286</v>
      </c>
      <c r="K1083" s="299"/>
      <c r="L1083" s="288"/>
      <c r="Q1083" s="288"/>
    </row>
    <row r="1084" spans="2:17" s="95" customFormat="1" ht="14.25" hidden="1" customHeight="1" outlineLevel="2">
      <c r="B1084" s="119" t="s">
        <v>272</v>
      </c>
      <c r="C1084" s="266" t="s">
        <v>1927</v>
      </c>
      <c r="D1084" s="124" t="s">
        <v>1438</v>
      </c>
      <c r="E1084" s="125"/>
      <c r="F1084" s="118" t="s">
        <v>1628</v>
      </c>
      <c r="G1084" s="126" t="str">
        <f t="shared" si="85"/>
        <v>AR-L45-1</v>
      </c>
      <c r="H1084" s="253">
        <v>1</v>
      </c>
      <c r="I1084" s="76">
        <v>1</v>
      </c>
      <c r="J1084" s="299" t="s">
        <v>286</v>
      </c>
      <c r="K1084" s="299"/>
      <c r="L1084" s="288"/>
      <c r="Q1084" s="288"/>
    </row>
    <row r="1085" spans="2:17" s="95" customFormat="1" ht="14.25" hidden="1" customHeight="1" outlineLevel="2">
      <c r="B1085" s="119" t="s">
        <v>272</v>
      </c>
      <c r="C1085" s="266" t="s">
        <v>1928</v>
      </c>
      <c r="D1085" s="124" t="s">
        <v>1094</v>
      </c>
      <c r="E1085" s="125"/>
      <c r="F1085" s="118" t="s">
        <v>1628</v>
      </c>
      <c r="G1085" s="126" t="str">
        <f t="shared" si="85"/>
        <v>AR-L45-1</v>
      </c>
      <c r="H1085" s="253">
        <v>1</v>
      </c>
      <c r="I1085" s="76">
        <v>1</v>
      </c>
      <c r="J1085" s="299" t="s">
        <v>286</v>
      </c>
      <c r="K1085" s="299"/>
      <c r="L1085" s="288"/>
      <c r="Q1085" s="288"/>
    </row>
    <row r="1086" spans="2:17" s="95" customFormat="1" ht="14.25" hidden="1" customHeight="1" outlineLevel="2">
      <c r="B1086" s="119" t="s">
        <v>272</v>
      </c>
      <c r="C1086" s="266" t="s">
        <v>1929</v>
      </c>
      <c r="D1086" s="124" t="s">
        <v>1441</v>
      </c>
      <c r="E1086" s="125"/>
      <c r="F1086" s="118" t="s">
        <v>1628</v>
      </c>
      <c r="G1086" s="126" t="str">
        <f t="shared" si="85"/>
        <v>AR-L45-1</v>
      </c>
      <c r="H1086" s="253">
        <v>1</v>
      </c>
      <c r="I1086" s="76">
        <v>1</v>
      </c>
      <c r="J1086" s="299" t="s">
        <v>286</v>
      </c>
      <c r="K1086" s="299"/>
      <c r="L1086" s="288"/>
      <c r="Q1086" s="288"/>
    </row>
    <row r="1087" spans="2:17" s="95" customFormat="1" ht="14.25" hidden="1" customHeight="1" outlineLevel="2">
      <c r="B1087" s="119" t="s">
        <v>272</v>
      </c>
      <c r="C1087" s="266" t="s">
        <v>1930</v>
      </c>
      <c r="D1087" s="124" t="s">
        <v>1443</v>
      </c>
      <c r="E1087" s="125"/>
      <c r="F1087" s="118" t="s">
        <v>1628</v>
      </c>
      <c r="G1087" s="126" t="str">
        <f t="shared" si="85"/>
        <v>AR-L45-1</v>
      </c>
      <c r="H1087" s="253">
        <v>1</v>
      </c>
      <c r="I1087" s="76">
        <v>1</v>
      </c>
      <c r="J1087" s="299" t="s">
        <v>286</v>
      </c>
      <c r="K1087" s="299"/>
      <c r="L1087" s="288"/>
      <c r="Q1087" s="288"/>
    </row>
    <row r="1088" spans="2:17" s="95" customFormat="1" ht="14.25" hidden="1" customHeight="1" outlineLevel="2">
      <c r="B1088" s="119" t="s">
        <v>272</v>
      </c>
      <c r="C1088" s="266" t="s">
        <v>1931</v>
      </c>
      <c r="D1088" s="124" t="s">
        <v>1730</v>
      </c>
      <c r="E1088" s="125"/>
      <c r="F1088" s="118" t="s">
        <v>1628</v>
      </c>
      <c r="G1088" s="126" t="str">
        <f t="shared" si="85"/>
        <v>AR-L45-1</v>
      </c>
      <c r="H1088" s="253">
        <v>1</v>
      </c>
      <c r="I1088" s="76">
        <v>1</v>
      </c>
      <c r="J1088" s="299" t="s">
        <v>286</v>
      </c>
      <c r="K1088" s="299"/>
      <c r="L1088" s="288"/>
      <c r="Q1088" s="288"/>
    </row>
    <row r="1089" spans="2:17" s="95" customFormat="1" ht="14.25" hidden="1" customHeight="1" outlineLevel="2">
      <c r="B1089" s="119" t="s">
        <v>272</v>
      </c>
      <c r="C1089" s="266" t="s">
        <v>1932</v>
      </c>
      <c r="D1089" s="124" t="s">
        <v>1732</v>
      </c>
      <c r="E1089" s="125"/>
      <c r="F1089" s="118" t="s">
        <v>1628</v>
      </c>
      <c r="G1089" s="126" t="str">
        <f t="shared" si="85"/>
        <v>AR-L45-1</v>
      </c>
      <c r="H1089" s="253">
        <v>1</v>
      </c>
      <c r="I1089" s="76">
        <v>1</v>
      </c>
      <c r="J1089" s="299" t="s">
        <v>286</v>
      </c>
      <c r="K1089" s="299"/>
      <c r="L1089" s="288"/>
      <c r="Q1089" s="288"/>
    </row>
    <row r="1090" spans="2:17" s="95" customFormat="1" ht="14.25" hidden="1" customHeight="1" outlineLevel="2">
      <c r="B1090" s="119" t="s">
        <v>272</v>
      </c>
      <c r="C1090" s="266" t="s">
        <v>1933</v>
      </c>
      <c r="D1090" s="124" t="s">
        <v>1734</v>
      </c>
      <c r="E1090" s="125"/>
      <c r="F1090" s="118" t="s">
        <v>1628</v>
      </c>
      <c r="G1090" s="126" t="str">
        <f t="shared" si="85"/>
        <v>AR-L45-1</v>
      </c>
      <c r="H1090" s="253">
        <v>1</v>
      </c>
      <c r="I1090" s="76">
        <v>1</v>
      </c>
      <c r="J1090" s="299" t="s">
        <v>286</v>
      </c>
      <c r="K1090" s="299"/>
      <c r="L1090" s="288"/>
      <c r="Q1090" s="288"/>
    </row>
    <row r="1091" spans="2:17" s="95" customFormat="1" ht="14.25" hidden="1" customHeight="1" outlineLevel="2">
      <c r="B1091" s="119" t="s">
        <v>272</v>
      </c>
      <c r="C1091" s="266" t="s">
        <v>1934</v>
      </c>
      <c r="D1091" s="124" t="s">
        <v>1736</v>
      </c>
      <c r="E1091" s="125"/>
      <c r="F1091" s="118" t="s">
        <v>1628</v>
      </c>
      <c r="G1091" s="126" t="str">
        <f t="shared" si="85"/>
        <v>AR-L45-1</v>
      </c>
      <c r="H1091" s="253">
        <v>1</v>
      </c>
      <c r="I1091" s="76">
        <v>1</v>
      </c>
      <c r="J1091" s="299" t="s">
        <v>286</v>
      </c>
      <c r="K1091" s="299"/>
      <c r="L1091" s="288"/>
      <c r="Q1091" s="288"/>
    </row>
    <row r="1092" spans="2:17" s="95" customFormat="1" ht="14.25" hidden="1" customHeight="1" outlineLevel="2">
      <c r="B1092" s="119" t="s">
        <v>272</v>
      </c>
      <c r="C1092" s="266" t="s">
        <v>1935</v>
      </c>
      <c r="D1092" s="124" t="s">
        <v>1445</v>
      </c>
      <c r="E1092" s="125"/>
      <c r="F1092" s="118" t="s">
        <v>1628</v>
      </c>
      <c r="G1092" s="126" t="str">
        <f t="shared" ref="G1092:G1155" si="86">CONCATENATE("AR-",F1092,"-",H1092)</f>
        <v>AR-L45-1</v>
      </c>
      <c r="H1092" s="253">
        <v>1</v>
      </c>
      <c r="I1092" s="76">
        <v>1</v>
      </c>
      <c r="J1092" s="299" t="s">
        <v>286</v>
      </c>
      <c r="K1092" s="299"/>
      <c r="L1092" s="288"/>
      <c r="Q1092" s="288"/>
    </row>
    <row r="1093" spans="2:17" s="95" customFormat="1" ht="14.25" hidden="1" customHeight="1" outlineLevel="2">
      <c r="B1093" s="119" t="s">
        <v>272</v>
      </c>
      <c r="C1093" s="266" t="s">
        <v>1936</v>
      </c>
      <c r="D1093" s="124" t="s">
        <v>1739</v>
      </c>
      <c r="E1093" s="125"/>
      <c r="F1093" s="118" t="s">
        <v>1628</v>
      </c>
      <c r="G1093" s="126" t="str">
        <f t="shared" si="86"/>
        <v>AR-L45-1</v>
      </c>
      <c r="H1093" s="253">
        <v>1</v>
      </c>
      <c r="I1093" s="76">
        <v>1</v>
      </c>
      <c r="J1093" s="299" t="s">
        <v>286</v>
      </c>
      <c r="K1093" s="299"/>
      <c r="L1093" s="288"/>
      <c r="Q1093" s="288"/>
    </row>
    <row r="1094" spans="2:17" s="95" customFormat="1" ht="14.25" hidden="1" customHeight="1" outlineLevel="2">
      <c r="B1094" s="119" t="s">
        <v>272</v>
      </c>
      <c r="C1094" s="266" t="s">
        <v>1937</v>
      </c>
      <c r="D1094" s="124" t="s">
        <v>1741</v>
      </c>
      <c r="E1094" s="125"/>
      <c r="F1094" s="118" t="s">
        <v>1628</v>
      </c>
      <c r="G1094" s="126" t="str">
        <f t="shared" si="86"/>
        <v>AR-L45-1</v>
      </c>
      <c r="H1094" s="253">
        <v>1</v>
      </c>
      <c r="I1094" s="76">
        <v>1</v>
      </c>
      <c r="J1094" s="299" t="s">
        <v>286</v>
      </c>
      <c r="K1094" s="299"/>
      <c r="L1094" s="288"/>
      <c r="Q1094" s="288"/>
    </row>
    <row r="1095" spans="2:17" s="95" customFormat="1" ht="14.25" hidden="1" customHeight="1" outlineLevel="2">
      <c r="B1095" s="119" t="s">
        <v>272</v>
      </c>
      <c r="C1095" s="266" t="s">
        <v>1938</v>
      </c>
      <c r="D1095" s="124" t="s">
        <v>1739</v>
      </c>
      <c r="E1095" s="125"/>
      <c r="F1095" s="118" t="s">
        <v>1628</v>
      </c>
      <c r="G1095" s="126" t="str">
        <f t="shared" si="86"/>
        <v>AR-L45-1</v>
      </c>
      <c r="H1095" s="253">
        <v>1</v>
      </c>
      <c r="I1095" s="76">
        <v>1</v>
      </c>
      <c r="J1095" s="299" t="s">
        <v>286</v>
      </c>
      <c r="K1095" s="299"/>
      <c r="L1095" s="288"/>
      <c r="Q1095" s="288"/>
    </row>
    <row r="1096" spans="2:17" s="95" customFormat="1" ht="14.25" hidden="1" customHeight="1" outlineLevel="2">
      <c r="B1096" s="119" t="s">
        <v>272</v>
      </c>
      <c r="C1096" s="266" t="s">
        <v>1939</v>
      </c>
      <c r="D1096" s="124" t="s">
        <v>1741</v>
      </c>
      <c r="E1096" s="125"/>
      <c r="F1096" s="118" t="s">
        <v>1628</v>
      </c>
      <c r="G1096" s="126" t="str">
        <f t="shared" si="86"/>
        <v>AR-L45-1</v>
      </c>
      <c r="H1096" s="253">
        <v>1</v>
      </c>
      <c r="I1096" s="76">
        <v>1</v>
      </c>
      <c r="J1096" s="299" t="s">
        <v>286</v>
      </c>
      <c r="K1096" s="299"/>
      <c r="L1096" s="288"/>
      <c r="Q1096" s="288"/>
    </row>
    <row r="1097" spans="2:17" s="95" customFormat="1" ht="14.25" hidden="1" customHeight="1" outlineLevel="2">
      <c r="B1097" s="119" t="s">
        <v>272</v>
      </c>
      <c r="C1097" s="266" t="s">
        <v>1940</v>
      </c>
      <c r="D1097" s="124" t="s">
        <v>1739</v>
      </c>
      <c r="E1097" s="125"/>
      <c r="F1097" s="118" t="s">
        <v>1628</v>
      </c>
      <c r="G1097" s="126" t="str">
        <f t="shared" si="86"/>
        <v>AR-L45-1</v>
      </c>
      <c r="H1097" s="253">
        <v>1</v>
      </c>
      <c r="I1097" s="76">
        <v>1</v>
      </c>
      <c r="J1097" s="299" t="s">
        <v>286</v>
      </c>
      <c r="K1097" s="299"/>
      <c r="L1097" s="288"/>
      <c r="Q1097" s="288"/>
    </row>
    <row r="1098" spans="2:17" s="95" customFormat="1" ht="14.25" hidden="1" customHeight="1" outlineLevel="2">
      <c r="B1098" s="119" t="s">
        <v>272</v>
      </c>
      <c r="C1098" s="266" t="s">
        <v>1941</v>
      </c>
      <c r="D1098" s="124" t="s">
        <v>1741</v>
      </c>
      <c r="E1098" s="125"/>
      <c r="F1098" s="118" t="s">
        <v>1628</v>
      </c>
      <c r="G1098" s="126" t="str">
        <f t="shared" si="86"/>
        <v>AR-L45-1</v>
      </c>
      <c r="H1098" s="253">
        <v>1</v>
      </c>
      <c r="I1098" s="76">
        <v>1</v>
      </c>
      <c r="J1098" s="299" t="s">
        <v>286</v>
      </c>
      <c r="K1098" s="299"/>
      <c r="L1098" s="288"/>
      <c r="Q1098" s="288"/>
    </row>
    <row r="1099" spans="2:17" s="95" customFormat="1" ht="14.25" hidden="1" customHeight="1" outlineLevel="2">
      <c r="B1099" s="119" t="s">
        <v>272</v>
      </c>
      <c r="C1099" s="266" t="s">
        <v>1942</v>
      </c>
      <c r="D1099" s="124" t="s">
        <v>1739</v>
      </c>
      <c r="E1099" s="125"/>
      <c r="F1099" s="118" t="s">
        <v>1628</v>
      </c>
      <c r="G1099" s="126" t="str">
        <f t="shared" si="86"/>
        <v>AR-L45-1</v>
      </c>
      <c r="H1099" s="253">
        <v>1</v>
      </c>
      <c r="I1099" s="76">
        <v>1</v>
      </c>
      <c r="J1099" s="299" t="s">
        <v>286</v>
      </c>
      <c r="K1099" s="299"/>
      <c r="L1099" s="288"/>
      <c r="Q1099" s="288"/>
    </row>
    <row r="1100" spans="2:17" s="95" customFormat="1" ht="14.25" hidden="1" customHeight="1" outlineLevel="2">
      <c r="B1100" s="119" t="s">
        <v>272</v>
      </c>
      <c r="C1100" s="266" t="s">
        <v>1943</v>
      </c>
      <c r="D1100" s="124" t="s">
        <v>1741</v>
      </c>
      <c r="E1100" s="125"/>
      <c r="F1100" s="118" t="s">
        <v>1628</v>
      </c>
      <c r="G1100" s="126" t="str">
        <f t="shared" si="86"/>
        <v>AR-L45-1</v>
      </c>
      <c r="H1100" s="253">
        <v>1</v>
      </c>
      <c r="I1100" s="76">
        <v>1</v>
      </c>
      <c r="J1100" s="299" t="s">
        <v>286</v>
      </c>
      <c r="K1100" s="299"/>
      <c r="L1100" s="288"/>
      <c r="Q1100" s="288"/>
    </row>
    <row r="1101" spans="2:17" s="95" customFormat="1" ht="14.25" hidden="1" customHeight="1" outlineLevel="2">
      <c r="B1101" s="119" t="s">
        <v>272</v>
      </c>
      <c r="C1101" s="266" t="s">
        <v>1944</v>
      </c>
      <c r="D1101" s="124" t="s">
        <v>1750</v>
      </c>
      <c r="E1101" s="125"/>
      <c r="F1101" s="118" t="s">
        <v>1628</v>
      </c>
      <c r="G1101" s="126" t="str">
        <f t="shared" si="86"/>
        <v>AR-L45-1</v>
      </c>
      <c r="H1101" s="253">
        <v>1</v>
      </c>
      <c r="I1101" s="76">
        <v>1</v>
      </c>
      <c r="J1101" s="299" t="s">
        <v>286</v>
      </c>
      <c r="K1101" s="299"/>
      <c r="L1101" s="288"/>
      <c r="Q1101" s="288"/>
    </row>
    <row r="1102" spans="2:17" s="95" customFormat="1" ht="14.25" hidden="1" customHeight="1" outlineLevel="2">
      <c r="B1102" s="119" t="s">
        <v>272</v>
      </c>
      <c r="C1102" s="266" t="s">
        <v>1945</v>
      </c>
      <c r="D1102" s="124" t="s">
        <v>1461</v>
      </c>
      <c r="E1102" s="125"/>
      <c r="F1102" s="118" t="s">
        <v>1628</v>
      </c>
      <c r="G1102" s="126" t="str">
        <f t="shared" si="86"/>
        <v>AR-L45-1</v>
      </c>
      <c r="H1102" s="253">
        <v>1</v>
      </c>
      <c r="I1102" s="76">
        <v>1</v>
      </c>
      <c r="J1102" s="299" t="s">
        <v>286</v>
      </c>
      <c r="K1102" s="299"/>
      <c r="L1102" s="288"/>
      <c r="Q1102" s="288"/>
    </row>
    <row r="1103" spans="2:17" s="95" customFormat="1" ht="14.25" hidden="1" customHeight="1" outlineLevel="2">
      <c r="B1103" s="119" t="s">
        <v>272</v>
      </c>
      <c r="C1103" s="266" t="s">
        <v>1946</v>
      </c>
      <c r="D1103" s="124" t="s">
        <v>1886</v>
      </c>
      <c r="E1103" s="125"/>
      <c r="F1103" s="118" t="s">
        <v>1628</v>
      </c>
      <c r="G1103" s="126" t="str">
        <f t="shared" si="86"/>
        <v>AR-L45-1</v>
      </c>
      <c r="H1103" s="253">
        <v>1</v>
      </c>
      <c r="I1103" s="76">
        <v>1</v>
      </c>
      <c r="J1103" s="299" t="s">
        <v>286</v>
      </c>
      <c r="K1103" s="299"/>
      <c r="L1103" s="288"/>
      <c r="Q1103" s="288"/>
    </row>
    <row r="1104" spans="2:17" s="95" customFormat="1" ht="14.25" hidden="1" customHeight="1" outlineLevel="2">
      <c r="B1104" s="119" t="s">
        <v>272</v>
      </c>
      <c r="C1104" s="266" t="s">
        <v>1947</v>
      </c>
      <c r="D1104" s="124" t="s">
        <v>1753</v>
      </c>
      <c r="E1104" s="125"/>
      <c r="F1104" s="118" t="s">
        <v>1628</v>
      </c>
      <c r="G1104" s="126" t="str">
        <f t="shared" si="86"/>
        <v>AR-L45-1</v>
      </c>
      <c r="H1104" s="253">
        <v>1</v>
      </c>
      <c r="I1104" s="76">
        <v>1</v>
      </c>
      <c r="J1104" s="299" t="s">
        <v>286</v>
      </c>
      <c r="K1104" s="299"/>
      <c r="L1104" s="288"/>
      <c r="Q1104" s="288"/>
    </row>
    <row r="1105" spans="2:17" s="95" customFormat="1" ht="14.25" hidden="1" customHeight="1" outlineLevel="2">
      <c r="B1105" s="119" t="s">
        <v>272</v>
      </c>
      <c r="C1105" s="266" t="s">
        <v>1948</v>
      </c>
      <c r="D1105" s="124" t="s">
        <v>1755</v>
      </c>
      <c r="E1105" s="125"/>
      <c r="F1105" s="118" t="s">
        <v>1628</v>
      </c>
      <c r="G1105" s="126" t="str">
        <f t="shared" si="86"/>
        <v>AR-L45-1</v>
      </c>
      <c r="H1105" s="253">
        <v>1</v>
      </c>
      <c r="I1105" s="76">
        <v>1</v>
      </c>
      <c r="J1105" s="299" t="s">
        <v>286</v>
      </c>
      <c r="K1105" s="299"/>
      <c r="L1105" s="288"/>
      <c r="Q1105" s="288"/>
    </row>
    <row r="1106" spans="2:17" s="95" customFormat="1" ht="14.25" hidden="1" customHeight="1" outlineLevel="2">
      <c r="B1106" s="119" t="s">
        <v>272</v>
      </c>
      <c r="C1106" s="266" t="s">
        <v>1949</v>
      </c>
      <c r="D1106" s="124" t="s">
        <v>1757</v>
      </c>
      <c r="E1106" s="125"/>
      <c r="F1106" s="118" t="s">
        <v>1628</v>
      </c>
      <c r="G1106" s="126" t="str">
        <f t="shared" si="86"/>
        <v>AR-L45-1</v>
      </c>
      <c r="H1106" s="253">
        <v>1</v>
      </c>
      <c r="I1106" s="76">
        <v>1</v>
      </c>
      <c r="J1106" s="299" t="s">
        <v>286</v>
      </c>
      <c r="K1106" s="299"/>
      <c r="L1106" s="288"/>
      <c r="Q1106" s="288"/>
    </row>
    <row r="1107" spans="2:17" s="95" customFormat="1" ht="14.25" hidden="1" customHeight="1" outlineLevel="2">
      <c r="B1107" s="119" t="s">
        <v>272</v>
      </c>
      <c r="C1107" s="266" t="s">
        <v>1950</v>
      </c>
      <c r="D1107" s="124" t="s">
        <v>1759</v>
      </c>
      <c r="E1107" s="125"/>
      <c r="F1107" s="118" t="s">
        <v>1628</v>
      </c>
      <c r="G1107" s="126" t="str">
        <f t="shared" si="86"/>
        <v>AR-L45-1</v>
      </c>
      <c r="H1107" s="253">
        <v>1</v>
      </c>
      <c r="I1107" s="76">
        <v>1</v>
      </c>
      <c r="J1107" s="299" t="s">
        <v>286</v>
      </c>
      <c r="K1107" s="299"/>
      <c r="L1107" s="288"/>
      <c r="Q1107" s="288"/>
    </row>
    <row r="1108" spans="2:17" s="95" customFormat="1" ht="14.25" hidden="1" customHeight="1" outlineLevel="2">
      <c r="B1108" s="119" t="s">
        <v>272</v>
      </c>
      <c r="C1108" s="266" t="s">
        <v>1951</v>
      </c>
      <c r="D1108" s="124" t="s">
        <v>1761</v>
      </c>
      <c r="E1108" s="125"/>
      <c r="F1108" s="118" t="s">
        <v>1628</v>
      </c>
      <c r="G1108" s="126" t="str">
        <f t="shared" si="86"/>
        <v>AR-L45-1</v>
      </c>
      <c r="H1108" s="253">
        <v>1</v>
      </c>
      <c r="I1108" s="76">
        <v>1</v>
      </c>
      <c r="J1108" s="299" t="s">
        <v>286</v>
      </c>
      <c r="K1108" s="299"/>
      <c r="L1108" s="288"/>
      <c r="Q1108" s="288"/>
    </row>
    <row r="1109" spans="2:17" s="95" customFormat="1" ht="14.25" hidden="1" customHeight="1" outlineLevel="2">
      <c r="B1109" s="119" t="s">
        <v>272</v>
      </c>
      <c r="C1109" s="266" t="s">
        <v>1952</v>
      </c>
      <c r="D1109" s="124" t="s">
        <v>1763</v>
      </c>
      <c r="E1109" s="125"/>
      <c r="F1109" s="118" t="s">
        <v>1628</v>
      </c>
      <c r="G1109" s="126" t="str">
        <f t="shared" si="86"/>
        <v>AR-L45-1</v>
      </c>
      <c r="H1109" s="253">
        <v>1</v>
      </c>
      <c r="I1109" s="76">
        <v>1</v>
      </c>
      <c r="J1109" s="299" t="s">
        <v>286</v>
      </c>
      <c r="K1109" s="299"/>
      <c r="L1109" s="288"/>
      <c r="Q1109" s="288"/>
    </row>
    <row r="1110" spans="2:17" s="95" customFormat="1" ht="14.25" hidden="1" customHeight="1" outlineLevel="2">
      <c r="B1110" s="119" t="s">
        <v>272</v>
      </c>
      <c r="C1110" s="266" t="s">
        <v>1953</v>
      </c>
      <c r="D1110" s="124" t="s">
        <v>1765</v>
      </c>
      <c r="E1110" s="125"/>
      <c r="F1110" s="118" t="s">
        <v>1628</v>
      </c>
      <c r="G1110" s="126" t="str">
        <f t="shared" si="86"/>
        <v>AR-L45-1</v>
      </c>
      <c r="H1110" s="253">
        <v>1</v>
      </c>
      <c r="I1110" s="76">
        <v>1</v>
      </c>
      <c r="J1110" s="299" t="s">
        <v>286</v>
      </c>
      <c r="K1110" s="299"/>
      <c r="L1110" s="288"/>
      <c r="Q1110" s="288"/>
    </row>
    <row r="1111" spans="2:17" s="95" customFormat="1" ht="14.25" hidden="1" customHeight="1" outlineLevel="2">
      <c r="B1111" s="119" t="s">
        <v>272</v>
      </c>
      <c r="C1111" s="266" t="s">
        <v>1954</v>
      </c>
      <c r="D1111" s="124" t="s">
        <v>1767</v>
      </c>
      <c r="E1111" s="125"/>
      <c r="F1111" s="118" t="s">
        <v>1628</v>
      </c>
      <c r="G1111" s="126" t="str">
        <f t="shared" si="86"/>
        <v>AR-L45-1</v>
      </c>
      <c r="H1111" s="253">
        <v>1</v>
      </c>
      <c r="I1111" s="76">
        <v>1</v>
      </c>
      <c r="J1111" s="299" t="s">
        <v>286</v>
      </c>
      <c r="K1111" s="299"/>
      <c r="L1111" s="288"/>
      <c r="Q1111" s="288"/>
    </row>
    <row r="1112" spans="2:17" s="95" customFormat="1" ht="14.25" hidden="1" customHeight="1" outlineLevel="2">
      <c r="B1112" s="119" t="s">
        <v>272</v>
      </c>
      <c r="C1112" s="266" t="s">
        <v>1955</v>
      </c>
      <c r="D1112" s="124" t="s">
        <v>1769</v>
      </c>
      <c r="E1112" s="125"/>
      <c r="F1112" s="118" t="s">
        <v>1628</v>
      </c>
      <c r="G1112" s="126" t="str">
        <f t="shared" si="86"/>
        <v>AR-L45-1</v>
      </c>
      <c r="H1112" s="253">
        <v>1</v>
      </c>
      <c r="I1112" s="76">
        <v>1</v>
      </c>
      <c r="J1112" s="299" t="s">
        <v>286</v>
      </c>
      <c r="K1112" s="299"/>
      <c r="L1112" s="288"/>
      <c r="Q1112" s="288"/>
    </row>
    <row r="1113" spans="2:17" s="95" customFormat="1" ht="14.25" hidden="1" customHeight="1" outlineLevel="2">
      <c r="B1113" s="119" t="s">
        <v>272</v>
      </c>
      <c r="C1113" s="266" t="s">
        <v>1956</v>
      </c>
      <c r="D1113" s="124" t="s">
        <v>1771</v>
      </c>
      <c r="E1113" s="125"/>
      <c r="F1113" s="118" t="s">
        <v>1628</v>
      </c>
      <c r="G1113" s="126" t="str">
        <f t="shared" si="86"/>
        <v>AR-L45-1</v>
      </c>
      <c r="H1113" s="253">
        <v>1</v>
      </c>
      <c r="I1113" s="76">
        <v>1</v>
      </c>
      <c r="J1113" s="299" t="s">
        <v>286</v>
      </c>
      <c r="K1113" s="299"/>
      <c r="L1113" s="288"/>
      <c r="Q1113" s="288"/>
    </row>
    <row r="1114" spans="2:17" s="95" customFormat="1" ht="14.25" hidden="1" customHeight="1" outlineLevel="2">
      <c r="B1114" s="119" t="s">
        <v>272</v>
      </c>
      <c r="C1114" s="266" t="s">
        <v>1957</v>
      </c>
      <c r="D1114" s="124" t="s">
        <v>1773</v>
      </c>
      <c r="E1114" s="125"/>
      <c r="F1114" s="118" t="s">
        <v>1628</v>
      </c>
      <c r="G1114" s="126" t="str">
        <f t="shared" si="86"/>
        <v>AR-L45-1</v>
      </c>
      <c r="H1114" s="253">
        <v>1</v>
      </c>
      <c r="I1114" s="76">
        <v>1</v>
      </c>
      <c r="J1114" s="299" t="s">
        <v>286</v>
      </c>
      <c r="K1114" s="299"/>
      <c r="L1114" s="288"/>
      <c r="Q1114" s="288"/>
    </row>
    <row r="1115" spans="2:17" s="95" customFormat="1" ht="14.25" hidden="1" customHeight="1" outlineLevel="2">
      <c r="B1115" s="119" t="s">
        <v>272</v>
      </c>
      <c r="C1115" s="266" t="s">
        <v>1958</v>
      </c>
      <c r="D1115" s="124" t="s">
        <v>1775</v>
      </c>
      <c r="E1115" s="125"/>
      <c r="F1115" s="118" t="s">
        <v>1628</v>
      </c>
      <c r="G1115" s="126" t="str">
        <f t="shared" si="86"/>
        <v>AR-L45-1</v>
      </c>
      <c r="H1115" s="253">
        <v>1</v>
      </c>
      <c r="I1115" s="76">
        <v>1</v>
      </c>
      <c r="J1115" s="299" t="s">
        <v>286</v>
      </c>
      <c r="K1115" s="299"/>
      <c r="L1115" s="288"/>
      <c r="Q1115" s="288"/>
    </row>
    <row r="1116" spans="2:17" s="95" customFormat="1" ht="14.25" hidden="1" customHeight="1" outlineLevel="2">
      <c r="B1116" s="119" t="s">
        <v>272</v>
      </c>
      <c r="C1116" s="266" t="s">
        <v>1959</v>
      </c>
      <c r="D1116" s="124" t="s">
        <v>1777</v>
      </c>
      <c r="E1116" s="125"/>
      <c r="F1116" s="118" t="s">
        <v>1628</v>
      </c>
      <c r="G1116" s="126" t="str">
        <f t="shared" si="86"/>
        <v>AR-L45-1</v>
      </c>
      <c r="H1116" s="253">
        <v>1</v>
      </c>
      <c r="I1116" s="76">
        <v>1</v>
      </c>
      <c r="J1116" s="299" t="s">
        <v>286</v>
      </c>
      <c r="K1116" s="299"/>
      <c r="L1116" s="288"/>
      <c r="Q1116" s="288"/>
    </row>
    <row r="1117" spans="2:17" s="95" customFormat="1" ht="14.25" hidden="1" customHeight="1" outlineLevel="2">
      <c r="B1117" s="119" t="s">
        <v>272</v>
      </c>
      <c r="C1117" s="266" t="s">
        <v>1960</v>
      </c>
      <c r="D1117" s="124" t="s">
        <v>1779</v>
      </c>
      <c r="E1117" s="125"/>
      <c r="F1117" s="118" t="s">
        <v>1628</v>
      </c>
      <c r="G1117" s="126" t="str">
        <f t="shared" si="86"/>
        <v>AR-L45-1</v>
      </c>
      <c r="H1117" s="253">
        <v>1</v>
      </c>
      <c r="I1117" s="76">
        <v>1</v>
      </c>
      <c r="J1117" s="299" t="s">
        <v>286</v>
      </c>
      <c r="K1117" s="299"/>
      <c r="L1117" s="288"/>
      <c r="Q1117" s="288"/>
    </row>
    <row r="1118" spans="2:17" s="95" customFormat="1" ht="14.25" hidden="1" customHeight="1" outlineLevel="2">
      <c r="B1118" s="119" t="s">
        <v>272</v>
      </c>
      <c r="C1118" s="266" t="s">
        <v>1961</v>
      </c>
      <c r="D1118" s="124" t="s">
        <v>1781</v>
      </c>
      <c r="E1118" s="125"/>
      <c r="F1118" s="118" t="s">
        <v>1628</v>
      </c>
      <c r="G1118" s="126" t="str">
        <f t="shared" si="86"/>
        <v>AR-L45-1</v>
      </c>
      <c r="H1118" s="253">
        <v>1</v>
      </c>
      <c r="I1118" s="76">
        <v>1</v>
      </c>
      <c r="J1118" s="299" t="s">
        <v>286</v>
      </c>
      <c r="K1118" s="299"/>
      <c r="L1118" s="288"/>
      <c r="Q1118" s="288"/>
    </row>
    <row r="1119" spans="2:17" s="95" customFormat="1" ht="14.25" hidden="1" customHeight="1" outlineLevel="2">
      <c r="B1119" s="119" t="s">
        <v>272</v>
      </c>
      <c r="C1119" s="266" t="s">
        <v>1962</v>
      </c>
      <c r="D1119" s="124" t="s">
        <v>1783</v>
      </c>
      <c r="E1119" s="125"/>
      <c r="F1119" s="118" t="s">
        <v>1628</v>
      </c>
      <c r="G1119" s="126" t="str">
        <f t="shared" si="86"/>
        <v>AR-L45-1</v>
      </c>
      <c r="H1119" s="253">
        <v>1</v>
      </c>
      <c r="I1119" s="76">
        <v>1</v>
      </c>
      <c r="J1119" s="299" t="s">
        <v>286</v>
      </c>
      <c r="K1119" s="299"/>
      <c r="L1119" s="288"/>
      <c r="Q1119" s="288"/>
    </row>
    <row r="1120" spans="2:17" s="95" customFormat="1" ht="14.25" hidden="1" customHeight="1" outlineLevel="2">
      <c r="B1120" s="119" t="s">
        <v>272</v>
      </c>
      <c r="C1120" s="266" t="s">
        <v>1963</v>
      </c>
      <c r="D1120" s="124" t="s">
        <v>1785</v>
      </c>
      <c r="E1120" s="125"/>
      <c r="F1120" s="118" t="s">
        <v>1628</v>
      </c>
      <c r="G1120" s="126" t="str">
        <f t="shared" si="86"/>
        <v>AR-L45-1</v>
      </c>
      <c r="H1120" s="253">
        <v>1</v>
      </c>
      <c r="I1120" s="76">
        <v>1</v>
      </c>
      <c r="J1120" s="299" t="s">
        <v>286</v>
      </c>
      <c r="K1120" s="299"/>
      <c r="L1120" s="288"/>
      <c r="Q1120" s="288"/>
    </row>
    <row r="1121" spans="2:17" s="95" customFormat="1" ht="14.25" hidden="1" customHeight="1" outlineLevel="2">
      <c r="B1121" s="119" t="s">
        <v>272</v>
      </c>
      <c r="C1121" s="266" t="s">
        <v>1964</v>
      </c>
      <c r="D1121" s="124" t="s">
        <v>1787</v>
      </c>
      <c r="E1121" s="125"/>
      <c r="F1121" s="118" t="s">
        <v>1628</v>
      </c>
      <c r="G1121" s="126" t="str">
        <f t="shared" si="86"/>
        <v>AR-L45-1</v>
      </c>
      <c r="H1121" s="253">
        <v>1</v>
      </c>
      <c r="I1121" s="76">
        <v>1</v>
      </c>
      <c r="J1121" s="299" t="s">
        <v>286</v>
      </c>
      <c r="K1121" s="299"/>
      <c r="L1121" s="288"/>
      <c r="Q1121" s="288"/>
    </row>
    <row r="1122" spans="2:17" s="95" customFormat="1" ht="14.25" hidden="1" customHeight="1" outlineLevel="2">
      <c r="B1122" s="119" t="s">
        <v>272</v>
      </c>
      <c r="C1122" s="266" t="s">
        <v>1965</v>
      </c>
      <c r="D1122" s="124" t="s">
        <v>1789</v>
      </c>
      <c r="E1122" s="125"/>
      <c r="F1122" s="118" t="s">
        <v>1628</v>
      </c>
      <c r="G1122" s="126" t="str">
        <f t="shared" si="86"/>
        <v>AR-L45-1</v>
      </c>
      <c r="H1122" s="253">
        <v>1</v>
      </c>
      <c r="I1122" s="76">
        <v>1</v>
      </c>
      <c r="J1122" s="299" t="s">
        <v>286</v>
      </c>
      <c r="K1122" s="299"/>
      <c r="L1122" s="288"/>
      <c r="Q1122" s="288"/>
    </row>
    <row r="1123" spans="2:17" s="95" customFormat="1" ht="14.25" hidden="1" customHeight="1" outlineLevel="2">
      <c r="B1123" s="119" t="s">
        <v>272</v>
      </c>
      <c r="C1123" s="266" t="s">
        <v>1966</v>
      </c>
      <c r="D1123" s="124" t="s">
        <v>1791</v>
      </c>
      <c r="E1123" s="125"/>
      <c r="F1123" s="118" t="s">
        <v>1628</v>
      </c>
      <c r="G1123" s="126" t="str">
        <f t="shared" si="86"/>
        <v>AR-L45-1</v>
      </c>
      <c r="H1123" s="253">
        <v>1</v>
      </c>
      <c r="I1123" s="76">
        <v>1</v>
      </c>
      <c r="J1123" s="299" t="s">
        <v>286</v>
      </c>
      <c r="K1123" s="299"/>
      <c r="L1123" s="288"/>
      <c r="Q1123" s="288"/>
    </row>
    <row r="1124" spans="2:17" s="95" customFormat="1" ht="14.25" hidden="1" customHeight="1" outlineLevel="2">
      <c r="B1124" s="119" t="s">
        <v>272</v>
      </c>
      <c r="C1124" s="266" t="s">
        <v>1967</v>
      </c>
      <c r="D1124" s="124" t="s">
        <v>1793</v>
      </c>
      <c r="E1124" s="125"/>
      <c r="F1124" s="118" t="s">
        <v>1628</v>
      </c>
      <c r="G1124" s="126" t="str">
        <f t="shared" si="86"/>
        <v>AR-L45-1</v>
      </c>
      <c r="H1124" s="253">
        <v>1</v>
      </c>
      <c r="I1124" s="76">
        <v>1</v>
      </c>
      <c r="J1124" s="299" t="s">
        <v>286</v>
      </c>
      <c r="K1124" s="299"/>
      <c r="L1124" s="288"/>
      <c r="Q1124" s="288"/>
    </row>
    <row r="1125" spans="2:17" s="95" customFormat="1" ht="14.25" hidden="1" customHeight="1" outlineLevel="2">
      <c r="B1125" s="119" t="s">
        <v>272</v>
      </c>
      <c r="C1125" s="266" t="s">
        <v>1968</v>
      </c>
      <c r="D1125" s="124" t="s">
        <v>1848</v>
      </c>
      <c r="E1125" s="125"/>
      <c r="F1125" s="118" t="s">
        <v>1628</v>
      </c>
      <c r="G1125" s="126" t="str">
        <f t="shared" si="86"/>
        <v>AR-L45-1</v>
      </c>
      <c r="H1125" s="253">
        <v>1</v>
      </c>
      <c r="I1125" s="76">
        <v>1</v>
      </c>
      <c r="J1125" s="299" t="s">
        <v>286</v>
      </c>
      <c r="K1125" s="299"/>
      <c r="L1125" s="288"/>
      <c r="Q1125" s="288"/>
    </row>
    <row r="1126" spans="2:17" s="95" customFormat="1" ht="14.25" hidden="1" customHeight="1" outlineLevel="2">
      <c r="B1126" s="119" t="s">
        <v>272</v>
      </c>
      <c r="C1126" s="266" t="s">
        <v>1969</v>
      </c>
      <c r="D1126" s="124" t="s">
        <v>1502</v>
      </c>
      <c r="E1126" s="125"/>
      <c r="F1126" s="118" t="s">
        <v>1628</v>
      </c>
      <c r="G1126" s="126" t="str">
        <f t="shared" si="86"/>
        <v>AR-L45-1</v>
      </c>
      <c r="H1126" s="253">
        <v>1</v>
      </c>
      <c r="I1126" s="76">
        <v>1</v>
      </c>
      <c r="J1126" s="299" t="s">
        <v>286</v>
      </c>
      <c r="K1126" s="299"/>
      <c r="L1126" s="288"/>
      <c r="Q1126" s="288"/>
    </row>
    <row r="1127" spans="2:17" s="95" customFormat="1" ht="14.25" hidden="1" customHeight="1" outlineLevel="2">
      <c r="B1127" s="119" t="s">
        <v>272</v>
      </c>
      <c r="C1127" s="266" t="s">
        <v>1970</v>
      </c>
      <c r="D1127" s="124" t="s">
        <v>1092</v>
      </c>
      <c r="E1127" s="125"/>
      <c r="F1127" s="118" t="s">
        <v>1628</v>
      </c>
      <c r="G1127" s="126" t="str">
        <f t="shared" si="86"/>
        <v>AR-L45-1</v>
      </c>
      <c r="H1127" s="253">
        <v>1</v>
      </c>
      <c r="I1127" s="76">
        <v>1</v>
      </c>
      <c r="J1127" s="299" t="s">
        <v>286</v>
      </c>
      <c r="K1127" s="299"/>
      <c r="L1127" s="288"/>
      <c r="Q1127" s="288"/>
    </row>
    <row r="1128" spans="2:17" s="95" customFormat="1" ht="14.25" hidden="1" customHeight="1" outlineLevel="2">
      <c r="B1128" s="119" t="s">
        <v>272</v>
      </c>
      <c r="C1128" s="266" t="s">
        <v>1971</v>
      </c>
      <c r="D1128" s="124" t="s">
        <v>1092</v>
      </c>
      <c r="E1128" s="125"/>
      <c r="F1128" s="118" t="s">
        <v>1628</v>
      </c>
      <c r="G1128" s="126" t="str">
        <f t="shared" si="86"/>
        <v>AR-L45-1</v>
      </c>
      <c r="H1128" s="253">
        <v>1</v>
      </c>
      <c r="I1128" s="76">
        <v>1</v>
      </c>
      <c r="J1128" s="299" t="s">
        <v>286</v>
      </c>
      <c r="K1128" s="299"/>
      <c r="L1128" s="288"/>
      <c r="Q1128" s="288"/>
    </row>
    <row r="1129" spans="2:17" s="95" customFormat="1" ht="14.25" hidden="1" customHeight="1" outlineLevel="2">
      <c r="B1129" s="119" t="s">
        <v>272</v>
      </c>
      <c r="C1129" s="266" t="s">
        <v>1972</v>
      </c>
      <c r="D1129" s="124" t="s">
        <v>1092</v>
      </c>
      <c r="E1129" s="125"/>
      <c r="F1129" s="118" t="s">
        <v>1628</v>
      </c>
      <c r="G1129" s="126" t="str">
        <f t="shared" si="86"/>
        <v>AR-L45-1</v>
      </c>
      <c r="H1129" s="253">
        <v>1</v>
      </c>
      <c r="I1129" s="76">
        <v>1</v>
      </c>
      <c r="J1129" s="299" t="s">
        <v>286</v>
      </c>
      <c r="K1129" s="299"/>
      <c r="L1129" s="288"/>
      <c r="Q1129" s="288"/>
    </row>
    <row r="1130" spans="2:17" s="95" customFormat="1" ht="14.25" hidden="1" customHeight="1" outlineLevel="2">
      <c r="B1130" s="119" t="s">
        <v>272</v>
      </c>
      <c r="C1130" s="266" t="s">
        <v>1973</v>
      </c>
      <c r="D1130" s="124" t="s">
        <v>1092</v>
      </c>
      <c r="E1130" s="125"/>
      <c r="F1130" s="118" t="s">
        <v>1628</v>
      </c>
      <c r="G1130" s="126" t="str">
        <f t="shared" si="86"/>
        <v>AR-L45-1</v>
      </c>
      <c r="H1130" s="253">
        <v>1</v>
      </c>
      <c r="I1130" s="76">
        <v>1</v>
      </c>
      <c r="J1130" s="299" t="s">
        <v>286</v>
      </c>
      <c r="K1130" s="299"/>
      <c r="L1130" s="288"/>
      <c r="Q1130" s="288"/>
    </row>
    <row r="1131" spans="2:17" s="95" customFormat="1" ht="14.25" hidden="1" customHeight="1" outlineLevel="2">
      <c r="B1131" s="119" t="s">
        <v>272</v>
      </c>
      <c r="C1131" s="266" t="s">
        <v>1974</v>
      </c>
      <c r="D1131" s="124" t="s">
        <v>1092</v>
      </c>
      <c r="E1131" s="125"/>
      <c r="F1131" s="118" t="s">
        <v>1628</v>
      </c>
      <c r="G1131" s="126" t="str">
        <f t="shared" si="86"/>
        <v>AR-L45-1</v>
      </c>
      <c r="H1131" s="253">
        <v>1</v>
      </c>
      <c r="I1131" s="76">
        <v>1</v>
      </c>
      <c r="J1131" s="299" t="s">
        <v>286</v>
      </c>
      <c r="K1131" s="299"/>
      <c r="L1131" s="288"/>
      <c r="Q1131" s="288"/>
    </row>
    <row r="1132" spans="2:17" s="95" customFormat="1" ht="14.25" hidden="1" customHeight="1" outlineLevel="2">
      <c r="B1132" s="119" t="s">
        <v>272</v>
      </c>
      <c r="C1132" s="266" t="s">
        <v>1975</v>
      </c>
      <c r="D1132" s="124" t="s">
        <v>1092</v>
      </c>
      <c r="E1132" s="125"/>
      <c r="F1132" s="118" t="s">
        <v>1628</v>
      </c>
      <c r="G1132" s="126" t="str">
        <f t="shared" si="86"/>
        <v>AR-L45-1</v>
      </c>
      <c r="H1132" s="253">
        <v>1</v>
      </c>
      <c r="I1132" s="76">
        <v>1</v>
      </c>
      <c r="J1132" s="299" t="s">
        <v>286</v>
      </c>
      <c r="K1132" s="299"/>
      <c r="L1132" s="288"/>
      <c r="Q1132" s="288"/>
    </row>
    <row r="1133" spans="2:17" s="95" customFormat="1" ht="14.25" hidden="1" customHeight="1" outlineLevel="2">
      <c r="B1133" s="119" t="s">
        <v>272</v>
      </c>
      <c r="C1133" s="266" t="s">
        <v>1976</v>
      </c>
      <c r="D1133" s="124" t="s">
        <v>1092</v>
      </c>
      <c r="E1133" s="125"/>
      <c r="F1133" s="118" t="s">
        <v>1628</v>
      </c>
      <c r="G1133" s="126" t="str">
        <f t="shared" si="86"/>
        <v>AR-L45-1</v>
      </c>
      <c r="H1133" s="253">
        <v>1</v>
      </c>
      <c r="I1133" s="76">
        <v>1</v>
      </c>
      <c r="J1133" s="299" t="s">
        <v>286</v>
      </c>
      <c r="K1133" s="299"/>
      <c r="L1133" s="288"/>
      <c r="Q1133" s="288"/>
    </row>
    <row r="1134" spans="2:17" s="95" customFormat="1" ht="14.25" hidden="1" customHeight="1" outlineLevel="2">
      <c r="B1134" s="119" t="s">
        <v>272</v>
      </c>
      <c r="C1134" s="266" t="s">
        <v>1977</v>
      </c>
      <c r="D1134" s="124" t="s">
        <v>1092</v>
      </c>
      <c r="E1134" s="125"/>
      <c r="F1134" s="118" t="s">
        <v>1628</v>
      </c>
      <c r="G1134" s="126" t="str">
        <f t="shared" si="86"/>
        <v>AR-L45-1</v>
      </c>
      <c r="H1134" s="253">
        <v>1</v>
      </c>
      <c r="I1134" s="76">
        <v>1</v>
      </c>
      <c r="J1134" s="299" t="s">
        <v>286</v>
      </c>
      <c r="K1134" s="299"/>
      <c r="L1134" s="288"/>
      <c r="Q1134" s="288"/>
    </row>
    <row r="1135" spans="2:17" s="95" customFormat="1" ht="14.25" hidden="1" customHeight="1" outlineLevel="2">
      <c r="B1135" s="119" t="s">
        <v>272</v>
      </c>
      <c r="C1135" s="266" t="s">
        <v>1978</v>
      </c>
      <c r="D1135" s="124" t="s">
        <v>1092</v>
      </c>
      <c r="E1135" s="125"/>
      <c r="F1135" s="118" t="s">
        <v>1628</v>
      </c>
      <c r="G1135" s="126" t="str">
        <f t="shared" si="86"/>
        <v>AR-L45-1</v>
      </c>
      <c r="H1135" s="253">
        <v>1</v>
      </c>
      <c r="I1135" s="76">
        <v>1</v>
      </c>
      <c r="J1135" s="299" t="s">
        <v>286</v>
      </c>
      <c r="K1135" s="299"/>
      <c r="L1135" s="288"/>
      <c r="Q1135" s="288"/>
    </row>
    <row r="1136" spans="2:17" s="95" customFormat="1" ht="14.25" hidden="1" customHeight="1" outlineLevel="2">
      <c r="B1136" s="119" t="s">
        <v>272</v>
      </c>
      <c r="C1136" s="266" t="s">
        <v>1979</v>
      </c>
      <c r="D1136" s="124" t="s">
        <v>1092</v>
      </c>
      <c r="E1136" s="125"/>
      <c r="F1136" s="118" t="s">
        <v>1628</v>
      </c>
      <c r="G1136" s="126" t="str">
        <f t="shared" si="86"/>
        <v>AR-L45-1</v>
      </c>
      <c r="H1136" s="253">
        <v>1</v>
      </c>
      <c r="I1136" s="76">
        <v>1</v>
      </c>
      <c r="J1136" s="299" t="s">
        <v>286</v>
      </c>
      <c r="K1136" s="299"/>
      <c r="L1136" s="288"/>
      <c r="Q1136" s="288"/>
    </row>
    <row r="1137" spans="2:17" s="95" customFormat="1" ht="14.25" hidden="1" customHeight="1" outlineLevel="2">
      <c r="B1137" s="119" t="s">
        <v>272</v>
      </c>
      <c r="C1137" s="266" t="s">
        <v>1980</v>
      </c>
      <c r="D1137" s="124" t="s">
        <v>1092</v>
      </c>
      <c r="E1137" s="125"/>
      <c r="F1137" s="118" t="s">
        <v>1628</v>
      </c>
      <c r="G1137" s="126" t="str">
        <f t="shared" si="86"/>
        <v>AR-L45-1</v>
      </c>
      <c r="H1137" s="253">
        <v>1</v>
      </c>
      <c r="I1137" s="76">
        <v>1</v>
      </c>
      <c r="J1137" s="299" t="s">
        <v>286</v>
      </c>
      <c r="K1137" s="299"/>
      <c r="L1137" s="288"/>
      <c r="Q1137" s="288"/>
    </row>
    <row r="1138" spans="2:17" s="95" customFormat="1" ht="14.25" hidden="1" customHeight="1" outlineLevel="2">
      <c r="B1138" s="119" t="s">
        <v>272</v>
      </c>
      <c r="C1138" s="266" t="s">
        <v>1981</v>
      </c>
      <c r="D1138" s="124" t="s">
        <v>1120</v>
      </c>
      <c r="E1138" s="125"/>
      <c r="F1138" s="118" t="s">
        <v>1628</v>
      </c>
      <c r="G1138" s="126" t="str">
        <f t="shared" si="86"/>
        <v>AR-L45-1</v>
      </c>
      <c r="H1138" s="253">
        <v>1</v>
      </c>
      <c r="I1138" s="76">
        <v>1</v>
      </c>
      <c r="J1138" s="299" t="s">
        <v>286</v>
      </c>
      <c r="K1138" s="299"/>
      <c r="L1138" s="288"/>
      <c r="Q1138" s="288"/>
    </row>
    <row r="1139" spans="2:17" s="95" customFormat="1" ht="14.25" hidden="1" customHeight="1" outlineLevel="2">
      <c r="B1139" s="119" t="s">
        <v>272</v>
      </c>
      <c r="C1139" s="266" t="s">
        <v>1982</v>
      </c>
      <c r="D1139" s="124" t="s">
        <v>1434</v>
      </c>
      <c r="E1139" s="125"/>
      <c r="F1139" s="118" t="s">
        <v>1628</v>
      </c>
      <c r="G1139" s="126" t="str">
        <f t="shared" si="86"/>
        <v>AR-L45-1</v>
      </c>
      <c r="H1139" s="253">
        <v>1</v>
      </c>
      <c r="I1139" s="76">
        <v>1</v>
      </c>
      <c r="J1139" s="299" t="s">
        <v>286</v>
      </c>
      <c r="K1139" s="299"/>
      <c r="L1139" s="288"/>
      <c r="Q1139" s="288"/>
    </row>
    <row r="1140" spans="2:17" s="95" customFormat="1" ht="14.25" hidden="1" customHeight="1" outlineLevel="2">
      <c r="B1140" s="119" t="s">
        <v>272</v>
      </c>
      <c r="C1140" s="266" t="s">
        <v>1983</v>
      </c>
      <c r="D1140" s="124" t="s">
        <v>1436</v>
      </c>
      <c r="E1140" s="125"/>
      <c r="F1140" s="118" t="s">
        <v>1628</v>
      </c>
      <c r="G1140" s="126" t="str">
        <f t="shared" si="86"/>
        <v>AR-L45-1</v>
      </c>
      <c r="H1140" s="253">
        <v>1</v>
      </c>
      <c r="I1140" s="76">
        <v>1</v>
      </c>
      <c r="J1140" s="299" t="s">
        <v>286</v>
      </c>
      <c r="K1140" s="299"/>
      <c r="L1140" s="288"/>
      <c r="Q1140" s="288"/>
    </row>
    <row r="1141" spans="2:17" s="95" customFormat="1" ht="14.25" hidden="1" customHeight="1" outlineLevel="2">
      <c r="B1141" s="119" t="s">
        <v>272</v>
      </c>
      <c r="C1141" s="266" t="s">
        <v>1984</v>
      </c>
      <c r="D1141" s="124" t="s">
        <v>1438</v>
      </c>
      <c r="E1141" s="125"/>
      <c r="F1141" s="118" t="s">
        <v>1628</v>
      </c>
      <c r="G1141" s="126" t="str">
        <f t="shared" si="86"/>
        <v>AR-L45-1</v>
      </c>
      <c r="H1141" s="253">
        <v>1</v>
      </c>
      <c r="I1141" s="76">
        <v>1</v>
      </c>
      <c r="J1141" s="299" t="s">
        <v>286</v>
      </c>
      <c r="K1141" s="299"/>
      <c r="L1141" s="288"/>
      <c r="Q1141" s="288"/>
    </row>
    <row r="1142" spans="2:17" s="95" customFormat="1" ht="14.25" hidden="1" customHeight="1" outlineLevel="2">
      <c r="B1142" s="119" t="s">
        <v>272</v>
      </c>
      <c r="C1142" s="266" t="s">
        <v>1985</v>
      </c>
      <c r="D1142" s="124" t="s">
        <v>1094</v>
      </c>
      <c r="E1142" s="125"/>
      <c r="F1142" s="118" t="s">
        <v>1628</v>
      </c>
      <c r="G1142" s="126" t="str">
        <f t="shared" si="86"/>
        <v>AR-L45-1</v>
      </c>
      <c r="H1142" s="253">
        <v>1</v>
      </c>
      <c r="I1142" s="76">
        <v>1</v>
      </c>
      <c r="J1142" s="299" t="s">
        <v>286</v>
      </c>
      <c r="K1142" s="299"/>
      <c r="L1142" s="288"/>
      <c r="Q1142" s="288"/>
    </row>
    <row r="1143" spans="2:17" s="95" customFormat="1" ht="14.25" hidden="1" customHeight="1" outlineLevel="2">
      <c r="B1143" s="119" t="s">
        <v>272</v>
      </c>
      <c r="C1143" s="266" t="s">
        <v>1986</v>
      </c>
      <c r="D1143" s="124" t="s">
        <v>1987</v>
      </c>
      <c r="E1143" s="125"/>
      <c r="F1143" s="118" t="s">
        <v>1628</v>
      </c>
      <c r="G1143" s="126" t="str">
        <f t="shared" si="86"/>
        <v>AR-L45-1</v>
      </c>
      <c r="H1143" s="253">
        <v>1</v>
      </c>
      <c r="I1143" s="76">
        <v>1</v>
      </c>
      <c r="J1143" s="299" t="s">
        <v>286</v>
      </c>
      <c r="K1143" s="299"/>
      <c r="L1143" s="288"/>
      <c r="Q1143" s="288"/>
    </row>
    <row r="1144" spans="2:17" s="95" customFormat="1" ht="14.25" hidden="1" customHeight="1" outlineLevel="2">
      <c r="B1144" s="119" t="s">
        <v>272</v>
      </c>
      <c r="C1144" s="266" t="s">
        <v>1988</v>
      </c>
      <c r="D1144" s="124" t="s">
        <v>1730</v>
      </c>
      <c r="E1144" s="125"/>
      <c r="F1144" s="118" t="s">
        <v>1628</v>
      </c>
      <c r="G1144" s="126" t="str">
        <f t="shared" si="86"/>
        <v>AR-L45-1</v>
      </c>
      <c r="H1144" s="253">
        <v>1</v>
      </c>
      <c r="I1144" s="76">
        <v>1</v>
      </c>
      <c r="J1144" s="299" t="s">
        <v>286</v>
      </c>
      <c r="K1144" s="299"/>
      <c r="L1144" s="288"/>
      <c r="Q1144" s="288"/>
    </row>
    <row r="1145" spans="2:17" s="95" customFormat="1" ht="14.25" hidden="1" customHeight="1" outlineLevel="2">
      <c r="B1145" s="119" t="s">
        <v>272</v>
      </c>
      <c r="C1145" s="266" t="s">
        <v>1989</v>
      </c>
      <c r="D1145" s="124" t="s">
        <v>1732</v>
      </c>
      <c r="E1145" s="125"/>
      <c r="F1145" s="118" t="s">
        <v>1628</v>
      </c>
      <c r="G1145" s="126" t="str">
        <f t="shared" si="86"/>
        <v>AR-L45-1</v>
      </c>
      <c r="H1145" s="253">
        <v>1</v>
      </c>
      <c r="I1145" s="76">
        <v>1</v>
      </c>
      <c r="J1145" s="299" t="s">
        <v>286</v>
      </c>
      <c r="K1145" s="299"/>
      <c r="L1145" s="288"/>
      <c r="Q1145" s="288"/>
    </row>
    <row r="1146" spans="2:17" s="95" customFormat="1" ht="14.25" hidden="1" customHeight="1" outlineLevel="2">
      <c r="B1146" s="119" t="s">
        <v>272</v>
      </c>
      <c r="C1146" s="266" t="s">
        <v>1990</v>
      </c>
      <c r="D1146" s="124" t="s">
        <v>1734</v>
      </c>
      <c r="E1146" s="125"/>
      <c r="F1146" s="118" t="s">
        <v>1628</v>
      </c>
      <c r="G1146" s="126" t="str">
        <f t="shared" si="86"/>
        <v>AR-L45-1</v>
      </c>
      <c r="H1146" s="253">
        <v>1</v>
      </c>
      <c r="I1146" s="76">
        <v>1</v>
      </c>
      <c r="J1146" s="299" t="s">
        <v>286</v>
      </c>
      <c r="K1146" s="299"/>
      <c r="L1146" s="288"/>
      <c r="Q1146" s="288"/>
    </row>
    <row r="1147" spans="2:17" s="95" customFormat="1" ht="14.25" hidden="1" customHeight="1" outlineLevel="2">
      <c r="B1147" s="119" t="s">
        <v>272</v>
      </c>
      <c r="C1147" s="266" t="s">
        <v>1991</v>
      </c>
      <c r="D1147" s="124" t="s">
        <v>1445</v>
      </c>
      <c r="E1147" s="125"/>
      <c r="F1147" s="118" t="s">
        <v>1628</v>
      </c>
      <c r="G1147" s="126" t="str">
        <f t="shared" si="86"/>
        <v>AR-L45-1</v>
      </c>
      <c r="H1147" s="253">
        <v>1</v>
      </c>
      <c r="I1147" s="76">
        <v>1</v>
      </c>
      <c r="J1147" s="299" t="s">
        <v>286</v>
      </c>
      <c r="K1147" s="299"/>
      <c r="L1147" s="288"/>
      <c r="Q1147" s="288"/>
    </row>
    <row r="1148" spans="2:17" s="95" customFormat="1" ht="14.25" hidden="1" customHeight="1" outlineLevel="2">
      <c r="B1148" s="119" t="s">
        <v>272</v>
      </c>
      <c r="C1148" s="266" t="s">
        <v>1992</v>
      </c>
      <c r="D1148" s="124" t="s">
        <v>1739</v>
      </c>
      <c r="E1148" s="125"/>
      <c r="F1148" s="118" t="s">
        <v>1628</v>
      </c>
      <c r="G1148" s="126" t="str">
        <f t="shared" si="86"/>
        <v>AR-L45-1</v>
      </c>
      <c r="H1148" s="253">
        <v>1</v>
      </c>
      <c r="I1148" s="76">
        <v>1</v>
      </c>
      <c r="J1148" s="299" t="s">
        <v>286</v>
      </c>
      <c r="K1148" s="299"/>
      <c r="L1148" s="288"/>
      <c r="Q1148" s="288"/>
    </row>
    <row r="1149" spans="2:17" s="95" customFormat="1" ht="14.25" hidden="1" customHeight="1" outlineLevel="2">
      <c r="B1149" s="119" t="s">
        <v>272</v>
      </c>
      <c r="C1149" s="266" t="s">
        <v>1993</v>
      </c>
      <c r="D1149" s="124" t="s">
        <v>1739</v>
      </c>
      <c r="E1149" s="125"/>
      <c r="F1149" s="118" t="s">
        <v>1628</v>
      </c>
      <c r="G1149" s="126" t="str">
        <f t="shared" si="86"/>
        <v>AR-L45-1</v>
      </c>
      <c r="H1149" s="253">
        <v>1</v>
      </c>
      <c r="I1149" s="76">
        <v>1</v>
      </c>
      <c r="J1149" s="299" t="s">
        <v>286</v>
      </c>
      <c r="K1149" s="299"/>
      <c r="L1149" s="288"/>
      <c r="Q1149" s="288"/>
    </row>
    <row r="1150" spans="2:17" s="95" customFormat="1" ht="14.25" hidden="1" customHeight="1" outlineLevel="2">
      <c r="B1150" s="119" t="s">
        <v>272</v>
      </c>
      <c r="C1150" s="266" t="s">
        <v>1994</v>
      </c>
      <c r="D1150" s="124" t="s">
        <v>1739</v>
      </c>
      <c r="E1150" s="125"/>
      <c r="F1150" s="118" t="s">
        <v>1628</v>
      </c>
      <c r="G1150" s="126" t="str">
        <f t="shared" si="86"/>
        <v>AR-L45-1</v>
      </c>
      <c r="H1150" s="253">
        <v>1</v>
      </c>
      <c r="I1150" s="76">
        <v>1</v>
      </c>
      <c r="J1150" s="299" t="s">
        <v>286</v>
      </c>
      <c r="K1150" s="299"/>
      <c r="L1150" s="288"/>
      <c r="Q1150" s="288"/>
    </row>
    <row r="1151" spans="2:17" s="95" customFormat="1" ht="14.25" hidden="1" customHeight="1" outlineLevel="2">
      <c r="B1151" s="119" t="s">
        <v>272</v>
      </c>
      <c r="C1151" s="266" t="s">
        <v>1995</v>
      </c>
      <c r="D1151" s="124" t="s">
        <v>1739</v>
      </c>
      <c r="E1151" s="125"/>
      <c r="F1151" s="118" t="s">
        <v>1628</v>
      </c>
      <c r="G1151" s="126" t="str">
        <f t="shared" si="86"/>
        <v>AR-L45-1</v>
      </c>
      <c r="H1151" s="253">
        <v>1</v>
      </c>
      <c r="I1151" s="76">
        <v>1</v>
      </c>
      <c r="J1151" s="299" t="s">
        <v>286</v>
      </c>
      <c r="K1151" s="299"/>
      <c r="L1151" s="288"/>
      <c r="Q1151" s="288"/>
    </row>
    <row r="1152" spans="2:17" s="95" customFormat="1" ht="14.25" hidden="1" customHeight="1" outlineLevel="2">
      <c r="B1152" s="119" t="s">
        <v>272</v>
      </c>
      <c r="C1152" s="266" t="s">
        <v>1996</v>
      </c>
      <c r="D1152" s="124" t="s">
        <v>1750</v>
      </c>
      <c r="E1152" s="125"/>
      <c r="F1152" s="118" t="s">
        <v>1628</v>
      </c>
      <c r="G1152" s="126" t="str">
        <f t="shared" si="86"/>
        <v>AR-L45-1</v>
      </c>
      <c r="H1152" s="253">
        <v>1</v>
      </c>
      <c r="I1152" s="76">
        <v>1</v>
      </c>
      <c r="J1152" s="299" t="s">
        <v>286</v>
      </c>
      <c r="K1152" s="299"/>
      <c r="L1152" s="288"/>
      <c r="Q1152" s="288"/>
    </row>
    <row r="1153" spans="2:17" s="95" customFormat="1" ht="14.25" hidden="1" customHeight="1" outlineLevel="2">
      <c r="B1153" s="119" t="s">
        <v>272</v>
      </c>
      <c r="C1153" s="266" t="s">
        <v>1997</v>
      </c>
      <c r="D1153" s="124" t="s">
        <v>1461</v>
      </c>
      <c r="E1153" s="125"/>
      <c r="F1153" s="118" t="s">
        <v>1628</v>
      </c>
      <c r="G1153" s="126" t="str">
        <f t="shared" si="86"/>
        <v>AR-L45-1</v>
      </c>
      <c r="H1153" s="253">
        <v>1</v>
      </c>
      <c r="I1153" s="76">
        <v>1</v>
      </c>
      <c r="J1153" s="299" t="s">
        <v>286</v>
      </c>
      <c r="K1153" s="299"/>
      <c r="L1153" s="288"/>
      <c r="Q1153" s="288"/>
    </row>
    <row r="1154" spans="2:17" s="95" customFormat="1" ht="14.25" hidden="1" customHeight="1" outlineLevel="2">
      <c r="B1154" s="119" t="s">
        <v>272</v>
      </c>
      <c r="C1154" s="266" t="s">
        <v>1998</v>
      </c>
      <c r="D1154" s="124" t="s">
        <v>1886</v>
      </c>
      <c r="E1154" s="125"/>
      <c r="F1154" s="118" t="s">
        <v>1628</v>
      </c>
      <c r="G1154" s="126" t="str">
        <f t="shared" si="86"/>
        <v>AR-L45-1</v>
      </c>
      <c r="H1154" s="253">
        <v>1</v>
      </c>
      <c r="I1154" s="76">
        <v>1</v>
      </c>
      <c r="J1154" s="299" t="s">
        <v>286</v>
      </c>
      <c r="K1154" s="299"/>
      <c r="L1154" s="288"/>
      <c r="Q1154" s="288"/>
    </row>
    <row r="1155" spans="2:17" s="95" customFormat="1" ht="14.25" hidden="1" customHeight="1" outlineLevel="2">
      <c r="B1155" s="119" t="s">
        <v>272</v>
      </c>
      <c r="C1155" s="266" t="s">
        <v>1999</v>
      </c>
      <c r="D1155" s="124" t="s">
        <v>1753</v>
      </c>
      <c r="E1155" s="125"/>
      <c r="F1155" s="118" t="s">
        <v>1628</v>
      </c>
      <c r="G1155" s="126" t="str">
        <f t="shared" si="86"/>
        <v>AR-L45-1</v>
      </c>
      <c r="H1155" s="253">
        <v>1</v>
      </c>
      <c r="I1155" s="76">
        <v>1</v>
      </c>
      <c r="J1155" s="299" t="s">
        <v>286</v>
      </c>
      <c r="K1155" s="299"/>
      <c r="L1155" s="288"/>
      <c r="Q1155" s="288"/>
    </row>
    <row r="1156" spans="2:17" s="95" customFormat="1" ht="14.25" hidden="1" customHeight="1" outlineLevel="2">
      <c r="B1156" s="119" t="s">
        <v>272</v>
      </c>
      <c r="C1156" s="266" t="s">
        <v>2000</v>
      </c>
      <c r="D1156" s="124" t="s">
        <v>1755</v>
      </c>
      <c r="E1156" s="125"/>
      <c r="F1156" s="118" t="s">
        <v>1628</v>
      </c>
      <c r="G1156" s="126" t="str">
        <f t="shared" ref="G1156:G1187" si="87">CONCATENATE("AR-",F1156,"-",H1156)</f>
        <v>AR-L45-1</v>
      </c>
      <c r="H1156" s="253">
        <v>1</v>
      </c>
      <c r="I1156" s="76">
        <v>1</v>
      </c>
      <c r="J1156" s="299" t="s">
        <v>286</v>
      </c>
      <c r="K1156" s="299"/>
      <c r="L1156" s="288"/>
      <c r="Q1156" s="288"/>
    </row>
    <row r="1157" spans="2:17" s="95" customFormat="1" ht="14.25" hidden="1" customHeight="1" outlineLevel="2">
      <c r="B1157" s="119" t="s">
        <v>272</v>
      </c>
      <c r="C1157" s="266" t="s">
        <v>2001</v>
      </c>
      <c r="D1157" s="124" t="s">
        <v>1757</v>
      </c>
      <c r="E1157" s="125"/>
      <c r="F1157" s="118" t="s">
        <v>1628</v>
      </c>
      <c r="G1157" s="126" t="str">
        <f t="shared" si="87"/>
        <v>AR-L45-1</v>
      </c>
      <c r="H1157" s="253">
        <v>1</v>
      </c>
      <c r="I1157" s="76">
        <v>1</v>
      </c>
      <c r="J1157" s="299" t="s">
        <v>286</v>
      </c>
      <c r="K1157" s="299"/>
      <c r="L1157" s="288"/>
      <c r="Q1157" s="288"/>
    </row>
    <row r="1158" spans="2:17" s="95" customFormat="1" ht="14.25" hidden="1" customHeight="1" outlineLevel="2">
      <c r="B1158" s="119" t="s">
        <v>272</v>
      </c>
      <c r="C1158" s="266" t="s">
        <v>2002</v>
      </c>
      <c r="D1158" s="124" t="s">
        <v>1759</v>
      </c>
      <c r="E1158" s="125"/>
      <c r="F1158" s="118" t="s">
        <v>1628</v>
      </c>
      <c r="G1158" s="126" t="str">
        <f t="shared" si="87"/>
        <v>AR-L45-1</v>
      </c>
      <c r="H1158" s="253">
        <v>1</v>
      </c>
      <c r="I1158" s="76">
        <v>1</v>
      </c>
      <c r="J1158" s="299" t="s">
        <v>286</v>
      </c>
      <c r="K1158" s="299"/>
      <c r="L1158" s="288"/>
      <c r="Q1158" s="288"/>
    </row>
    <row r="1159" spans="2:17" s="95" customFormat="1" ht="14.25" hidden="1" customHeight="1" outlineLevel="2">
      <c r="B1159" s="119" t="s">
        <v>272</v>
      </c>
      <c r="C1159" s="266" t="s">
        <v>2003</v>
      </c>
      <c r="D1159" s="124" t="s">
        <v>1761</v>
      </c>
      <c r="E1159" s="125"/>
      <c r="F1159" s="118" t="s">
        <v>1628</v>
      </c>
      <c r="G1159" s="126" t="str">
        <f t="shared" si="87"/>
        <v>AR-L45-1</v>
      </c>
      <c r="H1159" s="253">
        <v>1</v>
      </c>
      <c r="I1159" s="76">
        <v>1</v>
      </c>
      <c r="J1159" s="299" t="s">
        <v>286</v>
      </c>
      <c r="K1159" s="299"/>
      <c r="L1159" s="288"/>
      <c r="Q1159" s="288"/>
    </row>
    <row r="1160" spans="2:17" s="95" customFormat="1" ht="14.25" hidden="1" customHeight="1" outlineLevel="2">
      <c r="B1160" s="119" t="s">
        <v>272</v>
      </c>
      <c r="C1160" s="266" t="s">
        <v>2004</v>
      </c>
      <c r="D1160" s="124" t="s">
        <v>1763</v>
      </c>
      <c r="E1160" s="125"/>
      <c r="F1160" s="118" t="s">
        <v>1628</v>
      </c>
      <c r="G1160" s="126" t="str">
        <f t="shared" si="87"/>
        <v>AR-L45-1</v>
      </c>
      <c r="H1160" s="253">
        <v>1</v>
      </c>
      <c r="I1160" s="76">
        <v>1</v>
      </c>
      <c r="J1160" s="299" t="s">
        <v>286</v>
      </c>
      <c r="K1160" s="299"/>
      <c r="L1160" s="288"/>
      <c r="Q1160" s="288"/>
    </row>
    <row r="1161" spans="2:17" s="95" customFormat="1" ht="14.25" hidden="1" customHeight="1" outlineLevel="2">
      <c r="B1161" s="119" t="s">
        <v>272</v>
      </c>
      <c r="C1161" s="266" t="s">
        <v>2005</v>
      </c>
      <c r="D1161" s="124" t="s">
        <v>1765</v>
      </c>
      <c r="E1161" s="125"/>
      <c r="F1161" s="118" t="s">
        <v>1628</v>
      </c>
      <c r="G1161" s="126" t="str">
        <f t="shared" si="87"/>
        <v>AR-L45-1</v>
      </c>
      <c r="H1161" s="253">
        <v>1</v>
      </c>
      <c r="I1161" s="76">
        <v>1</v>
      </c>
      <c r="J1161" s="299" t="s">
        <v>286</v>
      </c>
      <c r="K1161" s="299"/>
      <c r="L1161" s="288"/>
      <c r="Q1161" s="288"/>
    </row>
    <row r="1162" spans="2:17" s="95" customFormat="1" ht="14.25" hidden="1" customHeight="1" outlineLevel="2">
      <c r="B1162" s="119" t="s">
        <v>272</v>
      </c>
      <c r="C1162" s="266" t="s">
        <v>2006</v>
      </c>
      <c r="D1162" s="124" t="s">
        <v>1767</v>
      </c>
      <c r="E1162" s="125"/>
      <c r="F1162" s="118" t="s">
        <v>1628</v>
      </c>
      <c r="G1162" s="126" t="str">
        <f t="shared" si="87"/>
        <v>AR-L45-1</v>
      </c>
      <c r="H1162" s="253">
        <v>1</v>
      </c>
      <c r="I1162" s="76">
        <v>1</v>
      </c>
      <c r="J1162" s="299" t="s">
        <v>286</v>
      </c>
      <c r="K1162" s="299"/>
      <c r="L1162" s="288"/>
      <c r="Q1162" s="288"/>
    </row>
    <row r="1163" spans="2:17" s="95" customFormat="1" ht="14.25" hidden="1" customHeight="1" outlineLevel="2">
      <c r="B1163" s="119" t="s">
        <v>272</v>
      </c>
      <c r="C1163" s="266" t="s">
        <v>2007</v>
      </c>
      <c r="D1163" s="124" t="s">
        <v>1769</v>
      </c>
      <c r="E1163" s="125"/>
      <c r="F1163" s="118" t="s">
        <v>1628</v>
      </c>
      <c r="G1163" s="126" t="str">
        <f t="shared" si="87"/>
        <v>AR-L45-1</v>
      </c>
      <c r="H1163" s="253">
        <v>1</v>
      </c>
      <c r="I1163" s="76">
        <v>1</v>
      </c>
      <c r="J1163" s="299" t="s">
        <v>286</v>
      </c>
      <c r="K1163" s="299"/>
      <c r="L1163" s="288"/>
      <c r="Q1163" s="288"/>
    </row>
    <row r="1164" spans="2:17" s="95" customFormat="1" ht="14.25" hidden="1" customHeight="1" outlineLevel="2">
      <c r="B1164" s="119" t="s">
        <v>272</v>
      </c>
      <c r="C1164" s="266" t="s">
        <v>2008</v>
      </c>
      <c r="D1164" s="124" t="s">
        <v>1771</v>
      </c>
      <c r="E1164" s="125"/>
      <c r="F1164" s="118" t="s">
        <v>1628</v>
      </c>
      <c r="G1164" s="126" t="str">
        <f t="shared" si="87"/>
        <v>AR-L45-1</v>
      </c>
      <c r="H1164" s="253">
        <v>1</v>
      </c>
      <c r="I1164" s="76">
        <v>1</v>
      </c>
      <c r="J1164" s="299" t="s">
        <v>286</v>
      </c>
      <c r="K1164" s="299"/>
      <c r="L1164" s="288"/>
      <c r="Q1164" s="288"/>
    </row>
    <row r="1165" spans="2:17" s="95" customFormat="1" ht="14.25" hidden="1" customHeight="1" outlineLevel="2">
      <c r="B1165" s="119" t="s">
        <v>272</v>
      </c>
      <c r="C1165" s="266" t="s">
        <v>2009</v>
      </c>
      <c r="D1165" s="124" t="s">
        <v>1773</v>
      </c>
      <c r="E1165" s="125"/>
      <c r="F1165" s="118" t="s">
        <v>1628</v>
      </c>
      <c r="G1165" s="126" t="str">
        <f t="shared" si="87"/>
        <v>AR-L45-1</v>
      </c>
      <c r="H1165" s="253">
        <v>1</v>
      </c>
      <c r="I1165" s="76">
        <v>1</v>
      </c>
      <c r="J1165" s="299" t="s">
        <v>286</v>
      </c>
      <c r="K1165" s="299"/>
      <c r="L1165" s="288"/>
      <c r="Q1165" s="288"/>
    </row>
    <row r="1166" spans="2:17" s="95" customFormat="1" ht="14.25" hidden="1" customHeight="1" outlineLevel="2">
      <c r="B1166" s="119" t="s">
        <v>272</v>
      </c>
      <c r="C1166" s="266" t="s">
        <v>2010</v>
      </c>
      <c r="D1166" s="124" t="s">
        <v>1775</v>
      </c>
      <c r="E1166" s="125"/>
      <c r="F1166" s="118" t="s">
        <v>1628</v>
      </c>
      <c r="G1166" s="126" t="str">
        <f t="shared" si="87"/>
        <v>AR-L45-1</v>
      </c>
      <c r="H1166" s="253">
        <v>1</v>
      </c>
      <c r="I1166" s="76">
        <v>1</v>
      </c>
      <c r="J1166" s="299" t="s">
        <v>286</v>
      </c>
      <c r="K1166" s="299"/>
      <c r="L1166" s="288"/>
      <c r="Q1166" s="288"/>
    </row>
    <row r="1167" spans="2:17" s="95" customFormat="1" ht="14.25" hidden="1" customHeight="1" outlineLevel="2">
      <c r="B1167" s="119" t="s">
        <v>272</v>
      </c>
      <c r="C1167" s="266" t="s">
        <v>2011</v>
      </c>
      <c r="D1167" s="124" t="s">
        <v>2012</v>
      </c>
      <c r="E1167" s="125"/>
      <c r="F1167" s="118" t="s">
        <v>1628</v>
      </c>
      <c r="G1167" s="126" t="str">
        <f t="shared" si="87"/>
        <v>AR-L45-1</v>
      </c>
      <c r="H1167" s="253">
        <v>1</v>
      </c>
      <c r="I1167" s="76">
        <v>1</v>
      </c>
      <c r="J1167" s="299" t="s">
        <v>286</v>
      </c>
      <c r="K1167" s="299"/>
      <c r="L1167" s="288"/>
      <c r="Q1167" s="288"/>
    </row>
    <row r="1168" spans="2:17" s="95" customFormat="1" ht="14.25" hidden="1" customHeight="1" outlineLevel="2">
      <c r="B1168" s="119" t="s">
        <v>272</v>
      </c>
      <c r="C1168" s="266" t="s">
        <v>2013</v>
      </c>
      <c r="D1168" s="124" t="s">
        <v>1779</v>
      </c>
      <c r="E1168" s="125"/>
      <c r="F1168" s="118" t="s">
        <v>1628</v>
      </c>
      <c r="G1168" s="126" t="str">
        <f t="shared" si="87"/>
        <v>AR-L45-1</v>
      </c>
      <c r="H1168" s="253">
        <v>1</v>
      </c>
      <c r="I1168" s="76">
        <v>1</v>
      </c>
      <c r="J1168" s="299" t="s">
        <v>286</v>
      </c>
      <c r="K1168" s="299"/>
      <c r="L1168" s="288"/>
      <c r="Q1168" s="288"/>
    </row>
    <row r="1169" spans="2:17" s="95" customFormat="1" ht="14.25" hidden="1" customHeight="1" outlineLevel="2">
      <c r="B1169" s="119" t="s">
        <v>272</v>
      </c>
      <c r="C1169" s="266" t="s">
        <v>2014</v>
      </c>
      <c r="D1169" s="124" t="s">
        <v>1781</v>
      </c>
      <c r="E1169" s="125"/>
      <c r="F1169" s="118" t="s">
        <v>1628</v>
      </c>
      <c r="G1169" s="126" t="str">
        <f t="shared" si="87"/>
        <v>AR-L45-1</v>
      </c>
      <c r="H1169" s="253">
        <v>1</v>
      </c>
      <c r="I1169" s="76">
        <v>1</v>
      </c>
      <c r="J1169" s="299" t="s">
        <v>286</v>
      </c>
      <c r="K1169" s="299"/>
      <c r="L1169" s="288"/>
      <c r="Q1169" s="288"/>
    </row>
    <row r="1170" spans="2:17" s="95" customFormat="1" ht="14.25" hidden="1" customHeight="1" outlineLevel="2">
      <c r="B1170" s="119" t="s">
        <v>272</v>
      </c>
      <c r="C1170" s="266" t="s">
        <v>2015</v>
      </c>
      <c r="D1170" s="124" t="s">
        <v>1783</v>
      </c>
      <c r="E1170" s="125"/>
      <c r="F1170" s="118" t="s">
        <v>1628</v>
      </c>
      <c r="G1170" s="126" t="str">
        <f t="shared" si="87"/>
        <v>AR-L45-1</v>
      </c>
      <c r="H1170" s="253">
        <v>1</v>
      </c>
      <c r="I1170" s="76">
        <v>1</v>
      </c>
      <c r="J1170" s="299" t="s">
        <v>286</v>
      </c>
      <c r="K1170" s="299"/>
      <c r="L1170" s="288"/>
      <c r="Q1170" s="288"/>
    </row>
    <row r="1171" spans="2:17" s="95" customFormat="1" ht="14.25" hidden="1" customHeight="1" outlineLevel="2">
      <c r="B1171" s="119" t="s">
        <v>272</v>
      </c>
      <c r="C1171" s="266" t="s">
        <v>2016</v>
      </c>
      <c r="D1171" s="124" t="s">
        <v>1785</v>
      </c>
      <c r="E1171" s="125"/>
      <c r="F1171" s="118" t="s">
        <v>1628</v>
      </c>
      <c r="G1171" s="126" t="str">
        <f t="shared" si="87"/>
        <v>AR-L45-1</v>
      </c>
      <c r="H1171" s="253">
        <v>1</v>
      </c>
      <c r="I1171" s="76">
        <v>1</v>
      </c>
      <c r="J1171" s="299" t="s">
        <v>286</v>
      </c>
      <c r="K1171" s="299"/>
      <c r="L1171" s="288"/>
      <c r="Q1171" s="288"/>
    </row>
    <row r="1172" spans="2:17" s="95" customFormat="1" ht="14.25" hidden="1" customHeight="1" outlineLevel="2">
      <c r="B1172" s="119" t="s">
        <v>272</v>
      </c>
      <c r="C1172" s="266" t="s">
        <v>2017</v>
      </c>
      <c r="D1172" s="124" t="s">
        <v>1787</v>
      </c>
      <c r="E1172" s="125"/>
      <c r="F1172" s="118" t="s">
        <v>1628</v>
      </c>
      <c r="G1172" s="126" t="str">
        <f t="shared" si="87"/>
        <v>AR-L45-1</v>
      </c>
      <c r="H1172" s="253">
        <v>1</v>
      </c>
      <c r="I1172" s="76">
        <v>1</v>
      </c>
      <c r="J1172" s="299" t="s">
        <v>286</v>
      </c>
      <c r="K1172" s="299"/>
      <c r="L1172" s="288"/>
      <c r="Q1172" s="288"/>
    </row>
    <row r="1173" spans="2:17" s="95" customFormat="1" ht="14.25" hidden="1" customHeight="1" outlineLevel="2">
      <c r="B1173" s="119" t="s">
        <v>272</v>
      </c>
      <c r="C1173" s="266" t="s">
        <v>2018</v>
      </c>
      <c r="D1173" s="124" t="s">
        <v>2019</v>
      </c>
      <c r="E1173" s="125"/>
      <c r="F1173" s="118" t="s">
        <v>1628</v>
      </c>
      <c r="G1173" s="126" t="str">
        <f t="shared" si="87"/>
        <v>AR-L45-1</v>
      </c>
      <c r="H1173" s="253">
        <v>1</v>
      </c>
      <c r="I1173" s="76">
        <v>1</v>
      </c>
      <c r="J1173" s="299" t="s">
        <v>286</v>
      </c>
      <c r="K1173" s="299"/>
      <c r="L1173" s="288"/>
      <c r="Q1173" s="288"/>
    </row>
    <row r="1174" spans="2:17" s="95" customFormat="1" ht="14.25" hidden="1" customHeight="1" outlineLevel="2">
      <c r="B1174" s="119" t="s">
        <v>272</v>
      </c>
      <c r="C1174" s="266" t="s">
        <v>2020</v>
      </c>
      <c r="D1174" s="124" t="s">
        <v>1791</v>
      </c>
      <c r="E1174" s="125"/>
      <c r="F1174" s="118" t="s">
        <v>1628</v>
      </c>
      <c r="G1174" s="126" t="str">
        <f t="shared" si="87"/>
        <v>AR-L45-1</v>
      </c>
      <c r="H1174" s="253">
        <v>1</v>
      </c>
      <c r="I1174" s="76">
        <v>1</v>
      </c>
      <c r="J1174" s="299" t="s">
        <v>286</v>
      </c>
      <c r="K1174" s="299"/>
      <c r="L1174" s="288"/>
      <c r="Q1174" s="288"/>
    </row>
    <row r="1175" spans="2:17" s="95" customFormat="1" ht="14.25" hidden="1" customHeight="1" outlineLevel="2">
      <c r="B1175" s="119" t="s">
        <v>272</v>
      </c>
      <c r="C1175" s="266" t="s">
        <v>2021</v>
      </c>
      <c r="D1175" s="124" t="s">
        <v>1793</v>
      </c>
      <c r="E1175" s="125"/>
      <c r="F1175" s="118" t="s">
        <v>1628</v>
      </c>
      <c r="G1175" s="126" t="str">
        <f t="shared" si="87"/>
        <v>AR-L45-1</v>
      </c>
      <c r="H1175" s="253">
        <v>1</v>
      </c>
      <c r="I1175" s="76">
        <v>1</v>
      </c>
      <c r="J1175" s="299" t="s">
        <v>286</v>
      </c>
      <c r="K1175" s="299"/>
      <c r="L1175" s="288"/>
      <c r="Q1175" s="288"/>
    </row>
    <row r="1176" spans="2:17" s="95" customFormat="1" ht="14.25" hidden="1" customHeight="1" outlineLevel="2">
      <c r="B1176" s="119" t="s">
        <v>272</v>
      </c>
      <c r="C1176" s="266" t="s">
        <v>2022</v>
      </c>
      <c r="D1176" s="124" t="s">
        <v>2023</v>
      </c>
      <c r="E1176" s="125"/>
      <c r="F1176" s="118" t="s">
        <v>1628</v>
      </c>
      <c r="G1176" s="126" t="str">
        <f t="shared" si="87"/>
        <v>AR-L45-1</v>
      </c>
      <c r="H1176" s="253">
        <v>1</v>
      </c>
      <c r="I1176" s="76">
        <v>1</v>
      </c>
      <c r="J1176" s="299" t="s">
        <v>286</v>
      </c>
      <c r="K1176" s="299"/>
      <c r="L1176" s="288"/>
      <c r="Q1176" s="288"/>
    </row>
    <row r="1177" spans="2:17" s="95" customFormat="1" ht="14.25" hidden="1" customHeight="1" outlineLevel="2">
      <c r="B1177" s="119" t="s">
        <v>272</v>
      </c>
      <c r="C1177" s="266" t="s">
        <v>2024</v>
      </c>
      <c r="D1177" s="124" t="s">
        <v>1502</v>
      </c>
      <c r="E1177" s="125"/>
      <c r="F1177" s="118" t="s">
        <v>1628</v>
      </c>
      <c r="G1177" s="126" t="str">
        <f t="shared" si="87"/>
        <v>AR-L45-1</v>
      </c>
      <c r="H1177" s="253">
        <v>1</v>
      </c>
      <c r="I1177" s="76">
        <v>1</v>
      </c>
      <c r="J1177" s="299" t="s">
        <v>286</v>
      </c>
      <c r="K1177" s="299"/>
      <c r="L1177" s="288"/>
      <c r="Q1177" s="288"/>
    </row>
    <row r="1178" spans="2:17" s="95" customFormat="1" ht="14.25" hidden="1" customHeight="1" outlineLevel="2">
      <c r="B1178" s="119" t="s">
        <v>272</v>
      </c>
      <c r="C1178" s="266" t="s">
        <v>2025</v>
      </c>
      <c r="D1178" s="124" t="s">
        <v>1092</v>
      </c>
      <c r="E1178" s="125"/>
      <c r="F1178" s="118" t="s">
        <v>1628</v>
      </c>
      <c r="G1178" s="126" t="str">
        <f t="shared" si="87"/>
        <v>AR-L45-1</v>
      </c>
      <c r="H1178" s="253">
        <v>1</v>
      </c>
      <c r="I1178" s="76">
        <v>1</v>
      </c>
      <c r="J1178" s="299" t="s">
        <v>286</v>
      </c>
      <c r="K1178" s="299"/>
      <c r="L1178" s="288"/>
      <c r="Q1178" s="288"/>
    </row>
    <row r="1179" spans="2:17" s="95" customFormat="1" ht="14.25" hidden="1" customHeight="1" outlineLevel="2">
      <c r="B1179" s="119" t="s">
        <v>272</v>
      </c>
      <c r="C1179" s="266" t="s">
        <v>2026</v>
      </c>
      <c r="D1179" s="124" t="s">
        <v>1092</v>
      </c>
      <c r="E1179" s="125"/>
      <c r="F1179" s="118" t="s">
        <v>1628</v>
      </c>
      <c r="G1179" s="126" t="str">
        <f t="shared" si="87"/>
        <v>AR-L45-1</v>
      </c>
      <c r="H1179" s="253">
        <v>1</v>
      </c>
      <c r="I1179" s="76">
        <v>1</v>
      </c>
      <c r="J1179" s="299" t="s">
        <v>286</v>
      </c>
      <c r="K1179" s="299"/>
      <c r="L1179" s="288"/>
      <c r="Q1179" s="288"/>
    </row>
    <row r="1180" spans="2:17" s="95" customFormat="1" ht="14.25" hidden="1" customHeight="1" outlineLevel="2">
      <c r="B1180" s="119" t="s">
        <v>272</v>
      </c>
      <c r="C1180" s="266" t="s">
        <v>2027</v>
      </c>
      <c r="D1180" s="124" t="s">
        <v>1092</v>
      </c>
      <c r="E1180" s="125"/>
      <c r="F1180" s="118" t="s">
        <v>1628</v>
      </c>
      <c r="G1180" s="126" t="str">
        <f t="shared" si="87"/>
        <v>AR-L45-1</v>
      </c>
      <c r="H1180" s="253">
        <v>1</v>
      </c>
      <c r="I1180" s="76">
        <v>1</v>
      </c>
      <c r="J1180" s="299" t="s">
        <v>286</v>
      </c>
      <c r="K1180" s="299"/>
      <c r="L1180" s="288"/>
      <c r="Q1180" s="288"/>
    </row>
    <row r="1181" spans="2:17" s="95" customFormat="1" ht="14.25" hidden="1" customHeight="1" outlineLevel="2">
      <c r="B1181" s="119" t="s">
        <v>272</v>
      </c>
      <c r="C1181" s="266" t="s">
        <v>2028</v>
      </c>
      <c r="D1181" s="124" t="s">
        <v>1092</v>
      </c>
      <c r="E1181" s="125"/>
      <c r="F1181" s="118" t="s">
        <v>1628</v>
      </c>
      <c r="G1181" s="126" t="str">
        <f t="shared" si="87"/>
        <v>AR-L45-1</v>
      </c>
      <c r="H1181" s="253">
        <v>1</v>
      </c>
      <c r="I1181" s="76">
        <v>1</v>
      </c>
      <c r="J1181" s="299" t="s">
        <v>286</v>
      </c>
      <c r="K1181" s="299"/>
      <c r="L1181" s="288"/>
      <c r="Q1181" s="288"/>
    </row>
    <row r="1182" spans="2:17" s="95" customFormat="1" ht="14.25" hidden="1" customHeight="1" outlineLevel="2">
      <c r="B1182" s="119" t="s">
        <v>272</v>
      </c>
      <c r="C1182" s="266" t="s">
        <v>2029</v>
      </c>
      <c r="D1182" s="124" t="s">
        <v>1092</v>
      </c>
      <c r="E1182" s="125"/>
      <c r="F1182" s="118" t="s">
        <v>1628</v>
      </c>
      <c r="G1182" s="126" t="str">
        <f t="shared" si="87"/>
        <v>AR-L45-1</v>
      </c>
      <c r="H1182" s="253">
        <v>1</v>
      </c>
      <c r="I1182" s="76">
        <v>1</v>
      </c>
      <c r="J1182" s="299" t="s">
        <v>286</v>
      </c>
      <c r="K1182" s="299"/>
      <c r="L1182" s="288"/>
      <c r="Q1182" s="288"/>
    </row>
    <row r="1183" spans="2:17" s="95" customFormat="1" ht="14.25" hidden="1" customHeight="1" outlineLevel="2">
      <c r="B1183" s="119" t="s">
        <v>272</v>
      </c>
      <c r="C1183" s="266" t="s">
        <v>2030</v>
      </c>
      <c r="D1183" s="124" t="s">
        <v>1092</v>
      </c>
      <c r="E1183" s="125"/>
      <c r="F1183" s="118" t="s">
        <v>1628</v>
      </c>
      <c r="G1183" s="126" t="str">
        <f t="shared" si="87"/>
        <v>AR-L45-1</v>
      </c>
      <c r="H1183" s="253">
        <v>1</v>
      </c>
      <c r="I1183" s="76">
        <v>1</v>
      </c>
      <c r="J1183" s="299" t="s">
        <v>286</v>
      </c>
      <c r="K1183" s="299"/>
      <c r="L1183" s="288"/>
      <c r="Q1183" s="288"/>
    </row>
    <row r="1184" spans="2:17" s="95" customFormat="1" ht="14.25" hidden="1" customHeight="1" outlineLevel="2">
      <c r="B1184" s="119" t="s">
        <v>272</v>
      </c>
      <c r="C1184" s="266" t="s">
        <v>2031</v>
      </c>
      <c r="D1184" s="124" t="s">
        <v>1092</v>
      </c>
      <c r="E1184" s="125"/>
      <c r="F1184" s="118" t="s">
        <v>1628</v>
      </c>
      <c r="G1184" s="126" t="str">
        <f t="shared" si="87"/>
        <v>AR-L45-1</v>
      </c>
      <c r="H1184" s="253">
        <v>1</v>
      </c>
      <c r="I1184" s="76">
        <v>1</v>
      </c>
      <c r="J1184" s="299" t="s">
        <v>286</v>
      </c>
      <c r="K1184" s="299"/>
      <c r="L1184" s="288"/>
      <c r="Q1184" s="288"/>
    </row>
    <row r="1185" spans="2:17" s="95" customFormat="1" ht="14.25" hidden="1" customHeight="1" outlineLevel="2">
      <c r="B1185" s="119" t="s">
        <v>272</v>
      </c>
      <c r="C1185" s="266" t="s">
        <v>2032</v>
      </c>
      <c r="D1185" s="124" t="s">
        <v>1092</v>
      </c>
      <c r="E1185" s="125"/>
      <c r="F1185" s="118" t="s">
        <v>1628</v>
      </c>
      <c r="G1185" s="126" t="str">
        <f t="shared" si="87"/>
        <v>AR-L45-1</v>
      </c>
      <c r="H1185" s="253">
        <v>1</v>
      </c>
      <c r="I1185" s="76">
        <v>1</v>
      </c>
      <c r="J1185" s="299" t="s">
        <v>286</v>
      </c>
      <c r="K1185" s="299"/>
      <c r="L1185" s="288"/>
      <c r="Q1185" s="288"/>
    </row>
    <row r="1186" spans="2:17" s="95" customFormat="1" ht="14.25" hidden="1" customHeight="1" outlineLevel="2">
      <c r="B1186" s="119" t="s">
        <v>272</v>
      </c>
      <c r="C1186" s="266" t="s">
        <v>2033</v>
      </c>
      <c r="D1186" s="124" t="s">
        <v>1092</v>
      </c>
      <c r="E1186" s="125"/>
      <c r="F1186" s="118" t="s">
        <v>1628</v>
      </c>
      <c r="G1186" s="126" t="str">
        <f t="shared" si="87"/>
        <v>AR-L45-1</v>
      </c>
      <c r="H1186" s="253">
        <v>1</v>
      </c>
      <c r="I1186" s="76">
        <v>1</v>
      </c>
      <c r="J1186" s="299" t="s">
        <v>286</v>
      </c>
      <c r="K1186" s="299"/>
      <c r="L1186" s="288"/>
      <c r="Q1186" s="288"/>
    </row>
    <row r="1187" spans="2:17" s="95" customFormat="1" ht="14.25" hidden="1" customHeight="1" outlineLevel="2">
      <c r="B1187" s="119" t="s">
        <v>272</v>
      </c>
      <c r="C1187" s="266" t="s">
        <v>2034</v>
      </c>
      <c r="D1187" s="124" t="s">
        <v>1092</v>
      </c>
      <c r="E1187" s="125"/>
      <c r="F1187" s="118" t="s">
        <v>1628</v>
      </c>
      <c r="G1187" s="126" t="str">
        <f t="shared" si="87"/>
        <v>AR-L45-1</v>
      </c>
      <c r="H1187" s="253">
        <v>1</v>
      </c>
      <c r="I1187" s="76">
        <v>1</v>
      </c>
      <c r="J1187" s="299" t="s">
        <v>286</v>
      </c>
      <c r="K1187" s="299"/>
      <c r="L1187" s="288"/>
      <c r="Q1187" s="288"/>
    </row>
    <row r="1188" spans="2:17" s="95" customFormat="1" ht="14.25" hidden="1" customHeight="1" outlineLevel="2">
      <c r="B1188" s="119" t="s">
        <v>272</v>
      </c>
      <c r="C1188" s="266" t="s">
        <v>2035</v>
      </c>
      <c r="D1188" s="124" t="s">
        <v>1092</v>
      </c>
      <c r="E1188" s="125"/>
      <c r="F1188" s="118" t="s">
        <v>1628</v>
      </c>
      <c r="G1188" s="126" t="str">
        <f t="shared" ref="G1188:G1211" si="88">CONCATENATE("AR-",F1188,"-",H1188)</f>
        <v>AR-L45-1</v>
      </c>
      <c r="H1188" s="253">
        <v>1</v>
      </c>
      <c r="I1188" s="76">
        <v>1</v>
      </c>
      <c r="J1188" s="299" t="s">
        <v>286</v>
      </c>
      <c r="K1188" s="299"/>
      <c r="L1188" s="288"/>
      <c r="Q1188" s="288"/>
    </row>
    <row r="1189" spans="2:17" s="95" customFormat="1" ht="14.25" hidden="1" customHeight="1" outlineLevel="2">
      <c r="B1189" s="119" t="s">
        <v>272</v>
      </c>
      <c r="C1189" s="266" t="s">
        <v>2036</v>
      </c>
      <c r="D1189" s="124" t="s">
        <v>1120</v>
      </c>
      <c r="E1189" s="125"/>
      <c r="F1189" s="118" t="s">
        <v>1628</v>
      </c>
      <c r="G1189" s="126" t="str">
        <f t="shared" si="88"/>
        <v>AR-L45-1</v>
      </c>
      <c r="H1189" s="253">
        <v>1</v>
      </c>
      <c r="I1189" s="76">
        <v>1</v>
      </c>
      <c r="J1189" s="299" t="s">
        <v>286</v>
      </c>
      <c r="K1189" s="299"/>
      <c r="L1189" s="288"/>
      <c r="Q1189" s="288"/>
    </row>
    <row r="1190" spans="2:17" s="95" customFormat="1" ht="14.25" hidden="1" customHeight="1" outlineLevel="2">
      <c r="B1190" s="119" t="s">
        <v>272</v>
      </c>
      <c r="C1190" s="266" t="s">
        <v>2037</v>
      </c>
      <c r="D1190" s="124" t="s">
        <v>1434</v>
      </c>
      <c r="E1190" s="125"/>
      <c r="F1190" s="118" t="s">
        <v>1628</v>
      </c>
      <c r="G1190" s="126" t="str">
        <f t="shared" si="88"/>
        <v>AR-L45-1</v>
      </c>
      <c r="H1190" s="253">
        <v>1</v>
      </c>
      <c r="I1190" s="76">
        <v>1</v>
      </c>
      <c r="J1190" s="299" t="s">
        <v>286</v>
      </c>
      <c r="K1190" s="299"/>
      <c r="L1190" s="288"/>
      <c r="Q1190" s="288"/>
    </row>
    <row r="1191" spans="2:17" s="95" customFormat="1" ht="14.25" hidden="1" customHeight="1" outlineLevel="2">
      <c r="B1191" s="119" t="s">
        <v>272</v>
      </c>
      <c r="C1191" s="266" t="s">
        <v>2038</v>
      </c>
      <c r="D1191" s="124" t="s">
        <v>1436</v>
      </c>
      <c r="E1191" s="125"/>
      <c r="F1191" s="118" t="s">
        <v>1628</v>
      </c>
      <c r="G1191" s="126" t="str">
        <f t="shared" si="88"/>
        <v>AR-L45-1</v>
      </c>
      <c r="H1191" s="253">
        <v>1</v>
      </c>
      <c r="I1191" s="76">
        <v>1</v>
      </c>
      <c r="J1191" s="299" t="s">
        <v>286</v>
      </c>
      <c r="K1191" s="299"/>
      <c r="L1191" s="288"/>
      <c r="Q1191" s="288"/>
    </row>
    <row r="1192" spans="2:17" s="95" customFormat="1" ht="14.25" hidden="1" customHeight="1" outlineLevel="2">
      <c r="B1192" s="119" t="s">
        <v>272</v>
      </c>
      <c r="C1192" s="266" t="s">
        <v>2039</v>
      </c>
      <c r="D1192" s="124" t="s">
        <v>1438</v>
      </c>
      <c r="E1192" s="125"/>
      <c r="F1192" s="118" t="s">
        <v>1628</v>
      </c>
      <c r="G1192" s="126" t="str">
        <f t="shared" si="88"/>
        <v>AR-L45-1</v>
      </c>
      <c r="H1192" s="253">
        <v>1</v>
      </c>
      <c r="I1192" s="76">
        <v>1</v>
      </c>
      <c r="J1192" s="299" t="s">
        <v>286</v>
      </c>
      <c r="K1192" s="299"/>
      <c r="L1192" s="288"/>
      <c r="Q1192" s="288"/>
    </row>
    <row r="1193" spans="2:17" s="95" customFormat="1" ht="14.25" hidden="1" customHeight="1" outlineLevel="2">
      <c r="B1193" s="119" t="s">
        <v>272</v>
      </c>
      <c r="C1193" s="266" t="s">
        <v>2040</v>
      </c>
      <c r="D1193" s="124" t="s">
        <v>1094</v>
      </c>
      <c r="E1193" s="125"/>
      <c r="F1193" s="118" t="s">
        <v>1628</v>
      </c>
      <c r="G1193" s="126" t="str">
        <f t="shared" si="88"/>
        <v>AR-L45-1</v>
      </c>
      <c r="H1193" s="253">
        <v>1</v>
      </c>
      <c r="I1193" s="76">
        <v>1</v>
      </c>
      <c r="J1193" s="299" t="s">
        <v>286</v>
      </c>
      <c r="K1193" s="299"/>
      <c r="L1193" s="288"/>
      <c r="Q1193" s="288"/>
    </row>
    <row r="1194" spans="2:17" s="95" customFormat="1" ht="14.25" hidden="1" customHeight="1" outlineLevel="2">
      <c r="B1194" s="119" t="s">
        <v>272</v>
      </c>
      <c r="C1194" s="266" t="s">
        <v>2041</v>
      </c>
      <c r="D1194" s="124" t="s">
        <v>1441</v>
      </c>
      <c r="E1194" s="125"/>
      <c r="F1194" s="118" t="s">
        <v>1628</v>
      </c>
      <c r="G1194" s="126" t="str">
        <f t="shared" si="88"/>
        <v>AR-L45-1</v>
      </c>
      <c r="H1194" s="253">
        <v>1</v>
      </c>
      <c r="I1194" s="76">
        <v>1</v>
      </c>
      <c r="J1194" s="299" t="s">
        <v>286</v>
      </c>
      <c r="K1194" s="299"/>
      <c r="L1194" s="288"/>
      <c r="Q1194" s="288"/>
    </row>
    <row r="1195" spans="2:17" s="95" customFormat="1" ht="14.25" hidden="1" customHeight="1" outlineLevel="2">
      <c r="B1195" s="119" t="s">
        <v>272</v>
      </c>
      <c r="C1195" s="266" t="s">
        <v>2042</v>
      </c>
      <c r="D1195" s="124" t="s">
        <v>1443</v>
      </c>
      <c r="E1195" s="125"/>
      <c r="F1195" s="118" t="s">
        <v>1628</v>
      </c>
      <c r="G1195" s="126" t="str">
        <f t="shared" si="88"/>
        <v>AR-L45-1</v>
      </c>
      <c r="H1195" s="253">
        <v>1</v>
      </c>
      <c r="I1195" s="76">
        <v>1</v>
      </c>
      <c r="J1195" s="299" t="s">
        <v>286</v>
      </c>
      <c r="K1195" s="299"/>
      <c r="L1195" s="288"/>
      <c r="Q1195" s="288"/>
    </row>
    <row r="1196" spans="2:17" s="95" customFormat="1" ht="14.25" hidden="1" customHeight="1" outlineLevel="2">
      <c r="B1196" s="119" t="s">
        <v>272</v>
      </c>
      <c r="C1196" s="266" t="s">
        <v>2043</v>
      </c>
      <c r="D1196" s="124" t="s">
        <v>1573</v>
      </c>
      <c r="E1196" s="125"/>
      <c r="F1196" s="118" t="s">
        <v>1628</v>
      </c>
      <c r="G1196" s="126" t="str">
        <f t="shared" si="88"/>
        <v>AR-L45-1</v>
      </c>
      <c r="H1196" s="253">
        <v>1</v>
      </c>
      <c r="I1196" s="76">
        <v>1</v>
      </c>
      <c r="J1196" s="299" t="s">
        <v>286</v>
      </c>
      <c r="K1196" s="299"/>
      <c r="L1196" s="288"/>
      <c r="Q1196" s="288"/>
    </row>
    <row r="1197" spans="2:17" s="95" customFormat="1" ht="14.25" hidden="1" customHeight="1" outlineLevel="2">
      <c r="B1197" s="119" t="s">
        <v>272</v>
      </c>
      <c r="C1197" s="266" t="s">
        <v>2044</v>
      </c>
      <c r="D1197" s="124" t="s">
        <v>1730</v>
      </c>
      <c r="E1197" s="125"/>
      <c r="F1197" s="118" t="s">
        <v>1628</v>
      </c>
      <c r="G1197" s="126" t="str">
        <f t="shared" si="88"/>
        <v>AR-L45-1</v>
      </c>
      <c r="H1197" s="253">
        <v>1</v>
      </c>
      <c r="I1197" s="76">
        <v>1</v>
      </c>
      <c r="J1197" s="299" t="s">
        <v>286</v>
      </c>
      <c r="K1197" s="299"/>
      <c r="L1197" s="288"/>
      <c r="Q1197" s="288"/>
    </row>
    <row r="1198" spans="2:17" s="95" customFormat="1" ht="14.25" hidden="1" customHeight="1" outlineLevel="2">
      <c r="B1198" s="119" t="s">
        <v>272</v>
      </c>
      <c r="C1198" s="266" t="s">
        <v>2045</v>
      </c>
      <c r="D1198" s="124" t="s">
        <v>1732</v>
      </c>
      <c r="E1198" s="125"/>
      <c r="F1198" s="118" t="s">
        <v>1628</v>
      </c>
      <c r="G1198" s="126" t="str">
        <f t="shared" si="88"/>
        <v>AR-L45-1</v>
      </c>
      <c r="H1198" s="253">
        <v>1</v>
      </c>
      <c r="I1198" s="76">
        <v>1</v>
      </c>
      <c r="J1198" s="299" t="s">
        <v>286</v>
      </c>
      <c r="K1198" s="299"/>
      <c r="L1198" s="288"/>
      <c r="Q1198" s="288"/>
    </row>
    <row r="1199" spans="2:17" s="95" customFormat="1" ht="14.25" hidden="1" customHeight="1" outlineLevel="2">
      <c r="B1199" s="119" t="s">
        <v>272</v>
      </c>
      <c r="C1199" s="266" t="s">
        <v>2046</v>
      </c>
      <c r="D1199" s="124" t="s">
        <v>1734</v>
      </c>
      <c r="E1199" s="125"/>
      <c r="F1199" s="118" t="s">
        <v>1628</v>
      </c>
      <c r="G1199" s="126" t="str">
        <f t="shared" si="88"/>
        <v>AR-L45-1</v>
      </c>
      <c r="H1199" s="253">
        <v>1</v>
      </c>
      <c r="I1199" s="76">
        <v>1</v>
      </c>
      <c r="J1199" s="299" t="s">
        <v>286</v>
      </c>
      <c r="K1199" s="299"/>
      <c r="L1199" s="288"/>
      <c r="Q1199" s="288"/>
    </row>
    <row r="1200" spans="2:17" s="95" customFormat="1" ht="14.25" hidden="1" customHeight="1" outlineLevel="2">
      <c r="B1200" s="119" t="s">
        <v>272</v>
      </c>
      <c r="C1200" s="266" t="s">
        <v>2047</v>
      </c>
      <c r="D1200" s="124" t="s">
        <v>1736</v>
      </c>
      <c r="E1200" s="125"/>
      <c r="F1200" s="118" t="s">
        <v>1628</v>
      </c>
      <c r="G1200" s="126" t="str">
        <f t="shared" si="88"/>
        <v>AR-L45-1</v>
      </c>
      <c r="H1200" s="253">
        <v>1</v>
      </c>
      <c r="I1200" s="76">
        <v>1</v>
      </c>
      <c r="J1200" s="299" t="s">
        <v>286</v>
      </c>
      <c r="K1200" s="299"/>
      <c r="L1200" s="288"/>
      <c r="Q1200" s="288"/>
    </row>
    <row r="1201" spans="2:17" s="95" customFormat="1" ht="14.25" hidden="1" customHeight="1" outlineLevel="2">
      <c r="B1201" s="119" t="s">
        <v>272</v>
      </c>
      <c r="C1201" s="266" t="s">
        <v>2048</v>
      </c>
      <c r="D1201" s="124" t="s">
        <v>1445</v>
      </c>
      <c r="E1201" s="125"/>
      <c r="F1201" s="118" t="s">
        <v>1628</v>
      </c>
      <c r="G1201" s="126" t="str">
        <f t="shared" si="88"/>
        <v>AR-L45-1</v>
      </c>
      <c r="H1201" s="253">
        <v>1</v>
      </c>
      <c r="I1201" s="76">
        <v>1</v>
      </c>
      <c r="J1201" s="299" t="s">
        <v>286</v>
      </c>
      <c r="K1201" s="299"/>
      <c r="L1201" s="288"/>
      <c r="Q1201" s="288"/>
    </row>
    <row r="1202" spans="2:17" s="95" customFormat="1" ht="14.25" hidden="1" customHeight="1" outlineLevel="2">
      <c r="B1202" s="119" t="s">
        <v>272</v>
      </c>
      <c r="C1202" s="266" t="s">
        <v>2049</v>
      </c>
      <c r="D1202" s="124" t="s">
        <v>1739</v>
      </c>
      <c r="E1202" s="125"/>
      <c r="F1202" s="118" t="s">
        <v>1628</v>
      </c>
      <c r="G1202" s="126" t="str">
        <f t="shared" si="88"/>
        <v>AR-L45-1</v>
      </c>
      <c r="H1202" s="253">
        <v>1</v>
      </c>
      <c r="I1202" s="76">
        <v>1</v>
      </c>
      <c r="J1202" s="299" t="s">
        <v>286</v>
      </c>
      <c r="K1202" s="299"/>
      <c r="L1202" s="288"/>
      <c r="Q1202" s="288"/>
    </row>
    <row r="1203" spans="2:17" s="95" customFormat="1" ht="14.25" hidden="1" customHeight="1" outlineLevel="2">
      <c r="B1203" s="119" t="s">
        <v>272</v>
      </c>
      <c r="C1203" s="266" t="s">
        <v>2050</v>
      </c>
      <c r="D1203" s="124" t="s">
        <v>1741</v>
      </c>
      <c r="E1203" s="125"/>
      <c r="F1203" s="118" t="s">
        <v>1628</v>
      </c>
      <c r="G1203" s="126" t="str">
        <f t="shared" si="88"/>
        <v>AR-L45-1</v>
      </c>
      <c r="H1203" s="253">
        <v>1</v>
      </c>
      <c r="I1203" s="76">
        <v>1</v>
      </c>
      <c r="J1203" s="299" t="s">
        <v>286</v>
      </c>
      <c r="K1203" s="299"/>
      <c r="L1203" s="288"/>
      <c r="Q1203" s="288"/>
    </row>
    <row r="1204" spans="2:17" s="95" customFormat="1" ht="14.25" hidden="1" customHeight="1" outlineLevel="2">
      <c r="B1204" s="119" t="s">
        <v>272</v>
      </c>
      <c r="C1204" s="266" t="s">
        <v>2051</v>
      </c>
      <c r="D1204" s="124" t="s">
        <v>1739</v>
      </c>
      <c r="E1204" s="125"/>
      <c r="F1204" s="118" t="s">
        <v>1628</v>
      </c>
      <c r="G1204" s="126" t="str">
        <f t="shared" si="88"/>
        <v>AR-L45-1</v>
      </c>
      <c r="H1204" s="253">
        <v>1</v>
      </c>
      <c r="I1204" s="76">
        <v>1</v>
      </c>
      <c r="J1204" s="299" t="s">
        <v>286</v>
      </c>
      <c r="K1204" s="299"/>
      <c r="L1204" s="288"/>
      <c r="Q1204" s="288"/>
    </row>
    <row r="1205" spans="2:17" s="95" customFormat="1" ht="14.25" hidden="1" customHeight="1" outlineLevel="2">
      <c r="B1205" s="119" t="s">
        <v>272</v>
      </c>
      <c r="C1205" s="266" t="s">
        <v>2052</v>
      </c>
      <c r="D1205" s="124" t="s">
        <v>1741</v>
      </c>
      <c r="E1205" s="125"/>
      <c r="F1205" s="118" t="s">
        <v>1628</v>
      </c>
      <c r="G1205" s="126" t="str">
        <f t="shared" si="88"/>
        <v>AR-L45-1</v>
      </c>
      <c r="H1205" s="253">
        <v>1</v>
      </c>
      <c r="I1205" s="76">
        <v>1</v>
      </c>
      <c r="J1205" s="299" t="s">
        <v>286</v>
      </c>
      <c r="K1205" s="299"/>
      <c r="L1205" s="288"/>
      <c r="Q1205" s="288"/>
    </row>
    <row r="1206" spans="2:17" s="95" customFormat="1" ht="14.25" hidden="1" customHeight="1" outlineLevel="2">
      <c r="B1206" s="119" t="s">
        <v>272</v>
      </c>
      <c r="C1206" s="266" t="s">
        <v>2053</v>
      </c>
      <c r="D1206" s="124" t="s">
        <v>1739</v>
      </c>
      <c r="E1206" s="125"/>
      <c r="F1206" s="118" t="s">
        <v>1628</v>
      </c>
      <c r="G1206" s="126" t="str">
        <f t="shared" si="88"/>
        <v>AR-L45-1</v>
      </c>
      <c r="H1206" s="253">
        <v>1</v>
      </c>
      <c r="I1206" s="76">
        <v>1</v>
      </c>
      <c r="J1206" s="299" t="s">
        <v>286</v>
      </c>
      <c r="K1206" s="299"/>
      <c r="L1206" s="288"/>
      <c r="Q1206" s="288"/>
    </row>
    <row r="1207" spans="2:17" s="95" customFormat="1" ht="14.25" hidden="1" customHeight="1" outlineLevel="2">
      <c r="B1207" s="119" t="s">
        <v>272</v>
      </c>
      <c r="C1207" s="266" t="s">
        <v>2054</v>
      </c>
      <c r="D1207" s="124" t="s">
        <v>1741</v>
      </c>
      <c r="E1207" s="125"/>
      <c r="F1207" s="118" t="s">
        <v>1628</v>
      </c>
      <c r="G1207" s="126" t="str">
        <f t="shared" si="88"/>
        <v>AR-L45-1</v>
      </c>
      <c r="H1207" s="253">
        <v>1</v>
      </c>
      <c r="I1207" s="76">
        <v>1</v>
      </c>
      <c r="J1207" s="299" t="s">
        <v>286</v>
      </c>
      <c r="K1207" s="299"/>
      <c r="L1207" s="288"/>
      <c r="Q1207" s="288"/>
    </row>
    <row r="1208" spans="2:17" s="95" customFormat="1" ht="14.25" hidden="1" customHeight="1" outlineLevel="2">
      <c r="B1208" s="119" t="s">
        <v>272</v>
      </c>
      <c r="C1208" s="266" t="s">
        <v>2055</v>
      </c>
      <c r="D1208" s="124" t="s">
        <v>1739</v>
      </c>
      <c r="E1208" s="125"/>
      <c r="F1208" s="118" t="s">
        <v>1628</v>
      </c>
      <c r="G1208" s="126" t="str">
        <f t="shared" si="88"/>
        <v>AR-L45-1</v>
      </c>
      <c r="H1208" s="253">
        <v>1</v>
      </c>
      <c r="I1208" s="76">
        <v>1</v>
      </c>
      <c r="J1208" s="299" t="s">
        <v>286</v>
      </c>
      <c r="K1208" s="299"/>
      <c r="L1208" s="288"/>
      <c r="Q1208" s="288"/>
    </row>
    <row r="1209" spans="2:17" s="95" customFormat="1" ht="14.25" hidden="1" customHeight="1" outlineLevel="2">
      <c r="B1209" s="119" t="s">
        <v>272</v>
      </c>
      <c r="C1209" s="266" t="s">
        <v>2056</v>
      </c>
      <c r="D1209" s="124" t="s">
        <v>1741</v>
      </c>
      <c r="E1209" s="125"/>
      <c r="F1209" s="118" t="s">
        <v>1628</v>
      </c>
      <c r="G1209" s="126" t="str">
        <f t="shared" si="88"/>
        <v>AR-L45-1</v>
      </c>
      <c r="H1209" s="253">
        <v>1</v>
      </c>
      <c r="I1209" s="76">
        <v>1</v>
      </c>
      <c r="J1209" s="299" t="s">
        <v>286</v>
      </c>
      <c r="K1209" s="299"/>
      <c r="L1209" s="288"/>
      <c r="Q1209" s="288"/>
    </row>
    <row r="1210" spans="2:17" s="95" customFormat="1" ht="14.25" hidden="1" customHeight="1" outlineLevel="2">
      <c r="B1210" s="119" t="s">
        <v>272</v>
      </c>
      <c r="C1210" s="266" t="s">
        <v>2057</v>
      </c>
      <c r="D1210" s="124" t="s">
        <v>1750</v>
      </c>
      <c r="E1210" s="125"/>
      <c r="F1210" s="118" t="s">
        <v>1628</v>
      </c>
      <c r="G1210" s="126" t="str">
        <f t="shared" si="88"/>
        <v>AR-L45-1</v>
      </c>
      <c r="H1210" s="253">
        <v>1</v>
      </c>
      <c r="I1210" s="76">
        <v>1</v>
      </c>
      <c r="J1210" s="299" t="s">
        <v>286</v>
      </c>
      <c r="K1210" s="299"/>
      <c r="L1210" s="288"/>
      <c r="Q1210" s="288"/>
    </row>
    <row r="1211" spans="2:17" s="95" customFormat="1" ht="14.25" hidden="1" customHeight="1" outlineLevel="2">
      <c r="B1211" s="119" t="s">
        <v>272</v>
      </c>
      <c r="C1211" s="266" t="s">
        <v>2058</v>
      </c>
      <c r="D1211" s="124" t="s">
        <v>1461</v>
      </c>
      <c r="E1211" s="125"/>
      <c r="F1211" s="118" t="s">
        <v>1628</v>
      </c>
      <c r="G1211" s="126" t="str">
        <f t="shared" si="88"/>
        <v>AR-L45-1</v>
      </c>
      <c r="H1211" s="253">
        <v>1</v>
      </c>
      <c r="I1211" s="76">
        <v>1</v>
      </c>
      <c r="J1211" s="299" t="s">
        <v>286</v>
      </c>
      <c r="K1211" s="299"/>
      <c r="L1211" s="288"/>
      <c r="Q1211" s="288"/>
    </row>
    <row r="1212" spans="2:17" s="95" customFormat="1" ht="14.25" hidden="1" customHeight="1" outlineLevel="2">
      <c r="B1212" s="119" t="s">
        <v>272</v>
      </c>
      <c r="C1212" s="266" t="s">
        <v>2059</v>
      </c>
      <c r="D1212" s="124" t="s">
        <v>1886</v>
      </c>
      <c r="E1212" s="125"/>
      <c r="F1212" s="118" t="s">
        <v>1628</v>
      </c>
      <c r="G1212" s="126" t="str">
        <f t="shared" ref="G1212:G1235" si="89">CONCATENATE("AR-",F1212,"-",H1212)</f>
        <v>AR-L45-1</v>
      </c>
      <c r="H1212" s="253">
        <v>1</v>
      </c>
      <c r="I1212" s="76">
        <v>1</v>
      </c>
      <c r="J1212" s="299" t="s">
        <v>286</v>
      </c>
      <c r="K1212" s="299"/>
      <c r="L1212" s="288"/>
      <c r="Q1212" s="288"/>
    </row>
    <row r="1213" spans="2:17" s="95" customFormat="1" ht="14.25" hidden="1" customHeight="1" outlineLevel="2">
      <c r="B1213" s="119" t="s">
        <v>272</v>
      </c>
      <c r="C1213" s="266" t="s">
        <v>2060</v>
      </c>
      <c r="D1213" s="124" t="s">
        <v>1753</v>
      </c>
      <c r="E1213" s="125"/>
      <c r="F1213" s="118" t="s">
        <v>1628</v>
      </c>
      <c r="G1213" s="126" t="str">
        <f t="shared" si="89"/>
        <v>AR-L45-1</v>
      </c>
      <c r="H1213" s="253">
        <v>1</v>
      </c>
      <c r="I1213" s="76">
        <v>1</v>
      </c>
      <c r="J1213" s="299" t="s">
        <v>286</v>
      </c>
      <c r="K1213" s="299"/>
      <c r="L1213" s="288"/>
      <c r="Q1213" s="288"/>
    </row>
    <row r="1214" spans="2:17" s="95" customFormat="1" ht="14.25" hidden="1" customHeight="1" outlineLevel="2">
      <c r="B1214" s="119" t="s">
        <v>272</v>
      </c>
      <c r="C1214" s="266" t="s">
        <v>2061</v>
      </c>
      <c r="D1214" s="124" t="s">
        <v>1755</v>
      </c>
      <c r="E1214" s="125"/>
      <c r="F1214" s="118" t="s">
        <v>1628</v>
      </c>
      <c r="G1214" s="126" t="str">
        <f t="shared" si="89"/>
        <v>AR-L45-1</v>
      </c>
      <c r="H1214" s="253">
        <v>1</v>
      </c>
      <c r="I1214" s="76">
        <v>1</v>
      </c>
      <c r="J1214" s="299" t="s">
        <v>286</v>
      </c>
      <c r="K1214" s="299"/>
      <c r="L1214" s="288"/>
      <c r="Q1214" s="288"/>
    </row>
    <row r="1215" spans="2:17" s="95" customFormat="1" ht="14.25" hidden="1" customHeight="1" outlineLevel="2">
      <c r="B1215" s="119" t="s">
        <v>272</v>
      </c>
      <c r="C1215" s="266" t="s">
        <v>2062</v>
      </c>
      <c r="D1215" s="124" t="s">
        <v>1757</v>
      </c>
      <c r="E1215" s="125"/>
      <c r="F1215" s="118" t="s">
        <v>1628</v>
      </c>
      <c r="G1215" s="126" t="str">
        <f t="shared" si="89"/>
        <v>AR-L45-1</v>
      </c>
      <c r="H1215" s="253">
        <v>1</v>
      </c>
      <c r="I1215" s="76">
        <v>1</v>
      </c>
      <c r="J1215" s="299" t="s">
        <v>286</v>
      </c>
      <c r="K1215" s="299"/>
      <c r="L1215" s="288"/>
      <c r="Q1215" s="288"/>
    </row>
    <row r="1216" spans="2:17" s="95" customFormat="1" ht="14.25" hidden="1" customHeight="1" outlineLevel="2">
      <c r="B1216" s="119" t="s">
        <v>272</v>
      </c>
      <c r="C1216" s="266" t="s">
        <v>2063</v>
      </c>
      <c r="D1216" s="124" t="s">
        <v>1759</v>
      </c>
      <c r="E1216" s="125"/>
      <c r="F1216" s="118" t="s">
        <v>1628</v>
      </c>
      <c r="G1216" s="126" t="str">
        <f t="shared" si="89"/>
        <v>AR-L45-1</v>
      </c>
      <c r="H1216" s="253">
        <v>1</v>
      </c>
      <c r="I1216" s="76">
        <v>1</v>
      </c>
      <c r="J1216" s="299" t="s">
        <v>286</v>
      </c>
      <c r="K1216" s="299"/>
      <c r="L1216" s="288"/>
      <c r="Q1216" s="288"/>
    </row>
    <row r="1217" spans="2:17" s="95" customFormat="1" ht="14.25" hidden="1" customHeight="1" outlineLevel="2">
      <c r="B1217" s="119" t="s">
        <v>272</v>
      </c>
      <c r="C1217" s="266" t="s">
        <v>2064</v>
      </c>
      <c r="D1217" s="124" t="s">
        <v>1761</v>
      </c>
      <c r="E1217" s="125"/>
      <c r="F1217" s="118" t="s">
        <v>1628</v>
      </c>
      <c r="G1217" s="126" t="str">
        <f t="shared" si="89"/>
        <v>AR-L45-1</v>
      </c>
      <c r="H1217" s="253">
        <v>1</v>
      </c>
      <c r="I1217" s="76">
        <v>1</v>
      </c>
      <c r="J1217" s="299" t="s">
        <v>286</v>
      </c>
      <c r="K1217" s="299"/>
      <c r="L1217" s="288"/>
      <c r="Q1217" s="288"/>
    </row>
    <row r="1218" spans="2:17" s="95" customFormat="1" ht="14.25" hidden="1" customHeight="1" outlineLevel="2">
      <c r="B1218" s="119" t="s">
        <v>272</v>
      </c>
      <c r="C1218" s="266" t="s">
        <v>2065</v>
      </c>
      <c r="D1218" s="124" t="s">
        <v>1763</v>
      </c>
      <c r="E1218" s="125"/>
      <c r="F1218" s="118" t="s">
        <v>1628</v>
      </c>
      <c r="G1218" s="126" t="str">
        <f t="shared" si="89"/>
        <v>AR-L45-1</v>
      </c>
      <c r="H1218" s="253">
        <v>1</v>
      </c>
      <c r="I1218" s="76">
        <v>1</v>
      </c>
      <c r="J1218" s="299" t="s">
        <v>286</v>
      </c>
      <c r="K1218" s="299"/>
      <c r="L1218" s="288"/>
      <c r="Q1218" s="288"/>
    </row>
    <row r="1219" spans="2:17" s="95" customFormat="1" ht="14.25" hidden="1" customHeight="1" outlineLevel="2">
      <c r="B1219" s="119" t="s">
        <v>272</v>
      </c>
      <c r="C1219" s="266" t="s">
        <v>2066</v>
      </c>
      <c r="D1219" s="124" t="s">
        <v>1765</v>
      </c>
      <c r="E1219" s="125"/>
      <c r="F1219" s="118" t="s">
        <v>1628</v>
      </c>
      <c r="G1219" s="126" t="str">
        <f t="shared" si="89"/>
        <v>AR-L45-1</v>
      </c>
      <c r="H1219" s="253">
        <v>1</v>
      </c>
      <c r="I1219" s="76">
        <v>1</v>
      </c>
      <c r="J1219" s="299" t="s">
        <v>286</v>
      </c>
      <c r="K1219" s="299"/>
      <c r="L1219" s="288"/>
      <c r="Q1219" s="288"/>
    </row>
    <row r="1220" spans="2:17" s="95" customFormat="1" ht="14.25" hidden="1" customHeight="1" outlineLevel="2">
      <c r="B1220" s="119" t="s">
        <v>272</v>
      </c>
      <c r="C1220" s="266" t="s">
        <v>2067</v>
      </c>
      <c r="D1220" s="124" t="s">
        <v>1767</v>
      </c>
      <c r="E1220" s="125"/>
      <c r="F1220" s="118" t="s">
        <v>1628</v>
      </c>
      <c r="G1220" s="126" t="str">
        <f t="shared" si="89"/>
        <v>AR-L45-1</v>
      </c>
      <c r="H1220" s="253">
        <v>1</v>
      </c>
      <c r="I1220" s="76">
        <v>1</v>
      </c>
      <c r="J1220" s="299" t="s">
        <v>286</v>
      </c>
      <c r="K1220" s="299"/>
      <c r="L1220" s="288"/>
      <c r="Q1220" s="288"/>
    </row>
    <row r="1221" spans="2:17" s="95" customFormat="1" ht="14.25" hidden="1" customHeight="1" outlineLevel="2">
      <c r="B1221" s="119" t="s">
        <v>272</v>
      </c>
      <c r="C1221" s="266" t="s">
        <v>2068</v>
      </c>
      <c r="D1221" s="124" t="s">
        <v>1769</v>
      </c>
      <c r="E1221" s="125"/>
      <c r="F1221" s="118" t="s">
        <v>1628</v>
      </c>
      <c r="G1221" s="126" t="str">
        <f t="shared" si="89"/>
        <v>AR-L45-1</v>
      </c>
      <c r="H1221" s="253">
        <v>1</v>
      </c>
      <c r="I1221" s="76">
        <v>1</v>
      </c>
      <c r="J1221" s="299" t="s">
        <v>286</v>
      </c>
      <c r="K1221" s="299"/>
      <c r="L1221" s="288"/>
      <c r="Q1221" s="288"/>
    </row>
    <row r="1222" spans="2:17" s="95" customFormat="1" ht="14.25" hidden="1" customHeight="1" outlineLevel="2">
      <c r="B1222" s="119" t="s">
        <v>272</v>
      </c>
      <c r="C1222" s="266" t="s">
        <v>2069</v>
      </c>
      <c r="D1222" s="124" t="s">
        <v>1771</v>
      </c>
      <c r="E1222" s="125"/>
      <c r="F1222" s="118" t="s">
        <v>1628</v>
      </c>
      <c r="G1222" s="126" t="str">
        <f t="shared" si="89"/>
        <v>AR-L45-1</v>
      </c>
      <c r="H1222" s="253">
        <v>1</v>
      </c>
      <c r="I1222" s="76">
        <v>1</v>
      </c>
      <c r="J1222" s="299" t="s">
        <v>286</v>
      </c>
      <c r="K1222" s="299"/>
      <c r="L1222" s="288"/>
      <c r="Q1222" s="288"/>
    </row>
    <row r="1223" spans="2:17" s="95" customFormat="1" ht="14.25" hidden="1" customHeight="1" outlineLevel="2">
      <c r="B1223" s="119" t="s">
        <v>272</v>
      </c>
      <c r="C1223" s="266" t="s">
        <v>2070</v>
      </c>
      <c r="D1223" s="124" t="s">
        <v>1773</v>
      </c>
      <c r="E1223" s="125"/>
      <c r="F1223" s="118" t="s">
        <v>1628</v>
      </c>
      <c r="G1223" s="126" t="str">
        <f t="shared" si="89"/>
        <v>AR-L45-1</v>
      </c>
      <c r="H1223" s="253">
        <v>1</v>
      </c>
      <c r="I1223" s="76">
        <v>1</v>
      </c>
      <c r="J1223" s="299" t="s">
        <v>286</v>
      </c>
      <c r="K1223" s="299"/>
      <c r="L1223" s="288"/>
      <c r="Q1223" s="288"/>
    </row>
    <row r="1224" spans="2:17" s="95" customFormat="1" ht="14.25" hidden="1" customHeight="1" outlineLevel="2">
      <c r="B1224" s="119" t="s">
        <v>272</v>
      </c>
      <c r="C1224" s="266" t="s">
        <v>2071</v>
      </c>
      <c r="D1224" s="124" t="s">
        <v>1775</v>
      </c>
      <c r="E1224" s="125"/>
      <c r="F1224" s="118" t="s">
        <v>1628</v>
      </c>
      <c r="G1224" s="126" t="str">
        <f t="shared" si="89"/>
        <v>AR-L45-1</v>
      </c>
      <c r="H1224" s="253">
        <v>1</v>
      </c>
      <c r="I1224" s="76">
        <v>1</v>
      </c>
      <c r="J1224" s="299" t="s">
        <v>286</v>
      </c>
      <c r="K1224" s="299"/>
      <c r="L1224" s="288"/>
      <c r="Q1224" s="288"/>
    </row>
    <row r="1225" spans="2:17" s="95" customFormat="1" ht="14.25" hidden="1" customHeight="1" outlineLevel="2">
      <c r="B1225" s="119" t="s">
        <v>272</v>
      </c>
      <c r="C1225" s="266" t="s">
        <v>2072</v>
      </c>
      <c r="D1225" s="124" t="s">
        <v>1777</v>
      </c>
      <c r="E1225" s="125"/>
      <c r="F1225" s="118" t="s">
        <v>1628</v>
      </c>
      <c r="G1225" s="126" t="str">
        <f t="shared" si="89"/>
        <v>AR-L45-1</v>
      </c>
      <c r="H1225" s="253">
        <v>1</v>
      </c>
      <c r="I1225" s="76">
        <v>1</v>
      </c>
      <c r="J1225" s="299" t="s">
        <v>286</v>
      </c>
      <c r="K1225" s="299"/>
      <c r="L1225" s="288"/>
      <c r="Q1225" s="288"/>
    </row>
    <row r="1226" spans="2:17" s="95" customFormat="1" ht="14.25" hidden="1" customHeight="1" outlineLevel="2">
      <c r="B1226" s="119" t="s">
        <v>272</v>
      </c>
      <c r="C1226" s="266" t="s">
        <v>2073</v>
      </c>
      <c r="D1226" s="124" t="s">
        <v>2074</v>
      </c>
      <c r="E1226" s="125"/>
      <c r="F1226" s="118" t="s">
        <v>1628</v>
      </c>
      <c r="G1226" s="126" t="str">
        <f t="shared" si="89"/>
        <v>AR-L45-1</v>
      </c>
      <c r="H1226" s="253">
        <v>1</v>
      </c>
      <c r="I1226" s="76">
        <v>1</v>
      </c>
      <c r="J1226" s="299" t="s">
        <v>286</v>
      </c>
      <c r="K1226" s="299"/>
      <c r="L1226" s="288"/>
      <c r="Q1226" s="288"/>
    </row>
    <row r="1227" spans="2:17" s="95" customFormat="1" ht="14.25" hidden="1" customHeight="1" outlineLevel="2">
      <c r="B1227" s="119" t="s">
        <v>272</v>
      </c>
      <c r="C1227" s="266" t="s">
        <v>2075</v>
      </c>
      <c r="D1227" s="124" t="s">
        <v>1781</v>
      </c>
      <c r="E1227" s="125"/>
      <c r="F1227" s="118" t="s">
        <v>1628</v>
      </c>
      <c r="G1227" s="126" t="str">
        <f t="shared" si="89"/>
        <v>AR-L45-1</v>
      </c>
      <c r="H1227" s="253">
        <v>1</v>
      </c>
      <c r="I1227" s="76">
        <v>1</v>
      </c>
      <c r="J1227" s="299" t="s">
        <v>286</v>
      </c>
      <c r="K1227" s="299"/>
      <c r="L1227" s="288"/>
      <c r="Q1227" s="288"/>
    </row>
    <row r="1228" spans="2:17" s="95" customFormat="1" ht="14.25" hidden="1" customHeight="1" outlineLevel="2">
      <c r="B1228" s="119" t="s">
        <v>272</v>
      </c>
      <c r="C1228" s="266" t="s">
        <v>2076</v>
      </c>
      <c r="D1228" s="124" t="s">
        <v>1783</v>
      </c>
      <c r="E1228" s="125"/>
      <c r="F1228" s="118" t="s">
        <v>1628</v>
      </c>
      <c r="G1228" s="126" t="str">
        <f t="shared" si="89"/>
        <v>AR-L45-1</v>
      </c>
      <c r="H1228" s="253">
        <v>1</v>
      </c>
      <c r="I1228" s="76">
        <v>1</v>
      </c>
      <c r="J1228" s="299" t="s">
        <v>286</v>
      </c>
      <c r="K1228" s="299"/>
      <c r="L1228" s="288"/>
      <c r="Q1228" s="288"/>
    </row>
    <row r="1229" spans="2:17" s="95" customFormat="1" ht="14.25" hidden="1" customHeight="1" outlineLevel="2">
      <c r="B1229" s="119" t="s">
        <v>272</v>
      </c>
      <c r="C1229" s="266" t="s">
        <v>2077</v>
      </c>
      <c r="D1229" s="124" t="s">
        <v>1785</v>
      </c>
      <c r="E1229" s="125"/>
      <c r="F1229" s="118" t="s">
        <v>1628</v>
      </c>
      <c r="G1229" s="126" t="str">
        <f t="shared" si="89"/>
        <v>AR-L45-1</v>
      </c>
      <c r="H1229" s="253">
        <v>1</v>
      </c>
      <c r="I1229" s="76">
        <v>1</v>
      </c>
      <c r="J1229" s="299" t="s">
        <v>286</v>
      </c>
      <c r="K1229" s="299"/>
      <c r="L1229" s="288"/>
      <c r="Q1229" s="288"/>
    </row>
    <row r="1230" spans="2:17" s="95" customFormat="1" ht="14.25" hidden="1" customHeight="1" outlineLevel="2">
      <c r="B1230" s="119" t="s">
        <v>272</v>
      </c>
      <c r="C1230" s="266" t="s">
        <v>2078</v>
      </c>
      <c r="D1230" s="124" t="s">
        <v>1787</v>
      </c>
      <c r="E1230" s="125"/>
      <c r="F1230" s="118" t="s">
        <v>1628</v>
      </c>
      <c r="G1230" s="126" t="str">
        <f t="shared" si="89"/>
        <v>AR-L45-1</v>
      </c>
      <c r="H1230" s="253">
        <v>1</v>
      </c>
      <c r="I1230" s="76">
        <v>1</v>
      </c>
      <c r="J1230" s="299" t="s">
        <v>286</v>
      </c>
      <c r="K1230" s="299"/>
      <c r="L1230" s="288"/>
      <c r="Q1230" s="288"/>
    </row>
    <row r="1231" spans="2:17" s="95" customFormat="1" ht="14.25" hidden="1" customHeight="1" outlineLevel="2">
      <c r="B1231" s="119" t="s">
        <v>272</v>
      </c>
      <c r="C1231" s="266" t="s">
        <v>2079</v>
      </c>
      <c r="D1231" s="124" t="s">
        <v>1789</v>
      </c>
      <c r="E1231" s="125"/>
      <c r="F1231" s="118" t="s">
        <v>1628</v>
      </c>
      <c r="G1231" s="126" t="str">
        <f t="shared" si="89"/>
        <v>AR-L45-1</v>
      </c>
      <c r="H1231" s="253">
        <v>1</v>
      </c>
      <c r="I1231" s="76">
        <v>1</v>
      </c>
      <c r="J1231" s="299" t="s">
        <v>286</v>
      </c>
      <c r="K1231" s="299"/>
      <c r="L1231" s="288"/>
      <c r="Q1231" s="288"/>
    </row>
    <row r="1232" spans="2:17" s="95" customFormat="1" ht="14.25" hidden="1" customHeight="1" outlineLevel="2">
      <c r="B1232" s="119" t="s">
        <v>272</v>
      </c>
      <c r="C1232" s="266" t="s">
        <v>2080</v>
      </c>
      <c r="D1232" s="124" t="s">
        <v>1791</v>
      </c>
      <c r="E1232" s="125"/>
      <c r="F1232" s="118" t="s">
        <v>1628</v>
      </c>
      <c r="G1232" s="126" t="str">
        <f t="shared" si="89"/>
        <v>AR-L45-1</v>
      </c>
      <c r="H1232" s="253">
        <v>1</v>
      </c>
      <c r="I1232" s="76">
        <v>1</v>
      </c>
      <c r="J1232" s="299" t="s">
        <v>286</v>
      </c>
      <c r="K1232" s="299"/>
      <c r="L1232" s="288"/>
      <c r="Q1232" s="288"/>
    </row>
    <row r="1233" spans="2:17" s="95" customFormat="1" ht="14.25" hidden="1" customHeight="1" outlineLevel="2">
      <c r="B1233" s="119" t="s">
        <v>272</v>
      </c>
      <c r="C1233" s="266" t="s">
        <v>2081</v>
      </c>
      <c r="D1233" s="124" t="s">
        <v>1793</v>
      </c>
      <c r="E1233" s="125"/>
      <c r="F1233" s="118" t="s">
        <v>1628</v>
      </c>
      <c r="G1233" s="126" t="str">
        <f t="shared" si="89"/>
        <v>AR-L45-1</v>
      </c>
      <c r="H1233" s="253">
        <v>1</v>
      </c>
      <c r="I1233" s="76">
        <v>1</v>
      </c>
      <c r="J1233" s="299" t="s">
        <v>286</v>
      </c>
      <c r="K1233" s="299"/>
      <c r="L1233" s="288"/>
      <c r="Q1233" s="288"/>
    </row>
    <row r="1234" spans="2:17" s="95" customFormat="1" ht="14.25" hidden="1" customHeight="1" outlineLevel="2">
      <c r="B1234" s="119" t="s">
        <v>272</v>
      </c>
      <c r="C1234" s="266" t="s">
        <v>2082</v>
      </c>
      <c r="D1234" s="124" t="s">
        <v>1848</v>
      </c>
      <c r="E1234" s="125"/>
      <c r="F1234" s="118" t="s">
        <v>1628</v>
      </c>
      <c r="G1234" s="126" t="str">
        <f t="shared" si="89"/>
        <v>AR-L45-1</v>
      </c>
      <c r="H1234" s="253">
        <v>1</v>
      </c>
      <c r="I1234" s="76">
        <v>1</v>
      </c>
      <c r="J1234" s="299" t="s">
        <v>286</v>
      </c>
      <c r="K1234" s="299"/>
      <c r="L1234" s="288"/>
      <c r="Q1234" s="288"/>
    </row>
    <row r="1235" spans="2:17" s="95" customFormat="1" ht="14.25" hidden="1" customHeight="1" outlineLevel="2">
      <c r="B1235" s="119" t="s">
        <v>272</v>
      </c>
      <c r="C1235" s="266" t="s">
        <v>2083</v>
      </c>
      <c r="D1235" s="124" t="s">
        <v>1502</v>
      </c>
      <c r="E1235" s="125"/>
      <c r="F1235" s="118" t="s">
        <v>1628</v>
      </c>
      <c r="G1235" s="126" t="str">
        <f t="shared" si="89"/>
        <v>AR-L45-1</v>
      </c>
      <c r="H1235" s="253">
        <v>1</v>
      </c>
      <c r="I1235" s="76">
        <v>1</v>
      </c>
      <c r="J1235" s="299" t="s">
        <v>286</v>
      </c>
      <c r="K1235" s="299"/>
      <c r="L1235" s="288"/>
      <c r="Q1235" s="288"/>
    </row>
    <row r="1236" spans="2:17" s="95" customFormat="1" ht="14.25" hidden="1" customHeight="1" outlineLevel="2">
      <c r="B1236" s="119" t="s">
        <v>272</v>
      </c>
      <c r="C1236" s="266" t="s">
        <v>2084</v>
      </c>
      <c r="D1236" s="124" t="s">
        <v>1092</v>
      </c>
      <c r="E1236" s="125"/>
      <c r="F1236" s="118" t="s">
        <v>1628</v>
      </c>
      <c r="G1236" s="126" t="str">
        <f t="shared" ref="G1236:G1259" si="90">CONCATENATE("AR-",F1236,"-",H1236)</f>
        <v>AR-L45-1</v>
      </c>
      <c r="H1236" s="253">
        <v>1</v>
      </c>
      <c r="I1236" s="76">
        <v>1</v>
      </c>
      <c r="J1236" s="299" t="s">
        <v>286</v>
      </c>
      <c r="K1236" s="299"/>
      <c r="L1236" s="288"/>
      <c r="Q1236" s="288"/>
    </row>
    <row r="1237" spans="2:17" s="95" customFormat="1" ht="14.25" hidden="1" customHeight="1" outlineLevel="2">
      <c r="B1237" s="119" t="s">
        <v>272</v>
      </c>
      <c r="C1237" s="266" t="s">
        <v>2085</v>
      </c>
      <c r="D1237" s="124" t="s">
        <v>1092</v>
      </c>
      <c r="E1237" s="125"/>
      <c r="F1237" s="118" t="s">
        <v>1628</v>
      </c>
      <c r="G1237" s="126" t="str">
        <f t="shared" si="90"/>
        <v>AR-L45-1</v>
      </c>
      <c r="H1237" s="253">
        <v>1</v>
      </c>
      <c r="I1237" s="76">
        <v>1</v>
      </c>
      <c r="J1237" s="299" t="s">
        <v>286</v>
      </c>
      <c r="K1237" s="299"/>
      <c r="L1237" s="288"/>
      <c r="Q1237" s="288"/>
    </row>
    <row r="1238" spans="2:17" s="95" customFormat="1" ht="14.25" hidden="1" customHeight="1" outlineLevel="2">
      <c r="B1238" s="119" t="s">
        <v>272</v>
      </c>
      <c r="C1238" s="266" t="s">
        <v>2086</v>
      </c>
      <c r="D1238" s="124" t="s">
        <v>1092</v>
      </c>
      <c r="E1238" s="125"/>
      <c r="F1238" s="118" t="s">
        <v>1628</v>
      </c>
      <c r="G1238" s="126" t="str">
        <f t="shared" si="90"/>
        <v>AR-L45-1</v>
      </c>
      <c r="H1238" s="253">
        <v>1</v>
      </c>
      <c r="I1238" s="76">
        <v>1</v>
      </c>
      <c r="J1238" s="299" t="s">
        <v>286</v>
      </c>
      <c r="K1238" s="299"/>
      <c r="L1238" s="288"/>
      <c r="Q1238" s="288"/>
    </row>
    <row r="1239" spans="2:17" s="95" customFormat="1" ht="14.25" hidden="1" customHeight="1" outlineLevel="2">
      <c r="B1239" s="119" t="s">
        <v>272</v>
      </c>
      <c r="C1239" s="266" t="s">
        <v>2087</v>
      </c>
      <c r="D1239" s="124" t="s">
        <v>1092</v>
      </c>
      <c r="E1239" s="125"/>
      <c r="F1239" s="118" t="s">
        <v>1628</v>
      </c>
      <c r="G1239" s="126" t="str">
        <f t="shared" si="90"/>
        <v>AR-L45-1</v>
      </c>
      <c r="H1239" s="253">
        <v>1</v>
      </c>
      <c r="I1239" s="76">
        <v>1</v>
      </c>
      <c r="J1239" s="299" t="s">
        <v>286</v>
      </c>
      <c r="K1239" s="299"/>
      <c r="L1239" s="288"/>
      <c r="Q1239" s="288"/>
    </row>
    <row r="1240" spans="2:17" s="95" customFormat="1" ht="14.25" hidden="1" customHeight="1" outlineLevel="2">
      <c r="B1240" s="119" t="s">
        <v>272</v>
      </c>
      <c r="C1240" s="266" t="s">
        <v>2088</v>
      </c>
      <c r="D1240" s="124" t="s">
        <v>1092</v>
      </c>
      <c r="E1240" s="125"/>
      <c r="F1240" s="118" t="s">
        <v>1628</v>
      </c>
      <c r="G1240" s="126" t="str">
        <f t="shared" si="90"/>
        <v>AR-L45-1</v>
      </c>
      <c r="H1240" s="253">
        <v>1</v>
      </c>
      <c r="I1240" s="76">
        <v>1</v>
      </c>
      <c r="J1240" s="299" t="s">
        <v>286</v>
      </c>
      <c r="K1240" s="299"/>
      <c r="L1240" s="288"/>
      <c r="Q1240" s="288"/>
    </row>
    <row r="1241" spans="2:17" s="95" customFormat="1" ht="14.25" hidden="1" customHeight="1" outlineLevel="2">
      <c r="B1241" s="119" t="s">
        <v>272</v>
      </c>
      <c r="C1241" s="266" t="s">
        <v>2089</v>
      </c>
      <c r="D1241" s="124" t="s">
        <v>1092</v>
      </c>
      <c r="E1241" s="125"/>
      <c r="F1241" s="118" t="s">
        <v>1628</v>
      </c>
      <c r="G1241" s="126" t="str">
        <f t="shared" si="90"/>
        <v>AR-L45-1</v>
      </c>
      <c r="H1241" s="253">
        <v>1</v>
      </c>
      <c r="I1241" s="76">
        <v>1</v>
      </c>
      <c r="J1241" s="299" t="s">
        <v>286</v>
      </c>
      <c r="K1241" s="299"/>
      <c r="L1241" s="288"/>
      <c r="Q1241" s="288"/>
    </row>
    <row r="1242" spans="2:17" s="95" customFormat="1" ht="14.25" hidden="1" customHeight="1" outlineLevel="2">
      <c r="B1242" s="119" t="s">
        <v>272</v>
      </c>
      <c r="C1242" s="266" t="s">
        <v>2090</v>
      </c>
      <c r="D1242" s="124" t="s">
        <v>1092</v>
      </c>
      <c r="E1242" s="125"/>
      <c r="F1242" s="118" t="s">
        <v>1628</v>
      </c>
      <c r="G1242" s="126" t="str">
        <f t="shared" si="90"/>
        <v>AR-L45-1</v>
      </c>
      <c r="H1242" s="253">
        <v>1</v>
      </c>
      <c r="I1242" s="76">
        <v>1</v>
      </c>
      <c r="J1242" s="299" t="s">
        <v>286</v>
      </c>
      <c r="K1242" s="299"/>
      <c r="L1242" s="288"/>
      <c r="Q1242" s="288"/>
    </row>
    <row r="1243" spans="2:17" s="95" customFormat="1" ht="14.25" hidden="1" customHeight="1" outlineLevel="2">
      <c r="B1243" s="119" t="s">
        <v>272</v>
      </c>
      <c r="C1243" s="266" t="s">
        <v>2091</v>
      </c>
      <c r="D1243" s="124" t="s">
        <v>1092</v>
      </c>
      <c r="E1243" s="125"/>
      <c r="F1243" s="118" t="s">
        <v>1628</v>
      </c>
      <c r="G1243" s="126" t="str">
        <f t="shared" si="90"/>
        <v>AR-L45-1</v>
      </c>
      <c r="H1243" s="253">
        <v>1</v>
      </c>
      <c r="I1243" s="76">
        <v>1</v>
      </c>
      <c r="J1243" s="299" t="s">
        <v>286</v>
      </c>
      <c r="K1243" s="299"/>
      <c r="L1243" s="288"/>
      <c r="Q1243" s="288"/>
    </row>
    <row r="1244" spans="2:17" s="95" customFormat="1" ht="14.25" hidden="1" customHeight="1" outlineLevel="2">
      <c r="B1244" s="119" t="s">
        <v>272</v>
      </c>
      <c r="C1244" s="266" t="s">
        <v>2092</v>
      </c>
      <c r="D1244" s="124" t="s">
        <v>1092</v>
      </c>
      <c r="E1244" s="125"/>
      <c r="F1244" s="118" t="s">
        <v>1628</v>
      </c>
      <c r="G1244" s="126" t="str">
        <f t="shared" si="90"/>
        <v>AR-L45-1</v>
      </c>
      <c r="H1244" s="253">
        <v>1</v>
      </c>
      <c r="I1244" s="76">
        <v>1</v>
      </c>
      <c r="J1244" s="299" t="s">
        <v>286</v>
      </c>
      <c r="K1244" s="299"/>
      <c r="L1244" s="288"/>
      <c r="Q1244" s="288"/>
    </row>
    <row r="1245" spans="2:17" s="95" customFormat="1" ht="14.25" hidden="1" customHeight="1" outlineLevel="2">
      <c r="B1245" s="119" t="s">
        <v>272</v>
      </c>
      <c r="C1245" s="266" t="s">
        <v>2093</v>
      </c>
      <c r="D1245" s="124" t="s">
        <v>1092</v>
      </c>
      <c r="E1245" s="125"/>
      <c r="F1245" s="118" t="s">
        <v>1628</v>
      </c>
      <c r="G1245" s="126" t="str">
        <f t="shared" si="90"/>
        <v>AR-L45-1</v>
      </c>
      <c r="H1245" s="253">
        <v>1</v>
      </c>
      <c r="I1245" s="76">
        <v>1</v>
      </c>
      <c r="J1245" s="299" t="s">
        <v>286</v>
      </c>
      <c r="K1245" s="299"/>
      <c r="L1245" s="288"/>
      <c r="Q1245" s="288"/>
    </row>
    <row r="1246" spans="2:17" s="95" customFormat="1" ht="14.25" hidden="1" customHeight="1" outlineLevel="2">
      <c r="B1246" s="119" t="s">
        <v>272</v>
      </c>
      <c r="C1246" s="266" t="s">
        <v>2094</v>
      </c>
      <c r="D1246" s="124" t="s">
        <v>1092</v>
      </c>
      <c r="E1246" s="125"/>
      <c r="F1246" s="118" t="s">
        <v>1628</v>
      </c>
      <c r="G1246" s="126" t="str">
        <f t="shared" si="90"/>
        <v>AR-L45-1</v>
      </c>
      <c r="H1246" s="253">
        <v>1</v>
      </c>
      <c r="I1246" s="76">
        <v>1</v>
      </c>
      <c r="J1246" s="299" t="s">
        <v>286</v>
      </c>
      <c r="K1246" s="299"/>
      <c r="L1246" s="288"/>
      <c r="Q1246" s="288"/>
    </row>
    <row r="1247" spans="2:17" s="95" customFormat="1" ht="14.25" hidden="1" customHeight="1" outlineLevel="2">
      <c r="B1247" s="119" t="s">
        <v>272</v>
      </c>
      <c r="C1247" s="266" t="s">
        <v>2095</v>
      </c>
      <c r="D1247" s="124" t="s">
        <v>1120</v>
      </c>
      <c r="E1247" s="125"/>
      <c r="F1247" s="118" t="s">
        <v>1628</v>
      </c>
      <c r="G1247" s="126" t="str">
        <f t="shared" si="90"/>
        <v>AR-L45-1</v>
      </c>
      <c r="H1247" s="253">
        <v>1</v>
      </c>
      <c r="I1247" s="76">
        <v>1</v>
      </c>
      <c r="J1247" s="299" t="s">
        <v>286</v>
      </c>
      <c r="K1247" s="299"/>
      <c r="L1247" s="288"/>
      <c r="Q1247" s="288"/>
    </row>
    <row r="1248" spans="2:17" s="95" customFormat="1" ht="14.25" hidden="1" customHeight="1" outlineLevel="2">
      <c r="B1248" s="119" t="s">
        <v>272</v>
      </c>
      <c r="C1248" s="266" t="s">
        <v>2096</v>
      </c>
      <c r="D1248" s="124" t="s">
        <v>2097</v>
      </c>
      <c r="E1248" s="125"/>
      <c r="F1248" s="118" t="s">
        <v>1628</v>
      </c>
      <c r="G1248" s="126" t="str">
        <f t="shared" si="90"/>
        <v>AR-L45-1</v>
      </c>
      <c r="H1248" s="253">
        <v>1</v>
      </c>
      <c r="I1248" s="76">
        <v>1</v>
      </c>
      <c r="J1248" s="299" t="s">
        <v>286</v>
      </c>
      <c r="K1248" s="299"/>
      <c r="L1248" s="288"/>
      <c r="Q1248" s="288"/>
    </row>
    <row r="1249" spans="2:17" s="95" customFormat="1" ht="14.25" hidden="1" customHeight="1" outlineLevel="2">
      <c r="B1249" s="119" t="s">
        <v>272</v>
      </c>
      <c r="C1249" s="266" t="s">
        <v>2098</v>
      </c>
      <c r="D1249" s="124" t="s">
        <v>2099</v>
      </c>
      <c r="E1249" s="125"/>
      <c r="F1249" s="118" t="s">
        <v>1628</v>
      </c>
      <c r="G1249" s="126" t="str">
        <f t="shared" si="90"/>
        <v>AR-L45-1</v>
      </c>
      <c r="H1249" s="253">
        <v>1</v>
      </c>
      <c r="I1249" s="76">
        <v>1</v>
      </c>
      <c r="J1249" s="299" t="s">
        <v>286</v>
      </c>
      <c r="K1249" s="299"/>
      <c r="L1249" s="288"/>
      <c r="Q1249" s="288"/>
    </row>
    <row r="1250" spans="2:17" s="95" customFormat="1" ht="14.25" hidden="1" customHeight="1" outlineLevel="2">
      <c r="B1250" s="119" t="s">
        <v>272</v>
      </c>
      <c r="C1250" s="266" t="s">
        <v>2100</v>
      </c>
      <c r="D1250" s="124" t="s">
        <v>2101</v>
      </c>
      <c r="E1250" s="125"/>
      <c r="F1250" s="118" t="s">
        <v>1628</v>
      </c>
      <c r="G1250" s="126" t="str">
        <f t="shared" si="90"/>
        <v>AR-L45-1</v>
      </c>
      <c r="H1250" s="253">
        <v>1</v>
      </c>
      <c r="I1250" s="76">
        <v>1</v>
      </c>
      <c r="J1250" s="299" t="s">
        <v>286</v>
      </c>
      <c r="K1250" s="299"/>
      <c r="L1250" s="288"/>
      <c r="Q1250" s="288"/>
    </row>
    <row r="1251" spans="2:17" s="95" customFormat="1" ht="14.25" hidden="1" customHeight="1" outlineLevel="2">
      <c r="B1251" s="119" t="s">
        <v>272</v>
      </c>
      <c r="C1251" s="266" t="s">
        <v>2102</v>
      </c>
      <c r="D1251" s="124" t="s">
        <v>2103</v>
      </c>
      <c r="E1251" s="125"/>
      <c r="F1251" s="118" t="s">
        <v>1628</v>
      </c>
      <c r="G1251" s="126" t="str">
        <f t="shared" si="90"/>
        <v>AR-L45-1</v>
      </c>
      <c r="H1251" s="253">
        <v>1</v>
      </c>
      <c r="I1251" s="76">
        <v>1</v>
      </c>
      <c r="J1251" s="299" t="s">
        <v>286</v>
      </c>
      <c r="K1251" s="299"/>
      <c r="L1251" s="288"/>
      <c r="Q1251" s="288"/>
    </row>
    <row r="1252" spans="2:17" s="95" customFormat="1" ht="14.25" hidden="1" customHeight="1" outlineLevel="2">
      <c r="B1252" s="119" t="s">
        <v>272</v>
      </c>
      <c r="C1252" s="266" t="s">
        <v>2104</v>
      </c>
      <c r="D1252" s="124" t="s">
        <v>2105</v>
      </c>
      <c r="E1252" s="125"/>
      <c r="F1252" s="118" t="s">
        <v>1628</v>
      </c>
      <c r="G1252" s="126" t="str">
        <f t="shared" si="90"/>
        <v>AR-L45-1</v>
      </c>
      <c r="H1252" s="253">
        <v>1</v>
      </c>
      <c r="I1252" s="76">
        <v>1</v>
      </c>
      <c r="J1252" s="299" t="s">
        <v>286</v>
      </c>
      <c r="K1252" s="299"/>
      <c r="L1252" s="288"/>
      <c r="Q1252" s="288"/>
    </row>
    <row r="1253" spans="2:17" s="95" customFormat="1" ht="14.25" hidden="1" customHeight="1" outlineLevel="2">
      <c r="B1253" s="119" t="s">
        <v>272</v>
      </c>
      <c r="C1253" s="266" t="s">
        <v>2106</v>
      </c>
      <c r="D1253" s="124" t="s">
        <v>2107</v>
      </c>
      <c r="E1253" s="125"/>
      <c r="F1253" s="118" t="s">
        <v>1628</v>
      </c>
      <c r="G1253" s="126" t="str">
        <f t="shared" si="90"/>
        <v>AR-L45-1</v>
      </c>
      <c r="H1253" s="253">
        <v>1</v>
      </c>
      <c r="I1253" s="76">
        <v>1</v>
      </c>
      <c r="J1253" s="299" t="s">
        <v>286</v>
      </c>
      <c r="K1253" s="299"/>
      <c r="L1253" s="288"/>
      <c r="Q1253" s="288"/>
    </row>
    <row r="1254" spans="2:17" s="95" customFormat="1" ht="14.25" hidden="1" customHeight="1" outlineLevel="2">
      <c r="B1254" s="119" t="s">
        <v>272</v>
      </c>
      <c r="C1254" s="266" t="s">
        <v>2108</v>
      </c>
      <c r="D1254" s="124" t="s">
        <v>2109</v>
      </c>
      <c r="E1254" s="125"/>
      <c r="F1254" s="118" t="s">
        <v>1628</v>
      </c>
      <c r="G1254" s="126" t="str">
        <f t="shared" si="90"/>
        <v>AR-L45-1</v>
      </c>
      <c r="H1254" s="253">
        <v>1</v>
      </c>
      <c r="I1254" s="76">
        <v>1</v>
      </c>
      <c r="J1254" s="299" t="s">
        <v>286</v>
      </c>
      <c r="K1254" s="299"/>
      <c r="L1254" s="288"/>
      <c r="Q1254" s="288"/>
    </row>
    <row r="1255" spans="2:17" s="95" customFormat="1" ht="14.25" hidden="1" customHeight="1" outlineLevel="2">
      <c r="B1255" s="119" t="s">
        <v>272</v>
      </c>
      <c r="C1255" s="266" t="s">
        <v>2110</v>
      </c>
      <c r="D1255" s="124" t="s">
        <v>2111</v>
      </c>
      <c r="E1255" s="125"/>
      <c r="F1255" s="118" t="s">
        <v>1628</v>
      </c>
      <c r="G1255" s="126" t="str">
        <f t="shared" si="90"/>
        <v>AR-L45-1</v>
      </c>
      <c r="H1255" s="253">
        <v>1</v>
      </c>
      <c r="I1255" s="76">
        <v>1</v>
      </c>
      <c r="J1255" s="299" t="s">
        <v>286</v>
      </c>
      <c r="K1255" s="299"/>
      <c r="L1255" s="288"/>
      <c r="Q1255" s="288"/>
    </row>
    <row r="1256" spans="2:17" s="95" customFormat="1" ht="14.25" hidden="1" customHeight="1" outlineLevel="2">
      <c r="B1256" s="119" t="s">
        <v>272</v>
      </c>
      <c r="C1256" s="266" t="s">
        <v>2112</v>
      </c>
      <c r="D1256" s="124" t="s">
        <v>2113</v>
      </c>
      <c r="E1256" s="125"/>
      <c r="F1256" s="118" t="s">
        <v>1628</v>
      </c>
      <c r="G1256" s="126" t="str">
        <f t="shared" si="90"/>
        <v>AR-L45-1</v>
      </c>
      <c r="H1256" s="253">
        <v>1</v>
      </c>
      <c r="I1256" s="76">
        <v>1</v>
      </c>
      <c r="J1256" s="299" t="s">
        <v>286</v>
      </c>
      <c r="K1256" s="299"/>
      <c r="L1256" s="288"/>
      <c r="Q1256" s="288"/>
    </row>
    <row r="1257" spans="2:17" s="95" customFormat="1" ht="14.25" hidden="1" customHeight="1" outlineLevel="2">
      <c r="B1257" s="119" t="s">
        <v>272</v>
      </c>
      <c r="C1257" s="266" t="s">
        <v>2114</v>
      </c>
      <c r="D1257" s="124" t="s">
        <v>2115</v>
      </c>
      <c r="E1257" s="125"/>
      <c r="F1257" s="118" t="s">
        <v>1628</v>
      </c>
      <c r="G1257" s="126" t="str">
        <f t="shared" si="90"/>
        <v>AR-L45-1</v>
      </c>
      <c r="H1257" s="253">
        <v>1</v>
      </c>
      <c r="I1257" s="76">
        <v>1</v>
      </c>
      <c r="J1257" s="299" t="s">
        <v>286</v>
      </c>
      <c r="K1257" s="299"/>
      <c r="L1257" s="288"/>
      <c r="Q1257" s="288"/>
    </row>
    <row r="1258" spans="2:17" s="95" customFormat="1" ht="14.25" hidden="1" customHeight="1" outlineLevel="2">
      <c r="B1258" s="119" t="s">
        <v>272</v>
      </c>
      <c r="C1258" s="266" t="s">
        <v>2116</v>
      </c>
      <c r="D1258" s="124" t="s">
        <v>2117</v>
      </c>
      <c r="E1258" s="125"/>
      <c r="F1258" s="118" t="s">
        <v>1628</v>
      </c>
      <c r="G1258" s="126" t="str">
        <f t="shared" si="90"/>
        <v>AR-L45-1</v>
      </c>
      <c r="H1258" s="253">
        <v>1</v>
      </c>
      <c r="I1258" s="76">
        <v>1</v>
      </c>
      <c r="J1258" s="299" t="s">
        <v>286</v>
      </c>
      <c r="K1258" s="299"/>
      <c r="L1258" s="288"/>
      <c r="Q1258" s="288"/>
    </row>
    <row r="1259" spans="2:17" s="95" customFormat="1" ht="14.25" hidden="1" customHeight="1" outlineLevel="2">
      <c r="B1259" s="119" t="s">
        <v>272</v>
      </c>
      <c r="C1259" s="266" t="s">
        <v>2118</v>
      </c>
      <c r="D1259" s="124" t="s">
        <v>2119</v>
      </c>
      <c r="E1259" s="125"/>
      <c r="F1259" s="118" t="s">
        <v>1628</v>
      </c>
      <c r="G1259" s="126" t="str">
        <f t="shared" si="90"/>
        <v>AR-L45-1</v>
      </c>
      <c r="H1259" s="253">
        <v>1</v>
      </c>
      <c r="I1259" s="76">
        <v>1</v>
      </c>
      <c r="J1259" s="299" t="s">
        <v>286</v>
      </c>
      <c r="K1259" s="299"/>
      <c r="L1259" s="288"/>
      <c r="Q1259" s="288"/>
    </row>
    <row r="1260" spans="2:17" s="95" customFormat="1" ht="14.25" hidden="1" customHeight="1" outlineLevel="2">
      <c r="B1260" s="119" t="s">
        <v>272</v>
      </c>
      <c r="C1260" s="266" t="s">
        <v>2120</v>
      </c>
      <c r="D1260" s="124" t="s">
        <v>2121</v>
      </c>
      <c r="E1260" s="125"/>
      <c r="F1260" s="118" t="s">
        <v>1628</v>
      </c>
      <c r="G1260" s="126" t="str">
        <f t="shared" ref="G1260:G1264" si="91">CONCATENATE("AR-",F1260,"-",H1260)</f>
        <v>AR-L45-1</v>
      </c>
      <c r="H1260" s="253">
        <v>1</v>
      </c>
      <c r="I1260" s="76">
        <v>1</v>
      </c>
      <c r="J1260" s="299" t="s">
        <v>286</v>
      </c>
      <c r="K1260" s="299"/>
      <c r="L1260" s="288"/>
      <c r="Q1260" s="288"/>
    </row>
    <row r="1261" spans="2:17" s="95" customFormat="1" ht="14.25" hidden="1" customHeight="1" outlineLevel="2">
      <c r="B1261" s="119" t="s">
        <v>272</v>
      </c>
      <c r="C1261" s="266" t="s">
        <v>2122</v>
      </c>
      <c r="D1261" s="124" t="s">
        <v>2123</v>
      </c>
      <c r="E1261" s="125"/>
      <c r="F1261" s="118" t="s">
        <v>1628</v>
      </c>
      <c r="G1261" s="126" t="str">
        <f t="shared" si="91"/>
        <v>AR-L45-1</v>
      </c>
      <c r="H1261" s="253">
        <v>1</v>
      </c>
      <c r="I1261" s="76">
        <v>1</v>
      </c>
      <c r="J1261" s="299" t="s">
        <v>286</v>
      </c>
      <c r="K1261" s="299"/>
      <c r="L1261" s="288"/>
      <c r="Q1261" s="288"/>
    </row>
    <row r="1262" spans="2:17" s="95" customFormat="1" ht="14.25" hidden="1" customHeight="1" outlineLevel="2">
      <c r="B1262" s="119" t="s">
        <v>272</v>
      </c>
      <c r="C1262" s="266" t="s">
        <v>2124</v>
      </c>
      <c r="D1262" s="124" t="s">
        <v>2125</v>
      </c>
      <c r="E1262" s="125"/>
      <c r="F1262" s="118" t="s">
        <v>1628</v>
      </c>
      <c r="G1262" s="126" t="str">
        <f t="shared" si="91"/>
        <v>AR-L45-1</v>
      </c>
      <c r="H1262" s="253">
        <v>1</v>
      </c>
      <c r="I1262" s="76">
        <v>1</v>
      </c>
      <c r="J1262" s="299" t="s">
        <v>286</v>
      </c>
      <c r="K1262" s="299"/>
      <c r="L1262" s="288"/>
      <c r="Q1262" s="288"/>
    </row>
    <row r="1263" spans="2:17" s="95" customFormat="1" ht="14.25" hidden="1" customHeight="1" outlineLevel="2">
      <c r="B1263" s="119" t="s">
        <v>272</v>
      </c>
      <c r="C1263" s="266" t="s">
        <v>2126</v>
      </c>
      <c r="D1263" s="124" t="s">
        <v>1822</v>
      </c>
      <c r="E1263" s="125"/>
      <c r="F1263" s="118" t="s">
        <v>1628</v>
      </c>
      <c r="G1263" s="126" t="str">
        <f t="shared" si="91"/>
        <v>AR-L45-1</v>
      </c>
      <c r="H1263" s="253">
        <v>1</v>
      </c>
      <c r="I1263" s="76">
        <v>1</v>
      </c>
      <c r="J1263" s="299" t="s">
        <v>286</v>
      </c>
      <c r="K1263" s="299"/>
      <c r="L1263" s="288"/>
      <c r="Q1263" s="288"/>
    </row>
    <row r="1264" spans="2:17" s="95" customFormat="1" ht="14.25" hidden="1" customHeight="1" outlineLevel="2">
      <c r="B1264" s="119" t="s">
        <v>272</v>
      </c>
      <c r="C1264" s="266" t="s">
        <v>2127</v>
      </c>
      <c r="D1264" s="124" t="s">
        <v>2128</v>
      </c>
      <c r="E1264" s="125"/>
      <c r="F1264" s="118" t="s">
        <v>1628</v>
      </c>
      <c r="G1264" s="126" t="str">
        <f t="shared" si="91"/>
        <v>AR-L45-1</v>
      </c>
      <c r="H1264" s="253">
        <v>1</v>
      </c>
      <c r="I1264" s="76">
        <v>1</v>
      </c>
      <c r="J1264" s="299" t="s">
        <v>286</v>
      </c>
      <c r="K1264" s="299"/>
      <c r="L1264" s="288"/>
      <c r="Q1264" s="288"/>
    </row>
    <row r="1265" spans="2:17" s="95" customFormat="1" ht="3" hidden="1" customHeight="1" outlineLevel="1">
      <c r="B1265" s="119"/>
      <c r="C1265" s="266"/>
      <c r="D1265" s="124" t="s">
        <v>299</v>
      </c>
      <c r="E1265" s="125"/>
      <c r="F1265" s="118"/>
      <c r="G1265" s="126"/>
      <c r="H1265" s="253"/>
      <c r="I1265" s="93"/>
      <c r="J1265" s="302"/>
      <c r="K1265" s="302"/>
      <c r="L1265" s="288"/>
      <c r="Q1265" s="288"/>
    </row>
    <row r="1266" spans="2:17" s="91" customFormat="1" ht="14.25" hidden="1" customHeight="1" outlineLevel="1">
      <c r="B1266" s="135" t="s">
        <v>2129</v>
      </c>
      <c r="C1266" s="266"/>
      <c r="D1266" s="124"/>
      <c r="E1266" s="125"/>
      <c r="F1266" s="118"/>
      <c r="G1266" s="126"/>
      <c r="H1266" s="253"/>
      <c r="I1266" s="89"/>
      <c r="J1266" s="301"/>
      <c r="K1266" s="301"/>
      <c r="L1266" s="287"/>
      <c r="Q1266" s="287"/>
    </row>
    <row r="1267" spans="2:17" s="83" customFormat="1" ht="3" hidden="1" customHeight="1" outlineLevel="2">
      <c r="B1267" s="119"/>
      <c r="C1267" s="266"/>
      <c r="D1267" s="124" t="s">
        <v>299</v>
      </c>
      <c r="E1267" s="125"/>
      <c r="F1267" s="118"/>
      <c r="G1267" s="126"/>
      <c r="H1267" s="253"/>
      <c r="I1267" s="76"/>
      <c r="J1267" s="300"/>
      <c r="K1267" s="300"/>
      <c r="L1267" s="86"/>
      <c r="Q1267" s="86"/>
    </row>
    <row r="1268" spans="2:17" s="83" customFormat="1" ht="13.5" hidden="1" customHeight="1" outlineLevel="2">
      <c r="B1268" s="119" t="s">
        <v>2130</v>
      </c>
      <c r="C1268" s="266"/>
      <c r="D1268" s="124"/>
      <c r="E1268" s="125"/>
      <c r="F1268" s="118"/>
      <c r="G1268" s="126"/>
      <c r="H1268" s="253"/>
      <c r="I1268" s="76"/>
      <c r="J1268" s="300"/>
      <c r="K1268" s="300"/>
      <c r="L1268" s="86"/>
      <c r="Q1268" s="86"/>
    </row>
    <row r="1269" spans="2:17" s="83" customFormat="1" ht="13.5" hidden="1" customHeight="1" outlineLevel="2">
      <c r="B1269" s="119" t="s">
        <v>272</v>
      </c>
      <c r="C1269" s="266" t="s">
        <v>2131</v>
      </c>
      <c r="D1269" s="124" t="s">
        <v>2132</v>
      </c>
      <c r="E1269" s="125"/>
      <c r="F1269" s="118" t="s">
        <v>2133</v>
      </c>
      <c r="G1269" s="126" t="str">
        <f t="shared" ref="G1269:G1274" si="92">CONCATENATE("AR-",F1269,"-",H1269)</f>
        <v>AR-V50-1</v>
      </c>
      <c r="H1269" s="253">
        <v>1</v>
      </c>
      <c r="I1269" s="76">
        <v>1</v>
      </c>
      <c r="J1269" s="299" t="s">
        <v>286</v>
      </c>
      <c r="K1269" s="299"/>
      <c r="L1269" s="86"/>
      <c r="Q1269" s="86"/>
    </row>
    <row r="1270" spans="2:17" s="83" customFormat="1" ht="13.5" hidden="1" customHeight="1" outlineLevel="2">
      <c r="B1270" s="119" t="s">
        <v>272</v>
      </c>
      <c r="C1270" s="266" t="s">
        <v>2134</v>
      </c>
      <c r="D1270" s="124" t="s">
        <v>2135</v>
      </c>
      <c r="E1270" s="125"/>
      <c r="F1270" s="118" t="s">
        <v>2133</v>
      </c>
      <c r="G1270" s="126" t="str">
        <f t="shared" si="92"/>
        <v>AR-V50-1</v>
      </c>
      <c r="H1270" s="253">
        <v>1</v>
      </c>
      <c r="I1270" s="76">
        <v>1</v>
      </c>
      <c r="J1270" s="299" t="s">
        <v>286</v>
      </c>
      <c r="K1270" s="299"/>
      <c r="L1270" s="86"/>
      <c r="Q1270" s="86"/>
    </row>
    <row r="1271" spans="2:17" s="83" customFormat="1" ht="13.5" hidden="1" customHeight="1" outlineLevel="2">
      <c r="B1271" s="119" t="s">
        <v>272</v>
      </c>
      <c r="C1271" s="266" t="s">
        <v>2136</v>
      </c>
      <c r="D1271" s="124" t="s">
        <v>2137</v>
      </c>
      <c r="E1271" s="125"/>
      <c r="F1271" s="118" t="s">
        <v>2133</v>
      </c>
      <c r="G1271" s="126" t="str">
        <f t="shared" si="92"/>
        <v>AR-V50-1</v>
      </c>
      <c r="H1271" s="253">
        <v>1</v>
      </c>
      <c r="I1271" s="76">
        <v>1</v>
      </c>
      <c r="J1271" s="299" t="s">
        <v>286</v>
      </c>
      <c r="K1271" s="299"/>
      <c r="L1271" s="86"/>
      <c r="Q1271" s="86"/>
    </row>
    <row r="1272" spans="2:17" s="83" customFormat="1" ht="13.5" hidden="1" customHeight="1" outlineLevel="2">
      <c r="B1272" s="119" t="s">
        <v>272</v>
      </c>
      <c r="C1272" s="266" t="s">
        <v>2138</v>
      </c>
      <c r="D1272" s="124" t="s">
        <v>2139</v>
      </c>
      <c r="E1272" s="125"/>
      <c r="F1272" s="118" t="s">
        <v>2133</v>
      </c>
      <c r="G1272" s="126" t="str">
        <f t="shared" si="92"/>
        <v>AR-V50-1</v>
      </c>
      <c r="H1272" s="253">
        <v>1</v>
      </c>
      <c r="I1272" s="76">
        <v>1</v>
      </c>
      <c r="J1272" s="299" t="s">
        <v>286</v>
      </c>
      <c r="K1272" s="299"/>
      <c r="L1272" s="86"/>
      <c r="Q1272" s="86"/>
    </row>
    <row r="1273" spans="2:17" s="83" customFormat="1" ht="13.5" hidden="1" customHeight="1" outlineLevel="2">
      <c r="B1273" s="119" t="s">
        <v>272</v>
      </c>
      <c r="C1273" s="266" t="s">
        <v>2140</v>
      </c>
      <c r="D1273" s="124" t="s">
        <v>2141</v>
      </c>
      <c r="E1273" s="125"/>
      <c r="F1273" s="118" t="s">
        <v>2133</v>
      </c>
      <c r="G1273" s="126" t="str">
        <f t="shared" si="92"/>
        <v>AR-V50-1</v>
      </c>
      <c r="H1273" s="253">
        <v>1</v>
      </c>
      <c r="I1273" s="76">
        <v>1</v>
      </c>
      <c r="J1273" s="299" t="s">
        <v>286</v>
      </c>
      <c r="K1273" s="299"/>
      <c r="L1273" s="86"/>
      <c r="Q1273" s="86"/>
    </row>
    <row r="1274" spans="2:17" s="83" customFormat="1" ht="13.5" hidden="1" customHeight="1" outlineLevel="2">
      <c r="B1274" s="119" t="s">
        <v>272</v>
      </c>
      <c r="C1274" s="266" t="s">
        <v>2142</v>
      </c>
      <c r="D1274" s="124" t="s">
        <v>2143</v>
      </c>
      <c r="E1274" s="125"/>
      <c r="F1274" s="118" t="s">
        <v>2133</v>
      </c>
      <c r="G1274" s="126" t="str">
        <f t="shared" si="92"/>
        <v>AR-V50-1</v>
      </c>
      <c r="H1274" s="253">
        <v>1</v>
      </c>
      <c r="I1274" s="76">
        <v>1</v>
      </c>
      <c r="J1274" s="299" t="s">
        <v>286</v>
      </c>
      <c r="K1274" s="299"/>
      <c r="L1274" s="86"/>
      <c r="Q1274" s="86"/>
    </row>
    <row r="1275" spans="2:17" s="83" customFormat="1" ht="3" hidden="1" customHeight="1" outlineLevel="2">
      <c r="B1275" s="119"/>
      <c r="C1275" s="266"/>
      <c r="D1275" s="124" t="s">
        <v>299</v>
      </c>
      <c r="E1275" s="125"/>
      <c r="F1275" s="118"/>
      <c r="G1275" s="126"/>
      <c r="H1275" s="253"/>
      <c r="I1275" s="253"/>
      <c r="J1275" s="300"/>
      <c r="K1275" s="300"/>
      <c r="L1275" s="86"/>
      <c r="Q1275" s="86"/>
    </row>
    <row r="1276" spans="2:17" s="83" customFormat="1" ht="13.5" hidden="1" customHeight="1" outlineLevel="2">
      <c r="B1276" s="119" t="s">
        <v>2144</v>
      </c>
      <c r="C1276" s="266"/>
      <c r="D1276" s="124"/>
      <c r="E1276" s="125"/>
      <c r="F1276" s="118"/>
      <c r="G1276" s="126"/>
      <c r="H1276" s="253"/>
      <c r="I1276" s="253"/>
      <c r="J1276" s="300"/>
      <c r="K1276" s="300"/>
      <c r="L1276" s="86"/>
      <c r="Q1276" s="86"/>
    </row>
    <row r="1277" spans="2:17" s="83" customFormat="1" ht="13.5" hidden="1" customHeight="1" outlineLevel="2">
      <c r="B1277" s="119" t="s">
        <v>272</v>
      </c>
      <c r="C1277" s="266" t="s">
        <v>2145</v>
      </c>
      <c r="D1277" s="124" t="s">
        <v>2146</v>
      </c>
      <c r="E1277" s="125"/>
      <c r="F1277" s="118" t="s">
        <v>2133</v>
      </c>
      <c r="G1277" s="126" t="str">
        <f>CONCATENATE("AR-",F1277,"-",H1277)</f>
        <v>AR-V50-1</v>
      </c>
      <c r="H1277" s="253">
        <v>1</v>
      </c>
      <c r="I1277" s="76">
        <v>1</v>
      </c>
      <c r="J1277" s="299" t="s">
        <v>286</v>
      </c>
      <c r="K1277" s="299"/>
      <c r="L1277" s="86"/>
      <c r="Q1277" s="86"/>
    </row>
    <row r="1278" spans="2:17" s="83" customFormat="1" ht="13.5" hidden="1" customHeight="1" outlineLevel="2">
      <c r="B1278" s="119" t="s">
        <v>272</v>
      </c>
      <c r="C1278" s="266" t="s">
        <v>1276</v>
      </c>
      <c r="D1278" s="124" t="s">
        <v>2147</v>
      </c>
      <c r="E1278" s="125"/>
      <c r="F1278" s="118" t="s">
        <v>2133</v>
      </c>
      <c r="G1278" s="126" t="str">
        <f>CONCATENATE("AR-",F1278,"-",H1278)</f>
        <v>AR-V50-1</v>
      </c>
      <c r="H1278" s="253">
        <v>1</v>
      </c>
      <c r="I1278" s="76">
        <v>1</v>
      </c>
      <c r="J1278" s="299" t="s">
        <v>307</v>
      </c>
      <c r="K1278" s="299"/>
      <c r="L1278" s="86"/>
      <c r="Q1278" s="86"/>
    </row>
    <row r="1279" spans="2:17" s="100" customFormat="1" ht="13.5" hidden="1" customHeight="1" outlineLevel="2">
      <c r="B1279" s="119" t="s">
        <v>272</v>
      </c>
      <c r="C1279" s="266" t="s">
        <v>2148</v>
      </c>
      <c r="D1279" s="124" t="s">
        <v>2149</v>
      </c>
      <c r="E1279" s="125"/>
      <c r="F1279" s="118" t="s">
        <v>2133</v>
      </c>
      <c r="G1279" s="126" t="str">
        <f>CONCATENATE("AR-",F1279,"-",H1279)</f>
        <v>AR-V50-1</v>
      </c>
      <c r="H1279" s="253">
        <v>1</v>
      </c>
      <c r="I1279" s="76">
        <v>1</v>
      </c>
      <c r="J1279" s="299" t="s">
        <v>307</v>
      </c>
      <c r="K1279" s="299"/>
      <c r="L1279" s="291"/>
      <c r="Q1279" s="291"/>
    </row>
    <row r="1280" spans="2:17" s="83" customFormat="1" ht="3" hidden="1" customHeight="1" outlineLevel="2">
      <c r="B1280" s="119"/>
      <c r="C1280" s="266"/>
      <c r="D1280" s="124" t="s">
        <v>299</v>
      </c>
      <c r="E1280" s="125"/>
      <c r="F1280" s="118"/>
      <c r="G1280" s="126"/>
      <c r="H1280" s="253"/>
      <c r="I1280" s="253"/>
      <c r="J1280" s="300"/>
      <c r="K1280" s="300"/>
      <c r="L1280" s="86"/>
      <c r="Q1280" s="86"/>
    </row>
    <row r="1281" spans="2:17" s="83" customFormat="1" ht="13.5" hidden="1" customHeight="1" outlineLevel="2">
      <c r="B1281" s="119" t="s">
        <v>2150</v>
      </c>
      <c r="C1281" s="266"/>
      <c r="D1281" s="124"/>
      <c r="E1281" s="125"/>
      <c r="F1281" s="118"/>
      <c r="G1281" s="126"/>
      <c r="H1281" s="253"/>
      <c r="I1281" s="253"/>
      <c r="J1281" s="300"/>
      <c r="K1281" s="300"/>
      <c r="L1281" s="86"/>
      <c r="Q1281" s="86"/>
    </row>
    <row r="1282" spans="2:17" s="83" customFormat="1" ht="13.5" hidden="1" customHeight="1" outlineLevel="2">
      <c r="B1282" s="119" t="s">
        <v>272</v>
      </c>
      <c r="C1282" s="266" t="s">
        <v>1278</v>
      </c>
      <c r="D1282" s="124" t="s">
        <v>2151</v>
      </c>
      <c r="E1282" s="125"/>
      <c r="F1282" s="118" t="s">
        <v>2133</v>
      </c>
      <c r="G1282" s="126" t="str">
        <f>CONCATENATE("AR-",F1282,"-",H1282)</f>
        <v>AR-V50-1</v>
      </c>
      <c r="H1282" s="253">
        <v>1</v>
      </c>
      <c r="I1282" s="76">
        <v>1</v>
      </c>
      <c r="J1282" s="299" t="s">
        <v>286</v>
      </c>
      <c r="K1282" s="299"/>
      <c r="L1282" s="86"/>
      <c r="Q1282" s="86"/>
    </row>
    <row r="1283" spans="2:17" s="83" customFormat="1" ht="13.5" hidden="1" customHeight="1" outlineLevel="2">
      <c r="B1283" s="119" t="s">
        <v>272</v>
      </c>
      <c r="C1283" s="266" t="s">
        <v>2152</v>
      </c>
      <c r="D1283" s="124" t="s">
        <v>2153</v>
      </c>
      <c r="E1283" s="125"/>
      <c r="F1283" s="118" t="s">
        <v>2133</v>
      </c>
      <c r="G1283" s="126" t="str">
        <f>CONCATENATE("AR-",F1283,"-",H1283)</f>
        <v>AR-V50-1</v>
      </c>
      <c r="H1283" s="253">
        <v>1</v>
      </c>
      <c r="I1283" s="76">
        <v>1</v>
      </c>
      <c r="J1283" s="299" t="s">
        <v>286</v>
      </c>
      <c r="K1283" s="299"/>
      <c r="L1283" s="86"/>
      <c r="Q1283" s="86"/>
    </row>
    <row r="1284" spans="2:17" s="83" customFormat="1" ht="3" hidden="1" customHeight="1" outlineLevel="2">
      <c r="B1284" s="119"/>
      <c r="C1284" s="266"/>
      <c r="D1284" s="124" t="s">
        <v>299</v>
      </c>
      <c r="E1284" s="125"/>
      <c r="F1284" s="118"/>
      <c r="G1284" s="126"/>
      <c r="H1284" s="253"/>
      <c r="I1284" s="253"/>
      <c r="J1284" s="300"/>
      <c r="K1284" s="300"/>
      <c r="L1284" s="86"/>
      <c r="Q1284" s="86"/>
    </row>
    <row r="1285" spans="2:17" s="83" customFormat="1" ht="13.5" hidden="1" customHeight="1" outlineLevel="2">
      <c r="B1285" s="119" t="s">
        <v>1094</v>
      </c>
      <c r="C1285" s="266"/>
      <c r="D1285" s="124"/>
      <c r="E1285" s="125"/>
      <c r="F1285" s="118"/>
      <c r="G1285" s="126"/>
      <c r="H1285" s="253"/>
      <c r="I1285" s="253"/>
      <c r="J1285" s="300"/>
      <c r="K1285" s="300"/>
      <c r="L1285" s="86"/>
      <c r="Q1285" s="86"/>
    </row>
    <row r="1286" spans="2:17" s="83" customFormat="1" ht="13.5" hidden="1" customHeight="1" outlineLevel="2">
      <c r="B1286" s="119" t="s">
        <v>272</v>
      </c>
      <c r="C1286" s="266" t="s">
        <v>1280</v>
      </c>
      <c r="D1286" s="124" t="s">
        <v>2154</v>
      </c>
      <c r="E1286" s="125"/>
      <c r="F1286" s="118" t="s">
        <v>2133</v>
      </c>
      <c r="G1286" s="126" t="str">
        <f>CONCATENATE("AR-",F1286,"-",H1286)</f>
        <v>AR-V50-1</v>
      </c>
      <c r="H1286" s="253">
        <v>1</v>
      </c>
      <c r="I1286" s="76">
        <v>1</v>
      </c>
      <c r="J1286" s="299" t="s">
        <v>286</v>
      </c>
      <c r="K1286" s="299"/>
      <c r="L1286" s="86"/>
      <c r="Q1286" s="86"/>
    </row>
    <row r="1287" spans="2:17" s="83" customFormat="1" ht="13.5" hidden="1" customHeight="1" outlineLevel="2">
      <c r="B1287" s="119" t="s">
        <v>272</v>
      </c>
      <c r="C1287" s="266" t="s">
        <v>2155</v>
      </c>
      <c r="D1287" s="124" t="s">
        <v>2156</v>
      </c>
      <c r="E1287" s="125"/>
      <c r="F1287" s="118" t="s">
        <v>2133</v>
      </c>
      <c r="G1287" s="126" t="str">
        <f>CONCATENATE("AR-",F1287,"-",H1287)</f>
        <v>AR-V50-1</v>
      </c>
      <c r="H1287" s="253">
        <v>1</v>
      </c>
      <c r="I1287" s="76">
        <v>1</v>
      </c>
      <c r="J1287" s="299" t="s">
        <v>310</v>
      </c>
      <c r="K1287" s="299"/>
      <c r="L1287" s="86"/>
      <c r="Q1287" s="86"/>
    </row>
    <row r="1288" spans="2:17" s="83" customFormat="1" ht="13.5" hidden="1" customHeight="1" outlineLevel="2">
      <c r="B1288" s="119" t="s">
        <v>272</v>
      </c>
      <c r="C1288" s="266" t="s">
        <v>2157</v>
      </c>
      <c r="D1288" s="124" t="s">
        <v>2158</v>
      </c>
      <c r="E1288" s="125"/>
      <c r="F1288" s="118" t="s">
        <v>2133</v>
      </c>
      <c r="G1288" s="126" t="str">
        <f>CONCATENATE("AR-",F1288,"-",H1288)</f>
        <v>AR-V50-1</v>
      </c>
      <c r="H1288" s="253">
        <v>1</v>
      </c>
      <c r="I1288" s="76">
        <v>1</v>
      </c>
      <c r="J1288" s="299" t="s">
        <v>286</v>
      </c>
      <c r="K1288" s="299"/>
      <c r="L1288" s="86"/>
      <c r="Q1288" s="86"/>
    </row>
    <row r="1289" spans="2:17" s="83" customFormat="1" ht="13.5" hidden="1" customHeight="1" outlineLevel="2">
      <c r="B1289" s="119" t="s">
        <v>272</v>
      </c>
      <c r="C1289" s="266" t="s">
        <v>2159</v>
      </c>
      <c r="D1289" s="124" t="s">
        <v>2160</v>
      </c>
      <c r="E1289" s="125"/>
      <c r="F1289" s="118" t="s">
        <v>2133</v>
      </c>
      <c r="G1289" s="126" t="str">
        <f>CONCATENATE("AR-",F1289,"-",H1289)</f>
        <v>AR-V50-1</v>
      </c>
      <c r="H1289" s="253">
        <v>1</v>
      </c>
      <c r="I1289" s="76">
        <v>1</v>
      </c>
      <c r="J1289" s="299" t="s">
        <v>286</v>
      </c>
      <c r="K1289" s="299"/>
      <c r="L1289" s="86"/>
      <c r="Q1289" s="86"/>
    </row>
    <row r="1290" spans="2:17" s="83" customFormat="1" ht="3" hidden="1" customHeight="1" outlineLevel="2">
      <c r="B1290" s="119"/>
      <c r="C1290" s="266"/>
      <c r="D1290" s="124" t="s">
        <v>299</v>
      </c>
      <c r="E1290" s="125"/>
      <c r="F1290" s="118"/>
      <c r="G1290" s="126"/>
      <c r="H1290" s="253"/>
      <c r="I1290" s="253"/>
      <c r="J1290" s="300"/>
      <c r="K1290" s="300"/>
      <c r="L1290" s="86"/>
      <c r="Q1290" s="86"/>
    </row>
    <row r="1291" spans="2:17" s="83" customFormat="1" ht="13.5" hidden="1" customHeight="1" outlineLevel="2">
      <c r="B1291" s="119" t="s">
        <v>1441</v>
      </c>
      <c r="C1291" s="266"/>
      <c r="D1291" s="124"/>
      <c r="E1291" s="125"/>
      <c r="F1291" s="118"/>
      <c r="G1291" s="126"/>
      <c r="H1291" s="253"/>
      <c r="I1291" s="253"/>
      <c r="J1291" s="300"/>
      <c r="K1291" s="300"/>
      <c r="L1291" s="86"/>
      <c r="Q1291" s="86"/>
    </row>
    <row r="1292" spans="2:17" s="83" customFormat="1" ht="14.25" hidden="1" customHeight="1" outlineLevel="2">
      <c r="B1292" s="119" t="s">
        <v>272</v>
      </c>
      <c r="C1292" s="266" t="s">
        <v>1284</v>
      </c>
      <c r="D1292" s="124" t="s">
        <v>2161</v>
      </c>
      <c r="E1292" s="125"/>
      <c r="F1292" s="118" t="s">
        <v>2133</v>
      </c>
      <c r="G1292" s="126" t="str">
        <f>CONCATENATE("AR-",F1292,"-",H1292)</f>
        <v>AR-V50-1</v>
      </c>
      <c r="H1292" s="253">
        <v>1</v>
      </c>
      <c r="I1292" s="76">
        <v>1</v>
      </c>
      <c r="J1292" s="299" t="s">
        <v>286</v>
      </c>
      <c r="K1292" s="299"/>
      <c r="L1292" s="86"/>
      <c r="Q1292" s="86"/>
    </row>
    <row r="1293" spans="2:17" s="83" customFormat="1" ht="14.25" hidden="1" customHeight="1" outlineLevel="2">
      <c r="B1293" s="119" t="s">
        <v>272</v>
      </c>
      <c r="C1293" s="266" t="s">
        <v>1286</v>
      </c>
      <c r="D1293" s="124" t="s">
        <v>2162</v>
      </c>
      <c r="E1293" s="125"/>
      <c r="F1293" s="118" t="s">
        <v>2133</v>
      </c>
      <c r="G1293" s="126" t="str">
        <f>CONCATENATE("AR-",F1293,"-",H1293)</f>
        <v>AR-V50-1</v>
      </c>
      <c r="H1293" s="253">
        <v>1</v>
      </c>
      <c r="I1293" s="76">
        <v>1</v>
      </c>
      <c r="J1293" s="299" t="s">
        <v>286</v>
      </c>
      <c r="K1293" s="299"/>
      <c r="L1293" s="86"/>
      <c r="Q1293" s="86"/>
    </row>
    <row r="1294" spans="2:17" s="83" customFormat="1" ht="3" hidden="1" customHeight="1" outlineLevel="2">
      <c r="B1294" s="119"/>
      <c r="C1294" s="266"/>
      <c r="D1294" s="124" t="s">
        <v>299</v>
      </c>
      <c r="E1294" s="125"/>
      <c r="F1294" s="118"/>
      <c r="G1294" s="126"/>
      <c r="H1294" s="253"/>
      <c r="I1294" s="253"/>
      <c r="J1294" s="300"/>
      <c r="K1294" s="300"/>
      <c r="L1294" s="86"/>
      <c r="Q1294" s="86"/>
    </row>
    <row r="1295" spans="2:17" s="99" customFormat="1" ht="12" hidden="1" customHeight="1" outlineLevel="2">
      <c r="B1295" s="119" t="s">
        <v>2163</v>
      </c>
      <c r="C1295" s="266"/>
      <c r="D1295" s="124"/>
      <c r="E1295" s="125"/>
      <c r="F1295" s="118"/>
      <c r="G1295" s="126"/>
      <c r="H1295" s="253"/>
      <c r="I1295" s="253"/>
      <c r="J1295" s="305"/>
      <c r="K1295" s="305"/>
      <c r="L1295" s="290"/>
      <c r="Q1295" s="290"/>
    </row>
    <row r="1296" spans="2:17" s="83" customFormat="1" ht="13.5" hidden="1" customHeight="1" outlineLevel="2">
      <c r="B1296" s="119" t="s">
        <v>272</v>
      </c>
      <c r="C1296" s="266" t="s">
        <v>2164</v>
      </c>
      <c r="D1296" s="124" t="s">
        <v>2165</v>
      </c>
      <c r="E1296" s="125"/>
      <c r="F1296" s="118" t="s">
        <v>2133</v>
      </c>
      <c r="G1296" s="126" t="str">
        <f>CONCATENATE("AR-",F1296,"-",H1296)</f>
        <v>AR-V50-1</v>
      </c>
      <c r="H1296" s="253">
        <v>1</v>
      </c>
      <c r="I1296" s="76">
        <v>1</v>
      </c>
      <c r="J1296" s="299" t="s">
        <v>286</v>
      </c>
      <c r="K1296" s="299"/>
      <c r="L1296" s="86"/>
      <c r="Q1296" s="86"/>
    </row>
    <row r="1297" spans="2:17" s="83" customFormat="1" ht="13.5" hidden="1" customHeight="1" outlineLevel="2">
      <c r="B1297" s="119" t="s">
        <v>272</v>
      </c>
      <c r="C1297" s="266" t="s">
        <v>2166</v>
      </c>
      <c r="D1297" s="124" t="s">
        <v>2167</v>
      </c>
      <c r="E1297" s="125"/>
      <c r="F1297" s="118" t="s">
        <v>2133</v>
      </c>
      <c r="G1297" s="126" t="str">
        <f>CONCATENATE("AR-",F1297,"-",H1297)</f>
        <v>AR-V50-1</v>
      </c>
      <c r="H1297" s="253">
        <v>1</v>
      </c>
      <c r="I1297" s="76">
        <v>1</v>
      </c>
      <c r="J1297" s="299" t="s">
        <v>286</v>
      </c>
      <c r="K1297" s="299"/>
      <c r="L1297" s="86"/>
      <c r="Q1297" s="86"/>
    </row>
    <row r="1298" spans="2:17" s="83" customFormat="1" ht="13.5" hidden="1" customHeight="1" outlineLevel="2">
      <c r="B1298" s="119" t="s">
        <v>272</v>
      </c>
      <c r="C1298" s="266" t="s">
        <v>2168</v>
      </c>
      <c r="D1298" s="124" t="s">
        <v>2169</v>
      </c>
      <c r="E1298" s="125"/>
      <c r="F1298" s="118" t="s">
        <v>2133</v>
      </c>
      <c r="G1298" s="126" t="str">
        <f>CONCATENATE("AR-",F1298,"-",H1298)</f>
        <v>AR-V50-1</v>
      </c>
      <c r="H1298" s="253">
        <v>1</v>
      </c>
      <c r="I1298" s="76">
        <v>1</v>
      </c>
      <c r="J1298" s="299" t="s">
        <v>286</v>
      </c>
      <c r="K1298" s="299"/>
      <c r="L1298" s="86"/>
      <c r="Q1298" s="86"/>
    </row>
    <row r="1299" spans="2:17" s="83" customFormat="1" ht="3" hidden="1" customHeight="1" outlineLevel="2">
      <c r="B1299" s="119"/>
      <c r="C1299" s="266"/>
      <c r="D1299" s="124" t="s">
        <v>299</v>
      </c>
      <c r="E1299" s="125"/>
      <c r="F1299" s="118"/>
      <c r="G1299" s="126"/>
      <c r="H1299" s="253"/>
      <c r="I1299" s="253"/>
      <c r="J1299" s="300"/>
      <c r="K1299" s="300"/>
      <c r="L1299" s="86"/>
      <c r="Q1299" s="86"/>
    </row>
    <row r="1300" spans="2:17" s="83" customFormat="1" ht="13.5" hidden="1" customHeight="1" outlineLevel="2">
      <c r="B1300" s="119" t="s">
        <v>2170</v>
      </c>
      <c r="C1300" s="266"/>
      <c r="D1300" s="124"/>
      <c r="E1300" s="125"/>
      <c r="F1300" s="118"/>
      <c r="G1300" s="126"/>
      <c r="H1300" s="253"/>
      <c r="I1300" s="253"/>
      <c r="J1300" s="300"/>
      <c r="K1300" s="300"/>
      <c r="L1300" s="86"/>
      <c r="Q1300" s="86"/>
    </row>
    <row r="1301" spans="2:17" s="83" customFormat="1" ht="13.5" hidden="1" customHeight="1" outlineLevel="2">
      <c r="B1301" s="119" t="s">
        <v>272</v>
      </c>
      <c r="C1301" s="266" t="s">
        <v>2171</v>
      </c>
      <c r="D1301" s="124" t="s">
        <v>2172</v>
      </c>
      <c r="E1301" s="125"/>
      <c r="F1301" s="118" t="s">
        <v>2133</v>
      </c>
      <c r="G1301" s="126" t="str">
        <f t="shared" ref="G1301:G1306" si="93">CONCATENATE("AR-",F1301,"-",H1301)</f>
        <v>AR-V50-1</v>
      </c>
      <c r="H1301" s="253">
        <v>1</v>
      </c>
      <c r="I1301" s="76">
        <v>1</v>
      </c>
      <c r="J1301" s="299" t="s">
        <v>286</v>
      </c>
      <c r="K1301" s="299"/>
      <c r="L1301" s="86"/>
      <c r="Q1301" s="86"/>
    </row>
    <row r="1302" spans="2:17" s="83" customFormat="1" ht="13.5" hidden="1" customHeight="1" outlineLevel="2">
      <c r="B1302" s="119" t="s">
        <v>272</v>
      </c>
      <c r="C1302" s="266" t="s">
        <v>2173</v>
      </c>
      <c r="D1302" s="124" t="s">
        <v>2174</v>
      </c>
      <c r="E1302" s="125"/>
      <c r="F1302" s="118" t="s">
        <v>2133</v>
      </c>
      <c r="G1302" s="126" t="str">
        <f t="shared" si="93"/>
        <v>AR-V50-1</v>
      </c>
      <c r="H1302" s="253">
        <v>1</v>
      </c>
      <c r="I1302" s="76">
        <v>1</v>
      </c>
      <c r="J1302" s="299" t="s">
        <v>286</v>
      </c>
      <c r="K1302" s="299"/>
      <c r="L1302" s="86"/>
      <c r="Q1302" s="86"/>
    </row>
    <row r="1303" spans="2:17" s="83" customFormat="1" ht="13.5" hidden="1" customHeight="1" outlineLevel="2">
      <c r="B1303" s="119" t="s">
        <v>272</v>
      </c>
      <c r="C1303" s="266" t="s">
        <v>2175</v>
      </c>
      <c r="D1303" s="124" t="s">
        <v>2176</v>
      </c>
      <c r="E1303" s="125"/>
      <c r="F1303" s="118" t="s">
        <v>2133</v>
      </c>
      <c r="G1303" s="126" t="str">
        <f t="shared" si="93"/>
        <v>AR-V50-1</v>
      </c>
      <c r="H1303" s="253">
        <v>1</v>
      </c>
      <c r="I1303" s="76">
        <v>1</v>
      </c>
      <c r="J1303" s="299" t="s">
        <v>286</v>
      </c>
      <c r="K1303" s="299"/>
      <c r="L1303" s="86"/>
      <c r="Q1303" s="86"/>
    </row>
    <row r="1304" spans="2:17" s="83" customFormat="1" ht="13.5" hidden="1" customHeight="1" outlineLevel="2">
      <c r="B1304" s="119" t="s">
        <v>272</v>
      </c>
      <c r="C1304" s="266">
        <v>4127</v>
      </c>
      <c r="D1304" s="124" t="s">
        <v>2177</v>
      </c>
      <c r="E1304" s="125"/>
      <c r="F1304" s="118" t="s">
        <v>2133</v>
      </c>
      <c r="G1304" s="126" t="str">
        <f t="shared" si="93"/>
        <v>AR-V50-1</v>
      </c>
      <c r="H1304" s="253">
        <v>1</v>
      </c>
      <c r="I1304" s="76">
        <v>1</v>
      </c>
      <c r="J1304" s="299" t="s">
        <v>286</v>
      </c>
      <c r="K1304" s="299"/>
      <c r="L1304" s="86"/>
      <c r="Q1304" s="86"/>
    </row>
    <row r="1305" spans="2:17" s="83" customFormat="1" ht="13.5" hidden="1" customHeight="1" outlineLevel="2">
      <c r="B1305" s="119" t="s">
        <v>272</v>
      </c>
      <c r="C1305" s="266">
        <v>4128</v>
      </c>
      <c r="D1305" s="124" t="s">
        <v>2178</v>
      </c>
      <c r="E1305" s="125"/>
      <c r="F1305" s="118" t="s">
        <v>2133</v>
      </c>
      <c r="G1305" s="126" t="str">
        <f t="shared" si="93"/>
        <v>AR-V50-1</v>
      </c>
      <c r="H1305" s="253">
        <v>1</v>
      </c>
      <c r="I1305" s="76">
        <v>1</v>
      </c>
      <c r="J1305" s="299" t="s">
        <v>286</v>
      </c>
      <c r="K1305" s="299"/>
      <c r="L1305" s="86"/>
      <c r="Q1305" s="86"/>
    </row>
    <row r="1306" spans="2:17" s="83" customFormat="1" ht="13.5" hidden="1" customHeight="1" outlineLevel="2">
      <c r="B1306" s="119" t="s">
        <v>272</v>
      </c>
      <c r="C1306" s="266">
        <v>4129</v>
      </c>
      <c r="D1306" s="124" t="s">
        <v>2179</v>
      </c>
      <c r="E1306" s="125"/>
      <c r="F1306" s="118" t="s">
        <v>2133</v>
      </c>
      <c r="G1306" s="126" t="str">
        <f t="shared" si="93"/>
        <v>AR-V50-1</v>
      </c>
      <c r="H1306" s="253">
        <v>1</v>
      </c>
      <c r="I1306" s="76">
        <v>1</v>
      </c>
      <c r="J1306" s="299" t="s">
        <v>286</v>
      </c>
      <c r="K1306" s="299"/>
      <c r="L1306" s="86"/>
      <c r="Q1306" s="86"/>
    </row>
    <row r="1307" spans="2:17" s="83" customFormat="1" ht="3" hidden="1" customHeight="1" outlineLevel="2">
      <c r="B1307" s="119"/>
      <c r="C1307" s="266"/>
      <c r="D1307" s="124" t="s">
        <v>299</v>
      </c>
      <c r="E1307" s="125"/>
      <c r="F1307" s="118"/>
      <c r="G1307" s="126"/>
      <c r="H1307" s="253"/>
      <c r="I1307" s="253"/>
      <c r="J1307" s="300"/>
      <c r="K1307" s="300"/>
      <c r="L1307" s="86"/>
      <c r="Q1307" s="86"/>
    </row>
    <row r="1308" spans="2:17" s="99" customFormat="1" ht="12" hidden="1" customHeight="1" outlineLevel="2">
      <c r="B1308" s="119" t="s">
        <v>2180</v>
      </c>
      <c r="C1308" s="266"/>
      <c r="D1308" s="124"/>
      <c r="E1308" s="125"/>
      <c r="F1308" s="118"/>
      <c r="G1308" s="126"/>
      <c r="H1308" s="253"/>
      <c r="I1308" s="253"/>
      <c r="J1308" s="305"/>
      <c r="K1308" s="305"/>
      <c r="L1308" s="290"/>
      <c r="Q1308" s="290"/>
    </row>
    <row r="1309" spans="2:17" s="99" customFormat="1" ht="13.5" hidden="1" outlineLevel="2">
      <c r="B1309" s="119" t="s">
        <v>272</v>
      </c>
      <c r="C1309" s="266" t="s">
        <v>2181</v>
      </c>
      <c r="D1309" s="124" t="s">
        <v>2182</v>
      </c>
      <c r="E1309" s="125"/>
      <c r="F1309" s="118" t="s">
        <v>2133</v>
      </c>
      <c r="G1309" s="126" t="str">
        <f>CONCATENATE("AR-",F1309,"-",H1309)</f>
        <v>AR-V50-1</v>
      </c>
      <c r="H1309" s="253">
        <v>1</v>
      </c>
      <c r="I1309" s="76">
        <v>1</v>
      </c>
      <c r="J1309" s="299" t="s">
        <v>286</v>
      </c>
      <c r="K1309" s="299"/>
      <c r="L1309" s="290"/>
      <c r="Q1309" s="290"/>
    </row>
    <row r="1310" spans="2:17" s="83" customFormat="1" ht="13.5" hidden="1" customHeight="1" outlineLevel="2">
      <c r="B1310" s="119" t="s">
        <v>272</v>
      </c>
      <c r="C1310" s="266" t="s">
        <v>278</v>
      </c>
      <c r="D1310" s="124" t="s">
        <v>2183</v>
      </c>
      <c r="E1310" s="125"/>
      <c r="F1310" s="118" t="s">
        <v>2133</v>
      </c>
      <c r="G1310" s="126" t="str">
        <f>CONCATENATE("AR-",F1310,"-",H1310)</f>
        <v>AR-V50-1</v>
      </c>
      <c r="H1310" s="253">
        <v>1</v>
      </c>
      <c r="I1310" s="76">
        <v>1</v>
      </c>
      <c r="J1310" s="299" t="s">
        <v>286</v>
      </c>
      <c r="K1310" s="299"/>
      <c r="L1310" s="86"/>
      <c r="Q1310" s="86"/>
    </row>
    <row r="1311" spans="2:17" s="83" customFormat="1" ht="13.5" hidden="1" customHeight="1" outlineLevel="2">
      <c r="B1311" s="119" t="s">
        <v>272</v>
      </c>
      <c r="C1311" s="266" t="s">
        <v>2184</v>
      </c>
      <c r="D1311" s="124" t="s">
        <v>2185</v>
      </c>
      <c r="E1311" s="125"/>
      <c r="F1311" s="118" t="s">
        <v>2133</v>
      </c>
      <c r="G1311" s="126" t="str">
        <f>CONCATENATE("AR-",F1311,"-",H1311)</f>
        <v>AR-V50-1</v>
      </c>
      <c r="H1311" s="253">
        <v>1</v>
      </c>
      <c r="I1311" s="76">
        <v>1</v>
      </c>
      <c r="J1311" s="299" t="s">
        <v>286</v>
      </c>
      <c r="K1311" s="299"/>
      <c r="L1311" s="86"/>
      <c r="Q1311" s="86"/>
    </row>
    <row r="1312" spans="2:17" s="83" customFormat="1" ht="13.5" hidden="1" customHeight="1" outlineLevel="2">
      <c r="B1312" s="119" t="s">
        <v>272</v>
      </c>
      <c r="C1312" s="266" t="s">
        <v>2186</v>
      </c>
      <c r="D1312" s="124" t="s">
        <v>2187</v>
      </c>
      <c r="E1312" s="125"/>
      <c r="F1312" s="118" t="s">
        <v>2133</v>
      </c>
      <c r="G1312" s="126" t="str">
        <f>CONCATENATE("AR-",F1312,"-",H1312)</f>
        <v>AR-V50-1</v>
      </c>
      <c r="H1312" s="253">
        <v>1</v>
      </c>
      <c r="I1312" s="76">
        <v>1</v>
      </c>
      <c r="J1312" s="299" t="s">
        <v>286</v>
      </c>
      <c r="K1312" s="299"/>
      <c r="L1312" s="86"/>
      <c r="Q1312" s="86"/>
    </row>
    <row r="1313" spans="2:17" s="83" customFormat="1" ht="3" hidden="1" customHeight="1" outlineLevel="2">
      <c r="B1313" s="119"/>
      <c r="C1313" s="266"/>
      <c r="D1313" s="124" t="s">
        <v>299</v>
      </c>
      <c r="E1313" s="125"/>
      <c r="F1313" s="118"/>
      <c r="G1313" s="126"/>
      <c r="H1313" s="253"/>
      <c r="I1313" s="253"/>
      <c r="J1313" s="300"/>
      <c r="K1313" s="300"/>
      <c r="L1313" s="86"/>
      <c r="Q1313" s="86"/>
    </row>
    <row r="1314" spans="2:17" s="99" customFormat="1" ht="12" hidden="1" customHeight="1" outlineLevel="2">
      <c r="B1314" s="119" t="s">
        <v>2188</v>
      </c>
      <c r="C1314" s="266"/>
      <c r="D1314" s="124"/>
      <c r="E1314" s="125"/>
      <c r="F1314" s="118"/>
      <c r="G1314" s="126"/>
      <c r="H1314" s="253"/>
      <c r="I1314" s="253"/>
      <c r="J1314" s="305"/>
      <c r="K1314" s="305"/>
      <c r="L1314" s="290"/>
      <c r="Q1314" s="290"/>
    </row>
    <row r="1315" spans="2:17" s="83" customFormat="1" ht="13.5" hidden="1" customHeight="1" outlineLevel="2">
      <c r="B1315" s="119" t="s">
        <v>272</v>
      </c>
      <c r="C1315" s="266" t="s">
        <v>2189</v>
      </c>
      <c r="D1315" s="124" t="s">
        <v>2190</v>
      </c>
      <c r="E1315" s="125"/>
      <c r="F1315" s="118" t="s">
        <v>2133</v>
      </c>
      <c r="G1315" s="126" t="str">
        <f>CONCATENATE("AR-",F1315,"-",H1315)</f>
        <v>AR-V50-1</v>
      </c>
      <c r="H1315" s="253">
        <v>1</v>
      </c>
      <c r="I1315" s="76">
        <v>1</v>
      </c>
      <c r="J1315" s="299" t="s">
        <v>286</v>
      </c>
      <c r="K1315" s="299"/>
      <c r="L1315" s="86"/>
      <c r="Q1315" s="86"/>
    </row>
    <row r="1316" spans="2:17" s="83" customFormat="1" ht="13.5" hidden="1" customHeight="1" outlineLevel="2">
      <c r="B1316" s="119" t="s">
        <v>272</v>
      </c>
      <c r="C1316" s="266" t="s">
        <v>2191</v>
      </c>
      <c r="D1316" s="124" t="s">
        <v>2192</v>
      </c>
      <c r="E1316" s="125"/>
      <c r="F1316" s="118" t="s">
        <v>2133</v>
      </c>
      <c r="G1316" s="126" t="str">
        <f>CONCATENATE("AR-",F1316,"-",H1316)</f>
        <v>AR-V50-1</v>
      </c>
      <c r="H1316" s="253">
        <v>1</v>
      </c>
      <c r="I1316" s="76">
        <v>1</v>
      </c>
      <c r="J1316" s="299" t="s">
        <v>286</v>
      </c>
      <c r="K1316" s="299"/>
      <c r="L1316" s="86"/>
      <c r="Q1316" s="86"/>
    </row>
    <row r="1317" spans="2:17" s="83" customFormat="1" ht="13.5" hidden="1" customHeight="1" outlineLevel="2">
      <c r="B1317" s="119" t="s">
        <v>272</v>
      </c>
      <c r="C1317" s="266" t="s">
        <v>2193</v>
      </c>
      <c r="D1317" s="124" t="s">
        <v>2194</v>
      </c>
      <c r="E1317" s="125"/>
      <c r="F1317" s="118" t="s">
        <v>2133</v>
      </c>
      <c r="G1317" s="126" t="str">
        <f>CONCATENATE("AR-",F1317,"-",H1317)</f>
        <v>AR-V50-1</v>
      </c>
      <c r="H1317" s="253">
        <v>1</v>
      </c>
      <c r="I1317" s="76">
        <v>1</v>
      </c>
      <c r="J1317" s="299" t="s">
        <v>286</v>
      </c>
      <c r="K1317" s="299"/>
      <c r="L1317" s="86"/>
      <c r="Q1317" s="86"/>
    </row>
    <row r="1318" spans="2:17" s="83" customFormat="1" ht="13.5" hidden="1" customHeight="1" outlineLevel="2">
      <c r="B1318" s="119" t="s">
        <v>272</v>
      </c>
      <c r="C1318" s="266" t="s">
        <v>2195</v>
      </c>
      <c r="D1318" s="124" t="s">
        <v>2196</v>
      </c>
      <c r="E1318" s="125"/>
      <c r="F1318" s="118" t="s">
        <v>2133</v>
      </c>
      <c r="G1318" s="126" t="str">
        <f>CONCATENATE("AR-",F1318,"-",H1318)</f>
        <v>AR-V50-1</v>
      </c>
      <c r="H1318" s="253">
        <v>1</v>
      </c>
      <c r="I1318" s="76">
        <v>1</v>
      </c>
      <c r="J1318" s="299" t="s">
        <v>286</v>
      </c>
      <c r="K1318" s="299"/>
      <c r="L1318" s="86"/>
      <c r="Q1318" s="86"/>
    </row>
    <row r="1319" spans="2:17" s="83" customFormat="1" ht="13.5" hidden="1" customHeight="1" outlineLevel="2">
      <c r="B1319" s="119" t="s">
        <v>272</v>
      </c>
      <c r="C1319" s="266" t="s">
        <v>2197</v>
      </c>
      <c r="D1319" s="124" t="s">
        <v>2198</v>
      </c>
      <c r="E1319" s="125"/>
      <c r="F1319" s="118" t="s">
        <v>2133</v>
      </c>
      <c r="G1319" s="126" t="str">
        <f>CONCATENATE("AR-",F1319,"-",H1319)</f>
        <v>AR-V50-1</v>
      </c>
      <c r="H1319" s="253">
        <v>1</v>
      </c>
      <c r="I1319" s="76">
        <v>1</v>
      </c>
      <c r="J1319" s="299" t="s">
        <v>286</v>
      </c>
      <c r="K1319" s="299"/>
      <c r="L1319" s="86"/>
      <c r="Q1319" s="86"/>
    </row>
    <row r="1320" spans="2:17" s="83" customFormat="1" ht="3" hidden="1" customHeight="1" outlineLevel="2">
      <c r="B1320" s="119"/>
      <c r="C1320" s="266"/>
      <c r="D1320" s="124" t="s">
        <v>299</v>
      </c>
      <c r="E1320" s="125"/>
      <c r="F1320" s="118"/>
      <c r="G1320" s="126"/>
      <c r="H1320" s="253"/>
      <c r="I1320" s="253"/>
      <c r="J1320" s="300"/>
      <c r="K1320" s="300"/>
      <c r="L1320" s="86"/>
      <c r="Q1320" s="86"/>
    </row>
    <row r="1321" spans="2:17" s="99" customFormat="1" ht="12" hidden="1" customHeight="1" outlineLevel="2">
      <c r="B1321" s="119" t="s">
        <v>2199</v>
      </c>
      <c r="C1321" s="266"/>
      <c r="D1321" s="124"/>
      <c r="E1321" s="125"/>
      <c r="F1321" s="118"/>
      <c r="G1321" s="126"/>
      <c r="H1321" s="253"/>
      <c r="I1321" s="253"/>
      <c r="J1321" s="305"/>
      <c r="K1321" s="305"/>
      <c r="L1321" s="290"/>
      <c r="Q1321" s="290"/>
    </row>
    <row r="1322" spans="2:17" s="83" customFormat="1" ht="13.5" hidden="1" customHeight="1" outlineLevel="2">
      <c r="B1322" s="119" t="s">
        <v>272</v>
      </c>
      <c r="C1322" s="266" t="s">
        <v>2200</v>
      </c>
      <c r="D1322" s="124" t="s">
        <v>2201</v>
      </c>
      <c r="E1322" s="125"/>
      <c r="F1322" s="118" t="s">
        <v>2133</v>
      </c>
      <c r="G1322" s="126" t="str">
        <f>CONCATENATE("AR-",F1322,"-",H1322)</f>
        <v>AR-V50-1</v>
      </c>
      <c r="H1322" s="253">
        <v>1</v>
      </c>
      <c r="I1322" s="76">
        <v>1</v>
      </c>
      <c r="J1322" s="299" t="s">
        <v>307</v>
      </c>
      <c r="K1322" s="299"/>
      <c r="L1322" s="86"/>
      <c r="Q1322" s="86"/>
    </row>
    <row r="1323" spans="2:17" s="83" customFormat="1" ht="13.5" hidden="1" customHeight="1" outlineLevel="2">
      <c r="B1323" s="119" t="s">
        <v>272</v>
      </c>
      <c r="C1323" s="266" t="s">
        <v>2202</v>
      </c>
      <c r="D1323" s="124" t="s">
        <v>2203</v>
      </c>
      <c r="E1323" s="125"/>
      <c r="F1323" s="118" t="s">
        <v>2133</v>
      </c>
      <c r="G1323" s="126" t="str">
        <f>CONCATENATE("AR-",F1323,"-",H1323)</f>
        <v>AR-V50-1</v>
      </c>
      <c r="H1323" s="253">
        <v>1</v>
      </c>
      <c r="I1323" s="76">
        <v>1</v>
      </c>
      <c r="J1323" s="299" t="s">
        <v>286</v>
      </c>
      <c r="K1323" s="299"/>
      <c r="L1323" s="86"/>
      <c r="Q1323" s="86"/>
    </row>
    <row r="1324" spans="2:17" s="83" customFormat="1" ht="3" hidden="1" customHeight="1" outlineLevel="2">
      <c r="B1324" s="119"/>
      <c r="C1324" s="266"/>
      <c r="D1324" s="124" t="s">
        <v>299</v>
      </c>
      <c r="E1324" s="125"/>
      <c r="F1324" s="118"/>
      <c r="G1324" s="126"/>
      <c r="H1324" s="253"/>
      <c r="I1324" s="253"/>
      <c r="J1324" s="300"/>
      <c r="K1324" s="300"/>
      <c r="L1324" s="86"/>
      <c r="Q1324" s="86"/>
    </row>
    <row r="1325" spans="2:17" s="99" customFormat="1" ht="12" hidden="1" customHeight="1" outlineLevel="2">
      <c r="B1325" s="119" t="s">
        <v>2204</v>
      </c>
      <c r="C1325" s="266"/>
      <c r="D1325" s="124"/>
      <c r="E1325" s="125"/>
      <c r="F1325" s="118"/>
      <c r="G1325" s="126"/>
      <c r="H1325" s="253"/>
      <c r="I1325" s="253"/>
      <c r="J1325" s="305"/>
      <c r="K1325" s="305"/>
      <c r="L1325" s="290"/>
      <c r="Q1325" s="290"/>
    </row>
    <row r="1326" spans="2:17" s="83" customFormat="1" ht="13.5" hidden="1" customHeight="1" outlineLevel="2">
      <c r="B1326" s="119" t="s">
        <v>272</v>
      </c>
      <c r="C1326" s="266" t="s">
        <v>1293</v>
      </c>
      <c r="D1326" s="124" t="s">
        <v>1294</v>
      </c>
      <c r="E1326" s="125"/>
      <c r="F1326" s="118" t="s">
        <v>2133</v>
      </c>
      <c r="G1326" s="126" t="str">
        <f>CONCATENATE("AR-",F1326,"-",H1326)</f>
        <v>AR-V50-1</v>
      </c>
      <c r="H1326" s="253">
        <v>1</v>
      </c>
      <c r="I1326" s="76">
        <v>1</v>
      </c>
      <c r="J1326" s="299" t="s">
        <v>286</v>
      </c>
      <c r="K1326" s="299"/>
      <c r="L1326" s="86"/>
      <c r="Q1326" s="86"/>
    </row>
    <row r="1327" spans="2:17" s="83" customFormat="1" ht="13.5" hidden="1" customHeight="1" outlineLevel="2">
      <c r="B1327" s="119" t="s">
        <v>272</v>
      </c>
      <c r="C1327" s="266" t="s">
        <v>1295</v>
      </c>
      <c r="D1327" s="124" t="s">
        <v>1296</v>
      </c>
      <c r="E1327" s="125"/>
      <c r="F1327" s="118" t="s">
        <v>2133</v>
      </c>
      <c r="G1327" s="126" t="str">
        <f>CONCATENATE("AR-",F1327,"-",H1327)</f>
        <v>AR-V50-1</v>
      </c>
      <c r="H1327" s="253">
        <v>1</v>
      </c>
      <c r="I1327" s="76">
        <v>1</v>
      </c>
      <c r="J1327" s="299" t="s">
        <v>286</v>
      </c>
      <c r="K1327" s="299"/>
      <c r="L1327" s="86"/>
      <c r="Q1327" s="86"/>
    </row>
    <row r="1328" spans="2:17" s="83" customFormat="1" ht="13.5" hidden="1" customHeight="1" outlineLevel="2">
      <c r="B1328" s="119" t="s">
        <v>272</v>
      </c>
      <c r="C1328" s="266" t="s">
        <v>1297</v>
      </c>
      <c r="D1328" s="124" t="s">
        <v>1298</v>
      </c>
      <c r="E1328" s="125"/>
      <c r="F1328" s="118" t="s">
        <v>2133</v>
      </c>
      <c r="G1328" s="126" t="str">
        <f>CONCATENATE("AR-",F1328,"-",H1328)</f>
        <v>AR-V50-1</v>
      </c>
      <c r="H1328" s="253">
        <v>1</v>
      </c>
      <c r="I1328" s="76">
        <v>1</v>
      </c>
      <c r="J1328" s="299" t="s">
        <v>286</v>
      </c>
      <c r="K1328" s="299"/>
      <c r="L1328" s="86"/>
      <c r="Q1328" s="86"/>
    </row>
    <row r="1329" spans="2:17" s="83" customFormat="1" ht="13.5" hidden="1" customHeight="1" outlineLevel="2">
      <c r="B1329" s="119" t="s">
        <v>272</v>
      </c>
      <c r="C1329" s="266" t="s">
        <v>1299</v>
      </c>
      <c r="D1329" s="124" t="s">
        <v>1300</v>
      </c>
      <c r="E1329" s="125"/>
      <c r="F1329" s="118" t="s">
        <v>2133</v>
      </c>
      <c r="G1329" s="126" t="str">
        <f>CONCATENATE("AR-",F1329,"-",H1329)</f>
        <v>AR-V50-1</v>
      </c>
      <c r="H1329" s="253">
        <v>1</v>
      </c>
      <c r="I1329" s="76">
        <v>1</v>
      </c>
      <c r="J1329" s="299" t="s">
        <v>286</v>
      </c>
      <c r="K1329" s="299"/>
      <c r="L1329" s="86"/>
      <c r="Q1329" s="86"/>
    </row>
    <row r="1330" spans="2:17" s="83" customFormat="1" ht="3" hidden="1" customHeight="1" outlineLevel="2">
      <c r="B1330" s="119"/>
      <c r="C1330" s="266"/>
      <c r="D1330" s="124" t="s">
        <v>299</v>
      </c>
      <c r="E1330" s="125"/>
      <c r="F1330" s="118"/>
      <c r="G1330" s="126"/>
      <c r="H1330" s="253"/>
      <c r="I1330" s="253"/>
      <c r="J1330" s="300"/>
      <c r="K1330" s="300"/>
      <c r="L1330" s="86"/>
      <c r="Q1330" s="86"/>
    </row>
    <row r="1331" spans="2:17" s="99" customFormat="1" ht="15" hidden="1" customHeight="1" outlineLevel="2">
      <c r="B1331" s="119" t="s">
        <v>2205</v>
      </c>
      <c r="C1331" s="266"/>
      <c r="D1331" s="124"/>
      <c r="E1331" s="125"/>
      <c r="F1331" s="118"/>
      <c r="G1331" s="126"/>
      <c r="H1331" s="253"/>
      <c r="I1331" s="253"/>
      <c r="J1331" s="305"/>
      <c r="K1331" s="305"/>
      <c r="L1331" s="290"/>
      <c r="Q1331" s="290"/>
    </row>
    <row r="1332" spans="2:17" s="83" customFormat="1" ht="13.5" hidden="1" customHeight="1" outlineLevel="2">
      <c r="B1332" s="119" t="s">
        <v>272</v>
      </c>
      <c r="C1332" s="266" t="s">
        <v>2206</v>
      </c>
      <c r="D1332" s="124" t="s">
        <v>2207</v>
      </c>
      <c r="E1332" s="125"/>
      <c r="F1332" s="118" t="s">
        <v>2133</v>
      </c>
      <c r="G1332" s="126" t="str">
        <f>CONCATENATE("AR-",F1332,"-",H1332)</f>
        <v>AR-V50-1</v>
      </c>
      <c r="H1332" s="253">
        <v>1</v>
      </c>
      <c r="I1332" s="76">
        <v>1</v>
      </c>
      <c r="J1332" s="299" t="s">
        <v>286</v>
      </c>
      <c r="K1332" s="299"/>
      <c r="L1332" s="86"/>
      <c r="Q1332" s="86"/>
    </row>
    <row r="1333" spans="2:17" s="83" customFormat="1" ht="13.5" hidden="1" customHeight="1" outlineLevel="2">
      <c r="B1333" s="119" t="s">
        <v>272</v>
      </c>
      <c r="C1333" s="266" t="s">
        <v>2208</v>
      </c>
      <c r="D1333" s="124" t="s">
        <v>2207</v>
      </c>
      <c r="E1333" s="125"/>
      <c r="F1333" s="118" t="s">
        <v>2133</v>
      </c>
      <c r="G1333" s="126" t="str">
        <f>CONCATENATE("AR-",F1333,"-",H1333)</f>
        <v>AR-V50-1</v>
      </c>
      <c r="H1333" s="253">
        <v>1</v>
      </c>
      <c r="I1333" s="76">
        <v>1</v>
      </c>
      <c r="J1333" s="299" t="s">
        <v>286</v>
      </c>
      <c r="K1333" s="299"/>
      <c r="L1333" s="86"/>
      <c r="Q1333" s="86"/>
    </row>
    <row r="1334" spans="2:17" s="83" customFormat="1" ht="13.5" hidden="1" customHeight="1" outlineLevel="2">
      <c r="B1334" s="119" t="s">
        <v>2209</v>
      </c>
      <c r="C1334" s="266"/>
      <c r="D1334" s="124"/>
      <c r="E1334" s="125"/>
      <c r="F1334" s="118"/>
      <c r="G1334" s="126"/>
      <c r="H1334" s="253"/>
      <c r="I1334" s="253"/>
      <c r="J1334" s="300"/>
      <c r="K1334" s="300"/>
      <c r="L1334" s="86"/>
      <c r="Q1334" s="86"/>
    </row>
    <row r="1335" spans="2:17" s="83" customFormat="1" ht="13.5" hidden="1" customHeight="1" outlineLevel="2">
      <c r="B1335" s="119" t="s">
        <v>272</v>
      </c>
      <c r="C1335" s="266" t="s">
        <v>2210</v>
      </c>
      <c r="D1335" s="124" t="s">
        <v>2211</v>
      </c>
      <c r="E1335" s="125"/>
      <c r="F1335" s="118" t="s">
        <v>2133</v>
      </c>
      <c r="G1335" s="126" t="str">
        <f>CONCATENATE("AR-",F1335,"-",H1335)</f>
        <v>AR-V50-1</v>
      </c>
      <c r="H1335" s="253">
        <v>1</v>
      </c>
      <c r="I1335" s="76">
        <v>1</v>
      </c>
      <c r="J1335" s="299" t="s">
        <v>286</v>
      </c>
      <c r="K1335" s="299"/>
      <c r="L1335" s="86"/>
      <c r="Q1335" s="86"/>
    </row>
    <row r="1336" spans="2:17" s="83" customFormat="1" ht="13.5" hidden="1" customHeight="1" outlineLevel="2">
      <c r="B1336" s="119" t="s">
        <v>272</v>
      </c>
      <c r="C1336" s="266" t="s">
        <v>2212</v>
      </c>
      <c r="D1336" s="124" t="s">
        <v>2213</v>
      </c>
      <c r="E1336" s="125"/>
      <c r="F1336" s="118" t="s">
        <v>2133</v>
      </c>
      <c r="G1336" s="126" t="str">
        <f>CONCATENATE("AR-",F1336,"-",H1336)</f>
        <v>AR-V50-1</v>
      </c>
      <c r="H1336" s="253">
        <v>1</v>
      </c>
      <c r="I1336" s="76">
        <v>1</v>
      </c>
      <c r="J1336" s="299" t="s">
        <v>286</v>
      </c>
      <c r="K1336" s="299"/>
      <c r="L1336" s="86"/>
      <c r="Q1336" s="86"/>
    </row>
    <row r="1337" spans="2:17" s="83" customFormat="1" ht="3" hidden="1" customHeight="1" outlineLevel="2">
      <c r="B1337" s="119"/>
      <c r="C1337" s="266"/>
      <c r="D1337" s="124" t="s">
        <v>299</v>
      </c>
      <c r="E1337" s="125"/>
      <c r="F1337" s="118"/>
      <c r="G1337" s="126"/>
      <c r="H1337" s="253"/>
      <c r="I1337" s="253"/>
      <c r="J1337" s="300"/>
      <c r="K1337" s="300"/>
      <c r="L1337" s="86"/>
      <c r="Q1337" s="86"/>
    </row>
    <row r="1338" spans="2:17" s="99" customFormat="1" ht="15" hidden="1" customHeight="1" outlineLevel="2">
      <c r="B1338" s="119" t="s">
        <v>2214</v>
      </c>
      <c r="C1338" s="266"/>
      <c r="D1338" s="124"/>
      <c r="E1338" s="125"/>
      <c r="F1338" s="118"/>
      <c r="G1338" s="126"/>
      <c r="H1338" s="253"/>
      <c r="I1338" s="253"/>
      <c r="J1338" s="305"/>
      <c r="K1338" s="305"/>
      <c r="L1338" s="290"/>
      <c r="Q1338" s="290"/>
    </row>
    <row r="1339" spans="2:17" s="83" customFormat="1" ht="13.5" hidden="1" customHeight="1" outlineLevel="2">
      <c r="B1339" s="119" t="s">
        <v>272</v>
      </c>
      <c r="C1339" s="266" t="s">
        <v>2215</v>
      </c>
      <c r="D1339" s="124" t="s">
        <v>2216</v>
      </c>
      <c r="E1339" s="125"/>
      <c r="F1339" s="118" t="s">
        <v>2133</v>
      </c>
      <c r="G1339" s="126" t="str">
        <f>CONCATENATE("AR-",F1339,"-",H1339)</f>
        <v>AR-V50-1</v>
      </c>
      <c r="H1339" s="253">
        <v>1</v>
      </c>
      <c r="I1339" s="76">
        <v>1</v>
      </c>
      <c r="J1339" s="299" t="s">
        <v>286</v>
      </c>
      <c r="K1339" s="299"/>
      <c r="L1339" s="86"/>
      <c r="Q1339" s="86"/>
    </row>
    <row r="1340" spans="2:17" s="83" customFormat="1" ht="13.5" hidden="1" customHeight="1" outlineLevel="2">
      <c r="B1340" s="119" t="s">
        <v>272</v>
      </c>
      <c r="C1340" s="266" t="s">
        <v>2217</v>
      </c>
      <c r="D1340" s="124" t="s">
        <v>2218</v>
      </c>
      <c r="E1340" s="125"/>
      <c r="F1340" s="118" t="s">
        <v>2133</v>
      </c>
      <c r="G1340" s="126" t="str">
        <f>CONCATENATE("AR-",F1340,"-",H1340)</f>
        <v>AR-V50-1</v>
      </c>
      <c r="H1340" s="253">
        <v>1</v>
      </c>
      <c r="I1340" s="76">
        <v>1</v>
      </c>
      <c r="J1340" s="299" t="s">
        <v>286</v>
      </c>
      <c r="K1340" s="299"/>
      <c r="L1340" s="86"/>
      <c r="Q1340" s="86"/>
    </row>
    <row r="1341" spans="2:17" s="83" customFormat="1" ht="13.5" hidden="1" customHeight="1" outlineLevel="2">
      <c r="B1341" s="119" t="s">
        <v>272</v>
      </c>
      <c r="C1341" s="266" t="s">
        <v>2219</v>
      </c>
      <c r="D1341" s="124" t="s">
        <v>2220</v>
      </c>
      <c r="E1341" s="125"/>
      <c r="F1341" s="118" t="s">
        <v>2133</v>
      </c>
      <c r="G1341" s="126" t="str">
        <f>CONCATENATE("AR-",F1341,"-",H1341)</f>
        <v>AR-V50-1</v>
      </c>
      <c r="H1341" s="253">
        <v>1</v>
      </c>
      <c r="I1341" s="76">
        <v>1</v>
      </c>
      <c r="J1341" s="299" t="s">
        <v>286</v>
      </c>
      <c r="K1341" s="299"/>
      <c r="L1341" s="86"/>
      <c r="Q1341" s="86"/>
    </row>
    <row r="1342" spans="2:17" s="83" customFormat="1" ht="3" hidden="1" customHeight="1" outlineLevel="2">
      <c r="B1342" s="119"/>
      <c r="C1342" s="266"/>
      <c r="D1342" s="124" t="s">
        <v>299</v>
      </c>
      <c r="E1342" s="125"/>
      <c r="F1342" s="118"/>
      <c r="G1342" s="126"/>
      <c r="H1342" s="253"/>
      <c r="I1342" s="253"/>
      <c r="J1342" s="300"/>
      <c r="K1342" s="300"/>
      <c r="L1342" s="86"/>
      <c r="Q1342" s="86"/>
    </row>
    <row r="1343" spans="2:17" s="99" customFormat="1" ht="15" hidden="1" customHeight="1" outlineLevel="2">
      <c r="B1343" s="119" t="s">
        <v>2221</v>
      </c>
      <c r="C1343" s="266"/>
      <c r="D1343" s="124"/>
      <c r="E1343" s="125"/>
      <c r="F1343" s="118"/>
      <c r="G1343" s="126"/>
      <c r="H1343" s="253"/>
      <c r="I1343" s="253"/>
      <c r="J1343" s="305"/>
      <c r="K1343" s="305"/>
      <c r="L1343" s="290"/>
      <c r="Q1343" s="290"/>
    </row>
    <row r="1344" spans="2:17" s="83" customFormat="1" ht="13.5" hidden="1" customHeight="1" outlineLevel="2">
      <c r="B1344" s="119" t="s">
        <v>272</v>
      </c>
      <c r="C1344" s="266" t="s">
        <v>1319</v>
      </c>
      <c r="D1344" s="124" t="s">
        <v>2222</v>
      </c>
      <c r="E1344" s="125"/>
      <c r="F1344" s="118" t="s">
        <v>2133</v>
      </c>
      <c r="G1344" s="126" t="str">
        <f>CONCATENATE("AR-",F1344,"-",H1344)</f>
        <v>AR-V50-1</v>
      </c>
      <c r="H1344" s="253">
        <v>1</v>
      </c>
      <c r="I1344" s="76">
        <v>1</v>
      </c>
      <c r="J1344" s="299" t="s">
        <v>286</v>
      </c>
      <c r="K1344" s="299"/>
      <c r="L1344" s="86"/>
      <c r="Q1344" s="86"/>
    </row>
    <row r="1345" spans="2:17" s="83" customFormat="1" ht="13.5" hidden="1" customHeight="1" outlineLevel="2">
      <c r="B1345" s="119" t="s">
        <v>272</v>
      </c>
      <c r="C1345" s="266" t="s">
        <v>1321</v>
      </c>
      <c r="D1345" s="124" t="s">
        <v>2222</v>
      </c>
      <c r="E1345" s="125"/>
      <c r="F1345" s="118" t="s">
        <v>2133</v>
      </c>
      <c r="G1345" s="126" t="str">
        <f>CONCATENATE("AR-",F1345,"-",H1345)</f>
        <v>AR-V50-1</v>
      </c>
      <c r="H1345" s="253">
        <v>1</v>
      </c>
      <c r="I1345" s="76">
        <v>1</v>
      </c>
      <c r="J1345" s="299" t="s">
        <v>286</v>
      </c>
      <c r="K1345" s="299"/>
      <c r="L1345" s="86"/>
      <c r="Q1345" s="86"/>
    </row>
    <row r="1346" spans="2:17" s="83" customFormat="1" ht="3" hidden="1" customHeight="1" outlineLevel="2">
      <c r="B1346" s="119"/>
      <c r="C1346" s="266"/>
      <c r="D1346" s="124" t="s">
        <v>299</v>
      </c>
      <c r="E1346" s="125"/>
      <c r="F1346" s="118"/>
      <c r="G1346" s="126"/>
      <c r="H1346" s="253"/>
      <c r="I1346" s="253"/>
      <c r="J1346" s="300"/>
      <c r="K1346" s="300"/>
      <c r="L1346" s="86"/>
      <c r="Q1346" s="86"/>
    </row>
    <row r="1347" spans="2:17" s="99" customFormat="1" ht="15" hidden="1" customHeight="1" outlineLevel="2">
      <c r="B1347" s="119" t="s">
        <v>2223</v>
      </c>
      <c r="C1347" s="266"/>
      <c r="D1347" s="124"/>
      <c r="E1347" s="125"/>
      <c r="F1347" s="118"/>
      <c r="G1347" s="126"/>
      <c r="H1347" s="253"/>
      <c r="I1347" s="253"/>
      <c r="J1347" s="305"/>
      <c r="K1347" s="305"/>
      <c r="L1347" s="290"/>
      <c r="Q1347" s="290"/>
    </row>
    <row r="1348" spans="2:17" s="83" customFormat="1" ht="13.5" hidden="1" customHeight="1" outlineLevel="2">
      <c r="B1348" s="119" t="s">
        <v>272</v>
      </c>
      <c r="C1348" s="266" t="s">
        <v>1327</v>
      </c>
      <c r="D1348" s="124" t="s">
        <v>2224</v>
      </c>
      <c r="E1348" s="125"/>
      <c r="F1348" s="118" t="s">
        <v>2133</v>
      </c>
      <c r="G1348" s="126" t="str">
        <f t="shared" ref="G1348:G1353" si="94">CONCATENATE("AR-",F1348,"-",H1348)</f>
        <v>AR-V50-1</v>
      </c>
      <c r="H1348" s="253">
        <v>1</v>
      </c>
      <c r="I1348" s="76">
        <v>1</v>
      </c>
      <c r="J1348" s="299" t="s">
        <v>286</v>
      </c>
      <c r="K1348" s="299"/>
      <c r="L1348" s="86"/>
      <c r="Q1348" s="86"/>
    </row>
    <row r="1349" spans="2:17" s="83" customFormat="1" ht="13.5" hidden="1" customHeight="1" outlineLevel="2">
      <c r="B1349" s="119" t="s">
        <v>272</v>
      </c>
      <c r="C1349" s="266" t="s">
        <v>1329</v>
      </c>
      <c r="D1349" s="124" t="s">
        <v>2225</v>
      </c>
      <c r="E1349" s="125"/>
      <c r="F1349" s="118" t="s">
        <v>2133</v>
      </c>
      <c r="G1349" s="126" t="str">
        <f t="shared" si="94"/>
        <v>AR-V50-1</v>
      </c>
      <c r="H1349" s="253">
        <v>1</v>
      </c>
      <c r="I1349" s="76">
        <v>1</v>
      </c>
      <c r="J1349" s="299" t="s">
        <v>286</v>
      </c>
      <c r="K1349" s="299"/>
      <c r="L1349" s="86"/>
      <c r="Q1349" s="86"/>
    </row>
    <row r="1350" spans="2:17" s="83" customFormat="1" ht="13.5" hidden="1" customHeight="1" outlineLevel="2">
      <c r="B1350" s="119" t="s">
        <v>272</v>
      </c>
      <c r="C1350" s="266" t="s">
        <v>1331</v>
      </c>
      <c r="D1350" s="124" t="s">
        <v>2226</v>
      </c>
      <c r="E1350" s="125"/>
      <c r="F1350" s="118" t="s">
        <v>2133</v>
      </c>
      <c r="G1350" s="126" t="str">
        <f t="shared" si="94"/>
        <v>AR-V50-1</v>
      </c>
      <c r="H1350" s="253">
        <v>1</v>
      </c>
      <c r="I1350" s="76">
        <v>1</v>
      </c>
      <c r="J1350" s="299" t="s">
        <v>286</v>
      </c>
      <c r="K1350" s="299"/>
      <c r="L1350" s="86"/>
      <c r="Q1350" s="86"/>
    </row>
    <row r="1351" spans="2:17" s="83" customFormat="1" ht="13.5" hidden="1" customHeight="1" outlineLevel="2">
      <c r="B1351" s="119" t="s">
        <v>272</v>
      </c>
      <c r="C1351" s="266" t="s">
        <v>1333</v>
      </c>
      <c r="D1351" s="124" t="s">
        <v>2227</v>
      </c>
      <c r="E1351" s="125"/>
      <c r="F1351" s="118" t="s">
        <v>2133</v>
      </c>
      <c r="G1351" s="126" t="str">
        <f t="shared" si="94"/>
        <v>AR-V50-1</v>
      </c>
      <c r="H1351" s="253">
        <v>1</v>
      </c>
      <c r="I1351" s="76">
        <v>1</v>
      </c>
      <c r="J1351" s="299" t="s">
        <v>286</v>
      </c>
      <c r="K1351" s="299"/>
      <c r="L1351" s="86"/>
      <c r="Q1351" s="86"/>
    </row>
    <row r="1352" spans="2:17" s="83" customFormat="1" ht="13.5" hidden="1" customHeight="1" outlineLevel="2">
      <c r="B1352" s="119" t="s">
        <v>272</v>
      </c>
      <c r="C1352" s="266" t="s">
        <v>1335</v>
      </c>
      <c r="D1352" s="124" t="s">
        <v>2228</v>
      </c>
      <c r="E1352" s="125"/>
      <c r="F1352" s="118" t="s">
        <v>2133</v>
      </c>
      <c r="G1352" s="126" t="str">
        <f t="shared" si="94"/>
        <v>AR-V50-1</v>
      </c>
      <c r="H1352" s="253">
        <v>1</v>
      </c>
      <c r="I1352" s="76">
        <v>1</v>
      </c>
      <c r="J1352" s="299" t="s">
        <v>286</v>
      </c>
      <c r="K1352" s="299"/>
      <c r="L1352" s="86"/>
      <c r="Q1352" s="86"/>
    </row>
    <row r="1353" spans="2:17" s="83" customFormat="1" ht="13.5" hidden="1" customHeight="1" outlineLevel="2">
      <c r="B1353" s="119" t="s">
        <v>272</v>
      </c>
      <c r="C1353" s="266" t="s">
        <v>1337</v>
      </c>
      <c r="D1353" s="124" t="s">
        <v>2229</v>
      </c>
      <c r="E1353" s="125"/>
      <c r="F1353" s="118" t="s">
        <v>2133</v>
      </c>
      <c r="G1353" s="126" t="str">
        <f t="shared" si="94"/>
        <v>AR-V50-1</v>
      </c>
      <c r="H1353" s="253">
        <v>1</v>
      </c>
      <c r="I1353" s="76">
        <v>1</v>
      </c>
      <c r="J1353" s="299" t="s">
        <v>286</v>
      </c>
      <c r="K1353" s="299"/>
      <c r="L1353" s="86"/>
      <c r="Q1353" s="86"/>
    </row>
    <row r="1354" spans="2:17" s="83" customFormat="1" ht="3" hidden="1" customHeight="1" outlineLevel="2">
      <c r="B1354" s="119"/>
      <c r="C1354" s="266"/>
      <c r="D1354" s="124" t="s">
        <v>299</v>
      </c>
      <c r="E1354" s="125"/>
      <c r="F1354" s="118"/>
      <c r="G1354" s="126"/>
      <c r="H1354" s="253"/>
      <c r="I1354" s="253"/>
      <c r="J1354" s="300"/>
      <c r="K1354" s="300"/>
      <c r="L1354" s="86"/>
      <c r="Q1354" s="86"/>
    </row>
    <row r="1355" spans="2:17" s="99" customFormat="1" ht="15" hidden="1" customHeight="1" outlineLevel="2">
      <c r="B1355" s="119" t="s">
        <v>517</v>
      </c>
      <c r="C1355" s="266"/>
      <c r="D1355" s="124"/>
      <c r="E1355" s="125"/>
      <c r="F1355" s="118"/>
      <c r="G1355" s="126"/>
      <c r="H1355" s="253"/>
      <c r="I1355" s="253"/>
      <c r="J1355" s="305"/>
      <c r="K1355" s="305"/>
      <c r="L1355" s="290"/>
      <c r="Q1355" s="290"/>
    </row>
    <row r="1356" spans="2:17" s="83" customFormat="1" ht="13.5" hidden="1" customHeight="1" outlineLevel="2">
      <c r="B1356" s="119" t="s">
        <v>272</v>
      </c>
      <c r="C1356" s="266" t="s">
        <v>2230</v>
      </c>
      <c r="D1356" s="124" t="s">
        <v>2231</v>
      </c>
      <c r="E1356" s="125"/>
      <c r="F1356" s="118" t="s">
        <v>2133</v>
      </c>
      <c r="G1356" s="126" t="str">
        <f>CONCATENATE("AR-",F1356,"-",H1356)</f>
        <v>AR-V50-1</v>
      </c>
      <c r="H1356" s="253">
        <v>1</v>
      </c>
      <c r="I1356" s="76">
        <v>1</v>
      </c>
      <c r="J1356" s="299" t="s">
        <v>286</v>
      </c>
      <c r="K1356" s="299"/>
      <c r="L1356" s="86"/>
      <c r="Q1356" s="86"/>
    </row>
    <row r="1357" spans="2:17" s="83" customFormat="1" ht="13.5" hidden="1" customHeight="1" outlineLevel="2">
      <c r="B1357" s="119" t="s">
        <v>272</v>
      </c>
      <c r="C1357" s="266" t="s">
        <v>2232</v>
      </c>
      <c r="D1357" s="124" t="s">
        <v>1195</v>
      </c>
      <c r="E1357" s="125"/>
      <c r="F1357" s="118" t="s">
        <v>2133</v>
      </c>
      <c r="G1357" s="126" t="str">
        <f>CONCATENATE("AR-",F1357,"-",H1357)</f>
        <v>AR-V50-1</v>
      </c>
      <c r="H1357" s="253">
        <v>1</v>
      </c>
      <c r="I1357" s="76">
        <v>1</v>
      </c>
      <c r="J1357" s="299" t="s">
        <v>286</v>
      </c>
      <c r="K1357" s="299"/>
      <c r="L1357" s="86"/>
      <c r="Q1357" s="86"/>
    </row>
    <row r="1358" spans="2:17" s="83" customFormat="1" ht="13.5" hidden="1" customHeight="1" outlineLevel="2">
      <c r="B1358" s="119" t="s">
        <v>272</v>
      </c>
      <c r="C1358" s="266" t="s">
        <v>2233</v>
      </c>
      <c r="D1358" s="124" t="s">
        <v>1196</v>
      </c>
      <c r="E1358" s="125"/>
      <c r="F1358" s="118" t="s">
        <v>2133</v>
      </c>
      <c r="G1358" s="126" t="str">
        <f>CONCATENATE("AR-",F1358,"-",H1358)</f>
        <v>AR-V50-1</v>
      </c>
      <c r="H1358" s="253">
        <v>1</v>
      </c>
      <c r="I1358" s="76">
        <v>1</v>
      </c>
      <c r="J1358" s="299" t="s">
        <v>286</v>
      </c>
      <c r="K1358" s="299"/>
      <c r="L1358" s="86"/>
      <c r="Q1358" s="86"/>
    </row>
    <row r="1359" spans="2:17" s="83" customFormat="1" ht="3" hidden="1" customHeight="1" outlineLevel="2">
      <c r="B1359" s="119"/>
      <c r="C1359" s="266"/>
      <c r="D1359" s="124" t="s">
        <v>299</v>
      </c>
      <c r="E1359" s="125"/>
      <c r="F1359" s="118"/>
      <c r="G1359" s="126"/>
      <c r="H1359" s="253"/>
      <c r="I1359" s="253"/>
      <c r="J1359" s="300"/>
      <c r="K1359" s="300"/>
      <c r="L1359" s="86"/>
      <c r="Q1359" s="86"/>
    </row>
    <row r="1360" spans="2:17" s="99" customFormat="1" ht="15" hidden="1" customHeight="1" outlineLevel="2">
      <c r="B1360" s="119" t="s">
        <v>2234</v>
      </c>
      <c r="C1360" s="266"/>
      <c r="D1360" s="124"/>
      <c r="E1360" s="125"/>
      <c r="F1360" s="118"/>
      <c r="G1360" s="126"/>
      <c r="H1360" s="253"/>
      <c r="I1360" s="253"/>
      <c r="J1360" s="305"/>
      <c r="K1360" s="305"/>
      <c r="L1360" s="290"/>
      <c r="Q1360" s="290"/>
    </row>
    <row r="1361" spans="2:17" s="83" customFormat="1" ht="13.5" hidden="1" customHeight="1" outlineLevel="2">
      <c r="B1361" s="119" t="s">
        <v>272</v>
      </c>
      <c r="C1361" s="266">
        <v>7410</v>
      </c>
      <c r="D1361" s="124" t="s">
        <v>1339</v>
      </c>
      <c r="E1361" s="125"/>
      <c r="F1361" s="118" t="s">
        <v>2133</v>
      </c>
      <c r="G1361" s="126" t="str">
        <f t="shared" ref="G1361:G1374" si="95">CONCATENATE("AR-",F1361,"-",H1361)</f>
        <v>AR-V50-1</v>
      </c>
      <c r="H1361" s="253">
        <v>1</v>
      </c>
      <c r="I1361" s="76">
        <v>1</v>
      </c>
      <c r="J1361" s="299" t="s">
        <v>286</v>
      </c>
      <c r="K1361" s="299"/>
      <c r="L1361" s="86"/>
      <c r="Q1361" s="86"/>
    </row>
    <row r="1362" spans="2:17" s="83" customFormat="1" ht="13.5" hidden="1" customHeight="1" outlineLevel="2">
      <c r="B1362" s="119" t="s">
        <v>272</v>
      </c>
      <c r="C1362" s="266">
        <v>7420</v>
      </c>
      <c r="D1362" s="124" t="s">
        <v>1340</v>
      </c>
      <c r="E1362" s="125"/>
      <c r="F1362" s="118" t="s">
        <v>2133</v>
      </c>
      <c r="G1362" s="126" t="str">
        <f t="shared" si="95"/>
        <v>AR-V50-1</v>
      </c>
      <c r="H1362" s="253">
        <v>1</v>
      </c>
      <c r="I1362" s="76">
        <v>1</v>
      </c>
      <c r="J1362" s="299" t="s">
        <v>286</v>
      </c>
      <c r="K1362" s="299"/>
      <c r="L1362" s="86"/>
      <c r="Q1362" s="86"/>
    </row>
    <row r="1363" spans="2:17" s="83" customFormat="1" ht="13.5" hidden="1" customHeight="1" outlineLevel="2">
      <c r="B1363" s="119" t="s">
        <v>272</v>
      </c>
      <c r="C1363" s="266">
        <v>7430</v>
      </c>
      <c r="D1363" s="124" t="s">
        <v>1341</v>
      </c>
      <c r="E1363" s="125"/>
      <c r="F1363" s="118" t="s">
        <v>2133</v>
      </c>
      <c r="G1363" s="126" t="str">
        <f t="shared" si="95"/>
        <v>AR-V50-1</v>
      </c>
      <c r="H1363" s="253">
        <v>1</v>
      </c>
      <c r="I1363" s="76">
        <v>1</v>
      </c>
      <c r="J1363" s="299" t="s">
        <v>286</v>
      </c>
      <c r="K1363" s="299"/>
      <c r="L1363" s="86"/>
      <c r="Q1363" s="86"/>
    </row>
    <row r="1364" spans="2:17" s="83" customFormat="1" ht="13.5" hidden="1" customHeight="1" outlineLevel="2">
      <c r="B1364" s="119" t="s">
        <v>272</v>
      </c>
      <c r="C1364" s="266">
        <v>7440</v>
      </c>
      <c r="D1364" s="124" t="s">
        <v>1342</v>
      </c>
      <c r="E1364" s="125"/>
      <c r="F1364" s="118" t="s">
        <v>2133</v>
      </c>
      <c r="G1364" s="126" t="str">
        <f t="shared" si="95"/>
        <v>AR-V50-1</v>
      </c>
      <c r="H1364" s="253">
        <v>1</v>
      </c>
      <c r="I1364" s="76">
        <v>1</v>
      </c>
      <c r="J1364" s="299" t="s">
        <v>286</v>
      </c>
      <c r="K1364" s="299"/>
      <c r="L1364" s="86"/>
      <c r="Q1364" s="86"/>
    </row>
    <row r="1365" spans="2:17" s="83" customFormat="1" ht="13.5" hidden="1" customHeight="1" outlineLevel="2">
      <c r="B1365" s="119" t="s">
        <v>272</v>
      </c>
      <c r="C1365" s="266">
        <v>7450</v>
      </c>
      <c r="D1365" s="124" t="s">
        <v>1343</v>
      </c>
      <c r="E1365" s="125"/>
      <c r="F1365" s="118" t="s">
        <v>2133</v>
      </c>
      <c r="G1365" s="126" t="str">
        <f t="shared" si="95"/>
        <v>AR-V50-1</v>
      </c>
      <c r="H1365" s="253">
        <v>1</v>
      </c>
      <c r="I1365" s="76">
        <v>1</v>
      </c>
      <c r="J1365" s="299" t="s">
        <v>286</v>
      </c>
      <c r="K1365" s="299"/>
      <c r="L1365" s="86"/>
      <c r="Q1365" s="86"/>
    </row>
    <row r="1366" spans="2:17" s="83" customFormat="1" ht="13.5" hidden="1" customHeight="1" outlineLevel="2">
      <c r="B1366" s="119" t="s">
        <v>272</v>
      </c>
      <c r="C1366" s="266">
        <v>7461</v>
      </c>
      <c r="D1366" s="124" t="s">
        <v>1344</v>
      </c>
      <c r="E1366" s="125"/>
      <c r="F1366" s="118" t="s">
        <v>2133</v>
      </c>
      <c r="G1366" s="126" t="str">
        <f t="shared" si="95"/>
        <v>AR-V50-1</v>
      </c>
      <c r="H1366" s="253">
        <v>1</v>
      </c>
      <c r="I1366" s="76">
        <v>1</v>
      </c>
      <c r="J1366" s="299" t="s">
        <v>286</v>
      </c>
      <c r="K1366" s="299"/>
      <c r="L1366" s="86"/>
      <c r="Q1366" s="86"/>
    </row>
    <row r="1367" spans="2:17" s="83" customFormat="1" ht="13.5" hidden="1" customHeight="1" outlineLevel="2">
      <c r="B1367" s="119" t="s">
        <v>272</v>
      </c>
      <c r="C1367" s="266">
        <v>7462</v>
      </c>
      <c r="D1367" s="124" t="s">
        <v>1345</v>
      </c>
      <c r="E1367" s="125"/>
      <c r="F1367" s="118" t="s">
        <v>2133</v>
      </c>
      <c r="G1367" s="126" t="str">
        <f t="shared" si="95"/>
        <v>AR-V50-1</v>
      </c>
      <c r="H1367" s="253">
        <v>1</v>
      </c>
      <c r="I1367" s="76">
        <v>1</v>
      </c>
      <c r="J1367" s="299" t="s">
        <v>286</v>
      </c>
      <c r="K1367" s="299"/>
      <c r="L1367" s="86"/>
      <c r="Q1367" s="86"/>
    </row>
    <row r="1368" spans="2:17" s="83" customFormat="1" ht="13.5" hidden="1" customHeight="1" outlineLevel="2">
      <c r="B1368" s="119" t="s">
        <v>272</v>
      </c>
      <c r="C1368" s="266">
        <v>7463</v>
      </c>
      <c r="D1368" s="124" t="s">
        <v>1346</v>
      </c>
      <c r="E1368" s="125"/>
      <c r="F1368" s="118" t="s">
        <v>2133</v>
      </c>
      <c r="G1368" s="126" t="str">
        <f t="shared" si="95"/>
        <v>AR-V50-1</v>
      </c>
      <c r="H1368" s="253">
        <v>1</v>
      </c>
      <c r="I1368" s="76">
        <v>1</v>
      </c>
      <c r="J1368" s="299" t="s">
        <v>286</v>
      </c>
      <c r="K1368" s="299"/>
      <c r="L1368" s="86"/>
      <c r="Q1368" s="86"/>
    </row>
    <row r="1369" spans="2:17" s="83" customFormat="1" ht="13.5" hidden="1" customHeight="1" outlineLevel="2">
      <c r="B1369" s="119" t="s">
        <v>272</v>
      </c>
      <c r="C1369" s="266">
        <v>7470</v>
      </c>
      <c r="D1369" s="124" t="s">
        <v>1347</v>
      </c>
      <c r="E1369" s="125"/>
      <c r="F1369" s="118" t="s">
        <v>2133</v>
      </c>
      <c r="G1369" s="126" t="str">
        <f t="shared" si="95"/>
        <v>AR-V50-1</v>
      </c>
      <c r="H1369" s="253">
        <v>1</v>
      </c>
      <c r="I1369" s="76">
        <v>1</v>
      </c>
      <c r="J1369" s="299" t="s">
        <v>286</v>
      </c>
      <c r="K1369" s="299"/>
      <c r="L1369" s="86"/>
      <c r="Q1369" s="86"/>
    </row>
    <row r="1370" spans="2:17" s="83" customFormat="1" ht="13.5" hidden="1" customHeight="1" outlineLevel="2">
      <c r="B1370" s="119" t="s">
        <v>272</v>
      </c>
      <c r="C1370" s="266">
        <v>7480</v>
      </c>
      <c r="D1370" s="124" t="s">
        <v>1348</v>
      </c>
      <c r="E1370" s="125"/>
      <c r="F1370" s="118" t="s">
        <v>2133</v>
      </c>
      <c r="G1370" s="126" t="str">
        <f t="shared" si="95"/>
        <v>AR-V50-1</v>
      </c>
      <c r="H1370" s="253">
        <v>1</v>
      </c>
      <c r="I1370" s="76">
        <v>1</v>
      </c>
      <c r="J1370" s="299" t="s">
        <v>286</v>
      </c>
      <c r="K1370" s="299"/>
      <c r="L1370" s="86"/>
      <c r="Q1370" s="86"/>
    </row>
    <row r="1371" spans="2:17" s="83" customFormat="1" ht="13.5" hidden="1" customHeight="1" outlineLevel="2">
      <c r="B1371" s="119" t="s">
        <v>272</v>
      </c>
      <c r="C1371" s="266">
        <v>7490</v>
      </c>
      <c r="D1371" s="124" t="s">
        <v>1349</v>
      </c>
      <c r="E1371" s="125"/>
      <c r="F1371" s="118" t="s">
        <v>2133</v>
      </c>
      <c r="G1371" s="126" t="str">
        <f t="shared" si="95"/>
        <v>AR-V50-1</v>
      </c>
      <c r="H1371" s="253">
        <v>1</v>
      </c>
      <c r="I1371" s="76">
        <v>1</v>
      </c>
      <c r="J1371" s="299" t="s">
        <v>286</v>
      </c>
      <c r="K1371" s="299"/>
      <c r="L1371" s="86"/>
      <c r="Q1371" s="86"/>
    </row>
    <row r="1372" spans="2:17" s="83" customFormat="1" ht="13.5" hidden="1" customHeight="1" outlineLevel="2">
      <c r="B1372" s="119" t="s">
        <v>272</v>
      </c>
      <c r="C1372" s="266">
        <v>7500</v>
      </c>
      <c r="D1372" s="124" t="s">
        <v>1350</v>
      </c>
      <c r="E1372" s="125"/>
      <c r="F1372" s="118" t="s">
        <v>2133</v>
      </c>
      <c r="G1372" s="126" t="str">
        <f t="shared" si="95"/>
        <v>AR-V50-1</v>
      </c>
      <c r="H1372" s="253">
        <v>1</v>
      </c>
      <c r="I1372" s="76">
        <v>1</v>
      </c>
      <c r="J1372" s="299" t="s">
        <v>286</v>
      </c>
      <c r="K1372" s="299"/>
      <c r="L1372" s="86"/>
      <c r="Q1372" s="86"/>
    </row>
    <row r="1373" spans="2:17" s="83" customFormat="1" ht="13.5" hidden="1" customHeight="1" outlineLevel="2">
      <c r="B1373" s="119" t="s">
        <v>272</v>
      </c>
      <c r="C1373" s="266">
        <v>7510</v>
      </c>
      <c r="D1373" s="124" t="s">
        <v>1351</v>
      </c>
      <c r="E1373" s="125"/>
      <c r="F1373" s="118" t="s">
        <v>2133</v>
      </c>
      <c r="G1373" s="126" t="str">
        <f t="shared" si="95"/>
        <v>AR-V50-1</v>
      </c>
      <c r="H1373" s="253">
        <v>1</v>
      </c>
      <c r="I1373" s="76">
        <v>1</v>
      </c>
      <c r="J1373" s="299" t="s">
        <v>286</v>
      </c>
      <c r="K1373" s="299"/>
      <c r="L1373" s="86"/>
      <c r="Q1373" s="86"/>
    </row>
    <row r="1374" spans="2:17" s="83" customFormat="1" ht="13.5" hidden="1" customHeight="1" outlineLevel="2">
      <c r="B1374" s="119" t="s">
        <v>272</v>
      </c>
      <c r="C1374" s="266" t="s">
        <v>1352</v>
      </c>
      <c r="D1374" s="124" t="s">
        <v>1353</v>
      </c>
      <c r="E1374" s="125"/>
      <c r="F1374" s="118" t="s">
        <v>2133</v>
      </c>
      <c r="G1374" s="126" t="str">
        <f t="shared" si="95"/>
        <v>AR-V50-1</v>
      </c>
      <c r="H1374" s="253">
        <v>1</v>
      </c>
      <c r="I1374" s="76">
        <v>1</v>
      </c>
      <c r="J1374" s="299" t="s">
        <v>286</v>
      </c>
      <c r="K1374" s="299"/>
      <c r="L1374" s="86"/>
      <c r="Q1374" s="86"/>
    </row>
    <row r="1375" spans="2:17" s="95" customFormat="1" ht="3" hidden="1" customHeight="1" outlineLevel="1">
      <c r="B1375" s="119"/>
      <c r="C1375" s="266"/>
      <c r="D1375" s="124" t="s">
        <v>299</v>
      </c>
      <c r="E1375" s="125"/>
      <c r="F1375" s="118"/>
      <c r="G1375" s="126"/>
      <c r="H1375" s="253"/>
      <c r="I1375" s="93"/>
      <c r="J1375" s="303"/>
      <c r="K1375" s="303"/>
      <c r="L1375" s="94"/>
      <c r="M1375" s="76"/>
      <c r="Q1375" s="288"/>
    </row>
    <row r="1376" spans="2:17" s="91" customFormat="1" ht="15" hidden="1" customHeight="1" outlineLevel="1">
      <c r="B1376" s="135" t="s">
        <v>2235</v>
      </c>
      <c r="C1376" s="266"/>
      <c r="D1376" s="124"/>
      <c r="E1376" s="125"/>
      <c r="F1376" s="118"/>
      <c r="G1376" s="126"/>
      <c r="H1376" s="253"/>
      <c r="I1376" s="89"/>
      <c r="J1376" s="304"/>
      <c r="K1376" s="304"/>
      <c r="L1376" s="90"/>
      <c r="M1376" s="76"/>
      <c r="Q1376" s="287"/>
    </row>
    <row r="1377" spans="2:17" s="83" customFormat="1" ht="3" hidden="1" customHeight="1" outlineLevel="2">
      <c r="B1377" s="119"/>
      <c r="C1377" s="266"/>
      <c r="D1377" s="124" t="s">
        <v>299</v>
      </c>
      <c r="E1377" s="125"/>
      <c r="F1377" s="118"/>
      <c r="G1377" s="126"/>
      <c r="H1377" s="253"/>
      <c r="I1377" s="76"/>
      <c r="J1377" s="299"/>
      <c r="K1377" s="299"/>
      <c r="L1377" s="84"/>
      <c r="M1377" s="76"/>
      <c r="Q1377" s="86"/>
    </row>
    <row r="1378" spans="2:17" s="83" customFormat="1" ht="15" hidden="1" customHeight="1" outlineLevel="2">
      <c r="B1378" s="119" t="s">
        <v>2130</v>
      </c>
      <c r="C1378" s="266"/>
      <c r="D1378" s="124"/>
      <c r="E1378" s="125"/>
      <c r="F1378" s="118"/>
      <c r="G1378" s="126"/>
      <c r="H1378" s="253"/>
      <c r="I1378" s="76"/>
      <c r="J1378" s="299"/>
      <c r="K1378" s="299"/>
      <c r="L1378" s="84"/>
      <c r="M1378" s="76"/>
      <c r="Q1378" s="86"/>
    </row>
    <row r="1379" spans="2:17" s="83" customFormat="1" ht="15" hidden="1" customHeight="1" outlineLevel="2">
      <c r="B1379" s="119" t="s">
        <v>272</v>
      </c>
      <c r="C1379" s="266" t="s">
        <v>2131</v>
      </c>
      <c r="D1379" s="124" t="s">
        <v>2132</v>
      </c>
      <c r="E1379" s="125"/>
      <c r="F1379" s="118" t="s">
        <v>2236</v>
      </c>
      <c r="G1379" s="126" t="str">
        <f t="shared" ref="G1379:G1384" si="96">CONCATENATE("AR-",F1379,"-",H1379)</f>
        <v>AR-V40-1</v>
      </c>
      <c r="H1379" s="253">
        <v>1</v>
      </c>
      <c r="J1379" s="299"/>
      <c r="K1379" s="299"/>
      <c r="L1379" s="84">
        <v>1</v>
      </c>
      <c r="M1379" s="76">
        <v>1</v>
      </c>
      <c r="Q1379" s="86"/>
    </row>
    <row r="1380" spans="2:17" s="83" customFormat="1" ht="15" hidden="1" customHeight="1" outlineLevel="2">
      <c r="B1380" s="119" t="s">
        <v>272</v>
      </c>
      <c r="C1380" s="266" t="s">
        <v>2134</v>
      </c>
      <c r="D1380" s="124" t="s">
        <v>2135</v>
      </c>
      <c r="E1380" s="125"/>
      <c r="F1380" s="118" t="s">
        <v>2236</v>
      </c>
      <c r="G1380" s="126" t="str">
        <f t="shared" si="96"/>
        <v>AR-V40-1</v>
      </c>
      <c r="H1380" s="253">
        <v>1</v>
      </c>
      <c r="J1380" s="299"/>
      <c r="K1380" s="299"/>
      <c r="L1380" s="84">
        <v>1</v>
      </c>
      <c r="M1380" s="76">
        <v>1</v>
      </c>
      <c r="Q1380" s="86"/>
    </row>
    <row r="1381" spans="2:17" s="83" customFormat="1" ht="15" hidden="1" customHeight="1" outlineLevel="2">
      <c r="B1381" s="119" t="s">
        <v>272</v>
      </c>
      <c r="C1381" s="266" t="s">
        <v>2136</v>
      </c>
      <c r="D1381" s="124" t="s">
        <v>2137</v>
      </c>
      <c r="E1381" s="125"/>
      <c r="F1381" s="118" t="s">
        <v>2236</v>
      </c>
      <c r="G1381" s="126" t="str">
        <f t="shared" si="96"/>
        <v>AR-V40-1</v>
      </c>
      <c r="H1381" s="253">
        <v>1</v>
      </c>
      <c r="J1381" s="299"/>
      <c r="K1381" s="299"/>
      <c r="L1381" s="84">
        <v>1</v>
      </c>
      <c r="M1381" s="76">
        <v>1</v>
      </c>
      <c r="Q1381" s="86"/>
    </row>
    <row r="1382" spans="2:17" s="83" customFormat="1" ht="15" hidden="1" customHeight="1" outlineLevel="2">
      <c r="B1382" s="119" t="s">
        <v>272</v>
      </c>
      <c r="C1382" s="266" t="s">
        <v>2138</v>
      </c>
      <c r="D1382" s="124" t="s">
        <v>2139</v>
      </c>
      <c r="E1382" s="125"/>
      <c r="F1382" s="118" t="s">
        <v>2236</v>
      </c>
      <c r="G1382" s="126" t="str">
        <f t="shared" si="96"/>
        <v>AR-V40-1</v>
      </c>
      <c r="H1382" s="253">
        <v>1</v>
      </c>
      <c r="J1382" s="299"/>
      <c r="K1382" s="299"/>
      <c r="L1382" s="84">
        <v>1</v>
      </c>
      <c r="M1382" s="76">
        <v>1</v>
      </c>
      <c r="Q1382" s="86"/>
    </row>
    <row r="1383" spans="2:17" s="83" customFormat="1" ht="15" hidden="1" customHeight="1" outlineLevel="2">
      <c r="B1383" s="119" t="s">
        <v>272</v>
      </c>
      <c r="C1383" s="266" t="s">
        <v>2140</v>
      </c>
      <c r="D1383" s="124" t="s">
        <v>2141</v>
      </c>
      <c r="E1383" s="125"/>
      <c r="F1383" s="118" t="s">
        <v>2236</v>
      </c>
      <c r="G1383" s="126" t="str">
        <f t="shared" si="96"/>
        <v>AR-V40-1</v>
      </c>
      <c r="H1383" s="253">
        <v>1</v>
      </c>
      <c r="J1383" s="299"/>
      <c r="K1383" s="299"/>
      <c r="L1383" s="84">
        <v>1</v>
      </c>
      <c r="M1383" s="76">
        <v>1</v>
      </c>
      <c r="Q1383" s="86"/>
    </row>
    <row r="1384" spans="2:17" s="83" customFormat="1" ht="15" hidden="1" customHeight="1" outlineLevel="2">
      <c r="B1384" s="119" t="s">
        <v>272</v>
      </c>
      <c r="C1384" s="266" t="s">
        <v>2142</v>
      </c>
      <c r="D1384" s="124" t="s">
        <v>2143</v>
      </c>
      <c r="E1384" s="125"/>
      <c r="F1384" s="118" t="s">
        <v>2236</v>
      </c>
      <c r="G1384" s="126" t="str">
        <f t="shared" si="96"/>
        <v>AR-V40-1</v>
      </c>
      <c r="H1384" s="253">
        <v>1</v>
      </c>
      <c r="J1384" s="299"/>
      <c r="K1384" s="299"/>
      <c r="L1384" s="84">
        <v>1</v>
      </c>
      <c r="M1384" s="76">
        <v>1</v>
      </c>
      <c r="Q1384" s="86"/>
    </row>
    <row r="1385" spans="2:17" s="83" customFormat="1" ht="15" hidden="1" customHeight="1" outlineLevel="2">
      <c r="B1385" s="119"/>
      <c r="C1385" s="266"/>
      <c r="D1385" s="124" t="s">
        <v>299</v>
      </c>
      <c r="E1385" s="125"/>
      <c r="F1385" s="118"/>
      <c r="G1385" s="126"/>
      <c r="H1385" s="253"/>
      <c r="J1385" s="299"/>
      <c r="K1385" s="299"/>
      <c r="L1385" s="84"/>
      <c r="M1385" s="76"/>
      <c r="Q1385" s="86"/>
    </row>
    <row r="1386" spans="2:17" s="83" customFormat="1" ht="15" hidden="1" customHeight="1" outlineLevel="2">
      <c r="B1386" s="119" t="s">
        <v>2144</v>
      </c>
      <c r="C1386" s="266"/>
      <c r="D1386" s="124"/>
      <c r="E1386" s="125"/>
      <c r="F1386" s="118"/>
      <c r="G1386" s="126"/>
      <c r="H1386" s="253"/>
      <c r="J1386" s="299"/>
      <c r="K1386" s="299"/>
      <c r="L1386" s="84"/>
      <c r="M1386" s="76"/>
      <c r="Q1386" s="86"/>
    </row>
    <row r="1387" spans="2:17" s="83" customFormat="1" ht="15" hidden="1" customHeight="1" outlineLevel="2">
      <c r="B1387" s="119" t="s">
        <v>272</v>
      </c>
      <c r="C1387" s="266" t="s">
        <v>2145</v>
      </c>
      <c r="D1387" s="124" t="s">
        <v>2146</v>
      </c>
      <c r="E1387" s="125"/>
      <c r="F1387" s="118" t="s">
        <v>2236</v>
      </c>
      <c r="G1387" s="126" t="str">
        <f>CONCATENATE("AR-",F1387,"-",H1387)</f>
        <v>AR-V40-1</v>
      </c>
      <c r="H1387" s="253">
        <v>1</v>
      </c>
      <c r="J1387" s="299"/>
      <c r="K1387" s="299"/>
      <c r="L1387" s="84">
        <v>1</v>
      </c>
      <c r="M1387" s="76">
        <v>1</v>
      </c>
      <c r="Q1387" s="86"/>
    </row>
    <row r="1388" spans="2:17" s="83" customFormat="1" ht="15" hidden="1" customHeight="1" outlineLevel="2">
      <c r="B1388" s="119" t="s">
        <v>272</v>
      </c>
      <c r="C1388" s="266" t="s">
        <v>1276</v>
      </c>
      <c r="D1388" s="124" t="s">
        <v>2147</v>
      </c>
      <c r="E1388" s="125"/>
      <c r="F1388" s="118" t="s">
        <v>2236</v>
      </c>
      <c r="G1388" s="126" t="str">
        <f>CONCATENATE("AR-",F1388,"-",H1388)</f>
        <v>AR-V40-1</v>
      </c>
      <c r="H1388" s="253">
        <v>1</v>
      </c>
      <c r="J1388" s="299"/>
      <c r="K1388" s="299"/>
      <c r="L1388" s="84">
        <v>1</v>
      </c>
      <c r="M1388" s="76">
        <v>1</v>
      </c>
      <c r="Q1388" s="86"/>
    </row>
    <row r="1389" spans="2:17" s="100" customFormat="1" ht="15" hidden="1" customHeight="1" outlineLevel="2">
      <c r="B1389" s="119" t="s">
        <v>272</v>
      </c>
      <c r="C1389" s="266" t="s">
        <v>2148</v>
      </c>
      <c r="D1389" s="124" t="s">
        <v>2149</v>
      </c>
      <c r="E1389" s="125"/>
      <c r="F1389" s="118" t="s">
        <v>2236</v>
      </c>
      <c r="G1389" s="126" t="str">
        <f>CONCATENATE("AR-",F1389,"-",H1389)</f>
        <v>AR-V40-1</v>
      </c>
      <c r="H1389" s="253">
        <v>1</v>
      </c>
      <c r="J1389" s="299"/>
      <c r="K1389" s="299"/>
      <c r="L1389" s="84">
        <v>1</v>
      </c>
      <c r="M1389" s="76">
        <v>1</v>
      </c>
      <c r="Q1389" s="291"/>
    </row>
    <row r="1390" spans="2:17" s="83" customFormat="1" ht="15" hidden="1" customHeight="1" outlineLevel="2">
      <c r="B1390" s="119"/>
      <c r="C1390" s="266"/>
      <c r="D1390" s="124" t="s">
        <v>299</v>
      </c>
      <c r="E1390" s="125"/>
      <c r="F1390" s="118"/>
      <c r="G1390" s="126"/>
      <c r="H1390" s="253"/>
      <c r="J1390" s="299"/>
      <c r="K1390" s="299"/>
      <c r="L1390" s="84"/>
      <c r="M1390" s="76"/>
      <c r="Q1390" s="86"/>
    </row>
    <row r="1391" spans="2:17" s="83" customFormat="1" ht="15" hidden="1" customHeight="1" outlineLevel="2">
      <c r="B1391" s="119" t="s">
        <v>2150</v>
      </c>
      <c r="C1391" s="266"/>
      <c r="D1391" s="124"/>
      <c r="E1391" s="125"/>
      <c r="F1391" s="118"/>
      <c r="G1391" s="126"/>
      <c r="H1391" s="253"/>
      <c r="J1391" s="299"/>
      <c r="K1391" s="299"/>
      <c r="L1391" s="84"/>
      <c r="M1391" s="76"/>
      <c r="Q1391" s="86"/>
    </row>
    <row r="1392" spans="2:17" s="83" customFormat="1" ht="15" hidden="1" customHeight="1" outlineLevel="2">
      <c r="B1392" s="119" t="s">
        <v>272</v>
      </c>
      <c r="C1392" s="266" t="s">
        <v>1278</v>
      </c>
      <c r="D1392" s="124" t="s">
        <v>2151</v>
      </c>
      <c r="E1392" s="125"/>
      <c r="F1392" s="118" t="s">
        <v>2236</v>
      </c>
      <c r="G1392" s="126" t="str">
        <f>CONCATENATE("AR-",F1392,"-",H1392)</f>
        <v>AR-V40-1</v>
      </c>
      <c r="H1392" s="253">
        <v>1</v>
      </c>
      <c r="J1392" s="299"/>
      <c r="K1392" s="299"/>
      <c r="L1392" s="84">
        <v>1</v>
      </c>
      <c r="M1392" s="76">
        <v>1</v>
      </c>
      <c r="Q1392" s="86"/>
    </row>
    <row r="1393" spans="2:17" s="83" customFormat="1" ht="15" hidden="1" customHeight="1" outlineLevel="2">
      <c r="B1393" s="119" t="s">
        <v>272</v>
      </c>
      <c r="C1393" s="266" t="s">
        <v>2152</v>
      </c>
      <c r="D1393" s="124" t="s">
        <v>2153</v>
      </c>
      <c r="E1393" s="125"/>
      <c r="F1393" s="118" t="s">
        <v>2236</v>
      </c>
      <c r="G1393" s="126" t="str">
        <f>CONCATENATE("AR-",F1393,"-",H1393)</f>
        <v>AR-V40-1</v>
      </c>
      <c r="H1393" s="253">
        <v>1</v>
      </c>
      <c r="J1393" s="299"/>
      <c r="K1393" s="299"/>
      <c r="L1393" s="84">
        <v>1</v>
      </c>
      <c r="M1393" s="76">
        <v>1</v>
      </c>
      <c r="Q1393" s="86"/>
    </row>
    <row r="1394" spans="2:17" s="83" customFormat="1" ht="15" hidden="1" customHeight="1" outlineLevel="2">
      <c r="B1394" s="119"/>
      <c r="C1394" s="266"/>
      <c r="D1394" s="124" t="s">
        <v>299</v>
      </c>
      <c r="E1394" s="125"/>
      <c r="F1394" s="118"/>
      <c r="G1394" s="126"/>
      <c r="H1394" s="253"/>
      <c r="J1394" s="299"/>
      <c r="K1394" s="299"/>
      <c r="L1394" s="84"/>
      <c r="M1394" s="76"/>
      <c r="Q1394" s="86"/>
    </row>
    <row r="1395" spans="2:17" s="83" customFormat="1" ht="15" hidden="1" customHeight="1" outlineLevel="2">
      <c r="B1395" s="119" t="s">
        <v>1094</v>
      </c>
      <c r="C1395" s="266"/>
      <c r="D1395" s="124"/>
      <c r="E1395" s="125"/>
      <c r="F1395" s="118"/>
      <c r="G1395" s="126"/>
      <c r="H1395" s="253"/>
      <c r="J1395" s="299"/>
      <c r="K1395" s="299"/>
      <c r="L1395" s="84"/>
      <c r="M1395" s="76"/>
      <c r="Q1395" s="86"/>
    </row>
    <row r="1396" spans="2:17" s="83" customFormat="1" ht="15" hidden="1" customHeight="1" outlineLevel="2">
      <c r="B1396" s="119" t="s">
        <v>272</v>
      </c>
      <c r="C1396" s="266" t="s">
        <v>1280</v>
      </c>
      <c r="D1396" s="124" t="s">
        <v>2154</v>
      </c>
      <c r="E1396" s="125"/>
      <c r="F1396" s="118" t="s">
        <v>2236</v>
      </c>
      <c r="G1396" s="126" t="str">
        <f>CONCATENATE("AR-",F1396,"-",H1396)</f>
        <v>AR-V40-1</v>
      </c>
      <c r="H1396" s="253">
        <v>1</v>
      </c>
      <c r="J1396" s="299"/>
      <c r="K1396" s="299"/>
      <c r="L1396" s="84">
        <v>1</v>
      </c>
      <c r="M1396" s="76">
        <v>1</v>
      </c>
      <c r="Q1396" s="86"/>
    </row>
    <row r="1397" spans="2:17" s="83" customFormat="1" ht="15" hidden="1" customHeight="1" outlineLevel="2">
      <c r="B1397" s="119" t="s">
        <v>272</v>
      </c>
      <c r="C1397" s="266" t="s">
        <v>2155</v>
      </c>
      <c r="D1397" s="124" t="s">
        <v>2156</v>
      </c>
      <c r="E1397" s="125"/>
      <c r="F1397" s="118" t="s">
        <v>2236</v>
      </c>
      <c r="G1397" s="126" t="str">
        <f>CONCATENATE("AR-",F1397,"-",H1397)</f>
        <v>AR-V40-1</v>
      </c>
      <c r="H1397" s="253">
        <v>1</v>
      </c>
      <c r="J1397" s="299"/>
      <c r="K1397" s="299"/>
      <c r="L1397" s="84">
        <v>1</v>
      </c>
      <c r="M1397" s="76">
        <v>1</v>
      </c>
      <c r="Q1397" s="86"/>
    </row>
    <row r="1398" spans="2:17" s="83" customFormat="1" ht="15" hidden="1" customHeight="1" outlineLevel="2">
      <c r="B1398" s="119" t="s">
        <v>272</v>
      </c>
      <c r="C1398" s="266" t="s">
        <v>2157</v>
      </c>
      <c r="D1398" s="124" t="s">
        <v>2158</v>
      </c>
      <c r="E1398" s="125"/>
      <c r="F1398" s="118" t="s">
        <v>2236</v>
      </c>
      <c r="G1398" s="126" t="str">
        <f>CONCATENATE("AR-",F1398,"-",H1398)</f>
        <v>AR-V40-1</v>
      </c>
      <c r="H1398" s="253">
        <v>1</v>
      </c>
      <c r="J1398" s="299"/>
      <c r="K1398" s="299"/>
      <c r="L1398" s="84">
        <v>1</v>
      </c>
      <c r="M1398" s="76">
        <v>1</v>
      </c>
      <c r="Q1398" s="86"/>
    </row>
    <row r="1399" spans="2:17" s="83" customFormat="1" ht="15" hidden="1" customHeight="1" outlineLevel="2">
      <c r="B1399" s="119" t="s">
        <v>272</v>
      </c>
      <c r="C1399" s="266" t="s">
        <v>2159</v>
      </c>
      <c r="D1399" s="124" t="s">
        <v>2160</v>
      </c>
      <c r="E1399" s="125"/>
      <c r="F1399" s="118" t="s">
        <v>2236</v>
      </c>
      <c r="G1399" s="126" t="str">
        <f>CONCATENATE("AR-",F1399,"-",H1399)</f>
        <v>AR-V40-1</v>
      </c>
      <c r="H1399" s="253">
        <v>1</v>
      </c>
      <c r="J1399" s="299"/>
      <c r="K1399" s="299"/>
      <c r="L1399" s="84">
        <v>1</v>
      </c>
      <c r="M1399" s="76">
        <v>1</v>
      </c>
      <c r="Q1399" s="86"/>
    </row>
    <row r="1400" spans="2:17" s="83" customFormat="1" ht="15" hidden="1" customHeight="1" outlineLevel="2">
      <c r="B1400" s="119"/>
      <c r="C1400" s="266"/>
      <c r="D1400" s="124" t="s">
        <v>299</v>
      </c>
      <c r="E1400" s="125"/>
      <c r="F1400" s="118"/>
      <c r="G1400" s="126"/>
      <c r="H1400" s="253"/>
      <c r="J1400" s="299"/>
      <c r="K1400" s="299"/>
      <c r="L1400" s="84"/>
      <c r="M1400" s="76"/>
      <c r="Q1400" s="86"/>
    </row>
    <row r="1401" spans="2:17" s="83" customFormat="1" ht="15" hidden="1" customHeight="1" outlineLevel="2">
      <c r="B1401" s="119" t="s">
        <v>1441</v>
      </c>
      <c r="C1401" s="266"/>
      <c r="D1401" s="124"/>
      <c r="E1401" s="125"/>
      <c r="F1401" s="118"/>
      <c r="G1401" s="126"/>
      <c r="H1401" s="253"/>
      <c r="J1401" s="299"/>
      <c r="K1401" s="299"/>
      <c r="L1401" s="84"/>
      <c r="M1401" s="76"/>
      <c r="Q1401" s="86"/>
    </row>
    <row r="1402" spans="2:17" s="83" customFormat="1" ht="15" hidden="1" customHeight="1" outlineLevel="2">
      <c r="B1402" s="119" t="s">
        <v>272</v>
      </c>
      <c r="C1402" s="266" t="s">
        <v>1284</v>
      </c>
      <c r="D1402" s="124" t="s">
        <v>2161</v>
      </c>
      <c r="E1402" s="125"/>
      <c r="F1402" s="118" t="s">
        <v>2236</v>
      </c>
      <c r="G1402" s="126" t="str">
        <f>CONCATENATE("AR-",F1402,"-",H1402)</f>
        <v>AR-V40-1</v>
      </c>
      <c r="H1402" s="253">
        <v>1</v>
      </c>
      <c r="J1402" s="299"/>
      <c r="K1402" s="299"/>
      <c r="L1402" s="84">
        <v>1</v>
      </c>
      <c r="M1402" s="76">
        <v>1</v>
      </c>
      <c r="Q1402" s="86"/>
    </row>
    <row r="1403" spans="2:17" s="83" customFormat="1" ht="15" hidden="1" customHeight="1" outlineLevel="2">
      <c r="B1403" s="119" t="s">
        <v>272</v>
      </c>
      <c r="C1403" s="266" t="s">
        <v>1286</v>
      </c>
      <c r="D1403" s="124" t="s">
        <v>2162</v>
      </c>
      <c r="E1403" s="125"/>
      <c r="F1403" s="118" t="s">
        <v>2236</v>
      </c>
      <c r="G1403" s="126" t="str">
        <f>CONCATENATE("AR-",F1403,"-",H1403)</f>
        <v>AR-V40-1</v>
      </c>
      <c r="H1403" s="253">
        <v>1</v>
      </c>
      <c r="J1403" s="299"/>
      <c r="K1403" s="299"/>
      <c r="L1403" s="84">
        <v>1</v>
      </c>
      <c r="M1403" s="76">
        <v>1</v>
      </c>
      <c r="Q1403" s="86"/>
    </row>
    <row r="1404" spans="2:17" s="83" customFormat="1" ht="15" hidden="1" customHeight="1" outlineLevel="2">
      <c r="B1404" s="119"/>
      <c r="C1404" s="266"/>
      <c r="D1404" s="124" t="s">
        <v>299</v>
      </c>
      <c r="E1404" s="125"/>
      <c r="F1404" s="118"/>
      <c r="G1404" s="126"/>
      <c r="H1404" s="253"/>
      <c r="J1404" s="299"/>
      <c r="K1404" s="299"/>
      <c r="L1404" s="84"/>
      <c r="M1404" s="76"/>
      <c r="Q1404" s="86"/>
    </row>
    <row r="1405" spans="2:17" s="99" customFormat="1" ht="15" hidden="1" customHeight="1" outlineLevel="2">
      <c r="B1405" s="119" t="s">
        <v>2163</v>
      </c>
      <c r="C1405" s="266"/>
      <c r="D1405" s="124"/>
      <c r="E1405" s="125"/>
      <c r="F1405" s="118"/>
      <c r="G1405" s="126"/>
      <c r="H1405" s="253"/>
      <c r="J1405" s="304"/>
      <c r="K1405" s="304"/>
      <c r="L1405" s="90"/>
      <c r="M1405" s="76"/>
      <c r="Q1405" s="290"/>
    </row>
    <row r="1406" spans="2:17" s="83" customFormat="1" ht="15" hidden="1" customHeight="1" outlineLevel="2">
      <c r="B1406" s="119" t="s">
        <v>272</v>
      </c>
      <c r="C1406" s="266" t="s">
        <v>2164</v>
      </c>
      <c r="D1406" s="124" t="s">
        <v>2165</v>
      </c>
      <c r="E1406" s="125"/>
      <c r="F1406" s="118" t="s">
        <v>2236</v>
      </c>
      <c r="G1406" s="126" t="str">
        <f>CONCATENATE("AR-",F1406,"-",H1406)</f>
        <v>AR-V40-1</v>
      </c>
      <c r="H1406" s="253">
        <v>1</v>
      </c>
      <c r="J1406" s="299"/>
      <c r="K1406" s="299"/>
      <c r="L1406" s="84">
        <v>1</v>
      </c>
      <c r="M1406" s="76">
        <v>1</v>
      </c>
      <c r="Q1406" s="86"/>
    </row>
    <row r="1407" spans="2:17" s="83" customFormat="1" ht="15" hidden="1" customHeight="1" outlineLevel="2">
      <c r="B1407" s="119" t="s">
        <v>272</v>
      </c>
      <c r="C1407" s="266" t="s">
        <v>2166</v>
      </c>
      <c r="D1407" s="124" t="s">
        <v>2167</v>
      </c>
      <c r="E1407" s="125"/>
      <c r="F1407" s="118" t="s">
        <v>2236</v>
      </c>
      <c r="G1407" s="126" t="str">
        <f>CONCATENATE("AR-",F1407,"-",H1407)</f>
        <v>AR-V40-1</v>
      </c>
      <c r="H1407" s="253">
        <v>1</v>
      </c>
      <c r="J1407" s="299"/>
      <c r="K1407" s="299"/>
      <c r="L1407" s="84">
        <v>1</v>
      </c>
      <c r="M1407" s="76">
        <v>1</v>
      </c>
      <c r="Q1407" s="86"/>
    </row>
    <row r="1408" spans="2:17" s="83" customFormat="1" ht="15" hidden="1" customHeight="1" outlineLevel="2">
      <c r="B1408" s="119" t="s">
        <v>272</v>
      </c>
      <c r="C1408" s="266" t="s">
        <v>2168</v>
      </c>
      <c r="D1408" s="124" t="s">
        <v>2169</v>
      </c>
      <c r="E1408" s="125"/>
      <c r="F1408" s="118" t="s">
        <v>2236</v>
      </c>
      <c r="G1408" s="126" t="str">
        <f>CONCATENATE("AR-",F1408,"-",H1408)</f>
        <v>AR-V40-1</v>
      </c>
      <c r="H1408" s="253">
        <v>1</v>
      </c>
      <c r="J1408" s="299"/>
      <c r="K1408" s="299"/>
      <c r="L1408" s="84">
        <v>1</v>
      </c>
      <c r="M1408" s="76">
        <v>1</v>
      </c>
      <c r="Q1408" s="86"/>
    </row>
    <row r="1409" spans="2:17" s="83" customFormat="1" ht="15" hidden="1" customHeight="1" outlineLevel="2">
      <c r="B1409" s="119"/>
      <c r="C1409" s="266"/>
      <c r="D1409" s="124" t="s">
        <v>299</v>
      </c>
      <c r="E1409" s="125"/>
      <c r="F1409" s="118"/>
      <c r="G1409" s="126"/>
      <c r="H1409" s="253"/>
      <c r="J1409" s="299"/>
      <c r="K1409" s="299"/>
      <c r="L1409" s="84"/>
      <c r="M1409" s="76"/>
      <c r="Q1409" s="86"/>
    </row>
    <row r="1410" spans="2:17" s="83" customFormat="1" ht="15" hidden="1" customHeight="1" outlineLevel="2">
      <c r="B1410" s="119" t="s">
        <v>2170</v>
      </c>
      <c r="C1410" s="266"/>
      <c r="D1410" s="124"/>
      <c r="E1410" s="125"/>
      <c r="F1410" s="118"/>
      <c r="G1410" s="126"/>
      <c r="H1410" s="253"/>
      <c r="J1410" s="299"/>
      <c r="K1410" s="299"/>
      <c r="L1410" s="84"/>
      <c r="M1410" s="76"/>
      <c r="Q1410" s="86"/>
    </row>
    <row r="1411" spans="2:17" s="83" customFormat="1" ht="15" hidden="1" customHeight="1" outlineLevel="2">
      <c r="B1411" s="119" t="s">
        <v>272</v>
      </c>
      <c r="C1411" s="266" t="s">
        <v>2171</v>
      </c>
      <c r="D1411" s="124" t="s">
        <v>2172</v>
      </c>
      <c r="E1411" s="125"/>
      <c r="F1411" s="118" t="s">
        <v>2236</v>
      </c>
      <c r="G1411" s="126" t="str">
        <f>CONCATENATE("AR-",F1411,"-",H1411)</f>
        <v>AR-V40-1</v>
      </c>
      <c r="H1411" s="253">
        <v>1</v>
      </c>
      <c r="J1411" s="299"/>
      <c r="K1411" s="299"/>
      <c r="L1411" s="84">
        <v>1</v>
      </c>
      <c r="M1411" s="76">
        <v>1</v>
      </c>
      <c r="Q1411" s="86"/>
    </row>
    <row r="1412" spans="2:17" s="83" customFormat="1" ht="15" hidden="1" customHeight="1" outlineLevel="2">
      <c r="B1412" s="119" t="s">
        <v>272</v>
      </c>
      <c r="C1412" s="266" t="s">
        <v>2173</v>
      </c>
      <c r="D1412" s="124" t="s">
        <v>2174</v>
      </c>
      <c r="E1412" s="125"/>
      <c r="F1412" s="118" t="s">
        <v>2236</v>
      </c>
      <c r="G1412" s="126" t="str">
        <f>CONCATENATE("AR-",F1412,"-",H1412)</f>
        <v>AR-V40-1</v>
      </c>
      <c r="H1412" s="253">
        <v>1</v>
      </c>
      <c r="J1412" s="299"/>
      <c r="K1412" s="299"/>
      <c r="L1412" s="84">
        <v>1</v>
      </c>
      <c r="M1412" s="76">
        <v>1</v>
      </c>
      <c r="Q1412" s="86"/>
    </row>
    <row r="1413" spans="2:17" s="83" customFormat="1" ht="15" hidden="1" customHeight="1" outlineLevel="2">
      <c r="B1413" s="119" t="s">
        <v>272</v>
      </c>
      <c r="C1413" s="266" t="s">
        <v>2175</v>
      </c>
      <c r="D1413" s="124" t="s">
        <v>2176</v>
      </c>
      <c r="E1413" s="125"/>
      <c r="F1413" s="118" t="s">
        <v>2236</v>
      </c>
      <c r="G1413" s="126" t="str">
        <f>CONCATENATE("AR-",F1413,"-",H1413)</f>
        <v>AR-V40-1</v>
      </c>
      <c r="H1413" s="253">
        <v>1</v>
      </c>
      <c r="J1413" s="299"/>
      <c r="K1413" s="299"/>
      <c r="L1413" s="84">
        <v>1</v>
      </c>
      <c r="M1413" s="76">
        <v>1</v>
      </c>
      <c r="Q1413" s="86"/>
    </row>
    <row r="1414" spans="2:17" s="83" customFormat="1" ht="15" hidden="1" customHeight="1" outlineLevel="2">
      <c r="B1414" s="119"/>
      <c r="C1414" s="266"/>
      <c r="D1414" s="124" t="s">
        <v>299</v>
      </c>
      <c r="E1414" s="125"/>
      <c r="F1414" s="118"/>
      <c r="G1414" s="126"/>
      <c r="H1414" s="253"/>
      <c r="J1414" s="299"/>
      <c r="K1414" s="299"/>
      <c r="L1414" s="84"/>
      <c r="M1414" s="76"/>
      <c r="Q1414" s="86"/>
    </row>
    <row r="1415" spans="2:17" s="99" customFormat="1" ht="15" hidden="1" customHeight="1" outlineLevel="2">
      <c r="B1415" s="119" t="s">
        <v>2180</v>
      </c>
      <c r="C1415" s="266"/>
      <c r="D1415" s="124"/>
      <c r="E1415" s="125"/>
      <c r="F1415" s="118"/>
      <c r="G1415" s="126"/>
      <c r="H1415" s="253"/>
      <c r="J1415" s="304"/>
      <c r="K1415" s="304"/>
      <c r="L1415" s="90"/>
      <c r="M1415" s="76"/>
      <c r="Q1415" s="290"/>
    </row>
    <row r="1416" spans="2:17" s="99" customFormat="1" ht="15" hidden="1" customHeight="1" outlineLevel="2">
      <c r="B1416" s="119" t="s">
        <v>272</v>
      </c>
      <c r="C1416" s="266" t="s">
        <v>2181</v>
      </c>
      <c r="D1416" s="124" t="s">
        <v>2182</v>
      </c>
      <c r="E1416" s="125"/>
      <c r="F1416" s="118" t="s">
        <v>2236</v>
      </c>
      <c r="G1416" s="126" t="str">
        <f>CONCATENATE("AR-",F1416,"-",H1416)</f>
        <v>AR-V40-1</v>
      </c>
      <c r="H1416" s="253">
        <v>1</v>
      </c>
      <c r="J1416" s="299"/>
      <c r="K1416" s="299"/>
      <c r="L1416" s="84">
        <v>1</v>
      </c>
      <c r="M1416" s="76">
        <v>1</v>
      </c>
      <c r="Q1416" s="290"/>
    </row>
    <row r="1417" spans="2:17" s="83" customFormat="1" ht="15" hidden="1" customHeight="1" outlineLevel="2">
      <c r="B1417" s="119" t="s">
        <v>272</v>
      </c>
      <c r="C1417" s="266" t="s">
        <v>278</v>
      </c>
      <c r="D1417" s="124" t="s">
        <v>2183</v>
      </c>
      <c r="E1417" s="125"/>
      <c r="F1417" s="118" t="s">
        <v>2236</v>
      </c>
      <c r="G1417" s="126" t="str">
        <f>CONCATENATE("AR-",F1417,"-",H1417)</f>
        <v>AR-V40-1</v>
      </c>
      <c r="H1417" s="253">
        <v>1</v>
      </c>
      <c r="J1417" s="299"/>
      <c r="K1417" s="299"/>
      <c r="L1417" s="84">
        <v>1</v>
      </c>
      <c r="M1417" s="76">
        <v>1</v>
      </c>
      <c r="Q1417" s="86"/>
    </row>
    <row r="1418" spans="2:17" s="83" customFormat="1" ht="15" hidden="1" customHeight="1" outlineLevel="2">
      <c r="B1418" s="119" t="s">
        <v>272</v>
      </c>
      <c r="C1418" s="266" t="s">
        <v>2184</v>
      </c>
      <c r="D1418" s="124" t="s">
        <v>2185</v>
      </c>
      <c r="E1418" s="125"/>
      <c r="F1418" s="118" t="s">
        <v>2236</v>
      </c>
      <c r="G1418" s="126" t="str">
        <f>CONCATENATE("AR-",F1418,"-",H1418)</f>
        <v>AR-V40-1</v>
      </c>
      <c r="H1418" s="253">
        <v>1</v>
      </c>
      <c r="J1418" s="299"/>
      <c r="K1418" s="299"/>
      <c r="L1418" s="84">
        <v>1</v>
      </c>
      <c r="M1418" s="76">
        <v>1</v>
      </c>
      <c r="Q1418" s="86"/>
    </row>
    <row r="1419" spans="2:17" s="83" customFormat="1" ht="15" hidden="1" customHeight="1" outlineLevel="2">
      <c r="B1419" s="119" t="s">
        <v>272</v>
      </c>
      <c r="C1419" s="266" t="s">
        <v>2186</v>
      </c>
      <c r="D1419" s="124" t="s">
        <v>2187</v>
      </c>
      <c r="E1419" s="125"/>
      <c r="F1419" s="118" t="s">
        <v>2236</v>
      </c>
      <c r="G1419" s="126" t="str">
        <f>CONCATENATE("AR-",F1419,"-",H1419)</f>
        <v>AR-V40-1</v>
      </c>
      <c r="H1419" s="253">
        <v>1</v>
      </c>
      <c r="J1419" s="299"/>
      <c r="K1419" s="299"/>
      <c r="L1419" s="84">
        <v>1</v>
      </c>
      <c r="M1419" s="76">
        <v>1</v>
      </c>
      <c r="Q1419" s="86"/>
    </row>
    <row r="1420" spans="2:17" s="83" customFormat="1" ht="15" hidden="1" customHeight="1" outlineLevel="2">
      <c r="B1420" s="119"/>
      <c r="C1420" s="266"/>
      <c r="D1420" s="124" t="s">
        <v>299</v>
      </c>
      <c r="E1420" s="125"/>
      <c r="F1420" s="118"/>
      <c r="G1420" s="126"/>
      <c r="H1420" s="253"/>
      <c r="J1420" s="299"/>
      <c r="K1420" s="299"/>
      <c r="L1420" s="84"/>
      <c r="M1420" s="76"/>
      <c r="Q1420" s="86"/>
    </row>
    <row r="1421" spans="2:17" s="99" customFormat="1" ht="15" hidden="1" customHeight="1" outlineLevel="2">
      <c r="B1421" s="119" t="s">
        <v>2188</v>
      </c>
      <c r="C1421" s="266"/>
      <c r="D1421" s="124"/>
      <c r="E1421" s="125"/>
      <c r="F1421" s="118"/>
      <c r="G1421" s="126"/>
      <c r="H1421" s="253"/>
      <c r="J1421" s="304"/>
      <c r="K1421" s="304"/>
      <c r="L1421" s="90"/>
      <c r="M1421" s="76"/>
      <c r="Q1421" s="290"/>
    </row>
    <row r="1422" spans="2:17" s="83" customFormat="1" ht="15" hidden="1" customHeight="1" outlineLevel="2">
      <c r="B1422" s="119" t="s">
        <v>272</v>
      </c>
      <c r="C1422" s="266" t="s">
        <v>2189</v>
      </c>
      <c r="D1422" s="124" t="s">
        <v>2190</v>
      </c>
      <c r="E1422" s="125"/>
      <c r="F1422" s="118" t="s">
        <v>2236</v>
      </c>
      <c r="G1422" s="126" t="str">
        <f>CONCATENATE("AR-",F1422,"-",H1422)</f>
        <v>AR-V40-1</v>
      </c>
      <c r="H1422" s="253">
        <v>1</v>
      </c>
      <c r="J1422" s="299"/>
      <c r="K1422" s="299"/>
      <c r="L1422" s="84">
        <v>1</v>
      </c>
      <c r="M1422" s="76">
        <v>1</v>
      </c>
      <c r="Q1422" s="86"/>
    </row>
    <row r="1423" spans="2:17" s="83" customFormat="1" ht="15" hidden="1" customHeight="1" outlineLevel="2">
      <c r="B1423" s="119" t="s">
        <v>272</v>
      </c>
      <c r="C1423" s="266" t="s">
        <v>2191</v>
      </c>
      <c r="D1423" s="124" t="s">
        <v>2192</v>
      </c>
      <c r="E1423" s="125"/>
      <c r="F1423" s="118" t="s">
        <v>2236</v>
      </c>
      <c r="G1423" s="126" t="str">
        <f>CONCATENATE("AR-",F1423,"-",H1423)</f>
        <v>AR-V40-1</v>
      </c>
      <c r="H1423" s="253">
        <v>1</v>
      </c>
      <c r="J1423" s="299"/>
      <c r="K1423" s="299"/>
      <c r="L1423" s="84">
        <v>1</v>
      </c>
      <c r="M1423" s="76">
        <v>1</v>
      </c>
      <c r="Q1423" s="86"/>
    </row>
    <row r="1424" spans="2:17" s="83" customFormat="1" ht="15" hidden="1" customHeight="1" outlineLevel="2">
      <c r="B1424" s="119" t="s">
        <v>272</v>
      </c>
      <c r="C1424" s="266" t="s">
        <v>2193</v>
      </c>
      <c r="D1424" s="124" t="s">
        <v>2194</v>
      </c>
      <c r="E1424" s="125"/>
      <c r="F1424" s="118" t="s">
        <v>2236</v>
      </c>
      <c r="G1424" s="126" t="str">
        <f>CONCATENATE("AR-",F1424,"-",H1424)</f>
        <v>AR-V40-1</v>
      </c>
      <c r="H1424" s="253">
        <v>1</v>
      </c>
      <c r="J1424" s="299"/>
      <c r="K1424" s="299"/>
      <c r="L1424" s="84">
        <v>1</v>
      </c>
      <c r="M1424" s="76">
        <v>1</v>
      </c>
      <c r="Q1424" s="86"/>
    </row>
    <row r="1425" spans="2:17" s="83" customFormat="1" ht="15" hidden="1" customHeight="1" outlineLevel="2">
      <c r="B1425" s="119" t="s">
        <v>272</v>
      </c>
      <c r="C1425" s="266" t="s">
        <v>2195</v>
      </c>
      <c r="D1425" s="124" t="s">
        <v>2196</v>
      </c>
      <c r="E1425" s="125"/>
      <c r="F1425" s="118" t="s">
        <v>2236</v>
      </c>
      <c r="G1425" s="126" t="str">
        <f>CONCATENATE("AR-",F1425,"-",H1425)</f>
        <v>AR-V40-1</v>
      </c>
      <c r="H1425" s="253">
        <v>1</v>
      </c>
      <c r="J1425" s="299"/>
      <c r="K1425" s="299"/>
      <c r="L1425" s="84">
        <v>1</v>
      </c>
      <c r="M1425" s="76">
        <v>1</v>
      </c>
      <c r="Q1425" s="86"/>
    </row>
    <row r="1426" spans="2:17" s="83" customFormat="1" ht="15" hidden="1" customHeight="1" outlineLevel="2">
      <c r="B1426" s="119" t="s">
        <v>272</v>
      </c>
      <c r="C1426" s="266" t="s">
        <v>2197</v>
      </c>
      <c r="D1426" s="124" t="s">
        <v>2198</v>
      </c>
      <c r="E1426" s="125"/>
      <c r="F1426" s="118" t="s">
        <v>2236</v>
      </c>
      <c r="G1426" s="126" t="str">
        <f>CONCATENATE("AR-",F1426,"-",H1426)</f>
        <v>AR-V40-1</v>
      </c>
      <c r="H1426" s="253">
        <v>1</v>
      </c>
      <c r="J1426" s="299"/>
      <c r="K1426" s="299"/>
      <c r="L1426" s="84">
        <v>1</v>
      </c>
      <c r="M1426" s="76">
        <v>1</v>
      </c>
      <c r="Q1426" s="86"/>
    </row>
    <row r="1427" spans="2:17" s="83" customFormat="1" ht="15" hidden="1" customHeight="1" outlineLevel="2">
      <c r="B1427" s="119"/>
      <c r="C1427" s="266"/>
      <c r="D1427" s="124" t="s">
        <v>299</v>
      </c>
      <c r="E1427" s="125"/>
      <c r="F1427" s="118"/>
      <c r="G1427" s="126"/>
      <c r="H1427" s="253"/>
      <c r="J1427" s="299"/>
      <c r="K1427" s="299"/>
      <c r="L1427" s="84"/>
      <c r="M1427" s="76"/>
      <c r="Q1427" s="86"/>
    </row>
    <row r="1428" spans="2:17" s="99" customFormat="1" ht="15" hidden="1" customHeight="1" outlineLevel="2">
      <c r="B1428" s="119" t="s">
        <v>2199</v>
      </c>
      <c r="C1428" s="266"/>
      <c r="D1428" s="124"/>
      <c r="E1428" s="125"/>
      <c r="F1428" s="118"/>
      <c r="G1428" s="126"/>
      <c r="H1428" s="253"/>
      <c r="J1428" s="304"/>
      <c r="K1428" s="304"/>
      <c r="L1428" s="90"/>
      <c r="M1428" s="76"/>
      <c r="Q1428" s="290"/>
    </row>
    <row r="1429" spans="2:17" s="83" customFormat="1" ht="15" hidden="1" customHeight="1" outlineLevel="2">
      <c r="B1429" s="119" t="s">
        <v>272</v>
      </c>
      <c r="C1429" s="266" t="s">
        <v>2200</v>
      </c>
      <c r="D1429" s="124" t="s">
        <v>2201</v>
      </c>
      <c r="E1429" s="125"/>
      <c r="F1429" s="118" t="s">
        <v>2236</v>
      </c>
      <c r="G1429" s="126" t="str">
        <f>CONCATENATE("AR-",F1429,"-",H1429)</f>
        <v>AR-V40-1</v>
      </c>
      <c r="H1429" s="253">
        <v>1</v>
      </c>
      <c r="J1429" s="299"/>
      <c r="K1429" s="299"/>
      <c r="L1429" s="84">
        <v>1</v>
      </c>
      <c r="M1429" s="76">
        <v>1</v>
      </c>
      <c r="Q1429" s="86"/>
    </row>
    <row r="1430" spans="2:17" s="83" customFormat="1" ht="15" hidden="1" customHeight="1" outlineLevel="2">
      <c r="B1430" s="119" t="s">
        <v>272</v>
      </c>
      <c r="C1430" s="266" t="s">
        <v>2202</v>
      </c>
      <c r="D1430" s="124" t="s">
        <v>2203</v>
      </c>
      <c r="E1430" s="125"/>
      <c r="F1430" s="118" t="s">
        <v>2236</v>
      </c>
      <c r="G1430" s="126" t="str">
        <f>CONCATENATE("AR-",F1430,"-",H1430)</f>
        <v>AR-V40-1</v>
      </c>
      <c r="H1430" s="253">
        <v>1</v>
      </c>
      <c r="J1430" s="299"/>
      <c r="K1430" s="299"/>
      <c r="L1430" s="84">
        <v>1</v>
      </c>
      <c r="M1430" s="76">
        <v>1</v>
      </c>
      <c r="Q1430" s="86"/>
    </row>
    <row r="1431" spans="2:17" s="83" customFormat="1" ht="15" hidden="1" customHeight="1" outlineLevel="2">
      <c r="B1431" s="119"/>
      <c r="C1431" s="266"/>
      <c r="D1431" s="124" t="s">
        <v>299</v>
      </c>
      <c r="E1431" s="125"/>
      <c r="F1431" s="118"/>
      <c r="G1431" s="126"/>
      <c r="H1431" s="253"/>
      <c r="J1431" s="299"/>
      <c r="K1431" s="299"/>
      <c r="L1431" s="84"/>
      <c r="M1431" s="76"/>
      <c r="Q1431" s="86"/>
    </row>
    <row r="1432" spans="2:17" s="99" customFormat="1" ht="15" hidden="1" customHeight="1" outlineLevel="2">
      <c r="B1432" s="119" t="s">
        <v>2204</v>
      </c>
      <c r="C1432" s="266"/>
      <c r="D1432" s="124"/>
      <c r="E1432" s="125"/>
      <c r="F1432" s="118"/>
      <c r="G1432" s="126"/>
      <c r="H1432" s="253"/>
      <c r="J1432" s="304"/>
      <c r="K1432" s="304"/>
      <c r="L1432" s="90"/>
      <c r="M1432" s="76"/>
      <c r="Q1432" s="290"/>
    </row>
    <row r="1433" spans="2:17" s="83" customFormat="1" ht="15" hidden="1" customHeight="1" outlineLevel="2">
      <c r="B1433" s="119" t="s">
        <v>272</v>
      </c>
      <c r="C1433" s="266" t="s">
        <v>1293</v>
      </c>
      <c r="D1433" s="124" t="s">
        <v>1294</v>
      </c>
      <c r="E1433" s="125"/>
      <c r="F1433" s="118" t="s">
        <v>2236</v>
      </c>
      <c r="G1433" s="126" t="str">
        <f>CONCATENATE("AR-",F1433,"-",H1433)</f>
        <v>AR-V40-1</v>
      </c>
      <c r="H1433" s="253">
        <v>1</v>
      </c>
      <c r="J1433" s="299"/>
      <c r="K1433" s="299"/>
      <c r="L1433" s="84">
        <v>1</v>
      </c>
      <c r="M1433" s="76">
        <v>1</v>
      </c>
      <c r="Q1433" s="86"/>
    </row>
    <row r="1434" spans="2:17" s="83" customFormat="1" ht="15" hidden="1" customHeight="1" outlineLevel="2">
      <c r="B1434" s="119" t="s">
        <v>272</v>
      </c>
      <c r="C1434" s="266" t="s">
        <v>1295</v>
      </c>
      <c r="D1434" s="124" t="s">
        <v>1296</v>
      </c>
      <c r="E1434" s="125"/>
      <c r="F1434" s="118" t="s">
        <v>2236</v>
      </c>
      <c r="G1434" s="126" t="str">
        <f>CONCATENATE("AR-",F1434,"-",H1434)</f>
        <v>AR-V40-1</v>
      </c>
      <c r="H1434" s="253">
        <v>1</v>
      </c>
      <c r="J1434" s="299"/>
      <c r="K1434" s="299"/>
      <c r="L1434" s="84">
        <v>1</v>
      </c>
      <c r="M1434" s="76">
        <v>1</v>
      </c>
      <c r="Q1434" s="86"/>
    </row>
    <row r="1435" spans="2:17" s="83" customFormat="1" ht="15" hidden="1" customHeight="1" outlineLevel="2">
      <c r="B1435" s="119" t="s">
        <v>272</v>
      </c>
      <c r="C1435" s="266" t="s">
        <v>1297</v>
      </c>
      <c r="D1435" s="124" t="s">
        <v>1298</v>
      </c>
      <c r="E1435" s="125"/>
      <c r="F1435" s="118" t="s">
        <v>2236</v>
      </c>
      <c r="G1435" s="126" t="str">
        <f>CONCATENATE("AR-",F1435,"-",H1435)</f>
        <v>AR-V40-1</v>
      </c>
      <c r="H1435" s="253">
        <v>1</v>
      </c>
      <c r="J1435" s="299"/>
      <c r="K1435" s="299"/>
      <c r="L1435" s="84">
        <v>1</v>
      </c>
      <c r="M1435" s="76">
        <v>1</v>
      </c>
      <c r="Q1435" s="86"/>
    </row>
    <row r="1436" spans="2:17" s="83" customFormat="1" ht="15" hidden="1" customHeight="1" outlineLevel="2">
      <c r="B1436" s="119" t="s">
        <v>272</v>
      </c>
      <c r="C1436" s="266" t="s">
        <v>1299</v>
      </c>
      <c r="D1436" s="124" t="s">
        <v>1300</v>
      </c>
      <c r="E1436" s="125"/>
      <c r="F1436" s="118" t="s">
        <v>2236</v>
      </c>
      <c r="G1436" s="126" t="str">
        <f>CONCATENATE("AR-",F1436,"-",H1436)</f>
        <v>AR-V40-1</v>
      </c>
      <c r="H1436" s="253">
        <v>1</v>
      </c>
      <c r="J1436" s="299"/>
      <c r="K1436" s="299"/>
      <c r="L1436" s="84">
        <v>1</v>
      </c>
      <c r="M1436" s="76">
        <v>1</v>
      </c>
      <c r="Q1436" s="86"/>
    </row>
    <row r="1437" spans="2:17" s="83" customFormat="1" ht="15" hidden="1" customHeight="1" outlineLevel="2">
      <c r="B1437" s="119"/>
      <c r="C1437" s="266"/>
      <c r="D1437" s="124" t="s">
        <v>299</v>
      </c>
      <c r="E1437" s="125"/>
      <c r="F1437" s="118"/>
      <c r="G1437" s="126"/>
      <c r="H1437" s="253"/>
      <c r="J1437" s="299"/>
      <c r="K1437" s="299"/>
      <c r="L1437" s="84"/>
      <c r="M1437" s="76"/>
      <c r="Q1437" s="86"/>
    </row>
    <row r="1438" spans="2:17" s="99" customFormat="1" ht="15" hidden="1" customHeight="1" outlineLevel="2">
      <c r="B1438" s="119" t="s">
        <v>2205</v>
      </c>
      <c r="C1438" s="266"/>
      <c r="D1438" s="124"/>
      <c r="E1438" s="125"/>
      <c r="F1438" s="118"/>
      <c r="G1438" s="126"/>
      <c r="H1438" s="253"/>
      <c r="J1438" s="304"/>
      <c r="K1438" s="304"/>
      <c r="L1438" s="90"/>
      <c r="M1438" s="76"/>
      <c r="Q1438" s="290"/>
    </row>
    <row r="1439" spans="2:17" s="83" customFormat="1" ht="15" hidden="1" customHeight="1" outlineLevel="2">
      <c r="B1439" s="119" t="s">
        <v>272</v>
      </c>
      <c r="C1439" s="266" t="s">
        <v>2206</v>
      </c>
      <c r="D1439" s="124" t="s">
        <v>2207</v>
      </c>
      <c r="E1439" s="125"/>
      <c r="F1439" s="118" t="s">
        <v>2236</v>
      </c>
      <c r="G1439" s="126" t="str">
        <f>CONCATENATE("AR-",F1439,"-",H1439)</f>
        <v>AR-V40-1</v>
      </c>
      <c r="H1439" s="253">
        <v>1</v>
      </c>
      <c r="J1439" s="299"/>
      <c r="K1439" s="299"/>
      <c r="L1439" s="84">
        <v>1</v>
      </c>
      <c r="M1439" s="76">
        <v>1</v>
      </c>
      <c r="Q1439" s="86"/>
    </row>
    <row r="1440" spans="2:17" s="83" customFormat="1" ht="15" hidden="1" customHeight="1" outlineLevel="2">
      <c r="B1440" s="119" t="s">
        <v>272</v>
      </c>
      <c r="C1440" s="266" t="s">
        <v>2208</v>
      </c>
      <c r="D1440" s="124" t="s">
        <v>2207</v>
      </c>
      <c r="E1440" s="125"/>
      <c r="F1440" s="118" t="s">
        <v>2236</v>
      </c>
      <c r="G1440" s="126" t="str">
        <f>CONCATENATE("AR-",F1440,"-",H1440)</f>
        <v>AR-V40-1</v>
      </c>
      <c r="H1440" s="253">
        <v>1</v>
      </c>
      <c r="J1440" s="299"/>
      <c r="K1440" s="299"/>
      <c r="L1440" s="84">
        <v>1</v>
      </c>
      <c r="M1440" s="76">
        <v>1</v>
      </c>
      <c r="Q1440" s="86"/>
    </row>
    <row r="1441" spans="2:17" s="83" customFormat="1" ht="15" hidden="1" customHeight="1" outlineLevel="2">
      <c r="B1441" s="119" t="s">
        <v>2209</v>
      </c>
      <c r="C1441" s="266"/>
      <c r="D1441" s="124"/>
      <c r="E1441" s="125"/>
      <c r="F1441" s="118"/>
      <c r="G1441" s="126"/>
      <c r="H1441" s="253"/>
      <c r="J1441" s="299"/>
      <c r="K1441" s="299"/>
      <c r="L1441" s="84"/>
      <c r="M1441" s="76"/>
      <c r="Q1441" s="86"/>
    </row>
    <row r="1442" spans="2:17" s="83" customFormat="1" ht="15" hidden="1" customHeight="1" outlineLevel="2">
      <c r="B1442" s="119" t="s">
        <v>272</v>
      </c>
      <c r="C1442" s="266" t="s">
        <v>2210</v>
      </c>
      <c r="D1442" s="124" t="s">
        <v>2211</v>
      </c>
      <c r="E1442" s="125"/>
      <c r="F1442" s="118" t="s">
        <v>2236</v>
      </c>
      <c r="G1442" s="126" t="str">
        <f>CONCATENATE("AR-",F1442,"-",H1442)</f>
        <v>AR-V40-1</v>
      </c>
      <c r="H1442" s="253">
        <v>1</v>
      </c>
      <c r="J1442" s="299"/>
      <c r="K1442" s="299"/>
      <c r="L1442" s="84">
        <v>1</v>
      </c>
      <c r="M1442" s="76">
        <v>1</v>
      </c>
      <c r="Q1442" s="86"/>
    </row>
    <row r="1443" spans="2:17" s="83" customFormat="1" ht="15" hidden="1" customHeight="1" outlineLevel="2">
      <c r="B1443" s="119" t="s">
        <v>272</v>
      </c>
      <c r="C1443" s="266" t="s">
        <v>2212</v>
      </c>
      <c r="D1443" s="124" t="s">
        <v>2213</v>
      </c>
      <c r="E1443" s="125"/>
      <c r="F1443" s="118" t="s">
        <v>2236</v>
      </c>
      <c r="G1443" s="126" t="str">
        <f>CONCATENATE("AR-",F1443,"-",H1443)</f>
        <v>AR-V40-1</v>
      </c>
      <c r="H1443" s="253">
        <v>1</v>
      </c>
      <c r="J1443" s="299"/>
      <c r="K1443" s="299"/>
      <c r="L1443" s="84">
        <v>1</v>
      </c>
      <c r="M1443" s="76">
        <v>1</v>
      </c>
      <c r="Q1443" s="86"/>
    </row>
    <row r="1444" spans="2:17" s="83" customFormat="1" ht="15" hidden="1" customHeight="1" outlineLevel="2">
      <c r="B1444" s="119"/>
      <c r="C1444" s="266"/>
      <c r="D1444" s="124" t="s">
        <v>299</v>
      </c>
      <c r="E1444" s="125"/>
      <c r="F1444" s="118"/>
      <c r="G1444" s="126"/>
      <c r="H1444" s="253"/>
      <c r="J1444" s="299"/>
      <c r="K1444" s="299"/>
      <c r="L1444" s="84"/>
      <c r="M1444" s="76"/>
      <c r="Q1444" s="86"/>
    </row>
    <row r="1445" spans="2:17" s="99" customFormat="1" ht="15" hidden="1" customHeight="1" outlineLevel="2">
      <c r="B1445" s="119" t="s">
        <v>2214</v>
      </c>
      <c r="C1445" s="266"/>
      <c r="D1445" s="124"/>
      <c r="E1445" s="125"/>
      <c r="F1445" s="118"/>
      <c r="G1445" s="126"/>
      <c r="H1445" s="253"/>
      <c r="J1445" s="304"/>
      <c r="K1445" s="304"/>
      <c r="L1445" s="90"/>
      <c r="M1445" s="76"/>
      <c r="Q1445" s="290"/>
    </row>
    <row r="1446" spans="2:17" s="83" customFormat="1" ht="15" hidden="1" customHeight="1" outlineLevel="2">
      <c r="B1446" s="119" t="s">
        <v>272</v>
      </c>
      <c r="C1446" s="266" t="s">
        <v>2215</v>
      </c>
      <c r="D1446" s="124" t="s">
        <v>2216</v>
      </c>
      <c r="E1446" s="125"/>
      <c r="F1446" s="118" t="s">
        <v>2236</v>
      </c>
      <c r="G1446" s="126" t="str">
        <f>CONCATENATE("AR-",F1446,"-",H1446)</f>
        <v>AR-V40-1</v>
      </c>
      <c r="H1446" s="253">
        <v>1</v>
      </c>
      <c r="J1446" s="299"/>
      <c r="K1446" s="299"/>
      <c r="L1446" s="84">
        <v>1</v>
      </c>
      <c r="M1446" s="76">
        <v>1</v>
      </c>
      <c r="Q1446" s="86"/>
    </row>
    <row r="1447" spans="2:17" s="83" customFormat="1" ht="15" hidden="1" customHeight="1" outlineLevel="2">
      <c r="B1447" s="119" t="s">
        <v>272</v>
      </c>
      <c r="C1447" s="266" t="s">
        <v>2217</v>
      </c>
      <c r="D1447" s="124" t="s">
        <v>2218</v>
      </c>
      <c r="E1447" s="125"/>
      <c r="F1447" s="118" t="s">
        <v>2236</v>
      </c>
      <c r="G1447" s="126" t="str">
        <f>CONCATENATE("AR-",F1447,"-",H1447)</f>
        <v>AR-V40-1</v>
      </c>
      <c r="H1447" s="253">
        <v>1</v>
      </c>
      <c r="J1447" s="299"/>
      <c r="K1447" s="299"/>
      <c r="L1447" s="84">
        <v>1</v>
      </c>
      <c r="M1447" s="76">
        <v>1</v>
      </c>
      <c r="Q1447" s="86"/>
    </row>
    <row r="1448" spans="2:17" s="83" customFormat="1" ht="15" hidden="1" customHeight="1" outlineLevel="2">
      <c r="B1448" s="119" t="s">
        <v>272</v>
      </c>
      <c r="C1448" s="266" t="s">
        <v>2219</v>
      </c>
      <c r="D1448" s="124" t="s">
        <v>2220</v>
      </c>
      <c r="E1448" s="125"/>
      <c r="F1448" s="118" t="s">
        <v>2236</v>
      </c>
      <c r="G1448" s="126" t="str">
        <f>CONCATENATE("AR-",F1448,"-",H1448)</f>
        <v>AR-V40-1</v>
      </c>
      <c r="H1448" s="253">
        <v>1</v>
      </c>
      <c r="J1448" s="299"/>
      <c r="K1448" s="299"/>
      <c r="L1448" s="84">
        <v>1</v>
      </c>
      <c r="M1448" s="76">
        <v>1</v>
      </c>
      <c r="Q1448" s="86"/>
    </row>
    <row r="1449" spans="2:17" s="83" customFormat="1" ht="15" hidden="1" customHeight="1" outlineLevel="2">
      <c r="B1449" s="119"/>
      <c r="C1449" s="266"/>
      <c r="D1449" s="124" t="s">
        <v>299</v>
      </c>
      <c r="E1449" s="125"/>
      <c r="F1449" s="118"/>
      <c r="G1449" s="126"/>
      <c r="H1449" s="253"/>
      <c r="J1449" s="299"/>
      <c r="K1449" s="299"/>
      <c r="L1449" s="84"/>
      <c r="M1449" s="76"/>
      <c r="Q1449" s="86"/>
    </row>
    <row r="1450" spans="2:17" s="99" customFormat="1" ht="15" hidden="1" customHeight="1" outlineLevel="2">
      <c r="B1450" s="119" t="s">
        <v>2221</v>
      </c>
      <c r="C1450" s="266"/>
      <c r="D1450" s="124"/>
      <c r="E1450" s="125"/>
      <c r="F1450" s="118"/>
      <c r="G1450" s="126"/>
      <c r="H1450" s="253"/>
      <c r="J1450" s="304"/>
      <c r="K1450" s="304"/>
      <c r="L1450" s="90"/>
      <c r="M1450" s="76"/>
      <c r="Q1450" s="290"/>
    </row>
    <row r="1451" spans="2:17" s="83" customFormat="1" ht="15" hidden="1" customHeight="1" outlineLevel="2">
      <c r="B1451" s="119" t="s">
        <v>272</v>
      </c>
      <c r="C1451" s="266" t="s">
        <v>1319</v>
      </c>
      <c r="D1451" s="124" t="s">
        <v>2222</v>
      </c>
      <c r="E1451" s="125"/>
      <c r="F1451" s="118" t="s">
        <v>2236</v>
      </c>
      <c r="G1451" s="126" t="str">
        <f>CONCATENATE("AR-",F1451,"-",H1451)</f>
        <v>AR-V40-1</v>
      </c>
      <c r="H1451" s="253">
        <v>1</v>
      </c>
      <c r="J1451" s="299"/>
      <c r="K1451" s="299"/>
      <c r="L1451" s="84">
        <v>1</v>
      </c>
      <c r="M1451" s="76">
        <v>1</v>
      </c>
      <c r="Q1451" s="86"/>
    </row>
    <row r="1452" spans="2:17" s="83" customFormat="1" ht="15" hidden="1" customHeight="1" outlineLevel="2">
      <c r="B1452" s="119" t="s">
        <v>272</v>
      </c>
      <c r="C1452" s="266" t="s">
        <v>1321</v>
      </c>
      <c r="D1452" s="124" t="s">
        <v>2222</v>
      </c>
      <c r="E1452" s="125"/>
      <c r="F1452" s="118" t="s">
        <v>2236</v>
      </c>
      <c r="G1452" s="126" t="str">
        <f>CONCATENATE("AR-",F1452,"-",H1452)</f>
        <v>AR-V40-1</v>
      </c>
      <c r="H1452" s="253">
        <v>1</v>
      </c>
      <c r="J1452" s="299"/>
      <c r="K1452" s="299"/>
      <c r="L1452" s="84">
        <v>1</v>
      </c>
      <c r="M1452" s="76">
        <v>1</v>
      </c>
      <c r="Q1452" s="86"/>
    </row>
    <row r="1453" spans="2:17" s="83" customFormat="1" ht="15" hidden="1" customHeight="1" outlineLevel="2">
      <c r="B1453" s="119"/>
      <c r="C1453" s="266"/>
      <c r="D1453" s="124" t="s">
        <v>299</v>
      </c>
      <c r="E1453" s="125"/>
      <c r="F1453" s="118"/>
      <c r="G1453" s="126"/>
      <c r="H1453" s="253"/>
      <c r="J1453" s="299"/>
      <c r="K1453" s="299"/>
      <c r="L1453" s="84"/>
      <c r="M1453" s="76"/>
      <c r="Q1453" s="86"/>
    </row>
    <row r="1454" spans="2:17" s="99" customFormat="1" ht="15" hidden="1" customHeight="1" outlineLevel="2">
      <c r="B1454" s="119" t="s">
        <v>2223</v>
      </c>
      <c r="C1454" s="266"/>
      <c r="D1454" s="124"/>
      <c r="E1454" s="125"/>
      <c r="F1454" s="118"/>
      <c r="G1454" s="126"/>
      <c r="H1454" s="253"/>
      <c r="J1454" s="304"/>
      <c r="K1454" s="304"/>
      <c r="L1454" s="90"/>
      <c r="M1454" s="76"/>
      <c r="Q1454" s="290"/>
    </row>
    <row r="1455" spans="2:17" s="83" customFormat="1" ht="15" hidden="1" customHeight="1" outlineLevel="2">
      <c r="B1455" s="119" t="s">
        <v>272</v>
      </c>
      <c r="C1455" s="266" t="s">
        <v>1327</v>
      </c>
      <c r="D1455" s="124" t="s">
        <v>2224</v>
      </c>
      <c r="E1455" s="125"/>
      <c r="F1455" s="118" t="s">
        <v>2236</v>
      </c>
      <c r="G1455" s="126" t="str">
        <f t="shared" ref="G1455:G1460" si="97">CONCATENATE("AR-",F1455,"-",H1455)</f>
        <v>AR-V40-1</v>
      </c>
      <c r="H1455" s="253">
        <v>1</v>
      </c>
      <c r="J1455" s="299"/>
      <c r="K1455" s="299"/>
      <c r="L1455" s="84">
        <v>1</v>
      </c>
      <c r="M1455" s="76">
        <v>1</v>
      </c>
      <c r="Q1455" s="86"/>
    </row>
    <row r="1456" spans="2:17" s="83" customFormat="1" ht="15" hidden="1" customHeight="1" outlineLevel="2">
      <c r="B1456" s="119" t="s">
        <v>272</v>
      </c>
      <c r="C1456" s="266" t="s">
        <v>1329</v>
      </c>
      <c r="D1456" s="124" t="s">
        <v>2225</v>
      </c>
      <c r="E1456" s="125"/>
      <c r="F1456" s="118" t="s">
        <v>2236</v>
      </c>
      <c r="G1456" s="126" t="str">
        <f t="shared" si="97"/>
        <v>AR-V40-1</v>
      </c>
      <c r="H1456" s="253">
        <v>1</v>
      </c>
      <c r="J1456" s="299"/>
      <c r="K1456" s="299"/>
      <c r="L1456" s="84">
        <v>1</v>
      </c>
      <c r="M1456" s="76">
        <v>1</v>
      </c>
      <c r="Q1456" s="86"/>
    </row>
    <row r="1457" spans="2:17" s="83" customFormat="1" ht="15" hidden="1" customHeight="1" outlineLevel="2">
      <c r="B1457" s="119" t="s">
        <v>272</v>
      </c>
      <c r="C1457" s="266" t="s">
        <v>1331</v>
      </c>
      <c r="D1457" s="124" t="s">
        <v>2226</v>
      </c>
      <c r="E1457" s="125"/>
      <c r="F1457" s="118" t="s">
        <v>2236</v>
      </c>
      <c r="G1457" s="126" t="str">
        <f t="shared" si="97"/>
        <v>AR-V40-1</v>
      </c>
      <c r="H1457" s="253">
        <v>1</v>
      </c>
      <c r="J1457" s="299"/>
      <c r="K1457" s="299"/>
      <c r="L1457" s="84">
        <v>1</v>
      </c>
      <c r="M1457" s="76">
        <v>1</v>
      </c>
      <c r="Q1457" s="86"/>
    </row>
    <row r="1458" spans="2:17" s="83" customFormat="1" ht="15" hidden="1" customHeight="1" outlineLevel="2">
      <c r="B1458" s="119" t="s">
        <v>272</v>
      </c>
      <c r="C1458" s="266" t="s">
        <v>1333</v>
      </c>
      <c r="D1458" s="124" t="s">
        <v>2227</v>
      </c>
      <c r="E1458" s="125"/>
      <c r="F1458" s="118" t="s">
        <v>2236</v>
      </c>
      <c r="G1458" s="126" t="str">
        <f t="shared" si="97"/>
        <v>AR-V40-1</v>
      </c>
      <c r="H1458" s="253">
        <v>1</v>
      </c>
      <c r="J1458" s="299"/>
      <c r="K1458" s="299"/>
      <c r="L1458" s="84">
        <v>1</v>
      </c>
      <c r="M1458" s="76">
        <v>1</v>
      </c>
      <c r="Q1458" s="86"/>
    </row>
    <row r="1459" spans="2:17" s="83" customFormat="1" ht="15" hidden="1" customHeight="1" outlineLevel="2">
      <c r="B1459" s="119" t="s">
        <v>272</v>
      </c>
      <c r="C1459" s="266" t="s">
        <v>1335</v>
      </c>
      <c r="D1459" s="124" t="s">
        <v>2228</v>
      </c>
      <c r="E1459" s="125"/>
      <c r="F1459" s="118" t="s">
        <v>2236</v>
      </c>
      <c r="G1459" s="126" t="str">
        <f t="shared" si="97"/>
        <v>AR-V40-1</v>
      </c>
      <c r="H1459" s="253">
        <v>1</v>
      </c>
      <c r="J1459" s="299"/>
      <c r="K1459" s="299"/>
      <c r="L1459" s="84">
        <v>1</v>
      </c>
      <c r="M1459" s="76">
        <v>1</v>
      </c>
      <c r="Q1459" s="86"/>
    </row>
    <row r="1460" spans="2:17" s="83" customFormat="1" ht="15" hidden="1" customHeight="1" outlineLevel="2">
      <c r="B1460" s="119" t="s">
        <v>272</v>
      </c>
      <c r="C1460" s="266" t="s">
        <v>1337</v>
      </c>
      <c r="D1460" s="124" t="s">
        <v>2229</v>
      </c>
      <c r="E1460" s="125"/>
      <c r="F1460" s="118" t="s">
        <v>2236</v>
      </c>
      <c r="G1460" s="126" t="str">
        <f t="shared" si="97"/>
        <v>AR-V40-1</v>
      </c>
      <c r="H1460" s="253">
        <v>1</v>
      </c>
      <c r="J1460" s="299"/>
      <c r="K1460" s="299"/>
      <c r="L1460" s="84">
        <v>1</v>
      </c>
      <c r="M1460" s="76">
        <v>1</v>
      </c>
      <c r="Q1460" s="86"/>
    </row>
    <row r="1461" spans="2:17" s="83" customFormat="1" ht="15" hidden="1" customHeight="1" outlineLevel="2">
      <c r="B1461" s="119"/>
      <c r="C1461" s="266"/>
      <c r="D1461" s="124" t="s">
        <v>299</v>
      </c>
      <c r="E1461" s="125"/>
      <c r="F1461" s="118"/>
      <c r="G1461" s="126"/>
      <c r="H1461" s="253"/>
      <c r="J1461" s="299"/>
      <c r="K1461" s="299"/>
      <c r="L1461" s="84"/>
      <c r="M1461" s="76"/>
      <c r="Q1461" s="86"/>
    </row>
    <row r="1462" spans="2:17" s="99" customFormat="1" ht="15" hidden="1" customHeight="1" outlineLevel="2">
      <c r="B1462" s="119" t="s">
        <v>2234</v>
      </c>
      <c r="C1462" s="266"/>
      <c r="D1462" s="124"/>
      <c r="E1462" s="125"/>
      <c r="F1462" s="118"/>
      <c r="G1462" s="126"/>
      <c r="H1462" s="253"/>
      <c r="J1462" s="304"/>
      <c r="K1462" s="304"/>
      <c r="L1462" s="90"/>
      <c r="M1462" s="76"/>
      <c r="Q1462" s="290"/>
    </row>
    <row r="1463" spans="2:17" s="83" customFormat="1" ht="15" hidden="1" customHeight="1" outlineLevel="2">
      <c r="B1463" s="119" t="s">
        <v>272</v>
      </c>
      <c r="C1463" s="266">
        <v>7410</v>
      </c>
      <c r="D1463" s="124" t="s">
        <v>1339</v>
      </c>
      <c r="E1463" s="125"/>
      <c r="F1463" s="118" t="s">
        <v>2236</v>
      </c>
      <c r="G1463" s="126" t="str">
        <f t="shared" ref="G1463:G1476" si="98">CONCATENATE("AR-",F1463,"-",H1463)</f>
        <v>AR-V40-1</v>
      </c>
      <c r="H1463" s="253">
        <v>1</v>
      </c>
      <c r="J1463" s="299"/>
      <c r="K1463" s="299"/>
      <c r="L1463" s="84">
        <v>1</v>
      </c>
      <c r="M1463" s="76">
        <v>1</v>
      </c>
      <c r="Q1463" s="86"/>
    </row>
    <row r="1464" spans="2:17" s="83" customFormat="1" ht="15" hidden="1" customHeight="1" outlineLevel="2">
      <c r="B1464" s="119" t="s">
        <v>272</v>
      </c>
      <c r="C1464" s="266">
        <v>7420</v>
      </c>
      <c r="D1464" s="124" t="s">
        <v>1340</v>
      </c>
      <c r="E1464" s="125"/>
      <c r="F1464" s="118" t="s">
        <v>2236</v>
      </c>
      <c r="G1464" s="126" t="str">
        <f t="shared" si="98"/>
        <v>AR-V40-1</v>
      </c>
      <c r="H1464" s="253">
        <v>1</v>
      </c>
      <c r="J1464" s="299"/>
      <c r="K1464" s="299"/>
      <c r="L1464" s="84">
        <v>1</v>
      </c>
      <c r="M1464" s="76">
        <v>1</v>
      </c>
      <c r="Q1464" s="86"/>
    </row>
    <row r="1465" spans="2:17" s="83" customFormat="1" ht="15" hidden="1" customHeight="1" outlineLevel="2">
      <c r="B1465" s="119" t="s">
        <v>272</v>
      </c>
      <c r="C1465" s="266">
        <v>7430</v>
      </c>
      <c r="D1465" s="124" t="s">
        <v>1341</v>
      </c>
      <c r="E1465" s="125"/>
      <c r="F1465" s="118" t="s">
        <v>2236</v>
      </c>
      <c r="G1465" s="126" t="str">
        <f t="shared" si="98"/>
        <v>AR-V40-1</v>
      </c>
      <c r="H1465" s="253">
        <v>1</v>
      </c>
      <c r="J1465" s="299"/>
      <c r="K1465" s="299"/>
      <c r="L1465" s="84">
        <v>1</v>
      </c>
      <c r="M1465" s="76">
        <v>1</v>
      </c>
      <c r="Q1465" s="86"/>
    </row>
    <row r="1466" spans="2:17" s="83" customFormat="1" ht="15" hidden="1" customHeight="1" outlineLevel="2">
      <c r="B1466" s="119" t="s">
        <v>272</v>
      </c>
      <c r="C1466" s="266">
        <v>7440</v>
      </c>
      <c r="D1466" s="124" t="s">
        <v>1342</v>
      </c>
      <c r="E1466" s="125"/>
      <c r="F1466" s="118" t="s">
        <v>2236</v>
      </c>
      <c r="G1466" s="126" t="str">
        <f t="shared" si="98"/>
        <v>AR-V40-1</v>
      </c>
      <c r="H1466" s="253">
        <v>1</v>
      </c>
      <c r="J1466" s="299"/>
      <c r="K1466" s="299"/>
      <c r="L1466" s="84">
        <v>1</v>
      </c>
      <c r="M1466" s="76">
        <v>1</v>
      </c>
      <c r="Q1466" s="86"/>
    </row>
    <row r="1467" spans="2:17" s="83" customFormat="1" ht="15" hidden="1" customHeight="1" outlineLevel="2">
      <c r="B1467" s="119" t="s">
        <v>272</v>
      </c>
      <c r="C1467" s="266">
        <v>7450</v>
      </c>
      <c r="D1467" s="124" t="s">
        <v>1343</v>
      </c>
      <c r="E1467" s="125"/>
      <c r="F1467" s="118" t="s">
        <v>2236</v>
      </c>
      <c r="G1467" s="126" t="str">
        <f t="shared" si="98"/>
        <v>AR-V40-1</v>
      </c>
      <c r="H1467" s="253">
        <v>1</v>
      </c>
      <c r="J1467" s="299"/>
      <c r="K1467" s="299"/>
      <c r="L1467" s="84">
        <v>1</v>
      </c>
      <c r="M1467" s="76">
        <v>1</v>
      </c>
      <c r="Q1467" s="86"/>
    </row>
    <row r="1468" spans="2:17" s="83" customFormat="1" ht="15" hidden="1" customHeight="1" outlineLevel="2">
      <c r="B1468" s="119" t="s">
        <v>272</v>
      </c>
      <c r="C1468" s="266">
        <v>7461</v>
      </c>
      <c r="D1468" s="124" t="s">
        <v>1344</v>
      </c>
      <c r="E1468" s="125"/>
      <c r="F1468" s="118" t="s">
        <v>2236</v>
      </c>
      <c r="G1468" s="126" t="str">
        <f t="shared" si="98"/>
        <v>AR-V40-1</v>
      </c>
      <c r="H1468" s="253">
        <v>1</v>
      </c>
      <c r="J1468" s="299"/>
      <c r="K1468" s="299"/>
      <c r="L1468" s="84">
        <v>1</v>
      </c>
      <c r="M1468" s="76">
        <v>1</v>
      </c>
      <c r="Q1468" s="86"/>
    </row>
    <row r="1469" spans="2:17" s="83" customFormat="1" ht="15" hidden="1" customHeight="1" outlineLevel="2">
      <c r="B1469" s="119" t="s">
        <v>272</v>
      </c>
      <c r="C1469" s="266">
        <v>7462</v>
      </c>
      <c r="D1469" s="124" t="s">
        <v>1345</v>
      </c>
      <c r="E1469" s="125"/>
      <c r="F1469" s="118" t="s">
        <v>2236</v>
      </c>
      <c r="G1469" s="126" t="str">
        <f t="shared" si="98"/>
        <v>AR-V40-1</v>
      </c>
      <c r="H1469" s="253">
        <v>1</v>
      </c>
      <c r="J1469" s="299"/>
      <c r="K1469" s="299"/>
      <c r="L1469" s="84">
        <v>1</v>
      </c>
      <c r="M1469" s="76">
        <v>1</v>
      </c>
      <c r="Q1469" s="86"/>
    </row>
    <row r="1470" spans="2:17" s="83" customFormat="1" ht="15" hidden="1" customHeight="1" outlineLevel="2">
      <c r="B1470" s="119" t="s">
        <v>272</v>
      </c>
      <c r="C1470" s="266">
        <v>7463</v>
      </c>
      <c r="D1470" s="124" t="s">
        <v>1346</v>
      </c>
      <c r="E1470" s="125"/>
      <c r="F1470" s="118" t="s">
        <v>2236</v>
      </c>
      <c r="G1470" s="126" t="str">
        <f t="shared" si="98"/>
        <v>AR-V40-1</v>
      </c>
      <c r="H1470" s="253">
        <v>1</v>
      </c>
      <c r="J1470" s="299"/>
      <c r="K1470" s="299"/>
      <c r="L1470" s="84">
        <v>1</v>
      </c>
      <c r="M1470" s="76">
        <v>1</v>
      </c>
      <c r="Q1470" s="86"/>
    </row>
    <row r="1471" spans="2:17" s="83" customFormat="1" ht="15" hidden="1" customHeight="1" outlineLevel="2">
      <c r="B1471" s="119" t="s">
        <v>272</v>
      </c>
      <c r="C1471" s="266">
        <v>7470</v>
      </c>
      <c r="D1471" s="124" t="s">
        <v>1347</v>
      </c>
      <c r="E1471" s="125"/>
      <c r="F1471" s="118" t="s">
        <v>2236</v>
      </c>
      <c r="G1471" s="126" t="str">
        <f t="shared" si="98"/>
        <v>AR-V40-1</v>
      </c>
      <c r="H1471" s="253">
        <v>1</v>
      </c>
      <c r="J1471" s="299"/>
      <c r="K1471" s="299"/>
      <c r="L1471" s="84">
        <v>1</v>
      </c>
      <c r="M1471" s="76">
        <v>1</v>
      </c>
      <c r="Q1471" s="86"/>
    </row>
    <row r="1472" spans="2:17" s="83" customFormat="1" ht="15" hidden="1" customHeight="1" outlineLevel="2">
      <c r="B1472" s="119" t="s">
        <v>272</v>
      </c>
      <c r="C1472" s="266">
        <v>7480</v>
      </c>
      <c r="D1472" s="124" t="s">
        <v>1348</v>
      </c>
      <c r="E1472" s="125"/>
      <c r="F1472" s="118" t="s">
        <v>2236</v>
      </c>
      <c r="G1472" s="126" t="str">
        <f t="shared" si="98"/>
        <v>AR-V40-1</v>
      </c>
      <c r="H1472" s="253">
        <v>1</v>
      </c>
      <c r="J1472" s="299"/>
      <c r="K1472" s="299"/>
      <c r="L1472" s="84">
        <v>1</v>
      </c>
      <c r="M1472" s="76">
        <v>1</v>
      </c>
      <c r="Q1472" s="86"/>
    </row>
    <row r="1473" spans="2:20" s="83" customFormat="1" ht="15" hidden="1" customHeight="1" outlineLevel="2">
      <c r="B1473" s="119" t="s">
        <v>272</v>
      </c>
      <c r="C1473" s="266">
        <v>7490</v>
      </c>
      <c r="D1473" s="124" t="s">
        <v>1349</v>
      </c>
      <c r="E1473" s="125"/>
      <c r="F1473" s="118" t="s">
        <v>2236</v>
      </c>
      <c r="G1473" s="126" t="str">
        <f t="shared" si="98"/>
        <v>AR-V40-1</v>
      </c>
      <c r="H1473" s="253">
        <v>1</v>
      </c>
      <c r="J1473" s="299"/>
      <c r="K1473" s="299"/>
      <c r="L1473" s="84">
        <v>1</v>
      </c>
      <c r="M1473" s="76">
        <v>1</v>
      </c>
      <c r="Q1473" s="86"/>
    </row>
    <row r="1474" spans="2:20" s="83" customFormat="1" ht="15" hidden="1" customHeight="1" outlineLevel="2">
      <c r="B1474" s="119" t="s">
        <v>272</v>
      </c>
      <c r="C1474" s="266">
        <v>7500</v>
      </c>
      <c r="D1474" s="124" t="s">
        <v>1350</v>
      </c>
      <c r="E1474" s="125"/>
      <c r="F1474" s="118" t="s">
        <v>2236</v>
      </c>
      <c r="G1474" s="126" t="str">
        <f t="shared" si="98"/>
        <v>AR-V40-1</v>
      </c>
      <c r="H1474" s="253">
        <v>1</v>
      </c>
      <c r="J1474" s="299"/>
      <c r="K1474" s="299"/>
      <c r="L1474" s="84">
        <v>1</v>
      </c>
      <c r="M1474" s="76">
        <v>1</v>
      </c>
      <c r="Q1474" s="86"/>
    </row>
    <row r="1475" spans="2:20" s="83" customFormat="1" ht="15" hidden="1" customHeight="1" outlineLevel="2">
      <c r="B1475" s="119" t="s">
        <v>272</v>
      </c>
      <c r="C1475" s="266">
        <v>7510</v>
      </c>
      <c r="D1475" s="124" t="s">
        <v>1351</v>
      </c>
      <c r="E1475" s="125"/>
      <c r="F1475" s="118" t="s">
        <v>2236</v>
      </c>
      <c r="G1475" s="126" t="str">
        <f t="shared" si="98"/>
        <v>AR-V40-1</v>
      </c>
      <c r="H1475" s="253">
        <v>1</v>
      </c>
      <c r="J1475" s="299"/>
      <c r="K1475" s="299"/>
      <c r="L1475" s="84">
        <v>1</v>
      </c>
      <c r="M1475" s="76">
        <v>1</v>
      </c>
      <c r="Q1475" s="86"/>
    </row>
    <row r="1476" spans="2:20" s="83" customFormat="1" ht="15" hidden="1" customHeight="1" outlineLevel="2">
      <c r="B1476" s="119" t="s">
        <v>272</v>
      </c>
      <c r="C1476" s="266" t="s">
        <v>1352</v>
      </c>
      <c r="D1476" s="124" t="s">
        <v>1353</v>
      </c>
      <c r="E1476" s="125"/>
      <c r="F1476" s="118" t="s">
        <v>2236</v>
      </c>
      <c r="G1476" s="126" t="str">
        <f t="shared" si="98"/>
        <v>AR-V40-1</v>
      </c>
      <c r="H1476" s="253">
        <v>1</v>
      </c>
      <c r="J1476" s="299"/>
      <c r="K1476" s="299"/>
      <c r="L1476" s="84">
        <v>1</v>
      </c>
      <c r="M1476" s="76">
        <v>1</v>
      </c>
      <c r="Q1476" s="86"/>
    </row>
    <row r="1477" spans="2:20" s="83" customFormat="1" ht="3.6" hidden="1" customHeight="1" outlineLevel="1">
      <c r="J1477" s="300"/>
      <c r="K1477" s="300"/>
      <c r="L1477" s="86"/>
      <c r="Q1477" s="86"/>
    </row>
    <row r="1478" spans="2:20" s="91" customFormat="1" ht="15" hidden="1" customHeight="1" outlineLevel="1">
      <c r="B1478" s="135" t="s">
        <v>2237</v>
      </c>
      <c r="C1478" s="266"/>
      <c r="D1478" s="124"/>
      <c r="E1478" s="125"/>
      <c r="F1478" s="118"/>
      <c r="G1478" s="126"/>
      <c r="H1478" s="253"/>
      <c r="I1478" s="89"/>
      <c r="J1478" s="304"/>
      <c r="K1478" s="304"/>
      <c r="L1478" s="90"/>
      <c r="M1478" s="76"/>
      <c r="Q1478" s="287"/>
    </row>
    <row r="1479" spans="2:20" s="83" customFormat="1" ht="15" hidden="1" customHeight="1" outlineLevel="2">
      <c r="B1479" s="119" t="s">
        <v>272</v>
      </c>
      <c r="C1479" s="266" t="s">
        <v>2238</v>
      </c>
      <c r="D1479" s="124" t="s">
        <v>952</v>
      </c>
      <c r="E1479" s="125"/>
      <c r="F1479" s="118" t="s">
        <v>2239</v>
      </c>
      <c r="G1479" s="126" t="str">
        <f t="shared" ref="G1479:G1484" si="99">CONCATENATE("AR-",F1479,"-",H1479)</f>
        <v>AR-R11-1</v>
      </c>
      <c r="H1479" s="253">
        <v>1</v>
      </c>
      <c r="I1479" s="76">
        <v>1</v>
      </c>
      <c r="J1479" s="299" t="s">
        <v>286</v>
      </c>
      <c r="K1479" s="299"/>
      <c r="L1479" s="84"/>
      <c r="M1479" s="76"/>
      <c r="Q1479" s="84"/>
      <c r="T1479" s="76"/>
    </row>
    <row r="1480" spans="2:20" s="83" customFormat="1" ht="15" hidden="1" customHeight="1" outlineLevel="2">
      <c r="B1480" s="119" t="s">
        <v>272</v>
      </c>
      <c r="C1480" s="266" t="s">
        <v>2240</v>
      </c>
      <c r="D1480" s="124" t="s">
        <v>952</v>
      </c>
      <c r="E1480" s="125"/>
      <c r="F1480" s="118" t="s">
        <v>2239</v>
      </c>
      <c r="G1480" s="126" t="str">
        <f t="shared" si="99"/>
        <v>AR-R11-1</v>
      </c>
      <c r="H1480" s="253">
        <v>1</v>
      </c>
      <c r="I1480" s="76">
        <v>1</v>
      </c>
      <c r="J1480" s="299" t="s">
        <v>286</v>
      </c>
      <c r="K1480" s="299"/>
      <c r="L1480" s="84"/>
      <c r="M1480" s="76"/>
      <c r="Q1480" s="84"/>
      <c r="T1480" s="76"/>
    </row>
    <row r="1481" spans="2:20" s="83" customFormat="1" ht="15" hidden="1" customHeight="1" outlineLevel="2">
      <c r="B1481" s="119" t="s">
        <v>272</v>
      </c>
      <c r="C1481" s="266" t="s">
        <v>2241</v>
      </c>
      <c r="D1481" s="124" t="s">
        <v>2242</v>
      </c>
      <c r="E1481" s="125"/>
      <c r="F1481" s="118" t="s">
        <v>2239</v>
      </c>
      <c r="G1481" s="126" t="str">
        <f t="shared" si="99"/>
        <v>AR-R11-1</v>
      </c>
      <c r="H1481" s="253">
        <v>1</v>
      </c>
      <c r="I1481" s="76">
        <v>1</v>
      </c>
      <c r="J1481" s="299" t="s">
        <v>286</v>
      </c>
      <c r="K1481" s="299"/>
      <c r="L1481" s="84"/>
      <c r="M1481" s="76"/>
      <c r="Q1481" s="84"/>
      <c r="T1481" s="76"/>
    </row>
    <row r="1482" spans="2:20" s="83" customFormat="1" ht="15" hidden="1" customHeight="1" outlineLevel="2">
      <c r="B1482" s="119" t="s">
        <v>272</v>
      </c>
      <c r="C1482" s="266" t="s">
        <v>2243</v>
      </c>
      <c r="D1482" s="124" t="s">
        <v>2242</v>
      </c>
      <c r="E1482" s="125"/>
      <c r="F1482" s="118" t="s">
        <v>2239</v>
      </c>
      <c r="G1482" s="126" t="str">
        <f t="shared" si="99"/>
        <v>AR-R11-1</v>
      </c>
      <c r="H1482" s="253">
        <v>1</v>
      </c>
      <c r="I1482" s="76">
        <v>1</v>
      </c>
      <c r="J1482" s="299" t="s">
        <v>286</v>
      </c>
      <c r="K1482" s="299"/>
      <c r="L1482" s="84"/>
      <c r="M1482" s="76"/>
      <c r="Q1482" s="84"/>
      <c r="T1482" s="76"/>
    </row>
    <row r="1483" spans="2:20" s="83" customFormat="1" ht="15" hidden="1" customHeight="1" outlineLevel="2">
      <c r="B1483" s="119" t="s">
        <v>272</v>
      </c>
      <c r="C1483" s="266" t="s">
        <v>2244</v>
      </c>
      <c r="D1483" s="124" t="s">
        <v>2245</v>
      </c>
      <c r="E1483" s="125"/>
      <c r="F1483" s="118" t="s">
        <v>2239</v>
      </c>
      <c r="G1483" s="126" t="str">
        <f t="shared" si="99"/>
        <v>AR-R11-1</v>
      </c>
      <c r="H1483" s="253">
        <v>1</v>
      </c>
      <c r="I1483" s="76">
        <v>1</v>
      </c>
      <c r="J1483" s="299" t="s">
        <v>286</v>
      </c>
      <c r="K1483" s="299"/>
      <c r="L1483" s="84"/>
      <c r="M1483" s="76"/>
      <c r="Q1483" s="84"/>
      <c r="T1483" s="76"/>
    </row>
    <row r="1484" spans="2:20" s="83" customFormat="1" ht="15" hidden="1" customHeight="1" outlineLevel="2">
      <c r="B1484" s="119" t="s">
        <v>272</v>
      </c>
      <c r="C1484" s="266" t="s">
        <v>2246</v>
      </c>
      <c r="D1484" s="124" t="s">
        <v>2245</v>
      </c>
      <c r="E1484" s="125"/>
      <c r="F1484" s="118" t="s">
        <v>2239</v>
      </c>
      <c r="G1484" s="126" t="str">
        <f t="shared" si="99"/>
        <v>AR-R11-1</v>
      </c>
      <c r="H1484" s="253">
        <v>1</v>
      </c>
      <c r="I1484" s="76">
        <v>1</v>
      </c>
      <c r="J1484" s="299" t="s">
        <v>286</v>
      </c>
      <c r="K1484" s="299"/>
      <c r="L1484" s="84"/>
      <c r="M1484" s="76"/>
      <c r="Q1484" s="84"/>
      <c r="T1484" s="76"/>
    </row>
    <row r="1485" spans="2:20" s="83" customFormat="1" ht="15" hidden="1" customHeight="1" outlineLevel="2">
      <c r="B1485" s="119" t="s">
        <v>272</v>
      </c>
      <c r="C1485" s="266" t="s">
        <v>2247</v>
      </c>
      <c r="D1485" s="124" t="s">
        <v>2248</v>
      </c>
      <c r="E1485" s="125"/>
      <c r="F1485" s="118" t="s">
        <v>2239</v>
      </c>
      <c r="G1485" s="126" t="str">
        <f t="shared" ref="G1485:G1512" si="100">CONCATENATE("AR-",F1485,"-",H1485)</f>
        <v>AR-R11-1</v>
      </c>
      <c r="H1485" s="253">
        <v>1</v>
      </c>
      <c r="I1485" s="76">
        <v>1</v>
      </c>
      <c r="J1485" s="299" t="s">
        <v>286</v>
      </c>
      <c r="K1485" s="299"/>
      <c r="L1485" s="84"/>
      <c r="M1485" s="76"/>
      <c r="Q1485" s="84"/>
      <c r="T1485" s="76"/>
    </row>
    <row r="1486" spans="2:20" s="83" customFormat="1" ht="15" hidden="1" customHeight="1" outlineLevel="2">
      <c r="B1486" s="119" t="s">
        <v>272</v>
      </c>
      <c r="C1486" s="266" t="s">
        <v>2249</v>
      </c>
      <c r="D1486" s="124" t="s">
        <v>2248</v>
      </c>
      <c r="E1486" s="125"/>
      <c r="F1486" s="118" t="s">
        <v>2239</v>
      </c>
      <c r="G1486" s="126" t="str">
        <f t="shared" si="100"/>
        <v>AR-R11-1</v>
      </c>
      <c r="H1486" s="253">
        <v>1</v>
      </c>
      <c r="I1486" s="76">
        <v>1</v>
      </c>
      <c r="J1486" s="299" t="s">
        <v>286</v>
      </c>
      <c r="K1486" s="299"/>
      <c r="L1486" s="84"/>
      <c r="M1486" s="76"/>
      <c r="Q1486" s="84"/>
      <c r="T1486" s="76"/>
    </row>
    <row r="1487" spans="2:20" s="100" customFormat="1" ht="15" hidden="1" customHeight="1" outlineLevel="2">
      <c r="B1487" s="119" t="s">
        <v>272</v>
      </c>
      <c r="C1487" s="266" t="s">
        <v>2250</v>
      </c>
      <c r="D1487" s="124" t="s">
        <v>2251</v>
      </c>
      <c r="E1487" s="125"/>
      <c r="F1487" s="118" t="s">
        <v>2239</v>
      </c>
      <c r="G1487" s="126" t="str">
        <f t="shared" si="100"/>
        <v>AR-R11-1</v>
      </c>
      <c r="H1487" s="253">
        <v>1</v>
      </c>
      <c r="I1487" s="76">
        <v>1</v>
      </c>
      <c r="J1487" s="299" t="s">
        <v>286</v>
      </c>
      <c r="K1487" s="299"/>
      <c r="L1487" s="84"/>
      <c r="M1487" s="76"/>
      <c r="Q1487" s="84"/>
      <c r="R1487" s="83"/>
      <c r="S1487" s="83"/>
      <c r="T1487" s="76"/>
    </row>
    <row r="1488" spans="2:20" s="83" customFormat="1" ht="15" hidden="1" customHeight="1" outlineLevel="2">
      <c r="B1488" s="119" t="s">
        <v>272</v>
      </c>
      <c r="C1488" s="266" t="s">
        <v>2252</v>
      </c>
      <c r="D1488" s="124" t="s">
        <v>2251</v>
      </c>
      <c r="E1488" s="125"/>
      <c r="F1488" s="118" t="s">
        <v>2239</v>
      </c>
      <c r="G1488" s="126" t="str">
        <f t="shared" si="100"/>
        <v>AR-R11-1</v>
      </c>
      <c r="H1488" s="253">
        <v>1</v>
      </c>
      <c r="I1488" s="76">
        <v>1</v>
      </c>
      <c r="J1488" s="299" t="s">
        <v>286</v>
      </c>
      <c r="K1488" s="299"/>
      <c r="L1488" s="84"/>
      <c r="M1488" s="76"/>
      <c r="Q1488" s="84"/>
      <c r="T1488" s="76"/>
    </row>
    <row r="1489" spans="2:20" s="83" customFormat="1" ht="15" hidden="1" customHeight="1" outlineLevel="2">
      <c r="B1489" s="119" t="s">
        <v>272</v>
      </c>
      <c r="C1489" s="266" t="s">
        <v>2253</v>
      </c>
      <c r="D1489" s="124" t="s">
        <v>2254</v>
      </c>
      <c r="E1489" s="125"/>
      <c r="F1489" s="118" t="s">
        <v>2239</v>
      </c>
      <c r="G1489" s="126" t="str">
        <f t="shared" si="100"/>
        <v>AR-R11-1</v>
      </c>
      <c r="H1489" s="253">
        <v>1</v>
      </c>
      <c r="I1489" s="76">
        <v>1</v>
      </c>
      <c r="J1489" s="299" t="s">
        <v>286</v>
      </c>
      <c r="K1489" s="299"/>
      <c r="L1489" s="84"/>
      <c r="M1489" s="76"/>
      <c r="Q1489" s="84"/>
      <c r="T1489" s="76"/>
    </row>
    <row r="1490" spans="2:20" s="83" customFormat="1" ht="15" hidden="1" customHeight="1" outlineLevel="2">
      <c r="B1490" s="119" t="s">
        <v>272</v>
      </c>
      <c r="C1490" s="266" t="s">
        <v>2255</v>
      </c>
      <c r="D1490" s="124" t="s">
        <v>2254</v>
      </c>
      <c r="E1490" s="125"/>
      <c r="F1490" s="118" t="s">
        <v>2239</v>
      </c>
      <c r="G1490" s="126" t="str">
        <f t="shared" si="100"/>
        <v>AR-R11-1</v>
      </c>
      <c r="H1490" s="253">
        <v>1</v>
      </c>
      <c r="I1490" s="76">
        <v>1</v>
      </c>
      <c r="J1490" s="299" t="s">
        <v>286</v>
      </c>
      <c r="K1490" s="299"/>
      <c r="L1490" s="84"/>
      <c r="M1490" s="76"/>
      <c r="Q1490" s="84"/>
      <c r="T1490" s="76"/>
    </row>
    <row r="1491" spans="2:20" s="83" customFormat="1" ht="15" hidden="1" customHeight="1" outlineLevel="2">
      <c r="B1491" s="119" t="s">
        <v>272</v>
      </c>
      <c r="C1491" s="266" t="s">
        <v>2256</v>
      </c>
      <c r="D1491" s="124" t="s">
        <v>2257</v>
      </c>
      <c r="E1491" s="125"/>
      <c r="F1491" s="118" t="s">
        <v>2239</v>
      </c>
      <c r="G1491" s="126" t="str">
        <f t="shared" si="100"/>
        <v>AR-R11-1</v>
      </c>
      <c r="H1491" s="253">
        <v>1</v>
      </c>
      <c r="I1491" s="76">
        <v>1</v>
      </c>
      <c r="J1491" s="299" t="s">
        <v>286</v>
      </c>
      <c r="K1491" s="299"/>
      <c r="L1491" s="84"/>
      <c r="M1491" s="76"/>
      <c r="Q1491" s="84"/>
      <c r="T1491" s="76"/>
    </row>
    <row r="1492" spans="2:20" s="83" customFormat="1" ht="15" hidden="1" customHeight="1" outlineLevel="2">
      <c r="B1492" s="119" t="s">
        <v>272</v>
      </c>
      <c r="C1492" s="266" t="s">
        <v>2258</v>
      </c>
      <c r="D1492" s="124" t="s">
        <v>2257</v>
      </c>
      <c r="E1492" s="125"/>
      <c r="F1492" s="118" t="s">
        <v>2239</v>
      </c>
      <c r="G1492" s="126" t="str">
        <f t="shared" si="100"/>
        <v>AR-R11-1</v>
      </c>
      <c r="H1492" s="253">
        <v>1</v>
      </c>
      <c r="I1492" s="76">
        <v>1</v>
      </c>
      <c r="J1492" s="299" t="s">
        <v>286</v>
      </c>
      <c r="K1492" s="299"/>
      <c r="L1492" s="84"/>
      <c r="M1492" s="76"/>
      <c r="Q1492" s="84"/>
      <c r="T1492" s="76"/>
    </row>
    <row r="1493" spans="2:20" s="83" customFormat="1" ht="15" hidden="1" customHeight="1" outlineLevel="2">
      <c r="B1493" s="119" t="s">
        <v>272</v>
      </c>
      <c r="C1493" s="266" t="s">
        <v>2259</v>
      </c>
      <c r="D1493" s="124" t="s">
        <v>2260</v>
      </c>
      <c r="E1493" s="125"/>
      <c r="F1493" s="118" t="s">
        <v>2239</v>
      </c>
      <c r="G1493" s="126" t="str">
        <f t="shared" si="100"/>
        <v>AR-R11-1</v>
      </c>
      <c r="H1493" s="253">
        <v>1</v>
      </c>
      <c r="I1493" s="76">
        <v>1</v>
      </c>
      <c r="J1493" s="299" t="s">
        <v>286</v>
      </c>
      <c r="K1493" s="299"/>
      <c r="L1493" s="84"/>
      <c r="M1493" s="76"/>
      <c r="Q1493" s="84"/>
      <c r="T1493" s="76"/>
    </row>
    <row r="1494" spans="2:20" s="83" customFormat="1" ht="15" hidden="1" customHeight="1" outlineLevel="2">
      <c r="B1494" s="119" t="s">
        <v>272</v>
      </c>
      <c r="C1494" s="266" t="s">
        <v>2261</v>
      </c>
      <c r="D1494" s="124" t="s">
        <v>2260</v>
      </c>
      <c r="E1494" s="125"/>
      <c r="F1494" s="118" t="s">
        <v>2239</v>
      </c>
      <c r="G1494" s="126" t="str">
        <f t="shared" si="100"/>
        <v>AR-R11-1</v>
      </c>
      <c r="H1494" s="253">
        <v>1</v>
      </c>
      <c r="I1494" s="76">
        <v>1</v>
      </c>
      <c r="J1494" s="299" t="s">
        <v>286</v>
      </c>
      <c r="K1494" s="299"/>
      <c r="L1494" s="84"/>
      <c r="M1494" s="76"/>
      <c r="Q1494" s="84"/>
      <c r="T1494" s="76"/>
    </row>
    <row r="1495" spans="2:20" s="83" customFormat="1" ht="15" hidden="1" customHeight="1" outlineLevel="2">
      <c r="B1495" s="119" t="s">
        <v>272</v>
      </c>
      <c r="C1495" s="266" t="s">
        <v>2262</v>
      </c>
      <c r="D1495" s="124" t="s">
        <v>2263</v>
      </c>
      <c r="E1495" s="125"/>
      <c r="F1495" s="118" t="s">
        <v>2239</v>
      </c>
      <c r="G1495" s="126" t="str">
        <f t="shared" si="100"/>
        <v>AR-R11-1</v>
      </c>
      <c r="H1495" s="253">
        <v>1</v>
      </c>
      <c r="I1495" s="76">
        <v>1</v>
      </c>
      <c r="J1495" s="299" t="s">
        <v>286</v>
      </c>
      <c r="K1495" s="299"/>
      <c r="L1495" s="84"/>
      <c r="M1495" s="76"/>
      <c r="Q1495" s="84"/>
      <c r="T1495" s="76"/>
    </row>
    <row r="1496" spans="2:20" s="83" customFormat="1" ht="15" hidden="1" customHeight="1" outlineLevel="2">
      <c r="B1496" s="119" t="s">
        <v>272</v>
      </c>
      <c r="C1496" s="266" t="s">
        <v>2264</v>
      </c>
      <c r="D1496" s="124" t="s">
        <v>2263</v>
      </c>
      <c r="E1496" s="125"/>
      <c r="F1496" s="118" t="s">
        <v>2239</v>
      </c>
      <c r="G1496" s="126" t="str">
        <f t="shared" si="100"/>
        <v>AR-R11-1</v>
      </c>
      <c r="H1496" s="253">
        <v>1</v>
      </c>
      <c r="I1496" s="76">
        <v>1</v>
      </c>
      <c r="J1496" s="299" t="s">
        <v>286</v>
      </c>
      <c r="K1496" s="299"/>
      <c r="L1496" s="84"/>
      <c r="M1496" s="76"/>
      <c r="Q1496" s="84"/>
      <c r="T1496" s="76"/>
    </row>
    <row r="1497" spans="2:20" s="83" customFormat="1" ht="15" hidden="1" customHeight="1" outlineLevel="2">
      <c r="B1497" s="119" t="s">
        <v>272</v>
      </c>
      <c r="C1497" s="266" t="s">
        <v>2265</v>
      </c>
      <c r="D1497" s="124" t="s">
        <v>2266</v>
      </c>
      <c r="E1497" s="125"/>
      <c r="F1497" s="118" t="s">
        <v>2239</v>
      </c>
      <c r="G1497" s="126" t="str">
        <f t="shared" si="100"/>
        <v>AR-R11-1</v>
      </c>
      <c r="H1497" s="253">
        <v>1</v>
      </c>
      <c r="I1497" s="76">
        <v>1</v>
      </c>
      <c r="J1497" s="299" t="s">
        <v>286</v>
      </c>
      <c r="K1497" s="299"/>
      <c r="L1497" s="84"/>
      <c r="M1497" s="76"/>
      <c r="Q1497" s="84"/>
      <c r="T1497" s="76"/>
    </row>
    <row r="1498" spans="2:20" s="83" customFormat="1" ht="15" hidden="1" customHeight="1" outlineLevel="2">
      <c r="B1498" s="119" t="s">
        <v>272</v>
      </c>
      <c r="C1498" s="266" t="s">
        <v>2267</v>
      </c>
      <c r="D1498" s="124" t="s">
        <v>2266</v>
      </c>
      <c r="E1498" s="125"/>
      <c r="F1498" s="118" t="s">
        <v>2239</v>
      </c>
      <c r="G1498" s="126" t="str">
        <f t="shared" si="100"/>
        <v>AR-R11-1</v>
      </c>
      <c r="H1498" s="253">
        <v>1</v>
      </c>
      <c r="I1498" s="76">
        <v>1</v>
      </c>
      <c r="J1498" s="299" t="s">
        <v>286</v>
      </c>
      <c r="K1498" s="299"/>
      <c r="L1498" s="84"/>
      <c r="M1498" s="76"/>
      <c r="Q1498" s="84"/>
      <c r="T1498" s="76"/>
    </row>
    <row r="1499" spans="2:20" s="83" customFormat="1" ht="15" hidden="1" customHeight="1" outlineLevel="2">
      <c r="B1499" s="119" t="s">
        <v>272</v>
      </c>
      <c r="C1499" s="266" t="s">
        <v>2268</v>
      </c>
      <c r="D1499" s="124" t="s">
        <v>2269</v>
      </c>
      <c r="E1499" s="125"/>
      <c r="F1499" s="118" t="s">
        <v>2239</v>
      </c>
      <c r="G1499" s="126" t="str">
        <f t="shared" si="100"/>
        <v>AR-R11-1</v>
      </c>
      <c r="H1499" s="253">
        <v>1</v>
      </c>
      <c r="I1499" s="76">
        <v>1</v>
      </c>
      <c r="J1499" s="299" t="s">
        <v>286</v>
      </c>
      <c r="K1499" s="299"/>
      <c r="L1499" s="84"/>
      <c r="M1499" s="76"/>
      <c r="Q1499" s="84"/>
      <c r="T1499" s="76"/>
    </row>
    <row r="1500" spans="2:20" s="83" customFormat="1" ht="15" hidden="1" customHeight="1" outlineLevel="2">
      <c r="B1500" s="119" t="s">
        <v>272</v>
      </c>
      <c r="C1500" s="266" t="s">
        <v>2270</v>
      </c>
      <c r="D1500" s="124" t="s">
        <v>2269</v>
      </c>
      <c r="E1500" s="125"/>
      <c r="F1500" s="118" t="s">
        <v>2239</v>
      </c>
      <c r="G1500" s="126" t="str">
        <f t="shared" si="100"/>
        <v>AR-R11-1</v>
      </c>
      <c r="H1500" s="253">
        <v>1</v>
      </c>
      <c r="I1500" s="76">
        <v>1</v>
      </c>
      <c r="J1500" s="299" t="s">
        <v>286</v>
      </c>
      <c r="K1500" s="299"/>
      <c r="L1500" s="84"/>
      <c r="M1500" s="76"/>
      <c r="Q1500" s="84"/>
      <c r="T1500" s="76"/>
    </row>
    <row r="1501" spans="2:20" s="83" customFormat="1" ht="15" hidden="1" customHeight="1" outlineLevel="2">
      <c r="B1501" s="119" t="s">
        <v>272</v>
      </c>
      <c r="C1501" s="266" t="s">
        <v>2271</v>
      </c>
      <c r="D1501" s="124" t="s">
        <v>2272</v>
      </c>
      <c r="E1501" s="125"/>
      <c r="F1501" s="118" t="s">
        <v>2239</v>
      </c>
      <c r="G1501" s="126" t="str">
        <f t="shared" si="100"/>
        <v>AR-R11-1</v>
      </c>
      <c r="H1501" s="253">
        <v>1</v>
      </c>
      <c r="I1501" s="76">
        <v>1</v>
      </c>
      <c r="J1501" s="299" t="s">
        <v>286</v>
      </c>
      <c r="K1501" s="299"/>
      <c r="L1501" s="84"/>
      <c r="M1501" s="76"/>
      <c r="Q1501" s="84"/>
      <c r="T1501" s="76"/>
    </row>
    <row r="1502" spans="2:20" s="99" customFormat="1" ht="15" hidden="1" customHeight="1" outlineLevel="2">
      <c r="B1502" s="119" t="s">
        <v>272</v>
      </c>
      <c r="C1502" s="266" t="s">
        <v>2273</v>
      </c>
      <c r="D1502" s="124" t="s">
        <v>2272</v>
      </c>
      <c r="E1502" s="125"/>
      <c r="F1502" s="118" t="s">
        <v>2239</v>
      </c>
      <c r="G1502" s="126" t="str">
        <f t="shared" si="100"/>
        <v>AR-R11-1</v>
      </c>
      <c r="H1502" s="253">
        <v>1</v>
      </c>
      <c r="I1502" s="76">
        <v>1</v>
      </c>
      <c r="J1502" s="299" t="s">
        <v>286</v>
      </c>
      <c r="K1502" s="299"/>
      <c r="L1502" s="84"/>
      <c r="M1502" s="76"/>
      <c r="Q1502" s="84"/>
      <c r="R1502" s="83"/>
      <c r="S1502" s="83"/>
      <c r="T1502" s="76"/>
    </row>
    <row r="1503" spans="2:20" s="83" customFormat="1" ht="15" hidden="1" customHeight="1" outlineLevel="2">
      <c r="B1503" s="119" t="s">
        <v>272</v>
      </c>
      <c r="C1503" s="266" t="s">
        <v>2274</v>
      </c>
      <c r="D1503" s="124" t="s">
        <v>2275</v>
      </c>
      <c r="E1503" s="125"/>
      <c r="F1503" s="118" t="s">
        <v>2239</v>
      </c>
      <c r="G1503" s="126" t="str">
        <f t="shared" si="100"/>
        <v>AR-R11-1</v>
      </c>
      <c r="H1503" s="253">
        <v>1</v>
      </c>
      <c r="I1503" s="76">
        <v>1</v>
      </c>
      <c r="J1503" s="299" t="s">
        <v>286</v>
      </c>
      <c r="K1503" s="299"/>
      <c r="L1503" s="84"/>
      <c r="M1503" s="76"/>
      <c r="Q1503" s="84"/>
      <c r="T1503" s="76"/>
    </row>
    <row r="1504" spans="2:20" s="83" customFormat="1" ht="15" hidden="1" customHeight="1" outlineLevel="2">
      <c r="B1504" s="119" t="s">
        <v>272</v>
      </c>
      <c r="C1504" s="266" t="s">
        <v>2276</v>
      </c>
      <c r="D1504" s="124" t="s">
        <v>2275</v>
      </c>
      <c r="E1504" s="125"/>
      <c r="F1504" s="118" t="s">
        <v>2239</v>
      </c>
      <c r="G1504" s="126" t="str">
        <f t="shared" si="100"/>
        <v>AR-R11-1</v>
      </c>
      <c r="H1504" s="253">
        <v>1</v>
      </c>
      <c r="I1504" s="76">
        <v>1</v>
      </c>
      <c r="J1504" s="299" t="s">
        <v>286</v>
      </c>
      <c r="K1504" s="299"/>
      <c r="L1504" s="84"/>
      <c r="M1504" s="76"/>
      <c r="Q1504" s="84"/>
      <c r="T1504" s="76"/>
    </row>
    <row r="1505" spans="2:20" s="83" customFormat="1" ht="15" hidden="1" customHeight="1" outlineLevel="2">
      <c r="B1505" s="119" t="s">
        <v>272</v>
      </c>
      <c r="C1505" s="266" t="s">
        <v>2277</v>
      </c>
      <c r="D1505" s="124" t="s">
        <v>2278</v>
      </c>
      <c r="E1505" s="125"/>
      <c r="F1505" s="118" t="s">
        <v>2239</v>
      </c>
      <c r="G1505" s="126" t="str">
        <f t="shared" si="100"/>
        <v>AR-R11-1</v>
      </c>
      <c r="H1505" s="253">
        <v>1</v>
      </c>
      <c r="I1505" s="76">
        <v>1</v>
      </c>
      <c r="J1505" s="299" t="s">
        <v>286</v>
      </c>
      <c r="K1505" s="299"/>
      <c r="L1505" s="84"/>
      <c r="M1505" s="76"/>
      <c r="Q1505" s="84"/>
      <c r="T1505" s="76"/>
    </row>
    <row r="1506" spans="2:20" s="83" customFormat="1" ht="15" hidden="1" customHeight="1" outlineLevel="2">
      <c r="B1506" s="119" t="s">
        <v>272</v>
      </c>
      <c r="C1506" s="266" t="s">
        <v>2279</v>
      </c>
      <c r="D1506" s="124" t="s">
        <v>2278</v>
      </c>
      <c r="E1506" s="125"/>
      <c r="F1506" s="118" t="s">
        <v>2239</v>
      </c>
      <c r="G1506" s="126" t="str">
        <f t="shared" si="100"/>
        <v>AR-R11-1</v>
      </c>
      <c r="H1506" s="253">
        <v>1</v>
      </c>
      <c r="I1506" s="76">
        <v>1</v>
      </c>
      <c r="J1506" s="299" t="s">
        <v>286</v>
      </c>
      <c r="K1506" s="299"/>
      <c r="L1506" s="84"/>
      <c r="M1506" s="76"/>
      <c r="Q1506" s="84"/>
      <c r="T1506" s="76"/>
    </row>
    <row r="1507" spans="2:20" s="83" customFormat="1" ht="15" hidden="1" customHeight="1" outlineLevel="2">
      <c r="B1507" s="119" t="s">
        <v>272</v>
      </c>
      <c r="C1507" s="266" t="s">
        <v>2280</v>
      </c>
      <c r="D1507" s="124" t="s">
        <v>2281</v>
      </c>
      <c r="E1507" s="125"/>
      <c r="F1507" s="118" t="s">
        <v>2239</v>
      </c>
      <c r="G1507" s="126" t="str">
        <f t="shared" si="100"/>
        <v>AR-R11-1</v>
      </c>
      <c r="H1507" s="253">
        <v>1</v>
      </c>
      <c r="I1507" s="76">
        <v>1</v>
      </c>
      <c r="J1507" s="299" t="s">
        <v>286</v>
      </c>
      <c r="K1507" s="299"/>
      <c r="L1507" s="84"/>
      <c r="M1507" s="76"/>
      <c r="Q1507" s="84"/>
      <c r="T1507" s="76"/>
    </row>
    <row r="1508" spans="2:20" s="83" customFormat="1" ht="15" hidden="1" customHeight="1" outlineLevel="2">
      <c r="B1508" s="119" t="s">
        <v>272</v>
      </c>
      <c r="C1508" s="266" t="s">
        <v>2282</v>
      </c>
      <c r="D1508" s="124" t="s">
        <v>2281</v>
      </c>
      <c r="E1508" s="125"/>
      <c r="F1508" s="118" t="s">
        <v>2239</v>
      </c>
      <c r="G1508" s="126" t="str">
        <f t="shared" si="100"/>
        <v>AR-R11-1</v>
      </c>
      <c r="H1508" s="253">
        <v>1</v>
      </c>
      <c r="I1508" s="76">
        <v>1</v>
      </c>
      <c r="J1508" s="299" t="s">
        <v>286</v>
      </c>
      <c r="K1508" s="299"/>
      <c r="L1508" s="84"/>
      <c r="M1508" s="76"/>
      <c r="Q1508" s="84"/>
      <c r="T1508" s="76"/>
    </row>
    <row r="1509" spans="2:20" s="83" customFormat="1" ht="15" hidden="1" customHeight="1" outlineLevel="2">
      <c r="B1509" s="119" t="s">
        <v>272</v>
      </c>
      <c r="C1509" s="266" t="s">
        <v>2283</v>
      </c>
      <c r="D1509" s="124" t="s">
        <v>1443</v>
      </c>
      <c r="E1509" s="125"/>
      <c r="F1509" s="118" t="s">
        <v>2239</v>
      </c>
      <c r="G1509" s="126" t="str">
        <f t="shared" si="100"/>
        <v>AR-R11-1</v>
      </c>
      <c r="H1509" s="253">
        <v>1</v>
      </c>
      <c r="I1509" s="76">
        <v>1</v>
      </c>
      <c r="J1509" s="299" t="s">
        <v>286</v>
      </c>
      <c r="K1509" s="299"/>
      <c r="L1509" s="84"/>
      <c r="M1509" s="76"/>
      <c r="Q1509" s="84"/>
      <c r="T1509" s="76"/>
    </row>
    <row r="1510" spans="2:20" s="83" customFormat="1" ht="15" hidden="1" customHeight="1" outlineLevel="2">
      <c r="B1510" s="119" t="s">
        <v>272</v>
      </c>
      <c r="C1510" s="266" t="s">
        <v>2284</v>
      </c>
      <c r="D1510" s="124" t="s">
        <v>1443</v>
      </c>
      <c r="E1510" s="125"/>
      <c r="F1510" s="118" t="s">
        <v>2239</v>
      </c>
      <c r="G1510" s="126" t="str">
        <f t="shared" si="100"/>
        <v>AR-R11-1</v>
      </c>
      <c r="H1510" s="253">
        <v>1</v>
      </c>
      <c r="I1510" s="76">
        <v>1</v>
      </c>
      <c r="J1510" s="299" t="s">
        <v>286</v>
      </c>
      <c r="K1510" s="299"/>
      <c r="L1510" s="84"/>
      <c r="M1510" s="76"/>
      <c r="Q1510" s="84"/>
      <c r="T1510" s="76"/>
    </row>
    <row r="1511" spans="2:20" s="83" customFormat="1" ht="15" hidden="1" customHeight="1" outlineLevel="2">
      <c r="B1511" s="119" t="s">
        <v>272</v>
      </c>
      <c r="C1511" s="266" t="s">
        <v>2285</v>
      </c>
      <c r="D1511" s="124" t="s">
        <v>2286</v>
      </c>
      <c r="E1511" s="125"/>
      <c r="F1511" s="118" t="s">
        <v>2239</v>
      </c>
      <c r="G1511" s="126" t="str">
        <f t="shared" si="100"/>
        <v>AR-R11-1</v>
      </c>
      <c r="H1511" s="253">
        <v>1</v>
      </c>
      <c r="I1511" s="76">
        <v>1</v>
      </c>
      <c r="J1511" s="299" t="s">
        <v>286</v>
      </c>
      <c r="K1511" s="299"/>
      <c r="L1511" s="84"/>
      <c r="M1511" s="76"/>
      <c r="Q1511" s="84"/>
      <c r="T1511" s="76"/>
    </row>
    <row r="1512" spans="2:20" s="83" customFormat="1" ht="15" hidden="1" customHeight="1" outlineLevel="2">
      <c r="B1512" s="119" t="s">
        <v>272</v>
      </c>
      <c r="C1512" s="266" t="s">
        <v>2287</v>
      </c>
      <c r="D1512" s="124" t="s">
        <v>2286</v>
      </c>
      <c r="E1512" s="125"/>
      <c r="F1512" s="118" t="s">
        <v>2239</v>
      </c>
      <c r="G1512" s="126" t="str">
        <f t="shared" si="100"/>
        <v>AR-R11-1</v>
      </c>
      <c r="H1512" s="253">
        <v>1</v>
      </c>
      <c r="I1512" s="76">
        <v>1</v>
      </c>
      <c r="J1512" s="299" t="s">
        <v>286</v>
      </c>
      <c r="K1512" s="299"/>
      <c r="L1512" s="84"/>
      <c r="M1512" s="76"/>
      <c r="Q1512" s="84"/>
      <c r="T1512" s="76"/>
    </row>
    <row r="1513" spans="2:20" s="83" customFormat="1" ht="15" hidden="1" customHeight="1" outlineLevel="2">
      <c r="B1513" s="119" t="s">
        <v>272</v>
      </c>
      <c r="C1513" s="266" t="s">
        <v>2288</v>
      </c>
      <c r="D1513" s="124" t="s">
        <v>2289</v>
      </c>
      <c r="E1513" s="125"/>
      <c r="F1513" s="118" t="s">
        <v>2239</v>
      </c>
      <c r="G1513" s="126" t="str">
        <f t="shared" ref="G1513:G1518" si="101">CONCATENATE("AR-",F1513,"-",H1513)</f>
        <v>AR-R11-1</v>
      </c>
      <c r="H1513" s="253">
        <v>1</v>
      </c>
      <c r="I1513" s="76">
        <v>1</v>
      </c>
      <c r="J1513" s="299" t="s">
        <v>286</v>
      </c>
      <c r="K1513" s="299"/>
      <c r="L1513" s="84"/>
      <c r="M1513" s="76"/>
      <c r="Q1513" s="84"/>
      <c r="T1513" s="76"/>
    </row>
    <row r="1514" spans="2:20" s="83" customFormat="1" ht="15" hidden="1" customHeight="1" outlineLevel="2">
      <c r="B1514" s="119" t="s">
        <v>272</v>
      </c>
      <c r="C1514" s="266" t="s">
        <v>2290</v>
      </c>
      <c r="D1514" s="124" t="s">
        <v>2291</v>
      </c>
      <c r="E1514" s="125"/>
      <c r="F1514" s="118" t="s">
        <v>2239</v>
      </c>
      <c r="G1514" s="126" t="str">
        <f t="shared" si="101"/>
        <v>AR-R11-1</v>
      </c>
      <c r="H1514" s="253">
        <v>1</v>
      </c>
      <c r="I1514" s="76">
        <v>1</v>
      </c>
      <c r="J1514" s="299" t="s">
        <v>286</v>
      </c>
      <c r="K1514" s="299"/>
      <c r="L1514" s="84"/>
      <c r="M1514" s="76"/>
      <c r="Q1514" s="84"/>
      <c r="T1514" s="76"/>
    </row>
    <row r="1515" spans="2:20" s="83" customFormat="1" ht="15" hidden="1" customHeight="1" outlineLevel="2">
      <c r="B1515" s="119" t="s">
        <v>272</v>
      </c>
      <c r="C1515" s="266" t="s">
        <v>2292</v>
      </c>
      <c r="D1515" s="124" t="s">
        <v>2293</v>
      </c>
      <c r="E1515" s="125"/>
      <c r="F1515" s="118" t="s">
        <v>2239</v>
      </c>
      <c r="G1515" s="126" t="str">
        <f t="shared" si="101"/>
        <v>AR-R11-1</v>
      </c>
      <c r="H1515" s="253">
        <v>1</v>
      </c>
      <c r="I1515" s="76">
        <v>1</v>
      </c>
      <c r="J1515" s="299" t="s">
        <v>286</v>
      </c>
      <c r="K1515" s="299"/>
      <c r="L1515" s="84"/>
      <c r="M1515" s="76"/>
      <c r="Q1515" s="84"/>
      <c r="T1515" s="76"/>
    </row>
    <row r="1516" spans="2:20" s="83" customFormat="1" ht="15" hidden="1" customHeight="1" outlineLevel="2">
      <c r="B1516" s="119" t="s">
        <v>272</v>
      </c>
      <c r="C1516" s="266" t="s">
        <v>2294</v>
      </c>
      <c r="D1516" s="124" t="s">
        <v>2295</v>
      </c>
      <c r="E1516" s="125"/>
      <c r="F1516" s="118" t="s">
        <v>2239</v>
      </c>
      <c r="G1516" s="126" t="str">
        <f t="shared" si="101"/>
        <v>AR-R11-1</v>
      </c>
      <c r="H1516" s="253">
        <v>1</v>
      </c>
      <c r="I1516" s="76">
        <v>1</v>
      </c>
      <c r="J1516" s="299" t="s">
        <v>310</v>
      </c>
      <c r="K1516" s="299"/>
      <c r="L1516" s="84"/>
      <c r="M1516" s="76"/>
      <c r="Q1516" s="84"/>
      <c r="T1516" s="76"/>
    </row>
    <row r="1517" spans="2:20" s="83" customFormat="1" ht="15" hidden="1" customHeight="1" outlineLevel="2">
      <c r="B1517" s="119" t="s">
        <v>272</v>
      </c>
      <c r="C1517" s="266" t="s">
        <v>2296</v>
      </c>
      <c r="D1517" s="124" t="s">
        <v>2297</v>
      </c>
      <c r="E1517" s="125"/>
      <c r="F1517" s="118" t="s">
        <v>2239</v>
      </c>
      <c r="G1517" s="126" t="str">
        <f t="shared" si="101"/>
        <v>AR-R11-1</v>
      </c>
      <c r="H1517" s="253">
        <v>1</v>
      </c>
      <c r="I1517" s="76">
        <v>1</v>
      </c>
      <c r="J1517" s="299" t="s">
        <v>286</v>
      </c>
      <c r="K1517" s="299"/>
      <c r="L1517" s="84"/>
      <c r="M1517" s="76"/>
      <c r="Q1517" s="84"/>
      <c r="T1517" s="76"/>
    </row>
    <row r="1518" spans="2:20" s="83" customFormat="1" ht="15" hidden="1" customHeight="1" outlineLevel="2">
      <c r="B1518" s="119" t="s">
        <v>272</v>
      </c>
      <c r="C1518" s="266" t="s">
        <v>2298</v>
      </c>
      <c r="D1518" s="124" t="s">
        <v>2299</v>
      </c>
      <c r="E1518" s="125"/>
      <c r="F1518" s="118" t="s">
        <v>2239</v>
      </c>
      <c r="G1518" s="126" t="str">
        <f t="shared" si="101"/>
        <v>AR-R11-1</v>
      </c>
      <c r="H1518" s="253">
        <v>1</v>
      </c>
      <c r="I1518" s="76">
        <v>1</v>
      </c>
      <c r="J1518" s="299" t="s">
        <v>310</v>
      </c>
      <c r="K1518" s="299"/>
      <c r="L1518" s="84"/>
      <c r="M1518" s="76"/>
      <c r="Q1518" s="84"/>
      <c r="T1518" s="76"/>
    </row>
    <row r="1519" spans="2:20" s="83" customFormat="1" ht="15" hidden="1" customHeight="1" outlineLevel="2">
      <c r="B1519" s="119" t="s">
        <v>272</v>
      </c>
      <c r="C1519" s="266" t="s">
        <v>2300</v>
      </c>
      <c r="D1519" s="124" t="s">
        <v>2301</v>
      </c>
      <c r="E1519" s="125"/>
      <c r="F1519" s="118" t="s">
        <v>2239</v>
      </c>
      <c r="G1519" s="126" t="str">
        <f t="shared" ref="G1519:G1559" si="102">CONCATENATE("AR-",F1519,"-",H1519)</f>
        <v>AR-R11-1</v>
      </c>
      <c r="H1519" s="253">
        <v>1</v>
      </c>
      <c r="I1519" s="76">
        <v>1</v>
      </c>
      <c r="J1519" s="299" t="s">
        <v>286</v>
      </c>
      <c r="K1519" s="299"/>
      <c r="L1519" s="84"/>
      <c r="M1519" s="76"/>
      <c r="Q1519" s="84"/>
      <c r="T1519" s="76"/>
    </row>
    <row r="1520" spans="2:20" s="83" customFormat="1" ht="15" hidden="1" customHeight="1" outlineLevel="2">
      <c r="B1520" s="119" t="s">
        <v>272</v>
      </c>
      <c r="C1520" s="266" t="s">
        <v>2302</v>
      </c>
      <c r="D1520" s="124" t="s">
        <v>2303</v>
      </c>
      <c r="E1520" s="125"/>
      <c r="F1520" s="118" t="s">
        <v>2239</v>
      </c>
      <c r="G1520" s="126" t="str">
        <f t="shared" si="102"/>
        <v>AR-R11-1</v>
      </c>
      <c r="H1520" s="253">
        <v>1</v>
      </c>
      <c r="I1520" s="76">
        <v>1</v>
      </c>
      <c r="J1520" s="299" t="s">
        <v>286</v>
      </c>
      <c r="K1520" s="299"/>
      <c r="L1520" s="84"/>
      <c r="M1520" s="76"/>
      <c r="Q1520" s="84"/>
      <c r="T1520" s="76"/>
    </row>
    <row r="1521" spans="2:20" s="100" customFormat="1" ht="15" hidden="1" customHeight="1" outlineLevel="2">
      <c r="B1521" s="119" t="s">
        <v>272</v>
      </c>
      <c r="C1521" s="266" t="s">
        <v>2304</v>
      </c>
      <c r="D1521" s="124" t="s">
        <v>2305</v>
      </c>
      <c r="E1521" s="125"/>
      <c r="F1521" s="118" t="s">
        <v>2239</v>
      </c>
      <c r="G1521" s="126" t="str">
        <f t="shared" si="102"/>
        <v>AR-R11-1</v>
      </c>
      <c r="H1521" s="253">
        <v>1</v>
      </c>
      <c r="I1521" s="76">
        <v>1</v>
      </c>
      <c r="J1521" s="299" t="s">
        <v>286</v>
      </c>
      <c r="K1521" s="299"/>
      <c r="L1521" s="84"/>
      <c r="M1521" s="76"/>
      <c r="Q1521" s="84"/>
      <c r="R1521" s="83"/>
      <c r="S1521" s="83"/>
      <c r="T1521" s="76"/>
    </row>
    <row r="1522" spans="2:20" s="83" customFormat="1" ht="15" hidden="1" customHeight="1" outlineLevel="2">
      <c r="B1522" s="119" t="s">
        <v>272</v>
      </c>
      <c r="C1522" s="266" t="s">
        <v>2306</v>
      </c>
      <c r="D1522" s="124" t="s">
        <v>2307</v>
      </c>
      <c r="E1522" s="125"/>
      <c r="F1522" s="118" t="s">
        <v>2239</v>
      </c>
      <c r="G1522" s="126" t="str">
        <f t="shared" si="102"/>
        <v>AR-R11-1</v>
      </c>
      <c r="H1522" s="253">
        <v>1</v>
      </c>
      <c r="I1522" s="76">
        <v>1</v>
      </c>
      <c r="J1522" s="299" t="s">
        <v>286</v>
      </c>
      <c r="K1522" s="299"/>
      <c r="L1522" s="84"/>
      <c r="M1522" s="76"/>
      <c r="Q1522" s="84"/>
      <c r="T1522" s="76"/>
    </row>
    <row r="1523" spans="2:20" s="83" customFormat="1" ht="15" hidden="1" customHeight="1" outlineLevel="2">
      <c r="B1523" s="119" t="s">
        <v>272</v>
      </c>
      <c r="C1523" s="266" t="s">
        <v>2308</v>
      </c>
      <c r="D1523" s="124" t="s">
        <v>2307</v>
      </c>
      <c r="E1523" s="125"/>
      <c r="F1523" s="118" t="s">
        <v>2239</v>
      </c>
      <c r="G1523" s="126" t="str">
        <f t="shared" si="102"/>
        <v>AR-R11-1</v>
      </c>
      <c r="H1523" s="253">
        <v>1</v>
      </c>
      <c r="I1523" s="76">
        <v>1</v>
      </c>
      <c r="J1523" s="299" t="s">
        <v>286</v>
      </c>
      <c r="K1523" s="299"/>
      <c r="L1523" s="84"/>
      <c r="M1523" s="76"/>
      <c r="Q1523" s="84"/>
      <c r="T1523" s="76"/>
    </row>
    <row r="1524" spans="2:20" s="83" customFormat="1" ht="15" hidden="1" customHeight="1" outlineLevel="2">
      <c r="B1524" s="119" t="s">
        <v>272</v>
      </c>
      <c r="C1524" s="266" t="s">
        <v>2309</v>
      </c>
      <c r="D1524" s="124" t="s">
        <v>2310</v>
      </c>
      <c r="E1524" s="125"/>
      <c r="F1524" s="118" t="s">
        <v>2239</v>
      </c>
      <c r="G1524" s="126" t="str">
        <f t="shared" si="102"/>
        <v>AR-R11-1</v>
      </c>
      <c r="H1524" s="253">
        <v>1</v>
      </c>
      <c r="I1524" s="76">
        <v>1</v>
      </c>
      <c r="J1524" s="299" t="s">
        <v>286</v>
      </c>
      <c r="K1524" s="299"/>
      <c r="L1524" s="84"/>
      <c r="M1524" s="76"/>
      <c r="Q1524" s="84"/>
      <c r="T1524" s="76"/>
    </row>
    <row r="1525" spans="2:20" s="83" customFormat="1" ht="15" hidden="1" customHeight="1" outlineLevel="2">
      <c r="B1525" s="119" t="s">
        <v>272</v>
      </c>
      <c r="C1525" s="266" t="s">
        <v>2311</v>
      </c>
      <c r="D1525" s="124" t="s">
        <v>2310</v>
      </c>
      <c r="E1525" s="125"/>
      <c r="F1525" s="118" t="s">
        <v>2239</v>
      </c>
      <c r="G1525" s="126" t="str">
        <f t="shared" si="102"/>
        <v>AR-R11-1</v>
      </c>
      <c r="H1525" s="253">
        <v>1</v>
      </c>
      <c r="I1525" s="76">
        <v>1</v>
      </c>
      <c r="J1525" s="299" t="s">
        <v>286</v>
      </c>
      <c r="K1525" s="299"/>
      <c r="L1525" s="84"/>
      <c r="M1525" s="76"/>
      <c r="Q1525" s="84"/>
      <c r="T1525" s="76"/>
    </row>
    <row r="1526" spans="2:20" s="83" customFormat="1" ht="15" hidden="1" customHeight="1" outlineLevel="2">
      <c r="B1526" s="119" t="s">
        <v>272</v>
      </c>
      <c r="C1526" s="266" t="s">
        <v>2312</v>
      </c>
      <c r="D1526" s="124" t="s">
        <v>2313</v>
      </c>
      <c r="E1526" s="125"/>
      <c r="F1526" s="118" t="s">
        <v>2239</v>
      </c>
      <c r="G1526" s="126" t="str">
        <f t="shared" si="102"/>
        <v>AR-R11-1</v>
      </c>
      <c r="H1526" s="253">
        <v>1</v>
      </c>
      <c r="I1526" s="76">
        <v>1</v>
      </c>
      <c r="J1526" s="299" t="s">
        <v>286</v>
      </c>
      <c r="K1526" s="299"/>
      <c r="L1526" s="84"/>
      <c r="M1526" s="76"/>
      <c r="Q1526" s="84"/>
      <c r="T1526" s="76"/>
    </row>
    <row r="1527" spans="2:20" s="83" customFormat="1" ht="15" hidden="1" customHeight="1" outlineLevel="2">
      <c r="B1527" s="119" t="s">
        <v>272</v>
      </c>
      <c r="C1527" s="266" t="s">
        <v>2314</v>
      </c>
      <c r="D1527" s="124" t="s">
        <v>2313</v>
      </c>
      <c r="E1527" s="125"/>
      <c r="F1527" s="118" t="s">
        <v>2239</v>
      </c>
      <c r="G1527" s="126" t="str">
        <f t="shared" si="102"/>
        <v>AR-R11-1</v>
      </c>
      <c r="H1527" s="253">
        <v>1</v>
      </c>
      <c r="I1527" s="76">
        <v>1</v>
      </c>
      <c r="J1527" s="299" t="s">
        <v>286</v>
      </c>
      <c r="K1527" s="299"/>
      <c r="L1527" s="84"/>
      <c r="M1527" s="76"/>
      <c r="Q1527" s="84"/>
      <c r="T1527" s="76"/>
    </row>
    <row r="1528" spans="2:20" s="83" customFormat="1" ht="15" hidden="1" customHeight="1" outlineLevel="2">
      <c r="B1528" s="119" t="s">
        <v>272</v>
      </c>
      <c r="C1528" s="266" t="s">
        <v>2315</v>
      </c>
      <c r="D1528" s="124" t="s">
        <v>2316</v>
      </c>
      <c r="E1528" s="125"/>
      <c r="F1528" s="118" t="s">
        <v>2239</v>
      </c>
      <c r="G1528" s="126" t="str">
        <f t="shared" si="102"/>
        <v>AR-R11-1</v>
      </c>
      <c r="H1528" s="253">
        <v>1</v>
      </c>
      <c r="I1528" s="76">
        <v>1</v>
      </c>
      <c r="J1528" s="299" t="s">
        <v>286</v>
      </c>
      <c r="K1528" s="299"/>
      <c r="L1528" s="84"/>
      <c r="M1528" s="76"/>
      <c r="Q1528" s="84"/>
      <c r="T1528" s="76"/>
    </row>
    <row r="1529" spans="2:20" s="83" customFormat="1" ht="15" hidden="1" customHeight="1" outlineLevel="2">
      <c r="B1529" s="119" t="s">
        <v>272</v>
      </c>
      <c r="C1529" s="266" t="s">
        <v>2317</v>
      </c>
      <c r="D1529" s="124" t="s">
        <v>2316</v>
      </c>
      <c r="E1529" s="125"/>
      <c r="F1529" s="118" t="s">
        <v>2239</v>
      </c>
      <c r="G1529" s="126" t="str">
        <f t="shared" si="102"/>
        <v>AR-R11-1</v>
      </c>
      <c r="H1529" s="253">
        <v>1</v>
      </c>
      <c r="I1529" s="76">
        <v>1</v>
      </c>
      <c r="J1529" s="299" t="s">
        <v>286</v>
      </c>
      <c r="K1529" s="299"/>
      <c r="L1529" s="84"/>
      <c r="M1529" s="76"/>
      <c r="Q1529" s="84"/>
      <c r="T1529" s="76"/>
    </row>
    <row r="1530" spans="2:20" s="83" customFormat="1" ht="15" hidden="1" customHeight="1" outlineLevel="2">
      <c r="B1530" s="119" t="s">
        <v>272</v>
      </c>
      <c r="C1530" s="266" t="s">
        <v>2318</v>
      </c>
      <c r="D1530" s="124" t="s">
        <v>2319</v>
      </c>
      <c r="E1530" s="125"/>
      <c r="F1530" s="118" t="s">
        <v>2239</v>
      </c>
      <c r="G1530" s="126" t="str">
        <f t="shared" si="102"/>
        <v>AR-R11-1</v>
      </c>
      <c r="H1530" s="253">
        <v>1</v>
      </c>
      <c r="I1530" s="76">
        <v>1</v>
      </c>
      <c r="J1530" s="299" t="s">
        <v>286</v>
      </c>
      <c r="K1530" s="299"/>
      <c r="L1530" s="84"/>
      <c r="M1530" s="76"/>
      <c r="Q1530" s="84"/>
      <c r="T1530" s="76"/>
    </row>
    <row r="1531" spans="2:20" s="83" customFormat="1" ht="15" hidden="1" customHeight="1" outlineLevel="2">
      <c r="B1531" s="119" t="s">
        <v>272</v>
      </c>
      <c r="C1531" s="266" t="s">
        <v>2320</v>
      </c>
      <c r="D1531" s="124" t="s">
        <v>2319</v>
      </c>
      <c r="E1531" s="125"/>
      <c r="F1531" s="118" t="s">
        <v>2239</v>
      </c>
      <c r="G1531" s="126" t="str">
        <f t="shared" si="102"/>
        <v>AR-R11-1</v>
      </c>
      <c r="H1531" s="253">
        <v>1</v>
      </c>
      <c r="I1531" s="76">
        <v>1</v>
      </c>
      <c r="J1531" s="299" t="s">
        <v>286</v>
      </c>
      <c r="K1531" s="299"/>
      <c r="L1531" s="84"/>
      <c r="M1531" s="76"/>
      <c r="Q1531" s="84"/>
      <c r="T1531" s="76"/>
    </row>
    <row r="1532" spans="2:20" s="83" customFormat="1" ht="15" hidden="1" customHeight="1" outlineLevel="2">
      <c r="B1532" s="119" t="s">
        <v>272</v>
      </c>
      <c r="C1532" s="266" t="s">
        <v>2321</v>
      </c>
      <c r="D1532" s="124" t="s">
        <v>2322</v>
      </c>
      <c r="E1532" s="125"/>
      <c r="F1532" s="118" t="s">
        <v>2239</v>
      </c>
      <c r="G1532" s="126" t="str">
        <f t="shared" si="102"/>
        <v>AR-R11-1</v>
      </c>
      <c r="H1532" s="253">
        <v>1</v>
      </c>
      <c r="I1532" s="76">
        <v>1</v>
      </c>
      <c r="J1532" s="299" t="s">
        <v>286</v>
      </c>
      <c r="K1532" s="299"/>
      <c r="L1532" s="84"/>
      <c r="M1532" s="76"/>
      <c r="Q1532" s="84"/>
      <c r="T1532" s="76"/>
    </row>
    <row r="1533" spans="2:20" s="83" customFormat="1" ht="15" hidden="1" customHeight="1" outlineLevel="2">
      <c r="B1533" s="119" t="s">
        <v>272</v>
      </c>
      <c r="C1533" s="266" t="s">
        <v>2323</v>
      </c>
      <c r="D1533" s="124" t="s">
        <v>2322</v>
      </c>
      <c r="E1533" s="125"/>
      <c r="F1533" s="118" t="s">
        <v>2239</v>
      </c>
      <c r="G1533" s="126" t="str">
        <f t="shared" si="102"/>
        <v>AR-R11-1</v>
      </c>
      <c r="H1533" s="253">
        <v>1</v>
      </c>
      <c r="I1533" s="76">
        <v>1</v>
      </c>
      <c r="J1533" s="299" t="s">
        <v>286</v>
      </c>
      <c r="K1533" s="299"/>
      <c r="L1533" s="84"/>
      <c r="M1533" s="76"/>
      <c r="Q1533" s="84"/>
      <c r="T1533" s="76"/>
    </row>
    <row r="1534" spans="2:20" s="83" customFormat="1" ht="15" hidden="1" customHeight="1" outlineLevel="2">
      <c r="B1534" s="119" t="s">
        <v>272</v>
      </c>
      <c r="C1534" s="266" t="s">
        <v>2324</v>
      </c>
      <c r="D1534" s="124" t="s">
        <v>2325</v>
      </c>
      <c r="E1534" s="125"/>
      <c r="F1534" s="118" t="s">
        <v>2239</v>
      </c>
      <c r="G1534" s="126" t="str">
        <f t="shared" si="102"/>
        <v>AR-R11-1</v>
      </c>
      <c r="H1534" s="253">
        <v>1</v>
      </c>
      <c r="I1534" s="76">
        <v>1</v>
      </c>
      <c r="J1534" s="299" t="s">
        <v>286</v>
      </c>
      <c r="K1534" s="299"/>
      <c r="L1534" s="84"/>
      <c r="M1534" s="76"/>
      <c r="Q1534" s="84"/>
      <c r="T1534" s="76"/>
    </row>
    <row r="1535" spans="2:20" s="83" customFormat="1" ht="15" hidden="1" customHeight="1" outlineLevel="2">
      <c r="B1535" s="119" t="s">
        <v>272</v>
      </c>
      <c r="C1535" s="266" t="s">
        <v>2326</v>
      </c>
      <c r="D1535" s="124" t="s">
        <v>2325</v>
      </c>
      <c r="E1535" s="125"/>
      <c r="F1535" s="118" t="s">
        <v>2239</v>
      </c>
      <c r="G1535" s="126" t="str">
        <f t="shared" si="102"/>
        <v>AR-R11-1</v>
      </c>
      <c r="H1535" s="253">
        <v>1</v>
      </c>
      <c r="I1535" s="76">
        <v>1</v>
      </c>
      <c r="J1535" s="299" t="s">
        <v>286</v>
      </c>
      <c r="K1535" s="299"/>
      <c r="L1535" s="84"/>
      <c r="M1535" s="76"/>
      <c r="Q1535" s="84"/>
      <c r="T1535" s="76"/>
    </row>
    <row r="1536" spans="2:20" s="99" customFormat="1" ht="15" hidden="1" customHeight="1" outlineLevel="2">
      <c r="B1536" s="119" t="s">
        <v>272</v>
      </c>
      <c r="C1536" s="266" t="s">
        <v>2327</v>
      </c>
      <c r="D1536" s="124" t="s">
        <v>2328</v>
      </c>
      <c r="E1536" s="125"/>
      <c r="F1536" s="118" t="s">
        <v>2239</v>
      </c>
      <c r="G1536" s="126" t="str">
        <f t="shared" si="102"/>
        <v>AR-R11-1</v>
      </c>
      <c r="H1536" s="253">
        <v>1</v>
      </c>
      <c r="I1536" s="76">
        <v>1</v>
      </c>
      <c r="J1536" s="299" t="s">
        <v>286</v>
      </c>
      <c r="K1536" s="299"/>
      <c r="L1536" s="84"/>
      <c r="M1536" s="76"/>
      <c r="Q1536" s="84"/>
      <c r="R1536" s="83"/>
      <c r="S1536" s="83"/>
      <c r="T1536" s="76"/>
    </row>
    <row r="1537" spans="2:20" s="83" customFormat="1" ht="15" hidden="1" customHeight="1" outlineLevel="2">
      <c r="B1537" s="119" t="s">
        <v>272</v>
      </c>
      <c r="C1537" s="266" t="s">
        <v>2329</v>
      </c>
      <c r="D1537" s="124" t="s">
        <v>2328</v>
      </c>
      <c r="E1537" s="125"/>
      <c r="F1537" s="118" t="s">
        <v>2239</v>
      </c>
      <c r="G1537" s="126" t="str">
        <f t="shared" si="102"/>
        <v>AR-R11-1</v>
      </c>
      <c r="H1537" s="253">
        <v>1</v>
      </c>
      <c r="I1537" s="76">
        <v>1</v>
      </c>
      <c r="J1537" s="299" t="s">
        <v>286</v>
      </c>
      <c r="K1537" s="299"/>
      <c r="L1537" s="84"/>
      <c r="M1537" s="76"/>
      <c r="Q1537" s="84"/>
      <c r="T1537" s="76"/>
    </row>
    <row r="1538" spans="2:20" s="83" customFormat="1" ht="15" hidden="1" customHeight="1" outlineLevel="2">
      <c r="B1538" s="119" t="s">
        <v>272</v>
      </c>
      <c r="C1538" s="266" t="s">
        <v>2330</v>
      </c>
      <c r="D1538" s="124" t="s">
        <v>2331</v>
      </c>
      <c r="E1538" s="125"/>
      <c r="F1538" s="118" t="s">
        <v>2239</v>
      </c>
      <c r="G1538" s="126" t="str">
        <f t="shared" si="102"/>
        <v>AR-R11-1</v>
      </c>
      <c r="H1538" s="253">
        <v>1</v>
      </c>
      <c r="I1538" s="76">
        <v>1</v>
      </c>
      <c r="J1538" s="299" t="s">
        <v>286</v>
      </c>
      <c r="K1538" s="299"/>
      <c r="L1538" s="84"/>
      <c r="M1538" s="76"/>
      <c r="Q1538" s="84"/>
      <c r="T1538" s="76"/>
    </row>
    <row r="1539" spans="2:20" s="83" customFormat="1" ht="15" hidden="1" customHeight="1" outlineLevel="2">
      <c r="B1539" s="119" t="s">
        <v>272</v>
      </c>
      <c r="C1539" s="266" t="s">
        <v>2332</v>
      </c>
      <c r="D1539" s="124" t="s">
        <v>2331</v>
      </c>
      <c r="E1539" s="125"/>
      <c r="F1539" s="118" t="s">
        <v>2239</v>
      </c>
      <c r="G1539" s="126" t="str">
        <f t="shared" si="102"/>
        <v>AR-R11-1</v>
      </c>
      <c r="H1539" s="253">
        <v>1</v>
      </c>
      <c r="I1539" s="76">
        <v>1</v>
      </c>
      <c r="J1539" s="299" t="s">
        <v>286</v>
      </c>
      <c r="K1539" s="299"/>
      <c r="L1539" s="84"/>
      <c r="M1539" s="76"/>
      <c r="Q1539" s="84"/>
      <c r="T1539" s="76"/>
    </row>
    <row r="1540" spans="2:20" s="83" customFormat="1" ht="15" hidden="1" customHeight="1" outlineLevel="2">
      <c r="B1540" s="119" t="s">
        <v>272</v>
      </c>
      <c r="C1540" s="266" t="s">
        <v>2333</v>
      </c>
      <c r="D1540" s="124" t="s">
        <v>2334</v>
      </c>
      <c r="E1540" s="125"/>
      <c r="F1540" s="118" t="s">
        <v>2239</v>
      </c>
      <c r="G1540" s="126" t="str">
        <f t="shared" si="102"/>
        <v>AR-R11-1</v>
      </c>
      <c r="H1540" s="253">
        <v>1</v>
      </c>
      <c r="I1540" s="76">
        <v>1</v>
      </c>
      <c r="J1540" s="299" t="s">
        <v>286</v>
      </c>
      <c r="K1540" s="299"/>
      <c r="L1540" s="84"/>
      <c r="M1540" s="76"/>
      <c r="Q1540" s="84"/>
      <c r="T1540" s="76"/>
    </row>
    <row r="1541" spans="2:20" s="83" customFormat="1" ht="15" hidden="1" customHeight="1" outlineLevel="2">
      <c r="B1541" s="119" t="s">
        <v>272</v>
      </c>
      <c r="C1541" s="266" t="s">
        <v>2335</v>
      </c>
      <c r="D1541" s="124" t="s">
        <v>2334</v>
      </c>
      <c r="E1541" s="125"/>
      <c r="F1541" s="118" t="s">
        <v>2239</v>
      </c>
      <c r="G1541" s="126" t="str">
        <f t="shared" si="102"/>
        <v>AR-R11-1</v>
      </c>
      <c r="H1541" s="253">
        <v>1</v>
      </c>
      <c r="I1541" s="76">
        <v>1</v>
      </c>
      <c r="J1541" s="299" t="s">
        <v>286</v>
      </c>
      <c r="K1541" s="299"/>
      <c r="L1541" s="84"/>
      <c r="M1541" s="76"/>
      <c r="Q1541" s="84"/>
      <c r="T1541" s="76"/>
    </row>
    <row r="1542" spans="2:20" s="83" customFormat="1" ht="15" hidden="1" customHeight="1" outlineLevel="2">
      <c r="B1542" s="119" t="s">
        <v>272</v>
      </c>
      <c r="C1542" s="266" t="s">
        <v>2336</v>
      </c>
      <c r="D1542" s="124" t="s">
        <v>2337</v>
      </c>
      <c r="E1542" s="125"/>
      <c r="F1542" s="118" t="s">
        <v>2239</v>
      </c>
      <c r="G1542" s="126" t="str">
        <f t="shared" si="102"/>
        <v>AR-R11-1</v>
      </c>
      <c r="H1542" s="253">
        <v>1</v>
      </c>
      <c r="I1542" s="76">
        <v>1</v>
      </c>
      <c r="J1542" s="299" t="s">
        <v>286</v>
      </c>
      <c r="K1542" s="299"/>
      <c r="L1542" s="84"/>
      <c r="M1542" s="76"/>
      <c r="Q1542" s="84"/>
      <c r="T1542" s="76"/>
    </row>
    <row r="1543" spans="2:20" s="83" customFormat="1" ht="15" hidden="1" customHeight="1" outlineLevel="2">
      <c r="B1543" s="119" t="s">
        <v>272</v>
      </c>
      <c r="C1543" s="266" t="s">
        <v>2338</v>
      </c>
      <c r="D1543" s="124" t="s">
        <v>2337</v>
      </c>
      <c r="E1543" s="125"/>
      <c r="F1543" s="118" t="s">
        <v>2239</v>
      </c>
      <c r="G1543" s="126" t="str">
        <f t="shared" si="102"/>
        <v>AR-R11-1</v>
      </c>
      <c r="H1543" s="253">
        <v>1</v>
      </c>
      <c r="I1543" s="76">
        <v>1</v>
      </c>
      <c r="J1543" s="299" t="s">
        <v>286</v>
      </c>
      <c r="K1543" s="299"/>
      <c r="L1543" s="84"/>
      <c r="M1543" s="76"/>
      <c r="Q1543" s="84"/>
      <c r="T1543" s="76"/>
    </row>
    <row r="1544" spans="2:20" s="83" customFormat="1" ht="15" hidden="1" customHeight="1" outlineLevel="2">
      <c r="B1544" s="119" t="s">
        <v>272</v>
      </c>
      <c r="C1544" s="266" t="s">
        <v>2339</v>
      </c>
      <c r="D1544" s="124" t="s">
        <v>2340</v>
      </c>
      <c r="E1544" s="125"/>
      <c r="F1544" s="118" t="s">
        <v>2239</v>
      </c>
      <c r="G1544" s="126" t="str">
        <f t="shared" si="102"/>
        <v>AR-R11-1</v>
      </c>
      <c r="H1544" s="253">
        <v>1</v>
      </c>
      <c r="I1544" s="76">
        <v>1</v>
      </c>
      <c r="J1544" s="299" t="s">
        <v>286</v>
      </c>
      <c r="K1544" s="299"/>
      <c r="L1544" s="84"/>
      <c r="M1544" s="76"/>
      <c r="Q1544" s="84"/>
      <c r="T1544" s="76"/>
    </row>
    <row r="1545" spans="2:20" s="83" customFormat="1" ht="15" hidden="1" customHeight="1" outlineLevel="2">
      <c r="B1545" s="119" t="s">
        <v>272</v>
      </c>
      <c r="C1545" s="266" t="s">
        <v>2341</v>
      </c>
      <c r="D1545" s="124" t="s">
        <v>2340</v>
      </c>
      <c r="E1545" s="125"/>
      <c r="F1545" s="118" t="s">
        <v>2239</v>
      </c>
      <c r="G1545" s="126" t="str">
        <f t="shared" si="102"/>
        <v>AR-R11-1</v>
      </c>
      <c r="H1545" s="253">
        <v>1</v>
      </c>
      <c r="I1545" s="76">
        <v>1</v>
      </c>
      <c r="J1545" s="299" t="s">
        <v>286</v>
      </c>
      <c r="K1545" s="299"/>
      <c r="L1545" s="84"/>
      <c r="M1545" s="76"/>
      <c r="Q1545" s="84"/>
      <c r="T1545" s="76"/>
    </row>
    <row r="1546" spans="2:20" s="83" customFormat="1" ht="15" hidden="1" customHeight="1" outlineLevel="2">
      <c r="B1546" s="119" t="s">
        <v>272</v>
      </c>
      <c r="C1546" s="266" t="s">
        <v>2342</v>
      </c>
      <c r="D1546" s="124" t="s">
        <v>2343</v>
      </c>
      <c r="E1546" s="125"/>
      <c r="F1546" s="118" t="s">
        <v>2239</v>
      </c>
      <c r="G1546" s="126" t="str">
        <f t="shared" si="102"/>
        <v>AR-R11-1</v>
      </c>
      <c r="H1546" s="253">
        <v>1</v>
      </c>
      <c r="I1546" s="76">
        <v>1</v>
      </c>
      <c r="J1546" s="299" t="s">
        <v>286</v>
      </c>
      <c r="K1546" s="299"/>
      <c r="L1546" s="84"/>
      <c r="M1546" s="76"/>
      <c r="Q1546" s="84"/>
      <c r="T1546" s="76"/>
    </row>
    <row r="1547" spans="2:20" s="83" customFormat="1" ht="15" hidden="1" customHeight="1" outlineLevel="2">
      <c r="B1547" s="119" t="s">
        <v>272</v>
      </c>
      <c r="C1547" s="266" t="s">
        <v>2344</v>
      </c>
      <c r="D1547" s="124" t="s">
        <v>2345</v>
      </c>
      <c r="E1547" s="125"/>
      <c r="F1547" s="118" t="s">
        <v>2239</v>
      </c>
      <c r="G1547" s="126" t="str">
        <f t="shared" si="102"/>
        <v>AR-R11-1</v>
      </c>
      <c r="H1547" s="253">
        <v>1</v>
      </c>
      <c r="I1547" s="76">
        <v>1</v>
      </c>
      <c r="J1547" s="299" t="s">
        <v>286</v>
      </c>
      <c r="K1547" s="299"/>
      <c r="L1547" s="84"/>
      <c r="M1547" s="76"/>
      <c r="Q1547" s="84"/>
      <c r="T1547" s="76"/>
    </row>
    <row r="1548" spans="2:20" s="83" customFormat="1" ht="15" hidden="1" customHeight="1" outlineLevel="2">
      <c r="B1548" s="119" t="s">
        <v>272</v>
      </c>
      <c r="C1548" s="266" t="s">
        <v>2346</v>
      </c>
      <c r="D1548" s="124" t="s">
        <v>2347</v>
      </c>
      <c r="E1548" s="125"/>
      <c r="F1548" s="118" t="s">
        <v>2239</v>
      </c>
      <c r="G1548" s="126" t="str">
        <f t="shared" si="102"/>
        <v>AR-R11-1</v>
      </c>
      <c r="H1548" s="253">
        <v>1</v>
      </c>
      <c r="I1548" s="76">
        <v>1</v>
      </c>
      <c r="J1548" s="299" t="s">
        <v>286</v>
      </c>
      <c r="K1548" s="299"/>
      <c r="L1548" s="84"/>
      <c r="M1548" s="76"/>
      <c r="Q1548" s="84"/>
      <c r="T1548" s="76"/>
    </row>
    <row r="1549" spans="2:20" s="83" customFormat="1" ht="15" hidden="1" customHeight="1" outlineLevel="2">
      <c r="B1549" s="119" t="s">
        <v>272</v>
      </c>
      <c r="C1549" s="266" t="s">
        <v>2348</v>
      </c>
      <c r="D1549" s="124" t="s">
        <v>2347</v>
      </c>
      <c r="E1549" s="125"/>
      <c r="F1549" s="118" t="s">
        <v>2239</v>
      </c>
      <c r="G1549" s="126" t="str">
        <f t="shared" si="102"/>
        <v>AR-R11-1</v>
      </c>
      <c r="H1549" s="253">
        <v>1</v>
      </c>
      <c r="I1549" s="76">
        <v>1</v>
      </c>
      <c r="J1549" s="299" t="s">
        <v>286</v>
      </c>
      <c r="K1549" s="299"/>
      <c r="L1549" s="84"/>
      <c r="M1549" s="76"/>
      <c r="Q1549" s="84"/>
      <c r="T1549" s="76"/>
    </row>
    <row r="1550" spans="2:20" s="83" customFormat="1" ht="15" hidden="1" customHeight="1" outlineLevel="2">
      <c r="B1550" s="119" t="s">
        <v>272</v>
      </c>
      <c r="C1550" s="266" t="s">
        <v>2349</v>
      </c>
      <c r="D1550" s="124" t="s">
        <v>2350</v>
      </c>
      <c r="E1550" s="125"/>
      <c r="F1550" s="118" t="s">
        <v>2239</v>
      </c>
      <c r="G1550" s="126" t="str">
        <f t="shared" si="102"/>
        <v>AR-R11-1</v>
      </c>
      <c r="H1550" s="253">
        <v>1</v>
      </c>
      <c r="I1550" s="76">
        <v>1</v>
      </c>
      <c r="J1550" s="299" t="s">
        <v>286</v>
      </c>
      <c r="K1550" s="299"/>
      <c r="L1550" s="84"/>
      <c r="M1550" s="76"/>
      <c r="Q1550" s="84"/>
      <c r="T1550" s="76"/>
    </row>
    <row r="1551" spans="2:20" s="83" customFormat="1" ht="15" hidden="1" customHeight="1" outlineLevel="2">
      <c r="B1551" s="119" t="s">
        <v>272</v>
      </c>
      <c r="C1551" s="266" t="s">
        <v>2351</v>
      </c>
      <c r="D1551" s="124" t="s">
        <v>2350</v>
      </c>
      <c r="E1551" s="125"/>
      <c r="F1551" s="118" t="s">
        <v>2239</v>
      </c>
      <c r="G1551" s="126" t="str">
        <f t="shared" si="102"/>
        <v>AR-R11-1</v>
      </c>
      <c r="H1551" s="253">
        <v>1</v>
      </c>
      <c r="I1551" s="76">
        <v>1</v>
      </c>
      <c r="J1551" s="299" t="s">
        <v>286</v>
      </c>
      <c r="K1551" s="299"/>
      <c r="L1551" s="84"/>
      <c r="M1551" s="76"/>
      <c r="Q1551" s="84"/>
      <c r="T1551" s="76"/>
    </row>
    <row r="1552" spans="2:20" s="83" customFormat="1" ht="15" hidden="1" customHeight="1" outlineLevel="2">
      <c r="B1552" s="119" t="s">
        <v>272</v>
      </c>
      <c r="C1552" s="266" t="s">
        <v>2352</v>
      </c>
      <c r="D1552" s="124" t="s">
        <v>2353</v>
      </c>
      <c r="E1552" s="125"/>
      <c r="F1552" s="118" t="s">
        <v>2239</v>
      </c>
      <c r="G1552" s="126" t="str">
        <f t="shared" si="102"/>
        <v>AR-R11-1</v>
      </c>
      <c r="H1552" s="253">
        <v>1</v>
      </c>
      <c r="I1552" s="76">
        <v>1</v>
      </c>
      <c r="J1552" s="299" t="s">
        <v>286</v>
      </c>
      <c r="K1552" s="299"/>
      <c r="L1552" s="84"/>
      <c r="M1552" s="76"/>
      <c r="Q1552" s="84"/>
      <c r="T1552" s="76"/>
    </row>
    <row r="1553" spans="2:20" s="83" customFormat="1" ht="15" hidden="1" customHeight="1" outlineLevel="2">
      <c r="B1553" s="119" t="s">
        <v>272</v>
      </c>
      <c r="C1553" s="266" t="s">
        <v>2354</v>
      </c>
      <c r="D1553" s="124" t="s">
        <v>2355</v>
      </c>
      <c r="E1553" s="125"/>
      <c r="F1553" s="118" t="s">
        <v>2239</v>
      </c>
      <c r="G1553" s="126" t="str">
        <f t="shared" si="102"/>
        <v>AR-R11-1</v>
      </c>
      <c r="H1553" s="253">
        <v>1</v>
      </c>
      <c r="I1553" s="76">
        <v>1</v>
      </c>
      <c r="J1553" s="299" t="s">
        <v>286</v>
      </c>
      <c r="K1553" s="299"/>
      <c r="L1553" s="84"/>
      <c r="M1553" s="76"/>
      <c r="Q1553" s="84"/>
      <c r="T1553" s="76"/>
    </row>
    <row r="1554" spans="2:20" s="83" customFormat="1" ht="15" hidden="1" customHeight="1" outlineLevel="2">
      <c r="B1554" s="119" t="s">
        <v>272</v>
      </c>
      <c r="C1554" s="266" t="s">
        <v>2356</v>
      </c>
      <c r="D1554" s="124" t="s">
        <v>2357</v>
      </c>
      <c r="E1554" s="125"/>
      <c r="F1554" s="118" t="s">
        <v>2239</v>
      </c>
      <c r="G1554" s="126" t="str">
        <f t="shared" si="102"/>
        <v>AR-R11-1</v>
      </c>
      <c r="H1554" s="253">
        <v>1</v>
      </c>
      <c r="I1554" s="76">
        <v>1</v>
      </c>
      <c r="J1554" s="299" t="s">
        <v>286</v>
      </c>
      <c r="K1554" s="299"/>
      <c r="L1554" s="84"/>
      <c r="M1554" s="76"/>
      <c r="Q1554" s="84"/>
      <c r="T1554" s="76"/>
    </row>
    <row r="1555" spans="2:20" s="83" customFormat="1" ht="15" hidden="1" customHeight="1" outlineLevel="2">
      <c r="B1555" s="119" t="s">
        <v>272</v>
      </c>
      <c r="C1555" s="266" t="s">
        <v>2358</v>
      </c>
      <c r="D1555" s="124" t="s">
        <v>2357</v>
      </c>
      <c r="E1555" s="125"/>
      <c r="F1555" s="118" t="s">
        <v>2239</v>
      </c>
      <c r="G1555" s="126" t="str">
        <f t="shared" si="102"/>
        <v>AR-R11-1</v>
      </c>
      <c r="H1555" s="253">
        <v>1</v>
      </c>
      <c r="I1555" s="76">
        <v>1</v>
      </c>
      <c r="J1555" s="299" t="s">
        <v>286</v>
      </c>
      <c r="K1555" s="299"/>
      <c r="L1555" s="84"/>
      <c r="M1555" s="76"/>
      <c r="Q1555" s="84"/>
      <c r="T1555" s="76"/>
    </row>
    <row r="1556" spans="2:20" s="83" customFormat="1" ht="15" hidden="1" customHeight="1" outlineLevel="2">
      <c r="B1556" s="119" t="s">
        <v>272</v>
      </c>
      <c r="C1556" s="266" t="s">
        <v>2359</v>
      </c>
      <c r="D1556" s="124" t="s">
        <v>2360</v>
      </c>
      <c r="E1556" s="125"/>
      <c r="F1556" s="118" t="s">
        <v>2239</v>
      </c>
      <c r="G1556" s="126" t="str">
        <f t="shared" si="102"/>
        <v>AR-R11-1</v>
      </c>
      <c r="H1556" s="253">
        <v>1</v>
      </c>
      <c r="I1556" s="76">
        <v>1</v>
      </c>
      <c r="J1556" s="299" t="s">
        <v>286</v>
      </c>
      <c r="K1556" s="299"/>
      <c r="L1556" s="84"/>
      <c r="M1556" s="76"/>
      <c r="Q1556" s="84"/>
      <c r="T1556" s="76"/>
    </row>
    <row r="1557" spans="2:20" s="83" customFormat="1" ht="15" hidden="1" customHeight="1" outlineLevel="2">
      <c r="B1557" s="119" t="s">
        <v>272</v>
      </c>
      <c r="C1557" s="266" t="s">
        <v>2361</v>
      </c>
      <c r="D1557" s="124" t="s">
        <v>2360</v>
      </c>
      <c r="E1557" s="125"/>
      <c r="F1557" s="118" t="s">
        <v>2239</v>
      </c>
      <c r="G1557" s="126" t="str">
        <f t="shared" si="102"/>
        <v>AR-R11-1</v>
      </c>
      <c r="H1557" s="253">
        <v>1</v>
      </c>
      <c r="I1557" s="76">
        <v>1</v>
      </c>
      <c r="J1557" s="299" t="s">
        <v>286</v>
      </c>
      <c r="K1557" s="299"/>
      <c r="L1557" s="84"/>
      <c r="M1557" s="76"/>
      <c r="Q1557" s="84"/>
      <c r="T1557" s="76"/>
    </row>
    <row r="1558" spans="2:20" s="83" customFormat="1" ht="15" hidden="1" customHeight="1" outlineLevel="2">
      <c r="B1558" s="119" t="s">
        <v>272</v>
      </c>
      <c r="C1558" s="266" t="s">
        <v>2362</v>
      </c>
      <c r="D1558" s="124" t="s">
        <v>2363</v>
      </c>
      <c r="E1558" s="125"/>
      <c r="F1558" s="118" t="s">
        <v>2239</v>
      </c>
      <c r="G1558" s="126" t="str">
        <f t="shared" si="102"/>
        <v>AR-R11-1</v>
      </c>
      <c r="H1558" s="253">
        <v>1</v>
      </c>
      <c r="I1558" s="76">
        <v>1</v>
      </c>
      <c r="J1558" s="299" t="s">
        <v>286</v>
      </c>
      <c r="K1558" s="299"/>
      <c r="L1558" s="84"/>
      <c r="M1558" s="76"/>
      <c r="Q1558" s="84"/>
      <c r="T1558" s="76"/>
    </row>
    <row r="1559" spans="2:20" s="83" customFormat="1" ht="15" hidden="1" customHeight="1" outlineLevel="2">
      <c r="B1559" s="119" t="s">
        <v>272</v>
      </c>
      <c r="C1559" s="266" t="s">
        <v>2364</v>
      </c>
      <c r="D1559" s="124" t="s">
        <v>2363</v>
      </c>
      <c r="E1559" s="125"/>
      <c r="F1559" s="118" t="s">
        <v>2239</v>
      </c>
      <c r="G1559" s="126" t="str">
        <f t="shared" si="102"/>
        <v>AR-R11-1</v>
      </c>
      <c r="H1559" s="253">
        <v>1</v>
      </c>
      <c r="I1559" s="76">
        <v>1</v>
      </c>
      <c r="J1559" s="299" t="s">
        <v>286</v>
      </c>
      <c r="K1559" s="299"/>
      <c r="L1559" s="84"/>
      <c r="M1559" s="76"/>
      <c r="Q1559" s="84"/>
      <c r="T1559" s="76"/>
    </row>
    <row r="1560" spans="2:20" s="83" customFormat="1" ht="15" hidden="1" customHeight="1" outlineLevel="2">
      <c r="B1560" s="119" t="s">
        <v>272</v>
      </c>
      <c r="C1560" s="266" t="s">
        <v>2365</v>
      </c>
      <c r="D1560" s="124" t="s">
        <v>2366</v>
      </c>
      <c r="E1560" s="125"/>
      <c r="F1560" s="118" t="s">
        <v>2239</v>
      </c>
      <c r="G1560" s="126" t="str">
        <f t="shared" ref="G1560:G1565" si="103">CONCATENATE("AR-",F1560,"-",H1560)</f>
        <v>AR-R11-1</v>
      </c>
      <c r="H1560" s="253">
        <v>1</v>
      </c>
      <c r="I1560" s="76">
        <v>1</v>
      </c>
      <c r="J1560" s="299" t="s">
        <v>286</v>
      </c>
      <c r="K1560" s="299"/>
      <c r="L1560" s="84"/>
      <c r="M1560" s="76"/>
      <c r="Q1560" s="84"/>
      <c r="T1560" s="76"/>
    </row>
    <row r="1561" spans="2:20" s="83" customFormat="1" ht="15" hidden="1" customHeight="1" outlineLevel="2">
      <c r="B1561" s="119" t="s">
        <v>272</v>
      </c>
      <c r="C1561" s="266" t="s">
        <v>2367</v>
      </c>
      <c r="D1561" s="124" t="s">
        <v>2366</v>
      </c>
      <c r="E1561" s="125"/>
      <c r="F1561" s="118" t="s">
        <v>2239</v>
      </c>
      <c r="G1561" s="126" t="str">
        <f t="shared" si="103"/>
        <v>AR-R11-1</v>
      </c>
      <c r="H1561" s="253">
        <v>1</v>
      </c>
      <c r="I1561" s="76">
        <v>1</v>
      </c>
      <c r="J1561" s="299" t="s">
        <v>286</v>
      </c>
      <c r="K1561" s="299"/>
      <c r="L1561" s="84"/>
      <c r="M1561" s="76"/>
      <c r="Q1561" s="84"/>
      <c r="T1561" s="76"/>
    </row>
    <row r="1562" spans="2:20" s="83" customFormat="1" ht="15" hidden="1" customHeight="1" outlineLevel="2">
      <c r="B1562" s="119" t="s">
        <v>272</v>
      </c>
      <c r="C1562" s="266" t="s">
        <v>2368</v>
      </c>
      <c r="D1562" s="124" t="s">
        <v>2369</v>
      </c>
      <c r="E1562" s="125"/>
      <c r="F1562" s="118" t="s">
        <v>2239</v>
      </c>
      <c r="G1562" s="126" t="str">
        <f t="shared" si="103"/>
        <v>AR-R11-1</v>
      </c>
      <c r="H1562" s="253">
        <v>1</v>
      </c>
      <c r="I1562" s="76">
        <v>1</v>
      </c>
      <c r="J1562" s="299" t="s">
        <v>286</v>
      </c>
      <c r="K1562" s="299"/>
      <c r="L1562" s="84"/>
      <c r="M1562" s="76"/>
      <c r="Q1562" s="84"/>
      <c r="T1562" s="76"/>
    </row>
    <row r="1563" spans="2:20" s="83" customFormat="1" ht="15" hidden="1" customHeight="1" outlineLevel="2">
      <c r="B1563" s="119" t="s">
        <v>272</v>
      </c>
      <c r="C1563" s="266" t="s">
        <v>2370</v>
      </c>
      <c r="D1563" s="124" t="s">
        <v>2369</v>
      </c>
      <c r="E1563" s="125"/>
      <c r="F1563" s="118" t="s">
        <v>2239</v>
      </c>
      <c r="G1563" s="126" t="str">
        <f t="shared" si="103"/>
        <v>AR-R11-1</v>
      </c>
      <c r="H1563" s="253">
        <v>1</v>
      </c>
      <c r="I1563" s="76">
        <v>1</v>
      </c>
      <c r="J1563" s="299" t="s">
        <v>286</v>
      </c>
      <c r="K1563" s="299"/>
      <c r="L1563" s="84"/>
      <c r="M1563" s="76"/>
      <c r="Q1563" s="84"/>
      <c r="T1563" s="76"/>
    </row>
    <row r="1564" spans="2:20" s="83" customFormat="1" ht="15" hidden="1" customHeight="1" outlineLevel="2">
      <c r="B1564" s="119" t="s">
        <v>272</v>
      </c>
      <c r="C1564" s="266" t="s">
        <v>2371</v>
      </c>
      <c r="D1564" s="124" t="s">
        <v>2372</v>
      </c>
      <c r="E1564" s="125"/>
      <c r="F1564" s="118" t="s">
        <v>2239</v>
      </c>
      <c r="G1564" s="126" t="str">
        <f t="shared" si="103"/>
        <v>AR-R11-1</v>
      </c>
      <c r="H1564" s="253">
        <v>1</v>
      </c>
      <c r="I1564" s="76">
        <v>1</v>
      </c>
      <c r="J1564" s="299" t="s">
        <v>286</v>
      </c>
      <c r="K1564" s="299"/>
      <c r="L1564" s="84"/>
      <c r="M1564" s="76"/>
      <c r="Q1564" s="84"/>
      <c r="T1564" s="76"/>
    </row>
    <row r="1565" spans="2:20" s="83" customFormat="1" ht="15" hidden="1" customHeight="1" outlineLevel="2">
      <c r="B1565" s="119" t="s">
        <v>272</v>
      </c>
      <c r="C1565" s="266" t="s">
        <v>2373</v>
      </c>
      <c r="D1565" s="124" t="s">
        <v>2372</v>
      </c>
      <c r="E1565" s="125"/>
      <c r="F1565" s="118" t="s">
        <v>2239</v>
      </c>
      <c r="G1565" s="126" t="str">
        <f t="shared" si="103"/>
        <v>AR-R11-1</v>
      </c>
      <c r="H1565" s="253">
        <v>1</v>
      </c>
      <c r="I1565" s="76">
        <v>1</v>
      </c>
      <c r="J1565" s="299" t="s">
        <v>286</v>
      </c>
      <c r="K1565" s="299"/>
      <c r="L1565" s="84"/>
      <c r="M1565" s="76"/>
      <c r="Q1565" s="84"/>
      <c r="T1565" s="76"/>
    </row>
    <row r="1566" spans="2:20" s="83" customFormat="1" ht="15" hidden="1" customHeight="1" outlineLevel="2">
      <c r="B1566" s="119" t="s">
        <v>272</v>
      </c>
      <c r="C1566" s="266" t="s">
        <v>2374</v>
      </c>
      <c r="D1566" s="124" t="s">
        <v>2375</v>
      </c>
      <c r="E1566" s="125"/>
      <c r="F1566" s="118" t="s">
        <v>2239</v>
      </c>
      <c r="G1566" s="126" t="str">
        <f>CONCATENATE("AR-",F1566,"-",H1566)</f>
        <v>AR-R11-1</v>
      </c>
      <c r="H1566" s="253">
        <v>1</v>
      </c>
      <c r="I1566" s="76">
        <v>1</v>
      </c>
      <c r="J1566" s="299" t="s">
        <v>286</v>
      </c>
      <c r="K1566" s="299"/>
      <c r="L1566" s="84"/>
      <c r="M1566" s="76"/>
      <c r="Q1566" s="84"/>
      <c r="T1566" s="76"/>
    </row>
    <row r="1567" spans="2:20" s="83" customFormat="1" ht="15" hidden="1" customHeight="1" outlineLevel="2">
      <c r="B1567" s="119" t="s">
        <v>272</v>
      </c>
      <c r="C1567" s="266" t="s">
        <v>2376</v>
      </c>
      <c r="D1567" s="124" t="s">
        <v>2375</v>
      </c>
      <c r="E1567" s="125"/>
      <c r="F1567" s="118" t="s">
        <v>2239</v>
      </c>
      <c r="G1567" s="126" t="str">
        <f>CONCATENATE("AR-",F1567,"-",H1567)</f>
        <v>AR-R11-1</v>
      </c>
      <c r="H1567" s="253">
        <v>1</v>
      </c>
      <c r="I1567" s="76">
        <v>1</v>
      </c>
      <c r="J1567" s="299" t="s">
        <v>286</v>
      </c>
      <c r="K1567" s="299"/>
      <c r="L1567" s="84"/>
      <c r="M1567" s="76"/>
      <c r="Q1567" s="84"/>
      <c r="T1567" s="76"/>
    </row>
    <row r="1568" spans="2:20" s="83" customFormat="1" ht="15" hidden="1" customHeight="1" outlineLevel="2">
      <c r="B1568" s="119" t="s">
        <v>272</v>
      </c>
      <c r="C1568" s="266" t="s">
        <v>2377</v>
      </c>
      <c r="D1568" s="124" t="s">
        <v>2378</v>
      </c>
      <c r="E1568" s="125"/>
      <c r="F1568" s="118" t="s">
        <v>2239</v>
      </c>
      <c r="G1568" s="126" t="str">
        <f>CONCATENATE("AR-",F1568,"-",H1568)</f>
        <v>AR-R11-1</v>
      </c>
      <c r="H1568" s="253">
        <v>1</v>
      </c>
      <c r="I1568" s="76">
        <v>1</v>
      </c>
      <c r="J1568" s="299" t="s">
        <v>286</v>
      </c>
      <c r="K1568" s="299"/>
      <c r="L1568" s="84"/>
      <c r="M1568" s="76"/>
      <c r="Q1568" s="84"/>
      <c r="T1568" s="76"/>
    </row>
    <row r="1569" spans="2:20" s="83" customFormat="1" ht="15" hidden="1" customHeight="1" outlineLevel="2">
      <c r="B1569" s="119" t="s">
        <v>272</v>
      </c>
      <c r="C1569" s="266" t="s">
        <v>2379</v>
      </c>
      <c r="D1569" s="124" t="s">
        <v>2378</v>
      </c>
      <c r="E1569" s="125"/>
      <c r="F1569" s="118" t="s">
        <v>2239</v>
      </c>
      <c r="G1569" s="126" t="str">
        <f t="shared" ref="G1569:G1582" si="104">CONCATENATE("AR-",F1569,"-",H1569)</f>
        <v>AR-R11-1</v>
      </c>
      <c r="H1569" s="253">
        <v>1</v>
      </c>
      <c r="I1569" s="76">
        <v>1</v>
      </c>
      <c r="J1569" s="299" t="s">
        <v>286</v>
      </c>
      <c r="K1569" s="299"/>
      <c r="L1569" s="84"/>
      <c r="M1569" s="76"/>
      <c r="Q1569" s="84"/>
      <c r="T1569" s="76"/>
    </row>
    <row r="1570" spans="2:20" s="83" customFormat="1" ht="15" hidden="1" customHeight="1" outlineLevel="2">
      <c r="B1570" s="119" t="s">
        <v>272</v>
      </c>
      <c r="C1570" s="266" t="s">
        <v>2380</v>
      </c>
      <c r="D1570" s="124" t="s">
        <v>2381</v>
      </c>
      <c r="E1570" s="125"/>
      <c r="F1570" s="118" t="s">
        <v>2239</v>
      </c>
      <c r="G1570" s="126" t="str">
        <f t="shared" si="104"/>
        <v>AR-R11-1</v>
      </c>
      <c r="H1570" s="253">
        <v>1</v>
      </c>
      <c r="I1570" s="76">
        <v>1</v>
      </c>
      <c r="J1570" s="299" t="s">
        <v>286</v>
      </c>
      <c r="K1570" s="299"/>
      <c r="L1570" s="84"/>
      <c r="M1570" s="76"/>
      <c r="Q1570" s="84"/>
      <c r="T1570" s="76"/>
    </row>
    <row r="1571" spans="2:20" s="83" customFormat="1" ht="15" hidden="1" customHeight="1" outlineLevel="2">
      <c r="B1571" s="119" t="s">
        <v>272</v>
      </c>
      <c r="C1571" s="266" t="s">
        <v>2382</v>
      </c>
      <c r="D1571" s="124" t="s">
        <v>2381</v>
      </c>
      <c r="E1571" s="125"/>
      <c r="F1571" s="118" t="s">
        <v>2239</v>
      </c>
      <c r="G1571" s="126" t="str">
        <f t="shared" si="104"/>
        <v>AR-R11-1</v>
      </c>
      <c r="H1571" s="253">
        <v>1</v>
      </c>
      <c r="I1571" s="76">
        <v>1</v>
      </c>
      <c r="J1571" s="299" t="s">
        <v>286</v>
      </c>
      <c r="K1571" s="299"/>
      <c r="L1571" s="84"/>
      <c r="M1571" s="76"/>
      <c r="Q1571" s="84"/>
      <c r="T1571" s="76"/>
    </row>
    <row r="1572" spans="2:20" s="83" customFormat="1" ht="15" hidden="1" customHeight="1" outlineLevel="2">
      <c r="B1572" s="119" t="s">
        <v>272</v>
      </c>
      <c r="C1572" s="266" t="s">
        <v>2383</v>
      </c>
      <c r="D1572" s="124" t="s">
        <v>2384</v>
      </c>
      <c r="E1572" s="125"/>
      <c r="F1572" s="118" t="s">
        <v>2239</v>
      </c>
      <c r="G1572" s="126" t="str">
        <f t="shared" si="104"/>
        <v>AR-R11-1</v>
      </c>
      <c r="H1572" s="253">
        <v>1</v>
      </c>
      <c r="I1572" s="76">
        <v>1</v>
      </c>
      <c r="J1572" s="299" t="s">
        <v>286</v>
      </c>
      <c r="K1572" s="299"/>
      <c r="L1572" s="84"/>
      <c r="M1572" s="76"/>
      <c r="Q1572" s="84"/>
      <c r="T1572" s="76"/>
    </row>
    <row r="1573" spans="2:20" s="83" customFormat="1" ht="15" hidden="1" customHeight="1" outlineLevel="2">
      <c r="B1573" s="119" t="s">
        <v>272</v>
      </c>
      <c r="C1573" s="266" t="s">
        <v>2385</v>
      </c>
      <c r="D1573" s="124" t="s">
        <v>2384</v>
      </c>
      <c r="E1573" s="125"/>
      <c r="F1573" s="118" t="s">
        <v>2239</v>
      </c>
      <c r="G1573" s="126" t="str">
        <f t="shared" si="104"/>
        <v>AR-R11-1</v>
      </c>
      <c r="H1573" s="253">
        <v>1</v>
      </c>
      <c r="I1573" s="76">
        <v>1</v>
      </c>
      <c r="J1573" s="299" t="s">
        <v>286</v>
      </c>
      <c r="K1573" s="299"/>
      <c r="L1573" s="84"/>
      <c r="M1573" s="76"/>
      <c r="Q1573" s="84"/>
      <c r="T1573" s="76"/>
    </row>
    <row r="1574" spans="2:20" s="83" customFormat="1" ht="15" hidden="1" customHeight="1" outlineLevel="2">
      <c r="B1574" s="119" t="s">
        <v>272</v>
      </c>
      <c r="C1574" s="266" t="s">
        <v>2386</v>
      </c>
      <c r="D1574" s="124" t="s">
        <v>2387</v>
      </c>
      <c r="E1574" s="125"/>
      <c r="F1574" s="118" t="s">
        <v>2239</v>
      </c>
      <c r="G1574" s="126" t="str">
        <f t="shared" si="104"/>
        <v>AR-R11-1</v>
      </c>
      <c r="H1574" s="253">
        <v>1</v>
      </c>
      <c r="I1574" s="76">
        <v>1</v>
      </c>
      <c r="J1574" s="299" t="s">
        <v>286</v>
      </c>
      <c r="K1574" s="299"/>
      <c r="L1574" s="84"/>
      <c r="M1574" s="76"/>
      <c r="Q1574" s="84"/>
      <c r="T1574" s="76"/>
    </row>
    <row r="1575" spans="2:20" s="83" customFormat="1" ht="15" hidden="1" customHeight="1" outlineLevel="2">
      <c r="B1575" s="119" t="s">
        <v>272</v>
      </c>
      <c r="C1575" s="266" t="s">
        <v>2388</v>
      </c>
      <c r="D1575" s="124" t="s">
        <v>2387</v>
      </c>
      <c r="E1575" s="125"/>
      <c r="F1575" s="118" t="s">
        <v>2239</v>
      </c>
      <c r="G1575" s="126" t="str">
        <f t="shared" si="104"/>
        <v>AR-R11-1</v>
      </c>
      <c r="H1575" s="253">
        <v>1</v>
      </c>
      <c r="I1575" s="76">
        <v>1</v>
      </c>
      <c r="J1575" s="299" t="s">
        <v>286</v>
      </c>
      <c r="K1575" s="299"/>
      <c r="L1575" s="84"/>
      <c r="M1575" s="76"/>
      <c r="Q1575" s="84"/>
      <c r="T1575" s="76"/>
    </row>
    <row r="1576" spans="2:20" s="83" customFormat="1" ht="15" hidden="1" customHeight="1" outlineLevel="2">
      <c r="B1576" s="119" t="s">
        <v>272</v>
      </c>
      <c r="C1576" s="266" t="s">
        <v>2389</v>
      </c>
      <c r="D1576" s="124" t="s">
        <v>2390</v>
      </c>
      <c r="E1576" s="125"/>
      <c r="F1576" s="118" t="s">
        <v>2239</v>
      </c>
      <c r="G1576" s="126" t="str">
        <f t="shared" si="104"/>
        <v>AR-R11-1</v>
      </c>
      <c r="H1576" s="253">
        <v>1</v>
      </c>
      <c r="I1576" s="76">
        <v>1</v>
      </c>
      <c r="J1576" s="299" t="s">
        <v>286</v>
      </c>
      <c r="K1576" s="299"/>
      <c r="L1576" s="84"/>
      <c r="M1576" s="76"/>
      <c r="Q1576" s="84"/>
      <c r="T1576" s="76"/>
    </row>
    <row r="1577" spans="2:20" s="83" customFormat="1" ht="15" hidden="1" customHeight="1" outlineLevel="2">
      <c r="B1577" s="119" t="s">
        <v>272</v>
      </c>
      <c r="C1577" s="266" t="s">
        <v>2391</v>
      </c>
      <c r="D1577" s="124" t="s">
        <v>2390</v>
      </c>
      <c r="E1577" s="125"/>
      <c r="F1577" s="118" t="s">
        <v>2239</v>
      </c>
      <c r="G1577" s="126" t="str">
        <f t="shared" si="104"/>
        <v>AR-R11-1</v>
      </c>
      <c r="H1577" s="253">
        <v>1</v>
      </c>
      <c r="I1577" s="76">
        <v>1</v>
      </c>
      <c r="J1577" s="299" t="s">
        <v>286</v>
      </c>
      <c r="K1577" s="299"/>
      <c r="L1577" s="84"/>
      <c r="M1577" s="76"/>
      <c r="Q1577" s="84"/>
      <c r="T1577" s="76"/>
    </row>
    <row r="1578" spans="2:20" s="83" customFormat="1" ht="15" hidden="1" customHeight="1" outlineLevel="2">
      <c r="B1578" s="119" t="s">
        <v>272</v>
      </c>
      <c r="C1578" s="266" t="s">
        <v>2392</v>
      </c>
      <c r="D1578" s="124" t="s">
        <v>2393</v>
      </c>
      <c r="E1578" s="125"/>
      <c r="F1578" s="118" t="s">
        <v>2239</v>
      </c>
      <c r="G1578" s="126" t="str">
        <f t="shared" si="104"/>
        <v>AR-R11-1</v>
      </c>
      <c r="H1578" s="253">
        <v>1</v>
      </c>
      <c r="I1578" s="76">
        <v>1</v>
      </c>
      <c r="J1578" s="299" t="s">
        <v>286</v>
      </c>
      <c r="K1578" s="299"/>
      <c r="L1578" s="84"/>
      <c r="M1578" s="76"/>
      <c r="Q1578" s="84"/>
      <c r="T1578" s="76"/>
    </row>
    <row r="1579" spans="2:20" s="83" customFormat="1" ht="15" hidden="1" customHeight="1" outlineLevel="2">
      <c r="B1579" s="119" t="s">
        <v>272</v>
      </c>
      <c r="C1579" s="266" t="s">
        <v>2394</v>
      </c>
      <c r="D1579" s="124" t="s">
        <v>2393</v>
      </c>
      <c r="E1579" s="125"/>
      <c r="F1579" s="118" t="s">
        <v>2239</v>
      </c>
      <c r="G1579" s="126" t="str">
        <f t="shared" si="104"/>
        <v>AR-R11-1</v>
      </c>
      <c r="H1579" s="253">
        <v>1</v>
      </c>
      <c r="I1579" s="76">
        <v>1</v>
      </c>
      <c r="J1579" s="299" t="s">
        <v>286</v>
      </c>
      <c r="K1579" s="299"/>
      <c r="L1579" s="84"/>
      <c r="M1579" s="76"/>
      <c r="Q1579" s="84"/>
      <c r="T1579" s="76"/>
    </row>
    <row r="1580" spans="2:20" s="83" customFormat="1" ht="15" hidden="1" customHeight="1" outlineLevel="2">
      <c r="B1580" s="119" t="s">
        <v>272</v>
      </c>
      <c r="C1580" s="266" t="s">
        <v>2395</v>
      </c>
      <c r="D1580" s="124" t="s">
        <v>2396</v>
      </c>
      <c r="E1580" s="125"/>
      <c r="F1580" s="118" t="s">
        <v>2239</v>
      </c>
      <c r="G1580" s="126" t="str">
        <f t="shared" si="104"/>
        <v>AR-R11-1</v>
      </c>
      <c r="H1580" s="253">
        <v>1</v>
      </c>
      <c r="I1580" s="76">
        <v>1</v>
      </c>
      <c r="J1580" s="299" t="s">
        <v>286</v>
      </c>
      <c r="K1580" s="299"/>
      <c r="L1580" s="84"/>
      <c r="M1580" s="76"/>
      <c r="Q1580" s="84"/>
      <c r="T1580" s="76"/>
    </row>
    <row r="1581" spans="2:20" s="83" customFormat="1" ht="15" hidden="1" customHeight="1" outlineLevel="2">
      <c r="B1581" s="119" t="s">
        <v>272</v>
      </c>
      <c r="C1581" s="266" t="s">
        <v>2397</v>
      </c>
      <c r="D1581" s="124" t="s">
        <v>2396</v>
      </c>
      <c r="E1581" s="125"/>
      <c r="F1581" s="118" t="s">
        <v>2239</v>
      </c>
      <c r="G1581" s="126" t="str">
        <f t="shared" si="104"/>
        <v>AR-R11-1</v>
      </c>
      <c r="H1581" s="253">
        <v>1</v>
      </c>
      <c r="I1581" s="76">
        <v>1</v>
      </c>
      <c r="J1581" s="299" t="s">
        <v>286</v>
      </c>
      <c r="K1581" s="299"/>
      <c r="L1581" s="84"/>
      <c r="M1581" s="76"/>
      <c r="Q1581" s="84"/>
      <c r="T1581" s="76"/>
    </row>
    <row r="1582" spans="2:20" s="83" customFormat="1" ht="15" hidden="1" customHeight="1" outlineLevel="2">
      <c r="B1582" s="119" t="s">
        <v>272</v>
      </c>
      <c r="C1582" s="266" t="s">
        <v>2398</v>
      </c>
      <c r="D1582" s="124" t="s">
        <v>2399</v>
      </c>
      <c r="E1582" s="125"/>
      <c r="F1582" s="118" t="s">
        <v>2239</v>
      </c>
      <c r="G1582" s="126" t="str">
        <f t="shared" si="104"/>
        <v>AR-R11-1</v>
      </c>
      <c r="H1582" s="253">
        <v>1</v>
      </c>
      <c r="I1582" s="76">
        <v>1</v>
      </c>
      <c r="J1582" s="299" t="s">
        <v>286</v>
      </c>
      <c r="K1582" s="299"/>
      <c r="L1582" s="84"/>
      <c r="M1582" s="76"/>
      <c r="Q1582" s="84"/>
      <c r="T1582" s="76"/>
    </row>
    <row r="1583" spans="2:20" s="83" customFormat="1" ht="15" hidden="1" customHeight="1" outlineLevel="2">
      <c r="B1583" s="119" t="s">
        <v>272</v>
      </c>
      <c r="C1583" s="266" t="s">
        <v>2400</v>
      </c>
      <c r="D1583" s="124" t="s">
        <v>2399</v>
      </c>
      <c r="E1583" s="125"/>
      <c r="F1583" s="118" t="s">
        <v>2239</v>
      </c>
      <c r="G1583" s="126" t="str">
        <f t="shared" ref="G1583:G1588" si="105">CONCATENATE("AR-",F1583,"-",H1583)</f>
        <v>AR-R11-1</v>
      </c>
      <c r="H1583" s="253">
        <v>1</v>
      </c>
      <c r="I1583" s="76">
        <v>1</v>
      </c>
      <c r="J1583" s="299" t="s">
        <v>286</v>
      </c>
      <c r="K1583" s="299"/>
      <c r="L1583" s="84"/>
      <c r="M1583" s="76"/>
      <c r="Q1583" s="84"/>
      <c r="T1583" s="76"/>
    </row>
    <row r="1584" spans="2:20" s="83" customFormat="1" ht="15" hidden="1" customHeight="1" outlineLevel="2">
      <c r="B1584" s="119" t="s">
        <v>272</v>
      </c>
      <c r="C1584" s="266" t="s">
        <v>2401</v>
      </c>
      <c r="D1584" s="124" t="s">
        <v>2402</v>
      </c>
      <c r="E1584" s="125"/>
      <c r="F1584" s="118" t="s">
        <v>2239</v>
      </c>
      <c r="G1584" s="126" t="str">
        <f t="shared" si="105"/>
        <v>AR-R11-1</v>
      </c>
      <c r="H1584" s="253">
        <v>1</v>
      </c>
      <c r="I1584" s="76">
        <v>1</v>
      </c>
      <c r="J1584" s="299" t="s">
        <v>286</v>
      </c>
      <c r="K1584" s="299"/>
      <c r="L1584" s="84"/>
      <c r="M1584" s="76"/>
      <c r="Q1584" s="84"/>
      <c r="T1584" s="76"/>
    </row>
    <row r="1585" spans="2:20" s="83" customFormat="1" ht="15" hidden="1" customHeight="1" outlineLevel="2">
      <c r="B1585" s="119" t="s">
        <v>272</v>
      </c>
      <c r="C1585" s="266" t="s">
        <v>2403</v>
      </c>
      <c r="D1585" s="124" t="s">
        <v>2402</v>
      </c>
      <c r="E1585" s="125"/>
      <c r="F1585" s="118" t="s">
        <v>2239</v>
      </c>
      <c r="G1585" s="126" t="str">
        <f t="shared" si="105"/>
        <v>AR-R11-1</v>
      </c>
      <c r="H1585" s="253">
        <v>1</v>
      </c>
      <c r="I1585" s="76">
        <v>1</v>
      </c>
      <c r="J1585" s="299" t="s">
        <v>286</v>
      </c>
      <c r="K1585" s="299"/>
      <c r="L1585" s="84"/>
      <c r="M1585" s="76"/>
      <c r="Q1585" s="84"/>
      <c r="T1585" s="76"/>
    </row>
    <row r="1586" spans="2:20" s="83" customFormat="1" ht="15" hidden="1" customHeight="1" outlineLevel="2">
      <c r="B1586" s="119" t="s">
        <v>272</v>
      </c>
      <c r="C1586" s="266" t="s">
        <v>2404</v>
      </c>
      <c r="D1586" s="124" t="s">
        <v>2405</v>
      </c>
      <c r="E1586" s="125"/>
      <c r="F1586" s="118" t="s">
        <v>2239</v>
      </c>
      <c r="G1586" s="126" t="str">
        <f t="shared" si="105"/>
        <v>AR-R11-1</v>
      </c>
      <c r="H1586" s="253">
        <v>1</v>
      </c>
      <c r="I1586" s="76">
        <v>1</v>
      </c>
      <c r="J1586" s="299" t="s">
        <v>286</v>
      </c>
      <c r="K1586" s="299"/>
      <c r="L1586" s="84"/>
      <c r="M1586" s="76"/>
      <c r="Q1586" s="84"/>
      <c r="T1586" s="76"/>
    </row>
    <row r="1587" spans="2:20" s="83" customFormat="1" ht="15" hidden="1" customHeight="1" outlineLevel="2">
      <c r="B1587" s="119" t="s">
        <v>272</v>
      </c>
      <c r="C1587" s="266" t="s">
        <v>2406</v>
      </c>
      <c r="D1587" s="124" t="s">
        <v>2405</v>
      </c>
      <c r="E1587" s="125"/>
      <c r="F1587" s="118" t="s">
        <v>2239</v>
      </c>
      <c r="G1587" s="126" t="str">
        <f t="shared" si="105"/>
        <v>AR-R11-1</v>
      </c>
      <c r="H1587" s="253">
        <v>1</v>
      </c>
      <c r="I1587" s="76">
        <v>1</v>
      </c>
      <c r="J1587" s="299" t="s">
        <v>286</v>
      </c>
      <c r="K1587" s="299"/>
      <c r="L1587" s="84"/>
      <c r="M1587" s="76"/>
      <c r="Q1587" s="84"/>
      <c r="T1587" s="76"/>
    </row>
    <row r="1588" spans="2:20" s="83" customFormat="1" ht="15" hidden="1" customHeight="1" outlineLevel="2">
      <c r="B1588" s="119" t="s">
        <v>272</v>
      </c>
      <c r="C1588" s="266" t="s">
        <v>2407</v>
      </c>
      <c r="D1588" s="124" t="s">
        <v>2408</v>
      </c>
      <c r="E1588" s="125"/>
      <c r="F1588" s="118" t="s">
        <v>2239</v>
      </c>
      <c r="G1588" s="126" t="str">
        <f t="shared" si="105"/>
        <v>AR-R11-1</v>
      </c>
      <c r="H1588" s="253">
        <v>1</v>
      </c>
      <c r="I1588" s="76">
        <v>1</v>
      </c>
      <c r="J1588" s="299" t="s">
        <v>286</v>
      </c>
      <c r="K1588" s="299"/>
      <c r="L1588" s="84"/>
      <c r="M1588" s="76"/>
      <c r="Q1588" s="84"/>
      <c r="T1588" s="76"/>
    </row>
    <row r="1589" spans="2:20" s="83" customFormat="1" ht="15" hidden="1" customHeight="1" outlineLevel="2">
      <c r="B1589" s="119" t="s">
        <v>272</v>
      </c>
      <c r="C1589" s="266" t="s">
        <v>2409</v>
      </c>
      <c r="D1589" s="124" t="s">
        <v>2408</v>
      </c>
      <c r="E1589" s="125"/>
      <c r="F1589" s="118" t="s">
        <v>2239</v>
      </c>
      <c r="G1589" s="126" t="str">
        <f t="shared" ref="G1589:G1629" si="106">CONCATENATE("AR-",F1589,"-",H1589)</f>
        <v>AR-R11-1</v>
      </c>
      <c r="H1589" s="253">
        <v>1</v>
      </c>
      <c r="I1589" s="76">
        <v>1</v>
      </c>
      <c r="J1589" s="299" t="s">
        <v>286</v>
      </c>
      <c r="K1589" s="299"/>
      <c r="L1589" s="84"/>
      <c r="M1589" s="76"/>
      <c r="Q1589" s="84"/>
      <c r="T1589" s="76"/>
    </row>
    <row r="1590" spans="2:20" s="83" customFormat="1" ht="15" hidden="1" customHeight="1" outlineLevel="2">
      <c r="B1590" s="119" t="s">
        <v>272</v>
      </c>
      <c r="C1590" s="266" t="s">
        <v>2410</v>
      </c>
      <c r="D1590" s="124" t="s">
        <v>2411</v>
      </c>
      <c r="E1590" s="125"/>
      <c r="F1590" s="118" t="s">
        <v>2239</v>
      </c>
      <c r="G1590" s="126" t="str">
        <f t="shared" si="106"/>
        <v>AR-R11-1</v>
      </c>
      <c r="H1590" s="253">
        <v>1</v>
      </c>
      <c r="I1590" s="76">
        <v>1</v>
      </c>
      <c r="J1590" s="299" t="s">
        <v>286</v>
      </c>
      <c r="K1590" s="299"/>
      <c r="L1590" s="84"/>
      <c r="M1590" s="76"/>
      <c r="Q1590" s="84"/>
      <c r="T1590" s="76"/>
    </row>
    <row r="1591" spans="2:20" s="100" customFormat="1" ht="15" hidden="1" customHeight="1" outlineLevel="2">
      <c r="B1591" s="119" t="s">
        <v>272</v>
      </c>
      <c r="C1591" s="266" t="s">
        <v>2412</v>
      </c>
      <c r="D1591" s="124" t="s">
        <v>2411</v>
      </c>
      <c r="E1591" s="125"/>
      <c r="F1591" s="118" t="s">
        <v>2239</v>
      </c>
      <c r="G1591" s="126" t="str">
        <f t="shared" si="106"/>
        <v>AR-R11-1</v>
      </c>
      <c r="H1591" s="253">
        <v>1</v>
      </c>
      <c r="I1591" s="76">
        <v>1</v>
      </c>
      <c r="J1591" s="299" t="s">
        <v>286</v>
      </c>
      <c r="K1591" s="299"/>
      <c r="L1591" s="84"/>
      <c r="M1591" s="76"/>
      <c r="Q1591" s="84"/>
      <c r="R1591" s="83"/>
      <c r="S1591" s="83"/>
      <c r="T1591" s="76"/>
    </row>
    <row r="1592" spans="2:20" s="83" customFormat="1" ht="15" hidden="1" customHeight="1" outlineLevel="2">
      <c r="B1592" s="119" t="s">
        <v>272</v>
      </c>
      <c r="C1592" s="266" t="s">
        <v>2413</v>
      </c>
      <c r="D1592" s="124" t="s">
        <v>2414</v>
      </c>
      <c r="E1592" s="125"/>
      <c r="F1592" s="118" t="s">
        <v>2239</v>
      </c>
      <c r="G1592" s="126" t="str">
        <f t="shared" si="106"/>
        <v>AR-R11-1</v>
      </c>
      <c r="H1592" s="253">
        <v>1</v>
      </c>
      <c r="I1592" s="76">
        <v>1</v>
      </c>
      <c r="J1592" s="299" t="s">
        <v>286</v>
      </c>
      <c r="K1592" s="299"/>
      <c r="L1592" s="84"/>
      <c r="M1592" s="76"/>
      <c r="Q1592" s="84"/>
      <c r="T1592" s="76"/>
    </row>
    <row r="1593" spans="2:20" s="83" customFormat="1" ht="15" hidden="1" customHeight="1" outlineLevel="2">
      <c r="B1593" s="119" t="s">
        <v>272</v>
      </c>
      <c r="C1593" s="266" t="s">
        <v>2415</v>
      </c>
      <c r="D1593" s="124" t="s">
        <v>2414</v>
      </c>
      <c r="E1593" s="125"/>
      <c r="F1593" s="118" t="s">
        <v>2239</v>
      </c>
      <c r="G1593" s="126" t="str">
        <f t="shared" si="106"/>
        <v>AR-R11-1</v>
      </c>
      <c r="H1593" s="253">
        <v>1</v>
      </c>
      <c r="I1593" s="76">
        <v>1</v>
      </c>
      <c r="J1593" s="299" t="s">
        <v>286</v>
      </c>
      <c r="K1593" s="299"/>
      <c r="L1593" s="84"/>
      <c r="M1593" s="76"/>
      <c r="Q1593" s="84"/>
      <c r="T1593" s="76"/>
    </row>
    <row r="1594" spans="2:20" s="83" customFormat="1" ht="15" hidden="1" customHeight="1" outlineLevel="2">
      <c r="B1594" s="119" t="s">
        <v>272</v>
      </c>
      <c r="C1594" s="266" t="s">
        <v>2416</v>
      </c>
      <c r="D1594" s="124" t="s">
        <v>2417</v>
      </c>
      <c r="E1594" s="125"/>
      <c r="F1594" s="118" t="s">
        <v>2239</v>
      </c>
      <c r="G1594" s="126" t="str">
        <f t="shared" si="106"/>
        <v>AR-R11-1</v>
      </c>
      <c r="H1594" s="253">
        <v>1</v>
      </c>
      <c r="I1594" s="76">
        <v>1</v>
      </c>
      <c r="J1594" s="299" t="s">
        <v>286</v>
      </c>
      <c r="K1594" s="299"/>
      <c r="L1594" s="84"/>
      <c r="M1594" s="76"/>
      <c r="Q1594" s="84"/>
      <c r="T1594" s="76"/>
    </row>
    <row r="1595" spans="2:20" s="83" customFormat="1" ht="15" hidden="1" customHeight="1" outlineLevel="2">
      <c r="B1595" s="119" t="s">
        <v>272</v>
      </c>
      <c r="C1595" s="266" t="s">
        <v>2418</v>
      </c>
      <c r="D1595" s="124" t="s">
        <v>2417</v>
      </c>
      <c r="E1595" s="125"/>
      <c r="F1595" s="118" t="s">
        <v>2239</v>
      </c>
      <c r="G1595" s="126" t="str">
        <f t="shared" si="106"/>
        <v>AR-R11-1</v>
      </c>
      <c r="H1595" s="253">
        <v>1</v>
      </c>
      <c r="I1595" s="76">
        <v>1</v>
      </c>
      <c r="J1595" s="299" t="s">
        <v>286</v>
      </c>
      <c r="K1595" s="299"/>
      <c r="L1595" s="84"/>
      <c r="M1595" s="76"/>
      <c r="Q1595" s="84"/>
      <c r="T1595" s="76"/>
    </row>
    <row r="1596" spans="2:20" s="83" customFormat="1" ht="15" hidden="1" customHeight="1" outlineLevel="2">
      <c r="B1596" s="119" t="s">
        <v>272</v>
      </c>
      <c r="C1596" s="266" t="s">
        <v>2419</v>
      </c>
      <c r="D1596" s="124" t="s">
        <v>2420</v>
      </c>
      <c r="E1596" s="125"/>
      <c r="F1596" s="118" t="s">
        <v>2239</v>
      </c>
      <c r="G1596" s="126" t="str">
        <f t="shared" si="106"/>
        <v>AR-R11-1</v>
      </c>
      <c r="H1596" s="253">
        <v>1</v>
      </c>
      <c r="I1596" s="76">
        <v>1</v>
      </c>
      <c r="J1596" s="299" t="s">
        <v>286</v>
      </c>
      <c r="K1596" s="299"/>
      <c r="L1596" s="84"/>
      <c r="M1596" s="76"/>
      <c r="Q1596" s="84"/>
      <c r="T1596" s="76"/>
    </row>
    <row r="1597" spans="2:20" s="83" customFormat="1" ht="15" hidden="1" customHeight="1" outlineLevel="2">
      <c r="B1597" s="119" t="s">
        <v>272</v>
      </c>
      <c r="C1597" s="266" t="s">
        <v>2421</v>
      </c>
      <c r="D1597" s="124" t="s">
        <v>2420</v>
      </c>
      <c r="E1597" s="125"/>
      <c r="F1597" s="118" t="s">
        <v>2239</v>
      </c>
      <c r="G1597" s="126" t="str">
        <f t="shared" si="106"/>
        <v>AR-R11-1</v>
      </c>
      <c r="H1597" s="253">
        <v>1</v>
      </c>
      <c r="I1597" s="76">
        <v>1</v>
      </c>
      <c r="J1597" s="299" t="s">
        <v>286</v>
      </c>
      <c r="K1597" s="299"/>
      <c r="L1597" s="84"/>
      <c r="M1597" s="76"/>
      <c r="Q1597" s="84"/>
      <c r="T1597" s="76"/>
    </row>
    <row r="1598" spans="2:20" s="83" customFormat="1" ht="15" hidden="1" customHeight="1" outlineLevel="2">
      <c r="B1598" s="119" t="s">
        <v>272</v>
      </c>
      <c r="C1598" s="266" t="s">
        <v>2422</v>
      </c>
      <c r="D1598" s="124" t="s">
        <v>2423</v>
      </c>
      <c r="E1598" s="125"/>
      <c r="F1598" s="118" t="s">
        <v>2239</v>
      </c>
      <c r="G1598" s="126" t="str">
        <f t="shared" si="106"/>
        <v>AR-R11-1</v>
      </c>
      <c r="H1598" s="253">
        <v>1</v>
      </c>
      <c r="I1598" s="76">
        <v>1</v>
      </c>
      <c r="J1598" s="299" t="s">
        <v>286</v>
      </c>
      <c r="K1598" s="299"/>
      <c r="L1598" s="84"/>
      <c r="M1598" s="76"/>
      <c r="Q1598" s="84"/>
      <c r="T1598" s="76"/>
    </row>
    <row r="1599" spans="2:20" s="83" customFormat="1" ht="15" hidden="1" customHeight="1" outlineLevel="2">
      <c r="B1599" s="119" t="s">
        <v>272</v>
      </c>
      <c r="C1599" s="266" t="s">
        <v>2424</v>
      </c>
      <c r="D1599" s="124" t="s">
        <v>2423</v>
      </c>
      <c r="E1599" s="125"/>
      <c r="F1599" s="118" t="s">
        <v>2239</v>
      </c>
      <c r="G1599" s="126" t="str">
        <f t="shared" si="106"/>
        <v>AR-R11-1</v>
      </c>
      <c r="H1599" s="253">
        <v>1</v>
      </c>
      <c r="I1599" s="76">
        <v>1</v>
      </c>
      <c r="J1599" s="299" t="s">
        <v>286</v>
      </c>
      <c r="K1599" s="299"/>
      <c r="L1599" s="84"/>
      <c r="M1599" s="76"/>
      <c r="Q1599" s="84"/>
      <c r="T1599" s="76"/>
    </row>
    <row r="1600" spans="2:20" s="83" customFormat="1" ht="15" hidden="1" customHeight="1" outlineLevel="2">
      <c r="B1600" s="119" t="s">
        <v>272</v>
      </c>
      <c r="C1600" s="266" t="s">
        <v>2425</v>
      </c>
      <c r="D1600" s="124" t="s">
        <v>2426</v>
      </c>
      <c r="E1600" s="125"/>
      <c r="F1600" s="118" t="s">
        <v>2239</v>
      </c>
      <c r="G1600" s="126" t="str">
        <f t="shared" si="106"/>
        <v>AR-R11-1</v>
      </c>
      <c r="H1600" s="253">
        <v>1</v>
      </c>
      <c r="I1600" s="76">
        <v>1</v>
      </c>
      <c r="J1600" s="299" t="s">
        <v>286</v>
      </c>
      <c r="K1600" s="299"/>
      <c r="L1600" s="84"/>
      <c r="M1600" s="76"/>
      <c r="Q1600" s="84"/>
      <c r="T1600" s="76"/>
    </row>
    <row r="1601" spans="2:20" s="83" customFormat="1" ht="15" hidden="1" customHeight="1" outlineLevel="2">
      <c r="B1601" s="119" t="s">
        <v>272</v>
      </c>
      <c r="C1601" s="266" t="s">
        <v>2427</v>
      </c>
      <c r="D1601" s="124" t="s">
        <v>2426</v>
      </c>
      <c r="E1601" s="125"/>
      <c r="F1601" s="118" t="s">
        <v>2239</v>
      </c>
      <c r="G1601" s="126" t="str">
        <f t="shared" si="106"/>
        <v>AR-R11-1</v>
      </c>
      <c r="H1601" s="253">
        <v>1</v>
      </c>
      <c r="I1601" s="76">
        <v>1</v>
      </c>
      <c r="J1601" s="299" t="s">
        <v>286</v>
      </c>
      <c r="K1601" s="299"/>
      <c r="L1601" s="84"/>
      <c r="M1601" s="76"/>
      <c r="Q1601" s="84"/>
      <c r="T1601" s="76"/>
    </row>
    <row r="1602" spans="2:20" s="83" customFormat="1" ht="15" hidden="1" customHeight="1" outlineLevel="2">
      <c r="B1602" s="119" t="s">
        <v>272</v>
      </c>
      <c r="C1602" s="266" t="s">
        <v>2428</v>
      </c>
      <c r="D1602" s="124" t="s">
        <v>2429</v>
      </c>
      <c r="E1602" s="125"/>
      <c r="F1602" s="118" t="s">
        <v>2239</v>
      </c>
      <c r="G1602" s="126" t="str">
        <f t="shared" si="106"/>
        <v>AR-R11-1</v>
      </c>
      <c r="H1602" s="253">
        <v>1</v>
      </c>
      <c r="I1602" s="76">
        <v>1</v>
      </c>
      <c r="J1602" s="299" t="s">
        <v>286</v>
      </c>
      <c r="K1602" s="299"/>
      <c r="L1602" s="84"/>
      <c r="M1602" s="76"/>
      <c r="Q1602" s="84"/>
      <c r="T1602" s="76"/>
    </row>
    <row r="1603" spans="2:20" s="83" customFormat="1" ht="15" hidden="1" customHeight="1" outlineLevel="2">
      <c r="B1603" s="119" t="s">
        <v>272</v>
      </c>
      <c r="C1603" s="266" t="s">
        <v>2430</v>
      </c>
      <c r="D1603" s="124" t="s">
        <v>2429</v>
      </c>
      <c r="E1603" s="125"/>
      <c r="F1603" s="118" t="s">
        <v>2239</v>
      </c>
      <c r="G1603" s="126" t="str">
        <f t="shared" si="106"/>
        <v>AR-R11-1</v>
      </c>
      <c r="H1603" s="253">
        <v>1</v>
      </c>
      <c r="I1603" s="76">
        <v>1</v>
      </c>
      <c r="J1603" s="299" t="s">
        <v>286</v>
      </c>
      <c r="K1603" s="299"/>
      <c r="L1603" s="84"/>
      <c r="M1603" s="76"/>
      <c r="Q1603" s="84"/>
      <c r="T1603" s="76"/>
    </row>
    <row r="1604" spans="2:20" s="83" customFormat="1" ht="15" hidden="1" customHeight="1" outlineLevel="2">
      <c r="B1604" s="119" t="s">
        <v>272</v>
      </c>
      <c r="C1604" s="266" t="s">
        <v>2431</v>
      </c>
      <c r="D1604" s="124" t="s">
        <v>2429</v>
      </c>
      <c r="E1604" s="125"/>
      <c r="F1604" s="118" t="s">
        <v>2239</v>
      </c>
      <c r="G1604" s="126" t="str">
        <f t="shared" si="106"/>
        <v>AR-R11-1</v>
      </c>
      <c r="H1604" s="253">
        <v>1</v>
      </c>
      <c r="I1604" s="76">
        <v>1</v>
      </c>
      <c r="J1604" s="299" t="s">
        <v>286</v>
      </c>
      <c r="K1604" s="299"/>
      <c r="L1604" s="84"/>
      <c r="M1604" s="76"/>
      <c r="Q1604" s="84"/>
      <c r="T1604" s="76"/>
    </row>
    <row r="1605" spans="2:20" s="83" customFormat="1" ht="15" hidden="1" customHeight="1" outlineLevel="2">
      <c r="B1605" s="119" t="s">
        <v>272</v>
      </c>
      <c r="C1605" s="266" t="s">
        <v>2432</v>
      </c>
      <c r="D1605" s="124" t="s">
        <v>2433</v>
      </c>
      <c r="E1605" s="125"/>
      <c r="F1605" s="118" t="s">
        <v>2239</v>
      </c>
      <c r="G1605" s="126" t="str">
        <f t="shared" si="106"/>
        <v>AR-R11-1</v>
      </c>
      <c r="H1605" s="253">
        <v>1</v>
      </c>
      <c r="I1605" s="76">
        <v>1</v>
      </c>
      <c r="J1605" s="299" t="s">
        <v>286</v>
      </c>
      <c r="K1605" s="299"/>
      <c r="L1605" s="84"/>
      <c r="M1605" s="76"/>
      <c r="Q1605" s="84"/>
      <c r="T1605" s="76"/>
    </row>
    <row r="1606" spans="2:20" s="99" customFormat="1" ht="15" hidden="1" customHeight="1" outlineLevel="2">
      <c r="B1606" s="119" t="s">
        <v>272</v>
      </c>
      <c r="C1606" s="266" t="s">
        <v>2434</v>
      </c>
      <c r="D1606" s="124" t="s">
        <v>2435</v>
      </c>
      <c r="E1606" s="125"/>
      <c r="F1606" s="118" t="s">
        <v>2239</v>
      </c>
      <c r="G1606" s="126" t="str">
        <f t="shared" si="106"/>
        <v>AR-R11-1</v>
      </c>
      <c r="H1606" s="253">
        <v>1</v>
      </c>
      <c r="I1606" s="76">
        <v>1</v>
      </c>
      <c r="J1606" s="299" t="s">
        <v>286</v>
      </c>
      <c r="K1606" s="299"/>
      <c r="L1606" s="84"/>
      <c r="M1606" s="76"/>
      <c r="Q1606" s="84"/>
      <c r="R1606" s="83"/>
      <c r="S1606" s="83"/>
      <c r="T1606" s="76"/>
    </row>
    <row r="1607" spans="2:20" s="83" customFormat="1" ht="15" hidden="1" customHeight="1" outlineLevel="2">
      <c r="B1607" s="119" t="s">
        <v>272</v>
      </c>
      <c r="C1607" s="266" t="s">
        <v>2436</v>
      </c>
      <c r="D1607" s="124" t="s">
        <v>2435</v>
      </c>
      <c r="E1607" s="125"/>
      <c r="F1607" s="118" t="s">
        <v>2239</v>
      </c>
      <c r="G1607" s="126" t="str">
        <f t="shared" si="106"/>
        <v>AR-R11-1</v>
      </c>
      <c r="H1607" s="253">
        <v>1</v>
      </c>
      <c r="I1607" s="76">
        <v>1</v>
      </c>
      <c r="J1607" s="299" t="s">
        <v>286</v>
      </c>
      <c r="K1607" s="299"/>
      <c r="L1607" s="84"/>
      <c r="M1607" s="76"/>
      <c r="Q1607" s="84"/>
      <c r="T1607" s="76"/>
    </row>
    <row r="1608" spans="2:20" s="83" customFormat="1" ht="15" hidden="1" customHeight="1" outlineLevel="2">
      <c r="B1608" s="119" t="s">
        <v>272</v>
      </c>
      <c r="C1608" s="266" t="s">
        <v>2437</v>
      </c>
      <c r="D1608" s="124" t="s">
        <v>2438</v>
      </c>
      <c r="E1608" s="125"/>
      <c r="F1608" s="118" t="s">
        <v>2239</v>
      </c>
      <c r="G1608" s="126" t="str">
        <f t="shared" si="106"/>
        <v>AR-R11-1</v>
      </c>
      <c r="H1608" s="253">
        <v>1</v>
      </c>
      <c r="I1608" s="76">
        <v>1</v>
      </c>
      <c r="J1608" s="299" t="s">
        <v>286</v>
      </c>
      <c r="K1608" s="299"/>
      <c r="L1608" s="84"/>
      <c r="M1608" s="76"/>
      <c r="Q1608" s="84"/>
      <c r="T1608" s="76"/>
    </row>
    <row r="1609" spans="2:20" s="83" customFormat="1" ht="15" hidden="1" customHeight="1" outlineLevel="2">
      <c r="B1609" s="119" t="s">
        <v>272</v>
      </c>
      <c r="C1609" s="266" t="s">
        <v>2439</v>
      </c>
      <c r="D1609" s="124" t="s">
        <v>2438</v>
      </c>
      <c r="E1609" s="125"/>
      <c r="F1609" s="118" t="s">
        <v>2239</v>
      </c>
      <c r="G1609" s="126" t="str">
        <f t="shared" si="106"/>
        <v>AR-R11-1</v>
      </c>
      <c r="H1609" s="253">
        <v>1</v>
      </c>
      <c r="I1609" s="76">
        <v>1</v>
      </c>
      <c r="J1609" s="299" t="s">
        <v>286</v>
      </c>
      <c r="K1609" s="299"/>
      <c r="L1609" s="84"/>
      <c r="M1609" s="76"/>
      <c r="Q1609" s="84"/>
      <c r="T1609" s="76"/>
    </row>
    <row r="1610" spans="2:20" s="83" customFormat="1" ht="15" hidden="1" customHeight="1" outlineLevel="2">
      <c r="B1610" s="119" t="s">
        <v>272</v>
      </c>
      <c r="C1610" s="266" t="s">
        <v>2440</v>
      </c>
      <c r="D1610" s="124" t="s">
        <v>2441</v>
      </c>
      <c r="E1610" s="125"/>
      <c r="F1610" s="118" t="s">
        <v>2239</v>
      </c>
      <c r="G1610" s="126" t="str">
        <f t="shared" si="106"/>
        <v>AR-R11-1</v>
      </c>
      <c r="H1610" s="253">
        <v>1</v>
      </c>
      <c r="I1610" s="76">
        <v>1</v>
      </c>
      <c r="J1610" s="299" t="s">
        <v>286</v>
      </c>
      <c r="K1610" s="299"/>
      <c r="L1610" s="84"/>
      <c r="M1610" s="76"/>
      <c r="Q1610" s="84"/>
      <c r="T1610" s="76"/>
    </row>
    <row r="1611" spans="2:20" s="83" customFormat="1" ht="15" hidden="1" customHeight="1" outlineLevel="2">
      <c r="B1611" s="119" t="s">
        <v>272</v>
      </c>
      <c r="C1611" s="266" t="s">
        <v>2442</v>
      </c>
      <c r="D1611" s="124" t="s">
        <v>2443</v>
      </c>
      <c r="E1611" s="125"/>
      <c r="F1611" s="118" t="s">
        <v>2239</v>
      </c>
      <c r="G1611" s="126" t="str">
        <f t="shared" si="106"/>
        <v>AR-R11-1</v>
      </c>
      <c r="H1611" s="253">
        <v>1</v>
      </c>
      <c r="I1611" s="76">
        <v>1</v>
      </c>
      <c r="J1611" s="299" t="s">
        <v>286</v>
      </c>
      <c r="K1611" s="299"/>
      <c r="L1611" s="84"/>
      <c r="M1611" s="76"/>
      <c r="Q1611" s="84"/>
      <c r="T1611" s="76"/>
    </row>
    <row r="1612" spans="2:20" s="83" customFormat="1" ht="15" hidden="1" customHeight="1" outlineLevel="2">
      <c r="B1612" s="119" t="s">
        <v>272</v>
      </c>
      <c r="C1612" s="266" t="s">
        <v>2444</v>
      </c>
      <c r="D1612" s="124" t="s">
        <v>2445</v>
      </c>
      <c r="E1612" s="125"/>
      <c r="F1612" s="118" t="s">
        <v>2239</v>
      </c>
      <c r="G1612" s="126" t="str">
        <f t="shared" si="106"/>
        <v>AR-R11-1</v>
      </c>
      <c r="H1612" s="253">
        <v>1</v>
      </c>
      <c r="I1612" s="76">
        <v>1</v>
      </c>
      <c r="J1612" s="299" t="s">
        <v>286</v>
      </c>
      <c r="K1612" s="299"/>
      <c r="L1612" s="84"/>
      <c r="M1612" s="76"/>
      <c r="Q1612" s="84"/>
      <c r="T1612" s="76"/>
    </row>
    <row r="1613" spans="2:20" s="83" customFormat="1" ht="15" hidden="1" customHeight="1" outlineLevel="2">
      <c r="B1613" s="119" t="s">
        <v>272</v>
      </c>
      <c r="C1613" s="266" t="s">
        <v>2446</v>
      </c>
      <c r="D1613" s="124" t="s">
        <v>2445</v>
      </c>
      <c r="E1613" s="125"/>
      <c r="F1613" s="118" t="s">
        <v>2239</v>
      </c>
      <c r="G1613" s="126" t="str">
        <f t="shared" si="106"/>
        <v>AR-R11-1</v>
      </c>
      <c r="H1613" s="253">
        <v>1</v>
      </c>
      <c r="I1613" s="76">
        <v>1</v>
      </c>
      <c r="J1613" s="299" t="s">
        <v>286</v>
      </c>
      <c r="K1613" s="299"/>
      <c r="L1613" s="84"/>
      <c r="M1613" s="76"/>
      <c r="Q1613" s="84"/>
      <c r="T1613" s="76"/>
    </row>
    <row r="1614" spans="2:20" s="83" customFormat="1" ht="15" hidden="1" customHeight="1" outlineLevel="2">
      <c r="B1614" s="119" t="s">
        <v>272</v>
      </c>
      <c r="C1614" s="266" t="s">
        <v>2447</v>
      </c>
      <c r="D1614" s="124" t="s">
        <v>2448</v>
      </c>
      <c r="E1614" s="125"/>
      <c r="F1614" s="118" t="s">
        <v>2239</v>
      </c>
      <c r="G1614" s="126" t="str">
        <f t="shared" si="106"/>
        <v>AR-R11-1</v>
      </c>
      <c r="H1614" s="253">
        <v>1</v>
      </c>
      <c r="I1614" s="76">
        <v>1</v>
      </c>
      <c r="J1614" s="299" t="s">
        <v>286</v>
      </c>
      <c r="K1614" s="299"/>
      <c r="L1614" s="84"/>
      <c r="M1614" s="76"/>
      <c r="Q1614" s="84"/>
      <c r="T1614" s="76"/>
    </row>
    <row r="1615" spans="2:20" s="83" customFormat="1" ht="15" hidden="1" customHeight="1" outlineLevel="2">
      <c r="B1615" s="119" t="s">
        <v>272</v>
      </c>
      <c r="C1615" s="266" t="s">
        <v>2449</v>
      </c>
      <c r="D1615" s="124" t="s">
        <v>2448</v>
      </c>
      <c r="E1615" s="125"/>
      <c r="F1615" s="118" t="s">
        <v>2239</v>
      </c>
      <c r="G1615" s="126" t="str">
        <f t="shared" si="106"/>
        <v>AR-R11-1</v>
      </c>
      <c r="H1615" s="253">
        <v>1</v>
      </c>
      <c r="I1615" s="76">
        <v>1</v>
      </c>
      <c r="J1615" s="299" t="s">
        <v>286</v>
      </c>
      <c r="K1615" s="299"/>
      <c r="L1615" s="84"/>
      <c r="M1615" s="76"/>
      <c r="Q1615" s="84"/>
      <c r="T1615" s="76"/>
    </row>
    <row r="1616" spans="2:20" s="83" customFormat="1" ht="15" hidden="1" customHeight="1" outlineLevel="2">
      <c r="B1616" s="119" t="s">
        <v>272</v>
      </c>
      <c r="C1616" s="266" t="s">
        <v>2450</v>
      </c>
      <c r="D1616" s="124" t="s">
        <v>2451</v>
      </c>
      <c r="E1616" s="125"/>
      <c r="F1616" s="118" t="s">
        <v>2239</v>
      </c>
      <c r="G1616" s="126" t="str">
        <f t="shared" si="106"/>
        <v>AR-R11-1</v>
      </c>
      <c r="H1616" s="253">
        <v>1</v>
      </c>
      <c r="I1616" s="76">
        <v>1</v>
      </c>
      <c r="J1616" s="299" t="s">
        <v>286</v>
      </c>
      <c r="K1616" s="299"/>
      <c r="L1616" s="84"/>
      <c r="M1616" s="76"/>
      <c r="Q1616" s="84"/>
      <c r="T1616" s="76"/>
    </row>
    <row r="1617" spans="2:20" s="83" customFormat="1" ht="15" hidden="1" customHeight="1" outlineLevel="2">
      <c r="B1617" s="119" t="s">
        <v>272</v>
      </c>
      <c r="C1617" s="266" t="s">
        <v>2452</v>
      </c>
      <c r="D1617" s="124" t="s">
        <v>2451</v>
      </c>
      <c r="E1617" s="125"/>
      <c r="F1617" s="118" t="s">
        <v>2239</v>
      </c>
      <c r="G1617" s="126" t="str">
        <f t="shared" si="106"/>
        <v>AR-R11-1</v>
      </c>
      <c r="H1617" s="253">
        <v>1</v>
      </c>
      <c r="I1617" s="76">
        <v>1</v>
      </c>
      <c r="J1617" s="299" t="s">
        <v>286</v>
      </c>
      <c r="K1617" s="299"/>
      <c r="L1617" s="84"/>
      <c r="M1617" s="76"/>
      <c r="Q1617" s="84"/>
      <c r="T1617" s="76"/>
    </row>
    <row r="1618" spans="2:20" s="83" customFormat="1" ht="15" hidden="1" customHeight="1" outlineLevel="2">
      <c r="B1618" s="119" t="s">
        <v>272</v>
      </c>
      <c r="C1618" s="266" t="s">
        <v>2453</v>
      </c>
      <c r="D1618" s="124" t="s">
        <v>2454</v>
      </c>
      <c r="E1618" s="125"/>
      <c r="F1618" s="118" t="s">
        <v>2239</v>
      </c>
      <c r="G1618" s="126" t="str">
        <f t="shared" si="106"/>
        <v>AR-R11-1</v>
      </c>
      <c r="H1618" s="253">
        <v>1</v>
      </c>
      <c r="I1618" s="76">
        <v>1</v>
      </c>
      <c r="J1618" s="299" t="s">
        <v>286</v>
      </c>
      <c r="K1618" s="299"/>
      <c r="L1618" s="84"/>
      <c r="M1618" s="76"/>
      <c r="Q1618" s="84"/>
      <c r="T1618" s="76"/>
    </row>
    <row r="1619" spans="2:20" s="83" customFormat="1" ht="15" hidden="1" customHeight="1" outlineLevel="2">
      <c r="B1619" s="119" t="s">
        <v>272</v>
      </c>
      <c r="C1619" s="266" t="s">
        <v>2455</v>
      </c>
      <c r="D1619" s="124" t="s">
        <v>2454</v>
      </c>
      <c r="E1619" s="125"/>
      <c r="F1619" s="118" t="s">
        <v>2239</v>
      </c>
      <c r="G1619" s="126" t="str">
        <f t="shared" si="106"/>
        <v>AR-R11-1</v>
      </c>
      <c r="H1619" s="253">
        <v>1</v>
      </c>
      <c r="I1619" s="76">
        <v>1</v>
      </c>
      <c r="J1619" s="299" t="s">
        <v>286</v>
      </c>
      <c r="K1619" s="299"/>
      <c r="L1619" s="84"/>
      <c r="M1619" s="76"/>
      <c r="Q1619" s="84"/>
      <c r="T1619" s="76"/>
    </row>
    <row r="1620" spans="2:20" s="83" customFormat="1" ht="15" hidden="1" customHeight="1" outlineLevel="2">
      <c r="B1620" s="119" t="s">
        <v>272</v>
      </c>
      <c r="C1620" s="266" t="s">
        <v>2456</v>
      </c>
      <c r="D1620" s="124" t="s">
        <v>2457</v>
      </c>
      <c r="E1620" s="125"/>
      <c r="F1620" s="118" t="s">
        <v>2239</v>
      </c>
      <c r="G1620" s="126" t="str">
        <f t="shared" si="106"/>
        <v>AR-R11-1</v>
      </c>
      <c r="H1620" s="253">
        <v>1</v>
      </c>
      <c r="I1620" s="76">
        <v>1</v>
      </c>
      <c r="J1620" s="299" t="s">
        <v>286</v>
      </c>
      <c r="K1620" s="299"/>
      <c r="L1620" s="84"/>
      <c r="M1620" s="76"/>
      <c r="Q1620" s="84"/>
      <c r="T1620" s="76"/>
    </row>
    <row r="1621" spans="2:20" s="83" customFormat="1" ht="15" hidden="1" customHeight="1" outlineLevel="2">
      <c r="B1621" s="119" t="s">
        <v>272</v>
      </c>
      <c r="C1621" s="266" t="s">
        <v>2458</v>
      </c>
      <c r="D1621" s="124" t="s">
        <v>2457</v>
      </c>
      <c r="E1621" s="125"/>
      <c r="F1621" s="118" t="s">
        <v>2239</v>
      </c>
      <c r="G1621" s="126" t="str">
        <f t="shared" si="106"/>
        <v>AR-R11-1</v>
      </c>
      <c r="H1621" s="253">
        <v>1</v>
      </c>
      <c r="I1621" s="76">
        <v>1</v>
      </c>
      <c r="J1621" s="299" t="s">
        <v>286</v>
      </c>
      <c r="K1621" s="299"/>
      <c r="L1621" s="84"/>
      <c r="M1621" s="76"/>
      <c r="Q1621" s="84"/>
      <c r="T1621" s="76"/>
    </row>
    <row r="1622" spans="2:20" s="83" customFormat="1" ht="15" hidden="1" customHeight="1" outlineLevel="2">
      <c r="B1622" s="119" t="s">
        <v>272</v>
      </c>
      <c r="C1622" s="266" t="s">
        <v>2459</v>
      </c>
      <c r="D1622" s="124" t="s">
        <v>2460</v>
      </c>
      <c r="E1622" s="125"/>
      <c r="F1622" s="118" t="s">
        <v>2239</v>
      </c>
      <c r="G1622" s="126" t="str">
        <f t="shared" si="106"/>
        <v>AR-R11-1</v>
      </c>
      <c r="H1622" s="253">
        <v>1</v>
      </c>
      <c r="I1622" s="76">
        <v>1</v>
      </c>
      <c r="J1622" s="299" t="s">
        <v>286</v>
      </c>
      <c r="K1622" s="299"/>
      <c r="L1622" s="84"/>
      <c r="M1622" s="76"/>
      <c r="Q1622" s="84"/>
      <c r="T1622" s="76"/>
    </row>
    <row r="1623" spans="2:20" s="83" customFormat="1" ht="15" hidden="1" customHeight="1" outlineLevel="2">
      <c r="B1623" s="119" t="s">
        <v>272</v>
      </c>
      <c r="C1623" s="266" t="s">
        <v>2461</v>
      </c>
      <c r="D1623" s="124" t="s">
        <v>2460</v>
      </c>
      <c r="E1623" s="125"/>
      <c r="F1623" s="118" t="s">
        <v>2239</v>
      </c>
      <c r="G1623" s="126" t="str">
        <f t="shared" si="106"/>
        <v>AR-R11-1</v>
      </c>
      <c r="H1623" s="253">
        <v>1</v>
      </c>
      <c r="I1623" s="76">
        <v>1</v>
      </c>
      <c r="J1623" s="299" t="s">
        <v>286</v>
      </c>
      <c r="K1623" s="299"/>
      <c r="L1623" s="84"/>
      <c r="M1623" s="76"/>
      <c r="Q1623" s="84"/>
      <c r="T1623" s="76"/>
    </row>
    <row r="1624" spans="2:20" s="83" customFormat="1" ht="15" hidden="1" customHeight="1" outlineLevel="2">
      <c r="B1624" s="119" t="s">
        <v>272</v>
      </c>
      <c r="C1624" s="266" t="s">
        <v>2462</v>
      </c>
      <c r="D1624" s="124" t="s">
        <v>2463</v>
      </c>
      <c r="E1624" s="125"/>
      <c r="F1624" s="118" t="s">
        <v>2239</v>
      </c>
      <c r="G1624" s="126" t="str">
        <f t="shared" si="106"/>
        <v>AR-R11-1</v>
      </c>
      <c r="H1624" s="253">
        <v>1</v>
      </c>
      <c r="I1624" s="76">
        <v>1</v>
      </c>
      <c r="J1624" s="299" t="s">
        <v>286</v>
      </c>
      <c r="K1624" s="299"/>
      <c r="L1624" s="84"/>
      <c r="M1624" s="76"/>
      <c r="Q1624" s="84"/>
      <c r="T1624" s="76"/>
    </row>
    <row r="1625" spans="2:20" s="83" customFormat="1" ht="15" hidden="1" customHeight="1" outlineLevel="2">
      <c r="B1625" s="119" t="s">
        <v>272</v>
      </c>
      <c r="C1625" s="266" t="s">
        <v>2464</v>
      </c>
      <c r="D1625" s="124" t="s">
        <v>2463</v>
      </c>
      <c r="E1625" s="125"/>
      <c r="F1625" s="118" t="s">
        <v>2239</v>
      </c>
      <c r="G1625" s="126" t="str">
        <f t="shared" si="106"/>
        <v>AR-R11-1</v>
      </c>
      <c r="H1625" s="253">
        <v>1</v>
      </c>
      <c r="I1625" s="76">
        <v>1</v>
      </c>
      <c r="J1625" s="299" t="s">
        <v>286</v>
      </c>
      <c r="K1625" s="299"/>
      <c r="L1625" s="84"/>
      <c r="M1625" s="76"/>
      <c r="Q1625" s="84"/>
      <c r="T1625" s="76"/>
    </row>
    <row r="1626" spans="2:20" s="83" customFormat="1" ht="15" hidden="1" customHeight="1" outlineLevel="2">
      <c r="B1626" s="119" t="s">
        <v>272</v>
      </c>
      <c r="C1626" s="266" t="s">
        <v>2465</v>
      </c>
      <c r="D1626" s="124" t="s">
        <v>2466</v>
      </c>
      <c r="E1626" s="125"/>
      <c r="F1626" s="118" t="s">
        <v>2239</v>
      </c>
      <c r="G1626" s="126" t="str">
        <f t="shared" si="106"/>
        <v>AR-R11-1</v>
      </c>
      <c r="H1626" s="253">
        <v>1</v>
      </c>
      <c r="I1626" s="76">
        <v>1</v>
      </c>
      <c r="J1626" s="299" t="s">
        <v>286</v>
      </c>
      <c r="K1626" s="299"/>
      <c r="L1626" s="84"/>
      <c r="M1626" s="76"/>
      <c r="Q1626" s="84"/>
      <c r="T1626" s="76"/>
    </row>
    <row r="1627" spans="2:20" s="83" customFormat="1" ht="15" hidden="1" customHeight="1" outlineLevel="2">
      <c r="B1627" s="119" t="s">
        <v>272</v>
      </c>
      <c r="C1627" s="266" t="s">
        <v>2467</v>
      </c>
      <c r="D1627" s="124" t="s">
        <v>2466</v>
      </c>
      <c r="E1627" s="125"/>
      <c r="F1627" s="118" t="s">
        <v>2239</v>
      </c>
      <c r="G1627" s="126" t="str">
        <f t="shared" si="106"/>
        <v>AR-R11-1</v>
      </c>
      <c r="H1627" s="253">
        <v>1</v>
      </c>
      <c r="I1627" s="76">
        <v>1</v>
      </c>
      <c r="J1627" s="299" t="s">
        <v>286</v>
      </c>
      <c r="K1627" s="299"/>
      <c r="L1627" s="84"/>
      <c r="M1627" s="76"/>
      <c r="Q1627" s="84"/>
      <c r="T1627" s="76"/>
    </row>
    <row r="1628" spans="2:20" s="83" customFormat="1" ht="15" hidden="1" customHeight="1" outlineLevel="2">
      <c r="B1628" s="119" t="s">
        <v>272</v>
      </c>
      <c r="C1628" s="266" t="s">
        <v>2468</v>
      </c>
      <c r="D1628" s="124" t="s">
        <v>2469</v>
      </c>
      <c r="E1628" s="125"/>
      <c r="F1628" s="118" t="s">
        <v>2239</v>
      </c>
      <c r="G1628" s="126" t="str">
        <f t="shared" si="106"/>
        <v>AR-R11-1</v>
      </c>
      <c r="H1628" s="253">
        <v>1</v>
      </c>
      <c r="I1628" s="76">
        <v>1</v>
      </c>
      <c r="J1628" s="299" t="s">
        <v>286</v>
      </c>
      <c r="K1628" s="299"/>
      <c r="L1628" s="84"/>
      <c r="M1628" s="76"/>
      <c r="Q1628" s="84"/>
      <c r="T1628" s="76"/>
    </row>
    <row r="1629" spans="2:20" s="83" customFormat="1" ht="15" hidden="1" customHeight="1" outlineLevel="2">
      <c r="B1629" s="119" t="s">
        <v>272</v>
      </c>
      <c r="C1629" s="266" t="s">
        <v>2470</v>
      </c>
      <c r="D1629" s="124" t="s">
        <v>2469</v>
      </c>
      <c r="E1629" s="125"/>
      <c r="F1629" s="118" t="s">
        <v>2239</v>
      </c>
      <c r="G1629" s="126" t="str">
        <f t="shared" si="106"/>
        <v>AR-R11-1</v>
      </c>
      <c r="H1629" s="253">
        <v>1</v>
      </c>
      <c r="I1629" s="76">
        <v>1</v>
      </c>
      <c r="J1629" s="299" t="s">
        <v>286</v>
      </c>
      <c r="K1629" s="299"/>
      <c r="L1629" s="84"/>
      <c r="M1629" s="76"/>
      <c r="Q1629" s="84"/>
      <c r="T1629" s="76"/>
    </row>
    <row r="1630" spans="2:20" s="83" customFormat="1" ht="15" hidden="1" customHeight="1" outlineLevel="2">
      <c r="B1630" s="119" t="s">
        <v>272</v>
      </c>
      <c r="C1630" s="266" t="s">
        <v>2471</v>
      </c>
      <c r="D1630" s="124" t="s">
        <v>2472</v>
      </c>
      <c r="E1630" s="125"/>
      <c r="F1630" s="118" t="s">
        <v>2239</v>
      </c>
      <c r="G1630" s="126" t="str">
        <f t="shared" ref="G1630:G1635" si="107">CONCATENATE("AR-",F1630,"-",H1630)</f>
        <v>AR-R11-1</v>
      </c>
      <c r="H1630" s="253">
        <v>1</v>
      </c>
      <c r="I1630" s="76">
        <v>1</v>
      </c>
      <c r="J1630" s="299" t="s">
        <v>286</v>
      </c>
      <c r="K1630" s="299"/>
      <c r="L1630" s="84"/>
      <c r="M1630" s="76"/>
      <c r="Q1630" s="84"/>
      <c r="T1630" s="76"/>
    </row>
    <row r="1631" spans="2:20" s="83" customFormat="1" ht="15" hidden="1" customHeight="1" outlineLevel="2">
      <c r="B1631" s="119" t="s">
        <v>272</v>
      </c>
      <c r="C1631" s="266" t="s">
        <v>2473</v>
      </c>
      <c r="D1631" s="124" t="s">
        <v>2472</v>
      </c>
      <c r="E1631" s="125"/>
      <c r="F1631" s="118" t="s">
        <v>2239</v>
      </c>
      <c r="G1631" s="126" t="str">
        <f t="shared" si="107"/>
        <v>AR-R11-1</v>
      </c>
      <c r="H1631" s="253">
        <v>1</v>
      </c>
      <c r="I1631" s="76">
        <v>1</v>
      </c>
      <c r="J1631" s="299" t="s">
        <v>286</v>
      </c>
      <c r="K1631" s="299"/>
      <c r="L1631" s="84"/>
      <c r="M1631" s="76"/>
      <c r="Q1631" s="84"/>
      <c r="T1631" s="76"/>
    </row>
    <row r="1632" spans="2:20" s="83" customFormat="1" ht="15" hidden="1" customHeight="1" outlineLevel="2">
      <c r="B1632" s="119" t="s">
        <v>272</v>
      </c>
      <c r="C1632" s="266" t="s">
        <v>2474</v>
      </c>
      <c r="D1632" s="124" t="s">
        <v>2475</v>
      </c>
      <c r="E1632" s="125"/>
      <c r="F1632" s="118" t="s">
        <v>2239</v>
      </c>
      <c r="G1632" s="126" t="str">
        <f t="shared" si="107"/>
        <v>AR-R11-1</v>
      </c>
      <c r="H1632" s="253">
        <v>1</v>
      </c>
      <c r="I1632" s="76">
        <v>1</v>
      </c>
      <c r="J1632" s="299" t="s">
        <v>286</v>
      </c>
      <c r="K1632" s="299"/>
      <c r="L1632" s="84"/>
      <c r="M1632" s="76"/>
      <c r="Q1632" s="84"/>
      <c r="T1632" s="76"/>
    </row>
    <row r="1633" spans="2:20" s="83" customFormat="1" ht="15" hidden="1" customHeight="1" outlineLevel="2">
      <c r="B1633" s="119" t="s">
        <v>272</v>
      </c>
      <c r="C1633" s="266" t="s">
        <v>2476</v>
      </c>
      <c r="D1633" s="124" t="s">
        <v>2475</v>
      </c>
      <c r="E1633" s="125"/>
      <c r="F1633" s="118" t="s">
        <v>2239</v>
      </c>
      <c r="G1633" s="126" t="str">
        <f t="shared" si="107"/>
        <v>AR-R11-1</v>
      </c>
      <c r="H1633" s="253">
        <v>1</v>
      </c>
      <c r="I1633" s="76">
        <v>1</v>
      </c>
      <c r="J1633" s="299" t="s">
        <v>286</v>
      </c>
      <c r="K1633" s="299"/>
      <c r="L1633" s="84"/>
      <c r="M1633" s="76"/>
      <c r="Q1633" s="84"/>
      <c r="T1633" s="76"/>
    </row>
    <row r="1634" spans="2:20" s="83" customFormat="1" ht="15" hidden="1" customHeight="1" outlineLevel="2">
      <c r="B1634" s="119" t="s">
        <v>272</v>
      </c>
      <c r="C1634" s="266" t="s">
        <v>2477</v>
      </c>
      <c r="D1634" s="124" t="s">
        <v>2478</v>
      </c>
      <c r="E1634" s="125"/>
      <c r="F1634" s="118" t="s">
        <v>2239</v>
      </c>
      <c r="G1634" s="126" t="str">
        <f t="shared" si="107"/>
        <v>AR-R11-1</v>
      </c>
      <c r="H1634" s="253">
        <v>1</v>
      </c>
      <c r="I1634" s="76">
        <v>1</v>
      </c>
      <c r="J1634" s="299" t="s">
        <v>286</v>
      </c>
      <c r="K1634" s="299"/>
      <c r="L1634" s="84"/>
      <c r="M1634" s="76"/>
      <c r="Q1634" s="84"/>
      <c r="T1634" s="76"/>
    </row>
    <row r="1635" spans="2:20" s="83" customFormat="1" ht="15" hidden="1" customHeight="1" outlineLevel="2">
      <c r="B1635" s="119" t="s">
        <v>272</v>
      </c>
      <c r="C1635" s="266" t="s">
        <v>2479</v>
      </c>
      <c r="D1635" s="124" t="s">
        <v>2478</v>
      </c>
      <c r="E1635" s="125"/>
      <c r="F1635" s="118" t="s">
        <v>2239</v>
      </c>
      <c r="G1635" s="126" t="str">
        <f t="shared" si="107"/>
        <v>AR-R11-1</v>
      </c>
      <c r="H1635" s="253">
        <v>1</v>
      </c>
      <c r="I1635" s="76">
        <v>1</v>
      </c>
      <c r="J1635" s="299" t="s">
        <v>286</v>
      </c>
      <c r="K1635" s="299"/>
      <c r="L1635" s="84"/>
      <c r="M1635" s="76"/>
      <c r="Q1635" s="84"/>
      <c r="T1635" s="76"/>
    </row>
    <row r="1636" spans="2:20" s="83" customFormat="1" ht="15" hidden="1" customHeight="1" outlineLevel="2">
      <c r="B1636" s="119" t="s">
        <v>272</v>
      </c>
      <c r="C1636" s="266" t="s">
        <v>2480</v>
      </c>
      <c r="D1636" s="124" t="s">
        <v>2481</v>
      </c>
      <c r="E1636" s="125"/>
      <c r="F1636" s="118" t="s">
        <v>2239</v>
      </c>
      <c r="G1636" s="126" t="str">
        <f>CONCATENATE("AR-",F1636,"-",H1636)</f>
        <v>AR-R11-1</v>
      </c>
      <c r="H1636" s="253">
        <v>1</v>
      </c>
      <c r="I1636" s="76">
        <v>1</v>
      </c>
      <c r="J1636" s="299" t="s">
        <v>286</v>
      </c>
      <c r="K1636" s="299"/>
      <c r="L1636" s="84"/>
      <c r="M1636" s="76"/>
      <c r="Q1636" s="84"/>
      <c r="T1636" s="76"/>
    </row>
    <row r="1637" spans="2:20" s="83" customFormat="1" ht="15" hidden="1" customHeight="1" outlineLevel="2">
      <c r="B1637" s="119" t="s">
        <v>272</v>
      </c>
      <c r="C1637" s="266" t="s">
        <v>2482</v>
      </c>
      <c r="D1637" s="124" t="s">
        <v>2481</v>
      </c>
      <c r="E1637" s="125"/>
      <c r="F1637" s="118" t="s">
        <v>2239</v>
      </c>
      <c r="G1637" s="126" t="str">
        <f>CONCATENATE("AR-",F1637,"-",H1637)</f>
        <v>AR-R11-1</v>
      </c>
      <c r="H1637" s="253">
        <v>1</v>
      </c>
      <c r="I1637" s="76">
        <v>1</v>
      </c>
      <c r="J1637" s="299" t="s">
        <v>286</v>
      </c>
      <c r="K1637" s="299"/>
      <c r="L1637" s="84"/>
      <c r="M1637" s="76"/>
      <c r="Q1637" s="84"/>
      <c r="T1637" s="76"/>
    </row>
    <row r="1638" spans="2:20" s="83" customFormat="1" ht="15" hidden="1" customHeight="1" outlineLevel="2">
      <c r="B1638" s="119" t="s">
        <v>272</v>
      </c>
      <c r="C1638" s="266" t="s">
        <v>2483</v>
      </c>
      <c r="D1638" s="124" t="s">
        <v>2484</v>
      </c>
      <c r="E1638" s="125"/>
      <c r="F1638" s="118" t="s">
        <v>2239</v>
      </c>
      <c r="G1638" s="126" t="str">
        <f>CONCATENATE("AR-",F1638,"-",H1638)</f>
        <v>AR-R11-1</v>
      </c>
      <c r="H1638" s="253">
        <v>1</v>
      </c>
      <c r="I1638" s="76">
        <v>1</v>
      </c>
      <c r="J1638" s="299" t="s">
        <v>286</v>
      </c>
      <c r="K1638" s="299"/>
      <c r="L1638" s="84"/>
      <c r="M1638" s="76"/>
      <c r="Q1638" s="84"/>
      <c r="T1638" s="76"/>
    </row>
    <row r="1639" spans="2:20" s="83" customFormat="1" ht="15" hidden="1" customHeight="1" outlineLevel="2">
      <c r="B1639" s="119" t="s">
        <v>272</v>
      </c>
      <c r="C1639" s="266" t="s">
        <v>2485</v>
      </c>
      <c r="D1639" s="124" t="s">
        <v>2484</v>
      </c>
      <c r="E1639" s="125"/>
      <c r="F1639" s="118" t="s">
        <v>2239</v>
      </c>
      <c r="G1639" s="126" t="str">
        <f t="shared" ref="G1639:G1652" si="108">CONCATENATE("AR-",F1639,"-",H1639)</f>
        <v>AR-R11-1</v>
      </c>
      <c r="H1639" s="253">
        <v>1</v>
      </c>
      <c r="I1639" s="76">
        <v>1</v>
      </c>
      <c r="J1639" s="299" t="s">
        <v>286</v>
      </c>
      <c r="K1639" s="299"/>
      <c r="L1639" s="84"/>
      <c r="M1639" s="76"/>
      <c r="Q1639" s="84"/>
      <c r="T1639" s="76"/>
    </row>
    <row r="1640" spans="2:20" s="83" customFormat="1" ht="15" hidden="1" customHeight="1" outlineLevel="2">
      <c r="B1640" s="119" t="s">
        <v>272</v>
      </c>
      <c r="C1640" s="266" t="s">
        <v>2486</v>
      </c>
      <c r="D1640" s="124" t="s">
        <v>2487</v>
      </c>
      <c r="E1640" s="125"/>
      <c r="F1640" s="118" t="s">
        <v>2239</v>
      </c>
      <c r="G1640" s="126" t="str">
        <f t="shared" si="108"/>
        <v>AR-R11-1</v>
      </c>
      <c r="H1640" s="253">
        <v>1</v>
      </c>
      <c r="I1640" s="76">
        <v>1</v>
      </c>
      <c r="J1640" s="299" t="s">
        <v>286</v>
      </c>
      <c r="K1640" s="299"/>
      <c r="L1640" s="84"/>
      <c r="M1640" s="76"/>
      <c r="Q1640" s="84"/>
      <c r="T1640" s="76"/>
    </row>
    <row r="1641" spans="2:20" s="83" customFormat="1" ht="15" hidden="1" customHeight="1" outlineLevel="2">
      <c r="B1641" s="119" t="s">
        <v>272</v>
      </c>
      <c r="C1641" s="266" t="s">
        <v>2488</v>
      </c>
      <c r="D1641" s="124" t="s">
        <v>2487</v>
      </c>
      <c r="E1641" s="125"/>
      <c r="F1641" s="118" t="s">
        <v>2239</v>
      </c>
      <c r="G1641" s="126" t="str">
        <f t="shared" si="108"/>
        <v>AR-R11-1</v>
      </c>
      <c r="H1641" s="253">
        <v>1</v>
      </c>
      <c r="I1641" s="76">
        <v>1</v>
      </c>
      <c r="J1641" s="299" t="s">
        <v>286</v>
      </c>
      <c r="K1641" s="299"/>
      <c r="L1641" s="84"/>
      <c r="M1641" s="76"/>
      <c r="Q1641" s="84"/>
      <c r="T1641" s="76"/>
    </row>
    <row r="1642" spans="2:20" s="83" customFormat="1" ht="15" hidden="1" customHeight="1" outlineLevel="2">
      <c r="B1642" s="119" t="s">
        <v>272</v>
      </c>
      <c r="C1642" s="266" t="s">
        <v>2489</v>
      </c>
      <c r="D1642" s="124" t="s">
        <v>2490</v>
      </c>
      <c r="E1642" s="125"/>
      <c r="F1642" s="118" t="s">
        <v>2239</v>
      </c>
      <c r="G1642" s="126" t="str">
        <f t="shared" si="108"/>
        <v>AR-R11-1</v>
      </c>
      <c r="H1642" s="253">
        <v>1</v>
      </c>
      <c r="I1642" s="76">
        <v>1</v>
      </c>
      <c r="J1642" s="299" t="s">
        <v>286</v>
      </c>
      <c r="K1642" s="299"/>
      <c r="L1642" s="84"/>
      <c r="M1642" s="76"/>
      <c r="Q1642" s="84"/>
      <c r="T1642" s="76"/>
    </row>
    <row r="1643" spans="2:20" s="83" customFormat="1" ht="15" hidden="1" customHeight="1" outlineLevel="2">
      <c r="B1643" s="119" t="s">
        <v>272</v>
      </c>
      <c r="C1643" s="266" t="s">
        <v>2491</v>
      </c>
      <c r="D1643" s="124" t="s">
        <v>2490</v>
      </c>
      <c r="E1643" s="125"/>
      <c r="F1643" s="118" t="s">
        <v>2239</v>
      </c>
      <c r="G1643" s="126" t="str">
        <f t="shared" si="108"/>
        <v>AR-R11-1</v>
      </c>
      <c r="H1643" s="253">
        <v>1</v>
      </c>
      <c r="I1643" s="76">
        <v>1</v>
      </c>
      <c r="J1643" s="299" t="s">
        <v>286</v>
      </c>
      <c r="K1643" s="299"/>
      <c r="L1643" s="84"/>
      <c r="M1643" s="76"/>
      <c r="Q1643" s="84"/>
      <c r="T1643" s="76"/>
    </row>
    <row r="1644" spans="2:20" s="83" customFormat="1" ht="15" hidden="1" customHeight="1" outlineLevel="2">
      <c r="B1644" s="119" t="s">
        <v>272</v>
      </c>
      <c r="C1644" s="266" t="s">
        <v>2492</v>
      </c>
      <c r="D1644" s="124" t="s">
        <v>2493</v>
      </c>
      <c r="E1644" s="125"/>
      <c r="F1644" s="118" t="s">
        <v>2239</v>
      </c>
      <c r="G1644" s="126" t="str">
        <f t="shared" si="108"/>
        <v>AR-R11-1</v>
      </c>
      <c r="H1644" s="253">
        <v>1</v>
      </c>
      <c r="I1644" s="76">
        <v>1</v>
      </c>
      <c r="J1644" s="299" t="s">
        <v>286</v>
      </c>
      <c r="K1644" s="299"/>
      <c r="L1644" s="84"/>
      <c r="M1644" s="76"/>
      <c r="Q1644" s="84"/>
      <c r="T1644" s="76"/>
    </row>
    <row r="1645" spans="2:20" s="83" customFormat="1" ht="15" hidden="1" customHeight="1" outlineLevel="2">
      <c r="B1645" s="119" t="s">
        <v>272</v>
      </c>
      <c r="C1645" s="266" t="s">
        <v>2494</v>
      </c>
      <c r="D1645" s="124" t="s">
        <v>2493</v>
      </c>
      <c r="E1645" s="125"/>
      <c r="F1645" s="118" t="s">
        <v>2239</v>
      </c>
      <c r="G1645" s="126" t="str">
        <f t="shared" si="108"/>
        <v>AR-R11-1</v>
      </c>
      <c r="H1645" s="253">
        <v>1</v>
      </c>
      <c r="I1645" s="76">
        <v>1</v>
      </c>
      <c r="J1645" s="299" t="s">
        <v>286</v>
      </c>
      <c r="K1645" s="299"/>
      <c r="L1645" s="84"/>
      <c r="M1645" s="76"/>
      <c r="Q1645" s="84"/>
      <c r="T1645" s="76"/>
    </row>
    <row r="1646" spans="2:20" s="83" customFormat="1" ht="15" hidden="1" customHeight="1" outlineLevel="2">
      <c r="B1646" s="119" t="s">
        <v>272</v>
      </c>
      <c r="C1646" s="266" t="s">
        <v>2495</v>
      </c>
      <c r="D1646" s="124" t="s">
        <v>2496</v>
      </c>
      <c r="E1646" s="125"/>
      <c r="F1646" s="118" t="s">
        <v>2239</v>
      </c>
      <c r="G1646" s="126" t="str">
        <f t="shared" si="108"/>
        <v>AR-R11-1</v>
      </c>
      <c r="H1646" s="253">
        <v>1</v>
      </c>
      <c r="I1646" s="76">
        <v>1</v>
      </c>
      <c r="J1646" s="299" t="s">
        <v>286</v>
      </c>
      <c r="K1646" s="299"/>
      <c r="L1646" s="84"/>
      <c r="M1646" s="76"/>
      <c r="Q1646" s="84"/>
      <c r="T1646" s="76"/>
    </row>
    <row r="1647" spans="2:20" s="83" customFormat="1" ht="15" hidden="1" customHeight="1" outlineLevel="2">
      <c r="B1647" s="119" t="s">
        <v>272</v>
      </c>
      <c r="C1647" s="266" t="s">
        <v>2497</v>
      </c>
      <c r="D1647" s="124" t="s">
        <v>2496</v>
      </c>
      <c r="E1647" s="125"/>
      <c r="F1647" s="118" t="s">
        <v>2239</v>
      </c>
      <c r="G1647" s="126" t="str">
        <f t="shared" si="108"/>
        <v>AR-R11-1</v>
      </c>
      <c r="H1647" s="253">
        <v>1</v>
      </c>
      <c r="I1647" s="76">
        <v>1</v>
      </c>
      <c r="J1647" s="299" t="s">
        <v>286</v>
      </c>
      <c r="K1647" s="299"/>
      <c r="L1647" s="84"/>
      <c r="M1647" s="76"/>
      <c r="Q1647" s="84"/>
      <c r="T1647" s="76"/>
    </row>
    <row r="1648" spans="2:20" s="83" customFormat="1" ht="15" hidden="1" customHeight="1" outlineLevel="2">
      <c r="B1648" s="119" t="s">
        <v>272</v>
      </c>
      <c r="C1648" s="266" t="s">
        <v>2498</v>
      </c>
      <c r="D1648" s="124" t="s">
        <v>2499</v>
      </c>
      <c r="E1648" s="125"/>
      <c r="F1648" s="118" t="s">
        <v>2239</v>
      </c>
      <c r="G1648" s="126" t="str">
        <f t="shared" si="108"/>
        <v>AR-R11-1</v>
      </c>
      <c r="H1648" s="253">
        <v>1</v>
      </c>
      <c r="I1648" s="76">
        <v>1</v>
      </c>
      <c r="J1648" s="299" t="s">
        <v>286</v>
      </c>
      <c r="K1648" s="299"/>
      <c r="L1648" s="84"/>
      <c r="M1648" s="76"/>
      <c r="Q1648" s="84"/>
      <c r="T1648" s="76"/>
    </row>
    <row r="1649" spans="2:20" s="83" customFormat="1" ht="15" hidden="1" customHeight="1" outlineLevel="2">
      <c r="B1649" s="119" t="s">
        <v>272</v>
      </c>
      <c r="C1649" s="266" t="s">
        <v>2500</v>
      </c>
      <c r="D1649" s="124" t="s">
        <v>2499</v>
      </c>
      <c r="E1649" s="125"/>
      <c r="F1649" s="118" t="s">
        <v>2239</v>
      </c>
      <c r="G1649" s="126" t="str">
        <f t="shared" si="108"/>
        <v>AR-R11-1</v>
      </c>
      <c r="H1649" s="253">
        <v>1</v>
      </c>
      <c r="I1649" s="76">
        <v>1</v>
      </c>
      <c r="J1649" s="299" t="s">
        <v>286</v>
      </c>
      <c r="K1649" s="299"/>
      <c r="L1649" s="84"/>
      <c r="M1649" s="76"/>
      <c r="Q1649" s="84"/>
      <c r="T1649" s="76"/>
    </row>
    <row r="1650" spans="2:20" s="83" customFormat="1" ht="15" hidden="1" customHeight="1" outlineLevel="2">
      <c r="B1650" s="119" t="s">
        <v>272</v>
      </c>
      <c r="C1650" s="266" t="s">
        <v>2501</v>
      </c>
      <c r="D1650" s="124" t="s">
        <v>2502</v>
      </c>
      <c r="E1650" s="125"/>
      <c r="F1650" s="118" t="s">
        <v>2239</v>
      </c>
      <c r="G1650" s="126" t="str">
        <f t="shared" si="108"/>
        <v>AR-R11-1</v>
      </c>
      <c r="H1650" s="253">
        <v>1</v>
      </c>
      <c r="I1650" s="76">
        <v>1</v>
      </c>
      <c r="J1650" s="299" t="s">
        <v>286</v>
      </c>
      <c r="K1650" s="299"/>
      <c r="L1650" s="84"/>
      <c r="M1650" s="76"/>
      <c r="Q1650" s="84"/>
      <c r="T1650" s="76"/>
    </row>
    <row r="1651" spans="2:20" s="83" customFormat="1" ht="15" hidden="1" customHeight="1" outlineLevel="2">
      <c r="B1651" s="119" t="s">
        <v>272</v>
      </c>
      <c r="C1651" s="266" t="s">
        <v>2503</v>
      </c>
      <c r="D1651" s="124" t="s">
        <v>2502</v>
      </c>
      <c r="E1651" s="125"/>
      <c r="F1651" s="118" t="s">
        <v>2239</v>
      </c>
      <c r="G1651" s="126" t="str">
        <f t="shared" si="108"/>
        <v>AR-R11-1</v>
      </c>
      <c r="H1651" s="253">
        <v>1</v>
      </c>
      <c r="I1651" s="76">
        <v>1</v>
      </c>
      <c r="J1651" s="299" t="s">
        <v>286</v>
      </c>
      <c r="K1651" s="299"/>
      <c r="L1651" s="84"/>
      <c r="M1651" s="76"/>
      <c r="Q1651" s="84"/>
      <c r="T1651" s="76"/>
    </row>
    <row r="1652" spans="2:20" s="83" customFormat="1" ht="15" hidden="1" customHeight="1" outlineLevel="2">
      <c r="B1652" s="119" t="s">
        <v>272</v>
      </c>
      <c r="C1652" s="266" t="s">
        <v>2504</v>
      </c>
      <c r="D1652" s="124" t="s">
        <v>2505</v>
      </c>
      <c r="E1652" s="125"/>
      <c r="F1652" s="118" t="s">
        <v>2239</v>
      </c>
      <c r="G1652" s="126" t="str">
        <f t="shared" si="108"/>
        <v>AR-R11-1</v>
      </c>
      <c r="H1652" s="253">
        <v>1</v>
      </c>
      <c r="I1652" s="76">
        <v>1</v>
      </c>
      <c r="J1652" s="299" t="s">
        <v>286</v>
      </c>
      <c r="K1652" s="299"/>
      <c r="L1652" s="84"/>
      <c r="M1652" s="76"/>
      <c r="Q1652" s="84"/>
      <c r="T1652" s="76"/>
    </row>
    <row r="1653" spans="2:20" s="83" customFormat="1" ht="15" hidden="1" customHeight="1" outlineLevel="2">
      <c r="B1653" s="119" t="s">
        <v>272</v>
      </c>
      <c r="C1653" s="266" t="s">
        <v>2506</v>
      </c>
      <c r="D1653" s="124" t="s">
        <v>2505</v>
      </c>
      <c r="E1653" s="125"/>
      <c r="F1653" s="118" t="s">
        <v>2239</v>
      </c>
      <c r="G1653" s="126" t="str">
        <f t="shared" ref="G1653:G1658" si="109">CONCATENATE("AR-",F1653,"-",H1653)</f>
        <v>AR-R11-1</v>
      </c>
      <c r="H1653" s="253">
        <v>1</v>
      </c>
      <c r="I1653" s="76">
        <v>1</v>
      </c>
      <c r="J1653" s="299" t="s">
        <v>286</v>
      </c>
      <c r="K1653" s="299"/>
      <c r="L1653" s="84"/>
      <c r="M1653" s="76"/>
      <c r="Q1653" s="84"/>
      <c r="T1653" s="76"/>
    </row>
    <row r="1654" spans="2:20" s="83" customFormat="1" ht="15" hidden="1" customHeight="1" outlineLevel="2">
      <c r="B1654" s="119" t="s">
        <v>272</v>
      </c>
      <c r="C1654" s="266" t="s">
        <v>2507</v>
      </c>
      <c r="D1654" s="124" t="s">
        <v>2508</v>
      </c>
      <c r="E1654" s="125"/>
      <c r="F1654" s="118" t="s">
        <v>2239</v>
      </c>
      <c r="G1654" s="126" t="str">
        <f t="shared" si="109"/>
        <v>AR-R11-1</v>
      </c>
      <c r="H1654" s="253">
        <v>1</v>
      </c>
      <c r="I1654" s="76">
        <v>1</v>
      </c>
      <c r="J1654" s="299" t="s">
        <v>286</v>
      </c>
      <c r="K1654" s="299"/>
      <c r="L1654" s="84"/>
      <c r="M1654" s="76"/>
      <c r="Q1654" s="84"/>
      <c r="T1654" s="76"/>
    </row>
    <row r="1655" spans="2:20" s="83" customFormat="1" ht="15" hidden="1" customHeight="1" outlineLevel="2">
      <c r="B1655" s="119" t="s">
        <v>272</v>
      </c>
      <c r="C1655" s="266" t="s">
        <v>2509</v>
      </c>
      <c r="D1655" s="124" t="s">
        <v>2508</v>
      </c>
      <c r="E1655" s="125"/>
      <c r="F1655" s="118" t="s">
        <v>2239</v>
      </c>
      <c r="G1655" s="126" t="str">
        <f t="shared" si="109"/>
        <v>AR-R11-1</v>
      </c>
      <c r="H1655" s="253">
        <v>1</v>
      </c>
      <c r="I1655" s="76">
        <v>1</v>
      </c>
      <c r="J1655" s="299" t="s">
        <v>286</v>
      </c>
      <c r="K1655" s="299"/>
      <c r="L1655" s="84"/>
      <c r="M1655" s="76"/>
      <c r="Q1655" s="84"/>
      <c r="T1655" s="76"/>
    </row>
    <row r="1656" spans="2:20" s="83" customFormat="1" ht="15" hidden="1" customHeight="1" outlineLevel="2">
      <c r="B1656" s="119" t="s">
        <v>272</v>
      </c>
      <c r="C1656" s="266" t="s">
        <v>2510</v>
      </c>
      <c r="D1656" s="124" t="s">
        <v>2511</v>
      </c>
      <c r="E1656" s="125"/>
      <c r="F1656" s="118" t="s">
        <v>2239</v>
      </c>
      <c r="G1656" s="126" t="str">
        <f t="shared" si="109"/>
        <v>AR-R11-1</v>
      </c>
      <c r="H1656" s="253">
        <v>1</v>
      </c>
      <c r="I1656" s="76">
        <v>1</v>
      </c>
      <c r="J1656" s="299" t="s">
        <v>286</v>
      </c>
      <c r="K1656" s="299"/>
      <c r="L1656" s="84"/>
      <c r="M1656" s="76"/>
      <c r="Q1656" s="84"/>
      <c r="T1656" s="76"/>
    </row>
    <row r="1657" spans="2:20" s="83" customFormat="1" ht="15" hidden="1" customHeight="1" outlineLevel="2">
      <c r="B1657" s="119" t="s">
        <v>272</v>
      </c>
      <c r="C1657" s="266" t="s">
        <v>2512</v>
      </c>
      <c r="D1657" s="124" t="s">
        <v>2511</v>
      </c>
      <c r="E1657" s="125"/>
      <c r="F1657" s="118" t="s">
        <v>2239</v>
      </c>
      <c r="G1657" s="126" t="str">
        <f t="shared" si="109"/>
        <v>AR-R11-1</v>
      </c>
      <c r="H1657" s="253">
        <v>1</v>
      </c>
      <c r="I1657" s="76">
        <v>1</v>
      </c>
      <c r="J1657" s="299" t="s">
        <v>286</v>
      </c>
      <c r="K1657" s="299"/>
      <c r="L1657" s="84"/>
      <c r="M1657" s="76"/>
      <c r="Q1657" s="84"/>
      <c r="T1657" s="76"/>
    </row>
    <row r="1658" spans="2:20" s="83" customFormat="1" ht="15" hidden="1" customHeight="1" outlineLevel="2">
      <c r="B1658" s="119" t="s">
        <v>272</v>
      </c>
      <c r="C1658" s="266" t="s">
        <v>2513</v>
      </c>
      <c r="D1658" s="124" t="s">
        <v>1120</v>
      </c>
      <c r="E1658" s="125"/>
      <c r="F1658" s="118" t="s">
        <v>2239</v>
      </c>
      <c r="G1658" s="126" t="str">
        <f t="shared" si="109"/>
        <v>AR-R11-1</v>
      </c>
      <c r="H1658" s="253">
        <v>1</v>
      </c>
      <c r="I1658" s="76">
        <v>1</v>
      </c>
      <c r="J1658" s="299" t="s">
        <v>286</v>
      </c>
      <c r="K1658" s="299"/>
      <c r="L1658" s="84"/>
      <c r="M1658" s="76"/>
      <c r="Q1658" s="84"/>
      <c r="T1658" s="76"/>
    </row>
    <row r="1659" spans="2:20" s="83" customFormat="1" ht="15" hidden="1" customHeight="1" outlineLevel="2">
      <c r="B1659" s="119" t="s">
        <v>272</v>
      </c>
      <c r="C1659" s="266" t="s">
        <v>2514</v>
      </c>
      <c r="D1659" s="124" t="s">
        <v>1120</v>
      </c>
      <c r="E1659" s="125"/>
      <c r="F1659" s="118" t="s">
        <v>2239</v>
      </c>
      <c r="G1659" s="126" t="str">
        <f t="shared" ref="G1659:G1699" si="110">CONCATENATE("AR-",F1659,"-",H1659)</f>
        <v>AR-R11-1</v>
      </c>
      <c r="H1659" s="253">
        <v>1</v>
      </c>
      <c r="I1659" s="76">
        <v>1</v>
      </c>
      <c r="J1659" s="299" t="s">
        <v>286</v>
      </c>
      <c r="K1659" s="299"/>
      <c r="L1659" s="84"/>
      <c r="M1659" s="76"/>
      <c r="Q1659" s="84"/>
      <c r="T1659" s="76"/>
    </row>
    <row r="1660" spans="2:20" s="83" customFormat="1" ht="15" hidden="1" customHeight="1" outlineLevel="2">
      <c r="B1660" s="119" t="s">
        <v>272</v>
      </c>
      <c r="C1660" s="266" t="s">
        <v>2515</v>
      </c>
      <c r="D1660" s="124" t="s">
        <v>2516</v>
      </c>
      <c r="E1660" s="125"/>
      <c r="F1660" s="118" t="s">
        <v>2239</v>
      </c>
      <c r="G1660" s="126" t="str">
        <f t="shared" si="110"/>
        <v>AR-R11-1</v>
      </c>
      <c r="H1660" s="253">
        <v>1</v>
      </c>
      <c r="I1660" s="76">
        <v>1</v>
      </c>
      <c r="J1660" s="299" t="s">
        <v>286</v>
      </c>
      <c r="K1660" s="299"/>
      <c r="L1660" s="84"/>
      <c r="M1660" s="76"/>
      <c r="Q1660" s="84"/>
      <c r="T1660" s="76"/>
    </row>
    <row r="1661" spans="2:20" s="100" customFormat="1" ht="15" hidden="1" customHeight="1" outlineLevel="2">
      <c r="B1661" s="119" t="s">
        <v>272</v>
      </c>
      <c r="C1661" s="266" t="s">
        <v>2517</v>
      </c>
      <c r="D1661" s="124" t="s">
        <v>2518</v>
      </c>
      <c r="E1661" s="125"/>
      <c r="F1661" s="118" t="s">
        <v>2239</v>
      </c>
      <c r="G1661" s="126" t="str">
        <f t="shared" si="110"/>
        <v>AR-R11-1</v>
      </c>
      <c r="H1661" s="253">
        <v>1</v>
      </c>
      <c r="I1661" s="76">
        <v>1</v>
      </c>
      <c r="J1661" s="299" t="s">
        <v>286</v>
      </c>
      <c r="K1661" s="299"/>
      <c r="L1661" s="84"/>
      <c r="M1661" s="76"/>
      <c r="Q1661" s="84"/>
      <c r="R1661" s="83"/>
      <c r="S1661" s="83"/>
      <c r="T1661" s="76"/>
    </row>
    <row r="1662" spans="2:20" s="83" customFormat="1" ht="15" hidden="1" customHeight="1" outlineLevel="2">
      <c r="B1662" s="119" t="s">
        <v>272</v>
      </c>
      <c r="C1662" s="266" t="s">
        <v>2519</v>
      </c>
      <c r="D1662" s="124" t="s">
        <v>2520</v>
      </c>
      <c r="E1662" s="125"/>
      <c r="F1662" s="118" t="s">
        <v>2239</v>
      </c>
      <c r="G1662" s="126" t="str">
        <f t="shared" si="110"/>
        <v>AR-R11-1</v>
      </c>
      <c r="H1662" s="253">
        <v>1</v>
      </c>
      <c r="I1662" s="76">
        <v>1</v>
      </c>
      <c r="J1662" s="299" t="s">
        <v>286</v>
      </c>
      <c r="K1662" s="299"/>
      <c r="L1662" s="84"/>
      <c r="M1662" s="76"/>
      <c r="Q1662" s="84"/>
      <c r="T1662" s="76"/>
    </row>
    <row r="1663" spans="2:20" s="83" customFormat="1" ht="15" hidden="1" customHeight="1" outlineLevel="2">
      <c r="B1663" s="119" t="s">
        <v>272</v>
      </c>
      <c r="C1663" s="266" t="s">
        <v>2521</v>
      </c>
      <c r="D1663" s="124" t="s">
        <v>2522</v>
      </c>
      <c r="E1663" s="125"/>
      <c r="F1663" s="118" t="s">
        <v>2239</v>
      </c>
      <c r="G1663" s="126" t="str">
        <f t="shared" si="110"/>
        <v>AR-R11-1</v>
      </c>
      <c r="H1663" s="253">
        <v>1</v>
      </c>
      <c r="I1663" s="76">
        <v>1</v>
      </c>
      <c r="J1663" s="299" t="s">
        <v>286</v>
      </c>
      <c r="K1663" s="299"/>
      <c r="L1663" s="84"/>
      <c r="M1663" s="76"/>
      <c r="Q1663" s="84"/>
      <c r="T1663" s="76"/>
    </row>
    <row r="1664" spans="2:20" s="83" customFormat="1" ht="15" hidden="1" customHeight="1" outlineLevel="2">
      <c r="B1664" s="119" t="s">
        <v>272</v>
      </c>
      <c r="C1664" s="266" t="s">
        <v>2523</v>
      </c>
      <c r="D1664" s="124" t="s">
        <v>2524</v>
      </c>
      <c r="E1664" s="125"/>
      <c r="F1664" s="118" t="s">
        <v>2239</v>
      </c>
      <c r="G1664" s="126" t="str">
        <f t="shared" si="110"/>
        <v>AR-R11-1</v>
      </c>
      <c r="H1664" s="253">
        <v>1</v>
      </c>
      <c r="I1664" s="76">
        <v>1</v>
      </c>
      <c r="J1664" s="299" t="s">
        <v>286</v>
      </c>
      <c r="K1664" s="299"/>
      <c r="L1664" s="84"/>
      <c r="M1664" s="76"/>
      <c r="Q1664" s="84"/>
      <c r="T1664" s="76"/>
    </row>
    <row r="1665" spans="2:20" s="83" customFormat="1" ht="15" hidden="1" customHeight="1" outlineLevel="2">
      <c r="B1665" s="119" t="s">
        <v>272</v>
      </c>
      <c r="C1665" s="266" t="s">
        <v>2525</v>
      </c>
      <c r="D1665" s="124" t="s">
        <v>2526</v>
      </c>
      <c r="E1665" s="125"/>
      <c r="F1665" s="118" t="s">
        <v>2239</v>
      </c>
      <c r="G1665" s="126" t="str">
        <f t="shared" si="110"/>
        <v>AR-R11-1</v>
      </c>
      <c r="H1665" s="253">
        <v>1</v>
      </c>
      <c r="I1665" s="76">
        <v>1</v>
      </c>
      <c r="J1665" s="299" t="s">
        <v>286</v>
      </c>
      <c r="K1665" s="299"/>
      <c r="L1665" s="84"/>
      <c r="M1665" s="76"/>
      <c r="Q1665" s="84"/>
      <c r="T1665" s="76"/>
    </row>
    <row r="1666" spans="2:20" s="83" customFormat="1" ht="15" hidden="1" customHeight="1" outlineLevel="2">
      <c r="B1666" s="119" t="s">
        <v>272</v>
      </c>
      <c r="C1666" s="266" t="s">
        <v>2527</v>
      </c>
      <c r="D1666" s="124" t="s">
        <v>2528</v>
      </c>
      <c r="E1666" s="125"/>
      <c r="F1666" s="118" t="s">
        <v>2239</v>
      </c>
      <c r="G1666" s="126" t="str">
        <f t="shared" si="110"/>
        <v>AR-R11-1</v>
      </c>
      <c r="H1666" s="253">
        <v>1</v>
      </c>
      <c r="I1666" s="76">
        <v>1</v>
      </c>
      <c r="J1666" s="299" t="s">
        <v>286</v>
      </c>
      <c r="K1666" s="299"/>
      <c r="L1666" s="84"/>
      <c r="M1666" s="76"/>
      <c r="Q1666" s="84"/>
      <c r="T1666" s="76"/>
    </row>
    <row r="1667" spans="2:20" s="83" customFormat="1" ht="15" hidden="1" customHeight="1" outlineLevel="2">
      <c r="B1667" s="119" t="s">
        <v>272</v>
      </c>
      <c r="C1667" s="266" t="s">
        <v>2529</v>
      </c>
      <c r="D1667" s="124" t="s">
        <v>2530</v>
      </c>
      <c r="E1667" s="125"/>
      <c r="F1667" s="118" t="s">
        <v>2239</v>
      </c>
      <c r="G1667" s="126" t="str">
        <f t="shared" si="110"/>
        <v>AR-R11-1</v>
      </c>
      <c r="H1667" s="253">
        <v>1</v>
      </c>
      <c r="I1667" s="76">
        <v>1</v>
      </c>
      <c r="J1667" s="299" t="s">
        <v>286</v>
      </c>
      <c r="K1667" s="299"/>
      <c r="L1667" s="84"/>
      <c r="M1667" s="76"/>
      <c r="Q1667" s="84"/>
      <c r="T1667" s="76"/>
    </row>
    <row r="1668" spans="2:20" s="83" customFormat="1" ht="15" hidden="1" customHeight="1" outlineLevel="2">
      <c r="B1668" s="119" t="s">
        <v>272</v>
      </c>
      <c r="C1668" s="266" t="s">
        <v>2531</v>
      </c>
      <c r="D1668" s="124" t="s">
        <v>2532</v>
      </c>
      <c r="E1668" s="125"/>
      <c r="F1668" s="118" t="s">
        <v>2239</v>
      </c>
      <c r="G1668" s="126" t="str">
        <f t="shared" si="110"/>
        <v>AR-R11-1</v>
      </c>
      <c r="H1668" s="253">
        <v>1</v>
      </c>
      <c r="I1668" s="76">
        <v>1</v>
      </c>
      <c r="J1668" s="299" t="s">
        <v>286</v>
      </c>
      <c r="K1668" s="299"/>
      <c r="L1668" s="84"/>
      <c r="M1668" s="76"/>
      <c r="Q1668" s="84"/>
      <c r="T1668" s="76"/>
    </row>
    <row r="1669" spans="2:20" s="83" customFormat="1" ht="15" hidden="1" customHeight="1" outlineLevel="2">
      <c r="B1669" s="119" t="s">
        <v>272</v>
      </c>
      <c r="C1669" s="266" t="s">
        <v>2533</v>
      </c>
      <c r="D1669" s="124" t="s">
        <v>2534</v>
      </c>
      <c r="E1669" s="125"/>
      <c r="F1669" s="118" t="s">
        <v>2239</v>
      </c>
      <c r="G1669" s="126" t="str">
        <f t="shared" si="110"/>
        <v>AR-R11-1</v>
      </c>
      <c r="H1669" s="253">
        <v>1</v>
      </c>
      <c r="I1669" s="76">
        <v>1</v>
      </c>
      <c r="J1669" s="299" t="s">
        <v>286</v>
      </c>
      <c r="K1669" s="299"/>
      <c r="L1669" s="84"/>
      <c r="M1669" s="76"/>
      <c r="Q1669" s="84"/>
      <c r="T1669" s="76"/>
    </row>
    <row r="1670" spans="2:20" s="83" customFormat="1" ht="15" hidden="1" customHeight="1" outlineLevel="2">
      <c r="B1670" s="119" t="s">
        <v>272</v>
      </c>
      <c r="C1670" s="266" t="s">
        <v>2535</v>
      </c>
      <c r="D1670" s="124" t="s">
        <v>2536</v>
      </c>
      <c r="E1670" s="125"/>
      <c r="F1670" s="118" t="s">
        <v>2239</v>
      </c>
      <c r="G1670" s="126" t="str">
        <f t="shared" si="110"/>
        <v>AR-R11-1</v>
      </c>
      <c r="H1670" s="253">
        <v>1</v>
      </c>
      <c r="I1670" s="76">
        <v>1</v>
      </c>
      <c r="J1670" s="299" t="s">
        <v>286</v>
      </c>
      <c r="K1670" s="299"/>
      <c r="L1670" s="84"/>
      <c r="M1670" s="76"/>
      <c r="Q1670" s="84"/>
      <c r="T1670" s="76"/>
    </row>
    <row r="1671" spans="2:20" s="83" customFormat="1" ht="15" hidden="1" customHeight="1" outlineLevel="2">
      <c r="B1671" s="119" t="s">
        <v>272</v>
      </c>
      <c r="C1671" s="266" t="s">
        <v>2537</v>
      </c>
      <c r="D1671" s="124" t="s">
        <v>2538</v>
      </c>
      <c r="E1671" s="125"/>
      <c r="F1671" s="118" t="s">
        <v>2239</v>
      </c>
      <c r="G1671" s="126" t="str">
        <f t="shared" si="110"/>
        <v>AR-R11-1</v>
      </c>
      <c r="H1671" s="253">
        <v>1</v>
      </c>
      <c r="I1671" s="76">
        <v>1</v>
      </c>
      <c r="J1671" s="299" t="s">
        <v>286</v>
      </c>
      <c r="K1671" s="299"/>
      <c r="L1671" s="84"/>
      <c r="M1671" s="76"/>
      <c r="Q1671" s="84"/>
      <c r="T1671" s="76"/>
    </row>
    <row r="1672" spans="2:20" s="83" customFormat="1" ht="15" hidden="1" customHeight="1" outlineLevel="2">
      <c r="B1672" s="119" t="s">
        <v>272</v>
      </c>
      <c r="C1672" s="266" t="s">
        <v>2539</v>
      </c>
      <c r="D1672" s="124" t="s">
        <v>2540</v>
      </c>
      <c r="E1672" s="125"/>
      <c r="F1672" s="118" t="s">
        <v>2239</v>
      </c>
      <c r="G1672" s="126" t="str">
        <f t="shared" si="110"/>
        <v>AR-R11-1</v>
      </c>
      <c r="H1672" s="253">
        <v>1</v>
      </c>
      <c r="I1672" s="76">
        <v>1</v>
      </c>
      <c r="J1672" s="299" t="s">
        <v>286</v>
      </c>
      <c r="K1672" s="299"/>
      <c r="L1672" s="84"/>
      <c r="M1672" s="76"/>
      <c r="Q1672" s="84"/>
      <c r="T1672" s="76"/>
    </row>
    <row r="1673" spans="2:20" s="83" customFormat="1" ht="15" hidden="1" customHeight="1" outlineLevel="2">
      <c r="B1673" s="119" t="s">
        <v>272</v>
      </c>
      <c r="C1673" s="266" t="s">
        <v>2541</v>
      </c>
      <c r="D1673" s="124" t="s">
        <v>2538</v>
      </c>
      <c r="E1673" s="125"/>
      <c r="F1673" s="118" t="s">
        <v>2239</v>
      </c>
      <c r="G1673" s="126" t="str">
        <f t="shared" si="110"/>
        <v>AR-R11-1</v>
      </c>
      <c r="H1673" s="253">
        <v>1</v>
      </c>
      <c r="I1673" s="76">
        <v>1</v>
      </c>
      <c r="J1673" s="299" t="s">
        <v>286</v>
      </c>
      <c r="K1673" s="299"/>
      <c r="L1673" s="84"/>
      <c r="M1673" s="76"/>
      <c r="Q1673" s="84"/>
      <c r="T1673" s="76"/>
    </row>
    <row r="1674" spans="2:20" s="83" customFormat="1" ht="15" hidden="1" customHeight="1" outlineLevel="2">
      <c r="B1674" s="119" t="s">
        <v>272</v>
      </c>
      <c r="C1674" s="266" t="s">
        <v>2542</v>
      </c>
      <c r="D1674" s="124" t="s">
        <v>2543</v>
      </c>
      <c r="E1674" s="125"/>
      <c r="F1674" s="118" t="s">
        <v>2239</v>
      </c>
      <c r="G1674" s="126" t="str">
        <f t="shared" si="110"/>
        <v>AR-R11-1</v>
      </c>
      <c r="H1674" s="253">
        <v>1</v>
      </c>
      <c r="I1674" s="76">
        <v>1</v>
      </c>
      <c r="J1674" s="299" t="s">
        <v>286</v>
      </c>
      <c r="K1674" s="299"/>
      <c r="L1674" s="84"/>
      <c r="M1674" s="76"/>
      <c r="Q1674" s="84"/>
      <c r="T1674" s="76"/>
    </row>
    <row r="1675" spans="2:20" s="83" customFormat="1" ht="15" hidden="1" customHeight="1" outlineLevel="2">
      <c r="B1675" s="119" t="s">
        <v>272</v>
      </c>
      <c r="C1675" s="266" t="s">
        <v>2544</v>
      </c>
      <c r="D1675" s="124" t="s">
        <v>2540</v>
      </c>
      <c r="E1675" s="125"/>
      <c r="F1675" s="118" t="s">
        <v>2239</v>
      </c>
      <c r="G1675" s="126" t="str">
        <f t="shared" si="110"/>
        <v>AR-R11-1</v>
      </c>
      <c r="H1675" s="253">
        <v>1</v>
      </c>
      <c r="I1675" s="76">
        <v>1</v>
      </c>
      <c r="J1675" s="299" t="s">
        <v>286</v>
      </c>
      <c r="K1675" s="299"/>
      <c r="L1675" s="84"/>
      <c r="M1675" s="76"/>
      <c r="Q1675" s="84"/>
      <c r="T1675" s="76"/>
    </row>
    <row r="1676" spans="2:20" s="99" customFormat="1" ht="15" hidden="1" customHeight="1" outlineLevel="2">
      <c r="B1676" s="119" t="s">
        <v>272</v>
      </c>
      <c r="C1676" s="266" t="s">
        <v>2545</v>
      </c>
      <c r="D1676" s="124" t="s">
        <v>2538</v>
      </c>
      <c r="E1676" s="125"/>
      <c r="F1676" s="118" t="s">
        <v>2239</v>
      </c>
      <c r="G1676" s="126" t="str">
        <f t="shared" si="110"/>
        <v>AR-R11-1</v>
      </c>
      <c r="H1676" s="253">
        <v>1</v>
      </c>
      <c r="I1676" s="76">
        <v>1</v>
      </c>
      <c r="J1676" s="299" t="s">
        <v>286</v>
      </c>
      <c r="K1676" s="299"/>
      <c r="L1676" s="84"/>
      <c r="M1676" s="76"/>
      <c r="Q1676" s="84"/>
      <c r="R1676" s="83"/>
      <c r="S1676" s="83"/>
      <c r="T1676" s="76"/>
    </row>
    <row r="1677" spans="2:20" s="83" customFormat="1" ht="15" hidden="1" customHeight="1" outlineLevel="2">
      <c r="B1677" s="119" t="s">
        <v>272</v>
      </c>
      <c r="C1677" s="266" t="s">
        <v>2546</v>
      </c>
      <c r="D1677" s="124" t="s">
        <v>2543</v>
      </c>
      <c r="E1677" s="125"/>
      <c r="F1677" s="118" t="s">
        <v>2239</v>
      </c>
      <c r="G1677" s="126" t="str">
        <f t="shared" si="110"/>
        <v>AR-R11-1</v>
      </c>
      <c r="H1677" s="253">
        <v>1</v>
      </c>
      <c r="I1677" s="76">
        <v>1</v>
      </c>
      <c r="J1677" s="299" t="s">
        <v>286</v>
      </c>
      <c r="K1677" s="299"/>
      <c r="L1677" s="84"/>
      <c r="M1677" s="76"/>
      <c r="Q1677" s="84"/>
      <c r="T1677" s="76"/>
    </row>
    <row r="1678" spans="2:20" s="83" customFormat="1" ht="15" hidden="1" customHeight="1" outlineLevel="2">
      <c r="B1678" s="119" t="s">
        <v>272</v>
      </c>
      <c r="C1678" s="266" t="s">
        <v>2547</v>
      </c>
      <c r="D1678" s="124" t="s">
        <v>2540</v>
      </c>
      <c r="E1678" s="125"/>
      <c r="F1678" s="118" t="s">
        <v>2239</v>
      </c>
      <c r="G1678" s="126" t="str">
        <f t="shared" si="110"/>
        <v>AR-R11-1</v>
      </c>
      <c r="H1678" s="253">
        <v>1</v>
      </c>
      <c r="I1678" s="76">
        <v>1</v>
      </c>
      <c r="J1678" s="299" t="s">
        <v>286</v>
      </c>
      <c r="K1678" s="299"/>
      <c r="L1678" s="84"/>
      <c r="M1678" s="76"/>
      <c r="Q1678" s="84"/>
      <c r="T1678" s="76"/>
    </row>
    <row r="1679" spans="2:20" s="83" customFormat="1" ht="15" hidden="1" customHeight="1" outlineLevel="2">
      <c r="B1679" s="119" t="s">
        <v>272</v>
      </c>
      <c r="C1679" s="266" t="s">
        <v>2548</v>
      </c>
      <c r="D1679" s="124" t="s">
        <v>2538</v>
      </c>
      <c r="E1679" s="125"/>
      <c r="F1679" s="118" t="s">
        <v>2239</v>
      </c>
      <c r="G1679" s="126" t="str">
        <f t="shared" si="110"/>
        <v>AR-R11-1</v>
      </c>
      <c r="H1679" s="253">
        <v>1</v>
      </c>
      <c r="I1679" s="76">
        <v>1</v>
      </c>
      <c r="J1679" s="299" t="s">
        <v>286</v>
      </c>
      <c r="K1679" s="299"/>
      <c r="L1679" s="84"/>
      <c r="M1679" s="76"/>
      <c r="Q1679" s="84"/>
      <c r="T1679" s="76"/>
    </row>
    <row r="1680" spans="2:20" s="83" customFormat="1" ht="15" hidden="1" customHeight="1" outlineLevel="2">
      <c r="B1680" s="119" t="s">
        <v>272</v>
      </c>
      <c r="C1680" s="266" t="s">
        <v>2549</v>
      </c>
      <c r="D1680" s="124" t="s">
        <v>2543</v>
      </c>
      <c r="E1680" s="125"/>
      <c r="F1680" s="118" t="s">
        <v>2239</v>
      </c>
      <c r="G1680" s="126" t="str">
        <f t="shared" si="110"/>
        <v>AR-R11-1</v>
      </c>
      <c r="H1680" s="253">
        <v>1</v>
      </c>
      <c r="I1680" s="76">
        <v>1</v>
      </c>
      <c r="J1680" s="299" t="s">
        <v>286</v>
      </c>
      <c r="K1680" s="299"/>
      <c r="L1680" s="84"/>
      <c r="M1680" s="76"/>
      <c r="Q1680" s="84"/>
      <c r="T1680" s="76"/>
    </row>
    <row r="1681" spans="2:20" s="83" customFormat="1" ht="15" hidden="1" customHeight="1" outlineLevel="2">
      <c r="B1681" s="119" t="s">
        <v>272</v>
      </c>
      <c r="C1681" s="266" t="s">
        <v>2550</v>
      </c>
      <c r="D1681" s="124" t="s">
        <v>2540</v>
      </c>
      <c r="E1681" s="125"/>
      <c r="F1681" s="118" t="s">
        <v>2239</v>
      </c>
      <c r="G1681" s="126" t="str">
        <f t="shared" si="110"/>
        <v>AR-R11-1</v>
      </c>
      <c r="H1681" s="253">
        <v>1</v>
      </c>
      <c r="I1681" s="76">
        <v>1</v>
      </c>
      <c r="J1681" s="299" t="s">
        <v>286</v>
      </c>
      <c r="K1681" s="299"/>
      <c r="L1681" s="84"/>
      <c r="M1681" s="76"/>
      <c r="Q1681" s="84"/>
      <c r="T1681" s="76"/>
    </row>
    <row r="1682" spans="2:20" s="83" customFormat="1" ht="15" hidden="1" customHeight="1" outlineLevel="2">
      <c r="B1682" s="119" t="s">
        <v>272</v>
      </c>
      <c r="C1682" s="266" t="s">
        <v>2551</v>
      </c>
      <c r="D1682" s="124" t="s">
        <v>2552</v>
      </c>
      <c r="E1682" s="125"/>
      <c r="F1682" s="118" t="s">
        <v>2239</v>
      </c>
      <c r="G1682" s="126" t="str">
        <f t="shared" si="110"/>
        <v>AR-R11-1</v>
      </c>
      <c r="H1682" s="253">
        <v>1</v>
      </c>
      <c r="I1682" s="76">
        <v>1</v>
      </c>
      <c r="J1682" s="299" t="s">
        <v>286</v>
      </c>
      <c r="K1682" s="299"/>
      <c r="L1682" s="84"/>
      <c r="M1682" s="76"/>
      <c r="Q1682" s="84"/>
      <c r="T1682" s="76"/>
    </row>
    <row r="1683" spans="2:20" s="83" customFormat="1" ht="15" hidden="1" customHeight="1" outlineLevel="2">
      <c r="B1683" s="119" t="s">
        <v>272</v>
      </c>
      <c r="C1683" s="266" t="s">
        <v>2553</v>
      </c>
      <c r="D1683" s="124" t="s">
        <v>2540</v>
      </c>
      <c r="E1683" s="125"/>
      <c r="F1683" s="118" t="s">
        <v>2239</v>
      </c>
      <c r="G1683" s="126" t="str">
        <f t="shared" si="110"/>
        <v>AR-R11-1</v>
      </c>
      <c r="H1683" s="253">
        <v>1</v>
      </c>
      <c r="I1683" s="76">
        <v>1</v>
      </c>
      <c r="J1683" s="299" t="s">
        <v>286</v>
      </c>
      <c r="K1683" s="299"/>
      <c r="L1683" s="84"/>
      <c r="M1683" s="76"/>
      <c r="Q1683" s="84"/>
      <c r="T1683" s="76"/>
    </row>
    <row r="1684" spans="2:20" s="83" customFormat="1" ht="15" hidden="1" customHeight="1" outlineLevel="2">
      <c r="B1684" s="119" t="s">
        <v>272</v>
      </c>
      <c r="C1684" s="266" t="s">
        <v>2554</v>
      </c>
      <c r="D1684" s="124" t="s">
        <v>2538</v>
      </c>
      <c r="E1684" s="125"/>
      <c r="F1684" s="118" t="s">
        <v>2239</v>
      </c>
      <c r="G1684" s="126" t="str">
        <f t="shared" si="110"/>
        <v>AR-R11-1</v>
      </c>
      <c r="H1684" s="253">
        <v>1</v>
      </c>
      <c r="I1684" s="76">
        <v>1</v>
      </c>
      <c r="J1684" s="299" t="s">
        <v>286</v>
      </c>
      <c r="K1684" s="299"/>
      <c r="L1684" s="84"/>
      <c r="M1684" s="76"/>
      <c r="Q1684" s="84"/>
      <c r="T1684" s="76"/>
    </row>
    <row r="1685" spans="2:20" s="83" customFormat="1" ht="15" hidden="1" customHeight="1" outlineLevel="2">
      <c r="B1685" s="119" t="s">
        <v>272</v>
      </c>
      <c r="C1685" s="266" t="s">
        <v>2555</v>
      </c>
      <c r="D1685" s="124" t="s">
        <v>2552</v>
      </c>
      <c r="E1685" s="125"/>
      <c r="F1685" s="118" t="s">
        <v>2239</v>
      </c>
      <c r="G1685" s="126" t="str">
        <f t="shared" si="110"/>
        <v>AR-R11-1</v>
      </c>
      <c r="H1685" s="253">
        <v>1</v>
      </c>
      <c r="I1685" s="76">
        <v>1</v>
      </c>
      <c r="J1685" s="299" t="s">
        <v>286</v>
      </c>
      <c r="K1685" s="299"/>
      <c r="L1685" s="84"/>
      <c r="M1685" s="76"/>
      <c r="Q1685" s="84"/>
      <c r="T1685" s="76"/>
    </row>
    <row r="1686" spans="2:20" s="83" customFormat="1" ht="15" hidden="1" customHeight="1" outlineLevel="2">
      <c r="B1686" s="119" t="s">
        <v>272</v>
      </c>
      <c r="C1686" s="266" t="s">
        <v>2556</v>
      </c>
      <c r="D1686" s="124" t="s">
        <v>2540</v>
      </c>
      <c r="E1686" s="125"/>
      <c r="F1686" s="118" t="s">
        <v>2239</v>
      </c>
      <c r="G1686" s="126" t="str">
        <f t="shared" si="110"/>
        <v>AR-R11-1</v>
      </c>
      <c r="H1686" s="253">
        <v>1</v>
      </c>
      <c r="I1686" s="76">
        <v>1</v>
      </c>
      <c r="J1686" s="299" t="s">
        <v>286</v>
      </c>
      <c r="K1686" s="299"/>
      <c r="L1686" s="84"/>
      <c r="M1686" s="76"/>
      <c r="Q1686" s="84"/>
      <c r="T1686" s="76"/>
    </row>
    <row r="1687" spans="2:20" s="83" customFormat="1" ht="15" hidden="1" customHeight="1" outlineLevel="2">
      <c r="B1687" s="119" t="s">
        <v>272</v>
      </c>
      <c r="C1687" s="266" t="s">
        <v>2557</v>
      </c>
      <c r="D1687" s="124" t="s">
        <v>2538</v>
      </c>
      <c r="E1687" s="125"/>
      <c r="F1687" s="118" t="s">
        <v>2239</v>
      </c>
      <c r="G1687" s="126" t="str">
        <f t="shared" si="110"/>
        <v>AR-R11-1</v>
      </c>
      <c r="H1687" s="253">
        <v>1</v>
      </c>
      <c r="I1687" s="76">
        <v>1</v>
      </c>
      <c r="J1687" s="299" t="s">
        <v>286</v>
      </c>
      <c r="K1687" s="299"/>
      <c r="L1687" s="84"/>
      <c r="M1687" s="76"/>
      <c r="Q1687" s="84"/>
      <c r="T1687" s="76"/>
    </row>
    <row r="1688" spans="2:20" s="83" customFormat="1" ht="15" hidden="1" customHeight="1" outlineLevel="2">
      <c r="B1688" s="119" t="s">
        <v>272</v>
      </c>
      <c r="C1688" s="266" t="s">
        <v>2558</v>
      </c>
      <c r="D1688" s="124" t="s">
        <v>2552</v>
      </c>
      <c r="E1688" s="125"/>
      <c r="F1688" s="118" t="s">
        <v>2239</v>
      </c>
      <c r="G1688" s="126" t="str">
        <f t="shared" si="110"/>
        <v>AR-R11-1</v>
      </c>
      <c r="H1688" s="253">
        <v>1</v>
      </c>
      <c r="I1688" s="76">
        <v>1</v>
      </c>
      <c r="J1688" s="299" t="s">
        <v>286</v>
      </c>
      <c r="K1688" s="299"/>
      <c r="L1688" s="84"/>
      <c r="M1688" s="76"/>
      <c r="Q1688" s="84"/>
      <c r="T1688" s="76"/>
    </row>
    <row r="1689" spans="2:20" s="83" customFormat="1" ht="15" hidden="1" customHeight="1" outlineLevel="2">
      <c r="B1689" s="119" t="s">
        <v>272</v>
      </c>
      <c r="C1689" s="266" t="s">
        <v>2559</v>
      </c>
      <c r="D1689" s="124" t="s">
        <v>2540</v>
      </c>
      <c r="E1689" s="125"/>
      <c r="F1689" s="118" t="s">
        <v>2239</v>
      </c>
      <c r="G1689" s="126" t="str">
        <f t="shared" si="110"/>
        <v>AR-R11-1</v>
      </c>
      <c r="H1689" s="253">
        <v>1</v>
      </c>
      <c r="I1689" s="76">
        <v>1</v>
      </c>
      <c r="J1689" s="299" t="s">
        <v>286</v>
      </c>
      <c r="K1689" s="299"/>
      <c r="L1689" s="84"/>
      <c r="M1689" s="76"/>
      <c r="Q1689" s="84"/>
      <c r="T1689" s="76"/>
    </row>
    <row r="1690" spans="2:20" s="83" customFormat="1" ht="15" hidden="1" customHeight="1" outlineLevel="2">
      <c r="B1690" s="119" t="s">
        <v>272</v>
      </c>
      <c r="C1690" s="266" t="s">
        <v>2560</v>
      </c>
      <c r="D1690" s="124" t="s">
        <v>2538</v>
      </c>
      <c r="E1690" s="125"/>
      <c r="F1690" s="118" t="s">
        <v>2239</v>
      </c>
      <c r="G1690" s="126" t="str">
        <f t="shared" si="110"/>
        <v>AR-R11-1</v>
      </c>
      <c r="H1690" s="253">
        <v>1</v>
      </c>
      <c r="I1690" s="76">
        <v>1</v>
      </c>
      <c r="J1690" s="299" t="s">
        <v>286</v>
      </c>
      <c r="K1690" s="299"/>
      <c r="L1690" s="84"/>
      <c r="M1690" s="76"/>
      <c r="Q1690" s="84"/>
      <c r="T1690" s="76"/>
    </row>
    <row r="1691" spans="2:20" s="83" customFormat="1" ht="15" hidden="1" customHeight="1" outlineLevel="2">
      <c r="B1691" s="119" t="s">
        <v>272</v>
      </c>
      <c r="C1691" s="266" t="s">
        <v>2561</v>
      </c>
      <c r="D1691" s="124" t="s">
        <v>2562</v>
      </c>
      <c r="E1691" s="125"/>
      <c r="F1691" s="118" t="s">
        <v>2239</v>
      </c>
      <c r="G1691" s="126" t="str">
        <f t="shared" si="110"/>
        <v>AR-R11-1</v>
      </c>
      <c r="H1691" s="253">
        <v>1</v>
      </c>
      <c r="I1691" s="76">
        <v>1</v>
      </c>
      <c r="J1691" s="299" t="s">
        <v>286</v>
      </c>
      <c r="K1691" s="299"/>
      <c r="L1691" s="84"/>
      <c r="M1691" s="76"/>
      <c r="Q1691" s="84"/>
      <c r="T1691" s="76"/>
    </row>
    <row r="1692" spans="2:20" s="83" customFormat="1" ht="15" hidden="1" customHeight="1" outlineLevel="2">
      <c r="B1692" s="119" t="s">
        <v>272</v>
      </c>
      <c r="C1692" s="266" t="s">
        <v>2563</v>
      </c>
      <c r="D1692" s="124" t="s">
        <v>2540</v>
      </c>
      <c r="E1692" s="125"/>
      <c r="F1692" s="118" t="s">
        <v>2239</v>
      </c>
      <c r="G1692" s="126" t="str">
        <f t="shared" si="110"/>
        <v>AR-R11-1</v>
      </c>
      <c r="H1692" s="253">
        <v>1</v>
      </c>
      <c r="I1692" s="76">
        <v>1</v>
      </c>
      <c r="J1692" s="299" t="s">
        <v>286</v>
      </c>
      <c r="K1692" s="299"/>
      <c r="L1692" s="84"/>
      <c r="M1692" s="76"/>
      <c r="Q1692" s="84"/>
      <c r="T1692" s="76"/>
    </row>
    <row r="1693" spans="2:20" s="83" customFormat="1" ht="15" hidden="1" customHeight="1" outlineLevel="2">
      <c r="B1693" s="119" t="s">
        <v>272</v>
      </c>
      <c r="C1693" s="266" t="s">
        <v>2564</v>
      </c>
      <c r="D1693" s="124" t="s">
        <v>2538</v>
      </c>
      <c r="E1693" s="125"/>
      <c r="F1693" s="118" t="s">
        <v>2239</v>
      </c>
      <c r="G1693" s="126" t="str">
        <f t="shared" si="110"/>
        <v>AR-R11-1</v>
      </c>
      <c r="H1693" s="253">
        <v>1</v>
      </c>
      <c r="I1693" s="76">
        <v>1</v>
      </c>
      <c r="J1693" s="299" t="s">
        <v>286</v>
      </c>
      <c r="K1693" s="299"/>
      <c r="L1693" s="84"/>
      <c r="M1693" s="76"/>
      <c r="Q1693" s="84"/>
      <c r="T1693" s="76"/>
    </row>
    <row r="1694" spans="2:20" s="83" customFormat="1" ht="15" hidden="1" customHeight="1" outlineLevel="2">
      <c r="B1694" s="119" t="s">
        <v>272</v>
      </c>
      <c r="C1694" s="266" t="s">
        <v>2565</v>
      </c>
      <c r="D1694" s="124" t="s">
        <v>2562</v>
      </c>
      <c r="E1694" s="125"/>
      <c r="F1694" s="118" t="s">
        <v>2239</v>
      </c>
      <c r="G1694" s="126" t="str">
        <f t="shared" si="110"/>
        <v>AR-R11-1</v>
      </c>
      <c r="H1694" s="253">
        <v>1</v>
      </c>
      <c r="I1694" s="76">
        <v>1</v>
      </c>
      <c r="J1694" s="299" t="s">
        <v>286</v>
      </c>
      <c r="K1694" s="299"/>
      <c r="L1694" s="84"/>
      <c r="M1694" s="76"/>
      <c r="Q1694" s="84"/>
      <c r="T1694" s="76"/>
    </row>
    <row r="1695" spans="2:20" s="83" customFormat="1" ht="15" hidden="1" customHeight="1" outlineLevel="2">
      <c r="B1695" s="119" t="s">
        <v>272</v>
      </c>
      <c r="C1695" s="266" t="s">
        <v>2566</v>
      </c>
      <c r="D1695" s="124" t="s">
        <v>2540</v>
      </c>
      <c r="E1695" s="125"/>
      <c r="F1695" s="118" t="s">
        <v>2239</v>
      </c>
      <c r="G1695" s="126" t="str">
        <f t="shared" si="110"/>
        <v>AR-R11-1</v>
      </c>
      <c r="H1695" s="253">
        <v>1</v>
      </c>
      <c r="I1695" s="76">
        <v>1</v>
      </c>
      <c r="J1695" s="299" t="s">
        <v>286</v>
      </c>
      <c r="K1695" s="299"/>
      <c r="L1695" s="84"/>
      <c r="M1695" s="76"/>
      <c r="Q1695" s="84"/>
      <c r="T1695" s="76"/>
    </row>
    <row r="1696" spans="2:20" s="83" customFormat="1" ht="15" hidden="1" customHeight="1" outlineLevel="2">
      <c r="B1696" s="119" t="s">
        <v>272</v>
      </c>
      <c r="C1696" s="266" t="s">
        <v>2567</v>
      </c>
      <c r="D1696" s="124" t="s">
        <v>2538</v>
      </c>
      <c r="E1696" s="125"/>
      <c r="F1696" s="118" t="s">
        <v>2239</v>
      </c>
      <c r="G1696" s="126" t="str">
        <f t="shared" si="110"/>
        <v>AR-R11-1</v>
      </c>
      <c r="H1696" s="253">
        <v>1</v>
      </c>
      <c r="I1696" s="76">
        <v>1</v>
      </c>
      <c r="J1696" s="299" t="s">
        <v>286</v>
      </c>
      <c r="K1696" s="299"/>
      <c r="L1696" s="84"/>
      <c r="M1696" s="76"/>
      <c r="Q1696" s="84"/>
      <c r="T1696" s="76"/>
    </row>
    <row r="1697" spans="2:20" s="83" customFormat="1" ht="15" hidden="1" customHeight="1" outlineLevel="2">
      <c r="B1697" s="119" t="s">
        <v>272</v>
      </c>
      <c r="C1697" s="266" t="s">
        <v>2568</v>
      </c>
      <c r="D1697" s="124" t="s">
        <v>2562</v>
      </c>
      <c r="E1697" s="125"/>
      <c r="F1697" s="118" t="s">
        <v>2239</v>
      </c>
      <c r="G1697" s="126" t="str">
        <f t="shared" si="110"/>
        <v>AR-R11-1</v>
      </c>
      <c r="H1697" s="253">
        <v>1</v>
      </c>
      <c r="I1697" s="76">
        <v>1</v>
      </c>
      <c r="J1697" s="299" t="s">
        <v>286</v>
      </c>
      <c r="K1697" s="299"/>
      <c r="L1697" s="84"/>
      <c r="M1697" s="76"/>
      <c r="Q1697" s="84"/>
      <c r="T1697" s="76"/>
    </row>
    <row r="1698" spans="2:20" s="83" customFormat="1" ht="15" hidden="1" customHeight="1" outlineLevel="2">
      <c r="B1698" s="119" t="s">
        <v>272</v>
      </c>
      <c r="C1698" s="266" t="s">
        <v>2569</v>
      </c>
      <c r="D1698" s="124" t="s">
        <v>2570</v>
      </c>
      <c r="E1698" s="125"/>
      <c r="F1698" s="118" t="s">
        <v>2239</v>
      </c>
      <c r="G1698" s="126" t="str">
        <f t="shared" si="110"/>
        <v>AR-R11-1</v>
      </c>
      <c r="H1698" s="253">
        <v>1</v>
      </c>
      <c r="I1698" s="76">
        <v>1</v>
      </c>
      <c r="J1698" s="299" t="s">
        <v>286</v>
      </c>
      <c r="K1698" s="299"/>
      <c r="L1698" s="84"/>
      <c r="M1698" s="76"/>
      <c r="Q1698" s="84"/>
      <c r="T1698" s="76"/>
    </row>
    <row r="1699" spans="2:20" s="83" customFormat="1" ht="15" hidden="1" customHeight="1" outlineLevel="2">
      <c r="B1699" s="119" t="s">
        <v>272</v>
      </c>
      <c r="C1699" s="266" t="s">
        <v>2571</v>
      </c>
      <c r="D1699" s="124" t="s">
        <v>2572</v>
      </c>
      <c r="E1699" s="125"/>
      <c r="F1699" s="118" t="s">
        <v>2239</v>
      </c>
      <c r="G1699" s="126" t="str">
        <f t="shared" si="110"/>
        <v>AR-R11-1</v>
      </c>
      <c r="H1699" s="253">
        <v>1</v>
      </c>
      <c r="I1699" s="76">
        <v>1</v>
      </c>
      <c r="J1699" s="299" t="s">
        <v>286</v>
      </c>
      <c r="K1699" s="299"/>
      <c r="L1699" s="84"/>
      <c r="M1699" s="76"/>
      <c r="Q1699" s="84"/>
      <c r="T1699" s="76"/>
    </row>
    <row r="1700" spans="2:20" s="83" customFormat="1" ht="15" hidden="1" customHeight="1" outlineLevel="2">
      <c r="B1700" s="119" t="s">
        <v>272</v>
      </c>
      <c r="C1700" s="266" t="s">
        <v>2573</v>
      </c>
      <c r="D1700" s="124" t="s">
        <v>2572</v>
      </c>
      <c r="E1700" s="125"/>
      <c r="F1700" s="118" t="s">
        <v>2239</v>
      </c>
      <c r="G1700" s="126" t="str">
        <f t="shared" ref="G1700:G1705" si="111">CONCATENATE("AR-",F1700,"-",H1700)</f>
        <v>AR-R11-1</v>
      </c>
      <c r="H1700" s="253">
        <v>1</v>
      </c>
      <c r="I1700" s="76">
        <v>1</v>
      </c>
      <c r="J1700" s="299" t="s">
        <v>286</v>
      </c>
      <c r="K1700" s="299"/>
      <c r="L1700" s="84"/>
      <c r="M1700" s="76"/>
      <c r="Q1700" s="84"/>
      <c r="T1700" s="76"/>
    </row>
    <row r="1701" spans="2:20" s="83" customFormat="1" ht="15" hidden="1" customHeight="1" outlineLevel="2">
      <c r="B1701" s="119" t="s">
        <v>272</v>
      </c>
      <c r="C1701" s="266" t="s">
        <v>2574</v>
      </c>
      <c r="D1701" s="124" t="s">
        <v>2575</v>
      </c>
      <c r="E1701" s="125"/>
      <c r="F1701" s="118" t="s">
        <v>2239</v>
      </c>
      <c r="G1701" s="126" t="str">
        <f t="shared" si="111"/>
        <v>AR-R11-1</v>
      </c>
      <c r="H1701" s="253">
        <v>1</v>
      </c>
      <c r="I1701" s="76">
        <v>1</v>
      </c>
      <c r="J1701" s="299" t="s">
        <v>286</v>
      </c>
      <c r="K1701" s="299"/>
      <c r="L1701" s="84"/>
      <c r="M1701" s="76"/>
      <c r="Q1701" s="84"/>
      <c r="T1701" s="76"/>
    </row>
    <row r="1702" spans="2:20" s="83" customFormat="1" ht="15" hidden="1" customHeight="1" outlineLevel="2">
      <c r="B1702" s="119" t="s">
        <v>272</v>
      </c>
      <c r="C1702" s="266" t="s">
        <v>2576</v>
      </c>
      <c r="D1702" s="124" t="s">
        <v>2577</v>
      </c>
      <c r="E1702" s="125"/>
      <c r="F1702" s="118" t="s">
        <v>2239</v>
      </c>
      <c r="G1702" s="126" t="str">
        <f t="shared" si="111"/>
        <v>AR-R11-1</v>
      </c>
      <c r="H1702" s="253">
        <v>1</v>
      </c>
      <c r="I1702" s="76">
        <v>1</v>
      </c>
      <c r="J1702" s="299" t="s">
        <v>286</v>
      </c>
      <c r="K1702" s="299"/>
      <c r="L1702" s="84"/>
      <c r="M1702" s="76"/>
      <c r="Q1702" s="84"/>
      <c r="T1702" s="76"/>
    </row>
    <row r="1703" spans="2:20" s="83" customFormat="1" ht="15" hidden="1" customHeight="1" outlineLevel="2">
      <c r="B1703" s="119" t="s">
        <v>272</v>
      </c>
      <c r="C1703" s="266" t="s">
        <v>2578</v>
      </c>
      <c r="D1703" s="124" t="s">
        <v>2577</v>
      </c>
      <c r="E1703" s="125"/>
      <c r="F1703" s="118" t="s">
        <v>2239</v>
      </c>
      <c r="G1703" s="126" t="str">
        <f t="shared" si="111"/>
        <v>AR-R11-1</v>
      </c>
      <c r="H1703" s="253">
        <v>1</v>
      </c>
      <c r="I1703" s="76">
        <v>1</v>
      </c>
      <c r="J1703" s="299" t="s">
        <v>286</v>
      </c>
      <c r="K1703" s="299"/>
      <c r="L1703" s="84"/>
      <c r="M1703" s="76"/>
      <c r="Q1703" s="84"/>
      <c r="T1703" s="76"/>
    </row>
    <row r="1704" spans="2:20" s="83" customFormat="1" ht="15" hidden="1" customHeight="1" outlineLevel="2">
      <c r="B1704" s="119" t="s">
        <v>272</v>
      </c>
      <c r="C1704" s="266" t="s">
        <v>2579</v>
      </c>
      <c r="D1704" s="124" t="s">
        <v>2580</v>
      </c>
      <c r="E1704" s="125"/>
      <c r="F1704" s="118" t="s">
        <v>2239</v>
      </c>
      <c r="G1704" s="126" t="str">
        <f t="shared" si="111"/>
        <v>AR-R11-1</v>
      </c>
      <c r="H1704" s="253">
        <v>1</v>
      </c>
      <c r="I1704" s="76">
        <v>1</v>
      </c>
      <c r="J1704" s="299" t="s">
        <v>286</v>
      </c>
      <c r="K1704" s="299"/>
      <c r="L1704" s="84"/>
      <c r="M1704" s="76"/>
      <c r="Q1704" s="84"/>
      <c r="T1704" s="76"/>
    </row>
    <row r="1705" spans="2:20" s="83" customFormat="1" ht="15" hidden="1" customHeight="1" outlineLevel="2">
      <c r="B1705" s="119" t="s">
        <v>272</v>
      </c>
      <c r="C1705" s="266" t="s">
        <v>2581</v>
      </c>
      <c r="D1705" s="124" t="s">
        <v>2582</v>
      </c>
      <c r="E1705" s="125"/>
      <c r="F1705" s="118" t="s">
        <v>2239</v>
      </c>
      <c r="G1705" s="126" t="str">
        <f t="shared" si="111"/>
        <v>AR-R11-1</v>
      </c>
      <c r="H1705" s="253">
        <v>1</v>
      </c>
      <c r="I1705" s="76">
        <v>1</v>
      </c>
      <c r="J1705" s="299" t="s">
        <v>286</v>
      </c>
      <c r="K1705" s="299"/>
      <c r="L1705" s="84"/>
      <c r="M1705" s="76"/>
      <c r="Q1705" s="84"/>
      <c r="T1705" s="76"/>
    </row>
    <row r="1706" spans="2:20" s="83" customFormat="1" ht="15" hidden="1" customHeight="1" outlineLevel="2">
      <c r="B1706" s="119" t="s">
        <v>272</v>
      </c>
      <c r="C1706" s="266" t="s">
        <v>2583</v>
      </c>
      <c r="D1706" s="124" t="s">
        <v>2584</v>
      </c>
      <c r="E1706" s="125"/>
      <c r="F1706" s="118" t="s">
        <v>2239</v>
      </c>
      <c r="G1706" s="126" t="str">
        <f>CONCATENATE("AR-",F1706,"-",H1706)</f>
        <v>AR-R11-1</v>
      </c>
      <c r="H1706" s="253">
        <v>1</v>
      </c>
      <c r="I1706" s="76">
        <v>1</v>
      </c>
      <c r="J1706" s="299" t="s">
        <v>286</v>
      </c>
      <c r="K1706" s="299"/>
      <c r="L1706" s="84"/>
      <c r="M1706" s="76"/>
      <c r="Q1706" s="84"/>
      <c r="T1706" s="76"/>
    </row>
    <row r="1707" spans="2:20" s="83" customFormat="1" ht="15" hidden="1" customHeight="1" outlineLevel="2">
      <c r="B1707" s="119" t="s">
        <v>272</v>
      </c>
      <c r="C1707" s="266" t="s">
        <v>2585</v>
      </c>
      <c r="D1707" s="124" t="s">
        <v>2586</v>
      </c>
      <c r="E1707" s="125"/>
      <c r="F1707" s="118" t="s">
        <v>2239</v>
      </c>
      <c r="G1707" s="126" t="str">
        <f>CONCATENATE("AR-",F1707,"-",H1707)</f>
        <v>AR-R11-1</v>
      </c>
      <c r="H1707" s="253">
        <v>1</v>
      </c>
      <c r="I1707" s="76">
        <v>1</v>
      </c>
      <c r="J1707" s="299" t="s">
        <v>286</v>
      </c>
      <c r="K1707" s="299"/>
      <c r="L1707" s="84"/>
      <c r="M1707" s="76"/>
      <c r="Q1707" s="84"/>
      <c r="T1707" s="76"/>
    </row>
    <row r="1708" spans="2:20" s="83" customFormat="1" ht="15" hidden="1" customHeight="1" outlineLevel="2">
      <c r="B1708" s="119" t="s">
        <v>272</v>
      </c>
      <c r="C1708" s="266" t="s">
        <v>2587</v>
      </c>
      <c r="D1708" s="124" t="s">
        <v>2588</v>
      </c>
      <c r="E1708" s="125"/>
      <c r="F1708" s="118" t="s">
        <v>2239</v>
      </c>
      <c r="G1708" s="126" t="str">
        <f>CONCATENATE("AR-",F1708,"-",H1708)</f>
        <v>AR-R11-1</v>
      </c>
      <c r="H1708" s="253">
        <v>1</v>
      </c>
      <c r="I1708" s="76">
        <v>1</v>
      </c>
      <c r="J1708" s="299" t="s">
        <v>286</v>
      </c>
      <c r="K1708" s="299"/>
      <c r="L1708" s="84"/>
      <c r="M1708" s="76"/>
      <c r="Q1708" s="84"/>
      <c r="T1708" s="76"/>
    </row>
    <row r="1709" spans="2:20" s="83" customFormat="1" ht="15" hidden="1" customHeight="1" outlineLevel="2">
      <c r="B1709" s="119" t="s">
        <v>272</v>
      </c>
      <c r="C1709" s="266" t="s">
        <v>2589</v>
      </c>
      <c r="D1709" s="124" t="s">
        <v>2590</v>
      </c>
      <c r="E1709" s="125"/>
      <c r="F1709" s="118" t="s">
        <v>2239</v>
      </c>
      <c r="G1709" s="126" t="str">
        <f t="shared" ref="G1709" si="112">CONCATENATE("AR-",F1709,"-",H1709)</f>
        <v>AR-R11-1</v>
      </c>
      <c r="H1709" s="253">
        <v>1</v>
      </c>
      <c r="I1709" s="76">
        <v>1</v>
      </c>
      <c r="J1709" s="299" t="s">
        <v>286</v>
      </c>
      <c r="K1709" s="299"/>
      <c r="L1709" s="84"/>
      <c r="M1709" s="76"/>
      <c r="Q1709" s="84"/>
      <c r="T1709" s="76"/>
    </row>
    <row r="1710" spans="2:20" s="83" customFormat="1" ht="3.6" hidden="1" customHeight="1" outlineLevel="1">
      <c r="J1710" s="300"/>
      <c r="K1710" s="300"/>
      <c r="L1710" s="86"/>
      <c r="Q1710" s="86"/>
    </row>
    <row r="1711" spans="2:20" s="91" customFormat="1" ht="15" hidden="1" customHeight="1" outlineLevel="1">
      <c r="B1711" s="135" t="s">
        <v>2591</v>
      </c>
      <c r="C1711" s="266"/>
      <c r="D1711" s="124"/>
      <c r="E1711" s="125"/>
      <c r="F1711" s="118"/>
      <c r="G1711" s="126"/>
      <c r="H1711" s="253"/>
      <c r="I1711" s="89"/>
      <c r="J1711" s="304"/>
      <c r="K1711" s="304"/>
      <c r="L1711" s="90"/>
      <c r="M1711" s="76"/>
      <c r="Q1711" s="287"/>
    </row>
    <row r="1712" spans="2:20" s="83" customFormat="1" ht="15" hidden="1" customHeight="1" outlineLevel="2">
      <c r="B1712" s="119" t="s">
        <v>272</v>
      </c>
      <c r="C1712" s="266" t="s">
        <v>2592</v>
      </c>
      <c r="D1712" s="124" t="s">
        <v>952</v>
      </c>
      <c r="E1712" s="125"/>
      <c r="F1712" s="118" t="s">
        <v>2593</v>
      </c>
      <c r="G1712" s="126" t="str">
        <f t="shared" ref="G1712:G1717" si="113">CONCATENATE("AR-",F1712,"-",H1712)</f>
        <v>AR-R22-1</v>
      </c>
      <c r="H1712" s="253">
        <v>1</v>
      </c>
      <c r="I1712" s="76">
        <v>1</v>
      </c>
      <c r="J1712" s="299" t="s">
        <v>286</v>
      </c>
      <c r="K1712" s="299"/>
      <c r="L1712" s="84"/>
      <c r="M1712" s="76"/>
      <c r="Q1712" s="84"/>
      <c r="R1712" s="76"/>
    </row>
    <row r="1713" spans="2:18" s="83" customFormat="1" ht="15" hidden="1" customHeight="1" outlineLevel="2">
      <c r="B1713" s="119" t="s">
        <v>272</v>
      </c>
      <c r="C1713" s="266" t="s">
        <v>2594</v>
      </c>
      <c r="D1713" s="124" t="s">
        <v>952</v>
      </c>
      <c r="E1713" s="125"/>
      <c r="F1713" s="118" t="s">
        <v>2593</v>
      </c>
      <c r="G1713" s="126" t="str">
        <f t="shared" si="113"/>
        <v>AR-R22-1</v>
      </c>
      <c r="H1713" s="253">
        <v>1</v>
      </c>
      <c r="I1713" s="76">
        <v>1</v>
      </c>
      <c r="J1713" s="299" t="s">
        <v>286</v>
      </c>
      <c r="K1713" s="299"/>
      <c r="L1713" s="84"/>
      <c r="M1713" s="76"/>
      <c r="Q1713" s="84"/>
      <c r="R1713" s="76"/>
    </row>
    <row r="1714" spans="2:18" s="83" customFormat="1" ht="15" hidden="1" customHeight="1" outlineLevel="2">
      <c r="B1714" s="119" t="s">
        <v>272</v>
      </c>
      <c r="C1714" s="266" t="s">
        <v>2595</v>
      </c>
      <c r="D1714" s="124" t="s">
        <v>952</v>
      </c>
      <c r="E1714" s="125"/>
      <c r="F1714" s="118" t="s">
        <v>2593</v>
      </c>
      <c r="G1714" s="126" t="str">
        <f t="shared" si="113"/>
        <v>AR-R22-1</v>
      </c>
      <c r="H1714" s="253">
        <v>1</v>
      </c>
      <c r="I1714" s="76">
        <v>1</v>
      </c>
      <c r="J1714" s="299" t="s">
        <v>286</v>
      </c>
      <c r="K1714" s="299"/>
      <c r="L1714" s="84"/>
      <c r="M1714" s="76"/>
      <c r="Q1714" s="84"/>
      <c r="R1714" s="76"/>
    </row>
    <row r="1715" spans="2:18" s="83" customFormat="1" ht="15" hidden="1" customHeight="1" outlineLevel="2">
      <c r="B1715" s="119" t="s">
        <v>272</v>
      </c>
      <c r="C1715" s="266" t="s">
        <v>2596</v>
      </c>
      <c r="D1715" s="124" t="s">
        <v>952</v>
      </c>
      <c r="E1715" s="125"/>
      <c r="F1715" s="118" t="s">
        <v>2593</v>
      </c>
      <c r="G1715" s="126" t="str">
        <f t="shared" si="113"/>
        <v>AR-R22-1</v>
      </c>
      <c r="H1715" s="253">
        <v>1</v>
      </c>
      <c r="I1715" s="76">
        <v>1</v>
      </c>
      <c r="J1715" s="299" t="s">
        <v>286</v>
      </c>
      <c r="K1715" s="299"/>
      <c r="L1715" s="84"/>
      <c r="M1715" s="76"/>
      <c r="Q1715" s="84"/>
      <c r="R1715" s="76"/>
    </row>
    <row r="1716" spans="2:18" s="83" customFormat="1" ht="15" hidden="1" customHeight="1" outlineLevel="2">
      <c r="B1716" s="119" t="s">
        <v>272</v>
      </c>
      <c r="C1716" s="266" t="s">
        <v>2597</v>
      </c>
      <c r="D1716" s="124" t="s">
        <v>952</v>
      </c>
      <c r="E1716" s="125"/>
      <c r="F1716" s="118" t="s">
        <v>2593</v>
      </c>
      <c r="G1716" s="126" t="str">
        <f t="shared" si="113"/>
        <v>AR-R22-1</v>
      </c>
      <c r="H1716" s="253">
        <v>1</v>
      </c>
      <c r="I1716" s="76">
        <v>1</v>
      </c>
      <c r="J1716" s="299" t="s">
        <v>286</v>
      </c>
      <c r="K1716" s="299"/>
      <c r="L1716" s="84"/>
      <c r="M1716" s="76"/>
      <c r="Q1716" s="84"/>
      <c r="R1716" s="76"/>
    </row>
    <row r="1717" spans="2:18" s="83" customFormat="1" ht="15" hidden="1" customHeight="1" outlineLevel="2">
      <c r="B1717" s="119" t="s">
        <v>272</v>
      </c>
      <c r="C1717" s="266" t="s">
        <v>2598</v>
      </c>
      <c r="D1717" s="124" t="s">
        <v>952</v>
      </c>
      <c r="E1717" s="125"/>
      <c r="F1717" s="118" t="s">
        <v>2593</v>
      </c>
      <c r="G1717" s="126" t="str">
        <f t="shared" si="113"/>
        <v>AR-R22-1</v>
      </c>
      <c r="H1717" s="253">
        <v>1</v>
      </c>
      <c r="I1717" s="76">
        <v>1</v>
      </c>
      <c r="J1717" s="299" t="s">
        <v>286</v>
      </c>
      <c r="K1717" s="299"/>
      <c r="L1717" s="84"/>
      <c r="M1717" s="76"/>
      <c r="Q1717" s="84"/>
      <c r="R1717" s="76"/>
    </row>
    <row r="1718" spans="2:18" s="83" customFormat="1" ht="15" hidden="1" customHeight="1" outlineLevel="2">
      <c r="B1718" s="119" t="s">
        <v>272</v>
      </c>
      <c r="C1718" s="266" t="s">
        <v>2599</v>
      </c>
      <c r="D1718" s="124" t="s">
        <v>952</v>
      </c>
      <c r="E1718" s="125"/>
      <c r="F1718" s="118" t="s">
        <v>2593</v>
      </c>
      <c r="G1718" s="126" t="str">
        <f t="shared" ref="G1718:G1758" si="114">CONCATENATE("AR-",F1718,"-",H1718)</f>
        <v>AR-R22-1</v>
      </c>
      <c r="H1718" s="253">
        <v>1</v>
      </c>
      <c r="I1718" s="76">
        <v>1</v>
      </c>
      <c r="J1718" s="299" t="s">
        <v>286</v>
      </c>
      <c r="K1718" s="299"/>
      <c r="L1718" s="84"/>
      <c r="M1718" s="76"/>
      <c r="Q1718" s="84"/>
      <c r="R1718" s="76"/>
    </row>
    <row r="1719" spans="2:18" s="83" customFormat="1" ht="15" hidden="1" customHeight="1" outlineLevel="2">
      <c r="B1719" s="119" t="s">
        <v>272</v>
      </c>
      <c r="C1719" s="266" t="s">
        <v>2600</v>
      </c>
      <c r="D1719" s="124" t="s">
        <v>952</v>
      </c>
      <c r="E1719" s="125"/>
      <c r="F1719" s="118" t="s">
        <v>2593</v>
      </c>
      <c r="G1719" s="126" t="str">
        <f t="shared" si="114"/>
        <v>AR-R22-1</v>
      </c>
      <c r="H1719" s="253">
        <v>1</v>
      </c>
      <c r="I1719" s="76">
        <v>1</v>
      </c>
      <c r="J1719" s="299" t="s">
        <v>286</v>
      </c>
      <c r="K1719" s="299"/>
      <c r="L1719" s="84"/>
      <c r="M1719" s="76"/>
      <c r="Q1719" s="84"/>
      <c r="R1719" s="76"/>
    </row>
    <row r="1720" spans="2:18" s="100" customFormat="1" ht="15" hidden="1" customHeight="1" outlineLevel="2">
      <c r="B1720" s="119" t="s">
        <v>272</v>
      </c>
      <c r="C1720" s="266" t="s">
        <v>2601</v>
      </c>
      <c r="D1720" s="124" t="s">
        <v>952</v>
      </c>
      <c r="E1720" s="125"/>
      <c r="F1720" s="118" t="s">
        <v>2593</v>
      </c>
      <c r="G1720" s="126" t="str">
        <f t="shared" si="114"/>
        <v>AR-R22-1</v>
      </c>
      <c r="H1720" s="253">
        <v>1</v>
      </c>
      <c r="I1720" s="76">
        <v>1</v>
      </c>
      <c r="J1720" s="299" t="s">
        <v>286</v>
      </c>
      <c r="K1720" s="299"/>
      <c r="L1720" s="84"/>
      <c r="M1720" s="76"/>
      <c r="Q1720" s="84"/>
      <c r="R1720" s="76"/>
    </row>
    <row r="1721" spans="2:18" s="83" customFormat="1" ht="15" hidden="1" customHeight="1" outlineLevel="2">
      <c r="B1721" s="119" t="s">
        <v>272</v>
      </c>
      <c r="C1721" s="266" t="s">
        <v>2602</v>
      </c>
      <c r="D1721" s="124" t="s">
        <v>952</v>
      </c>
      <c r="E1721" s="125"/>
      <c r="F1721" s="118" t="s">
        <v>2593</v>
      </c>
      <c r="G1721" s="126" t="str">
        <f t="shared" si="114"/>
        <v>AR-R22-1</v>
      </c>
      <c r="H1721" s="253">
        <v>1</v>
      </c>
      <c r="I1721" s="76">
        <v>1</v>
      </c>
      <c r="J1721" s="299" t="s">
        <v>286</v>
      </c>
      <c r="K1721" s="299"/>
      <c r="L1721" s="84"/>
      <c r="M1721" s="76"/>
      <c r="Q1721" s="84"/>
      <c r="R1721" s="76"/>
    </row>
    <row r="1722" spans="2:18" s="83" customFormat="1" ht="15" hidden="1" customHeight="1" outlineLevel="2">
      <c r="B1722" s="119" t="s">
        <v>272</v>
      </c>
      <c r="C1722" s="266" t="s">
        <v>2603</v>
      </c>
      <c r="D1722" s="124" t="s">
        <v>952</v>
      </c>
      <c r="E1722" s="125"/>
      <c r="F1722" s="118" t="s">
        <v>2593</v>
      </c>
      <c r="G1722" s="126" t="str">
        <f t="shared" si="114"/>
        <v>AR-R22-1</v>
      </c>
      <c r="H1722" s="253">
        <v>1</v>
      </c>
      <c r="I1722" s="76">
        <v>1</v>
      </c>
      <c r="J1722" s="299" t="s">
        <v>286</v>
      </c>
      <c r="K1722" s="299"/>
      <c r="L1722" s="84"/>
      <c r="M1722" s="76"/>
      <c r="Q1722" s="84"/>
      <c r="R1722" s="76"/>
    </row>
    <row r="1723" spans="2:18" s="83" customFormat="1" ht="15" hidden="1" customHeight="1" outlineLevel="2">
      <c r="B1723" s="119" t="s">
        <v>272</v>
      </c>
      <c r="C1723" s="266" t="s">
        <v>2604</v>
      </c>
      <c r="D1723" s="124" t="s">
        <v>952</v>
      </c>
      <c r="E1723" s="125"/>
      <c r="F1723" s="118" t="s">
        <v>2593</v>
      </c>
      <c r="G1723" s="126" t="str">
        <f t="shared" si="114"/>
        <v>AR-R22-1</v>
      </c>
      <c r="H1723" s="253">
        <v>1</v>
      </c>
      <c r="I1723" s="76">
        <v>1</v>
      </c>
      <c r="J1723" s="299" t="s">
        <v>286</v>
      </c>
      <c r="K1723" s="299"/>
      <c r="L1723" s="84"/>
      <c r="M1723" s="76"/>
      <c r="Q1723" s="84"/>
      <c r="R1723" s="76"/>
    </row>
    <row r="1724" spans="2:18" s="83" customFormat="1" ht="15" hidden="1" customHeight="1" outlineLevel="2">
      <c r="B1724" s="119" t="s">
        <v>272</v>
      </c>
      <c r="C1724" s="266" t="s">
        <v>2605</v>
      </c>
      <c r="D1724" s="124" t="s">
        <v>2606</v>
      </c>
      <c r="E1724" s="125"/>
      <c r="F1724" s="118" t="s">
        <v>2593</v>
      </c>
      <c r="G1724" s="126" t="str">
        <f t="shared" si="114"/>
        <v>AR-R22-1</v>
      </c>
      <c r="H1724" s="253">
        <v>1</v>
      </c>
      <c r="I1724" s="76">
        <v>1</v>
      </c>
      <c r="J1724" s="299" t="s">
        <v>286</v>
      </c>
      <c r="K1724" s="299"/>
      <c r="L1724" s="84"/>
      <c r="M1724" s="76"/>
      <c r="Q1724" s="84"/>
      <c r="R1724" s="76"/>
    </row>
    <row r="1725" spans="2:18" s="83" customFormat="1" ht="15" hidden="1" customHeight="1" outlineLevel="2">
      <c r="B1725" s="119" t="s">
        <v>272</v>
      </c>
      <c r="C1725" s="266" t="s">
        <v>2607</v>
      </c>
      <c r="D1725" s="124" t="s">
        <v>2606</v>
      </c>
      <c r="E1725" s="125"/>
      <c r="F1725" s="118" t="s">
        <v>2593</v>
      </c>
      <c r="G1725" s="126" t="str">
        <f t="shared" si="114"/>
        <v>AR-R22-1</v>
      </c>
      <c r="H1725" s="253">
        <v>1</v>
      </c>
      <c r="I1725" s="76">
        <v>1</v>
      </c>
      <c r="J1725" s="299" t="s">
        <v>286</v>
      </c>
      <c r="K1725" s="299"/>
      <c r="L1725" s="84"/>
      <c r="M1725" s="76"/>
      <c r="Q1725" s="84"/>
      <c r="R1725" s="76"/>
    </row>
    <row r="1726" spans="2:18" s="83" customFormat="1" ht="15" hidden="1" customHeight="1" outlineLevel="2">
      <c r="B1726" s="119" t="s">
        <v>272</v>
      </c>
      <c r="C1726" s="266" t="s">
        <v>2608</v>
      </c>
      <c r="D1726" s="124" t="s">
        <v>2609</v>
      </c>
      <c r="E1726" s="125"/>
      <c r="F1726" s="118" t="s">
        <v>2593</v>
      </c>
      <c r="G1726" s="126" t="str">
        <f t="shared" si="114"/>
        <v>AR-R22-1</v>
      </c>
      <c r="H1726" s="253">
        <v>1</v>
      </c>
      <c r="I1726" s="76">
        <v>1</v>
      </c>
      <c r="J1726" s="299" t="s">
        <v>286</v>
      </c>
      <c r="K1726" s="299"/>
      <c r="L1726" s="84"/>
      <c r="M1726" s="76"/>
      <c r="Q1726" s="84"/>
      <c r="R1726" s="76"/>
    </row>
    <row r="1727" spans="2:18" s="83" customFormat="1" ht="15" hidden="1" customHeight="1" outlineLevel="2">
      <c r="B1727" s="119" t="s">
        <v>272</v>
      </c>
      <c r="C1727" s="266" t="s">
        <v>2610</v>
      </c>
      <c r="D1727" s="124" t="s">
        <v>2609</v>
      </c>
      <c r="E1727" s="125"/>
      <c r="F1727" s="118" t="s">
        <v>2593</v>
      </c>
      <c r="G1727" s="126" t="str">
        <f t="shared" si="114"/>
        <v>AR-R22-1</v>
      </c>
      <c r="H1727" s="253">
        <v>1</v>
      </c>
      <c r="I1727" s="76">
        <v>1</v>
      </c>
      <c r="J1727" s="299" t="s">
        <v>286</v>
      </c>
      <c r="K1727" s="299"/>
      <c r="L1727" s="84"/>
      <c r="M1727" s="76"/>
      <c r="Q1727" s="84"/>
      <c r="R1727" s="76"/>
    </row>
    <row r="1728" spans="2:18" s="83" customFormat="1" ht="15" hidden="1" customHeight="1" outlineLevel="2">
      <c r="B1728" s="119" t="s">
        <v>272</v>
      </c>
      <c r="C1728" s="266" t="s">
        <v>2611</v>
      </c>
      <c r="D1728" s="124" t="s">
        <v>2612</v>
      </c>
      <c r="E1728" s="125"/>
      <c r="F1728" s="118" t="s">
        <v>2593</v>
      </c>
      <c r="G1728" s="126" t="str">
        <f t="shared" si="114"/>
        <v>AR-R22-1</v>
      </c>
      <c r="H1728" s="253">
        <v>1</v>
      </c>
      <c r="I1728" s="76">
        <v>1</v>
      </c>
      <c r="J1728" s="299" t="s">
        <v>286</v>
      </c>
      <c r="K1728" s="299"/>
      <c r="L1728" s="84"/>
      <c r="M1728" s="76"/>
      <c r="Q1728" s="84"/>
      <c r="R1728" s="76"/>
    </row>
    <row r="1729" spans="2:18" s="83" customFormat="1" ht="15" hidden="1" customHeight="1" outlineLevel="2">
      <c r="B1729" s="119" t="s">
        <v>272</v>
      </c>
      <c r="C1729" s="266" t="s">
        <v>2613</v>
      </c>
      <c r="D1729" s="124" t="s">
        <v>2612</v>
      </c>
      <c r="E1729" s="125"/>
      <c r="F1729" s="118" t="s">
        <v>2593</v>
      </c>
      <c r="G1729" s="126" t="str">
        <f t="shared" si="114"/>
        <v>AR-R22-1</v>
      </c>
      <c r="H1729" s="253">
        <v>1</v>
      </c>
      <c r="I1729" s="76">
        <v>1</v>
      </c>
      <c r="J1729" s="299" t="s">
        <v>286</v>
      </c>
      <c r="K1729" s="299"/>
      <c r="L1729" s="84"/>
      <c r="M1729" s="76"/>
      <c r="Q1729" s="84"/>
      <c r="R1729" s="76"/>
    </row>
    <row r="1730" spans="2:18" s="83" customFormat="1" ht="15" hidden="1" customHeight="1" outlineLevel="2">
      <c r="B1730" s="119" t="s">
        <v>272</v>
      </c>
      <c r="C1730" s="266" t="s">
        <v>2614</v>
      </c>
      <c r="D1730" s="124" t="s">
        <v>2615</v>
      </c>
      <c r="E1730" s="125"/>
      <c r="F1730" s="118" t="s">
        <v>2593</v>
      </c>
      <c r="G1730" s="126" t="str">
        <f t="shared" si="114"/>
        <v>AR-R22-1</v>
      </c>
      <c r="H1730" s="253">
        <v>1</v>
      </c>
      <c r="I1730" s="76">
        <v>1</v>
      </c>
      <c r="J1730" s="299" t="s">
        <v>286</v>
      </c>
      <c r="K1730" s="299"/>
      <c r="L1730" s="84"/>
      <c r="M1730" s="76"/>
      <c r="Q1730" s="84"/>
      <c r="R1730" s="76"/>
    </row>
    <row r="1731" spans="2:18" s="83" customFormat="1" ht="15" hidden="1" customHeight="1" outlineLevel="2">
      <c r="B1731" s="119" t="s">
        <v>272</v>
      </c>
      <c r="C1731" s="266" t="s">
        <v>2616</v>
      </c>
      <c r="D1731" s="124" t="s">
        <v>2615</v>
      </c>
      <c r="E1731" s="125"/>
      <c r="F1731" s="118" t="s">
        <v>2593</v>
      </c>
      <c r="G1731" s="126" t="str">
        <f t="shared" si="114"/>
        <v>AR-R22-1</v>
      </c>
      <c r="H1731" s="253">
        <v>1</v>
      </c>
      <c r="I1731" s="76">
        <v>1</v>
      </c>
      <c r="J1731" s="299" t="s">
        <v>286</v>
      </c>
      <c r="K1731" s="299"/>
      <c r="L1731" s="84"/>
      <c r="M1731" s="76"/>
      <c r="Q1731" s="84"/>
      <c r="R1731" s="76"/>
    </row>
    <row r="1732" spans="2:18" s="83" customFormat="1" ht="15" hidden="1" customHeight="1" outlineLevel="2">
      <c r="B1732" s="119" t="s">
        <v>272</v>
      </c>
      <c r="C1732" s="266" t="s">
        <v>2617</v>
      </c>
      <c r="D1732" s="124" t="s">
        <v>2618</v>
      </c>
      <c r="E1732" s="125"/>
      <c r="F1732" s="118" t="s">
        <v>2593</v>
      </c>
      <c r="G1732" s="126" t="str">
        <f t="shared" si="114"/>
        <v>AR-R22-1</v>
      </c>
      <c r="H1732" s="253">
        <v>1</v>
      </c>
      <c r="I1732" s="76">
        <v>1</v>
      </c>
      <c r="J1732" s="299" t="s">
        <v>286</v>
      </c>
      <c r="K1732" s="299"/>
      <c r="L1732" s="84"/>
      <c r="M1732" s="76"/>
      <c r="Q1732" s="84"/>
      <c r="R1732" s="76"/>
    </row>
    <row r="1733" spans="2:18" s="83" customFormat="1" ht="15" hidden="1" customHeight="1" outlineLevel="2">
      <c r="B1733" s="119" t="s">
        <v>272</v>
      </c>
      <c r="C1733" s="266" t="s">
        <v>2619</v>
      </c>
      <c r="D1733" s="124" t="s">
        <v>2618</v>
      </c>
      <c r="E1733" s="125"/>
      <c r="F1733" s="118" t="s">
        <v>2593</v>
      </c>
      <c r="G1733" s="126" t="str">
        <f t="shared" si="114"/>
        <v>AR-R22-1</v>
      </c>
      <c r="H1733" s="253">
        <v>1</v>
      </c>
      <c r="I1733" s="76">
        <v>1</v>
      </c>
      <c r="J1733" s="299" t="s">
        <v>286</v>
      </c>
      <c r="K1733" s="299"/>
      <c r="L1733" s="84"/>
      <c r="M1733" s="76"/>
      <c r="Q1733" s="84"/>
      <c r="R1733" s="76"/>
    </row>
    <row r="1734" spans="2:18" s="83" customFormat="1" ht="15" hidden="1" customHeight="1" outlineLevel="2">
      <c r="B1734" s="119" t="s">
        <v>272</v>
      </c>
      <c r="C1734" s="266" t="s">
        <v>2620</v>
      </c>
      <c r="D1734" s="124" t="s">
        <v>2621</v>
      </c>
      <c r="E1734" s="125"/>
      <c r="F1734" s="118" t="s">
        <v>2593</v>
      </c>
      <c r="G1734" s="126" t="str">
        <f t="shared" si="114"/>
        <v>AR-R22-1</v>
      </c>
      <c r="H1734" s="253">
        <v>1</v>
      </c>
      <c r="I1734" s="76">
        <v>1</v>
      </c>
      <c r="J1734" s="299" t="s">
        <v>286</v>
      </c>
      <c r="K1734" s="299"/>
      <c r="L1734" s="84"/>
      <c r="M1734" s="76"/>
      <c r="Q1734" s="84"/>
      <c r="R1734" s="76"/>
    </row>
    <row r="1735" spans="2:18" s="99" customFormat="1" ht="15" hidden="1" customHeight="1" outlineLevel="2">
      <c r="B1735" s="119" t="s">
        <v>272</v>
      </c>
      <c r="C1735" s="266" t="s">
        <v>2622</v>
      </c>
      <c r="D1735" s="124" t="s">
        <v>2621</v>
      </c>
      <c r="E1735" s="125"/>
      <c r="F1735" s="118" t="s">
        <v>2593</v>
      </c>
      <c r="G1735" s="126" t="str">
        <f t="shared" si="114"/>
        <v>AR-R22-1</v>
      </c>
      <c r="H1735" s="253">
        <v>1</v>
      </c>
      <c r="I1735" s="76">
        <v>1</v>
      </c>
      <c r="J1735" s="299" t="s">
        <v>286</v>
      </c>
      <c r="K1735" s="299"/>
      <c r="L1735" s="84"/>
      <c r="M1735" s="76"/>
      <c r="Q1735" s="84"/>
      <c r="R1735" s="76"/>
    </row>
    <row r="1736" spans="2:18" s="83" customFormat="1" ht="15" hidden="1" customHeight="1" outlineLevel="2">
      <c r="B1736" s="119" t="s">
        <v>272</v>
      </c>
      <c r="C1736" s="266" t="s">
        <v>2623</v>
      </c>
      <c r="D1736" s="124" t="s">
        <v>2624</v>
      </c>
      <c r="E1736" s="125"/>
      <c r="F1736" s="118" t="s">
        <v>2593</v>
      </c>
      <c r="G1736" s="126" t="str">
        <f t="shared" si="114"/>
        <v>AR-R22-1</v>
      </c>
      <c r="H1736" s="253">
        <v>1</v>
      </c>
      <c r="I1736" s="76">
        <v>1</v>
      </c>
      <c r="J1736" s="299" t="s">
        <v>286</v>
      </c>
      <c r="K1736" s="299"/>
      <c r="L1736" s="84"/>
      <c r="M1736" s="76"/>
      <c r="Q1736" s="84"/>
      <c r="R1736" s="76"/>
    </row>
    <row r="1737" spans="2:18" s="83" customFormat="1" ht="15" hidden="1" customHeight="1" outlineLevel="2">
      <c r="B1737" s="119" t="s">
        <v>272</v>
      </c>
      <c r="C1737" s="266" t="s">
        <v>2625</v>
      </c>
      <c r="D1737" s="124" t="s">
        <v>2624</v>
      </c>
      <c r="E1737" s="125"/>
      <c r="F1737" s="118" t="s">
        <v>2593</v>
      </c>
      <c r="G1737" s="126" t="str">
        <f t="shared" si="114"/>
        <v>AR-R22-1</v>
      </c>
      <c r="H1737" s="253">
        <v>1</v>
      </c>
      <c r="I1737" s="76">
        <v>1</v>
      </c>
      <c r="J1737" s="299" t="s">
        <v>286</v>
      </c>
      <c r="K1737" s="299"/>
      <c r="L1737" s="84"/>
      <c r="M1737" s="76"/>
      <c r="Q1737" s="84"/>
      <c r="R1737" s="76"/>
    </row>
    <row r="1738" spans="2:18" s="83" customFormat="1" ht="15" hidden="1" customHeight="1" outlineLevel="2">
      <c r="B1738" s="119" t="s">
        <v>272</v>
      </c>
      <c r="C1738" s="266" t="s">
        <v>2626</v>
      </c>
      <c r="D1738" s="124" t="s">
        <v>2627</v>
      </c>
      <c r="E1738" s="125"/>
      <c r="F1738" s="118" t="s">
        <v>2593</v>
      </c>
      <c r="G1738" s="126" t="str">
        <f t="shared" si="114"/>
        <v>AR-R22-1</v>
      </c>
      <c r="H1738" s="253">
        <v>1</v>
      </c>
      <c r="I1738" s="76">
        <v>1</v>
      </c>
      <c r="J1738" s="299" t="s">
        <v>286</v>
      </c>
      <c r="K1738" s="299"/>
      <c r="L1738" s="84"/>
      <c r="M1738" s="76"/>
      <c r="Q1738" s="84"/>
      <c r="R1738" s="76"/>
    </row>
    <row r="1739" spans="2:18" s="83" customFormat="1" ht="15" hidden="1" customHeight="1" outlineLevel="2">
      <c r="B1739" s="119" t="s">
        <v>272</v>
      </c>
      <c r="C1739" s="266" t="s">
        <v>2628</v>
      </c>
      <c r="D1739" s="124" t="s">
        <v>2627</v>
      </c>
      <c r="E1739" s="125"/>
      <c r="F1739" s="118" t="s">
        <v>2593</v>
      </c>
      <c r="G1739" s="126" t="str">
        <f t="shared" si="114"/>
        <v>AR-R22-1</v>
      </c>
      <c r="H1739" s="253">
        <v>1</v>
      </c>
      <c r="I1739" s="76">
        <v>1</v>
      </c>
      <c r="J1739" s="299" t="s">
        <v>286</v>
      </c>
      <c r="K1739" s="299"/>
      <c r="L1739" s="84"/>
      <c r="M1739" s="76"/>
      <c r="Q1739" s="84"/>
      <c r="R1739" s="76"/>
    </row>
    <row r="1740" spans="2:18" s="83" customFormat="1" ht="15" hidden="1" customHeight="1" outlineLevel="2">
      <c r="B1740" s="119" t="s">
        <v>272</v>
      </c>
      <c r="C1740" s="266" t="s">
        <v>2629</v>
      </c>
      <c r="D1740" s="124" t="s">
        <v>2630</v>
      </c>
      <c r="E1740" s="125"/>
      <c r="F1740" s="118" t="s">
        <v>2593</v>
      </c>
      <c r="G1740" s="126" t="str">
        <f t="shared" si="114"/>
        <v>AR-R22-1</v>
      </c>
      <c r="H1740" s="253">
        <v>1</v>
      </c>
      <c r="I1740" s="76">
        <v>1</v>
      </c>
      <c r="J1740" s="299" t="s">
        <v>286</v>
      </c>
      <c r="K1740" s="299"/>
      <c r="L1740" s="84"/>
      <c r="M1740" s="76"/>
      <c r="Q1740" s="84"/>
      <c r="R1740" s="76"/>
    </row>
    <row r="1741" spans="2:18" s="83" customFormat="1" ht="15" hidden="1" customHeight="1" outlineLevel="2">
      <c r="B1741" s="119" t="s">
        <v>272</v>
      </c>
      <c r="C1741" s="266" t="s">
        <v>2631</v>
      </c>
      <c r="D1741" s="124" t="s">
        <v>2630</v>
      </c>
      <c r="E1741" s="125"/>
      <c r="F1741" s="118" t="s">
        <v>2593</v>
      </c>
      <c r="G1741" s="126" t="str">
        <f t="shared" si="114"/>
        <v>AR-R22-1</v>
      </c>
      <c r="H1741" s="253">
        <v>1</v>
      </c>
      <c r="I1741" s="76">
        <v>1</v>
      </c>
      <c r="J1741" s="299" t="s">
        <v>286</v>
      </c>
      <c r="K1741" s="299"/>
      <c r="L1741" s="84"/>
      <c r="M1741" s="76"/>
      <c r="Q1741" s="84"/>
      <c r="R1741" s="76"/>
    </row>
    <row r="1742" spans="2:18" s="83" customFormat="1" ht="15" hidden="1" customHeight="1" outlineLevel="2">
      <c r="B1742" s="119" t="s">
        <v>272</v>
      </c>
      <c r="C1742" s="266" t="s">
        <v>2632</v>
      </c>
      <c r="D1742" s="124" t="s">
        <v>2633</v>
      </c>
      <c r="E1742" s="125"/>
      <c r="F1742" s="118" t="s">
        <v>2593</v>
      </c>
      <c r="G1742" s="126" t="str">
        <f t="shared" si="114"/>
        <v>AR-R22-1</v>
      </c>
      <c r="H1742" s="253">
        <v>1</v>
      </c>
      <c r="I1742" s="76">
        <v>1</v>
      </c>
      <c r="J1742" s="299" t="s">
        <v>286</v>
      </c>
      <c r="K1742" s="299"/>
      <c r="L1742" s="84"/>
      <c r="M1742" s="76"/>
      <c r="Q1742" s="84"/>
      <c r="R1742" s="76"/>
    </row>
    <row r="1743" spans="2:18" s="83" customFormat="1" ht="15" hidden="1" customHeight="1" outlineLevel="2">
      <c r="B1743" s="119" t="s">
        <v>272</v>
      </c>
      <c r="C1743" s="266" t="s">
        <v>2634</v>
      </c>
      <c r="D1743" s="124" t="s">
        <v>2633</v>
      </c>
      <c r="E1743" s="125"/>
      <c r="F1743" s="118" t="s">
        <v>2593</v>
      </c>
      <c r="G1743" s="126" t="str">
        <f t="shared" si="114"/>
        <v>AR-R22-1</v>
      </c>
      <c r="H1743" s="253">
        <v>1</v>
      </c>
      <c r="I1743" s="76">
        <v>1</v>
      </c>
      <c r="J1743" s="299" t="s">
        <v>286</v>
      </c>
      <c r="K1743" s="299"/>
      <c r="L1743" s="84"/>
      <c r="M1743" s="76"/>
      <c r="Q1743" s="84"/>
      <c r="R1743" s="76"/>
    </row>
    <row r="1744" spans="2:18" s="83" customFormat="1" ht="15" hidden="1" customHeight="1" outlineLevel="2">
      <c r="B1744" s="119" t="s">
        <v>272</v>
      </c>
      <c r="C1744" s="266" t="s">
        <v>2635</v>
      </c>
      <c r="D1744" s="124" t="s">
        <v>2636</v>
      </c>
      <c r="E1744" s="125"/>
      <c r="F1744" s="118" t="s">
        <v>2593</v>
      </c>
      <c r="G1744" s="126" t="str">
        <f t="shared" si="114"/>
        <v>AR-R22-1</v>
      </c>
      <c r="H1744" s="253">
        <v>1</v>
      </c>
      <c r="I1744" s="76">
        <v>1</v>
      </c>
      <c r="J1744" s="299" t="s">
        <v>286</v>
      </c>
      <c r="K1744" s="299"/>
      <c r="L1744" s="84"/>
      <c r="M1744" s="76"/>
      <c r="Q1744" s="84"/>
      <c r="R1744" s="76"/>
    </row>
    <row r="1745" spans="2:18" s="83" customFormat="1" ht="15" hidden="1" customHeight="1" outlineLevel="2">
      <c r="B1745" s="119" t="s">
        <v>272</v>
      </c>
      <c r="C1745" s="266" t="s">
        <v>2637</v>
      </c>
      <c r="D1745" s="124" t="s">
        <v>2636</v>
      </c>
      <c r="E1745" s="125"/>
      <c r="F1745" s="118" t="s">
        <v>2593</v>
      </c>
      <c r="G1745" s="126" t="str">
        <f t="shared" si="114"/>
        <v>AR-R22-1</v>
      </c>
      <c r="H1745" s="253">
        <v>1</v>
      </c>
      <c r="I1745" s="76">
        <v>1</v>
      </c>
      <c r="J1745" s="299" t="s">
        <v>286</v>
      </c>
      <c r="K1745" s="299"/>
      <c r="L1745" s="84"/>
      <c r="M1745" s="76"/>
      <c r="Q1745" s="84"/>
      <c r="R1745" s="76"/>
    </row>
    <row r="1746" spans="2:18" s="83" customFormat="1" ht="15" hidden="1" customHeight="1" outlineLevel="2">
      <c r="B1746" s="119" t="s">
        <v>272</v>
      </c>
      <c r="C1746" s="266" t="s">
        <v>2638</v>
      </c>
      <c r="D1746" s="124" t="s">
        <v>2639</v>
      </c>
      <c r="E1746" s="125"/>
      <c r="F1746" s="118" t="s">
        <v>2593</v>
      </c>
      <c r="G1746" s="126" t="str">
        <f t="shared" si="114"/>
        <v>AR-R22-1</v>
      </c>
      <c r="H1746" s="253">
        <v>1</v>
      </c>
      <c r="I1746" s="76">
        <v>1</v>
      </c>
      <c r="J1746" s="299" t="s">
        <v>286</v>
      </c>
      <c r="K1746" s="299"/>
      <c r="L1746" s="84"/>
      <c r="M1746" s="76"/>
      <c r="Q1746" s="84"/>
      <c r="R1746" s="76"/>
    </row>
    <row r="1747" spans="2:18" s="83" customFormat="1" ht="15" hidden="1" customHeight="1" outlineLevel="2">
      <c r="B1747" s="119" t="s">
        <v>272</v>
      </c>
      <c r="C1747" s="266" t="s">
        <v>2640</v>
      </c>
      <c r="D1747" s="124" t="s">
        <v>2639</v>
      </c>
      <c r="E1747" s="125"/>
      <c r="F1747" s="118" t="s">
        <v>2593</v>
      </c>
      <c r="G1747" s="126" t="str">
        <f t="shared" si="114"/>
        <v>AR-R22-1</v>
      </c>
      <c r="H1747" s="253">
        <v>1</v>
      </c>
      <c r="I1747" s="76">
        <v>1</v>
      </c>
      <c r="J1747" s="299" t="s">
        <v>286</v>
      </c>
      <c r="K1747" s="299"/>
      <c r="L1747" s="84"/>
      <c r="M1747" s="76"/>
      <c r="Q1747" s="84"/>
      <c r="R1747" s="76"/>
    </row>
    <row r="1748" spans="2:18" s="83" customFormat="1" ht="15" hidden="1" customHeight="1" outlineLevel="2">
      <c r="B1748" s="119" t="s">
        <v>272</v>
      </c>
      <c r="C1748" s="266" t="s">
        <v>2641</v>
      </c>
      <c r="D1748" s="124" t="s">
        <v>2642</v>
      </c>
      <c r="E1748" s="125"/>
      <c r="F1748" s="118" t="s">
        <v>2593</v>
      </c>
      <c r="G1748" s="126" t="str">
        <f t="shared" si="114"/>
        <v>AR-R22-1</v>
      </c>
      <c r="H1748" s="253">
        <v>1</v>
      </c>
      <c r="I1748" s="76">
        <v>1</v>
      </c>
      <c r="J1748" s="299" t="s">
        <v>286</v>
      </c>
      <c r="K1748" s="299"/>
      <c r="L1748" s="84"/>
      <c r="M1748" s="76"/>
      <c r="Q1748" s="84"/>
      <c r="R1748" s="76"/>
    </row>
    <row r="1749" spans="2:18" s="83" customFormat="1" ht="15" hidden="1" customHeight="1" outlineLevel="2">
      <c r="B1749" s="119" t="s">
        <v>272</v>
      </c>
      <c r="C1749" s="266" t="s">
        <v>2643</v>
      </c>
      <c r="D1749" s="124" t="s">
        <v>2642</v>
      </c>
      <c r="E1749" s="125"/>
      <c r="F1749" s="118" t="s">
        <v>2593</v>
      </c>
      <c r="G1749" s="126" t="str">
        <f t="shared" si="114"/>
        <v>AR-R22-1</v>
      </c>
      <c r="H1749" s="253">
        <v>1</v>
      </c>
      <c r="I1749" s="76">
        <v>1</v>
      </c>
      <c r="J1749" s="299" t="s">
        <v>286</v>
      </c>
      <c r="K1749" s="299"/>
      <c r="L1749" s="84"/>
      <c r="M1749" s="76"/>
      <c r="Q1749" s="84"/>
      <c r="R1749" s="76"/>
    </row>
    <row r="1750" spans="2:18" s="83" customFormat="1" ht="15" hidden="1" customHeight="1" outlineLevel="2">
      <c r="B1750" s="119" t="s">
        <v>272</v>
      </c>
      <c r="C1750" s="266" t="s">
        <v>2644</v>
      </c>
      <c r="D1750" s="124" t="s">
        <v>2642</v>
      </c>
      <c r="E1750" s="125"/>
      <c r="F1750" s="118" t="s">
        <v>2593</v>
      </c>
      <c r="G1750" s="126" t="str">
        <f t="shared" si="114"/>
        <v>AR-R22-1</v>
      </c>
      <c r="H1750" s="253">
        <v>1</v>
      </c>
      <c r="I1750" s="76">
        <v>1</v>
      </c>
      <c r="J1750" s="299" t="s">
        <v>286</v>
      </c>
      <c r="K1750" s="299"/>
      <c r="L1750" s="84"/>
      <c r="M1750" s="76"/>
      <c r="Q1750" s="84"/>
      <c r="R1750" s="76"/>
    </row>
    <row r="1751" spans="2:18" s="83" customFormat="1" ht="15" hidden="1" customHeight="1" outlineLevel="2">
      <c r="B1751" s="119" t="s">
        <v>272</v>
      </c>
      <c r="C1751" s="266" t="s">
        <v>2645</v>
      </c>
      <c r="D1751" s="124" t="s">
        <v>2642</v>
      </c>
      <c r="E1751" s="125"/>
      <c r="F1751" s="118" t="s">
        <v>2593</v>
      </c>
      <c r="G1751" s="126" t="str">
        <f t="shared" si="114"/>
        <v>AR-R22-1</v>
      </c>
      <c r="H1751" s="253">
        <v>1</v>
      </c>
      <c r="I1751" s="76">
        <v>1</v>
      </c>
      <c r="J1751" s="299" t="s">
        <v>286</v>
      </c>
      <c r="K1751" s="299"/>
      <c r="L1751" s="84"/>
      <c r="M1751" s="76"/>
      <c r="Q1751" s="84"/>
      <c r="R1751" s="76"/>
    </row>
    <row r="1752" spans="2:18" s="83" customFormat="1" ht="15" hidden="1" customHeight="1" outlineLevel="2">
      <c r="B1752" s="119" t="s">
        <v>272</v>
      </c>
      <c r="C1752" s="266" t="s">
        <v>2646</v>
      </c>
      <c r="D1752" s="124" t="s">
        <v>2647</v>
      </c>
      <c r="E1752" s="125"/>
      <c r="F1752" s="118" t="s">
        <v>2593</v>
      </c>
      <c r="G1752" s="126" t="str">
        <f t="shared" si="114"/>
        <v>AR-R22-1</v>
      </c>
      <c r="H1752" s="253">
        <v>1</v>
      </c>
      <c r="I1752" s="76">
        <v>1</v>
      </c>
      <c r="J1752" s="299" t="s">
        <v>286</v>
      </c>
      <c r="K1752" s="299"/>
      <c r="L1752" s="84"/>
      <c r="M1752" s="76"/>
      <c r="Q1752" s="84"/>
      <c r="R1752" s="76"/>
    </row>
    <row r="1753" spans="2:18" s="83" customFormat="1" ht="15" hidden="1" customHeight="1" outlineLevel="2">
      <c r="B1753" s="119" t="s">
        <v>272</v>
      </c>
      <c r="C1753" s="266" t="s">
        <v>2648</v>
      </c>
      <c r="D1753" s="124" t="s">
        <v>2647</v>
      </c>
      <c r="E1753" s="125"/>
      <c r="F1753" s="118" t="s">
        <v>2593</v>
      </c>
      <c r="G1753" s="126" t="str">
        <f t="shared" si="114"/>
        <v>AR-R22-1</v>
      </c>
      <c r="H1753" s="253">
        <v>1</v>
      </c>
      <c r="I1753" s="76">
        <v>1</v>
      </c>
      <c r="J1753" s="299" t="s">
        <v>286</v>
      </c>
      <c r="K1753" s="299"/>
      <c r="L1753" s="84"/>
      <c r="M1753" s="76"/>
      <c r="Q1753" s="84"/>
      <c r="R1753" s="76"/>
    </row>
    <row r="1754" spans="2:18" s="83" customFormat="1" ht="15" hidden="1" customHeight="1" outlineLevel="2">
      <c r="B1754" s="119" t="s">
        <v>272</v>
      </c>
      <c r="C1754" s="266" t="s">
        <v>2649</v>
      </c>
      <c r="D1754" s="124" t="s">
        <v>2647</v>
      </c>
      <c r="E1754" s="125"/>
      <c r="F1754" s="118" t="s">
        <v>2593</v>
      </c>
      <c r="G1754" s="126" t="str">
        <f t="shared" si="114"/>
        <v>AR-R22-1</v>
      </c>
      <c r="H1754" s="253">
        <v>1</v>
      </c>
      <c r="I1754" s="76">
        <v>1</v>
      </c>
      <c r="J1754" s="299" t="s">
        <v>286</v>
      </c>
      <c r="K1754" s="299"/>
      <c r="L1754" s="84"/>
      <c r="M1754" s="76"/>
      <c r="Q1754" s="84"/>
      <c r="R1754" s="76"/>
    </row>
    <row r="1755" spans="2:18" s="83" customFormat="1" ht="15" hidden="1" customHeight="1" outlineLevel="2">
      <c r="B1755" s="119" t="s">
        <v>272</v>
      </c>
      <c r="C1755" s="266" t="s">
        <v>2650</v>
      </c>
      <c r="D1755" s="124" t="s">
        <v>2647</v>
      </c>
      <c r="E1755" s="125"/>
      <c r="F1755" s="118" t="s">
        <v>2593</v>
      </c>
      <c r="G1755" s="126" t="str">
        <f t="shared" si="114"/>
        <v>AR-R22-1</v>
      </c>
      <c r="H1755" s="253">
        <v>1</v>
      </c>
      <c r="I1755" s="76">
        <v>1</v>
      </c>
      <c r="J1755" s="299" t="s">
        <v>286</v>
      </c>
      <c r="K1755" s="299"/>
      <c r="L1755" s="84"/>
      <c r="M1755" s="76"/>
      <c r="Q1755" s="84"/>
      <c r="R1755" s="76"/>
    </row>
    <row r="1756" spans="2:18" s="83" customFormat="1" ht="15" hidden="1" customHeight="1" outlineLevel="2">
      <c r="B1756" s="119" t="s">
        <v>272</v>
      </c>
      <c r="C1756" s="266" t="s">
        <v>2651</v>
      </c>
      <c r="D1756" s="124" t="s">
        <v>2652</v>
      </c>
      <c r="E1756" s="125"/>
      <c r="F1756" s="118" t="s">
        <v>2593</v>
      </c>
      <c r="G1756" s="126" t="str">
        <f t="shared" si="114"/>
        <v>AR-R22-1</v>
      </c>
      <c r="H1756" s="253">
        <v>1</v>
      </c>
      <c r="I1756" s="76">
        <v>1</v>
      </c>
      <c r="J1756" s="299" t="s">
        <v>286</v>
      </c>
      <c r="K1756" s="299"/>
      <c r="L1756" s="84"/>
      <c r="M1756" s="76"/>
      <c r="Q1756" s="84"/>
      <c r="R1756" s="76"/>
    </row>
    <row r="1757" spans="2:18" s="83" customFormat="1" ht="15" hidden="1" customHeight="1" outlineLevel="2">
      <c r="B1757" s="119" t="s">
        <v>272</v>
      </c>
      <c r="C1757" s="266" t="s">
        <v>2653</v>
      </c>
      <c r="D1757" s="124" t="s">
        <v>2652</v>
      </c>
      <c r="E1757" s="125"/>
      <c r="F1757" s="118" t="s">
        <v>2593</v>
      </c>
      <c r="G1757" s="126" t="str">
        <f t="shared" si="114"/>
        <v>AR-R22-1</v>
      </c>
      <c r="H1757" s="253">
        <v>1</v>
      </c>
      <c r="I1757" s="76">
        <v>1</v>
      </c>
      <c r="J1757" s="299" t="s">
        <v>286</v>
      </c>
      <c r="K1757" s="299"/>
      <c r="L1757" s="84"/>
      <c r="M1757" s="76"/>
      <c r="Q1757" s="84"/>
      <c r="R1757" s="76"/>
    </row>
    <row r="1758" spans="2:18" s="83" customFormat="1" ht="15" hidden="1" customHeight="1" outlineLevel="2">
      <c r="B1758" s="119" t="s">
        <v>272</v>
      </c>
      <c r="C1758" s="266" t="s">
        <v>2654</v>
      </c>
      <c r="D1758" s="124" t="s">
        <v>2655</v>
      </c>
      <c r="E1758" s="125"/>
      <c r="F1758" s="118" t="s">
        <v>2593</v>
      </c>
      <c r="G1758" s="126" t="str">
        <f t="shared" si="114"/>
        <v>AR-R22-1</v>
      </c>
      <c r="H1758" s="253">
        <v>1</v>
      </c>
      <c r="I1758" s="76">
        <v>1</v>
      </c>
      <c r="J1758" s="299" t="s">
        <v>286</v>
      </c>
      <c r="K1758" s="299"/>
      <c r="L1758" s="84"/>
      <c r="M1758" s="76"/>
      <c r="Q1758" s="84"/>
      <c r="R1758" s="76"/>
    </row>
    <row r="1759" spans="2:18" s="83" customFormat="1" ht="15" hidden="1" customHeight="1" outlineLevel="2">
      <c r="B1759" s="119" t="s">
        <v>272</v>
      </c>
      <c r="C1759" s="266" t="s">
        <v>2656</v>
      </c>
      <c r="D1759" s="124" t="s">
        <v>2655</v>
      </c>
      <c r="E1759" s="125"/>
      <c r="F1759" s="118" t="s">
        <v>2593</v>
      </c>
      <c r="G1759" s="126" t="str">
        <f t="shared" ref="G1759:G1764" si="115">CONCATENATE("AR-",F1759,"-",H1759)</f>
        <v>AR-R22-1</v>
      </c>
      <c r="H1759" s="253">
        <v>1</v>
      </c>
      <c r="I1759" s="76">
        <v>1</v>
      </c>
      <c r="J1759" s="299" t="s">
        <v>286</v>
      </c>
      <c r="K1759" s="299"/>
      <c r="L1759" s="84"/>
      <c r="M1759" s="76"/>
      <c r="Q1759" s="84"/>
      <c r="R1759" s="76"/>
    </row>
    <row r="1760" spans="2:18" s="83" customFormat="1" ht="15" hidden="1" customHeight="1" outlineLevel="2">
      <c r="B1760" s="119" t="s">
        <v>272</v>
      </c>
      <c r="C1760" s="266" t="s">
        <v>2657</v>
      </c>
      <c r="D1760" s="124" t="s">
        <v>2658</v>
      </c>
      <c r="E1760" s="125"/>
      <c r="F1760" s="118" t="s">
        <v>2593</v>
      </c>
      <c r="G1760" s="126" t="str">
        <f t="shared" si="115"/>
        <v>AR-R22-1</v>
      </c>
      <c r="H1760" s="253">
        <v>1</v>
      </c>
      <c r="I1760" s="76">
        <v>1</v>
      </c>
      <c r="J1760" s="299" t="s">
        <v>286</v>
      </c>
      <c r="K1760" s="299"/>
      <c r="L1760" s="84"/>
      <c r="M1760" s="76"/>
      <c r="Q1760" s="84"/>
      <c r="R1760" s="76"/>
    </row>
    <row r="1761" spans="2:18" s="83" customFormat="1" ht="15" hidden="1" customHeight="1" outlineLevel="2">
      <c r="B1761" s="119" t="s">
        <v>272</v>
      </c>
      <c r="C1761" s="266" t="s">
        <v>2659</v>
      </c>
      <c r="D1761" s="124" t="s">
        <v>2658</v>
      </c>
      <c r="E1761" s="125"/>
      <c r="F1761" s="118" t="s">
        <v>2593</v>
      </c>
      <c r="G1761" s="126" t="str">
        <f t="shared" si="115"/>
        <v>AR-R22-1</v>
      </c>
      <c r="H1761" s="253">
        <v>1</v>
      </c>
      <c r="I1761" s="76">
        <v>1</v>
      </c>
      <c r="J1761" s="299" t="s">
        <v>286</v>
      </c>
      <c r="K1761" s="299"/>
      <c r="L1761" s="84"/>
      <c r="M1761" s="76"/>
      <c r="Q1761" s="84"/>
      <c r="R1761" s="76"/>
    </row>
    <row r="1762" spans="2:18" s="83" customFormat="1" ht="15" hidden="1" customHeight="1" outlineLevel="2">
      <c r="B1762" s="119" t="s">
        <v>272</v>
      </c>
      <c r="C1762" s="266" t="s">
        <v>2660</v>
      </c>
      <c r="D1762" s="124" t="s">
        <v>2661</v>
      </c>
      <c r="E1762" s="125"/>
      <c r="F1762" s="118" t="s">
        <v>2593</v>
      </c>
      <c r="G1762" s="126" t="str">
        <f t="shared" si="115"/>
        <v>AR-R22-1</v>
      </c>
      <c r="H1762" s="253">
        <v>1</v>
      </c>
      <c r="I1762" s="76">
        <v>1</v>
      </c>
      <c r="J1762" s="299" t="s">
        <v>286</v>
      </c>
      <c r="K1762" s="299"/>
      <c r="L1762" s="84"/>
      <c r="M1762" s="76"/>
      <c r="Q1762" s="84"/>
      <c r="R1762" s="76"/>
    </row>
    <row r="1763" spans="2:18" s="83" customFormat="1" ht="15" hidden="1" customHeight="1" outlineLevel="2">
      <c r="B1763" s="119" t="s">
        <v>272</v>
      </c>
      <c r="C1763" s="266" t="s">
        <v>2662</v>
      </c>
      <c r="D1763" s="124" t="s">
        <v>2661</v>
      </c>
      <c r="E1763" s="125"/>
      <c r="F1763" s="118" t="s">
        <v>2593</v>
      </c>
      <c r="G1763" s="126" t="str">
        <f t="shared" si="115"/>
        <v>AR-R22-1</v>
      </c>
      <c r="H1763" s="253">
        <v>1</v>
      </c>
      <c r="I1763" s="76">
        <v>1</v>
      </c>
      <c r="J1763" s="299" t="s">
        <v>286</v>
      </c>
      <c r="K1763" s="299"/>
      <c r="L1763" s="84"/>
      <c r="M1763" s="76"/>
      <c r="Q1763" s="84"/>
      <c r="R1763" s="76"/>
    </row>
    <row r="1764" spans="2:18" s="83" customFormat="1" ht="15" hidden="1" customHeight="1" outlineLevel="2">
      <c r="B1764" s="119" t="s">
        <v>272</v>
      </c>
      <c r="C1764" s="266" t="s">
        <v>2663</v>
      </c>
      <c r="D1764" s="124" t="s">
        <v>2664</v>
      </c>
      <c r="E1764" s="125"/>
      <c r="F1764" s="118" t="s">
        <v>2593</v>
      </c>
      <c r="G1764" s="126" t="str">
        <f t="shared" si="115"/>
        <v>AR-R22-1</v>
      </c>
      <c r="H1764" s="253">
        <v>1</v>
      </c>
      <c r="I1764" s="76">
        <v>1</v>
      </c>
      <c r="J1764" s="299" t="s">
        <v>286</v>
      </c>
      <c r="K1764" s="299"/>
      <c r="L1764" s="84"/>
      <c r="M1764" s="76"/>
      <c r="Q1764" s="84"/>
      <c r="R1764" s="76"/>
    </row>
    <row r="1765" spans="2:18" s="83" customFormat="1" ht="15" hidden="1" customHeight="1" outlineLevel="2">
      <c r="B1765" s="119" t="s">
        <v>272</v>
      </c>
      <c r="C1765" s="266" t="s">
        <v>2665</v>
      </c>
      <c r="D1765" s="124" t="s">
        <v>2664</v>
      </c>
      <c r="E1765" s="125"/>
      <c r="F1765" s="118" t="s">
        <v>2593</v>
      </c>
      <c r="G1765" s="126" t="str">
        <f>CONCATENATE("AR-",F1765,"-",H1765)</f>
        <v>AR-R22-1</v>
      </c>
      <c r="H1765" s="253">
        <v>1</v>
      </c>
      <c r="I1765" s="76">
        <v>1</v>
      </c>
      <c r="J1765" s="299" t="s">
        <v>286</v>
      </c>
      <c r="K1765" s="299"/>
      <c r="L1765" s="84"/>
      <c r="M1765" s="76"/>
      <c r="Q1765" s="84"/>
      <c r="R1765" s="76"/>
    </row>
    <row r="1766" spans="2:18" s="83" customFormat="1" ht="15" hidden="1" customHeight="1" outlineLevel="2">
      <c r="B1766" s="119" t="s">
        <v>272</v>
      </c>
      <c r="C1766" s="266" t="s">
        <v>2666</v>
      </c>
      <c r="D1766" s="124" t="s">
        <v>2667</v>
      </c>
      <c r="E1766" s="125"/>
      <c r="F1766" s="118" t="s">
        <v>2593</v>
      </c>
      <c r="G1766" s="126" t="str">
        <f>CONCATENATE("AR-",F1766,"-",H1766)</f>
        <v>AR-R22-1</v>
      </c>
      <c r="H1766" s="253">
        <v>1</v>
      </c>
      <c r="I1766" s="76">
        <v>1</v>
      </c>
      <c r="J1766" s="299" t="s">
        <v>286</v>
      </c>
      <c r="K1766" s="299"/>
      <c r="L1766" s="84"/>
      <c r="M1766" s="76"/>
      <c r="Q1766" s="84"/>
      <c r="R1766" s="76"/>
    </row>
    <row r="1767" spans="2:18" s="83" customFormat="1" ht="15" hidden="1" customHeight="1" outlineLevel="2">
      <c r="B1767" s="119" t="s">
        <v>272</v>
      </c>
      <c r="C1767" s="266" t="s">
        <v>2668</v>
      </c>
      <c r="D1767" s="124" t="s">
        <v>2667</v>
      </c>
      <c r="E1767" s="125"/>
      <c r="F1767" s="118" t="s">
        <v>2593</v>
      </c>
      <c r="G1767" s="126" t="str">
        <f>CONCATENATE("AR-",F1767,"-",H1767)</f>
        <v>AR-R22-1</v>
      </c>
      <c r="H1767" s="253">
        <v>1</v>
      </c>
      <c r="I1767" s="76">
        <v>1</v>
      </c>
      <c r="J1767" s="299" t="s">
        <v>286</v>
      </c>
      <c r="K1767" s="299"/>
      <c r="L1767" s="84"/>
      <c r="M1767" s="76"/>
      <c r="Q1767" s="84"/>
      <c r="R1767" s="76"/>
    </row>
    <row r="1768" spans="2:18" s="83" customFormat="1" ht="15" hidden="1" customHeight="1" outlineLevel="2">
      <c r="B1768" s="119" t="s">
        <v>272</v>
      </c>
      <c r="C1768" s="266" t="s">
        <v>2669</v>
      </c>
      <c r="D1768" s="124" t="s">
        <v>2670</v>
      </c>
      <c r="E1768" s="125"/>
      <c r="F1768" s="118" t="s">
        <v>2593</v>
      </c>
      <c r="G1768" s="126" t="str">
        <f t="shared" ref="G1768:G1787" si="116">CONCATENATE("AR-",F1768,"-",H1768)</f>
        <v>AR-R22-1</v>
      </c>
      <c r="H1768" s="253">
        <v>1</v>
      </c>
      <c r="I1768" s="76">
        <v>1</v>
      </c>
      <c r="J1768" s="299" t="s">
        <v>286</v>
      </c>
      <c r="K1768" s="299"/>
      <c r="L1768" s="84"/>
      <c r="M1768" s="76"/>
      <c r="Q1768" s="84"/>
      <c r="R1768" s="76"/>
    </row>
    <row r="1769" spans="2:18" s="83" customFormat="1" ht="15" hidden="1" customHeight="1" outlineLevel="2">
      <c r="B1769" s="119" t="s">
        <v>272</v>
      </c>
      <c r="C1769" s="266" t="s">
        <v>2671</v>
      </c>
      <c r="D1769" s="124" t="s">
        <v>2670</v>
      </c>
      <c r="E1769" s="125"/>
      <c r="F1769" s="118" t="s">
        <v>2593</v>
      </c>
      <c r="G1769" s="126" t="str">
        <f t="shared" si="116"/>
        <v>AR-R22-1</v>
      </c>
      <c r="H1769" s="253">
        <v>1</v>
      </c>
      <c r="I1769" s="76">
        <v>1</v>
      </c>
      <c r="J1769" s="299" t="s">
        <v>286</v>
      </c>
      <c r="K1769" s="299"/>
      <c r="L1769" s="84"/>
      <c r="M1769" s="76"/>
      <c r="Q1769" s="84"/>
      <c r="R1769" s="76"/>
    </row>
    <row r="1770" spans="2:18" s="83" customFormat="1" ht="15" hidden="1" customHeight="1" outlineLevel="2">
      <c r="B1770" s="119" t="s">
        <v>272</v>
      </c>
      <c r="C1770" s="266" t="s">
        <v>2672</v>
      </c>
      <c r="D1770" s="124" t="s">
        <v>2673</v>
      </c>
      <c r="E1770" s="125"/>
      <c r="F1770" s="118" t="s">
        <v>2593</v>
      </c>
      <c r="G1770" s="126" t="str">
        <f t="shared" si="116"/>
        <v>AR-R22-1</v>
      </c>
      <c r="H1770" s="253">
        <v>1</v>
      </c>
      <c r="I1770" s="76">
        <v>1</v>
      </c>
      <c r="J1770" s="299" t="s">
        <v>286</v>
      </c>
      <c r="K1770" s="299"/>
      <c r="L1770" s="84"/>
      <c r="M1770" s="76"/>
      <c r="Q1770" s="84"/>
      <c r="R1770" s="76"/>
    </row>
    <row r="1771" spans="2:18" s="83" customFormat="1" ht="15" hidden="1" customHeight="1" outlineLevel="2">
      <c r="B1771" s="119" t="s">
        <v>272</v>
      </c>
      <c r="C1771" s="266" t="s">
        <v>2674</v>
      </c>
      <c r="D1771" s="124" t="s">
        <v>2673</v>
      </c>
      <c r="E1771" s="125"/>
      <c r="F1771" s="118" t="s">
        <v>2593</v>
      </c>
      <c r="G1771" s="126" t="str">
        <f t="shared" si="116"/>
        <v>AR-R22-1</v>
      </c>
      <c r="H1771" s="253">
        <v>1</v>
      </c>
      <c r="I1771" s="76">
        <v>1</v>
      </c>
      <c r="J1771" s="299" t="s">
        <v>286</v>
      </c>
      <c r="K1771" s="299"/>
      <c r="L1771" s="84"/>
      <c r="M1771" s="76"/>
      <c r="Q1771" s="84"/>
      <c r="R1771" s="76"/>
    </row>
    <row r="1772" spans="2:18" s="83" customFormat="1" ht="15" hidden="1" customHeight="1" outlineLevel="2">
      <c r="B1772" s="119" t="s">
        <v>272</v>
      </c>
      <c r="C1772" s="266" t="s">
        <v>2675</v>
      </c>
      <c r="D1772" s="124" t="s">
        <v>2676</v>
      </c>
      <c r="E1772" s="125"/>
      <c r="F1772" s="118" t="s">
        <v>2593</v>
      </c>
      <c r="G1772" s="126" t="str">
        <f t="shared" si="116"/>
        <v>AR-R22-1</v>
      </c>
      <c r="H1772" s="253">
        <v>1</v>
      </c>
      <c r="I1772" s="76">
        <v>1</v>
      </c>
      <c r="J1772" s="299" t="s">
        <v>286</v>
      </c>
      <c r="K1772" s="299"/>
      <c r="L1772" s="84"/>
      <c r="M1772" s="76"/>
      <c r="Q1772" s="84"/>
      <c r="R1772" s="76"/>
    </row>
    <row r="1773" spans="2:18" s="83" customFormat="1" ht="15" hidden="1" customHeight="1" outlineLevel="2">
      <c r="B1773" s="119" t="s">
        <v>272</v>
      </c>
      <c r="C1773" s="266" t="s">
        <v>2677</v>
      </c>
      <c r="D1773" s="124" t="s">
        <v>2676</v>
      </c>
      <c r="E1773" s="125"/>
      <c r="F1773" s="118" t="s">
        <v>2593</v>
      </c>
      <c r="G1773" s="126" t="str">
        <f t="shared" si="116"/>
        <v>AR-R22-1</v>
      </c>
      <c r="H1773" s="253">
        <v>1</v>
      </c>
      <c r="I1773" s="76">
        <v>1</v>
      </c>
      <c r="J1773" s="299" t="s">
        <v>286</v>
      </c>
      <c r="K1773" s="299"/>
      <c r="L1773" s="84"/>
      <c r="M1773" s="76"/>
      <c r="Q1773" s="84"/>
      <c r="R1773" s="76"/>
    </row>
    <row r="1774" spans="2:18" s="83" customFormat="1" ht="15" hidden="1" customHeight="1" outlineLevel="2">
      <c r="B1774" s="119" t="s">
        <v>272</v>
      </c>
      <c r="C1774" s="266" t="s">
        <v>2678</v>
      </c>
      <c r="D1774" s="124" t="s">
        <v>2679</v>
      </c>
      <c r="E1774" s="125"/>
      <c r="F1774" s="118" t="s">
        <v>2593</v>
      </c>
      <c r="G1774" s="126" t="str">
        <f t="shared" si="116"/>
        <v>AR-R22-1</v>
      </c>
      <c r="H1774" s="253">
        <v>1</v>
      </c>
      <c r="I1774" s="76">
        <v>1</v>
      </c>
      <c r="J1774" s="299" t="s">
        <v>286</v>
      </c>
      <c r="K1774" s="299"/>
      <c r="L1774" s="84"/>
      <c r="M1774" s="76"/>
      <c r="Q1774" s="84"/>
      <c r="R1774" s="76"/>
    </row>
    <row r="1775" spans="2:18" s="83" customFormat="1" ht="15" hidden="1" customHeight="1" outlineLevel="2">
      <c r="B1775" s="119" t="s">
        <v>272</v>
      </c>
      <c r="C1775" s="266" t="s">
        <v>2680</v>
      </c>
      <c r="D1775" s="124" t="s">
        <v>2679</v>
      </c>
      <c r="E1775" s="125"/>
      <c r="F1775" s="118" t="s">
        <v>2593</v>
      </c>
      <c r="G1775" s="126" t="str">
        <f t="shared" si="116"/>
        <v>AR-R22-1</v>
      </c>
      <c r="H1775" s="253">
        <v>1</v>
      </c>
      <c r="I1775" s="76">
        <v>1</v>
      </c>
      <c r="J1775" s="299" t="s">
        <v>286</v>
      </c>
      <c r="K1775" s="299"/>
      <c r="L1775" s="84"/>
      <c r="M1775" s="76"/>
      <c r="Q1775" s="84"/>
      <c r="R1775" s="76"/>
    </row>
    <row r="1776" spans="2:18" s="83" customFormat="1" ht="15" hidden="1" customHeight="1" outlineLevel="2">
      <c r="B1776" s="119" t="s">
        <v>272</v>
      </c>
      <c r="C1776" s="266" t="s">
        <v>2681</v>
      </c>
      <c r="D1776" s="124" t="s">
        <v>2682</v>
      </c>
      <c r="E1776" s="125"/>
      <c r="F1776" s="118" t="s">
        <v>2593</v>
      </c>
      <c r="G1776" s="126" t="str">
        <f t="shared" si="116"/>
        <v>AR-R22-1</v>
      </c>
      <c r="H1776" s="253">
        <v>1</v>
      </c>
      <c r="I1776" s="76">
        <v>1</v>
      </c>
      <c r="J1776" s="299" t="s">
        <v>286</v>
      </c>
      <c r="K1776" s="299"/>
      <c r="L1776" s="84"/>
      <c r="M1776" s="76"/>
      <c r="Q1776" s="84"/>
      <c r="R1776" s="76"/>
    </row>
    <row r="1777" spans="2:18" s="83" customFormat="1" ht="15" hidden="1" customHeight="1" outlineLevel="2">
      <c r="B1777" s="119" t="s">
        <v>272</v>
      </c>
      <c r="C1777" s="266" t="s">
        <v>2683</v>
      </c>
      <c r="D1777" s="124" t="s">
        <v>2682</v>
      </c>
      <c r="E1777" s="125"/>
      <c r="F1777" s="118" t="s">
        <v>2593</v>
      </c>
      <c r="G1777" s="126" t="str">
        <f t="shared" si="116"/>
        <v>AR-R22-1</v>
      </c>
      <c r="H1777" s="253">
        <v>1</v>
      </c>
      <c r="I1777" s="76">
        <v>1</v>
      </c>
      <c r="J1777" s="299" t="s">
        <v>286</v>
      </c>
      <c r="K1777" s="299"/>
      <c r="L1777" s="84"/>
      <c r="M1777" s="76"/>
      <c r="Q1777" s="84"/>
      <c r="R1777" s="76"/>
    </row>
    <row r="1778" spans="2:18" s="83" customFormat="1" ht="15" hidden="1" customHeight="1" outlineLevel="2">
      <c r="B1778" s="119" t="s">
        <v>272</v>
      </c>
      <c r="C1778" s="266" t="s">
        <v>2684</v>
      </c>
      <c r="D1778" s="124" t="s">
        <v>2685</v>
      </c>
      <c r="E1778" s="125"/>
      <c r="F1778" s="118" t="s">
        <v>2593</v>
      </c>
      <c r="G1778" s="126" t="str">
        <f t="shared" si="116"/>
        <v>AR-R22-1</v>
      </c>
      <c r="H1778" s="253">
        <v>1</v>
      </c>
      <c r="I1778" s="76">
        <v>1</v>
      </c>
      <c r="J1778" s="299" t="s">
        <v>286</v>
      </c>
      <c r="K1778" s="299"/>
      <c r="L1778" s="84"/>
      <c r="M1778" s="76"/>
      <c r="Q1778" s="84"/>
      <c r="R1778" s="76"/>
    </row>
    <row r="1779" spans="2:18" s="83" customFormat="1" ht="15" hidden="1" customHeight="1" outlineLevel="2">
      <c r="B1779" s="119" t="s">
        <v>272</v>
      </c>
      <c r="C1779" s="266" t="s">
        <v>2686</v>
      </c>
      <c r="D1779" s="124" t="s">
        <v>2685</v>
      </c>
      <c r="E1779" s="125"/>
      <c r="F1779" s="118" t="s">
        <v>2593</v>
      </c>
      <c r="G1779" s="126" t="str">
        <f t="shared" si="116"/>
        <v>AR-R22-1</v>
      </c>
      <c r="H1779" s="253">
        <v>1</v>
      </c>
      <c r="I1779" s="76">
        <v>1</v>
      </c>
      <c r="J1779" s="299" t="s">
        <v>286</v>
      </c>
      <c r="K1779" s="299"/>
      <c r="L1779" s="84"/>
      <c r="M1779" s="76"/>
      <c r="Q1779" s="84"/>
      <c r="R1779" s="76"/>
    </row>
    <row r="1780" spans="2:18" s="83" customFormat="1" ht="15" hidden="1" customHeight="1" outlineLevel="2">
      <c r="B1780" s="119" t="s">
        <v>272</v>
      </c>
      <c r="C1780" s="266" t="s">
        <v>2687</v>
      </c>
      <c r="D1780" s="124" t="s">
        <v>2688</v>
      </c>
      <c r="E1780" s="125"/>
      <c r="F1780" s="118" t="s">
        <v>2593</v>
      </c>
      <c r="G1780" s="126" t="str">
        <f t="shared" si="116"/>
        <v>AR-R22-1</v>
      </c>
      <c r="H1780" s="253">
        <v>1</v>
      </c>
      <c r="I1780" s="76">
        <v>1</v>
      </c>
      <c r="J1780" s="299" t="s">
        <v>286</v>
      </c>
      <c r="K1780" s="299"/>
      <c r="L1780" s="84"/>
      <c r="M1780" s="76"/>
      <c r="Q1780" s="84"/>
      <c r="R1780" s="76"/>
    </row>
    <row r="1781" spans="2:18" s="83" customFormat="1" ht="15" hidden="1" customHeight="1" outlineLevel="2">
      <c r="B1781" s="119" t="s">
        <v>272</v>
      </c>
      <c r="C1781" s="266" t="s">
        <v>2689</v>
      </c>
      <c r="D1781" s="124" t="s">
        <v>2688</v>
      </c>
      <c r="E1781" s="125"/>
      <c r="F1781" s="118" t="s">
        <v>2593</v>
      </c>
      <c r="G1781" s="126" t="str">
        <f t="shared" si="116"/>
        <v>AR-R22-1</v>
      </c>
      <c r="H1781" s="253">
        <v>1</v>
      </c>
      <c r="I1781" s="76">
        <v>1</v>
      </c>
      <c r="J1781" s="299" t="s">
        <v>286</v>
      </c>
      <c r="K1781" s="299"/>
      <c r="L1781" s="84"/>
      <c r="M1781" s="76"/>
      <c r="Q1781" s="84"/>
      <c r="R1781" s="76"/>
    </row>
    <row r="1782" spans="2:18" s="83" customFormat="1" ht="15" hidden="1" customHeight="1" outlineLevel="2">
      <c r="B1782" s="119" t="s">
        <v>272</v>
      </c>
      <c r="C1782" s="266" t="s">
        <v>2690</v>
      </c>
      <c r="D1782" s="124" t="s">
        <v>2691</v>
      </c>
      <c r="E1782" s="125"/>
      <c r="F1782" s="118" t="s">
        <v>2593</v>
      </c>
      <c r="G1782" s="126" t="str">
        <f t="shared" si="116"/>
        <v>AR-R22-1</v>
      </c>
      <c r="H1782" s="253">
        <v>1</v>
      </c>
      <c r="I1782" s="76">
        <v>1</v>
      </c>
      <c r="J1782" s="299" t="s">
        <v>286</v>
      </c>
      <c r="K1782" s="299"/>
      <c r="L1782" s="84"/>
      <c r="M1782" s="76"/>
      <c r="Q1782" s="84"/>
      <c r="R1782" s="76"/>
    </row>
    <row r="1783" spans="2:18" s="83" customFormat="1" ht="15" hidden="1" customHeight="1" outlineLevel="2">
      <c r="B1783" s="119" t="s">
        <v>272</v>
      </c>
      <c r="C1783" s="266" t="s">
        <v>2692</v>
      </c>
      <c r="D1783" s="124" t="s">
        <v>2691</v>
      </c>
      <c r="E1783" s="125"/>
      <c r="F1783" s="118" t="s">
        <v>2593</v>
      </c>
      <c r="G1783" s="126" t="str">
        <f t="shared" si="116"/>
        <v>AR-R22-1</v>
      </c>
      <c r="H1783" s="253">
        <v>1</v>
      </c>
      <c r="I1783" s="76">
        <v>1</v>
      </c>
      <c r="J1783" s="299" t="s">
        <v>286</v>
      </c>
      <c r="K1783" s="299"/>
      <c r="L1783" s="84"/>
      <c r="M1783" s="76"/>
      <c r="Q1783" s="84"/>
      <c r="R1783" s="76"/>
    </row>
    <row r="1784" spans="2:18" s="83" customFormat="1" ht="15" hidden="1" customHeight="1" outlineLevel="2">
      <c r="B1784" s="119" t="s">
        <v>272</v>
      </c>
      <c r="C1784" s="266" t="s">
        <v>2693</v>
      </c>
      <c r="D1784" s="124" t="s">
        <v>2694</v>
      </c>
      <c r="E1784" s="125"/>
      <c r="F1784" s="118" t="s">
        <v>2593</v>
      </c>
      <c r="G1784" s="126" t="str">
        <f t="shared" si="116"/>
        <v>AR-R22-1</v>
      </c>
      <c r="H1784" s="253">
        <v>1</v>
      </c>
      <c r="I1784" s="76">
        <v>1</v>
      </c>
      <c r="J1784" s="299" t="s">
        <v>286</v>
      </c>
      <c r="K1784" s="299"/>
      <c r="L1784" s="84"/>
      <c r="M1784" s="76"/>
      <c r="Q1784" s="84"/>
      <c r="R1784" s="76"/>
    </row>
    <row r="1785" spans="2:18" s="83" customFormat="1" ht="15" hidden="1" customHeight="1" outlineLevel="2">
      <c r="B1785" s="119" t="s">
        <v>272</v>
      </c>
      <c r="C1785" s="266" t="s">
        <v>2695</v>
      </c>
      <c r="D1785" s="124" t="s">
        <v>2694</v>
      </c>
      <c r="E1785" s="125"/>
      <c r="F1785" s="118" t="s">
        <v>2593</v>
      </c>
      <c r="G1785" s="126" t="str">
        <f t="shared" si="116"/>
        <v>AR-R22-1</v>
      </c>
      <c r="H1785" s="253">
        <v>1</v>
      </c>
      <c r="I1785" s="76">
        <v>1</v>
      </c>
      <c r="J1785" s="299" t="s">
        <v>286</v>
      </c>
      <c r="K1785" s="299"/>
      <c r="L1785" s="84"/>
      <c r="M1785" s="76"/>
      <c r="Q1785" s="84"/>
      <c r="R1785" s="76"/>
    </row>
    <row r="1786" spans="2:18" s="83" customFormat="1" ht="15" hidden="1" customHeight="1" outlineLevel="2">
      <c r="B1786" s="119" t="s">
        <v>272</v>
      </c>
      <c r="C1786" s="266" t="s">
        <v>2696</v>
      </c>
      <c r="D1786" s="124" t="s">
        <v>2697</v>
      </c>
      <c r="E1786" s="125"/>
      <c r="F1786" s="118" t="s">
        <v>2593</v>
      </c>
      <c r="G1786" s="126" t="str">
        <f t="shared" si="116"/>
        <v>AR-R22-1</v>
      </c>
      <c r="H1786" s="253">
        <v>1</v>
      </c>
      <c r="I1786" s="76">
        <v>1</v>
      </c>
      <c r="J1786" s="299" t="s">
        <v>286</v>
      </c>
      <c r="K1786" s="299"/>
      <c r="L1786" s="84"/>
      <c r="M1786" s="76"/>
      <c r="Q1786" s="84"/>
      <c r="R1786" s="76"/>
    </row>
    <row r="1787" spans="2:18" s="83" customFormat="1" ht="15" hidden="1" customHeight="1" outlineLevel="2">
      <c r="B1787" s="119" t="s">
        <v>272</v>
      </c>
      <c r="C1787" s="266" t="s">
        <v>2698</v>
      </c>
      <c r="D1787" s="124" t="s">
        <v>2697</v>
      </c>
      <c r="E1787" s="125"/>
      <c r="F1787" s="118" t="s">
        <v>2593</v>
      </c>
      <c r="G1787" s="126" t="str">
        <f t="shared" si="116"/>
        <v>AR-R22-1</v>
      </c>
      <c r="H1787" s="253">
        <v>1</v>
      </c>
      <c r="I1787" s="76">
        <v>1</v>
      </c>
      <c r="J1787" s="299" t="s">
        <v>286</v>
      </c>
      <c r="K1787" s="299"/>
      <c r="L1787" s="84"/>
      <c r="M1787" s="76"/>
      <c r="Q1787" s="84"/>
      <c r="R1787" s="76"/>
    </row>
    <row r="1788" spans="2:18" s="83" customFormat="1" ht="15" hidden="1" customHeight="1" outlineLevel="2">
      <c r="B1788" s="119" t="s">
        <v>272</v>
      </c>
      <c r="C1788" s="266" t="s">
        <v>2699</v>
      </c>
      <c r="D1788" s="124" t="s">
        <v>2697</v>
      </c>
      <c r="E1788" s="125"/>
      <c r="F1788" s="118" t="s">
        <v>2593</v>
      </c>
      <c r="G1788" s="126" t="str">
        <f t="shared" ref="G1788:G1849" si="117">CONCATENATE("AR-",F1788,"-",H1788)</f>
        <v>AR-R22-1</v>
      </c>
      <c r="H1788" s="253">
        <v>1</v>
      </c>
      <c r="I1788" s="76">
        <v>1</v>
      </c>
      <c r="J1788" s="299" t="s">
        <v>286</v>
      </c>
      <c r="K1788" s="299"/>
      <c r="L1788" s="84"/>
      <c r="M1788" s="76"/>
      <c r="Q1788" s="84"/>
      <c r="R1788" s="76"/>
    </row>
    <row r="1789" spans="2:18" s="83" customFormat="1" ht="15" hidden="1" customHeight="1" outlineLevel="2">
      <c r="B1789" s="119" t="s">
        <v>272</v>
      </c>
      <c r="C1789" s="266" t="s">
        <v>2700</v>
      </c>
      <c r="D1789" s="124" t="s">
        <v>2697</v>
      </c>
      <c r="E1789" s="125"/>
      <c r="F1789" s="118" t="s">
        <v>2593</v>
      </c>
      <c r="G1789" s="126" t="str">
        <f t="shared" si="117"/>
        <v>AR-R22-1</v>
      </c>
      <c r="H1789" s="253">
        <v>1</v>
      </c>
      <c r="I1789" s="76">
        <v>1</v>
      </c>
      <c r="J1789" s="299" t="s">
        <v>286</v>
      </c>
      <c r="K1789" s="299"/>
      <c r="L1789" s="84"/>
      <c r="M1789" s="76"/>
      <c r="Q1789" s="84"/>
      <c r="R1789" s="76"/>
    </row>
    <row r="1790" spans="2:18" s="100" customFormat="1" ht="15" hidden="1" customHeight="1" outlineLevel="2">
      <c r="B1790" s="119" t="s">
        <v>272</v>
      </c>
      <c r="C1790" s="266" t="s">
        <v>2701</v>
      </c>
      <c r="D1790" s="124" t="s">
        <v>2702</v>
      </c>
      <c r="E1790" s="125"/>
      <c r="F1790" s="118" t="s">
        <v>2593</v>
      </c>
      <c r="G1790" s="126" t="str">
        <f t="shared" si="117"/>
        <v>AR-R22-1</v>
      </c>
      <c r="H1790" s="253">
        <v>1</v>
      </c>
      <c r="I1790" s="76">
        <v>1</v>
      </c>
      <c r="J1790" s="299" t="s">
        <v>286</v>
      </c>
      <c r="K1790" s="299"/>
      <c r="L1790" s="84"/>
      <c r="M1790" s="76"/>
      <c r="Q1790" s="84"/>
      <c r="R1790" s="76"/>
    </row>
    <row r="1791" spans="2:18" s="83" customFormat="1" ht="15" hidden="1" customHeight="1" outlineLevel="2">
      <c r="B1791" s="119" t="s">
        <v>272</v>
      </c>
      <c r="C1791" s="266" t="s">
        <v>2703</v>
      </c>
      <c r="D1791" s="124" t="s">
        <v>2702</v>
      </c>
      <c r="E1791" s="125"/>
      <c r="F1791" s="118" t="s">
        <v>2593</v>
      </c>
      <c r="G1791" s="126" t="str">
        <f t="shared" si="117"/>
        <v>AR-R22-1</v>
      </c>
      <c r="H1791" s="253">
        <v>1</v>
      </c>
      <c r="I1791" s="76">
        <v>1</v>
      </c>
      <c r="J1791" s="299" t="s">
        <v>286</v>
      </c>
      <c r="K1791" s="299"/>
      <c r="L1791" s="84"/>
      <c r="M1791" s="76"/>
      <c r="Q1791" s="84"/>
      <c r="R1791" s="76"/>
    </row>
    <row r="1792" spans="2:18" s="83" customFormat="1" ht="15" hidden="1" customHeight="1" outlineLevel="2">
      <c r="B1792" s="119" t="s">
        <v>272</v>
      </c>
      <c r="C1792" s="266" t="s">
        <v>2704</v>
      </c>
      <c r="D1792" s="124" t="s">
        <v>2705</v>
      </c>
      <c r="E1792" s="125"/>
      <c r="F1792" s="118" t="s">
        <v>2593</v>
      </c>
      <c r="G1792" s="126" t="str">
        <f t="shared" si="117"/>
        <v>AR-R22-1</v>
      </c>
      <c r="H1792" s="253">
        <v>1</v>
      </c>
      <c r="I1792" s="76">
        <v>1</v>
      </c>
      <c r="J1792" s="299" t="s">
        <v>286</v>
      </c>
      <c r="K1792" s="299"/>
      <c r="L1792" s="84"/>
      <c r="M1792" s="76"/>
      <c r="Q1792" s="84"/>
      <c r="R1792" s="76"/>
    </row>
    <row r="1793" spans="2:18" s="83" customFormat="1" ht="15" hidden="1" customHeight="1" outlineLevel="2">
      <c r="B1793" s="119" t="s">
        <v>272</v>
      </c>
      <c r="C1793" s="266" t="s">
        <v>2706</v>
      </c>
      <c r="D1793" s="124" t="s">
        <v>2705</v>
      </c>
      <c r="E1793" s="125"/>
      <c r="F1793" s="118" t="s">
        <v>2593</v>
      </c>
      <c r="G1793" s="126" t="str">
        <f t="shared" si="117"/>
        <v>AR-R22-1</v>
      </c>
      <c r="H1793" s="253">
        <v>1</v>
      </c>
      <c r="I1793" s="76">
        <v>1</v>
      </c>
      <c r="J1793" s="299" t="s">
        <v>286</v>
      </c>
      <c r="K1793" s="299"/>
      <c r="L1793" s="84"/>
      <c r="M1793" s="76"/>
      <c r="Q1793" s="84"/>
      <c r="R1793" s="76"/>
    </row>
    <row r="1794" spans="2:18" s="83" customFormat="1" ht="15" hidden="1" customHeight="1" outlineLevel="2">
      <c r="B1794" s="119" t="s">
        <v>272</v>
      </c>
      <c r="C1794" s="266" t="s">
        <v>2707</v>
      </c>
      <c r="D1794" s="124" t="s">
        <v>2708</v>
      </c>
      <c r="E1794" s="125"/>
      <c r="F1794" s="118" t="s">
        <v>2593</v>
      </c>
      <c r="G1794" s="126" t="str">
        <f t="shared" si="117"/>
        <v>AR-R22-1</v>
      </c>
      <c r="H1794" s="253">
        <v>1</v>
      </c>
      <c r="I1794" s="76">
        <v>1</v>
      </c>
      <c r="J1794" s="299" t="s">
        <v>286</v>
      </c>
      <c r="K1794" s="299"/>
      <c r="L1794" s="84"/>
      <c r="M1794" s="76"/>
      <c r="Q1794" s="84"/>
      <c r="R1794" s="76"/>
    </row>
    <row r="1795" spans="2:18" s="83" customFormat="1" ht="15" hidden="1" customHeight="1" outlineLevel="2">
      <c r="B1795" s="119" t="s">
        <v>272</v>
      </c>
      <c r="C1795" s="266" t="s">
        <v>2709</v>
      </c>
      <c r="D1795" s="124" t="s">
        <v>2708</v>
      </c>
      <c r="E1795" s="125"/>
      <c r="F1795" s="118" t="s">
        <v>2593</v>
      </c>
      <c r="G1795" s="126" t="str">
        <f t="shared" si="117"/>
        <v>AR-R22-1</v>
      </c>
      <c r="H1795" s="253">
        <v>1</v>
      </c>
      <c r="I1795" s="76">
        <v>1</v>
      </c>
      <c r="J1795" s="299" t="s">
        <v>286</v>
      </c>
      <c r="K1795" s="299"/>
      <c r="L1795" s="84"/>
      <c r="M1795" s="76"/>
      <c r="Q1795" s="84"/>
      <c r="R1795" s="76"/>
    </row>
    <row r="1796" spans="2:18" s="83" customFormat="1" ht="15" hidden="1" customHeight="1" outlineLevel="2">
      <c r="B1796" s="119" t="s">
        <v>272</v>
      </c>
      <c r="C1796" s="266" t="s">
        <v>2710</v>
      </c>
      <c r="D1796" s="124" t="s">
        <v>2711</v>
      </c>
      <c r="E1796" s="125"/>
      <c r="F1796" s="118" t="s">
        <v>2593</v>
      </c>
      <c r="G1796" s="126" t="str">
        <f t="shared" si="117"/>
        <v>AR-R22-1</v>
      </c>
      <c r="H1796" s="253">
        <v>1</v>
      </c>
      <c r="I1796" s="76">
        <v>1</v>
      </c>
      <c r="J1796" s="299" t="s">
        <v>286</v>
      </c>
      <c r="K1796" s="299"/>
      <c r="L1796" s="84"/>
      <c r="M1796" s="76"/>
      <c r="Q1796" s="84"/>
      <c r="R1796" s="76"/>
    </row>
    <row r="1797" spans="2:18" s="83" customFormat="1" ht="15" hidden="1" customHeight="1" outlineLevel="2">
      <c r="B1797" s="119" t="s">
        <v>272</v>
      </c>
      <c r="C1797" s="266" t="s">
        <v>2712</v>
      </c>
      <c r="D1797" s="124" t="s">
        <v>2711</v>
      </c>
      <c r="E1797" s="125"/>
      <c r="F1797" s="118" t="s">
        <v>2593</v>
      </c>
      <c r="G1797" s="126" t="str">
        <f t="shared" si="117"/>
        <v>AR-R22-1</v>
      </c>
      <c r="H1797" s="253">
        <v>1</v>
      </c>
      <c r="I1797" s="76">
        <v>1</v>
      </c>
      <c r="J1797" s="299" t="s">
        <v>286</v>
      </c>
      <c r="K1797" s="299"/>
      <c r="L1797" s="84"/>
      <c r="M1797" s="76"/>
      <c r="Q1797" s="84"/>
      <c r="R1797" s="76"/>
    </row>
    <row r="1798" spans="2:18" s="83" customFormat="1" ht="15" hidden="1" customHeight="1" outlineLevel="2">
      <c r="B1798" s="119" t="s">
        <v>272</v>
      </c>
      <c r="C1798" s="266" t="s">
        <v>2713</v>
      </c>
      <c r="D1798" s="124" t="s">
        <v>2711</v>
      </c>
      <c r="E1798" s="125"/>
      <c r="F1798" s="118" t="s">
        <v>2593</v>
      </c>
      <c r="G1798" s="126" t="str">
        <f t="shared" si="117"/>
        <v>AR-R22-1</v>
      </c>
      <c r="H1798" s="253">
        <v>1</v>
      </c>
      <c r="I1798" s="76">
        <v>1</v>
      </c>
      <c r="J1798" s="299" t="s">
        <v>286</v>
      </c>
      <c r="K1798" s="299"/>
      <c r="L1798" s="84"/>
      <c r="M1798" s="76"/>
      <c r="Q1798" s="84"/>
      <c r="R1798" s="76"/>
    </row>
    <row r="1799" spans="2:18" s="83" customFormat="1" ht="15" hidden="1" customHeight="1" outlineLevel="2">
      <c r="B1799" s="119" t="s">
        <v>272</v>
      </c>
      <c r="C1799" s="266" t="s">
        <v>2714</v>
      </c>
      <c r="D1799" s="124" t="s">
        <v>2711</v>
      </c>
      <c r="E1799" s="125"/>
      <c r="F1799" s="118" t="s">
        <v>2593</v>
      </c>
      <c r="G1799" s="126" t="str">
        <f t="shared" si="117"/>
        <v>AR-R22-1</v>
      </c>
      <c r="H1799" s="253">
        <v>1</v>
      </c>
      <c r="I1799" s="76">
        <v>1</v>
      </c>
      <c r="J1799" s="299" t="s">
        <v>286</v>
      </c>
      <c r="K1799" s="299"/>
      <c r="L1799" s="84"/>
      <c r="M1799" s="76"/>
      <c r="Q1799" s="84"/>
      <c r="R1799" s="76"/>
    </row>
    <row r="1800" spans="2:18" s="83" customFormat="1" ht="15" hidden="1" customHeight="1" outlineLevel="2">
      <c r="B1800" s="119" t="s">
        <v>272</v>
      </c>
      <c r="C1800" s="266" t="s">
        <v>2715</v>
      </c>
      <c r="D1800" s="124" t="s">
        <v>2286</v>
      </c>
      <c r="E1800" s="125"/>
      <c r="F1800" s="118" t="s">
        <v>2593</v>
      </c>
      <c r="G1800" s="126" t="str">
        <f t="shared" si="117"/>
        <v>AR-R22-1</v>
      </c>
      <c r="H1800" s="253">
        <v>1</v>
      </c>
      <c r="I1800" s="76">
        <v>1</v>
      </c>
      <c r="J1800" s="299" t="s">
        <v>286</v>
      </c>
      <c r="K1800" s="299"/>
      <c r="L1800" s="84"/>
      <c r="M1800" s="76"/>
      <c r="Q1800" s="84"/>
      <c r="R1800" s="76"/>
    </row>
    <row r="1801" spans="2:18" s="83" customFormat="1" ht="15" hidden="1" customHeight="1" outlineLevel="2">
      <c r="B1801" s="119" t="s">
        <v>272</v>
      </c>
      <c r="C1801" s="266" t="s">
        <v>2716</v>
      </c>
      <c r="D1801" s="124" t="s">
        <v>2717</v>
      </c>
      <c r="E1801" s="125"/>
      <c r="F1801" s="118" t="s">
        <v>2593</v>
      </c>
      <c r="G1801" s="126" t="str">
        <f t="shared" si="117"/>
        <v>AR-R22-1</v>
      </c>
      <c r="H1801" s="253">
        <v>1</v>
      </c>
      <c r="I1801" s="76">
        <v>1</v>
      </c>
      <c r="J1801" s="299" t="s">
        <v>286</v>
      </c>
      <c r="K1801" s="299"/>
      <c r="L1801" s="84"/>
      <c r="M1801" s="76"/>
      <c r="Q1801" s="84"/>
      <c r="R1801" s="76"/>
    </row>
    <row r="1802" spans="2:18" s="83" customFormat="1" ht="15" hidden="1" customHeight="1" outlineLevel="2">
      <c r="B1802" s="119" t="s">
        <v>272</v>
      </c>
      <c r="C1802" s="266" t="s">
        <v>2718</v>
      </c>
      <c r="D1802" s="124" t="s">
        <v>2286</v>
      </c>
      <c r="E1802" s="125"/>
      <c r="F1802" s="118" t="s">
        <v>2593</v>
      </c>
      <c r="G1802" s="126" t="str">
        <f t="shared" si="117"/>
        <v>AR-R22-1</v>
      </c>
      <c r="H1802" s="253">
        <v>1</v>
      </c>
      <c r="I1802" s="76">
        <v>1</v>
      </c>
      <c r="J1802" s="299" t="s">
        <v>286</v>
      </c>
      <c r="K1802" s="299"/>
      <c r="L1802" s="84"/>
      <c r="M1802" s="76"/>
      <c r="Q1802" s="84"/>
      <c r="R1802" s="76"/>
    </row>
    <row r="1803" spans="2:18" s="83" customFormat="1" ht="15" hidden="1" customHeight="1" outlineLevel="2">
      <c r="B1803" s="119" t="s">
        <v>272</v>
      </c>
      <c r="C1803" s="266" t="s">
        <v>2719</v>
      </c>
      <c r="D1803" s="124" t="s">
        <v>2286</v>
      </c>
      <c r="E1803" s="125"/>
      <c r="F1803" s="118" t="s">
        <v>2593</v>
      </c>
      <c r="G1803" s="126" t="str">
        <f t="shared" si="117"/>
        <v>AR-R22-1</v>
      </c>
      <c r="H1803" s="253">
        <v>1</v>
      </c>
      <c r="I1803" s="76">
        <v>1</v>
      </c>
      <c r="J1803" s="299" t="s">
        <v>286</v>
      </c>
      <c r="K1803" s="299"/>
      <c r="L1803" s="84"/>
      <c r="M1803" s="76"/>
      <c r="Q1803" s="84"/>
      <c r="R1803" s="76"/>
    </row>
    <row r="1804" spans="2:18" s="83" customFormat="1" ht="15" hidden="1" customHeight="1" outlineLevel="2">
      <c r="B1804" s="119" t="s">
        <v>272</v>
      </c>
      <c r="C1804" s="266" t="s">
        <v>2720</v>
      </c>
      <c r="D1804" s="124" t="s">
        <v>2721</v>
      </c>
      <c r="E1804" s="125"/>
      <c r="F1804" s="118" t="s">
        <v>2593</v>
      </c>
      <c r="G1804" s="126" t="str">
        <f t="shared" ref="G1804:G1824" si="118">CONCATENATE("AR-",F1804,"-",H1804)</f>
        <v>AR-R22-1</v>
      </c>
      <c r="H1804" s="253">
        <v>1</v>
      </c>
      <c r="I1804" s="76">
        <v>1</v>
      </c>
      <c r="J1804" s="299" t="s">
        <v>286</v>
      </c>
      <c r="K1804" s="299"/>
      <c r="L1804" s="84"/>
      <c r="M1804" s="76"/>
      <c r="Q1804" s="84"/>
      <c r="R1804" s="76"/>
    </row>
    <row r="1805" spans="2:18" s="99" customFormat="1" ht="15" hidden="1" customHeight="1" outlineLevel="2">
      <c r="B1805" s="119" t="s">
        <v>272</v>
      </c>
      <c r="C1805" s="266" t="s">
        <v>2722</v>
      </c>
      <c r="D1805" s="124" t="s">
        <v>2723</v>
      </c>
      <c r="E1805" s="125"/>
      <c r="F1805" s="118" t="s">
        <v>2593</v>
      </c>
      <c r="G1805" s="126" t="str">
        <f t="shared" si="118"/>
        <v>AR-R22-1</v>
      </c>
      <c r="H1805" s="253">
        <v>1</v>
      </c>
      <c r="I1805" s="76">
        <v>1</v>
      </c>
      <c r="J1805" s="299" t="s">
        <v>286</v>
      </c>
      <c r="K1805" s="299"/>
      <c r="L1805" s="84"/>
      <c r="M1805" s="76"/>
      <c r="Q1805" s="84"/>
      <c r="R1805" s="76"/>
    </row>
    <row r="1806" spans="2:18" s="83" customFormat="1" ht="15" hidden="1" customHeight="1" outlineLevel="2">
      <c r="B1806" s="119" t="s">
        <v>272</v>
      </c>
      <c r="C1806" s="266" t="s">
        <v>2724</v>
      </c>
      <c r="D1806" s="124" t="s">
        <v>2725</v>
      </c>
      <c r="E1806" s="125"/>
      <c r="F1806" s="118" t="s">
        <v>2593</v>
      </c>
      <c r="G1806" s="126" t="str">
        <f t="shared" si="118"/>
        <v>AR-R22-1</v>
      </c>
      <c r="H1806" s="253">
        <v>1</v>
      </c>
      <c r="I1806" s="76">
        <v>1</v>
      </c>
      <c r="J1806" s="299" t="s">
        <v>286</v>
      </c>
      <c r="K1806" s="299"/>
      <c r="L1806" s="84"/>
      <c r="M1806" s="76"/>
      <c r="Q1806" s="84"/>
      <c r="R1806" s="76"/>
    </row>
    <row r="1807" spans="2:18" s="83" customFormat="1" ht="15" hidden="1" customHeight="1" outlineLevel="2">
      <c r="B1807" s="119" t="s">
        <v>272</v>
      </c>
      <c r="C1807" s="266" t="s">
        <v>2726</v>
      </c>
      <c r="D1807" s="124" t="s">
        <v>2293</v>
      </c>
      <c r="E1807" s="125"/>
      <c r="F1807" s="118" t="s">
        <v>2593</v>
      </c>
      <c r="G1807" s="126" t="str">
        <f t="shared" si="118"/>
        <v>AR-R22-1</v>
      </c>
      <c r="H1807" s="253">
        <v>1</v>
      </c>
      <c r="I1807" s="76">
        <v>1</v>
      </c>
      <c r="J1807" s="299" t="s">
        <v>286</v>
      </c>
      <c r="K1807" s="299"/>
      <c r="L1807" s="84"/>
      <c r="M1807" s="76"/>
      <c r="Q1807" s="84"/>
      <c r="R1807" s="76"/>
    </row>
    <row r="1808" spans="2:18" s="83" customFormat="1" ht="15" hidden="1" customHeight="1" outlineLevel="2">
      <c r="B1808" s="119" t="s">
        <v>272</v>
      </c>
      <c r="C1808" s="266" t="s">
        <v>2727</v>
      </c>
      <c r="D1808" s="124" t="s">
        <v>2728</v>
      </c>
      <c r="E1808" s="125"/>
      <c r="F1808" s="118" t="s">
        <v>2593</v>
      </c>
      <c r="G1808" s="126" t="str">
        <f t="shared" si="118"/>
        <v>AR-R22-1</v>
      </c>
      <c r="H1808" s="253">
        <v>1</v>
      </c>
      <c r="I1808" s="76">
        <v>1</v>
      </c>
      <c r="J1808" s="299" t="s">
        <v>286</v>
      </c>
      <c r="K1808" s="299"/>
      <c r="L1808" s="84"/>
      <c r="M1808" s="76"/>
      <c r="Q1808" s="84"/>
      <c r="R1808" s="76"/>
    </row>
    <row r="1809" spans="2:18" s="83" customFormat="1" ht="15" hidden="1" customHeight="1" outlineLevel="2">
      <c r="B1809" s="119" t="s">
        <v>272</v>
      </c>
      <c r="C1809" s="266" t="s">
        <v>2729</v>
      </c>
      <c r="D1809" s="124" t="s">
        <v>2730</v>
      </c>
      <c r="E1809" s="125"/>
      <c r="F1809" s="118" t="s">
        <v>2593</v>
      </c>
      <c r="G1809" s="126" t="str">
        <f t="shared" si="118"/>
        <v>AR-R22-1</v>
      </c>
      <c r="H1809" s="253">
        <v>1</v>
      </c>
      <c r="I1809" s="76">
        <v>1</v>
      </c>
      <c r="J1809" s="299" t="s">
        <v>286</v>
      </c>
      <c r="K1809" s="299"/>
      <c r="L1809" s="84"/>
      <c r="M1809" s="76"/>
      <c r="Q1809" s="84"/>
      <c r="R1809" s="76"/>
    </row>
    <row r="1810" spans="2:18" s="83" customFormat="1" ht="15" hidden="1" customHeight="1" outlineLevel="2">
      <c r="B1810" s="119" t="s">
        <v>272</v>
      </c>
      <c r="C1810" s="266" t="s">
        <v>2731</v>
      </c>
      <c r="D1810" s="124" t="s">
        <v>2732</v>
      </c>
      <c r="E1810" s="125"/>
      <c r="F1810" s="118" t="s">
        <v>2593</v>
      </c>
      <c r="G1810" s="126" t="str">
        <f t="shared" si="118"/>
        <v>AR-R22-1</v>
      </c>
      <c r="H1810" s="253">
        <v>1</v>
      </c>
      <c r="I1810" s="76">
        <v>1</v>
      </c>
      <c r="J1810" s="299" t="s">
        <v>286</v>
      </c>
      <c r="K1810" s="299"/>
      <c r="L1810" s="84"/>
      <c r="M1810" s="76"/>
      <c r="Q1810" s="84"/>
      <c r="R1810" s="76"/>
    </row>
    <row r="1811" spans="2:18" s="83" customFormat="1" ht="15" hidden="1" customHeight="1" outlineLevel="2">
      <c r="B1811" s="119" t="s">
        <v>272</v>
      </c>
      <c r="C1811" s="266" t="s">
        <v>2733</v>
      </c>
      <c r="D1811" s="124" t="s">
        <v>2295</v>
      </c>
      <c r="E1811" s="125"/>
      <c r="F1811" s="118" t="s">
        <v>2593</v>
      </c>
      <c r="G1811" s="126" t="str">
        <f t="shared" si="118"/>
        <v>AR-R22-1</v>
      </c>
      <c r="H1811" s="253">
        <v>1</v>
      </c>
      <c r="I1811" s="76">
        <v>1</v>
      </c>
      <c r="J1811" s="299" t="s">
        <v>286</v>
      </c>
      <c r="K1811" s="299"/>
      <c r="L1811" s="84"/>
      <c r="M1811" s="76"/>
      <c r="Q1811" s="84"/>
      <c r="R1811" s="76"/>
    </row>
    <row r="1812" spans="2:18" s="83" customFormat="1" ht="15" hidden="1" customHeight="1" outlineLevel="2">
      <c r="B1812" s="119" t="s">
        <v>272</v>
      </c>
      <c r="C1812" s="266" t="s">
        <v>2734</v>
      </c>
      <c r="D1812" s="124" t="s">
        <v>2735</v>
      </c>
      <c r="E1812" s="125"/>
      <c r="F1812" s="118" t="s">
        <v>2593</v>
      </c>
      <c r="G1812" s="126" t="str">
        <f t="shared" si="118"/>
        <v>AR-R22-1</v>
      </c>
      <c r="H1812" s="253">
        <v>1</v>
      </c>
      <c r="I1812" s="76">
        <v>1</v>
      </c>
      <c r="J1812" s="299" t="s">
        <v>286</v>
      </c>
      <c r="K1812" s="299"/>
      <c r="L1812" s="84"/>
      <c r="M1812" s="76"/>
      <c r="Q1812" s="84"/>
      <c r="R1812" s="76"/>
    </row>
    <row r="1813" spans="2:18" s="83" customFormat="1" ht="15" hidden="1" customHeight="1" outlineLevel="2">
      <c r="B1813" s="119" t="s">
        <v>272</v>
      </c>
      <c r="C1813" s="266" t="s">
        <v>2736</v>
      </c>
      <c r="D1813" s="124" t="s">
        <v>2737</v>
      </c>
      <c r="E1813" s="125"/>
      <c r="F1813" s="118" t="s">
        <v>2593</v>
      </c>
      <c r="G1813" s="126" t="str">
        <f t="shared" si="118"/>
        <v>AR-R22-1</v>
      </c>
      <c r="H1813" s="253">
        <v>1</v>
      </c>
      <c r="I1813" s="76">
        <v>1</v>
      </c>
      <c r="J1813" s="299" t="s">
        <v>286</v>
      </c>
      <c r="K1813" s="299"/>
      <c r="L1813" s="84"/>
      <c r="M1813" s="76"/>
      <c r="Q1813" s="84"/>
      <c r="R1813" s="76"/>
    </row>
    <row r="1814" spans="2:18" s="83" customFormat="1" ht="15" hidden="1" customHeight="1" outlineLevel="2">
      <c r="B1814" s="119" t="s">
        <v>272</v>
      </c>
      <c r="C1814" s="266" t="s">
        <v>2738</v>
      </c>
      <c r="D1814" s="124" t="s">
        <v>2299</v>
      </c>
      <c r="E1814" s="125"/>
      <c r="F1814" s="118" t="s">
        <v>2593</v>
      </c>
      <c r="G1814" s="126" t="str">
        <f t="shared" si="118"/>
        <v>AR-R22-1</v>
      </c>
      <c r="H1814" s="253">
        <v>1</v>
      </c>
      <c r="I1814" s="76">
        <v>1</v>
      </c>
      <c r="J1814" s="299" t="s">
        <v>286</v>
      </c>
      <c r="K1814" s="299"/>
      <c r="L1814" s="84"/>
      <c r="M1814" s="76"/>
      <c r="Q1814" s="84"/>
      <c r="R1814" s="76"/>
    </row>
    <row r="1815" spans="2:18" s="83" customFormat="1" ht="15" hidden="1" customHeight="1" outlineLevel="2">
      <c r="B1815" s="119" t="s">
        <v>272</v>
      </c>
      <c r="C1815" s="266" t="s">
        <v>2739</v>
      </c>
      <c r="D1815" s="124" t="s">
        <v>2740</v>
      </c>
      <c r="E1815" s="125"/>
      <c r="F1815" s="118" t="s">
        <v>2593</v>
      </c>
      <c r="G1815" s="126" t="str">
        <f t="shared" si="118"/>
        <v>AR-R22-1</v>
      </c>
      <c r="H1815" s="253">
        <v>1</v>
      </c>
      <c r="I1815" s="76">
        <v>1</v>
      </c>
      <c r="J1815" s="299" t="s">
        <v>286</v>
      </c>
      <c r="K1815" s="299"/>
      <c r="L1815" s="84"/>
      <c r="M1815" s="76"/>
      <c r="Q1815" s="84"/>
      <c r="R1815" s="76"/>
    </row>
    <row r="1816" spans="2:18" s="83" customFormat="1" ht="15" hidden="1" customHeight="1" outlineLevel="2">
      <c r="B1816" s="119" t="s">
        <v>272</v>
      </c>
      <c r="C1816" s="266" t="s">
        <v>2741</v>
      </c>
      <c r="D1816" s="124" t="s">
        <v>2742</v>
      </c>
      <c r="E1816" s="125"/>
      <c r="F1816" s="118" t="s">
        <v>2593</v>
      </c>
      <c r="G1816" s="126" t="str">
        <f t="shared" si="118"/>
        <v>AR-R22-1</v>
      </c>
      <c r="H1816" s="253">
        <v>1</v>
      </c>
      <c r="I1816" s="76">
        <v>1</v>
      </c>
      <c r="J1816" s="299" t="s">
        <v>286</v>
      </c>
      <c r="K1816" s="299"/>
      <c r="L1816" s="84"/>
      <c r="M1816" s="76"/>
      <c r="Q1816" s="84"/>
      <c r="R1816" s="76"/>
    </row>
    <row r="1817" spans="2:18" s="83" customFormat="1" ht="15" hidden="1" customHeight="1" outlineLevel="2">
      <c r="B1817" s="119" t="s">
        <v>272</v>
      </c>
      <c r="C1817" s="266" t="s">
        <v>2743</v>
      </c>
      <c r="D1817" s="124" t="s">
        <v>2744</v>
      </c>
      <c r="E1817" s="125"/>
      <c r="F1817" s="118" t="s">
        <v>2593</v>
      </c>
      <c r="G1817" s="126" t="str">
        <f t="shared" si="118"/>
        <v>AR-R22-1</v>
      </c>
      <c r="H1817" s="253">
        <v>1</v>
      </c>
      <c r="I1817" s="76">
        <v>1</v>
      </c>
      <c r="J1817" s="299" t="s">
        <v>286</v>
      </c>
      <c r="K1817" s="299"/>
      <c r="L1817" s="84"/>
      <c r="M1817" s="76"/>
      <c r="Q1817" s="84"/>
      <c r="R1817" s="76"/>
    </row>
    <row r="1818" spans="2:18" s="83" customFormat="1" ht="15" hidden="1" customHeight="1" outlineLevel="2">
      <c r="B1818" s="119" t="s">
        <v>272</v>
      </c>
      <c r="C1818" s="266" t="s">
        <v>2745</v>
      </c>
      <c r="D1818" s="124" t="s">
        <v>2746</v>
      </c>
      <c r="E1818" s="125"/>
      <c r="F1818" s="118" t="s">
        <v>2593</v>
      </c>
      <c r="G1818" s="126" t="str">
        <f t="shared" si="118"/>
        <v>AR-R22-1</v>
      </c>
      <c r="H1818" s="253">
        <v>1</v>
      </c>
      <c r="I1818" s="76">
        <v>1</v>
      </c>
      <c r="J1818" s="299" t="s">
        <v>286</v>
      </c>
      <c r="K1818" s="299"/>
      <c r="L1818" s="84"/>
      <c r="M1818" s="76"/>
      <c r="Q1818" s="84"/>
      <c r="R1818" s="76"/>
    </row>
    <row r="1819" spans="2:18" s="83" customFormat="1" ht="15" hidden="1" customHeight="1" outlineLevel="2">
      <c r="B1819" s="119" t="s">
        <v>272</v>
      </c>
      <c r="C1819" s="266" t="s">
        <v>2747</v>
      </c>
      <c r="D1819" s="124" t="s">
        <v>2748</v>
      </c>
      <c r="E1819" s="125"/>
      <c r="F1819" s="118" t="s">
        <v>2593</v>
      </c>
      <c r="G1819" s="126" t="str">
        <f t="shared" si="118"/>
        <v>AR-R22-1</v>
      </c>
      <c r="H1819" s="253">
        <v>1</v>
      </c>
      <c r="I1819" s="76">
        <v>1</v>
      </c>
      <c r="J1819" s="299" t="s">
        <v>286</v>
      </c>
      <c r="K1819" s="299"/>
      <c r="L1819" s="84"/>
      <c r="M1819" s="76"/>
      <c r="Q1819" s="84"/>
      <c r="R1819" s="76"/>
    </row>
    <row r="1820" spans="2:18" s="83" customFormat="1" ht="15" hidden="1" customHeight="1" outlineLevel="2">
      <c r="B1820" s="119" t="s">
        <v>272</v>
      </c>
      <c r="C1820" s="266" t="s">
        <v>2749</v>
      </c>
      <c r="D1820" s="124" t="s">
        <v>2301</v>
      </c>
      <c r="E1820" s="125"/>
      <c r="F1820" s="118" t="s">
        <v>2593</v>
      </c>
      <c r="G1820" s="126" t="str">
        <f t="shared" si="118"/>
        <v>AR-R22-1</v>
      </c>
      <c r="H1820" s="253">
        <v>1</v>
      </c>
      <c r="I1820" s="76">
        <v>1</v>
      </c>
      <c r="J1820" s="299" t="s">
        <v>286</v>
      </c>
      <c r="K1820" s="299"/>
      <c r="L1820" s="84"/>
      <c r="M1820" s="76"/>
      <c r="Q1820" s="84"/>
      <c r="R1820" s="76"/>
    </row>
    <row r="1821" spans="2:18" s="83" customFormat="1" ht="15" hidden="1" customHeight="1" outlineLevel="2">
      <c r="B1821" s="119" t="s">
        <v>272</v>
      </c>
      <c r="C1821" s="266" t="s">
        <v>2750</v>
      </c>
      <c r="D1821" s="124" t="s">
        <v>2751</v>
      </c>
      <c r="E1821" s="125"/>
      <c r="F1821" s="118" t="s">
        <v>2593</v>
      </c>
      <c r="G1821" s="126" t="str">
        <f t="shared" si="118"/>
        <v>AR-R22-1</v>
      </c>
      <c r="H1821" s="253">
        <v>1</v>
      </c>
      <c r="I1821" s="76">
        <v>1</v>
      </c>
      <c r="J1821" s="299" t="s">
        <v>286</v>
      </c>
      <c r="K1821" s="299"/>
      <c r="L1821" s="84"/>
      <c r="M1821" s="76"/>
      <c r="Q1821" s="84"/>
      <c r="R1821" s="76"/>
    </row>
    <row r="1822" spans="2:18" s="83" customFormat="1" ht="15" hidden="1" customHeight="1" outlineLevel="2">
      <c r="B1822" s="119" t="s">
        <v>272</v>
      </c>
      <c r="C1822" s="266" t="s">
        <v>2752</v>
      </c>
      <c r="D1822" s="124" t="s">
        <v>2753</v>
      </c>
      <c r="E1822" s="125"/>
      <c r="F1822" s="118" t="s">
        <v>2593</v>
      </c>
      <c r="G1822" s="126" t="str">
        <f t="shared" si="118"/>
        <v>AR-R22-1</v>
      </c>
      <c r="H1822" s="253">
        <v>1</v>
      </c>
      <c r="I1822" s="76">
        <v>1</v>
      </c>
      <c r="J1822" s="299" t="s">
        <v>286</v>
      </c>
      <c r="K1822" s="299"/>
      <c r="L1822" s="84"/>
      <c r="M1822" s="76"/>
      <c r="Q1822" s="84"/>
      <c r="R1822" s="76"/>
    </row>
    <row r="1823" spans="2:18" s="83" customFormat="1" ht="15" hidden="1" customHeight="1" outlineLevel="2">
      <c r="B1823" s="119" t="s">
        <v>272</v>
      </c>
      <c r="C1823" s="266" t="s">
        <v>2754</v>
      </c>
      <c r="D1823" s="124" t="s">
        <v>2755</v>
      </c>
      <c r="E1823" s="125"/>
      <c r="F1823" s="118" t="s">
        <v>2593</v>
      </c>
      <c r="G1823" s="126" t="str">
        <f t="shared" si="118"/>
        <v>AR-R22-1</v>
      </c>
      <c r="H1823" s="253">
        <v>1</v>
      </c>
      <c r="I1823" s="76">
        <v>1</v>
      </c>
      <c r="J1823" s="299" t="s">
        <v>286</v>
      </c>
      <c r="K1823" s="299"/>
      <c r="L1823" s="84"/>
      <c r="M1823" s="76"/>
      <c r="Q1823" s="84"/>
      <c r="R1823" s="76"/>
    </row>
    <row r="1824" spans="2:18" s="83" customFormat="1" ht="15" hidden="1" customHeight="1" outlineLevel="2">
      <c r="B1824" s="119" t="s">
        <v>272</v>
      </c>
      <c r="C1824" s="266" t="s">
        <v>2756</v>
      </c>
      <c r="D1824" s="124" t="s">
        <v>2757</v>
      </c>
      <c r="E1824" s="125"/>
      <c r="F1824" s="118" t="s">
        <v>2593</v>
      </c>
      <c r="G1824" s="126" t="str">
        <f t="shared" si="118"/>
        <v>AR-R22-1</v>
      </c>
      <c r="H1824" s="253">
        <v>1</v>
      </c>
      <c r="I1824" s="76">
        <v>1</v>
      </c>
      <c r="J1824" s="299" t="s">
        <v>286</v>
      </c>
      <c r="K1824" s="299"/>
      <c r="L1824" s="84"/>
      <c r="M1824" s="76"/>
      <c r="Q1824" s="84"/>
      <c r="R1824" s="76"/>
    </row>
    <row r="1825" spans="2:18" s="83" customFormat="1" ht="15" hidden="1" customHeight="1" outlineLevel="2">
      <c r="B1825" s="119" t="s">
        <v>272</v>
      </c>
      <c r="C1825" s="266" t="s">
        <v>2758</v>
      </c>
      <c r="D1825" s="124" t="s">
        <v>2307</v>
      </c>
      <c r="E1825" s="125"/>
      <c r="F1825" s="118" t="s">
        <v>2593</v>
      </c>
      <c r="G1825" s="126" t="str">
        <f t="shared" si="117"/>
        <v>AR-R22-1</v>
      </c>
      <c r="H1825" s="253">
        <v>1</v>
      </c>
      <c r="I1825" s="76">
        <v>1</v>
      </c>
      <c r="J1825" s="299" t="s">
        <v>286</v>
      </c>
      <c r="K1825" s="299"/>
      <c r="L1825" s="84"/>
      <c r="M1825" s="76"/>
      <c r="Q1825" s="84"/>
      <c r="R1825" s="76"/>
    </row>
    <row r="1826" spans="2:18" s="99" customFormat="1" ht="15" hidden="1" customHeight="1" outlineLevel="2">
      <c r="B1826" s="119" t="s">
        <v>272</v>
      </c>
      <c r="C1826" s="266" t="s">
        <v>2759</v>
      </c>
      <c r="D1826" s="124" t="s">
        <v>2307</v>
      </c>
      <c r="E1826" s="125"/>
      <c r="F1826" s="118" t="s">
        <v>2593</v>
      </c>
      <c r="G1826" s="126" t="str">
        <f t="shared" si="117"/>
        <v>AR-R22-1</v>
      </c>
      <c r="H1826" s="253">
        <v>1</v>
      </c>
      <c r="I1826" s="76">
        <v>1</v>
      </c>
      <c r="J1826" s="299" t="s">
        <v>286</v>
      </c>
      <c r="K1826" s="299"/>
      <c r="L1826" s="84"/>
      <c r="M1826" s="76"/>
      <c r="Q1826" s="84"/>
      <c r="R1826" s="76"/>
    </row>
    <row r="1827" spans="2:18" s="83" customFormat="1" ht="15" hidden="1" customHeight="1" outlineLevel="2">
      <c r="B1827" s="119" t="s">
        <v>272</v>
      </c>
      <c r="C1827" s="266" t="s">
        <v>2760</v>
      </c>
      <c r="D1827" s="124" t="s">
        <v>2307</v>
      </c>
      <c r="E1827" s="125"/>
      <c r="F1827" s="118" t="s">
        <v>2593</v>
      </c>
      <c r="G1827" s="126" t="str">
        <f t="shared" si="117"/>
        <v>AR-R22-1</v>
      </c>
      <c r="H1827" s="253">
        <v>1</v>
      </c>
      <c r="I1827" s="76">
        <v>1</v>
      </c>
      <c r="J1827" s="299" t="s">
        <v>286</v>
      </c>
      <c r="K1827" s="299"/>
      <c r="L1827" s="84"/>
      <c r="M1827" s="76"/>
      <c r="Q1827" s="84"/>
      <c r="R1827" s="76"/>
    </row>
    <row r="1828" spans="2:18" s="83" customFormat="1" ht="15" hidden="1" customHeight="1" outlineLevel="2">
      <c r="B1828" s="119" t="s">
        <v>272</v>
      </c>
      <c r="C1828" s="266" t="s">
        <v>2761</v>
      </c>
      <c r="D1828" s="124" t="s">
        <v>2307</v>
      </c>
      <c r="E1828" s="125"/>
      <c r="F1828" s="118" t="s">
        <v>2593</v>
      </c>
      <c r="G1828" s="126" t="str">
        <f t="shared" si="117"/>
        <v>AR-R22-1</v>
      </c>
      <c r="H1828" s="253">
        <v>1</v>
      </c>
      <c r="I1828" s="76">
        <v>1</v>
      </c>
      <c r="J1828" s="299" t="s">
        <v>286</v>
      </c>
      <c r="K1828" s="299"/>
      <c r="L1828" s="84"/>
      <c r="M1828" s="76"/>
      <c r="Q1828" s="84"/>
      <c r="R1828" s="76"/>
    </row>
    <row r="1829" spans="2:18" s="83" customFormat="1" ht="15" hidden="1" customHeight="1" outlineLevel="2">
      <c r="B1829" s="119" t="s">
        <v>272</v>
      </c>
      <c r="C1829" s="266" t="s">
        <v>2762</v>
      </c>
      <c r="D1829" s="124" t="s">
        <v>2307</v>
      </c>
      <c r="E1829" s="125"/>
      <c r="F1829" s="118" t="s">
        <v>2593</v>
      </c>
      <c r="G1829" s="126" t="str">
        <f t="shared" si="117"/>
        <v>AR-R22-1</v>
      </c>
      <c r="H1829" s="253">
        <v>1</v>
      </c>
      <c r="I1829" s="76">
        <v>1</v>
      </c>
      <c r="J1829" s="299" t="s">
        <v>286</v>
      </c>
      <c r="K1829" s="299"/>
      <c r="L1829" s="84"/>
      <c r="M1829" s="76"/>
      <c r="Q1829" s="84"/>
      <c r="R1829" s="76"/>
    </row>
    <row r="1830" spans="2:18" s="83" customFormat="1" ht="15" hidden="1" customHeight="1" outlineLevel="2">
      <c r="B1830" s="119" t="s">
        <v>272</v>
      </c>
      <c r="C1830" s="266" t="s">
        <v>2763</v>
      </c>
      <c r="D1830" s="124" t="s">
        <v>2307</v>
      </c>
      <c r="E1830" s="125"/>
      <c r="F1830" s="118" t="s">
        <v>2593</v>
      </c>
      <c r="G1830" s="126" t="str">
        <f t="shared" si="117"/>
        <v>AR-R22-1</v>
      </c>
      <c r="H1830" s="253">
        <v>1</v>
      </c>
      <c r="I1830" s="76">
        <v>1</v>
      </c>
      <c r="J1830" s="299" t="s">
        <v>286</v>
      </c>
      <c r="K1830" s="299"/>
      <c r="L1830" s="84"/>
      <c r="M1830" s="76"/>
      <c r="Q1830" s="84"/>
      <c r="R1830" s="76"/>
    </row>
    <row r="1831" spans="2:18" s="83" customFormat="1" ht="15" hidden="1" customHeight="1" outlineLevel="2">
      <c r="B1831" s="119" t="s">
        <v>272</v>
      </c>
      <c r="C1831" s="266" t="s">
        <v>2764</v>
      </c>
      <c r="D1831" s="124" t="s">
        <v>2307</v>
      </c>
      <c r="E1831" s="125"/>
      <c r="F1831" s="118" t="s">
        <v>2593</v>
      </c>
      <c r="G1831" s="126" t="str">
        <f t="shared" si="117"/>
        <v>AR-R22-1</v>
      </c>
      <c r="H1831" s="253">
        <v>1</v>
      </c>
      <c r="I1831" s="76">
        <v>1</v>
      </c>
      <c r="J1831" s="299" t="s">
        <v>286</v>
      </c>
      <c r="K1831" s="299"/>
      <c r="L1831" s="84"/>
      <c r="M1831" s="76"/>
      <c r="Q1831" s="84"/>
      <c r="R1831" s="76"/>
    </row>
    <row r="1832" spans="2:18" s="83" customFormat="1" ht="15" hidden="1" customHeight="1" outlineLevel="2">
      <c r="B1832" s="119" t="s">
        <v>272</v>
      </c>
      <c r="C1832" s="266" t="s">
        <v>2765</v>
      </c>
      <c r="D1832" s="124" t="s">
        <v>2307</v>
      </c>
      <c r="E1832" s="125"/>
      <c r="F1832" s="118" t="s">
        <v>2593</v>
      </c>
      <c r="G1832" s="126" t="str">
        <f t="shared" si="117"/>
        <v>AR-R22-1</v>
      </c>
      <c r="H1832" s="253">
        <v>1</v>
      </c>
      <c r="I1832" s="76">
        <v>1</v>
      </c>
      <c r="J1832" s="299" t="s">
        <v>286</v>
      </c>
      <c r="K1832" s="299"/>
      <c r="L1832" s="84"/>
      <c r="M1832" s="76"/>
      <c r="Q1832" s="84"/>
      <c r="R1832" s="76"/>
    </row>
    <row r="1833" spans="2:18" s="83" customFormat="1" ht="15" hidden="1" customHeight="1" outlineLevel="2">
      <c r="B1833" s="119" t="s">
        <v>272</v>
      </c>
      <c r="C1833" s="266" t="s">
        <v>2766</v>
      </c>
      <c r="D1833" s="124" t="s">
        <v>2307</v>
      </c>
      <c r="E1833" s="125"/>
      <c r="F1833" s="118" t="s">
        <v>2593</v>
      </c>
      <c r="G1833" s="126" t="str">
        <f t="shared" si="117"/>
        <v>AR-R22-1</v>
      </c>
      <c r="H1833" s="253">
        <v>1</v>
      </c>
      <c r="I1833" s="76">
        <v>1</v>
      </c>
      <c r="J1833" s="299" t="s">
        <v>286</v>
      </c>
      <c r="K1833" s="299"/>
      <c r="L1833" s="84"/>
      <c r="M1833" s="76"/>
      <c r="Q1833" s="84"/>
      <c r="R1833" s="76"/>
    </row>
    <row r="1834" spans="2:18" s="83" customFormat="1" ht="15" hidden="1" customHeight="1" outlineLevel="2">
      <c r="B1834" s="119" t="s">
        <v>272</v>
      </c>
      <c r="C1834" s="266" t="s">
        <v>2767</v>
      </c>
      <c r="D1834" s="124" t="s">
        <v>2307</v>
      </c>
      <c r="E1834" s="125"/>
      <c r="F1834" s="118" t="s">
        <v>2593</v>
      </c>
      <c r="G1834" s="126" t="str">
        <f t="shared" si="117"/>
        <v>AR-R22-1</v>
      </c>
      <c r="H1834" s="253">
        <v>1</v>
      </c>
      <c r="I1834" s="76">
        <v>1</v>
      </c>
      <c r="J1834" s="299" t="s">
        <v>286</v>
      </c>
      <c r="K1834" s="299"/>
      <c r="L1834" s="84"/>
      <c r="M1834" s="76"/>
      <c r="Q1834" s="84"/>
      <c r="R1834" s="76"/>
    </row>
    <row r="1835" spans="2:18" s="83" customFormat="1" ht="15" hidden="1" customHeight="1" outlineLevel="2">
      <c r="B1835" s="119" t="s">
        <v>272</v>
      </c>
      <c r="C1835" s="266" t="s">
        <v>2768</v>
      </c>
      <c r="D1835" s="124" t="s">
        <v>2307</v>
      </c>
      <c r="E1835" s="125"/>
      <c r="F1835" s="118" t="s">
        <v>2593</v>
      </c>
      <c r="G1835" s="126" t="str">
        <f t="shared" si="117"/>
        <v>AR-R22-1</v>
      </c>
      <c r="H1835" s="253">
        <v>1</v>
      </c>
      <c r="I1835" s="76">
        <v>1</v>
      </c>
      <c r="J1835" s="299" t="s">
        <v>286</v>
      </c>
      <c r="K1835" s="299"/>
      <c r="L1835" s="84"/>
      <c r="M1835" s="76"/>
      <c r="Q1835" s="84"/>
      <c r="R1835" s="76"/>
    </row>
    <row r="1836" spans="2:18" s="83" customFormat="1" ht="15" hidden="1" customHeight="1" outlineLevel="2">
      <c r="B1836" s="119" t="s">
        <v>272</v>
      </c>
      <c r="C1836" s="266" t="s">
        <v>2769</v>
      </c>
      <c r="D1836" s="124" t="s">
        <v>2307</v>
      </c>
      <c r="E1836" s="125"/>
      <c r="F1836" s="118" t="s">
        <v>2593</v>
      </c>
      <c r="G1836" s="126" t="str">
        <f t="shared" si="117"/>
        <v>AR-R22-1</v>
      </c>
      <c r="H1836" s="253">
        <v>1</v>
      </c>
      <c r="I1836" s="76">
        <v>1</v>
      </c>
      <c r="J1836" s="299" t="s">
        <v>286</v>
      </c>
      <c r="K1836" s="299"/>
      <c r="L1836" s="84"/>
      <c r="M1836" s="76"/>
      <c r="Q1836" s="84"/>
      <c r="R1836" s="76"/>
    </row>
    <row r="1837" spans="2:18" s="83" customFormat="1" ht="15" hidden="1" customHeight="1" outlineLevel="2">
      <c r="B1837" s="119" t="s">
        <v>272</v>
      </c>
      <c r="C1837" s="266" t="s">
        <v>2770</v>
      </c>
      <c r="D1837" s="124" t="s">
        <v>2771</v>
      </c>
      <c r="E1837" s="125"/>
      <c r="F1837" s="118" t="s">
        <v>2593</v>
      </c>
      <c r="G1837" s="126" t="str">
        <f t="shared" si="117"/>
        <v>AR-R22-1</v>
      </c>
      <c r="H1837" s="253">
        <v>1</v>
      </c>
      <c r="I1837" s="76">
        <v>1</v>
      </c>
      <c r="J1837" s="299" t="s">
        <v>286</v>
      </c>
      <c r="K1837" s="299"/>
      <c r="L1837" s="84"/>
      <c r="M1837" s="76"/>
      <c r="Q1837" s="84"/>
      <c r="R1837" s="76"/>
    </row>
    <row r="1838" spans="2:18" s="83" customFormat="1" ht="15" hidden="1" customHeight="1" outlineLevel="2">
      <c r="B1838" s="119" t="s">
        <v>272</v>
      </c>
      <c r="C1838" s="266" t="s">
        <v>2772</v>
      </c>
      <c r="D1838" s="124" t="s">
        <v>2771</v>
      </c>
      <c r="E1838" s="125"/>
      <c r="F1838" s="118" t="s">
        <v>2593</v>
      </c>
      <c r="G1838" s="126" t="str">
        <f t="shared" si="117"/>
        <v>AR-R22-1</v>
      </c>
      <c r="H1838" s="253">
        <v>1</v>
      </c>
      <c r="I1838" s="76">
        <v>1</v>
      </c>
      <c r="J1838" s="299" t="s">
        <v>286</v>
      </c>
      <c r="K1838" s="299"/>
      <c r="L1838" s="84"/>
      <c r="M1838" s="76"/>
      <c r="Q1838" s="84"/>
      <c r="R1838" s="76"/>
    </row>
    <row r="1839" spans="2:18" s="83" customFormat="1" ht="15" hidden="1" customHeight="1" outlineLevel="2">
      <c r="B1839" s="119" t="s">
        <v>272</v>
      </c>
      <c r="C1839" s="266" t="s">
        <v>2773</v>
      </c>
      <c r="D1839" s="124" t="s">
        <v>2774</v>
      </c>
      <c r="E1839" s="125"/>
      <c r="F1839" s="118" t="s">
        <v>2593</v>
      </c>
      <c r="G1839" s="126" t="str">
        <f t="shared" si="117"/>
        <v>AR-R22-1</v>
      </c>
      <c r="H1839" s="253">
        <v>1</v>
      </c>
      <c r="I1839" s="76">
        <v>1</v>
      </c>
      <c r="J1839" s="299" t="s">
        <v>286</v>
      </c>
      <c r="K1839" s="299"/>
      <c r="L1839" s="84"/>
      <c r="M1839" s="76"/>
      <c r="Q1839" s="84"/>
      <c r="R1839" s="76"/>
    </row>
    <row r="1840" spans="2:18" s="83" customFormat="1" ht="15" hidden="1" customHeight="1" outlineLevel="2">
      <c r="B1840" s="119" t="s">
        <v>272</v>
      </c>
      <c r="C1840" s="266" t="s">
        <v>2775</v>
      </c>
      <c r="D1840" s="124" t="s">
        <v>2774</v>
      </c>
      <c r="E1840" s="125"/>
      <c r="F1840" s="118" t="s">
        <v>2593</v>
      </c>
      <c r="G1840" s="126" t="str">
        <f t="shared" si="117"/>
        <v>AR-R22-1</v>
      </c>
      <c r="H1840" s="253">
        <v>1</v>
      </c>
      <c r="I1840" s="76">
        <v>1</v>
      </c>
      <c r="J1840" s="299" t="s">
        <v>286</v>
      </c>
      <c r="K1840" s="299"/>
      <c r="L1840" s="84"/>
      <c r="M1840" s="76"/>
      <c r="Q1840" s="84"/>
      <c r="R1840" s="76"/>
    </row>
    <row r="1841" spans="2:18" s="83" customFormat="1" ht="15" hidden="1" customHeight="1" outlineLevel="2">
      <c r="B1841" s="119" t="s">
        <v>272</v>
      </c>
      <c r="C1841" s="266" t="s">
        <v>2776</v>
      </c>
      <c r="D1841" s="124" t="s">
        <v>2777</v>
      </c>
      <c r="E1841" s="125"/>
      <c r="F1841" s="118" t="s">
        <v>2593</v>
      </c>
      <c r="G1841" s="126" t="str">
        <f t="shared" si="117"/>
        <v>AR-R22-1</v>
      </c>
      <c r="H1841" s="253">
        <v>1</v>
      </c>
      <c r="I1841" s="76">
        <v>1</v>
      </c>
      <c r="J1841" s="299" t="s">
        <v>286</v>
      </c>
      <c r="K1841" s="299"/>
      <c r="L1841" s="84"/>
      <c r="M1841" s="76"/>
      <c r="Q1841" s="84"/>
      <c r="R1841" s="76"/>
    </row>
    <row r="1842" spans="2:18" s="83" customFormat="1" ht="15" hidden="1" customHeight="1" outlineLevel="2">
      <c r="B1842" s="119" t="s">
        <v>272</v>
      </c>
      <c r="C1842" s="266" t="s">
        <v>2778</v>
      </c>
      <c r="D1842" s="124" t="s">
        <v>2777</v>
      </c>
      <c r="E1842" s="125"/>
      <c r="F1842" s="118" t="s">
        <v>2593</v>
      </c>
      <c r="G1842" s="126" t="str">
        <f t="shared" si="117"/>
        <v>AR-R22-1</v>
      </c>
      <c r="H1842" s="253">
        <v>1</v>
      </c>
      <c r="I1842" s="76">
        <v>1</v>
      </c>
      <c r="J1842" s="299" t="s">
        <v>286</v>
      </c>
      <c r="K1842" s="299"/>
      <c r="L1842" s="84"/>
      <c r="M1842" s="76"/>
      <c r="Q1842" s="84"/>
      <c r="R1842" s="76"/>
    </row>
    <row r="1843" spans="2:18" s="83" customFormat="1" ht="15" hidden="1" customHeight="1" outlineLevel="2">
      <c r="B1843" s="119" t="s">
        <v>272</v>
      </c>
      <c r="C1843" s="266" t="s">
        <v>2779</v>
      </c>
      <c r="D1843" s="124" t="s">
        <v>2780</v>
      </c>
      <c r="E1843" s="125"/>
      <c r="F1843" s="118" t="s">
        <v>2593</v>
      </c>
      <c r="G1843" s="126" t="str">
        <f t="shared" si="117"/>
        <v>AR-R22-1</v>
      </c>
      <c r="H1843" s="253">
        <v>1</v>
      </c>
      <c r="I1843" s="76">
        <v>1</v>
      </c>
      <c r="J1843" s="299" t="s">
        <v>286</v>
      </c>
      <c r="K1843" s="299"/>
      <c r="L1843" s="84"/>
      <c r="M1843" s="76"/>
      <c r="Q1843" s="84"/>
      <c r="R1843" s="76"/>
    </row>
    <row r="1844" spans="2:18" s="83" customFormat="1" ht="15" hidden="1" customHeight="1" outlineLevel="2">
      <c r="B1844" s="119" t="s">
        <v>272</v>
      </c>
      <c r="C1844" s="266" t="s">
        <v>2781</v>
      </c>
      <c r="D1844" s="124" t="s">
        <v>2780</v>
      </c>
      <c r="E1844" s="125"/>
      <c r="F1844" s="118" t="s">
        <v>2593</v>
      </c>
      <c r="G1844" s="126" t="str">
        <f t="shared" si="117"/>
        <v>AR-R22-1</v>
      </c>
      <c r="H1844" s="253">
        <v>1</v>
      </c>
      <c r="I1844" s="76">
        <v>1</v>
      </c>
      <c r="J1844" s="299" t="s">
        <v>286</v>
      </c>
      <c r="K1844" s="299"/>
      <c r="L1844" s="84"/>
      <c r="M1844" s="76"/>
      <c r="Q1844" s="84"/>
      <c r="R1844" s="76"/>
    </row>
    <row r="1845" spans="2:18" s="83" customFormat="1" ht="15" hidden="1" customHeight="1" outlineLevel="2">
      <c r="B1845" s="119" t="s">
        <v>272</v>
      </c>
      <c r="C1845" s="266" t="s">
        <v>2782</v>
      </c>
      <c r="D1845" s="124" t="s">
        <v>2783</v>
      </c>
      <c r="E1845" s="125"/>
      <c r="F1845" s="118" t="s">
        <v>2593</v>
      </c>
      <c r="G1845" s="126" t="str">
        <f t="shared" si="117"/>
        <v>AR-R22-1</v>
      </c>
      <c r="H1845" s="253">
        <v>1</v>
      </c>
      <c r="I1845" s="76">
        <v>1</v>
      </c>
      <c r="J1845" s="299" t="s">
        <v>286</v>
      </c>
      <c r="K1845" s="299"/>
      <c r="L1845" s="84"/>
      <c r="M1845" s="76"/>
      <c r="Q1845" s="84"/>
      <c r="R1845" s="76"/>
    </row>
    <row r="1846" spans="2:18" s="83" customFormat="1" ht="15" hidden="1" customHeight="1" outlineLevel="2">
      <c r="B1846" s="119" t="s">
        <v>272</v>
      </c>
      <c r="C1846" s="266" t="s">
        <v>2784</v>
      </c>
      <c r="D1846" s="124" t="s">
        <v>2783</v>
      </c>
      <c r="E1846" s="125"/>
      <c r="F1846" s="118" t="s">
        <v>2593</v>
      </c>
      <c r="G1846" s="126" t="str">
        <f t="shared" si="117"/>
        <v>AR-R22-1</v>
      </c>
      <c r="H1846" s="253">
        <v>1</v>
      </c>
      <c r="I1846" s="76">
        <v>1</v>
      </c>
      <c r="J1846" s="299" t="s">
        <v>286</v>
      </c>
      <c r="K1846" s="299"/>
      <c r="L1846" s="84"/>
      <c r="M1846" s="76"/>
      <c r="Q1846" s="84"/>
      <c r="R1846" s="76"/>
    </row>
    <row r="1847" spans="2:18" s="83" customFormat="1" ht="15" hidden="1" customHeight="1" outlineLevel="2">
      <c r="B1847" s="119" t="s">
        <v>272</v>
      </c>
      <c r="C1847" s="266" t="s">
        <v>2785</v>
      </c>
      <c r="D1847" s="124" t="s">
        <v>2786</v>
      </c>
      <c r="E1847" s="125"/>
      <c r="F1847" s="118" t="s">
        <v>2593</v>
      </c>
      <c r="G1847" s="126" t="str">
        <f t="shared" si="117"/>
        <v>AR-R22-1</v>
      </c>
      <c r="H1847" s="253">
        <v>1</v>
      </c>
      <c r="I1847" s="76">
        <v>1</v>
      </c>
      <c r="J1847" s="299" t="s">
        <v>286</v>
      </c>
      <c r="K1847" s="299"/>
      <c r="L1847" s="84"/>
      <c r="M1847" s="76"/>
      <c r="Q1847" s="84"/>
      <c r="R1847" s="76"/>
    </row>
    <row r="1848" spans="2:18" s="83" customFormat="1" ht="15" hidden="1" customHeight="1" outlineLevel="2">
      <c r="B1848" s="119" t="s">
        <v>272</v>
      </c>
      <c r="C1848" s="266" t="s">
        <v>2787</v>
      </c>
      <c r="D1848" s="124" t="s">
        <v>2786</v>
      </c>
      <c r="E1848" s="125"/>
      <c r="F1848" s="118" t="s">
        <v>2593</v>
      </c>
      <c r="G1848" s="126" t="str">
        <f t="shared" si="117"/>
        <v>AR-R22-1</v>
      </c>
      <c r="H1848" s="253">
        <v>1</v>
      </c>
      <c r="I1848" s="76">
        <v>1</v>
      </c>
      <c r="J1848" s="299" t="s">
        <v>286</v>
      </c>
      <c r="K1848" s="299"/>
      <c r="L1848" s="84"/>
      <c r="M1848" s="76"/>
      <c r="Q1848" s="84"/>
      <c r="R1848" s="76"/>
    </row>
    <row r="1849" spans="2:18" s="83" customFormat="1" ht="15" hidden="1" customHeight="1" outlineLevel="2">
      <c r="B1849" s="119" t="s">
        <v>272</v>
      </c>
      <c r="C1849" s="266" t="s">
        <v>2788</v>
      </c>
      <c r="D1849" s="124" t="s">
        <v>2789</v>
      </c>
      <c r="E1849" s="125"/>
      <c r="F1849" s="118" t="s">
        <v>2593</v>
      </c>
      <c r="G1849" s="126" t="str">
        <f t="shared" si="117"/>
        <v>AR-R22-1</v>
      </c>
      <c r="H1849" s="253">
        <v>1</v>
      </c>
      <c r="I1849" s="76">
        <v>1</v>
      </c>
      <c r="J1849" s="299" t="s">
        <v>286</v>
      </c>
      <c r="K1849" s="299"/>
      <c r="L1849" s="84"/>
      <c r="M1849" s="76"/>
      <c r="Q1849" s="84"/>
      <c r="R1849" s="76"/>
    </row>
    <row r="1850" spans="2:18" s="83" customFormat="1" ht="15" hidden="1" customHeight="1" outlineLevel="2">
      <c r="B1850" s="119" t="s">
        <v>272</v>
      </c>
      <c r="C1850" s="266" t="s">
        <v>2790</v>
      </c>
      <c r="D1850" s="124" t="s">
        <v>2789</v>
      </c>
      <c r="E1850" s="125"/>
      <c r="F1850" s="118" t="s">
        <v>2593</v>
      </c>
      <c r="G1850" s="126" t="str">
        <f t="shared" ref="G1850:G1855" si="119">CONCATENATE("AR-",F1850,"-",H1850)</f>
        <v>AR-R22-1</v>
      </c>
      <c r="H1850" s="253">
        <v>1</v>
      </c>
      <c r="I1850" s="76">
        <v>1</v>
      </c>
      <c r="J1850" s="299" t="s">
        <v>286</v>
      </c>
      <c r="K1850" s="299"/>
      <c r="L1850" s="84"/>
      <c r="M1850" s="76"/>
      <c r="Q1850" s="84"/>
      <c r="R1850" s="76"/>
    </row>
    <row r="1851" spans="2:18" s="83" customFormat="1" ht="15" hidden="1" customHeight="1" outlineLevel="2">
      <c r="B1851" s="119" t="s">
        <v>272</v>
      </c>
      <c r="C1851" s="266" t="s">
        <v>2791</v>
      </c>
      <c r="D1851" s="124" t="s">
        <v>2792</v>
      </c>
      <c r="E1851" s="125"/>
      <c r="F1851" s="118" t="s">
        <v>2593</v>
      </c>
      <c r="G1851" s="126" t="str">
        <f t="shared" si="119"/>
        <v>AR-R22-1</v>
      </c>
      <c r="H1851" s="253">
        <v>1</v>
      </c>
      <c r="I1851" s="76">
        <v>1</v>
      </c>
      <c r="J1851" s="299" t="s">
        <v>286</v>
      </c>
      <c r="K1851" s="299"/>
      <c r="L1851" s="84"/>
      <c r="M1851" s="76"/>
      <c r="Q1851" s="84"/>
      <c r="R1851" s="76"/>
    </row>
    <row r="1852" spans="2:18" s="83" customFormat="1" ht="15" hidden="1" customHeight="1" outlineLevel="2">
      <c r="B1852" s="119" t="s">
        <v>272</v>
      </c>
      <c r="C1852" s="266" t="s">
        <v>2793</v>
      </c>
      <c r="D1852" s="124" t="s">
        <v>2792</v>
      </c>
      <c r="E1852" s="125"/>
      <c r="F1852" s="118" t="s">
        <v>2593</v>
      </c>
      <c r="G1852" s="126" t="str">
        <f t="shared" si="119"/>
        <v>AR-R22-1</v>
      </c>
      <c r="H1852" s="253">
        <v>1</v>
      </c>
      <c r="I1852" s="76">
        <v>1</v>
      </c>
      <c r="J1852" s="299" t="s">
        <v>286</v>
      </c>
      <c r="K1852" s="299"/>
      <c r="L1852" s="84"/>
      <c r="M1852" s="76"/>
      <c r="Q1852" s="84"/>
      <c r="R1852" s="76"/>
    </row>
    <row r="1853" spans="2:18" s="83" customFormat="1" ht="15" hidden="1" customHeight="1" outlineLevel="2">
      <c r="B1853" s="119" t="s">
        <v>272</v>
      </c>
      <c r="C1853" s="266" t="s">
        <v>2794</v>
      </c>
      <c r="D1853" s="124" t="s">
        <v>2795</v>
      </c>
      <c r="E1853" s="125"/>
      <c r="F1853" s="118" t="s">
        <v>2593</v>
      </c>
      <c r="G1853" s="126" t="str">
        <f t="shared" si="119"/>
        <v>AR-R22-1</v>
      </c>
      <c r="H1853" s="253">
        <v>1</v>
      </c>
      <c r="I1853" s="76">
        <v>1</v>
      </c>
      <c r="J1853" s="299" t="s">
        <v>286</v>
      </c>
      <c r="K1853" s="299"/>
      <c r="L1853" s="84"/>
      <c r="M1853" s="76"/>
      <c r="Q1853" s="84"/>
      <c r="R1853" s="76"/>
    </row>
    <row r="1854" spans="2:18" s="83" customFormat="1" ht="15" hidden="1" customHeight="1" outlineLevel="2">
      <c r="B1854" s="119" t="s">
        <v>272</v>
      </c>
      <c r="C1854" s="266" t="s">
        <v>2796</v>
      </c>
      <c r="D1854" s="124" t="s">
        <v>2795</v>
      </c>
      <c r="E1854" s="125"/>
      <c r="F1854" s="118" t="s">
        <v>2593</v>
      </c>
      <c r="G1854" s="126" t="str">
        <f t="shared" si="119"/>
        <v>AR-R22-1</v>
      </c>
      <c r="H1854" s="253">
        <v>1</v>
      </c>
      <c r="I1854" s="76">
        <v>1</v>
      </c>
      <c r="J1854" s="299" t="s">
        <v>286</v>
      </c>
      <c r="K1854" s="299"/>
      <c r="L1854" s="84"/>
      <c r="M1854" s="76"/>
      <c r="Q1854" s="84"/>
      <c r="R1854" s="76"/>
    </row>
    <row r="1855" spans="2:18" s="83" customFormat="1" ht="15" hidden="1" customHeight="1" outlineLevel="2">
      <c r="B1855" s="119" t="s">
        <v>272</v>
      </c>
      <c r="C1855" s="266" t="s">
        <v>2797</v>
      </c>
      <c r="D1855" s="124" t="s">
        <v>2798</v>
      </c>
      <c r="E1855" s="125"/>
      <c r="F1855" s="118" t="s">
        <v>2593</v>
      </c>
      <c r="G1855" s="126" t="str">
        <f t="shared" si="119"/>
        <v>AR-R22-1</v>
      </c>
      <c r="H1855" s="253">
        <v>1</v>
      </c>
      <c r="I1855" s="76">
        <v>1</v>
      </c>
      <c r="J1855" s="299" t="s">
        <v>286</v>
      </c>
      <c r="K1855" s="299"/>
      <c r="L1855" s="84"/>
      <c r="M1855" s="76"/>
      <c r="Q1855" s="84"/>
      <c r="R1855" s="76"/>
    </row>
    <row r="1856" spans="2:18" s="83" customFormat="1" ht="15" hidden="1" customHeight="1" outlineLevel="2">
      <c r="B1856" s="119" t="s">
        <v>272</v>
      </c>
      <c r="C1856" s="266" t="s">
        <v>2799</v>
      </c>
      <c r="D1856" s="124" t="s">
        <v>2798</v>
      </c>
      <c r="E1856" s="125"/>
      <c r="F1856" s="118" t="s">
        <v>2593</v>
      </c>
      <c r="G1856" s="126" t="str">
        <f>CONCATENATE("AR-",F1856,"-",H1856)</f>
        <v>AR-R22-1</v>
      </c>
      <c r="H1856" s="253">
        <v>1</v>
      </c>
      <c r="I1856" s="76">
        <v>1</v>
      </c>
      <c r="J1856" s="299" t="s">
        <v>286</v>
      </c>
      <c r="K1856" s="299"/>
      <c r="L1856" s="84"/>
      <c r="M1856" s="76"/>
      <c r="Q1856" s="84"/>
      <c r="R1856" s="76"/>
    </row>
    <row r="1857" spans="2:18" s="83" customFormat="1" ht="15" hidden="1" customHeight="1" outlineLevel="2">
      <c r="B1857" s="119" t="s">
        <v>272</v>
      </c>
      <c r="C1857" s="266" t="s">
        <v>2800</v>
      </c>
      <c r="D1857" s="124" t="s">
        <v>2801</v>
      </c>
      <c r="E1857" s="125"/>
      <c r="F1857" s="118" t="s">
        <v>2593</v>
      </c>
      <c r="G1857" s="126" t="str">
        <f>CONCATENATE("AR-",F1857,"-",H1857)</f>
        <v>AR-R22-1</v>
      </c>
      <c r="H1857" s="253">
        <v>1</v>
      </c>
      <c r="I1857" s="76">
        <v>1</v>
      </c>
      <c r="J1857" s="299" t="s">
        <v>286</v>
      </c>
      <c r="K1857" s="299"/>
      <c r="L1857" s="84"/>
      <c r="M1857" s="76"/>
      <c r="Q1857" s="84"/>
      <c r="R1857" s="76"/>
    </row>
    <row r="1858" spans="2:18" s="83" customFormat="1" ht="15" hidden="1" customHeight="1" outlineLevel="2">
      <c r="B1858" s="119" t="s">
        <v>272</v>
      </c>
      <c r="C1858" s="266" t="s">
        <v>2802</v>
      </c>
      <c r="D1858" s="124" t="s">
        <v>2801</v>
      </c>
      <c r="E1858" s="125"/>
      <c r="F1858" s="118" t="s">
        <v>2593</v>
      </c>
      <c r="G1858" s="126" t="str">
        <f>CONCATENATE("AR-",F1858,"-",H1858)</f>
        <v>AR-R22-1</v>
      </c>
      <c r="H1858" s="253">
        <v>1</v>
      </c>
      <c r="I1858" s="76">
        <v>1</v>
      </c>
      <c r="J1858" s="299" t="s">
        <v>286</v>
      </c>
      <c r="K1858" s="299"/>
      <c r="L1858" s="84"/>
      <c r="M1858" s="76"/>
      <c r="Q1858" s="84"/>
      <c r="R1858" s="76"/>
    </row>
    <row r="1859" spans="2:18" s="83" customFormat="1" ht="15" hidden="1" customHeight="1" outlineLevel="2">
      <c r="B1859" s="119" t="s">
        <v>272</v>
      </c>
      <c r="C1859" s="266" t="s">
        <v>2803</v>
      </c>
      <c r="D1859" s="124" t="s">
        <v>2804</v>
      </c>
      <c r="E1859" s="125"/>
      <c r="F1859" s="118" t="s">
        <v>2593</v>
      </c>
      <c r="G1859" s="126" t="str">
        <f t="shared" ref="G1859:G1878" si="120">CONCATENATE("AR-",F1859,"-",H1859)</f>
        <v>AR-R22-1</v>
      </c>
      <c r="H1859" s="253">
        <v>1</v>
      </c>
      <c r="I1859" s="76">
        <v>1</v>
      </c>
      <c r="J1859" s="299" t="s">
        <v>286</v>
      </c>
      <c r="K1859" s="299"/>
      <c r="L1859" s="84"/>
      <c r="M1859" s="76"/>
      <c r="Q1859" s="84"/>
      <c r="R1859" s="76"/>
    </row>
    <row r="1860" spans="2:18" s="83" customFormat="1" ht="15" hidden="1" customHeight="1" outlineLevel="2">
      <c r="B1860" s="119" t="s">
        <v>272</v>
      </c>
      <c r="C1860" s="266" t="s">
        <v>2805</v>
      </c>
      <c r="D1860" s="124" t="s">
        <v>2804</v>
      </c>
      <c r="E1860" s="125"/>
      <c r="F1860" s="118" t="s">
        <v>2593</v>
      </c>
      <c r="G1860" s="126" t="str">
        <f t="shared" si="120"/>
        <v>AR-R22-1</v>
      </c>
      <c r="H1860" s="253">
        <v>1</v>
      </c>
      <c r="I1860" s="76">
        <v>1</v>
      </c>
      <c r="J1860" s="299" t="s">
        <v>286</v>
      </c>
      <c r="K1860" s="299"/>
      <c r="L1860" s="84"/>
      <c r="M1860" s="76"/>
      <c r="Q1860" s="84"/>
      <c r="R1860" s="76"/>
    </row>
    <row r="1861" spans="2:18" s="83" customFormat="1" ht="15" hidden="1" customHeight="1" outlineLevel="2">
      <c r="B1861" s="119" t="s">
        <v>272</v>
      </c>
      <c r="C1861" s="266" t="s">
        <v>2806</v>
      </c>
      <c r="D1861" s="124" t="s">
        <v>2807</v>
      </c>
      <c r="E1861" s="125"/>
      <c r="F1861" s="118" t="s">
        <v>2593</v>
      </c>
      <c r="G1861" s="126" t="str">
        <f t="shared" si="120"/>
        <v>AR-R22-1</v>
      </c>
      <c r="H1861" s="253">
        <v>1</v>
      </c>
      <c r="I1861" s="76">
        <v>1</v>
      </c>
      <c r="J1861" s="299" t="s">
        <v>286</v>
      </c>
      <c r="K1861" s="299"/>
      <c r="L1861" s="84"/>
      <c r="M1861" s="76"/>
      <c r="Q1861" s="84"/>
      <c r="R1861" s="76"/>
    </row>
    <row r="1862" spans="2:18" s="83" customFormat="1" ht="15" hidden="1" customHeight="1" outlineLevel="2">
      <c r="B1862" s="119" t="s">
        <v>272</v>
      </c>
      <c r="C1862" s="266" t="s">
        <v>2808</v>
      </c>
      <c r="D1862" s="124" t="s">
        <v>2807</v>
      </c>
      <c r="E1862" s="125"/>
      <c r="F1862" s="118" t="s">
        <v>2593</v>
      </c>
      <c r="G1862" s="126" t="str">
        <f t="shared" si="120"/>
        <v>AR-R22-1</v>
      </c>
      <c r="H1862" s="253">
        <v>1</v>
      </c>
      <c r="I1862" s="76">
        <v>1</v>
      </c>
      <c r="J1862" s="299" t="s">
        <v>286</v>
      </c>
      <c r="K1862" s="299"/>
      <c r="L1862" s="84"/>
      <c r="M1862" s="76"/>
      <c r="Q1862" s="84"/>
      <c r="R1862" s="76"/>
    </row>
    <row r="1863" spans="2:18" s="83" customFormat="1" ht="15" hidden="1" customHeight="1" outlineLevel="2">
      <c r="B1863" s="119" t="s">
        <v>272</v>
      </c>
      <c r="C1863" s="266" t="s">
        <v>2809</v>
      </c>
      <c r="D1863" s="124" t="s">
        <v>2810</v>
      </c>
      <c r="E1863" s="125"/>
      <c r="F1863" s="118" t="s">
        <v>2593</v>
      </c>
      <c r="G1863" s="126" t="str">
        <f t="shared" si="120"/>
        <v>AR-R22-1</v>
      </c>
      <c r="H1863" s="253">
        <v>1</v>
      </c>
      <c r="I1863" s="76">
        <v>1</v>
      </c>
      <c r="J1863" s="299" t="s">
        <v>286</v>
      </c>
      <c r="K1863" s="299"/>
      <c r="L1863" s="84"/>
      <c r="M1863" s="76"/>
      <c r="Q1863" s="84"/>
      <c r="R1863" s="76"/>
    </row>
    <row r="1864" spans="2:18" s="83" customFormat="1" ht="15" hidden="1" customHeight="1" outlineLevel="2">
      <c r="B1864" s="119" t="s">
        <v>272</v>
      </c>
      <c r="C1864" s="266" t="s">
        <v>2811</v>
      </c>
      <c r="D1864" s="124" t="s">
        <v>2810</v>
      </c>
      <c r="E1864" s="125"/>
      <c r="F1864" s="118" t="s">
        <v>2593</v>
      </c>
      <c r="G1864" s="126" t="str">
        <f t="shared" si="120"/>
        <v>AR-R22-1</v>
      </c>
      <c r="H1864" s="253">
        <v>1</v>
      </c>
      <c r="I1864" s="76">
        <v>1</v>
      </c>
      <c r="J1864" s="299" t="s">
        <v>286</v>
      </c>
      <c r="K1864" s="299"/>
      <c r="L1864" s="84"/>
      <c r="M1864" s="76"/>
      <c r="Q1864" s="84"/>
      <c r="R1864" s="76"/>
    </row>
    <row r="1865" spans="2:18" s="83" customFormat="1" ht="15" hidden="1" customHeight="1" outlineLevel="2">
      <c r="B1865" s="119" t="s">
        <v>272</v>
      </c>
      <c r="C1865" s="266" t="s">
        <v>2812</v>
      </c>
      <c r="D1865" s="124" t="s">
        <v>2813</v>
      </c>
      <c r="E1865" s="125"/>
      <c r="F1865" s="118" t="s">
        <v>2593</v>
      </c>
      <c r="G1865" s="126" t="str">
        <f t="shared" si="120"/>
        <v>AR-R22-1</v>
      </c>
      <c r="H1865" s="253">
        <v>1</v>
      </c>
      <c r="I1865" s="76">
        <v>1</v>
      </c>
      <c r="J1865" s="299" t="s">
        <v>286</v>
      </c>
      <c r="K1865" s="299"/>
      <c r="L1865" s="84"/>
      <c r="M1865" s="76"/>
      <c r="Q1865" s="84"/>
      <c r="R1865" s="76"/>
    </row>
    <row r="1866" spans="2:18" s="83" customFormat="1" ht="15" hidden="1" customHeight="1" outlineLevel="2">
      <c r="B1866" s="119" t="s">
        <v>272</v>
      </c>
      <c r="C1866" s="266" t="s">
        <v>2814</v>
      </c>
      <c r="D1866" s="124" t="s">
        <v>2813</v>
      </c>
      <c r="E1866" s="125"/>
      <c r="F1866" s="118" t="s">
        <v>2593</v>
      </c>
      <c r="G1866" s="126" t="str">
        <f t="shared" si="120"/>
        <v>AR-R22-1</v>
      </c>
      <c r="H1866" s="253">
        <v>1</v>
      </c>
      <c r="I1866" s="76">
        <v>1</v>
      </c>
      <c r="J1866" s="299" t="s">
        <v>286</v>
      </c>
      <c r="K1866" s="299"/>
      <c r="L1866" s="84"/>
      <c r="M1866" s="76"/>
      <c r="Q1866" s="84"/>
      <c r="R1866" s="76"/>
    </row>
    <row r="1867" spans="2:18" s="83" customFormat="1" ht="15" hidden="1" customHeight="1" outlineLevel="2">
      <c r="B1867" s="119" t="s">
        <v>272</v>
      </c>
      <c r="C1867" s="266" t="s">
        <v>2815</v>
      </c>
      <c r="D1867" s="124" t="s">
        <v>2310</v>
      </c>
      <c r="E1867" s="125"/>
      <c r="F1867" s="118" t="s">
        <v>2593</v>
      </c>
      <c r="G1867" s="126" t="str">
        <f t="shared" si="120"/>
        <v>AR-R22-1</v>
      </c>
      <c r="H1867" s="253">
        <v>1</v>
      </c>
      <c r="I1867" s="76">
        <v>1</v>
      </c>
      <c r="J1867" s="299" t="s">
        <v>286</v>
      </c>
      <c r="K1867" s="299"/>
      <c r="L1867" s="84"/>
      <c r="M1867" s="76"/>
      <c r="Q1867" s="84"/>
      <c r="R1867" s="76"/>
    </row>
    <row r="1868" spans="2:18" s="83" customFormat="1" ht="15" hidden="1" customHeight="1" outlineLevel="2">
      <c r="B1868" s="119" t="s">
        <v>272</v>
      </c>
      <c r="C1868" s="266" t="s">
        <v>2816</v>
      </c>
      <c r="D1868" s="124" t="s">
        <v>2310</v>
      </c>
      <c r="E1868" s="125"/>
      <c r="F1868" s="118" t="s">
        <v>2593</v>
      </c>
      <c r="G1868" s="126" t="str">
        <f t="shared" si="120"/>
        <v>AR-R22-1</v>
      </c>
      <c r="H1868" s="253">
        <v>1</v>
      </c>
      <c r="I1868" s="76">
        <v>1</v>
      </c>
      <c r="J1868" s="299" t="s">
        <v>286</v>
      </c>
      <c r="K1868" s="299"/>
      <c r="L1868" s="84"/>
      <c r="M1868" s="76"/>
      <c r="Q1868" s="84"/>
      <c r="R1868" s="76"/>
    </row>
    <row r="1869" spans="2:18" s="83" customFormat="1" ht="15" hidden="1" customHeight="1" outlineLevel="2">
      <c r="B1869" s="119" t="s">
        <v>272</v>
      </c>
      <c r="C1869" s="266" t="s">
        <v>2817</v>
      </c>
      <c r="D1869" s="124" t="s">
        <v>2313</v>
      </c>
      <c r="E1869" s="125"/>
      <c r="F1869" s="118" t="s">
        <v>2593</v>
      </c>
      <c r="G1869" s="126" t="str">
        <f t="shared" si="120"/>
        <v>AR-R22-1</v>
      </c>
      <c r="H1869" s="253">
        <v>1</v>
      </c>
      <c r="I1869" s="76">
        <v>1</v>
      </c>
      <c r="J1869" s="299" t="s">
        <v>286</v>
      </c>
      <c r="K1869" s="299"/>
      <c r="L1869" s="84"/>
      <c r="M1869" s="76"/>
      <c r="Q1869" s="84"/>
      <c r="R1869" s="76"/>
    </row>
    <row r="1870" spans="2:18" s="83" customFormat="1" ht="15" hidden="1" customHeight="1" outlineLevel="2">
      <c r="B1870" s="119" t="s">
        <v>272</v>
      </c>
      <c r="C1870" s="266" t="s">
        <v>2818</v>
      </c>
      <c r="D1870" s="124" t="s">
        <v>2313</v>
      </c>
      <c r="E1870" s="125"/>
      <c r="F1870" s="118" t="s">
        <v>2593</v>
      </c>
      <c r="G1870" s="126" t="str">
        <f t="shared" si="120"/>
        <v>AR-R22-1</v>
      </c>
      <c r="H1870" s="253">
        <v>1</v>
      </c>
      <c r="I1870" s="76">
        <v>1</v>
      </c>
      <c r="J1870" s="299" t="s">
        <v>286</v>
      </c>
      <c r="K1870" s="299"/>
      <c r="L1870" s="84"/>
      <c r="M1870" s="76"/>
      <c r="Q1870" s="84"/>
      <c r="R1870" s="76"/>
    </row>
    <row r="1871" spans="2:18" s="83" customFormat="1" ht="15" hidden="1" customHeight="1" outlineLevel="2">
      <c r="B1871" s="119" t="s">
        <v>272</v>
      </c>
      <c r="C1871" s="266" t="s">
        <v>2819</v>
      </c>
      <c r="D1871" s="124" t="s">
        <v>2820</v>
      </c>
      <c r="E1871" s="125"/>
      <c r="F1871" s="118" t="s">
        <v>2593</v>
      </c>
      <c r="G1871" s="126" t="str">
        <f t="shared" si="120"/>
        <v>AR-R22-1</v>
      </c>
      <c r="H1871" s="253">
        <v>1</v>
      </c>
      <c r="I1871" s="76">
        <v>1</v>
      </c>
      <c r="J1871" s="299" t="s">
        <v>286</v>
      </c>
      <c r="K1871" s="299"/>
      <c r="L1871" s="84"/>
      <c r="M1871" s="76"/>
      <c r="Q1871" s="84"/>
      <c r="R1871" s="76"/>
    </row>
    <row r="1872" spans="2:18" s="83" customFormat="1" ht="15" hidden="1" customHeight="1" outlineLevel="2">
      <c r="B1872" s="119" t="s">
        <v>272</v>
      </c>
      <c r="C1872" s="266" t="s">
        <v>2821</v>
      </c>
      <c r="D1872" s="124" t="s">
        <v>2820</v>
      </c>
      <c r="E1872" s="125"/>
      <c r="F1872" s="118" t="s">
        <v>2593</v>
      </c>
      <c r="G1872" s="126" t="str">
        <f t="shared" si="120"/>
        <v>AR-R22-1</v>
      </c>
      <c r="H1872" s="253">
        <v>1</v>
      </c>
      <c r="I1872" s="76">
        <v>1</v>
      </c>
      <c r="J1872" s="299" t="s">
        <v>286</v>
      </c>
      <c r="K1872" s="299"/>
      <c r="L1872" s="84"/>
      <c r="M1872" s="76"/>
      <c r="Q1872" s="84"/>
      <c r="R1872" s="76"/>
    </row>
    <row r="1873" spans="2:18" s="83" customFormat="1" ht="15" hidden="1" customHeight="1" outlineLevel="2">
      <c r="B1873" s="119" t="s">
        <v>272</v>
      </c>
      <c r="C1873" s="266" t="s">
        <v>2822</v>
      </c>
      <c r="D1873" s="124" t="s">
        <v>2322</v>
      </c>
      <c r="E1873" s="125"/>
      <c r="F1873" s="118" t="s">
        <v>2593</v>
      </c>
      <c r="G1873" s="126" t="str">
        <f t="shared" si="120"/>
        <v>AR-R22-1</v>
      </c>
      <c r="H1873" s="253">
        <v>1</v>
      </c>
      <c r="I1873" s="76">
        <v>1</v>
      </c>
      <c r="J1873" s="299" t="s">
        <v>286</v>
      </c>
      <c r="K1873" s="299"/>
      <c r="L1873" s="84"/>
      <c r="M1873" s="76"/>
      <c r="Q1873" s="84"/>
      <c r="R1873" s="76"/>
    </row>
    <row r="1874" spans="2:18" s="83" customFormat="1" ht="15" hidden="1" customHeight="1" outlineLevel="2">
      <c r="B1874" s="119" t="s">
        <v>272</v>
      </c>
      <c r="C1874" s="266" t="s">
        <v>2823</v>
      </c>
      <c r="D1874" s="124" t="s">
        <v>2322</v>
      </c>
      <c r="E1874" s="125"/>
      <c r="F1874" s="118" t="s">
        <v>2593</v>
      </c>
      <c r="G1874" s="126" t="str">
        <f t="shared" si="120"/>
        <v>AR-R22-1</v>
      </c>
      <c r="H1874" s="253">
        <v>1</v>
      </c>
      <c r="I1874" s="76">
        <v>1</v>
      </c>
      <c r="J1874" s="299" t="s">
        <v>286</v>
      </c>
      <c r="K1874" s="299"/>
      <c r="L1874" s="84"/>
      <c r="M1874" s="76"/>
      <c r="Q1874" s="84"/>
      <c r="R1874" s="76"/>
    </row>
    <row r="1875" spans="2:18" s="83" customFormat="1" ht="15" hidden="1" customHeight="1" outlineLevel="2">
      <c r="B1875" s="119" t="s">
        <v>272</v>
      </c>
      <c r="C1875" s="266" t="s">
        <v>2824</v>
      </c>
      <c r="D1875" s="124" t="s">
        <v>2825</v>
      </c>
      <c r="E1875" s="125"/>
      <c r="F1875" s="118" t="s">
        <v>2593</v>
      </c>
      <c r="G1875" s="126" t="str">
        <f t="shared" si="120"/>
        <v>AR-R22-1</v>
      </c>
      <c r="H1875" s="253">
        <v>1</v>
      </c>
      <c r="I1875" s="76">
        <v>1</v>
      </c>
      <c r="J1875" s="299" t="s">
        <v>286</v>
      </c>
      <c r="K1875" s="299"/>
      <c r="L1875" s="84"/>
      <c r="M1875" s="76"/>
      <c r="Q1875" s="84"/>
      <c r="R1875" s="76"/>
    </row>
    <row r="1876" spans="2:18" s="83" customFormat="1" ht="15" hidden="1" customHeight="1" outlineLevel="2">
      <c r="B1876" s="119" t="s">
        <v>272</v>
      </c>
      <c r="C1876" s="266" t="s">
        <v>2826</v>
      </c>
      <c r="D1876" s="124" t="s">
        <v>2825</v>
      </c>
      <c r="E1876" s="125"/>
      <c r="F1876" s="118" t="s">
        <v>2593</v>
      </c>
      <c r="G1876" s="126" t="str">
        <f t="shared" si="120"/>
        <v>AR-R22-1</v>
      </c>
      <c r="H1876" s="253">
        <v>1</v>
      </c>
      <c r="I1876" s="76">
        <v>1</v>
      </c>
      <c r="J1876" s="299" t="s">
        <v>286</v>
      </c>
      <c r="K1876" s="299"/>
      <c r="L1876" s="84"/>
      <c r="M1876" s="76"/>
      <c r="Q1876" s="84"/>
      <c r="R1876" s="76"/>
    </row>
    <row r="1877" spans="2:18" s="83" customFormat="1" ht="15" hidden="1" customHeight="1" outlineLevel="2">
      <c r="B1877" s="119" t="s">
        <v>272</v>
      </c>
      <c r="C1877" s="266" t="s">
        <v>2827</v>
      </c>
      <c r="D1877" s="124" t="s">
        <v>2828</v>
      </c>
      <c r="E1877" s="125"/>
      <c r="F1877" s="118" t="s">
        <v>2593</v>
      </c>
      <c r="G1877" s="126" t="str">
        <f t="shared" si="120"/>
        <v>AR-R22-1</v>
      </c>
      <c r="H1877" s="253">
        <v>1</v>
      </c>
      <c r="I1877" s="76">
        <v>1</v>
      </c>
      <c r="J1877" s="299" t="s">
        <v>286</v>
      </c>
      <c r="K1877" s="299"/>
      <c r="L1877" s="84"/>
      <c r="M1877" s="76"/>
      <c r="Q1877" s="84"/>
      <c r="R1877" s="76"/>
    </row>
    <row r="1878" spans="2:18" s="83" customFormat="1" ht="15" hidden="1" customHeight="1" outlineLevel="2">
      <c r="B1878" s="119" t="s">
        <v>272</v>
      </c>
      <c r="C1878" s="266" t="s">
        <v>2829</v>
      </c>
      <c r="D1878" s="124" t="s">
        <v>2828</v>
      </c>
      <c r="E1878" s="125"/>
      <c r="F1878" s="118" t="s">
        <v>2593</v>
      </c>
      <c r="G1878" s="126" t="str">
        <f t="shared" si="120"/>
        <v>AR-R22-1</v>
      </c>
      <c r="H1878" s="253">
        <v>1</v>
      </c>
      <c r="I1878" s="76">
        <v>1</v>
      </c>
      <c r="J1878" s="299" t="s">
        <v>286</v>
      </c>
      <c r="K1878" s="299"/>
      <c r="L1878" s="84"/>
      <c r="M1878" s="76"/>
      <c r="Q1878" s="84"/>
      <c r="R1878" s="76"/>
    </row>
    <row r="1879" spans="2:18" s="83" customFormat="1" ht="15" hidden="1" customHeight="1" outlineLevel="2">
      <c r="B1879" s="119" t="s">
        <v>272</v>
      </c>
      <c r="C1879" s="266" t="s">
        <v>2830</v>
      </c>
      <c r="D1879" s="124" t="s">
        <v>2831</v>
      </c>
      <c r="E1879" s="125"/>
      <c r="F1879" s="118" t="s">
        <v>2593</v>
      </c>
      <c r="G1879" s="126" t="str">
        <f t="shared" ref="G1879:G1919" si="121">CONCATENATE("AR-",F1879,"-",H1879)</f>
        <v>AR-R22-1</v>
      </c>
      <c r="H1879" s="253">
        <v>1</v>
      </c>
      <c r="I1879" s="76">
        <v>1</v>
      </c>
      <c r="J1879" s="299" t="s">
        <v>286</v>
      </c>
      <c r="K1879" s="299"/>
      <c r="L1879" s="84"/>
      <c r="M1879" s="76"/>
      <c r="Q1879" s="84"/>
      <c r="R1879" s="76"/>
    </row>
    <row r="1880" spans="2:18" s="83" customFormat="1" ht="15" hidden="1" customHeight="1" outlineLevel="2">
      <c r="B1880" s="119" t="s">
        <v>272</v>
      </c>
      <c r="C1880" s="266" t="s">
        <v>2832</v>
      </c>
      <c r="D1880" s="124" t="s">
        <v>2831</v>
      </c>
      <c r="E1880" s="125"/>
      <c r="F1880" s="118" t="s">
        <v>2593</v>
      </c>
      <c r="G1880" s="126" t="str">
        <f t="shared" si="121"/>
        <v>AR-R22-1</v>
      </c>
      <c r="H1880" s="253">
        <v>1</v>
      </c>
      <c r="I1880" s="76">
        <v>1</v>
      </c>
      <c r="J1880" s="299" t="s">
        <v>286</v>
      </c>
      <c r="K1880" s="299"/>
      <c r="L1880" s="84"/>
      <c r="M1880" s="76"/>
      <c r="Q1880" s="84"/>
      <c r="R1880" s="76"/>
    </row>
    <row r="1881" spans="2:18" s="100" customFormat="1" ht="15" hidden="1" customHeight="1" outlineLevel="2">
      <c r="B1881" s="119" t="s">
        <v>272</v>
      </c>
      <c r="C1881" s="266" t="s">
        <v>2833</v>
      </c>
      <c r="D1881" s="124" t="s">
        <v>2834</v>
      </c>
      <c r="E1881" s="125"/>
      <c r="F1881" s="118" t="s">
        <v>2593</v>
      </c>
      <c r="G1881" s="126" t="str">
        <f t="shared" si="121"/>
        <v>AR-R22-1</v>
      </c>
      <c r="H1881" s="253">
        <v>1</v>
      </c>
      <c r="I1881" s="76">
        <v>1</v>
      </c>
      <c r="J1881" s="299" t="s">
        <v>286</v>
      </c>
      <c r="K1881" s="299"/>
      <c r="L1881" s="84"/>
      <c r="M1881" s="76"/>
      <c r="Q1881" s="84"/>
      <c r="R1881" s="76"/>
    </row>
    <row r="1882" spans="2:18" s="83" customFormat="1" ht="15" hidden="1" customHeight="1" outlineLevel="2">
      <c r="B1882" s="119" t="s">
        <v>272</v>
      </c>
      <c r="C1882" s="266" t="s">
        <v>2835</v>
      </c>
      <c r="D1882" s="124" t="s">
        <v>2834</v>
      </c>
      <c r="E1882" s="125"/>
      <c r="F1882" s="118" t="s">
        <v>2593</v>
      </c>
      <c r="G1882" s="126" t="str">
        <f t="shared" si="121"/>
        <v>AR-R22-1</v>
      </c>
      <c r="H1882" s="253">
        <v>1</v>
      </c>
      <c r="I1882" s="76">
        <v>1</v>
      </c>
      <c r="J1882" s="299" t="s">
        <v>286</v>
      </c>
      <c r="K1882" s="299"/>
      <c r="L1882" s="84"/>
      <c r="M1882" s="76"/>
      <c r="Q1882" s="84"/>
      <c r="R1882" s="76"/>
    </row>
    <row r="1883" spans="2:18" s="83" customFormat="1" ht="15" hidden="1" customHeight="1" outlineLevel="2">
      <c r="B1883" s="119" t="s">
        <v>272</v>
      </c>
      <c r="C1883" s="266" t="s">
        <v>2836</v>
      </c>
      <c r="D1883" s="124" t="s">
        <v>2837</v>
      </c>
      <c r="E1883" s="125"/>
      <c r="F1883" s="118" t="s">
        <v>2593</v>
      </c>
      <c r="G1883" s="126" t="str">
        <f t="shared" si="121"/>
        <v>AR-R22-1</v>
      </c>
      <c r="H1883" s="253">
        <v>1</v>
      </c>
      <c r="I1883" s="76">
        <v>1</v>
      </c>
      <c r="J1883" s="299" t="s">
        <v>286</v>
      </c>
      <c r="K1883" s="299"/>
      <c r="L1883" s="84"/>
      <c r="M1883" s="76"/>
      <c r="Q1883" s="84"/>
      <c r="R1883" s="76"/>
    </row>
    <row r="1884" spans="2:18" s="83" customFormat="1" ht="15" hidden="1" customHeight="1" outlineLevel="2">
      <c r="B1884" s="119" t="s">
        <v>272</v>
      </c>
      <c r="C1884" s="266" t="s">
        <v>2838</v>
      </c>
      <c r="D1884" s="124" t="s">
        <v>2837</v>
      </c>
      <c r="E1884" s="125"/>
      <c r="F1884" s="118" t="s">
        <v>2593</v>
      </c>
      <c r="G1884" s="126" t="str">
        <f t="shared" si="121"/>
        <v>AR-R22-1</v>
      </c>
      <c r="H1884" s="253">
        <v>1</v>
      </c>
      <c r="I1884" s="76">
        <v>1</v>
      </c>
      <c r="J1884" s="299" t="s">
        <v>286</v>
      </c>
      <c r="K1884" s="299"/>
      <c r="L1884" s="84"/>
      <c r="M1884" s="76"/>
      <c r="Q1884" s="84"/>
      <c r="R1884" s="76"/>
    </row>
    <row r="1885" spans="2:18" s="83" customFormat="1" ht="15" hidden="1" customHeight="1" outlineLevel="2">
      <c r="B1885" s="119" t="s">
        <v>272</v>
      </c>
      <c r="C1885" s="266" t="s">
        <v>2839</v>
      </c>
      <c r="D1885" s="124" t="s">
        <v>2337</v>
      </c>
      <c r="E1885" s="125"/>
      <c r="F1885" s="118" t="s">
        <v>2593</v>
      </c>
      <c r="G1885" s="126" t="str">
        <f t="shared" si="121"/>
        <v>AR-R22-1</v>
      </c>
      <c r="H1885" s="253">
        <v>1</v>
      </c>
      <c r="I1885" s="76">
        <v>1</v>
      </c>
      <c r="J1885" s="299" t="s">
        <v>286</v>
      </c>
      <c r="K1885" s="299"/>
      <c r="L1885" s="84"/>
      <c r="M1885" s="76"/>
      <c r="Q1885" s="84"/>
      <c r="R1885" s="76"/>
    </row>
    <row r="1886" spans="2:18" s="83" customFormat="1" ht="15" hidden="1" customHeight="1" outlineLevel="2">
      <c r="B1886" s="119" t="s">
        <v>272</v>
      </c>
      <c r="C1886" s="266" t="s">
        <v>2840</v>
      </c>
      <c r="D1886" s="124" t="s">
        <v>2337</v>
      </c>
      <c r="E1886" s="125"/>
      <c r="F1886" s="118" t="s">
        <v>2593</v>
      </c>
      <c r="G1886" s="126" t="str">
        <f t="shared" si="121"/>
        <v>AR-R22-1</v>
      </c>
      <c r="H1886" s="253">
        <v>1</v>
      </c>
      <c r="I1886" s="76">
        <v>1</v>
      </c>
      <c r="J1886" s="299" t="s">
        <v>286</v>
      </c>
      <c r="K1886" s="299"/>
      <c r="L1886" s="84"/>
      <c r="M1886" s="76"/>
      <c r="Q1886" s="84"/>
      <c r="R1886" s="76"/>
    </row>
    <row r="1887" spans="2:18" s="83" customFormat="1" ht="15" hidden="1" customHeight="1" outlineLevel="2">
      <c r="B1887" s="119" t="s">
        <v>272</v>
      </c>
      <c r="C1887" s="266" t="s">
        <v>2841</v>
      </c>
      <c r="D1887" s="124" t="s">
        <v>2842</v>
      </c>
      <c r="E1887" s="125"/>
      <c r="F1887" s="118" t="s">
        <v>2593</v>
      </c>
      <c r="G1887" s="126" t="str">
        <f t="shared" si="121"/>
        <v>AR-R22-1</v>
      </c>
      <c r="H1887" s="253">
        <v>1</v>
      </c>
      <c r="I1887" s="76">
        <v>1</v>
      </c>
      <c r="J1887" s="299" t="s">
        <v>286</v>
      </c>
      <c r="K1887" s="299"/>
      <c r="L1887" s="84"/>
      <c r="M1887" s="76"/>
      <c r="Q1887" s="84"/>
      <c r="R1887" s="76"/>
    </row>
    <row r="1888" spans="2:18" s="83" customFormat="1" ht="15" hidden="1" customHeight="1" outlineLevel="2">
      <c r="B1888" s="119" t="s">
        <v>272</v>
      </c>
      <c r="C1888" s="266" t="s">
        <v>2843</v>
      </c>
      <c r="D1888" s="124" t="s">
        <v>2842</v>
      </c>
      <c r="E1888" s="125"/>
      <c r="F1888" s="118" t="s">
        <v>2593</v>
      </c>
      <c r="G1888" s="126" t="str">
        <f t="shared" si="121"/>
        <v>AR-R22-1</v>
      </c>
      <c r="H1888" s="253">
        <v>1</v>
      </c>
      <c r="I1888" s="76">
        <v>1</v>
      </c>
      <c r="J1888" s="299" t="s">
        <v>286</v>
      </c>
      <c r="K1888" s="299"/>
      <c r="L1888" s="84"/>
      <c r="M1888" s="76"/>
      <c r="Q1888" s="84"/>
      <c r="R1888" s="76"/>
    </row>
    <row r="1889" spans="2:18" s="83" customFormat="1" ht="15" hidden="1" customHeight="1" outlineLevel="2">
      <c r="B1889" s="119" t="s">
        <v>272</v>
      </c>
      <c r="C1889" s="266" t="s">
        <v>2844</v>
      </c>
      <c r="D1889" s="124" t="s">
        <v>2845</v>
      </c>
      <c r="E1889" s="125"/>
      <c r="F1889" s="118" t="s">
        <v>2593</v>
      </c>
      <c r="G1889" s="126" t="str">
        <f t="shared" si="121"/>
        <v>AR-R22-1</v>
      </c>
      <c r="H1889" s="253">
        <v>1</v>
      </c>
      <c r="I1889" s="76">
        <v>1</v>
      </c>
      <c r="J1889" s="299" t="s">
        <v>286</v>
      </c>
      <c r="K1889" s="299"/>
      <c r="L1889" s="84"/>
      <c r="M1889" s="76"/>
      <c r="Q1889" s="84"/>
      <c r="R1889" s="76"/>
    </row>
    <row r="1890" spans="2:18" s="83" customFormat="1" ht="15" hidden="1" customHeight="1" outlineLevel="2">
      <c r="B1890" s="119" t="s">
        <v>272</v>
      </c>
      <c r="C1890" s="266" t="s">
        <v>2846</v>
      </c>
      <c r="D1890" s="124" t="s">
        <v>2845</v>
      </c>
      <c r="E1890" s="125"/>
      <c r="F1890" s="118" t="s">
        <v>2593</v>
      </c>
      <c r="G1890" s="126" t="str">
        <f t="shared" si="121"/>
        <v>AR-R22-1</v>
      </c>
      <c r="H1890" s="253">
        <v>1</v>
      </c>
      <c r="I1890" s="76">
        <v>1</v>
      </c>
      <c r="J1890" s="299" t="s">
        <v>286</v>
      </c>
      <c r="K1890" s="299"/>
      <c r="L1890" s="84"/>
      <c r="M1890" s="76"/>
      <c r="Q1890" s="84"/>
      <c r="R1890" s="76"/>
    </row>
    <row r="1891" spans="2:18" s="83" customFormat="1" ht="15" hidden="1" customHeight="1" outlineLevel="2">
      <c r="B1891" s="119" t="s">
        <v>272</v>
      </c>
      <c r="C1891" s="266" t="s">
        <v>2847</v>
      </c>
      <c r="D1891" s="124" t="s">
        <v>2343</v>
      </c>
      <c r="E1891" s="125"/>
      <c r="F1891" s="118" t="s">
        <v>2593</v>
      </c>
      <c r="G1891" s="126" t="str">
        <f t="shared" si="121"/>
        <v>AR-R22-1</v>
      </c>
      <c r="H1891" s="253">
        <v>1</v>
      </c>
      <c r="I1891" s="76">
        <v>1</v>
      </c>
      <c r="J1891" s="299" t="s">
        <v>286</v>
      </c>
      <c r="K1891" s="299"/>
      <c r="L1891" s="84"/>
      <c r="M1891" s="76"/>
      <c r="Q1891" s="84"/>
      <c r="R1891" s="76"/>
    </row>
    <row r="1892" spans="2:18" s="83" customFormat="1" ht="15" hidden="1" customHeight="1" outlineLevel="2">
      <c r="B1892" s="119" t="s">
        <v>272</v>
      </c>
      <c r="C1892" s="266" t="s">
        <v>2848</v>
      </c>
      <c r="D1892" s="124" t="s">
        <v>2343</v>
      </c>
      <c r="E1892" s="125"/>
      <c r="F1892" s="118" t="s">
        <v>2593</v>
      </c>
      <c r="G1892" s="126" t="str">
        <f t="shared" si="121"/>
        <v>AR-R22-1</v>
      </c>
      <c r="H1892" s="253">
        <v>1</v>
      </c>
      <c r="I1892" s="76">
        <v>1</v>
      </c>
      <c r="J1892" s="299" t="s">
        <v>286</v>
      </c>
      <c r="K1892" s="299"/>
      <c r="L1892" s="84"/>
      <c r="M1892" s="76"/>
      <c r="Q1892" s="84"/>
      <c r="R1892" s="76"/>
    </row>
    <row r="1893" spans="2:18" s="83" customFormat="1" ht="15" hidden="1" customHeight="1" outlineLevel="2">
      <c r="B1893" s="119" t="s">
        <v>272</v>
      </c>
      <c r="C1893" s="266" t="s">
        <v>2849</v>
      </c>
      <c r="D1893" s="124" t="s">
        <v>2850</v>
      </c>
      <c r="E1893" s="125"/>
      <c r="F1893" s="118" t="s">
        <v>2593</v>
      </c>
      <c r="G1893" s="126" t="str">
        <f t="shared" si="121"/>
        <v>AR-R22-1</v>
      </c>
      <c r="H1893" s="253">
        <v>1</v>
      </c>
      <c r="I1893" s="76">
        <v>1</v>
      </c>
      <c r="J1893" s="299" t="s">
        <v>286</v>
      </c>
      <c r="K1893" s="299"/>
      <c r="L1893" s="84"/>
      <c r="M1893" s="76"/>
      <c r="Q1893" s="84"/>
      <c r="R1893" s="76"/>
    </row>
    <row r="1894" spans="2:18" s="83" customFormat="1" ht="15" hidden="1" customHeight="1" outlineLevel="2">
      <c r="B1894" s="119" t="s">
        <v>272</v>
      </c>
      <c r="C1894" s="266" t="s">
        <v>2851</v>
      </c>
      <c r="D1894" s="124" t="s">
        <v>2850</v>
      </c>
      <c r="E1894" s="125"/>
      <c r="F1894" s="118" t="s">
        <v>2593</v>
      </c>
      <c r="G1894" s="126" t="str">
        <f t="shared" si="121"/>
        <v>AR-R22-1</v>
      </c>
      <c r="H1894" s="253">
        <v>1</v>
      </c>
      <c r="I1894" s="76">
        <v>1</v>
      </c>
      <c r="J1894" s="299" t="s">
        <v>286</v>
      </c>
      <c r="K1894" s="299"/>
      <c r="L1894" s="84"/>
      <c r="M1894" s="76"/>
      <c r="Q1894" s="84"/>
      <c r="R1894" s="76"/>
    </row>
    <row r="1895" spans="2:18" s="83" customFormat="1" ht="15" hidden="1" customHeight="1" outlineLevel="2">
      <c r="B1895" s="119" t="s">
        <v>272</v>
      </c>
      <c r="C1895" s="266" t="s">
        <v>2852</v>
      </c>
      <c r="D1895" s="124" t="s">
        <v>2853</v>
      </c>
      <c r="E1895" s="125"/>
      <c r="F1895" s="118" t="s">
        <v>2593</v>
      </c>
      <c r="G1895" s="126" t="str">
        <f t="shared" si="121"/>
        <v>AR-R22-1</v>
      </c>
      <c r="H1895" s="253">
        <v>1</v>
      </c>
      <c r="I1895" s="76">
        <v>1</v>
      </c>
      <c r="J1895" s="299" t="s">
        <v>286</v>
      </c>
      <c r="K1895" s="299"/>
      <c r="L1895" s="84"/>
      <c r="M1895" s="76"/>
      <c r="Q1895" s="84"/>
      <c r="R1895" s="76"/>
    </row>
    <row r="1896" spans="2:18" s="99" customFormat="1" ht="15" hidden="1" customHeight="1" outlineLevel="2">
      <c r="B1896" s="119" t="s">
        <v>272</v>
      </c>
      <c r="C1896" s="266" t="s">
        <v>2854</v>
      </c>
      <c r="D1896" s="124" t="s">
        <v>2853</v>
      </c>
      <c r="E1896" s="125"/>
      <c r="F1896" s="118" t="s">
        <v>2593</v>
      </c>
      <c r="G1896" s="126" t="str">
        <f t="shared" si="121"/>
        <v>AR-R22-1</v>
      </c>
      <c r="H1896" s="253">
        <v>1</v>
      </c>
      <c r="I1896" s="76">
        <v>1</v>
      </c>
      <c r="J1896" s="299" t="s">
        <v>286</v>
      </c>
      <c r="K1896" s="299"/>
      <c r="L1896" s="84"/>
      <c r="M1896" s="76"/>
      <c r="Q1896" s="84"/>
      <c r="R1896" s="76"/>
    </row>
    <row r="1897" spans="2:18" s="83" customFormat="1" ht="15" hidden="1" customHeight="1" outlineLevel="2">
      <c r="B1897" s="119" t="s">
        <v>272</v>
      </c>
      <c r="C1897" s="266" t="s">
        <v>2855</v>
      </c>
      <c r="D1897" s="124" t="s">
        <v>2355</v>
      </c>
      <c r="E1897" s="125"/>
      <c r="F1897" s="118" t="s">
        <v>2593</v>
      </c>
      <c r="G1897" s="126" t="str">
        <f t="shared" si="121"/>
        <v>AR-R22-1</v>
      </c>
      <c r="H1897" s="253">
        <v>1</v>
      </c>
      <c r="I1897" s="76">
        <v>1</v>
      </c>
      <c r="J1897" s="299" t="s">
        <v>286</v>
      </c>
      <c r="K1897" s="299"/>
      <c r="L1897" s="84"/>
      <c r="M1897" s="76"/>
      <c r="Q1897" s="84"/>
      <c r="R1897" s="76"/>
    </row>
    <row r="1898" spans="2:18" s="83" customFormat="1" ht="15" hidden="1" customHeight="1" outlineLevel="2">
      <c r="B1898" s="119" t="s">
        <v>272</v>
      </c>
      <c r="C1898" s="266" t="s">
        <v>2856</v>
      </c>
      <c r="D1898" s="124" t="s">
        <v>2355</v>
      </c>
      <c r="E1898" s="125"/>
      <c r="F1898" s="118" t="s">
        <v>2593</v>
      </c>
      <c r="G1898" s="126" t="str">
        <f t="shared" si="121"/>
        <v>AR-R22-1</v>
      </c>
      <c r="H1898" s="253">
        <v>1</v>
      </c>
      <c r="I1898" s="76">
        <v>1</v>
      </c>
      <c r="J1898" s="299" t="s">
        <v>286</v>
      </c>
      <c r="K1898" s="299"/>
      <c r="L1898" s="84"/>
      <c r="M1898" s="76"/>
      <c r="Q1898" s="84"/>
      <c r="R1898" s="76"/>
    </row>
    <row r="1899" spans="2:18" s="83" customFormat="1" ht="15" hidden="1" customHeight="1" outlineLevel="2">
      <c r="B1899" s="119" t="s">
        <v>272</v>
      </c>
      <c r="C1899" s="266" t="s">
        <v>2857</v>
      </c>
      <c r="D1899" s="124" t="s">
        <v>2355</v>
      </c>
      <c r="E1899" s="125"/>
      <c r="F1899" s="118" t="s">
        <v>2593</v>
      </c>
      <c r="G1899" s="126" t="str">
        <f t="shared" si="121"/>
        <v>AR-R22-1</v>
      </c>
      <c r="H1899" s="253">
        <v>1</v>
      </c>
      <c r="I1899" s="76">
        <v>1</v>
      </c>
      <c r="J1899" s="299" t="s">
        <v>286</v>
      </c>
      <c r="K1899" s="299"/>
      <c r="L1899" s="84"/>
      <c r="M1899" s="76"/>
      <c r="Q1899" s="84"/>
      <c r="R1899" s="76"/>
    </row>
    <row r="1900" spans="2:18" s="83" customFormat="1" ht="15" hidden="1" customHeight="1" outlineLevel="2">
      <c r="B1900" s="119" t="s">
        <v>272</v>
      </c>
      <c r="C1900" s="266" t="s">
        <v>2858</v>
      </c>
      <c r="D1900" s="124" t="s">
        <v>2355</v>
      </c>
      <c r="E1900" s="125"/>
      <c r="F1900" s="118" t="s">
        <v>2593</v>
      </c>
      <c r="G1900" s="126" t="str">
        <f t="shared" si="121"/>
        <v>AR-R22-1</v>
      </c>
      <c r="H1900" s="253">
        <v>1</v>
      </c>
      <c r="I1900" s="76">
        <v>1</v>
      </c>
      <c r="J1900" s="299" t="s">
        <v>286</v>
      </c>
      <c r="K1900" s="299"/>
      <c r="L1900" s="84"/>
      <c r="M1900" s="76"/>
      <c r="Q1900" s="84"/>
      <c r="R1900" s="76"/>
    </row>
    <row r="1901" spans="2:18" s="83" customFormat="1" ht="15" hidden="1" customHeight="1" outlineLevel="2">
      <c r="B1901" s="119" t="s">
        <v>272</v>
      </c>
      <c r="C1901" s="266" t="s">
        <v>2859</v>
      </c>
      <c r="D1901" s="124" t="s">
        <v>2355</v>
      </c>
      <c r="E1901" s="125"/>
      <c r="F1901" s="118" t="s">
        <v>2593</v>
      </c>
      <c r="G1901" s="126" t="str">
        <f t="shared" si="121"/>
        <v>AR-R22-1</v>
      </c>
      <c r="H1901" s="253">
        <v>1</v>
      </c>
      <c r="I1901" s="76">
        <v>1</v>
      </c>
      <c r="J1901" s="299" t="s">
        <v>286</v>
      </c>
      <c r="K1901" s="299"/>
      <c r="L1901" s="84"/>
      <c r="M1901" s="76"/>
      <c r="Q1901" s="84"/>
      <c r="R1901" s="76"/>
    </row>
    <row r="1902" spans="2:18" s="83" customFormat="1" ht="15" hidden="1" customHeight="1" outlineLevel="2">
      <c r="B1902" s="119" t="s">
        <v>272</v>
      </c>
      <c r="C1902" s="266" t="s">
        <v>2860</v>
      </c>
      <c r="D1902" s="124" t="s">
        <v>2355</v>
      </c>
      <c r="E1902" s="125"/>
      <c r="F1902" s="118" t="s">
        <v>2593</v>
      </c>
      <c r="G1902" s="126" t="str">
        <f t="shared" si="121"/>
        <v>AR-R22-1</v>
      </c>
      <c r="H1902" s="253">
        <v>1</v>
      </c>
      <c r="I1902" s="76">
        <v>1</v>
      </c>
      <c r="J1902" s="299" t="s">
        <v>286</v>
      </c>
      <c r="K1902" s="299"/>
      <c r="L1902" s="84"/>
      <c r="M1902" s="76"/>
      <c r="Q1902" s="84"/>
      <c r="R1902" s="76"/>
    </row>
    <row r="1903" spans="2:18" s="83" customFormat="1" ht="15" hidden="1" customHeight="1" outlineLevel="2">
      <c r="B1903" s="119" t="s">
        <v>272</v>
      </c>
      <c r="C1903" s="266" t="s">
        <v>2861</v>
      </c>
      <c r="D1903" s="124" t="s">
        <v>2355</v>
      </c>
      <c r="E1903" s="125"/>
      <c r="F1903" s="118" t="s">
        <v>2593</v>
      </c>
      <c r="G1903" s="126" t="str">
        <f t="shared" si="121"/>
        <v>AR-R22-1</v>
      </c>
      <c r="H1903" s="253">
        <v>1</v>
      </c>
      <c r="I1903" s="76">
        <v>1</v>
      </c>
      <c r="J1903" s="299" t="s">
        <v>286</v>
      </c>
      <c r="K1903" s="299"/>
      <c r="L1903" s="84"/>
      <c r="M1903" s="76"/>
      <c r="Q1903" s="84"/>
      <c r="R1903" s="76"/>
    </row>
    <row r="1904" spans="2:18" s="83" customFormat="1" ht="15" hidden="1" customHeight="1" outlineLevel="2">
      <c r="B1904" s="119" t="s">
        <v>272</v>
      </c>
      <c r="C1904" s="266" t="s">
        <v>2862</v>
      </c>
      <c r="D1904" s="124" t="s">
        <v>2355</v>
      </c>
      <c r="E1904" s="125"/>
      <c r="F1904" s="118" t="s">
        <v>2593</v>
      </c>
      <c r="G1904" s="126" t="str">
        <f t="shared" si="121"/>
        <v>AR-R22-1</v>
      </c>
      <c r="H1904" s="253">
        <v>1</v>
      </c>
      <c r="I1904" s="76">
        <v>1</v>
      </c>
      <c r="J1904" s="299" t="s">
        <v>286</v>
      </c>
      <c r="K1904" s="299"/>
      <c r="L1904" s="84"/>
      <c r="M1904" s="76"/>
      <c r="Q1904" s="84"/>
      <c r="R1904" s="76"/>
    </row>
    <row r="1905" spans="2:18" s="83" customFormat="1" ht="15" hidden="1" customHeight="1" outlineLevel="2">
      <c r="B1905" s="119" t="s">
        <v>272</v>
      </c>
      <c r="C1905" s="266" t="s">
        <v>2863</v>
      </c>
      <c r="D1905" s="124" t="s">
        <v>2355</v>
      </c>
      <c r="E1905" s="125"/>
      <c r="F1905" s="118" t="s">
        <v>2593</v>
      </c>
      <c r="G1905" s="126" t="str">
        <f t="shared" si="121"/>
        <v>AR-R22-1</v>
      </c>
      <c r="H1905" s="253">
        <v>1</v>
      </c>
      <c r="I1905" s="76">
        <v>1</v>
      </c>
      <c r="J1905" s="299" t="s">
        <v>286</v>
      </c>
      <c r="K1905" s="299"/>
      <c r="L1905" s="84"/>
      <c r="M1905" s="76"/>
      <c r="Q1905" s="84"/>
      <c r="R1905" s="76"/>
    </row>
    <row r="1906" spans="2:18" s="83" customFormat="1" ht="15" hidden="1" customHeight="1" outlineLevel="2">
      <c r="B1906" s="119" t="s">
        <v>272</v>
      </c>
      <c r="C1906" s="266" t="s">
        <v>2864</v>
      </c>
      <c r="D1906" s="124" t="s">
        <v>2355</v>
      </c>
      <c r="E1906" s="125"/>
      <c r="F1906" s="118" t="s">
        <v>2593</v>
      </c>
      <c r="G1906" s="126" t="str">
        <f t="shared" si="121"/>
        <v>AR-R22-1</v>
      </c>
      <c r="H1906" s="253">
        <v>1</v>
      </c>
      <c r="I1906" s="76">
        <v>1</v>
      </c>
      <c r="J1906" s="299" t="s">
        <v>286</v>
      </c>
      <c r="K1906" s="299"/>
      <c r="L1906" s="84"/>
      <c r="M1906" s="76"/>
      <c r="Q1906" s="84"/>
      <c r="R1906" s="76"/>
    </row>
    <row r="1907" spans="2:18" s="83" customFormat="1" ht="15" hidden="1" customHeight="1" outlineLevel="2">
      <c r="B1907" s="119" t="s">
        <v>272</v>
      </c>
      <c r="C1907" s="266" t="s">
        <v>2865</v>
      </c>
      <c r="D1907" s="124" t="s">
        <v>2355</v>
      </c>
      <c r="E1907" s="125"/>
      <c r="F1907" s="118" t="s">
        <v>2593</v>
      </c>
      <c r="G1907" s="126" t="str">
        <f t="shared" si="121"/>
        <v>AR-R22-1</v>
      </c>
      <c r="H1907" s="253">
        <v>1</v>
      </c>
      <c r="I1907" s="76">
        <v>1</v>
      </c>
      <c r="J1907" s="299" t="s">
        <v>286</v>
      </c>
      <c r="K1907" s="299"/>
      <c r="L1907" s="84"/>
      <c r="M1907" s="76"/>
      <c r="Q1907" s="84"/>
      <c r="R1907" s="76"/>
    </row>
    <row r="1908" spans="2:18" s="83" customFormat="1" ht="15" hidden="1" customHeight="1" outlineLevel="2">
      <c r="B1908" s="119" t="s">
        <v>272</v>
      </c>
      <c r="C1908" s="266" t="s">
        <v>2866</v>
      </c>
      <c r="D1908" s="124" t="s">
        <v>2355</v>
      </c>
      <c r="E1908" s="125"/>
      <c r="F1908" s="118" t="s">
        <v>2593</v>
      </c>
      <c r="G1908" s="126" t="str">
        <f t="shared" si="121"/>
        <v>AR-R22-1</v>
      </c>
      <c r="H1908" s="253">
        <v>1</v>
      </c>
      <c r="I1908" s="76">
        <v>1</v>
      </c>
      <c r="J1908" s="299" t="s">
        <v>286</v>
      </c>
      <c r="K1908" s="299"/>
      <c r="L1908" s="84"/>
      <c r="M1908" s="76"/>
      <c r="Q1908" s="84"/>
      <c r="R1908" s="76"/>
    </row>
    <row r="1909" spans="2:18" s="83" customFormat="1" ht="15" hidden="1" customHeight="1" outlineLevel="2">
      <c r="B1909" s="119" t="s">
        <v>272</v>
      </c>
      <c r="C1909" s="266" t="s">
        <v>2867</v>
      </c>
      <c r="D1909" s="124" t="s">
        <v>2868</v>
      </c>
      <c r="E1909" s="125"/>
      <c r="F1909" s="118" t="s">
        <v>2593</v>
      </c>
      <c r="G1909" s="126" t="str">
        <f t="shared" si="121"/>
        <v>AR-R22-1</v>
      </c>
      <c r="H1909" s="253">
        <v>1</v>
      </c>
      <c r="I1909" s="76">
        <v>1</v>
      </c>
      <c r="J1909" s="299" t="s">
        <v>286</v>
      </c>
      <c r="K1909" s="299"/>
      <c r="L1909" s="84"/>
      <c r="M1909" s="76"/>
      <c r="Q1909" s="84"/>
      <c r="R1909" s="76"/>
    </row>
    <row r="1910" spans="2:18" s="83" customFormat="1" ht="15" hidden="1" customHeight="1" outlineLevel="2">
      <c r="B1910" s="119" t="s">
        <v>272</v>
      </c>
      <c r="C1910" s="266" t="s">
        <v>2869</v>
      </c>
      <c r="D1910" s="124" t="s">
        <v>2868</v>
      </c>
      <c r="E1910" s="125"/>
      <c r="F1910" s="118" t="s">
        <v>2593</v>
      </c>
      <c r="G1910" s="126" t="str">
        <f t="shared" si="121"/>
        <v>AR-R22-1</v>
      </c>
      <c r="H1910" s="253">
        <v>1</v>
      </c>
      <c r="I1910" s="76">
        <v>1</v>
      </c>
      <c r="J1910" s="299" t="s">
        <v>286</v>
      </c>
      <c r="K1910" s="299"/>
      <c r="L1910" s="84"/>
      <c r="M1910" s="76"/>
      <c r="Q1910" s="84"/>
      <c r="R1910" s="76"/>
    </row>
    <row r="1911" spans="2:18" s="83" customFormat="1" ht="15" hidden="1" customHeight="1" outlineLevel="2">
      <c r="B1911" s="119" t="s">
        <v>272</v>
      </c>
      <c r="C1911" s="266" t="s">
        <v>2870</v>
      </c>
      <c r="D1911" s="124" t="s">
        <v>2871</v>
      </c>
      <c r="E1911" s="125"/>
      <c r="F1911" s="118" t="s">
        <v>2593</v>
      </c>
      <c r="G1911" s="126" t="str">
        <f t="shared" si="121"/>
        <v>AR-R22-1</v>
      </c>
      <c r="H1911" s="253">
        <v>1</v>
      </c>
      <c r="I1911" s="76">
        <v>1</v>
      </c>
      <c r="J1911" s="299" t="s">
        <v>286</v>
      </c>
      <c r="K1911" s="299"/>
      <c r="L1911" s="84"/>
      <c r="M1911" s="76"/>
      <c r="Q1911" s="84"/>
      <c r="R1911" s="76"/>
    </row>
    <row r="1912" spans="2:18" s="83" customFormat="1" ht="15" hidden="1" customHeight="1" outlineLevel="2">
      <c r="B1912" s="119" t="s">
        <v>272</v>
      </c>
      <c r="C1912" s="266" t="s">
        <v>2872</v>
      </c>
      <c r="D1912" s="124" t="s">
        <v>2871</v>
      </c>
      <c r="E1912" s="125"/>
      <c r="F1912" s="118" t="s">
        <v>2593</v>
      </c>
      <c r="G1912" s="126" t="str">
        <f t="shared" si="121"/>
        <v>AR-R22-1</v>
      </c>
      <c r="H1912" s="253">
        <v>1</v>
      </c>
      <c r="I1912" s="76">
        <v>1</v>
      </c>
      <c r="J1912" s="299" t="s">
        <v>286</v>
      </c>
      <c r="K1912" s="299"/>
      <c r="L1912" s="84"/>
      <c r="M1912" s="76"/>
      <c r="Q1912" s="84"/>
      <c r="R1912" s="76"/>
    </row>
    <row r="1913" spans="2:18" s="83" customFormat="1" ht="15" hidden="1" customHeight="1" outlineLevel="2">
      <c r="B1913" s="119" t="s">
        <v>272</v>
      </c>
      <c r="C1913" s="266" t="s">
        <v>2873</v>
      </c>
      <c r="D1913" s="124" t="s">
        <v>2874</v>
      </c>
      <c r="E1913" s="125"/>
      <c r="F1913" s="118" t="s">
        <v>2593</v>
      </c>
      <c r="G1913" s="126" t="str">
        <f t="shared" si="121"/>
        <v>AR-R22-1</v>
      </c>
      <c r="H1913" s="253">
        <v>1</v>
      </c>
      <c r="I1913" s="76">
        <v>1</v>
      </c>
      <c r="J1913" s="299" t="s">
        <v>286</v>
      </c>
      <c r="K1913" s="299"/>
      <c r="L1913" s="84"/>
      <c r="M1913" s="76"/>
      <c r="Q1913" s="84"/>
      <c r="R1913" s="76"/>
    </row>
    <row r="1914" spans="2:18" s="83" customFormat="1" ht="15" hidden="1" customHeight="1" outlineLevel="2">
      <c r="B1914" s="119" t="s">
        <v>272</v>
      </c>
      <c r="C1914" s="266" t="s">
        <v>2875</v>
      </c>
      <c r="D1914" s="124" t="s">
        <v>2874</v>
      </c>
      <c r="E1914" s="125"/>
      <c r="F1914" s="118" t="s">
        <v>2593</v>
      </c>
      <c r="G1914" s="126" t="str">
        <f t="shared" si="121"/>
        <v>AR-R22-1</v>
      </c>
      <c r="H1914" s="253">
        <v>1</v>
      </c>
      <c r="I1914" s="76">
        <v>1</v>
      </c>
      <c r="J1914" s="299" t="s">
        <v>286</v>
      </c>
      <c r="K1914" s="299"/>
      <c r="L1914" s="84"/>
      <c r="M1914" s="76"/>
      <c r="Q1914" s="84"/>
      <c r="R1914" s="76"/>
    </row>
    <row r="1915" spans="2:18" s="83" customFormat="1" ht="15" hidden="1" customHeight="1" outlineLevel="2">
      <c r="B1915" s="119" t="s">
        <v>272</v>
      </c>
      <c r="C1915" s="266" t="s">
        <v>2876</v>
      </c>
      <c r="D1915" s="124" t="s">
        <v>2877</v>
      </c>
      <c r="E1915" s="125"/>
      <c r="F1915" s="118" t="s">
        <v>2593</v>
      </c>
      <c r="G1915" s="126" t="str">
        <f t="shared" si="121"/>
        <v>AR-R22-1</v>
      </c>
      <c r="H1915" s="253">
        <v>1</v>
      </c>
      <c r="I1915" s="76">
        <v>1</v>
      </c>
      <c r="J1915" s="299" t="s">
        <v>286</v>
      </c>
      <c r="K1915" s="299"/>
      <c r="L1915" s="84"/>
      <c r="M1915" s="76"/>
      <c r="Q1915" s="84"/>
      <c r="R1915" s="76"/>
    </row>
    <row r="1916" spans="2:18" s="83" customFormat="1" ht="15" hidden="1" customHeight="1" outlineLevel="2">
      <c r="B1916" s="119" t="s">
        <v>272</v>
      </c>
      <c r="C1916" s="266" t="s">
        <v>2878</v>
      </c>
      <c r="D1916" s="124" t="s">
        <v>2877</v>
      </c>
      <c r="E1916" s="125"/>
      <c r="F1916" s="118" t="s">
        <v>2593</v>
      </c>
      <c r="G1916" s="126" t="str">
        <f t="shared" si="121"/>
        <v>AR-R22-1</v>
      </c>
      <c r="H1916" s="253">
        <v>1</v>
      </c>
      <c r="I1916" s="76">
        <v>1</v>
      </c>
      <c r="J1916" s="299" t="s">
        <v>286</v>
      </c>
      <c r="K1916" s="299"/>
      <c r="L1916" s="84"/>
      <c r="M1916" s="76"/>
      <c r="Q1916" s="84"/>
      <c r="R1916" s="76"/>
    </row>
    <row r="1917" spans="2:18" s="83" customFormat="1" ht="15" hidden="1" customHeight="1" outlineLevel="2">
      <c r="B1917" s="119" t="s">
        <v>272</v>
      </c>
      <c r="C1917" s="266" t="s">
        <v>2879</v>
      </c>
      <c r="D1917" s="124" t="s">
        <v>2880</v>
      </c>
      <c r="E1917" s="125"/>
      <c r="F1917" s="118" t="s">
        <v>2593</v>
      </c>
      <c r="G1917" s="126" t="str">
        <f t="shared" si="121"/>
        <v>AR-R22-1</v>
      </c>
      <c r="H1917" s="253">
        <v>1</v>
      </c>
      <c r="I1917" s="76">
        <v>1</v>
      </c>
      <c r="J1917" s="299" t="s">
        <v>286</v>
      </c>
      <c r="K1917" s="299"/>
      <c r="L1917" s="84"/>
      <c r="M1917" s="76"/>
      <c r="Q1917" s="84"/>
      <c r="R1917" s="76"/>
    </row>
    <row r="1918" spans="2:18" s="83" customFormat="1" ht="15" hidden="1" customHeight="1" outlineLevel="2">
      <c r="B1918" s="119" t="s">
        <v>272</v>
      </c>
      <c r="C1918" s="266" t="s">
        <v>2881</v>
      </c>
      <c r="D1918" s="124" t="s">
        <v>2880</v>
      </c>
      <c r="E1918" s="125"/>
      <c r="F1918" s="118" t="s">
        <v>2593</v>
      </c>
      <c r="G1918" s="126" t="str">
        <f t="shared" si="121"/>
        <v>AR-R22-1</v>
      </c>
      <c r="H1918" s="253">
        <v>1</v>
      </c>
      <c r="I1918" s="76">
        <v>1</v>
      </c>
      <c r="J1918" s="299" t="s">
        <v>286</v>
      </c>
      <c r="K1918" s="299"/>
      <c r="L1918" s="84"/>
      <c r="M1918" s="76"/>
      <c r="Q1918" s="84"/>
      <c r="R1918" s="76"/>
    </row>
    <row r="1919" spans="2:18" s="83" customFormat="1" ht="15" hidden="1" customHeight="1" outlineLevel="2">
      <c r="B1919" s="119" t="s">
        <v>272</v>
      </c>
      <c r="C1919" s="266" t="s">
        <v>2882</v>
      </c>
      <c r="D1919" s="124" t="s">
        <v>2883</v>
      </c>
      <c r="E1919" s="125"/>
      <c r="F1919" s="118" t="s">
        <v>2593</v>
      </c>
      <c r="G1919" s="126" t="str">
        <f t="shared" si="121"/>
        <v>AR-R22-1</v>
      </c>
      <c r="H1919" s="253">
        <v>1</v>
      </c>
      <c r="I1919" s="76">
        <v>1</v>
      </c>
      <c r="J1919" s="299" t="s">
        <v>286</v>
      </c>
      <c r="K1919" s="299"/>
      <c r="L1919" s="84"/>
      <c r="M1919" s="76"/>
      <c r="Q1919" s="84"/>
      <c r="R1919" s="76"/>
    </row>
    <row r="1920" spans="2:18" s="83" customFormat="1" ht="15" hidden="1" customHeight="1" outlineLevel="2">
      <c r="B1920" s="119" t="s">
        <v>272</v>
      </c>
      <c r="C1920" s="266" t="s">
        <v>2884</v>
      </c>
      <c r="D1920" s="124" t="s">
        <v>2883</v>
      </c>
      <c r="E1920" s="125"/>
      <c r="F1920" s="118" t="s">
        <v>2593</v>
      </c>
      <c r="G1920" s="126" t="str">
        <f t="shared" ref="G1920:G1925" si="122">CONCATENATE("AR-",F1920,"-",H1920)</f>
        <v>AR-R22-1</v>
      </c>
      <c r="H1920" s="253">
        <v>1</v>
      </c>
      <c r="I1920" s="76">
        <v>1</v>
      </c>
      <c r="J1920" s="299" t="s">
        <v>286</v>
      </c>
      <c r="K1920" s="299"/>
      <c r="L1920" s="84"/>
      <c r="M1920" s="76"/>
      <c r="Q1920" s="84"/>
      <c r="R1920" s="76"/>
    </row>
    <row r="1921" spans="2:18" s="83" customFormat="1" ht="15" hidden="1" customHeight="1" outlineLevel="2">
      <c r="B1921" s="119" t="s">
        <v>272</v>
      </c>
      <c r="C1921" s="266" t="s">
        <v>2885</v>
      </c>
      <c r="D1921" s="124" t="s">
        <v>2886</v>
      </c>
      <c r="E1921" s="125"/>
      <c r="F1921" s="118" t="s">
        <v>2593</v>
      </c>
      <c r="G1921" s="126" t="str">
        <f t="shared" si="122"/>
        <v>AR-R22-1</v>
      </c>
      <c r="H1921" s="253">
        <v>1</v>
      </c>
      <c r="I1921" s="76">
        <v>1</v>
      </c>
      <c r="J1921" s="299" t="s">
        <v>286</v>
      </c>
      <c r="K1921" s="299"/>
      <c r="L1921" s="84"/>
      <c r="M1921" s="76"/>
      <c r="Q1921" s="84"/>
      <c r="R1921" s="76"/>
    </row>
    <row r="1922" spans="2:18" s="83" customFormat="1" ht="15" hidden="1" customHeight="1" outlineLevel="2">
      <c r="B1922" s="119" t="s">
        <v>272</v>
      </c>
      <c r="C1922" s="266" t="s">
        <v>2887</v>
      </c>
      <c r="D1922" s="124" t="s">
        <v>2888</v>
      </c>
      <c r="E1922" s="125"/>
      <c r="F1922" s="118" t="s">
        <v>2593</v>
      </c>
      <c r="G1922" s="126" t="str">
        <f t="shared" si="122"/>
        <v>AR-R22-1</v>
      </c>
      <c r="H1922" s="253">
        <v>1</v>
      </c>
      <c r="I1922" s="76">
        <v>1</v>
      </c>
      <c r="J1922" s="299" t="s">
        <v>286</v>
      </c>
      <c r="K1922" s="299"/>
      <c r="L1922" s="84"/>
      <c r="M1922" s="76"/>
      <c r="Q1922" s="84"/>
      <c r="R1922" s="76"/>
    </row>
    <row r="1923" spans="2:18" s="83" customFormat="1" ht="15" hidden="1" customHeight="1" outlineLevel="2">
      <c r="B1923" s="119" t="s">
        <v>272</v>
      </c>
      <c r="C1923" s="266" t="s">
        <v>2889</v>
      </c>
      <c r="D1923" s="124" t="s">
        <v>2890</v>
      </c>
      <c r="E1923" s="125"/>
      <c r="F1923" s="118" t="s">
        <v>2593</v>
      </c>
      <c r="G1923" s="126" t="str">
        <f t="shared" si="122"/>
        <v>AR-R22-1</v>
      </c>
      <c r="H1923" s="253">
        <v>1</v>
      </c>
      <c r="I1923" s="76">
        <v>1</v>
      </c>
      <c r="J1923" s="299" t="s">
        <v>286</v>
      </c>
      <c r="K1923" s="299"/>
      <c r="L1923" s="84"/>
      <c r="M1923" s="76"/>
      <c r="Q1923" s="84"/>
      <c r="R1923" s="76"/>
    </row>
    <row r="1924" spans="2:18" s="83" customFormat="1" ht="15" hidden="1" customHeight="1" outlineLevel="2">
      <c r="B1924" s="119" t="s">
        <v>272</v>
      </c>
      <c r="C1924" s="266" t="s">
        <v>2891</v>
      </c>
      <c r="D1924" s="124" t="s">
        <v>2890</v>
      </c>
      <c r="E1924" s="125"/>
      <c r="F1924" s="118" t="s">
        <v>2593</v>
      </c>
      <c r="G1924" s="126" t="str">
        <f t="shared" si="122"/>
        <v>AR-R22-1</v>
      </c>
      <c r="H1924" s="253">
        <v>1</v>
      </c>
      <c r="I1924" s="76">
        <v>1</v>
      </c>
      <c r="J1924" s="299" t="s">
        <v>286</v>
      </c>
      <c r="K1924" s="299"/>
      <c r="L1924" s="84"/>
      <c r="M1924" s="76"/>
      <c r="Q1924" s="84"/>
      <c r="R1924" s="76"/>
    </row>
    <row r="1925" spans="2:18" s="83" customFormat="1" ht="15" hidden="1" customHeight="1" outlineLevel="2">
      <c r="B1925" s="119" t="s">
        <v>272</v>
      </c>
      <c r="C1925" s="266" t="s">
        <v>2892</v>
      </c>
      <c r="D1925" s="124" t="s">
        <v>2893</v>
      </c>
      <c r="E1925" s="125"/>
      <c r="F1925" s="118" t="s">
        <v>2593</v>
      </c>
      <c r="G1925" s="126" t="str">
        <f t="shared" si="122"/>
        <v>AR-R22-1</v>
      </c>
      <c r="H1925" s="253">
        <v>1</v>
      </c>
      <c r="I1925" s="76">
        <v>1</v>
      </c>
      <c r="J1925" s="299" t="s">
        <v>286</v>
      </c>
      <c r="K1925" s="299"/>
      <c r="L1925" s="84"/>
      <c r="M1925" s="76"/>
      <c r="Q1925" s="84"/>
      <c r="R1925" s="76"/>
    </row>
    <row r="1926" spans="2:18" s="83" customFormat="1" ht="15" hidden="1" customHeight="1" outlineLevel="2">
      <c r="B1926" s="119" t="s">
        <v>272</v>
      </c>
      <c r="C1926" s="266" t="s">
        <v>2894</v>
      </c>
      <c r="D1926" s="124" t="s">
        <v>2893</v>
      </c>
      <c r="E1926" s="125"/>
      <c r="F1926" s="118" t="s">
        <v>2593</v>
      </c>
      <c r="G1926" s="126" t="str">
        <f>CONCATENATE("AR-",F1926,"-",H1926)</f>
        <v>AR-R22-1</v>
      </c>
      <c r="H1926" s="253">
        <v>1</v>
      </c>
      <c r="I1926" s="76">
        <v>1</v>
      </c>
      <c r="J1926" s="299" t="s">
        <v>286</v>
      </c>
      <c r="K1926" s="299"/>
      <c r="L1926" s="84"/>
      <c r="M1926" s="76"/>
      <c r="Q1926" s="84"/>
      <c r="R1926" s="76"/>
    </row>
    <row r="1927" spans="2:18" s="83" customFormat="1" ht="15" hidden="1" customHeight="1" outlineLevel="2">
      <c r="B1927" s="119" t="s">
        <v>272</v>
      </c>
      <c r="C1927" s="266" t="s">
        <v>2895</v>
      </c>
      <c r="D1927" s="124" t="s">
        <v>2896</v>
      </c>
      <c r="E1927" s="125"/>
      <c r="F1927" s="118" t="s">
        <v>2593</v>
      </c>
      <c r="G1927" s="126" t="str">
        <f>CONCATENATE("AR-",F1927,"-",H1927)</f>
        <v>AR-R22-1</v>
      </c>
      <c r="H1927" s="253">
        <v>1</v>
      </c>
      <c r="I1927" s="76">
        <v>1</v>
      </c>
      <c r="J1927" s="299" t="s">
        <v>286</v>
      </c>
      <c r="K1927" s="299"/>
      <c r="L1927" s="84"/>
      <c r="M1927" s="76"/>
      <c r="Q1927" s="84"/>
      <c r="R1927" s="76"/>
    </row>
    <row r="1928" spans="2:18" s="83" customFormat="1" ht="15" hidden="1" customHeight="1" outlineLevel="2">
      <c r="B1928" s="119" t="s">
        <v>272</v>
      </c>
      <c r="C1928" s="266" t="s">
        <v>2897</v>
      </c>
      <c r="D1928" s="124" t="s">
        <v>2896</v>
      </c>
      <c r="E1928" s="125"/>
      <c r="F1928" s="118" t="s">
        <v>2593</v>
      </c>
      <c r="G1928" s="126" t="str">
        <f>CONCATENATE("AR-",F1928,"-",H1928)</f>
        <v>AR-R22-1</v>
      </c>
      <c r="H1928" s="253">
        <v>1</v>
      </c>
      <c r="I1928" s="76">
        <v>1</v>
      </c>
      <c r="J1928" s="299" t="s">
        <v>286</v>
      </c>
      <c r="K1928" s="299"/>
      <c r="L1928" s="84"/>
      <c r="M1928" s="76"/>
      <c r="Q1928" s="84"/>
      <c r="R1928" s="76"/>
    </row>
    <row r="1929" spans="2:18" s="83" customFormat="1" ht="15" hidden="1" customHeight="1" outlineLevel="2">
      <c r="B1929" s="119" t="s">
        <v>272</v>
      </c>
      <c r="C1929" s="266" t="s">
        <v>2898</v>
      </c>
      <c r="D1929" s="124" t="s">
        <v>2899</v>
      </c>
      <c r="E1929" s="125"/>
      <c r="F1929" s="118" t="s">
        <v>2593</v>
      </c>
      <c r="G1929" s="126" t="str">
        <f t="shared" ref="G1929:G1948" si="123">CONCATENATE("AR-",F1929,"-",H1929)</f>
        <v>AR-R22-1</v>
      </c>
      <c r="H1929" s="253">
        <v>1</v>
      </c>
      <c r="I1929" s="76">
        <v>1</v>
      </c>
      <c r="J1929" s="299" t="s">
        <v>286</v>
      </c>
      <c r="K1929" s="299"/>
      <c r="L1929" s="84"/>
      <c r="M1929" s="76"/>
      <c r="Q1929" s="84"/>
      <c r="R1929" s="76"/>
    </row>
    <row r="1930" spans="2:18" s="83" customFormat="1" ht="15" hidden="1" customHeight="1" outlineLevel="2">
      <c r="B1930" s="119" t="s">
        <v>272</v>
      </c>
      <c r="C1930" s="266" t="s">
        <v>2900</v>
      </c>
      <c r="D1930" s="124" t="s">
        <v>2899</v>
      </c>
      <c r="E1930" s="125"/>
      <c r="F1930" s="118" t="s">
        <v>2593</v>
      </c>
      <c r="G1930" s="126" t="str">
        <f t="shared" si="123"/>
        <v>AR-R22-1</v>
      </c>
      <c r="H1930" s="253">
        <v>1</v>
      </c>
      <c r="I1930" s="76">
        <v>1</v>
      </c>
      <c r="J1930" s="299" t="s">
        <v>286</v>
      </c>
      <c r="K1930" s="299"/>
      <c r="L1930" s="84"/>
      <c r="M1930" s="76"/>
      <c r="Q1930" s="84"/>
      <c r="R1930" s="76"/>
    </row>
    <row r="1931" spans="2:18" s="83" customFormat="1" ht="15" hidden="1" customHeight="1" outlineLevel="2">
      <c r="B1931" s="119" t="s">
        <v>272</v>
      </c>
      <c r="C1931" s="266" t="s">
        <v>2901</v>
      </c>
      <c r="D1931" s="124" t="s">
        <v>2902</v>
      </c>
      <c r="E1931" s="125"/>
      <c r="F1931" s="118" t="s">
        <v>2593</v>
      </c>
      <c r="G1931" s="126" t="str">
        <f t="shared" si="123"/>
        <v>AR-R22-1</v>
      </c>
      <c r="H1931" s="253">
        <v>1</v>
      </c>
      <c r="I1931" s="76">
        <v>1</v>
      </c>
      <c r="J1931" s="299" t="s">
        <v>286</v>
      </c>
      <c r="K1931" s="299"/>
      <c r="L1931" s="84"/>
      <c r="M1931" s="76"/>
      <c r="Q1931" s="84"/>
      <c r="R1931" s="76"/>
    </row>
    <row r="1932" spans="2:18" s="83" customFormat="1" ht="15" hidden="1" customHeight="1" outlineLevel="2">
      <c r="B1932" s="119" t="s">
        <v>272</v>
      </c>
      <c r="C1932" s="266" t="s">
        <v>2903</v>
      </c>
      <c r="D1932" s="124" t="s">
        <v>2902</v>
      </c>
      <c r="E1932" s="125"/>
      <c r="F1932" s="118" t="s">
        <v>2593</v>
      </c>
      <c r="G1932" s="126" t="str">
        <f t="shared" si="123"/>
        <v>AR-R22-1</v>
      </c>
      <c r="H1932" s="253">
        <v>1</v>
      </c>
      <c r="I1932" s="76">
        <v>1</v>
      </c>
      <c r="J1932" s="299" t="s">
        <v>286</v>
      </c>
      <c r="K1932" s="299"/>
      <c r="L1932" s="84"/>
      <c r="M1932" s="76"/>
      <c r="Q1932" s="84"/>
      <c r="R1932" s="76"/>
    </row>
    <row r="1933" spans="2:18" s="83" customFormat="1" ht="15" hidden="1" customHeight="1" outlineLevel="2">
      <c r="B1933" s="119" t="s">
        <v>272</v>
      </c>
      <c r="C1933" s="266" t="s">
        <v>2904</v>
      </c>
      <c r="D1933" s="124" t="s">
        <v>2905</v>
      </c>
      <c r="E1933" s="125"/>
      <c r="F1933" s="118" t="s">
        <v>2593</v>
      </c>
      <c r="G1933" s="126" t="str">
        <f t="shared" si="123"/>
        <v>AR-R22-1</v>
      </c>
      <c r="H1933" s="253">
        <v>1</v>
      </c>
      <c r="I1933" s="76">
        <v>1</v>
      </c>
      <c r="J1933" s="299" t="s">
        <v>286</v>
      </c>
      <c r="K1933" s="299"/>
      <c r="L1933" s="84"/>
      <c r="M1933" s="76"/>
      <c r="Q1933" s="84"/>
      <c r="R1933" s="76"/>
    </row>
    <row r="1934" spans="2:18" s="83" customFormat="1" ht="15" hidden="1" customHeight="1" outlineLevel="2">
      <c r="B1934" s="119" t="s">
        <v>272</v>
      </c>
      <c r="C1934" s="266" t="s">
        <v>2906</v>
      </c>
      <c r="D1934" s="124" t="s">
        <v>2905</v>
      </c>
      <c r="E1934" s="125"/>
      <c r="F1934" s="118" t="s">
        <v>2593</v>
      </c>
      <c r="G1934" s="126" t="str">
        <f t="shared" si="123"/>
        <v>AR-R22-1</v>
      </c>
      <c r="H1934" s="253">
        <v>1</v>
      </c>
      <c r="I1934" s="76">
        <v>1</v>
      </c>
      <c r="J1934" s="299" t="s">
        <v>286</v>
      </c>
      <c r="K1934" s="299"/>
      <c r="L1934" s="84"/>
      <c r="M1934" s="76"/>
      <c r="Q1934" s="84"/>
      <c r="R1934" s="76"/>
    </row>
    <row r="1935" spans="2:18" s="83" customFormat="1" ht="15" hidden="1" customHeight="1" outlineLevel="2">
      <c r="B1935" s="119" t="s">
        <v>272</v>
      </c>
      <c r="C1935" s="266" t="s">
        <v>2907</v>
      </c>
      <c r="D1935" s="124" t="s">
        <v>2908</v>
      </c>
      <c r="E1935" s="125"/>
      <c r="F1935" s="118" t="s">
        <v>2593</v>
      </c>
      <c r="G1935" s="126" t="str">
        <f t="shared" si="123"/>
        <v>AR-R22-1</v>
      </c>
      <c r="H1935" s="253">
        <v>1</v>
      </c>
      <c r="I1935" s="76">
        <v>1</v>
      </c>
      <c r="J1935" s="299" t="s">
        <v>286</v>
      </c>
      <c r="K1935" s="299"/>
      <c r="L1935" s="84"/>
      <c r="M1935" s="76"/>
      <c r="Q1935" s="84"/>
      <c r="R1935" s="76"/>
    </row>
    <row r="1936" spans="2:18" s="83" customFormat="1" ht="15" hidden="1" customHeight="1" outlineLevel="2">
      <c r="B1936" s="119" t="s">
        <v>272</v>
      </c>
      <c r="C1936" s="266" t="s">
        <v>2909</v>
      </c>
      <c r="D1936" s="124" t="s">
        <v>2908</v>
      </c>
      <c r="E1936" s="125"/>
      <c r="F1936" s="118" t="s">
        <v>2593</v>
      </c>
      <c r="G1936" s="126" t="str">
        <f t="shared" si="123"/>
        <v>AR-R22-1</v>
      </c>
      <c r="H1936" s="253">
        <v>1</v>
      </c>
      <c r="I1936" s="76">
        <v>1</v>
      </c>
      <c r="J1936" s="299" t="s">
        <v>286</v>
      </c>
      <c r="K1936" s="299"/>
      <c r="L1936" s="84"/>
      <c r="M1936" s="76"/>
      <c r="Q1936" s="84"/>
      <c r="R1936" s="76"/>
    </row>
    <row r="1937" spans="2:18" s="83" customFormat="1" ht="15" hidden="1" customHeight="1" outlineLevel="2">
      <c r="B1937" s="119" t="s">
        <v>272</v>
      </c>
      <c r="C1937" s="266" t="s">
        <v>2910</v>
      </c>
      <c r="D1937" s="124" t="s">
        <v>2911</v>
      </c>
      <c r="E1937" s="125"/>
      <c r="F1937" s="118" t="s">
        <v>2593</v>
      </c>
      <c r="G1937" s="126" t="str">
        <f t="shared" si="123"/>
        <v>AR-R22-1</v>
      </c>
      <c r="H1937" s="253">
        <v>1</v>
      </c>
      <c r="I1937" s="76">
        <v>1</v>
      </c>
      <c r="J1937" s="299" t="s">
        <v>286</v>
      </c>
      <c r="K1937" s="299"/>
      <c r="L1937" s="84"/>
      <c r="M1937" s="76"/>
      <c r="Q1937" s="84"/>
      <c r="R1937" s="76"/>
    </row>
    <row r="1938" spans="2:18" s="83" customFormat="1" ht="15" hidden="1" customHeight="1" outlineLevel="2">
      <c r="B1938" s="119" t="s">
        <v>272</v>
      </c>
      <c r="C1938" s="266" t="s">
        <v>2912</v>
      </c>
      <c r="D1938" s="124" t="s">
        <v>2911</v>
      </c>
      <c r="E1938" s="125"/>
      <c r="F1938" s="118" t="s">
        <v>2593</v>
      </c>
      <c r="G1938" s="126" t="str">
        <f t="shared" si="123"/>
        <v>AR-R22-1</v>
      </c>
      <c r="H1938" s="253">
        <v>1</v>
      </c>
      <c r="I1938" s="76">
        <v>1</v>
      </c>
      <c r="J1938" s="299" t="s">
        <v>286</v>
      </c>
      <c r="K1938" s="299"/>
      <c r="L1938" s="84"/>
      <c r="M1938" s="76"/>
      <c r="Q1938" s="84"/>
      <c r="R1938" s="76"/>
    </row>
    <row r="1939" spans="2:18" s="83" customFormat="1" ht="15" hidden="1" customHeight="1" outlineLevel="2">
      <c r="B1939" s="119" t="s">
        <v>272</v>
      </c>
      <c r="C1939" s="266" t="s">
        <v>2913</v>
      </c>
      <c r="D1939" s="124" t="s">
        <v>2914</v>
      </c>
      <c r="E1939" s="125"/>
      <c r="F1939" s="118" t="s">
        <v>2593</v>
      </c>
      <c r="G1939" s="126" t="str">
        <f t="shared" si="123"/>
        <v>AR-R22-1</v>
      </c>
      <c r="H1939" s="253">
        <v>1</v>
      </c>
      <c r="I1939" s="76">
        <v>1</v>
      </c>
      <c r="J1939" s="299" t="s">
        <v>286</v>
      </c>
      <c r="K1939" s="299"/>
      <c r="L1939" s="84"/>
      <c r="M1939" s="76"/>
      <c r="Q1939" s="84"/>
      <c r="R1939" s="76"/>
    </row>
    <row r="1940" spans="2:18" s="83" customFormat="1" ht="15" hidden="1" customHeight="1" outlineLevel="2">
      <c r="B1940" s="119" t="s">
        <v>272</v>
      </c>
      <c r="C1940" s="266" t="s">
        <v>2915</v>
      </c>
      <c r="D1940" s="124" t="s">
        <v>2914</v>
      </c>
      <c r="E1940" s="125"/>
      <c r="F1940" s="118" t="s">
        <v>2593</v>
      </c>
      <c r="G1940" s="126" t="str">
        <f t="shared" si="123"/>
        <v>AR-R22-1</v>
      </c>
      <c r="H1940" s="253">
        <v>1</v>
      </c>
      <c r="I1940" s="76">
        <v>1</v>
      </c>
      <c r="J1940" s="299" t="s">
        <v>286</v>
      </c>
      <c r="K1940" s="299"/>
      <c r="L1940" s="84"/>
      <c r="M1940" s="76"/>
      <c r="Q1940" s="84"/>
      <c r="R1940" s="76"/>
    </row>
    <row r="1941" spans="2:18" s="83" customFormat="1" ht="15" hidden="1" customHeight="1" outlineLevel="2">
      <c r="B1941" s="119" t="s">
        <v>272</v>
      </c>
      <c r="C1941" s="266" t="s">
        <v>2916</v>
      </c>
      <c r="D1941" s="124" t="s">
        <v>2917</v>
      </c>
      <c r="E1941" s="125"/>
      <c r="F1941" s="118" t="s">
        <v>2593</v>
      </c>
      <c r="G1941" s="126" t="str">
        <f t="shared" si="123"/>
        <v>AR-R22-1</v>
      </c>
      <c r="H1941" s="253">
        <v>1</v>
      </c>
      <c r="I1941" s="76">
        <v>1</v>
      </c>
      <c r="J1941" s="299" t="s">
        <v>286</v>
      </c>
      <c r="K1941" s="299"/>
      <c r="L1941" s="84"/>
      <c r="M1941" s="76"/>
      <c r="Q1941" s="84"/>
      <c r="R1941" s="76"/>
    </row>
    <row r="1942" spans="2:18" s="83" customFormat="1" ht="15" hidden="1" customHeight="1" outlineLevel="2">
      <c r="B1942" s="119" t="s">
        <v>272</v>
      </c>
      <c r="C1942" s="266" t="s">
        <v>2918</v>
      </c>
      <c r="D1942" s="124" t="s">
        <v>2917</v>
      </c>
      <c r="E1942" s="125"/>
      <c r="F1942" s="118" t="s">
        <v>2593</v>
      </c>
      <c r="G1942" s="126" t="str">
        <f t="shared" si="123"/>
        <v>AR-R22-1</v>
      </c>
      <c r="H1942" s="253">
        <v>1</v>
      </c>
      <c r="I1942" s="76">
        <v>1</v>
      </c>
      <c r="J1942" s="299" t="s">
        <v>286</v>
      </c>
      <c r="K1942" s="299"/>
      <c r="L1942" s="84"/>
      <c r="M1942" s="76"/>
      <c r="Q1942" s="84"/>
      <c r="R1942" s="76"/>
    </row>
    <row r="1943" spans="2:18" s="83" customFormat="1" ht="15" hidden="1" customHeight="1" outlineLevel="2">
      <c r="B1943" s="119" t="s">
        <v>272</v>
      </c>
      <c r="C1943" s="266" t="s">
        <v>2919</v>
      </c>
      <c r="D1943" s="124" t="s">
        <v>2920</v>
      </c>
      <c r="E1943" s="125"/>
      <c r="F1943" s="118" t="s">
        <v>2593</v>
      </c>
      <c r="G1943" s="126" t="str">
        <f t="shared" si="123"/>
        <v>AR-R22-1</v>
      </c>
      <c r="H1943" s="253">
        <v>1</v>
      </c>
      <c r="I1943" s="76">
        <v>1</v>
      </c>
      <c r="J1943" s="299" t="s">
        <v>286</v>
      </c>
      <c r="K1943" s="299"/>
      <c r="L1943" s="84"/>
      <c r="M1943" s="76"/>
      <c r="Q1943" s="84"/>
      <c r="R1943" s="76"/>
    </row>
    <row r="1944" spans="2:18" s="83" customFormat="1" ht="15" hidden="1" customHeight="1" outlineLevel="2">
      <c r="B1944" s="119" t="s">
        <v>272</v>
      </c>
      <c r="C1944" s="266" t="s">
        <v>2921</v>
      </c>
      <c r="D1944" s="124" t="s">
        <v>2920</v>
      </c>
      <c r="E1944" s="125"/>
      <c r="F1944" s="118" t="s">
        <v>2593</v>
      </c>
      <c r="G1944" s="126" t="str">
        <f t="shared" si="123"/>
        <v>AR-R22-1</v>
      </c>
      <c r="H1944" s="253">
        <v>1</v>
      </c>
      <c r="I1944" s="76">
        <v>1</v>
      </c>
      <c r="J1944" s="299" t="s">
        <v>286</v>
      </c>
      <c r="K1944" s="299"/>
      <c r="L1944" s="84"/>
      <c r="M1944" s="76"/>
      <c r="Q1944" s="84"/>
      <c r="R1944" s="76"/>
    </row>
    <row r="1945" spans="2:18" s="83" customFormat="1" ht="15" hidden="1" customHeight="1" outlineLevel="2">
      <c r="B1945" s="119" t="s">
        <v>272</v>
      </c>
      <c r="C1945" s="266" t="s">
        <v>2922</v>
      </c>
      <c r="D1945" s="124" t="s">
        <v>2923</v>
      </c>
      <c r="E1945" s="125"/>
      <c r="F1945" s="118" t="s">
        <v>2593</v>
      </c>
      <c r="G1945" s="126" t="str">
        <f t="shared" si="123"/>
        <v>AR-R22-1</v>
      </c>
      <c r="H1945" s="253">
        <v>1</v>
      </c>
      <c r="I1945" s="76">
        <v>1</v>
      </c>
      <c r="J1945" s="299" t="s">
        <v>286</v>
      </c>
      <c r="K1945" s="299"/>
      <c r="L1945" s="84"/>
      <c r="M1945" s="76"/>
      <c r="Q1945" s="84"/>
      <c r="R1945" s="76"/>
    </row>
    <row r="1946" spans="2:18" s="83" customFormat="1" ht="15" hidden="1" customHeight="1" outlineLevel="2">
      <c r="B1946" s="119" t="s">
        <v>272</v>
      </c>
      <c r="C1946" s="266" t="s">
        <v>2924</v>
      </c>
      <c r="D1946" s="124" t="s">
        <v>2923</v>
      </c>
      <c r="E1946" s="125"/>
      <c r="F1946" s="118" t="s">
        <v>2593</v>
      </c>
      <c r="G1946" s="126" t="str">
        <f t="shared" si="123"/>
        <v>AR-R22-1</v>
      </c>
      <c r="H1946" s="253">
        <v>1</v>
      </c>
      <c r="I1946" s="76">
        <v>1</v>
      </c>
      <c r="J1946" s="299" t="s">
        <v>286</v>
      </c>
      <c r="K1946" s="299"/>
      <c r="L1946" s="84"/>
      <c r="M1946" s="76"/>
      <c r="Q1946" s="84"/>
      <c r="R1946" s="76"/>
    </row>
    <row r="1947" spans="2:18" s="83" customFormat="1" ht="15" hidden="1" customHeight="1" outlineLevel="2">
      <c r="B1947" s="119" t="s">
        <v>272</v>
      </c>
      <c r="C1947" s="266" t="s">
        <v>2925</v>
      </c>
      <c r="D1947" s="124" t="s">
        <v>2926</v>
      </c>
      <c r="E1947" s="125"/>
      <c r="F1947" s="118" t="s">
        <v>2593</v>
      </c>
      <c r="G1947" s="126" t="str">
        <f t="shared" si="123"/>
        <v>AR-R22-1</v>
      </c>
      <c r="H1947" s="253">
        <v>1</v>
      </c>
      <c r="I1947" s="76">
        <v>1</v>
      </c>
      <c r="J1947" s="299" t="s">
        <v>286</v>
      </c>
      <c r="K1947" s="299"/>
      <c r="L1947" s="84"/>
      <c r="M1947" s="76"/>
      <c r="Q1947" s="84"/>
      <c r="R1947" s="76"/>
    </row>
    <row r="1948" spans="2:18" s="83" customFormat="1" ht="15" hidden="1" customHeight="1" outlineLevel="2">
      <c r="B1948" s="119" t="s">
        <v>272</v>
      </c>
      <c r="C1948" s="266" t="s">
        <v>2927</v>
      </c>
      <c r="D1948" s="124" t="s">
        <v>2926</v>
      </c>
      <c r="E1948" s="125"/>
      <c r="F1948" s="118" t="s">
        <v>2593</v>
      </c>
      <c r="G1948" s="126" t="str">
        <f t="shared" si="123"/>
        <v>AR-R22-1</v>
      </c>
      <c r="H1948" s="253">
        <v>1</v>
      </c>
      <c r="I1948" s="76">
        <v>1</v>
      </c>
      <c r="J1948" s="299" t="s">
        <v>286</v>
      </c>
      <c r="K1948" s="299"/>
      <c r="L1948" s="84"/>
      <c r="M1948" s="76"/>
      <c r="Q1948" s="84"/>
      <c r="R1948" s="76"/>
    </row>
    <row r="1949" spans="2:18" s="83" customFormat="1" ht="15" hidden="1" customHeight="1" outlineLevel="2">
      <c r="B1949" s="119" t="s">
        <v>272</v>
      </c>
      <c r="C1949" s="266" t="s">
        <v>2928</v>
      </c>
      <c r="D1949" s="124" t="s">
        <v>2929</v>
      </c>
      <c r="E1949" s="125"/>
      <c r="F1949" s="118" t="s">
        <v>2593</v>
      </c>
      <c r="G1949" s="126" t="str">
        <f t="shared" ref="G1949:G1989" si="124">CONCATENATE("AR-",F1949,"-",H1949)</f>
        <v>AR-R22-1</v>
      </c>
      <c r="H1949" s="253">
        <v>1</v>
      </c>
      <c r="I1949" s="76">
        <v>1</v>
      </c>
      <c r="J1949" s="299" t="s">
        <v>286</v>
      </c>
      <c r="K1949" s="299"/>
      <c r="L1949" s="84"/>
      <c r="M1949" s="76"/>
      <c r="Q1949" s="84"/>
      <c r="R1949" s="76"/>
    </row>
    <row r="1950" spans="2:18" s="83" customFormat="1" ht="15" hidden="1" customHeight="1" outlineLevel="2">
      <c r="B1950" s="119" t="s">
        <v>272</v>
      </c>
      <c r="C1950" s="266" t="s">
        <v>2930</v>
      </c>
      <c r="D1950" s="124" t="s">
        <v>2929</v>
      </c>
      <c r="E1950" s="125"/>
      <c r="F1950" s="118" t="s">
        <v>2593</v>
      </c>
      <c r="G1950" s="126" t="str">
        <f t="shared" si="124"/>
        <v>AR-R22-1</v>
      </c>
      <c r="H1950" s="253">
        <v>1</v>
      </c>
      <c r="I1950" s="76">
        <v>1</v>
      </c>
      <c r="J1950" s="299" t="s">
        <v>286</v>
      </c>
      <c r="K1950" s="299"/>
      <c r="L1950" s="84"/>
      <c r="M1950" s="76"/>
      <c r="Q1950" s="84"/>
      <c r="R1950" s="76"/>
    </row>
    <row r="1951" spans="2:18" s="100" customFormat="1" ht="15" hidden="1" customHeight="1" outlineLevel="2">
      <c r="B1951" s="119" t="s">
        <v>272</v>
      </c>
      <c r="C1951" s="266" t="s">
        <v>2931</v>
      </c>
      <c r="D1951" s="124" t="s">
        <v>2932</v>
      </c>
      <c r="E1951" s="125"/>
      <c r="F1951" s="118" t="s">
        <v>2593</v>
      </c>
      <c r="G1951" s="126" t="str">
        <f t="shared" si="124"/>
        <v>AR-R22-1</v>
      </c>
      <c r="H1951" s="253">
        <v>1</v>
      </c>
      <c r="I1951" s="76">
        <v>1</v>
      </c>
      <c r="J1951" s="299" t="s">
        <v>286</v>
      </c>
      <c r="K1951" s="299"/>
      <c r="L1951" s="84"/>
      <c r="M1951" s="76"/>
      <c r="Q1951" s="84"/>
      <c r="R1951" s="76"/>
    </row>
    <row r="1952" spans="2:18" s="83" customFormat="1" ht="15" hidden="1" customHeight="1" outlineLevel="2">
      <c r="B1952" s="119" t="s">
        <v>272</v>
      </c>
      <c r="C1952" s="266" t="s">
        <v>2933</v>
      </c>
      <c r="D1952" s="124" t="s">
        <v>2932</v>
      </c>
      <c r="E1952" s="125"/>
      <c r="F1952" s="118" t="s">
        <v>2593</v>
      </c>
      <c r="G1952" s="126" t="str">
        <f t="shared" si="124"/>
        <v>AR-R22-1</v>
      </c>
      <c r="H1952" s="253">
        <v>1</v>
      </c>
      <c r="I1952" s="76">
        <v>1</v>
      </c>
      <c r="J1952" s="299" t="s">
        <v>286</v>
      </c>
      <c r="K1952" s="299"/>
      <c r="L1952" s="84"/>
      <c r="M1952" s="76"/>
      <c r="Q1952" s="84"/>
      <c r="R1952" s="76"/>
    </row>
    <row r="1953" spans="2:18" s="83" customFormat="1" ht="15" hidden="1" customHeight="1" outlineLevel="2">
      <c r="B1953" s="119" t="s">
        <v>272</v>
      </c>
      <c r="C1953" s="266" t="s">
        <v>2934</v>
      </c>
      <c r="D1953" s="124" t="s">
        <v>2935</v>
      </c>
      <c r="E1953" s="125"/>
      <c r="F1953" s="118" t="s">
        <v>2593</v>
      </c>
      <c r="G1953" s="126" t="str">
        <f t="shared" si="124"/>
        <v>AR-R22-1</v>
      </c>
      <c r="H1953" s="253">
        <v>1</v>
      </c>
      <c r="I1953" s="76">
        <v>1</v>
      </c>
      <c r="J1953" s="299" t="s">
        <v>286</v>
      </c>
      <c r="K1953" s="299"/>
      <c r="L1953" s="84"/>
      <c r="M1953" s="76"/>
      <c r="Q1953" s="84"/>
      <c r="R1953" s="76"/>
    </row>
    <row r="1954" spans="2:18" s="83" customFormat="1" ht="15" hidden="1" customHeight="1" outlineLevel="2">
      <c r="B1954" s="119" t="s">
        <v>272</v>
      </c>
      <c r="C1954" s="266" t="s">
        <v>2936</v>
      </c>
      <c r="D1954" s="124" t="s">
        <v>2935</v>
      </c>
      <c r="E1954" s="125"/>
      <c r="F1954" s="118" t="s">
        <v>2593</v>
      </c>
      <c r="G1954" s="126" t="str">
        <f t="shared" si="124"/>
        <v>AR-R22-1</v>
      </c>
      <c r="H1954" s="253">
        <v>1</v>
      </c>
      <c r="I1954" s="76">
        <v>1</v>
      </c>
      <c r="J1954" s="299" t="s">
        <v>286</v>
      </c>
      <c r="K1954" s="299"/>
      <c r="L1954" s="84"/>
      <c r="M1954" s="76"/>
      <c r="Q1954" s="84"/>
      <c r="R1954" s="76"/>
    </row>
    <row r="1955" spans="2:18" s="83" customFormat="1" ht="15" hidden="1" customHeight="1" outlineLevel="2">
      <c r="B1955" s="119" t="s">
        <v>272</v>
      </c>
      <c r="C1955" s="266" t="s">
        <v>2937</v>
      </c>
      <c r="D1955" s="124" t="s">
        <v>2938</v>
      </c>
      <c r="E1955" s="125"/>
      <c r="F1955" s="118" t="s">
        <v>2593</v>
      </c>
      <c r="G1955" s="126" t="str">
        <f t="shared" si="124"/>
        <v>AR-R22-1</v>
      </c>
      <c r="H1955" s="253">
        <v>1</v>
      </c>
      <c r="I1955" s="76">
        <v>1</v>
      </c>
      <c r="J1955" s="299" t="s">
        <v>286</v>
      </c>
      <c r="K1955" s="299"/>
      <c r="L1955" s="84"/>
      <c r="M1955" s="76"/>
      <c r="Q1955" s="84"/>
      <c r="R1955" s="76"/>
    </row>
    <row r="1956" spans="2:18" s="83" customFormat="1" ht="15" hidden="1" customHeight="1" outlineLevel="2">
      <c r="B1956" s="119" t="s">
        <v>272</v>
      </c>
      <c r="C1956" s="266" t="s">
        <v>2939</v>
      </c>
      <c r="D1956" s="124" t="s">
        <v>2938</v>
      </c>
      <c r="E1956" s="125"/>
      <c r="F1956" s="118" t="s">
        <v>2593</v>
      </c>
      <c r="G1956" s="126" t="str">
        <f t="shared" si="124"/>
        <v>AR-R22-1</v>
      </c>
      <c r="H1956" s="253">
        <v>1</v>
      </c>
      <c r="I1956" s="76">
        <v>1</v>
      </c>
      <c r="J1956" s="299" t="s">
        <v>286</v>
      </c>
      <c r="K1956" s="299"/>
      <c r="L1956" s="84"/>
      <c r="M1956" s="76"/>
      <c r="Q1956" s="84"/>
      <c r="R1956" s="76"/>
    </row>
    <row r="1957" spans="2:18" s="83" customFormat="1" ht="15" hidden="1" customHeight="1" outlineLevel="2">
      <c r="B1957" s="119" t="s">
        <v>272</v>
      </c>
      <c r="C1957" s="266" t="s">
        <v>2940</v>
      </c>
      <c r="D1957" s="124" t="s">
        <v>2941</v>
      </c>
      <c r="E1957" s="125"/>
      <c r="F1957" s="118" t="s">
        <v>2593</v>
      </c>
      <c r="G1957" s="126" t="str">
        <f t="shared" si="124"/>
        <v>AR-R22-1</v>
      </c>
      <c r="H1957" s="253">
        <v>1</v>
      </c>
      <c r="I1957" s="76">
        <v>1</v>
      </c>
      <c r="J1957" s="299" t="s">
        <v>286</v>
      </c>
      <c r="K1957" s="299"/>
      <c r="L1957" s="84"/>
      <c r="M1957" s="76"/>
      <c r="Q1957" s="84"/>
      <c r="R1957" s="76"/>
    </row>
    <row r="1958" spans="2:18" s="83" customFormat="1" ht="15" hidden="1" customHeight="1" outlineLevel="2">
      <c r="B1958" s="119" t="s">
        <v>272</v>
      </c>
      <c r="C1958" s="266" t="s">
        <v>2942</v>
      </c>
      <c r="D1958" s="124" t="s">
        <v>2941</v>
      </c>
      <c r="E1958" s="125"/>
      <c r="F1958" s="118" t="s">
        <v>2593</v>
      </c>
      <c r="G1958" s="126" t="str">
        <f t="shared" si="124"/>
        <v>AR-R22-1</v>
      </c>
      <c r="H1958" s="253">
        <v>1</v>
      </c>
      <c r="I1958" s="76">
        <v>1</v>
      </c>
      <c r="J1958" s="299" t="s">
        <v>286</v>
      </c>
      <c r="K1958" s="299"/>
      <c r="L1958" s="84"/>
      <c r="M1958" s="76"/>
      <c r="Q1958" s="84"/>
      <c r="R1958" s="76"/>
    </row>
    <row r="1959" spans="2:18" s="83" customFormat="1" ht="15" hidden="1" customHeight="1" outlineLevel="2">
      <c r="B1959" s="119" t="s">
        <v>272</v>
      </c>
      <c r="C1959" s="266" t="s">
        <v>2943</v>
      </c>
      <c r="D1959" s="124" t="s">
        <v>2944</v>
      </c>
      <c r="E1959" s="125"/>
      <c r="F1959" s="118" t="s">
        <v>2593</v>
      </c>
      <c r="G1959" s="126" t="str">
        <f t="shared" si="124"/>
        <v>AR-R22-1</v>
      </c>
      <c r="H1959" s="253">
        <v>1</v>
      </c>
      <c r="I1959" s="76">
        <v>1</v>
      </c>
      <c r="J1959" s="299" t="s">
        <v>286</v>
      </c>
      <c r="K1959" s="299"/>
      <c r="L1959" s="84"/>
      <c r="M1959" s="76"/>
      <c r="Q1959" s="84"/>
      <c r="R1959" s="76"/>
    </row>
    <row r="1960" spans="2:18" s="83" customFormat="1" ht="15" hidden="1" customHeight="1" outlineLevel="2">
      <c r="B1960" s="119" t="s">
        <v>272</v>
      </c>
      <c r="C1960" s="266" t="s">
        <v>2945</v>
      </c>
      <c r="D1960" s="124" t="s">
        <v>2944</v>
      </c>
      <c r="E1960" s="125"/>
      <c r="F1960" s="118" t="s">
        <v>2593</v>
      </c>
      <c r="G1960" s="126" t="str">
        <f t="shared" si="124"/>
        <v>AR-R22-1</v>
      </c>
      <c r="H1960" s="253">
        <v>1</v>
      </c>
      <c r="I1960" s="76">
        <v>1</v>
      </c>
      <c r="J1960" s="299" t="s">
        <v>286</v>
      </c>
      <c r="K1960" s="299"/>
      <c r="L1960" s="84"/>
      <c r="M1960" s="76"/>
      <c r="Q1960" s="84"/>
      <c r="R1960" s="76"/>
    </row>
    <row r="1961" spans="2:18" s="83" customFormat="1" ht="15" hidden="1" customHeight="1" outlineLevel="2">
      <c r="B1961" s="119" t="s">
        <v>272</v>
      </c>
      <c r="C1961" s="266" t="s">
        <v>2946</v>
      </c>
      <c r="D1961" s="124" t="s">
        <v>2947</v>
      </c>
      <c r="E1961" s="125"/>
      <c r="F1961" s="118" t="s">
        <v>2593</v>
      </c>
      <c r="G1961" s="126" t="str">
        <f t="shared" si="124"/>
        <v>AR-R22-1</v>
      </c>
      <c r="H1961" s="253">
        <v>1</v>
      </c>
      <c r="I1961" s="76">
        <v>1</v>
      </c>
      <c r="J1961" s="299" t="s">
        <v>286</v>
      </c>
      <c r="K1961" s="299"/>
      <c r="L1961" s="84"/>
      <c r="M1961" s="76"/>
      <c r="Q1961" s="84"/>
      <c r="R1961" s="76"/>
    </row>
    <row r="1962" spans="2:18" s="83" customFormat="1" ht="15" hidden="1" customHeight="1" outlineLevel="2">
      <c r="B1962" s="119" t="s">
        <v>272</v>
      </c>
      <c r="C1962" s="266" t="s">
        <v>2948</v>
      </c>
      <c r="D1962" s="124" t="s">
        <v>2947</v>
      </c>
      <c r="E1962" s="125"/>
      <c r="F1962" s="118" t="s">
        <v>2593</v>
      </c>
      <c r="G1962" s="126" t="str">
        <f t="shared" si="124"/>
        <v>AR-R22-1</v>
      </c>
      <c r="H1962" s="253">
        <v>1</v>
      </c>
      <c r="I1962" s="76">
        <v>1</v>
      </c>
      <c r="J1962" s="299" t="s">
        <v>286</v>
      </c>
      <c r="K1962" s="299"/>
      <c r="L1962" s="84"/>
      <c r="M1962" s="76"/>
      <c r="Q1962" s="84"/>
      <c r="R1962" s="76"/>
    </row>
    <row r="1963" spans="2:18" s="83" customFormat="1" ht="15" hidden="1" customHeight="1" outlineLevel="2">
      <c r="B1963" s="119" t="s">
        <v>272</v>
      </c>
      <c r="C1963" s="266" t="s">
        <v>2949</v>
      </c>
      <c r="D1963" s="124" t="s">
        <v>2950</v>
      </c>
      <c r="E1963" s="125"/>
      <c r="F1963" s="118" t="s">
        <v>2593</v>
      </c>
      <c r="G1963" s="126" t="str">
        <f t="shared" si="124"/>
        <v>AR-R22-1</v>
      </c>
      <c r="H1963" s="253">
        <v>1</v>
      </c>
      <c r="I1963" s="76">
        <v>1</v>
      </c>
      <c r="J1963" s="299" t="s">
        <v>286</v>
      </c>
      <c r="K1963" s="299"/>
      <c r="L1963" s="84"/>
      <c r="M1963" s="76"/>
      <c r="Q1963" s="84"/>
      <c r="R1963" s="76"/>
    </row>
    <row r="1964" spans="2:18" s="83" customFormat="1" ht="15" hidden="1" customHeight="1" outlineLevel="2">
      <c r="B1964" s="119" t="s">
        <v>272</v>
      </c>
      <c r="C1964" s="266" t="s">
        <v>2951</v>
      </c>
      <c r="D1964" s="124" t="s">
        <v>2950</v>
      </c>
      <c r="E1964" s="125"/>
      <c r="F1964" s="118" t="s">
        <v>2593</v>
      </c>
      <c r="G1964" s="126" t="str">
        <f t="shared" si="124"/>
        <v>AR-R22-1</v>
      </c>
      <c r="H1964" s="253">
        <v>1</v>
      </c>
      <c r="I1964" s="76">
        <v>1</v>
      </c>
      <c r="J1964" s="299" t="s">
        <v>286</v>
      </c>
      <c r="K1964" s="299"/>
      <c r="L1964" s="84"/>
      <c r="M1964" s="76"/>
      <c r="Q1964" s="84"/>
      <c r="R1964" s="76"/>
    </row>
    <row r="1965" spans="2:18" s="83" customFormat="1" ht="15" hidden="1" customHeight="1" outlineLevel="2">
      <c r="B1965" s="119" t="s">
        <v>272</v>
      </c>
      <c r="C1965" s="266" t="s">
        <v>2952</v>
      </c>
      <c r="D1965" s="124" t="s">
        <v>2953</v>
      </c>
      <c r="E1965" s="125"/>
      <c r="F1965" s="118" t="s">
        <v>2593</v>
      </c>
      <c r="G1965" s="126" t="str">
        <f t="shared" si="124"/>
        <v>AR-R22-1</v>
      </c>
      <c r="H1965" s="253">
        <v>1</v>
      </c>
      <c r="I1965" s="76">
        <v>1</v>
      </c>
      <c r="J1965" s="299" t="s">
        <v>286</v>
      </c>
      <c r="K1965" s="299"/>
      <c r="L1965" s="84"/>
      <c r="M1965" s="76"/>
      <c r="Q1965" s="84"/>
      <c r="R1965" s="76"/>
    </row>
    <row r="1966" spans="2:18" s="99" customFormat="1" ht="15" hidden="1" customHeight="1" outlineLevel="2">
      <c r="B1966" s="119" t="s">
        <v>272</v>
      </c>
      <c r="C1966" s="266" t="s">
        <v>2954</v>
      </c>
      <c r="D1966" s="124" t="s">
        <v>2953</v>
      </c>
      <c r="E1966" s="125"/>
      <c r="F1966" s="118" t="s">
        <v>2593</v>
      </c>
      <c r="G1966" s="126" t="str">
        <f t="shared" si="124"/>
        <v>AR-R22-1</v>
      </c>
      <c r="H1966" s="253">
        <v>1</v>
      </c>
      <c r="I1966" s="76">
        <v>1</v>
      </c>
      <c r="J1966" s="299" t="s">
        <v>286</v>
      </c>
      <c r="K1966" s="299"/>
      <c r="L1966" s="84"/>
      <c r="M1966" s="76"/>
      <c r="Q1966" s="84"/>
      <c r="R1966" s="76"/>
    </row>
    <row r="1967" spans="2:18" s="83" customFormat="1" ht="15" hidden="1" customHeight="1" outlineLevel="2">
      <c r="B1967" s="119" t="s">
        <v>272</v>
      </c>
      <c r="C1967" s="266" t="s">
        <v>2955</v>
      </c>
      <c r="D1967" s="124" t="s">
        <v>2956</v>
      </c>
      <c r="E1967" s="125"/>
      <c r="F1967" s="118" t="s">
        <v>2593</v>
      </c>
      <c r="G1967" s="126" t="str">
        <f t="shared" si="124"/>
        <v>AR-R22-1</v>
      </c>
      <c r="H1967" s="253">
        <v>1</v>
      </c>
      <c r="I1967" s="76">
        <v>1</v>
      </c>
      <c r="J1967" s="299" t="s">
        <v>286</v>
      </c>
      <c r="K1967" s="299"/>
      <c r="L1967" s="84"/>
      <c r="M1967" s="76"/>
      <c r="Q1967" s="84"/>
      <c r="R1967" s="76"/>
    </row>
    <row r="1968" spans="2:18" s="83" customFormat="1" ht="15" hidden="1" customHeight="1" outlineLevel="2">
      <c r="B1968" s="119" t="s">
        <v>272</v>
      </c>
      <c r="C1968" s="266" t="s">
        <v>2957</v>
      </c>
      <c r="D1968" s="124" t="s">
        <v>2956</v>
      </c>
      <c r="E1968" s="125"/>
      <c r="F1968" s="118" t="s">
        <v>2593</v>
      </c>
      <c r="G1968" s="126" t="str">
        <f t="shared" si="124"/>
        <v>AR-R22-1</v>
      </c>
      <c r="H1968" s="253">
        <v>1</v>
      </c>
      <c r="I1968" s="76">
        <v>1</v>
      </c>
      <c r="J1968" s="299" t="s">
        <v>286</v>
      </c>
      <c r="K1968" s="299"/>
      <c r="L1968" s="84"/>
      <c r="M1968" s="76"/>
      <c r="Q1968" s="84"/>
      <c r="R1968" s="76"/>
    </row>
    <row r="1969" spans="2:18" s="83" customFormat="1" ht="15" hidden="1" customHeight="1" outlineLevel="2">
      <c r="B1969" s="119" t="s">
        <v>272</v>
      </c>
      <c r="C1969" s="266" t="s">
        <v>2958</v>
      </c>
      <c r="D1969" s="124" t="s">
        <v>2959</v>
      </c>
      <c r="E1969" s="125"/>
      <c r="F1969" s="118" t="s">
        <v>2593</v>
      </c>
      <c r="G1969" s="126" t="str">
        <f t="shared" si="124"/>
        <v>AR-R22-1</v>
      </c>
      <c r="H1969" s="253">
        <v>1</v>
      </c>
      <c r="I1969" s="76">
        <v>1</v>
      </c>
      <c r="J1969" s="299" t="s">
        <v>286</v>
      </c>
      <c r="K1969" s="299"/>
      <c r="L1969" s="84"/>
      <c r="M1969" s="76"/>
      <c r="Q1969" s="84"/>
      <c r="R1969" s="76"/>
    </row>
    <row r="1970" spans="2:18" s="83" customFormat="1" ht="15" hidden="1" customHeight="1" outlineLevel="2">
      <c r="B1970" s="119" t="s">
        <v>272</v>
      </c>
      <c r="C1970" s="266" t="s">
        <v>2960</v>
      </c>
      <c r="D1970" s="124" t="s">
        <v>2959</v>
      </c>
      <c r="E1970" s="125"/>
      <c r="F1970" s="118" t="s">
        <v>2593</v>
      </c>
      <c r="G1970" s="126" t="str">
        <f t="shared" si="124"/>
        <v>AR-R22-1</v>
      </c>
      <c r="H1970" s="253">
        <v>1</v>
      </c>
      <c r="I1970" s="76">
        <v>1</v>
      </c>
      <c r="J1970" s="299" t="s">
        <v>286</v>
      </c>
      <c r="K1970" s="299"/>
      <c r="L1970" s="84"/>
      <c r="M1970" s="76"/>
      <c r="Q1970" s="84"/>
      <c r="R1970" s="76"/>
    </row>
    <row r="1971" spans="2:18" s="83" customFormat="1" ht="15" hidden="1" customHeight="1" outlineLevel="2">
      <c r="B1971" s="119" t="s">
        <v>272</v>
      </c>
      <c r="C1971" s="266" t="s">
        <v>2961</v>
      </c>
      <c r="D1971" s="124" t="s">
        <v>2962</v>
      </c>
      <c r="E1971" s="125"/>
      <c r="F1971" s="118" t="s">
        <v>2593</v>
      </c>
      <c r="G1971" s="126" t="str">
        <f t="shared" si="124"/>
        <v>AR-R22-1</v>
      </c>
      <c r="H1971" s="253">
        <v>1</v>
      </c>
      <c r="I1971" s="76">
        <v>1</v>
      </c>
      <c r="J1971" s="299" t="s">
        <v>286</v>
      </c>
      <c r="K1971" s="299"/>
      <c r="L1971" s="84"/>
      <c r="M1971" s="76"/>
      <c r="Q1971" s="84"/>
      <c r="R1971" s="76"/>
    </row>
    <row r="1972" spans="2:18" s="83" customFormat="1" ht="15" hidden="1" customHeight="1" outlineLevel="2">
      <c r="B1972" s="119" t="s">
        <v>272</v>
      </c>
      <c r="C1972" s="266" t="s">
        <v>2963</v>
      </c>
      <c r="D1972" s="124" t="s">
        <v>2962</v>
      </c>
      <c r="E1972" s="125"/>
      <c r="F1972" s="118" t="s">
        <v>2593</v>
      </c>
      <c r="G1972" s="126" t="str">
        <f t="shared" si="124"/>
        <v>AR-R22-1</v>
      </c>
      <c r="H1972" s="253">
        <v>1</v>
      </c>
      <c r="I1972" s="76">
        <v>1</v>
      </c>
      <c r="J1972" s="299" t="s">
        <v>286</v>
      </c>
      <c r="K1972" s="299"/>
      <c r="L1972" s="84"/>
      <c r="M1972" s="76"/>
      <c r="Q1972" s="84"/>
      <c r="R1972" s="76"/>
    </row>
    <row r="1973" spans="2:18" s="83" customFormat="1" ht="15" hidden="1" customHeight="1" outlineLevel="2">
      <c r="B1973" s="119" t="s">
        <v>272</v>
      </c>
      <c r="C1973" s="266" t="s">
        <v>2964</v>
      </c>
      <c r="D1973" s="124" t="s">
        <v>2965</v>
      </c>
      <c r="E1973" s="125"/>
      <c r="F1973" s="118" t="s">
        <v>2593</v>
      </c>
      <c r="G1973" s="126" t="str">
        <f t="shared" si="124"/>
        <v>AR-R22-1</v>
      </c>
      <c r="H1973" s="253">
        <v>1</v>
      </c>
      <c r="I1973" s="76">
        <v>1</v>
      </c>
      <c r="J1973" s="299" t="s">
        <v>286</v>
      </c>
      <c r="K1973" s="299"/>
      <c r="L1973" s="84"/>
      <c r="M1973" s="76"/>
      <c r="Q1973" s="84"/>
      <c r="R1973" s="76"/>
    </row>
    <row r="1974" spans="2:18" s="83" customFormat="1" ht="15" hidden="1" customHeight="1" outlineLevel="2">
      <c r="B1974" s="119" t="s">
        <v>272</v>
      </c>
      <c r="C1974" s="266" t="s">
        <v>2966</v>
      </c>
      <c r="D1974" s="124" t="s">
        <v>2965</v>
      </c>
      <c r="E1974" s="125"/>
      <c r="F1974" s="118" t="s">
        <v>2593</v>
      </c>
      <c r="G1974" s="126" t="str">
        <f t="shared" si="124"/>
        <v>AR-R22-1</v>
      </c>
      <c r="H1974" s="253">
        <v>1</v>
      </c>
      <c r="I1974" s="76">
        <v>1</v>
      </c>
      <c r="J1974" s="299" t="s">
        <v>286</v>
      </c>
      <c r="K1974" s="299"/>
      <c r="L1974" s="84"/>
      <c r="M1974" s="76"/>
      <c r="Q1974" s="84"/>
      <c r="R1974" s="76"/>
    </row>
    <row r="1975" spans="2:18" s="83" customFormat="1" ht="15" hidden="1" customHeight="1" outlineLevel="2">
      <c r="B1975" s="119" t="s">
        <v>272</v>
      </c>
      <c r="C1975" s="266" t="s">
        <v>2967</v>
      </c>
      <c r="D1975" s="124" t="s">
        <v>2968</v>
      </c>
      <c r="E1975" s="125"/>
      <c r="F1975" s="118" t="s">
        <v>2593</v>
      </c>
      <c r="G1975" s="126" t="str">
        <f t="shared" si="124"/>
        <v>AR-R22-1</v>
      </c>
      <c r="H1975" s="253">
        <v>1</v>
      </c>
      <c r="I1975" s="76">
        <v>1</v>
      </c>
      <c r="J1975" s="299" t="s">
        <v>286</v>
      </c>
      <c r="K1975" s="299"/>
      <c r="L1975" s="84"/>
      <c r="M1975" s="76"/>
      <c r="Q1975" s="84"/>
      <c r="R1975" s="76"/>
    </row>
    <row r="1976" spans="2:18" s="83" customFormat="1" ht="15" hidden="1" customHeight="1" outlineLevel="2">
      <c r="B1976" s="119" t="s">
        <v>272</v>
      </c>
      <c r="C1976" s="266" t="s">
        <v>2969</v>
      </c>
      <c r="D1976" s="124" t="s">
        <v>2968</v>
      </c>
      <c r="E1976" s="125"/>
      <c r="F1976" s="118" t="s">
        <v>2593</v>
      </c>
      <c r="G1976" s="126" t="str">
        <f t="shared" si="124"/>
        <v>AR-R22-1</v>
      </c>
      <c r="H1976" s="253">
        <v>1</v>
      </c>
      <c r="I1976" s="76">
        <v>1</v>
      </c>
      <c r="J1976" s="299" t="s">
        <v>286</v>
      </c>
      <c r="K1976" s="299"/>
      <c r="L1976" s="84"/>
      <c r="M1976" s="76"/>
      <c r="Q1976" s="84"/>
      <c r="R1976" s="76"/>
    </row>
    <row r="1977" spans="2:18" s="83" customFormat="1" ht="15" hidden="1" customHeight="1" outlineLevel="2">
      <c r="B1977" s="119" t="s">
        <v>272</v>
      </c>
      <c r="C1977" s="266" t="s">
        <v>2970</v>
      </c>
      <c r="D1977" s="124" t="s">
        <v>2971</v>
      </c>
      <c r="E1977" s="125"/>
      <c r="F1977" s="118" t="s">
        <v>2593</v>
      </c>
      <c r="G1977" s="126" t="str">
        <f t="shared" si="124"/>
        <v>AR-R22-1</v>
      </c>
      <c r="H1977" s="253">
        <v>1</v>
      </c>
      <c r="I1977" s="76">
        <v>1</v>
      </c>
      <c r="J1977" s="299" t="s">
        <v>286</v>
      </c>
      <c r="K1977" s="299"/>
      <c r="L1977" s="84"/>
      <c r="M1977" s="76"/>
      <c r="Q1977" s="84"/>
      <c r="R1977" s="76"/>
    </row>
    <row r="1978" spans="2:18" s="83" customFormat="1" ht="15" hidden="1" customHeight="1" outlineLevel="2">
      <c r="B1978" s="119" t="s">
        <v>272</v>
      </c>
      <c r="C1978" s="266" t="s">
        <v>2972</v>
      </c>
      <c r="D1978" s="124" t="s">
        <v>2971</v>
      </c>
      <c r="E1978" s="125"/>
      <c r="F1978" s="118" t="s">
        <v>2593</v>
      </c>
      <c r="G1978" s="126" t="str">
        <f t="shared" si="124"/>
        <v>AR-R22-1</v>
      </c>
      <c r="H1978" s="253">
        <v>1</v>
      </c>
      <c r="I1978" s="76">
        <v>1</v>
      </c>
      <c r="J1978" s="299" t="s">
        <v>286</v>
      </c>
      <c r="K1978" s="299"/>
      <c r="L1978" s="84"/>
      <c r="M1978" s="76"/>
      <c r="Q1978" s="84"/>
      <c r="R1978" s="76"/>
    </row>
    <row r="1979" spans="2:18" s="83" customFormat="1" ht="15" hidden="1" customHeight="1" outlineLevel="2">
      <c r="B1979" s="119" t="s">
        <v>272</v>
      </c>
      <c r="C1979" s="266" t="s">
        <v>2973</v>
      </c>
      <c r="D1979" s="124" t="s">
        <v>2974</v>
      </c>
      <c r="E1979" s="125"/>
      <c r="F1979" s="118" t="s">
        <v>2593</v>
      </c>
      <c r="G1979" s="126" t="str">
        <f t="shared" si="124"/>
        <v>AR-R22-1</v>
      </c>
      <c r="H1979" s="253">
        <v>1</v>
      </c>
      <c r="I1979" s="76">
        <v>1</v>
      </c>
      <c r="J1979" s="299" t="s">
        <v>286</v>
      </c>
      <c r="K1979" s="299"/>
      <c r="L1979" s="84"/>
      <c r="M1979" s="76"/>
      <c r="Q1979" s="84"/>
      <c r="R1979" s="76"/>
    </row>
    <row r="1980" spans="2:18" s="83" customFormat="1" ht="15" hidden="1" customHeight="1" outlineLevel="2">
      <c r="B1980" s="119" t="s">
        <v>272</v>
      </c>
      <c r="C1980" s="266" t="s">
        <v>2975</v>
      </c>
      <c r="D1980" s="124" t="s">
        <v>2974</v>
      </c>
      <c r="E1980" s="125"/>
      <c r="F1980" s="118" t="s">
        <v>2593</v>
      </c>
      <c r="G1980" s="126" t="str">
        <f t="shared" si="124"/>
        <v>AR-R22-1</v>
      </c>
      <c r="H1980" s="253">
        <v>1</v>
      </c>
      <c r="I1980" s="76">
        <v>1</v>
      </c>
      <c r="J1980" s="299" t="s">
        <v>286</v>
      </c>
      <c r="K1980" s="299"/>
      <c r="L1980" s="84"/>
      <c r="M1980" s="76"/>
      <c r="Q1980" s="84"/>
      <c r="R1980" s="76"/>
    </row>
    <row r="1981" spans="2:18" s="83" customFormat="1" ht="15" hidden="1" customHeight="1" outlineLevel="2">
      <c r="B1981" s="119" t="s">
        <v>272</v>
      </c>
      <c r="C1981" s="266" t="s">
        <v>2976</v>
      </c>
      <c r="D1981" s="124" t="s">
        <v>2977</v>
      </c>
      <c r="E1981" s="125"/>
      <c r="F1981" s="118" t="s">
        <v>2593</v>
      </c>
      <c r="G1981" s="126" t="str">
        <f t="shared" si="124"/>
        <v>AR-R22-1</v>
      </c>
      <c r="H1981" s="253">
        <v>1</v>
      </c>
      <c r="I1981" s="76">
        <v>1</v>
      </c>
      <c r="J1981" s="299" t="s">
        <v>286</v>
      </c>
      <c r="K1981" s="299"/>
      <c r="L1981" s="84"/>
      <c r="M1981" s="76"/>
      <c r="Q1981" s="84"/>
      <c r="R1981" s="76"/>
    </row>
    <row r="1982" spans="2:18" s="83" customFormat="1" ht="15" hidden="1" customHeight="1" outlineLevel="2">
      <c r="B1982" s="119" t="s">
        <v>272</v>
      </c>
      <c r="C1982" s="266" t="s">
        <v>2978</v>
      </c>
      <c r="D1982" s="124" t="s">
        <v>2977</v>
      </c>
      <c r="E1982" s="125"/>
      <c r="F1982" s="118" t="s">
        <v>2593</v>
      </c>
      <c r="G1982" s="126" t="str">
        <f t="shared" si="124"/>
        <v>AR-R22-1</v>
      </c>
      <c r="H1982" s="253">
        <v>1</v>
      </c>
      <c r="I1982" s="76">
        <v>1</v>
      </c>
      <c r="J1982" s="299" t="s">
        <v>286</v>
      </c>
      <c r="K1982" s="299"/>
      <c r="L1982" s="84"/>
      <c r="M1982" s="76"/>
      <c r="Q1982" s="84"/>
      <c r="R1982" s="76"/>
    </row>
    <row r="1983" spans="2:18" s="83" customFormat="1" ht="15" hidden="1" customHeight="1" outlineLevel="2">
      <c r="B1983" s="119" t="s">
        <v>272</v>
      </c>
      <c r="C1983" s="266" t="s">
        <v>2979</v>
      </c>
      <c r="D1983" s="124" t="s">
        <v>2980</v>
      </c>
      <c r="E1983" s="125"/>
      <c r="F1983" s="118" t="s">
        <v>2593</v>
      </c>
      <c r="G1983" s="126" t="str">
        <f t="shared" si="124"/>
        <v>AR-R22-1</v>
      </c>
      <c r="H1983" s="253">
        <v>1</v>
      </c>
      <c r="I1983" s="76">
        <v>1</v>
      </c>
      <c r="J1983" s="299" t="s">
        <v>286</v>
      </c>
      <c r="K1983" s="299"/>
      <c r="L1983" s="84"/>
      <c r="M1983" s="76"/>
      <c r="Q1983" s="84"/>
      <c r="R1983" s="76"/>
    </row>
    <row r="1984" spans="2:18" s="83" customFormat="1" ht="15" hidden="1" customHeight="1" outlineLevel="2">
      <c r="B1984" s="119" t="s">
        <v>272</v>
      </c>
      <c r="C1984" s="266" t="s">
        <v>2981</v>
      </c>
      <c r="D1984" s="124" t="s">
        <v>2980</v>
      </c>
      <c r="E1984" s="125"/>
      <c r="F1984" s="118" t="s">
        <v>2593</v>
      </c>
      <c r="G1984" s="126" t="str">
        <f t="shared" si="124"/>
        <v>AR-R22-1</v>
      </c>
      <c r="H1984" s="253">
        <v>1</v>
      </c>
      <c r="I1984" s="76">
        <v>1</v>
      </c>
      <c r="J1984" s="299" t="s">
        <v>286</v>
      </c>
      <c r="K1984" s="299"/>
      <c r="L1984" s="84"/>
      <c r="M1984" s="76"/>
      <c r="Q1984" s="84"/>
      <c r="R1984" s="76"/>
    </row>
    <row r="1985" spans="2:18" s="83" customFormat="1" ht="15" hidden="1" customHeight="1" outlineLevel="2">
      <c r="B1985" s="119" t="s">
        <v>272</v>
      </c>
      <c r="C1985" s="266" t="s">
        <v>2982</v>
      </c>
      <c r="D1985" s="124" t="s">
        <v>2983</v>
      </c>
      <c r="E1985" s="125"/>
      <c r="F1985" s="118" t="s">
        <v>2593</v>
      </c>
      <c r="G1985" s="126" t="str">
        <f t="shared" si="124"/>
        <v>AR-R22-1</v>
      </c>
      <c r="H1985" s="253">
        <v>1</v>
      </c>
      <c r="I1985" s="76">
        <v>1</v>
      </c>
      <c r="J1985" s="299" t="s">
        <v>286</v>
      </c>
      <c r="K1985" s="299"/>
      <c r="L1985" s="84"/>
      <c r="M1985" s="76"/>
      <c r="Q1985" s="84"/>
      <c r="R1985" s="76"/>
    </row>
    <row r="1986" spans="2:18" s="83" customFormat="1" ht="15" hidden="1" customHeight="1" outlineLevel="2">
      <c r="B1986" s="119" t="s">
        <v>272</v>
      </c>
      <c r="C1986" s="266" t="s">
        <v>2984</v>
      </c>
      <c r="D1986" s="124" t="s">
        <v>2983</v>
      </c>
      <c r="E1986" s="125"/>
      <c r="F1986" s="118" t="s">
        <v>2593</v>
      </c>
      <c r="G1986" s="126" t="str">
        <f t="shared" si="124"/>
        <v>AR-R22-1</v>
      </c>
      <c r="H1986" s="253">
        <v>1</v>
      </c>
      <c r="I1986" s="76">
        <v>1</v>
      </c>
      <c r="J1986" s="299" t="s">
        <v>286</v>
      </c>
      <c r="K1986" s="299"/>
      <c r="L1986" s="84"/>
      <c r="M1986" s="76"/>
      <c r="Q1986" s="84"/>
      <c r="R1986" s="76"/>
    </row>
    <row r="1987" spans="2:18" s="83" customFormat="1" ht="15" hidden="1" customHeight="1" outlineLevel="2">
      <c r="B1987" s="119" t="s">
        <v>272</v>
      </c>
      <c r="C1987" s="266" t="s">
        <v>2985</v>
      </c>
      <c r="D1987" s="124" t="s">
        <v>2986</v>
      </c>
      <c r="E1987" s="125"/>
      <c r="F1987" s="118" t="s">
        <v>2593</v>
      </c>
      <c r="G1987" s="126" t="str">
        <f t="shared" si="124"/>
        <v>AR-R22-1</v>
      </c>
      <c r="H1987" s="253">
        <v>1</v>
      </c>
      <c r="I1987" s="76">
        <v>1</v>
      </c>
      <c r="J1987" s="299" t="s">
        <v>286</v>
      </c>
      <c r="K1987" s="299"/>
      <c r="L1987" s="84"/>
      <c r="M1987" s="76"/>
      <c r="Q1987" s="84"/>
      <c r="R1987" s="76"/>
    </row>
    <row r="1988" spans="2:18" s="83" customFormat="1" ht="15" hidden="1" customHeight="1" outlineLevel="2">
      <c r="B1988" s="119" t="s">
        <v>272</v>
      </c>
      <c r="C1988" s="266" t="s">
        <v>2987</v>
      </c>
      <c r="D1988" s="124" t="s">
        <v>2986</v>
      </c>
      <c r="E1988" s="125"/>
      <c r="F1988" s="118" t="s">
        <v>2593</v>
      </c>
      <c r="G1988" s="126" t="str">
        <f t="shared" si="124"/>
        <v>AR-R22-1</v>
      </c>
      <c r="H1988" s="253">
        <v>1</v>
      </c>
      <c r="I1988" s="76">
        <v>1</v>
      </c>
      <c r="J1988" s="299" t="s">
        <v>286</v>
      </c>
      <c r="K1988" s="299"/>
      <c r="L1988" s="84"/>
      <c r="M1988" s="76"/>
      <c r="Q1988" s="84"/>
      <c r="R1988" s="76"/>
    </row>
    <row r="1989" spans="2:18" s="83" customFormat="1" ht="15" hidden="1" customHeight="1" outlineLevel="2">
      <c r="B1989" s="119" t="s">
        <v>272</v>
      </c>
      <c r="C1989" s="266" t="s">
        <v>2988</v>
      </c>
      <c r="D1989" s="124" t="s">
        <v>2989</v>
      </c>
      <c r="E1989" s="125"/>
      <c r="F1989" s="118" t="s">
        <v>2593</v>
      </c>
      <c r="G1989" s="126" t="str">
        <f t="shared" si="124"/>
        <v>AR-R22-1</v>
      </c>
      <c r="H1989" s="253">
        <v>1</v>
      </c>
      <c r="I1989" s="76">
        <v>1</v>
      </c>
      <c r="J1989" s="299" t="s">
        <v>286</v>
      </c>
      <c r="K1989" s="299"/>
      <c r="L1989" s="84"/>
      <c r="M1989" s="76"/>
      <c r="Q1989" s="84"/>
      <c r="R1989" s="76"/>
    </row>
    <row r="1990" spans="2:18" s="83" customFormat="1" ht="15" hidden="1" customHeight="1" outlineLevel="2">
      <c r="B1990" s="119" t="s">
        <v>272</v>
      </c>
      <c r="C1990" s="266" t="s">
        <v>2990</v>
      </c>
      <c r="D1990" s="124" t="s">
        <v>2989</v>
      </c>
      <c r="E1990" s="125"/>
      <c r="F1990" s="118" t="s">
        <v>2593</v>
      </c>
      <c r="G1990" s="126" t="str">
        <f t="shared" ref="G1990:G1995" si="125">CONCATENATE("AR-",F1990,"-",H1990)</f>
        <v>AR-R22-1</v>
      </c>
      <c r="H1990" s="253">
        <v>1</v>
      </c>
      <c r="I1990" s="76">
        <v>1</v>
      </c>
      <c r="J1990" s="299" t="s">
        <v>286</v>
      </c>
      <c r="K1990" s="299"/>
      <c r="L1990" s="84"/>
      <c r="M1990" s="76"/>
      <c r="Q1990" s="84"/>
      <c r="R1990" s="76"/>
    </row>
    <row r="1991" spans="2:18" s="83" customFormat="1" ht="15" hidden="1" customHeight="1" outlineLevel="2">
      <c r="B1991" s="119" t="s">
        <v>272</v>
      </c>
      <c r="C1991" s="266" t="s">
        <v>2991</v>
      </c>
      <c r="D1991" s="124" t="s">
        <v>2992</v>
      </c>
      <c r="E1991" s="125"/>
      <c r="F1991" s="118" t="s">
        <v>2593</v>
      </c>
      <c r="G1991" s="126" t="str">
        <f t="shared" si="125"/>
        <v>AR-R22-1</v>
      </c>
      <c r="H1991" s="253">
        <v>1</v>
      </c>
      <c r="I1991" s="76">
        <v>1</v>
      </c>
      <c r="J1991" s="299" t="s">
        <v>286</v>
      </c>
      <c r="K1991" s="299"/>
      <c r="L1991" s="84"/>
      <c r="M1991" s="76"/>
      <c r="Q1991" s="84"/>
      <c r="R1991" s="76"/>
    </row>
    <row r="1992" spans="2:18" s="83" customFormat="1" ht="15" hidden="1" customHeight="1" outlineLevel="2">
      <c r="B1992" s="119" t="s">
        <v>272</v>
      </c>
      <c r="C1992" s="266" t="s">
        <v>2993</v>
      </c>
      <c r="D1992" s="124" t="s">
        <v>2992</v>
      </c>
      <c r="E1992" s="125"/>
      <c r="F1992" s="118" t="s">
        <v>2593</v>
      </c>
      <c r="G1992" s="126" t="str">
        <f t="shared" si="125"/>
        <v>AR-R22-1</v>
      </c>
      <c r="H1992" s="253">
        <v>1</v>
      </c>
      <c r="I1992" s="76">
        <v>1</v>
      </c>
      <c r="J1992" s="299" t="s">
        <v>286</v>
      </c>
      <c r="K1992" s="299"/>
      <c r="L1992" s="84"/>
      <c r="M1992" s="76"/>
      <c r="Q1992" s="84"/>
      <c r="R1992" s="76"/>
    </row>
    <row r="1993" spans="2:18" s="83" customFormat="1" ht="15" hidden="1" customHeight="1" outlineLevel="2">
      <c r="B1993" s="119" t="s">
        <v>272</v>
      </c>
      <c r="C1993" s="266" t="s">
        <v>2994</v>
      </c>
      <c r="D1993" s="124" t="s">
        <v>2995</v>
      </c>
      <c r="E1993" s="125"/>
      <c r="F1993" s="118" t="s">
        <v>2593</v>
      </c>
      <c r="G1993" s="126" t="str">
        <f t="shared" si="125"/>
        <v>AR-R22-1</v>
      </c>
      <c r="H1993" s="253">
        <v>1</v>
      </c>
      <c r="I1993" s="76">
        <v>1</v>
      </c>
      <c r="J1993" s="299" t="s">
        <v>286</v>
      </c>
      <c r="K1993" s="299"/>
      <c r="L1993" s="84"/>
      <c r="M1993" s="76"/>
      <c r="Q1993" s="84"/>
      <c r="R1993" s="76"/>
    </row>
    <row r="1994" spans="2:18" s="83" customFormat="1" ht="15" hidden="1" customHeight="1" outlineLevel="2">
      <c r="B1994" s="119" t="s">
        <v>272</v>
      </c>
      <c r="C1994" s="266" t="s">
        <v>2996</v>
      </c>
      <c r="D1994" s="124" t="s">
        <v>2995</v>
      </c>
      <c r="E1994" s="125"/>
      <c r="F1994" s="118" t="s">
        <v>2593</v>
      </c>
      <c r="G1994" s="126" t="str">
        <f t="shared" si="125"/>
        <v>AR-R22-1</v>
      </c>
      <c r="H1994" s="253">
        <v>1</v>
      </c>
      <c r="I1994" s="76">
        <v>1</v>
      </c>
      <c r="J1994" s="299" t="s">
        <v>286</v>
      </c>
      <c r="K1994" s="299"/>
      <c r="L1994" s="84"/>
      <c r="M1994" s="76"/>
      <c r="Q1994" s="84"/>
      <c r="R1994" s="76"/>
    </row>
    <row r="1995" spans="2:18" s="83" customFormat="1" ht="15" hidden="1" customHeight="1" outlineLevel="2">
      <c r="B1995" s="119" t="s">
        <v>272</v>
      </c>
      <c r="C1995" s="266" t="s">
        <v>2997</v>
      </c>
      <c r="D1995" s="124" t="s">
        <v>2998</v>
      </c>
      <c r="E1995" s="125"/>
      <c r="F1995" s="118" t="s">
        <v>2593</v>
      </c>
      <c r="G1995" s="126" t="str">
        <f t="shared" si="125"/>
        <v>AR-R22-1</v>
      </c>
      <c r="H1995" s="253">
        <v>1</v>
      </c>
      <c r="I1995" s="76">
        <v>1</v>
      </c>
      <c r="J1995" s="299" t="s">
        <v>286</v>
      </c>
      <c r="K1995" s="299"/>
      <c r="L1995" s="84"/>
      <c r="M1995" s="76"/>
      <c r="Q1995" s="84"/>
      <c r="R1995" s="76"/>
    </row>
    <row r="1996" spans="2:18" s="83" customFormat="1" ht="15" hidden="1" customHeight="1" outlineLevel="2">
      <c r="B1996" s="119" t="s">
        <v>272</v>
      </c>
      <c r="C1996" s="266" t="s">
        <v>2999</v>
      </c>
      <c r="D1996" s="124" t="s">
        <v>2998</v>
      </c>
      <c r="E1996" s="125"/>
      <c r="F1996" s="118" t="s">
        <v>2593</v>
      </c>
      <c r="G1996" s="126" t="str">
        <f>CONCATENATE("AR-",F1996,"-",H1996)</f>
        <v>AR-R22-1</v>
      </c>
      <c r="H1996" s="253">
        <v>1</v>
      </c>
      <c r="I1996" s="76">
        <v>1</v>
      </c>
      <c r="J1996" s="299" t="s">
        <v>286</v>
      </c>
      <c r="K1996" s="299"/>
      <c r="L1996" s="84"/>
      <c r="M1996" s="76"/>
      <c r="Q1996" s="84"/>
      <c r="R1996" s="76"/>
    </row>
    <row r="1997" spans="2:18" s="83" customFormat="1" ht="15" hidden="1" customHeight="1" outlineLevel="2">
      <c r="B1997" s="119" t="s">
        <v>272</v>
      </c>
      <c r="C1997" s="266" t="s">
        <v>3000</v>
      </c>
      <c r="D1997" s="124" t="s">
        <v>3001</v>
      </c>
      <c r="E1997" s="125"/>
      <c r="F1997" s="118" t="s">
        <v>2593</v>
      </c>
      <c r="G1997" s="126" t="str">
        <f>CONCATENATE("AR-",F1997,"-",H1997)</f>
        <v>AR-R22-1</v>
      </c>
      <c r="H1997" s="253">
        <v>1</v>
      </c>
      <c r="I1997" s="76">
        <v>1</v>
      </c>
      <c r="J1997" s="299" t="s">
        <v>286</v>
      </c>
      <c r="K1997" s="299"/>
      <c r="L1997" s="84"/>
      <c r="M1997" s="76"/>
      <c r="Q1997" s="84"/>
      <c r="R1997" s="76"/>
    </row>
    <row r="1998" spans="2:18" s="83" customFormat="1" ht="15" hidden="1" customHeight="1" outlineLevel="2">
      <c r="B1998" s="119" t="s">
        <v>272</v>
      </c>
      <c r="C1998" s="266" t="s">
        <v>3002</v>
      </c>
      <c r="D1998" s="124" t="s">
        <v>3001</v>
      </c>
      <c r="E1998" s="125"/>
      <c r="F1998" s="118" t="s">
        <v>2593</v>
      </c>
      <c r="G1998" s="126" t="str">
        <f>CONCATENATE("AR-",F1998,"-",H1998)</f>
        <v>AR-R22-1</v>
      </c>
      <c r="H1998" s="253">
        <v>1</v>
      </c>
      <c r="I1998" s="76">
        <v>1</v>
      </c>
      <c r="J1998" s="299" t="s">
        <v>286</v>
      </c>
      <c r="K1998" s="299"/>
      <c r="L1998" s="84"/>
      <c r="M1998" s="76"/>
      <c r="Q1998" s="84"/>
      <c r="R1998" s="76"/>
    </row>
    <row r="1999" spans="2:18" s="83" customFormat="1" ht="15" hidden="1" customHeight="1" outlineLevel="2">
      <c r="B1999" s="119" t="s">
        <v>272</v>
      </c>
      <c r="C1999" s="266" t="s">
        <v>3003</v>
      </c>
      <c r="D1999" s="124" t="s">
        <v>3004</v>
      </c>
      <c r="E1999" s="125"/>
      <c r="F1999" s="118" t="s">
        <v>2593</v>
      </c>
      <c r="G1999" s="126" t="str">
        <f t="shared" ref="G1999:G2012" si="126">CONCATENATE("AR-",F1999,"-",H1999)</f>
        <v>AR-R22-1</v>
      </c>
      <c r="H1999" s="253">
        <v>1</v>
      </c>
      <c r="I1999" s="76">
        <v>1</v>
      </c>
      <c r="J1999" s="299" t="s">
        <v>286</v>
      </c>
      <c r="K1999" s="299"/>
      <c r="L1999" s="84"/>
      <c r="M1999" s="76"/>
      <c r="Q1999" s="84"/>
      <c r="R1999" s="76"/>
    </row>
    <row r="2000" spans="2:18" s="83" customFormat="1" ht="15" hidden="1" customHeight="1" outlineLevel="2">
      <c r="B2000" s="119" t="s">
        <v>272</v>
      </c>
      <c r="C2000" s="266" t="s">
        <v>3005</v>
      </c>
      <c r="D2000" s="124" t="s">
        <v>3004</v>
      </c>
      <c r="E2000" s="125"/>
      <c r="F2000" s="118" t="s">
        <v>2593</v>
      </c>
      <c r="G2000" s="126" t="str">
        <f t="shared" si="126"/>
        <v>AR-R22-1</v>
      </c>
      <c r="H2000" s="253">
        <v>1</v>
      </c>
      <c r="I2000" s="76">
        <v>1</v>
      </c>
      <c r="J2000" s="299" t="s">
        <v>286</v>
      </c>
      <c r="K2000" s="299"/>
      <c r="L2000" s="84"/>
      <c r="M2000" s="76"/>
      <c r="Q2000" s="84"/>
      <c r="R2000" s="76"/>
    </row>
    <row r="2001" spans="2:18" s="83" customFormat="1" ht="15" hidden="1" customHeight="1" outlineLevel="2">
      <c r="B2001" s="119" t="s">
        <v>272</v>
      </c>
      <c r="C2001" s="266" t="s">
        <v>3006</v>
      </c>
      <c r="D2001" s="124" t="s">
        <v>3007</v>
      </c>
      <c r="E2001" s="125"/>
      <c r="F2001" s="118" t="s">
        <v>2593</v>
      </c>
      <c r="G2001" s="126" t="str">
        <f t="shared" si="126"/>
        <v>AR-R22-1</v>
      </c>
      <c r="H2001" s="253">
        <v>1</v>
      </c>
      <c r="I2001" s="76">
        <v>1</v>
      </c>
      <c r="J2001" s="299" t="s">
        <v>286</v>
      </c>
      <c r="K2001" s="299"/>
      <c r="L2001" s="84"/>
      <c r="M2001" s="76"/>
      <c r="Q2001" s="84"/>
      <c r="R2001" s="76"/>
    </row>
    <row r="2002" spans="2:18" s="83" customFormat="1" ht="15" hidden="1" customHeight="1" outlineLevel="2">
      <c r="B2002" s="119" t="s">
        <v>272</v>
      </c>
      <c r="C2002" s="266" t="s">
        <v>3008</v>
      </c>
      <c r="D2002" s="124" t="s">
        <v>3007</v>
      </c>
      <c r="E2002" s="125"/>
      <c r="F2002" s="118" t="s">
        <v>2593</v>
      </c>
      <c r="G2002" s="126" t="str">
        <f t="shared" si="126"/>
        <v>AR-R22-1</v>
      </c>
      <c r="H2002" s="253">
        <v>1</v>
      </c>
      <c r="I2002" s="76">
        <v>1</v>
      </c>
      <c r="J2002" s="299" t="s">
        <v>286</v>
      </c>
      <c r="K2002" s="299"/>
      <c r="L2002" s="84"/>
      <c r="M2002" s="76"/>
      <c r="Q2002" s="84"/>
      <c r="R2002" s="76"/>
    </row>
    <row r="2003" spans="2:18" s="83" customFormat="1" ht="15" hidden="1" customHeight="1" outlineLevel="2">
      <c r="B2003" s="119" t="s">
        <v>272</v>
      </c>
      <c r="C2003" s="266" t="s">
        <v>3009</v>
      </c>
      <c r="D2003" s="124" t="s">
        <v>3010</v>
      </c>
      <c r="E2003" s="125"/>
      <c r="F2003" s="118" t="s">
        <v>2593</v>
      </c>
      <c r="G2003" s="126" t="str">
        <f t="shared" si="126"/>
        <v>AR-R22-1</v>
      </c>
      <c r="H2003" s="253">
        <v>1</v>
      </c>
      <c r="I2003" s="76">
        <v>1</v>
      </c>
      <c r="J2003" s="299" t="s">
        <v>286</v>
      </c>
      <c r="K2003" s="299"/>
      <c r="L2003" s="84"/>
      <c r="M2003" s="76"/>
      <c r="Q2003" s="84"/>
      <c r="R2003" s="76"/>
    </row>
    <row r="2004" spans="2:18" s="83" customFormat="1" ht="15" hidden="1" customHeight="1" outlineLevel="2">
      <c r="B2004" s="119" t="s">
        <v>272</v>
      </c>
      <c r="C2004" s="266" t="s">
        <v>3011</v>
      </c>
      <c r="D2004" s="124" t="s">
        <v>3010</v>
      </c>
      <c r="E2004" s="125"/>
      <c r="F2004" s="118" t="s">
        <v>2593</v>
      </c>
      <c r="G2004" s="126" t="str">
        <f t="shared" si="126"/>
        <v>AR-R22-1</v>
      </c>
      <c r="H2004" s="253">
        <v>1</v>
      </c>
      <c r="I2004" s="76">
        <v>1</v>
      </c>
      <c r="J2004" s="299" t="s">
        <v>286</v>
      </c>
      <c r="K2004" s="299"/>
      <c r="L2004" s="84"/>
      <c r="M2004" s="76"/>
      <c r="Q2004" s="84"/>
      <c r="R2004" s="76"/>
    </row>
    <row r="2005" spans="2:18" s="83" customFormat="1" ht="15" hidden="1" customHeight="1" outlineLevel="2">
      <c r="B2005" s="119" t="s">
        <v>272</v>
      </c>
      <c r="C2005" s="266" t="s">
        <v>3012</v>
      </c>
      <c r="D2005" s="124" t="s">
        <v>3013</v>
      </c>
      <c r="E2005" s="125"/>
      <c r="F2005" s="118" t="s">
        <v>2593</v>
      </c>
      <c r="G2005" s="126" t="str">
        <f t="shared" si="126"/>
        <v>AR-R22-1</v>
      </c>
      <c r="H2005" s="253">
        <v>1</v>
      </c>
      <c r="I2005" s="76">
        <v>1</v>
      </c>
      <c r="J2005" s="299" t="s">
        <v>286</v>
      </c>
      <c r="K2005" s="299"/>
      <c r="L2005" s="84"/>
      <c r="M2005" s="76"/>
      <c r="Q2005" s="84"/>
      <c r="R2005" s="76"/>
    </row>
    <row r="2006" spans="2:18" s="83" customFormat="1" ht="15" hidden="1" customHeight="1" outlineLevel="2">
      <c r="B2006" s="119" t="s">
        <v>272</v>
      </c>
      <c r="C2006" s="266" t="s">
        <v>3014</v>
      </c>
      <c r="D2006" s="124" t="s">
        <v>3013</v>
      </c>
      <c r="E2006" s="125"/>
      <c r="F2006" s="118" t="s">
        <v>2593</v>
      </c>
      <c r="G2006" s="126" t="str">
        <f t="shared" si="126"/>
        <v>AR-R22-1</v>
      </c>
      <c r="H2006" s="253">
        <v>1</v>
      </c>
      <c r="I2006" s="76">
        <v>1</v>
      </c>
      <c r="J2006" s="299" t="s">
        <v>286</v>
      </c>
      <c r="K2006" s="299"/>
      <c r="L2006" s="84"/>
      <c r="M2006" s="76"/>
      <c r="Q2006" s="84"/>
      <c r="R2006" s="76"/>
    </row>
    <row r="2007" spans="2:18" s="83" customFormat="1" ht="15" hidden="1" customHeight="1" outlineLevel="2">
      <c r="B2007" s="119" t="s">
        <v>272</v>
      </c>
      <c r="C2007" s="266" t="s">
        <v>3015</v>
      </c>
      <c r="D2007" s="124" t="s">
        <v>3016</v>
      </c>
      <c r="E2007" s="125"/>
      <c r="F2007" s="118" t="s">
        <v>2593</v>
      </c>
      <c r="G2007" s="126" t="str">
        <f t="shared" si="126"/>
        <v>AR-R22-1</v>
      </c>
      <c r="H2007" s="253">
        <v>1</v>
      </c>
      <c r="I2007" s="76">
        <v>1</v>
      </c>
      <c r="J2007" s="299" t="s">
        <v>286</v>
      </c>
      <c r="K2007" s="299"/>
      <c r="L2007" s="84"/>
      <c r="M2007" s="76"/>
      <c r="Q2007" s="84"/>
      <c r="R2007" s="76"/>
    </row>
    <row r="2008" spans="2:18" s="83" customFormat="1" ht="15" hidden="1" customHeight="1" outlineLevel="2">
      <c r="B2008" s="119" t="s">
        <v>272</v>
      </c>
      <c r="C2008" s="266" t="s">
        <v>3017</v>
      </c>
      <c r="D2008" s="124" t="s">
        <v>3016</v>
      </c>
      <c r="E2008" s="125"/>
      <c r="F2008" s="118" t="s">
        <v>2593</v>
      </c>
      <c r="G2008" s="126" t="str">
        <f t="shared" si="126"/>
        <v>AR-R22-1</v>
      </c>
      <c r="H2008" s="253">
        <v>1</v>
      </c>
      <c r="I2008" s="76">
        <v>1</v>
      </c>
      <c r="J2008" s="299" t="s">
        <v>286</v>
      </c>
      <c r="K2008" s="299"/>
      <c r="L2008" s="84"/>
      <c r="M2008" s="76"/>
      <c r="Q2008" s="84"/>
      <c r="R2008" s="76"/>
    </row>
    <row r="2009" spans="2:18" s="83" customFormat="1" ht="15" hidden="1" customHeight="1" outlineLevel="2">
      <c r="B2009" s="119" t="s">
        <v>272</v>
      </c>
      <c r="C2009" s="266" t="s">
        <v>3018</v>
      </c>
      <c r="D2009" s="124" t="s">
        <v>3019</v>
      </c>
      <c r="E2009" s="125"/>
      <c r="F2009" s="118" t="s">
        <v>2593</v>
      </c>
      <c r="G2009" s="126" t="str">
        <f t="shared" si="126"/>
        <v>AR-R22-1</v>
      </c>
      <c r="H2009" s="253">
        <v>1</v>
      </c>
      <c r="I2009" s="76">
        <v>1</v>
      </c>
      <c r="J2009" s="299" t="s">
        <v>286</v>
      </c>
      <c r="K2009" s="299"/>
      <c r="L2009" s="84"/>
      <c r="M2009" s="76"/>
      <c r="Q2009" s="84"/>
      <c r="R2009" s="76"/>
    </row>
    <row r="2010" spans="2:18" s="83" customFormat="1" ht="15" hidden="1" customHeight="1" outlineLevel="2">
      <c r="B2010" s="119" t="s">
        <v>272</v>
      </c>
      <c r="C2010" s="266" t="s">
        <v>3020</v>
      </c>
      <c r="D2010" s="124" t="s">
        <v>3019</v>
      </c>
      <c r="E2010" s="125"/>
      <c r="F2010" s="118" t="s">
        <v>2593</v>
      </c>
      <c r="G2010" s="126" t="str">
        <f t="shared" si="126"/>
        <v>AR-R22-1</v>
      </c>
      <c r="H2010" s="253">
        <v>1</v>
      </c>
      <c r="I2010" s="76">
        <v>1</v>
      </c>
      <c r="J2010" s="299" t="s">
        <v>286</v>
      </c>
      <c r="K2010" s="299"/>
      <c r="L2010" s="84"/>
      <c r="M2010" s="76"/>
      <c r="Q2010" s="84"/>
      <c r="R2010" s="76"/>
    </row>
    <row r="2011" spans="2:18" s="83" customFormat="1" ht="15" hidden="1" customHeight="1" outlineLevel="2">
      <c r="B2011" s="119" t="s">
        <v>272</v>
      </c>
      <c r="C2011" s="266" t="s">
        <v>3021</v>
      </c>
      <c r="D2011" s="124" t="s">
        <v>3022</v>
      </c>
      <c r="E2011" s="125"/>
      <c r="F2011" s="118" t="s">
        <v>2593</v>
      </c>
      <c r="G2011" s="126" t="str">
        <f t="shared" si="126"/>
        <v>AR-R22-1</v>
      </c>
      <c r="H2011" s="253">
        <v>1</v>
      </c>
      <c r="I2011" s="76">
        <v>1</v>
      </c>
      <c r="J2011" s="299" t="s">
        <v>286</v>
      </c>
      <c r="K2011" s="299"/>
      <c r="L2011" s="84"/>
      <c r="M2011" s="76"/>
      <c r="Q2011" s="84"/>
      <c r="R2011" s="76"/>
    </row>
    <row r="2012" spans="2:18" s="83" customFormat="1" ht="15" hidden="1" customHeight="1" outlineLevel="2">
      <c r="B2012" s="119" t="s">
        <v>272</v>
      </c>
      <c r="C2012" s="266" t="s">
        <v>3023</v>
      </c>
      <c r="D2012" s="124" t="s">
        <v>3022</v>
      </c>
      <c r="E2012" s="125"/>
      <c r="F2012" s="118" t="s">
        <v>2593</v>
      </c>
      <c r="G2012" s="126" t="str">
        <f t="shared" si="126"/>
        <v>AR-R22-1</v>
      </c>
      <c r="H2012" s="253">
        <v>1</v>
      </c>
      <c r="I2012" s="76">
        <v>1</v>
      </c>
      <c r="J2012" s="299" t="s">
        <v>286</v>
      </c>
      <c r="K2012" s="299"/>
      <c r="L2012" s="84"/>
      <c r="M2012" s="76"/>
      <c r="Q2012" s="84"/>
      <c r="R2012" s="76"/>
    </row>
    <row r="2013" spans="2:18" s="83" customFormat="1" ht="15" hidden="1" customHeight="1" outlineLevel="2">
      <c r="B2013" s="119" t="s">
        <v>272</v>
      </c>
      <c r="C2013" s="266" t="s">
        <v>3024</v>
      </c>
      <c r="D2013" s="124" t="s">
        <v>3025</v>
      </c>
      <c r="E2013" s="125"/>
      <c r="F2013" s="118" t="s">
        <v>2593</v>
      </c>
      <c r="G2013" s="126" t="str">
        <f t="shared" ref="G2013:G2018" si="127">CONCATENATE("AR-",F2013,"-",H2013)</f>
        <v>AR-R22-1</v>
      </c>
      <c r="H2013" s="253">
        <v>1</v>
      </c>
      <c r="I2013" s="76">
        <v>1</v>
      </c>
      <c r="J2013" s="299" t="s">
        <v>286</v>
      </c>
      <c r="K2013" s="299"/>
      <c r="L2013" s="84"/>
      <c r="M2013" s="76"/>
      <c r="Q2013" s="84"/>
      <c r="R2013" s="76"/>
    </row>
    <row r="2014" spans="2:18" s="83" customFormat="1" ht="15" hidden="1" customHeight="1" outlineLevel="2">
      <c r="B2014" s="119" t="s">
        <v>272</v>
      </c>
      <c r="C2014" s="266" t="s">
        <v>3026</v>
      </c>
      <c r="D2014" s="124" t="s">
        <v>3025</v>
      </c>
      <c r="E2014" s="125"/>
      <c r="F2014" s="118" t="s">
        <v>2593</v>
      </c>
      <c r="G2014" s="126" t="str">
        <f t="shared" si="127"/>
        <v>AR-R22-1</v>
      </c>
      <c r="H2014" s="253">
        <v>1</v>
      </c>
      <c r="I2014" s="76">
        <v>1</v>
      </c>
      <c r="J2014" s="299" t="s">
        <v>286</v>
      </c>
      <c r="K2014" s="299"/>
      <c r="L2014" s="84"/>
      <c r="M2014" s="76"/>
      <c r="Q2014" s="84"/>
      <c r="R2014" s="76"/>
    </row>
    <row r="2015" spans="2:18" s="83" customFormat="1" ht="15" hidden="1" customHeight="1" outlineLevel="2">
      <c r="B2015" s="119" t="s">
        <v>272</v>
      </c>
      <c r="C2015" s="266" t="s">
        <v>3027</v>
      </c>
      <c r="D2015" s="124" t="s">
        <v>3028</v>
      </c>
      <c r="E2015" s="125"/>
      <c r="F2015" s="118" t="s">
        <v>2593</v>
      </c>
      <c r="G2015" s="126" t="str">
        <f t="shared" si="127"/>
        <v>AR-R22-1</v>
      </c>
      <c r="H2015" s="253">
        <v>1</v>
      </c>
      <c r="I2015" s="76">
        <v>1</v>
      </c>
      <c r="J2015" s="299" t="s">
        <v>286</v>
      </c>
      <c r="K2015" s="299"/>
      <c r="L2015" s="84"/>
      <c r="M2015" s="76"/>
      <c r="Q2015" s="84"/>
      <c r="R2015" s="76"/>
    </row>
    <row r="2016" spans="2:18" s="83" customFormat="1" ht="15" hidden="1" customHeight="1" outlineLevel="2">
      <c r="B2016" s="119" t="s">
        <v>272</v>
      </c>
      <c r="C2016" s="266" t="s">
        <v>3029</v>
      </c>
      <c r="D2016" s="124" t="s">
        <v>3028</v>
      </c>
      <c r="E2016" s="125"/>
      <c r="F2016" s="118" t="s">
        <v>2593</v>
      </c>
      <c r="G2016" s="126" t="str">
        <f t="shared" si="127"/>
        <v>AR-R22-1</v>
      </c>
      <c r="H2016" s="253">
        <v>1</v>
      </c>
      <c r="I2016" s="76">
        <v>1</v>
      </c>
      <c r="J2016" s="299" t="s">
        <v>286</v>
      </c>
      <c r="K2016" s="299"/>
      <c r="L2016" s="84"/>
      <c r="M2016" s="76"/>
      <c r="Q2016" s="84"/>
      <c r="R2016" s="76"/>
    </row>
    <row r="2017" spans="2:18" s="83" customFormat="1" ht="15" hidden="1" customHeight="1" outlineLevel="2">
      <c r="B2017" s="119" t="s">
        <v>272</v>
      </c>
      <c r="C2017" s="266" t="s">
        <v>3030</v>
      </c>
      <c r="D2017" s="124" t="s">
        <v>3031</v>
      </c>
      <c r="E2017" s="125"/>
      <c r="F2017" s="118" t="s">
        <v>2593</v>
      </c>
      <c r="G2017" s="126" t="str">
        <f t="shared" si="127"/>
        <v>AR-R22-1</v>
      </c>
      <c r="H2017" s="253">
        <v>1</v>
      </c>
      <c r="I2017" s="76">
        <v>1</v>
      </c>
      <c r="J2017" s="299" t="s">
        <v>286</v>
      </c>
      <c r="K2017" s="299"/>
      <c r="L2017" s="84"/>
      <c r="M2017" s="76"/>
      <c r="Q2017" s="84"/>
      <c r="R2017" s="76"/>
    </row>
    <row r="2018" spans="2:18" s="83" customFormat="1" ht="15" hidden="1" customHeight="1" outlineLevel="2">
      <c r="B2018" s="119" t="s">
        <v>272</v>
      </c>
      <c r="C2018" s="266" t="s">
        <v>3032</v>
      </c>
      <c r="D2018" s="124" t="s">
        <v>3031</v>
      </c>
      <c r="E2018" s="125"/>
      <c r="F2018" s="118" t="s">
        <v>2593</v>
      </c>
      <c r="G2018" s="126" t="str">
        <f t="shared" si="127"/>
        <v>AR-R22-1</v>
      </c>
      <c r="H2018" s="253">
        <v>1</v>
      </c>
      <c r="I2018" s="76">
        <v>1</v>
      </c>
      <c r="J2018" s="299" t="s">
        <v>286</v>
      </c>
      <c r="K2018" s="299"/>
      <c r="L2018" s="84"/>
      <c r="M2018" s="76"/>
      <c r="Q2018" s="84"/>
      <c r="R2018" s="76"/>
    </row>
    <row r="2019" spans="2:18" s="83" customFormat="1" ht="15" hidden="1" customHeight="1" outlineLevel="2">
      <c r="B2019" s="119" t="s">
        <v>272</v>
      </c>
      <c r="C2019" s="266" t="s">
        <v>3033</v>
      </c>
      <c r="D2019" s="124" t="s">
        <v>3031</v>
      </c>
      <c r="E2019" s="125"/>
      <c r="F2019" s="118" t="s">
        <v>2593</v>
      </c>
      <c r="G2019" s="126" t="str">
        <f t="shared" ref="G2019:G2059" si="128">CONCATENATE("AR-",F2019,"-",H2019)</f>
        <v>AR-R22-1</v>
      </c>
      <c r="H2019" s="253">
        <v>1</v>
      </c>
      <c r="I2019" s="76">
        <v>1</v>
      </c>
      <c r="J2019" s="299" t="s">
        <v>286</v>
      </c>
      <c r="K2019" s="299"/>
      <c r="L2019" s="84"/>
      <c r="M2019" s="76"/>
      <c r="Q2019" s="84"/>
      <c r="R2019" s="76"/>
    </row>
    <row r="2020" spans="2:18" s="83" customFormat="1" ht="15" hidden="1" customHeight="1" outlineLevel="2">
      <c r="B2020" s="119" t="s">
        <v>272</v>
      </c>
      <c r="C2020" s="266" t="s">
        <v>3034</v>
      </c>
      <c r="D2020" s="124" t="s">
        <v>3031</v>
      </c>
      <c r="E2020" s="125"/>
      <c r="F2020" s="118" t="s">
        <v>2593</v>
      </c>
      <c r="G2020" s="126" t="str">
        <f t="shared" si="128"/>
        <v>AR-R22-1</v>
      </c>
      <c r="H2020" s="253">
        <v>1</v>
      </c>
      <c r="I2020" s="76">
        <v>1</v>
      </c>
      <c r="J2020" s="299" t="s">
        <v>286</v>
      </c>
      <c r="K2020" s="299"/>
      <c r="L2020" s="84"/>
      <c r="M2020" s="76"/>
      <c r="Q2020" s="84"/>
      <c r="R2020" s="76"/>
    </row>
    <row r="2021" spans="2:18" s="100" customFormat="1" ht="15" hidden="1" customHeight="1" outlineLevel="2">
      <c r="B2021" s="119" t="s">
        <v>272</v>
      </c>
      <c r="C2021" s="266" t="s">
        <v>3035</v>
      </c>
      <c r="D2021" s="124" t="s">
        <v>3031</v>
      </c>
      <c r="E2021" s="125"/>
      <c r="F2021" s="118" t="s">
        <v>2593</v>
      </c>
      <c r="G2021" s="126" t="str">
        <f t="shared" si="128"/>
        <v>AR-R22-1</v>
      </c>
      <c r="H2021" s="253">
        <v>1</v>
      </c>
      <c r="I2021" s="76">
        <v>1</v>
      </c>
      <c r="J2021" s="299" t="s">
        <v>286</v>
      </c>
      <c r="K2021" s="299"/>
      <c r="L2021" s="84"/>
      <c r="M2021" s="76"/>
      <c r="Q2021" s="84"/>
      <c r="R2021" s="76"/>
    </row>
    <row r="2022" spans="2:18" s="83" customFormat="1" ht="15" hidden="1" customHeight="1" outlineLevel="2">
      <c r="B2022" s="119" t="s">
        <v>272</v>
      </c>
      <c r="C2022" s="266" t="s">
        <v>3036</v>
      </c>
      <c r="D2022" s="124" t="s">
        <v>3031</v>
      </c>
      <c r="E2022" s="125"/>
      <c r="F2022" s="118" t="s">
        <v>2593</v>
      </c>
      <c r="G2022" s="126" t="str">
        <f t="shared" si="128"/>
        <v>AR-R22-1</v>
      </c>
      <c r="H2022" s="253">
        <v>1</v>
      </c>
      <c r="I2022" s="76">
        <v>1</v>
      </c>
      <c r="J2022" s="299" t="s">
        <v>286</v>
      </c>
      <c r="K2022" s="299"/>
      <c r="L2022" s="84"/>
      <c r="M2022" s="76"/>
      <c r="Q2022" s="84"/>
      <c r="R2022" s="76"/>
    </row>
    <row r="2023" spans="2:18" s="83" customFormat="1" ht="15" hidden="1" customHeight="1" outlineLevel="2">
      <c r="B2023" s="119" t="s">
        <v>272</v>
      </c>
      <c r="C2023" s="266" t="s">
        <v>3037</v>
      </c>
      <c r="D2023" s="124" t="s">
        <v>3031</v>
      </c>
      <c r="E2023" s="125"/>
      <c r="F2023" s="118" t="s">
        <v>2593</v>
      </c>
      <c r="G2023" s="126" t="str">
        <f t="shared" si="128"/>
        <v>AR-R22-1</v>
      </c>
      <c r="H2023" s="253">
        <v>1</v>
      </c>
      <c r="I2023" s="76">
        <v>1</v>
      </c>
      <c r="J2023" s="299" t="s">
        <v>286</v>
      </c>
      <c r="K2023" s="299"/>
      <c r="L2023" s="84"/>
      <c r="M2023" s="76"/>
      <c r="Q2023" s="84"/>
      <c r="R2023" s="76"/>
    </row>
    <row r="2024" spans="2:18" s="83" customFormat="1" ht="15" hidden="1" customHeight="1" outlineLevel="2">
      <c r="B2024" s="119" t="s">
        <v>272</v>
      </c>
      <c r="C2024" s="266" t="s">
        <v>3038</v>
      </c>
      <c r="D2024" s="124" t="s">
        <v>3031</v>
      </c>
      <c r="E2024" s="125"/>
      <c r="F2024" s="118" t="s">
        <v>2593</v>
      </c>
      <c r="G2024" s="126" t="str">
        <f t="shared" si="128"/>
        <v>AR-R22-1</v>
      </c>
      <c r="H2024" s="253">
        <v>1</v>
      </c>
      <c r="I2024" s="76">
        <v>1</v>
      </c>
      <c r="J2024" s="299" t="s">
        <v>286</v>
      </c>
      <c r="K2024" s="299"/>
      <c r="L2024" s="84"/>
      <c r="M2024" s="76"/>
      <c r="Q2024" s="84"/>
      <c r="R2024" s="76"/>
    </row>
    <row r="2025" spans="2:18" s="83" customFormat="1" ht="15" hidden="1" customHeight="1" outlineLevel="2">
      <c r="B2025" s="119" t="s">
        <v>272</v>
      </c>
      <c r="C2025" s="266" t="s">
        <v>3039</v>
      </c>
      <c r="D2025" s="124" t="s">
        <v>3031</v>
      </c>
      <c r="E2025" s="125"/>
      <c r="F2025" s="118" t="s">
        <v>2593</v>
      </c>
      <c r="G2025" s="126" t="str">
        <f t="shared" si="128"/>
        <v>AR-R22-1</v>
      </c>
      <c r="H2025" s="253">
        <v>1</v>
      </c>
      <c r="I2025" s="76">
        <v>1</v>
      </c>
      <c r="J2025" s="299" t="s">
        <v>286</v>
      </c>
      <c r="K2025" s="299"/>
      <c r="L2025" s="84"/>
      <c r="M2025" s="76"/>
      <c r="Q2025" s="84"/>
      <c r="R2025" s="76"/>
    </row>
    <row r="2026" spans="2:18" s="83" customFormat="1" ht="15" hidden="1" customHeight="1" outlineLevel="2">
      <c r="B2026" s="119" t="s">
        <v>272</v>
      </c>
      <c r="C2026" s="266" t="s">
        <v>3040</v>
      </c>
      <c r="D2026" s="124" t="s">
        <v>3031</v>
      </c>
      <c r="E2026" s="125"/>
      <c r="F2026" s="118" t="s">
        <v>2593</v>
      </c>
      <c r="G2026" s="126" t="str">
        <f t="shared" si="128"/>
        <v>AR-R22-1</v>
      </c>
      <c r="H2026" s="253">
        <v>1</v>
      </c>
      <c r="I2026" s="76">
        <v>1</v>
      </c>
      <c r="J2026" s="299" t="s">
        <v>286</v>
      </c>
      <c r="K2026" s="299"/>
      <c r="L2026" s="84"/>
      <c r="M2026" s="76"/>
      <c r="Q2026" s="84"/>
      <c r="R2026" s="76"/>
    </row>
    <row r="2027" spans="2:18" s="83" customFormat="1" ht="15" hidden="1" customHeight="1" outlineLevel="2">
      <c r="B2027" s="119" t="s">
        <v>272</v>
      </c>
      <c r="C2027" s="266" t="s">
        <v>3041</v>
      </c>
      <c r="D2027" s="124" t="s">
        <v>3031</v>
      </c>
      <c r="E2027" s="125"/>
      <c r="F2027" s="118" t="s">
        <v>2593</v>
      </c>
      <c r="G2027" s="126" t="str">
        <f t="shared" si="128"/>
        <v>AR-R22-1</v>
      </c>
      <c r="H2027" s="253">
        <v>1</v>
      </c>
      <c r="I2027" s="76">
        <v>1</v>
      </c>
      <c r="J2027" s="299" t="s">
        <v>286</v>
      </c>
      <c r="K2027" s="299"/>
      <c r="L2027" s="84"/>
      <c r="M2027" s="76"/>
      <c r="Q2027" s="84"/>
      <c r="R2027" s="76"/>
    </row>
    <row r="2028" spans="2:18" s="83" customFormat="1" ht="15" hidden="1" customHeight="1" outlineLevel="2">
      <c r="B2028" s="119" t="s">
        <v>272</v>
      </c>
      <c r="C2028" s="266" t="s">
        <v>3042</v>
      </c>
      <c r="D2028" s="124" t="s">
        <v>3031</v>
      </c>
      <c r="E2028" s="125"/>
      <c r="F2028" s="118" t="s">
        <v>2593</v>
      </c>
      <c r="G2028" s="126" t="str">
        <f t="shared" si="128"/>
        <v>AR-R22-1</v>
      </c>
      <c r="H2028" s="253">
        <v>1</v>
      </c>
      <c r="I2028" s="76">
        <v>1</v>
      </c>
      <c r="J2028" s="299" t="s">
        <v>286</v>
      </c>
      <c r="K2028" s="299"/>
      <c r="L2028" s="84"/>
      <c r="M2028" s="76"/>
      <c r="Q2028" s="84"/>
      <c r="R2028" s="76"/>
    </row>
    <row r="2029" spans="2:18" s="83" customFormat="1" ht="15" hidden="1" customHeight="1" outlineLevel="2">
      <c r="B2029" s="119" t="s">
        <v>272</v>
      </c>
      <c r="C2029" s="266" t="s">
        <v>3043</v>
      </c>
      <c r="D2029" s="124" t="s">
        <v>3044</v>
      </c>
      <c r="E2029" s="125"/>
      <c r="F2029" s="118" t="s">
        <v>2593</v>
      </c>
      <c r="G2029" s="126" t="str">
        <f t="shared" si="128"/>
        <v>AR-R22-1</v>
      </c>
      <c r="H2029" s="253">
        <v>1</v>
      </c>
      <c r="I2029" s="76">
        <v>1</v>
      </c>
      <c r="J2029" s="299" t="s">
        <v>286</v>
      </c>
      <c r="K2029" s="299"/>
      <c r="L2029" s="84"/>
      <c r="M2029" s="76"/>
      <c r="Q2029" s="84"/>
      <c r="R2029" s="76"/>
    </row>
    <row r="2030" spans="2:18" s="83" customFormat="1" ht="15" hidden="1" customHeight="1" outlineLevel="2">
      <c r="B2030" s="119" t="s">
        <v>272</v>
      </c>
      <c r="C2030" s="266" t="s">
        <v>3045</v>
      </c>
      <c r="D2030" s="124" t="s">
        <v>3044</v>
      </c>
      <c r="E2030" s="125"/>
      <c r="F2030" s="118" t="s">
        <v>2593</v>
      </c>
      <c r="G2030" s="126" t="str">
        <f t="shared" si="128"/>
        <v>AR-R22-1</v>
      </c>
      <c r="H2030" s="253">
        <v>1</v>
      </c>
      <c r="I2030" s="76">
        <v>1</v>
      </c>
      <c r="J2030" s="299" t="s">
        <v>286</v>
      </c>
      <c r="K2030" s="299"/>
      <c r="L2030" s="84"/>
      <c r="M2030" s="76"/>
      <c r="Q2030" s="84"/>
      <c r="R2030" s="76"/>
    </row>
    <row r="2031" spans="2:18" s="83" customFormat="1" ht="15" hidden="1" customHeight="1" outlineLevel="2">
      <c r="B2031" s="119" t="s">
        <v>272</v>
      </c>
      <c r="C2031" s="266" t="s">
        <v>3046</v>
      </c>
      <c r="D2031" s="124" t="s">
        <v>3044</v>
      </c>
      <c r="E2031" s="125"/>
      <c r="F2031" s="118" t="s">
        <v>2593</v>
      </c>
      <c r="G2031" s="126" t="str">
        <f t="shared" si="128"/>
        <v>AR-R22-1</v>
      </c>
      <c r="H2031" s="253">
        <v>1</v>
      </c>
      <c r="I2031" s="76">
        <v>1</v>
      </c>
      <c r="J2031" s="299" t="s">
        <v>286</v>
      </c>
      <c r="K2031" s="299"/>
      <c r="L2031" s="84"/>
      <c r="M2031" s="76"/>
      <c r="Q2031" s="84"/>
      <c r="R2031" s="76"/>
    </row>
    <row r="2032" spans="2:18" s="83" customFormat="1" ht="15" hidden="1" customHeight="1" outlineLevel="2">
      <c r="B2032" s="119" t="s">
        <v>272</v>
      </c>
      <c r="C2032" s="266" t="s">
        <v>3047</v>
      </c>
      <c r="D2032" s="124" t="s">
        <v>3044</v>
      </c>
      <c r="E2032" s="125"/>
      <c r="F2032" s="118" t="s">
        <v>2593</v>
      </c>
      <c r="G2032" s="126" t="str">
        <f t="shared" si="128"/>
        <v>AR-R22-1</v>
      </c>
      <c r="H2032" s="253">
        <v>1</v>
      </c>
      <c r="I2032" s="76">
        <v>1</v>
      </c>
      <c r="J2032" s="299" t="s">
        <v>286</v>
      </c>
      <c r="K2032" s="299"/>
      <c r="L2032" s="84"/>
      <c r="M2032" s="76"/>
      <c r="Q2032" s="84"/>
      <c r="R2032" s="76"/>
    </row>
    <row r="2033" spans="2:18" s="83" customFormat="1" ht="15" hidden="1" customHeight="1" outlineLevel="2">
      <c r="B2033" s="119" t="s">
        <v>272</v>
      </c>
      <c r="C2033" s="266" t="s">
        <v>3048</v>
      </c>
      <c r="D2033" s="124" t="s">
        <v>3049</v>
      </c>
      <c r="E2033" s="125"/>
      <c r="F2033" s="118" t="s">
        <v>2593</v>
      </c>
      <c r="G2033" s="126" t="str">
        <f t="shared" si="128"/>
        <v>AR-R22-1</v>
      </c>
      <c r="H2033" s="253">
        <v>1</v>
      </c>
      <c r="I2033" s="76">
        <v>1</v>
      </c>
      <c r="J2033" s="299" t="s">
        <v>286</v>
      </c>
      <c r="K2033" s="299"/>
      <c r="L2033" s="84"/>
      <c r="M2033" s="76"/>
      <c r="Q2033" s="84"/>
      <c r="R2033" s="76"/>
    </row>
    <row r="2034" spans="2:18" s="83" customFormat="1" ht="15" hidden="1" customHeight="1" outlineLevel="2">
      <c r="B2034" s="119" t="s">
        <v>272</v>
      </c>
      <c r="C2034" s="266" t="s">
        <v>3050</v>
      </c>
      <c r="D2034" s="124" t="s">
        <v>3049</v>
      </c>
      <c r="E2034" s="125"/>
      <c r="F2034" s="118" t="s">
        <v>2593</v>
      </c>
      <c r="G2034" s="126" t="str">
        <f t="shared" si="128"/>
        <v>AR-R22-1</v>
      </c>
      <c r="H2034" s="253">
        <v>1</v>
      </c>
      <c r="I2034" s="76">
        <v>1</v>
      </c>
      <c r="J2034" s="299" t="s">
        <v>286</v>
      </c>
      <c r="K2034" s="299"/>
      <c r="L2034" s="84"/>
      <c r="M2034" s="76"/>
      <c r="Q2034" s="84"/>
      <c r="R2034" s="76"/>
    </row>
    <row r="2035" spans="2:18" s="83" customFormat="1" ht="15" hidden="1" customHeight="1" outlineLevel="2">
      <c r="B2035" s="119" t="s">
        <v>272</v>
      </c>
      <c r="C2035" s="266" t="s">
        <v>3051</v>
      </c>
      <c r="D2035" s="124" t="s">
        <v>3049</v>
      </c>
      <c r="E2035" s="125"/>
      <c r="F2035" s="118" t="s">
        <v>2593</v>
      </c>
      <c r="G2035" s="126" t="str">
        <f t="shared" si="128"/>
        <v>AR-R22-1</v>
      </c>
      <c r="H2035" s="253">
        <v>1</v>
      </c>
      <c r="I2035" s="76">
        <v>1</v>
      </c>
      <c r="J2035" s="299" t="s">
        <v>286</v>
      </c>
      <c r="K2035" s="299"/>
      <c r="L2035" s="84"/>
      <c r="M2035" s="76"/>
      <c r="Q2035" s="84"/>
      <c r="R2035" s="76"/>
    </row>
    <row r="2036" spans="2:18" s="99" customFormat="1" ht="15" hidden="1" customHeight="1" outlineLevel="2">
      <c r="B2036" s="119" t="s">
        <v>272</v>
      </c>
      <c r="C2036" s="266" t="s">
        <v>3052</v>
      </c>
      <c r="D2036" s="124" t="s">
        <v>3049</v>
      </c>
      <c r="E2036" s="125"/>
      <c r="F2036" s="118" t="s">
        <v>2593</v>
      </c>
      <c r="G2036" s="126" t="str">
        <f t="shared" si="128"/>
        <v>AR-R22-1</v>
      </c>
      <c r="H2036" s="253">
        <v>1</v>
      </c>
      <c r="I2036" s="76">
        <v>1</v>
      </c>
      <c r="J2036" s="299" t="s">
        <v>286</v>
      </c>
      <c r="K2036" s="299"/>
      <c r="L2036" s="84"/>
      <c r="M2036" s="76"/>
      <c r="Q2036" s="84"/>
      <c r="R2036" s="76"/>
    </row>
    <row r="2037" spans="2:18" s="83" customFormat="1" ht="15" hidden="1" customHeight="1" outlineLevel="2">
      <c r="B2037" s="119" t="s">
        <v>272</v>
      </c>
      <c r="C2037" s="266" t="s">
        <v>3053</v>
      </c>
      <c r="D2037" s="124" t="s">
        <v>3054</v>
      </c>
      <c r="E2037" s="125"/>
      <c r="F2037" s="118" t="s">
        <v>2593</v>
      </c>
      <c r="G2037" s="126" t="str">
        <f t="shared" si="128"/>
        <v>AR-R22-1</v>
      </c>
      <c r="H2037" s="253">
        <v>1</v>
      </c>
      <c r="I2037" s="76">
        <v>1</v>
      </c>
      <c r="J2037" s="299" t="s">
        <v>286</v>
      </c>
      <c r="K2037" s="299"/>
      <c r="L2037" s="84"/>
      <c r="M2037" s="76"/>
      <c r="Q2037" s="84"/>
      <c r="R2037" s="76"/>
    </row>
    <row r="2038" spans="2:18" s="83" customFormat="1" ht="15" hidden="1" customHeight="1" outlineLevel="2">
      <c r="B2038" s="119" t="s">
        <v>272</v>
      </c>
      <c r="C2038" s="266" t="s">
        <v>3055</v>
      </c>
      <c r="D2038" s="124" t="s">
        <v>3054</v>
      </c>
      <c r="E2038" s="125"/>
      <c r="F2038" s="118" t="s">
        <v>2593</v>
      </c>
      <c r="G2038" s="126" t="str">
        <f t="shared" si="128"/>
        <v>AR-R22-1</v>
      </c>
      <c r="H2038" s="253">
        <v>1</v>
      </c>
      <c r="I2038" s="76">
        <v>1</v>
      </c>
      <c r="J2038" s="299" t="s">
        <v>286</v>
      </c>
      <c r="K2038" s="299"/>
      <c r="L2038" s="84"/>
      <c r="M2038" s="76"/>
      <c r="Q2038" s="84"/>
      <c r="R2038" s="76"/>
    </row>
    <row r="2039" spans="2:18" s="83" customFormat="1" ht="15" hidden="1" customHeight="1" outlineLevel="2">
      <c r="B2039" s="119" t="s">
        <v>272</v>
      </c>
      <c r="C2039" s="266" t="s">
        <v>3056</v>
      </c>
      <c r="D2039" s="124" t="s">
        <v>3054</v>
      </c>
      <c r="E2039" s="125"/>
      <c r="F2039" s="118" t="s">
        <v>2593</v>
      </c>
      <c r="G2039" s="126" t="str">
        <f t="shared" si="128"/>
        <v>AR-R22-1</v>
      </c>
      <c r="H2039" s="253">
        <v>1</v>
      </c>
      <c r="I2039" s="76">
        <v>1</v>
      </c>
      <c r="J2039" s="299" t="s">
        <v>286</v>
      </c>
      <c r="K2039" s="299"/>
      <c r="L2039" s="84"/>
      <c r="M2039" s="76"/>
      <c r="Q2039" s="84"/>
      <c r="R2039" s="76"/>
    </row>
    <row r="2040" spans="2:18" s="83" customFormat="1" ht="15" hidden="1" customHeight="1" outlineLevel="2">
      <c r="B2040" s="119" t="s">
        <v>272</v>
      </c>
      <c r="C2040" s="266" t="s">
        <v>3057</v>
      </c>
      <c r="D2040" s="124" t="s">
        <v>3054</v>
      </c>
      <c r="E2040" s="125"/>
      <c r="F2040" s="118" t="s">
        <v>2593</v>
      </c>
      <c r="G2040" s="126" t="str">
        <f t="shared" si="128"/>
        <v>AR-R22-1</v>
      </c>
      <c r="H2040" s="253">
        <v>1</v>
      </c>
      <c r="I2040" s="76">
        <v>1</v>
      </c>
      <c r="J2040" s="299" t="s">
        <v>286</v>
      </c>
      <c r="K2040" s="299"/>
      <c r="L2040" s="84"/>
      <c r="M2040" s="76"/>
      <c r="Q2040" s="84"/>
      <c r="R2040" s="76"/>
    </row>
    <row r="2041" spans="2:18" s="83" customFormat="1" ht="15" hidden="1" customHeight="1" outlineLevel="2">
      <c r="B2041" s="119" t="s">
        <v>272</v>
      </c>
      <c r="C2041" s="266" t="s">
        <v>3058</v>
      </c>
      <c r="D2041" s="124" t="s">
        <v>3059</v>
      </c>
      <c r="E2041" s="125"/>
      <c r="F2041" s="118" t="s">
        <v>2593</v>
      </c>
      <c r="G2041" s="126" t="str">
        <f t="shared" si="128"/>
        <v>AR-R22-1</v>
      </c>
      <c r="H2041" s="253">
        <v>1</v>
      </c>
      <c r="I2041" s="76">
        <v>1</v>
      </c>
      <c r="J2041" s="299" t="s">
        <v>286</v>
      </c>
      <c r="K2041" s="299"/>
      <c r="L2041" s="84"/>
      <c r="M2041" s="76"/>
      <c r="Q2041" s="84"/>
      <c r="R2041" s="76"/>
    </row>
    <row r="2042" spans="2:18" s="83" customFormat="1" ht="15" hidden="1" customHeight="1" outlineLevel="2">
      <c r="B2042" s="119" t="s">
        <v>272</v>
      </c>
      <c r="C2042" s="266" t="s">
        <v>3060</v>
      </c>
      <c r="D2042" s="124" t="s">
        <v>3059</v>
      </c>
      <c r="E2042" s="125"/>
      <c r="F2042" s="118" t="s">
        <v>2593</v>
      </c>
      <c r="G2042" s="126" t="str">
        <f t="shared" si="128"/>
        <v>AR-R22-1</v>
      </c>
      <c r="H2042" s="253">
        <v>1</v>
      </c>
      <c r="I2042" s="76">
        <v>1</v>
      </c>
      <c r="J2042" s="299" t="s">
        <v>286</v>
      </c>
      <c r="K2042" s="299"/>
      <c r="L2042" s="84"/>
      <c r="M2042" s="76"/>
      <c r="Q2042" s="84"/>
      <c r="R2042" s="76"/>
    </row>
    <row r="2043" spans="2:18" s="83" customFormat="1" ht="15" hidden="1" customHeight="1" outlineLevel="2">
      <c r="B2043" s="119" t="s">
        <v>272</v>
      </c>
      <c r="C2043" s="266" t="s">
        <v>3061</v>
      </c>
      <c r="D2043" s="124" t="s">
        <v>3059</v>
      </c>
      <c r="E2043" s="125"/>
      <c r="F2043" s="118" t="s">
        <v>2593</v>
      </c>
      <c r="G2043" s="126" t="str">
        <f t="shared" si="128"/>
        <v>AR-R22-1</v>
      </c>
      <c r="H2043" s="253">
        <v>1</v>
      </c>
      <c r="I2043" s="76">
        <v>1</v>
      </c>
      <c r="J2043" s="299" t="s">
        <v>286</v>
      </c>
      <c r="K2043" s="299"/>
      <c r="L2043" s="84"/>
      <c r="M2043" s="76"/>
      <c r="Q2043" s="84"/>
      <c r="R2043" s="76"/>
    </row>
    <row r="2044" spans="2:18" s="83" customFormat="1" ht="15" hidden="1" customHeight="1" outlineLevel="2">
      <c r="B2044" s="119" t="s">
        <v>272</v>
      </c>
      <c r="C2044" s="266" t="s">
        <v>3062</v>
      </c>
      <c r="D2044" s="124" t="s">
        <v>3059</v>
      </c>
      <c r="E2044" s="125"/>
      <c r="F2044" s="118" t="s">
        <v>2593</v>
      </c>
      <c r="G2044" s="126" t="str">
        <f t="shared" si="128"/>
        <v>AR-R22-1</v>
      </c>
      <c r="H2044" s="253">
        <v>1</v>
      </c>
      <c r="I2044" s="76">
        <v>1</v>
      </c>
      <c r="J2044" s="299" t="s">
        <v>286</v>
      </c>
      <c r="K2044" s="299"/>
      <c r="L2044" s="84"/>
      <c r="M2044" s="76"/>
      <c r="Q2044" s="84"/>
      <c r="R2044" s="76"/>
    </row>
    <row r="2045" spans="2:18" s="83" customFormat="1" ht="15" hidden="1" customHeight="1" outlineLevel="2">
      <c r="B2045" s="119" t="s">
        <v>272</v>
      </c>
      <c r="C2045" s="266" t="s">
        <v>3063</v>
      </c>
      <c r="D2045" s="124" t="s">
        <v>3064</v>
      </c>
      <c r="E2045" s="125"/>
      <c r="F2045" s="118" t="s">
        <v>2593</v>
      </c>
      <c r="G2045" s="126" t="str">
        <f t="shared" si="128"/>
        <v>AR-R22-1</v>
      </c>
      <c r="H2045" s="253">
        <v>1</v>
      </c>
      <c r="I2045" s="76">
        <v>1</v>
      </c>
      <c r="J2045" s="299" t="s">
        <v>286</v>
      </c>
      <c r="K2045" s="299"/>
      <c r="L2045" s="84"/>
      <c r="M2045" s="76"/>
      <c r="Q2045" s="84"/>
      <c r="R2045" s="76"/>
    </row>
    <row r="2046" spans="2:18" s="83" customFormat="1" ht="15" hidden="1" customHeight="1" outlineLevel="2">
      <c r="B2046" s="119" t="s">
        <v>272</v>
      </c>
      <c r="C2046" s="266" t="s">
        <v>3065</v>
      </c>
      <c r="D2046" s="124" t="s">
        <v>3064</v>
      </c>
      <c r="E2046" s="125"/>
      <c r="F2046" s="118" t="s">
        <v>2593</v>
      </c>
      <c r="G2046" s="126" t="str">
        <f t="shared" si="128"/>
        <v>AR-R22-1</v>
      </c>
      <c r="H2046" s="253">
        <v>1</v>
      </c>
      <c r="I2046" s="76">
        <v>1</v>
      </c>
      <c r="J2046" s="299" t="s">
        <v>286</v>
      </c>
      <c r="K2046" s="299"/>
      <c r="L2046" s="84"/>
      <c r="M2046" s="76"/>
      <c r="Q2046" s="84"/>
      <c r="R2046" s="76"/>
    </row>
    <row r="2047" spans="2:18" s="83" customFormat="1" ht="15" hidden="1" customHeight="1" outlineLevel="2">
      <c r="B2047" s="119" t="s">
        <v>272</v>
      </c>
      <c r="C2047" s="266" t="s">
        <v>3066</v>
      </c>
      <c r="D2047" s="124" t="s">
        <v>3064</v>
      </c>
      <c r="E2047" s="125"/>
      <c r="F2047" s="118" t="s">
        <v>2593</v>
      </c>
      <c r="G2047" s="126" t="str">
        <f t="shared" si="128"/>
        <v>AR-R22-1</v>
      </c>
      <c r="H2047" s="253">
        <v>1</v>
      </c>
      <c r="I2047" s="76">
        <v>1</v>
      </c>
      <c r="J2047" s="299" t="s">
        <v>286</v>
      </c>
      <c r="K2047" s="299"/>
      <c r="L2047" s="84"/>
      <c r="M2047" s="76"/>
      <c r="Q2047" s="84"/>
      <c r="R2047" s="76"/>
    </row>
    <row r="2048" spans="2:18" s="83" customFormat="1" ht="15" hidden="1" customHeight="1" outlineLevel="2">
      <c r="B2048" s="119" t="s">
        <v>272</v>
      </c>
      <c r="C2048" s="266" t="s">
        <v>3067</v>
      </c>
      <c r="D2048" s="124" t="s">
        <v>3064</v>
      </c>
      <c r="E2048" s="125"/>
      <c r="F2048" s="118" t="s">
        <v>2593</v>
      </c>
      <c r="G2048" s="126" t="str">
        <f t="shared" si="128"/>
        <v>AR-R22-1</v>
      </c>
      <c r="H2048" s="253">
        <v>1</v>
      </c>
      <c r="I2048" s="76">
        <v>1</v>
      </c>
      <c r="J2048" s="299" t="s">
        <v>286</v>
      </c>
      <c r="K2048" s="299"/>
      <c r="L2048" s="84"/>
      <c r="M2048" s="76"/>
      <c r="Q2048" s="84"/>
      <c r="R2048" s="76"/>
    </row>
    <row r="2049" spans="2:18" s="83" customFormat="1" ht="15" hidden="1" customHeight="1" outlineLevel="2">
      <c r="B2049" s="119" t="s">
        <v>272</v>
      </c>
      <c r="C2049" s="266" t="s">
        <v>3068</v>
      </c>
      <c r="D2049" s="124" t="s">
        <v>3069</v>
      </c>
      <c r="E2049" s="125"/>
      <c r="F2049" s="118" t="s">
        <v>2593</v>
      </c>
      <c r="G2049" s="126" t="str">
        <f t="shared" si="128"/>
        <v>AR-R22-1</v>
      </c>
      <c r="H2049" s="253">
        <v>1</v>
      </c>
      <c r="I2049" s="76">
        <v>1</v>
      </c>
      <c r="J2049" s="299" t="s">
        <v>286</v>
      </c>
      <c r="K2049" s="299"/>
      <c r="L2049" s="84"/>
      <c r="M2049" s="76"/>
      <c r="Q2049" s="84"/>
      <c r="R2049" s="76"/>
    </row>
    <row r="2050" spans="2:18" s="83" customFormat="1" ht="15" hidden="1" customHeight="1" outlineLevel="2">
      <c r="B2050" s="119" t="s">
        <v>272</v>
      </c>
      <c r="C2050" s="266" t="s">
        <v>3070</v>
      </c>
      <c r="D2050" s="124" t="s">
        <v>3069</v>
      </c>
      <c r="E2050" s="125"/>
      <c r="F2050" s="118" t="s">
        <v>2593</v>
      </c>
      <c r="G2050" s="126" t="str">
        <f t="shared" si="128"/>
        <v>AR-R22-1</v>
      </c>
      <c r="H2050" s="253">
        <v>1</v>
      </c>
      <c r="I2050" s="76">
        <v>1</v>
      </c>
      <c r="J2050" s="299" t="s">
        <v>286</v>
      </c>
      <c r="K2050" s="299"/>
      <c r="L2050" s="84"/>
      <c r="M2050" s="76"/>
      <c r="Q2050" s="84"/>
      <c r="R2050" s="76"/>
    </row>
    <row r="2051" spans="2:18" s="83" customFormat="1" ht="15" hidden="1" customHeight="1" outlineLevel="2">
      <c r="B2051" s="119" t="s">
        <v>272</v>
      </c>
      <c r="C2051" s="266" t="s">
        <v>3071</v>
      </c>
      <c r="D2051" s="124" t="s">
        <v>3069</v>
      </c>
      <c r="E2051" s="125"/>
      <c r="F2051" s="118" t="s">
        <v>2593</v>
      </c>
      <c r="G2051" s="126" t="str">
        <f t="shared" si="128"/>
        <v>AR-R22-1</v>
      </c>
      <c r="H2051" s="253">
        <v>1</v>
      </c>
      <c r="I2051" s="76">
        <v>1</v>
      </c>
      <c r="J2051" s="299" t="s">
        <v>286</v>
      </c>
      <c r="K2051" s="299"/>
      <c r="L2051" s="84"/>
      <c r="M2051" s="76"/>
      <c r="Q2051" s="84"/>
      <c r="R2051" s="76"/>
    </row>
    <row r="2052" spans="2:18" s="83" customFormat="1" ht="15" hidden="1" customHeight="1" outlineLevel="2">
      <c r="B2052" s="119" t="s">
        <v>272</v>
      </c>
      <c r="C2052" s="266" t="s">
        <v>3072</v>
      </c>
      <c r="D2052" s="124" t="s">
        <v>3069</v>
      </c>
      <c r="E2052" s="125"/>
      <c r="F2052" s="118" t="s">
        <v>2593</v>
      </c>
      <c r="G2052" s="126" t="str">
        <f t="shared" si="128"/>
        <v>AR-R22-1</v>
      </c>
      <c r="H2052" s="253">
        <v>1</v>
      </c>
      <c r="I2052" s="76">
        <v>1</v>
      </c>
      <c r="J2052" s="299" t="s">
        <v>286</v>
      </c>
      <c r="K2052" s="299"/>
      <c r="L2052" s="84"/>
      <c r="M2052" s="76"/>
      <c r="Q2052" s="84"/>
      <c r="R2052" s="76"/>
    </row>
    <row r="2053" spans="2:18" s="83" customFormat="1" ht="15" hidden="1" customHeight="1" outlineLevel="2">
      <c r="B2053" s="119" t="s">
        <v>272</v>
      </c>
      <c r="C2053" s="266" t="s">
        <v>3073</v>
      </c>
      <c r="D2053" s="124" t="s">
        <v>3074</v>
      </c>
      <c r="E2053" s="125"/>
      <c r="F2053" s="118" t="s">
        <v>2593</v>
      </c>
      <c r="G2053" s="126" t="str">
        <f t="shared" si="128"/>
        <v>AR-R22-1</v>
      </c>
      <c r="H2053" s="253">
        <v>1</v>
      </c>
      <c r="I2053" s="76">
        <v>1</v>
      </c>
      <c r="J2053" s="299" t="s">
        <v>286</v>
      </c>
      <c r="K2053" s="299"/>
      <c r="L2053" s="84"/>
      <c r="M2053" s="76"/>
      <c r="Q2053" s="84"/>
      <c r="R2053" s="76"/>
    </row>
    <row r="2054" spans="2:18" s="83" customFormat="1" ht="15" hidden="1" customHeight="1" outlineLevel="2">
      <c r="B2054" s="119" t="s">
        <v>272</v>
      </c>
      <c r="C2054" s="266" t="s">
        <v>3075</v>
      </c>
      <c r="D2054" s="124" t="s">
        <v>3074</v>
      </c>
      <c r="E2054" s="125"/>
      <c r="F2054" s="118" t="s">
        <v>2593</v>
      </c>
      <c r="G2054" s="126" t="str">
        <f t="shared" si="128"/>
        <v>AR-R22-1</v>
      </c>
      <c r="H2054" s="253">
        <v>1</v>
      </c>
      <c r="I2054" s="76">
        <v>1</v>
      </c>
      <c r="J2054" s="299" t="s">
        <v>286</v>
      </c>
      <c r="K2054" s="299"/>
      <c r="L2054" s="84"/>
      <c r="M2054" s="76"/>
      <c r="Q2054" s="84"/>
      <c r="R2054" s="76"/>
    </row>
    <row r="2055" spans="2:18" s="83" customFormat="1" ht="15" hidden="1" customHeight="1" outlineLevel="2">
      <c r="B2055" s="119" t="s">
        <v>272</v>
      </c>
      <c r="C2055" s="266" t="s">
        <v>3076</v>
      </c>
      <c r="D2055" s="124" t="s">
        <v>3074</v>
      </c>
      <c r="E2055" s="125"/>
      <c r="F2055" s="118" t="s">
        <v>2593</v>
      </c>
      <c r="G2055" s="126" t="str">
        <f t="shared" si="128"/>
        <v>AR-R22-1</v>
      </c>
      <c r="H2055" s="253">
        <v>1</v>
      </c>
      <c r="I2055" s="76">
        <v>1</v>
      </c>
      <c r="J2055" s="299" t="s">
        <v>286</v>
      </c>
      <c r="K2055" s="299"/>
      <c r="L2055" s="84"/>
      <c r="M2055" s="76"/>
      <c r="Q2055" s="84"/>
      <c r="R2055" s="76"/>
    </row>
    <row r="2056" spans="2:18" s="83" customFormat="1" ht="15" hidden="1" customHeight="1" outlineLevel="2">
      <c r="B2056" s="119" t="s">
        <v>272</v>
      </c>
      <c r="C2056" s="266" t="s">
        <v>3077</v>
      </c>
      <c r="D2056" s="124" t="s">
        <v>3074</v>
      </c>
      <c r="E2056" s="125"/>
      <c r="F2056" s="118" t="s">
        <v>2593</v>
      </c>
      <c r="G2056" s="126" t="str">
        <f t="shared" si="128"/>
        <v>AR-R22-1</v>
      </c>
      <c r="H2056" s="253">
        <v>1</v>
      </c>
      <c r="I2056" s="76">
        <v>1</v>
      </c>
      <c r="J2056" s="299" t="s">
        <v>286</v>
      </c>
      <c r="K2056" s="299"/>
      <c r="L2056" s="84"/>
      <c r="M2056" s="76"/>
      <c r="Q2056" s="84"/>
      <c r="R2056" s="76"/>
    </row>
    <row r="2057" spans="2:18" s="83" customFormat="1" ht="15" hidden="1" customHeight="1" outlineLevel="2">
      <c r="B2057" s="119" t="s">
        <v>272</v>
      </c>
      <c r="C2057" s="266" t="s">
        <v>3078</v>
      </c>
      <c r="D2057" s="124" t="s">
        <v>3079</v>
      </c>
      <c r="E2057" s="125"/>
      <c r="F2057" s="118" t="s">
        <v>2593</v>
      </c>
      <c r="G2057" s="126" t="str">
        <f t="shared" si="128"/>
        <v>AR-R22-1</v>
      </c>
      <c r="H2057" s="253">
        <v>1</v>
      </c>
      <c r="I2057" s="76">
        <v>1</v>
      </c>
      <c r="J2057" s="299" t="s">
        <v>286</v>
      </c>
      <c r="K2057" s="299"/>
      <c r="L2057" s="84"/>
      <c r="M2057" s="76"/>
      <c r="Q2057" s="84"/>
      <c r="R2057" s="76"/>
    </row>
    <row r="2058" spans="2:18" s="83" customFormat="1" ht="15" hidden="1" customHeight="1" outlineLevel="2">
      <c r="B2058" s="119" t="s">
        <v>272</v>
      </c>
      <c r="C2058" s="266" t="s">
        <v>3080</v>
      </c>
      <c r="D2058" s="124" t="s">
        <v>3079</v>
      </c>
      <c r="E2058" s="125"/>
      <c r="F2058" s="118" t="s">
        <v>2593</v>
      </c>
      <c r="G2058" s="126" t="str">
        <f t="shared" si="128"/>
        <v>AR-R22-1</v>
      </c>
      <c r="H2058" s="253">
        <v>1</v>
      </c>
      <c r="I2058" s="76">
        <v>1</v>
      </c>
      <c r="J2058" s="299" t="s">
        <v>286</v>
      </c>
      <c r="K2058" s="299"/>
      <c r="L2058" s="84"/>
      <c r="M2058" s="76"/>
      <c r="Q2058" s="84"/>
      <c r="R2058" s="76"/>
    </row>
    <row r="2059" spans="2:18" s="83" customFormat="1" ht="15" hidden="1" customHeight="1" outlineLevel="2">
      <c r="B2059" s="119" t="s">
        <v>272</v>
      </c>
      <c r="C2059" s="266" t="s">
        <v>3081</v>
      </c>
      <c r="D2059" s="124" t="s">
        <v>3079</v>
      </c>
      <c r="E2059" s="125"/>
      <c r="F2059" s="118" t="s">
        <v>2593</v>
      </c>
      <c r="G2059" s="126" t="str">
        <f t="shared" si="128"/>
        <v>AR-R22-1</v>
      </c>
      <c r="H2059" s="253">
        <v>1</v>
      </c>
      <c r="I2059" s="76">
        <v>1</v>
      </c>
      <c r="J2059" s="299" t="s">
        <v>286</v>
      </c>
      <c r="K2059" s="299"/>
      <c r="L2059" s="84"/>
      <c r="M2059" s="76"/>
      <c r="Q2059" s="84"/>
      <c r="R2059" s="76"/>
    </row>
    <row r="2060" spans="2:18" s="83" customFormat="1" ht="15" hidden="1" customHeight="1" outlineLevel="2">
      <c r="B2060" s="119" t="s">
        <v>272</v>
      </c>
      <c r="C2060" s="266" t="s">
        <v>3082</v>
      </c>
      <c r="D2060" s="124" t="s">
        <v>3079</v>
      </c>
      <c r="E2060" s="125"/>
      <c r="F2060" s="118" t="s">
        <v>2593</v>
      </c>
      <c r="G2060" s="126" t="str">
        <f t="shared" ref="G2060:G2065" si="129">CONCATENATE("AR-",F2060,"-",H2060)</f>
        <v>AR-R22-1</v>
      </c>
      <c r="H2060" s="253">
        <v>1</v>
      </c>
      <c r="I2060" s="76">
        <v>1</v>
      </c>
      <c r="J2060" s="299" t="s">
        <v>286</v>
      </c>
      <c r="K2060" s="299"/>
      <c r="L2060" s="84"/>
      <c r="M2060" s="76"/>
      <c r="Q2060" s="84"/>
      <c r="R2060" s="76"/>
    </row>
    <row r="2061" spans="2:18" s="83" customFormat="1" ht="15" hidden="1" customHeight="1" outlineLevel="2">
      <c r="B2061" s="119" t="s">
        <v>272</v>
      </c>
      <c r="C2061" s="266" t="s">
        <v>3083</v>
      </c>
      <c r="D2061" s="124" t="s">
        <v>3084</v>
      </c>
      <c r="E2061" s="125"/>
      <c r="F2061" s="118" t="s">
        <v>2593</v>
      </c>
      <c r="G2061" s="126" t="str">
        <f t="shared" si="129"/>
        <v>AR-R22-1</v>
      </c>
      <c r="H2061" s="253">
        <v>1</v>
      </c>
      <c r="I2061" s="76">
        <v>1</v>
      </c>
      <c r="J2061" s="299" t="s">
        <v>286</v>
      </c>
      <c r="K2061" s="299"/>
      <c r="L2061" s="84"/>
      <c r="M2061" s="76"/>
      <c r="Q2061" s="84"/>
      <c r="R2061" s="76"/>
    </row>
    <row r="2062" spans="2:18" s="83" customFormat="1" ht="15" hidden="1" customHeight="1" outlineLevel="2">
      <c r="B2062" s="119" t="s">
        <v>272</v>
      </c>
      <c r="C2062" s="266" t="s">
        <v>3085</v>
      </c>
      <c r="D2062" s="124" t="s">
        <v>3084</v>
      </c>
      <c r="E2062" s="125"/>
      <c r="F2062" s="118" t="s">
        <v>2593</v>
      </c>
      <c r="G2062" s="126" t="str">
        <f t="shared" si="129"/>
        <v>AR-R22-1</v>
      </c>
      <c r="H2062" s="253">
        <v>1</v>
      </c>
      <c r="I2062" s="76">
        <v>1</v>
      </c>
      <c r="J2062" s="299" t="s">
        <v>286</v>
      </c>
      <c r="K2062" s="299"/>
      <c r="L2062" s="84"/>
      <c r="M2062" s="76"/>
      <c r="Q2062" s="84"/>
      <c r="R2062" s="76"/>
    </row>
    <row r="2063" spans="2:18" s="83" customFormat="1" ht="15" hidden="1" customHeight="1" outlineLevel="2">
      <c r="B2063" s="119" t="s">
        <v>272</v>
      </c>
      <c r="C2063" s="266" t="s">
        <v>3086</v>
      </c>
      <c r="D2063" s="124" t="s">
        <v>3084</v>
      </c>
      <c r="E2063" s="125"/>
      <c r="F2063" s="118" t="s">
        <v>2593</v>
      </c>
      <c r="G2063" s="126" t="str">
        <f t="shared" si="129"/>
        <v>AR-R22-1</v>
      </c>
      <c r="H2063" s="253">
        <v>1</v>
      </c>
      <c r="I2063" s="76">
        <v>1</v>
      </c>
      <c r="J2063" s="299" t="s">
        <v>286</v>
      </c>
      <c r="K2063" s="299"/>
      <c r="L2063" s="84"/>
      <c r="M2063" s="76"/>
      <c r="Q2063" s="84"/>
      <c r="R2063" s="76"/>
    </row>
    <row r="2064" spans="2:18" s="83" customFormat="1" ht="15" hidden="1" customHeight="1" outlineLevel="2">
      <c r="B2064" s="119" t="s">
        <v>272</v>
      </c>
      <c r="C2064" s="266" t="s">
        <v>3087</v>
      </c>
      <c r="D2064" s="124" t="s">
        <v>3084</v>
      </c>
      <c r="E2064" s="125"/>
      <c r="F2064" s="118" t="s">
        <v>2593</v>
      </c>
      <c r="G2064" s="126" t="str">
        <f t="shared" si="129"/>
        <v>AR-R22-1</v>
      </c>
      <c r="H2064" s="253">
        <v>1</v>
      </c>
      <c r="I2064" s="76">
        <v>1</v>
      </c>
      <c r="J2064" s="299" t="s">
        <v>286</v>
      </c>
      <c r="K2064" s="299"/>
      <c r="L2064" s="84"/>
      <c r="M2064" s="76"/>
      <c r="Q2064" s="84"/>
      <c r="R2064" s="76"/>
    </row>
    <row r="2065" spans="2:18" s="83" customFormat="1" ht="15" hidden="1" customHeight="1" outlineLevel="2">
      <c r="B2065" s="119" t="s">
        <v>272</v>
      </c>
      <c r="C2065" s="266" t="s">
        <v>3088</v>
      </c>
      <c r="D2065" s="124" t="s">
        <v>3089</v>
      </c>
      <c r="E2065" s="125"/>
      <c r="F2065" s="118" t="s">
        <v>2593</v>
      </c>
      <c r="G2065" s="126" t="str">
        <f t="shared" si="129"/>
        <v>AR-R22-1</v>
      </c>
      <c r="H2065" s="253">
        <v>1</v>
      </c>
      <c r="I2065" s="76">
        <v>1</v>
      </c>
      <c r="J2065" s="299" t="s">
        <v>286</v>
      </c>
      <c r="K2065" s="299"/>
      <c r="L2065" s="84"/>
      <c r="M2065" s="76"/>
      <c r="Q2065" s="84"/>
      <c r="R2065" s="76"/>
    </row>
    <row r="2066" spans="2:18" s="83" customFormat="1" ht="15" hidden="1" customHeight="1" outlineLevel="2">
      <c r="B2066" s="119" t="s">
        <v>272</v>
      </c>
      <c r="C2066" s="266" t="s">
        <v>3090</v>
      </c>
      <c r="D2066" s="124" t="s">
        <v>3089</v>
      </c>
      <c r="E2066" s="125"/>
      <c r="F2066" s="118" t="s">
        <v>2593</v>
      </c>
      <c r="G2066" s="126" t="str">
        <f>CONCATENATE("AR-",F2066,"-",H2066)</f>
        <v>AR-R22-1</v>
      </c>
      <c r="H2066" s="253">
        <v>1</v>
      </c>
      <c r="I2066" s="76">
        <v>1</v>
      </c>
      <c r="J2066" s="299" t="s">
        <v>286</v>
      </c>
      <c r="K2066" s="299"/>
      <c r="L2066" s="84"/>
      <c r="M2066" s="76"/>
      <c r="Q2066" s="84"/>
      <c r="R2066" s="76"/>
    </row>
    <row r="2067" spans="2:18" s="83" customFormat="1" ht="15" hidden="1" customHeight="1" outlineLevel="2">
      <c r="B2067" s="119" t="s">
        <v>272</v>
      </c>
      <c r="C2067" s="266" t="s">
        <v>3091</v>
      </c>
      <c r="D2067" s="124" t="s">
        <v>3089</v>
      </c>
      <c r="E2067" s="125"/>
      <c r="F2067" s="118" t="s">
        <v>2593</v>
      </c>
      <c r="G2067" s="126" t="str">
        <f>CONCATENATE("AR-",F2067,"-",H2067)</f>
        <v>AR-R22-1</v>
      </c>
      <c r="H2067" s="253">
        <v>1</v>
      </c>
      <c r="I2067" s="76">
        <v>1</v>
      </c>
      <c r="J2067" s="299" t="s">
        <v>286</v>
      </c>
      <c r="K2067" s="299"/>
      <c r="L2067" s="84"/>
      <c r="M2067" s="76"/>
      <c r="Q2067" s="84"/>
      <c r="R2067" s="76"/>
    </row>
    <row r="2068" spans="2:18" s="83" customFormat="1" ht="15" hidden="1" customHeight="1" outlineLevel="2">
      <c r="B2068" s="119" t="s">
        <v>272</v>
      </c>
      <c r="C2068" s="266" t="s">
        <v>3092</v>
      </c>
      <c r="D2068" s="124" t="s">
        <v>3089</v>
      </c>
      <c r="E2068" s="125"/>
      <c r="F2068" s="118" t="s">
        <v>2593</v>
      </c>
      <c r="G2068" s="126" t="str">
        <f>CONCATENATE("AR-",F2068,"-",H2068)</f>
        <v>AR-R22-1</v>
      </c>
      <c r="H2068" s="253">
        <v>1</v>
      </c>
      <c r="I2068" s="76">
        <v>1</v>
      </c>
      <c r="J2068" s="299" t="s">
        <v>286</v>
      </c>
      <c r="K2068" s="299"/>
      <c r="L2068" s="84"/>
      <c r="M2068" s="76"/>
      <c r="Q2068" s="84"/>
      <c r="R2068" s="76"/>
    </row>
    <row r="2069" spans="2:18" s="83" customFormat="1" ht="15" hidden="1" customHeight="1" outlineLevel="2">
      <c r="B2069" s="119" t="s">
        <v>272</v>
      </c>
      <c r="C2069" s="266" t="s">
        <v>3093</v>
      </c>
      <c r="D2069" s="124" t="s">
        <v>3094</v>
      </c>
      <c r="E2069" s="125"/>
      <c r="F2069" s="118" t="s">
        <v>2593</v>
      </c>
      <c r="G2069" s="126" t="str">
        <f t="shared" ref="G2069:G2088" si="130">CONCATENATE("AR-",F2069,"-",H2069)</f>
        <v>AR-R22-1</v>
      </c>
      <c r="H2069" s="253">
        <v>1</v>
      </c>
      <c r="I2069" s="76">
        <v>1</v>
      </c>
      <c r="J2069" s="299" t="s">
        <v>286</v>
      </c>
      <c r="K2069" s="299"/>
      <c r="L2069" s="84"/>
      <c r="M2069" s="76"/>
      <c r="Q2069" s="84"/>
      <c r="R2069" s="76"/>
    </row>
    <row r="2070" spans="2:18" s="83" customFormat="1" ht="15" hidden="1" customHeight="1" outlineLevel="2">
      <c r="B2070" s="119" t="s">
        <v>272</v>
      </c>
      <c r="C2070" s="266" t="s">
        <v>3095</v>
      </c>
      <c r="D2070" s="124" t="s">
        <v>3094</v>
      </c>
      <c r="E2070" s="125"/>
      <c r="F2070" s="118" t="s">
        <v>2593</v>
      </c>
      <c r="G2070" s="126" t="str">
        <f t="shared" si="130"/>
        <v>AR-R22-1</v>
      </c>
      <c r="H2070" s="253">
        <v>1</v>
      </c>
      <c r="I2070" s="76">
        <v>1</v>
      </c>
      <c r="J2070" s="299" t="s">
        <v>286</v>
      </c>
      <c r="K2070" s="299"/>
      <c r="L2070" s="84"/>
      <c r="M2070" s="76"/>
      <c r="Q2070" s="84"/>
      <c r="R2070" s="76"/>
    </row>
    <row r="2071" spans="2:18" s="83" customFormat="1" ht="15" hidden="1" customHeight="1" outlineLevel="2">
      <c r="B2071" s="119" t="s">
        <v>272</v>
      </c>
      <c r="C2071" s="266" t="s">
        <v>3096</v>
      </c>
      <c r="D2071" s="124" t="s">
        <v>3094</v>
      </c>
      <c r="E2071" s="125"/>
      <c r="F2071" s="118" t="s">
        <v>2593</v>
      </c>
      <c r="G2071" s="126" t="str">
        <f t="shared" si="130"/>
        <v>AR-R22-1</v>
      </c>
      <c r="H2071" s="253">
        <v>1</v>
      </c>
      <c r="I2071" s="76">
        <v>1</v>
      </c>
      <c r="J2071" s="299" t="s">
        <v>286</v>
      </c>
      <c r="K2071" s="299"/>
      <c r="L2071" s="84"/>
      <c r="M2071" s="76"/>
      <c r="Q2071" s="84"/>
      <c r="R2071" s="76"/>
    </row>
    <row r="2072" spans="2:18" s="83" customFormat="1" ht="15" hidden="1" customHeight="1" outlineLevel="2">
      <c r="B2072" s="119" t="s">
        <v>272</v>
      </c>
      <c r="C2072" s="266" t="s">
        <v>3097</v>
      </c>
      <c r="D2072" s="124" t="s">
        <v>3094</v>
      </c>
      <c r="E2072" s="125"/>
      <c r="F2072" s="118" t="s">
        <v>2593</v>
      </c>
      <c r="G2072" s="126" t="str">
        <f t="shared" si="130"/>
        <v>AR-R22-1</v>
      </c>
      <c r="H2072" s="253">
        <v>1</v>
      </c>
      <c r="I2072" s="76">
        <v>1</v>
      </c>
      <c r="J2072" s="299" t="s">
        <v>286</v>
      </c>
      <c r="K2072" s="299"/>
      <c r="L2072" s="84"/>
      <c r="M2072" s="76"/>
      <c r="Q2072" s="84"/>
      <c r="R2072" s="76"/>
    </row>
    <row r="2073" spans="2:18" s="83" customFormat="1" ht="15" hidden="1" customHeight="1" outlineLevel="2">
      <c r="B2073" s="119" t="s">
        <v>272</v>
      </c>
      <c r="C2073" s="266" t="s">
        <v>3098</v>
      </c>
      <c r="D2073" s="124" t="s">
        <v>3099</v>
      </c>
      <c r="E2073" s="125"/>
      <c r="F2073" s="118" t="s">
        <v>2593</v>
      </c>
      <c r="G2073" s="126" t="str">
        <f t="shared" si="130"/>
        <v>AR-R22-1</v>
      </c>
      <c r="H2073" s="253">
        <v>1</v>
      </c>
      <c r="I2073" s="76">
        <v>1</v>
      </c>
      <c r="J2073" s="299" t="s">
        <v>286</v>
      </c>
      <c r="K2073" s="299"/>
      <c r="L2073" s="84"/>
      <c r="M2073" s="76"/>
      <c r="Q2073" s="84"/>
      <c r="R2073" s="76"/>
    </row>
    <row r="2074" spans="2:18" s="83" customFormat="1" ht="15" hidden="1" customHeight="1" outlineLevel="2">
      <c r="B2074" s="119" t="s">
        <v>272</v>
      </c>
      <c r="C2074" s="266" t="s">
        <v>3100</v>
      </c>
      <c r="D2074" s="124" t="s">
        <v>3099</v>
      </c>
      <c r="E2074" s="125"/>
      <c r="F2074" s="118" t="s">
        <v>2593</v>
      </c>
      <c r="G2074" s="126" t="str">
        <f t="shared" si="130"/>
        <v>AR-R22-1</v>
      </c>
      <c r="H2074" s="253">
        <v>1</v>
      </c>
      <c r="I2074" s="76">
        <v>1</v>
      </c>
      <c r="J2074" s="299" t="s">
        <v>286</v>
      </c>
      <c r="K2074" s="299"/>
      <c r="L2074" s="84"/>
      <c r="M2074" s="76"/>
      <c r="Q2074" s="84"/>
      <c r="R2074" s="76"/>
    </row>
    <row r="2075" spans="2:18" s="83" customFormat="1" ht="15" hidden="1" customHeight="1" outlineLevel="2">
      <c r="B2075" s="119" t="s">
        <v>272</v>
      </c>
      <c r="C2075" s="266" t="s">
        <v>3101</v>
      </c>
      <c r="D2075" s="124" t="s">
        <v>3099</v>
      </c>
      <c r="E2075" s="125"/>
      <c r="F2075" s="118" t="s">
        <v>2593</v>
      </c>
      <c r="G2075" s="126" t="str">
        <f t="shared" si="130"/>
        <v>AR-R22-1</v>
      </c>
      <c r="H2075" s="253">
        <v>1</v>
      </c>
      <c r="I2075" s="76">
        <v>1</v>
      </c>
      <c r="J2075" s="299" t="s">
        <v>286</v>
      </c>
      <c r="K2075" s="299"/>
      <c r="L2075" s="84"/>
      <c r="M2075" s="76"/>
      <c r="Q2075" s="84"/>
      <c r="R2075" s="76"/>
    </row>
    <row r="2076" spans="2:18" s="83" customFormat="1" ht="15" hidden="1" customHeight="1" outlineLevel="2">
      <c r="B2076" s="119" t="s">
        <v>272</v>
      </c>
      <c r="C2076" s="266" t="s">
        <v>3102</v>
      </c>
      <c r="D2076" s="124" t="s">
        <v>3099</v>
      </c>
      <c r="E2076" s="125"/>
      <c r="F2076" s="118" t="s">
        <v>2593</v>
      </c>
      <c r="G2076" s="126" t="str">
        <f t="shared" si="130"/>
        <v>AR-R22-1</v>
      </c>
      <c r="H2076" s="253">
        <v>1</v>
      </c>
      <c r="I2076" s="76">
        <v>1</v>
      </c>
      <c r="J2076" s="299" t="s">
        <v>286</v>
      </c>
      <c r="K2076" s="299"/>
      <c r="L2076" s="84"/>
      <c r="M2076" s="76"/>
      <c r="Q2076" s="84"/>
      <c r="R2076" s="76"/>
    </row>
    <row r="2077" spans="2:18" s="83" customFormat="1" ht="15" hidden="1" customHeight="1" outlineLevel="2">
      <c r="B2077" s="119" t="s">
        <v>272</v>
      </c>
      <c r="C2077" s="266" t="s">
        <v>3103</v>
      </c>
      <c r="D2077" s="124" t="s">
        <v>3104</v>
      </c>
      <c r="E2077" s="125"/>
      <c r="F2077" s="118" t="s">
        <v>2593</v>
      </c>
      <c r="G2077" s="126" t="str">
        <f t="shared" si="130"/>
        <v>AR-R22-1</v>
      </c>
      <c r="H2077" s="253">
        <v>1</v>
      </c>
      <c r="I2077" s="76">
        <v>1</v>
      </c>
      <c r="J2077" s="299" t="s">
        <v>286</v>
      </c>
      <c r="K2077" s="299"/>
      <c r="L2077" s="84"/>
      <c r="M2077" s="76"/>
      <c r="Q2077" s="84"/>
      <c r="R2077" s="76"/>
    </row>
    <row r="2078" spans="2:18" s="83" customFormat="1" ht="15" hidden="1" customHeight="1" outlineLevel="2">
      <c r="B2078" s="119" t="s">
        <v>272</v>
      </c>
      <c r="C2078" s="266" t="s">
        <v>3105</v>
      </c>
      <c r="D2078" s="124" t="s">
        <v>3104</v>
      </c>
      <c r="E2078" s="125"/>
      <c r="F2078" s="118" t="s">
        <v>2593</v>
      </c>
      <c r="G2078" s="126" t="str">
        <f t="shared" si="130"/>
        <v>AR-R22-1</v>
      </c>
      <c r="H2078" s="253">
        <v>1</v>
      </c>
      <c r="I2078" s="76">
        <v>1</v>
      </c>
      <c r="J2078" s="299" t="s">
        <v>286</v>
      </c>
      <c r="K2078" s="299"/>
      <c r="L2078" s="84"/>
      <c r="M2078" s="76"/>
      <c r="Q2078" s="84"/>
      <c r="R2078" s="76"/>
    </row>
    <row r="2079" spans="2:18" s="83" customFormat="1" ht="15" hidden="1" customHeight="1" outlineLevel="2">
      <c r="B2079" s="119" t="s">
        <v>272</v>
      </c>
      <c r="C2079" s="266" t="s">
        <v>3106</v>
      </c>
      <c r="D2079" s="124" t="s">
        <v>3104</v>
      </c>
      <c r="E2079" s="125"/>
      <c r="F2079" s="118" t="s">
        <v>2593</v>
      </c>
      <c r="G2079" s="126" t="str">
        <f t="shared" si="130"/>
        <v>AR-R22-1</v>
      </c>
      <c r="H2079" s="253">
        <v>1</v>
      </c>
      <c r="I2079" s="76">
        <v>1</v>
      </c>
      <c r="J2079" s="299" t="s">
        <v>286</v>
      </c>
      <c r="K2079" s="299"/>
      <c r="L2079" s="84"/>
      <c r="M2079" s="76"/>
      <c r="Q2079" s="84"/>
      <c r="R2079" s="76"/>
    </row>
    <row r="2080" spans="2:18" s="83" customFormat="1" ht="15" hidden="1" customHeight="1" outlineLevel="2">
      <c r="B2080" s="119" t="s">
        <v>272</v>
      </c>
      <c r="C2080" s="266" t="s">
        <v>3107</v>
      </c>
      <c r="D2080" s="124" t="s">
        <v>3104</v>
      </c>
      <c r="E2080" s="125"/>
      <c r="F2080" s="118" t="s">
        <v>2593</v>
      </c>
      <c r="G2080" s="126" t="str">
        <f t="shared" si="130"/>
        <v>AR-R22-1</v>
      </c>
      <c r="H2080" s="253">
        <v>1</v>
      </c>
      <c r="I2080" s="76">
        <v>1</v>
      </c>
      <c r="J2080" s="299" t="s">
        <v>286</v>
      </c>
      <c r="K2080" s="299"/>
      <c r="L2080" s="84"/>
      <c r="M2080" s="76"/>
      <c r="Q2080" s="84"/>
      <c r="R2080" s="76"/>
    </row>
    <row r="2081" spans="2:18" s="83" customFormat="1" ht="15" hidden="1" customHeight="1" outlineLevel="2">
      <c r="B2081" s="119" t="s">
        <v>272</v>
      </c>
      <c r="C2081" s="266" t="s">
        <v>3108</v>
      </c>
      <c r="D2081" s="124" t="s">
        <v>3109</v>
      </c>
      <c r="E2081" s="125"/>
      <c r="F2081" s="118" t="s">
        <v>2593</v>
      </c>
      <c r="G2081" s="126" t="str">
        <f t="shared" si="130"/>
        <v>AR-R22-1</v>
      </c>
      <c r="H2081" s="253">
        <v>1</v>
      </c>
      <c r="I2081" s="76">
        <v>1</v>
      </c>
      <c r="J2081" s="299" t="s">
        <v>286</v>
      </c>
      <c r="K2081" s="299"/>
      <c r="L2081" s="84"/>
      <c r="M2081" s="76"/>
      <c r="Q2081" s="84"/>
      <c r="R2081" s="76"/>
    </row>
    <row r="2082" spans="2:18" s="83" customFormat="1" ht="15" hidden="1" customHeight="1" outlineLevel="2">
      <c r="B2082" s="119" t="s">
        <v>272</v>
      </c>
      <c r="C2082" s="266" t="s">
        <v>3110</v>
      </c>
      <c r="D2082" s="124" t="s">
        <v>3109</v>
      </c>
      <c r="E2082" s="125"/>
      <c r="F2082" s="118" t="s">
        <v>2593</v>
      </c>
      <c r="G2082" s="126" t="str">
        <f t="shared" si="130"/>
        <v>AR-R22-1</v>
      </c>
      <c r="H2082" s="253">
        <v>1</v>
      </c>
      <c r="I2082" s="76">
        <v>1</v>
      </c>
      <c r="J2082" s="299" t="s">
        <v>286</v>
      </c>
      <c r="K2082" s="299"/>
      <c r="L2082" s="84"/>
      <c r="M2082" s="76"/>
      <c r="Q2082" s="84"/>
      <c r="R2082" s="76"/>
    </row>
    <row r="2083" spans="2:18" s="83" customFormat="1" ht="15" hidden="1" customHeight="1" outlineLevel="2">
      <c r="B2083" s="119" t="s">
        <v>272</v>
      </c>
      <c r="C2083" s="266" t="s">
        <v>3111</v>
      </c>
      <c r="D2083" s="124" t="s">
        <v>3109</v>
      </c>
      <c r="E2083" s="125"/>
      <c r="F2083" s="118" t="s">
        <v>2593</v>
      </c>
      <c r="G2083" s="126" t="str">
        <f t="shared" si="130"/>
        <v>AR-R22-1</v>
      </c>
      <c r="H2083" s="253">
        <v>1</v>
      </c>
      <c r="I2083" s="76">
        <v>1</v>
      </c>
      <c r="J2083" s="299" t="s">
        <v>286</v>
      </c>
      <c r="K2083" s="299"/>
      <c r="L2083" s="84"/>
      <c r="M2083" s="76"/>
      <c r="Q2083" s="84"/>
      <c r="R2083" s="76"/>
    </row>
    <row r="2084" spans="2:18" s="83" customFormat="1" ht="15" hidden="1" customHeight="1" outlineLevel="2">
      <c r="B2084" s="119" t="s">
        <v>272</v>
      </c>
      <c r="C2084" s="266" t="s">
        <v>3112</v>
      </c>
      <c r="D2084" s="124" t="s">
        <v>3109</v>
      </c>
      <c r="E2084" s="125"/>
      <c r="F2084" s="118" t="s">
        <v>2593</v>
      </c>
      <c r="G2084" s="126" t="str">
        <f t="shared" si="130"/>
        <v>AR-R22-1</v>
      </c>
      <c r="H2084" s="253">
        <v>1</v>
      </c>
      <c r="I2084" s="76">
        <v>1</v>
      </c>
      <c r="J2084" s="299" t="s">
        <v>286</v>
      </c>
      <c r="K2084" s="299"/>
      <c r="L2084" s="84"/>
      <c r="M2084" s="76"/>
      <c r="Q2084" s="84"/>
      <c r="R2084" s="76"/>
    </row>
    <row r="2085" spans="2:18" s="83" customFormat="1" ht="15" hidden="1" customHeight="1" outlineLevel="2">
      <c r="B2085" s="119" t="s">
        <v>272</v>
      </c>
      <c r="C2085" s="266" t="s">
        <v>3113</v>
      </c>
      <c r="D2085" s="124" t="s">
        <v>3114</v>
      </c>
      <c r="E2085" s="125"/>
      <c r="F2085" s="118" t="s">
        <v>2593</v>
      </c>
      <c r="G2085" s="126" t="str">
        <f t="shared" si="130"/>
        <v>AR-R22-1</v>
      </c>
      <c r="H2085" s="253">
        <v>1</v>
      </c>
      <c r="I2085" s="76">
        <v>1</v>
      </c>
      <c r="J2085" s="299" t="s">
        <v>286</v>
      </c>
      <c r="K2085" s="299"/>
      <c r="L2085" s="84"/>
      <c r="M2085" s="76"/>
      <c r="Q2085" s="84"/>
      <c r="R2085" s="76"/>
    </row>
    <row r="2086" spans="2:18" s="83" customFormat="1" ht="15" hidden="1" customHeight="1" outlineLevel="2">
      <c r="B2086" s="119" t="s">
        <v>272</v>
      </c>
      <c r="C2086" s="266" t="s">
        <v>3115</v>
      </c>
      <c r="D2086" s="124" t="s">
        <v>3114</v>
      </c>
      <c r="E2086" s="125"/>
      <c r="F2086" s="118" t="s">
        <v>2593</v>
      </c>
      <c r="G2086" s="126" t="str">
        <f t="shared" si="130"/>
        <v>AR-R22-1</v>
      </c>
      <c r="H2086" s="253">
        <v>1</v>
      </c>
      <c r="I2086" s="76">
        <v>1</v>
      </c>
      <c r="J2086" s="299" t="s">
        <v>286</v>
      </c>
      <c r="K2086" s="299"/>
      <c r="L2086" s="84"/>
      <c r="M2086" s="76"/>
      <c r="Q2086" s="84"/>
      <c r="R2086" s="76"/>
    </row>
    <row r="2087" spans="2:18" s="83" customFormat="1" ht="15" hidden="1" customHeight="1" outlineLevel="2">
      <c r="B2087" s="119" t="s">
        <v>272</v>
      </c>
      <c r="C2087" s="266" t="s">
        <v>3116</v>
      </c>
      <c r="D2087" s="124" t="s">
        <v>3114</v>
      </c>
      <c r="E2087" s="125"/>
      <c r="F2087" s="118" t="s">
        <v>2593</v>
      </c>
      <c r="G2087" s="126" t="str">
        <f t="shared" si="130"/>
        <v>AR-R22-1</v>
      </c>
      <c r="H2087" s="253">
        <v>1</v>
      </c>
      <c r="I2087" s="76">
        <v>1</v>
      </c>
      <c r="J2087" s="299" t="s">
        <v>286</v>
      </c>
      <c r="K2087" s="299"/>
      <c r="L2087" s="84"/>
      <c r="M2087" s="76"/>
      <c r="Q2087" s="84"/>
      <c r="R2087" s="76"/>
    </row>
    <row r="2088" spans="2:18" s="83" customFormat="1" ht="15" hidden="1" customHeight="1" outlineLevel="2">
      <c r="B2088" s="119" t="s">
        <v>272</v>
      </c>
      <c r="C2088" s="266" t="s">
        <v>3117</v>
      </c>
      <c r="D2088" s="124" t="s">
        <v>3114</v>
      </c>
      <c r="E2088" s="125"/>
      <c r="F2088" s="118" t="s">
        <v>2593</v>
      </c>
      <c r="G2088" s="126" t="str">
        <f t="shared" si="130"/>
        <v>AR-R22-1</v>
      </c>
      <c r="H2088" s="253">
        <v>1</v>
      </c>
      <c r="I2088" s="76">
        <v>1</v>
      </c>
      <c r="J2088" s="299" t="s">
        <v>286</v>
      </c>
      <c r="K2088" s="299"/>
      <c r="L2088" s="84"/>
      <c r="M2088" s="76"/>
      <c r="Q2088" s="84"/>
      <c r="R2088" s="76"/>
    </row>
    <row r="2089" spans="2:18" s="83" customFormat="1" ht="15" hidden="1" customHeight="1" outlineLevel="2">
      <c r="B2089" s="119" t="s">
        <v>272</v>
      </c>
      <c r="C2089" s="266" t="s">
        <v>3118</v>
      </c>
      <c r="D2089" s="124" t="s">
        <v>3119</v>
      </c>
      <c r="E2089" s="125"/>
      <c r="F2089" s="118" t="s">
        <v>2593</v>
      </c>
      <c r="G2089" s="126" t="str">
        <f t="shared" ref="G2089:G2129" si="131">CONCATENATE("AR-",F2089,"-",H2089)</f>
        <v>AR-R22-1</v>
      </c>
      <c r="H2089" s="253">
        <v>1</v>
      </c>
      <c r="I2089" s="76">
        <v>1</v>
      </c>
      <c r="J2089" s="299" t="s">
        <v>286</v>
      </c>
      <c r="K2089" s="299"/>
      <c r="L2089" s="84"/>
      <c r="M2089" s="76"/>
      <c r="Q2089" s="84"/>
      <c r="R2089" s="76"/>
    </row>
    <row r="2090" spans="2:18" s="83" customFormat="1" ht="15" hidden="1" customHeight="1" outlineLevel="2">
      <c r="B2090" s="119" t="s">
        <v>272</v>
      </c>
      <c r="C2090" s="266" t="s">
        <v>3120</v>
      </c>
      <c r="D2090" s="124" t="s">
        <v>3119</v>
      </c>
      <c r="E2090" s="125"/>
      <c r="F2090" s="118" t="s">
        <v>2593</v>
      </c>
      <c r="G2090" s="126" t="str">
        <f t="shared" si="131"/>
        <v>AR-R22-1</v>
      </c>
      <c r="H2090" s="253">
        <v>1</v>
      </c>
      <c r="I2090" s="76">
        <v>1</v>
      </c>
      <c r="J2090" s="299" t="s">
        <v>286</v>
      </c>
      <c r="K2090" s="299"/>
      <c r="L2090" s="84"/>
      <c r="M2090" s="76"/>
      <c r="Q2090" s="84"/>
      <c r="R2090" s="76"/>
    </row>
    <row r="2091" spans="2:18" s="100" customFormat="1" ht="15" hidden="1" customHeight="1" outlineLevel="2">
      <c r="B2091" s="119" t="s">
        <v>272</v>
      </c>
      <c r="C2091" s="266" t="s">
        <v>3121</v>
      </c>
      <c r="D2091" s="124" t="s">
        <v>3119</v>
      </c>
      <c r="E2091" s="125"/>
      <c r="F2091" s="118" t="s">
        <v>2593</v>
      </c>
      <c r="G2091" s="126" t="str">
        <f t="shared" si="131"/>
        <v>AR-R22-1</v>
      </c>
      <c r="H2091" s="253">
        <v>1</v>
      </c>
      <c r="I2091" s="76">
        <v>1</v>
      </c>
      <c r="J2091" s="299" t="s">
        <v>286</v>
      </c>
      <c r="K2091" s="299"/>
      <c r="L2091" s="84"/>
      <c r="M2091" s="76"/>
      <c r="Q2091" s="84"/>
      <c r="R2091" s="76"/>
    </row>
    <row r="2092" spans="2:18" s="83" customFormat="1" ht="15" hidden="1" customHeight="1" outlineLevel="2">
      <c r="B2092" s="119" t="s">
        <v>272</v>
      </c>
      <c r="C2092" s="266" t="s">
        <v>3122</v>
      </c>
      <c r="D2092" s="124" t="s">
        <v>3119</v>
      </c>
      <c r="E2092" s="125"/>
      <c r="F2092" s="118" t="s">
        <v>2593</v>
      </c>
      <c r="G2092" s="126" t="str">
        <f t="shared" si="131"/>
        <v>AR-R22-1</v>
      </c>
      <c r="H2092" s="253">
        <v>1</v>
      </c>
      <c r="I2092" s="76">
        <v>1</v>
      </c>
      <c r="J2092" s="299" t="s">
        <v>286</v>
      </c>
      <c r="K2092" s="299"/>
      <c r="L2092" s="84"/>
      <c r="M2092" s="76"/>
      <c r="Q2092" s="84"/>
      <c r="R2092" s="76"/>
    </row>
    <row r="2093" spans="2:18" s="83" customFormat="1" ht="15" hidden="1" customHeight="1" outlineLevel="2">
      <c r="B2093" s="119" t="s">
        <v>272</v>
      </c>
      <c r="C2093" s="266" t="s">
        <v>3123</v>
      </c>
      <c r="D2093" s="124" t="s">
        <v>3124</v>
      </c>
      <c r="E2093" s="125"/>
      <c r="F2093" s="118" t="s">
        <v>2593</v>
      </c>
      <c r="G2093" s="126" t="str">
        <f t="shared" si="131"/>
        <v>AR-R22-1</v>
      </c>
      <c r="H2093" s="253">
        <v>1</v>
      </c>
      <c r="I2093" s="76">
        <v>1</v>
      </c>
      <c r="J2093" s="299" t="s">
        <v>286</v>
      </c>
      <c r="K2093" s="299"/>
      <c r="L2093" s="84"/>
      <c r="M2093" s="76"/>
      <c r="Q2093" s="84"/>
      <c r="R2093" s="76"/>
    </row>
    <row r="2094" spans="2:18" s="83" customFormat="1" ht="15" hidden="1" customHeight="1" outlineLevel="2">
      <c r="B2094" s="119" t="s">
        <v>272</v>
      </c>
      <c r="C2094" s="266" t="s">
        <v>3125</v>
      </c>
      <c r="D2094" s="124" t="s">
        <v>3124</v>
      </c>
      <c r="E2094" s="125"/>
      <c r="F2094" s="118" t="s">
        <v>2593</v>
      </c>
      <c r="G2094" s="126" t="str">
        <f t="shared" si="131"/>
        <v>AR-R22-1</v>
      </c>
      <c r="H2094" s="253">
        <v>1</v>
      </c>
      <c r="I2094" s="76">
        <v>1</v>
      </c>
      <c r="J2094" s="299" t="s">
        <v>286</v>
      </c>
      <c r="K2094" s="299"/>
      <c r="L2094" s="84"/>
      <c r="M2094" s="76"/>
      <c r="Q2094" s="84"/>
      <c r="R2094" s="76"/>
    </row>
    <row r="2095" spans="2:18" s="83" customFormat="1" ht="15" hidden="1" customHeight="1" outlineLevel="2">
      <c r="B2095" s="119" t="s">
        <v>272</v>
      </c>
      <c r="C2095" s="266" t="s">
        <v>3126</v>
      </c>
      <c r="D2095" s="124" t="s">
        <v>3124</v>
      </c>
      <c r="E2095" s="125"/>
      <c r="F2095" s="118" t="s">
        <v>2593</v>
      </c>
      <c r="G2095" s="126" t="str">
        <f t="shared" si="131"/>
        <v>AR-R22-1</v>
      </c>
      <c r="H2095" s="253">
        <v>1</v>
      </c>
      <c r="I2095" s="76">
        <v>1</v>
      </c>
      <c r="J2095" s="299" t="s">
        <v>286</v>
      </c>
      <c r="K2095" s="299"/>
      <c r="L2095" s="84"/>
      <c r="M2095" s="76"/>
      <c r="Q2095" s="84"/>
      <c r="R2095" s="76"/>
    </row>
    <row r="2096" spans="2:18" s="83" customFormat="1" ht="15" hidden="1" customHeight="1" outlineLevel="2">
      <c r="B2096" s="119" t="s">
        <v>272</v>
      </c>
      <c r="C2096" s="266" t="s">
        <v>3127</v>
      </c>
      <c r="D2096" s="124" t="s">
        <v>3124</v>
      </c>
      <c r="E2096" s="125"/>
      <c r="F2096" s="118" t="s">
        <v>2593</v>
      </c>
      <c r="G2096" s="126" t="str">
        <f t="shared" si="131"/>
        <v>AR-R22-1</v>
      </c>
      <c r="H2096" s="253">
        <v>1</v>
      </c>
      <c r="I2096" s="76">
        <v>1</v>
      </c>
      <c r="J2096" s="299" t="s">
        <v>286</v>
      </c>
      <c r="K2096" s="299"/>
      <c r="L2096" s="84"/>
      <c r="M2096" s="76"/>
      <c r="Q2096" s="84"/>
      <c r="R2096" s="76"/>
    </row>
    <row r="2097" spans="2:18" s="83" customFormat="1" ht="15" hidden="1" customHeight="1" outlineLevel="2">
      <c r="B2097" s="119" t="s">
        <v>272</v>
      </c>
      <c r="C2097" s="266" t="s">
        <v>3128</v>
      </c>
      <c r="D2097" s="124" t="s">
        <v>3129</v>
      </c>
      <c r="E2097" s="125"/>
      <c r="F2097" s="118" t="s">
        <v>2593</v>
      </c>
      <c r="G2097" s="126" t="str">
        <f t="shared" si="131"/>
        <v>AR-R22-1</v>
      </c>
      <c r="H2097" s="253">
        <v>1</v>
      </c>
      <c r="I2097" s="76">
        <v>1</v>
      </c>
      <c r="J2097" s="299" t="s">
        <v>286</v>
      </c>
      <c r="K2097" s="299"/>
      <c r="L2097" s="84"/>
      <c r="M2097" s="76"/>
      <c r="Q2097" s="84"/>
      <c r="R2097" s="76"/>
    </row>
    <row r="2098" spans="2:18" s="83" customFormat="1" ht="15" hidden="1" customHeight="1" outlineLevel="2">
      <c r="B2098" s="119" t="s">
        <v>272</v>
      </c>
      <c r="C2098" s="266" t="s">
        <v>3130</v>
      </c>
      <c r="D2098" s="124" t="s">
        <v>3129</v>
      </c>
      <c r="E2098" s="125"/>
      <c r="F2098" s="118" t="s">
        <v>2593</v>
      </c>
      <c r="G2098" s="126" t="str">
        <f t="shared" si="131"/>
        <v>AR-R22-1</v>
      </c>
      <c r="H2098" s="253">
        <v>1</v>
      </c>
      <c r="I2098" s="76">
        <v>1</v>
      </c>
      <c r="J2098" s="299" t="s">
        <v>286</v>
      </c>
      <c r="K2098" s="299"/>
      <c r="L2098" s="84"/>
      <c r="M2098" s="76"/>
      <c r="Q2098" s="84"/>
      <c r="R2098" s="76"/>
    </row>
    <row r="2099" spans="2:18" s="83" customFormat="1" ht="15" hidden="1" customHeight="1" outlineLevel="2">
      <c r="B2099" s="119" t="s">
        <v>272</v>
      </c>
      <c r="C2099" s="266" t="s">
        <v>3131</v>
      </c>
      <c r="D2099" s="124" t="s">
        <v>3129</v>
      </c>
      <c r="E2099" s="125"/>
      <c r="F2099" s="118" t="s">
        <v>2593</v>
      </c>
      <c r="G2099" s="126" t="str">
        <f t="shared" si="131"/>
        <v>AR-R22-1</v>
      </c>
      <c r="H2099" s="253">
        <v>1</v>
      </c>
      <c r="I2099" s="76">
        <v>1</v>
      </c>
      <c r="J2099" s="299" t="s">
        <v>286</v>
      </c>
      <c r="K2099" s="299"/>
      <c r="L2099" s="84"/>
      <c r="M2099" s="76"/>
      <c r="Q2099" s="84"/>
      <c r="R2099" s="76"/>
    </row>
    <row r="2100" spans="2:18" s="83" customFormat="1" ht="15" hidden="1" customHeight="1" outlineLevel="2">
      <c r="B2100" s="119" t="s">
        <v>272</v>
      </c>
      <c r="C2100" s="266" t="s">
        <v>3132</v>
      </c>
      <c r="D2100" s="124" t="s">
        <v>3129</v>
      </c>
      <c r="E2100" s="125"/>
      <c r="F2100" s="118" t="s">
        <v>2593</v>
      </c>
      <c r="G2100" s="126" t="str">
        <f t="shared" si="131"/>
        <v>AR-R22-1</v>
      </c>
      <c r="H2100" s="253">
        <v>1</v>
      </c>
      <c r="I2100" s="76">
        <v>1</v>
      </c>
      <c r="J2100" s="299" t="s">
        <v>286</v>
      </c>
      <c r="K2100" s="299"/>
      <c r="L2100" s="84"/>
      <c r="M2100" s="76"/>
      <c r="Q2100" s="84"/>
      <c r="R2100" s="76"/>
    </row>
    <row r="2101" spans="2:18" s="83" customFormat="1" ht="15" hidden="1" customHeight="1" outlineLevel="2">
      <c r="B2101" s="119" t="s">
        <v>272</v>
      </c>
      <c r="C2101" s="266" t="s">
        <v>3133</v>
      </c>
      <c r="D2101" s="124" t="s">
        <v>3134</v>
      </c>
      <c r="E2101" s="125"/>
      <c r="F2101" s="118" t="s">
        <v>2593</v>
      </c>
      <c r="G2101" s="126" t="str">
        <f t="shared" si="131"/>
        <v>AR-R22-1</v>
      </c>
      <c r="H2101" s="253">
        <v>1</v>
      </c>
      <c r="I2101" s="76">
        <v>1</v>
      </c>
      <c r="J2101" s="299" t="s">
        <v>286</v>
      </c>
      <c r="K2101" s="299"/>
      <c r="L2101" s="84"/>
      <c r="M2101" s="76"/>
      <c r="Q2101" s="84"/>
      <c r="R2101" s="76"/>
    </row>
    <row r="2102" spans="2:18" s="83" customFormat="1" ht="15" hidden="1" customHeight="1" outlineLevel="2">
      <c r="B2102" s="119" t="s">
        <v>272</v>
      </c>
      <c r="C2102" s="266" t="s">
        <v>3135</v>
      </c>
      <c r="D2102" s="124" t="s">
        <v>3134</v>
      </c>
      <c r="E2102" s="125"/>
      <c r="F2102" s="118" t="s">
        <v>2593</v>
      </c>
      <c r="G2102" s="126" t="str">
        <f t="shared" si="131"/>
        <v>AR-R22-1</v>
      </c>
      <c r="H2102" s="253">
        <v>1</v>
      </c>
      <c r="I2102" s="76">
        <v>1</v>
      </c>
      <c r="J2102" s="299" t="s">
        <v>286</v>
      </c>
      <c r="K2102" s="299"/>
      <c r="L2102" s="84"/>
      <c r="M2102" s="76"/>
      <c r="Q2102" s="84"/>
      <c r="R2102" s="76"/>
    </row>
    <row r="2103" spans="2:18" s="83" customFormat="1" ht="15" hidden="1" customHeight="1" outlineLevel="2">
      <c r="B2103" s="119" t="s">
        <v>272</v>
      </c>
      <c r="C2103" s="266" t="s">
        <v>3136</v>
      </c>
      <c r="D2103" s="124" t="s">
        <v>3134</v>
      </c>
      <c r="E2103" s="125"/>
      <c r="F2103" s="118" t="s">
        <v>2593</v>
      </c>
      <c r="G2103" s="126" t="str">
        <f t="shared" si="131"/>
        <v>AR-R22-1</v>
      </c>
      <c r="H2103" s="253">
        <v>1</v>
      </c>
      <c r="I2103" s="76">
        <v>1</v>
      </c>
      <c r="J2103" s="299" t="s">
        <v>286</v>
      </c>
      <c r="K2103" s="299"/>
      <c r="L2103" s="84"/>
      <c r="M2103" s="76"/>
      <c r="Q2103" s="84"/>
      <c r="R2103" s="76"/>
    </row>
    <row r="2104" spans="2:18" s="83" customFormat="1" ht="15" hidden="1" customHeight="1" outlineLevel="2">
      <c r="B2104" s="119" t="s">
        <v>272</v>
      </c>
      <c r="C2104" s="266" t="s">
        <v>3137</v>
      </c>
      <c r="D2104" s="124" t="s">
        <v>3134</v>
      </c>
      <c r="E2104" s="125"/>
      <c r="F2104" s="118" t="s">
        <v>2593</v>
      </c>
      <c r="G2104" s="126" t="str">
        <f t="shared" si="131"/>
        <v>AR-R22-1</v>
      </c>
      <c r="H2104" s="253">
        <v>1</v>
      </c>
      <c r="I2104" s="76">
        <v>1</v>
      </c>
      <c r="J2104" s="299" t="s">
        <v>286</v>
      </c>
      <c r="K2104" s="299"/>
      <c r="L2104" s="84"/>
      <c r="M2104" s="76"/>
      <c r="Q2104" s="84"/>
      <c r="R2104" s="76"/>
    </row>
    <row r="2105" spans="2:18" s="83" customFormat="1" ht="15" hidden="1" customHeight="1" outlineLevel="2">
      <c r="B2105" s="119" t="s">
        <v>272</v>
      </c>
      <c r="C2105" s="266" t="s">
        <v>3138</v>
      </c>
      <c r="D2105" s="124" t="s">
        <v>3139</v>
      </c>
      <c r="E2105" s="125"/>
      <c r="F2105" s="118" t="s">
        <v>2593</v>
      </c>
      <c r="G2105" s="126" t="str">
        <f t="shared" si="131"/>
        <v>AR-R22-1</v>
      </c>
      <c r="H2105" s="253">
        <v>1</v>
      </c>
      <c r="I2105" s="76">
        <v>1</v>
      </c>
      <c r="J2105" s="299" t="s">
        <v>286</v>
      </c>
      <c r="K2105" s="299"/>
      <c r="L2105" s="84"/>
      <c r="M2105" s="76"/>
      <c r="Q2105" s="84"/>
      <c r="R2105" s="76"/>
    </row>
    <row r="2106" spans="2:18" s="99" customFormat="1" ht="15" hidden="1" customHeight="1" outlineLevel="2">
      <c r="B2106" s="119" t="s">
        <v>272</v>
      </c>
      <c r="C2106" s="266" t="s">
        <v>3140</v>
      </c>
      <c r="D2106" s="124" t="s">
        <v>3139</v>
      </c>
      <c r="E2106" s="125"/>
      <c r="F2106" s="118" t="s">
        <v>2593</v>
      </c>
      <c r="G2106" s="126" t="str">
        <f t="shared" si="131"/>
        <v>AR-R22-1</v>
      </c>
      <c r="H2106" s="253">
        <v>1</v>
      </c>
      <c r="I2106" s="76">
        <v>1</v>
      </c>
      <c r="J2106" s="299" t="s">
        <v>286</v>
      </c>
      <c r="K2106" s="299"/>
      <c r="L2106" s="84"/>
      <c r="M2106" s="76"/>
      <c r="Q2106" s="84"/>
      <c r="R2106" s="76"/>
    </row>
    <row r="2107" spans="2:18" s="83" customFormat="1" ht="15" hidden="1" customHeight="1" outlineLevel="2">
      <c r="B2107" s="119" t="s">
        <v>272</v>
      </c>
      <c r="C2107" s="266" t="s">
        <v>3141</v>
      </c>
      <c r="D2107" s="124" t="s">
        <v>3139</v>
      </c>
      <c r="E2107" s="125"/>
      <c r="F2107" s="118" t="s">
        <v>2593</v>
      </c>
      <c r="G2107" s="126" t="str">
        <f t="shared" si="131"/>
        <v>AR-R22-1</v>
      </c>
      <c r="H2107" s="253">
        <v>1</v>
      </c>
      <c r="I2107" s="76">
        <v>1</v>
      </c>
      <c r="J2107" s="299" t="s">
        <v>286</v>
      </c>
      <c r="K2107" s="299"/>
      <c r="L2107" s="84"/>
      <c r="M2107" s="76"/>
      <c r="Q2107" s="84"/>
      <c r="R2107" s="76"/>
    </row>
    <row r="2108" spans="2:18" s="83" customFormat="1" ht="15" hidden="1" customHeight="1" outlineLevel="2">
      <c r="B2108" s="119" t="s">
        <v>272</v>
      </c>
      <c r="C2108" s="266" t="s">
        <v>3142</v>
      </c>
      <c r="D2108" s="124" t="s">
        <v>3139</v>
      </c>
      <c r="E2108" s="125"/>
      <c r="F2108" s="118" t="s">
        <v>2593</v>
      </c>
      <c r="G2108" s="126" t="str">
        <f t="shared" si="131"/>
        <v>AR-R22-1</v>
      </c>
      <c r="H2108" s="253">
        <v>1</v>
      </c>
      <c r="I2108" s="76">
        <v>1</v>
      </c>
      <c r="J2108" s="299" t="s">
        <v>286</v>
      </c>
      <c r="K2108" s="299"/>
      <c r="L2108" s="84"/>
      <c r="M2108" s="76"/>
      <c r="Q2108" s="84"/>
      <c r="R2108" s="76"/>
    </row>
    <row r="2109" spans="2:18" s="83" customFormat="1" ht="15" hidden="1" customHeight="1" outlineLevel="2">
      <c r="B2109" s="119" t="s">
        <v>272</v>
      </c>
      <c r="C2109" s="266" t="s">
        <v>3143</v>
      </c>
      <c r="D2109" s="124" t="s">
        <v>3144</v>
      </c>
      <c r="E2109" s="125"/>
      <c r="F2109" s="118" t="s">
        <v>2593</v>
      </c>
      <c r="G2109" s="126" t="str">
        <f t="shared" si="131"/>
        <v>AR-R22-1</v>
      </c>
      <c r="H2109" s="253">
        <v>1</v>
      </c>
      <c r="I2109" s="76">
        <v>1</v>
      </c>
      <c r="J2109" s="299" t="s">
        <v>286</v>
      </c>
      <c r="K2109" s="299"/>
      <c r="L2109" s="84"/>
      <c r="M2109" s="76"/>
      <c r="Q2109" s="84"/>
      <c r="R2109" s="76"/>
    </row>
    <row r="2110" spans="2:18" s="83" customFormat="1" ht="15" hidden="1" customHeight="1" outlineLevel="2">
      <c r="B2110" s="119" t="s">
        <v>272</v>
      </c>
      <c r="C2110" s="266" t="s">
        <v>3145</v>
      </c>
      <c r="D2110" s="124" t="s">
        <v>3144</v>
      </c>
      <c r="E2110" s="125"/>
      <c r="F2110" s="118" t="s">
        <v>2593</v>
      </c>
      <c r="G2110" s="126" t="str">
        <f t="shared" si="131"/>
        <v>AR-R22-1</v>
      </c>
      <c r="H2110" s="253">
        <v>1</v>
      </c>
      <c r="I2110" s="76">
        <v>1</v>
      </c>
      <c r="J2110" s="299" t="s">
        <v>286</v>
      </c>
      <c r="K2110" s="299"/>
      <c r="L2110" s="84"/>
      <c r="M2110" s="76"/>
      <c r="Q2110" s="84"/>
      <c r="R2110" s="76"/>
    </row>
    <row r="2111" spans="2:18" s="83" customFormat="1" ht="15" hidden="1" customHeight="1" outlineLevel="2">
      <c r="B2111" s="119" t="s">
        <v>272</v>
      </c>
      <c r="C2111" s="266" t="s">
        <v>3146</v>
      </c>
      <c r="D2111" s="124" t="s">
        <v>3147</v>
      </c>
      <c r="E2111" s="125"/>
      <c r="F2111" s="118" t="s">
        <v>2593</v>
      </c>
      <c r="G2111" s="126" t="str">
        <f t="shared" si="131"/>
        <v>AR-R22-1</v>
      </c>
      <c r="H2111" s="253">
        <v>1</v>
      </c>
      <c r="I2111" s="76">
        <v>1</v>
      </c>
      <c r="J2111" s="299" t="s">
        <v>286</v>
      </c>
      <c r="K2111" s="299"/>
      <c r="L2111" s="84"/>
      <c r="M2111" s="76"/>
      <c r="Q2111" s="84"/>
      <c r="R2111" s="76"/>
    </row>
    <row r="2112" spans="2:18" s="83" customFormat="1" ht="15" hidden="1" customHeight="1" outlineLevel="2">
      <c r="B2112" s="119" t="s">
        <v>272</v>
      </c>
      <c r="C2112" s="266" t="s">
        <v>3148</v>
      </c>
      <c r="D2112" s="124" t="s">
        <v>3147</v>
      </c>
      <c r="E2112" s="125"/>
      <c r="F2112" s="118" t="s">
        <v>2593</v>
      </c>
      <c r="G2112" s="126" t="str">
        <f t="shared" si="131"/>
        <v>AR-R22-1</v>
      </c>
      <c r="H2112" s="253">
        <v>1</v>
      </c>
      <c r="I2112" s="76">
        <v>1</v>
      </c>
      <c r="J2112" s="299" t="s">
        <v>286</v>
      </c>
      <c r="K2112" s="299"/>
      <c r="L2112" s="84"/>
      <c r="M2112" s="76"/>
      <c r="Q2112" s="84"/>
      <c r="R2112" s="76"/>
    </row>
    <row r="2113" spans="2:18" s="83" customFormat="1" ht="15" hidden="1" customHeight="1" outlineLevel="2">
      <c r="B2113" s="119" t="s">
        <v>272</v>
      </c>
      <c r="C2113" s="266" t="s">
        <v>3149</v>
      </c>
      <c r="D2113" s="124" t="s">
        <v>3150</v>
      </c>
      <c r="E2113" s="125"/>
      <c r="F2113" s="118" t="s">
        <v>2593</v>
      </c>
      <c r="G2113" s="126" t="str">
        <f t="shared" si="131"/>
        <v>AR-R22-1</v>
      </c>
      <c r="H2113" s="253">
        <v>1</v>
      </c>
      <c r="I2113" s="76">
        <v>1</v>
      </c>
      <c r="J2113" s="299" t="s">
        <v>286</v>
      </c>
      <c r="K2113" s="299"/>
      <c r="L2113" s="84"/>
      <c r="M2113" s="76"/>
      <c r="Q2113" s="84"/>
      <c r="R2113" s="76"/>
    </row>
    <row r="2114" spans="2:18" s="83" customFormat="1" ht="15" hidden="1" customHeight="1" outlineLevel="2">
      <c r="B2114" s="119" t="s">
        <v>272</v>
      </c>
      <c r="C2114" s="266" t="s">
        <v>3151</v>
      </c>
      <c r="D2114" s="124" t="s">
        <v>3150</v>
      </c>
      <c r="E2114" s="125"/>
      <c r="F2114" s="118" t="s">
        <v>2593</v>
      </c>
      <c r="G2114" s="126" t="str">
        <f t="shared" si="131"/>
        <v>AR-R22-1</v>
      </c>
      <c r="H2114" s="253">
        <v>1</v>
      </c>
      <c r="I2114" s="76">
        <v>1</v>
      </c>
      <c r="J2114" s="299" t="s">
        <v>286</v>
      </c>
      <c r="K2114" s="299"/>
      <c r="L2114" s="84"/>
      <c r="M2114" s="76"/>
      <c r="Q2114" s="84"/>
      <c r="R2114" s="76"/>
    </row>
    <row r="2115" spans="2:18" s="83" customFormat="1" ht="15" hidden="1" customHeight="1" outlineLevel="2">
      <c r="B2115" s="119" t="s">
        <v>272</v>
      </c>
      <c r="C2115" s="266" t="s">
        <v>3152</v>
      </c>
      <c r="D2115" s="124" t="s">
        <v>3150</v>
      </c>
      <c r="E2115" s="125"/>
      <c r="F2115" s="118" t="s">
        <v>2593</v>
      </c>
      <c r="G2115" s="126" t="str">
        <f t="shared" si="131"/>
        <v>AR-R22-1</v>
      </c>
      <c r="H2115" s="253">
        <v>1</v>
      </c>
      <c r="I2115" s="76">
        <v>1</v>
      </c>
      <c r="J2115" s="299" t="s">
        <v>286</v>
      </c>
      <c r="K2115" s="299"/>
      <c r="L2115" s="84"/>
      <c r="M2115" s="76"/>
      <c r="Q2115" s="84"/>
      <c r="R2115" s="76"/>
    </row>
    <row r="2116" spans="2:18" s="83" customFormat="1" ht="15" hidden="1" customHeight="1" outlineLevel="2">
      <c r="B2116" s="119" t="s">
        <v>272</v>
      </c>
      <c r="C2116" s="266" t="s">
        <v>3153</v>
      </c>
      <c r="D2116" s="124" t="s">
        <v>3150</v>
      </c>
      <c r="E2116" s="125"/>
      <c r="F2116" s="118" t="s">
        <v>2593</v>
      </c>
      <c r="G2116" s="126" t="str">
        <f t="shared" si="131"/>
        <v>AR-R22-1</v>
      </c>
      <c r="H2116" s="253">
        <v>1</v>
      </c>
      <c r="I2116" s="76">
        <v>1</v>
      </c>
      <c r="J2116" s="299" t="s">
        <v>286</v>
      </c>
      <c r="K2116" s="299"/>
      <c r="L2116" s="84"/>
      <c r="M2116" s="76"/>
      <c r="Q2116" s="84"/>
      <c r="R2116" s="76"/>
    </row>
    <row r="2117" spans="2:18" s="83" customFormat="1" ht="15" hidden="1" customHeight="1" outlineLevel="2">
      <c r="B2117" s="119" t="s">
        <v>272</v>
      </c>
      <c r="C2117" s="266" t="s">
        <v>3154</v>
      </c>
      <c r="D2117" s="124" t="s">
        <v>3155</v>
      </c>
      <c r="E2117" s="125"/>
      <c r="F2117" s="118" t="s">
        <v>2593</v>
      </c>
      <c r="G2117" s="126" t="str">
        <f t="shared" si="131"/>
        <v>AR-R22-1</v>
      </c>
      <c r="H2117" s="253">
        <v>1</v>
      </c>
      <c r="I2117" s="76">
        <v>1</v>
      </c>
      <c r="J2117" s="299" t="s">
        <v>286</v>
      </c>
      <c r="K2117" s="299"/>
      <c r="L2117" s="84"/>
      <c r="M2117" s="76"/>
      <c r="Q2117" s="84"/>
      <c r="R2117" s="76"/>
    </row>
    <row r="2118" spans="2:18" s="83" customFormat="1" ht="15" hidden="1" customHeight="1" outlineLevel="2">
      <c r="B2118" s="119" t="s">
        <v>272</v>
      </c>
      <c r="C2118" s="266" t="s">
        <v>3156</v>
      </c>
      <c r="D2118" s="124" t="s">
        <v>3155</v>
      </c>
      <c r="E2118" s="125"/>
      <c r="F2118" s="118" t="s">
        <v>2593</v>
      </c>
      <c r="G2118" s="126" t="str">
        <f t="shared" si="131"/>
        <v>AR-R22-1</v>
      </c>
      <c r="H2118" s="253">
        <v>1</v>
      </c>
      <c r="I2118" s="76">
        <v>1</v>
      </c>
      <c r="J2118" s="299" t="s">
        <v>286</v>
      </c>
      <c r="K2118" s="299"/>
      <c r="L2118" s="84"/>
      <c r="M2118" s="76"/>
      <c r="Q2118" s="84"/>
      <c r="R2118" s="76"/>
    </row>
    <row r="2119" spans="2:18" s="83" customFormat="1" ht="15" hidden="1" customHeight="1" outlineLevel="2">
      <c r="B2119" s="119" t="s">
        <v>272</v>
      </c>
      <c r="C2119" s="266" t="s">
        <v>3157</v>
      </c>
      <c r="D2119" s="124" t="s">
        <v>3155</v>
      </c>
      <c r="E2119" s="125"/>
      <c r="F2119" s="118" t="s">
        <v>2593</v>
      </c>
      <c r="G2119" s="126" t="str">
        <f t="shared" si="131"/>
        <v>AR-R22-1</v>
      </c>
      <c r="H2119" s="253">
        <v>1</v>
      </c>
      <c r="I2119" s="76">
        <v>1</v>
      </c>
      <c r="J2119" s="299" t="s">
        <v>286</v>
      </c>
      <c r="K2119" s="299"/>
      <c r="L2119" s="84"/>
      <c r="M2119" s="76"/>
      <c r="Q2119" s="84"/>
      <c r="R2119" s="76"/>
    </row>
    <row r="2120" spans="2:18" s="83" customFormat="1" ht="15" hidden="1" customHeight="1" outlineLevel="2">
      <c r="B2120" s="119" t="s">
        <v>272</v>
      </c>
      <c r="C2120" s="266" t="s">
        <v>3158</v>
      </c>
      <c r="D2120" s="124" t="s">
        <v>3155</v>
      </c>
      <c r="E2120" s="125"/>
      <c r="F2120" s="118" t="s">
        <v>2593</v>
      </c>
      <c r="G2120" s="126" t="str">
        <f t="shared" si="131"/>
        <v>AR-R22-1</v>
      </c>
      <c r="H2120" s="253">
        <v>1</v>
      </c>
      <c r="I2120" s="76">
        <v>1</v>
      </c>
      <c r="J2120" s="299" t="s">
        <v>286</v>
      </c>
      <c r="K2120" s="299"/>
      <c r="L2120" s="84"/>
      <c r="M2120" s="76"/>
      <c r="Q2120" s="84"/>
      <c r="R2120" s="76"/>
    </row>
    <row r="2121" spans="2:18" s="83" customFormat="1" ht="15" hidden="1" customHeight="1" outlineLevel="2">
      <c r="B2121" s="119" t="s">
        <v>272</v>
      </c>
      <c r="C2121" s="266" t="s">
        <v>3159</v>
      </c>
      <c r="D2121" s="124" t="s">
        <v>3160</v>
      </c>
      <c r="E2121" s="125"/>
      <c r="F2121" s="118" t="s">
        <v>2593</v>
      </c>
      <c r="G2121" s="126" t="str">
        <f t="shared" si="131"/>
        <v>AR-R22-1</v>
      </c>
      <c r="H2121" s="253">
        <v>1</v>
      </c>
      <c r="I2121" s="76">
        <v>1</v>
      </c>
      <c r="J2121" s="299" t="s">
        <v>286</v>
      </c>
      <c r="K2121" s="299"/>
      <c r="L2121" s="84"/>
      <c r="M2121" s="76"/>
      <c r="Q2121" s="84"/>
      <c r="R2121" s="76"/>
    </row>
    <row r="2122" spans="2:18" s="83" customFormat="1" ht="15" hidden="1" customHeight="1" outlineLevel="2">
      <c r="B2122" s="119" t="s">
        <v>272</v>
      </c>
      <c r="C2122" s="266" t="s">
        <v>3161</v>
      </c>
      <c r="D2122" s="124" t="s">
        <v>3160</v>
      </c>
      <c r="E2122" s="125"/>
      <c r="F2122" s="118" t="s">
        <v>2593</v>
      </c>
      <c r="G2122" s="126" t="str">
        <f t="shared" si="131"/>
        <v>AR-R22-1</v>
      </c>
      <c r="H2122" s="253">
        <v>1</v>
      </c>
      <c r="I2122" s="76">
        <v>1</v>
      </c>
      <c r="J2122" s="299" t="s">
        <v>286</v>
      </c>
      <c r="K2122" s="299"/>
      <c r="L2122" s="84"/>
      <c r="M2122" s="76"/>
      <c r="Q2122" s="84"/>
      <c r="R2122" s="76"/>
    </row>
    <row r="2123" spans="2:18" s="83" customFormat="1" ht="15" hidden="1" customHeight="1" outlineLevel="2">
      <c r="B2123" s="119" t="s">
        <v>272</v>
      </c>
      <c r="C2123" s="266" t="s">
        <v>3162</v>
      </c>
      <c r="D2123" s="124" t="s">
        <v>3163</v>
      </c>
      <c r="E2123" s="125"/>
      <c r="F2123" s="118" t="s">
        <v>2593</v>
      </c>
      <c r="G2123" s="126" t="str">
        <f t="shared" si="131"/>
        <v>AR-R22-1</v>
      </c>
      <c r="H2123" s="253">
        <v>1</v>
      </c>
      <c r="I2123" s="76">
        <v>1</v>
      </c>
      <c r="J2123" s="299" t="s">
        <v>286</v>
      </c>
      <c r="K2123" s="299"/>
      <c r="L2123" s="84"/>
      <c r="M2123" s="76"/>
      <c r="Q2123" s="84"/>
      <c r="R2123" s="76"/>
    </row>
    <row r="2124" spans="2:18" s="83" customFormat="1" ht="15" hidden="1" customHeight="1" outlineLevel="2">
      <c r="B2124" s="119" t="s">
        <v>272</v>
      </c>
      <c r="C2124" s="266" t="s">
        <v>3164</v>
      </c>
      <c r="D2124" s="124" t="s">
        <v>3163</v>
      </c>
      <c r="E2124" s="125"/>
      <c r="F2124" s="118" t="s">
        <v>2593</v>
      </c>
      <c r="G2124" s="126" t="str">
        <f t="shared" si="131"/>
        <v>AR-R22-1</v>
      </c>
      <c r="H2124" s="253">
        <v>1</v>
      </c>
      <c r="I2124" s="76">
        <v>1</v>
      </c>
      <c r="J2124" s="299" t="s">
        <v>286</v>
      </c>
      <c r="K2124" s="299"/>
      <c r="L2124" s="84"/>
      <c r="M2124" s="76"/>
      <c r="Q2124" s="84"/>
      <c r="R2124" s="76"/>
    </row>
    <row r="2125" spans="2:18" s="83" customFormat="1" ht="15" hidden="1" customHeight="1" outlineLevel="2">
      <c r="B2125" s="119" t="s">
        <v>272</v>
      </c>
      <c r="C2125" s="266" t="s">
        <v>3165</v>
      </c>
      <c r="D2125" s="124" t="s">
        <v>3166</v>
      </c>
      <c r="E2125" s="125"/>
      <c r="F2125" s="118" t="s">
        <v>2593</v>
      </c>
      <c r="G2125" s="126" t="str">
        <f t="shared" si="131"/>
        <v>AR-R22-1</v>
      </c>
      <c r="H2125" s="253">
        <v>1</v>
      </c>
      <c r="I2125" s="76">
        <v>1</v>
      </c>
      <c r="J2125" s="299" t="s">
        <v>286</v>
      </c>
      <c r="K2125" s="299"/>
      <c r="L2125" s="84"/>
      <c r="M2125" s="76"/>
      <c r="Q2125" s="84"/>
      <c r="R2125" s="76"/>
    </row>
    <row r="2126" spans="2:18" s="83" customFormat="1" ht="15" hidden="1" customHeight="1" outlineLevel="2">
      <c r="B2126" s="119" t="s">
        <v>272</v>
      </c>
      <c r="C2126" s="266" t="s">
        <v>3167</v>
      </c>
      <c r="D2126" s="124" t="s">
        <v>3166</v>
      </c>
      <c r="E2126" s="125"/>
      <c r="F2126" s="118" t="s">
        <v>2593</v>
      </c>
      <c r="G2126" s="126" t="str">
        <f t="shared" si="131"/>
        <v>AR-R22-1</v>
      </c>
      <c r="H2126" s="253">
        <v>1</v>
      </c>
      <c r="I2126" s="76">
        <v>1</v>
      </c>
      <c r="J2126" s="299" t="s">
        <v>286</v>
      </c>
      <c r="K2126" s="299"/>
      <c r="L2126" s="84"/>
      <c r="M2126" s="76"/>
      <c r="Q2126" s="84"/>
      <c r="R2126" s="76"/>
    </row>
    <row r="2127" spans="2:18" s="83" customFormat="1" ht="15" hidden="1" customHeight="1" outlineLevel="2">
      <c r="B2127" s="119" t="s">
        <v>272</v>
      </c>
      <c r="C2127" s="266" t="s">
        <v>3168</v>
      </c>
      <c r="D2127" s="124" t="s">
        <v>3166</v>
      </c>
      <c r="E2127" s="125"/>
      <c r="F2127" s="118" t="s">
        <v>2593</v>
      </c>
      <c r="G2127" s="126" t="str">
        <f t="shared" si="131"/>
        <v>AR-R22-1</v>
      </c>
      <c r="H2127" s="253">
        <v>1</v>
      </c>
      <c r="I2127" s="76">
        <v>1</v>
      </c>
      <c r="J2127" s="299" t="s">
        <v>286</v>
      </c>
      <c r="K2127" s="299"/>
      <c r="L2127" s="84"/>
      <c r="M2127" s="76"/>
      <c r="Q2127" s="84"/>
      <c r="R2127" s="76"/>
    </row>
    <row r="2128" spans="2:18" s="83" customFormat="1" ht="15" hidden="1" customHeight="1" outlineLevel="2">
      <c r="B2128" s="119" t="s">
        <v>272</v>
      </c>
      <c r="C2128" s="266" t="s">
        <v>3169</v>
      </c>
      <c r="D2128" s="124" t="s">
        <v>3166</v>
      </c>
      <c r="E2128" s="125"/>
      <c r="F2128" s="118" t="s">
        <v>2593</v>
      </c>
      <c r="G2128" s="126" t="str">
        <f t="shared" si="131"/>
        <v>AR-R22-1</v>
      </c>
      <c r="H2128" s="253">
        <v>1</v>
      </c>
      <c r="I2128" s="76">
        <v>1</v>
      </c>
      <c r="J2128" s="299" t="s">
        <v>286</v>
      </c>
      <c r="K2128" s="299"/>
      <c r="L2128" s="84"/>
      <c r="M2128" s="76"/>
      <c r="Q2128" s="84"/>
      <c r="R2128" s="76"/>
    </row>
    <row r="2129" spans="2:18" s="83" customFormat="1" ht="15" hidden="1" customHeight="1" outlineLevel="2">
      <c r="B2129" s="119" t="s">
        <v>272</v>
      </c>
      <c r="C2129" s="266" t="s">
        <v>3170</v>
      </c>
      <c r="D2129" s="124" t="s">
        <v>3171</v>
      </c>
      <c r="E2129" s="125"/>
      <c r="F2129" s="118" t="s">
        <v>2593</v>
      </c>
      <c r="G2129" s="126" t="str">
        <f t="shared" si="131"/>
        <v>AR-R22-1</v>
      </c>
      <c r="H2129" s="253">
        <v>1</v>
      </c>
      <c r="I2129" s="76">
        <v>1</v>
      </c>
      <c r="J2129" s="299" t="s">
        <v>286</v>
      </c>
      <c r="K2129" s="299"/>
      <c r="L2129" s="84"/>
      <c r="M2129" s="76"/>
      <c r="Q2129" s="84"/>
      <c r="R2129" s="76"/>
    </row>
    <row r="2130" spans="2:18" s="83" customFormat="1" ht="15" hidden="1" customHeight="1" outlineLevel="2">
      <c r="B2130" s="119" t="s">
        <v>272</v>
      </c>
      <c r="C2130" s="266" t="s">
        <v>3172</v>
      </c>
      <c r="D2130" s="124" t="s">
        <v>3171</v>
      </c>
      <c r="E2130" s="125"/>
      <c r="F2130" s="118" t="s">
        <v>2593</v>
      </c>
      <c r="G2130" s="126" t="str">
        <f t="shared" ref="G2130:G2135" si="132">CONCATENATE("AR-",F2130,"-",H2130)</f>
        <v>AR-R22-1</v>
      </c>
      <c r="H2130" s="253">
        <v>1</v>
      </c>
      <c r="I2130" s="76">
        <v>1</v>
      </c>
      <c r="J2130" s="299" t="s">
        <v>286</v>
      </c>
      <c r="K2130" s="299"/>
      <c r="L2130" s="84"/>
      <c r="M2130" s="76"/>
      <c r="Q2130" s="84"/>
      <c r="R2130" s="76"/>
    </row>
    <row r="2131" spans="2:18" s="83" customFormat="1" ht="15" hidden="1" customHeight="1" outlineLevel="2">
      <c r="B2131" s="119" t="s">
        <v>272</v>
      </c>
      <c r="C2131" s="266" t="s">
        <v>3173</v>
      </c>
      <c r="D2131" s="124" t="s">
        <v>3171</v>
      </c>
      <c r="E2131" s="125"/>
      <c r="F2131" s="118" t="s">
        <v>2593</v>
      </c>
      <c r="G2131" s="126" t="str">
        <f t="shared" si="132"/>
        <v>AR-R22-1</v>
      </c>
      <c r="H2131" s="253">
        <v>1</v>
      </c>
      <c r="I2131" s="76">
        <v>1</v>
      </c>
      <c r="J2131" s="299" t="s">
        <v>286</v>
      </c>
      <c r="K2131" s="299"/>
      <c r="L2131" s="84"/>
      <c r="M2131" s="76"/>
      <c r="Q2131" s="84"/>
      <c r="R2131" s="76"/>
    </row>
    <row r="2132" spans="2:18" s="83" customFormat="1" ht="15" hidden="1" customHeight="1" outlineLevel="2">
      <c r="B2132" s="119" t="s">
        <v>272</v>
      </c>
      <c r="C2132" s="266" t="s">
        <v>3174</v>
      </c>
      <c r="D2132" s="124" t="s">
        <v>3171</v>
      </c>
      <c r="E2132" s="125"/>
      <c r="F2132" s="118" t="s">
        <v>2593</v>
      </c>
      <c r="G2132" s="126" t="str">
        <f t="shared" si="132"/>
        <v>AR-R22-1</v>
      </c>
      <c r="H2132" s="253">
        <v>1</v>
      </c>
      <c r="I2132" s="76">
        <v>1</v>
      </c>
      <c r="J2132" s="299" t="s">
        <v>286</v>
      </c>
      <c r="K2132" s="299"/>
      <c r="L2132" s="84"/>
      <c r="M2132" s="76"/>
      <c r="Q2132" s="84"/>
      <c r="R2132" s="76"/>
    </row>
    <row r="2133" spans="2:18" s="83" customFormat="1" ht="15" hidden="1" customHeight="1" outlineLevel="2">
      <c r="B2133" s="119" t="s">
        <v>272</v>
      </c>
      <c r="C2133" s="266" t="s">
        <v>3175</v>
      </c>
      <c r="D2133" s="124" t="s">
        <v>3176</v>
      </c>
      <c r="E2133" s="125"/>
      <c r="F2133" s="118" t="s">
        <v>2593</v>
      </c>
      <c r="G2133" s="126" t="str">
        <f t="shared" si="132"/>
        <v>AR-R22-1</v>
      </c>
      <c r="H2133" s="253">
        <v>1</v>
      </c>
      <c r="I2133" s="76">
        <v>1</v>
      </c>
      <c r="J2133" s="299" t="s">
        <v>286</v>
      </c>
      <c r="K2133" s="299"/>
      <c r="L2133" s="84"/>
      <c r="M2133" s="76"/>
      <c r="Q2133" s="84"/>
      <c r="R2133" s="76"/>
    </row>
    <row r="2134" spans="2:18" s="83" customFormat="1" ht="15" hidden="1" customHeight="1" outlineLevel="2">
      <c r="B2134" s="119" t="s">
        <v>272</v>
      </c>
      <c r="C2134" s="266" t="s">
        <v>3177</v>
      </c>
      <c r="D2134" s="124" t="s">
        <v>3176</v>
      </c>
      <c r="E2134" s="125"/>
      <c r="F2134" s="118" t="s">
        <v>2593</v>
      </c>
      <c r="G2134" s="126" t="str">
        <f t="shared" si="132"/>
        <v>AR-R22-1</v>
      </c>
      <c r="H2134" s="253">
        <v>1</v>
      </c>
      <c r="I2134" s="76">
        <v>1</v>
      </c>
      <c r="J2134" s="299" t="s">
        <v>286</v>
      </c>
      <c r="K2134" s="299"/>
      <c r="L2134" s="84"/>
      <c r="M2134" s="76"/>
      <c r="Q2134" s="84"/>
      <c r="R2134" s="76"/>
    </row>
    <row r="2135" spans="2:18" s="83" customFormat="1" ht="15" hidden="1" customHeight="1" outlineLevel="2">
      <c r="B2135" s="119" t="s">
        <v>272</v>
      </c>
      <c r="C2135" s="266" t="s">
        <v>3178</v>
      </c>
      <c r="D2135" s="124" t="s">
        <v>3179</v>
      </c>
      <c r="E2135" s="125"/>
      <c r="F2135" s="118" t="s">
        <v>2593</v>
      </c>
      <c r="G2135" s="126" t="str">
        <f t="shared" si="132"/>
        <v>AR-R22-1</v>
      </c>
      <c r="H2135" s="253">
        <v>1</v>
      </c>
      <c r="I2135" s="76">
        <v>1</v>
      </c>
      <c r="J2135" s="299" t="s">
        <v>286</v>
      </c>
      <c r="K2135" s="299"/>
      <c r="L2135" s="84"/>
      <c r="M2135" s="76"/>
      <c r="Q2135" s="84"/>
      <c r="R2135" s="76"/>
    </row>
    <row r="2136" spans="2:18" s="83" customFormat="1" ht="15" hidden="1" customHeight="1" outlineLevel="2">
      <c r="B2136" s="119" t="s">
        <v>272</v>
      </c>
      <c r="C2136" s="266" t="s">
        <v>3180</v>
      </c>
      <c r="D2136" s="124" t="s">
        <v>3181</v>
      </c>
      <c r="E2136" s="125"/>
      <c r="F2136" s="118" t="s">
        <v>2593</v>
      </c>
      <c r="G2136" s="126" t="str">
        <f>CONCATENATE("AR-",F2136,"-",H2136)</f>
        <v>AR-R22-1</v>
      </c>
      <c r="H2136" s="253">
        <v>1</v>
      </c>
      <c r="I2136" s="76">
        <v>1</v>
      </c>
      <c r="J2136" s="299" t="s">
        <v>286</v>
      </c>
      <c r="K2136" s="299"/>
      <c r="L2136" s="84"/>
      <c r="M2136" s="76"/>
      <c r="Q2136" s="84"/>
      <c r="R2136" s="76"/>
    </row>
    <row r="2137" spans="2:18" s="83" customFormat="1" ht="15" hidden="1" customHeight="1" outlineLevel="2">
      <c r="B2137" s="119" t="s">
        <v>272</v>
      </c>
      <c r="C2137" s="266" t="s">
        <v>3182</v>
      </c>
      <c r="D2137" s="124" t="s">
        <v>3183</v>
      </c>
      <c r="E2137" s="125"/>
      <c r="F2137" s="118" t="s">
        <v>2593</v>
      </c>
      <c r="G2137" s="126" t="str">
        <f>CONCATENATE("AR-",F2137,"-",H2137)</f>
        <v>AR-R22-1</v>
      </c>
      <c r="H2137" s="253">
        <v>1</v>
      </c>
      <c r="I2137" s="76">
        <v>1</v>
      </c>
      <c r="J2137" s="299" t="s">
        <v>286</v>
      </c>
      <c r="K2137" s="299"/>
      <c r="L2137" s="84"/>
      <c r="M2137" s="76"/>
      <c r="Q2137" s="84"/>
      <c r="R2137" s="76"/>
    </row>
    <row r="2138" spans="2:18" s="83" customFormat="1" ht="15" hidden="1" customHeight="1" outlineLevel="2">
      <c r="B2138" s="119" t="s">
        <v>272</v>
      </c>
      <c r="C2138" s="266" t="s">
        <v>3184</v>
      </c>
      <c r="D2138" s="124" t="s">
        <v>3183</v>
      </c>
      <c r="E2138" s="125"/>
      <c r="F2138" s="118" t="s">
        <v>2593</v>
      </c>
      <c r="G2138" s="126" t="str">
        <f>CONCATENATE("AR-",F2138,"-",H2138)</f>
        <v>AR-R22-1</v>
      </c>
      <c r="H2138" s="253">
        <v>1</v>
      </c>
      <c r="I2138" s="76">
        <v>1</v>
      </c>
      <c r="J2138" s="299" t="s">
        <v>286</v>
      </c>
      <c r="K2138" s="299"/>
      <c r="L2138" s="84"/>
      <c r="M2138" s="76"/>
      <c r="Q2138" s="84"/>
      <c r="R2138" s="76"/>
    </row>
    <row r="2139" spans="2:18" s="83" customFormat="1" ht="15" hidden="1" customHeight="1" outlineLevel="2">
      <c r="B2139" s="119" t="s">
        <v>272</v>
      </c>
      <c r="C2139" s="266" t="s">
        <v>3185</v>
      </c>
      <c r="D2139" s="124" t="s">
        <v>3183</v>
      </c>
      <c r="E2139" s="125"/>
      <c r="F2139" s="118" t="s">
        <v>2593</v>
      </c>
      <c r="G2139" s="126" t="str">
        <f t="shared" ref="G2139:G2152" si="133">CONCATENATE("AR-",F2139,"-",H2139)</f>
        <v>AR-R22-1</v>
      </c>
      <c r="H2139" s="253">
        <v>1</v>
      </c>
      <c r="I2139" s="76">
        <v>1</v>
      </c>
      <c r="J2139" s="299" t="s">
        <v>286</v>
      </c>
      <c r="K2139" s="299"/>
      <c r="L2139" s="84"/>
      <c r="M2139" s="76"/>
      <c r="Q2139" s="84"/>
      <c r="R2139" s="76"/>
    </row>
    <row r="2140" spans="2:18" s="83" customFormat="1" ht="15" hidden="1" customHeight="1" outlineLevel="2">
      <c r="B2140" s="119" t="s">
        <v>272</v>
      </c>
      <c r="C2140" s="266" t="s">
        <v>3186</v>
      </c>
      <c r="D2140" s="124" t="s">
        <v>3183</v>
      </c>
      <c r="E2140" s="125"/>
      <c r="F2140" s="118" t="s">
        <v>2593</v>
      </c>
      <c r="G2140" s="126" t="str">
        <f t="shared" si="133"/>
        <v>AR-R22-1</v>
      </c>
      <c r="H2140" s="253">
        <v>1</v>
      </c>
      <c r="I2140" s="76">
        <v>1</v>
      </c>
      <c r="J2140" s="299" t="s">
        <v>286</v>
      </c>
      <c r="K2140" s="299"/>
      <c r="L2140" s="84"/>
      <c r="M2140" s="76"/>
      <c r="Q2140" s="84"/>
      <c r="R2140" s="76"/>
    </row>
    <row r="2141" spans="2:18" s="83" customFormat="1" ht="15" hidden="1" customHeight="1" outlineLevel="2">
      <c r="B2141" s="119" t="s">
        <v>272</v>
      </c>
      <c r="C2141" s="266" t="s">
        <v>3187</v>
      </c>
      <c r="D2141" s="124" t="s">
        <v>3188</v>
      </c>
      <c r="E2141" s="125"/>
      <c r="F2141" s="118" t="s">
        <v>2593</v>
      </c>
      <c r="G2141" s="126" t="str">
        <f t="shared" si="133"/>
        <v>AR-R22-1</v>
      </c>
      <c r="H2141" s="253">
        <v>1</v>
      </c>
      <c r="I2141" s="76">
        <v>1</v>
      </c>
      <c r="J2141" s="299" t="s">
        <v>286</v>
      </c>
      <c r="K2141" s="299"/>
      <c r="L2141" s="84"/>
      <c r="M2141" s="76"/>
      <c r="Q2141" s="84"/>
      <c r="R2141" s="76"/>
    </row>
    <row r="2142" spans="2:18" s="83" customFormat="1" ht="15" hidden="1" customHeight="1" outlineLevel="2">
      <c r="B2142" s="119" t="s">
        <v>272</v>
      </c>
      <c r="C2142" s="266" t="s">
        <v>3189</v>
      </c>
      <c r="D2142" s="124" t="s">
        <v>3190</v>
      </c>
      <c r="E2142" s="125"/>
      <c r="F2142" s="118" t="s">
        <v>2593</v>
      </c>
      <c r="G2142" s="126" t="str">
        <f t="shared" si="133"/>
        <v>AR-R22-1</v>
      </c>
      <c r="H2142" s="253">
        <v>1</v>
      </c>
      <c r="I2142" s="76">
        <v>1</v>
      </c>
      <c r="J2142" s="299" t="s">
        <v>286</v>
      </c>
      <c r="K2142" s="299"/>
      <c r="L2142" s="84"/>
      <c r="M2142" s="76"/>
      <c r="Q2142" s="84"/>
      <c r="R2142" s="76"/>
    </row>
    <row r="2143" spans="2:18" s="83" customFormat="1" ht="15" hidden="1" customHeight="1" outlineLevel="2">
      <c r="B2143" s="119" t="s">
        <v>272</v>
      </c>
      <c r="C2143" s="266" t="s">
        <v>3191</v>
      </c>
      <c r="D2143" s="124" t="s">
        <v>3188</v>
      </c>
      <c r="E2143" s="125"/>
      <c r="F2143" s="118" t="s">
        <v>2593</v>
      </c>
      <c r="G2143" s="126" t="str">
        <f t="shared" si="133"/>
        <v>AR-R22-1</v>
      </c>
      <c r="H2143" s="253">
        <v>1</v>
      </c>
      <c r="I2143" s="76">
        <v>1</v>
      </c>
      <c r="J2143" s="299" t="s">
        <v>286</v>
      </c>
      <c r="K2143" s="299"/>
      <c r="L2143" s="84"/>
      <c r="M2143" s="76"/>
      <c r="Q2143" s="84"/>
      <c r="R2143" s="76"/>
    </row>
    <row r="2144" spans="2:18" s="83" customFormat="1" ht="15" hidden="1" customHeight="1" outlineLevel="2">
      <c r="B2144" s="119" t="s">
        <v>272</v>
      </c>
      <c r="C2144" s="266" t="s">
        <v>3192</v>
      </c>
      <c r="D2144" s="124" t="s">
        <v>3188</v>
      </c>
      <c r="E2144" s="125"/>
      <c r="F2144" s="118" t="s">
        <v>2593</v>
      </c>
      <c r="G2144" s="126" t="str">
        <f t="shared" si="133"/>
        <v>AR-R22-1</v>
      </c>
      <c r="H2144" s="253">
        <v>1</v>
      </c>
      <c r="I2144" s="76">
        <v>1</v>
      </c>
      <c r="J2144" s="299" t="s">
        <v>286</v>
      </c>
      <c r="K2144" s="299"/>
      <c r="L2144" s="84"/>
      <c r="M2144" s="76"/>
      <c r="Q2144" s="84"/>
      <c r="R2144" s="76"/>
    </row>
    <row r="2145" spans="2:18" s="83" customFormat="1" ht="15" hidden="1" customHeight="1" outlineLevel="2">
      <c r="B2145" s="119" t="s">
        <v>272</v>
      </c>
      <c r="C2145" s="266" t="s">
        <v>3193</v>
      </c>
      <c r="D2145" s="124" t="s">
        <v>3194</v>
      </c>
      <c r="E2145" s="125"/>
      <c r="F2145" s="118" t="s">
        <v>2593</v>
      </c>
      <c r="G2145" s="126" t="str">
        <f t="shared" si="133"/>
        <v>AR-R22-1</v>
      </c>
      <c r="H2145" s="253">
        <v>1</v>
      </c>
      <c r="I2145" s="76">
        <v>1</v>
      </c>
      <c r="J2145" s="299" t="s">
        <v>286</v>
      </c>
      <c r="K2145" s="299"/>
      <c r="L2145" s="84"/>
      <c r="M2145" s="76"/>
      <c r="Q2145" s="84"/>
      <c r="R2145" s="76"/>
    </row>
    <row r="2146" spans="2:18" s="83" customFormat="1" ht="15" hidden="1" customHeight="1" outlineLevel="2">
      <c r="B2146" s="119" t="s">
        <v>272</v>
      </c>
      <c r="C2146" s="266" t="s">
        <v>3195</v>
      </c>
      <c r="D2146" s="124" t="s">
        <v>3194</v>
      </c>
      <c r="E2146" s="125"/>
      <c r="F2146" s="118" t="s">
        <v>2593</v>
      </c>
      <c r="G2146" s="126" t="str">
        <f t="shared" si="133"/>
        <v>AR-R22-1</v>
      </c>
      <c r="H2146" s="253">
        <v>1</v>
      </c>
      <c r="I2146" s="76">
        <v>1</v>
      </c>
      <c r="J2146" s="299" t="s">
        <v>286</v>
      </c>
      <c r="K2146" s="299"/>
      <c r="L2146" s="84"/>
      <c r="M2146" s="76"/>
      <c r="Q2146" s="84"/>
      <c r="R2146" s="76"/>
    </row>
    <row r="2147" spans="2:18" s="83" customFormat="1" ht="15" hidden="1" customHeight="1" outlineLevel="2">
      <c r="B2147" s="119" t="s">
        <v>272</v>
      </c>
      <c r="C2147" s="266" t="s">
        <v>3196</v>
      </c>
      <c r="D2147" s="124" t="s">
        <v>3194</v>
      </c>
      <c r="E2147" s="125"/>
      <c r="F2147" s="118" t="s">
        <v>2593</v>
      </c>
      <c r="G2147" s="126" t="str">
        <f t="shared" si="133"/>
        <v>AR-R22-1</v>
      </c>
      <c r="H2147" s="253">
        <v>1</v>
      </c>
      <c r="I2147" s="76">
        <v>1</v>
      </c>
      <c r="J2147" s="299" t="s">
        <v>286</v>
      </c>
      <c r="K2147" s="299"/>
      <c r="L2147" s="84"/>
      <c r="M2147" s="76"/>
      <c r="Q2147" s="84"/>
      <c r="R2147" s="76"/>
    </row>
    <row r="2148" spans="2:18" s="83" customFormat="1" ht="15" hidden="1" customHeight="1" outlineLevel="2">
      <c r="B2148" s="119" t="s">
        <v>272</v>
      </c>
      <c r="C2148" s="266" t="s">
        <v>3197</v>
      </c>
      <c r="D2148" s="124" t="s">
        <v>3194</v>
      </c>
      <c r="E2148" s="125"/>
      <c r="F2148" s="118" t="s">
        <v>2593</v>
      </c>
      <c r="G2148" s="126" t="str">
        <f t="shared" si="133"/>
        <v>AR-R22-1</v>
      </c>
      <c r="H2148" s="253">
        <v>1</v>
      </c>
      <c r="I2148" s="76">
        <v>1</v>
      </c>
      <c r="J2148" s="299" t="s">
        <v>286</v>
      </c>
      <c r="K2148" s="299"/>
      <c r="L2148" s="84"/>
      <c r="M2148" s="76"/>
      <c r="Q2148" s="84"/>
      <c r="R2148" s="76"/>
    </row>
    <row r="2149" spans="2:18" s="83" customFormat="1" ht="15" hidden="1" customHeight="1" outlineLevel="2">
      <c r="B2149" s="119" t="s">
        <v>272</v>
      </c>
      <c r="C2149" s="266" t="s">
        <v>3198</v>
      </c>
      <c r="D2149" s="124" t="s">
        <v>3199</v>
      </c>
      <c r="E2149" s="125"/>
      <c r="F2149" s="118" t="s">
        <v>2593</v>
      </c>
      <c r="G2149" s="126" t="str">
        <f t="shared" si="133"/>
        <v>AR-R22-1</v>
      </c>
      <c r="H2149" s="253">
        <v>1</v>
      </c>
      <c r="I2149" s="76">
        <v>1</v>
      </c>
      <c r="J2149" s="299" t="s">
        <v>286</v>
      </c>
      <c r="K2149" s="299"/>
      <c r="L2149" s="84"/>
      <c r="M2149" s="76"/>
      <c r="Q2149" s="84"/>
      <c r="R2149" s="76"/>
    </row>
    <row r="2150" spans="2:18" s="83" customFormat="1" ht="15" hidden="1" customHeight="1" outlineLevel="2">
      <c r="B2150" s="119" t="s">
        <v>272</v>
      </c>
      <c r="C2150" s="266" t="s">
        <v>3200</v>
      </c>
      <c r="D2150" s="124" t="s">
        <v>3199</v>
      </c>
      <c r="E2150" s="125"/>
      <c r="F2150" s="118" t="s">
        <v>2593</v>
      </c>
      <c r="G2150" s="126" t="str">
        <f t="shared" si="133"/>
        <v>AR-R22-1</v>
      </c>
      <c r="H2150" s="253">
        <v>1</v>
      </c>
      <c r="I2150" s="76">
        <v>1</v>
      </c>
      <c r="J2150" s="299" t="s">
        <v>286</v>
      </c>
      <c r="K2150" s="299"/>
      <c r="L2150" s="84"/>
      <c r="M2150" s="76"/>
      <c r="Q2150" s="84"/>
      <c r="R2150" s="76"/>
    </row>
    <row r="2151" spans="2:18" s="83" customFormat="1" ht="15" hidden="1" customHeight="1" outlineLevel="2">
      <c r="B2151" s="119" t="s">
        <v>272</v>
      </c>
      <c r="C2151" s="266" t="s">
        <v>3201</v>
      </c>
      <c r="D2151" s="124" t="s">
        <v>3202</v>
      </c>
      <c r="E2151" s="125"/>
      <c r="F2151" s="118" t="s">
        <v>2593</v>
      </c>
      <c r="G2151" s="126" t="str">
        <f t="shared" si="133"/>
        <v>AR-R22-1</v>
      </c>
      <c r="H2151" s="253">
        <v>1</v>
      </c>
      <c r="I2151" s="76">
        <v>1</v>
      </c>
      <c r="J2151" s="299" t="s">
        <v>286</v>
      </c>
      <c r="K2151" s="299"/>
      <c r="L2151" s="84"/>
      <c r="M2151" s="76"/>
      <c r="Q2151" s="84"/>
      <c r="R2151" s="76"/>
    </row>
    <row r="2152" spans="2:18" s="83" customFormat="1" ht="15" hidden="1" customHeight="1" outlineLevel="2">
      <c r="B2152" s="119" t="s">
        <v>272</v>
      </c>
      <c r="C2152" s="266" t="s">
        <v>3203</v>
      </c>
      <c r="D2152" s="124" t="s">
        <v>3202</v>
      </c>
      <c r="E2152" s="125"/>
      <c r="F2152" s="118" t="s">
        <v>2593</v>
      </c>
      <c r="G2152" s="126" t="str">
        <f t="shared" si="133"/>
        <v>AR-R22-1</v>
      </c>
      <c r="H2152" s="253">
        <v>1</v>
      </c>
      <c r="I2152" s="76">
        <v>1</v>
      </c>
      <c r="J2152" s="299" t="s">
        <v>286</v>
      </c>
      <c r="K2152" s="299"/>
      <c r="L2152" s="84"/>
      <c r="M2152" s="76"/>
      <c r="Q2152" s="84"/>
      <c r="R2152" s="76"/>
    </row>
    <row r="2153" spans="2:18" s="83" customFormat="1" ht="15" hidden="1" customHeight="1" outlineLevel="2">
      <c r="B2153" s="119" t="s">
        <v>272</v>
      </c>
      <c r="C2153" s="266" t="s">
        <v>3204</v>
      </c>
      <c r="D2153" s="124" t="s">
        <v>3205</v>
      </c>
      <c r="E2153" s="125"/>
      <c r="F2153" s="118" t="s">
        <v>2593</v>
      </c>
      <c r="G2153" s="126" t="str">
        <f t="shared" ref="G2153:G2158" si="134">CONCATENATE("AR-",F2153,"-",H2153)</f>
        <v>AR-R22-1</v>
      </c>
      <c r="H2153" s="253">
        <v>1</v>
      </c>
      <c r="I2153" s="76">
        <v>1</v>
      </c>
      <c r="J2153" s="299" t="s">
        <v>286</v>
      </c>
      <c r="K2153" s="299"/>
      <c r="L2153" s="84"/>
      <c r="M2153" s="76"/>
      <c r="Q2153" s="84"/>
      <c r="R2153" s="76"/>
    </row>
    <row r="2154" spans="2:18" s="83" customFormat="1" ht="15" hidden="1" customHeight="1" outlineLevel="2">
      <c r="B2154" s="119" t="s">
        <v>272</v>
      </c>
      <c r="C2154" s="266" t="s">
        <v>3206</v>
      </c>
      <c r="D2154" s="124" t="s">
        <v>3205</v>
      </c>
      <c r="E2154" s="125"/>
      <c r="F2154" s="118" t="s">
        <v>2593</v>
      </c>
      <c r="G2154" s="126" t="str">
        <f t="shared" si="134"/>
        <v>AR-R22-1</v>
      </c>
      <c r="H2154" s="253">
        <v>1</v>
      </c>
      <c r="I2154" s="76">
        <v>1</v>
      </c>
      <c r="J2154" s="299" t="s">
        <v>286</v>
      </c>
      <c r="K2154" s="299"/>
      <c r="L2154" s="84"/>
      <c r="M2154" s="76"/>
      <c r="Q2154" s="84"/>
      <c r="R2154" s="76"/>
    </row>
    <row r="2155" spans="2:18" s="83" customFormat="1" ht="15" hidden="1" customHeight="1" outlineLevel="2">
      <c r="B2155" s="119" t="s">
        <v>272</v>
      </c>
      <c r="C2155" s="266" t="s">
        <v>3207</v>
      </c>
      <c r="D2155" s="124" t="s">
        <v>3208</v>
      </c>
      <c r="E2155" s="125"/>
      <c r="F2155" s="118" t="s">
        <v>2593</v>
      </c>
      <c r="G2155" s="126" t="str">
        <f t="shared" si="134"/>
        <v>AR-R22-1</v>
      </c>
      <c r="H2155" s="253">
        <v>1</v>
      </c>
      <c r="I2155" s="76">
        <v>1</v>
      </c>
      <c r="J2155" s="299" t="s">
        <v>286</v>
      </c>
      <c r="K2155" s="299"/>
      <c r="L2155" s="84"/>
      <c r="M2155" s="76"/>
      <c r="Q2155" s="84"/>
      <c r="R2155" s="76"/>
    </row>
    <row r="2156" spans="2:18" s="83" customFormat="1" ht="15" hidden="1" customHeight="1" outlineLevel="2">
      <c r="B2156" s="119" t="s">
        <v>272</v>
      </c>
      <c r="C2156" s="266" t="s">
        <v>3209</v>
      </c>
      <c r="D2156" s="124" t="s">
        <v>3208</v>
      </c>
      <c r="E2156" s="125"/>
      <c r="F2156" s="118" t="s">
        <v>2593</v>
      </c>
      <c r="G2156" s="126" t="str">
        <f t="shared" si="134"/>
        <v>AR-R22-1</v>
      </c>
      <c r="H2156" s="253">
        <v>1</v>
      </c>
      <c r="I2156" s="76">
        <v>1</v>
      </c>
      <c r="J2156" s="299" t="s">
        <v>286</v>
      </c>
      <c r="K2156" s="299"/>
      <c r="L2156" s="84"/>
      <c r="M2156" s="76"/>
      <c r="Q2156" s="84"/>
      <c r="R2156" s="76"/>
    </row>
    <row r="2157" spans="2:18" s="83" customFormat="1" ht="15" hidden="1" customHeight="1" outlineLevel="2">
      <c r="B2157" s="119" t="s">
        <v>272</v>
      </c>
      <c r="C2157" s="266" t="s">
        <v>3210</v>
      </c>
      <c r="D2157" s="124" t="s">
        <v>3211</v>
      </c>
      <c r="E2157" s="125"/>
      <c r="F2157" s="118" t="s">
        <v>2593</v>
      </c>
      <c r="G2157" s="126" t="str">
        <f t="shared" si="134"/>
        <v>AR-R22-1</v>
      </c>
      <c r="H2157" s="253">
        <v>1</v>
      </c>
      <c r="I2157" s="76">
        <v>1</v>
      </c>
      <c r="J2157" s="299" t="s">
        <v>286</v>
      </c>
      <c r="K2157" s="299"/>
      <c r="L2157" s="84"/>
      <c r="M2157" s="76"/>
      <c r="Q2157" s="84"/>
      <c r="R2157" s="76"/>
    </row>
    <row r="2158" spans="2:18" s="83" customFormat="1" ht="15" hidden="1" customHeight="1" outlineLevel="2">
      <c r="B2158" s="119" t="s">
        <v>272</v>
      </c>
      <c r="C2158" s="266" t="s">
        <v>3212</v>
      </c>
      <c r="D2158" s="124" t="s">
        <v>3211</v>
      </c>
      <c r="E2158" s="125"/>
      <c r="F2158" s="118" t="s">
        <v>2593</v>
      </c>
      <c r="G2158" s="126" t="str">
        <f t="shared" si="134"/>
        <v>AR-R22-1</v>
      </c>
      <c r="H2158" s="253">
        <v>1</v>
      </c>
      <c r="I2158" s="76">
        <v>1</v>
      </c>
      <c r="J2158" s="299" t="s">
        <v>286</v>
      </c>
      <c r="K2158" s="299"/>
      <c r="L2158" s="84"/>
      <c r="M2158" s="76"/>
      <c r="Q2158" s="84"/>
      <c r="R2158" s="76"/>
    </row>
    <row r="2159" spans="2:18" s="83" customFormat="1" ht="15" hidden="1" customHeight="1" outlineLevel="2">
      <c r="B2159" s="119" t="s">
        <v>272</v>
      </c>
      <c r="C2159" s="266" t="s">
        <v>3213</v>
      </c>
      <c r="D2159" s="124" t="s">
        <v>3211</v>
      </c>
      <c r="E2159" s="125"/>
      <c r="F2159" s="118" t="s">
        <v>2593</v>
      </c>
      <c r="G2159" s="126" t="str">
        <f t="shared" ref="G2159:G2199" si="135">CONCATENATE("AR-",F2159,"-",H2159)</f>
        <v>AR-R22-1</v>
      </c>
      <c r="H2159" s="253">
        <v>1</v>
      </c>
      <c r="I2159" s="76">
        <v>1</v>
      </c>
      <c r="J2159" s="299" t="s">
        <v>286</v>
      </c>
      <c r="K2159" s="299"/>
      <c r="L2159" s="84"/>
      <c r="M2159" s="76"/>
      <c r="Q2159" s="84"/>
      <c r="R2159" s="76"/>
    </row>
    <row r="2160" spans="2:18" s="83" customFormat="1" ht="15" hidden="1" customHeight="1" outlineLevel="2">
      <c r="B2160" s="119" t="s">
        <v>272</v>
      </c>
      <c r="C2160" s="266" t="s">
        <v>3214</v>
      </c>
      <c r="D2160" s="124" t="s">
        <v>3211</v>
      </c>
      <c r="E2160" s="125"/>
      <c r="F2160" s="118" t="s">
        <v>2593</v>
      </c>
      <c r="G2160" s="126" t="str">
        <f t="shared" si="135"/>
        <v>AR-R22-1</v>
      </c>
      <c r="H2160" s="253">
        <v>1</v>
      </c>
      <c r="I2160" s="76">
        <v>1</v>
      </c>
      <c r="J2160" s="299" t="s">
        <v>286</v>
      </c>
      <c r="K2160" s="299"/>
      <c r="L2160" s="84"/>
      <c r="M2160" s="76"/>
      <c r="Q2160" s="84"/>
      <c r="R2160" s="76"/>
    </row>
    <row r="2161" spans="2:18" s="100" customFormat="1" ht="15" hidden="1" customHeight="1" outlineLevel="2">
      <c r="B2161" s="119" t="s">
        <v>272</v>
      </c>
      <c r="C2161" s="266" t="s">
        <v>3215</v>
      </c>
      <c r="D2161" s="124" t="s">
        <v>3216</v>
      </c>
      <c r="E2161" s="125"/>
      <c r="F2161" s="118" t="s">
        <v>2593</v>
      </c>
      <c r="G2161" s="126" t="str">
        <f t="shared" si="135"/>
        <v>AR-R22-1</v>
      </c>
      <c r="H2161" s="253">
        <v>1</v>
      </c>
      <c r="I2161" s="76">
        <v>1</v>
      </c>
      <c r="J2161" s="299" t="s">
        <v>286</v>
      </c>
      <c r="K2161" s="299"/>
      <c r="L2161" s="84"/>
      <c r="M2161" s="76"/>
      <c r="Q2161" s="84"/>
      <c r="R2161" s="76"/>
    </row>
    <row r="2162" spans="2:18" s="83" customFormat="1" ht="15" hidden="1" customHeight="1" outlineLevel="2">
      <c r="B2162" s="119" t="s">
        <v>272</v>
      </c>
      <c r="C2162" s="266" t="s">
        <v>3217</v>
      </c>
      <c r="D2162" s="124" t="s">
        <v>3216</v>
      </c>
      <c r="E2162" s="125"/>
      <c r="F2162" s="118" t="s">
        <v>2593</v>
      </c>
      <c r="G2162" s="126" t="str">
        <f t="shared" si="135"/>
        <v>AR-R22-1</v>
      </c>
      <c r="H2162" s="253">
        <v>1</v>
      </c>
      <c r="I2162" s="76">
        <v>1</v>
      </c>
      <c r="J2162" s="299" t="s">
        <v>286</v>
      </c>
      <c r="K2162" s="299"/>
      <c r="L2162" s="84"/>
      <c r="M2162" s="76"/>
      <c r="Q2162" s="84"/>
      <c r="R2162" s="76"/>
    </row>
    <row r="2163" spans="2:18" s="83" customFormat="1" ht="15" hidden="1" customHeight="1" outlineLevel="2">
      <c r="B2163" s="119" t="s">
        <v>272</v>
      </c>
      <c r="C2163" s="266" t="s">
        <v>3218</v>
      </c>
      <c r="D2163" s="124" t="s">
        <v>3216</v>
      </c>
      <c r="E2163" s="125"/>
      <c r="F2163" s="118" t="s">
        <v>2593</v>
      </c>
      <c r="G2163" s="126" t="str">
        <f t="shared" si="135"/>
        <v>AR-R22-1</v>
      </c>
      <c r="H2163" s="253">
        <v>1</v>
      </c>
      <c r="I2163" s="76">
        <v>1</v>
      </c>
      <c r="J2163" s="299" t="s">
        <v>286</v>
      </c>
      <c r="K2163" s="299"/>
      <c r="L2163" s="84"/>
      <c r="M2163" s="76"/>
      <c r="Q2163" s="84"/>
      <c r="R2163" s="76"/>
    </row>
    <row r="2164" spans="2:18" s="83" customFormat="1" ht="15" hidden="1" customHeight="1" outlineLevel="2">
      <c r="B2164" s="119" t="s">
        <v>272</v>
      </c>
      <c r="C2164" s="266" t="s">
        <v>3219</v>
      </c>
      <c r="D2164" s="124" t="s">
        <v>3216</v>
      </c>
      <c r="E2164" s="125"/>
      <c r="F2164" s="118" t="s">
        <v>2593</v>
      </c>
      <c r="G2164" s="126" t="str">
        <f t="shared" si="135"/>
        <v>AR-R22-1</v>
      </c>
      <c r="H2164" s="253">
        <v>1</v>
      </c>
      <c r="I2164" s="76">
        <v>1</v>
      </c>
      <c r="J2164" s="299" t="s">
        <v>286</v>
      </c>
      <c r="K2164" s="299"/>
      <c r="L2164" s="84"/>
      <c r="M2164" s="76"/>
      <c r="Q2164" s="84"/>
      <c r="R2164" s="76"/>
    </row>
    <row r="2165" spans="2:18" s="83" customFormat="1" ht="15" hidden="1" customHeight="1" outlineLevel="2">
      <c r="B2165" s="119" t="s">
        <v>272</v>
      </c>
      <c r="C2165" s="266" t="s">
        <v>3220</v>
      </c>
      <c r="D2165" s="124" t="s">
        <v>3221</v>
      </c>
      <c r="E2165" s="125"/>
      <c r="F2165" s="118" t="s">
        <v>2593</v>
      </c>
      <c r="G2165" s="126" t="str">
        <f t="shared" si="135"/>
        <v>AR-R22-1</v>
      </c>
      <c r="H2165" s="253">
        <v>1</v>
      </c>
      <c r="I2165" s="76">
        <v>1</v>
      </c>
      <c r="J2165" s="299" t="s">
        <v>286</v>
      </c>
      <c r="K2165" s="299"/>
      <c r="L2165" s="84"/>
      <c r="M2165" s="76"/>
      <c r="Q2165" s="84"/>
      <c r="R2165" s="76"/>
    </row>
    <row r="2166" spans="2:18" s="83" customFormat="1" ht="15" hidden="1" customHeight="1" outlineLevel="2">
      <c r="B2166" s="119" t="s">
        <v>272</v>
      </c>
      <c r="C2166" s="266" t="s">
        <v>3222</v>
      </c>
      <c r="D2166" s="124" t="s">
        <v>3221</v>
      </c>
      <c r="E2166" s="125"/>
      <c r="F2166" s="118" t="s">
        <v>2593</v>
      </c>
      <c r="G2166" s="126" t="str">
        <f t="shared" si="135"/>
        <v>AR-R22-1</v>
      </c>
      <c r="H2166" s="253">
        <v>1</v>
      </c>
      <c r="I2166" s="76">
        <v>1</v>
      </c>
      <c r="J2166" s="299" t="s">
        <v>286</v>
      </c>
      <c r="K2166" s="299"/>
      <c r="L2166" s="84"/>
      <c r="M2166" s="76"/>
      <c r="Q2166" s="84"/>
      <c r="R2166" s="76"/>
    </row>
    <row r="2167" spans="2:18" s="83" customFormat="1" ht="15" hidden="1" customHeight="1" outlineLevel="2">
      <c r="B2167" s="119" t="s">
        <v>272</v>
      </c>
      <c r="C2167" s="266" t="s">
        <v>3223</v>
      </c>
      <c r="D2167" s="124" t="s">
        <v>3221</v>
      </c>
      <c r="E2167" s="125"/>
      <c r="F2167" s="118" t="s">
        <v>2593</v>
      </c>
      <c r="G2167" s="126" t="str">
        <f t="shared" si="135"/>
        <v>AR-R22-1</v>
      </c>
      <c r="H2167" s="253">
        <v>1</v>
      </c>
      <c r="I2167" s="76">
        <v>1</v>
      </c>
      <c r="J2167" s="299" t="s">
        <v>286</v>
      </c>
      <c r="K2167" s="299"/>
      <c r="L2167" s="84"/>
      <c r="M2167" s="76"/>
      <c r="Q2167" s="84"/>
      <c r="R2167" s="76"/>
    </row>
    <row r="2168" spans="2:18" s="83" customFormat="1" ht="15" hidden="1" customHeight="1" outlineLevel="2">
      <c r="B2168" s="119" t="s">
        <v>272</v>
      </c>
      <c r="C2168" s="266" t="s">
        <v>3224</v>
      </c>
      <c r="D2168" s="124" t="s">
        <v>3221</v>
      </c>
      <c r="E2168" s="125"/>
      <c r="F2168" s="118" t="s">
        <v>2593</v>
      </c>
      <c r="G2168" s="126" t="str">
        <f t="shared" si="135"/>
        <v>AR-R22-1</v>
      </c>
      <c r="H2168" s="253">
        <v>1</v>
      </c>
      <c r="I2168" s="76">
        <v>1</v>
      </c>
      <c r="J2168" s="299" t="s">
        <v>286</v>
      </c>
      <c r="K2168" s="299"/>
      <c r="L2168" s="84"/>
      <c r="M2168" s="76"/>
      <c r="Q2168" s="84"/>
      <c r="R2168" s="76"/>
    </row>
    <row r="2169" spans="2:18" s="83" customFormat="1" ht="15" hidden="1" customHeight="1" outlineLevel="2">
      <c r="B2169" s="119" t="s">
        <v>272</v>
      </c>
      <c r="C2169" s="266" t="s">
        <v>3225</v>
      </c>
      <c r="D2169" s="124" t="s">
        <v>3226</v>
      </c>
      <c r="E2169" s="125"/>
      <c r="F2169" s="118" t="s">
        <v>2593</v>
      </c>
      <c r="G2169" s="126" t="str">
        <f t="shared" si="135"/>
        <v>AR-R22-1</v>
      </c>
      <c r="H2169" s="253">
        <v>1</v>
      </c>
      <c r="I2169" s="76">
        <v>1</v>
      </c>
      <c r="J2169" s="299" t="s">
        <v>286</v>
      </c>
      <c r="K2169" s="299"/>
      <c r="L2169" s="84"/>
      <c r="M2169" s="76"/>
      <c r="Q2169" s="84"/>
      <c r="R2169" s="76"/>
    </row>
    <row r="2170" spans="2:18" s="83" customFormat="1" ht="15" hidden="1" customHeight="1" outlineLevel="2">
      <c r="B2170" s="119" t="s">
        <v>272</v>
      </c>
      <c r="C2170" s="266" t="s">
        <v>3227</v>
      </c>
      <c r="D2170" s="124" t="s">
        <v>3226</v>
      </c>
      <c r="E2170" s="125"/>
      <c r="F2170" s="118" t="s">
        <v>2593</v>
      </c>
      <c r="G2170" s="126" t="str">
        <f t="shared" si="135"/>
        <v>AR-R22-1</v>
      </c>
      <c r="H2170" s="253">
        <v>1</v>
      </c>
      <c r="I2170" s="76">
        <v>1</v>
      </c>
      <c r="J2170" s="299" t="s">
        <v>286</v>
      </c>
      <c r="K2170" s="299"/>
      <c r="L2170" s="84"/>
      <c r="M2170" s="76"/>
      <c r="Q2170" s="84"/>
      <c r="R2170" s="76"/>
    </row>
    <row r="2171" spans="2:18" s="83" customFormat="1" ht="15" hidden="1" customHeight="1" outlineLevel="2">
      <c r="B2171" s="119" t="s">
        <v>272</v>
      </c>
      <c r="C2171" s="266" t="s">
        <v>3228</v>
      </c>
      <c r="D2171" s="124" t="s">
        <v>3229</v>
      </c>
      <c r="E2171" s="125"/>
      <c r="F2171" s="118" t="s">
        <v>2593</v>
      </c>
      <c r="G2171" s="126" t="str">
        <f t="shared" si="135"/>
        <v>AR-R22-1</v>
      </c>
      <c r="H2171" s="253">
        <v>1</v>
      </c>
      <c r="I2171" s="76">
        <v>1</v>
      </c>
      <c r="J2171" s="299" t="s">
        <v>286</v>
      </c>
      <c r="K2171" s="299"/>
      <c r="L2171" s="84"/>
      <c r="M2171" s="76"/>
      <c r="Q2171" s="84"/>
      <c r="R2171" s="76"/>
    </row>
    <row r="2172" spans="2:18" s="83" customFormat="1" ht="15" hidden="1" customHeight="1" outlineLevel="2">
      <c r="B2172" s="119" t="s">
        <v>272</v>
      </c>
      <c r="C2172" s="266" t="s">
        <v>3230</v>
      </c>
      <c r="D2172" s="124" t="s">
        <v>3229</v>
      </c>
      <c r="E2172" s="125"/>
      <c r="F2172" s="118" t="s">
        <v>2593</v>
      </c>
      <c r="G2172" s="126" t="str">
        <f t="shared" si="135"/>
        <v>AR-R22-1</v>
      </c>
      <c r="H2172" s="253">
        <v>1</v>
      </c>
      <c r="I2172" s="76">
        <v>1</v>
      </c>
      <c r="J2172" s="299" t="s">
        <v>286</v>
      </c>
      <c r="K2172" s="299"/>
      <c r="L2172" s="84"/>
      <c r="M2172" s="76"/>
      <c r="Q2172" s="84"/>
      <c r="R2172" s="76"/>
    </row>
    <row r="2173" spans="2:18" s="83" customFormat="1" ht="15" hidden="1" customHeight="1" outlineLevel="2">
      <c r="B2173" s="119" t="s">
        <v>272</v>
      </c>
      <c r="C2173" s="266" t="s">
        <v>3231</v>
      </c>
      <c r="D2173" s="124" t="s">
        <v>3232</v>
      </c>
      <c r="E2173" s="125"/>
      <c r="F2173" s="118" t="s">
        <v>2593</v>
      </c>
      <c r="G2173" s="126" t="str">
        <f t="shared" si="135"/>
        <v>AR-R22-1</v>
      </c>
      <c r="H2173" s="253">
        <v>1</v>
      </c>
      <c r="I2173" s="76">
        <v>1</v>
      </c>
      <c r="J2173" s="299" t="s">
        <v>286</v>
      </c>
      <c r="K2173" s="299"/>
      <c r="L2173" s="84"/>
      <c r="M2173" s="76"/>
      <c r="Q2173" s="84"/>
      <c r="R2173" s="76"/>
    </row>
    <row r="2174" spans="2:18" s="83" customFormat="1" ht="15" hidden="1" customHeight="1" outlineLevel="2">
      <c r="B2174" s="119" t="s">
        <v>272</v>
      </c>
      <c r="C2174" s="266" t="s">
        <v>3233</v>
      </c>
      <c r="D2174" s="124" t="s">
        <v>3232</v>
      </c>
      <c r="E2174" s="125"/>
      <c r="F2174" s="118" t="s">
        <v>2593</v>
      </c>
      <c r="G2174" s="126" t="str">
        <f t="shared" si="135"/>
        <v>AR-R22-1</v>
      </c>
      <c r="H2174" s="253">
        <v>1</v>
      </c>
      <c r="I2174" s="76">
        <v>1</v>
      </c>
      <c r="J2174" s="299" t="s">
        <v>286</v>
      </c>
      <c r="K2174" s="299"/>
      <c r="L2174" s="84"/>
      <c r="M2174" s="76"/>
      <c r="Q2174" s="84"/>
      <c r="R2174" s="76"/>
    </row>
    <row r="2175" spans="2:18" s="83" customFormat="1" ht="15" hidden="1" customHeight="1" outlineLevel="2">
      <c r="B2175" s="119" t="s">
        <v>272</v>
      </c>
      <c r="C2175" s="266" t="s">
        <v>3234</v>
      </c>
      <c r="D2175" s="124" t="s">
        <v>3232</v>
      </c>
      <c r="E2175" s="125"/>
      <c r="F2175" s="118" t="s">
        <v>2593</v>
      </c>
      <c r="G2175" s="126" t="str">
        <f t="shared" si="135"/>
        <v>AR-R22-1</v>
      </c>
      <c r="H2175" s="253">
        <v>1</v>
      </c>
      <c r="I2175" s="76">
        <v>1</v>
      </c>
      <c r="J2175" s="299" t="s">
        <v>286</v>
      </c>
      <c r="K2175" s="299"/>
      <c r="L2175" s="84"/>
      <c r="M2175" s="76"/>
      <c r="Q2175" s="84"/>
      <c r="R2175" s="76"/>
    </row>
    <row r="2176" spans="2:18" s="99" customFormat="1" ht="15" hidden="1" customHeight="1" outlineLevel="2">
      <c r="B2176" s="119" t="s">
        <v>272</v>
      </c>
      <c r="C2176" s="266" t="s">
        <v>3235</v>
      </c>
      <c r="D2176" s="124" t="s">
        <v>3232</v>
      </c>
      <c r="E2176" s="125"/>
      <c r="F2176" s="118" t="s">
        <v>2593</v>
      </c>
      <c r="G2176" s="126" t="str">
        <f t="shared" si="135"/>
        <v>AR-R22-1</v>
      </c>
      <c r="H2176" s="253">
        <v>1</v>
      </c>
      <c r="I2176" s="76">
        <v>1</v>
      </c>
      <c r="J2176" s="299" t="s">
        <v>286</v>
      </c>
      <c r="K2176" s="299"/>
      <c r="L2176" s="84"/>
      <c r="M2176" s="76"/>
      <c r="Q2176" s="84"/>
      <c r="R2176" s="76"/>
    </row>
    <row r="2177" spans="2:18" s="83" customFormat="1" ht="15" hidden="1" customHeight="1" outlineLevel="2">
      <c r="B2177" s="119" t="s">
        <v>272</v>
      </c>
      <c r="C2177" s="266" t="s">
        <v>3236</v>
      </c>
      <c r="D2177" s="124" t="s">
        <v>3237</v>
      </c>
      <c r="E2177" s="125"/>
      <c r="F2177" s="118" t="s">
        <v>2593</v>
      </c>
      <c r="G2177" s="126" t="str">
        <f t="shared" si="135"/>
        <v>AR-R22-1</v>
      </c>
      <c r="H2177" s="253">
        <v>1</v>
      </c>
      <c r="I2177" s="76">
        <v>1</v>
      </c>
      <c r="J2177" s="299" t="s">
        <v>286</v>
      </c>
      <c r="K2177" s="299"/>
      <c r="L2177" s="84"/>
      <c r="M2177" s="76"/>
      <c r="Q2177" s="84"/>
      <c r="R2177" s="76"/>
    </row>
    <row r="2178" spans="2:18" s="83" customFormat="1" ht="15" hidden="1" customHeight="1" outlineLevel="2">
      <c r="B2178" s="119" t="s">
        <v>272</v>
      </c>
      <c r="C2178" s="266" t="s">
        <v>3238</v>
      </c>
      <c r="D2178" s="124" t="s">
        <v>3237</v>
      </c>
      <c r="E2178" s="125"/>
      <c r="F2178" s="118" t="s">
        <v>2593</v>
      </c>
      <c r="G2178" s="126" t="str">
        <f t="shared" si="135"/>
        <v>AR-R22-1</v>
      </c>
      <c r="H2178" s="253">
        <v>1</v>
      </c>
      <c r="I2178" s="76">
        <v>1</v>
      </c>
      <c r="J2178" s="299" t="s">
        <v>286</v>
      </c>
      <c r="K2178" s="299"/>
      <c r="L2178" s="84"/>
      <c r="M2178" s="76"/>
      <c r="Q2178" s="84"/>
      <c r="R2178" s="76"/>
    </row>
    <row r="2179" spans="2:18" s="83" customFormat="1" ht="15" hidden="1" customHeight="1" outlineLevel="2">
      <c r="B2179" s="119" t="s">
        <v>272</v>
      </c>
      <c r="C2179" s="266" t="s">
        <v>3239</v>
      </c>
      <c r="D2179" s="124" t="s">
        <v>3240</v>
      </c>
      <c r="E2179" s="125"/>
      <c r="F2179" s="118" t="s">
        <v>2593</v>
      </c>
      <c r="G2179" s="126" t="str">
        <f t="shared" si="135"/>
        <v>AR-R22-1</v>
      </c>
      <c r="H2179" s="253">
        <v>1</v>
      </c>
      <c r="I2179" s="76">
        <v>1</v>
      </c>
      <c r="J2179" s="299" t="s">
        <v>286</v>
      </c>
      <c r="K2179" s="299"/>
      <c r="L2179" s="84"/>
      <c r="M2179" s="76"/>
      <c r="Q2179" s="84"/>
      <c r="R2179" s="76"/>
    </row>
    <row r="2180" spans="2:18" s="83" customFormat="1" ht="15" hidden="1" customHeight="1" outlineLevel="2">
      <c r="B2180" s="119" t="s">
        <v>272</v>
      </c>
      <c r="C2180" s="266" t="s">
        <v>3241</v>
      </c>
      <c r="D2180" s="124" t="s">
        <v>3240</v>
      </c>
      <c r="E2180" s="125"/>
      <c r="F2180" s="118" t="s">
        <v>2593</v>
      </c>
      <c r="G2180" s="126" t="str">
        <f t="shared" si="135"/>
        <v>AR-R22-1</v>
      </c>
      <c r="H2180" s="253">
        <v>1</v>
      </c>
      <c r="I2180" s="76">
        <v>1</v>
      </c>
      <c r="J2180" s="299" t="s">
        <v>286</v>
      </c>
      <c r="K2180" s="299"/>
      <c r="L2180" s="84"/>
      <c r="M2180" s="76"/>
      <c r="Q2180" s="84"/>
      <c r="R2180" s="76"/>
    </row>
    <row r="2181" spans="2:18" s="83" customFormat="1" ht="15" hidden="1" customHeight="1" outlineLevel="2">
      <c r="B2181" s="119" t="s">
        <v>272</v>
      </c>
      <c r="C2181" s="266" t="s">
        <v>3242</v>
      </c>
      <c r="D2181" s="124" t="s">
        <v>3243</v>
      </c>
      <c r="E2181" s="125"/>
      <c r="F2181" s="118" t="s">
        <v>2593</v>
      </c>
      <c r="G2181" s="126" t="str">
        <f t="shared" si="135"/>
        <v>AR-R22-1</v>
      </c>
      <c r="H2181" s="253">
        <v>1</v>
      </c>
      <c r="I2181" s="76">
        <v>1</v>
      </c>
      <c r="J2181" s="299" t="s">
        <v>286</v>
      </c>
      <c r="K2181" s="299"/>
      <c r="L2181" s="84"/>
      <c r="M2181" s="76"/>
      <c r="Q2181" s="84"/>
      <c r="R2181" s="76"/>
    </row>
    <row r="2182" spans="2:18" s="83" customFormat="1" ht="15" hidden="1" customHeight="1" outlineLevel="2">
      <c r="B2182" s="119" t="s">
        <v>272</v>
      </c>
      <c r="C2182" s="266" t="s">
        <v>3244</v>
      </c>
      <c r="D2182" s="124" t="s">
        <v>3243</v>
      </c>
      <c r="E2182" s="125"/>
      <c r="F2182" s="118" t="s">
        <v>2593</v>
      </c>
      <c r="G2182" s="126" t="str">
        <f t="shared" si="135"/>
        <v>AR-R22-1</v>
      </c>
      <c r="H2182" s="253">
        <v>1</v>
      </c>
      <c r="I2182" s="76">
        <v>1</v>
      </c>
      <c r="J2182" s="299" t="s">
        <v>286</v>
      </c>
      <c r="K2182" s="299"/>
      <c r="L2182" s="84"/>
      <c r="M2182" s="76"/>
      <c r="Q2182" s="84"/>
      <c r="R2182" s="76"/>
    </row>
    <row r="2183" spans="2:18" s="83" customFormat="1" ht="15" hidden="1" customHeight="1" outlineLevel="2">
      <c r="B2183" s="119" t="s">
        <v>272</v>
      </c>
      <c r="C2183" s="266" t="s">
        <v>3245</v>
      </c>
      <c r="D2183" s="124" t="s">
        <v>3243</v>
      </c>
      <c r="E2183" s="125"/>
      <c r="F2183" s="118" t="s">
        <v>2593</v>
      </c>
      <c r="G2183" s="126" t="str">
        <f t="shared" si="135"/>
        <v>AR-R22-1</v>
      </c>
      <c r="H2183" s="253">
        <v>1</v>
      </c>
      <c r="I2183" s="76">
        <v>1</v>
      </c>
      <c r="J2183" s="299" t="s">
        <v>286</v>
      </c>
      <c r="K2183" s="299"/>
      <c r="L2183" s="84"/>
      <c r="M2183" s="76"/>
      <c r="Q2183" s="84"/>
      <c r="R2183" s="76"/>
    </row>
    <row r="2184" spans="2:18" s="83" customFormat="1" ht="15" hidden="1" customHeight="1" outlineLevel="2">
      <c r="B2184" s="119" t="s">
        <v>272</v>
      </c>
      <c r="C2184" s="266" t="s">
        <v>3246</v>
      </c>
      <c r="D2184" s="124" t="s">
        <v>3243</v>
      </c>
      <c r="E2184" s="125"/>
      <c r="F2184" s="118" t="s">
        <v>2593</v>
      </c>
      <c r="G2184" s="126" t="str">
        <f t="shared" si="135"/>
        <v>AR-R22-1</v>
      </c>
      <c r="H2184" s="253">
        <v>1</v>
      </c>
      <c r="I2184" s="76">
        <v>1</v>
      </c>
      <c r="J2184" s="299" t="s">
        <v>286</v>
      </c>
      <c r="K2184" s="299"/>
      <c r="L2184" s="84"/>
      <c r="M2184" s="76"/>
      <c r="Q2184" s="84"/>
      <c r="R2184" s="76"/>
    </row>
    <row r="2185" spans="2:18" s="83" customFormat="1" ht="15" hidden="1" customHeight="1" outlineLevel="2">
      <c r="B2185" s="119" t="s">
        <v>272</v>
      </c>
      <c r="C2185" s="266" t="s">
        <v>3247</v>
      </c>
      <c r="D2185" s="124" t="s">
        <v>3248</v>
      </c>
      <c r="E2185" s="125"/>
      <c r="F2185" s="118" t="s">
        <v>2593</v>
      </c>
      <c r="G2185" s="126" t="str">
        <f t="shared" si="135"/>
        <v>AR-R22-1</v>
      </c>
      <c r="H2185" s="253">
        <v>1</v>
      </c>
      <c r="I2185" s="76">
        <v>1</v>
      </c>
      <c r="J2185" s="299" t="s">
        <v>286</v>
      </c>
      <c r="K2185" s="299"/>
      <c r="L2185" s="84"/>
      <c r="M2185" s="76"/>
      <c r="Q2185" s="84"/>
      <c r="R2185" s="76"/>
    </row>
    <row r="2186" spans="2:18" s="83" customFormat="1" ht="15" hidden="1" customHeight="1" outlineLevel="2">
      <c r="B2186" s="119" t="s">
        <v>272</v>
      </c>
      <c r="C2186" s="266" t="s">
        <v>3249</v>
      </c>
      <c r="D2186" s="124" t="s">
        <v>3248</v>
      </c>
      <c r="E2186" s="125"/>
      <c r="F2186" s="118" t="s">
        <v>2593</v>
      </c>
      <c r="G2186" s="126" t="str">
        <f t="shared" si="135"/>
        <v>AR-R22-1</v>
      </c>
      <c r="H2186" s="253">
        <v>1</v>
      </c>
      <c r="I2186" s="76">
        <v>1</v>
      </c>
      <c r="J2186" s="299" t="s">
        <v>286</v>
      </c>
      <c r="K2186" s="299"/>
      <c r="L2186" s="84"/>
      <c r="M2186" s="76"/>
      <c r="Q2186" s="84"/>
      <c r="R2186" s="76"/>
    </row>
    <row r="2187" spans="2:18" s="83" customFormat="1" ht="15" hidden="1" customHeight="1" outlineLevel="2">
      <c r="B2187" s="119" t="s">
        <v>272</v>
      </c>
      <c r="C2187" s="266" t="s">
        <v>3250</v>
      </c>
      <c r="D2187" s="124" t="s">
        <v>3248</v>
      </c>
      <c r="E2187" s="125"/>
      <c r="F2187" s="118" t="s">
        <v>2593</v>
      </c>
      <c r="G2187" s="126" t="str">
        <f t="shared" si="135"/>
        <v>AR-R22-1</v>
      </c>
      <c r="H2187" s="253">
        <v>1</v>
      </c>
      <c r="I2187" s="76">
        <v>1</v>
      </c>
      <c r="J2187" s="299" t="s">
        <v>286</v>
      </c>
      <c r="K2187" s="299"/>
      <c r="L2187" s="84"/>
      <c r="M2187" s="76"/>
      <c r="Q2187" s="84"/>
      <c r="R2187" s="76"/>
    </row>
    <row r="2188" spans="2:18" s="83" customFormat="1" ht="15" hidden="1" customHeight="1" outlineLevel="2">
      <c r="B2188" s="119" t="s">
        <v>272</v>
      </c>
      <c r="C2188" s="266" t="s">
        <v>3251</v>
      </c>
      <c r="D2188" s="124" t="s">
        <v>3248</v>
      </c>
      <c r="E2188" s="125"/>
      <c r="F2188" s="118" t="s">
        <v>2593</v>
      </c>
      <c r="G2188" s="126" t="str">
        <f t="shared" si="135"/>
        <v>AR-R22-1</v>
      </c>
      <c r="H2188" s="253">
        <v>1</v>
      </c>
      <c r="I2188" s="76">
        <v>1</v>
      </c>
      <c r="J2188" s="299" t="s">
        <v>286</v>
      </c>
      <c r="K2188" s="299"/>
      <c r="L2188" s="84"/>
      <c r="M2188" s="76"/>
      <c r="Q2188" s="84"/>
      <c r="R2188" s="76"/>
    </row>
    <row r="2189" spans="2:18" s="83" customFormat="1" ht="15" hidden="1" customHeight="1" outlineLevel="2">
      <c r="B2189" s="119" t="s">
        <v>272</v>
      </c>
      <c r="C2189" s="266" t="s">
        <v>3252</v>
      </c>
      <c r="D2189" s="124" t="s">
        <v>3253</v>
      </c>
      <c r="E2189" s="125"/>
      <c r="F2189" s="118" t="s">
        <v>2593</v>
      </c>
      <c r="G2189" s="126" t="str">
        <f t="shared" si="135"/>
        <v>AR-R22-1</v>
      </c>
      <c r="H2189" s="253">
        <v>1</v>
      </c>
      <c r="I2189" s="76">
        <v>1</v>
      </c>
      <c r="J2189" s="299" t="s">
        <v>286</v>
      </c>
      <c r="K2189" s="299"/>
      <c r="L2189" s="84"/>
      <c r="M2189" s="76"/>
      <c r="Q2189" s="84"/>
      <c r="R2189" s="76"/>
    </row>
    <row r="2190" spans="2:18" s="83" customFormat="1" ht="15" hidden="1" customHeight="1" outlineLevel="2">
      <c r="B2190" s="119" t="s">
        <v>272</v>
      </c>
      <c r="C2190" s="266" t="s">
        <v>3254</v>
      </c>
      <c r="D2190" s="124" t="s">
        <v>3253</v>
      </c>
      <c r="E2190" s="125"/>
      <c r="F2190" s="118" t="s">
        <v>2593</v>
      </c>
      <c r="G2190" s="126" t="str">
        <f t="shared" si="135"/>
        <v>AR-R22-1</v>
      </c>
      <c r="H2190" s="253">
        <v>1</v>
      </c>
      <c r="I2190" s="76">
        <v>1</v>
      </c>
      <c r="J2190" s="299" t="s">
        <v>286</v>
      </c>
      <c r="K2190" s="299"/>
      <c r="L2190" s="84"/>
      <c r="M2190" s="76"/>
      <c r="Q2190" s="84"/>
      <c r="R2190" s="76"/>
    </row>
    <row r="2191" spans="2:18" s="83" customFormat="1" ht="15" hidden="1" customHeight="1" outlineLevel="2">
      <c r="B2191" s="119" t="s">
        <v>272</v>
      </c>
      <c r="C2191" s="266" t="s">
        <v>3255</v>
      </c>
      <c r="D2191" s="124" t="s">
        <v>3253</v>
      </c>
      <c r="E2191" s="125"/>
      <c r="F2191" s="118" t="s">
        <v>2593</v>
      </c>
      <c r="G2191" s="126" t="str">
        <f t="shared" si="135"/>
        <v>AR-R22-1</v>
      </c>
      <c r="H2191" s="253">
        <v>1</v>
      </c>
      <c r="I2191" s="76">
        <v>1</v>
      </c>
      <c r="J2191" s="299" t="s">
        <v>286</v>
      </c>
      <c r="K2191" s="299"/>
      <c r="L2191" s="84"/>
      <c r="M2191" s="76"/>
      <c r="Q2191" s="84"/>
      <c r="R2191" s="76"/>
    </row>
    <row r="2192" spans="2:18" s="83" customFormat="1" ht="15" hidden="1" customHeight="1" outlineLevel="2">
      <c r="B2192" s="119" t="s">
        <v>272</v>
      </c>
      <c r="C2192" s="266" t="s">
        <v>3256</v>
      </c>
      <c r="D2192" s="124" t="s">
        <v>3253</v>
      </c>
      <c r="E2192" s="125"/>
      <c r="F2192" s="118" t="s">
        <v>2593</v>
      </c>
      <c r="G2192" s="126" t="str">
        <f t="shared" si="135"/>
        <v>AR-R22-1</v>
      </c>
      <c r="H2192" s="253">
        <v>1</v>
      </c>
      <c r="I2192" s="76">
        <v>1</v>
      </c>
      <c r="J2192" s="299" t="s">
        <v>286</v>
      </c>
      <c r="K2192" s="299"/>
      <c r="L2192" s="84"/>
      <c r="M2192" s="76"/>
      <c r="Q2192" s="84"/>
      <c r="R2192" s="76"/>
    </row>
    <row r="2193" spans="2:18" s="83" customFormat="1" ht="15" hidden="1" customHeight="1" outlineLevel="2">
      <c r="B2193" s="119" t="s">
        <v>272</v>
      </c>
      <c r="C2193" s="266" t="s">
        <v>3257</v>
      </c>
      <c r="D2193" s="124" t="s">
        <v>3258</v>
      </c>
      <c r="E2193" s="125"/>
      <c r="F2193" s="118" t="s">
        <v>2593</v>
      </c>
      <c r="G2193" s="126" t="str">
        <f t="shared" si="135"/>
        <v>AR-R22-1</v>
      </c>
      <c r="H2193" s="253">
        <v>1</v>
      </c>
      <c r="I2193" s="76">
        <v>1</v>
      </c>
      <c r="J2193" s="299" t="s">
        <v>286</v>
      </c>
      <c r="K2193" s="299"/>
      <c r="L2193" s="84"/>
      <c r="M2193" s="76"/>
      <c r="Q2193" s="84"/>
      <c r="R2193" s="76"/>
    </row>
    <row r="2194" spans="2:18" s="83" customFormat="1" ht="15" hidden="1" customHeight="1" outlineLevel="2">
      <c r="B2194" s="119" t="s">
        <v>272</v>
      </c>
      <c r="C2194" s="266" t="s">
        <v>3259</v>
      </c>
      <c r="D2194" s="124" t="s">
        <v>3258</v>
      </c>
      <c r="E2194" s="125"/>
      <c r="F2194" s="118" t="s">
        <v>2593</v>
      </c>
      <c r="G2194" s="126" t="str">
        <f t="shared" si="135"/>
        <v>AR-R22-1</v>
      </c>
      <c r="H2194" s="253">
        <v>1</v>
      </c>
      <c r="I2194" s="76">
        <v>1</v>
      </c>
      <c r="J2194" s="299" t="s">
        <v>286</v>
      </c>
      <c r="K2194" s="299"/>
      <c r="L2194" s="84"/>
      <c r="M2194" s="76"/>
      <c r="Q2194" s="84"/>
      <c r="R2194" s="76"/>
    </row>
    <row r="2195" spans="2:18" s="83" customFormat="1" ht="15" hidden="1" customHeight="1" outlineLevel="2">
      <c r="B2195" s="119" t="s">
        <v>272</v>
      </c>
      <c r="C2195" s="266" t="s">
        <v>3260</v>
      </c>
      <c r="D2195" s="124" t="s">
        <v>3261</v>
      </c>
      <c r="E2195" s="125"/>
      <c r="F2195" s="118" t="s">
        <v>2593</v>
      </c>
      <c r="G2195" s="126" t="str">
        <f t="shared" si="135"/>
        <v>AR-R22-1</v>
      </c>
      <c r="H2195" s="253">
        <v>1</v>
      </c>
      <c r="I2195" s="76">
        <v>1</v>
      </c>
      <c r="J2195" s="299" t="s">
        <v>286</v>
      </c>
      <c r="K2195" s="299"/>
      <c r="L2195" s="84"/>
      <c r="M2195" s="76"/>
      <c r="Q2195" s="84"/>
      <c r="R2195" s="76"/>
    </row>
    <row r="2196" spans="2:18" s="83" customFormat="1" ht="15" hidden="1" customHeight="1" outlineLevel="2">
      <c r="B2196" s="119" t="s">
        <v>272</v>
      </c>
      <c r="C2196" s="266" t="s">
        <v>3262</v>
      </c>
      <c r="D2196" s="124" t="s">
        <v>3261</v>
      </c>
      <c r="E2196" s="125"/>
      <c r="F2196" s="118" t="s">
        <v>2593</v>
      </c>
      <c r="G2196" s="126" t="str">
        <f t="shared" si="135"/>
        <v>AR-R22-1</v>
      </c>
      <c r="H2196" s="253">
        <v>1</v>
      </c>
      <c r="I2196" s="76">
        <v>1</v>
      </c>
      <c r="J2196" s="299" t="s">
        <v>286</v>
      </c>
      <c r="K2196" s="299"/>
      <c r="L2196" s="84"/>
      <c r="M2196" s="76"/>
      <c r="Q2196" s="84"/>
      <c r="R2196" s="76"/>
    </row>
    <row r="2197" spans="2:18" s="83" customFormat="1" ht="15" hidden="1" customHeight="1" outlineLevel="2">
      <c r="B2197" s="119" t="s">
        <v>272</v>
      </c>
      <c r="C2197" s="266" t="s">
        <v>3263</v>
      </c>
      <c r="D2197" s="124" t="s">
        <v>3264</v>
      </c>
      <c r="E2197" s="125"/>
      <c r="F2197" s="118" t="s">
        <v>2593</v>
      </c>
      <c r="G2197" s="126" t="str">
        <f t="shared" si="135"/>
        <v>AR-R22-1</v>
      </c>
      <c r="H2197" s="253">
        <v>1</v>
      </c>
      <c r="I2197" s="76">
        <v>1</v>
      </c>
      <c r="J2197" s="299" t="s">
        <v>286</v>
      </c>
      <c r="K2197" s="299"/>
      <c r="L2197" s="84"/>
      <c r="M2197" s="76"/>
      <c r="Q2197" s="84"/>
      <c r="R2197" s="76"/>
    </row>
    <row r="2198" spans="2:18" s="83" customFormat="1" ht="15" hidden="1" customHeight="1" outlineLevel="2">
      <c r="B2198" s="119" t="s">
        <v>272</v>
      </c>
      <c r="C2198" s="266" t="s">
        <v>3265</v>
      </c>
      <c r="D2198" s="124" t="s">
        <v>3264</v>
      </c>
      <c r="E2198" s="125"/>
      <c r="F2198" s="118" t="s">
        <v>2593</v>
      </c>
      <c r="G2198" s="126" t="str">
        <f t="shared" si="135"/>
        <v>AR-R22-1</v>
      </c>
      <c r="H2198" s="253">
        <v>1</v>
      </c>
      <c r="I2198" s="76">
        <v>1</v>
      </c>
      <c r="J2198" s="299" t="s">
        <v>286</v>
      </c>
      <c r="K2198" s="299"/>
      <c r="L2198" s="84"/>
      <c r="M2198" s="76"/>
      <c r="Q2198" s="84"/>
      <c r="R2198" s="76"/>
    </row>
    <row r="2199" spans="2:18" s="83" customFormat="1" ht="15" hidden="1" customHeight="1" outlineLevel="2">
      <c r="B2199" s="119" t="s">
        <v>272</v>
      </c>
      <c r="C2199" s="266" t="s">
        <v>3266</v>
      </c>
      <c r="D2199" s="124" t="s">
        <v>3264</v>
      </c>
      <c r="E2199" s="125"/>
      <c r="F2199" s="118" t="s">
        <v>2593</v>
      </c>
      <c r="G2199" s="126" t="str">
        <f t="shared" si="135"/>
        <v>AR-R22-1</v>
      </c>
      <c r="H2199" s="253">
        <v>1</v>
      </c>
      <c r="I2199" s="76">
        <v>1</v>
      </c>
      <c r="J2199" s="299" t="s">
        <v>286</v>
      </c>
      <c r="K2199" s="299"/>
      <c r="L2199" s="84"/>
      <c r="M2199" s="76"/>
      <c r="Q2199" s="84"/>
      <c r="R2199" s="76"/>
    </row>
    <row r="2200" spans="2:18" s="83" customFormat="1" ht="15" hidden="1" customHeight="1" outlineLevel="2">
      <c r="B2200" s="119" t="s">
        <v>272</v>
      </c>
      <c r="C2200" s="266" t="s">
        <v>3267</v>
      </c>
      <c r="D2200" s="124" t="s">
        <v>3264</v>
      </c>
      <c r="E2200" s="125"/>
      <c r="F2200" s="118" t="s">
        <v>2593</v>
      </c>
      <c r="G2200" s="126" t="str">
        <f t="shared" ref="G2200:G2205" si="136">CONCATENATE("AR-",F2200,"-",H2200)</f>
        <v>AR-R22-1</v>
      </c>
      <c r="H2200" s="253">
        <v>1</v>
      </c>
      <c r="I2200" s="76">
        <v>1</v>
      </c>
      <c r="J2200" s="299" t="s">
        <v>286</v>
      </c>
      <c r="K2200" s="299"/>
      <c r="L2200" s="84"/>
      <c r="M2200" s="76"/>
      <c r="Q2200" s="84"/>
      <c r="R2200" s="76"/>
    </row>
    <row r="2201" spans="2:18" s="83" customFormat="1" ht="15" hidden="1" customHeight="1" outlineLevel="2">
      <c r="B2201" s="119" t="s">
        <v>272</v>
      </c>
      <c r="C2201" s="266" t="s">
        <v>3268</v>
      </c>
      <c r="D2201" s="124" t="s">
        <v>3269</v>
      </c>
      <c r="E2201" s="125"/>
      <c r="F2201" s="118" t="s">
        <v>2593</v>
      </c>
      <c r="G2201" s="126" t="str">
        <f t="shared" si="136"/>
        <v>AR-R22-1</v>
      </c>
      <c r="H2201" s="253">
        <v>1</v>
      </c>
      <c r="I2201" s="76">
        <v>1</v>
      </c>
      <c r="J2201" s="299" t="s">
        <v>286</v>
      </c>
      <c r="K2201" s="299"/>
      <c r="L2201" s="84"/>
      <c r="M2201" s="76"/>
      <c r="Q2201" s="84"/>
      <c r="R2201" s="76"/>
    </row>
    <row r="2202" spans="2:18" s="83" customFormat="1" ht="15" hidden="1" customHeight="1" outlineLevel="2">
      <c r="B2202" s="119" t="s">
        <v>272</v>
      </c>
      <c r="C2202" s="266" t="s">
        <v>3270</v>
      </c>
      <c r="D2202" s="124" t="s">
        <v>3269</v>
      </c>
      <c r="E2202" s="125"/>
      <c r="F2202" s="118" t="s">
        <v>2593</v>
      </c>
      <c r="G2202" s="126" t="str">
        <f t="shared" si="136"/>
        <v>AR-R22-1</v>
      </c>
      <c r="H2202" s="253">
        <v>1</v>
      </c>
      <c r="I2202" s="76">
        <v>1</v>
      </c>
      <c r="J2202" s="299" t="s">
        <v>286</v>
      </c>
      <c r="K2202" s="299"/>
      <c r="L2202" s="84"/>
      <c r="M2202" s="76"/>
      <c r="Q2202" s="84"/>
      <c r="R2202" s="76"/>
    </row>
    <row r="2203" spans="2:18" s="83" customFormat="1" ht="15" hidden="1" customHeight="1" outlineLevel="2">
      <c r="B2203" s="119" t="s">
        <v>272</v>
      </c>
      <c r="C2203" s="266" t="s">
        <v>3271</v>
      </c>
      <c r="D2203" s="124" t="s">
        <v>3272</v>
      </c>
      <c r="E2203" s="125"/>
      <c r="F2203" s="118" t="s">
        <v>2593</v>
      </c>
      <c r="G2203" s="126" t="str">
        <f t="shared" si="136"/>
        <v>AR-R22-1</v>
      </c>
      <c r="H2203" s="253">
        <v>1</v>
      </c>
      <c r="I2203" s="76">
        <v>1</v>
      </c>
      <c r="J2203" s="299" t="s">
        <v>286</v>
      </c>
      <c r="K2203" s="299"/>
      <c r="L2203" s="84"/>
      <c r="M2203" s="76"/>
      <c r="Q2203" s="84"/>
      <c r="R2203" s="76"/>
    </row>
    <row r="2204" spans="2:18" s="83" customFormat="1" ht="15" hidden="1" customHeight="1" outlineLevel="2">
      <c r="B2204" s="119" t="s">
        <v>272</v>
      </c>
      <c r="C2204" s="266" t="s">
        <v>3273</v>
      </c>
      <c r="D2204" s="124" t="s">
        <v>3272</v>
      </c>
      <c r="E2204" s="125"/>
      <c r="F2204" s="118" t="s">
        <v>2593</v>
      </c>
      <c r="G2204" s="126" t="str">
        <f t="shared" si="136"/>
        <v>AR-R22-1</v>
      </c>
      <c r="H2204" s="253">
        <v>1</v>
      </c>
      <c r="I2204" s="76">
        <v>1</v>
      </c>
      <c r="J2204" s="299" t="s">
        <v>286</v>
      </c>
      <c r="K2204" s="299"/>
      <c r="L2204" s="84"/>
      <c r="M2204" s="76"/>
      <c r="Q2204" s="84"/>
      <c r="R2204" s="76"/>
    </row>
    <row r="2205" spans="2:18" s="83" customFormat="1" ht="15" hidden="1" customHeight="1" outlineLevel="2">
      <c r="B2205" s="119" t="s">
        <v>272</v>
      </c>
      <c r="C2205" s="266" t="s">
        <v>3274</v>
      </c>
      <c r="D2205" s="124" t="s">
        <v>3275</v>
      </c>
      <c r="E2205" s="125"/>
      <c r="F2205" s="118" t="s">
        <v>2593</v>
      </c>
      <c r="G2205" s="126" t="str">
        <f t="shared" si="136"/>
        <v>AR-R22-1</v>
      </c>
      <c r="H2205" s="253">
        <v>1</v>
      </c>
      <c r="I2205" s="76">
        <v>1</v>
      </c>
      <c r="J2205" s="299" t="s">
        <v>286</v>
      </c>
      <c r="K2205" s="299"/>
      <c r="L2205" s="84"/>
      <c r="M2205" s="76"/>
      <c r="Q2205" s="84"/>
      <c r="R2205" s="76"/>
    </row>
    <row r="2206" spans="2:18" s="83" customFormat="1" ht="15" hidden="1" customHeight="1" outlineLevel="2">
      <c r="B2206" s="119" t="s">
        <v>272</v>
      </c>
      <c r="C2206" s="266" t="s">
        <v>3276</v>
      </c>
      <c r="D2206" s="124" t="s">
        <v>3275</v>
      </c>
      <c r="E2206" s="125"/>
      <c r="F2206" s="118" t="s">
        <v>2593</v>
      </c>
      <c r="G2206" s="126" t="str">
        <f>CONCATENATE("AR-",F2206,"-",H2206)</f>
        <v>AR-R22-1</v>
      </c>
      <c r="H2206" s="253">
        <v>1</v>
      </c>
      <c r="I2206" s="76">
        <v>1</v>
      </c>
      <c r="J2206" s="299" t="s">
        <v>286</v>
      </c>
      <c r="K2206" s="299"/>
      <c r="L2206" s="84"/>
      <c r="M2206" s="76"/>
      <c r="Q2206" s="84"/>
      <c r="R2206" s="76"/>
    </row>
    <row r="2207" spans="2:18" s="83" customFormat="1" ht="15" hidden="1" customHeight="1" outlineLevel="2">
      <c r="B2207" s="119" t="s">
        <v>272</v>
      </c>
      <c r="C2207" s="266" t="s">
        <v>3277</v>
      </c>
      <c r="D2207" s="124" t="s">
        <v>3275</v>
      </c>
      <c r="E2207" s="125"/>
      <c r="F2207" s="118" t="s">
        <v>2593</v>
      </c>
      <c r="G2207" s="126" t="str">
        <f>CONCATENATE("AR-",F2207,"-",H2207)</f>
        <v>AR-R22-1</v>
      </c>
      <c r="H2207" s="253">
        <v>1</v>
      </c>
      <c r="I2207" s="76">
        <v>1</v>
      </c>
      <c r="J2207" s="299" t="s">
        <v>286</v>
      </c>
      <c r="K2207" s="299"/>
      <c r="L2207" s="84"/>
      <c r="M2207" s="76"/>
      <c r="Q2207" s="84"/>
      <c r="R2207" s="76"/>
    </row>
    <row r="2208" spans="2:18" s="83" customFormat="1" ht="15" hidden="1" customHeight="1" outlineLevel="2">
      <c r="B2208" s="119" t="s">
        <v>272</v>
      </c>
      <c r="C2208" s="266" t="s">
        <v>3278</v>
      </c>
      <c r="D2208" s="124" t="s">
        <v>3275</v>
      </c>
      <c r="E2208" s="125"/>
      <c r="F2208" s="118" t="s">
        <v>2593</v>
      </c>
      <c r="G2208" s="126" t="str">
        <f>CONCATENATE("AR-",F2208,"-",H2208)</f>
        <v>AR-R22-1</v>
      </c>
      <c r="H2208" s="253">
        <v>1</v>
      </c>
      <c r="I2208" s="76">
        <v>1</v>
      </c>
      <c r="J2208" s="299" t="s">
        <v>286</v>
      </c>
      <c r="K2208" s="299"/>
      <c r="L2208" s="84"/>
      <c r="M2208" s="76"/>
      <c r="Q2208" s="84"/>
      <c r="R2208" s="76"/>
    </row>
    <row r="2209" spans="2:18" s="83" customFormat="1" ht="15" hidden="1" customHeight="1" outlineLevel="2">
      <c r="B2209" s="119" t="s">
        <v>272</v>
      </c>
      <c r="C2209" s="266" t="s">
        <v>3279</v>
      </c>
      <c r="D2209" s="124" t="s">
        <v>3280</v>
      </c>
      <c r="E2209" s="125"/>
      <c r="F2209" s="118" t="s">
        <v>2593</v>
      </c>
      <c r="G2209" s="126" t="str">
        <f t="shared" ref="G2209:G2222" si="137">CONCATENATE("AR-",F2209,"-",H2209)</f>
        <v>AR-R22-1</v>
      </c>
      <c r="H2209" s="253">
        <v>1</v>
      </c>
      <c r="I2209" s="76">
        <v>1</v>
      </c>
      <c r="J2209" s="299" t="s">
        <v>286</v>
      </c>
      <c r="K2209" s="299"/>
      <c r="L2209" s="84"/>
      <c r="M2209" s="76"/>
      <c r="Q2209" s="84"/>
      <c r="R2209" s="76"/>
    </row>
    <row r="2210" spans="2:18" s="83" customFormat="1" ht="15" hidden="1" customHeight="1" outlineLevel="2">
      <c r="B2210" s="119" t="s">
        <v>272</v>
      </c>
      <c r="C2210" s="266" t="s">
        <v>3281</v>
      </c>
      <c r="D2210" s="124" t="s">
        <v>3280</v>
      </c>
      <c r="E2210" s="125"/>
      <c r="F2210" s="118" t="s">
        <v>2593</v>
      </c>
      <c r="G2210" s="126" t="str">
        <f t="shared" si="137"/>
        <v>AR-R22-1</v>
      </c>
      <c r="H2210" s="253">
        <v>1</v>
      </c>
      <c r="I2210" s="76">
        <v>1</v>
      </c>
      <c r="J2210" s="299" t="s">
        <v>286</v>
      </c>
      <c r="K2210" s="299"/>
      <c r="L2210" s="84"/>
      <c r="M2210" s="76"/>
      <c r="Q2210" s="84"/>
      <c r="R2210" s="76"/>
    </row>
    <row r="2211" spans="2:18" s="83" customFormat="1" ht="15" hidden="1" customHeight="1" outlineLevel="2">
      <c r="B2211" s="119" t="s">
        <v>272</v>
      </c>
      <c r="C2211" s="266" t="s">
        <v>3282</v>
      </c>
      <c r="D2211" s="124" t="s">
        <v>3280</v>
      </c>
      <c r="E2211" s="125"/>
      <c r="F2211" s="118" t="s">
        <v>2593</v>
      </c>
      <c r="G2211" s="126" t="str">
        <f t="shared" si="137"/>
        <v>AR-R22-1</v>
      </c>
      <c r="H2211" s="253">
        <v>1</v>
      </c>
      <c r="I2211" s="76">
        <v>1</v>
      </c>
      <c r="J2211" s="299" t="s">
        <v>286</v>
      </c>
      <c r="K2211" s="299"/>
      <c r="L2211" s="84"/>
      <c r="M2211" s="76"/>
      <c r="Q2211" s="84"/>
      <c r="R2211" s="76"/>
    </row>
    <row r="2212" spans="2:18" s="83" customFormat="1" ht="15" hidden="1" customHeight="1" outlineLevel="2">
      <c r="B2212" s="119" t="s">
        <v>272</v>
      </c>
      <c r="C2212" s="266" t="s">
        <v>3283</v>
      </c>
      <c r="D2212" s="124" t="s">
        <v>3280</v>
      </c>
      <c r="E2212" s="125"/>
      <c r="F2212" s="118" t="s">
        <v>2593</v>
      </c>
      <c r="G2212" s="126" t="str">
        <f t="shared" si="137"/>
        <v>AR-R22-1</v>
      </c>
      <c r="H2212" s="253">
        <v>1</v>
      </c>
      <c r="I2212" s="76">
        <v>1</v>
      </c>
      <c r="J2212" s="299" t="s">
        <v>286</v>
      </c>
      <c r="K2212" s="299"/>
      <c r="L2212" s="84"/>
      <c r="M2212" s="76"/>
      <c r="Q2212" s="84"/>
      <c r="R2212" s="76"/>
    </row>
    <row r="2213" spans="2:18" s="83" customFormat="1" ht="15" hidden="1" customHeight="1" outlineLevel="2">
      <c r="B2213" s="119" t="s">
        <v>272</v>
      </c>
      <c r="C2213" s="266" t="s">
        <v>3284</v>
      </c>
      <c r="D2213" s="124" t="s">
        <v>3280</v>
      </c>
      <c r="E2213" s="125"/>
      <c r="F2213" s="118" t="s">
        <v>2593</v>
      </c>
      <c r="G2213" s="126" t="str">
        <f t="shared" si="137"/>
        <v>AR-R22-1</v>
      </c>
      <c r="H2213" s="253">
        <v>1</v>
      </c>
      <c r="I2213" s="76">
        <v>1</v>
      </c>
      <c r="J2213" s="299" t="s">
        <v>286</v>
      </c>
      <c r="K2213" s="299"/>
      <c r="L2213" s="84"/>
      <c r="M2213" s="76"/>
      <c r="Q2213" s="84"/>
      <c r="R2213" s="76"/>
    </row>
    <row r="2214" spans="2:18" s="83" customFormat="1" ht="15" hidden="1" customHeight="1" outlineLevel="2">
      <c r="B2214" s="119" t="s">
        <v>272</v>
      </c>
      <c r="C2214" s="266" t="s">
        <v>3285</v>
      </c>
      <c r="D2214" s="124" t="s">
        <v>3280</v>
      </c>
      <c r="E2214" s="125"/>
      <c r="F2214" s="118" t="s">
        <v>2593</v>
      </c>
      <c r="G2214" s="126" t="str">
        <f t="shared" si="137"/>
        <v>AR-R22-1</v>
      </c>
      <c r="H2214" s="253">
        <v>1</v>
      </c>
      <c r="I2214" s="76">
        <v>1</v>
      </c>
      <c r="J2214" s="299" t="s">
        <v>286</v>
      </c>
      <c r="K2214" s="299"/>
      <c r="L2214" s="84"/>
      <c r="M2214" s="76"/>
      <c r="Q2214" s="84"/>
      <c r="R2214" s="76"/>
    </row>
    <row r="2215" spans="2:18" s="83" customFormat="1" ht="15" hidden="1" customHeight="1" outlineLevel="2">
      <c r="B2215" s="119" t="s">
        <v>272</v>
      </c>
      <c r="C2215" s="266" t="s">
        <v>3286</v>
      </c>
      <c r="D2215" s="124" t="s">
        <v>3280</v>
      </c>
      <c r="E2215" s="125"/>
      <c r="F2215" s="118" t="s">
        <v>2593</v>
      </c>
      <c r="G2215" s="126" t="str">
        <f t="shared" si="137"/>
        <v>AR-R22-1</v>
      </c>
      <c r="H2215" s="253">
        <v>1</v>
      </c>
      <c r="I2215" s="76">
        <v>1</v>
      </c>
      <c r="J2215" s="299" t="s">
        <v>286</v>
      </c>
      <c r="K2215" s="299"/>
      <c r="L2215" s="84"/>
      <c r="M2215" s="76"/>
      <c r="Q2215" s="84"/>
      <c r="R2215" s="76"/>
    </row>
    <row r="2216" spans="2:18" s="83" customFormat="1" ht="15" hidden="1" customHeight="1" outlineLevel="2">
      <c r="B2216" s="119" t="s">
        <v>272</v>
      </c>
      <c r="C2216" s="266" t="s">
        <v>3287</v>
      </c>
      <c r="D2216" s="124" t="s">
        <v>3280</v>
      </c>
      <c r="E2216" s="125"/>
      <c r="F2216" s="118" t="s">
        <v>2593</v>
      </c>
      <c r="G2216" s="126" t="str">
        <f t="shared" si="137"/>
        <v>AR-R22-1</v>
      </c>
      <c r="H2216" s="253">
        <v>1</v>
      </c>
      <c r="I2216" s="76">
        <v>1</v>
      </c>
      <c r="J2216" s="299" t="s">
        <v>286</v>
      </c>
      <c r="K2216" s="299"/>
      <c r="L2216" s="84"/>
      <c r="M2216" s="76"/>
      <c r="Q2216" s="84"/>
      <c r="R2216" s="76"/>
    </row>
    <row r="2217" spans="2:18" s="83" customFormat="1" ht="15" hidden="1" customHeight="1" outlineLevel="2">
      <c r="B2217" s="119" t="s">
        <v>272</v>
      </c>
      <c r="C2217" s="266" t="s">
        <v>3288</v>
      </c>
      <c r="D2217" s="124" t="s">
        <v>3280</v>
      </c>
      <c r="E2217" s="125"/>
      <c r="F2217" s="118" t="s">
        <v>2593</v>
      </c>
      <c r="G2217" s="126" t="str">
        <f t="shared" si="137"/>
        <v>AR-R22-1</v>
      </c>
      <c r="H2217" s="253">
        <v>1</v>
      </c>
      <c r="I2217" s="76">
        <v>1</v>
      </c>
      <c r="J2217" s="299" t="s">
        <v>286</v>
      </c>
      <c r="K2217" s="299"/>
      <c r="L2217" s="84"/>
      <c r="M2217" s="76"/>
      <c r="Q2217" s="84"/>
      <c r="R2217" s="76"/>
    </row>
    <row r="2218" spans="2:18" s="83" customFormat="1" ht="15" hidden="1" customHeight="1" outlineLevel="2">
      <c r="B2218" s="119" t="s">
        <v>272</v>
      </c>
      <c r="C2218" s="266" t="s">
        <v>3289</v>
      </c>
      <c r="D2218" s="124" t="s">
        <v>3280</v>
      </c>
      <c r="E2218" s="125"/>
      <c r="F2218" s="118" t="s">
        <v>2593</v>
      </c>
      <c r="G2218" s="126" t="str">
        <f t="shared" si="137"/>
        <v>AR-R22-1</v>
      </c>
      <c r="H2218" s="253">
        <v>1</v>
      </c>
      <c r="I2218" s="76">
        <v>1</v>
      </c>
      <c r="J2218" s="299" t="s">
        <v>286</v>
      </c>
      <c r="K2218" s="299"/>
      <c r="L2218" s="84"/>
      <c r="M2218" s="76"/>
      <c r="Q2218" s="84"/>
      <c r="R2218" s="76"/>
    </row>
    <row r="2219" spans="2:18" s="83" customFormat="1" ht="15" hidden="1" customHeight="1" outlineLevel="2">
      <c r="B2219" s="119" t="s">
        <v>272</v>
      </c>
      <c r="C2219" s="266" t="s">
        <v>3290</v>
      </c>
      <c r="D2219" s="124" t="s">
        <v>3280</v>
      </c>
      <c r="E2219" s="125"/>
      <c r="F2219" s="118" t="s">
        <v>2593</v>
      </c>
      <c r="G2219" s="126" t="str">
        <f t="shared" si="137"/>
        <v>AR-R22-1</v>
      </c>
      <c r="H2219" s="253">
        <v>1</v>
      </c>
      <c r="I2219" s="76">
        <v>1</v>
      </c>
      <c r="J2219" s="299" t="s">
        <v>286</v>
      </c>
      <c r="K2219" s="299"/>
      <c r="L2219" s="84"/>
      <c r="M2219" s="76"/>
      <c r="Q2219" s="84"/>
      <c r="R2219" s="76"/>
    </row>
    <row r="2220" spans="2:18" s="83" customFormat="1" ht="15" hidden="1" customHeight="1" outlineLevel="2">
      <c r="B2220" s="119" t="s">
        <v>272</v>
      </c>
      <c r="C2220" s="266" t="s">
        <v>3291</v>
      </c>
      <c r="D2220" s="124" t="s">
        <v>3280</v>
      </c>
      <c r="E2220" s="125"/>
      <c r="F2220" s="118" t="s">
        <v>2593</v>
      </c>
      <c r="G2220" s="126" t="str">
        <f t="shared" si="137"/>
        <v>AR-R22-1</v>
      </c>
      <c r="H2220" s="253">
        <v>1</v>
      </c>
      <c r="I2220" s="76">
        <v>1</v>
      </c>
      <c r="J2220" s="299" t="s">
        <v>286</v>
      </c>
      <c r="K2220" s="299"/>
      <c r="L2220" s="84"/>
      <c r="M2220" s="76"/>
      <c r="Q2220" s="84"/>
      <c r="R2220" s="76"/>
    </row>
    <row r="2221" spans="2:18" s="83" customFormat="1" ht="15" hidden="1" customHeight="1" outlineLevel="2">
      <c r="B2221" s="119" t="s">
        <v>272</v>
      </c>
      <c r="C2221" s="266" t="s">
        <v>3292</v>
      </c>
      <c r="D2221" s="124" t="s">
        <v>3293</v>
      </c>
      <c r="E2221" s="125"/>
      <c r="F2221" s="118" t="s">
        <v>2593</v>
      </c>
      <c r="G2221" s="126" t="str">
        <f t="shared" si="137"/>
        <v>AR-R22-1</v>
      </c>
      <c r="H2221" s="253">
        <v>1</v>
      </c>
      <c r="I2221" s="76">
        <v>1</v>
      </c>
      <c r="J2221" s="299" t="s">
        <v>286</v>
      </c>
      <c r="K2221" s="299"/>
      <c r="L2221" s="84"/>
      <c r="M2221" s="76"/>
      <c r="Q2221" s="84"/>
      <c r="R2221" s="76"/>
    </row>
    <row r="2222" spans="2:18" s="83" customFormat="1" ht="15" hidden="1" customHeight="1" outlineLevel="2">
      <c r="B2222" s="119" t="s">
        <v>272</v>
      </c>
      <c r="C2222" s="266" t="s">
        <v>3294</v>
      </c>
      <c r="D2222" s="124" t="s">
        <v>3293</v>
      </c>
      <c r="E2222" s="125"/>
      <c r="F2222" s="118" t="s">
        <v>2593</v>
      </c>
      <c r="G2222" s="126" t="str">
        <f t="shared" si="137"/>
        <v>AR-R22-1</v>
      </c>
      <c r="H2222" s="253">
        <v>1</v>
      </c>
      <c r="I2222" s="76">
        <v>1</v>
      </c>
      <c r="J2222" s="299" t="s">
        <v>286</v>
      </c>
      <c r="K2222" s="299"/>
      <c r="L2222" s="84"/>
      <c r="M2222" s="76"/>
      <c r="Q2222" s="84"/>
      <c r="R2222" s="76"/>
    </row>
    <row r="2223" spans="2:18" s="83" customFormat="1" ht="15" hidden="1" customHeight="1" outlineLevel="2">
      <c r="B2223" s="119" t="s">
        <v>272</v>
      </c>
      <c r="C2223" s="266" t="s">
        <v>3295</v>
      </c>
      <c r="D2223" s="124" t="s">
        <v>3293</v>
      </c>
      <c r="E2223" s="125"/>
      <c r="F2223" s="118" t="s">
        <v>2593</v>
      </c>
      <c r="G2223" s="126" t="str">
        <f t="shared" ref="G2223:G2228" si="138">CONCATENATE("AR-",F2223,"-",H2223)</f>
        <v>AR-R22-1</v>
      </c>
      <c r="H2223" s="253">
        <v>1</v>
      </c>
      <c r="I2223" s="76">
        <v>1</v>
      </c>
      <c r="J2223" s="299" t="s">
        <v>286</v>
      </c>
      <c r="K2223" s="299"/>
      <c r="L2223" s="84"/>
      <c r="M2223" s="76"/>
      <c r="Q2223" s="84"/>
      <c r="R2223" s="76"/>
    </row>
    <row r="2224" spans="2:18" s="83" customFormat="1" ht="15" hidden="1" customHeight="1" outlineLevel="2">
      <c r="B2224" s="119" t="s">
        <v>272</v>
      </c>
      <c r="C2224" s="266" t="s">
        <v>3296</v>
      </c>
      <c r="D2224" s="124" t="s">
        <v>3293</v>
      </c>
      <c r="E2224" s="125"/>
      <c r="F2224" s="118" t="s">
        <v>2593</v>
      </c>
      <c r="G2224" s="126" t="str">
        <f t="shared" si="138"/>
        <v>AR-R22-1</v>
      </c>
      <c r="H2224" s="253">
        <v>1</v>
      </c>
      <c r="I2224" s="76">
        <v>1</v>
      </c>
      <c r="J2224" s="299" t="s">
        <v>286</v>
      </c>
      <c r="K2224" s="299"/>
      <c r="L2224" s="84"/>
      <c r="M2224" s="76"/>
      <c r="Q2224" s="84"/>
      <c r="R2224" s="76"/>
    </row>
    <row r="2225" spans="2:18" s="83" customFormat="1" ht="15" hidden="1" customHeight="1" outlineLevel="2">
      <c r="B2225" s="119" t="s">
        <v>272</v>
      </c>
      <c r="C2225" s="266" t="s">
        <v>3297</v>
      </c>
      <c r="D2225" s="124" t="s">
        <v>3298</v>
      </c>
      <c r="E2225" s="125"/>
      <c r="F2225" s="118" t="s">
        <v>2593</v>
      </c>
      <c r="G2225" s="126" t="str">
        <f t="shared" si="138"/>
        <v>AR-R22-1</v>
      </c>
      <c r="H2225" s="253">
        <v>1</v>
      </c>
      <c r="I2225" s="76">
        <v>1</v>
      </c>
      <c r="J2225" s="299" t="s">
        <v>286</v>
      </c>
      <c r="K2225" s="299"/>
      <c r="L2225" s="84"/>
      <c r="M2225" s="76"/>
      <c r="Q2225" s="84"/>
      <c r="R2225" s="76"/>
    </row>
    <row r="2226" spans="2:18" s="83" customFormat="1" ht="15" hidden="1" customHeight="1" outlineLevel="2">
      <c r="B2226" s="119" t="s">
        <v>272</v>
      </c>
      <c r="C2226" s="266" t="s">
        <v>3299</v>
      </c>
      <c r="D2226" s="124" t="s">
        <v>3298</v>
      </c>
      <c r="E2226" s="125"/>
      <c r="F2226" s="118" t="s">
        <v>2593</v>
      </c>
      <c r="G2226" s="126" t="str">
        <f t="shared" si="138"/>
        <v>AR-R22-1</v>
      </c>
      <c r="H2226" s="253">
        <v>1</v>
      </c>
      <c r="I2226" s="76">
        <v>1</v>
      </c>
      <c r="J2226" s="299" t="s">
        <v>286</v>
      </c>
      <c r="K2226" s="299"/>
      <c r="L2226" s="84"/>
      <c r="M2226" s="76"/>
      <c r="Q2226" s="84"/>
      <c r="R2226" s="76"/>
    </row>
    <row r="2227" spans="2:18" s="83" customFormat="1" ht="15" hidden="1" customHeight="1" outlineLevel="2">
      <c r="B2227" s="119" t="s">
        <v>272</v>
      </c>
      <c r="C2227" s="266" t="s">
        <v>3300</v>
      </c>
      <c r="D2227" s="124" t="s">
        <v>3298</v>
      </c>
      <c r="E2227" s="125"/>
      <c r="F2227" s="118" t="s">
        <v>2593</v>
      </c>
      <c r="G2227" s="126" t="str">
        <f t="shared" si="138"/>
        <v>AR-R22-1</v>
      </c>
      <c r="H2227" s="253">
        <v>1</v>
      </c>
      <c r="I2227" s="76">
        <v>1</v>
      </c>
      <c r="J2227" s="299" t="s">
        <v>286</v>
      </c>
      <c r="K2227" s="299"/>
      <c r="L2227" s="84"/>
      <c r="M2227" s="76"/>
      <c r="Q2227" s="84"/>
      <c r="R2227" s="76"/>
    </row>
    <row r="2228" spans="2:18" s="83" customFormat="1" ht="15" hidden="1" customHeight="1" outlineLevel="2">
      <c r="B2228" s="119" t="s">
        <v>272</v>
      </c>
      <c r="C2228" s="266" t="s">
        <v>3301</v>
      </c>
      <c r="D2228" s="124" t="s">
        <v>3298</v>
      </c>
      <c r="E2228" s="125"/>
      <c r="F2228" s="118" t="s">
        <v>2593</v>
      </c>
      <c r="G2228" s="126" t="str">
        <f t="shared" si="138"/>
        <v>AR-R22-1</v>
      </c>
      <c r="H2228" s="253">
        <v>1</v>
      </c>
      <c r="I2228" s="76">
        <v>1</v>
      </c>
      <c r="J2228" s="299" t="s">
        <v>286</v>
      </c>
      <c r="K2228" s="299"/>
      <c r="L2228" s="84"/>
      <c r="M2228" s="76"/>
      <c r="Q2228" s="84"/>
      <c r="R2228" s="76"/>
    </row>
    <row r="2229" spans="2:18" s="83" customFormat="1" ht="15" hidden="1" customHeight="1" outlineLevel="2">
      <c r="B2229" s="119" t="s">
        <v>272</v>
      </c>
      <c r="C2229" s="266" t="s">
        <v>3302</v>
      </c>
      <c r="D2229" s="124" t="s">
        <v>3303</v>
      </c>
      <c r="E2229" s="125"/>
      <c r="F2229" s="118" t="s">
        <v>2593</v>
      </c>
      <c r="G2229" s="126" t="str">
        <f t="shared" ref="G2229:G2269" si="139">CONCATENATE("AR-",F2229,"-",H2229)</f>
        <v>AR-R22-1</v>
      </c>
      <c r="H2229" s="253">
        <v>1</v>
      </c>
      <c r="I2229" s="76">
        <v>1</v>
      </c>
      <c r="J2229" s="299" t="s">
        <v>286</v>
      </c>
      <c r="K2229" s="299"/>
      <c r="L2229" s="84"/>
      <c r="M2229" s="76"/>
      <c r="Q2229" s="84"/>
      <c r="R2229" s="76"/>
    </row>
    <row r="2230" spans="2:18" s="83" customFormat="1" ht="15" hidden="1" customHeight="1" outlineLevel="2">
      <c r="B2230" s="119" t="s">
        <v>272</v>
      </c>
      <c r="C2230" s="266" t="s">
        <v>3304</v>
      </c>
      <c r="D2230" s="124" t="s">
        <v>3303</v>
      </c>
      <c r="E2230" s="125"/>
      <c r="F2230" s="118" t="s">
        <v>2593</v>
      </c>
      <c r="G2230" s="126" t="str">
        <f t="shared" si="139"/>
        <v>AR-R22-1</v>
      </c>
      <c r="H2230" s="253">
        <v>1</v>
      </c>
      <c r="I2230" s="76">
        <v>1</v>
      </c>
      <c r="J2230" s="299" t="s">
        <v>286</v>
      </c>
      <c r="K2230" s="299"/>
      <c r="L2230" s="84"/>
      <c r="M2230" s="76"/>
      <c r="Q2230" s="84"/>
      <c r="R2230" s="76"/>
    </row>
    <row r="2231" spans="2:18" s="100" customFormat="1" ht="15" hidden="1" customHeight="1" outlineLevel="2">
      <c r="B2231" s="119" t="s">
        <v>272</v>
      </c>
      <c r="C2231" s="266" t="s">
        <v>3305</v>
      </c>
      <c r="D2231" s="124" t="s">
        <v>3303</v>
      </c>
      <c r="E2231" s="125"/>
      <c r="F2231" s="118" t="s">
        <v>2593</v>
      </c>
      <c r="G2231" s="126" t="str">
        <f t="shared" si="139"/>
        <v>AR-R22-1</v>
      </c>
      <c r="H2231" s="253">
        <v>1</v>
      </c>
      <c r="I2231" s="76">
        <v>1</v>
      </c>
      <c r="J2231" s="299" t="s">
        <v>286</v>
      </c>
      <c r="K2231" s="299"/>
      <c r="L2231" s="84"/>
      <c r="M2231" s="76"/>
      <c r="Q2231" s="84"/>
      <c r="R2231" s="76"/>
    </row>
    <row r="2232" spans="2:18" s="83" customFormat="1" ht="15" hidden="1" customHeight="1" outlineLevel="2">
      <c r="B2232" s="119" t="s">
        <v>272</v>
      </c>
      <c r="C2232" s="266" t="s">
        <v>3306</v>
      </c>
      <c r="D2232" s="124" t="s">
        <v>3303</v>
      </c>
      <c r="E2232" s="125"/>
      <c r="F2232" s="118" t="s">
        <v>2593</v>
      </c>
      <c r="G2232" s="126" t="str">
        <f t="shared" si="139"/>
        <v>AR-R22-1</v>
      </c>
      <c r="H2232" s="253">
        <v>1</v>
      </c>
      <c r="I2232" s="76">
        <v>1</v>
      </c>
      <c r="J2232" s="299" t="s">
        <v>286</v>
      </c>
      <c r="K2232" s="299"/>
      <c r="L2232" s="84"/>
      <c r="M2232" s="76"/>
      <c r="Q2232" s="84"/>
      <c r="R2232" s="76"/>
    </row>
    <row r="2233" spans="2:18" s="83" customFormat="1" ht="15" hidden="1" customHeight="1" outlineLevel="2">
      <c r="B2233" s="119" t="s">
        <v>272</v>
      </c>
      <c r="C2233" s="266" t="s">
        <v>3307</v>
      </c>
      <c r="D2233" s="124" t="s">
        <v>3308</v>
      </c>
      <c r="E2233" s="125"/>
      <c r="F2233" s="118" t="s">
        <v>2593</v>
      </c>
      <c r="G2233" s="126" t="str">
        <f t="shared" si="139"/>
        <v>AR-R22-1</v>
      </c>
      <c r="H2233" s="253">
        <v>1</v>
      </c>
      <c r="I2233" s="76">
        <v>1</v>
      </c>
      <c r="J2233" s="299" t="s">
        <v>286</v>
      </c>
      <c r="K2233" s="299"/>
      <c r="L2233" s="84"/>
      <c r="M2233" s="76"/>
      <c r="Q2233" s="84"/>
      <c r="R2233" s="76"/>
    </row>
    <row r="2234" spans="2:18" s="83" customFormat="1" ht="15" hidden="1" customHeight="1" outlineLevel="2">
      <c r="B2234" s="119" t="s">
        <v>272</v>
      </c>
      <c r="C2234" s="266" t="s">
        <v>3309</v>
      </c>
      <c r="D2234" s="124" t="s">
        <v>3308</v>
      </c>
      <c r="E2234" s="125"/>
      <c r="F2234" s="118" t="s">
        <v>2593</v>
      </c>
      <c r="G2234" s="126" t="str">
        <f t="shared" si="139"/>
        <v>AR-R22-1</v>
      </c>
      <c r="H2234" s="253">
        <v>1</v>
      </c>
      <c r="I2234" s="76">
        <v>1</v>
      </c>
      <c r="J2234" s="299" t="s">
        <v>286</v>
      </c>
      <c r="K2234" s="299"/>
      <c r="L2234" s="84"/>
      <c r="M2234" s="76"/>
      <c r="Q2234" s="84"/>
      <c r="R2234" s="76"/>
    </row>
    <row r="2235" spans="2:18" s="83" customFormat="1" ht="15" hidden="1" customHeight="1" outlineLevel="2">
      <c r="B2235" s="119" t="s">
        <v>272</v>
      </c>
      <c r="C2235" s="266" t="s">
        <v>3310</v>
      </c>
      <c r="D2235" s="124" t="s">
        <v>3308</v>
      </c>
      <c r="E2235" s="125"/>
      <c r="F2235" s="118" t="s">
        <v>2593</v>
      </c>
      <c r="G2235" s="126" t="str">
        <f t="shared" si="139"/>
        <v>AR-R22-1</v>
      </c>
      <c r="H2235" s="253">
        <v>1</v>
      </c>
      <c r="I2235" s="76">
        <v>1</v>
      </c>
      <c r="J2235" s="299" t="s">
        <v>286</v>
      </c>
      <c r="K2235" s="299"/>
      <c r="L2235" s="84"/>
      <c r="M2235" s="76"/>
      <c r="Q2235" s="84"/>
      <c r="R2235" s="76"/>
    </row>
    <row r="2236" spans="2:18" s="83" customFormat="1" ht="15" hidden="1" customHeight="1" outlineLevel="2">
      <c r="B2236" s="119" t="s">
        <v>272</v>
      </c>
      <c r="C2236" s="266" t="s">
        <v>3311</v>
      </c>
      <c r="D2236" s="124" t="s">
        <v>3308</v>
      </c>
      <c r="E2236" s="125"/>
      <c r="F2236" s="118" t="s">
        <v>2593</v>
      </c>
      <c r="G2236" s="126" t="str">
        <f t="shared" si="139"/>
        <v>AR-R22-1</v>
      </c>
      <c r="H2236" s="253">
        <v>1</v>
      </c>
      <c r="I2236" s="76">
        <v>1</v>
      </c>
      <c r="J2236" s="299" t="s">
        <v>286</v>
      </c>
      <c r="K2236" s="299"/>
      <c r="L2236" s="84"/>
      <c r="M2236" s="76"/>
      <c r="Q2236" s="84"/>
      <c r="R2236" s="76"/>
    </row>
    <row r="2237" spans="2:18" s="83" customFormat="1" ht="15" hidden="1" customHeight="1" outlineLevel="2">
      <c r="B2237" s="119" t="s">
        <v>272</v>
      </c>
      <c r="C2237" s="266" t="s">
        <v>3312</v>
      </c>
      <c r="D2237" s="124" t="s">
        <v>3308</v>
      </c>
      <c r="E2237" s="125"/>
      <c r="F2237" s="118" t="s">
        <v>2593</v>
      </c>
      <c r="G2237" s="126" t="str">
        <f t="shared" si="139"/>
        <v>AR-R22-1</v>
      </c>
      <c r="H2237" s="253">
        <v>1</v>
      </c>
      <c r="I2237" s="76">
        <v>1</v>
      </c>
      <c r="J2237" s="299" t="s">
        <v>286</v>
      </c>
      <c r="K2237" s="299"/>
      <c r="L2237" s="84"/>
      <c r="M2237" s="76"/>
      <c r="Q2237" s="84"/>
      <c r="R2237" s="76"/>
    </row>
    <row r="2238" spans="2:18" s="83" customFormat="1" ht="15" hidden="1" customHeight="1" outlineLevel="2">
      <c r="B2238" s="119" t="s">
        <v>272</v>
      </c>
      <c r="C2238" s="266" t="s">
        <v>3313</v>
      </c>
      <c r="D2238" s="124" t="s">
        <v>3308</v>
      </c>
      <c r="E2238" s="125"/>
      <c r="F2238" s="118" t="s">
        <v>2593</v>
      </c>
      <c r="G2238" s="126" t="str">
        <f t="shared" si="139"/>
        <v>AR-R22-1</v>
      </c>
      <c r="H2238" s="253">
        <v>1</v>
      </c>
      <c r="I2238" s="76">
        <v>1</v>
      </c>
      <c r="J2238" s="299" t="s">
        <v>286</v>
      </c>
      <c r="K2238" s="299"/>
      <c r="L2238" s="84"/>
      <c r="M2238" s="76"/>
      <c r="Q2238" s="84"/>
      <c r="R2238" s="76"/>
    </row>
    <row r="2239" spans="2:18" s="83" customFormat="1" ht="15" hidden="1" customHeight="1" outlineLevel="2">
      <c r="B2239" s="119" t="s">
        <v>272</v>
      </c>
      <c r="C2239" s="266" t="s">
        <v>3314</v>
      </c>
      <c r="D2239" s="124" t="s">
        <v>3308</v>
      </c>
      <c r="E2239" s="125"/>
      <c r="F2239" s="118" t="s">
        <v>2593</v>
      </c>
      <c r="G2239" s="126" t="str">
        <f t="shared" si="139"/>
        <v>AR-R22-1</v>
      </c>
      <c r="H2239" s="253">
        <v>1</v>
      </c>
      <c r="I2239" s="76">
        <v>1</v>
      </c>
      <c r="J2239" s="299" t="s">
        <v>286</v>
      </c>
      <c r="K2239" s="299"/>
      <c r="L2239" s="84"/>
      <c r="M2239" s="76"/>
      <c r="Q2239" s="84"/>
      <c r="R2239" s="76"/>
    </row>
    <row r="2240" spans="2:18" s="83" customFormat="1" ht="15" hidden="1" customHeight="1" outlineLevel="2">
      <c r="B2240" s="119" t="s">
        <v>272</v>
      </c>
      <c r="C2240" s="266" t="s">
        <v>3315</v>
      </c>
      <c r="D2240" s="124" t="s">
        <v>3308</v>
      </c>
      <c r="E2240" s="125"/>
      <c r="F2240" s="118" t="s">
        <v>2593</v>
      </c>
      <c r="G2240" s="126" t="str">
        <f t="shared" si="139"/>
        <v>AR-R22-1</v>
      </c>
      <c r="H2240" s="253">
        <v>1</v>
      </c>
      <c r="I2240" s="76">
        <v>1</v>
      </c>
      <c r="J2240" s="299" t="s">
        <v>286</v>
      </c>
      <c r="K2240" s="299"/>
      <c r="L2240" s="84"/>
      <c r="M2240" s="76"/>
      <c r="Q2240" s="84"/>
      <c r="R2240" s="76"/>
    </row>
    <row r="2241" spans="2:18" s="83" customFormat="1" ht="15" hidden="1" customHeight="1" outlineLevel="2">
      <c r="B2241" s="119" t="s">
        <v>272</v>
      </c>
      <c r="C2241" s="266" t="s">
        <v>3316</v>
      </c>
      <c r="D2241" s="124" t="s">
        <v>3308</v>
      </c>
      <c r="E2241" s="125"/>
      <c r="F2241" s="118" t="s">
        <v>2593</v>
      </c>
      <c r="G2241" s="126" t="str">
        <f t="shared" si="139"/>
        <v>AR-R22-1</v>
      </c>
      <c r="H2241" s="253">
        <v>1</v>
      </c>
      <c r="I2241" s="76">
        <v>1</v>
      </c>
      <c r="J2241" s="299" t="s">
        <v>286</v>
      </c>
      <c r="K2241" s="299"/>
      <c r="L2241" s="84"/>
      <c r="M2241" s="76"/>
      <c r="Q2241" s="84"/>
      <c r="R2241" s="76"/>
    </row>
    <row r="2242" spans="2:18" s="83" customFormat="1" ht="15" hidden="1" customHeight="1" outlineLevel="2">
      <c r="B2242" s="119" t="s">
        <v>272</v>
      </c>
      <c r="C2242" s="266" t="s">
        <v>3317</v>
      </c>
      <c r="D2242" s="124" t="s">
        <v>3308</v>
      </c>
      <c r="E2242" s="125"/>
      <c r="F2242" s="118" t="s">
        <v>2593</v>
      </c>
      <c r="G2242" s="126" t="str">
        <f t="shared" si="139"/>
        <v>AR-R22-1</v>
      </c>
      <c r="H2242" s="253">
        <v>1</v>
      </c>
      <c r="I2242" s="76">
        <v>1</v>
      </c>
      <c r="J2242" s="299" t="s">
        <v>286</v>
      </c>
      <c r="K2242" s="299"/>
      <c r="L2242" s="84"/>
      <c r="M2242" s="76"/>
      <c r="Q2242" s="84"/>
      <c r="R2242" s="76"/>
    </row>
    <row r="2243" spans="2:18" s="83" customFormat="1" ht="15" hidden="1" customHeight="1" outlineLevel="2">
      <c r="B2243" s="119" t="s">
        <v>272</v>
      </c>
      <c r="C2243" s="266" t="s">
        <v>3318</v>
      </c>
      <c r="D2243" s="124" t="s">
        <v>3319</v>
      </c>
      <c r="E2243" s="125"/>
      <c r="F2243" s="118" t="s">
        <v>2593</v>
      </c>
      <c r="G2243" s="126" t="str">
        <f t="shared" si="139"/>
        <v>AR-R22-1</v>
      </c>
      <c r="H2243" s="253">
        <v>1</v>
      </c>
      <c r="I2243" s="76">
        <v>1</v>
      </c>
      <c r="J2243" s="299" t="s">
        <v>286</v>
      </c>
      <c r="K2243" s="299"/>
      <c r="L2243" s="84"/>
      <c r="M2243" s="76"/>
      <c r="Q2243" s="84"/>
      <c r="R2243" s="76"/>
    </row>
    <row r="2244" spans="2:18" s="83" customFormat="1" ht="15" hidden="1" customHeight="1" outlineLevel="2">
      <c r="B2244" s="119" t="s">
        <v>272</v>
      </c>
      <c r="C2244" s="266" t="s">
        <v>3320</v>
      </c>
      <c r="D2244" s="124" t="s">
        <v>3321</v>
      </c>
      <c r="E2244" s="125"/>
      <c r="F2244" s="118" t="s">
        <v>2593</v>
      </c>
      <c r="G2244" s="126" t="str">
        <f t="shared" si="139"/>
        <v>AR-R22-1</v>
      </c>
      <c r="H2244" s="253">
        <v>1</v>
      </c>
      <c r="I2244" s="76">
        <v>1</v>
      </c>
      <c r="J2244" s="299" t="s">
        <v>286</v>
      </c>
      <c r="K2244" s="299"/>
      <c r="L2244" s="84"/>
      <c r="M2244" s="76"/>
      <c r="Q2244" s="84"/>
      <c r="R2244" s="76"/>
    </row>
    <row r="2245" spans="2:18" s="83" customFormat="1" ht="15" hidden="1" customHeight="1" outlineLevel="2">
      <c r="B2245" s="119" t="s">
        <v>272</v>
      </c>
      <c r="C2245" s="266" t="s">
        <v>3322</v>
      </c>
      <c r="D2245" s="124" t="s">
        <v>3323</v>
      </c>
      <c r="E2245" s="125"/>
      <c r="F2245" s="118" t="s">
        <v>2593</v>
      </c>
      <c r="G2245" s="126" t="str">
        <f t="shared" si="139"/>
        <v>AR-R22-1</v>
      </c>
      <c r="H2245" s="253">
        <v>1</v>
      </c>
      <c r="I2245" s="76">
        <v>1</v>
      </c>
      <c r="J2245" s="299" t="s">
        <v>286</v>
      </c>
      <c r="K2245" s="299"/>
      <c r="L2245" s="84"/>
      <c r="M2245" s="76"/>
      <c r="Q2245" s="84"/>
      <c r="R2245" s="76"/>
    </row>
    <row r="2246" spans="2:18" s="99" customFormat="1" ht="15" hidden="1" customHeight="1" outlineLevel="2">
      <c r="B2246" s="119" t="s">
        <v>272</v>
      </c>
      <c r="C2246" s="266" t="s">
        <v>3324</v>
      </c>
      <c r="D2246" s="124" t="s">
        <v>3325</v>
      </c>
      <c r="E2246" s="125"/>
      <c r="F2246" s="118" t="s">
        <v>2593</v>
      </c>
      <c r="G2246" s="126" t="str">
        <f t="shared" si="139"/>
        <v>AR-R22-1</v>
      </c>
      <c r="H2246" s="253">
        <v>1</v>
      </c>
      <c r="I2246" s="76">
        <v>1</v>
      </c>
      <c r="J2246" s="299" t="s">
        <v>286</v>
      </c>
      <c r="K2246" s="299"/>
      <c r="L2246" s="84"/>
      <c r="M2246" s="76"/>
      <c r="Q2246" s="84"/>
      <c r="R2246" s="76"/>
    </row>
    <row r="2247" spans="2:18" s="83" customFormat="1" ht="15" hidden="1" customHeight="1" outlineLevel="2">
      <c r="B2247" s="119" t="s">
        <v>272</v>
      </c>
      <c r="C2247" s="266" t="s">
        <v>3326</v>
      </c>
      <c r="D2247" s="124" t="s">
        <v>3327</v>
      </c>
      <c r="E2247" s="125"/>
      <c r="F2247" s="118" t="s">
        <v>2593</v>
      </c>
      <c r="G2247" s="126" t="str">
        <f t="shared" si="139"/>
        <v>AR-R22-1</v>
      </c>
      <c r="H2247" s="253">
        <v>1</v>
      </c>
      <c r="I2247" s="76">
        <v>1</v>
      </c>
      <c r="J2247" s="299" t="s">
        <v>286</v>
      </c>
      <c r="K2247" s="299"/>
      <c r="L2247" s="84"/>
      <c r="M2247" s="76"/>
      <c r="Q2247" s="84"/>
      <c r="R2247" s="76"/>
    </row>
    <row r="2248" spans="2:18" s="83" customFormat="1" ht="15" hidden="1" customHeight="1" outlineLevel="2">
      <c r="B2248" s="119" t="s">
        <v>272</v>
      </c>
      <c r="C2248" s="266" t="s">
        <v>3328</v>
      </c>
      <c r="D2248" s="124" t="s">
        <v>3329</v>
      </c>
      <c r="E2248" s="125"/>
      <c r="F2248" s="118" t="s">
        <v>2593</v>
      </c>
      <c r="G2248" s="126" t="str">
        <f t="shared" si="139"/>
        <v>AR-R22-1</v>
      </c>
      <c r="H2248" s="253">
        <v>1</v>
      </c>
      <c r="I2248" s="76">
        <v>1</v>
      </c>
      <c r="J2248" s="299" t="s">
        <v>286</v>
      </c>
      <c r="K2248" s="299"/>
      <c r="L2248" s="84"/>
      <c r="M2248" s="76"/>
      <c r="Q2248" s="84"/>
      <c r="R2248" s="76"/>
    </row>
    <row r="2249" spans="2:18" s="83" customFormat="1" ht="15" hidden="1" customHeight="1" outlineLevel="2">
      <c r="B2249" s="119" t="s">
        <v>272</v>
      </c>
      <c r="C2249" s="266" t="s">
        <v>3330</v>
      </c>
      <c r="D2249" s="124" t="s">
        <v>2532</v>
      </c>
      <c r="E2249" s="125"/>
      <c r="F2249" s="118" t="s">
        <v>2593</v>
      </c>
      <c r="G2249" s="126" t="str">
        <f t="shared" si="139"/>
        <v>AR-R22-1</v>
      </c>
      <c r="H2249" s="253">
        <v>1</v>
      </c>
      <c r="I2249" s="76">
        <v>1</v>
      </c>
      <c r="J2249" s="299" t="s">
        <v>286</v>
      </c>
      <c r="K2249" s="299"/>
      <c r="L2249" s="84"/>
      <c r="M2249" s="76"/>
      <c r="Q2249" s="84"/>
      <c r="R2249" s="76"/>
    </row>
    <row r="2250" spans="2:18" s="83" customFormat="1" ht="15" hidden="1" customHeight="1" outlineLevel="2">
      <c r="B2250" s="119" t="s">
        <v>272</v>
      </c>
      <c r="C2250" s="266" t="s">
        <v>3331</v>
      </c>
      <c r="D2250" s="124" t="s">
        <v>2534</v>
      </c>
      <c r="E2250" s="125"/>
      <c r="F2250" s="118" t="s">
        <v>2593</v>
      </c>
      <c r="G2250" s="126" t="str">
        <f t="shared" si="139"/>
        <v>AR-R22-1</v>
      </c>
      <c r="H2250" s="253">
        <v>1</v>
      </c>
      <c r="I2250" s="76">
        <v>1</v>
      </c>
      <c r="J2250" s="299" t="s">
        <v>286</v>
      </c>
      <c r="K2250" s="299"/>
      <c r="L2250" s="84"/>
      <c r="M2250" s="76"/>
      <c r="Q2250" s="84"/>
      <c r="R2250" s="76"/>
    </row>
    <row r="2251" spans="2:18" s="83" customFormat="1" ht="15" hidden="1" customHeight="1" outlineLevel="2">
      <c r="B2251" s="119" t="s">
        <v>272</v>
      </c>
      <c r="C2251" s="266" t="s">
        <v>3332</v>
      </c>
      <c r="D2251" s="124" t="s">
        <v>3333</v>
      </c>
      <c r="E2251" s="125"/>
      <c r="F2251" s="118" t="s">
        <v>2593</v>
      </c>
      <c r="G2251" s="126" t="str">
        <f t="shared" si="139"/>
        <v>AR-R22-1</v>
      </c>
      <c r="H2251" s="253">
        <v>1</v>
      </c>
      <c r="I2251" s="76">
        <v>1</v>
      </c>
      <c r="J2251" s="299" t="s">
        <v>286</v>
      </c>
      <c r="K2251" s="299"/>
      <c r="L2251" s="84"/>
      <c r="M2251" s="76"/>
      <c r="Q2251" s="84"/>
      <c r="R2251" s="76"/>
    </row>
    <row r="2252" spans="2:18" s="83" customFormat="1" ht="15" hidden="1" customHeight="1" outlineLevel="2">
      <c r="B2252" s="119" t="s">
        <v>272</v>
      </c>
      <c r="C2252" s="266" t="s">
        <v>3334</v>
      </c>
      <c r="D2252" s="124" t="s">
        <v>3335</v>
      </c>
      <c r="E2252" s="125"/>
      <c r="F2252" s="118" t="s">
        <v>2593</v>
      </c>
      <c r="G2252" s="126" t="str">
        <f t="shared" si="139"/>
        <v>AR-R22-1</v>
      </c>
      <c r="H2252" s="253">
        <v>1</v>
      </c>
      <c r="I2252" s="76">
        <v>1</v>
      </c>
      <c r="J2252" s="299" t="s">
        <v>286</v>
      </c>
      <c r="K2252" s="299"/>
      <c r="L2252" s="84"/>
      <c r="M2252" s="76"/>
      <c r="Q2252" s="84"/>
      <c r="R2252" s="76"/>
    </row>
    <row r="2253" spans="2:18" s="83" customFormat="1" ht="15" hidden="1" customHeight="1" outlineLevel="2">
      <c r="B2253" s="119" t="s">
        <v>272</v>
      </c>
      <c r="C2253" s="266" t="s">
        <v>3336</v>
      </c>
      <c r="D2253" s="124" t="s">
        <v>3337</v>
      </c>
      <c r="E2253" s="125"/>
      <c r="F2253" s="118" t="s">
        <v>2593</v>
      </c>
      <c r="G2253" s="126" t="str">
        <f t="shared" si="139"/>
        <v>AR-R22-1</v>
      </c>
      <c r="H2253" s="253">
        <v>1</v>
      </c>
      <c r="I2253" s="76">
        <v>1</v>
      </c>
      <c r="J2253" s="299" t="s">
        <v>286</v>
      </c>
      <c r="K2253" s="299"/>
      <c r="L2253" s="84"/>
      <c r="M2253" s="76"/>
      <c r="Q2253" s="84"/>
      <c r="R2253" s="76"/>
    </row>
    <row r="2254" spans="2:18" s="83" customFormat="1" ht="15" hidden="1" customHeight="1" outlineLevel="2">
      <c r="B2254" s="119" t="s">
        <v>272</v>
      </c>
      <c r="C2254" s="266" t="s">
        <v>3338</v>
      </c>
      <c r="D2254" s="124" t="s">
        <v>3339</v>
      </c>
      <c r="E2254" s="125"/>
      <c r="F2254" s="118" t="s">
        <v>2593</v>
      </c>
      <c r="G2254" s="126" t="str">
        <f t="shared" si="139"/>
        <v>AR-R22-1</v>
      </c>
      <c r="H2254" s="253">
        <v>1</v>
      </c>
      <c r="I2254" s="76">
        <v>1</v>
      </c>
      <c r="J2254" s="299" t="s">
        <v>286</v>
      </c>
      <c r="K2254" s="299"/>
      <c r="L2254" s="84"/>
      <c r="M2254" s="76"/>
      <c r="Q2254" s="84"/>
      <c r="R2254" s="76"/>
    </row>
    <row r="2255" spans="2:18" s="83" customFormat="1" ht="15" hidden="1" customHeight="1" outlineLevel="2">
      <c r="B2255" s="119" t="s">
        <v>272</v>
      </c>
      <c r="C2255" s="266" t="s">
        <v>3340</v>
      </c>
      <c r="D2255" s="124" t="s">
        <v>3339</v>
      </c>
      <c r="E2255" s="125"/>
      <c r="F2255" s="118" t="s">
        <v>2593</v>
      </c>
      <c r="G2255" s="126" t="str">
        <f t="shared" si="139"/>
        <v>AR-R22-1</v>
      </c>
      <c r="H2255" s="253">
        <v>1</v>
      </c>
      <c r="I2255" s="76">
        <v>1</v>
      </c>
      <c r="J2255" s="299" t="s">
        <v>286</v>
      </c>
      <c r="K2255" s="299"/>
      <c r="L2255" s="84"/>
      <c r="M2255" s="76"/>
      <c r="Q2255" s="84"/>
      <c r="R2255" s="76"/>
    </row>
    <row r="2256" spans="2:18" s="83" customFormat="1" ht="15" hidden="1" customHeight="1" outlineLevel="2">
      <c r="B2256" s="119" t="s">
        <v>272</v>
      </c>
      <c r="C2256" s="266" t="s">
        <v>3341</v>
      </c>
      <c r="D2256" s="124" t="s">
        <v>3342</v>
      </c>
      <c r="E2256" s="125"/>
      <c r="F2256" s="118" t="s">
        <v>2593</v>
      </c>
      <c r="G2256" s="126" t="str">
        <f t="shared" si="139"/>
        <v>AR-R22-1</v>
      </c>
      <c r="H2256" s="253">
        <v>1</v>
      </c>
      <c r="I2256" s="76">
        <v>1</v>
      </c>
      <c r="J2256" s="299" t="s">
        <v>286</v>
      </c>
      <c r="K2256" s="299"/>
      <c r="L2256" s="84"/>
      <c r="M2256" s="76"/>
      <c r="Q2256" s="84"/>
      <c r="R2256" s="76"/>
    </row>
    <row r="2257" spans="2:18" s="83" customFormat="1" ht="15" hidden="1" customHeight="1" outlineLevel="2">
      <c r="B2257" s="119" t="s">
        <v>272</v>
      </c>
      <c r="C2257" s="266" t="s">
        <v>3343</v>
      </c>
      <c r="D2257" s="124" t="s">
        <v>3344</v>
      </c>
      <c r="E2257" s="125"/>
      <c r="F2257" s="118" t="s">
        <v>2593</v>
      </c>
      <c r="G2257" s="126" t="str">
        <f t="shared" si="139"/>
        <v>AR-R22-1</v>
      </c>
      <c r="H2257" s="253">
        <v>1</v>
      </c>
      <c r="I2257" s="76">
        <v>1</v>
      </c>
      <c r="J2257" s="299" t="s">
        <v>286</v>
      </c>
      <c r="K2257" s="299"/>
      <c r="L2257" s="84"/>
      <c r="M2257" s="76"/>
      <c r="Q2257" s="84"/>
      <c r="R2257" s="76"/>
    </row>
    <row r="2258" spans="2:18" s="83" customFormat="1" ht="15" hidden="1" customHeight="1" outlineLevel="2">
      <c r="B2258" s="119" t="s">
        <v>272</v>
      </c>
      <c r="C2258" s="266" t="s">
        <v>3345</v>
      </c>
      <c r="D2258" s="124" t="s">
        <v>3344</v>
      </c>
      <c r="E2258" s="125"/>
      <c r="F2258" s="118" t="s">
        <v>2593</v>
      </c>
      <c r="G2258" s="126" t="str">
        <f t="shared" si="139"/>
        <v>AR-R22-1</v>
      </c>
      <c r="H2258" s="253">
        <v>1</v>
      </c>
      <c r="I2258" s="76">
        <v>1</v>
      </c>
      <c r="J2258" s="299" t="s">
        <v>286</v>
      </c>
      <c r="K2258" s="299"/>
      <c r="L2258" s="84"/>
      <c r="M2258" s="76"/>
      <c r="Q2258" s="84"/>
      <c r="R2258" s="76"/>
    </row>
    <row r="2259" spans="2:18" s="83" customFormat="1" ht="15" hidden="1" customHeight="1" outlineLevel="2">
      <c r="B2259" s="119" t="s">
        <v>272</v>
      </c>
      <c r="C2259" s="266" t="s">
        <v>3346</v>
      </c>
      <c r="D2259" s="124" t="s">
        <v>3347</v>
      </c>
      <c r="E2259" s="125"/>
      <c r="F2259" s="118" t="s">
        <v>2593</v>
      </c>
      <c r="G2259" s="126" t="str">
        <f t="shared" si="139"/>
        <v>AR-R22-1</v>
      </c>
      <c r="H2259" s="253">
        <v>1</v>
      </c>
      <c r="I2259" s="76">
        <v>1</v>
      </c>
      <c r="J2259" s="299" t="s">
        <v>286</v>
      </c>
      <c r="K2259" s="299"/>
      <c r="L2259" s="84"/>
      <c r="M2259" s="76"/>
      <c r="Q2259" s="84"/>
      <c r="R2259" s="76"/>
    </row>
    <row r="2260" spans="2:18" s="83" customFormat="1" ht="15" hidden="1" customHeight="1" outlineLevel="2">
      <c r="B2260" s="119" t="s">
        <v>272</v>
      </c>
      <c r="C2260" s="266" t="s">
        <v>3348</v>
      </c>
      <c r="D2260" s="124" t="s">
        <v>3349</v>
      </c>
      <c r="E2260" s="125"/>
      <c r="F2260" s="118" t="s">
        <v>2593</v>
      </c>
      <c r="G2260" s="126" t="str">
        <f t="shared" si="139"/>
        <v>AR-R22-1</v>
      </c>
      <c r="H2260" s="253">
        <v>1</v>
      </c>
      <c r="I2260" s="76">
        <v>1</v>
      </c>
      <c r="J2260" s="299" t="s">
        <v>286</v>
      </c>
      <c r="K2260" s="299"/>
      <c r="L2260" s="84"/>
      <c r="M2260" s="76"/>
      <c r="Q2260" s="84"/>
      <c r="R2260" s="76"/>
    </row>
    <row r="2261" spans="2:18" s="83" customFormat="1" ht="15" hidden="1" customHeight="1" outlineLevel="2">
      <c r="B2261" s="119" t="s">
        <v>272</v>
      </c>
      <c r="C2261" s="266" t="s">
        <v>3350</v>
      </c>
      <c r="D2261" s="124" t="s">
        <v>3351</v>
      </c>
      <c r="E2261" s="125"/>
      <c r="F2261" s="118" t="s">
        <v>2593</v>
      </c>
      <c r="G2261" s="126" t="str">
        <f t="shared" si="139"/>
        <v>AR-R22-1</v>
      </c>
      <c r="H2261" s="253">
        <v>1</v>
      </c>
      <c r="I2261" s="76">
        <v>1</v>
      </c>
      <c r="J2261" s="299" t="s">
        <v>286</v>
      </c>
      <c r="K2261" s="299"/>
      <c r="L2261" s="84"/>
      <c r="M2261" s="76"/>
      <c r="Q2261" s="84"/>
      <c r="R2261" s="76"/>
    </row>
    <row r="2262" spans="2:18" s="83" customFormat="1" ht="15" hidden="1" customHeight="1" outlineLevel="2">
      <c r="B2262" s="119" t="s">
        <v>272</v>
      </c>
      <c r="C2262" s="266" t="s">
        <v>3352</v>
      </c>
      <c r="D2262" s="124" t="s">
        <v>3351</v>
      </c>
      <c r="E2262" s="125"/>
      <c r="F2262" s="118" t="s">
        <v>2593</v>
      </c>
      <c r="G2262" s="126" t="str">
        <f t="shared" si="139"/>
        <v>AR-R22-1</v>
      </c>
      <c r="H2262" s="253">
        <v>1</v>
      </c>
      <c r="I2262" s="76">
        <v>1</v>
      </c>
      <c r="J2262" s="299" t="s">
        <v>286</v>
      </c>
      <c r="K2262" s="299"/>
      <c r="L2262" s="84"/>
      <c r="M2262" s="76"/>
      <c r="Q2262" s="84"/>
      <c r="R2262" s="76"/>
    </row>
    <row r="2263" spans="2:18" s="83" customFormat="1" ht="15" hidden="1" customHeight="1" outlineLevel="2">
      <c r="B2263" s="119" t="s">
        <v>272</v>
      </c>
      <c r="C2263" s="266" t="s">
        <v>3353</v>
      </c>
      <c r="D2263" s="124" t="s">
        <v>3354</v>
      </c>
      <c r="E2263" s="125"/>
      <c r="F2263" s="118" t="s">
        <v>2593</v>
      </c>
      <c r="G2263" s="126" t="str">
        <f t="shared" si="139"/>
        <v>AR-R22-1</v>
      </c>
      <c r="H2263" s="253">
        <v>1</v>
      </c>
      <c r="I2263" s="76">
        <v>1</v>
      </c>
      <c r="J2263" s="299" t="s">
        <v>286</v>
      </c>
      <c r="K2263" s="299"/>
      <c r="L2263" s="84"/>
      <c r="M2263" s="76"/>
      <c r="Q2263" s="84"/>
      <c r="R2263" s="76"/>
    </row>
    <row r="2264" spans="2:18" s="83" customFormat="1" ht="15" hidden="1" customHeight="1" outlineLevel="2">
      <c r="B2264" s="119" t="s">
        <v>272</v>
      </c>
      <c r="C2264" s="266" t="s">
        <v>3355</v>
      </c>
      <c r="D2264" s="124" t="s">
        <v>3356</v>
      </c>
      <c r="E2264" s="125"/>
      <c r="F2264" s="118" t="s">
        <v>2593</v>
      </c>
      <c r="G2264" s="126" t="str">
        <f t="shared" si="139"/>
        <v>AR-R22-1</v>
      </c>
      <c r="H2264" s="253">
        <v>1</v>
      </c>
      <c r="I2264" s="76">
        <v>1</v>
      </c>
      <c r="J2264" s="299" t="s">
        <v>286</v>
      </c>
      <c r="K2264" s="299"/>
      <c r="L2264" s="84"/>
      <c r="M2264" s="76"/>
      <c r="Q2264" s="84"/>
      <c r="R2264" s="76"/>
    </row>
    <row r="2265" spans="2:18" s="83" customFormat="1" ht="15" hidden="1" customHeight="1" outlineLevel="2">
      <c r="B2265" s="119" t="s">
        <v>272</v>
      </c>
      <c r="C2265" s="266" t="s">
        <v>3357</v>
      </c>
      <c r="D2265" s="124" t="s">
        <v>3356</v>
      </c>
      <c r="E2265" s="125"/>
      <c r="F2265" s="118" t="s">
        <v>2593</v>
      </c>
      <c r="G2265" s="126" t="str">
        <f t="shared" si="139"/>
        <v>AR-R22-1</v>
      </c>
      <c r="H2265" s="253">
        <v>1</v>
      </c>
      <c r="I2265" s="76">
        <v>1</v>
      </c>
      <c r="J2265" s="299" t="s">
        <v>286</v>
      </c>
      <c r="K2265" s="299"/>
      <c r="L2265" s="84"/>
      <c r="M2265" s="76"/>
      <c r="Q2265" s="84"/>
      <c r="R2265" s="76"/>
    </row>
    <row r="2266" spans="2:18" s="83" customFormat="1" ht="15" hidden="1" customHeight="1" outlineLevel="2">
      <c r="B2266" s="119" t="s">
        <v>272</v>
      </c>
      <c r="C2266" s="266" t="s">
        <v>3358</v>
      </c>
      <c r="D2266" s="124" t="s">
        <v>3359</v>
      </c>
      <c r="E2266" s="125"/>
      <c r="F2266" s="118" t="s">
        <v>2593</v>
      </c>
      <c r="G2266" s="126" t="str">
        <f t="shared" si="139"/>
        <v>AR-R22-1</v>
      </c>
      <c r="H2266" s="253">
        <v>1</v>
      </c>
      <c r="I2266" s="76">
        <v>1</v>
      </c>
      <c r="J2266" s="299" t="s">
        <v>286</v>
      </c>
      <c r="K2266" s="299"/>
      <c r="L2266" s="84"/>
      <c r="M2266" s="76"/>
      <c r="Q2266" s="84"/>
      <c r="R2266" s="76"/>
    </row>
    <row r="2267" spans="2:18" s="83" customFormat="1" ht="15" hidden="1" customHeight="1" outlineLevel="2">
      <c r="B2267" s="119" t="s">
        <v>272</v>
      </c>
      <c r="C2267" s="266" t="s">
        <v>3360</v>
      </c>
      <c r="D2267" s="124" t="s">
        <v>3361</v>
      </c>
      <c r="E2267" s="125"/>
      <c r="F2267" s="118" t="s">
        <v>2593</v>
      </c>
      <c r="G2267" s="126" t="str">
        <f t="shared" si="139"/>
        <v>AR-R22-1</v>
      </c>
      <c r="H2267" s="253">
        <v>1</v>
      </c>
      <c r="I2267" s="76">
        <v>1</v>
      </c>
      <c r="J2267" s="299" t="s">
        <v>286</v>
      </c>
      <c r="K2267" s="299"/>
      <c r="L2267" s="84"/>
      <c r="M2267" s="76"/>
      <c r="Q2267" s="84"/>
      <c r="R2267" s="76"/>
    </row>
    <row r="2268" spans="2:18" s="83" customFormat="1" ht="15" hidden="1" customHeight="1" outlineLevel="2">
      <c r="B2268" s="119" t="s">
        <v>272</v>
      </c>
      <c r="C2268" s="266" t="s">
        <v>3362</v>
      </c>
      <c r="D2268" s="124" t="s">
        <v>3363</v>
      </c>
      <c r="E2268" s="125"/>
      <c r="F2268" s="118" t="s">
        <v>2593</v>
      </c>
      <c r="G2268" s="126" t="str">
        <f t="shared" si="139"/>
        <v>AR-R22-1</v>
      </c>
      <c r="H2268" s="253">
        <v>1</v>
      </c>
      <c r="I2268" s="76">
        <v>1</v>
      </c>
      <c r="J2268" s="299" t="s">
        <v>286</v>
      </c>
      <c r="K2268" s="299"/>
      <c r="L2268" s="84"/>
      <c r="M2268" s="76"/>
      <c r="Q2268" s="84"/>
      <c r="R2268" s="76"/>
    </row>
    <row r="2269" spans="2:18" s="83" customFormat="1" ht="15" hidden="1" customHeight="1" outlineLevel="2">
      <c r="B2269" s="119" t="s">
        <v>272</v>
      </c>
      <c r="C2269" s="266" t="s">
        <v>3364</v>
      </c>
      <c r="D2269" s="124" t="s">
        <v>3365</v>
      </c>
      <c r="E2269" s="125"/>
      <c r="F2269" s="118" t="s">
        <v>2593</v>
      </c>
      <c r="G2269" s="126" t="str">
        <f t="shared" si="139"/>
        <v>AR-R22-1</v>
      </c>
      <c r="H2269" s="253">
        <v>1</v>
      </c>
      <c r="I2269" s="76">
        <v>1</v>
      </c>
      <c r="J2269" s="299" t="s">
        <v>286</v>
      </c>
      <c r="K2269" s="299"/>
      <c r="L2269" s="84"/>
      <c r="M2269" s="76"/>
      <c r="Q2269" s="84"/>
      <c r="R2269" s="76"/>
    </row>
    <row r="2270" spans="2:18" s="83" customFormat="1" ht="15" hidden="1" customHeight="1" outlineLevel="2">
      <c r="B2270" s="119" t="s">
        <v>272</v>
      </c>
      <c r="C2270" s="266" t="s">
        <v>3366</v>
      </c>
      <c r="D2270" s="124" t="s">
        <v>3367</v>
      </c>
      <c r="E2270" s="125"/>
      <c r="F2270" s="118" t="s">
        <v>2593</v>
      </c>
      <c r="G2270" s="126" t="str">
        <f t="shared" ref="G2270:G2275" si="140">CONCATENATE("AR-",F2270,"-",H2270)</f>
        <v>AR-R22-1</v>
      </c>
      <c r="H2270" s="253">
        <v>1</v>
      </c>
      <c r="I2270" s="76">
        <v>1</v>
      </c>
      <c r="J2270" s="299" t="s">
        <v>286</v>
      </c>
      <c r="K2270" s="299"/>
      <c r="L2270" s="84"/>
      <c r="M2270" s="76"/>
      <c r="Q2270" s="84"/>
      <c r="R2270" s="76"/>
    </row>
    <row r="2271" spans="2:18" s="83" customFormat="1" ht="15" hidden="1" customHeight="1" outlineLevel="2">
      <c r="B2271" s="119" t="s">
        <v>272</v>
      </c>
      <c r="C2271" s="266" t="s">
        <v>3368</v>
      </c>
      <c r="D2271" s="124" t="s">
        <v>3369</v>
      </c>
      <c r="E2271" s="125"/>
      <c r="F2271" s="118" t="s">
        <v>2593</v>
      </c>
      <c r="G2271" s="126" t="str">
        <f t="shared" si="140"/>
        <v>AR-R22-1</v>
      </c>
      <c r="H2271" s="253">
        <v>1</v>
      </c>
      <c r="I2271" s="76">
        <v>1</v>
      </c>
      <c r="J2271" s="299" t="s">
        <v>286</v>
      </c>
      <c r="K2271" s="299"/>
      <c r="L2271" s="84"/>
      <c r="M2271" s="76"/>
      <c r="Q2271" s="84"/>
      <c r="R2271" s="76"/>
    </row>
    <row r="2272" spans="2:18" s="83" customFormat="1" ht="15" hidden="1" customHeight="1" outlineLevel="2">
      <c r="B2272" s="119" t="s">
        <v>272</v>
      </c>
      <c r="C2272" s="266" t="s">
        <v>3370</v>
      </c>
      <c r="D2272" s="124" t="s">
        <v>3371</v>
      </c>
      <c r="E2272" s="125"/>
      <c r="F2272" s="118" t="s">
        <v>2593</v>
      </c>
      <c r="G2272" s="126" t="str">
        <f t="shared" si="140"/>
        <v>AR-R22-1</v>
      </c>
      <c r="H2272" s="253">
        <v>1</v>
      </c>
      <c r="I2272" s="76">
        <v>1</v>
      </c>
      <c r="J2272" s="299" t="s">
        <v>286</v>
      </c>
      <c r="K2272" s="299"/>
      <c r="L2272" s="84"/>
      <c r="M2272" s="76"/>
      <c r="Q2272" s="84"/>
      <c r="R2272" s="76"/>
    </row>
    <row r="2273" spans="2:18" s="83" customFormat="1" ht="15" hidden="1" customHeight="1" outlineLevel="2">
      <c r="B2273" s="119" t="s">
        <v>272</v>
      </c>
      <c r="C2273" s="266" t="s">
        <v>3372</v>
      </c>
      <c r="D2273" s="124" t="s">
        <v>3373</v>
      </c>
      <c r="E2273" s="125"/>
      <c r="F2273" s="118" t="s">
        <v>2593</v>
      </c>
      <c r="G2273" s="126" t="str">
        <f t="shared" si="140"/>
        <v>AR-R22-1</v>
      </c>
      <c r="H2273" s="253">
        <v>1</v>
      </c>
      <c r="I2273" s="76">
        <v>1</v>
      </c>
      <c r="J2273" s="299" t="s">
        <v>286</v>
      </c>
      <c r="K2273" s="299"/>
      <c r="L2273" s="84"/>
      <c r="M2273" s="76"/>
      <c r="Q2273" s="84"/>
      <c r="R2273" s="76"/>
    </row>
    <row r="2274" spans="2:18" s="83" customFormat="1" ht="15" hidden="1" customHeight="1" outlineLevel="2">
      <c r="B2274" s="119" t="s">
        <v>272</v>
      </c>
      <c r="C2274" s="266" t="s">
        <v>3374</v>
      </c>
      <c r="D2274" s="124" t="s">
        <v>3375</v>
      </c>
      <c r="E2274" s="125"/>
      <c r="F2274" s="118" t="s">
        <v>2593</v>
      </c>
      <c r="G2274" s="126" t="str">
        <f t="shared" si="140"/>
        <v>AR-R22-1</v>
      </c>
      <c r="H2274" s="253">
        <v>1</v>
      </c>
      <c r="I2274" s="76">
        <v>1</v>
      </c>
      <c r="J2274" s="299" t="s">
        <v>286</v>
      </c>
      <c r="K2274" s="299"/>
      <c r="L2274" s="84"/>
      <c r="M2274" s="76"/>
      <c r="Q2274" s="84"/>
      <c r="R2274" s="76"/>
    </row>
    <row r="2275" spans="2:18" s="83" customFormat="1" ht="15" hidden="1" customHeight="1" outlineLevel="2">
      <c r="B2275" s="119" t="s">
        <v>272</v>
      </c>
      <c r="C2275" s="266" t="s">
        <v>3376</v>
      </c>
      <c r="D2275" s="124" t="s">
        <v>3377</v>
      </c>
      <c r="E2275" s="125"/>
      <c r="F2275" s="118" t="s">
        <v>2593</v>
      </c>
      <c r="G2275" s="126" t="str">
        <f t="shared" si="140"/>
        <v>AR-R22-1</v>
      </c>
      <c r="H2275" s="253">
        <v>1</v>
      </c>
      <c r="I2275" s="76">
        <v>1</v>
      </c>
      <c r="J2275" s="299" t="s">
        <v>286</v>
      </c>
      <c r="K2275" s="299"/>
      <c r="L2275" s="84"/>
      <c r="M2275" s="76"/>
      <c r="Q2275" s="84"/>
      <c r="R2275" s="76"/>
    </row>
    <row r="2276" spans="2:18" s="83" customFormat="1" ht="15" hidden="1" customHeight="1" outlineLevel="2">
      <c r="B2276" s="119" t="s">
        <v>272</v>
      </c>
      <c r="C2276" s="266" t="s">
        <v>3378</v>
      </c>
      <c r="D2276" s="124" t="s">
        <v>3379</v>
      </c>
      <c r="E2276" s="125"/>
      <c r="F2276" s="118" t="s">
        <v>2593</v>
      </c>
      <c r="G2276" s="126" t="str">
        <f>CONCATENATE("AR-",F2276,"-",H2276)</f>
        <v>AR-R22-1</v>
      </c>
      <c r="H2276" s="253">
        <v>1</v>
      </c>
      <c r="I2276" s="76">
        <v>1</v>
      </c>
      <c r="J2276" s="299" t="s">
        <v>286</v>
      </c>
      <c r="K2276" s="299"/>
      <c r="L2276" s="84"/>
      <c r="M2276" s="76"/>
      <c r="Q2276" s="84"/>
      <c r="R2276" s="76"/>
    </row>
    <row r="2277" spans="2:18" s="83" customFormat="1" ht="15" hidden="1" customHeight="1" outlineLevel="2">
      <c r="B2277" s="119" t="s">
        <v>272</v>
      </c>
      <c r="C2277" s="266" t="s">
        <v>3380</v>
      </c>
      <c r="D2277" s="124" t="s">
        <v>3381</v>
      </c>
      <c r="E2277" s="125"/>
      <c r="F2277" s="118" t="s">
        <v>2593</v>
      </c>
      <c r="G2277" s="126" t="str">
        <f>CONCATENATE("AR-",F2277,"-",H2277)</f>
        <v>AR-R22-1</v>
      </c>
      <c r="H2277" s="253">
        <v>1</v>
      </c>
      <c r="I2277" s="76">
        <v>1</v>
      </c>
      <c r="J2277" s="299" t="s">
        <v>286</v>
      </c>
      <c r="K2277" s="299"/>
      <c r="L2277" s="84"/>
      <c r="M2277" s="76"/>
      <c r="Q2277" s="84"/>
      <c r="R2277" s="76"/>
    </row>
    <row r="2278" spans="2:18" s="83" customFormat="1" ht="15" hidden="1" customHeight="1" outlineLevel="2">
      <c r="B2278" s="119" t="s">
        <v>272</v>
      </c>
      <c r="C2278" s="266" t="s">
        <v>3382</v>
      </c>
      <c r="D2278" s="124" t="s">
        <v>3383</v>
      </c>
      <c r="E2278" s="125"/>
      <c r="F2278" s="118" t="s">
        <v>2593</v>
      </c>
      <c r="G2278" s="126" t="str">
        <f>CONCATENATE("AR-",F2278,"-",H2278)</f>
        <v>AR-R22-1</v>
      </c>
      <c r="H2278" s="253">
        <v>1</v>
      </c>
      <c r="I2278" s="76">
        <v>1</v>
      </c>
      <c r="J2278" s="299" t="s">
        <v>286</v>
      </c>
      <c r="K2278" s="299"/>
      <c r="L2278" s="84"/>
      <c r="M2278" s="76"/>
      <c r="Q2278" s="84"/>
      <c r="R2278" s="76"/>
    </row>
    <row r="2279" spans="2:18" s="83" customFormat="1" ht="15" hidden="1" customHeight="1" outlineLevel="2">
      <c r="B2279" s="119" t="s">
        <v>272</v>
      </c>
      <c r="C2279" s="266" t="s">
        <v>3384</v>
      </c>
      <c r="D2279" s="124" t="s">
        <v>3385</v>
      </c>
      <c r="E2279" s="125"/>
      <c r="F2279" s="118" t="s">
        <v>2593</v>
      </c>
      <c r="G2279" s="126" t="str">
        <f t="shared" ref="G2279:G2297" si="141">CONCATENATE("AR-",F2279,"-",H2279)</f>
        <v>AR-R22-1</v>
      </c>
      <c r="H2279" s="253">
        <v>1</v>
      </c>
      <c r="I2279" s="76">
        <v>1</v>
      </c>
      <c r="J2279" s="299" t="s">
        <v>286</v>
      </c>
      <c r="K2279" s="299"/>
      <c r="L2279" s="84"/>
      <c r="M2279" s="76"/>
      <c r="Q2279" s="84"/>
      <c r="R2279" s="76"/>
    </row>
    <row r="2280" spans="2:18" s="83" customFormat="1" ht="15" hidden="1" customHeight="1" outlineLevel="2">
      <c r="B2280" s="119" t="s">
        <v>272</v>
      </c>
      <c r="C2280" s="266" t="s">
        <v>3386</v>
      </c>
      <c r="D2280" s="124" t="s">
        <v>3387</v>
      </c>
      <c r="E2280" s="125"/>
      <c r="F2280" s="118" t="s">
        <v>2593</v>
      </c>
      <c r="G2280" s="126" t="str">
        <f t="shared" si="141"/>
        <v>AR-R22-1</v>
      </c>
      <c r="H2280" s="253">
        <v>1</v>
      </c>
      <c r="I2280" s="76">
        <v>1</v>
      </c>
      <c r="J2280" s="299" t="s">
        <v>286</v>
      </c>
      <c r="K2280" s="299"/>
      <c r="L2280" s="84"/>
      <c r="M2280" s="76"/>
      <c r="Q2280" s="84"/>
      <c r="R2280" s="76"/>
    </row>
    <row r="2281" spans="2:18" s="83" customFormat="1" ht="15" hidden="1" customHeight="1" outlineLevel="2">
      <c r="B2281" s="119" t="s">
        <v>272</v>
      </c>
      <c r="C2281" s="266" t="s">
        <v>3388</v>
      </c>
      <c r="D2281" s="124" t="s">
        <v>3389</v>
      </c>
      <c r="E2281" s="125"/>
      <c r="F2281" s="118" t="s">
        <v>2593</v>
      </c>
      <c r="G2281" s="126" t="str">
        <f t="shared" si="141"/>
        <v>AR-R22-1</v>
      </c>
      <c r="H2281" s="253">
        <v>1</v>
      </c>
      <c r="I2281" s="76">
        <v>1</v>
      </c>
      <c r="J2281" s="299" t="s">
        <v>286</v>
      </c>
      <c r="K2281" s="299"/>
      <c r="L2281" s="84"/>
      <c r="M2281" s="76"/>
      <c r="Q2281" s="84"/>
      <c r="R2281" s="76"/>
    </row>
    <row r="2282" spans="2:18" s="83" customFormat="1" ht="15" hidden="1" customHeight="1" outlineLevel="2">
      <c r="B2282" s="119" t="s">
        <v>272</v>
      </c>
      <c r="C2282" s="266" t="s">
        <v>3390</v>
      </c>
      <c r="D2282" s="124" t="s">
        <v>3391</v>
      </c>
      <c r="E2282" s="125"/>
      <c r="F2282" s="118" t="s">
        <v>2593</v>
      </c>
      <c r="G2282" s="126" t="str">
        <f t="shared" si="141"/>
        <v>AR-R22-1</v>
      </c>
      <c r="H2282" s="253">
        <v>1</v>
      </c>
      <c r="I2282" s="76">
        <v>1</v>
      </c>
      <c r="J2282" s="299" t="s">
        <v>286</v>
      </c>
      <c r="K2282" s="299"/>
      <c r="L2282" s="84"/>
      <c r="M2282" s="76"/>
      <c r="Q2282" s="84"/>
      <c r="R2282" s="76"/>
    </row>
    <row r="2283" spans="2:18" s="83" customFormat="1" ht="15" hidden="1" customHeight="1" outlineLevel="2">
      <c r="B2283" s="119" t="s">
        <v>272</v>
      </c>
      <c r="C2283" s="266" t="s">
        <v>3392</v>
      </c>
      <c r="D2283" s="124" t="s">
        <v>3393</v>
      </c>
      <c r="E2283" s="125"/>
      <c r="F2283" s="118" t="s">
        <v>2593</v>
      </c>
      <c r="G2283" s="126" t="str">
        <f t="shared" si="141"/>
        <v>AR-R22-1</v>
      </c>
      <c r="H2283" s="253">
        <v>1</v>
      </c>
      <c r="I2283" s="76">
        <v>1</v>
      </c>
      <c r="J2283" s="299" t="s">
        <v>286</v>
      </c>
      <c r="K2283" s="299"/>
      <c r="L2283" s="84"/>
      <c r="M2283" s="76"/>
      <c r="Q2283" s="84"/>
      <c r="R2283" s="76"/>
    </row>
    <row r="2284" spans="2:18" s="83" customFormat="1" ht="15" hidden="1" customHeight="1" outlineLevel="2">
      <c r="B2284" s="119" t="s">
        <v>272</v>
      </c>
      <c r="C2284" s="266" t="s">
        <v>3394</v>
      </c>
      <c r="D2284" s="124" t="s">
        <v>3395</v>
      </c>
      <c r="E2284" s="125"/>
      <c r="F2284" s="118" t="s">
        <v>2593</v>
      </c>
      <c r="G2284" s="126" t="str">
        <f t="shared" si="141"/>
        <v>AR-R22-1</v>
      </c>
      <c r="H2284" s="253">
        <v>1</v>
      </c>
      <c r="I2284" s="76">
        <v>1</v>
      </c>
      <c r="J2284" s="299" t="s">
        <v>286</v>
      </c>
      <c r="K2284" s="299"/>
      <c r="L2284" s="84"/>
      <c r="M2284" s="76"/>
      <c r="Q2284" s="84"/>
      <c r="R2284" s="76"/>
    </row>
    <row r="2285" spans="2:18" s="83" customFormat="1" ht="15" hidden="1" customHeight="1" outlineLevel="2">
      <c r="B2285" s="119" t="s">
        <v>272</v>
      </c>
      <c r="C2285" s="266" t="s">
        <v>3396</v>
      </c>
      <c r="D2285" s="124" t="s">
        <v>3397</v>
      </c>
      <c r="E2285" s="125"/>
      <c r="F2285" s="118" t="s">
        <v>2593</v>
      </c>
      <c r="G2285" s="126" t="str">
        <f t="shared" si="141"/>
        <v>AR-R22-1</v>
      </c>
      <c r="H2285" s="253">
        <v>1</v>
      </c>
      <c r="I2285" s="76">
        <v>1</v>
      </c>
      <c r="J2285" s="299" t="s">
        <v>286</v>
      </c>
      <c r="K2285" s="299"/>
      <c r="L2285" s="84"/>
      <c r="M2285" s="76"/>
      <c r="Q2285" s="84"/>
      <c r="R2285" s="76"/>
    </row>
    <row r="2286" spans="2:18" s="83" customFormat="1" ht="15" hidden="1" customHeight="1" outlineLevel="2">
      <c r="B2286" s="119"/>
      <c r="C2286" s="338" t="s">
        <v>3398</v>
      </c>
      <c r="D2286" s="124" t="s">
        <v>3399</v>
      </c>
      <c r="E2286" s="125"/>
      <c r="F2286" s="118" t="s">
        <v>2593</v>
      </c>
      <c r="G2286" s="126" t="str">
        <f t="shared" si="141"/>
        <v>AR-R22-1</v>
      </c>
      <c r="H2286" s="253">
        <v>1</v>
      </c>
      <c r="I2286" s="76">
        <v>1</v>
      </c>
      <c r="J2286" s="299" t="s">
        <v>286</v>
      </c>
      <c r="K2286" s="299"/>
      <c r="L2286" s="84"/>
      <c r="M2286" s="76"/>
      <c r="Q2286" s="84"/>
      <c r="R2286" s="76"/>
    </row>
    <row r="2287" spans="2:18" s="83" customFormat="1" ht="15" hidden="1" customHeight="1" outlineLevel="2">
      <c r="B2287" s="119"/>
      <c r="C2287" s="338" t="s">
        <v>3400</v>
      </c>
      <c r="D2287" s="124" t="s">
        <v>3401</v>
      </c>
      <c r="E2287" s="125"/>
      <c r="F2287" s="118" t="s">
        <v>2593</v>
      </c>
      <c r="G2287" s="126" t="str">
        <f t="shared" si="141"/>
        <v>AR-R22-1</v>
      </c>
      <c r="H2287" s="253">
        <v>1</v>
      </c>
      <c r="I2287" s="76">
        <v>1</v>
      </c>
      <c r="J2287" s="299" t="s">
        <v>286</v>
      </c>
      <c r="K2287" s="299"/>
      <c r="L2287" s="84"/>
      <c r="M2287" s="76"/>
      <c r="Q2287" s="84"/>
      <c r="R2287" s="76"/>
    </row>
    <row r="2288" spans="2:18" s="83" customFormat="1" ht="15" hidden="1" customHeight="1" outlineLevel="2">
      <c r="B2288" s="119"/>
      <c r="C2288" s="338" t="s">
        <v>3402</v>
      </c>
      <c r="D2288" s="124" t="s">
        <v>3403</v>
      </c>
      <c r="E2288" s="125"/>
      <c r="F2288" s="118" t="s">
        <v>2593</v>
      </c>
      <c r="G2288" s="126" t="str">
        <f t="shared" si="141"/>
        <v>AR-R22-1</v>
      </c>
      <c r="H2288" s="253">
        <v>1</v>
      </c>
      <c r="I2288" s="76">
        <v>1</v>
      </c>
      <c r="J2288" s="299" t="s">
        <v>286</v>
      </c>
      <c r="K2288" s="299"/>
      <c r="L2288" s="84"/>
      <c r="M2288" s="76"/>
      <c r="Q2288" s="84"/>
      <c r="R2288" s="76"/>
    </row>
    <row r="2289" spans="2:18" s="83" customFormat="1" ht="15" hidden="1" customHeight="1" outlineLevel="2">
      <c r="B2289" s="119"/>
      <c r="C2289" s="338" t="s">
        <v>3404</v>
      </c>
      <c r="D2289" s="124" t="s">
        <v>3405</v>
      </c>
      <c r="E2289" s="125"/>
      <c r="F2289" s="118" t="s">
        <v>2593</v>
      </c>
      <c r="G2289" s="126" t="str">
        <f t="shared" si="141"/>
        <v>AR-R22-1</v>
      </c>
      <c r="H2289" s="253">
        <v>1</v>
      </c>
      <c r="I2289" s="76">
        <v>1</v>
      </c>
      <c r="J2289" s="299" t="s">
        <v>286</v>
      </c>
      <c r="K2289" s="299"/>
      <c r="L2289" s="84"/>
      <c r="M2289" s="76"/>
      <c r="Q2289" s="84"/>
      <c r="R2289" s="76"/>
    </row>
    <row r="2290" spans="2:18" s="83" customFormat="1" ht="15" hidden="1" customHeight="1" outlineLevel="2">
      <c r="B2290" s="119"/>
      <c r="C2290" s="338" t="s">
        <v>3406</v>
      </c>
      <c r="D2290" s="124" t="s">
        <v>3407</v>
      </c>
      <c r="E2290" s="125"/>
      <c r="F2290" s="118" t="s">
        <v>2593</v>
      </c>
      <c r="G2290" s="126" t="str">
        <f t="shared" si="141"/>
        <v>AR-R22-1</v>
      </c>
      <c r="H2290" s="253">
        <v>1</v>
      </c>
      <c r="I2290" s="76">
        <v>1</v>
      </c>
      <c r="J2290" s="299" t="s">
        <v>286</v>
      </c>
      <c r="K2290" s="299"/>
      <c r="L2290" s="84"/>
      <c r="M2290" s="76"/>
      <c r="Q2290" s="84"/>
      <c r="R2290" s="76"/>
    </row>
    <row r="2291" spans="2:18" s="83" customFormat="1" ht="15" hidden="1" customHeight="1" outlineLevel="2">
      <c r="B2291" s="119"/>
      <c r="C2291" s="338" t="s">
        <v>3408</v>
      </c>
      <c r="D2291" s="124" t="s">
        <v>3409</v>
      </c>
      <c r="E2291" s="125"/>
      <c r="F2291" s="118" t="s">
        <v>2593</v>
      </c>
      <c r="G2291" s="126" t="str">
        <f t="shared" si="141"/>
        <v>AR-R22-1</v>
      </c>
      <c r="H2291" s="253">
        <v>1</v>
      </c>
      <c r="I2291" s="76">
        <v>1</v>
      </c>
      <c r="J2291" s="299" t="s">
        <v>286</v>
      </c>
      <c r="K2291" s="299"/>
      <c r="L2291" s="84"/>
      <c r="M2291" s="76"/>
      <c r="Q2291" s="84"/>
      <c r="R2291" s="76"/>
    </row>
    <row r="2292" spans="2:18" s="83" customFormat="1" ht="15" hidden="1" customHeight="1" outlineLevel="2">
      <c r="B2292" s="119"/>
      <c r="C2292" s="338" t="s">
        <v>3410</v>
      </c>
      <c r="D2292" s="124" t="s">
        <v>3411</v>
      </c>
      <c r="E2292" s="125"/>
      <c r="F2292" s="118" t="s">
        <v>2593</v>
      </c>
      <c r="G2292" s="126" t="str">
        <f t="shared" si="141"/>
        <v>AR-R22-1</v>
      </c>
      <c r="H2292" s="253">
        <v>1</v>
      </c>
      <c r="I2292" s="76">
        <v>1</v>
      </c>
      <c r="J2292" s="299" t="s">
        <v>286</v>
      </c>
      <c r="K2292" s="299"/>
      <c r="L2292" s="84"/>
      <c r="M2292" s="76"/>
      <c r="Q2292" s="84"/>
      <c r="R2292" s="76"/>
    </row>
    <row r="2293" spans="2:18" s="83" customFormat="1" ht="15" hidden="1" customHeight="1" outlineLevel="2">
      <c r="B2293" s="119"/>
      <c r="C2293" s="338" t="s">
        <v>3412</v>
      </c>
      <c r="D2293" s="124" t="s">
        <v>3413</v>
      </c>
      <c r="E2293" s="125"/>
      <c r="F2293" s="118" t="s">
        <v>2593</v>
      </c>
      <c r="G2293" s="126" t="str">
        <f t="shared" si="141"/>
        <v>AR-R22-1</v>
      </c>
      <c r="H2293" s="253">
        <v>1</v>
      </c>
      <c r="I2293" s="76">
        <v>1</v>
      </c>
      <c r="J2293" s="299" t="s">
        <v>286</v>
      </c>
      <c r="K2293" s="299"/>
      <c r="L2293" s="84"/>
      <c r="M2293" s="76"/>
      <c r="Q2293" s="84"/>
      <c r="R2293" s="76"/>
    </row>
    <row r="2294" spans="2:18" s="83" customFormat="1" ht="15" hidden="1" customHeight="1" outlineLevel="2">
      <c r="B2294" s="119"/>
      <c r="C2294" s="338" t="s">
        <v>3414</v>
      </c>
      <c r="D2294" s="124" t="s">
        <v>3415</v>
      </c>
      <c r="E2294" s="125"/>
      <c r="F2294" s="118" t="s">
        <v>2593</v>
      </c>
      <c r="G2294" s="126" t="str">
        <f t="shared" si="141"/>
        <v>AR-R22-1</v>
      </c>
      <c r="H2294" s="253">
        <v>1</v>
      </c>
      <c r="I2294" s="76">
        <v>1</v>
      </c>
      <c r="J2294" s="299" t="s">
        <v>286</v>
      </c>
      <c r="K2294" s="299"/>
      <c r="L2294" s="84"/>
      <c r="M2294" s="76"/>
      <c r="Q2294" s="84"/>
      <c r="R2294" s="76"/>
    </row>
    <row r="2295" spans="2:18" s="83" customFormat="1" ht="15" hidden="1" customHeight="1" outlineLevel="2">
      <c r="B2295" s="119"/>
      <c r="C2295" s="338" t="s">
        <v>3416</v>
      </c>
      <c r="D2295" s="124" t="s">
        <v>3417</v>
      </c>
      <c r="E2295" s="125"/>
      <c r="F2295" s="118" t="s">
        <v>2593</v>
      </c>
      <c r="G2295" s="126" t="str">
        <f t="shared" si="141"/>
        <v>AR-R22-1</v>
      </c>
      <c r="H2295" s="253">
        <v>1</v>
      </c>
      <c r="I2295" s="76">
        <v>1</v>
      </c>
      <c r="J2295" s="299" t="s">
        <v>286</v>
      </c>
      <c r="K2295" s="299"/>
      <c r="L2295" s="84"/>
      <c r="M2295" s="76"/>
      <c r="Q2295" s="84"/>
      <c r="R2295" s="76"/>
    </row>
    <row r="2296" spans="2:18" s="83" customFormat="1" ht="15" hidden="1" customHeight="1" outlineLevel="2">
      <c r="B2296" s="119"/>
      <c r="C2296" s="338" t="s">
        <v>3418</v>
      </c>
      <c r="D2296" s="124" t="s">
        <v>3419</v>
      </c>
      <c r="E2296" s="125"/>
      <c r="F2296" s="118" t="s">
        <v>2593</v>
      </c>
      <c r="G2296" s="126" t="str">
        <f t="shared" si="141"/>
        <v>AR-R22-1</v>
      </c>
      <c r="H2296" s="253">
        <v>1</v>
      </c>
      <c r="I2296" s="76">
        <v>1</v>
      </c>
      <c r="J2296" s="299" t="s">
        <v>286</v>
      </c>
      <c r="K2296" s="299"/>
      <c r="L2296" s="84"/>
      <c r="M2296" s="76"/>
      <c r="Q2296" s="84"/>
      <c r="R2296" s="76"/>
    </row>
    <row r="2297" spans="2:18" s="83" customFormat="1" ht="15" hidden="1" customHeight="1" outlineLevel="2">
      <c r="B2297" s="119"/>
      <c r="C2297" s="338" t="s">
        <v>3420</v>
      </c>
      <c r="D2297" s="124" t="s">
        <v>3421</v>
      </c>
      <c r="E2297" s="125"/>
      <c r="F2297" s="118" t="s">
        <v>2593</v>
      </c>
      <c r="G2297" s="126" t="str">
        <f t="shared" si="141"/>
        <v>AR-R22-1</v>
      </c>
      <c r="H2297" s="253">
        <v>1</v>
      </c>
      <c r="I2297" s="76">
        <v>1</v>
      </c>
      <c r="J2297" s="299" t="s">
        <v>286</v>
      </c>
      <c r="K2297" s="299"/>
      <c r="L2297" s="84"/>
      <c r="M2297" s="76"/>
      <c r="Q2297" s="84"/>
      <c r="R2297" s="76"/>
    </row>
    <row r="2298" spans="2:18" s="83" customFormat="1" ht="15" hidden="1" customHeight="1" outlineLevel="2">
      <c r="B2298" s="119"/>
      <c r="C2298" s="338" t="s">
        <v>3422</v>
      </c>
      <c r="D2298" s="124" t="s">
        <v>3423</v>
      </c>
      <c r="E2298" s="125"/>
      <c r="F2298" s="118" t="s">
        <v>2593</v>
      </c>
      <c r="G2298" s="126" t="str">
        <f>CONCATENATE("AR-",F2298,"-",H2298)</f>
        <v>AR-R22-1</v>
      </c>
      <c r="H2298" s="253">
        <v>1</v>
      </c>
      <c r="I2298" s="76">
        <v>1</v>
      </c>
      <c r="J2298" s="299" t="s">
        <v>286</v>
      </c>
      <c r="K2298" s="299"/>
      <c r="L2298" s="84"/>
      <c r="M2298" s="76"/>
      <c r="Q2298" s="84"/>
      <c r="R2298" s="76"/>
    </row>
    <row r="2299" spans="2:18" s="83" customFormat="1" ht="15" hidden="1" customHeight="1" outlineLevel="2">
      <c r="B2299" s="119"/>
      <c r="C2299" s="338" t="s">
        <v>3424</v>
      </c>
      <c r="D2299" s="124" t="s">
        <v>3425</v>
      </c>
      <c r="E2299" s="125"/>
      <c r="F2299" s="118" t="s">
        <v>2593</v>
      </c>
      <c r="G2299" s="126" t="str">
        <f>CONCATENATE("AR-",F2299,"-",H2299)</f>
        <v>AR-R22-1</v>
      </c>
      <c r="H2299" s="253">
        <v>1</v>
      </c>
      <c r="I2299" s="76">
        <v>1</v>
      </c>
      <c r="J2299" s="299" t="s">
        <v>286</v>
      </c>
      <c r="K2299" s="299"/>
      <c r="L2299" s="84"/>
      <c r="M2299" s="76"/>
      <c r="Q2299" s="84"/>
      <c r="R2299" s="76"/>
    </row>
    <row r="2300" spans="2:18" s="83" customFormat="1" ht="15" hidden="1" customHeight="1" outlineLevel="2">
      <c r="B2300" s="119"/>
      <c r="C2300" s="338" t="s">
        <v>3426</v>
      </c>
      <c r="D2300" s="124" t="s">
        <v>3427</v>
      </c>
      <c r="E2300" s="125"/>
      <c r="F2300" s="118" t="s">
        <v>2593</v>
      </c>
      <c r="G2300" s="126" t="str">
        <f>CONCATENATE("AR-",F2300,"-",H2300)</f>
        <v>AR-R22-1</v>
      </c>
      <c r="H2300" s="253">
        <v>1</v>
      </c>
      <c r="I2300" s="76">
        <v>1</v>
      </c>
      <c r="J2300" s="299" t="s">
        <v>286</v>
      </c>
      <c r="K2300" s="299"/>
      <c r="L2300" s="84"/>
      <c r="M2300" s="76"/>
      <c r="Q2300" s="84"/>
      <c r="R2300" s="76"/>
    </row>
    <row r="2301" spans="2:18" s="83" customFormat="1" ht="15" hidden="1" customHeight="1" outlineLevel="2">
      <c r="B2301" s="119"/>
      <c r="C2301" s="338" t="s">
        <v>3428</v>
      </c>
      <c r="D2301" s="124" t="s">
        <v>3429</v>
      </c>
      <c r="E2301" s="125"/>
      <c r="F2301" s="118" t="s">
        <v>2593</v>
      </c>
      <c r="G2301" s="126" t="str">
        <f t="shared" ref="G2301:G2305" si="142">CONCATENATE("AR-",F2301,"-",H2301)</f>
        <v>AR-R22-1</v>
      </c>
      <c r="H2301" s="253">
        <v>1</v>
      </c>
      <c r="I2301" s="76">
        <v>1</v>
      </c>
      <c r="J2301" s="299" t="s">
        <v>286</v>
      </c>
      <c r="K2301" s="299"/>
      <c r="L2301" s="84"/>
      <c r="M2301" s="76"/>
      <c r="Q2301" s="84"/>
      <c r="R2301" s="76"/>
    </row>
    <row r="2302" spans="2:18" s="83" customFormat="1" ht="15" hidden="1" customHeight="1" outlineLevel="2">
      <c r="B2302" s="119"/>
      <c r="C2302" s="338" t="s">
        <v>3430</v>
      </c>
      <c r="D2302" s="124" t="s">
        <v>3431</v>
      </c>
      <c r="E2302" s="125"/>
      <c r="F2302" s="118" t="s">
        <v>2593</v>
      </c>
      <c r="G2302" s="126" t="str">
        <f t="shared" si="142"/>
        <v>AR-R22-1</v>
      </c>
      <c r="H2302" s="253">
        <v>1</v>
      </c>
      <c r="I2302" s="76">
        <v>1</v>
      </c>
      <c r="J2302" s="299" t="s">
        <v>286</v>
      </c>
      <c r="K2302" s="299"/>
      <c r="L2302" s="84"/>
      <c r="M2302" s="76"/>
      <c r="Q2302" s="84"/>
      <c r="R2302" s="76"/>
    </row>
    <row r="2303" spans="2:18" s="83" customFormat="1" ht="15" hidden="1" customHeight="1" outlineLevel="2">
      <c r="B2303" s="119"/>
      <c r="C2303" s="338" t="s">
        <v>3432</v>
      </c>
      <c r="D2303" s="124" t="s">
        <v>3433</v>
      </c>
      <c r="E2303" s="125"/>
      <c r="F2303" s="118" t="s">
        <v>2593</v>
      </c>
      <c r="G2303" s="126" t="str">
        <f t="shared" si="142"/>
        <v>AR-R22-1</v>
      </c>
      <c r="H2303" s="253">
        <v>1</v>
      </c>
      <c r="I2303" s="76">
        <v>1</v>
      </c>
      <c r="J2303" s="299" t="s">
        <v>286</v>
      </c>
      <c r="K2303" s="299"/>
      <c r="L2303" s="84"/>
      <c r="M2303" s="76"/>
      <c r="Q2303" s="84"/>
      <c r="R2303" s="76"/>
    </row>
    <row r="2304" spans="2:18" s="83" customFormat="1" ht="15" hidden="1" customHeight="1" outlineLevel="2">
      <c r="B2304" s="119"/>
      <c r="C2304" s="338" t="s">
        <v>3434</v>
      </c>
      <c r="D2304" s="124" t="s">
        <v>3435</v>
      </c>
      <c r="E2304" s="125"/>
      <c r="F2304" s="118" t="s">
        <v>2593</v>
      </c>
      <c r="G2304" s="126" t="str">
        <f t="shared" si="142"/>
        <v>AR-R22-1</v>
      </c>
      <c r="H2304" s="253">
        <v>1</v>
      </c>
      <c r="I2304" s="76">
        <v>1</v>
      </c>
      <c r="J2304" s="299" t="s">
        <v>286</v>
      </c>
      <c r="K2304" s="299"/>
      <c r="L2304" s="84"/>
      <c r="M2304" s="76"/>
      <c r="Q2304" s="84"/>
      <c r="R2304" s="76"/>
    </row>
    <row r="2305" spans="2:18" s="83" customFormat="1" ht="15" hidden="1" customHeight="1" outlineLevel="2">
      <c r="B2305" s="119"/>
      <c r="C2305" s="338" t="s">
        <v>3436</v>
      </c>
      <c r="D2305" s="124" t="s">
        <v>3437</v>
      </c>
      <c r="E2305" s="125"/>
      <c r="F2305" s="118" t="s">
        <v>2593</v>
      </c>
      <c r="G2305" s="126" t="str">
        <f t="shared" si="142"/>
        <v>AR-R22-1</v>
      </c>
      <c r="H2305" s="253">
        <v>1</v>
      </c>
      <c r="I2305" s="76">
        <v>1</v>
      </c>
      <c r="J2305" s="299" t="s">
        <v>286</v>
      </c>
      <c r="K2305" s="299"/>
      <c r="L2305" s="84"/>
      <c r="M2305" s="76"/>
      <c r="Q2305" s="84"/>
      <c r="R2305" s="76"/>
    </row>
    <row r="2306" spans="2:18" s="83" customFormat="1" ht="3.6" hidden="1" customHeight="1" outlineLevel="1">
      <c r="J2306" s="300"/>
      <c r="K2306" s="300"/>
      <c r="L2306" s="86"/>
      <c r="Q2306" s="86"/>
    </row>
    <row r="2307" spans="2:18" s="91" customFormat="1" ht="15" hidden="1" customHeight="1" outlineLevel="1">
      <c r="B2307" s="135" t="s">
        <v>3438</v>
      </c>
      <c r="C2307" s="266"/>
      <c r="D2307" s="124"/>
      <c r="E2307" s="125"/>
      <c r="F2307" s="118"/>
      <c r="G2307" s="126"/>
      <c r="H2307" s="253"/>
      <c r="I2307" s="89"/>
      <c r="J2307" s="304"/>
      <c r="K2307" s="304"/>
      <c r="L2307" s="90"/>
      <c r="M2307" s="76"/>
      <c r="Q2307" s="287"/>
    </row>
    <row r="2308" spans="2:18" s="83" customFormat="1" ht="15" hidden="1" customHeight="1" outlineLevel="2">
      <c r="B2308" s="119" t="s">
        <v>272</v>
      </c>
      <c r="C2308" s="266" t="s">
        <v>3439</v>
      </c>
      <c r="D2308" s="124" t="s">
        <v>3440</v>
      </c>
      <c r="E2308" s="125"/>
      <c r="F2308" s="118" t="s">
        <v>3441</v>
      </c>
      <c r="G2308" s="126" t="str">
        <f t="shared" ref="G2308:G2313" si="143">CONCATENATE("AR-",F2308,"-",H2308)</f>
        <v>AR-C20P-1</v>
      </c>
      <c r="H2308" s="253">
        <v>1</v>
      </c>
      <c r="J2308" s="299" t="s">
        <v>286</v>
      </c>
      <c r="K2308" s="299"/>
      <c r="L2308" s="84">
        <v>1</v>
      </c>
      <c r="M2308" s="76">
        <v>1</v>
      </c>
      <c r="Q2308" s="84">
        <v>1</v>
      </c>
      <c r="R2308" s="76">
        <v>1</v>
      </c>
    </row>
    <row r="2309" spans="2:18" s="83" customFormat="1" ht="15" hidden="1" customHeight="1" outlineLevel="2">
      <c r="B2309" s="119" t="s">
        <v>272</v>
      </c>
      <c r="C2309" s="266" t="s">
        <v>3442</v>
      </c>
      <c r="D2309" s="124" t="s">
        <v>3443</v>
      </c>
      <c r="E2309" s="125"/>
      <c r="F2309" s="118" t="s">
        <v>3441</v>
      </c>
      <c r="G2309" s="126" t="str">
        <f t="shared" si="143"/>
        <v>AR-C20P-1</v>
      </c>
      <c r="H2309" s="253">
        <v>1</v>
      </c>
      <c r="J2309" s="299" t="s">
        <v>286</v>
      </c>
      <c r="K2309" s="299"/>
      <c r="L2309" s="84">
        <v>1</v>
      </c>
      <c r="M2309" s="76">
        <v>1</v>
      </c>
      <c r="Q2309" s="84">
        <v>1</v>
      </c>
      <c r="R2309" s="76">
        <v>1</v>
      </c>
    </row>
    <row r="2310" spans="2:18" s="83" customFormat="1" ht="15" hidden="1" customHeight="1" outlineLevel="2">
      <c r="B2310" s="119" t="s">
        <v>272</v>
      </c>
      <c r="C2310" s="266" t="s">
        <v>3444</v>
      </c>
      <c r="D2310" s="124" t="s">
        <v>3445</v>
      </c>
      <c r="E2310" s="125"/>
      <c r="F2310" s="118" t="s">
        <v>3441</v>
      </c>
      <c r="G2310" s="126" t="str">
        <f t="shared" si="143"/>
        <v>AR-C20P-1</v>
      </c>
      <c r="H2310" s="253">
        <v>1</v>
      </c>
      <c r="J2310" s="299" t="s">
        <v>286</v>
      </c>
      <c r="K2310" s="299"/>
      <c r="L2310" s="84">
        <v>1</v>
      </c>
      <c r="M2310" s="76">
        <v>1</v>
      </c>
      <c r="Q2310" s="84">
        <v>1</v>
      </c>
      <c r="R2310" s="76">
        <v>1</v>
      </c>
    </row>
    <row r="2311" spans="2:18" s="83" customFormat="1" ht="15" hidden="1" customHeight="1" outlineLevel="2">
      <c r="B2311" s="119" t="s">
        <v>272</v>
      </c>
      <c r="C2311" s="266" t="s">
        <v>3446</v>
      </c>
      <c r="D2311" s="124" t="s">
        <v>3447</v>
      </c>
      <c r="E2311" s="125"/>
      <c r="F2311" s="118" t="s">
        <v>3441</v>
      </c>
      <c r="G2311" s="126" t="str">
        <f t="shared" si="143"/>
        <v>AR-C20P-1</v>
      </c>
      <c r="H2311" s="253">
        <v>1</v>
      </c>
      <c r="J2311" s="299" t="s">
        <v>286</v>
      </c>
      <c r="K2311" s="299"/>
      <c r="L2311" s="84">
        <v>1</v>
      </c>
      <c r="M2311" s="76">
        <v>1</v>
      </c>
      <c r="Q2311" s="84">
        <v>1</v>
      </c>
      <c r="R2311" s="76">
        <v>1</v>
      </c>
    </row>
    <row r="2312" spans="2:18" s="83" customFormat="1" ht="15" hidden="1" customHeight="1" outlineLevel="2">
      <c r="B2312" s="119" t="s">
        <v>272</v>
      </c>
      <c r="C2312" s="266" t="s">
        <v>3448</v>
      </c>
      <c r="D2312" s="124" t="s">
        <v>3449</v>
      </c>
      <c r="E2312" s="125"/>
      <c r="F2312" s="118" t="s">
        <v>3441</v>
      </c>
      <c r="G2312" s="126" t="str">
        <f t="shared" si="143"/>
        <v>AR-C20P-1</v>
      </c>
      <c r="H2312" s="253">
        <v>1</v>
      </c>
      <c r="J2312" s="299" t="s">
        <v>286</v>
      </c>
      <c r="K2312" s="299"/>
      <c r="L2312" s="84">
        <v>1</v>
      </c>
      <c r="M2312" s="76">
        <v>1</v>
      </c>
      <c r="Q2312" s="84">
        <v>1</v>
      </c>
      <c r="R2312" s="76">
        <v>1</v>
      </c>
    </row>
    <row r="2313" spans="2:18" s="83" customFormat="1" ht="15" hidden="1" customHeight="1" outlineLevel="2">
      <c r="B2313" s="119" t="s">
        <v>272</v>
      </c>
      <c r="C2313" s="266" t="s">
        <v>3450</v>
      </c>
      <c r="D2313" s="124" t="s">
        <v>3451</v>
      </c>
      <c r="E2313" s="125"/>
      <c r="F2313" s="118" t="s">
        <v>3441</v>
      </c>
      <c r="G2313" s="126" t="str">
        <f t="shared" si="143"/>
        <v>AR-C20P-1</v>
      </c>
      <c r="H2313" s="253">
        <v>1</v>
      </c>
      <c r="J2313" s="299" t="s">
        <v>286</v>
      </c>
      <c r="K2313" s="299"/>
      <c r="L2313" s="84">
        <v>1</v>
      </c>
      <c r="M2313" s="76">
        <v>1</v>
      </c>
      <c r="Q2313" s="84">
        <v>1</v>
      </c>
      <c r="R2313" s="76">
        <v>1</v>
      </c>
    </row>
    <row r="2314" spans="2:18" s="83" customFormat="1" ht="15" hidden="1" customHeight="1" outlineLevel="2">
      <c r="B2314" s="119" t="s">
        <v>272</v>
      </c>
      <c r="C2314" s="266" t="s">
        <v>3452</v>
      </c>
      <c r="D2314" s="124" t="s">
        <v>3453</v>
      </c>
      <c r="E2314" s="125"/>
      <c r="F2314" s="118" t="s">
        <v>3441</v>
      </c>
      <c r="G2314" s="126" t="str">
        <f t="shared" ref="G2314:G2354" si="144">CONCATENATE("AR-",F2314,"-",H2314)</f>
        <v>AR-C20P-1</v>
      </c>
      <c r="H2314" s="253">
        <v>1</v>
      </c>
      <c r="J2314" s="299" t="s">
        <v>286</v>
      </c>
      <c r="K2314" s="299"/>
      <c r="L2314" s="84">
        <v>1</v>
      </c>
      <c r="M2314" s="76">
        <v>1</v>
      </c>
      <c r="Q2314" s="84">
        <v>1</v>
      </c>
      <c r="R2314" s="76">
        <v>1</v>
      </c>
    </row>
    <row r="2315" spans="2:18" s="83" customFormat="1" ht="15" hidden="1" customHeight="1" outlineLevel="2">
      <c r="B2315" s="119" t="s">
        <v>272</v>
      </c>
      <c r="C2315" s="266" t="s">
        <v>3454</v>
      </c>
      <c r="D2315" s="124" t="s">
        <v>3455</v>
      </c>
      <c r="E2315" s="125"/>
      <c r="F2315" s="118" t="s">
        <v>3441</v>
      </c>
      <c r="G2315" s="126" t="str">
        <f t="shared" si="144"/>
        <v>AR-C20P-1</v>
      </c>
      <c r="H2315" s="253">
        <v>1</v>
      </c>
      <c r="J2315" s="299" t="s">
        <v>286</v>
      </c>
      <c r="K2315" s="299"/>
      <c r="L2315" s="84">
        <v>1</v>
      </c>
      <c r="M2315" s="76">
        <v>1</v>
      </c>
      <c r="Q2315" s="84">
        <v>1</v>
      </c>
      <c r="R2315" s="76">
        <v>1</v>
      </c>
    </row>
    <row r="2316" spans="2:18" s="100" customFormat="1" ht="15" hidden="1" customHeight="1" outlineLevel="2">
      <c r="B2316" s="119" t="s">
        <v>272</v>
      </c>
      <c r="C2316" s="266" t="s">
        <v>3456</v>
      </c>
      <c r="D2316" s="124" t="s">
        <v>3457</v>
      </c>
      <c r="E2316" s="125"/>
      <c r="F2316" s="118" t="s">
        <v>3441</v>
      </c>
      <c r="G2316" s="126" t="str">
        <f t="shared" si="144"/>
        <v>AR-C20P-1</v>
      </c>
      <c r="H2316" s="253">
        <v>1</v>
      </c>
      <c r="J2316" s="299" t="s">
        <v>286</v>
      </c>
      <c r="K2316" s="299"/>
      <c r="L2316" s="84">
        <v>1</v>
      </c>
      <c r="M2316" s="76">
        <v>1</v>
      </c>
      <c r="Q2316" s="84">
        <v>1</v>
      </c>
      <c r="R2316" s="76">
        <v>1</v>
      </c>
    </row>
    <row r="2317" spans="2:18" s="83" customFormat="1" ht="15" hidden="1" customHeight="1" outlineLevel="2">
      <c r="B2317" s="119" t="s">
        <v>272</v>
      </c>
      <c r="C2317" s="266" t="s">
        <v>3458</v>
      </c>
      <c r="D2317" s="124" t="s">
        <v>3459</v>
      </c>
      <c r="E2317" s="125"/>
      <c r="F2317" s="118" t="s">
        <v>3441</v>
      </c>
      <c r="G2317" s="126" t="str">
        <f t="shared" si="144"/>
        <v>AR-C20P-1</v>
      </c>
      <c r="H2317" s="253">
        <v>1</v>
      </c>
      <c r="J2317" s="299" t="s">
        <v>286</v>
      </c>
      <c r="K2317" s="299"/>
      <c r="L2317" s="84">
        <v>1</v>
      </c>
      <c r="M2317" s="76">
        <v>1</v>
      </c>
      <c r="Q2317" s="84">
        <v>1</v>
      </c>
      <c r="R2317" s="76">
        <v>1</v>
      </c>
    </row>
    <row r="2318" spans="2:18" s="83" customFormat="1" ht="15" hidden="1" customHeight="1" outlineLevel="2">
      <c r="B2318" s="119" t="s">
        <v>272</v>
      </c>
      <c r="C2318" s="266" t="s">
        <v>3460</v>
      </c>
      <c r="D2318" s="124" t="s">
        <v>3461</v>
      </c>
      <c r="E2318" s="125"/>
      <c r="F2318" s="118" t="s">
        <v>3441</v>
      </c>
      <c r="G2318" s="126" t="str">
        <f t="shared" si="144"/>
        <v>AR-C20P-1</v>
      </c>
      <c r="H2318" s="253">
        <v>1</v>
      </c>
      <c r="J2318" s="299" t="s">
        <v>286</v>
      </c>
      <c r="K2318" s="299"/>
      <c r="L2318" s="84">
        <v>1</v>
      </c>
      <c r="M2318" s="76">
        <v>1</v>
      </c>
      <c r="Q2318" s="84">
        <v>1</v>
      </c>
      <c r="R2318" s="76">
        <v>1</v>
      </c>
    </row>
    <row r="2319" spans="2:18" s="83" customFormat="1" ht="15" hidden="1" customHeight="1" outlineLevel="2">
      <c r="B2319" s="119" t="s">
        <v>272</v>
      </c>
      <c r="C2319" s="266" t="s">
        <v>3462</v>
      </c>
      <c r="D2319" s="124" t="s">
        <v>3463</v>
      </c>
      <c r="E2319" s="125"/>
      <c r="F2319" s="118" t="s">
        <v>3441</v>
      </c>
      <c r="G2319" s="126" t="str">
        <f t="shared" si="144"/>
        <v>AR-C20P-1</v>
      </c>
      <c r="H2319" s="253">
        <v>1</v>
      </c>
      <c r="J2319" s="299" t="s">
        <v>286</v>
      </c>
      <c r="K2319" s="299"/>
      <c r="L2319" s="84">
        <v>1</v>
      </c>
      <c r="M2319" s="76">
        <v>1</v>
      </c>
      <c r="Q2319" s="84">
        <v>1</v>
      </c>
      <c r="R2319" s="76">
        <v>1</v>
      </c>
    </row>
    <row r="2320" spans="2:18" s="83" customFormat="1" ht="15" hidden="1" customHeight="1" outlineLevel="2">
      <c r="B2320" s="119" t="s">
        <v>272</v>
      </c>
      <c r="C2320" s="266" t="s">
        <v>3464</v>
      </c>
      <c r="D2320" s="124" t="s">
        <v>3463</v>
      </c>
      <c r="E2320" s="125"/>
      <c r="F2320" s="118" t="s">
        <v>3441</v>
      </c>
      <c r="G2320" s="126" t="str">
        <f t="shared" si="144"/>
        <v>AR-C20P-1</v>
      </c>
      <c r="H2320" s="253">
        <v>1</v>
      </c>
      <c r="J2320" s="299" t="s">
        <v>286</v>
      </c>
      <c r="K2320" s="299"/>
      <c r="L2320" s="84">
        <v>1</v>
      </c>
      <c r="M2320" s="76">
        <v>1</v>
      </c>
      <c r="Q2320" s="84">
        <v>1</v>
      </c>
      <c r="R2320" s="76">
        <v>1</v>
      </c>
    </row>
    <row r="2321" spans="2:18" s="83" customFormat="1" ht="15" hidden="1" customHeight="1" outlineLevel="2">
      <c r="B2321" s="119" t="s">
        <v>272</v>
      </c>
      <c r="C2321" s="266" t="s">
        <v>3465</v>
      </c>
      <c r="D2321" s="124" t="s">
        <v>3466</v>
      </c>
      <c r="E2321" s="125"/>
      <c r="F2321" s="118" t="s">
        <v>3441</v>
      </c>
      <c r="G2321" s="126" t="str">
        <f t="shared" si="144"/>
        <v>AR-C20P-1</v>
      </c>
      <c r="H2321" s="253">
        <v>1</v>
      </c>
      <c r="J2321" s="299" t="s">
        <v>286</v>
      </c>
      <c r="K2321" s="299"/>
      <c r="L2321" s="84">
        <v>1</v>
      </c>
      <c r="M2321" s="76">
        <v>1</v>
      </c>
      <c r="Q2321" s="84">
        <v>1</v>
      </c>
      <c r="R2321" s="76">
        <v>1</v>
      </c>
    </row>
    <row r="2322" spans="2:18" s="83" customFormat="1" ht="15" hidden="1" customHeight="1" outlineLevel="2">
      <c r="B2322" s="119" t="s">
        <v>272</v>
      </c>
      <c r="C2322" s="266" t="s">
        <v>3467</v>
      </c>
      <c r="D2322" s="124" t="s">
        <v>3466</v>
      </c>
      <c r="E2322" s="125"/>
      <c r="F2322" s="118" t="s">
        <v>3441</v>
      </c>
      <c r="G2322" s="126" t="str">
        <f t="shared" si="144"/>
        <v>AR-C20P-1</v>
      </c>
      <c r="H2322" s="253">
        <v>1</v>
      </c>
      <c r="J2322" s="299" t="s">
        <v>286</v>
      </c>
      <c r="K2322" s="299"/>
      <c r="L2322" s="84">
        <v>1</v>
      </c>
      <c r="M2322" s="76">
        <v>1</v>
      </c>
      <c r="Q2322" s="84">
        <v>1</v>
      </c>
      <c r="R2322" s="76">
        <v>1</v>
      </c>
    </row>
    <row r="2323" spans="2:18" s="83" customFormat="1" ht="15" hidden="1" customHeight="1" outlineLevel="2">
      <c r="B2323" s="119" t="s">
        <v>272</v>
      </c>
      <c r="C2323" s="266" t="s">
        <v>3468</v>
      </c>
      <c r="D2323" s="124" t="s">
        <v>3466</v>
      </c>
      <c r="E2323" s="125"/>
      <c r="F2323" s="118" t="s">
        <v>3441</v>
      </c>
      <c r="G2323" s="126" t="str">
        <f t="shared" si="144"/>
        <v>AR-C20P-1</v>
      </c>
      <c r="H2323" s="253">
        <v>1</v>
      </c>
      <c r="J2323" s="299" t="s">
        <v>286</v>
      </c>
      <c r="K2323" s="299"/>
      <c r="L2323" s="84">
        <v>1</v>
      </c>
      <c r="M2323" s="76">
        <v>1</v>
      </c>
      <c r="Q2323" s="84">
        <v>1</v>
      </c>
      <c r="R2323" s="76">
        <v>1</v>
      </c>
    </row>
    <row r="2324" spans="2:18" s="83" customFormat="1" ht="15" hidden="1" customHeight="1" outlineLevel="2">
      <c r="B2324" s="119" t="s">
        <v>272</v>
      </c>
      <c r="C2324" s="266" t="s">
        <v>3469</v>
      </c>
      <c r="D2324" s="124" t="s">
        <v>3466</v>
      </c>
      <c r="E2324" s="125"/>
      <c r="F2324" s="118" t="s">
        <v>3441</v>
      </c>
      <c r="G2324" s="126" t="str">
        <f t="shared" si="144"/>
        <v>AR-C20P-1</v>
      </c>
      <c r="H2324" s="253">
        <v>1</v>
      </c>
      <c r="J2324" s="299" t="s">
        <v>286</v>
      </c>
      <c r="K2324" s="299"/>
      <c r="L2324" s="84">
        <v>1</v>
      </c>
      <c r="M2324" s="76">
        <v>1</v>
      </c>
      <c r="Q2324" s="84">
        <v>1</v>
      </c>
      <c r="R2324" s="76">
        <v>1</v>
      </c>
    </row>
    <row r="2325" spans="2:18" s="83" customFormat="1" ht="15" hidden="1" customHeight="1" outlineLevel="2">
      <c r="B2325" s="119" t="s">
        <v>272</v>
      </c>
      <c r="C2325" s="266" t="s">
        <v>3470</v>
      </c>
      <c r="D2325" s="124" t="s">
        <v>3466</v>
      </c>
      <c r="E2325" s="125"/>
      <c r="F2325" s="118" t="s">
        <v>3441</v>
      </c>
      <c r="G2325" s="126" t="str">
        <f t="shared" si="144"/>
        <v>AR-C20P-1</v>
      </c>
      <c r="H2325" s="253">
        <v>1</v>
      </c>
      <c r="J2325" s="299" t="s">
        <v>286</v>
      </c>
      <c r="K2325" s="299"/>
      <c r="L2325" s="84">
        <v>1</v>
      </c>
      <c r="M2325" s="76">
        <v>1</v>
      </c>
      <c r="Q2325" s="84">
        <v>1</v>
      </c>
      <c r="R2325" s="76">
        <v>1</v>
      </c>
    </row>
    <row r="2326" spans="2:18" s="83" customFormat="1" ht="15" hidden="1" customHeight="1" outlineLevel="2">
      <c r="B2326" s="119" t="s">
        <v>272</v>
      </c>
      <c r="C2326" s="266" t="s">
        <v>3471</v>
      </c>
      <c r="D2326" s="124" t="s">
        <v>3466</v>
      </c>
      <c r="E2326" s="125"/>
      <c r="F2326" s="118" t="s">
        <v>3441</v>
      </c>
      <c r="G2326" s="126" t="str">
        <f t="shared" si="144"/>
        <v>AR-C20P-1</v>
      </c>
      <c r="H2326" s="253">
        <v>1</v>
      </c>
      <c r="J2326" s="299" t="s">
        <v>286</v>
      </c>
      <c r="K2326" s="299"/>
      <c r="L2326" s="84">
        <v>1</v>
      </c>
      <c r="M2326" s="76">
        <v>1</v>
      </c>
      <c r="Q2326" s="84">
        <v>1</v>
      </c>
      <c r="R2326" s="76">
        <v>1</v>
      </c>
    </row>
    <row r="2327" spans="2:18" s="83" customFormat="1" ht="15" hidden="1" customHeight="1" outlineLevel="2">
      <c r="B2327" s="119" t="s">
        <v>272</v>
      </c>
      <c r="C2327" s="266" t="s">
        <v>3472</v>
      </c>
      <c r="D2327" s="124" t="s">
        <v>3466</v>
      </c>
      <c r="E2327" s="125"/>
      <c r="F2327" s="118" t="s">
        <v>3441</v>
      </c>
      <c r="G2327" s="126" t="str">
        <f t="shared" si="144"/>
        <v>AR-C20P-1</v>
      </c>
      <c r="H2327" s="253">
        <v>1</v>
      </c>
      <c r="J2327" s="299" t="s">
        <v>286</v>
      </c>
      <c r="K2327" s="299"/>
      <c r="L2327" s="84">
        <v>1</v>
      </c>
      <c r="M2327" s="76">
        <v>1</v>
      </c>
      <c r="Q2327" s="84">
        <v>1</v>
      </c>
      <c r="R2327" s="76">
        <v>1</v>
      </c>
    </row>
    <row r="2328" spans="2:18" s="83" customFormat="1" ht="15" hidden="1" customHeight="1" outlineLevel="2">
      <c r="B2328" s="119" t="s">
        <v>272</v>
      </c>
      <c r="C2328" s="266" t="s">
        <v>3473</v>
      </c>
      <c r="D2328" s="124" t="s">
        <v>3474</v>
      </c>
      <c r="E2328" s="125"/>
      <c r="F2328" s="118" t="s">
        <v>3441</v>
      </c>
      <c r="G2328" s="126" t="str">
        <f t="shared" si="144"/>
        <v>AR-C20P-1</v>
      </c>
      <c r="H2328" s="253">
        <v>1</v>
      </c>
      <c r="J2328" s="299" t="s">
        <v>286</v>
      </c>
      <c r="K2328" s="299"/>
      <c r="L2328" s="84">
        <v>1</v>
      </c>
      <c r="M2328" s="76">
        <v>1</v>
      </c>
      <c r="Q2328" s="84">
        <v>1</v>
      </c>
      <c r="R2328" s="76">
        <v>1</v>
      </c>
    </row>
    <row r="2329" spans="2:18" s="83" customFormat="1" ht="15" hidden="1" customHeight="1" outlineLevel="2">
      <c r="B2329" s="119" t="s">
        <v>272</v>
      </c>
      <c r="C2329" s="266" t="s">
        <v>3475</v>
      </c>
      <c r="D2329" s="124" t="s">
        <v>3474</v>
      </c>
      <c r="E2329" s="125"/>
      <c r="F2329" s="118" t="s">
        <v>3441</v>
      </c>
      <c r="G2329" s="126" t="str">
        <f t="shared" si="144"/>
        <v>AR-C20P-1</v>
      </c>
      <c r="H2329" s="253">
        <v>1</v>
      </c>
      <c r="J2329" s="299" t="s">
        <v>286</v>
      </c>
      <c r="K2329" s="299"/>
      <c r="L2329" s="84">
        <v>1</v>
      </c>
      <c r="M2329" s="76">
        <v>1</v>
      </c>
      <c r="Q2329" s="84">
        <v>1</v>
      </c>
      <c r="R2329" s="76">
        <v>1</v>
      </c>
    </row>
    <row r="2330" spans="2:18" s="83" customFormat="1" ht="15" hidden="1" customHeight="1" outlineLevel="2">
      <c r="B2330" s="119" t="s">
        <v>272</v>
      </c>
      <c r="C2330" s="266" t="s">
        <v>3476</v>
      </c>
      <c r="D2330" s="124" t="s">
        <v>3474</v>
      </c>
      <c r="E2330" s="125"/>
      <c r="F2330" s="118" t="s">
        <v>3441</v>
      </c>
      <c r="G2330" s="126" t="str">
        <f t="shared" si="144"/>
        <v>AR-C20P-1</v>
      </c>
      <c r="H2330" s="253">
        <v>1</v>
      </c>
      <c r="J2330" s="299" t="s">
        <v>286</v>
      </c>
      <c r="K2330" s="299"/>
      <c r="L2330" s="84">
        <v>1</v>
      </c>
      <c r="M2330" s="76">
        <v>1</v>
      </c>
      <c r="Q2330" s="84">
        <v>1</v>
      </c>
      <c r="R2330" s="76">
        <v>1</v>
      </c>
    </row>
    <row r="2331" spans="2:18" s="99" customFormat="1" ht="15" hidden="1" customHeight="1" outlineLevel="2">
      <c r="B2331" s="119" t="s">
        <v>272</v>
      </c>
      <c r="C2331" s="266" t="s">
        <v>3477</v>
      </c>
      <c r="D2331" s="124" t="s">
        <v>3474</v>
      </c>
      <c r="E2331" s="125"/>
      <c r="F2331" s="118" t="s">
        <v>3441</v>
      </c>
      <c r="G2331" s="126" t="str">
        <f t="shared" si="144"/>
        <v>AR-C20P-1</v>
      </c>
      <c r="H2331" s="253">
        <v>1</v>
      </c>
      <c r="J2331" s="299" t="s">
        <v>286</v>
      </c>
      <c r="K2331" s="299"/>
      <c r="L2331" s="84">
        <v>1</v>
      </c>
      <c r="M2331" s="76">
        <v>1</v>
      </c>
      <c r="Q2331" s="84">
        <v>1</v>
      </c>
      <c r="R2331" s="76">
        <v>1</v>
      </c>
    </row>
    <row r="2332" spans="2:18" s="83" customFormat="1" ht="15" hidden="1" customHeight="1" outlineLevel="2">
      <c r="B2332" s="119" t="s">
        <v>272</v>
      </c>
      <c r="C2332" s="266" t="s">
        <v>3478</v>
      </c>
      <c r="D2332" s="124" t="s">
        <v>3474</v>
      </c>
      <c r="E2332" s="125"/>
      <c r="F2332" s="118" t="s">
        <v>3441</v>
      </c>
      <c r="G2332" s="126" t="str">
        <f t="shared" si="144"/>
        <v>AR-C20P-1</v>
      </c>
      <c r="H2332" s="253">
        <v>1</v>
      </c>
      <c r="J2332" s="299" t="s">
        <v>286</v>
      </c>
      <c r="K2332" s="299"/>
      <c r="L2332" s="84">
        <v>1</v>
      </c>
      <c r="M2332" s="76">
        <v>1</v>
      </c>
      <c r="Q2332" s="84">
        <v>1</v>
      </c>
      <c r="R2332" s="76">
        <v>1</v>
      </c>
    </row>
    <row r="2333" spans="2:18" s="83" customFormat="1" ht="15" hidden="1" customHeight="1" outlineLevel="2">
      <c r="B2333" s="119" t="s">
        <v>272</v>
      </c>
      <c r="C2333" s="266" t="s">
        <v>3479</v>
      </c>
      <c r="D2333" s="124" t="s">
        <v>3474</v>
      </c>
      <c r="E2333" s="125"/>
      <c r="F2333" s="118" t="s">
        <v>3441</v>
      </c>
      <c r="G2333" s="126" t="str">
        <f t="shared" si="144"/>
        <v>AR-C20P-1</v>
      </c>
      <c r="H2333" s="253">
        <v>1</v>
      </c>
      <c r="J2333" s="299" t="s">
        <v>286</v>
      </c>
      <c r="K2333" s="299"/>
      <c r="L2333" s="84">
        <v>1</v>
      </c>
      <c r="M2333" s="76">
        <v>1</v>
      </c>
      <c r="Q2333" s="84">
        <v>1</v>
      </c>
      <c r="R2333" s="76">
        <v>1</v>
      </c>
    </row>
    <row r="2334" spans="2:18" s="83" customFormat="1" ht="15" hidden="1" customHeight="1" outlineLevel="2">
      <c r="B2334" s="119" t="s">
        <v>272</v>
      </c>
      <c r="C2334" s="266" t="s">
        <v>3480</v>
      </c>
      <c r="D2334" s="124" t="s">
        <v>3481</v>
      </c>
      <c r="E2334" s="125"/>
      <c r="F2334" s="118" t="s">
        <v>3441</v>
      </c>
      <c r="G2334" s="126" t="str">
        <f t="shared" si="144"/>
        <v>AR-C20P-1</v>
      </c>
      <c r="H2334" s="253">
        <v>1</v>
      </c>
      <c r="J2334" s="299" t="s">
        <v>286</v>
      </c>
      <c r="K2334" s="299"/>
      <c r="L2334" s="84">
        <v>1</v>
      </c>
      <c r="M2334" s="76">
        <v>1</v>
      </c>
      <c r="Q2334" s="84">
        <v>1</v>
      </c>
      <c r="R2334" s="76">
        <v>1</v>
      </c>
    </row>
    <row r="2335" spans="2:18" s="83" customFormat="1" ht="15" hidden="1" customHeight="1" outlineLevel="2">
      <c r="B2335" s="119" t="s">
        <v>272</v>
      </c>
      <c r="C2335" s="266" t="s">
        <v>3482</v>
      </c>
      <c r="D2335" s="124" t="s">
        <v>3481</v>
      </c>
      <c r="E2335" s="125"/>
      <c r="F2335" s="118" t="s">
        <v>3441</v>
      </c>
      <c r="G2335" s="126" t="str">
        <f t="shared" si="144"/>
        <v>AR-C20P-1</v>
      </c>
      <c r="H2335" s="253">
        <v>1</v>
      </c>
      <c r="J2335" s="299" t="s">
        <v>286</v>
      </c>
      <c r="K2335" s="299"/>
      <c r="L2335" s="84">
        <v>1</v>
      </c>
      <c r="M2335" s="76">
        <v>1</v>
      </c>
      <c r="Q2335" s="84">
        <v>1</v>
      </c>
      <c r="R2335" s="76">
        <v>1</v>
      </c>
    </row>
    <row r="2336" spans="2:18" s="83" customFormat="1" ht="15" hidden="1" customHeight="1" outlineLevel="2">
      <c r="B2336" s="119" t="s">
        <v>272</v>
      </c>
      <c r="C2336" s="266" t="s">
        <v>3483</v>
      </c>
      <c r="D2336" s="124" t="s">
        <v>3481</v>
      </c>
      <c r="E2336" s="125"/>
      <c r="F2336" s="118" t="s">
        <v>3441</v>
      </c>
      <c r="G2336" s="126" t="str">
        <f t="shared" si="144"/>
        <v>AR-C20P-1</v>
      </c>
      <c r="H2336" s="253">
        <v>1</v>
      </c>
      <c r="J2336" s="299" t="s">
        <v>286</v>
      </c>
      <c r="K2336" s="299"/>
      <c r="L2336" s="84">
        <v>1</v>
      </c>
      <c r="M2336" s="76">
        <v>1</v>
      </c>
      <c r="Q2336" s="84">
        <v>1</v>
      </c>
      <c r="R2336" s="76">
        <v>1</v>
      </c>
    </row>
    <row r="2337" spans="2:18" s="83" customFormat="1" ht="15" hidden="1" customHeight="1" outlineLevel="2">
      <c r="B2337" s="119" t="s">
        <v>272</v>
      </c>
      <c r="C2337" s="266" t="s">
        <v>3484</v>
      </c>
      <c r="D2337" s="124" t="s">
        <v>3474</v>
      </c>
      <c r="E2337" s="125"/>
      <c r="F2337" s="118" t="s">
        <v>3441</v>
      </c>
      <c r="G2337" s="126" t="str">
        <f t="shared" si="144"/>
        <v>AR-C20P-1</v>
      </c>
      <c r="H2337" s="253">
        <v>1</v>
      </c>
      <c r="J2337" s="299" t="s">
        <v>286</v>
      </c>
      <c r="K2337" s="299"/>
      <c r="L2337" s="84">
        <v>1</v>
      </c>
      <c r="M2337" s="76">
        <v>1</v>
      </c>
      <c r="Q2337" s="84">
        <v>1</v>
      </c>
      <c r="R2337" s="76">
        <v>1</v>
      </c>
    </row>
    <row r="2338" spans="2:18" s="83" customFormat="1" ht="15" hidden="1" customHeight="1" outlineLevel="2">
      <c r="B2338" s="119" t="s">
        <v>272</v>
      </c>
      <c r="C2338" s="266" t="s">
        <v>3485</v>
      </c>
      <c r="D2338" s="124" t="s">
        <v>3474</v>
      </c>
      <c r="E2338" s="125"/>
      <c r="F2338" s="118" t="s">
        <v>3441</v>
      </c>
      <c r="G2338" s="126" t="str">
        <f t="shared" si="144"/>
        <v>AR-C20P-1</v>
      </c>
      <c r="H2338" s="253">
        <v>1</v>
      </c>
      <c r="J2338" s="299" t="s">
        <v>286</v>
      </c>
      <c r="K2338" s="299"/>
      <c r="L2338" s="84">
        <v>1</v>
      </c>
      <c r="M2338" s="76">
        <v>1</v>
      </c>
      <c r="Q2338" s="84">
        <v>1</v>
      </c>
      <c r="R2338" s="76">
        <v>1</v>
      </c>
    </row>
    <row r="2339" spans="2:18" s="83" customFormat="1" ht="15" hidden="1" customHeight="1" outlineLevel="2">
      <c r="B2339" s="119" t="s">
        <v>272</v>
      </c>
      <c r="C2339" s="266" t="s">
        <v>3486</v>
      </c>
      <c r="D2339" s="124" t="s">
        <v>3474</v>
      </c>
      <c r="E2339" s="125"/>
      <c r="F2339" s="118" t="s">
        <v>3441</v>
      </c>
      <c r="G2339" s="126" t="str">
        <f t="shared" si="144"/>
        <v>AR-C20P-1</v>
      </c>
      <c r="H2339" s="253">
        <v>1</v>
      </c>
      <c r="J2339" s="299" t="s">
        <v>286</v>
      </c>
      <c r="K2339" s="299"/>
      <c r="L2339" s="84">
        <v>1</v>
      </c>
      <c r="M2339" s="76">
        <v>1</v>
      </c>
      <c r="Q2339" s="84">
        <v>1</v>
      </c>
      <c r="R2339" s="76">
        <v>1</v>
      </c>
    </row>
    <row r="2340" spans="2:18" s="83" customFormat="1" ht="15" hidden="1" customHeight="1" outlineLevel="2">
      <c r="B2340" s="119" t="s">
        <v>272</v>
      </c>
      <c r="C2340" s="266" t="s">
        <v>3487</v>
      </c>
      <c r="D2340" s="124" t="s">
        <v>1434</v>
      </c>
      <c r="E2340" s="125"/>
      <c r="F2340" s="118" t="s">
        <v>3441</v>
      </c>
      <c r="G2340" s="126" t="str">
        <f t="shared" si="144"/>
        <v>AR-C20P-1</v>
      </c>
      <c r="H2340" s="253">
        <v>1</v>
      </c>
      <c r="J2340" s="299" t="s">
        <v>286</v>
      </c>
      <c r="K2340" s="299"/>
      <c r="L2340" s="84">
        <v>1</v>
      </c>
      <c r="M2340" s="76">
        <v>1</v>
      </c>
      <c r="Q2340" s="84">
        <v>1</v>
      </c>
      <c r="R2340" s="76">
        <v>1</v>
      </c>
    </row>
    <row r="2341" spans="2:18" s="83" customFormat="1" ht="15" hidden="1" customHeight="1" outlineLevel="2">
      <c r="B2341" s="119" t="s">
        <v>272</v>
      </c>
      <c r="C2341" s="266" t="s">
        <v>3488</v>
      </c>
      <c r="D2341" s="124" t="s">
        <v>3489</v>
      </c>
      <c r="E2341" s="125"/>
      <c r="F2341" s="118" t="s">
        <v>3441</v>
      </c>
      <c r="G2341" s="126" t="str">
        <f t="shared" si="144"/>
        <v>AR-C20P-1</v>
      </c>
      <c r="H2341" s="253">
        <v>1</v>
      </c>
      <c r="J2341" s="299" t="s">
        <v>286</v>
      </c>
      <c r="K2341" s="299"/>
      <c r="L2341" s="84">
        <v>1</v>
      </c>
      <c r="M2341" s="76">
        <v>1</v>
      </c>
      <c r="Q2341" s="84">
        <v>1</v>
      </c>
      <c r="R2341" s="76">
        <v>1</v>
      </c>
    </row>
    <row r="2342" spans="2:18" s="83" customFormat="1" ht="15" hidden="1" customHeight="1" outlineLevel="2">
      <c r="B2342" s="119" t="s">
        <v>272</v>
      </c>
      <c r="C2342" s="266" t="s">
        <v>3490</v>
      </c>
      <c r="D2342" s="124" t="s">
        <v>3491</v>
      </c>
      <c r="E2342" s="125"/>
      <c r="F2342" s="118" t="s">
        <v>3441</v>
      </c>
      <c r="G2342" s="126" t="str">
        <f t="shared" si="144"/>
        <v>AR-C20P-1</v>
      </c>
      <c r="H2342" s="253">
        <v>1</v>
      </c>
      <c r="I2342" s="76"/>
      <c r="J2342" s="299" t="s">
        <v>286</v>
      </c>
      <c r="K2342" s="299"/>
      <c r="L2342" s="84">
        <v>1</v>
      </c>
      <c r="M2342" s="76">
        <v>1</v>
      </c>
      <c r="Q2342" s="84">
        <v>1</v>
      </c>
      <c r="R2342" s="76">
        <v>1</v>
      </c>
    </row>
    <row r="2343" spans="2:18" s="83" customFormat="1" ht="15" hidden="1" customHeight="1" outlineLevel="2">
      <c r="B2343" s="119" t="s">
        <v>272</v>
      </c>
      <c r="C2343" s="266" t="s">
        <v>3492</v>
      </c>
      <c r="D2343" s="124" t="s">
        <v>3493</v>
      </c>
      <c r="E2343" s="125"/>
      <c r="F2343" s="118" t="s">
        <v>3441</v>
      </c>
      <c r="G2343" s="126" t="str">
        <f t="shared" si="144"/>
        <v>AR-C20P-1</v>
      </c>
      <c r="H2343" s="253">
        <v>1</v>
      </c>
      <c r="I2343" s="76"/>
      <c r="J2343" s="299" t="s">
        <v>286</v>
      </c>
      <c r="K2343" s="299"/>
      <c r="L2343" s="84">
        <v>1</v>
      </c>
      <c r="M2343" s="76">
        <v>1</v>
      </c>
      <c r="Q2343" s="84">
        <v>1</v>
      </c>
      <c r="R2343" s="76">
        <v>1</v>
      </c>
    </row>
    <row r="2344" spans="2:18" s="83" customFormat="1" ht="15" hidden="1" customHeight="1" outlineLevel="2">
      <c r="B2344" s="119" t="s">
        <v>272</v>
      </c>
      <c r="C2344" s="266" t="s">
        <v>3494</v>
      </c>
      <c r="D2344" s="124" t="s">
        <v>3495</v>
      </c>
      <c r="E2344" s="125"/>
      <c r="F2344" s="118" t="s">
        <v>3441</v>
      </c>
      <c r="G2344" s="126" t="str">
        <f t="shared" si="144"/>
        <v>AR-C20P-1</v>
      </c>
      <c r="H2344" s="253">
        <v>1</v>
      </c>
      <c r="I2344" s="76"/>
      <c r="J2344" s="299" t="s">
        <v>286</v>
      </c>
      <c r="K2344" s="299"/>
      <c r="L2344" s="84">
        <v>1</v>
      </c>
      <c r="M2344" s="76">
        <v>1</v>
      </c>
      <c r="Q2344" s="84">
        <v>1</v>
      </c>
      <c r="R2344" s="76">
        <v>1</v>
      </c>
    </row>
    <row r="2345" spans="2:18" s="83" customFormat="1" ht="15" hidden="1" customHeight="1" outlineLevel="2">
      <c r="B2345" s="119" t="s">
        <v>272</v>
      </c>
      <c r="C2345" s="266" t="s">
        <v>3496</v>
      </c>
      <c r="D2345" s="124" t="s">
        <v>3497</v>
      </c>
      <c r="E2345" s="125"/>
      <c r="F2345" s="118" t="s">
        <v>3441</v>
      </c>
      <c r="G2345" s="126" t="str">
        <f t="shared" si="144"/>
        <v>AR-C20P-1</v>
      </c>
      <c r="H2345" s="253">
        <v>1</v>
      </c>
      <c r="I2345" s="76"/>
      <c r="J2345" s="299" t="s">
        <v>286</v>
      </c>
      <c r="K2345" s="299"/>
      <c r="L2345" s="84">
        <v>1</v>
      </c>
      <c r="M2345" s="76">
        <v>1</v>
      </c>
      <c r="Q2345" s="84">
        <v>1</v>
      </c>
      <c r="R2345" s="76">
        <v>1</v>
      </c>
    </row>
    <row r="2346" spans="2:18" s="83" customFormat="1" ht="15" hidden="1" customHeight="1" outlineLevel="2">
      <c r="B2346" s="119" t="s">
        <v>272</v>
      </c>
      <c r="C2346" s="266" t="s">
        <v>3498</v>
      </c>
      <c r="D2346" s="124" t="s">
        <v>3499</v>
      </c>
      <c r="E2346" s="125"/>
      <c r="F2346" s="118" t="s">
        <v>3441</v>
      </c>
      <c r="G2346" s="126" t="str">
        <f t="shared" si="144"/>
        <v>AR-C20P-1</v>
      </c>
      <c r="H2346" s="253">
        <v>1</v>
      </c>
      <c r="J2346" s="299" t="s">
        <v>286</v>
      </c>
      <c r="K2346" s="299"/>
      <c r="L2346" s="84">
        <v>1</v>
      </c>
      <c r="M2346" s="76">
        <v>1</v>
      </c>
      <c r="Q2346" s="84">
        <v>1</v>
      </c>
      <c r="R2346" s="76">
        <v>1</v>
      </c>
    </row>
    <row r="2347" spans="2:18" s="83" customFormat="1" ht="15" hidden="1" customHeight="1" outlineLevel="2">
      <c r="B2347" s="119" t="s">
        <v>272</v>
      </c>
      <c r="C2347" s="266" t="s">
        <v>3500</v>
      </c>
      <c r="D2347" s="124" t="s">
        <v>3501</v>
      </c>
      <c r="E2347" s="125"/>
      <c r="F2347" s="118" t="s">
        <v>3441</v>
      </c>
      <c r="G2347" s="126" t="str">
        <f t="shared" si="144"/>
        <v>AR-C20P-1</v>
      </c>
      <c r="H2347" s="253">
        <v>1</v>
      </c>
      <c r="J2347" s="299" t="s">
        <v>286</v>
      </c>
      <c r="K2347" s="299"/>
      <c r="L2347" s="84">
        <v>1</v>
      </c>
      <c r="M2347" s="76">
        <v>1</v>
      </c>
      <c r="Q2347" s="84">
        <v>1</v>
      </c>
      <c r="R2347" s="76">
        <v>1</v>
      </c>
    </row>
    <row r="2348" spans="2:18" s="83" customFormat="1" ht="15" hidden="1" customHeight="1" outlineLevel="2">
      <c r="B2348" s="119" t="s">
        <v>272</v>
      </c>
      <c r="C2348" s="266" t="s">
        <v>3502</v>
      </c>
      <c r="D2348" s="124" t="s">
        <v>3503</v>
      </c>
      <c r="E2348" s="125"/>
      <c r="F2348" s="118" t="s">
        <v>3441</v>
      </c>
      <c r="G2348" s="126" t="str">
        <f t="shared" si="144"/>
        <v>AR-C20P-1</v>
      </c>
      <c r="H2348" s="253">
        <v>1</v>
      </c>
      <c r="J2348" s="299" t="s">
        <v>286</v>
      </c>
      <c r="K2348" s="299"/>
      <c r="L2348" s="84">
        <v>1</v>
      </c>
      <c r="M2348" s="76">
        <v>1</v>
      </c>
      <c r="Q2348" s="84">
        <v>1</v>
      </c>
      <c r="R2348" s="76">
        <v>1</v>
      </c>
    </row>
    <row r="2349" spans="2:18" s="83" customFormat="1" ht="15" hidden="1" customHeight="1" outlineLevel="2">
      <c r="B2349" s="119" t="s">
        <v>272</v>
      </c>
      <c r="C2349" s="266" t="s">
        <v>3504</v>
      </c>
      <c r="D2349" s="124" t="s">
        <v>3505</v>
      </c>
      <c r="E2349" s="125"/>
      <c r="F2349" s="118" t="s">
        <v>3441</v>
      </c>
      <c r="G2349" s="126" t="str">
        <f t="shared" si="144"/>
        <v>AR-C20P-1</v>
      </c>
      <c r="H2349" s="253">
        <v>1</v>
      </c>
      <c r="J2349" s="299" t="s">
        <v>286</v>
      </c>
      <c r="K2349" s="299"/>
      <c r="L2349" s="84">
        <v>1</v>
      </c>
      <c r="M2349" s="76">
        <v>1</v>
      </c>
      <c r="Q2349" s="84">
        <v>1</v>
      </c>
      <c r="R2349" s="76">
        <v>1</v>
      </c>
    </row>
    <row r="2350" spans="2:18" s="83" customFormat="1" ht="15" hidden="1" customHeight="1" outlineLevel="2">
      <c r="B2350" s="119" t="s">
        <v>272</v>
      </c>
      <c r="C2350" s="266" t="s">
        <v>3506</v>
      </c>
      <c r="D2350" s="124" t="s">
        <v>3507</v>
      </c>
      <c r="E2350" s="125"/>
      <c r="F2350" s="118" t="s">
        <v>3441</v>
      </c>
      <c r="G2350" s="126" t="str">
        <f t="shared" si="144"/>
        <v>AR-C20P-1</v>
      </c>
      <c r="H2350" s="253">
        <v>1</v>
      </c>
      <c r="J2350" s="299" t="s">
        <v>286</v>
      </c>
      <c r="K2350" s="299"/>
      <c r="L2350" s="84">
        <v>1</v>
      </c>
      <c r="M2350" s="76">
        <v>1</v>
      </c>
      <c r="Q2350" s="84">
        <v>1</v>
      </c>
      <c r="R2350" s="76">
        <v>1</v>
      </c>
    </row>
    <row r="2351" spans="2:18" s="83" customFormat="1" ht="15" hidden="1" customHeight="1" outlineLevel="2">
      <c r="B2351" s="119" t="s">
        <v>272</v>
      </c>
      <c r="C2351" s="266" t="s">
        <v>3508</v>
      </c>
      <c r="D2351" s="124" t="s">
        <v>3509</v>
      </c>
      <c r="E2351" s="125"/>
      <c r="F2351" s="118" t="s">
        <v>3441</v>
      </c>
      <c r="G2351" s="126" t="str">
        <f t="shared" si="144"/>
        <v>AR-C20P-1</v>
      </c>
      <c r="H2351" s="253">
        <v>1</v>
      </c>
      <c r="J2351" s="299" t="s">
        <v>286</v>
      </c>
      <c r="K2351" s="299"/>
      <c r="L2351" s="84">
        <v>1</v>
      </c>
      <c r="M2351" s="76">
        <v>1</v>
      </c>
      <c r="Q2351" s="84">
        <v>1</v>
      </c>
      <c r="R2351" s="76">
        <v>1</v>
      </c>
    </row>
    <row r="2352" spans="2:18" s="83" customFormat="1" ht="15" hidden="1" customHeight="1" outlineLevel="2">
      <c r="B2352" s="119" t="s">
        <v>272</v>
      </c>
      <c r="C2352" s="266" t="s">
        <v>3510</v>
      </c>
      <c r="D2352" s="124" t="s">
        <v>3509</v>
      </c>
      <c r="E2352" s="125"/>
      <c r="F2352" s="118" t="s">
        <v>3441</v>
      </c>
      <c r="G2352" s="126" t="str">
        <f t="shared" si="144"/>
        <v>AR-C20P-1</v>
      </c>
      <c r="H2352" s="253">
        <v>1</v>
      </c>
      <c r="J2352" s="299" t="s">
        <v>286</v>
      </c>
      <c r="K2352" s="299"/>
      <c r="L2352" s="84">
        <v>1</v>
      </c>
      <c r="M2352" s="76">
        <v>1</v>
      </c>
      <c r="Q2352" s="84">
        <v>1</v>
      </c>
      <c r="R2352" s="76">
        <v>1</v>
      </c>
    </row>
    <row r="2353" spans="2:18" s="83" customFormat="1" ht="15" hidden="1" customHeight="1" outlineLevel="2">
      <c r="B2353" s="119" t="s">
        <v>272</v>
      </c>
      <c r="C2353" s="266" t="s">
        <v>3511</v>
      </c>
      <c r="D2353" s="124" t="s">
        <v>3509</v>
      </c>
      <c r="E2353" s="125"/>
      <c r="F2353" s="118" t="s">
        <v>3441</v>
      </c>
      <c r="G2353" s="126" t="str">
        <f t="shared" si="144"/>
        <v>AR-C20P-1</v>
      </c>
      <c r="H2353" s="253">
        <v>1</v>
      </c>
      <c r="J2353" s="299" t="s">
        <v>286</v>
      </c>
      <c r="K2353" s="299"/>
      <c r="L2353" s="84">
        <v>1</v>
      </c>
      <c r="M2353" s="76">
        <v>1</v>
      </c>
      <c r="Q2353" s="84">
        <v>1</v>
      </c>
      <c r="R2353" s="76">
        <v>1</v>
      </c>
    </row>
    <row r="2354" spans="2:18" s="83" customFormat="1" ht="15" hidden="1" customHeight="1" outlineLevel="2">
      <c r="B2354" s="119" t="s">
        <v>272</v>
      </c>
      <c r="C2354" s="266" t="s">
        <v>3512</v>
      </c>
      <c r="D2354" s="124" t="s">
        <v>3513</v>
      </c>
      <c r="E2354" s="125"/>
      <c r="F2354" s="118" t="s">
        <v>3441</v>
      </c>
      <c r="G2354" s="126" t="str">
        <f t="shared" si="144"/>
        <v>AR-C20P-1</v>
      </c>
      <c r="H2354" s="253">
        <v>1</v>
      </c>
      <c r="J2354" s="299" t="s">
        <v>286</v>
      </c>
      <c r="K2354" s="299"/>
      <c r="L2354" s="84">
        <v>1</v>
      </c>
      <c r="M2354" s="76">
        <v>1</v>
      </c>
      <c r="Q2354" s="84">
        <v>1</v>
      </c>
      <c r="R2354" s="76">
        <v>1</v>
      </c>
    </row>
    <row r="2355" spans="2:18" s="83" customFormat="1" ht="15" hidden="1" customHeight="1" outlineLevel="2">
      <c r="B2355" s="119" t="s">
        <v>272</v>
      </c>
      <c r="C2355" s="266" t="s">
        <v>3514</v>
      </c>
      <c r="D2355" s="124" t="s">
        <v>3513</v>
      </c>
      <c r="E2355" s="125"/>
      <c r="F2355" s="118" t="s">
        <v>3441</v>
      </c>
      <c r="G2355" s="126" t="str">
        <f t="shared" ref="G2355:G2360" si="145">CONCATENATE("AR-",F2355,"-",H2355)</f>
        <v>AR-C20P-1</v>
      </c>
      <c r="H2355" s="253">
        <v>1</v>
      </c>
      <c r="J2355" s="299" t="s">
        <v>286</v>
      </c>
      <c r="K2355" s="299"/>
      <c r="L2355" s="84">
        <v>1</v>
      </c>
      <c r="M2355" s="76">
        <v>1</v>
      </c>
      <c r="Q2355" s="84">
        <v>1</v>
      </c>
      <c r="R2355" s="76">
        <v>1</v>
      </c>
    </row>
    <row r="2356" spans="2:18" s="83" customFormat="1" ht="15" hidden="1" customHeight="1" outlineLevel="2">
      <c r="B2356" s="119" t="s">
        <v>272</v>
      </c>
      <c r="C2356" s="266" t="s">
        <v>3515</v>
      </c>
      <c r="D2356" s="124" t="s">
        <v>3513</v>
      </c>
      <c r="E2356" s="125"/>
      <c r="F2356" s="118" t="s">
        <v>3441</v>
      </c>
      <c r="G2356" s="126" t="str">
        <f t="shared" si="145"/>
        <v>AR-C20P-1</v>
      </c>
      <c r="H2356" s="253">
        <v>1</v>
      </c>
      <c r="J2356" s="299" t="s">
        <v>286</v>
      </c>
      <c r="K2356" s="299"/>
      <c r="L2356" s="84">
        <v>1</v>
      </c>
      <c r="M2356" s="76">
        <v>1</v>
      </c>
      <c r="Q2356" s="84">
        <v>1</v>
      </c>
      <c r="R2356" s="76">
        <v>1</v>
      </c>
    </row>
    <row r="2357" spans="2:18" s="83" customFormat="1" ht="15" hidden="1" customHeight="1" outlineLevel="2">
      <c r="B2357" s="119" t="s">
        <v>272</v>
      </c>
      <c r="C2357" s="266" t="s">
        <v>3516</v>
      </c>
      <c r="D2357" s="124" t="s">
        <v>3513</v>
      </c>
      <c r="E2357" s="125"/>
      <c r="F2357" s="118" t="s">
        <v>3441</v>
      </c>
      <c r="G2357" s="126" t="str">
        <f t="shared" si="145"/>
        <v>AR-C20P-1</v>
      </c>
      <c r="H2357" s="253">
        <v>1</v>
      </c>
      <c r="J2357" s="299" t="s">
        <v>286</v>
      </c>
      <c r="K2357" s="299"/>
      <c r="L2357" s="84">
        <v>1</v>
      </c>
      <c r="M2357" s="76">
        <v>1</v>
      </c>
      <c r="Q2357" s="84">
        <v>1</v>
      </c>
      <c r="R2357" s="76">
        <v>1</v>
      </c>
    </row>
    <row r="2358" spans="2:18" s="83" customFormat="1" ht="15" hidden="1" customHeight="1" outlineLevel="2">
      <c r="B2358" s="119" t="s">
        <v>272</v>
      </c>
      <c r="C2358" s="266" t="s">
        <v>3517</v>
      </c>
      <c r="D2358" s="124" t="s">
        <v>3518</v>
      </c>
      <c r="E2358" s="125"/>
      <c r="F2358" s="118" t="s">
        <v>3441</v>
      </c>
      <c r="G2358" s="126" t="str">
        <f t="shared" si="145"/>
        <v>AR-C20P-1</v>
      </c>
      <c r="H2358" s="253">
        <v>1</v>
      </c>
      <c r="J2358" s="299" t="s">
        <v>286</v>
      </c>
      <c r="K2358" s="299"/>
      <c r="L2358" s="84">
        <v>1</v>
      </c>
      <c r="M2358" s="76">
        <v>1</v>
      </c>
      <c r="Q2358" s="84">
        <v>1</v>
      </c>
      <c r="R2358" s="76">
        <v>1</v>
      </c>
    </row>
    <row r="2359" spans="2:18" s="83" customFormat="1" ht="15" hidden="1" customHeight="1" outlineLevel="2">
      <c r="B2359" s="119" t="s">
        <v>272</v>
      </c>
      <c r="C2359" s="266" t="s">
        <v>3519</v>
      </c>
      <c r="D2359" s="124" t="s">
        <v>3520</v>
      </c>
      <c r="E2359" s="125"/>
      <c r="F2359" s="118" t="s">
        <v>3441</v>
      </c>
      <c r="G2359" s="126" t="str">
        <f t="shared" si="145"/>
        <v>AR-C20P-1</v>
      </c>
      <c r="H2359" s="253">
        <v>1</v>
      </c>
      <c r="J2359" s="299" t="s">
        <v>286</v>
      </c>
      <c r="K2359" s="299"/>
      <c r="L2359" s="84">
        <v>1</v>
      </c>
      <c r="M2359" s="76">
        <v>1</v>
      </c>
      <c r="Q2359" s="84">
        <v>1</v>
      </c>
      <c r="R2359" s="76">
        <v>1</v>
      </c>
    </row>
    <row r="2360" spans="2:18" s="83" customFormat="1" ht="15" hidden="1" customHeight="1" outlineLevel="2">
      <c r="B2360" s="119" t="s">
        <v>272</v>
      </c>
      <c r="C2360" s="266" t="s">
        <v>3521</v>
      </c>
      <c r="D2360" s="124" t="s">
        <v>3522</v>
      </c>
      <c r="E2360" s="125"/>
      <c r="F2360" s="118" t="s">
        <v>3441</v>
      </c>
      <c r="G2360" s="126" t="str">
        <f t="shared" si="145"/>
        <v>AR-C20P-1</v>
      </c>
      <c r="H2360" s="253">
        <v>1</v>
      </c>
      <c r="J2360" s="299" t="s">
        <v>286</v>
      </c>
      <c r="K2360" s="299"/>
      <c r="L2360" s="84">
        <v>1</v>
      </c>
      <c r="M2360" s="76">
        <v>1</v>
      </c>
      <c r="Q2360" s="84">
        <v>1</v>
      </c>
      <c r="R2360" s="76">
        <v>1</v>
      </c>
    </row>
    <row r="2361" spans="2:18" s="83" customFormat="1" ht="15" hidden="1" customHeight="1" outlineLevel="2">
      <c r="B2361" s="119" t="s">
        <v>272</v>
      </c>
      <c r="C2361" s="266" t="s">
        <v>3523</v>
      </c>
      <c r="D2361" s="124" t="s">
        <v>3524</v>
      </c>
      <c r="E2361" s="125"/>
      <c r="F2361" s="118" t="s">
        <v>3441</v>
      </c>
      <c r="G2361" s="126" t="str">
        <f>CONCATENATE("AR-",F2361,"-",H2361)</f>
        <v>AR-C20P-1</v>
      </c>
      <c r="H2361" s="253">
        <v>1</v>
      </c>
      <c r="J2361" s="299" t="s">
        <v>286</v>
      </c>
      <c r="K2361" s="299"/>
      <c r="L2361" s="84">
        <v>1</v>
      </c>
      <c r="M2361" s="76">
        <v>1</v>
      </c>
      <c r="Q2361" s="84">
        <v>1</v>
      </c>
      <c r="R2361" s="76">
        <v>1</v>
      </c>
    </row>
    <row r="2362" spans="2:18" s="83" customFormat="1" ht="15" hidden="1" customHeight="1" outlineLevel="2">
      <c r="B2362" s="119" t="s">
        <v>272</v>
      </c>
      <c r="C2362" s="266" t="s">
        <v>3525</v>
      </c>
      <c r="D2362" s="124" t="s">
        <v>3526</v>
      </c>
      <c r="E2362" s="125"/>
      <c r="F2362" s="118" t="s">
        <v>3441</v>
      </c>
      <c r="G2362" s="126" t="str">
        <f>CONCATENATE("AR-",F2362,"-",H2362)</f>
        <v>AR-C20P-1</v>
      </c>
      <c r="H2362" s="253">
        <v>1</v>
      </c>
      <c r="J2362" s="299" t="s">
        <v>286</v>
      </c>
      <c r="K2362" s="299"/>
      <c r="L2362" s="84">
        <v>1</v>
      </c>
      <c r="M2362" s="76">
        <v>1</v>
      </c>
      <c r="Q2362" s="84">
        <v>1</v>
      </c>
      <c r="R2362" s="76">
        <v>1</v>
      </c>
    </row>
    <row r="2363" spans="2:18" s="83" customFormat="1" ht="15" hidden="1" customHeight="1" outlineLevel="2">
      <c r="B2363" s="119" t="s">
        <v>272</v>
      </c>
      <c r="C2363" s="266" t="s">
        <v>3527</v>
      </c>
      <c r="D2363" s="124" t="s">
        <v>3528</v>
      </c>
      <c r="E2363" s="125"/>
      <c r="F2363" s="118" t="s">
        <v>3441</v>
      </c>
      <c r="G2363" s="126" t="str">
        <f>CONCATENATE("AR-",F2363,"-",H2363)</f>
        <v>AR-C20P-1</v>
      </c>
      <c r="H2363" s="253">
        <v>1</v>
      </c>
      <c r="J2363" s="299" t="s">
        <v>286</v>
      </c>
      <c r="K2363" s="299"/>
      <c r="L2363" s="84">
        <v>1</v>
      </c>
      <c r="M2363" s="76">
        <v>1</v>
      </c>
      <c r="Q2363" s="84">
        <v>1</v>
      </c>
      <c r="R2363" s="76">
        <v>1</v>
      </c>
    </row>
    <row r="2364" spans="2:18" s="83" customFormat="1" ht="15" hidden="1" customHeight="1" outlineLevel="2">
      <c r="B2364" s="119" t="s">
        <v>272</v>
      </c>
      <c r="C2364" s="266" t="s">
        <v>3529</v>
      </c>
      <c r="D2364" s="124" t="s">
        <v>3530</v>
      </c>
      <c r="E2364" s="125"/>
      <c r="F2364" s="118" t="s">
        <v>3441</v>
      </c>
      <c r="G2364" s="126" t="str">
        <f t="shared" ref="G2364:G2383" si="146">CONCATENATE("AR-",F2364,"-",H2364)</f>
        <v>AR-C20P-1</v>
      </c>
      <c r="H2364" s="253">
        <v>1</v>
      </c>
      <c r="J2364" s="299" t="s">
        <v>286</v>
      </c>
      <c r="K2364" s="299"/>
      <c r="L2364" s="84">
        <v>1</v>
      </c>
      <c r="M2364" s="76">
        <v>1</v>
      </c>
      <c r="Q2364" s="84">
        <v>1</v>
      </c>
      <c r="R2364" s="76">
        <v>1</v>
      </c>
    </row>
    <row r="2365" spans="2:18" s="83" customFormat="1" ht="15" hidden="1" customHeight="1" outlineLevel="2">
      <c r="B2365" s="119" t="s">
        <v>272</v>
      </c>
      <c r="C2365" s="266" t="s">
        <v>3531</v>
      </c>
      <c r="D2365" s="124" t="s">
        <v>3532</v>
      </c>
      <c r="E2365" s="125"/>
      <c r="F2365" s="118" t="s">
        <v>3441</v>
      </c>
      <c r="G2365" s="126" t="str">
        <f t="shared" si="146"/>
        <v>AR-C20P-1</v>
      </c>
      <c r="H2365" s="253">
        <v>1</v>
      </c>
      <c r="J2365" s="299" t="s">
        <v>286</v>
      </c>
      <c r="K2365" s="299"/>
      <c r="L2365" s="84">
        <v>1</v>
      </c>
      <c r="M2365" s="76">
        <v>1</v>
      </c>
      <c r="Q2365" s="84">
        <v>1</v>
      </c>
      <c r="R2365" s="76">
        <v>1</v>
      </c>
    </row>
    <row r="2366" spans="2:18" s="83" customFormat="1" ht="15" hidden="1" customHeight="1" outlineLevel="2">
      <c r="B2366" s="119" t="s">
        <v>272</v>
      </c>
      <c r="C2366" s="266" t="s">
        <v>3533</v>
      </c>
      <c r="D2366" s="124" t="s">
        <v>3534</v>
      </c>
      <c r="E2366" s="125"/>
      <c r="F2366" s="118" t="s">
        <v>3441</v>
      </c>
      <c r="G2366" s="126" t="str">
        <f t="shared" si="146"/>
        <v>AR-C20P-1</v>
      </c>
      <c r="H2366" s="253">
        <v>1</v>
      </c>
      <c r="J2366" s="299" t="s">
        <v>286</v>
      </c>
      <c r="K2366" s="299"/>
      <c r="L2366" s="84">
        <v>1</v>
      </c>
      <c r="M2366" s="76">
        <v>1</v>
      </c>
      <c r="Q2366" s="84">
        <v>1</v>
      </c>
      <c r="R2366" s="76">
        <v>1</v>
      </c>
    </row>
    <row r="2367" spans="2:18" s="83" customFormat="1" ht="15" hidden="1" customHeight="1" outlineLevel="2">
      <c r="B2367" s="119" t="s">
        <v>272</v>
      </c>
      <c r="C2367" s="266" t="s">
        <v>3535</v>
      </c>
      <c r="D2367" s="124" t="s">
        <v>3536</v>
      </c>
      <c r="E2367" s="125"/>
      <c r="F2367" s="118" t="s">
        <v>3441</v>
      </c>
      <c r="G2367" s="126" t="str">
        <f t="shared" si="146"/>
        <v>AR-C20P-1</v>
      </c>
      <c r="H2367" s="253">
        <v>1</v>
      </c>
      <c r="J2367" s="299" t="s">
        <v>286</v>
      </c>
      <c r="K2367" s="299"/>
      <c r="L2367" s="84">
        <v>1</v>
      </c>
      <c r="M2367" s="76">
        <v>1</v>
      </c>
      <c r="Q2367" s="84">
        <v>1</v>
      </c>
      <c r="R2367" s="76">
        <v>1</v>
      </c>
    </row>
    <row r="2368" spans="2:18" s="83" customFormat="1" ht="15" hidden="1" customHeight="1" outlineLevel="2">
      <c r="B2368" s="119" t="s">
        <v>272</v>
      </c>
      <c r="C2368" s="266" t="s">
        <v>3537</v>
      </c>
      <c r="D2368" s="124" t="s">
        <v>3538</v>
      </c>
      <c r="E2368" s="125"/>
      <c r="F2368" s="118" t="s">
        <v>3441</v>
      </c>
      <c r="G2368" s="126" t="str">
        <f t="shared" si="146"/>
        <v>AR-C20P-1</v>
      </c>
      <c r="H2368" s="253">
        <v>1</v>
      </c>
      <c r="J2368" s="299" t="s">
        <v>286</v>
      </c>
      <c r="K2368" s="299"/>
      <c r="L2368" s="84">
        <v>1</v>
      </c>
      <c r="M2368" s="76">
        <v>1</v>
      </c>
      <c r="Q2368" s="84">
        <v>1</v>
      </c>
      <c r="R2368" s="76">
        <v>1</v>
      </c>
    </row>
    <row r="2369" spans="2:18" s="83" customFormat="1" ht="15" hidden="1" customHeight="1" outlineLevel="2">
      <c r="B2369" s="119" t="s">
        <v>272</v>
      </c>
      <c r="C2369" s="266" t="s">
        <v>3539</v>
      </c>
      <c r="D2369" s="124" t="s">
        <v>3540</v>
      </c>
      <c r="E2369" s="125"/>
      <c r="F2369" s="118" t="s">
        <v>3441</v>
      </c>
      <c r="G2369" s="126" t="str">
        <f t="shared" si="146"/>
        <v>AR-C20P-1</v>
      </c>
      <c r="H2369" s="253">
        <v>1</v>
      </c>
      <c r="J2369" s="299" t="s">
        <v>286</v>
      </c>
      <c r="K2369" s="299"/>
      <c r="L2369" s="84">
        <v>1</v>
      </c>
      <c r="M2369" s="76">
        <v>1</v>
      </c>
      <c r="Q2369" s="84">
        <v>1</v>
      </c>
      <c r="R2369" s="76">
        <v>1</v>
      </c>
    </row>
    <row r="2370" spans="2:18" s="83" customFormat="1" ht="15" hidden="1" customHeight="1" outlineLevel="2">
      <c r="B2370" s="119" t="s">
        <v>272</v>
      </c>
      <c r="C2370" s="266" t="s">
        <v>3541</v>
      </c>
      <c r="D2370" s="124" t="s">
        <v>3542</v>
      </c>
      <c r="E2370" s="125"/>
      <c r="F2370" s="118" t="s">
        <v>3441</v>
      </c>
      <c r="G2370" s="126" t="str">
        <f t="shared" si="146"/>
        <v>AR-C20P-1</v>
      </c>
      <c r="H2370" s="253">
        <v>1</v>
      </c>
      <c r="J2370" s="299" t="s">
        <v>286</v>
      </c>
      <c r="K2370" s="299"/>
      <c r="L2370" s="84">
        <v>1</v>
      </c>
      <c r="M2370" s="76">
        <v>1</v>
      </c>
      <c r="Q2370" s="84">
        <v>1</v>
      </c>
      <c r="R2370" s="76">
        <v>1</v>
      </c>
    </row>
    <row r="2371" spans="2:18" s="83" customFormat="1" ht="15" hidden="1" customHeight="1" outlineLevel="2">
      <c r="B2371" s="119" t="s">
        <v>272</v>
      </c>
      <c r="C2371" s="266" t="s">
        <v>3543</v>
      </c>
      <c r="D2371" s="124" t="s">
        <v>3544</v>
      </c>
      <c r="E2371" s="125"/>
      <c r="F2371" s="118" t="s">
        <v>3441</v>
      </c>
      <c r="G2371" s="126" t="str">
        <f t="shared" si="146"/>
        <v>AR-C20P-1</v>
      </c>
      <c r="H2371" s="253">
        <v>1</v>
      </c>
      <c r="J2371" s="299" t="s">
        <v>286</v>
      </c>
      <c r="K2371" s="299"/>
      <c r="L2371" s="84">
        <v>1</v>
      </c>
      <c r="M2371" s="76">
        <v>1</v>
      </c>
      <c r="Q2371" s="84">
        <v>1</v>
      </c>
      <c r="R2371" s="76">
        <v>1</v>
      </c>
    </row>
    <row r="2372" spans="2:18" s="83" customFormat="1" ht="15" hidden="1" customHeight="1" outlineLevel="2">
      <c r="B2372" s="119" t="s">
        <v>272</v>
      </c>
      <c r="C2372" s="266" t="s">
        <v>3545</v>
      </c>
      <c r="D2372" s="124" t="s">
        <v>3546</v>
      </c>
      <c r="E2372" s="125"/>
      <c r="F2372" s="118" t="s">
        <v>3441</v>
      </c>
      <c r="G2372" s="126" t="str">
        <f t="shared" si="146"/>
        <v>AR-C20P-1</v>
      </c>
      <c r="H2372" s="253">
        <v>1</v>
      </c>
      <c r="J2372" s="299" t="s">
        <v>286</v>
      </c>
      <c r="K2372" s="299"/>
      <c r="L2372" s="84">
        <v>1</v>
      </c>
      <c r="M2372" s="76">
        <v>1</v>
      </c>
      <c r="Q2372" s="84">
        <v>1</v>
      </c>
      <c r="R2372" s="76">
        <v>1</v>
      </c>
    </row>
    <row r="2373" spans="2:18" s="83" customFormat="1" ht="15" hidden="1" customHeight="1" outlineLevel="2">
      <c r="B2373" s="119" t="s">
        <v>272</v>
      </c>
      <c r="C2373" s="266" t="s">
        <v>3547</v>
      </c>
      <c r="D2373" s="124" t="s">
        <v>3548</v>
      </c>
      <c r="E2373" s="125"/>
      <c r="F2373" s="118" t="s">
        <v>3441</v>
      </c>
      <c r="G2373" s="126" t="str">
        <f t="shared" si="146"/>
        <v>AR-C20P-1</v>
      </c>
      <c r="H2373" s="253">
        <v>1</v>
      </c>
      <c r="J2373" s="299" t="s">
        <v>286</v>
      </c>
      <c r="K2373" s="299"/>
      <c r="L2373" s="84">
        <v>1</v>
      </c>
      <c r="M2373" s="76">
        <v>1</v>
      </c>
      <c r="Q2373" s="84">
        <v>1</v>
      </c>
      <c r="R2373" s="76">
        <v>1</v>
      </c>
    </row>
    <row r="2374" spans="2:18" s="83" customFormat="1" ht="15" hidden="1" customHeight="1" outlineLevel="2">
      <c r="B2374" s="119" t="s">
        <v>272</v>
      </c>
      <c r="C2374" s="266" t="s">
        <v>3549</v>
      </c>
      <c r="D2374" s="124" t="s">
        <v>3550</v>
      </c>
      <c r="E2374" s="125"/>
      <c r="F2374" s="118" t="s">
        <v>3441</v>
      </c>
      <c r="G2374" s="126" t="str">
        <f t="shared" si="146"/>
        <v>AR-C20P-1</v>
      </c>
      <c r="H2374" s="253">
        <v>1</v>
      </c>
      <c r="J2374" s="299" t="s">
        <v>286</v>
      </c>
      <c r="K2374" s="299"/>
      <c r="L2374" s="84">
        <v>1</v>
      </c>
      <c r="M2374" s="76">
        <v>1</v>
      </c>
      <c r="Q2374" s="84">
        <v>1</v>
      </c>
      <c r="R2374" s="76">
        <v>1</v>
      </c>
    </row>
    <row r="2375" spans="2:18" s="83" customFormat="1" ht="15" hidden="1" customHeight="1" outlineLevel="2">
      <c r="B2375" s="119" t="s">
        <v>272</v>
      </c>
      <c r="C2375" s="266" t="s">
        <v>3551</v>
      </c>
      <c r="D2375" s="124" t="s">
        <v>3552</v>
      </c>
      <c r="E2375" s="125"/>
      <c r="F2375" s="118" t="s">
        <v>3441</v>
      </c>
      <c r="G2375" s="126" t="str">
        <f t="shared" si="146"/>
        <v>AR-C20P-1</v>
      </c>
      <c r="H2375" s="253">
        <v>1</v>
      </c>
      <c r="J2375" s="299" t="s">
        <v>286</v>
      </c>
      <c r="K2375" s="299"/>
      <c r="L2375" s="84">
        <v>1</v>
      </c>
      <c r="M2375" s="76">
        <v>1</v>
      </c>
      <c r="Q2375" s="84">
        <v>1</v>
      </c>
      <c r="R2375" s="76">
        <v>1</v>
      </c>
    </row>
    <row r="2376" spans="2:18" s="83" customFormat="1" ht="15" hidden="1" customHeight="1" outlineLevel="2">
      <c r="B2376" s="119" t="s">
        <v>272</v>
      </c>
      <c r="C2376" s="266" t="s">
        <v>3553</v>
      </c>
      <c r="D2376" s="124" t="s">
        <v>1445</v>
      </c>
      <c r="E2376" s="125"/>
      <c r="F2376" s="118" t="s">
        <v>3441</v>
      </c>
      <c r="G2376" s="126" t="str">
        <f t="shared" si="146"/>
        <v>AR-C20P-1</v>
      </c>
      <c r="H2376" s="253">
        <v>1</v>
      </c>
      <c r="J2376" s="299" t="s">
        <v>286</v>
      </c>
      <c r="K2376" s="299"/>
      <c r="L2376" s="84">
        <v>1</v>
      </c>
      <c r="M2376" s="76">
        <v>1</v>
      </c>
      <c r="Q2376" s="84">
        <v>1</v>
      </c>
      <c r="R2376" s="76">
        <v>1</v>
      </c>
    </row>
    <row r="2377" spans="2:18" s="83" customFormat="1" ht="15" hidden="1" customHeight="1" outlineLevel="2">
      <c r="B2377" s="119" t="s">
        <v>272</v>
      </c>
      <c r="C2377" s="266" t="s">
        <v>3554</v>
      </c>
      <c r="D2377" s="124" t="s">
        <v>3555</v>
      </c>
      <c r="E2377" s="125"/>
      <c r="F2377" s="118" t="s">
        <v>3441</v>
      </c>
      <c r="G2377" s="126" t="str">
        <f t="shared" si="146"/>
        <v>AR-C20P-1</v>
      </c>
      <c r="H2377" s="253">
        <v>1</v>
      </c>
      <c r="J2377" s="299" t="s">
        <v>286</v>
      </c>
      <c r="K2377" s="299"/>
      <c r="L2377" s="84">
        <v>1</v>
      </c>
      <c r="M2377" s="76">
        <v>1</v>
      </c>
      <c r="Q2377" s="84">
        <v>1</v>
      </c>
      <c r="R2377" s="76">
        <v>1</v>
      </c>
    </row>
    <row r="2378" spans="2:18" s="83" customFormat="1" ht="15" hidden="1" customHeight="1" outlineLevel="2">
      <c r="B2378" s="119" t="s">
        <v>272</v>
      </c>
      <c r="C2378" s="266" t="s">
        <v>3556</v>
      </c>
      <c r="D2378" s="124" t="s">
        <v>3557</v>
      </c>
      <c r="E2378" s="125"/>
      <c r="F2378" s="118" t="s">
        <v>3441</v>
      </c>
      <c r="G2378" s="126" t="str">
        <f t="shared" si="146"/>
        <v>AR-C20P-1</v>
      </c>
      <c r="H2378" s="253">
        <v>1</v>
      </c>
      <c r="J2378" s="299" t="s">
        <v>286</v>
      </c>
      <c r="K2378" s="299"/>
      <c r="L2378" s="84">
        <v>1</v>
      </c>
      <c r="M2378" s="76">
        <v>1</v>
      </c>
      <c r="Q2378" s="84">
        <v>1</v>
      </c>
      <c r="R2378" s="76">
        <v>1</v>
      </c>
    </row>
    <row r="2379" spans="2:18" s="83" customFormat="1" ht="15" hidden="1" customHeight="1" outlineLevel="2">
      <c r="B2379" s="119" t="s">
        <v>272</v>
      </c>
      <c r="C2379" s="266" t="s">
        <v>3558</v>
      </c>
      <c r="D2379" s="124" t="s">
        <v>3559</v>
      </c>
      <c r="E2379" s="125"/>
      <c r="F2379" s="118" t="s">
        <v>3441</v>
      </c>
      <c r="G2379" s="126" t="str">
        <f t="shared" si="146"/>
        <v>AR-C20P-1</v>
      </c>
      <c r="H2379" s="253">
        <v>1</v>
      </c>
      <c r="J2379" s="299" t="s">
        <v>286</v>
      </c>
      <c r="K2379" s="299"/>
      <c r="L2379" s="84">
        <v>1</v>
      </c>
      <c r="M2379" s="76">
        <v>1</v>
      </c>
      <c r="Q2379" s="84">
        <v>1</v>
      </c>
      <c r="R2379" s="76">
        <v>1</v>
      </c>
    </row>
    <row r="2380" spans="2:18" s="83" customFormat="1" ht="15" hidden="1" customHeight="1" outlineLevel="2">
      <c r="B2380" s="119" t="s">
        <v>272</v>
      </c>
      <c r="C2380" s="266" t="s">
        <v>3560</v>
      </c>
      <c r="D2380" s="124" t="s">
        <v>3561</v>
      </c>
      <c r="E2380" s="125"/>
      <c r="F2380" s="118" t="s">
        <v>3441</v>
      </c>
      <c r="G2380" s="126" t="str">
        <f t="shared" si="146"/>
        <v>AR-C20P-1</v>
      </c>
      <c r="H2380" s="253">
        <v>1</v>
      </c>
      <c r="J2380" s="299" t="s">
        <v>286</v>
      </c>
      <c r="K2380" s="299"/>
      <c r="L2380" s="84">
        <v>1</v>
      </c>
      <c r="M2380" s="76">
        <v>1</v>
      </c>
      <c r="Q2380" s="84">
        <v>1</v>
      </c>
      <c r="R2380" s="76">
        <v>1</v>
      </c>
    </row>
    <row r="2381" spans="2:18" s="83" customFormat="1" ht="15" hidden="1" customHeight="1" outlineLevel="2">
      <c r="B2381" s="119" t="s">
        <v>272</v>
      </c>
      <c r="C2381" s="266" t="s">
        <v>3562</v>
      </c>
      <c r="D2381" s="124" t="s">
        <v>3563</v>
      </c>
      <c r="E2381" s="125"/>
      <c r="F2381" s="118" t="s">
        <v>3441</v>
      </c>
      <c r="G2381" s="126" t="str">
        <f t="shared" si="146"/>
        <v>AR-C20P-1</v>
      </c>
      <c r="H2381" s="253">
        <v>1</v>
      </c>
      <c r="J2381" s="299" t="s">
        <v>286</v>
      </c>
      <c r="K2381" s="299"/>
      <c r="L2381" s="84">
        <v>1</v>
      </c>
      <c r="M2381" s="76">
        <v>1</v>
      </c>
      <c r="Q2381" s="84">
        <v>1</v>
      </c>
      <c r="R2381" s="76">
        <v>1</v>
      </c>
    </row>
    <row r="2382" spans="2:18" s="83" customFormat="1" ht="15" hidden="1" customHeight="1" outlineLevel="2">
      <c r="B2382" s="119" t="s">
        <v>272</v>
      </c>
      <c r="C2382" s="266" t="s">
        <v>3564</v>
      </c>
      <c r="D2382" s="124" t="s">
        <v>3565</v>
      </c>
      <c r="E2382" s="125"/>
      <c r="F2382" s="118" t="s">
        <v>3441</v>
      </c>
      <c r="G2382" s="126" t="str">
        <f t="shared" si="146"/>
        <v>AR-C20P-1</v>
      </c>
      <c r="H2382" s="253">
        <v>1</v>
      </c>
      <c r="J2382" s="299" t="s">
        <v>286</v>
      </c>
      <c r="K2382" s="299"/>
      <c r="L2382" s="84">
        <v>1</v>
      </c>
      <c r="M2382" s="76">
        <v>1</v>
      </c>
      <c r="Q2382" s="84">
        <v>1</v>
      </c>
      <c r="R2382" s="76">
        <v>1</v>
      </c>
    </row>
    <row r="2383" spans="2:18" s="83" customFormat="1" ht="15" hidden="1" customHeight="1" outlineLevel="2">
      <c r="B2383" s="119" t="s">
        <v>272</v>
      </c>
      <c r="C2383" s="266" t="s">
        <v>3566</v>
      </c>
      <c r="D2383" s="124" t="s">
        <v>3567</v>
      </c>
      <c r="E2383" s="125"/>
      <c r="F2383" s="118" t="s">
        <v>3441</v>
      </c>
      <c r="G2383" s="126" t="str">
        <f t="shared" si="146"/>
        <v>AR-C20P-1</v>
      </c>
      <c r="H2383" s="253">
        <v>1</v>
      </c>
      <c r="J2383" s="299" t="s">
        <v>286</v>
      </c>
      <c r="K2383" s="299"/>
      <c r="L2383" s="84">
        <v>1</v>
      </c>
      <c r="M2383" s="76">
        <v>1</v>
      </c>
      <c r="Q2383" s="84">
        <v>1</v>
      </c>
      <c r="R2383" s="76">
        <v>1</v>
      </c>
    </row>
    <row r="2384" spans="2:18" s="83" customFormat="1" ht="15" hidden="1" customHeight="1" outlineLevel="2">
      <c r="B2384" s="119" t="s">
        <v>272</v>
      </c>
      <c r="C2384" s="266" t="s">
        <v>3568</v>
      </c>
      <c r="D2384" s="124" t="s">
        <v>3569</v>
      </c>
      <c r="E2384" s="125"/>
      <c r="F2384" s="118" t="s">
        <v>3441</v>
      </c>
      <c r="G2384" s="126" t="str">
        <f t="shared" ref="G2384:G2424" si="147">CONCATENATE("AR-",F2384,"-",H2384)</f>
        <v>AR-C20P-1</v>
      </c>
      <c r="H2384" s="253">
        <v>1</v>
      </c>
      <c r="J2384" s="299" t="s">
        <v>286</v>
      </c>
      <c r="K2384" s="299"/>
      <c r="L2384" s="84">
        <v>1</v>
      </c>
      <c r="M2384" s="76">
        <v>1</v>
      </c>
      <c r="Q2384" s="84">
        <v>1</v>
      </c>
      <c r="R2384" s="76">
        <v>1</v>
      </c>
    </row>
    <row r="2385" spans="2:18" s="83" customFormat="1" ht="15" hidden="1" customHeight="1" outlineLevel="2">
      <c r="B2385" s="119" t="s">
        <v>272</v>
      </c>
      <c r="C2385" s="266" t="s">
        <v>3570</v>
      </c>
      <c r="D2385" s="124" t="s">
        <v>3571</v>
      </c>
      <c r="E2385" s="125"/>
      <c r="F2385" s="118" t="s">
        <v>3441</v>
      </c>
      <c r="G2385" s="126" t="str">
        <f t="shared" si="147"/>
        <v>AR-C20P-1</v>
      </c>
      <c r="H2385" s="253">
        <v>1</v>
      </c>
      <c r="J2385" s="299" t="s">
        <v>286</v>
      </c>
      <c r="K2385" s="299"/>
      <c r="L2385" s="84">
        <v>1</v>
      </c>
      <c r="M2385" s="76">
        <v>1</v>
      </c>
      <c r="Q2385" s="84">
        <v>1</v>
      </c>
      <c r="R2385" s="76">
        <v>1</v>
      </c>
    </row>
    <row r="2386" spans="2:18" s="100" customFormat="1" ht="15" hidden="1" customHeight="1" outlineLevel="2">
      <c r="B2386" s="119" t="s">
        <v>272</v>
      </c>
      <c r="C2386" s="266" t="s">
        <v>3572</v>
      </c>
      <c r="D2386" s="124" t="s">
        <v>1459</v>
      </c>
      <c r="E2386" s="125"/>
      <c r="F2386" s="118" t="s">
        <v>3441</v>
      </c>
      <c r="G2386" s="126" t="str">
        <f t="shared" si="147"/>
        <v>AR-C20P-1</v>
      </c>
      <c r="H2386" s="253">
        <v>1</v>
      </c>
      <c r="J2386" s="299" t="s">
        <v>286</v>
      </c>
      <c r="K2386" s="299"/>
      <c r="L2386" s="84">
        <v>1</v>
      </c>
      <c r="M2386" s="76">
        <v>1</v>
      </c>
      <c r="Q2386" s="84">
        <v>1</v>
      </c>
      <c r="R2386" s="76">
        <v>1</v>
      </c>
    </row>
    <row r="2387" spans="2:18" s="83" customFormat="1" ht="15" hidden="1" customHeight="1" outlineLevel="2">
      <c r="B2387" s="119" t="s">
        <v>272</v>
      </c>
      <c r="C2387" s="266" t="s">
        <v>3573</v>
      </c>
      <c r="D2387" s="124" t="s">
        <v>3574</v>
      </c>
      <c r="E2387" s="125"/>
      <c r="F2387" s="118" t="s">
        <v>3441</v>
      </c>
      <c r="G2387" s="126" t="str">
        <f t="shared" si="147"/>
        <v>AR-C20P-1</v>
      </c>
      <c r="H2387" s="253">
        <v>1</v>
      </c>
      <c r="J2387" s="299" t="s">
        <v>286</v>
      </c>
      <c r="K2387" s="299"/>
      <c r="L2387" s="84">
        <v>1</v>
      </c>
      <c r="M2387" s="76">
        <v>1</v>
      </c>
      <c r="Q2387" s="84">
        <v>1</v>
      </c>
      <c r="R2387" s="76">
        <v>1</v>
      </c>
    </row>
    <row r="2388" spans="2:18" s="83" customFormat="1" ht="15" hidden="1" customHeight="1" outlineLevel="2">
      <c r="B2388" s="119" t="s">
        <v>272</v>
      </c>
      <c r="C2388" s="266" t="s">
        <v>3575</v>
      </c>
      <c r="D2388" s="124" t="s">
        <v>1461</v>
      </c>
      <c r="E2388" s="125"/>
      <c r="F2388" s="118" t="s">
        <v>3441</v>
      </c>
      <c r="G2388" s="126" t="str">
        <f t="shared" si="147"/>
        <v>AR-C20P-1</v>
      </c>
      <c r="H2388" s="253">
        <v>1</v>
      </c>
      <c r="J2388" s="299" t="s">
        <v>286</v>
      </c>
      <c r="K2388" s="299"/>
      <c r="L2388" s="84">
        <v>1</v>
      </c>
      <c r="M2388" s="76">
        <v>1</v>
      </c>
      <c r="Q2388" s="84">
        <v>1</v>
      </c>
      <c r="R2388" s="76">
        <v>1</v>
      </c>
    </row>
    <row r="2389" spans="2:18" s="83" customFormat="1" ht="15" hidden="1" customHeight="1" outlineLevel="2">
      <c r="B2389" s="119" t="s">
        <v>272</v>
      </c>
      <c r="C2389" s="266" t="s">
        <v>3576</v>
      </c>
      <c r="D2389" s="124" t="s">
        <v>1461</v>
      </c>
      <c r="E2389" s="125"/>
      <c r="F2389" s="118" t="s">
        <v>3441</v>
      </c>
      <c r="G2389" s="126" t="str">
        <f t="shared" si="147"/>
        <v>AR-C20P-1</v>
      </c>
      <c r="H2389" s="253">
        <v>1</v>
      </c>
      <c r="J2389" s="299" t="s">
        <v>286</v>
      </c>
      <c r="K2389" s="299"/>
      <c r="L2389" s="84">
        <v>1</v>
      </c>
      <c r="M2389" s="76">
        <v>1</v>
      </c>
      <c r="Q2389" s="84">
        <v>1</v>
      </c>
      <c r="R2389" s="76">
        <v>1</v>
      </c>
    </row>
    <row r="2390" spans="2:18" s="83" customFormat="1" ht="15" hidden="1" customHeight="1" outlineLevel="2">
      <c r="B2390" s="119" t="s">
        <v>272</v>
      </c>
      <c r="C2390" s="266" t="s">
        <v>3577</v>
      </c>
      <c r="D2390" s="124" t="s">
        <v>3578</v>
      </c>
      <c r="E2390" s="125"/>
      <c r="F2390" s="118" t="s">
        <v>3441</v>
      </c>
      <c r="G2390" s="126" t="str">
        <f t="shared" si="147"/>
        <v>AR-C20P-1</v>
      </c>
      <c r="H2390" s="253">
        <v>1</v>
      </c>
      <c r="J2390" s="299" t="s">
        <v>286</v>
      </c>
      <c r="K2390" s="299"/>
      <c r="L2390" s="84">
        <v>1</v>
      </c>
      <c r="M2390" s="76">
        <v>1</v>
      </c>
      <c r="Q2390" s="84">
        <v>1</v>
      </c>
      <c r="R2390" s="76">
        <v>1</v>
      </c>
    </row>
    <row r="2391" spans="2:18" s="83" customFormat="1" ht="15" hidden="1" customHeight="1" outlineLevel="2">
      <c r="B2391" s="119" t="s">
        <v>272</v>
      </c>
      <c r="C2391" s="266" t="s">
        <v>3579</v>
      </c>
      <c r="D2391" s="124" t="s">
        <v>3580</v>
      </c>
      <c r="E2391" s="125"/>
      <c r="F2391" s="118" t="s">
        <v>3441</v>
      </c>
      <c r="G2391" s="126" t="str">
        <f t="shared" si="147"/>
        <v>AR-C20P-1</v>
      </c>
      <c r="H2391" s="253">
        <v>1</v>
      </c>
      <c r="J2391" s="299" t="s">
        <v>286</v>
      </c>
      <c r="K2391" s="299"/>
      <c r="L2391" s="84">
        <v>1</v>
      </c>
      <c r="M2391" s="76">
        <v>1</v>
      </c>
      <c r="Q2391" s="84">
        <v>1</v>
      </c>
      <c r="R2391" s="76">
        <v>1</v>
      </c>
    </row>
    <row r="2392" spans="2:18" s="83" customFormat="1" ht="15" hidden="1" customHeight="1" outlineLevel="2">
      <c r="B2392" s="119" t="s">
        <v>272</v>
      </c>
      <c r="C2392" s="266" t="s">
        <v>3581</v>
      </c>
      <c r="D2392" s="124" t="s">
        <v>3580</v>
      </c>
      <c r="E2392" s="125"/>
      <c r="F2392" s="118" t="s">
        <v>3441</v>
      </c>
      <c r="G2392" s="126" t="str">
        <f t="shared" si="147"/>
        <v>AR-C20P-1</v>
      </c>
      <c r="H2392" s="253">
        <v>1</v>
      </c>
      <c r="J2392" s="299" t="s">
        <v>286</v>
      </c>
      <c r="K2392" s="299"/>
      <c r="L2392" s="84">
        <v>1</v>
      </c>
      <c r="M2392" s="76">
        <v>1</v>
      </c>
      <c r="Q2392" s="84">
        <v>1</v>
      </c>
      <c r="R2392" s="76">
        <v>1</v>
      </c>
    </row>
    <row r="2393" spans="2:18" s="83" customFormat="1" ht="15" hidden="1" customHeight="1" outlineLevel="2">
      <c r="B2393" s="119" t="s">
        <v>272</v>
      </c>
      <c r="C2393" s="266" t="s">
        <v>3582</v>
      </c>
      <c r="D2393" s="124" t="s">
        <v>3580</v>
      </c>
      <c r="E2393" s="125"/>
      <c r="F2393" s="118" t="s">
        <v>3441</v>
      </c>
      <c r="G2393" s="126" t="str">
        <f t="shared" si="147"/>
        <v>AR-C20P-1</v>
      </c>
      <c r="H2393" s="253">
        <v>1</v>
      </c>
      <c r="J2393" s="299" t="s">
        <v>286</v>
      </c>
      <c r="K2393" s="299"/>
      <c r="L2393" s="84">
        <v>1</v>
      </c>
      <c r="M2393" s="76">
        <v>1</v>
      </c>
      <c r="Q2393" s="84">
        <v>1</v>
      </c>
      <c r="R2393" s="76">
        <v>1</v>
      </c>
    </row>
    <row r="2394" spans="2:18" s="83" customFormat="1" ht="15" hidden="1" customHeight="1" outlineLevel="2">
      <c r="B2394" s="119" t="s">
        <v>272</v>
      </c>
      <c r="C2394" s="266" t="s">
        <v>3583</v>
      </c>
      <c r="D2394" s="124" t="s">
        <v>1753</v>
      </c>
      <c r="E2394" s="125"/>
      <c r="F2394" s="118" t="s">
        <v>3441</v>
      </c>
      <c r="G2394" s="126" t="str">
        <f t="shared" si="147"/>
        <v>AR-C20P-1</v>
      </c>
      <c r="H2394" s="253">
        <v>1</v>
      </c>
      <c r="J2394" s="299" t="s">
        <v>286</v>
      </c>
      <c r="K2394" s="299"/>
      <c r="L2394" s="84">
        <v>1</v>
      </c>
      <c r="M2394" s="76">
        <v>1</v>
      </c>
      <c r="Q2394" s="84">
        <v>1</v>
      </c>
      <c r="R2394" s="76">
        <v>1</v>
      </c>
    </row>
    <row r="2395" spans="2:18" s="83" customFormat="1" ht="15" hidden="1" customHeight="1" outlineLevel="2">
      <c r="B2395" s="119" t="s">
        <v>272</v>
      </c>
      <c r="C2395" s="266" t="s">
        <v>3584</v>
      </c>
      <c r="D2395" s="124" t="s">
        <v>3585</v>
      </c>
      <c r="E2395" s="125"/>
      <c r="F2395" s="118" t="s">
        <v>3441</v>
      </c>
      <c r="G2395" s="126" t="str">
        <f t="shared" si="147"/>
        <v>AR-C20P-1</v>
      </c>
      <c r="H2395" s="253">
        <v>1</v>
      </c>
      <c r="J2395" s="299" t="s">
        <v>286</v>
      </c>
      <c r="K2395" s="299"/>
      <c r="L2395" s="84">
        <v>1</v>
      </c>
      <c r="M2395" s="76">
        <v>1</v>
      </c>
      <c r="Q2395" s="84">
        <v>1</v>
      </c>
      <c r="R2395" s="76">
        <v>1</v>
      </c>
    </row>
    <row r="2396" spans="2:18" s="83" customFormat="1" ht="15" hidden="1" customHeight="1" outlineLevel="2">
      <c r="B2396" s="119" t="s">
        <v>272</v>
      </c>
      <c r="C2396" s="266" t="s">
        <v>3586</v>
      </c>
      <c r="D2396" s="124" t="s">
        <v>3587</v>
      </c>
      <c r="E2396" s="125"/>
      <c r="F2396" s="118" t="s">
        <v>3441</v>
      </c>
      <c r="G2396" s="126" t="str">
        <f t="shared" si="147"/>
        <v>AR-C20P-1</v>
      </c>
      <c r="H2396" s="253">
        <v>1</v>
      </c>
      <c r="J2396" s="299" t="s">
        <v>286</v>
      </c>
      <c r="K2396" s="299"/>
      <c r="L2396" s="84">
        <v>1</v>
      </c>
      <c r="M2396" s="76">
        <v>1</v>
      </c>
      <c r="Q2396" s="84">
        <v>1</v>
      </c>
      <c r="R2396" s="76">
        <v>1</v>
      </c>
    </row>
    <row r="2397" spans="2:18" s="83" customFormat="1" ht="15" hidden="1" customHeight="1" outlineLevel="2">
      <c r="B2397" s="119" t="s">
        <v>272</v>
      </c>
      <c r="C2397" s="266" t="s">
        <v>3588</v>
      </c>
      <c r="D2397" s="124" t="s">
        <v>3589</v>
      </c>
      <c r="E2397" s="125"/>
      <c r="F2397" s="118" t="s">
        <v>3441</v>
      </c>
      <c r="G2397" s="126" t="str">
        <f t="shared" si="147"/>
        <v>AR-C20P-1</v>
      </c>
      <c r="H2397" s="253">
        <v>1</v>
      </c>
      <c r="J2397" s="299" t="s">
        <v>286</v>
      </c>
      <c r="K2397" s="299"/>
      <c r="L2397" s="84">
        <v>1</v>
      </c>
      <c r="M2397" s="76">
        <v>1</v>
      </c>
      <c r="Q2397" s="84">
        <v>1</v>
      </c>
      <c r="R2397" s="76">
        <v>1</v>
      </c>
    </row>
    <row r="2398" spans="2:18" s="83" customFormat="1" ht="15" hidden="1" customHeight="1" outlineLevel="2">
      <c r="B2398" s="119" t="s">
        <v>272</v>
      </c>
      <c r="C2398" s="266" t="s">
        <v>3590</v>
      </c>
      <c r="D2398" s="124" t="s">
        <v>3591</v>
      </c>
      <c r="E2398" s="125"/>
      <c r="F2398" s="118" t="s">
        <v>3441</v>
      </c>
      <c r="G2398" s="126" t="str">
        <f t="shared" si="147"/>
        <v>AR-C20P-1</v>
      </c>
      <c r="H2398" s="253">
        <v>1</v>
      </c>
      <c r="J2398" s="299" t="s">
        <v>286</v>
      </c>
      <c r="K2398" s="299"/>
      <c r="L2398" s="84">
        <v>1</v>
      </c>
      <c r="M2398" s="76">
        <v>1</v>
      </c>
      <c r="Q2398" s="84">
        <v>1</v>
      </c>
      <c r="R2398" s="76">
        <v>1</v>
      </c>
    </row>
    <row r="2399" spans="2:18" s="83" customFormat="1" ht="15" hidden="1" customHeight="1" outlineLevel="2">
      <c r="B2399" s="119" t="s">
        <v>272</v>
      </c>
      <c r="C2399" s="266" t="s">
        <v>3592</v>
      </c>
      <c r="D2399" s="124" t="s">
        <v>3593</v>
      </c>
      <c r="E2399" s="125"/>
      <c r="F2399" s="118" t="s">
        <v>3441</v>
      </c>
      <c r="G2399" s="126" t="str">
        <f t="shared" si="147"/>
        <v>AR-C20P-1</v>
      </c>
      <c r="H2399" s="253">
        <v>1</v>
      </c>
      <c r="J2399" s="299" t="s">
        <v>286</v>
      </c>
      <c r="K2399" s="299"/>
      <c r="L2399" s="84">
        <v>1</v>
      </c>
      <c r="M2399" s="76">
        <v>1</v>
      </c>
      <c r="Q2399" s="84">
        <v>1</v>
      </c>
      <c r="R2399" s="76">
        <v>1</v>
      </c>
    </row>
    <row r="2400" spans="2:18" s="83" customFormat="1" ht="15" hidden="1" customHeight="1" outlineLevel="2">
      <c r="B2400" s="119" t="s">
        <v>272</v>
      </c>
      <c r="C2400" s="266" t="s">
        <v>3594</v>
      </c>
      <c r="D2400" s="124" t="s">
        <v>1763</v>
      </c>
      <c r="E2400" s="125"/>
      <c r="F2400" s="118" t="s">
        <v>3441</v>
      </c>
      <c r="G2400" s="126" t="str">
        <f t="shared" si="147"/>
        <v>AR-C20P-1</v>
      </c>
      <c r="H2400" s="253">
        <v>1</v>
      </c>
      <c r="J2400" s="299" t="s">
        <v>286</v>
      </c>
      <c r="K2400" s="299"/>
      <c r="L2400" s="84">
        <v>1</v>
      </c>
      <c r="M2400" s="76">
        <v>1</v>
      </c>
      <c r="Q2400" s="84">
        <v>1</v>
      </c>
      <c r="R2400" s="76">
        <v>1</v>
      </c>
    </row>
    <row r="2401" spans="2:18" s="99" customFormat="1" ht="15" hidden="1" customHeight="1" outlineLevel="2">
      <c r="B2401" s="119" t="s">
        <v>272</v>
      </c>
      <c r="C2401" s="266" t="s">
        <v>3595</v>
      </c>
      <c r="D2401" s="124" t="s">
        <v>3596</v>
      </c>
      <c r="E2401" s="125"/>
      <c r="F2401" s="118" t="s">
        <v>3441</v>
      </c>
      <c r="G2401" s="126" t="str">
        <f t="shared" si="147"/>
        <v>AR-C20P-1</v>
      </c>
      <c r="H2401" s="253">
        <v>1</v>
      </c>
      <c r="J2401" s="299" t="s">
        <v>286</v>
      </c>
      <c r="K2401" s="299"/>
      <c r="L2401" s="84">
        <v>1</v>
      </c>
      <c r="M2401" s="76">
        <v>1</v>
      </c>
      <c r="Q2401" s="84">
        <v>1</v>
      </c>
      <c r="R2401" s="76">
        <v>1</v>
      </c>
    </row>
    <row r="2402" spans="2:18" s="83" customFormat="1" ht="15" hidden="1" customHeight="1" outlineLevel="2">
      <c r="B2402" s="119" t="s">
        <v>272</v>
      </c>
      <c r="C2402" s="266" t="s">
        <v>3597</v>
      </c>
      <c r="D2402" s="124" t="s">
        <v>3598</v>
      </c>
      <c r="E2402" s="125"/>
      <c r="F2402" s="118" t="s">
        <v>3441</v>
      </c>
      <c r="G2402" s="126" t="str">
        <f t="shared" si="147"/>
        <v>AR-C20P-1</v>
      </c>
      <c r="H2402" s="253">
        <v>1</v>
      </c>
      <c r="J2402" s="299" t="s">
        <v>286</v>
      </c>
      <c r="K2402" s="299"/>
      <c r="L2402" s="84">
        <v>1</v>
      </c>
      <c r="M2402" s="76">
        <v>1</v>
      </c>
      <c r="Q2402" s="84">
        <v>1</v>
      </c>
      <c r="R2402" s="76">
        <v>1</v>
      </c>
    </row>
    <row r="2403" spans="2:18" s="83" customFormat="1" ht="15" hidden="1" customHeight="1" outlineLevel="2">
      <c r="B2403" s="119" t="s">
        <v>272</v>
      </c>
      <c r="C2403" s="266" t="s">
        <v>3599</v>
      </c>
      <c r="D2403" s="124" t="s">
        <v>3600</v>
      </c>
      <c r="E2403" s="125"/>
      <c r="F2403" s="118" t="s">
        <v>3441</v>
      </c>
      <c r="G2403" s="126" t="str">
        <f t="shared" si="147"/>
        <v>AR-C20P-1</v>
      </c>
      <c r="H2403" s="253">
        <v>1</v>
      </c>
      <c r="J2403" s="299" t="s">
        <v>286</v>
      </c>
      <c r="K2403" s="299"/>
      <c r="L2403" s="84">
        <v>1</v>
      </c>
      <c r="M2403" s="76">
        <v>1</v>
      </c>
      <c r="Q2403" s="84">
        <v>1</v>
      </c>
      <c r="R2403" s="76">
        <v>1</v>
      </c>
    </row>
    <row r="2404" spans="2:18" s="83" customFormat="1" ht="15" hidden="1" customHeight="1" outlineLevel="2">
      <c r="B2404" s="119" t="s">
        <v>272</v>
      </c>
      <c r="C2404" s="266" t="s">
        <v>3601</v>
      </c>
      <c r="D2404" s="124" t="s">
        <v>3602</v>
      </c>
      <c r="E2404" s="125"/>
      <c r="F2404" s="118" t="s">
        <v>3441</v>
      </c>
      <c r="G2404" s="126" t="str">
        <f t="shared" si="147"/>
        <v>AR-C20P-1</v>
      </c>
      <c r="H2404" s="253">
        <v>1</v>
      </c>
      <c r="J2404" s="299" t="s">
        <v>286</v>
      </c>
      <c r="K2404" s="299"/>
      <c r="L2404" s="84">
        <v>1</v>
      </c>
      <c r="M2404" s="76">
        <v>1</v>
      </c>
      <c r="Q2404" s="84">
        <v>1</v>
      </c>
      <c r="R2404" s="76">
        <v>1</v>
      </c>
    </row>
    <row r="2405" spans="2:18" s="83" customFormat="1" ht="15" hidden="1" customHeight="1" outlineLevel="2">
      <c r="B2405" s="119" t="s">
        <v>272</v>
      </c>
      <c r="C2405" s="266" t="s">
        <v>3603</v>
      </c>
      <c r="D2405" s="124" t="s">
        <v>3604</v>
      </c>
      <c r="E2405" s="125"/>
      <c r="F2405" s="118" t="s">
        <v>3441</v>
      </c>
      <c r="G2405" s="126" t="str">
        <f t="shared" si="147"/>
        <v>AR-C20P-1</v>
      </c>
      <c r="H2405" s="253">
        <v>1</v>
      </c>
      <c r="J2405" s="299" t="s">
        <v>286</v>
      </c>
      <c r="K2405" s="299"/>
      <c r="L2405" s="84">
        <v>1</v>
      </c>
      <c r="M2405" s="76">
        <v>1</v>
      </c>
      <c r="Q2405" s="84">
        <v>1</v>
      </c>
      <c r="R2405" s="76">
        <v>1</v>
      </c>
    </row>
    <row r="2406" spans="2:18" s="83" customFormat="1" ht="15" hidden="1" customHeight="1" outlineLevel="2">
      <c r="B2406" s="119" t="s">
        <v>272</v>
      </c>
      <c r="C2406" s="266" t="s">
        <v>3605</v>
      </c>
      <c r="D2406" s="124" t="s">
        <v>1773</v>
      </c>
      <c r="E2406" s="125"/>
      <c r="F2406" s="118" t="s">
        <v>3441</v>
      </c>
      <c r="G2406" s="126" t="str">
        <f t="shared" si="147"/>
        <v>AR-C20P-1</v>
      </c>
      <c r="H2406" s="253">
        <v>1</v>
      </c>
      <c r="J2406" s="299" t="s">
        <v>286</v>
      </c>
      <c r="K2406" s="299"/>
      <c r="L2406" s="84">
        <v>1</v>
      </c>
      <c r="M2406" s="76">
        <v>1</v>
      </c>
      <c r="Q2406" s="84">
        <v>1</v>
      </c>
      <c r="R2406" s="76">
        <v>1</v>
      </c>
    </row>
    <row r="2407" spans="2:18" s="83" customFormat="1" ht="15" hidden="1" customHeight="1" outlineLevel="2">
      <c r="B2407" s="119" t="s">
        <v>272</v>
      </c>
      <c r="C2407" s="266" t="s">
        <v>3606</v>
      </c>
      <c r="D2407" s="124" t="s">
        <v>3607</v>
      </c>
      <c r="E2407" s="125"/>
      <c r="F2407" s="118" t="s">
        <v>3441</v>
      </c>
      <c r="G2407" s="126" t="str">
        <f t="shared" si="147"/>
        <v>AR-C20P-1</v>
      </c>
      <c r="H2407" s="253">
        <v>1</v>
      </c>
      <c r="J2407" s="299" t="s">
        <v>286</v>
      </c>
      <c r="K2407" s="299"/>
      <c r="L2407" s="84">
        <v>1</v>
      </c>
      <c r="M2407" s="76">
        <v>1</v>
      </c>
      <c r="Q2407" s="84">
        <v>1</v>
      </c>
      <c r="R2407" s="76">
        <v>1</v>
      </c>
    </row>
    <row r="2408" spans="2:18" s="83" customFormat="1" ht="15" hidden="1" customHeight="1" outlineLevel="2">
      <c r="B2408" s="119" t="s">
        <v>272</v>
      </c>
      <c r="C2408" s="266" t="s">
        <v>3608</v>
      </c>
      <c r="D2408" s="124" t="s">
        <v>3609</v>
      </c>
      <c r="E2408" s="125"/>
      <c r="F2408" s="118" t="s">
        <v>3441</v>
      </c>
      <c r="G2408" s="126" t="str">
        <f t="shared" si="147"/>
        <v>AR-C20P-1</v>
      </c>
      <c r="H2408" s="253">
        <v>1</v>
      </c>
      <c r="J2408" s="299" t="s">
        <v>286</v>
      </c>
      <c r="K2408" s="299"/>
      <c r="L2408" s="84">
        <v>1</v>
      </c>
      <c r="M2408" s="76">
        <v>1</v>
      </c>
      <c r="Q2408" s="84">
        <v>1</v>
      </c>
      <c r="R2408" s="76">
        <v>1</v>
      </c>
    </row>
    <row r="2409" spans="2:18" s="83" customFormat="1" ht="15" hidden="1" customHeight="1" outlineLevel="2">
      <c r="B2409" s="119" t="s">
        <v>272</v>
      </c>
      <c r="C2409" s="266" t="s">
        <v>3610</v>
      </c>
      <c r="D2409" s="124" t="s">
        <v>3611</v>
      </c>
      <c r="E2409" s="125"/>
      <c r="F2409" s="118" t="s">
        <v>3441</v>
      </c>
      <c r="G2409" s="126" t="str">
        <f t="shared" si="147"/>
        <v>AR-C20P-1</v>
      </c>
      <c r="H2409" s="253">
        <v>1</v>
      </c>
      <c r="J2409" s="299" t="s">
        <v>286</v>
      </c>
      <c r="K2409" s="299"/>
      <c r="L2409" s="84">
        <v>1</v>
      </c>
      <c r="M2409" s="76">
        <v>1</v>
      </c>
      <c r="Q2409" s="84">
        <v>1</v>
      </c>
      <c r="R2409" s="76">
        <v>1</v>
      </c>
    </row>
    <row r="2410" spans="2:18" s="83" customFormat="1" ht="15" hidden="1" customHeight="1" outlineLevel="2">
      <c r="B2410" s="119" t="s">
        <v>272</v>
      </c>
      <c r="C2410" s="266" t="s">
        <v>3612</v>
      </c>
      <c r="D2410" s="124" t="s">
        <v>3613</v>
      </c>
      <c r="E2410" s="125"/>
      <c r="F2410" s="118" t="s">
        <v>3441</v>
      </c>
      <c r="G2410" s="126" t="str">
        <f t="shared" si="147"/>
        <v>AR-C20P-1</v>
      </c>
      <c r="H2410" s="253">
        <v>1</v>
      </c>
      <c r="J2410" s="299" t="s">
        <v>286</v>
      </c>
      <c r="K2410" s="299"/>
      <c r="L2410" s="84">
        <v>1</v>
      </c>
      <c r="M2410" s="76">
        <v>1</v>
      </c>
      <c r="Q2410" s="84">
        <v>1</v>
      </c>
      <c r="R2410" s="76">
        <v>1</v>
      </c>
    </row>
    <row r="2411" spans="2:18" s="83" customFormat="1" ht="15" hidden="1" customHeight="1" outlineLevel="2">
      <c r="B2411" s="119" t="s">
        <v>272</v>
      </c>
      <c r="C2411" s="266" t="s">
        <v>3614</v>
      </c>
      <c r="D2411" s="124" t="s">
        <v>3615</v>
      </c>
      <c r="E2411" s="125"/>
      <c r="F2411" s="118" t="s">
        <v>3441</v>
      </c>
      <c r="G2411" s="126" t="str">
        <f t="shared" si="147"/>
        <v>AR-C20P-1</v>
      </c>
      <c r="H2411" s="253">
        <v>1</v>
      </c>
      <c r="J2411" s="299" t="s">
        <v>286</v>
      </c>
      <c r="K2411" s="299"/>
      <c r="L2411" s="84">
        <v>1</v>
      </c>
      <c r="M2411" s="76">
        <v>1</v>
      </c>
      <c r="Q2411" s="84">
        <v>1</v>
      </c>
      <c r="R2411" s="76">
        <v>1</v>
      </c>
    </row>
    <row r="2412" spans="2:18" s="83" customFormat="1" ht="15" hidden="1" customHeight="1" outlineLevel="2">
      <c r="B2412" s="119" t="s">
        <v>272</v>
      </c>
      <c r="C2412" s="266" t="s">
        <v>3616</v>
      </c>
      <c r="D2412" s="124" t="s">
        <v>1783</v>
      </c>
      <c r="E2412" s="125"/>
      <c r="F2412" s="118" t="s">
        <v>3441</v>
      </c>
      <c r="G2412" s="126" t="str">
        <f t="shared" si="147"/>
        <v>AR-C20P-1</v>
      </c>
      <c r="H2412" s="253">
        <v>1</v>
      </c>
      <c r="I2412" s="76"/>
      <c r="J2412" s="299" t="s">
        <v>286</v>
      </c>
      <c r="K2412" s="299"/>
      <c r="L2412" s="84">
        <v>1</v>
      </c>
      <c r="M2412" s="76">
        <v>1</v>
      </c>
      <c r="Q2412" s="84">
        <v>1</v>
      </c>
      <c r="R2412" s="76">
        <v>1</v>
      </c>
    </row>
    <row r="2413" spans="2:18" s="83" customFormat="1" ht="15" hidden="1" customHeight="1" outlineLevel="2">
      <c r="B2413" s="119" t="s">
        <v>272</v>
      </c>
      <c r="C2413" s="266" t="s">
        <v>3617</v>
      </c>
      <c r="D2413" s="124" t="s">
        <v>3618</v>
      </c>
      <c r="E2413" s="125"/>
      <c r="F2413" s="118" t="s">
        <v>3441</v>
      </c>
      <c r="G2413" s="126" t="str">
        <f t="shared" si="147"/>
        <v>AR-C20P-1</v>
      </c>
      <c r="H2413" s="253">
        <v>1</v>
      </c>
      <c r="I2413" s="76"/>
      <c r="J2413" s="299" t="s">
        <v>286</v>
      </c>
      <c r="K2413" s="299"/>
      <c r="L2413" s="84">
        <v>1</v>
      </c>
      <c r="M2413" s="76">
        <v>1</v>
      </c>
      <c r="Q2413" s="84">
        <v>1</v>
      </c>
      <c r="R2413" s="76">
        <v>1</v>
      </c>
    </row>
    <row r="2414" spans="2:18" s="83" customFormat="1" ht="15" hidden="1" customHeight="1" outlineLevel="2">
      <c r="B2414" s="119" t="s">
        <v>272</v>
      </c>
      <c r="C2414" s="266" t="s">
        <v>3619</v>
      </c>
      <c r="D2414" s="124" t="s">
        <v>3620</v>
      </c>
      <c r="E2414" s="125"/>
      <c r="F2414" s="118" t="s">
        <v>3441</v>
      </c>
      <c r="G2414" s="126" t="str">
        <f t="shared" si="147"/>
        <v>AR-C20P-1</v>
      </c>
      <c r="H2414" s="253">
        <v>1</v>
      </c>
      <c r="I2414" s="76"/>
      <c r="J2414" s="299" t="s">
        <v>286</v>
      </c>
      <c r="K2414" s="299"/>
      <c r="L2414" s="84">
        <v>1</v>
      </c>
      <c r="M2414" s="76">
        <v>1</v>
      </c>
      <c r="Q2414" s="84">
        <v>1</v>
      </c>
      <c r="R2414" s="76">
        <v>1</v>
      </c>
    </row>
    <row r="2415" spans="2:18" s="83" customFormat="1" ht="15" hidden="1" customHeight="1" outlineLevel="2">
      <c r="B2415" s="119" t="s">
        <v>272</v>
      </c>
      <c r="C2415" s="266" t="s">
        <v>3621</v>
      </c>
      <c r="D2415" s="124" t="s">
        <v>3622</v>
      </c>
      <c r="E2415" s="125"/>
      <c r="F2415" s="118" t="s">
        <v>3441</v>
      </c>
      <c r="G2415" s="126" t="str">
        <f t="shared" si="147"/>
        <v>AR-C20P-1</v>
      </c>
      <c r="H2415" s="253">
        <v>1</v>
      </c>
      <c r="I2415" s="76"/>
      <c r="J2415" s="299" t="s">
        <v>286</v>
      </c>
      <c r="K2415" s="299"/>
      <c r="L2415" s="84">
        <v>1</v>
      </c>
      <c r="M2415" s="76">
        <v>1</v>
      </c>
      <c r="Q2415" s="84">
        <v>1</v>
      </c>
      <c r="R2415" s="76">
        <v>1</v>
      </c>
    </row>
    <row r="2416" spans="2:18" s="83" customFormat="1" ht="15" hidden="1" customHeight="1" outlineLevel="2">
      <c r="B2416" s="119" t="s">
        <v>272</v>
      </c>
      <c r="C2416" s="266" t="s">
        <v>3623</v>
      </c>
      <c r="D2416" s="124" t="s">
        <v>3624</v>
      </c>
      <c r="E2416" s="125"/>
      <c r="F2416" s="118" t="s">
        <v>3441</v>
      </c>
      <c r="G2416" s="126" t="str">
        <f t="shared" si="147"/>
        <v>AR-C20P-1</v>
      </c>
      <c r="H2416" s="253">
        <v>1</v>
      </c>
      <c r="J2416" s="299" t="s">
        <v>286</v>
      </c>
      <c r="K2416" s="299"/>
      <c r="L2416" s="84">
        <v>1</v>
      </c>
      <c r="M2416" s="76">
        <v>1</v>
      </c>
      <c r="Q2416" s="84">
        <v>1</v>
      </c>
      <c r="R2416" s="76">
        <v>1</v>
      </c>
    </row>
    <row r="2417" spans="2:18" s="83" customFormat="1" ht="15" hidden="1" customHeight="1" outlineLevel="2">
      <c r="B2417" s="119" t="s">
        <v>272</v>
      </c>
      <c r="C2417" s="266" t="s">
        <v>3625</v>
      </c>
      <c r="D2417" s="124" t="s">
        <v>3626</v>
      </c>
      <c r="E2417" s="125"/>
      <c r="F2417" s="118" t="s">
        <v>3441</v>
      </c>
      <c r="G2417" s="126" t="str">
        <f t="shared" si="147"/>
        <v>AR-C20P-1</v>
      </c>
      <c r="H2417" s="253">
        <v>1</v>
      </c>
      <c r="J2417" s="299" t="s">
        <v>286</v>
      </c>
      <c r="K2417" s="299"/>
      <c r="L2417" s="84">
        <v>1</v>
      </c>
      <c r="M2417" s="76">
        <v>1</v>
      </c>
      <c r="Q2417" s="84">
        <v>1</v>
      </c>
      <c r="R2417" s="76">
        <v>1</v>
      </c>
    </row>
    <row r="2418" spans="2:18" s="83" customFormat="1" ht="15" hidden="1" customHeight="1" outlineLevel="2">
      <c r="B2418" s="119" t="s">
        <v>272</v>
      </c>
      <c r="C2418" s="266" t="s">
        <v>3627</v>
      </c>
      <c r="D2418" s="124" t="s">
        <v>3628</v>
      </c>
      <c r="E2418" s="125"/>
      <c r="F2418" s="118" t="s">
        <v>3441</v>
      </c>
      <c r="G2418" s="126" t="str">
        <f t="shared" si="147"/>
        <v>AR-C20P-1</v>
      </c>
      <c r="H2418" s="253">
        <v>1</v>
      </c>
      <c r="J2418" s="299" t="s">
        <v>286</v>
      </c>
      <c r="K2418" s="299"/>
      <c r="L2418" s="84">
        <v>1</v>
      </c>
      <c r="M2418" s="76">
        <v>1</v>
      </c>
      <c r="Q2418" s="84">
        <v>1</v>
      </c>
      <c r="R2418" s="76">
        <v>1</v>
      </c>
    </row>
    <row r="2419" spans="2:18" s="83" customFormat="1" ht="15" hidden="1" customHeight="1" outlineLevel="2">
      <c r="B2419" s="119" t="s">
        <v>272</v>
      </c>
      <c r="C2419" s="266" t="s">
        <v>3629</v>
      </c>
      <c r="D2419" s="124" t="s">
        <v>3630</v>
      </c>
      <c r="E2419" s="125"/>
      <c r="F2419" s="118" t="s">
        <v>3441</v>
      </c>
      <c r="G2419" s="126" t="str">
        <f t="shared" si="147"/>
        <v>AR-C20P-1</v>
      </c>
      <c r="H2419" s="253">
        <v>1</v>
      </c>
      <c r="J2419" s="299" t="s">
        <v>286</v>
      </c>
      <c r="K2419" s="299"/>
      <c r="L2419" s="84">
        <v>1</v>
      </c>
      <c r="M2419" s="76">
        <v>1</v>
      </c>
      <c r="Q2419" s="84">
        <v>1</v>
      </c>
      <c r="R2419" s="76">
        <v>1</v>
      </c>
    </row>
    <row r="2420" spans="2:18" s="83" customFormat="1" ht="15" hidden="1" customHeight="1" outlineLevel="2">
      <c r="B2420" s="119" t="s">
        <v>272</v>
      </c>
      <c r="C2420" s="266" t="s">
        <v>3631</v>
      </c>
      <c r="D2420" s="124" t="s">
        <v>3632</v>
      </c>
      <c r="E2420" s="125"/>
      <c r="F2420" s="118" t="s">
        <v>3441</v>
      </c>
      <c r="G2420" s="126" t="str">
        <f t="shared" si="147"/>
        <v>AR-C20P-1</v>
      </c>
      <c r="H2420" s="253">
        <v>1</v>
      </c>
      <c r="J2420" s="299" t="s">
        <v>286</v>
      </c>
      <c r="K2420" s="299"/>
      <c r="L2420" s="84">
        <v>1</v>
      </c>
      <c r="M2420" s="76">
        <v>1</v>
      </c>
      <c r="Q2420" s="84">
        <v>1</v>
      </c>
      <c r="R2420" s="76">
        <v>1</v>
      </c>
    </row>
    <row r="2421" spans="2:18" s="83" customFormat="1" ht="15" hidden="1" customHeight="1" outlineLevel="2">
      <c r="B2421" s="119" t="s">
        <v>272</v>
      </c>
      <c r="C2421" s="266" t="s">
        <v>3633</v>
      </c>
      <c r="D2421" s="124" t="s">
        <v>3634</v>
      </c>
      <c r="E2421" s="125"/>
      <c r="F2421" s="118" t="s">
        <v>3441</v>
      </c>
      <c r="G2421" s="126" t="str">
        <f t="shared" si="147"/>
        <v>AR-C20P-1</v>
      </c>
      <c r="H2421" s="253">
        <v>1</v>
      </c>
      <c r="J2421" s="299" t="s">
        <v>286</v>
      </c>
      <c r="K2421" s="299"/>
      <c r="L2421" s="84">
        <v>1</v>
      </c>
      <c r="M2421" s="76">
        <v>1</v>
      </c>
      <c r="Q2421" s="84">
        <v>1</v>
      </c>
      <c r="R2421" s="76">
        <v>1</v>
      </c>
    </row>
    <row r="2422" spans="2:18" s="83" customFormat="1" ht="15" hidden="1" customHeight="1" outlineLevel="2">
      <c r="B2422" s="119" t="s">
        <v>272</v>
      </c>
      <c r="C2422" s="266" t="s">
        <v>3635</v>
      </c>
      <c r="D2422" s="124" t="s">
        <v>3636</v>
      </c>
      <c r="E2422" s="125"/>
      <c r="F2422" s="118" t="s">
        <v>3441</v>
      </c>
      <c r="G2422" s="126" t="str">
        <f t="shared" si="147"/>
        <v>AR-C20P-1</v>
      </c>
      <c r="H2422" s="253">
        <v>1</v>
      </c>
      <c r="J2422" s="299" t="s">
        <v>286</v>
      </c>
      <c r="K2422" s="299"/>
      <c r="L2422" s="84">
        <v>1</v>
      </c>
      <c r="M2422" s="76">
        <v>1</v>
      </c>
      <c r="Q2422" s="84">
        <v>1</v>
      </c>
      <c r="R2422" s="76">
        <v>1</v>
      </c>
    </row>
    <row r="2423" spans="2:18" s="83" customFormat="1" ht="15" hidden="1" customHeight="1" outlineLevel="2">
      <c r="B2423" s="119" t="s">
        <v>272</v>
      </c>
      <c r="C2423" s="266" t="s">
        <v>3637</v>
      </c>
      <c r="D2423" s="124" t="s">
        <v>3638</v>
      </c>
      <c r="E2423" s="125"/>
      <c r="F2423" s="118" t="s">
        <v>3441</v>
      </c>
      <c r="G2423" s="126" t="str">
        <f t="shared" si="147"/>
        <v>AR-C20P-1</v>
      </c>
      <c r="H2423" s="253">
        <v>1</v>
      </c>
      <c r="J2423" s="299" t="s">
        <v>286</v>
      </c>
      <c r="K2423" s="299"/>
      <c r="L2423" s="84">
        <v>1</v>
      </c>
      <c r="M2423" s="76">
        <v>1</v>
      </c>
      <c r="Q2423" s="84">
        <v>1</v>
      </c>
      <c r="R2423" s="76">
        <v>1</v>
      </c>
    </row>
    <row r="2424" spans="2:18" s="83" customFormat="1" ht="15" hidden="1" customHeight="1" outlineLevel="2">
      <c r="B2424" s="119" t="s">
        <v>272</v>
      </c>
      <c r="C2424" s="266" t="s">
        <v>3639</v>
      </c>
      <c r="D2424" s="124" t="s">
        <v>3640</v>
      </c>
      <c r="E2424" s="125"/>
      <c r="F2424" s="118" t="s">
        <v>3441</v>
      </c>
      <c r="G2424" s="126" t="str">
        <f t="shared" si="147"/>
        <v>AR-C20P-1</v>
      </c>
      <c r="H2424" s="253">
        <v>1</v>
      </c>
      <c r="J2424" s="299" t="s">
        <v>286</v>
      </c>
      <c r="K2424" s="299"/>
      <c r="L2424" s="84">
        <v>1</v>
      </c>
      <c r="M2424" s="76">
        <v>1</v>
      </c>
      <c r="Q2424" s="84">
        <v>1</v>
      </c>
      <c r="R2424" s="76">
        <v>1</v>
      </c>
    </row>
    <row r="2425" spans="2:18" s="83" customFormat="1" ht="15" hidden="1" customHeight="1" outlineLevel="2">
      <c r="B2425" s="119" t="s">
        <v>272</v>
      </c>
      <c r="C2425" s="266" t="s">
        <v>3641</v>
      </c>
      <c r="D2425" s="124" t="s">
        <v>3642</v>
      </c>
      <c r="E2425" s="125"/>
      <c r="F2425" s="118" t="s">
        <v>3441</v>
      </c>
      <c r="G2425" s="126" t="str">
        <f t="shared" ref="G2425:G2430" si="148">CONCATENATE("AR-",F2425,"-",H2425)</f>
        <v>AR-C20P-1</v>
      </c>
      <c r="H2425" s="253">
        <v>1</v>
      </c>
      <c r="J2425" s="299" t="s">
        <v>286</v>
      </c>
      <c r="K2425" s="299"/>
      <c r="L2425" s="84">
        <v>1</v>
      </c>
      <c r="M2425" s="76">
        <v>1</v>
      </c>
      <c r="Q2425" s="84">
        <v>1</v>
      </c>
      <c r="R2425" s="76">
        <v>1</v>
      </c>
    </row>
    <row r="2426" spans="2:18" s="83" customFormat="1" ht="15" hidden="1" customHeight="1" outlineLevel="2">
      <c r="B2426" s="119" t="s">
        <v>272</v>
      </c>
      <c r="C2426" s="266" t="s">
        <v>3643</v>
      </c>
      <c r="D2426" s="124" t="s">
        <v>3644</v>
      </c>
      <c r="E2426" s="125"/>
      <c r="F2426" s="118" t="s">
        <v>3441</v>
      </c>
      <c r="G2426" s="126" t="str">
        <f t="shared" si="148"/>
        <v>AR-C20P-1</v>
      </c>
      <c r="H2426" s="253">
        <v>1</v>
      </c>
      <c r="J2426" s="299" t="s">
        <v>286</v>
      </c>
      <c r="K2426" s="299"/>
      <c r="L2426" s="84">
        <v>1</v>
      </c>
      <c r="M2426" s="76">
        <v>1</v>
      </c>
      <c r="Q2426" s="84">
        <v>1</v>
      </c>
      <c r="R2426" s="76">
        <v>1</v>
      </c>
    </row>
    <row r="2427" spans="2:18" s="83" customFormat="1" ht="15" hidden="1" customHeight="1" outlineLevel="2">
      <c r="B2427" s="119" t="s">
        <v>272</v>
      </c>
      <c r="C2427" s="266" t="s">
        <v>3645</v>
      </c>
      <c r="D2427" s="124" t="s">
        <v>3646</v>
      </c>
      <c r="E2427" s="125"/>
      <c r="F2427" s="118" t="s">
        <v>3441</v>
      </c>
      <c r="G2427" s="126" t="str">
        <f t="shared" si="148"/>
        <v>AR-C20P-1</v>
      </c>
      <c r="H2427" s="253">
        <v>1</v>
      </c>
      <c r="J2427" s="299" t="s">
        <v>286</v>
      </c>
      <c r="K2427" s="299"/>
      <c r="L2427" s="84">
        <v>1</v>
      </c>
      <c r="M2427" s="76">
        <v>1</v>
      </c>
      <c r="Q2427" s="84">
        <v>1</v>
      </c>
      <c r="R2427" s="76">
        <v>1</v>
      </c>
    </row>
    <row r="2428" spans="2:18" s="83" customFormat="1" ht="15" hidden="1" customHeight="1" outlineLevel="2">
      <c r="B2428" s="119" t="s">
        <v>272</v>
      </c>
      <c r="C2428" s="266" t="s">
        <v>3647</v>
      </c>
      <c r="D2428" s="124" t="s">
        <v>3648</v>
      </c>
      <c r="E2428" s="125"/>
      <c r="F2428" s="118" t="s">
        <v>3441</v>
      </c>
      <c r="G2428" s="126" t="str">
        <f t="shared" si="148"/>
        <v>AR-C20P-1</v>
      </c>
      <c r="H2428" s="253">
        <v>1</v>
      </c>
      <c r="J2428" s="299" t="s">
        <v>286</v>
      </c>
      <c r="K2428" s="299"/>
      <c r="L2428" s="84">
        <v>1</v>
      </c>
      <c r="M2428" s="76">
        <v>1</v>
      </c>
      <c r="Q2428" s="84">
        <v>1</v>
      </c>
      <c r="R2428" s="76">
        <v>1</v>
      </c>
    </row>
    <row r="2429" spans="2:18" s="83" customFormat="1" ht="15" hidden="1" customHeight="1" outlineLevel="2">
      <c r="B2429" s="119" t="s">
        <v>272</v>
      </c>
      <c r="C2429" s="266" t="s">
        <v>3649</v>
      </c>
      <c r="D2429" s="124" t="s">
        <v>3650</v>
      </c>
      <c r="E2429" s="125"/>
      <c r="F2429" s="118" t="s">
        <v>3441</v>
      </c>
      <c r="G2429" s="126" t="str">
        <f t="shared" si="148"/>
        <v>AR-C20P-1</v>
      </c>
      <c r="H2429" s="253">
        <v>1</v>
      </c>
      <c r="J2429" s="299" t="s">
        <v>286</v>
      </c>
      <c r="K2429" s="299"/>
      <c r="L2429" s="84">
        <v>1</v>
      </c>
      <c r="M2429" s="76">
        <v>1</v>
      </c>
      <c r="Q2429" s="84">
        <v>1</v>
      </c>
      <c r="R2429" s="76">
        <v>1</v>
      </c>
    </row>
    <row r="2430" spans="2:18" s="83" customFormat="1" ht="15" hidden="1" customHeight="1" outlineLevel="2">
      <c r="B2430" s="119" t="s">
        <v>272</v>
      </c>
      <c r="C2430" s="266" t="s">
        <v>3651</v>
      </c>
      <c r="D2430" s="124" t="s">
        <v>1502</v>
      </c>
      <c r="E2430" s="125"/>
      <c r="F2430" s="118" t="s">
        <v>3441</v>
      </c>
      <c r="G2430" s="126" t="str">
        <f t="shared" si="148"/>
        <v>AR-C20P-1</v>
      </c>
      <c r="H2430" s="253">
        <v>1</v>
      </c>
      <c r="J2430" s="299" t="s">
        <v>286</v>
      </c>
      <c r="K2430" s="299"/>
      <c r="L2430" s="84">
        <v>1</v>
      </c>
      <c r="M2430" s="76">
        <v>1</v>
      </c>
      <c r="Q2430" s="84">
        <v>1</v>
      </c>
      <c r="R2430" s="76">
        <v>1</v>
      </c>
    </row>
    <row r="2431" spans="2:18" s="83" customFormat="1" ht="15" hidden="1" customHeight="1" outlineLevel="2">
      <c r="B2431" s="119" t="s">
        <v>272</v>
      </c>
      <c r="C2431" s="266" t="s">
        <v>3652</v>
      </c>
      <c r="D2431" s="124" t="s">
        <v>1092</v>
      </c>
      <c r="E2431" s="125"/>
      <c r="F2431" s="118" t="s">
        <v>3441</v>
      </c>
      <c r="G2431" s="126" t="str">
        <f>CONCATENATE("AR-",F2431,"-",H2431)</f>
        <v>AR-C20P-1</v>
      </c>
      <c r="H2431" s="253">
        <v>1</v>
      </c>
      <c r="J2431" s="299" t="s">
        <v>286</v>
      </c>
      <c r="K2431" s="299"/>
      <c r="L2431" s="84">
        <v>1</v>
      </c>
      <c r="M2431" s="76">
        <v>1</v>
      </c>
      <c r="Q2431" s="84">
        <v>1</v>
      </c>
      <c r="R2431" s="76">
        <v>1</v>
      </c>
    </row>
    <row r="2432" spans="2:18" s="83" customFormat="1" ht="15" hidden="1" customHeight="1" outlineLevel="2">
      <c r="B2432" s="119" t="s">
        <v>272</v>
      </c>
      <c r="C2432" s="266" t="s">
        <v>3653</v>
      </c>
      <c r="D2432" s="124" t="s">
        <v>1092</v>
      </c>
      <c r="E2432" s="125"/>
      <c r="F2432" s="118" t="s">
        <v>3441</v>
      </c>
      <c r="G2432" s="126" t="str">
        <f>CONCATENATE("AR-",F2432,"-",H2432)</f>
        <v>AR-C20P-1</v>
      </c>
      <c r="H2432" s="253">
        <v>1</v>
      </c>
      <c r="J2432" s="299" t="s">
        <v>286</v>
      </c>
      <c r="K2432" s="299"/>
      <c r="L2432" s="84">
        <v>1</v>
      </c>
      <c r="M2432" s="76">
        <v>1</v>
      </c>
      <c r="Q2432" s="84">
        <v>1</v>
      </c>
      <c r="R2432" s="76">
        <v>1</v>
      </c>
    </row>
    <row r="2433" spans="2:18" s="83" customFormat="1" ht="15" hidden="1" customHeight="1" outlineLevel="2">
      <c r="B2433" s="119" t="s">
        <v>272</v>
      </c>
      <c r="C2433" s="266" t="s">
        <v>3654</v>
      </c>
      <c r="D2433" s="124" t="s">
        <v>1092</v>
      </c>
      <c r="E2433" s="125"/>
      <c r="F2433" s="118" t="s">
        <v>3441</v>
      </c>
      <c r="G2433" s="126" t="str">
        <f>CONCATENATE("AR-",F2433,"-",H2433)</f>
        <v>AR-C20P-1</v>
      </c>
      <c r="H2433" s="253">
        <v>1</v>
      </c>
      <c r="J2433" s="299" t="s">
        <v>286</v>
      </c>
      <c r="K2433" s="299"/>
      <c r="L2433" s="84">
        <v>1</v>
      </c>
      <c r="M2433" s="76">
        <v>1</v>
      </c>
      <c r="Q2433" s="84">
        <v>1</v>
      </c>
      <c r="R2433" s="76">
        <v>1</v>
      </c>
    </row>
    <row r="2434" spans="2:18" s="83" customFormat="1" ht="15" hidden="1" customHeight="1" outlineLevel="2">
      <c r="B2434" s="119" t="s">
        <v>272</v>
      </c>
      <c r="C2434" s="266" t="s">
        <v>3655</v>
      </c>
      <c r="D2434" s="124" t="s">
        <v>1092</v>
      </c>
      <c r="E2434" s="125"/>
      <c r="F2434" s="118" t="s">
        <v>3441</v>
      </c>
      <c r="G2434" s="126" t="str">
        <f t="shared" ref="G2434:G2453" si="149">CONCATENATE("AR-",F2434,"-",H2434)</f>
        <v>AR-C20P-1</v>
      </c>
      <c r="H2434" s="253">
        <v>1</v>
      </c>
      <c r="J2434" s="299" t="s">
        <v>286</v>
      </c>
      <c r="K2434" s="299"/>
      <c r="L2434" s="84">
        <v>1</v>
      </c>
      <c r="M2434" s="76">
        <v>1</v>
      </c>
      <c r="Q2434" s="84">
        <v>1</v>
      </c>
      <c r="R2434" s="76">
        <v>1</v>
      </c>
    </row>
    <row r="2435" spans="2:18" s="83" customFormat="1" ht="15" hidden="1" customHeight="1" outlineLevel="2">
      <c r="B2435" s="119" t="s">
        <v>272</v>
      </c>
      <c r="C2435" s="266" t="s">
        <v>3656</v>
      </c>
      <c r="D2435" s="124" t="s">
        <v>2511</v>
      </c>
      <c r="E2435" s="125"/>
      <c r="F2435" s="118" t="s">
        <v>3441</v>
      </c>
      <c r="G2435" s="126" t="str">
        <f t="shared" si="149"/>
        <v>AR-C20P-1</v>
      </c>
      <c r="H2435" s="253">
        <v>1</v>
      </c>
      <c r="J2435" s="299" t="s">
        <v>286</v>
      </c>
      <c r="K2435" s="299"/>
      <c r="L2435" s="84">
        <v>1</v>
      </c>
      <c r="M2435" s="76">
        <v>1</v>
      </c>
      <c r="Q2435" s="84">
        <v>1</v>
      </c>
      <c r="R2435" s="76">
        <v>1</v>
      </c>
    </row>
    <row r="2436" spans="2:18" s="83" customFormat="1" ht="15" hidden="1" customHeight="1" outlineLevel="2">
      <c r="B2436" s="119" t="s">
        <v>272</v>
      </c>
      <c r="C2436" s="266" t="s">
        <v>3657</v>
      </c>
      <c r="D2436" s="124" t="s">
        <v>3658</v>
      </c>
      <c r="E2436" s="125"/>
      <c r="F2436" s="118" t="s">
        <v>3441</v>
      </c>
      <c r="G2436" s="126" t="str">
        <f t="shared" si="149"/>
        <v>AR-C20P-1</v>
      </c>
      <c r="H2436" s="253">
        <v>1</v>
      </c>
      <c r="J2436" s="299" t="s">
        <v>286</v>
      </c>
      <c r="K2436" s="299"/>
      <c r="L2436" s="84">
        <v>1</v>
      </c>
      <c r="M2436" s="76">
        <v>1</v>
      </c>
      <c r="Q2436" s="84">
        <v>1</v>
      </c>
      <c r="R2436" s="76">
        <v>1</v>
      </c>
    </row>
    <row r="2437" spans="2:18" s="83" customFormat="1" ht="15" hidden="1" customHeight="1" outlineLevel="2">
      <c r="B2437" s="119" t="s">
        <v>272</v>
      </c>
      <c r="C2437" s="266" t="s">
        <v>3659</v>
      </c>
      <c r="D2437" s="124" t="s">
        <v>3658</v>
      </c>
      <c r="E2437" s="125"/>
      <c r="F2437" s="118" t="s">
        <v>3441</v>
      </c>
      <c r="G2437" s="126" t="str">
        <f t="shared" si="149"/>
        <v>AR-C20P-1</v>
      </c>
      <c r="H2437" s="253">
        <v>1</v>
      </c>
      <c r="J2437" s="299" t="s">
        <v>286</v>
      </c>
      <c r="K2437" s="299"/>
      <c r="L2437" s="84">
        <v>1</v>
      </c>
      <c r="M2437" s="76">
        <v>1</v>
      </c>
      <c r="Q2437" s="84">
        <v>1</v>
      </c>
      <c r="R2437" s="76">
        <v>1</v>
      </c>
    </row>
    <row r="2438" spans="2:18" s="83" customFormat="1" ht="15" hidden="1" customHeight="1" outlineLevel="2">
      <c r="B2438" s="119" t="s">
        <v>272</v>
      </c>
      <c r="C2438" s="266" t="s">
        <v>3660</v>
      </c>
      <c r="D2438" s="124" t="s">
        <v>3658</v>
      </c>
      <c r="E2438" s="125"/>
      <c r="F2438" s="118" t="s">
        <v>3441</v>
      </c>
      <c r="G2438" s="126" t="str">
        <f t="shared" si="149"/>
        <v>AR-C20P-1</v>
      </c>
      <c r="H2438" s="253">
        <v>1</v>
      </c>
      <c r="J2438" s="299" t="s">
        <v>286</v>
      </c>
      <c r="K2438" s="299"/>
      <c r="L2438" s="84">
        <v>1</v>
      </c>
      <c r="M2438" s="76">
        <v>1</v>
      </c>
      <c r="Q2438" s="84">
        <v>1</v>
      </c>
      <c r="R2438" s="76">
        <v>1</v>
      </c>
    </row>
    <row r="2439" spans="2:18" s="83" customFormat="1" ht="15" hidden="1" customHeight="1" outlineLevel="2">
      <c r="B2439" s="119" t="s">
        <v>272</v>
      </c>
      <c r="C2439" s="266" t="s">
        <v>3661</v>
      </c>
      <c r="D2439" s="124" t="s">
        <v>3658</v>
      </c>
      <c r="E2439" s="125"/>
      <c r="F2439" s="118" t="s">
        <v>3441</v>
      </c>
      <c r="G2439" s="126" t="str">
        <f t="shared" si="149"/>
        <v>AR-C20P-1</v>
      </c>
      <c r="H2439" s="253">
        <v>1</v>
      </c>
      <c r="J2439" s="299" t="s">
        <v>286</v>
      </c>
      <c r="K2439" s="299"/>
      <c r="L2439" s="84">
        <v>1</v>
      </c>
      <c r="M2439" s="76">
        <v>1</v>
      </c>
      <c r="Q2439" s="84">
        <v>1</v>
      </c>
      <c r="R2439" s="76">
        <v>1</v>
      </c>
    </row>
    <row r="2440" spans="2:18" s="83" customFormat="1" ht="15" hidden="1" customHeight="1" outlineLevel="2">
      <c r="B2440" s="119" t="s">
        <v>272</v>
      </c>
      <c r="C2440" s="266" t="s">
        <v>3662</v>
      </c>
      <c r="D2440" s="124" t="s">
        <v>3658</v>
      </c>
      <c r="E2440" s="125"/>
      <c r="F2440" s="118" t="s">
        <v>3441</v>
      </c>
      <c r="G2440" s="126" t="str">
        <f t="shared" si="149"/>
        <v>AR-C20P-1</v>
      </c>
      <c r="H2440" s="253">
        <v>1</v>
      </c>
      <c r="J2440" s="299" t="s">
        <v>286</v>
      </c>
      <c r="K2440" s="299"/>
      <c r="L2440" s="84">
        <v>1</v>
      </c>
      <c r="M2440" s="76">
        <v>1</v>
      </c>
      <c r="Q2440" s="84">
        <v>1</v>
      </c>
      <c r="R2440" s="76">
        <v>1</v>
      </c>
    </row>
    <row r="2441" spans="2:18" s="83" customFormat="1" ht="15" hidden="1" customHeight="1" outlineLevel="2">
      <c r="B2441" s="119" t="s">
        <v>272</v>
      </c>
      <c r="C2441" s="266" t="s">
        <v>3663</v>
      </c>
      <c r="D2441" s="124" t="s">
        <v>3658</v>
      </c>
      <c r="E2441" s="125"/>
      <c r="F2441" s="118" t="s">
        <v>3441</v>
      </c>
      <c r="G2441" s="126" t="str">
        <f t="shared" si="149"/>
        <v>AR-C20P-1</v>
      </c>
      <c r="H2441" s="253">
        <v>1</v>
      </c>
      <c r="J2441" s="299" t="s">
        <v>286</v>
      </c>
      <c r="K2441" s="299"/>
      <c r="L2441" s="84">
        <v>1</v>
      </c>
      <c r="M2441" s="76">
        <v>1</v>
      </c>
      <c r="Q2441" s="84">
        <v>1</v>
      </c>
      <c r="R2441" s="76">
        <v>1</v>
      </c>
    </row>
    <row r="2442" spans="2:18" s="83" customFormat="1" ht="15" hidden="1" customHeight="1" outlineLevel="2">
      <c r="B2442" s="119" t="s">
        <v>272</v>
      </c>
      <c r="C2442" s="266" t="s">
        <v>3664</v>
      </c>
      <c r="D2442" s="124" t="s">
        <v>3658</v>
      </c>
      <c r="E2442" s="125"/>
      <c r="F2442" s="118" t="s">
        <v>3441</v>
      </c>
      <c r="G2442" s="126" t="str">
        <f t="shared" si="149"/>
        <v>AR-C20P-1</v>
      </c>
      <c r="H2442" s="253">
        <v>1</v>
      </c>
      <c r="J2442" s="299" t="s">
        <v>286</v>
      </c>
      <c r="K2442" s="299"/>
      <c r="L2442" s="84">
        <v>1</v>
      </c>
      <c r="M2442" s="76">
        <v>1</v>
      </c>
      <c r="Q2442" s="84">
        <v>1</v>
      </c>
      <c r="R2442" s="76">
        <v>1</v>
      </c>
    </row>
    <row r="2443" spans="2:18" s="83" customFormat="1" ht="15" hidden="1" customHeight="1" outlineLevel="2">
      <c r="B2443" s="119" t="s">
        <v>272</v>
      </c>
      <c r="C2443" s="266" t="s">
        <v>3665</v>
      </c>
      <c r="D2443" s="124" t="s">
        <v>3658</v>
      </c>
      <c r="E2443" s="125"/>
      <c r="F2443" s="118" t="s">
        <v>3441</v>
      </c>
      <c r="G2443" s="126" t="str">
        <f t="shared" si="149"/>
        <v>AR-C20P-1</v>
      </c>
      <c r="H2443" s="253">
        <v>1</v>
      </c>
      <c r="J2443" s="299" t="s">
        <v>286</v>
      </c>
      <c r="K2443" s="299"/>
      <c r="L2443" s="84">
        <v>1</v>
      </c>
      <c r="M2443" s="76">
        <v>1</v>
      </c>
      <c r="Q2443" s="84">
        <v>1</v>
      </c>
      <c r="R2443" s="76">
        <v>1</v>
      </c>
    </row>
    <row r="2444" spans="2:18" s="83" customFormat="1" ht="15" hidden="1" customHeight="1" outlineLevel="2">
      <c r="B2444" s="119" t="s">
        <v>272</v>
      </c>
      <c r="C2444" s="266" t="s">
        <v>3666</v>
      </c>
      <c r="D2444" s="124" t="s">
        <v>3658</v>
      </c>
      <c r="E2444" s="125"/>
      <c r="F2444" s="118" t="s">
        <v>3441</v>
      </c>
      <c r="G2444" s="126" t="str">
        <f t="shared" si="149"/>
        <v>AR-C20P-1</v>
      </c>
      <c r="H2444" s="253">
        <v>1</v>
      </c>
      <c r="J2444" s="299" t="s">
        <v>286</v>
      </c>
      <c r="K2444" s="299"/>
      <c r="L2444" s="84">
        <v>1</v>
      </c>
      <c r="M2444" s="76">
        <v>1</v>
      </c>
      <c r="Q2444" s="84">
        <v>1</v>
      </c>
      <c r="R2444" s="76">
        <v>1</v>
      </c>
    </row>
    <row r="2445" spans="2:18" s="83" customFormat="1" ht="15" hidden="1" customHeight="1" outlineLevel="2">
      <c r="B2445" s="119" t="s">
        <v>272</v>
      </c>
      <c r="C2445" s="266" t="s">
        <v>3667</v>
      </c>
      <c r="D2445" s="124" t="s">
        <v>3658</v>
      </c>
      <c r="E2445" s="125"/>
      <c r="F2445" s="118" t="s">
        <v>3441</v>
      </c>
      <c r="G2445" s="126" t="str">
        <f t="shared" si="149"/>
        <v>AR-C20P-1</v>
      </c>
      <c r="H2445" s="253">
        <v>1</v>
      </c>
      <c r="J2445" s="299" t="s">
        <v>286</v>
      </c>
      <c r="K2445" s="299"/>
      <c r="L2445" s="84">
        <v>1</v>
      </c>
      <c r="M2445" s="76">
        <v>1</v>
      </c>
      <c r="Q2445" s="84">
        <v>1</v>
      </c>
      <c r="R2445" s="76">
        <v>1</v>
      </c>
    </row>
    <row r="2446" spans="2:18" s="83" customFormat="1" ht="15" hidden="1" customHeight="1" outlineLevel="2">
      <c r="B2446" s="119" t="s">
        <v>272</v>
      </c>
      <c r="C2446" s="266" t="s">
        <v>3668</v>
      </c>
      <c r="D2446" s="124" t="s">
        <v>3669</v>
      </c>
      <c r="E2446" s="125"/>
      <c r="F2446" s="118" t="s">
        <v>3441</v>
      </c>
      <c r="G2446" s="126" t="str">
        <f t="shared" si="149"/>
        <v>AR-C20P-1</v>
      </c>
      <c r="H2446" s="253">
        <v>1</v>
      </c>
      <c r="J2446" s="299" t="s">
        <v>286</v>
      </c>
      <c r="K2446" s="299"/>
      <c r="L2446" s="84">
        <v>1</v>
      </c>
      <c r="M2446" s="76">
        <v>1</v>
      </c>
      <c r="Q2446" s="84">
        <v>1</v>
      </c>
      <c r="R2446" s="76">
        <v>1</v>
      </c>
    </row>
    <row r="2447" spans="2:18" s="83" customFormat="1" ht="15" hidden="1" customHeight="1" outlineLevel="2">
      <c r="B2447" s="119" t="s">
        <v>272</v>
      </c>
      <c r="C2447" s="266" t="s">
        <v>3670</v>
      </c>
      <c r="D2447" s="124" t="s">
        <v>3669</v>
      </c>
      <c r="E2447" s="125"/>
      <c r="F2447" s="118" t="s">
        <v>3441</v>
      </c>
      <c r="G2447" s="126" t="str">
        <f t="shared" si="149"/>
        <v>AR-C20P-1</v>
      </c>
      <c r="H2447" s="253">
        <v>1</v>
      </c>
      <c r="J2447" s="299" t="s">
        <v>286</v>
      </c>
      <c r="K2447" s="299"/>
      <c r="L2447" s="84">
        <v>1</v>
      </c>
      <c r="M2447" s="76">
        <v>1</v>
      </c>
      <c r="Q2447" s="84">
        <v>1</v>
      </c>
      <c r="R2447" s="76">
        <v>1</v>
      </c>
    </row>
    <row r="2448" spans="2:18" s="83" customFormat="1" ht="15" hidden="1" customHeight="1" outlineLevel="2">
      <c r="B2448" s="119" t="s">
        <v>272</v>
      </c>
      <c r="C2448" s="266" t="s">
        <v>3671</v>
      </c>
      <c r="D2448" s="124" t="s">
        <v>3669</v>
      </c>
      <c r="E2448" s="125"/>
      <c r="F2448" s="118" t="s">
        <v>3441</v>
      </c>
      <c r="G2448" s="126" t="str">
        <f t="shared" si="149"/>
        <v>AR-C20P-1</v>
      </c>
      <c r="H2448" s="253">
        <v>1</v>
      </c>
      <c r="J2448" s="299" t="s">
        <v>286</v>
      </c>
      <c r="K2448" s="299"/>
      <c r="L2448" s="84">
        <v>1</v>
      </c>
      <c r="M2448" s="76">
        <v>1</v>
      </c>
      <c r="Q2448" s="84">
        <v>1</v>
      </c>
      <c r="R2448" s="76">
        <v>1</v>
      </c>
    </row>
    <row r="2449" spans="2:18" s="83" customFormat="1" ht="15" hidden="1" customHeight="1" outlineLevel="2">
      <c r="B2449" s="119" t="s">
        <v>272</v>
      </c>
      <c r="C2449" s="266" t="s">
        <v>3672</v>
      </c>
      <c r="D2449" s="124" t="s">
        <v>3673</v>
      </c>
      <c r="E2449" s="125"/>
      <c r="F2449" s="118" t="s">
        <v>3441</v>
      </c>
      <c r="G2449" s="126" t="str">
        <f t="shared" si="149"/>
        <v>AR-C20P-1</v>
      </c>
      <c r="H2449" s="253">
        <v>1</v>
      </c>
      <c r="J2449" s="299" t="s">
        <v>286</v>
      </c>
      <c r="K2449" s="299"/>
      <c r="L2449" s="84">
        <v>1</v>
      </c>
      <c r="M2449" s="76">
        <v>1</v>
      </c>
      <c r="Q2449" s="84">
        <v>1</v>
      </c>
      <c r="R2449" s="76">
        <v>1</v>
      </c>
    </row>
    <row r="2450" spans="2:18" s="83" customFormat="1" ht="15" hidden="1" customHeight="1" outlineLevel="2">
      <c r="B2450" s="119" t="s">
        <v>272</v>
      </c>
      <c r="C2450" s="266" t="s">
        <v>3674</v>
      </c>
      <c r="D2450" s="124" t="s">
        <v>3673</v>
      </c>
      <c r="E2450" s="125"/>
      <c r="F2450" s="118" t="s">
        <v>3441</v>
      </c>
      <c r="G2450" s="126" t="str">
        <f t="shared" si="149"/>
        <v>AR-C20P-1</v>
      </c>
      <c r="H2450" s="253">
        <v>1</v>
      </c>
      <c r="J2450" s="299" t="s">
        <v>286</v>
      </c>
      <c r="K2450" s="299"/>
      <c r="L2450" s="84">
        <v>1</v>
      </c>
      <c r="M2450" s="76">
        <v>1</v>
      </c>
      <c r="Q2450" s="84">
        <v>1</v>
      </c>
      <c r="R2450" s="76">
        <v>1</v>
      </c>
    </row>
    <row r="2451" spans="2:18" s="83" customFormat="1" ht="15" hidden="1" customHeight="1" outlineLevel="2">
      <c r="B2451" s="119" t="s">
        <v>272</v>
      </c>
      <c r="C2451" s="266" t="s">
        <v>3675</v>
      </c>
      <c r="D2451" s="124" t="s">
        <v>3673</v>
      </c>
      <c r="E2451" s="125"/>
      <c r="F2451" s="118" t="s">
        <v>3441</v>
      </c>
      <c r="G2451" s="126" t="str">
        <f t="shared" si="149"/>
        <v>AR-C20P-1</v>
      </c>
      <c r="H2451" s="253">
        <v>1</v>
      </c>
      <c r="J2451" s="299" t="s">
        <v>286</v>
      </c>
      <c r="K2451" s="299"/>
      <c r="L2451" s="84">
        <v>1</v>
      </c>
      <c r="M2451" s="76">
        <v>1</v>
      </c>
      <c r="Q2451" s="84">
        <v>1</v>
      </c>
      <c r="R2451" s="76">
        <v>1</v>
      </c>
    </row>
    <row r="2452" spans="2:18" s="83" customFormat="1" ht="15" hidden="1" customHeight="1" outlineLevel="2">
      <c r="B2452" s="119" t="s">
        <v>272</v>
      </c>
      <c r="C2452" s="266" t="s">
        <v>3676</v>
      </c>
      <c r="D2452" s="124" t="s">
        <v>3673</v>
      </c>
      <c r="E2452" s="125"/>
      <c r="F2452" s="118" t="s">
        <v>3441</v>
      </c>
      <c r="G2452" s="126" t="str">
        <f t="shared" si="149"/>
        <v>AR-C20P-1</v>
      </c>
      <c r="H2452" s="253">
        <v>1</v>
      </c>
      <c r="J2452" s="299" t="s">
        <v>286</v>
      </c>
      <c r="K2452" s="299"/>
      <c r="L2452" s="84">
        <v>1</v>
      </c>
      <c r="M2452" s="76">
        <v>1</v>
      </c>
      <c r="Q2452" s="84">
        <v>1</v>
      </c>
      <c r="R2452" s="76">
        <v>1</v>
      </c>
    </row>
    <row r="2453" spans="2:18" s="83" customFormat="1" ht="15" hidden="1" customHeight="1" outlineLevel="2">
      <c r="B2453" s="119" t="s">
        <v>272</v>
      </c>
      <c r="C2453" s="266" t="s">
        <v>3677</v>
      </c>
      <c r="D2453" s="124" t="s">
        <v>3673</v>
      </c>
      <c r="E2453" s="125"/>
      <c r="F2453" s="118" t="s">
        <v>3441</v>
      </c>
      <c r="G2453" s="126" t="str">
        <f t="shared" si="149"/>
        <v>AR-C20P-1</v>
      </c>
      <c r="H2453" s="253">
        <v>1</v>
      </c>
      <c r="J2453" s="299" t="s">
        <v>286</v>
      </c>
      <c r="K2453" s="299"/>
      <c r="L2453" s="84">
        <v>1</v>
      </c>
      <c r="M2453" s="76">
        <v>1</v>
      </c>
      <c r="Q2453" s="84">
        <v>1</v>
      </c>
      <c r="R2453" s="76">
        <v>1</v>
      </c>
    </row>
    <row r="2454" spans="2:18" s="83" customFormat="1" ht="15" hidden="1" customHeight="1" outlineLevel="2">
      <c r="B2454" s="119" t="s">
        <v>272</v>
      </c>
      <c r="C2454" s="266" t="s">
        <v>3678</v>
      </c>
      <c r="D2454" s="124" t="s">
        <v>3679</v>
      </c>
      <c r="E2454" s="125"/>
      <c r="F2454" s="118" t="s">
        <v>3441</v>
      </c>
      <c r="G2454" s="126" t="str">
        <f t="shared" ref="G2454:G2494" si="150">CONCATENATE("AR-",F2454,"-",H2454)</f>
        <v>AR-C20P-1</v>
      </c>
      <c r="H2454" s="253">
        <v>1</v>
      </c>
      <c r="J2454" s="299" t="s">
        <v>286</v>
      </c>
      <c r="K2454" s="299"/>
      <c r="L2454" s="84">
        <v>1</v>
      </c>
      <c r="M2454" s="76">
        <v>1</v>
      </c>
      <c r="Q2454" s="84">
        <v>1</v>
      </c>
      <c r="R2454" s="76">
        <v>1</v>
      </c>
    </row>
    <row r="2455" spans="2:18" s="83" customFormat="1" ht="15" hidden="1" customHeight="1" outlineLevel="2">
      <c r="B2455" s="119" t="s">
        <v>272</v>
      </c>
      <c r="C2455" s="266" t="s">
        <v>3680</v>
      </c>
      <c r="D2455" s="124" t="s">
        <v>3679</v>
      </c>
      <c r="E2455" s="125"/>
      <c r="F2455" s="118" t="s">
        <v>3441</v>
      </c>
      <c r="G2455" s="126" t="str">
        <f t="shared" si="150"/>
        <v>AR-C20P-1</v>
      </c>
      <c r="H2455" s="253">
        <v>1</v>
      </c>
      <c r="J2455" s="299" t="s">
        <v>286</v>
      </c>
      <c r="K2455" s="299"/>
      <c r="L2455" s="84">
        <v>1</v>
      </c>
      <c r="M2455" s="76">
        <v>1</v>
      </c>
      <c r="Q2455" s="84">
        <v>1</v>
      </c>
      <c r="R2455" s="76">
        <v>1</v>
      </c>
    </row>
    <row r="2456" spans="2:18" s="100" customFormat="1" ht="15" hidden="1" customHeight="1" outlineLevel="2">
      <c r="B2456" s="119" t="s">
        <v>272</v>
      </c>
      <c r="C2456" s="266" t="s">
        <v>3681</v>
      </c>
      <c r="D2456" s="124" t="s">
        <v>1120</v>
      </c>
      <c r="E2456" s="125"/>
      <c r="F2456" s="118" t="s">
        <v>3441</v>
      </c>
      <c r="G2456" s="126" t="str">
        <f t="shared" si="150"/>
        <v>AR-C20P-1</v>
      </c>
      <c r="H2456" s="253">
        <v>1</v>
      </c>
      <c r="J2456" s="299" t="s">
        <v>286</v>
      </c>
      <c r="K2456" s="299"/>
      <c r="L2456" s="84">
        <v>1</v>
      </c>
      <c r="M2456" s="76">
        <v>1</v>
      </c>
      <c r="Q2456" s="84">
        <v>1</v>
      </c>
      <c r="R2456" s="76">
        <v>1</v>
      </c>
    </row>
    <row r="2457" spans="2:18" s="83" customFormat="1" ht="15" hidden="1" customHeight="1" outlineLevel="2">
      <c r="B2457" s="119" t="s">
        <v>272</v>
      </c>
      <c r="C2457" s="266" t="s">
        <v>3682</v>
      </c>
      <c r="D2457" s="124" t="s">
        <v>3683</v>
      </c>
      <c r="E2457" s="125"/>
      <c r="F2457" s="118" t="s">
        <v>3441</v>
      </c>
      <c r="G2457" s="126" t="str">
        <f t="shared" si="150"/>
        <v>AR-C20P-1</v>
      </c>
      <c r="H2457" s="253">
        <v>1</v>
      </c>
      <c r="J2457" s="299" t="s">
        <v>286</v>
      </c>
      <c r="K2457" s="299"/>
      <c r="L2457" s="84">
        <v>1</v>
      </c>
      <c r="M2457" s="76">
        <v>1</v>
      </c>
      <c r="Q2457" s="84">
        <v>1</v>
      </c>
      <c r="R2457" s="76">
        <v>1</v>
      </c>
    </row>
    <row r="2458" spans="2:18" s="83" customFormat="1" ht="15" hidden="1" customHeight="1" outlineLevel="2">
      <c r="B2458" s="119" t="s">
        <v>272</v>
      </c>
      <c r="C2458" s="266" t="s">
        <v>3684</v>
      </c>
      <c r="D2458" s="124" t="s">
        <v>3683</v>
      </c>
      <c r="E2458" s="125"/>
      <c r="F2458" s="118" t="s">
        <v>3441</v>
      </c>
      <c r="G2458" s="126" t="str">
        <f t="shared" si="150"/>
        <v>AR-C20P-1</v>
      </c>
      <c r="H2458" s="253">
        <v>1</v>
      </c>
      <c r="J2458" s="299" t="s">
        <v>286</v>
      </c>
      <c r="K2458" s="299"/>
      <c r="L2458" s="84">
        <v>1</v>
      </c>
      <c r="M2458" s="76">
        <v>1</v>
      </c>
      <c r="Q2458" s="84">
        <v>1</v>
      </c>
      <c r="R2458" s="76">
        <v>1</v>
      </c>
    </row>
    <row r="2459" spans="2:18" s="83" customFormat="1" ht="15" hidden="1" customHeight="1" outlineLevel="2">
      <c r="B2459" s="119" t="s">
        <v>272</v>
      </c>
      <c r="C2459" s="266" t="s">
        <v>3685</v>
      </c>
      <c r="D2459" s="124" t="s">
        <v>1434</v>
      </c>
      <c r="E2459" s="125"/>
      <c r="F2459" s="118" t="s">
        <v>3441</v>
      </c>
      <c r="G2459" s="126" t="str">
        <f t="shared" si="150"/>
        <v>AR-C20P-1</v>
      </c>
      <c r="H2459" s="253">
        <v>1</v>
      </c>
      <c r="J2459" s="299" t="s">
        <v>286</v>
      </c>
      <c r="K2459" s="299"/>
      <c r="L2459" s="84">
        <v>1</v>
      </c>
      <c r="M2459" s="76">
        <v>1</v>
      </c>
      <c r="Q2459" s="84">
        <v>1</v>
      </c>
      <c r="R2459" s="76">
        <v>1</v>
      </c>
    </row>
    <row r="2460" spans="2:18" s="83" customFormat="1" ht="15" hidden="1" customHeight="1" outlineLevel="2">
      <c r="B2460" s="119" t="s">
        <v>272</v>
      </c>
      <c r="C2460" s="266" t="s">
        <v>3686</v>
      </c>
      <c r="D2460" s="124" t="s">
        <v>3489</v>
      </c>
      <c r="E2460" s="125"/>
      <c r="F2460" s="118" t="s">
        <v>3441</v>
      </c>
      <c r="G2460" s="126" t="str">
        <f t="shared" si="150"/>
        <v>AR-C20P-1</v>
      </c>
      <c r="H2460" s="253">
        <v>1</v>
      </c>
      <c r="J2460" s="299" t="s">
        <v>286</v>
      </c>
      <c r="K2460" s="299"/>
      <c r="L2460" s="84">
        <v>1</v>
      </c>
      <c r="M2460" s="76">
        <v>1</v>
      </c>
      <c r="Q2460" s="84">
        <v>1</v>
      </c>
      <c r="R2460" s="76">
        <v>1</v>
      </c>
    </row>
    <row r="2461" spans="2:18" s="83" customFormat="1" ht="15" hidden="1" customHeight="1" outlineLevel="2">
      <c r="B2461" s="119" t="s">
        <v>272</v>
      </c>
      <c r="C2461" s="266" t="s">
        <v>3687</v>
      </c>
      <c r="D2461" s="124" t="s">
        <v>3491</v>
      </c>
      <c r="E2461" s="125"/>
      <c r="F2461" s="118" t="s">
        <v>3441</v>
      </c>
      <c r="G2461" s="126" t="str">
        <f t="shared" si="150"/>
        <v>AR-C20P-1</v>
      </c>
      <c r="H2461" s="253">
        <v>1</v>
      </c>
      <c r="J2461" s="299" t="s">
        <v>286</v>
      </c>
      <c r="K2461" s="299"/>
      <c r="L2461" s="84">
        <v>1</v>
      </c>
      <c r="M2461" s="76">
        <v>1</v>
      </c>
      <c r="Q2461" s="84">
        <v>1</v>
      </c>
      <c r="R2461" s="76">
        <v>1</v>
      </c>
    </row>
    <row r="2462" spans="2:18" s="83" customFormat="1" ht="15" hidden="1" customHeight="1" outlineLevel="2">
      <c r="B2462" s="119" t="s">
        <v>272</v>
      </c>
      <c r="C2462" s="266" t="s">
        <v>3688</v>
      </c>
      <c r="D2462" s="124" t="s">
        <v>3493</v>
      </c>
      <c r="E2462" s="125"/>
      <c r="F2462" s="118" t="s">
        <v>3441</v>
      </c>
      <c r="G2462" s="126" t="str">
        <f t="shared" si="150"/>
        <v>AR-C20P-1</v>
      </c>
      <c r="H2462" s="253">
        <v>1</v>
      </c>
      <c r="J2462" s="299" t="s">
        <v>286</v>
      </c>
      <c r="K2462" s="299"/>
      <c r="L2462" s="84">
        <v>1</v>
      </c>
      <c r="M2462" s="76">
        <v>1</v>
      </c>
      <c r="Q2462" s="84">
        <v>1</v>
      </c>
      <c r="R2462" s="76">
        <v>1</v>
      </c>
    </row>
    <row r="2463" spans="2:18" s="83" customFormat="1" ht="15" hidden="1" customHeight="1" outlineLevel="2">
      <c r="B2463" s="119" t="s">
        <v>272</v>
      </c>
      <c r="C2463" s="266" t="s">
        <v>3689</v>
      </c>
      <c r="D2463" s="124" t="s">
        <v>3495</v>
      </c>
      <c r="E2463" s="125"/>
      <c r="F2463" s="118" t="s">
        <v>3441</v>
      </c>
      <c r="G2463" s="126" t="str">
        <f t="shared" si="150"/>
        <v>AR-C20P-1</v>
      </c>
      <c r="H2463" s="253">
        <v>1</v>
      </c>
      <c r="J2463" s="299" t="s">
        <v>286</v>
      </c>
      <c r="K2463" s="299"/>
      <c r="L2463" s="84">
        <v>1</v>
      </c>
      <c r="M2463" s="76">
        <v>1</v>
      </c>
      <c r="Q2463" s="84">
        <v>1</v>
      </c>
      <c r="R2463" s="76">
        <v>1</v>
      </c>
    </row>
    <row r="2464" spans="2:18" s="83" customFormat="1" ht="15" hidden="1" customHeight="1" outlineLevel="2">
      <c r="B2464" s="119" t="s">
        <v>272</v>
      </c>
      <c r="C2464" s="266" t="s">
        <v>3690</v>
      </c>
      <c r="D2464" s="124" t="s">
        <v>3497</v>
      </c>
      <c r="E2464" s="125"/>
      <c r="F2464" s="118" t="s">
        <v>3441</v>
      </c>
      <c r="G2464" s="126" t="str">
        <f t="shared" si="150"/>
        <v>AR-C20P-1</v>
      </c>
      <c r="H2464" s="253">
        <v>1</v>
      </c>
      <c r="J2464" s="299" t="s">
        <v>286</v>
      </c>
      <c r="K2464" s="299"/>
      <c r="L2464" s="84">
        <v>1</v>
      </c>
      <c r="M2464" s="76">
        <v>1</v>
      </c>
      <c r="Q2464" s="84">
        <v>1</v>
      </c>
      <c r="R2464" s="76">
        <v>1</v>
      </c>
    </row>
    <row r="2465" spans="2:18" s="83" customFormat="1" ht="15" hidden="1" customHeight="1" outlineLevel="2">
      <c r="B2465" s="119" t="s">
        <v>272</v>
      </c>
      <c r="C2465" s="266" t="s">
        <v>3691</v>
      </c>
      <c r="D2465" s="124" t="s">
        <v>3499</v>
      </c>
      <c r="E2465" s="125"/>
      <c r="F2465" s="118" t="s">
        <v>3441</v>
      </c>
      <c r="G2465" s="126" t="str">
        <f t="shared" si="150"/>
        <v>AR-C20P-1</v>
      </c>
      <c r="H2465" s="253">
        <v>1</v>
      </c>
      <c r="J2465" s="299" t="s">
        <v>286</v>
      </c>
      <c r="K2465" s="299"/>
      <c r="L2465" s="84">
        <v>1</v>
      </c>
      <c r="M2465" s="76">
        <v>1</v>
      </c>
      <c r="Q2465" s="84">
        <v>1</v>
      </c>
      <c r="R2465" s="76">
        <v>1</v>
      </c>
    </row>
    <row r="2466" spans="2:18" s="83" customFormat="1" ht="15" hidden="1" customHeight="1" outlineLevel="2">
      <c r="B2466" s="119" t="s">
        <v>272</v>
      </c>
      <c r="C2466" s="266" t="s">
        <v>3692</v>
      </c>
      <c r="D2466" s="124" t="s">
        <v>3501</v>
      </c>
      <c r="E2466" s="125"/>
      <c r="F2466" s="118" t="s">
        <v>3441</v>
      </c>
      <c r="G2466" s="126" t="str">
        <f t="shared" si="150"/>
        <v>AR-C20P-1</v>
      </c>
      <c r="H2466" s="253">
        <v>1</v>
      </c>
      <c r="J2466" s="299" t="s">
        <v>286</v>
      </c>
      <c r="K2466" s="299"/>
      <c r="L2466" s="84">
        <v>1</v>
      </c>
      <c r="M2466" s="76">
        <v>1</v>
      </c>
      <c r="Q2466" s="84">
        <v>1</v>
      </c>
      <c r="R2466" s="76">
        <v>1</v>
      </c>
    </row>
    <row r="2467" spans="2:18" s="83" customFormat="1" ht="15" hidden="1" customHeight="1" outlineLevel="2">
      <c r="B2467" s="119" t="s">
        <v>272</v>
      </c>
      <c r="C2467" s="266" t="s">
        <v>3693</v>
      </c>
      <c r="D2467" s="124" t="s">
        <v>3503</v>
      </c>
      <c r="E2467" s="125"/>
      <c r="F2467" s="118" t="s">
        <v>3441</v>
      </c>
      <c r="G2467" s="126" t="str">
        <f t="shared" si="150"/>
        <v>AR-C20P-1</v>
      </c>
      <c r="H2467" s="253">
        <v>1</v>
      </c>
      <c r="J2467" s="299" t="s">
        <v>286</v>
      </c>
      <c r="K2467" s="299"/>
      <c r="L2467" s="84">
        <v>1</v>
      </c>
      <c r="M2467" s="76">
        <v>1</v>
      </c>
      <c r="Q2467" s="84">
        <v>1</v>
      </c>
      <c r="R2467" s="76">
        <v>1</v>
      </c>
    </row>
    <row r="2468" spans="2:18" s="83" customFormat="1" ht="15" hidden="1" customHeight="1" outlineLevel="2">
      <c r="B2468" s="119" t="s">
        <v>272</v>
      </c>
      <c r="C2468" s="266" t="s">
        <v>3694</v>
      </c>
      <c r="D2468" s="124" t="s">
        <v>3509</v>
      </c>
      <c r="E2468" s="125"/>
      <c r="F2468" s="118" t="s">
        <v>3441</v>
      </c>
      <c r="G2468" s="126" t="str">
        <f t="shared" si="150"/>
        <v>AR-C20P-1</v>
      </c>
      <c r="H2468" s="253">
        <v>1</v>
      </c>
      <c r="J2468" s="299" t="s">
        <v>286</v>
      </c>
      <c r="K2468" s="299"/>
      <c r="L2468" s="84">
        <v>1</v>
      </c>
      <c r="M2468" s="76">
        <v>1</v>
      </c>
      <c r="Q2468" s="84">
        <v>1</v>
      </c>
      <c r="R2468" s="76">
        <v>1</v>
      </c>
    </row>
    <row r="2469" spans="2:18" s="83" customFormat="1" ht="15" hidden="1" customHeight="1" outlineLevel="2">
      <c r="B2469" s="119" t="s">
        <v>272</v>
      </c>
      <c r="C2469" s="266" t="s">
        <v>3695</v>
      </c>
      <c r="D2469" s="124" t="s">
        <v>3509</v>
      </c>
      <c r="E2469" s="125"/>
      <c r="F2469" s="118" t="s">
        <v>3441</v>
      </c>
      <c r="G2469" s="126" t="str">
        <f t="shared" si="150"/>
        <v>AR-C20P-1</v>
      </c>
      <c r="H2469" s="253">
        <v>1</v>
      </c>
      <c r="J2469" s="299" t="s">
        <v>286</v>
      </c>
      <c r="K2469" s="299"/>
      <c r="L2469" s="84">
        <v>1</v>
      </c>
      <c r="M2469" s="76">
        <v>1</v>
      </c>
      <c r="Q2469" s="84">
        <v>1</v>
      </c>
      <c r="R2469" s="76">
        <v>1</v>
      </c>
    </row>
    <row r="2470" spans="2:18" s="83" customFormat="1" ht="15" hidden="1" customHeight="1" outlineLevel="2">
      <c r="B2470" s="119" t="s">
        <v>272</v>
      </c>
      <c r="C2470" s="266" t="s">
        <v>3696</v>
      </c>
      <c r="D2470" s="124" t="s">
        <v>3509</v>
      </c>
      <c r="E2470" s="125"/>
      <c r="F2470" s="118" t="s">
        <v>3441</v>
      </c>
      <c r="G2470" s="126" t="str">
        <f t="shared" si="150"/>
        <v>AR-C20P-1</v>
      </c>
      <c r="H2470" s="253">
        <v>1</v>
      </c>
      <c r="J2470" s="299" t="s">
        <v>286</v>
      </c>
      <c r="K2470" s="299"/>
      <c r="L2470" s="84">
        <v>1</v>
      </c>
      <c r="M2470" s="76">
        <v>1</v>
      </c>
      <c r="Q2470" s="84">
        <v>1</v>
      </c>
      <c r="R2470" s="76">
        <v>1</v>
      </c>
    </row>
    <row r="2471" spans="2:18" s="99" customFormat="1" ht="15" hidden="1" customHeight="1" outlineLevel="2">
      <c r="B2471" s="119" t="s">
        <v>272</v>
      </c>
      <c r="C2471" s="266" t="s">
        <v>3697</v>
      </c>
      <c r="D2471" s="124" t="s">
        <v>3513</v>
      </c>
      <c r="E2471" s="125"/>
      <c r="F2471" s="118" t="s">
        <v>3441</v>
      </c>
      <c r="G2471" s="126" t="str">
        <f t="shared" si="150"/>
        <v>AR-C20P-1</v>
      </c>
      <c r="H2471" s="253">
        <v>1</v>
      </c>
      <c r="J2471" s="299" t="s">
        <v>286</v>
      </c>
      <c r="K2471" s="299"/>
      <c r="L2471" s="84">
        <v>1</v>
      </c>
      <c r="M2471" s="76">
        <v>1</v>
      </c>
      <c r="Q2471" s="84">
        <v>1</v>
      </c>
      <c r="R2471" s="76">
        <v>1</v>
      </c>
    </row>
    <row r="2472" spans="2:18" s="83" customFormat="1" ht="15" hidden="1" customHeight="1" outlineLevel="2">
      <c r="B2472" s="119" t="s">
        <v>272</v>
      </c>
      <c r="C2472" s="266" t="s">
        <v>3698</v>
      </c>
      <c r="D2472" s="124" t="s">
        <v>3513</v>
      </c>
      <c r="E2472" s="125"/>
      <c r="F2472" s="118" t="s">
        <v>3441</v>
      </c>
      <c r="G2472" s="126" t="str">
        <f t="shared" si="150"/>
        <v>AR-C20P-1</v>
      </c>
      <c r="H2472" s="253">
        <v>1</v>
      </c>
      <c r="J2472" s="299" t="s">
        <v>286</v>
      </c>
      <c r="K2472" s="299"/>
      <c r="L2472" s="84">
        <v>1</v>
      </c>
      <c r="M2472" s="76">
        <v>1</v>
      </c>
      <c r="Q2472" s="84">
        <v>1</v>
      </c>
      <c r="R2472" s="76">
        <v>1</v>
      </c>
    </row>
    <row r="2473" spans="2:18" s="83" customFormat="1" ht="15" hidden="1" customHeight="1" outlineLevel="2">
      <c r="B2473" s="119" t="s">
        <v>272</v>
      </c>
      <c r="C2473" s="266" t="s">
        <v>3699</v>
      </c>
      <c r="D2473" s="124" t="s">
        <v>3513</v>
      </c>
      <c r="E2473" s="125"/>
      <c r="F2473" s="118" t="s">
        <v>3441</v>
      </c>
      <c r="G2473" s="126" t="str">
        <f t="shared" si="150"/>
        <v>AR-C20P-1</v>
      </c>
      <c r="H2473" s="253">
        <v>1</v>
      </c>
      <c r="J2473" s="299" t="s">
        <v>286</v>
      </c>
      <c r="K2473" s="299"/>
      <c r="L2473" s="84">
        <v>1</v>
      </c>
      <c r="M2473" s="76">
        <v>1</v>
      </c>
      <c r="Q2473" s="84">
        <v>1</v>
      </c>
      <c r="R2473" s="76">
        <v>1</v>
      </c>
    </row>
    <row r="2474" spans="2:18" s="83" customFormat="1" ht="15" hidden="1" customHeight="1" outlineLevel="2">
      <c r="B2474" s="119" t="s">
        <v>272</v>
      </c>
      <c r="C2474" s="266" t="s">
        <v>3700</v>
      </c>
      <c r="D2474" s="124" t="s">
        <v>3513</v>
      </c>
      <c r="E2474" s="125"/>
      <c r="F2474" s="118" t="s">
        <v>3441</v>
      </c>
      <c r="G2474" s="126" t="str">
        <f t="shared" si="150"/>
        <v>AR-C20P-1</v>
      </c>
      <c r="H2474" s="253">
        <v>1</v>
      </c>
      <c r="J2474" s="299" t="s">
        <v>286</v>
      </c>
      <c r="K2474" s="299"/>
      <c r="L2474" s="84">
        <v>1</v>
      </c>
      <c r="M2474" s="76">
        <v>1</v>
      </c>
      <c r="Q2474" s="84">
        <v>1</v>
      </c>
      <c r="R2474" s="76">
        <v>1</v>
      </c>
    </row>
    <row r="2475" spans="2:18" s="83" customFormat="1" ht="15" hidden="1" customHeight="1" outlineLevel="2">
      <c r="B2475" s="119" t="s">
        <v>272</v>
      </c>
      <c r="C2475" s="266" t="s">
        <v>3701</v>
      </c>
      <c r="D2475" s="124" t="s">
        <v>3518</v>
      </c>
      <c r="E2475" s="125"/>
      <c r="F2475" s="118" t="s">
        <v>3441</v>
      </c>
      <c r="G2475" s="126" t="str">
        <f t="shared" si="150"/>
        <v>AR-C20P-1</v>
      </c>
      <c r="H2475" s="253">
        <v>1</v>
      </c>
      <c r="J2475" s="299" t="s">
        <v>286</v>
      </c>
      <c r="K2475" s="299"/>
      <c r="L2475" s="84">
        <v>1</v>
      </c>
      <c r="M2475" s="76">
        <v>1</v>
      </c>
      <c r="Q2475" s="84">
        <v>1</v>
      </c>
      <c r="R2475" s="76">
        <v>1</v>
      </c>
    </row>
    <row r="2476" spans="2:18" s="83" customFormat="1" ht="15" hidden="1" customHeight="1" outlineLevel="2">
      <c r="B2476" s="119" t="s">
        <v>272</v>
      </c>
      <c r="C2476" s="266" t="s">
        <v>3702</v>
      </c>
      <c r="D2476" s="124" t="s">
        <v>3520</v>
      </c>
      <c r="E2476" s="125"/>
      <c r="F2476" s="118" t="s">
        <v>3441</v>
      </c>
      <c r="G2476" s="126" t="str">
        <f t="shared" si="150"/>
        <v>AR-C20P-1</v>
      </c>
      <c r="H2476" s="253">
        <v>1</v>
      </c>
      <c r="J2476" s="299" t="s">
        <v>286</v>
      </c>
      <c r="K2476" s="299"/>
      <c r="L2476" s="84">
        <v>1</v>
      </c>
      <c r="M2476" s="76">
        <v>1</v>
      </c>
      <c r="Q2476" s="84">
        <v>1</v>
      </c>
      <c r="R2476" s="76">
        <v>1</v>
      </c>
    </row>
    <row r="2477" spans="2:18" s="83" customFormat="1" ht="15" hidden="1" customHeight="1" outlineLevel="2">
      <c r="B2477" s="119" t="s">
        <v>272</v>
      </c>
      <c r="C2477" s="266" t="s">
        <v>3703</v>
      </c>
      <c r="D2477" s="124" t="s">
        <v>3522</v>
      </c>
      <c r="E2477" s="125"/>
      <c r="F2477" s="118" t="s">
        <v>3441</v>
      </c>
      <c r="G2477" s="126" t="str">
        <f t="shared" si="150"/>
        <v>AR-C20P-1</v>
      </c>
      <c r="H2477" s="253">
        <v>1</v>
      </c>
      <c r="J2477" s="299" t="s">
        <v>286</v>
      </c>
      <c r="K2477" s="299"/>
      <c r="L2477" s="84">
        <v>1</v>
      </c>
      <c r="M2477" s="76">
        <v>1</v>
      </c>
      <c r="Q2477" s="84">
        <v>1</v>
      </c>
      <c r="R2477" s="76">
        <v>1</v>
      </c>
    </row>
    <row r="2478" spans="2:18" s="83" customFormat="1" ht="15" hidden="1" customHeight="1" outlineLevel="2">
      <c r="B2478" s="119" t="s">
        <v>272</v>
      </c>
      <c r="C2478" s="266" t="s">
        <v>3704</v>
      </c>
      <c r="D2478" s="124" t="s">
        <v>3524</v>
      </c>
      <c r="E2478" s="125"/>
      <c r="F2478" s="118" t="s">
        <v>3441</v>
      </c>
      <c r="G2478" s="126" t="str">
        <f t="shared" si="150"/>
        <v>AR-C20P-1</v>
      </c>
      <c r="H2478" s="253">
        <v>1</v>
      </c>
      <c r="J2478" s="299" t="s">
        <v>286</v>
      </c>
      <c r="K2478" s="299"/>
      <c r="L2478" s="84">
        <v>1</v>
      </c>
      <c r="M2478" s="76">
        <v>1</v>
      </c>
      <c r="Q2478" s="84">
        <v>1</v>
      </c>
      <c r="R2478" s="76">
        <v>1</v>
      </c>
    </row>
    <row r="2479" spans="2:18" s="83" customFormat="1" ht="15" hidden="1" customHeight="1" outlineLevel="2">
      <c r="B2479" s="119" t="s">
        <v>272</v>
      </c>
      <c r="C2479" s="266" t="s">
        <v>3705</v>
      </c>
      <c r="D2479" s="124" t="s">
        <v>3526</v>
      </c>
      <c r="E2479" s="125"/>
      <c r="F2479" s="118" t="s">
        <v>3441</v>
      </c>
      <c r="G2479" s="126" t="str">
        <f t="shared" si="150"/>
        <v>AR-C20P-1</v>
      </c>
      <c r="H2479" s="253">
        <v>1</v>
      </c>
      <c r="J2479" s="299" t="s">
        <v>286</v>
      </c>
      <c r="K2479" s="299"/>
      <c r="L2479" s="84">
        <v>1</v>
      </c>
      <c r="M2479" s="76">
        <v>1</v>
      </c>
      <c r="Q2479" s="84">
        <v>1</v>
      </c>
      <c r="R2479" s="76">
        <v>1</v>
      </c>
    </row>
    <row r="2480" spans="2:18" s="83" customFormat="1" ht="15" hidden="1" customHeight="1" outlineLevel="2">
      <c r="B2480" s="119" t="s">
        <v>272</v>
      </c>
      <c r="C2480" s="266" t="s">
        <v>3706</v>
      </c>
      <c r="D2480" s="124" t="s">
        <v>3528</v>
      </c>
      <c r="E2480" s="125"/>
      <c r="F2480" s="118" t="s">
        <v>3441</v>
      </c>
      <c r="G2480" s="126" t="str">
        <f t="shared" si="150"/>
        <v>AR-C20P-1</v>
      </c>
      <c r="H2480" s="253">
        <v>1</v>
      </c>
      <c r="J2480" s="299" t="s">
        <v>286</v>
      </c>
      <c r="K2480" s="299"/>
      <c r="L2480" s="84">
        <v>1</v>
      </c>
      <c r="M2480" s="76">
        <v>1</v>
      </c>
      <c r="Q2480" s="84">
        <v>1</v>
      </c>
      <c r="R2480" s="76">
        <v>1</v>
      </c>
    </row>
    <row r="2481" spans="2:18" s="83" customFormat="1" ht="15" hidden="1" customHeight="1" outlineLevel="2">
      <c r="B2481" s="119" t="s">
        <v>272</v>
      </c>
      <c r="C2481" s="266" t="s">
        <v>3707</v>
      </c>
      <c r="D2481" s="124" t="s">
        <v>3530</v>
      </c>
      <c r="E2481" s="125"/>
      <c r="F2481" s="118" t="s">
        <v>3441</v>
      </c>
      <c r="G2481" s="126" t="str">
        <f t="shared" si="150"/>
        <v>AR-C20P-1</v>
      </c>
      <c r="H2481" s="253">
        <v>1</v>
      </c>
      <c r="J2481" s="299" t="s">
        <v>286</v>
      </c>
      <c r="K2481" s="299"/>
      <c r="L2481" s="84">
        <v>1</v>
      </c>
      <c r="M2481" s="76">
        <v>1</v>
      </c>
      <c r="Q2481" s="84">
        <v>1</v>
      </c>
      <c r="R2481" s="76">
        <v>1</v>
      </c>
    </row>
    <row r="2482" spans="2:18" s="83" customFormat="1" ht="15" hidden="1" customHeight="1" outlineLevel="2">
      <c r="B2482" s="119" t="s">
        <v>272</v>
      </c>
      <c r="C2482" s="266" t="s">
        <v>3708</v>
      </c>
      <c r="D2482" s="124" t="s">
        <v>3532</v>
      </c>
      <c r="E2482" s="125"/>
      <c r="F2482" s="118" t="s">
        <v>3441</v>
      </c>
      <c r="G2482" s="126" t="str">
        <f t="shared" si="150"/>
        <v>AR-C20P-1</v>
      </c>
      <c r="H2482" s="253">
        <v>1</v>
      </c>
      <c r="I2482" s="76"/>
      <c r="J2482" s="299" t="s">
        <v>286</v>
      </c>
      <c r="K2482" s="299"/>
      <c r="L2482" s="84">
        <v>1</v>
      </c>
      <c r="M2482" s="76">
        <v>1</v>
      </c>
      <c r="Q2482" s="84">
        <v>1</v>
      </c>
      <c r="R2482" s="76">
        <v>1</v>
      </c>
    </row>
    <row r="2483" spans="2:18" s="83" customFormat="1" ht="15" hidden="1" customHeight="1" outlineLevel="2">
      <c r="B2483" s="119" t="s">
        <v>272</v>
      </c>
      <c r="C2483" s="266" t="s">
        <v>3709</v>
      </c>
      <c r="D2483" s="124" t="s">
        <v>3534</v>
      </c>
      <c r="E2483" s="125"/>
      <c r="F2483" s="118" t="s">
        <v>3441</v>
      </c>
      <c r="G2483" s="126" t="str">
        <f t="shared" si="150"/>
        <v>AR-C20P-1</v>
      </c>
      <c r="H2483" s="253">
        <v>1</v>
      </c>
      <c r="I2483" s="76"/>
      <c r="J2483" s="299" t="s">
        <v>286</v>
      </c>
      <c r="K2483" s="299"/>
      <c r="L2483" s="84">
        <v>1</v>
      </c>
      <c r="M2483" s="76">
        <v>1</v>
      </c>
      <c r="Q2483" s="84">
        <v>1</v>
      </c>
      <c r="R2483" s="76">
        <v>1</v>
      </c>
    </row>
    <row r="2484" spans="2:18" s="83" customFormat="1" ht="15" hidden="1" customHeight="1" outlineLevel="2">
      <c r="B2484" s="119" t="s">
        <v>272</v>
      </c>
      <c r="C2484" s="266" t="s">
        <v>3710</v>
      </c>
      <c r="D2484" s="124" t="s">
        <v>3536</v>
      </c>
      <c r="E2484" s="125"/>
      <c r="F2484" s="118" t="s">
        <v>3441</v>
      </c>
      <c r="G2484" s="126" t="str">
        <f t="shared" si="150"/>
        <v>AR-C20P-1</v>
      </c>
      <c r="H2484" s="253">
        <v>1</v>
      </c>
      <c r="I2484" s="76"/>
      <c r="J2484" s="299" t="s">
        <v>286</v>
      </c>
      <c r="K2484" s="299"/>
      <c r="L2484" s="84">
        <v>1</v>
      </c>
      <c r="M2484" s="76">
        <v>1</v>
      </c>
      <c r="Q2484" s="84">
        <v>1</v>
      </c>
      <c r="R2484" s="76">
        <v>1</v>
      </c>
    </row>
    <row r="2485" spans="2:18" s="83" customFormat="1" ht="15" hidden="1" customHeight="1" outlineLevel="2">
      <c r="B2485" s="119" t="s">
        <v>272</v>
      </c>
      <c r="C2485" s="266" t="s">
        <v>3711</v>
      </c>
      <c r="D2485" s="124" t="s">
        <v>3538</v>
      </c>
      <c r="E2485" s="125"/>
      <c r="F2485" s="118" t="s">
        <v>3441</v>
      </c>
      <c r="G2485" s="126" t="str">
        <f t="shared" si="150"/>
        <v>AR-C20P-1</v>
      </c>
      <c r="H2485" s="253">
        <v>1</v>
      </c>
      <c r="I2485" s="76"/>
      <c r="J2485" s="299" t="s">
        <v>286</v>
      </c>
      <c r="K2485" s="299"/>
      <c r="L2485" s="84">
        <v>1</v>
      </c>
      <c r="M2485" s="76">
        <v>1</v>
      </c>
      <c r="Q2485" s="84">
        <v>1</v>
      </c>
      <c r="R2485" s="76">
        <v>1</v>
      </c>
    </row>
    <row r="2486" spans="2:18" s="83" customFormat="1" ht="15" hidden="1" customHeight="1" outlineLevel="2">
      <c r="B2486" s="119" t="s">
        <v>272</v>
      </c>
      <c r="C2486" s="266" t="s">
        <v>3712</v>
      </c>
      <c r="D2486" s="124" t="s">
        <v>3540</v>
      </c>
      <c r="E2486" s="125"/>
      <c r="F2486" s="118" t="s">
        <v>3441</v>
      </c>
      <c r="G2486" s="126" t="str">
        <f t="shared" si="150"/>
        <v>AR-C20P-1</v>
      </c>
      <c r="H2486" s="253">
        <v>1</v>
      </c>
      <c r="J2486" s="299" t="s">
        <v>286</v>
      </c>
      <c r="K2486" s="299"/>
      <c r="L2486" s="84">
        <v>1</v>
      </c>
      <c r="M2486" s="76">
        <v>1</v>
      </c>
      <c r="Q2486" s="84">
        <v>1</v>
      </c>
      <c r="R2486" s="76">
        <v>1</v>
      </c>
    </row>
    <row r="2487" spans="2:18" s="83" customFormat="1" ht="15" hidden="1" customHeight="1" outlineLevel="2">
      <c r="B2487" s="119" t="s">
        <v>272</v>
      </c>
      <c r="C2487" s="266" t="s">
        <v>3713</v>
      </c>
      <c r="D2487" s="124" t="s">
        <v>3542</v>
      </c>
      <c r="E2487" s="125"/>
      <c r="F2487" s="118" t="s">
        <v>3441</v>
      </c>
      <c r="G2487" s="126" t="str">
        <f t="shared" si="150"/>
        <v>AR-C20P-1</v>
      </c>
      <c r="H2487" s="253">
        <v>1</v>
      </c>
      <c r="J2487" s="299" t="s">
        <v>286</v>
      </c>
      <c r="K2487" s="299"/>
      <c r="L2487" s="84">
        <v>1</v>
      </c>
      <c r="M2487" s="76">
        <v>1</v>
      </c>
      <c r="Q2487" s="84">
        <v>1</v>
      </c>
      <c r="R2487" s="76">
        <v>1</v>
      </c>
    </row>
    <row r="2488" spans="2:18" s="83" customFormat="1" ht="15" hidden="1" customHeight="1" outlineLevel="2">
      <c r="B2488" s="119" t="s">
        <v>272</v>
      </c>
      <c r="C2488" s="266" t="s">
        <v>3714</v>
      </c>
      <c r="D2488" s="124" t="s">
        <v>3544</v>
      </c>
      <c r="E2488" s="125"/>
      <c r="F2488" s="118" t="s">
        <v>3441</v>
      </c>
      <c r="G2488" s="126" t="str">
        <f t="shared" si="150"/>
        <v>AR-C20P-1</v>
      </c>
      <c r="H2488" s="253">
        <v>1</v>
      </c>
      <c r="J2488" s="299" t="s">
        <v>286</v>
      </c>
      <c r="K2488" s="299"/>
      <c r="L2488" s="84">
        <v>1</v>
      </c>
      <c r="M2488" s="76">
        <v>1</v>
      </c>
      <c r="Q2488" s="84">
        <v>1</v>
      </c>
      <c r="R2488" s="76">
        <v>1</v>
      </c>
    </row>
    <row r="2489" spans="2:18" s="83" customFormat="1" ht="15" hidden="1" customHeight="1" outlineLevel="2">
      <c r="B2489" s="119" t="s">
        <v>272</v>
      </c>
      <c r="C2489" s="266" t="s">
        <v>3715</v>
      </c>
      <c r="D2489" s="124" t="s">
        <v>3546</v>
      </c>
      <c r="E2489" s="125"/>
      <c r="F2489" s="118" t="s">
        <v>3441</v>
      </c>
      <c r="G2489" s="126" t="str">
        <f t="shared" si="150"/>
        <v>AR-C20P-1</v>
      </c>
      <c r="H2489" s="253">
        <v>1</v>
      </c>
      <c r="J2489" s="299" t="s">
        <v>286</v>
      </c>
      <c r="K2489" s="299"/>
      <c r="L2489" s="84">
        <v>1</v>
      </c>
      <c r="M2489" s="76">
        <v>1</v>
      </c>
      <c r="Q2489" s="84">
        <v>1</v>
      </c>
      <c r="R2489" s="76">
        <v>1</v>
      </c>
    </row>
    <row r="2490" spans="2:18" s="83" customFormat="1" ht="15" hidden="1" customHeight="1" outlineLevel="2">
      <c r="B2490" s="119" t="s">
        <v>272</v>
      </c>
      <c r="C2490" s="266" t="s">
        <v>3716</v>
      </c>
      <c r="D2490" s="124" t="s">
        <v>3548</v>
      </c>
      <c r="E2490" s="125"/>
      <c r="F2490" s="118" t="s">
        <v>3441</v>
      </c>
      <c r="G2490" s="126" t="str">
        <f t="shared" si="150"/>
        <v>AR-C20P-1</v>
      </c>
      <c r="H2490" s="253">
        <v>1</v>
      </c>
      <c r="J2490" s="299" t="s">
        <v>286</v>
      </c>
      <c r="K2490" s="299"/>
      <c r="L2490" s="84">
        <v>1</v>
      </c>
      <c r="M2490" s="76">
        <v>1</v>
      </c>
      <c r="Q2490" s="84">
        <v>1</v>
      </c>
      <c r="R2490" s="76">
        <v>1</v>
      </c>
    </row>
    <row r="2491" spans="2:18" s="83" customFormat="1" ht="15" hidden="1" customHeight="1" outlineLevel="2">
      <c r="B2491" s="119" t="s">
        <v>272</v>
      </c>
      <c r="C2491" s="266" t="s">
        <v>3717</v>
      </c>
      <c r="D2491" s="124" t="s">
        <v>3550</v>
      </c>
      <c r="E2491" s="125"/>
      <c r="F2491" s="118" t="s">
        <v>3441</v>
      </c>
      <c r="G2491" s="126" t="str">
        <f t="shared" si="150"/>
        <v>AR-C20P-1</v>
      </c>
      <c r="H2491" s="253">
        <v>1</v>
      </c>
      <c r="J2491" s="299" t="s">
        <v>286</v>
      </c>
      <c r="K2491" s="299"/>
      <c r="L2491" s="84">
        <v>1</v>
      </c>
      <c r="M2491" s="76">
        <v>1</v>
      </c>
      <c r="Q2491" s="84">
        <v>1</v>
      </c>
      <c r="R2491" s="76">
        <v>1</v>
      </c>
    </row>
    <row r="2492" spans="2:18" s="83" customFormat="1" ht="15" hidden="1" customHeight="1" outlineLevel="2">
      <c r="B2492" s="119" t="s">
        <v>272</v>
      </c>
      <c r="C2492" s="266" t="s">
        <v>3718</v>
      </c>
      <c r="D2492" s="124" t="s">
        <v>3552</v>
      </c>
      <c r="E2492" s="125"/>
      <c r="F2492" s="118" t="s">
        <v>3441</v>
      </c>
      <c r="G2492" s="126" t="str">
        <f t="shared" si="150"/>
        <v>AR-C20P-1</v>
      </c>
      <c r="H2492" s="253">
        <v>1</v>
      </c>
      <c r="J2492" s="299" t="s">
        <v>286</v>
      </c>
      <c r="K2492" s="299"/>
      <c r="L2492" s="84">
        <v>1</v>
      </c>
      <c r="M2492" s="76">
        <v>1</v>
      </c>
      <c r="Q2492" s="84">
        <v>1</v>
      </c>
      <c r="R2492" s="76">
        <v>1</v>
      </c>
    </row>
    <row r="2493" spans="2:18" s="83" customFormat="1" ht="15" hidden="1" customHeight="1" outlineLevel="2">
      <c r="B2493" s="119" t="s">
        <v>272</v>
      </c>
      <c r="C2493" s="266" t="s">
        <v>3719</v>
      </c>
      <c r="D2493" s="124" t="s">
        <v>1445</v>
      </c>
      <c r="E2493" s="125"/>
      <c r="F2493" s="118" t="s">
        <v>3441</v>
      </c>
      <c r="G2493" s="126" t="str">
        <f t="shared" si="150"/>
        <v>AR-C20P-1</v>
      </c>
      <c r="H2493" s="253">
        <v>1</v>
      </c>
      <c r="J2493" s="299" t="s">
        <v>286</v>
      </c>
      <c r="K2493" s="299"/>
      <c r="L2493" s="84">
        <v>1</v>
      </c>
      <c r="M2493" s="76">
        <v>1</v>
      </c>
      <c r="Q2493" s="84">
        <v>1</v>
      </c>
      <c r="R2493" s="76">
        <v>1</v>
      </c>
    </row>
    <row r="2494" spans="2:18" s="83" customFormat="1" ht="15" hidden="1" customHeight="1" outlineLevel="2">
      <c r="B2494" s="119" t="s">
        <v>272</v>
      </c>
      <c r="C2494" s="266" t="s">
        <v>3720</v>
      </c>
      <c r="D2494" s="124" t="s">
        <v>3555</v>
      </c>
      <c r="E2494" s="125"/>
      <c r="F2494" s="118" t="s">
        <v>3441</v>
      </c>
      <c r="G2494" s="126" t="str">
        <f t="shared" si="150"/>
        <v>AR-C20P-1</v>
      </c>
      <c r="H2494" s="253">
        <v>1</v>
      </c>
      <c r="J2494" s="299" t="s">
        <v>286</v>
      </c>
      <c r="K2494" s="299"/>
      <c r="L2494" s="84">
        <v>1</v>
      </c>
      <c r="M2494" s="76">
        <v>1</v>
      </c>
      <c r="Q2494" s="84">
        <v>1</v>
      </c>
      <c r="R2494" s="76">
        <v>1</v>
      </c>
    </row>
    <row r="2495" spans="2:18" s="83" customFormat="1" ht="15" hidden="1" customHeight="1" outlineLevel="2">
      <c r="B2495" s="119" t="s">
        <v>272</v>
      </c>
      <c r="C2495" s="266" t="s">
        <v>3721</v>
      </c>
      <c r="D2495" s="124" t="s">
        <v>3557</v>
      </c>
      <c r="E2495" s="125"/>
      <c r="F2495" s="118" t="s">
        <v>3441</v>
      </c>
      <c r="G2495" s="126" t="str">
        <f t="shared" ref="G2495:G2500" si="151">CONCATENATE("AR-",F2495,"-",H2495)</f>
        <v>AR-C20P-1</v>
      </c>
      <c r="H2495" s="253">
        <v>1</v>
      </c>
      <c r="J2495" s="299" t="s">
        <v>286</v>
      </c>
      <c r="K2495" s="299"/>
      <c r="L2495" s="84">
        <v>1</v>
      </c>
      <c r="M2495" s="76">
        <v>1</v>
      </c>
      <c r="Q2495" s="84">
        <v>1</v>
      </c>
      <c r="R2495" s="76">
        <v>1</v>
      </c>
    </row>
    <row r="2496" spans="2:18" s="83" customFormat="1" ht="15" hidden="1" customHeight="1" outlineLevel="2">
      <c r="B2496" s="119" t="s">
        <v>272</v>
      </c>
      <c r="C2496" s="266" t="s">
        <v>3722</v>
      </c>
      <c r="D2496" s="124" t="s">
        <v>3559</v>
      </c>
      <c r="E2496" s="125"/>
      <c r="F2496" s="118" t="s">
        <v>3441</v>
      </c>
      <c r="G2496" s="126" t="str">
        <f t="shared" si="151"/>
        <v>AR-C20P-1</v>
      </c>
      <c r="H2496" s="253">
        <v>1</v>
      </c>
      <c r="J2496" s="299" t="s">
        <v>286</v>
      </c>
      <c r="K2496" s="299"/>
      <c r="L2496" s="84">
        <v>1</v>
      </c>
      <c r="M2496" s="76">
        <v>1</v>
      </c>
      <c r="Q2496" s="84">
        <v>1</v>
      </c>
      <c r="R2496" s="76">
        <v>1</v>
      </c>
    </row>
    <row r="2497" spans="2:18" s="83" customFormat="1" ht="15" hidden="1" customHeight="1" outlineLevel="2">
      <c r="B2497" s="119" t="s">
        <v>272</v>
      </c>
      <c r="C2497" s="266" t="s">
        <v>3723</v>
      </c>
      <c r="D2497" s="124" t="s">
        <v>3561</v>
      </c>
      <c r="E2497" s="125"/>
      <c r="F2497" s="118" t="s">
        <v>3441</v>
      </c>
      <c r="G2497" s="126" t="str">
        <f t="shared" si="151"/>
        <v>AR-C20P-1</v>
      </c>
      <c r="H2497" s="253">
        <v>1</v>
      </c>
      <c r="J2497" s="299" t="s">
        <v>286</v>
      </c>
      <c r="K2497" s="299"/>
      <c r="L2497" s="84">
        <v>1</v>
      </c>
      <c r="M2497" s="76">
        <v>1</v>
      </c>
      <c r="Q2497" s="84">
        <v>1</v>
      </c>
      <c r="R2497" s="76">
        <v>1</v>
      </c>
    </row>
    <row r="2498" spans="2:18" s="83" customFormat="1" ht="15" hidden="1" customHeight="1" outlineLevel="2">
      <c r="B2498" s="119" t="s">
        <v>272</v>
      </c>
      <c r="C2498" s="266" t="s">
        <v>3724</v>
      </c>
      <c r="D2498" s="124" t="s">
        <v>3563</v>
      </c>
      <c r="E2498" s="125"/>
      <c r="F2498" s="118" t="s">
        <v>3441</v>
      </c>
      <c r="G2498" s="126" t="str">
        <f t="shared" si="151"/>
        <v>AR-C20P-1</v>
      </c>
      <c r="H2498" s="253">
        <v>1</v>
      </c>
      <c r="J2498" s="299" t="s">
        <v>286</v>
      </c>
      <c r="K2498" s="299"/>
      <c r="L2498" s="84">
        <v>1</v>
      </c>
      <c r="M2498" s="76">
        <v>1</v>
      </c>
      <c r="Q2498" s="84">
        <v>1</v>
      </c>
      <c r="R2498" s="76">
        <v>1</v>
      </c>
    </row>
    <row r="2499" spans="2:18" s="83" customFormat="1" ht="15" hidden="1" customHeight="1" outlineLevel="2">
      <c r="B2499" s="119" t="s">
        <v>272</v>
      </c>
      <c r="C2499" s="266" t="s">
        <v>3725</v>
      </c>
      <c r="D2499" s="124" t="s">
        <v>3565</v>
      </c>
      <c r="E2499" s="125"/>
      <c r="F2499" s="118" t="s">
        <v>3441</v>
      </c>
      <c r="G2499" s="126" t="str">
        <f t="shared" si="151"/>
        <v>AR-C20P-1</v>
      </c>
      <c r="H2499" s="253">
        <v>1</v>
      </c>
      <c r="J2499" s="299" t="s">
        <v>286</v>
      </c>
      <c r="K2499" s="299"/>
      <c r="L2499" s="84">
        <v>1</v>
      </c>
      <c r="M2499" s="76">
        <v>1</v>
      </c>
      <c r="Q2499" s="84">
        <v>1</v>
      </c>
      <c r="R2499" s="76">
        <v>1</v>
      </c>
    </row>
    <row r="2500" spans="2:18" s="83" customFormat="1" ht="15" hidden="1" customHeight="1" outlineLevel="2">
      <c r="B2500" s="119" t="s">
        <v>272</v>
      </c>
      <c r="C2500" s="266" t="s">
        <v>3726</v>
      </c>
      <c r="D2500" s="124" t="s">
        <v>3567</v>
      </c>
      <c r="E2500" s="125"/>
      <c r="F2500" s="118" t="s">
        <v>3441</v>
      </c>
      <c r="G2500" s="126" t="str">
        <f t="shared" si="151"/>
        <v>AR-C20P-1</v>
      </c>
      <c r="H2500" s="253">
        <v>1</v>
      </c>
      <c r="J2500" s="299" t="s">
        <v>286</v>
      </c>
      <c r="K2500" s="299"/>
      <c r="L2500" s="84">
        <v>1</v>
      </c>
      <c r="M2500" s="76">
        <v>1</v>
      </c>
      <c r="Q2500" s="84">
        <v>1</v>
      </c>
      <c r="R2500" s="76">
        <v>1</v>
      </c>
    </row>
    <row r="2501" spans="2:18" s="83" customFormat="1" ht="15" hidden="1" customHeight="1" outlineLevel="2">
      <c r="B2501" s="119" t="s">
        <v>272</v>
      </c>
      <c r="C2501" s="266" t="s">
        <v>3727</v>
      </c>
      <c r="D2501" s="124" t="s">
        <v>3569</v>
      </c>
      <c r="E2501" s="125"/>
      <c r="F2501" s="118" t="s">
        <v>3441</v>
      </c>
      <c r="G2501" s="126" t="str">
        <f>CONCATENATE("AR-",F2501,"-",H2501)</f>
        <v>AR-C20P-1</v>
      </c>
      <c r="H2501" s="253">
        <v>1</v>
      </c>
      <c r="J2501" s="299" t="s">
        <v>286</v>
      </c>
      <c r="K2501" s="299"/>
      <c r="L2501" s="84">
        <v>1</v>
      </c>
      <c r="M2501" s="76">
        <v>1</v>
      </c>
      <c r="Q2501" s="84">
        <v>1</v>
      </c>
      <c r="R2501" s="76">
        <v>1</v>
      </c>
    </row>
    <row r="2502" spans="2:18" s="83" customFormat="1" ht="15" hidden="1" customHeight="1" outlineLevel="2">
      <c r="B2502" s="119" t="s">
        <v>272</v>
      </c>
      <c r="C2502" s="266" t="s">
        <v>3728</v>
      </c>
      <c r="D2502" s="124" t="s">
        <v>3571</v>
      </c>
      <c r="E2502" s="125"/>
      <c r="F2502" s="118" t="s">
        <v>3441</v>
      </c>
      <c r="G2502" s="126" t="str">
        <f>CONCATENATE("AR-",F2502,"-",H2502)</f>
        <v>AR-C20P-1</v>
      </c>
      <c r="H2502" s="253">
        <v>1</v>
      </c>
      <c r="J2502" s="299" t="s">
        <v>286</v>
      </c>
      <c r="K2502" s="299"/>
      <c r="L2502" s="84">
        <v>1</v>
      </c>
      <c r="M2502" s="76">
        <v>1</v>
      </c>
      <c r="Q2502" s="84">
        <v>1</v>
      </c>
      <c r="R2502" s="76">
        <v>1</v>
      </c>
    </row>
    <row r="2503" spans="2:18" s="83" customFormat="1" ht="15" hidden="1" customHeight="1" outlineLevel="2">
      <c r="B2503" s="119" t="s">
        <v>272</v>
      </c>
      <c r="C2503" s="266" t="s">
        <v>3729</v>
      </c>
      <c r="D2503" s="124" t="s">
        <v>1459</v>
      </c>
      <c r="E2503" s="125"/>
      <c r="F2503" s="118" t="s">
        <v>3441</v>
      </c>
      <c r="G2503" s="126" t="str">
        <f>CONCATENATE("AR-",F2503,"-",H2503)</f>
        <v>AR-C20P-1</v>
      </c>
      <c r="H2503" s="253">
        <v>1</v>
      </c>
      <c r="J2503" s="299" t="s">
        <v>286</v>
      </c>
      <c r="K2503" s="299"/>
      <c r="L2503" s="84">
        <v>1</v>
      </c>
      <c r="M2503" s="76">
        <v>1</v>
      </c>
      <c r="Q2503" s="84">
        <v>1</v>
      </c>
      <c r="R2503" s="76">
        <v>1</v>
      </c>
    </row>
    <row r="2504" spans="2:18" s="83" customFormat="1" ht="15" hidden="1" customHeight="1" outlineLevel="2">
      <c r="B2504" s="119" t="s">
        <v>272</v>
      </c>
      <c r="C2504" s="266" t="s">
        <v>3730</v>
      </c>
      <c r="D2504" s="124" t="s">
        <v>3574</v>
      </c>
      <c r="E2504" s="125"/>
      <c r="F2504" s="118" t="s">
        <v>3441</v>
      </c>
      <c r="G2504" s="126" t="str">
        <f t="shared" ref="G2504:G2523" si="152">CONCATENATE("AR-",F2504,"-",H2504)</f>
        <v>AR-C20P-1</v>
      </c>
      <c r="H2504" s="253">
        <v>1</v>
      </c>
      <c r="J2504" s="299" t="s">
        <v>286</v>
      </c>
      <c r="K2504" s="299"/>
      <c r="L2504" s="84">
        <v>1</v>
      </c>
      <c r="M2504" s="76">
        <v>1</v>
      </c>
      <c r="Q2504" s="84">
        <v>1</v>
      </c>
      <c r="R2504" s="76">
        <v>1</v>
      </c>
    </row>
    <row r="2505" spans="2:18" s="83" customFormat="1" ht="15" hidden="1" customHeight="1" outlineLevel="2">
      <c r="B2505" s="119" t="s">
        <v>272</v>
      </c>
      <c r="C2505" s="266" t="s">
        <v>3731</v>
      </c>
      <c r="D2505" s="124" t="s">
        <v>1461</v>
      </c>
      <c r="E2505" s="125"/>
      <c r="F2505" s="118" t="s">
        <v>3441</v>
      </c>
      <c r="G2505" s="126" t="str">
        <f t="shared" si="152"/>
        <v>AR-C20P-1</v>
      </c>
      <c r="H2505" s="253">
        <v>1</v>
      </c>
      <c r="J2505" s="299" t="s">
        <v>286</v>
      </c>
      <c r="K2505" s="299"/>
      <c r="L2505" s="84">
        <v>1</v>
      </c>
      <c r="M2505" s="76">
        <v>1</v>
      </c>
      <c r="Q2505" s="84">
        <v>1</v>
      </c>
      <c r="R2505" s="76">
        <v>1</v>
      </c>
    </row>
    <row r="2506" spans="2:18" s="83" customFormat="1" ht="15" hidden="1" customHeight="1" outlineLevel="2">
      <c r="B2506" s="119" t="s">
        <v>272</v>
      </c>
      <c r="C2506" s="266" t="s">
        <v>3732</v>
      </c>
      <c r="D2506" s="124" t="s">
        <v>1461</v>
      </c>
      <c r="E2506" s="125"/>
      <c r="F2506" s="118" t="s">
        <v>3441</v>
      </c>
      <c r="G2506" s="126" t="str">
        <f t="shared" si="152"/>
        <v>AR-C20P-1</v>
      </c>
      <c r="H2506" s="253">
        <v>1</v>
      </c>
      <c r="J2506" s="299" t="s">
        <v>286</v>
      </c>
      <c r="K2506" s="299"/>
      <c r="L2506" s="84">
        <v>1</v>
      </c>
      <c r="M2506" s="76">
        <v>1</v>
      </c>
      <c r="Q2506" s="84">
        <v>1</v>
      </c>
      <c r="R2506" s="76">
        <v>1</v>
      </c>
    </row>
    <row r="2507" spans="2:18" s="83" customFormat="1" ht="15" hidden="1" customHeight="1" outlineLevel="2">
      <c r="B2507" s="119" t="s">
        <v>272</v>
      </c>
      <c r="C2507" s="266" t="s">
        <v>3733</v>
      </c>
      <c r="D2507" s="124" t="s">
        <v>3578</v>
      </c>
      <c r="E2507" s="125"/>
      <c r="F2507" s="118" t="s">
        <v>3441</v>
      </c>
      <c r="G2507" s="126" t="str">
        <f t="shared" si="152"/>
        <v>AR-C20P-1</v>
      </c>
      <c r="H2507" s="253">
        <v>1</v>
      </c>
      <c r="J2507" s="299" t="s">
        <v>286</v>
      </c>
      <c r="K2507" s="299"/>
      <c r="L2507" s="84">
        <v>1</v>
      </c>
      <c r="M2507" s="76">
        <v>1</v>
      </c>
      <c r="Q2507" s="84">
        <v>1</v>
      </c>
      <c r="R2507" s="76">
        <v>1</v>
      </c>
    </row>
    <row r="2508" spans="2:18" s="83" customFormat="1" ht="15" hidden="1" customHeight="1" outlineLevel="2">
      <c r="B2508" s="119" t="s">
        <v>272</v>
      </c>
      <c r="C2508" s="266" t="s">
        <v>3734</v>
      </c>
      <c r="D2508" s="124" t="s">
        <v>3580</v>
      </c>
      <c r="E2508" s="125"/>
      <c r="F2508" s="118" t="s">
        <v>3441</v>
      </c>
      <c r="G2508" s="126" t="str">
        <f t="shared" si="152"/>
        <v>AR-C20P-1</v>
      </c>
      <c r="H2508" s="253">
        <v>1</v>
      </c>
      <c r="J2508" s="299" t="s">
        <v>286</v>
      </c>
      <c r="K2508" s="299"/>
      <c r="L2508" s="84">
        <v>1</v>
      </c>
      <c r="M2508" s="76">
        <v>1</v>
      </c>
      <c r="Q2508" s="84">
        <v>1</v>
      </c>
      <c r="R2508" s="76">
        <v>1</v>
      </c>
    </row>
    <row r="2509" spans="2:18" s="83" customFormat="1" ht="15" hidden="1" customHeight="1" outlineLevel="2">
      <c r="B2509" s="119" t="s">
        <v>272</v>
      </c>
      <c r="C2509" s="266" t="s">
        <v>3735</v>
      </c>
      <c r="D2509" s="124" t="s">
        <v>3580</v>
      </c>
      <c r="E2509" s="125"/>
      <c r="F2509" s="118" t="s">
        <v>3441</v>
      </c>
      <c r="G2509" s="126" t="str">
        <f t="shared" si="152"/>
        <v>AR-C20P-1</v>
      </c>
      <c r="H2509" s="253">
        <v>1</v>
      </c>
      <c r="J2509" s="299" t="s">
        <v>286</v>
      </c>
      <c r="K2509" s="299"/>
      <c r="L2509" s="84">
        <v>1</v>
      </c>
      <c r="M2509" s="76">
        <v>1</v>
      </c>
      <c r="Q2509" s="84">
        <v>1</v>
      </c>
      <c r="R2509" s="76">
        <v>1</v>
      </c>
    </row>
    <row r="2510" spans="2:18" s="83" customFormat="1" ht="15" hidden="1" customHeight="1" outlineLevel="2">
      <c r="B2510" s="119" t="s">
        <v>272</v>
      </c>
      <c r="C2510" s="266" t="s">
        <v>3736</v>
      </c>
      <c r="D2510" s="124" t="s">
        <v>3580</v>
      </c>
      <c r="E2510" s="125"/>
      <c r="F2510" s="118" t="s">
        <v>3441</v>
      </c>
      <c r="G2510" s="126" t="str">
        <f t="shared" si="152"/>
        <v>AR-C20P-1</v>
      </c>
      <c r="H2510" s="253">
        <v>1</v>
      </c>
      <c r="J2510" s="299" t="s">
        <v>286</v>
      </c>
      <c r="K2510" s="299"/>
      <c r="L2510" s="84">
        <v>1</v>
      </c>
      <c r="M2510" s="76">
        <v>1</v>
      </c>
      <c r="Q2510" s="84">
        <v>1</v>
      </c>
      <c r="R2510" s="76">
        <v>1</v>
      </c>
    </row>
    <row r="2511" spans="2:18" s="83" customFormat="1" ht="15" hidden="1" customHeight="1" outlineLevel="2">
      <c r="B2511" s="119" t="s">
        <v>272</v>
      </c>
      <c r="C2511" s="266" t="s">
        <v>3737</v>
      </c>
      <c r="D2511" s="124" t="s">
        <v>1753</v>
      </c>
      <c r="E2511" s="125"/>
      <c r="F2511" s="118" t="s">
        <v>3441</v>
      </c>
      <c r="G2511" s="126" t="str">
        <f t="shared" si="152"/>
        <v>AR-C20P-1</v>
      </c>
      <c r="H2511" s="253">
        <v>1</v>
      </c>
      <c r="J2511" s="299" t="s">
        <v>286</v>
      </c>
      <c r="K2511" s="299"/>
      <c r="L2511" s="84">
        <v>1</v>
      </c>
      <c r="M2511" s="76">
        <v>1</v>
      </c>
      <c r="Q2511" s="84">
        <v>1</v>
      </c>
      <c r="R2511" s="76">
        <v>1</v>
      </c>
    </row>
    <row r="2512" spans="2:18" s="83" customFormat="1" ht="15" hidden="1" customHeight="1" outlineLevel="2">
      <c r="B2512" s="119" t="s">
        <v>272</v>
      </c>
      <c r="C2512" s="266" t="s">
        <v>3738</v>
      </c>
      <c r="D2512" s="124" t="s">
        <v>3585</v>
      </c>
      <c r="E2512" s="125"/>
      <c r="F2512" s="118" t="s">
        <v>3441</v>
      </c>
      <c r="G2512" s="126" t="str">
        <f t="shared" si="152"/>
        <v>AR-C20P-1</v>
      </c>
      <c r="H2512" s="253">
        <v>1</v>
      </c>
      <c r="J2512" s="299" t="s">
        <v>286</v>
      </c>
      <c r="K2512" s="299"/>
      <c r="L2512" s="84">
        <v>1</v>
      </c>
      <c r="M2512" s="76">
        <v>1</v>
      </c>
      <c r="Q2512" s="84">
        <v>1</v>
      </c>
      <c r="R2512" s="76">
        <v>1</v>
      </c>
    </row>
    <row r="2513" spans="2:18" s="83" customFormat="1" ht="15" hidden="1" customHeight="1" outlineLevel="2">
      <c r="B2513" s="119" t="s">
        <v>272</v>
      </c>
      <c r="C2513" s="266" t="s">
        <v>3739</v>
      </c>
      <c r="D2513" s="124" t="s">
        <v>3587</v>
      </c>
      <c r="E2513" s="125"/>
      <c r="F2513" s="118" t="s">
        <v>3441</v>
      </c>
      <c r="G2513" s="126" t="str">
        <f t="shared" si="152"/>
        <v>AR-C20P-1</v>
      </c>
      <c r="H2513" s="253">
        <v>1</v>
      </c>
      <c r="J2513" s="299" t="s">
        <v>286</v>
      </c>
      <c r="K2513" s="299"/>
      <c r="L2513" s="84">
        <v>1</v>
      </c>
      <c r="M2513" s="76">
        <v>1</v>
      </c>
      <c r="Q2513" s="84">
        <v>1</v>
      </c>
      <c r="R2513" s="76">
        <v>1</v>
      </c>
    </row>
    <row r="2514" spans="2:18" s="83" customFormat="1" ht="15" hidden="1" customHeight="1" outlineLevel="2">
      <c r="B2514" s="119" t="s">
        <v>272</v>
      </c>
      <c r="C2514" s="266" t="s">
        <v>3740</v>
      </c>
      <c r="D2514" s="124" t="s">
        <v>3589</v>
      </c>
      <c r="E2514" s="125"/>
      <c r="F2514" s="118" t="s">
        <v>3441</v>
      </c>
      <c r="G2514" s="126" t="str">
        <f t="shared" si="152"/>
        <v>AR-C20P-1</v>
      </c>
      <c r="H2514" s="253">
        <v>1</v>
      </c>
      <c r="J2514" s="299" t="s">
        <v>286</v>
      </c>
      <c r="K2514" s="299"/>
      <c r="L2514" s="84">
        <v>1</v>
      </c>
      <c r="M2514" s="76">
        <v>1</v>
      </c>
      <c r="Q2514" s="84">
        <v>1</v>
      </c>
      <c r="R2514" s="76">
        <v>1</v>
      </c>
    </row>
    <row r="2515" spans="2:18" s="83" customFormat="1" ht="15" hidden="1" customHeight="1" outlineLevel="2">
      <c r="B2515" s="119" t="s">
        <v>272</v>
      </c>
      <c r="C2515" s="266" t="s">
        <v>3741</v>
      </c>
      <c r="D2515" s="124" t="s">
        <v>3591</v>
      </c>
      <c r="E2515" s="125"/>
      <c r="F2515" s="118" t="s">
        <v>3441</v>
      </c>
      <c r="G2515" s="126" t="str">
        <f t="shared" si="152"/>
        <v>AR-C20P-1</v>
      </c>
      <c r="H2515" s="253">
        <v>1</v>
      </c>
      <c r="J2515" s="299" t="s">
        <v>286</v>
      </c>
      <c r="K2515" s="299"/>
      <c r="L2515" s="84">
        <v>1</v>
      </c>
      <c r="M2515" s="76">
        <v>1</v>
      </c>
      <c r="Q2515" s="84">
        <v>1</v>
      </c>
      <c r="R2515" s="76">
        <v>1</v>
      </c>
    </row>
    <row r="2516" spans="2:18" s="83" customFormat="1" ht="15" hidden="1" customHeight="1" outlineLevel="2">
      <c r="B2516" s="119" t="s">
        <v>272</v>
      </c>
      <c r="C2516" s="266" t="s">
        <v>3742</v>
      </c>
      <c r="D2516" s="124" t="s">
        <v>3593</v>
      </c>
      <c r="E2516" s="125"/>
      <c r="F2516" s="118" t="s">
        <v>3441</v>
      </c>
      <c r="G2516" s="126" t="str">
        <f t="shared" si="152"/>
        <v>AR-C20P-1</v>
      </c>
      <c r="H2516" s="253">
        <v>1</v>
      </c>
      <c r="J2516" s="299" t="s">
        <v>286</v>
      </c>
      <c r="K2516" s="299"/>
      <c r="L2516" s="84">
        <v>1</v>
      </c>
      <c r="M2516" s="76">
        <v>1</v>
      </c>
      <c r="Q2516" s="84">
        <v>1</v>
      </c>
      <c r="R2516" s="76">
        <v>1</v>
      </c>
    </row>
    <row r="2517" spans="2:18" s="83" customFormat="1" ht="15" hidden="1" customHeight="1" outlineLevel="2">
      <c r="B2517" s="119" t="s">
        <v>272</v>
      </c>
      <c r="C2517" s="266" t="s">
        <v>3743</v>
      </c>
      <c r="D2517" s="124" t="s">
        <v>1763</v>
      </c>
      <c r="E2517" s="125"/>
      <c r="F2517" s="118" t="s">
        <v>3441</v>
      </c>
      <c r="G2517" s="126" t="str">
        <f t="shared" si="152"/>
        <v>AR-C20P-1</v>
      </c>
      <c r="H2517" s="253">
        <v>1</v>
      </c>
      <c r="J2517" s="299" t="s">
        <v>286</v>
      </c>
      <c r="K2517" s="299"/>
      <c r="L2517" s="84">
        <v>1</v>
      </c>
      <c r="M2517" s="76">
        <v>1</v>
      </c>
      <c r="Q2517" s="84">
        <v>1</v>
      </c>
      <c r="R2517" s="76">
        <v>1</v>
      </c>
    </row>
    <row r="2518" spans="2:18" s="83" customFormat="1" ht="15" hidden="1" customHeight="1" outlineLevel="2">
      <c r="B2518" s="119" t="s">
        <v>272</v>
      </c>
      <c r="C2518" s="266" t="s">
        <v>3744</v>
      </c>
      <c r="D2518" s="124" t="s">
        <v>3596</v>
      </c>
      <c r="E2518" s="125"/>
      <c r="F2518" s="118" t="s">
        <v>3441</v>
      </c>
      <c r="G2518" s="126" t="str">
        <f t="shared" si="152"/>
        <v>AR-C20P-1</v>
      </c>
      <c r="H2518" s="253">
        <v>1</v>
      </c>
      <c r="J2518" s="299" t="s">
        <v>286</v>
      </c>
      <c r="K2518" s="299"/>
      <c r="L2518" s="84">
        <v>1</v>
      </c>
      <c r="M2518" s="76">
        <v>1</v>
      </c>
      <c r="Q2518" s="84">
        <v>1</v>
      </c>
      <c r="R2518" s="76">
        <v>1</v>
      </c>
    </row>
    <row r="2519" spans="2:18" s="83" customFormat="1" ht="15" hidden="1" customHeight="1" outlineLevel="2">
      <c r="B2519" s="119" t="s">
        <v>272</v>
      </c>
      <c r="C2519" s="266" t="s">
        <v>3745</v>
      </c>
      <c r="D2519" s="124" t="s">
        <v>3598</v>
      </c>
      <c r="E2519" s="125"/>
      <c r="F2519" s="118" t="s">
        <v>3441</v>
      </c>
      <c r="G2519" s="126" t="str">
        <f t="shared" si="152"/>
        <v>AR-C20P-1</v>
      </c>
      <c r="H2519" s="253">
        <v>1</v>
      </c>
      <c r="J2519" s="299" t="s">
        <v>286</v>
      </c>
      <c r="K2519" s="299"/>
      <c r="L2519" s="84">
        <v>1</v>
      </c>
      <c r="M2519" s="76">
        <v>1</v>
      </c>
      <c r="Q2519" s="84">
        <v>1</v>
      </c>
      <c r="R2519" s="76">
        <v>1</v>
      </c>
    </row>
    <row r="2520" spans="2:18" s="83" customFormat="1" ht="15" hidden="1" customHeight="1" outlineLevel="2">
      <c r="B2520" s="119" t="s">
        <v>272</v>
      </c>
      <c r="C2520" s="266" t="s">
        <v>3746</v>
      </c>
      <c r="D2520" s="124" t="s">
        <v>3600</v>
      </c>
      <c r="E2520" s="125"/>
      <c r="F2520" s="118" t="s">
        <v>3441</v>
      </c>
      <c r="G2520" s="126" t="str">
        <f t="shared" si="152"/>
        <v>AR-C20P-1</v>
      </c>
      <c r="H2520" s="253">
        <v>1</v>
      </c>
      <c r="J2520" s="299" t="s">
        <v>286</v>
      </c>
      <c r="K2520" s="299"/>
      <c r="L2520" s="84">
        <v>1</v>
      </c>
      <c r="M2520" s="76">
        <v>1</v>
      </c>
      <c r="Q2520" s="84">
        <v>1</v>
      </c>
      <c r="R2520" s="76">
        <v>1</v>
      </c>
    </row>
    <row r="2521" spans="2:18" s="83" customFormat="1" ht="15" hidden="1" customHeight="1" outlineLevel="2">
      <c r="B2521" s="119" t="s">
        <v>272</v>
      </c>
      <c r="C2521" s="266" t="s">
        <v>3747</v>
      </c>
      <c r="D2521" s="124" t="s">
        <v>3602</v>
      </c>
      <c r="E2521" s="125"/>
      <c r="F2521" s="118" t="s">
        <v>3441</v>
      </c>
      <c r="G2521" s="126" t="str">
        <f t="shared" si="152"/>
        <v>AR-C20P-1</v>
      </c>
      <c r="H2521" s="253">
        <v>1</v>
      </c>
      <c r="J2521" s="299" t="s">
        <v>286</v>
      </c>
      <c r="K2521" s="299"/>
      <c r="L2521" s="84">
        <v>1</v>
      </c>
      <c r="M2521" s="76">
        <v>1</v>
      </c>
      <c r="Q2521" s="84">
        <v>1</v>
      </c>
      <c r="R2521" s="76">
        <v>1</v>
      </c>
    </row>
    <row r="2522" spans="2:18" s="83" customFormat="1" ht="15" hidden="1" customHeight="1" outlineLevel="2">
      <c r="B2522" s="119" t="s">
        <v>272</v>
      </c>
      <c r="C2522" s="266" t="s">
        <v>3748</v>
      </c>
      <c r="D2522" s="124" t="s">
        <v>3604</v>
      </c>
      <c r="E2522" s="125"/>
      <c r="F2522" s="118" t="s">
        <v>3441</v>
      </c>
      <c r="G2522" s="126" t="str">
        <f t="shared" si="152"/>
        <v>AR-C20P-1</v>
      </c>
      <c r="H2522" s="253">
        <v>1</v>
      </c>
      <c r="J2522" s="299" t="s">
        <v>286</v>
      </c>
      <c r="K2522" s="299"/>
      <c r="L2522" s="84">
        <v>1</v>
      </c>
      <c r="M2522" s="76">
        <v>1</v>
      </c>
      <c r="Q2522" s="84">
        <v>1</v>
      </c>
      <c r="R2522" s="76">
        <v>1</v>
      </c>
    </row>
    <row r="2523" spans="2:18" s="83" customFormat="1" ht="15" hidden="1" customHeight="1" outlineLevel="2">
      <c r="B2523" s="119" t="s">
        <v>272</v>
      </c>
      <c r="C2523" s="266" t="s">
        <v>3749</v>
      </c>
      <c r="D2523" s="124" t="s">
        <v>1773</v>
      </c>
      <c r="E2523" s="125"/>
      <c r="F2523" s="118" t="s">
        <v>3441</v>
      </c>
      <c r="G2523" s="126" t="str">
        <f t="shared" si="152"/>
        <v>AR-C20P-1</v>
      </c>
      <c r="H2523" s="253">
        <v>1</v>
      </c>
      <c r="J2523" s="299" t="s">
        <v>286</v>
      </c>
      <c r="K2523" s="299"/>
      <c r="L2523" s="84">
        <v>1</v>
      </c>
      <c r="M2523" s="76">
        <v>1</v>
      </c>
      <c r="Q2523" s="84">
        <v>1</v>
      </c>
      <c r="R2523" s="76">
        <v>1</v>
      </c>
    </row>
    <row r="2524" spans="2:18" s="83" customFormat="1" ht="15" hidden="1" customHeight="1" outlineLevel="2">
      <c r="B2524" s="119" t="s">
        <v>272</v>
      </c>
      <c r="C2524" s="266" t="s">
        <v>3750</v>
      </c>
      <c r="D2524" s="124" t="s">
        <v>3607</v>
      </c>
      <c r="E2524" s="125"/>
      <c r="F2524" s="118" t="s">
        <v>3441</v>
      </c>
      <c r="G2524" s="126" t="str">
        <f t="shared" ref="G2524:G2531" si="153">CONCATENATE("AR-",F2524,"-",H2524)</f>
        <v>AR-C20P-1</v>
      </c>
      <c r="H2524" s="253">
        <v>1</v>
      </c>
      <c r="J2524" s="299" t="s">
        <v>286</v>
      </c>
      <c r="K2524" s="299"/>
      <c r="L2524" s="84">
        <v>1</v>
      </c>
      <c r="M2524" s="76">
        <v>1</v>
      </c>
      <c r="Q2524" s="84">
        <v>1</v>
      </c>
      <c r="R2524" s="76">
        <v>1</v>
      </c>
    </row>
    <row r="2525" spans="2:18" s="83" customFormat="1" ht="15" hidden="1" customHeight="1" outlineLevel="2">
      <c r="B2525" s="119" t="s">
        <v>272</v>
      </c>
      <c r="C2525" s="266" t="s">
        <v>3751</v>
      </c>
      <c r="D2525" s="124" t="s">
        <v>3609</v>
      </c>
      <c r="E2525" s="125"/>
      <c r="F2525" s="118" t="s">
        <v>3441</v>
      </c>
      <c r="G2525" s="126" t="str">
        <f t="shared" si="153"/>
        <v>AR-C20P-1</v>
      </c>
      <c r="H2525" s="253">
        <v>1</v>
      </c>
      <c r="J2525" s="299" t="s">
        <v>286</v>
      </c>
      <c r="K2525" s="299"/>
      <c r="L2525" s="84">
        <v>1</v>
      </c>
      <c r="M2525" s="76">
        <v>1</v>
      </c>
      <c r="Q2525" s="84">
        <v>1</v>
      </c>
      <c r="R2525" s="76">
        <v>1</v>
      </c>
    </row>
    <row r="2526" spans="2:18" s="100" customFormat="1" ht="15" hidden="1" customHeight="1" outlineLevel="2">
      <c r="B2526" s="119" t="s">
        <v>272</v>
      </c>
      <c r="C2526" s="266" t="s">
        <v>3752</v>
      </c>
      <c r="D2526" s="124" t="s">
        <v>3611</v>
      </c>
      <c r="E2526" s="125"/>
      <c r="F2526" s="118" t="s">
        <v>3441</v>
      </c>
      <c r="G2526" s="126" t="str">
        <f t="shared" si="153"/>
        <v>AR-C20P-1</v>
      </c>
      <c r="H2526" s="253">
        <v>1</v>
      </c>
      <c r="J2526" s="299" t="s">
        <v>286</v>
      </c>
      <c r="K2526" s="299"/>
      <c r="L2526" s="84">
        <v>1</v>
      </c>
      <c r="M2526" s="76">
        <v>1</v>
      </c>
      <c r="Q2526" s="84">
        <v>1</v>
      </c>
      <c r="R2526" s="76">
        <v>1</v>
      </c>
    </row>
    <row r="2527" spans="2:18" s="83" customFormat="1" ht="15" hidden="1" customHeight="1" outlineLevel="2">
      <c r="B2527" s="119" t="s">
        <v>272</v>
      </c>
      <c r="C2527" s="266" t="s">
        <v>3753</v>
      </c>
      <c r="D2527" s="124" t="s">
        <v>3613</v>
      </c>
      <c r="E2527" s="125"/>
      <c r="F2527" s="118" t="s">
        <v>3441</v>
      </c>
      <c r="G2527" s="126" t="str">
        <f t="shared" si="153"/>
        <v>AR-C20P-1</v>
      </c>
      <c r="H2527" s="253">
        <v>1</v>
      </c>
      <c r="J2527" s="299" t="s">
        <v>286</v>
      </c>
      <c r="K2527" s="299"/>
      <c r="L2527" s="84">
        <v>1</v>
      </c>
      <c r="M2527" s="76">
        <v>1</v>
      </c>
      <c r="Q2527" s="84">
        <v>1</v>
      </c>
      <c r="R2527" s="76">
        <v>1</v>
      </c>
    </row>
    <row r="2528" spans="2:18" s="83" customFormat="1" ht="15" hidden="1" customHeight="1" outlineLevel="2">
      <c r="B2528" s="119" t="s">
        <v>272</v>
      </c>
      <c r="C2528" s="266" t="s">
        <v>3754</v>
      </c>
      <c r="D2528" s="124" t="s">
        <v>3615</v>
      </c>
      <c r="E2528" s="125"/>
      <c r="F2528" s="118" t="s">
        <v>3441</v>
      </c>
      <c r="G2528" s="126" t="str">
        <f t="shared" si="153"/>
        <v>AR-C20P-1</v>
      </c>
      <c r="H2528" s="253">
        <v>1</v>
      </c>
      <c r="J2528" s="299" t="s">
        <v>286</v>
      </c>
      <c r="K2528" s="299"/>
      <c r="L2528" s="84">
        <v>1</v>
      </c>
      <c r="M2528" s="76">
        <v>1</v>
      </c>
      <c r="Q2528" s="84">
        <v>1</v>
      </c>
      <c r="R2528" s="76">
        <v>1</v>
      </c>
    </row>
    <row r="2529" spans="2:18" s="83" customFormat="1" ht="15" hidden="1" customHeight="1" outlineLevel="2">
      <c r="B2529" s="119" t="s">
        <v>272</v>
      </c>
      <c r="C2529" s="266" t="s">
        <v>3755</v>
      </c>
      <c r="D2529" s="124" t="s">
        <v>1783</v>
      </c>
      <c r="E2529" s="125"/>
      <c r="F2529" s="118" t="s">
        <v>3441</v>
      </c>
      <c r="G2529" s="126" t="str">
        <f t="shared" si="153"/>
        <v>AR-C20P-1</v>
      </c>
      <c r="H2529" s="253">
        <v>1</v>
      </c>
      <c r="J2529" s="299" t="s">
        <v>286</v>
      </c>
      <c r="K2529" s="299"/>
      <c r="L2529" s="84">
        <v>1</v>
      </c>
      <c r="M2529" s="76">
        <v>1</v>
      </c>
      <c r="Q2529" s="84">
        <v>1</v>
      </c>
      <c r="R2529" s="76">
        <v>1</v>
      </c>
    </row>
    <row r="2530" spans="2:18" s="83" customFormat="1" ht="15" hidden="1" customHeight="1" outlineLevel="2">
      <c r="B2530" s="119" t="s">
        <v>272</v>
      </c>
      <c r="C2530" s="266" t="s">
        <v>3756</v>
      </c>
      <c r="D2530" s="124" t="s">
        <v>3618</v>
      </c>
      <c r="E2530" s="125"/>
      <c r="F2530" s="118" t="s">
        <v>3441</v>
      </c>
      <c r="G2530" s="126" t="str">
        <f t="shared" si="153"/>
        <v>AR-C20P-1</v>
      </c>
      <c r="H2530" s="253">
        <v>1</v>
      </c>
      <c r="J2530" s="299" t="s">
        <v>286</v>
      </c>
      <c r="K2530" s="299"/>
      <c r="L2530" s="84">
        <v>1</v>
      </c>
      <c r="M2530" s="76">
        <v>1</v>
      </c>
      <c r="Q2530" s="84">
        <v>1</v>
      </c>
      <c r="R2530" s="76">
        <v>1</v>
      </c>
    </row>
    <row r="2531" spans="2:18" s="83" customFormat="1" ht="15" hidden="1" customHeight="1" outlineLevel="2">
      <c r="B2531" s="119" t="s">
        <v>272</v>
      </c>
      <c r="C2531" s="266" t="s">
        <v>3757</v>
      </c>
      <c r="D2531" s="124" t="s">
        <v>3620</v>
      </c>
      <c r="E2531" s="125"/>
      <c r="F2531" s="118" t="s">
        <v>3441</v>
      </c>
      <c r="G2531" s="126" t="str">
        <f t="shared" si="153"/>
        <v>AR-C20P-1</v>
      </c>
      <c r="H2531" s="253">
        <v>1</v>
      </c>
      <c r="J2531" s="299" t="s">
        <v>286</v>
      </c>
      <c r="K2531" s="299"/>
      <c r="L2531" s="84">
        <v>1</v>
      </c>
      <c r="M2531" s="76">
        <v>1</v>
      </c>
      <c r="Q2531" s="84">
        <v>1</v>
      </c>
      <c r="R2531" s="76">
        <v>1</v>
      </c>
    </row>
    <row r="2532" spans="2:18" s="83" customFormat="1" ht="15" hidden="1" customHeight="1" outlineLevel="2">
      <c r="B2532" s="119" t="s">
        <v>272</v>
      </c>
      <c r="C2532" s="266" t="s">
        <v>3758</v>
      </c>
      <c r="D2532" s="124" t="s">
        <v>3622</v>
      </c>
      <c r="E2532" s="125"/>
      <c r="F2532" s="118" t="s">
        <v>3441</v>
      </c>
      <c r="G2532" s="126" t="str">
        <f t="shared" ref="G2532:G2537" si="154">CONCATENATE("AR-",F2532,"-",H2532)</f>
        <v>AR-C20P-1</v>
      </c>
      <c r="H2532" s="253">
        <v>1</v>
      </c>
      <c r="J2532" s="299" t="s">
        <v>286</v>
      </c>
      <c r="K2532" s="299"/>
      <c r="L2532" s="84">
        <v>1</v>
      </c>
      <c r="M2532" s="76">
        <v>1</v>
      </c>
      <c r="Q2532" s="84">
        <v>1</v>
      </c>
      <c r="R2532" s="76">
        <v>1</v>
      </c>
    </row>
    <row r="2533" spans="2:18" s="83" customFormat="1" ht="15" hidden="1" customHeight="1" outlineLevel="2">
      <c r="B2533" s="119" t="s">
        <v>272</v>
      </c>
      <c r="C2533" s="266" t="s">
        <v>3759</v>
      </c>
      <c r="D2533" s="124" t="s">
        <v>3624</v>
      </c>
      <c r="E2533" s="125"/>
      <c r="F2533" s="118" t="s">
        <v>3441</v>
      </c>
      <c r="G2533" s="126" t="str">
        <f t="shared" si="154"/>
        <v>AR-C20P-1</v>
      </c>
      <c r="H2533" s="253">
        <v>1</v>
      </c>
      <c r="J2533" s="299" t="s">
        <v>286</v>
      </c>
      <c r="K2533" s="299"/>
      <c r="L2533" s="84">
        <v>1</v>
      </c>
      <c r="M2533" s="76">
        <v>1</v>
      </c>
      <c r="Q2533" s="84">
        <v>1</v>
      </c>
      <c r="R2533" s="76">
        <v>1</v>
      </c>
    </row>
    <row r="2534" spans="2:18" s="83" customFormat="1" ht="15" hidden="1" customHeight="1" outlineLevel="2">
      <c r="B2534" s="119" t="s">
        <v>272</v>
      </c>
      <c r="C2534" s="266" t="s">
        <v>3760</v>
      </c>
      <c r="D2534" s="124" t="s">
        <v>3626</v>
      </c>
      <c r="E2534" s="125"/>
      <c r="F2534" s="118" t="s">
        <v>3441</v>
      </c>
      <c r="G2534" s="126" t="str">
        <f t="shared" si="154"/>
        <v>AR-C20P-1</v>
      </c>
      <c r="H2534" s="253">
        <v>1</v>
      </c>
      <c r="J2534" s="299" t="s">
        <v>286</v>
      </c>
      <c r="K2534" s="299"/>
      <c r="L2534" s="84">
        <v>1</v>
      </c>
      <c r="M2534" s="76">
        <v>1</v>
      </c>
      <c r="Q2534" s="84">
        <v>1</v>
      </c>
      <c r="R2534" s="76">
        <v>1</v>
      </c>
    </row>
    <row r="2535" spans="2:18" s="83" customFormat="1" ht="15" hidden="1" customHeight="1" outlineLevel="2">
      <c r="B2535" s="119" t="s">
        <v>272</v>
      </c>
      <c r="C2535" s="266" t="s">
        <v>3761</v>
      </c>
      <c r="D2535" s="124" t="s">
        <v>3628</v>
      </c>
      <c r="E2535" s="125"/>
      <c r="F2535" s="118" t="s">
        <v>3441</v>
      </c>
      <c r="G2535" s="126" t="str">
        <f t="shared" si="154"/>
        <v>AR-C20P-1</v>
      </c>
      <c r="H2535" s="253">
        <v>1</v>
      </c>
      <c r="J2535" s="299" t="s">
        <v>286</v>
      </c>
      <c r="K2535" s="299"/>
      <c r="L2535" s="84">
        <v>1</v>
      </c>
      <c r="M2535" s="76">
        <v>1</v>
      </c>
      <c r="Q2535" s="84">
        <v>1</v>
      </c>
      <c r="R2535" s="76">
        <v>1</v>
      </c>
    </row>
    <row r="2536" spans="2:18" s="83" customFormat="1" ht="15" hidden="1" customHeight="1" outlineLevel="2">
      <c r="B2536" s="119" t="s">
        <v>272</v>
      </c>
      <c r="C2536" s="266" t="s">
        <v>3762</v>
      </c>
      <c r="D2536" s="124" t="s">
        <v>3630</v>
      </c>
      <c r="E2536" s="125"/>
      <c r="F2536" s="118" t="s">
        <v>3441</v>
      </c>
      <c r="G2536" s="126" t="str">
        <f t="shared" si="154"/>
        <v>AR-C20P-1</v>
      </c>
      <c r="H2536" s="253">
        <v>1</v>
      </c>
      <c r="J2536" s="299" t="s">
        <v>286</v>
      </c>
      <c r="K2536" s="299"/>
      <c r="L2536" s="84">
        <v>1</v>
      </c>
      <c r="M2536" s="76">
        <v>1</v>
      </c>
      <c r="Q2536" s="84">
        <v>1</v>
      </c>
      <c r="R2536" s="76">
        <v>1</v>
      </c>
    </row>
    <row r="2537" spans="2:18" s="83" customFormat="1" ht="15" hidden="1" customHeight="1" outlineLevel="2">
      <c r="B2537" s="119" t="s">
        <v>272</v>
      </c>
      <c r="C2537" s="266" t="s">
        <v>3763</v>
      </c>
      <c r="D2537" s="124" t="s">
        <v>3632</v>
      </c>
      <c r="E2537" s="125"/>
      <c r="F2537" s="118" t="s">
        <v>3441</v>
      </c>
      <c r="G2537" s="126" t="str">
        <f t="shared" si="154"/>
        <v>AR-C20P-1</v>
      </c>
      <c r="H2537" s="253">
        <v>1</v>
      </c>
      <c r="J2537" s="299" t="s">
        <v>286</v>
      </c>
      <c r="K2537" s="299"/>
      <c r="L2537" s="84">
        <v>1</v>
      </c>
      <c r="M2537" s="76">
        <v>1</v>
      </c>
      <c r="Q2537" s="84">
        <v>1</v>
      </c>
      <c r="R2537" s="76">
        <v>1</v>
      </c>
    </row>
    <row r="2538" spans="2:18" s="83" customFormat="1" ht="15" hidden="1" customHeight="1" outlineLevel="2">
      <c r="B2538" s="119" t="s">
        <v>272</v>
      </c>
      <c r="C2538" s="266" t="s">
        <v>3764</v>
      </c>
      <c r="D2538" s="124" t="s">
        <v>3634</v>
      </c>
      <c r="E2538" s="125"/>
      <c r="F2538" s="118" t="s">
        <v>3441</v>
      </c>
      <c r="G2538" s="126" t="str">
        <f t="shared" ref="G2538:G2578" si="155">CONCATENATE("AR-",F2538,"-",H2538)</f>
        <v>AR-C20P-1</v>
      </c>
      <c r="H2538" s="253">
        <v>1</v>
      </c>
      <c r="J2538" s="299" t="s">
        <v>286</v>
      </c>
      <c r="K2538" s="299"/>
      <c r="L2538" s="84">
        <v>1</v>
      </c>
      <c r="M2538" s="76">
        <v>1</v>
      </c>
      <c r="Q2538" s="84">
        <v>1</v>
      </c>
      <c r="R2538" s="76">
        <v>1</v>
      </c>
    </row>
    <row r="2539" spans="2:18" s="83" customFormat="1" ht="15" hidden="1" customHeight="1" outlineLevel="2">
      <c r="B2539" s="119" t="s">
        <v>272</v>
      </c>
      <c r="C2539" s="266" t="s">
        <v>3765</v>
      </c>
      <c r="D2539" s="124" t="s">
        <v>3636</v>
      </c>
      <c r="E2539" s="125"/>
      <c r="F2539" s="118" t="s">
        <v>3441</v>
      </c>
      <c r="G2539" s="126" t="str">
        <f t="shared" si="155"/>
        <v>AR-C20P-1</v>
      </c>
      <c r="H2539" s="253">
        <v>1</v>
      </c>
      <c r="J2539" s="299" t="s">
        <v>286</v>
      </c>
      <c r="K2539" s="299"/>
      <c r="L2539" s="84">
        <v>1</v>
      </c>
      <c r="M2539" s="76">
        <v>1</v>
      </c>
      <c r="Q2539" s="84">
        <v>1</v>
      </c>
      <c r="R2539" s="76">
        <v>1</v>
      </c>
    </row>
    <row r="2540" spans="2:18" s="100" customFormat="1" ht="15" hidden="1" customHeight="1" outlineLevel="2">
      <c r="B2540" s="119" t="s">
        <v>272</v>
      </c>
      <c r="C2540" s="266" t="s">
        <v>3766</v>
      </c>
      <c r="D2540" s="124" t="s">
        <v>3638</v>
      </c>
      <c r="E2540" s="125"/>
      <c r="F2540" s="118" t="s">
        <v>3441</v>
      </c>
      <c r="G2540" s="126" t="str">
        <f t="shared" si="155"/>
        <v>AR-C20P-1</v>
      </c>
      <c r="H2540" s="253">
        <v>1</v>
      </c>
      <c r="J2540" s="299" t="s">
        <v>286</v>
      </c>
      <c r="K2540" s="299"/>
      <c r="L2540" s="84">
        <v>1</v>
      </c>
      <c r="M2540" s="76">
        <v>1</v>
      </c>
      <c r="Q2540" s="84">
        <v>1</v>
      </c>
      <c r="R2540" s="76">
        <v>1</v>
      </c>
    </row>
    <row r="2541" spans="2:18" s="83" customFormat="1" ht="15" hidden="1" customHeight="1" outlineLevel="2">
      <c r="B2541" s="119" t="s">
        <v>272</v>
      </c>
      <c r="C2541" s="266" t="s">
        <v>3767</v>
      </c>
      <c r="D2541" s="124" t="s">
        <v>3640</v>
      </c>
      <c r="E2541" s="125"/>
      <c r="F2541" s="118" t="s">
        <v>3441</v>
      </c>
      <c r="G2541" s="126" t="str">
        <f t="shared" si="155"/>
        <v>AR-C20P-1</v>
      </c>
      <c r="H2541" s="253">
        <v>1</v>
      </c>
      <c r="J2541" s="299" t="s">
        <v>286</v>
      </c>
      <c r="K2541" s="299"/>
      <c r="L2541" s="84">
        <v>1</v>
      </c>
      <c r="M2541" s="76">
        <v>1</v>
      </c>
      <c r="Q2541" s="84">
        <v>1</v>
      </c>
      <c r="R2541" s="76">
        <v>1</v>
      </c>
    </row>
    <row r="2542" spans="2:18" s="83" customFormat="1" ht="15" hidden="1" customHeight="1" outlineLevel="2">
      <c r="B2542" s="119" t="s">
        <v>272</v>
      </c>
      <c r="C2542" s="266" t="s">
        <v>3768</v>
      </c>
      <c r="D2542" s="124" t="s">
        <v>3642</v>
      </c>
      <c r="E2542" s="125"/>
      <c r="F2542" s="118" t="s">
        <v>3441</v>
      </c>
      <c r="G2542" s="126" t="str">
        <f t="shared" si="155"/>
        <v>AR-C20P-1</v>
      </c>
      <c r="H2542" s="253">
        <v>1</v>
      </c>
      <c r="J2542" s="299" t="s">
        <v>286</v>
      </c>
      <c r="K2542" s="299"/>
      <c r="L2542" s="84">
        <v>1</v>
      </c>
      <c r="M2542" s="76">
        <v>1</v>
      </c>
      <c r="Q2542" s="84">
        <v>1</v>
      </c>
      <c r="R2542" s="76">
        <v>1</v>
      </c>
    </row>
    <row r="2543" spans="2:18" s="83" customFormat="1" ht="15" hidden="1" customHeight="1" outlineLevel="2">
      <c r="B2543" s="119" t="s">
        <v>272</v>
      </c>
      <c r="C2543" s="266" t="s">
        <v>3769</v>
      </c>
      <c r="D2543" s="124" t="s">
        <v>3644</v>
      </c>
      <c r="E2543" s="125"/>
      <c r="F2543" s="118" t="s">
        <v>3441</v>
      </c>
      <c r="G2543" s="126" t="str">
        <f t="shared" si="155"/>
        <v>AR-C20P-1</v>
      </c>
      <c r="H2543" s="253">
        <v>1</v>
      </c>
      <c r="J2543" s="299" t="s">
        <v>286</v>
      </c>
      <c r="K2543" s="299"/>
      <c r="L2543" s="84">
        <v>1</v>
      </c>
      <c r="M2543" s="76">
        <v>1</v>
      </c>
      <c r="Q2543" s="84">
        <v>1</v>
      </c>
      <c r="R2543" s="76">
        <v>1</v>
      </c>
    </row>
    <row r="2544" spans="2:18" s="83" customFormat="1" ht="15" hidden="1" customHeight="1" outlineLevel="2">
      <c r="B2544" s="119" t="s">
        <v>272</v>
      </c>
      <c r="C2544" s="266" t="s">
        <v>3770</v>
      </c>
      <c r="D2544" s="124" t="s">
        <v>3646</v>
      </c>
      <c r="E2544" s="125"/>
      <c r="F2544" s="118" t="s">
        <v>3441</v>
      </c>
      <c r="G2544" s="126" t="str">
        <f t="shared" si="155"/>
        <v>AR-C20P-1</v>
      </c>
      <c r="H2544" s="253">
        <v>1</v>
      </c>
      <c r="J2544" s="299" t="s">
        <v>286</v>
      </c>
      <c r="K2544" s="299"/>
      <c r="L2544" s="84">
        <v>1</v>
      </c>
      <c r="M2544" s="76">
        <v>1</v>
      </c>
      <c r="Q2544" s="84">
        <v>1</v>
      </c>
      <c r="R2544" s="76">
        <v>1</v>
      </c>
    </row>
    <row r="2545" spans="2:18" s="83" customFormat="1" ht="15" hidden="1" customHeight="1" outlineLevel="2">
      <c r="B2545" s="119" t="s">
        <v>272</v>
      </c>
      <c r="C2545" s="266" t="s">
        <v>3771</v>
      </c>
      <c r="D2545" s="124" t="s">
        <v>3648</v>
      </c>
      <c r="E2545" s="125"/>
      <c r="F2545" s="118" t="s">
        <v>3441</v>
      </c>
      <c r="G2545" s="126" t="str">
        <f t="shared" si="155"/>
        <v>AR-C20P-1</v>
      </c>
      <c r="H2545" s="253">
        <v>1</v>
      </c>
      <c r="J2545" s="299" t="s">
        <v>286</v>
      </c>
      <c r="K2545" s="299"/>
      <c r="L2545" s="84">
        <v>1</v>
      </c>
      <c r="M2545" s="76">
        <v>1</v>
      </c>
      <c r="Q2545" s="84">
        <v>1</v>
      </c>
      <c r="R2545" s="76">
        <v>1</v>
      </c>
    </row>
    <row r="2546" spans="2:18" s="83" customFormat="1" ht="15" hidden="1" customHeight="1" outlineLevel="2">
      <c r="B2546" s="119" t="s">
        <v>272</v>
      </c>
      <c r="C2546" s="266" t="s">
        <v>3772</v>
      </c>
      <c r="D2546" s="124" t="s">
        <v>3650</v>
      </c>
      <c r="E2546" s="125"/>
      <c r="F2546" s="118" t="s">
        <v>3441</v>
      </c>
      <c r="G2546" s="126" t="str">
        <f t="shared" si="155"/>
        <v>AR-C20P-1</v>
      </c>
      <c r="H2546" s="253">
        <v>1</v>
      </c>
      <c r="J2546" s="299" t="s">
        <v>286</v>
      </c>
      <c r="K2546" s="299"/>
      <c r="L2546" s="84">
        <v>1</v>
      </c>
      <c r="M2546" s="76">
        <v>1</v>
      </c>
      <c r="Q2546" s="84">
        <v>1</v>
      </c>
      <c r="R2546" s="76">
        <v>1</v>
      </c>
    </row>
    <row r="2547" spans="2:18" s="83" customFormat="1" ht="15" hidden="1" customHeight="1" outlineLevel="2">
      <c r="B2547" s="119" t="s">
        <v>272</v>
      </c>
      <c r="C2547" s="266" t="s">
        <v>3773</v>
      </c>
      <c r="D2547" s="124" t="s">
        <v>1502</v>
      </c>
      <c r="E2547" s="125"/>
      <c r="F2547" s="118" t="s">
        <v>3441</v>
      </c>
      <c r="G2547" s="126" t="str">
        <f t="shared" si="155"/>
        <v>AR-C20P-1</v>
      </c>
      <c r="H2547" s="253">
        <v>1</v>
      </c>
      <c r="J2547" s="299" t="s">
        <v>286</v>
      </c>
      <c r="K2547" s="299"/>
      <c r="L2547" s="84">
        <v>1</v>
      </c>
      <c r="M2547" s="76">
        <v>1</v>
      </c>
      <c r="Q2547" s="84">
        <v>1</v>
      </c>
      <c r="R2547" s="76">
        <v>1</v>
      </c>
    </row>
    <row r="2548" spans="2:18" s="83" customFormat="1" ht="15" hidden="1" customHeight="1" outlineLevel="2">
      <c r="B2548" s="119" t="s">
        <v>272</v>
      </c>
      <c r="C2548" s="266" t="s">
        <v>3774</v>
      </c>
      <c r="D2548" s="124" t="s">
        <v>1092</v>
      </c>
      <c r="E2548" s="125"/>
      <c r="F2548" s="118" t="s">
        <v>3441</v>
      </c>
      <c r="G2548" s="126" t="str">
        <f t="shared" si="155"/>
        <v>AR-C20P-1</v>
      </c>
      <c r="H2548" s="253">
        <v>1</v>
      </c>
      <c r="J2548" s="299" t="s">
        <v>286</v>
      </c>
      <c r="K2548" s="299"/>
      <c r="L2548" s="84">
        <v>1</v>
      </c>
      <c r="M2548" s="76">
        <v>1</v>
      </c>
      <c r="Q2548" s="84">
        <v>1</v>
      </c>
      <c r="R2548" s="76">
        <v>1</v>
      </c>
    </row>
    <row r="2549" spans="2:18" s="83" customFormat="1" ht="15" hidden="1" customHeight="1" outlineLevel="2">
      <c r="B2549" s="119" t="s">
        <v>272</v>
      </c>
      <c r="C2549" s="266" t="s">
        <v>3775</v>
      </c>
      <c r="D2549" s="124" t="s">
        <v>1092</v>
      </c>
      <c r="E2549" s="125"/>
      <c r="F2549" s="118" t="s">
        <v>3441</v>
      </c>
      <c r="G2549" s="126" t="str">
        <f t="shared" si="155"/>
        <v>AR-C20P-1</v>
      </c>
      <c r="H2549" s="253">
        <v>1</v>
      </c>
      <c r="J2549" s="299" t="s">
        <v>286</v>
      </c>
      <c r="K2549" s="299"/>
      <c r="L2549" s="84">
        <v>1</v>
      </c>
      <c r="M2549" s="76">
        <v>1</v>
      </c>
      <c r="Q2549" s="84">
        <v>1</v>
      </c>
      <c r="R2549" s="76">
        <v>1</v>
      </c>
    </row>
    <row r="2550" spans="2:18" s="83" customFormat="1" ht="15" hidden="1" customHeight="1" outlineLevel="2">
      <c r="B2550" s="119" t="s">
        <v>272</v>
      </c>
      <c r="C2550" s="266" t="s">
        <v>3776</v>
      </c>
      <c r="D2550" s="124" t="s">
        <v>1092</v>
      </c>
      <c r="E2550" s="125"/>
      <c r="F2550" s="118" t="s">
        <v>3441</v>
      </c>
      <c r="G2550" s="126" t="str">
        <f t="shared" si="155"/>
        <v>AR-C20P-1</v>
      </c>
      <c r="H2550" s="253">
        <v>1</v>
      </c>
      <c r="J2550" s="299" t="s">
        <v>286</v>
      </c>
      <c r="K2550" s="299"/>
      <c r="L2550" s="84">
        <v>1</v>
      </c>
      <c r="M2550" s="76">
        <v>1</v>
      </c>
      <c r="Q2550" s="84">
        <v>1</v>
      </c>
      <c r="R2550" s="76">
        <v>1</v>
      </c>
    </row>
    <row r="2551" spans="2:18" s="83" customFormat="1" ht="15" hidden="1" customHeight="1" outlineLevel="2">
      <c r="B2551" s="119" t="s">
        <v>272</v>
      </c>
      <c r="C2551" s="266" t="s">
        <v>3777</v>
      </c>
      <c r="D2551" s="124" t="s">
        <v>1092</v>
      </c>
      <c r="E2551" s="125"/>
      <c r="F2551" s="118" t="s">
        <v>3441</v>
      </c>
      <c r="G2551" s="126" t="str">
        <f t="shared" si="155"/>
        <v>AR-C20P-1</v>
      </c>
      <c r="H2551" s="253">
        <v>1</v>
      </c>
      <c r="J2551" s="299" t="s">
        <v>286</v>
      </c>
      <c r="K2551" s="299"/>
      <c r="L2551" s="84">
        <v>1</v>
      </c>
      <c r="M2551" s="76">
        <v>1</v>
      </c>
      <c r="Q2551" s="84">
        <v>1</v>
      </c>
      <c r="R2551" s="76">
        <v>1</v>
      </c>
    </row>
    <row r="2552" spans="2:18" s="83" customFormat="1" ht="15" hidden="1" customHeight="1" outlineLevel="2">
      <c r="B2552" s="119" t="s">
        <v>272</v>
      </c>
      <c r="C2552" s="266" t="s">
        <v>3778</v>
      </c>
      <c r="D2552" s="124" t="s">
        <v>2511</v>
      </c>
      <c r="E2552" s="125"/>
      <c r="F2552" s="118" t="s">
        <v>3441</v>
      </c>
      <c r="G2552" s="126" t="str">
        <f t="shared" si="155"/>
        <v>AR-C20P-1</v>
      </c>
      <c r="H2552" s="253">
        <v>1</v>
      </c>
      <c r="J2552" s="299" t="s">
        <v>286</v>
      </c>
      <c r="K2552" s="299"/>
      <c r="L2552" s="84">
        <v>1</v>
      </c>
      <c r="M2552" s="76">
        <v>1</v>
      </c>
      <c r="Q2552" s="84">
        <v>1</v>
      </c>
      <c r="R2552" s="76">
        <v>1</v>
      </c>
    </row>
    <row r="2553" spans="2:18" s="83" customFormat="1" ht="15" hidden="1" customHeight="1" outlineLevel="2">
      <c r="B2553" s="119" t="s">
        <v>272</v>
      </c>
      <c r="C2553" s="266" t="s">
        <v>3779</v>
      </c>
      <c r="D2553" s="124" t="s">
        <v>3658</v>
      </c>
      <c r="E2553" s="125"/>
      <c r="F2553" s="118" t="s">
        <v>3441</v>
      </c>
      <c r="G2553" s="126" t="str">
        <f t="shared" si="155"/>
        <v>AR-C20P-1</v>
      </c>
      <c r="H2553" s="253">
        <v>1</v>
      </c>
      <c r="J2553" s="299" t="s">
        <v>286</v>
      </c>
      <c r="K2553" s="299"/>
      <c r="L2553" s="84">
        <v>1</v>
      </c>
      <c r="M2553" s="76">
        <v>1</v>
      </c>
      <c r="Q2553" s="84">
        <v>1</v>
      </c>
      <c r="R2553" s="76">
        <v>1</v>
      </c>
    </row>
    <row r="2554" spans="2:18" s="83" customFormat="1" ht="15" hidden="1" customHeight="1" outlineLevel="2">
      <c r="B2554" s="119" t="s">
        <v>272</v>
      </c>
      <c r="C2554" s="266" t="s">
        <v>3780</v>
      </c>
      <c r="D2554" s="124" t="s">
        <v>3658</v>
      </c>
      <c r="E2554" s="125"/>
      <c r="F2554" s="118" t="s">
        <v>3441</v>
      </c>
      <c r="G2554" s="126" t="str">
        <f t="shared" si="155"/>
        <v>AR-C20P-1</v>
      </c>
      <c r="H2554" s="253">
        <v>1</v>
      </c>
      <c r="J2554" s="299" t="s">
        <v>286</v>
      </c>
      <c r="K2554" s="299"/>
      <c r="L2554" s="84">
        <v>1</v>
      </c>
      <c r="M2554" s="76">
        <v>1</v>
      </c>
      <c r="Q2554" s="84">
        <v>1</v>
      </c>
      <c r="R2554" s="76">
        <v>1</v>
      </c>
    </row>
    <row r="2555" spans="2:18" s="99" customFormat="1" ht="15" hidden="1" customHeight="1" outlineLevel="2">
      <c r="B2555" s="119" t="s">
        <v>272</v>
      </c>
      <c r="C2555" s="266" t="s">
        <v>3781</v>
      </c>
      <c r="D2555" s="124" t="s">
        <v>3782</v>
      </c>
      <c r="E2555" s="125"/>
      <c r="F2555" s="118" t="s">
        <v>3441</v>
      </c>
      <c r="G2555" s="126" t="str">
        <f t="shared" si="155"/>
        <v>AR-C20P-1</v>
      </c>
      <c r="H2555" s="253">
        <v>1</v>
      </c>
      <c r="J2555" s="299" t="s">
        <v>286</v>
      </c>
      <c r="K2555" s="299"/>
      <c r="L2555" s="84">
        <v>1</v>
      </c>
      <c r="M2555" s="76">
        <v>1</v>
      </c>
      <c r="Q2555" s="84">
        <v>1</v>
      </c>
      <c r="R2555" s="76">
        <v>1</v>
      </c>
    </row>
    <row r="2556" spans="2:18" s="83" customFormat="1" ht="15" hidden="1" customHeight="1" outlineLevel="2">
      <c r="B2556" s="119" t="s">
        <v>272</v>
      </c>
      <c r="C2556" s="266" t="s">
        <v>3783</v>
      </c>
      <c r="D2556" s="124" t="s">
        <v>3658</v>
      </c>
      <c r="E2556" s="125"/>
      <c r="F2556" s="118" t="s">
        <v>3441</v>
      </c>
      <c r="G2556" s="126" t="str">
        <f t="shared" si="155"/>
        <v>AR-C20P-1</v>
      </c>
      <c r="H2556" s="253">
        <v>1</v>
      </c>
      <c r="J2556" s="299" t="s">
        <v>286</v>
      </c>
      <c r="K2556" s="299"/>
      <c r="L2556" s="84">
        <v>1</v>
      </c>
      <c r="M2556" s="76">
        <v>1</v>
      </c>
      <c r="Q2556" s="84">
        <v>1</v>
      </c>
      <c r="R2556" s="76">
        <v>1</v>
      </c>
    </row>
    <row r="2557" spans="2:18" s="83" customFormat="1" ht="15" hidden="1" customHeight="1" outlineLevel="2">
      <c r="B2557" s="119" t="s">
        <v>272</v>
      </c>
      <c r="C2557" s="266" t="s">
        <v>3784</v>
      </c>
      <c r="D2557" s="124" t="s">
        <v>3658</v>
      </c>
      <c r="E2557" s="125"/>
      <c r="F2557" s="118" t="s">
        <v>3441</v>
      </c>
      <c r="G2557" s="126" t="str">
        <f t="shared" si="155"/>
        <v>AR-C20P-1</v>
      </c>
      <c r="H2557" s="253">
        <v>1</v>
      </c>
      <c r="J2557" s="299" t="s">
        <v>286</v>
      </c>
      <c r="K2557" s="299"/>
      <c r="L2557" s="84">
        <v>1</v>
      </c>
      <c r="M2557" s="76">
        <v>1</v>
      </c>
      <c r="Q2557" s="84">
        <v>1</v>
      </c>
      <c r="R2557" s="76">
        <v>1</v>
      </c>
    </row>
    <row r="2558" spans="2:18" s="83" customFormat="1" ht="15" hidden="1" customHeight="1" outlineLevel="2">
      <c r="B2558" s="119" t="s">
        <v>272</v>
      </c>
      <c r="C2558" s="266" t="s">
        <v>3785</v>
      </c>
      <c r="D2558" s="124" t="s">
        <v>3658</v>
      </c>
      <c r="E2558" s="125"/>
      <c r="F2558" s="118" t="s">
        <v>3441</v>
      </c>
      <c r="G2558" s="126" t="str">
        <f t="shared" si="155"/>
        <v>AR-C20P-1</v>
      </c>
      <c r="H2558" s="253">
        <v>1</v>
      </c>
      <c r="J2558" s="299" t="s">
        <v>286</v>
      </c>
      <c r="K2558" s="299"/>
      <c r="L2558" s="84">
        <v>1</v>
      </c>
      <c r="M2558" s="76">
        <v>1</v>
      </c>
      <c r="Q2558" s="84">
        <v>1</v>
      </c>
      <c r="R2558" s="76">
        <v>1</v>
      </c>
    </row>
    <row r="2559" spans="2:18" s="83" customFormat="1" ht="15" hidden="1" customHeight="1" outlineLevel="2">
      <c r="B2559" s="119" t="s">
        <v>272</v>
      </c>
      <c r="C2559" s="266" t="s">
        <v>3786</v>
      </c>
      <c r="D2559" s="124" t="s">
        <v>3658</v>
      </c>
      <c r="E2559" s="125"/>
      <c r="F2559" s="118" t="s">
        <v>3441</v>
      </c>
      <c r="G2559" s="126" t="str">
        <f t="shared" si="155"/>
        <v>AR-C20P-1</v>
      </c>
      <c r="H2559" s="253">
        <v>1</v>
      </c>
      <c r="J2559" s="299" t="s">
        <v>286</v>
      </c>
      <c r="K2559" s="299"/>
      <c r="L2559" s="84">
        <v>1</v>
      </c>
      <c r="M2559" s="76">
        <v>1</v>
      </c>
      <c r="Q2559" s="84">
        <v>1</v>
      </c>
      <c r="R2559" s="76">
        <v>1</v>
      </c>
    </row>
    <row r="2560" spans="2:18" s="83" customFormat="1" ht="15" hidden="1" customHeight="1" outlineLevel="2">
      <c r="B2560" s="119" t="s">
        <v>272</v>
      </c>
      <c r="C2560" s="266" t="s">
        <v>3787</v>
      </c>
      <c r="D2560" s="124" t="s">
        <v>3679</v>
      </c>
      <c r="E2560" s="125"/>
      <c r="F2560" s="118" t="s">
        <v>3441</v>
      </c>
      <c r="G2560" s="126" t="str">
        <f t="shared" si="155"/>
        <v>AR-C20P-1</v>
      </c>
      <c r="H2560" s="253">
        <v>1</v>
      </c>
      <c r="J2560" s="299" t="s">
        <v>286</v>
      </c>
      <c r="K2560" s="299"/>
      <c r="L2560" s="84">
        <v>1</v>
      </c>
      <c r="M2560" s="76">
        <v>1</v>
      </c>
      <c r="Q2560" s="84">
        <v>1</v>
      </c>
      <c r="R2560" s="76">
        <v>1</v>
      </c>
    </row>
    <row r="2561" spans="2:18" s="83" customFormat="1" ht="15" hidden="1" customHeight="1" outlineLevel="2">
      <c r="B2561" s="119" t="s">
        <v>272</v>
      </c>
      <c r="C2561" s="266" t="s">
        <v>3788</v>
      </c>
      <c r="D2561" s="124" t="s">
        <v>3679</v>
      </c>
      <c r="E2561" s="125"/>
      <c r="F2561" s="118" t="s">
        <v>3441</v>
      </c>
      <c r="G2561" s="126" t="str">
        <f t="shared" si="155"/>
        <v>AR-C20P-1</v>
      </c>
      <c r="H2561" s="253">
        <v>1</v>
      </c>
      <c r="J2561" s="299" t="s">
        <v>286</v>
      </c>
      <c r="K2561" s="299"/>
      <c r="L2561" s="84">
        <v>1</v>
      </c>
      <c r="M2561" s="76">
        <v>1</v>
      </c>
      <c r="Q2561" s="84">
        <v>1</v>
      </c>
      <c r="R2561" s="76">
        <v>1</v>
      </c>
    </row>
    <row r="2562" spans="2:18" s="83" customFormat="1" ht="15" hidden="1" customHeight="1" outlineLevel="2">
      <c r="B2562" s="119" t="s">
        <v>272</v>
      </c>
      <c r="C2562" s="266" t="s">
        <v>3789</v>
      </c>
      <c r="D2562" s="124" t="s">
        <v>1120</v>
      </c>
      <c r="E2562" s="125"/>
      <c r="F2562" s="118" t="s">
        <v>3441</v>
      </c>
      <c r="G2562" s="126" t="str">
        <f t="shared" si="155"/>
        <v>AR-C20P-1</v>
      </c>
      <c r="H2562" s="253">
        <v>1</v>
      </c>
      <c r="J2562" s="299" t="s">
        <v>286</v>
      </c>
      <c r="K2562" s="299"/>
      <c r="L2562" s="84">
        <v>1</v>
      </c>
      <c r="M2562" s="76">
        <v>1</v>
      </c>
      <c r="Q2562" s="84">
        <v>1</v>
      </c>
      <c r="R2562" s="76">
        <v>1</v>
      </c>
    </row>
    <row r="2563" spans="2:18" s="83" customFormat="1" ht="15" hidden="1" customHeight="1" outlineLevel="2">
      <c r="B2563" s="119" t="s">
        <v>272</v>
      </c>
      <c r="C2563" s="266" t="s">
        <v>3790</v>
      </c>
      <c r="D2563" s="124" t="s">
        <v>3683</v>
      </c>
      <c r="E2563" s="125"/>
      <c r="F2563" s="118" t="s">
        <v>3441</v>
      </c>
      <c r="G2563" s="126" t="str">
        <f t="shared" si="155"/>
        <v>AR-C20P-1</v>
      </c>
      <c r="H2563" s="253">
        <v>1</v>
      </c>
      <c r="J2563" s="299" t="s">
        <v>286</v>
      </c>
      <c r="K2563" s="299"/>
      <c r="L2563" s="84">
        <v>1</v>
      </c>
      <c r="M2563" s="76">
        <v>1</v>
      </c>
      <c r="Q2563" s="84">
        <v>1</v>
      </c>
      <c r="R2563" s="76">
        <v>1</v>
      </c>
    </row>
    <row r="2564" spans="2:18" s="83" customFormat="1" ht="15" hidden="1" customHeight="1" outlineLevel="2">
      <c r="B2564" s="119" t="s">
        <v>272</v>
      </c>
      <c r="C2564" s="266" t="s">
        <v>3791</v>
      </c>
      <c r="D2564" s="124" t="s">
        <v>3683</v>
      </c>
      <c r="E2564" s="125"/>
      <c r="F2564" s="118" t="s">
        <v>3441</v>
      </c>
      <c r="G2564" s="126" t="str">
        <f t="shared" si="155"/>
        <v>AR-C20P-1</v>
      </c>
      <c r="H2564" s="253">
        <v>1</v>
      </c>
      <c r="J2564" s="299" t="s">
        <v>286</v>
      </c>
      <c r="K2564" s="299"/>
      <c r="L2564" s="84">
        <v>1</v>
      </c>
      <c r="M2564" s="76">
        <v>1</v>
      </c>
      <c r="Q2564" s="84">
        <v>1</v>
      </c>
      <c r="R2564" s="76">
        <v>1</v>
      </c>
    </row>
    <row r="2565" spans="2:18" s="83" customFormat="1" ht="15" hidden="1" customHeight="1" outlineLevel="2">
      <c r="B2565" s="119" t="s">
        <v>272</v>
      </c>
      <c r="C2565" s="266" t="s">
        <v>3792</v>
      </c>
      <c r="D2565" s="124" t="s">
        <v>1434</v>
      </c>
      <c r="E2565" s="125"/>
      <c r="F2565" s="118" t="s">
        <v>3441</v>
      </c>
      <c r="G2565" s="126" t="str">
        <f t="shared" si="155"/>
        <v>AR-C20P-1</v>
      </c>
      <c r="H2565" s="253">
        <v>1</v>
      </c>
      <c r="J2565" s="299" t="s">
        <v>286</v>
      </c>
      <c r="K2565" s="299"/>
      <c r="L2565" s="84">
        <v>1</v>
      </c>
      <c r="M2565" s="76">
        <v>1</v>
      </c>
      <c r="Q2565" s="84">
        <v>1</v>
      </c>
      <c r="R2565" s="76">
        <v>1</v>
      </c>
    </row>
    <row r="2566" spans="2:18" s="83" customFormat="1" ht="15" hidden="1" customHeight="1" outlineLevel="2">
      <c r="B2566" s="119" t="s">
        <v>272</v>
      </c>
      <c r="C2566" s="266" t="s">
        <v>3793</v>
      </c>
      <c r="D2566" s="124" t="s">
        <v>3489</v>
      </c>
      <c r="E2566" s="125"/>
      <c r="F2566" s="118" t="s">
        <v>3441</v>
      </c>
      <c r="G2566" s="126" t="str">
        <f t="shared" si="155"/>
        <v>AR-C20P-1</v>
      </c>
      <c r="H2566" s="253">
        <v>1</v>
      </c>
      <c r="I2566" s="76"/>
      <c r="J2566" s="299" t="s">
        <v>286</v>
      </c>
      <c r="K2566" s="299"/>
      <c r="L2566" s="84">
        <v>1</v>
      </c>
      <c r="M2566" s="76">
        <v>1</v>
      </c>
      <c r="Q2566" s="84">
        <v>1</v>
      </c>
      <c r="R2566" s="76">
        <v>1</v>
      </c>
    </row>
    <row r="2567" spans="2:18" s="83" customFormat="1" ht="15" hidden="1" customHeight="1" outlineLevel="2">
      <c r="B2567" s="119" t="s">
        <v>272</v>
      </c>
      <c r="C2567" s="266" t="s">
        <v>3794</v>
      </c>
      <c r="D2567" s="124" t="s">
        <v>3491</v>
      </c>
      <c r="E2567" s="125"/>
      <c r="F2567" s="118" t="s">
        <v>3441</v>
      </c>
      <c r="G2567" s="126" t="str">
        <f t="shared" si="155"/>
        <v>AR-C20P-1</v>
      </c>
      <c r="H2567" s="253">
        <v>1</v>
      </c>
      <c r="I2567" s="76"/>
      <c r="J2567" s="299" t="s">
        <v>286</v>
      </c>
      <c r="K2567" s="299"/>
      <c r="L2567" s="84">
        <v>1</v>
      </c>
      <c r="M2567" s="76">
        <v>1</v>
      </c>
      <c r="Q2567" s="84">
        <v>1</v>
      </c>
      <c r="R2567" s="76">
        <v>1</v>
      </c>
    </row>
    <row r="2568" spans="2:18" s="83" customFormat="1" ht="15" hidden="1" customHeight="1" outlineLevel="2">
      <c r="B2568" s="119" t="s">
        <v>272</v>
      </c>
      <c r="C2568" s="266" t="s">
        <v>3795</v>
      </c>
      <c r="D2568" s="124" t="s">
        <v>3493</v>
      </c>
      <c r="E2568" s="125"/>
      <c r="F2568" s="118" t="s">
        <v>3441</v>
      </c>
      <c r="G2568" s="126" t="str">
        <f t="shared" si="155"/>
        <v>AR-C20P-1</v>
      </c>
      <c r="H2568" s="253">
        <v>1</v>
      </c>
      <c r="I2568" s="76"/>
      <c r="J2568" s="299" t="s">
        <v>286</v>
      </c>
      <c r="K2568" s="299"/>
      <c r="L2568" s="84">
        <v>1</v>
      </c>
      <c r="M2568" s="76">
        <v>1</v>
      </c>
      <c r="Q2568" s="84">
        <v>1</v>
      </c>
      <c r="R2568" s="76">
        <v>1</v>
      </c>
    </row>
    <row r="2569" spans="2:18" s="83" customFormat="1" ht="15" hidden="1" customHeight="1" outlineLevel="2">
      <c r="B2569" s="119" t="s">
        <v>272</v>
      </c>
      <c r="C2569" s="266" t="s">
        <v>3796</v>
      </c>
      <c r="D2569" s="124" t="s">
        <v>3495</v>
      </c>
      <c r="E2569" s="125"/>
      <c r="F2569" s="118" t="s">
        <v>3441</v>
      </c>
      <c r="G2569" s="126" t="str">
        <f t="shared" si="155"/>
        <v>AR-C20P-1</v>
      </c>
      <c r="H2569" s="253">
        <v>1</v>
      </c>
      <c r="I2569" s="76"/>
      <c r="J2569" s="299" t="s">
        <v>286</v>
      </c>
      <c r="K2569" s="299"/>
      <c r="L2569" s="84">
        <v>1</v>
      </c>
      <c r="M2569" s="76">
        <v>1</v>
      </c>
      <c r="Q2569" s="84">
        <v>1</v>
      </c>
      <c r="R2569" s="76">
        <v>1</v>
      </c>
    </row>
    <row r="2570" spans="2:18" s="83" customFormat="1" ht="15" hidden="1" customHeight="1" outlineLevel="2">
      <c r="B2570" s="119" t="s">
        <v>272</v>
      </c>
      <c r="C2570" s="266" t="s">
        <v>3797</v>
      </c>
      <c r="D2570" s="124" t="s">
        <v>3497</v>
      </c>
      <c r="E2570" s="125"/>
      <c r="F2570" s="118" t="s">
        <v>3441</v>
      </c>
      <c r="G2570" s="126" t="str">
        <f t="shared" si="155"/>
        <v>AR-C20P-1</v>
      </c>
      <c r="H2570" s="253">
        <v>1</v>
      </c>
      <c r="J2570" s="299" t="s">
        <v>286</v>
      </c>
      <c r="K2570" s="299"/>
      <c r="L2570" s="84">
        <v>1</v>
      </c>
      <c r="M2570" s="76">
        <v>1</v>
      </c>
      <c r="Q2570" s="84">
        <v>1</v>
      </c>
      <c r="R2570" s="76">
        <v>1</v>
      </c>
    </row>
    <row r="2571" spans="2:18" s="83" customFormat="1" ht="15" hidden="1" customHeight="1" outlineLevel="2">
      <c r="B2571" s="119" t="s">
        <v>272</v>
      </c>
      <c r="C2571" s="266" t="s">
        <v>3798</v>
      </c>
      <c r="D2571" s="124" t="s">
        <v>3499</v>
      </c>
      <c r="E2571" s="125"/>
      <c r="F2571" s="118" t="s">
        <v>3441</v>
      </c>
      <c r="G2571" s="126" t="str">
        <f t="shared" si="155"/>
        <v>AR-C20P-1</v>
      </c>
      <c r="H2571" s="253">
        <v>1</v>
      </c>
      <c r="J2571" s="299" t="s">
        <v>286</v>
      </c>
      <c r="K2571" s="299"/>
      <c r="L2571" s="84">
        <v>1</v>
      </c>
      <c r="M2571" s="76">
        <v>1</v>
      </c>
      <c r="Q2571" s="84">
        <v>1</v>
      </c>
      <c r="R2571" s="76">
        <v>1</v>
      </c>
    </row>
    <row r="2572" spans="2:18" s="83" customFormat="1" ht="15" hidden="1" customHeight="1" outlineLevel="2">
      <c r="B2572" s="119" t="s">
        <v>272</v>
      </c>
      <c r="C2572" s="266" t="s">
        <v>3799</v>
      </c>
      <c r="D2572" s="124" t="s">
        <v>3501</v>
      </c>
      <c r="E2572" s="125"/>
      <c r="F2572" s="118" t="s">
        <v>3441</v>
      </c>
      <c r="G2572" s="126" t="str">
        <f t="shared" si="155"/>
        <v>AR-C20P-1</v>
      </c>
      <c r="H2572" s="253">
        <v>1</v>
      </c>
      <c r="J2572" s="299" t="s">
        <v>286</v>
      </c>
      <c r="K2572" s="299"/>
      <c r="L2572" s="84">
        <v>1</v>
      </c>
      <c r="M2572" s="76">
        <v>1</v>
      </c>
      <c r="Q2572" s="84">
        <v>1</v>
      </c>
      <c r="R2572" s="76">
        <v>1</v>
      </c>
    </row>
    <row r="2573" spans="2:18" s="83" customFormat="1" ht="15" hidden="1" customHeight="1" outlineLevel="2">
      <c r="B2573" s="119" t="s">
        <v>272</v>
      </c>
      <c r="C2573" s="266" t="s">
        <v>3800</v>
      </c>
      <c r="D2573" s="124" t="s">
        <v>3503</v>
      </c>
      <c r="E2573" s="125"/>
      <c r="F2573" s="118" t="s">
        <v>3441</v>
      </c>
      <c r="G2573" s="126" t="str">
        <f t="shared" si="155"/>
        <v>AR-C20P-1</v>
      </c>
      <c r="H2573" s="253">
        <v>1</v>
      </c>
      <c r="J2573" s="299" t="s">
        <v>286</v>
      </c>
      <c r="K2573" s="299"/>
      <c r="L2573" s="84">
        <v>1</v>
      </c>
      <c r="M2573" s="76">
        <v>1</v>
      </c>
      <c r="Q2573" s="84">
        <v>1</v>
      </c>
      <c r="R2573" s="76">
        <v>1</v>
      </c>
    </row>
    <row r="2574" spans="2:18" s="83" customFormat="1" ht="15" hidden="1" customHeight="1" outlineLevel="2">
      <c r="B2574" s="119" t="s">
        <v>272</v>
      </c>
      <c r="C2574" s="266" t="s">
        <v>3801</v>
      </c>
      <c r="D2574" s="124" t="s">
        <v>3505</v>
      </c>
      <c r="E2574" s="125"/>
      <c r="F2574" s="118" t="s">
        <v>3441</v>
      </c>
      <c r="G2574" s="126" t="str">
        <f t="shared" si="155"/>
        <v>AR-C20P-1</v>
      </c>
      <c r="H2574" s="253">
        <v>1</v>
      </c>
      <c r="J2574" s="299" t="s">
        <v>286</v>
      </c>
      <c r="K2574" s="299"/>
      <c r="L2574" s="84">
        <v>1</v>
      </c>
      <c r="M2574" s="76">
        <v>1</v>
      </c>
      <c r="Q2574" s="84">
        <v>1</v>
      </c>
      <c r="R2574" s="76">
        <v>1</v>
      </c>
    </row>
    <row r="2575" spans="2:18" s="83" customFormat="1" ht="15" hidden="1" customHeight="1" outlineLevel="2">
      <c r="B2575" s="119" t="s">
        <v>272</v>
      </c>
      <c r="C2575" s="266" t="s">
        <v>3802</v>
      </c>
      <c r="D2575" s="124" t="s">
        <v>3507</v>
      </c>
      <c r="E2575" s="125"/>
      <c r="F2575" s="118" t="s">
        <v>3441</v>
      </c>
      <c r="G2575" s="126" t="str">
        <f t="shared" si="155"/>
        <v>AR-C20P-1</v>
      </c>
      <c r="H2575" s="253">
        <v>1</v>
      </c>
      <c r="J2575" s="299" t="s">
        <v>286</v>
      </c>
      <c r="K2575" s="299"/>
      <c r="L2575" s="84">
        <v>1</v>
      </c>
      <c r="M2575" s="76">
        <v>1</v>
      </c>
      <c r="Q2575" s="84">
        <v>1</v>
      </c>
      <c r="R2575" s="76">
        <v>1</v>
      </c>
    </row>
    <row r="2576" spans="2:18" s="83" customFormat="1" ht="15" hidden="1" customHeight="1" outlineLevel="2">
      <c r="B2576" s="119" t="s">
        <v>272</v>
      </c>
      <c r="C2576" s="266" t="s">
        <v>3803</v>
      </c>
      <c r="D2576" s="124" t="s">
        <v>3509</v>
      </c>
      <c r="E2576" s="125"/>
      <c r="F2576" s="118" t="s">
        <v>3441</v>
      </c>
      <c r="G2576" s="126" t="str">
        <f t="shared" si="155"/>
        <v>AR-C20P-1</v>
      </c>
      <c r="H2576" s="253">
        <v>1</v>
      </c>
      <c r="J2576" s="299" t="s">
        <v>286</v>
      </c>
      <c r="K2576" s="299"/>
      <c r="L2576" s="84">
        <v>1</v>
      </c>
      <c r="M2576" s="76">
        <v>1</v>
      </c>
      <c r="Q2576" s="84">
        <v>1</v>
      </c>
      <c r="R2576" s="76">
        <v>1</v>
      </c>
    </row>
    <row r="2577" spans="2:18" s="83" customFormat="1" ht="15" hidden="1" customHeight="1" outlineLevel="2">
      <c r="B2577" s="119" t="s">
        <v>272</v>
      </c>
      <c r="C2577" s="266" t="s">
        <v>3804</v>
      </c>
      <c r="D2577" s="124" t="s">
        <v>3509</v>
      </c>
      <c r="E2577" s="125"/>
      <c r="F2577" s="118" t="s">
        <v>3441</v>
      </c>
      <c r="G2577" s="126" t="str">
        <f t="shared" si="155"/>
        <v>AR-C20P-1</v>
      </c>
      <c r="H2577" s="253">
        <v>1</v>
      </c>
      <c r="J2577" s="299" t="s">
        <v>286</v>
      </c>
      <c r="K2577" s="299"/>
      <c r="L2577" s="84">
        <v>1</v>
      </c>
      <c r="M2577" s="76">
        <v>1</v>
      </c>
      <c r="Q2577" s="84">
        <v>1</v>
      </c>
      <c r="R2577" s="76">
        <v>1</v>
      </c>
    </row>
    <row r="2578" spans="2:18" s="83" customFormat="1" ht="15" hidden="1" customHeight="1" outlineLevel="2">
      <c r="B2578" s="119" t="s">
        <v>272</v>
      </c>
      <c r="C2578" s="266" t="s">
        <v>3805</v>
      </c>
      <c r="D2578" s="124" t="s">
        <v>3509</v>
      </c>
      <c r="E2578" s="125"/>
      <c r="F2578" s="118" t="s">
        <v>3441</v>
      </c>
      <c r="G2578" s="126" t="str">
        <f t="shared" si="155"/>
        <v>AR-C20P-1</v>
      </c>
      <c r="H2578" s="253">
        <v>1</v>
      </c>
      <c r="J2578" s="299" t="s">
        <v>286</v>
      </c>
      <c r="K2578" s="299"/>
      <c r="L2578" s="84">
        <v>1</v>
      </c>
      <c r="M2578" s="76">
        <v>1</v>
      </c>
      <c r="Q2578" s="84">
        <v>1</v>
      </c>
      <c r="R2578" s="76">
        <v>1</v>
      </c>
    </row>
    <row r="2579" spans="2:18" s="83" customFormat="1" ht="15" hidden="1" customHeight="1" outlineLevel="2">
      <c r="B2579" s="119" t="s">
        <v>272</v>
      </c>
      <c r="C2579" s="266" t="s">
        <v>3806</v>
      </c>
      <c r="D2579" s="124" t="s">
        <v>3513</v>
      </c>
      <c r="E2579" s="125"/>
      <c r="F2579" s="118" t="s">
        <v>3441</v>
      </c>
      <c r="G2579" s="126" t="str">
        <f t="shared" ref="G2579:G2584" si="156">CONCATENATE("AR-",F2579,"-",H2579)</f>
        <v>AR-C20P-1</v>
      </c>
      <c r="H2579" s="253">
        <v>1</v>
      </c>
      <c r="J2579" s="299" t="s">
        <v>286</v>
      </c>
      <c r="K2579" s="299"/>
      <c r="L2579" s="84">
        <v>1</v>
      </c>
      <c r="M2579" s="76">
        <v>1</v>
      </c>
      <c r="Q2579" s="84">
        <v>1</v>
      </c>
      <c r="R2579" s="76">
        <v>1</v>
      </c>
    </row>
    <row r="2580" spans="2:18" s="83" customFormat="1" ht="15" hidden="1" customHeight="1" outlineLevel="2">
      <c r="B2580" s="119" t="s">
        <v>272</v>
      </c>
      <c r="C2580" s="266" t="s">
        <v>3807</v>
      </c>
      <c r="D2580" s="124" t="s">
        <v>3513</v>
      </c>
      <c r="E2580" s="125"/>
      <c r="F2580" s="118" t="s">
        <v>3441</v>
      </c>
      <c r="G2580" s="126" t="str">
        <f t="shared" si="156"/>
        <v>AR-C20P-1</v>
      </c>
      <c r="H2580" s="253">
        <v>1</v>
      </c>
      <c r="J2580" s="299" t="s">
        <v>286</v>
      </c>
      <c r="K2580" s="299"/>
      <c r="L2580" s="84">
        <v>1</v>
      </c>
      <c r="M2580" s="76">
        <v>1</v>
      </c>
      <c r="Q2580" s="84">
        <v>1</v>
      </c>
      <c r="R2580" s="76">
        <v>1</v>
      </c>
    </row>
    <row r="2581" spans="2:18" s="83" customFormat="1" ht="15" hidden="1" customHeight="1" outlineLevel="2">
      <c r="B2581" s="119" t="s">
        <v>272</v>
      </c>
      <c r="C2581" s="266" t="s">
        <v>3808</v>
      </c>
      <c r="D2581" s="124" t="s">
        <v>3513</v>
      </c>
      <c r="E2581" s="125"/>
      <c r="F2581" s="118" t="s">
        <v>3441</v>
      </c>
      <c r="G2581" s="126" t="str">
        <f t="shared" si="156"/>
        <v>AR-C20P-1</v>
      </c>
      <c r="H2581" s="253">
        <v>1</v>
      </c>
      <c r="J2581" s="299" t="s">
        <v>286</v>
      </c>
      <c r="K2581" s="299"/>
      <c r="L2581" s="84">
        <v>1</v>
      </c>
      <c r="M2581" s="76">
        <v>1</v>
      </c>
      <c r="Q2581" s="84">
        <v>1</v>
      </c>
      <c r="R2581" s="76">
        <v>1</v>
      </c>
    </row>
    <row r="2582" spans="2:18" s="83" customFormat="1" ht="15" hidden="1" customHeight="1" outlineLevel="2">
      <c r="B2582" s="119" t="s">
        <v>272</v>
      </c>
      <c r="C2582" s="266" t="s">
        <v>3809</v>
      </c>
      <c r="D2582" s="124" t="s">
        <v>3513</v>
      </c>
      <c r="E2582" s="125"/>
      <c r="F2582" s="118" t="s">
        <v>3441</v>
      </c>
      <c r="G2582" s="126" t="str">
        <f t="shared" si="156"/>
        <v>AR-C20P-1</v>
      </c>
      <c r="H2582" s="253">
        <v>1</v>
      </c>
      <c r="J2582" s="299" t="s">
        <v>286</v>
      </c>
      <c r="K2582" s="299"/>
      <c r="L2582" s="84">
        <v>1</v>
      </c>
      <c r="M2582" s="76">
        <v>1</v>
      </c>
      <c r="Q2582" s="84">
        <v>1</v>
      </c>
      <c r="R2582" s="76">
        <v>1</v>
      </c>
    </row>
    <row r="2583" spans="2:18" s="83" customFormat="1" ht="15" hidden="1" customHeight="1" outlineLevel="2">
      <c r="B2583" s="119" t="s">
        <v>272</v>
      </c>
      <c r="C2583" s="266" t="s">
        <v>3810</v>
      </c>
      <c r="D2583" s="124" t="s">
        <v>3518</v>
      </c>
      <c r="E2583" s="125"/>
      <c r="F2583" s="118" t="s">
        <v>3441</v>
      </c>
      <c r="G2583" s="126" t="str">
        <f t="shared" si="156"/>
        <v>AR-C20P-1</v>
      </c>
      <c r="H2583" s="253">
        <v>1</v>
      </c>
      <c r="J2583" s="299" t="s">
        <v>286</v>
      </c>
      <c r="K2583" s="299"/>
      <c r="L2583" s="84">
        <v>1</v>
      </c>
      <c r="M2583" s="76">
        <v>1</v>
      </c>
      <c r="Q2583" s="84">
        <v>1</v>
      </c>
      <c r="R2583" s="76">
        <v>1</v>
      </c>
    </row>
    <row r="2584" spans="2:18" s="83" customFormat="1" ht="15" hidden="1" customHeight="1" outlineLevel="2">
      <c r="B2584" s="119" t="s">
        <v>272</v>
      </c>
      <c r="C2584" s="266" t="s">
        <v>3811</v>
      </c>
      <c r="D2584" s="124" t="s">
        <v>3520</v>
      </c>
      <c r="E2584" s="125"/>
      <c r="F2584" s="118" t="s">
        <v>3441</v>
      </c>
      <c r="G2584" s="126" t="str">
        <f t="shared" si="156"/>
        <v>AR-C20P-1</v>
      </c>
      <c r="H2584" s="253">
        <v>1</v>
      </c>
      <c r="J2584" s="299" t="s">
        <v>286</v>
      </c>
      <c r="K2584" s="299"/>
      <c r="L2584" s="84">
        <v>1</v>
      </c>
      <c r="M2584" s="76">
        <v>1</v>
      </c>
      <c r="Q2584" s="84">
        <v>1</v>
      </c>
      <c r="R2584" s="76">
        <v>1</v>
      </c>
    </row>
    <row r="2585" spans="2:18" s="83" customFormat="1" ht="15" hidden="1" customHeight="1" outlineLevel="2">
      <c r="B2585" s="119" t="s">
        <v>272</v>
      </c>
      <c r="C2585" s="266" t="s">
        <v>3812</v>
      </c>
      <c r="D2585" s="124" t="s">
        <v>3522</v>
      </c>
      <c r="E2585" s="125"/>
      <c r="F2585" s="118" t="s">
        <v>3441</v>
      </c>
      <c r="G2585" s="126" t="str">
        <f>CONCATENATE("AR-",F2585,"-",H2585)</f>
        <v>AR-C20P-1</v>
      </c>
      <c r="H2585" s="253">
        <v>1</v>
      </c>
      <c r="J2585" s="299" t="s">
        <v>286</v>
      </c>
      <c r="K2585" s="299"/>
      <c r="L2585" s="84">
        <v>1</v>
      </c>
      <c r="M2585" s="76">
        <v>1</v>
      </c>
      <c r="Q2585" s="84">
        <v>1</v>
      </c>
      <c r="R2585" s="76">
        <v>1</v>
      </c>
    </row>
    <row r="2586" spans="2:18" s="83" customFormat="1" ht="15" hidden="1" customHeight="1" outlineLevel="2">
      <c r="B2586" s="119" t="s">
        <v>272</v>
      </c>
      <c r="C2586" s="266" t="s">
        <v>3813</v>
      </c>
      <c r="D2586" s="124" t="s">
        <v>3524</v>
      </c>
      <c r="E2586" s="125"/>
      <c r="F2586" s="118" t="s">
        <v>3441</v>
      </c>
      <c r="G2586" s="126" t="str">
        <f>CONCATENATE("AR-",F2586,"-",H2586)</f>
        <v>AR-C20P-1</v>
      </c>
      <c r="H2586" s="253">
        <v>1</v>
      </c>
      <c r="J2586" s="299" t="s">
        <v>286</v>
      </c>
      <c r="K2586" s="299"/>
      <c r="L2586" s="84">
        <v>1</v>
      </c>
      <c r="M2586" s="76">
        <v>1</v>
      </c>
      <c r="Q2586" s="84">
        <v>1</v>
      </c>
      <c r="R2586" s="76">
        <v>1</v>
      </c>
    </row>
    <row r="2587" spans="2:18" s="83" customFormat="1" ht="15" hidden="1" customHeight="1" outlineLevel="2">
      <c r="B2587" s="119" t="s">
        <v>272</v>
      </c>
      <c r="C2587" s="266" t="s">
        <v>3814</v>
      </c>
      <c r="D2587" s="124" t="s">
        <v>3526</v>
      </c>
      <c r="E2587" s="125"/>
      <c r="F2587" s="118" t="s">
        <v>3441</v>
      </c>
      <c r="G2587" s="126" t="str">
        <f>CONCATENATE("AR-",F2587,"-",H2587)</f>
        <v>AR-C20P-1</v>
      </c>
      <c r="H2587" s="253">
        <v>1</v>
      </c>
      <c r="J2587" s="299" t="s">
        <v>286</v>
      </c>
      <c r="K2587" s="299"/>
      <c r="L2587" s="84">
        <v>1</v>
      </c>
      <c r="M2587" s="76">
        <v>1</v>
      </c>
      <c r="Q2587" s="84">
        <v>1</v>
      </c>
      <c r="R2587" s="76">
        <v>1</v>
      </c>
    </row>
    <row r="2588" spans="2:18" s="83" customFormat="1" ht="15" hidden="1" customHeight="1" outlineLevel="2">
      <c r="B2588" s="119" t="s">
        <v>272</v>
      </c>
      <c r="C2588" s="266" t="s">
        <v>3815</v>
      </c>
      <c r="D2588" s="124" t="s">
        <v>3528</v>
      </c>
      <c r="E2588" s="125"/>
      <c r="F2588" s="118" t="s">
        <v>3441</v>
      </c>
      <c r="G2588" s="126" t="str">
        <f t="shared" ref="G2588:G2607" si="157">CONCATENATE("AR-",F2588,"-",H2588)</f>
        <v>AR-C20P-1</v>
      </c>
      <c r="H2588" s="253">
        <v>1</v>
      </c>
      <c r="J2588" s="299" t="s">
        <v>286</v>
      </c>
      <c r="K2588" s="299"/>
      <c r="L2588" s="84">
        <v>1</v>
      </c>
      <c r="M2588" s="76">
        <v>1</v>
      </c>
      <c r="Q2588" s="84">
        <v>1</v>
      </c>
      <c r="R2588" s="76">
        <v>1</v>
      </c>
    </row>
    <row r="2589" spans="2:18" s="83" customFormat="1" ht="15" hidden="1" customHeight="1" outlineLevel="2">
      <c r="B2589" s="119" t="s">
        <v>272</v>
      </c>
      <c r="C2589" s="266" t="s">
        <v>3816</v>
      </c>
      <c r="D2589" s="124" t="s">
        <v>3530</v>
      </c>
      <c r="E2589" s="125"/>
      <c r="F2589" s="118" t="s">
        <v>3441</v>
      </c>
      <c r="G2589" s="126" t="str">
        <f t="shared" si="157"/>
        <v>AR-C20P-1</v>
      </c>
      <c r="H2589" s="253">
        <v>1</v>
      </c>
      <c r="J2589" s="299" t="s">
        <v>286</v>
      </c>
      <c r="K2589" s="299"/>
      <c r="L2589" s="84">
        <v>1</v>
      </c>
      <c r="M2589" s="76">
        <v>1</v>
      </c>
      <c r="Q2589" s="84">
        <v>1</v>
      </c>
      <c r="R2589" s="76">
        <v>1</v>
      </c>
    </row>
    <row r="2590" spans="2:18" s="83" customFormat="1" ht="15" hidden="1" customHeight="1" outlineLevel="2">
      <c r="B2590" s="119" t="s">
        <v>272</v>
      </c>
      <c r="C2590" s="266" t="s">
        <v>3817</v>
      </c>
      <c r="D2590" s="124" t="s">
        <v>3532</v>
      </c>
      <c r="E2590" s="125"/>
      <c r="F2590" s="118" t="s">
        <v>3441</v>
      </c>
      <c r="G2590" s="126" t="str">
        <f t="shared" si="157"/>
        <v>AR-C20P-1</v>
      </c>
      <c r="H2590" s="253">
        <v>1</v>
      </c>
      <c r="J2590" s="299" t="s">
        <v>286</v>
      </c>
      <c r="K2590" s="299"/>
      <c r="L2590" s="84">
        <v>1</v>
      </c>
      <c r="M2590" s="76">
        <v>1</v>
      </c>
      <c r="Q2590" s="84">
        <v>1</v>
      </c>
      <c r="R2590" s="76">
        <v>1</v>
      </c>
    </row>
    <row r="2591" spans="2:18" s="83" customFormat="1" ht="15" hidden="1" customHeight="1" outlineLevel="2">
      <c r="B2591" s="119" t="s">
        <v>272</v>
      </c>
      <c r="C2591" s="266" t="s">
        <v>3818</v>
      </c>
      <c r="D2591" s="124" t="s">
        <v>3534</v>
      </c>
      <c r="E2591" s="125"/>
      <c r="F2591" s="118" t="s">
        <v>3441</v>
      </c>
      <c r="G2591" s="126" t="str">
        <f t="shared" si="157"/>
        <v>AR-C20P-1</v>
      </c>
      <c r="H2591" s="253">
        <v>1</v>
      </c>
      <c r="J2591" s="299" t="s">
        <v>286</v>
      </c>
      <c r="K2591" s="299"/>
      <c r="L2591" s="84">
        <v>1</v>
      </c>
      <c r="M2591" s="76">
        <v>1</v>
      </c>
      <c r="Q2591" s="84">
        <v>1</v>
      </c>
      <c r="R2591" s="76">
        <v>1</v>
      </c>
    </row>
    <row r="2592" spans="2:18" s="83" customFormat="1" ht="15" hidden="1" customHeight="1" outlineLevel="2">
      <c r="B2592" s="119" t="s">
        <v>272</v>
      </c>
      <c r="C2592" s="266" t="s">
        <v>3819</v>
      </c>
      <c r="D2592" s="124" t="s">
        <v>3536</v>
      </c>
      <c r="E2592" s="125"/>
      <c r="F2592" s="118" t="s">
        <v>3441</v>
      </c>
      <c r="G2592" s="126" t="str">
        <f t="shared" si="157"/>
        <v>AR-C20P-1</v>
      </c>
      <c r="H2592" s="253">
        <v>1</v>
      </c>
      <c r="J2592" s="299" t="s">
        <v>286</v>
      </c>
      <c r="K2592" s="299"/>
      <c r="L2592" s="84">
        <v>1</v>
      </c>
      <c r="M2592" s="76">
        <v>1</v>
      </c>
      <c r="Q2592" s="84">
        <v>1</v>
      </c>
      <c r="R2592" s="76">
        <v>1</v>
      </c>
    </row>
    <row r="2593" spans="2:18" s="83" customFormat="1" ht="15" hidden="1" customHeight="1" outlineLevel="2">
      <c r="B2593" s="119" t="s">
        <v>272</v>
      </c>
      <c r="C2593" s="266" t="s">
        <v>3820</v>
      </c>
      <c r="D2593" s="124" t="s">
        <v>3538</v>
      </c>
      <c r="E2593" s="125"/>
      <c r="F2593" s="118" t="s">
        <v>3441</v>
      </c>
      <c r="G2593" s="126" t="str">
        <f t="shared" si="157"/>
        <v>AR-C20P-1</v>
      </c>
      <c r="H2593" s="253">
        <v>1</v>
      </c>
      <c r="J2593" s="299" t="s">
        <v>286</v>
      </c>
      <c r="K2593" s="299"/>
      <c r="L2593" s="84">
        <v>1</v>
      </c>
      <c r="M2593" s="76">
        <v>1</v>
      </c>
      <c r="Q2593" s="84">
        <v>1</v>
      </c>
      <c r="R2593" s="76">
        <v>1</v>
      </c>
    </row>
    <row r="2594" spans="2:18" s="83" customFormat="1" ht="15" hidden="1" customHeight="1" outlineLevel="2">
      <c r="B2594" s="119" t="s">
        <v>272</v>
      </c>
      <c r="C2594" s="266" t="s">
        <v>3821</v>
      </c>
      <c r="D2594" s="124" t="s">
        <v>3540</v>
      </c>
      <c r="E2594" s="125"/>
      <c r="F2594" s="118" t="s">
        <v>3441</v>
      </c>
      <c r="G2594" s="126" t="str">
        <f t="shared" si="157"/>
        <v>AR-C20P-1</v>
      </c>
      <c r="H2594" s="253">
        <v>1</v>
      </c>
      <c r="J2594" s="299" t="s">
        <v>286</v>
      </c>
      <c r="K2594" s="299"/>
      <c r="L2594" s="84">
        <v>1</v>
      </c>
      <c r="M2594" s="76">
        <v>1</v>
      </c>
      <c r="Q2594" s="84">
        <v>1</v>
      </c>
      <c r="R2594" s="76">
        <v>1</v>
      </c>
    </row>
    <row r="2595" spans="2:18" s="83" customFormat="1" ht="15" hidden="1" customHeight="1" outlineLevel="2">
      <c r="B2595" s="119" t="s">
        <v>272</v>
      </c>
      <c r="C2595" s="266" t="s">
        <v>3822</v>
      </c>
      <c r="D2595" s="124" t="s">
        <v>3542</v>
      </c>
      <c r="E2595" s="125"/>
      <c r="F2595" s="118" t="s">
        <v>3441</v>
      </c>
      <c r="G2595" s="126" t="str">
        <f t="shared" si="157"/>
        <v>AR-C20P-1</v>
      </c>
      <c r="H2595" s="253">
        <v>1</v>
      </c>
      <c r="J2595" s="299" t="s">
        <v>286</v>
      </c>
      <c r="K2595" s="299"/>
      <c r="L2595" s="84">
        <v>1</v>
      </c>
      <c r="M2595" s="76">
        <v>1</v>
      </c>
      <c r="Q2595" s="84">
        <v>1</v>
      </c>
      <c r="R2595" s="76">
        <v>1</v>
      </c>
    </row>
    <row r="2596" spans="2:18" s="83" customFormat="1" ht="15" hidden="1" customHeight="1" outlineLevel="2">
      <c r="B2596" s="119" t="s">
        <v>272</v>
      </c>
      <c r="C2596" s="266" t="s">
        <v>3823</v>
      </c>
      <c r="D2596" s="124" t="s">
        <v>3544</v>
      </c>
      <c r="E2596" s="125"/>
      <c r="F2596" s="118" t="s">
        <v>3441</v>
      </c>
      <c r="G2596" s="126" t="str">
        <f t="shared" si="157"/>
        <v>AR-C20P-1</v>
      </c>
      <c r="H2596" s="253">
        <v>1</v>
      </c>
      <c r="J2596" s="299" t="s">
        <v>286</v>
      </c>
      <c r="K2596" s="299"/>
      <c r="L2596" s="84">
        <v>1</v>
      </c>
      <c r="M2596" s="76">
        <v>1</v>
      </c>
      <c r="Q2596" s="84">
        <v>1</v>
      </c>
      <c r="R2596" s="76">
        <v>1</v>
      </c>
    </row>
    <row r="2597" spans="2:18" s="83" customFormat="1" ht="15" hidden="1" customHeight="1" outlineLevel="2">
      <c r="B2597" s="119" t="s">
        <v>272</v>
      </c>
      <c r="C2597" s="266" t="s">
        <v>3824</v>
      </c>
      <c r="D2597" s="124" t="s">
        <v>3546</v>
      </c>
      <c r="E2597" s="125"/>
      <c r="F2597" s="118" t="s">
        <v>3441</v>
      </c>
      <c r="G2597" s="126" t="str">
        <f t="shared" si="157"/>
        <v>AR-C20P-1</v>
      </c>
      <c r="H2597" s="253">
        <v>1</v>
      </c>
      <c r="J2597" s="299" t="s">
        <v>286</v>
      </c>
      <c r="K2597" s="299"/>
      <c r="L2597" s="84">
        <v>1</v>
      </c>
      <c r="M2597" s="76">
        <v>1</v>
      </c>
      <c r="Q2597" s="84">
        <v>1</v>
      </c>
      <c r="R2597" s="76">
        <v>1</v>
      </c>
    </row>
    <row r="2598" spans="2:18" s="83" customFormat="1" ht="15" hidden="1" customHeight="1" outlineLevel="2">
      <c r="B2598" s="119" t="s">
        <v>272</v>
      </c>
      <c r="C2598" s="266" t="s">
        <v>3825</v>
      </c>
      <c r="D2598" s="124" t="s">
        <v>3548</v>
      </c>
      <c r="E2598" s="125"/>
      <c r="F2598" s="118" t="s">
        <v>3441</v>
      </c>
      <c r="G2598" s="126" t="str">
        <f t="shared" si="157"/>
        <v>AR-C20P-1</v>
      </c>
      <c r="H2598" s="253">
        <v>1</v>
      </c>
      <c r="J2598" s="299" t="s">
        <v>286</v>
      </c>
      <c r="K2598" s="299"/>
      <c r="L2598" s="84">
        <v>1</v>
      </c>
      <c r="M2598" s="76">
        <v>1</v>
      </c>
      <c r="Q2598" s="84">
        <v>1</v>
      </c>
      <c r="R2598" s="76">
        <v>1</v>
      </c>
    </row>
    <row r="2599" spans="2:18" s="83" customFormat="1" ht="15" hidden="1" customHeight="1" outlineLevel="2">
      <c r="B2599" s="119" t="s">
        <v>272</v>
      </c>
      <c r="C2599" s="266" t="s">
        <v>3826</v>
      </c>
      <c r="D2599" s="124" t="s">
        <v>3550</v>
      </c>
      <c r="E2599" s="125"/>
      <c r="F2599" s="118" t="s">
        <v>3441</v>
      </c>
      <c r="G2599" s="126" t="str">
        <f t="shared" si="157"/>
        <v>AR-C20P-1</v>
      </c>
      <c r="H2599" s="253">
        <v>1</v>
      </c>
      <c r="J2599" s="299" t="s">
        <v>286</v>
      </c>
      <c r="K2599" s="299"/>
      <c r="L2599" s="84">
        <v>1</v>
      </c>
      <c r="M2599" s="76">
        <v>1</v>
      </c>
      <c r="Q2599" s="84">
        <v>1</v>
      </c>
      <c r="R2599" s="76">
        <v>1</v>
      </c>
    </row>
    <row r="2600" spans="2:18" s="83" customFormat="1" ht="15" hidden="1" customHeight="1" outlineLevel="2">
      <c r="B2600" s="119" t="s">
        <v>272</v>
      </c>
      <c r="C2600" s="266" t="s">
        <v>3827</v>
      </c>
      <c r="D2600" s="124" t="s">
        <v>3552</v>
      </c>
      <c r="E2600" s="125"/>
      <c r="F2600" s="118" t="s">
        <v>3441</v>
      </c>
      <c r="G2600" s="126" t="str">
        <f t="shared" si="157"/>
        <v>AR-C20P-1</v>
      </c>
      <c r="H2600" s="253">
        <v>1</v>
      </c>
      <c r="J2600" s="299" t="s">
        <v>286</v>
      </c>
      <c r="K2600" s="299"/>
      <c r="L2600" s="84">
        <v>1</v>
      </c>
      <c r="M2600" s="76">
        <v>1</v>
      </c>
      <c r="Q2600" s="84">
        <v>1</v>
      </c>
      <c r="R2600" s="76">
        <v>1</v>
      </c>
    </row>
    <row r="2601" spans="2:18" s="83" customFormat="1" ht="15" hidden="1" customHeight="1" outlineLevel="2">
      <c r="B2601" s="119" t="s">
        <v>272</v>
      </c>
      <c r="C2601" s="266" t="s">
        <v>3828</v>
      </c>
      <c r="D2601" s="124" t="s">
        <v>1445</v>
      </c>
      <c r="E2601" s="125"/>
      <c r="F2601" s="118" t="s">
        <v>3441</v>
      </c>
      <c r="G2601" s="126" t="str">
        <f t="shared" si="157"/>
        <v>AR-C20P-1</v>
      </c>
      <c r="H2601" s="253">
        <v>1</v>
      </c>
      <c r="J2601" s="299" t="s">
        <v>286</v>
      </c>
      <c r="K2601" s="299"/>
      <c r="L2601" s="84">
        <v>1</v>
      </c>
      <c r="M2601" s="76">
        <v>1</v>
      </c>
      <c r="Q2601" s="84">
        <v>1</v>
      </c>
      <c r="R2601" s="76">
        <v>1</v>
      </c>
    </row>
    <row r="2602" spans="2:18" s="83" customFormat="1" ht="15" hidden="1" customHeight="1" outlineLevel="2">
      <c r="B2602" s="119" t="s">
        <v>272</v>
      </c>
      <c r="C2602" s="266" t="s">
        <v>3829</v>
      </c>
      <c r="D2602" s="124" t="s">
        <v>3555</v>
      </c>
      <c r="E2602" s="125"/>
      <c r="F2602" s="118" t="s">
        <v>3441</v>
      </c>
      <c r="G2602" s="126" t="str">
        <f t="shared" si="157"/>
        <v>AR-C20P-1</v>
      </c>
      <c r="H2602" s="253">
        <v>1</v>
      </c>
      <c r="J2602" s="299" t="s">
        <v>286</v>
      </c>
      <c r="K2602" s="299"/>
      <c r="L2602" s="84">
        <v>1</v>
      </c>
      <c r="M2602" s="76">
        <v>1</v>
      </c>
      <c r="Q2602" s="84">
        <v>1</v>
      </c>
      <c r="R2602" s="76">
        <v>1</v>
      </c>
    </row>
    <row r="2603" spans="2:18" s="83" customFormat="1" ht="15" hidden="1" customHeight="1" outlineLevel="2">
      <c r="B2603" s="119" t="s">
        <v>272</v>
      </c>
      <c r="C2603" s="266" t="s">
        <v>3830</v>
      </c>
      <c r="D2603" s="124" t="s">
        <v>3557</v>
      </c>
      <c r="E2603" s="125"/>
      <c r="F2603" s="118" t="s">
        <v>3441</v>
      </c>
      <c r="G2603" s="126" t="str">
        <f t="shared" si="157"/>
        <v>AR-C20P-1</v>
      </c>
      <c r="H2603" s="253">
        <v>1</v>
      </c>
      <c r="J2603" s="299" t="s">
        <v>286</v>
      </c>
      <c r="K2603" s="299"/>
      <c r="L2603" s="84">
        <v>1</v>
      </c>
      <c r="M2603" s="76">
        <v>1</v>
      </c>
      <c r="Q2603" s="84">
        <v>1</v>
      </c>
      <c r="R2603" s="76">
        <v>1</v>
      </c>
    </row>
    <row r="2604" spans="2:18" s="83" customFormat="1" ht="15" hidden="1" customHeight="1" outlineLevel="2">
      <c r="B2604" s="119" t="s">
        <v>272</v>
      </c>
      <c r="C2604" s="266" t="s">
        <v>3831</v>
      </c>
      <c r="D2604" s="124" t="s">
        <v>3559</v>
      </c>
      <c r="E2604" s="125"/>
      <c r="F2604" s="118" t="s">
        <v>3441</v>
      </c>
      <c r="G2604" s="126" t="str">
        <f t="shared" si="157"/>
        <v>AR-C20P-1</v>
      </c>
      <c r="H2604" s="253">
        <v>1</v>
      </c>
      <c r="J2604" s="299" t="s">
        <v>286</v>
      </c>
      <c r="K2604" s="299"/>
      <c r="L2604" s="84">
        <v>1</v>
      </c>
      <c r="M2604" s="76">
        <v>1</v>
      </c>
      <c r="Q2604" s="84">
        <v>1</v>
      </c>
      <c r="R2604" s="76">
        <v>1</v>
      </c>
    </row>
    <row r="2605" spans="2:18" s="83" customFormat="1" ht="15" hidden="1" customHeight="1" outlineLevel="2">
      <c r="B2605" s="119" t="s">
        <v>272</v>
      </c>
      <c r="C2605" s="266" t="s">
        <v>3832</v>
      </c>
      <c r="D2605" s="124" t="s">
        <v>3561</v>
      </c>
      <c r="E2605" s="125"/>
      <c r="F2605" s="118" t="s">
        <v>3441</v>
      </c>
      <c r="G2605" s="126" t="str">
        <f t="shared" si="157"/>
        <v>AR-C20P-1</v>
      </c>
      <c r="H2605" s="253">
        <v>1</v>
      </c>
      <c r="J2605" s="299" t="s">
        <v>286</v>
      </c>
      <c r="K2605" s="299"/>
      <c r="L2605" s="84">
        <v>1</v>
      </c>
      <c r="M2605" s="76">
        <v>1</v>
      </c>
      <c r="Q2605" s="84">
        <v>1</v>
      </c>
      <c r="R2605" s="76">
        <v>1</v>
      </c>
    </row>
    <row r="2606" spans="2:18" s="83" customFormat="1" ht="15" hidden="1" customHeight="1" outlineLevel="2">
      <c r="B2606" s="119" t="s">
        <v>272</v>
      </c>
      <c r="C2606" s="266" t="s">
        <v>3833</v>
      </c>
      <c r="D2606" s="124" t="s">
        <v>3563</v>
      </c>
      <c r="E2606" s="125"/>
      <c r="F2606" s="118" t="s">
        <v>3441</v>
      </c>
      <c r="G2606" s="126" t="str">
        <f t="shared" si="157"/>
        <v>AR-C20P-1</v>
      </c>
      <c r="H2606" s="253">
        <v>1</v>
      </c>
      <c r="J2606" s="299" t="s">
        <v>286</v>
      </c>
      <c r="K2606" s="299"/>
      <c r="L2606" s="84">
        <v>1</v>
      </c>
      <c r="M2606" s="76">
        <v>1</v>
      </c>
      <c r="Q2606" s="84">
        <v>1</v>
      </c>
      <c r="R2606" s="76">
        <v>1</v>
      </c>
    </row>
    <row r="2607" spans="2:18" s="83" customFormat="1" ht="15" hidden="1" customHeight="1" outlineLevel="2">
      <c r="B2607" s="119" t="s">
        <v>272</v>
      </c>
      <c r="C2607" s="266" t="s">
        <v>3834</v>
      </c>
      <c r="D2607" s="124" t="s">
        <v>3565</v>
      </c>
      <c r="E2607" s="125"/>
      <c r="F2607" s="118" t="s">
        <v>3441</v>
      </c>
      <c r="G2607" s="126" t="str">
        <f t="shared" si="157"/>
        <v>AR-C20P-1</v>
      </c>
      <c r="H2607" s="253">
        <v>1</v>
      </c>
      <c r="J2607" s="299" t="s">
        <v>286</v>
      </c>
      <c r="K2607" s="299"/>
      <c r="L2607" s="84">
        <v>1</v>
      </c>
      <c r="M2607" s="76">
        <v>1</v>
      </c>
      <c r="Q2607" s="84">
        <v>1</v>
      </c>
      <c r="R2607" s="76">
        <v>1</v>
      </c>
    </row>
    <row r="2608" spans="2:18" s="83" customFormat="1" ht="15" hidden="1" customHeight="1" outlineLevel="2">
      <c r="B2608" s="119" t="s">
        <v>272</v>
      </c>
      <c r="C2608" s="266" t="s">
        <v>3835</v>
      </c>
      <c r="D2608" s="124" t="s">
        <v>3567</v>
      </c>
      <c r="E2608" s="125"/>
      <c r="F2608" s="118" t="s">
        <v>3441</v>
      </c>
      <c r="G2608" s="126" t="str">
        <f t="shared" ref="G2608:G2648" si="158">CONCATENATE("AR-",F2608,"-",H2608)</f>
        <v>AR-C20P-1</v>
      </c>
      <c r="H2608" s="253">
        <v>1</v>
      </c>
      <c r="J2608" s="299" t="s">
        <v>286</v>
      </c>
      <c r="K2608" s="299"/>
      <c r="L2608" s="84">
        <v>1</v>
      </c>
      <c r="M2608" s="76">
        <v>1</v>
      </c>
      <c r="Q2608" s="84">
        <v>1</v>
      </c>
      <c r="R2608" s="76">
        <v>1</v>
      </c>
    </row>
    <row r="2609" spans="2:18" s="83" customFormat="1" ht="15" hidden="1" customHeight="1" outlineLevel="2">
      <c r="B2609" s="119" t="s">
        <v>272</v>
      </c>
      <c r="C2609" s="266" t="s">
        <v>3836</v>
      </c>
      <c r="D2609" s="124" t="s">
        <v>3569</v>
      </c>
      <c r="E2609" s="125"/>
      <c r="F2609" s="118" t="s">
        <v>3441</v>
      </c>
      <c r="G2609" s="126" t="str">
        <f t="shared" si="158"/>
        <v>AR-C20P-1</v>
      </c>
      <c r="H2609" s="253">
        <v>1</v>
      </c>
      <c r="J2609" s="299" t="s">
        <v>286</v>
      </c>
      <c r="K2609" s="299"/>
      <c r="L2609" s="84">
        <v>1</v>
      </c>
      <c r="M2609" s="76">
        <v>1</v>
      </c>
      <c r="Q2609" s="84">
        <v>1</v>
      </c>
      <c r="R2609" s="76">
        <v>1</v>
      </c>
    </row>
    <row r="2610" spans="2:18" s="100" customFormat="1" ht="15" hidden="1" customHeight="1" outlineLevel="2">
      <c r="B2610" s="119" t="s">
        <v>272</v>
      </c>
      <c r="C2610" s="266" t="s">
        <v>3837</v>
      </c>
      <c r="D2610" s="124" t="s">
        <v>3571</v>
      </c>
      <c r="E2610" s="125"/>
      <c r="F2610" s="118" t="s">
        <v>3441</v>
      </c>
      <c r="G2610" s="126" t="str">
        <f t="shared" si="158"/>
        <v>AR-C20P-1</v>
      </c>
      <c r="H2610" s="253">
        <v>1</v>
      </c>
      <c r="J2610" s="299" t="s">
        <v>286</v>
      </c>
      <c r="K2610" s="299"/>
      <c r="L2610" s="84">
        <v>1</v>
      </c>
      <c r="M2610" s="76">
        <v>1</v>
      </c>
      <c r="Q2610" s="84">
        <v>1</v>
      </c>
      <c r="R2610" s="76">
        <v>1</v>
      </c>
    </row>
    <row r="2611" spans="2:18" s="83" customFormat="1" ht="15" hidden="1" customHeight="1" outlineLevel="2">
      <c r="B2611" s="119" t="s">
        <v>272</v>
      </c>
      <c r="C2611" s="266" t="s">
        <v>3838</v>
      </c>
      <c r="D2611" s="124" t="s">
        <v>1459</v>
      </c>
      <c r="E2611" s="125"/>
      <c r="F2611" s="118" t="s">
        <v>3441</v>
      </c>
      <c r="G2611" s="126" t="str">
        <f t="shared" si="158"/>
        <v>AR-C20P-1</v>
      </c>
      <c r="H2611" s="253">
        <v>1</v>
      </c>
      <c r="J2611" s="299" t="s">
        <v>286</v>
      </c>
      <c r="K2611" s="299"/>
      <c r="L2611" s="84">
        <v>1</v>
      </c>
      <c r="M2611" s="76">
        <v>1</v>
      </c>
      <c r="Q2611" s="84">
        <v>1</v>
      </c>
      <c r="R2611" s="76">
        <v>1</v>
      </c>
    </row>
    <row r="2612" spans="2:18" s="83" customFormat="1" ht="15" hidden="1" customHeight="1" outlineLevel="2">
      <c r="B2612" s="119" t="s">
        <v>272</v>
      </c>
      <c r="C2612" s="266" t="s">
        <v>3839</v>
      </c>
      <c r="D2612" s="124" t="s">
        <v>3574</v>
      </c>
      <c r="E2612" s="125"/>
      <c r="F2612" s="118" t="s">
        <v>3441</v>
      </c>
      <c r="G2612" s="126" t="str">
        <f t="shared" si="158"/>
        <v>AR-C20P-1</v>
      </c>
      <c r="H2612" s="253">
        <v>1</v>
      </c>
      <c r="J2612" s="299" t="s">
        <v>286</v>
      </c>
      <c r="K2612" s="299"/>
      <c r="L2612" s="84">
        <v>1</v>
      </c>
      <c r="M2612" s="76">
        <v>1</v>
      </c>
      <c r="Q2612" s="84">
        <v>1</v>
      </c>
      <c r="R2612" s="76">
        <v>1</v>
      </c>
    </row>
    <row r="2613" spans="2:18" s="83" customFormat="1" ht="15" hidden="1" customHeight="1" outlineLevel="2">
      <c r="B2613" s="119" t="s">
        <v>272</v>
      </c>
      <c r="C2613" s="266" t="s">
        <v>3840</v>
      </c>
      <c r="D2613" s="124" t="s">
        <v>1461</v>
      </c>
      <c r="E2613" s="125"/>
      <c r="F2613" s="118" t="s">
        <v>3441</v>
      </c>
      <c r="G2613" s="126" t="str">
        <f t="shared" si="158"/>
        <v>AR-C20P-1</v>
      </c>
      <c r="H2613" s="253">
        <v>1</v>
      </c>
      <c r="J2613" s="299" t="s">
        <v>286</v>
      </c>
      <c r="K2613" s="299"/>
      <c r="L2613" s="84">
        <v>1</v>
      </c>
      <c r="M2613" s="76">
        <v>1</v>
      </c>
      <c r="Q2613" s="84">
        <v>1</v>
      </c>
      <c r="R2613" s="76">
        <v>1</v>
      </c>
    </row>
    <row r="2614" spans="2:18" s="83" customFormat="1" ht="15" hidden="1" customHeight="1" outlineLevel="2">
      <c r="B2614" s="119" t="s">
        <v>272</v>
      </c>
      <c r="C2614" s="266" t="s">
        <v>3841</v>
      </c>
      <c r="D2614" s="124" t="s">
        <v>1461</v>
      </c>
      <c r="E2614" s="125"/>
      <c r="F2614" s="118" t="s">
        <v>3441</v>
      </c>
      <c r="G2614" s="126" t="str">
        <f t="shared" si="158"/>
        <v>AR-C20P-1</v>
      </c>
      <c r="H2614" s="253">
        <v>1</v>
      </c>
      <c r="J2614" s="299" t="s">
        <v>286</v>
      </c>
      <c r="K2614" s="299"/>
      <c r="L2614" s="84">
        <v>1</v>
      </c>
      <c r="M2614" s="76">
        <v>1</v>
      </c>
      <c r="Q2614" s="84">
        <v>1</v>
      </c>
      <c r="R2614" s="76">
        <v>1</v>
      </c>
    </row>
    <row r="2615" spans="2:18" s="83" customFormat="1" ht="15" hidden="1" customHeight="1" outlineLevel="2">
      <c r="B2615" s="119" t="s">
        <v>272</v>
      </c>
      <c r="C2615" s="266" t="s">
        <v>3842</v>
      </c>
      <c r="D2615" s="124" t="s">
        <v>3578</v>
      </c>
      <c r="E2615" s="125"/>
      <c r="F2615" s="118" t="s">
        <v>3441</v>
      </c>
      <c r="G2615" s="126" t="str">
        <f t="shared" si="158"/>
        <v>AR-C20P-1</v>
      </c>
      <c r="H2615" s="253">
        <v>1</v>
      </c>
      <c r="J2615" s="299" t="s">
        <v>286</v>
      </c>
      <c r="K2615" s="299"/>
      <c r="L2615" s="84">
        <v>1</v>
      </c>
      <c r="M2615" s="76">
        <v>1</v>
      </c>
      <c r="Q2615" s="84">
        <v>1</v>
      </c>
      <c r="R2615" s="76">
        <v>1</v>
      </c>
    </row>
    <row r="2616" spans="2:18" s="83" customFormat="1" ht="15" hidden="1" customHeight="1" outlineLevel="2">
      <c r="B2616" s="119" t="s">
        <v>272</v>
      </c>
      <c r="C2616" s="266" t="s">
        <v>3843</v>
      </c>
      <c r="D2616" s="124" t="s">
        <v>3580</v>
      </c>
      <c r="E2616" s="125"/>
      <c r="F2616" s="118" t="s">
        <v>3441</v>
      </c>
      <c r="G2616" s="126" t="str">
        <f t="shared" si="158"/>
        <v>AR-C20P-1</v>
      </c>
      <c r="H2616" s="253">
        <v>1</v>
      </c>
      <c r="J2616" s="299" t="s">
        <v>286</v>
      </c>
      <c r="K2616" s="299"/>
      <c r="L2616" s="84">
        <v>1</v>
      </c>
      <c r="M2616" s="76">
        <v>1</v>
      </c>
      <c r="Q2616" s="84">
        <v>1</v>
      </c>
      <c r="R2616" s="76">
        <v>1</v>
      </c>
    </row>
    <row r="2617" spans="2:18" s="83" customFormat="1" ht="15" hidden="1" customHeight="1" outlineLevel="2">
      <c r="B2617" s="119" t="s">
        <v>272</v>
      </c>
      <c r="C2617" s="266" t="s">
        <v>3844</v>
      </c>
      <c r="D2617" s="124" t="s">
        <v>3580</v>
      </c>
      <c r="E2617" s="125"/>
      <c r="F2617" s="118" t="s">
        <v>3441</v>
      </c>
      <c r="G2617" s="126" t="str">
        <f t="shared" si="158"/>
        <v>AR-C20P-1</v>
      </c>
      <c r="H2617" s="253">
        <v>1</v>
      </c>
      <c r="J2617" s="299" t="s">
        <v>286</v>
      </c>
      <c r="K2617" s="299"/>
      <c r="L2617" s="84">
        <v>1</v>
      </c>
      <c r="M2617" s="76">
        <v>1</v>
      </c>
      <c r="Q2617" s="84">
        <v>1</v>
      </c>
      <c r="R2617" s="76">
        <v>1</v>
      </c>
    </row>
    <row r="2618" spans="2:18" s="83" customFormat="1" ht="15" hidden="1" customHeight="1" outlineLevel="2">
      <c r="B2618" s="119" t="s">
        <v>272</v>
      </c>
      <c r="C2618" s="266" t="s">
        <v>3845</v>
      </c>
      <c r="D2618" s="124" t="s">
        <v>3580</v>
      </c>
      <c r="E2618" s="125"/>
      <c r="F2618" s="118" t="s">
        <v>3441</v>
      </c>
      <c r="G2618" s="126" t="str">
        <f t="shared" si="158"/>
        <v>AR-C20P-1</v>
      </c>
      <c r="H2618" s="253">
        <v>1</v>
      </c>
      <c r="J2618" s="299" t="s">
        <v>286</v>
      </c>
      <c r="K2618" s="299"/>
      <c r="L2618" s="84">
        <v>1</v>
      </c>
      <c r="M2618" s="76">
        <v>1</v>
      </c>
      <c r="Q2618" s="84">
        <v>1</v>
      </c>
      <c r="R2618" s="76">
        <v>1</v>
      </c>
    </row>
    <row r="2619" spans="2:18" s="83" customFormat="1" ht="15" hidden="1" customHeight="1" outlineLevel="2">
      <c r="B2619" s="119" t="s">
        <v>272</v>
      </c>
      <c r="C2619" s="266" t="s">
        <v>3846</v>
      </c>
      <c r="D2619" s="124" t="s">
        <v>1753</v>
      </c>
      <c r="E2619" s="125"/>
      <c r="F2619" s="118" t="s">
        <v>3441</v>
      </c>
      <c r="G2619" s="126" t="str">
        <f t="shared" si="158"/>
        <v>AR-C20P-1</v>
      </c>
      <c r="H2619" s="253">
        <v>1</v>
      </c>
      <c r="J2619" s="299" t="s">
        <v>286</v>
      </c>
      <c r="K2619" s="299"/>
      <c r="L2619" s="84">
        <v>1</v>
      </c>
      <c r="M2619" s="76">
        <v>1</v>
      </c>
      <c r="Q2619" s="84">
        <v>1</v>
      </c>
      <c r="R2619" s="76">
        <v>1</v>
      </c>
    </row>
    <row r="2620" spans="2:18" s="83" customFormat="1" ht="15" hidden="1" customHeight="1" outlineLevel="2">
      <c r="B2620" s="119" t="s">
        <v>272</v>
      </c>
      <c r="C2620" s="266" t="s">
        <v>3847</v>
      </c>
      <c r="D2620" s="124" t="s">
        <v>3585</v>
      </c>
      <c r="E2620" s="125"/>
      <c r="F2620" s="118" t="s">
        <v>3441</v>
      </c>
      <c r="G2620" s="126" t="str">
        <f t="shared" si="158"/>
        <v>AR-C20P-1</v>
      </c>
      <c r="H2620" s="253">
        <v>1</v>
      </c>
      <c r="J2620" s="299" t="s">
        <v>286</v>
      </c>
      <c r="K2620" s="299"/>
      <c r="L2620" s="84">
        <v>1</v>
      </c>
      <c r="M2620" s="76">
        <v>1</v>
      </c>
      <c r="Q2620" s="84">
        <v>1</v>
      </c>
      <c r="R2620" s="76">
        <v>1</v>
      </c>
    </row>
    <row r="2621" spans="2:18" s="83" customFormat="1" ht="15" hidden="1" customHeight="1" outlineLevel="2">
      <c r="B2621" s="119" t="s">
        <v>272</v>
      </c>
      <c r="C2621" s="266" t="s">
        <v>3848</v>
      </c>
      <c r="D2621" s="124" t="s">
        <v>3587</v>
      </c>
      <c r="E2621" s="125"/>
      <c r="F2621" s="118" t="s">
        <v>3441</v>
      </c>
      <c r="G2621" s="126" t="str">
        <f t="shared" si="158"/>
        <v>AR-C20P-1</v>
      </c>
      <c r="H2621" s="253">
        <v>1</v>
      </c>
      <c r="J2621" s="299" t="s">
        <v>286</v>
      </c>
      <c r="K2621" s="299"/>
      <c r="L2621" s="84">
        <v>1</v>
      </c>
      <c r="M2621" s="76">
        <v>1</v>
      </c>
      <c r="Q2621" s="84">
        <v>1</v>
      </c>
      <c r="R2621" s="76">
        <v>1</v>
      </c>
    </row>
    <row r="2622" spans="2:18" s="83" customFormat="1" ht="15" hidden="1" customHeight="1" outlineLevel="2">
      <c r="B2622" s="119" t="s">
        <v>272</v>
      </c>
      <c r="C2622" s="266" t="s">
        <v>3849</v>
      </c>
      <c r="D2622" s="124" t="s">
        <v>3589</v>
      </c>
      <c r="E2622" s="125"/>
      <c r="F2622" s="118" t="s">
        <v>3441</v>
      </c>
      <c r="G2622" s="126" t="str">
        <f t="shared" si="158"/>
        <v>AR-C20P-1</v>
      </c>
      <c r="H2622" s="253">
        <v>1</v>
      </c>
      <c r="J2622" s="299" t="s">
        <v>286</v>
      </c>
      <c r="K2622" s="299"/>
      <c r="L2622" s="84">
        <v>1</v>
      </c>
      <c r="M2622" s="76">
        <v>1</v>
      </c>
      <c r="Q2622" s="84">
        <v>1</v>
      </c>
      <c r="R2622" s="76">
        <v>1</v>
      </c>
    </row>
    <row r="2623" spans="2:18" s="83" customFormat="1" ht="15" hidden="1" customHeight="1" outlineLevel="2">
      <c r="B2623" s="119" t="s">
        <v>272</v>
      </c>
      <c r="C2623" s="266" t="s">
        <v>3850</v>
      </c>
      <c r="D2623" s="124" t="s">
        <v>3591</v>
      </c>
      <c r="E2623" s="125"/>
      <c r="F2623" s="118" t="s">
        <v>3441</v>
      </c>
      <c r="G2623" s="126" t="str">
        <f t="shared" si="158"/>
        <v>AR-C20P-1</v>
      </c>
      <c r="H2623" s="253">
        <v>1</v>
      </c>
      <c r="J2623" s="299" t="s">
        <v>286</v>
      </c>
      <c r="K2623" s="299"/>
      <c r="L2623" s="84">
        <v>1</v>
      </c>
      <c r="M2623" s="76">
        <v>1</v>
      </c>
      <c r="Q2623" s="84">
        <v>1</v>
      </c>
      <c r="R2623" s="76">
        <v>1</v>
      </c>
    </row>
    <row r="2624" spans="2:18" s="83" customFormat="1" ht="15" hidden="1" customHeight="1" outlineLevel="2">
      <c r="B2624" s="119" t="s">
        <v>272</v>
      </c>
      <c r="C2624" s="266" t="s">
        <v>3851</v>
      </c>
      <c r="D2624" s="124" t="s">
        <v>3593</v>
      </c>
      <c r="E2624" s="125"/>
      <c r="F2624" s="118" t="s">
        <v>3441</v>
      </c>
      <c r="G2624" s="126" t="str">
        <f t="shared" si="158"/>
        <v>AR-C20P-1</v>
      </c>
      <c r="H2624" s="253">
        <v>1</v>
      </c>
      <c r="J2624" s="299" t="s">
        <v>286</v>
      </c>
      <c r="K2624" s="299"/>
      <c r="L2624" s="84">
        <v>1</v>
      </c>
      <c r="M2624" s="76">
        <v>1</v>
      </c>
      <c r="Q2624" s="84">
        <v>1</v>
      </c>
      <c r="R2624" s="76">
        <v>1</v>
      </c>
    </row>
    <row r="2625" spans="2:18" s="99" customFormat="1" ht="15" hidden="1" customHeight="1" outlineLevel="2">
      <c r="B2625" s="119" t="s">
        <v>272</v>
      </c>
      <c r="C2625" s="266" t="s">
        <v>3852</v>
      </c>
      <c r="D2625" s="124" t="s">
        <v>1763</v>
      </c>
      <c r="E2625" s="125"/>
      <c r="F2625" s="118" t="s">
        <v>3441</v>
      </c>
      <c r="G2625" s="126" t="str">
        <f t="shared" si="158"/>
        <v>AR-C20P-1</v>
      </c>
      <c r="H2625" s="253">
        <v>1</v>
      </c>
      <c r="J2625" s="299" t="s">
        <v>286</v>
      </c>
      <c r="K2625" s="299"/>
      <c r="L2625" s="84">
        <v>1</v>
      </c>
      <c r="M2625" s="76">
        <v>1</v>
      </c>
      <c r="Q2625" s="84">
        <v>1</v>
      </c>
      <c r="R2625" s="76">
        <v>1</v>
      </c>
    </row>
    <row r="2626" spans="2:18" s="83" customFormat="1" ht="15" hidden="1" customHeight="1" outlineLevel="2">
      <c r="B2626" s="119" t="s">
        <v>272</v>
      </c>
      <c r="C2626" s="266" t="s">
        <v>3853</v>
      </c>
      <c r="D2626" s="124" t="s">
        <v>3596</v>
      </c>
      <c r="E2626" s="125"/>
      <c r="F2626" s="118" t="s">
        <v>3441</v>
      </c>
      <c r="G2626" s="126" t="str">
        <f t="shared" si="158"/>
        <v>AR-C20P-1</v>
      </c>
      <c r="H2626" s="253">
        <v>1</v>
      </c>
      <c r="J2626" s="299" t="s">
        <v>286</v>
      </c>
      <c r="K2626" s="299"/>
      <c r="L2626" s="84">
        <v>1</v>
      </c>
      <c r="M2626" s="76">
        <v>1</v>
      </c>
      <c r="Q2626" s="84">
        <v>1</v>
      </c>
      <c r="R2626" s="76">
        <v>1</v>
      </c>
    </row>
    <row r="2627" spans="2:18" s="83" customFormat="1" ht="15" hidden="1" customHeight="1" outlineLevel="2">
      <c r="B2627" s="119" t="s">
        <v>272</v>
      </c>
      <c r="C2627" s="266" t="s">
        <v>3854</v>
      </c>
      <c r="D2627" s="124" t="s">
        <v>3598</v>
      </c>
      <c r="E2627" s="125"/>
      <c r="F2627" s="118" t="s">
        <v>3441</v>
      </c>
      <c r="G2627" s="126" t="str">
        <f t="shared" si="158"/>
        <v>AR-C20P-1</v>
      </c>
      <c r="H2627" s="253">
        <v>1</v>
      </c>
      <c r="J2627" s="299" t="s">
        <v>286</v>
      </c>
      <c r="K2627" s="299"/>
      <c r="L2627" s="84">
        <v>1</v>
      </c>
      <c r="M2627" s="76">
        <v>1</v>
      </c>
      <c r="Q2627" s="84">
        <v>1</v>
      </c>
      <c r="R2627" s="76">
        <v>1</v>
      </c>
    </row>
    <row r="2628" spans="2:18" s="83" customFormat="1" ht="15" hidden="1" customHeight="1" outlineLevel="2">
      <c r="B2628" s="119" t="s">
        <v>272</v>
      </c>
      <c r="C2628" s="266" t="s">
        <v>3855</v>
      </c>
      <c r="D2628" s="124" t="s">
        <v>3600</v>
      </c>
      <c r="E2628" s="125"/>
      <c r="F2628" s="118" t="s">
        <v>3441</v>
      </c>
      <c r="G2628" s="126" t="str">
        <f t="shared" si="158"/>
        <v>AR-C20P-1</v>
      </c>
      <c r="H2628" s="253">
        <v>1</v>
      </c>
      <c r="J2628" s="299" t="s">
        <v>286</v>
      </c>
      <c r="K2628" s="299"/>
      <c r="L2628" s="84">
        <v>1</v>
      </c>
      <c r="M2628" s="76">
        <v>1</v>
      </c>
      <c r="Q2628" s="84">
        <v>1</v>
      </c>
      <c r="R2628" s="76">
        <v>1</v>
      </c>
    </row>
    <row r="2629" spans="2:18" s="83" customFormat="1" ht="15" hidden="1" customHeight="1" outlineLevel="2">
      <c r="B2629" s="119" t="s">
        <v>272</v>
      </c>
      <c r="C2629" s="266" t="s">
        <v>3856</v>
      </c>
      <c r="D2629" s="124" t="s">
        <v>3602</v>
      </c>
      <c r="E2629" s="125"/>
      <c r="F2629" s="118" t="s">
        <v>3441</v>
      </c>
      <c r="G2629" s="126" t="str">
        <f t="shared" si="158"/>
        <v>AR-C20P-1</v>
      </c>
      <c r="H2629" s="253">
        <v>1</v>
      </c>
      <c r="J2629" s="299" t="s">
        <v>286</v>
      </c>
      <c r="K2629" s="299"/>
      <c r="L2629" s="84">
        <v>1</v>
      </c>
      <c r="M2629" s="76">
        <v>1</v>
      </c>
      <c r="Q2629" s="84">
        <v>1</v>
      </c>
      <c r="R2629" s="76">
        <v>1</v>
      </c>
    </row>
    <row r="2630" spans="2:18" s="83" customFormat="1" ht="15" hidden="1" customHeight="1" outlineLevel="2">
      <c r="B2630" s="119" t="s">
        <v>272</v>
      </c>
      <c r="C2630" s="266" t="s">
        <v>3857</v>
      </c>
      <c r="D2630" s="124" t="s">
        <v>3604</v>
      </c>
      <c r="E2630" s="125"/>
      <c r="F2630" s="118" t="s">
        <v>3441</v>
      </c>
      <c r="G2630" s="126" t="str">
        <f t="shared" si="158"/>
        <v>AR-C20P-1</v>
      </c>
      <c r="H2630" s="253">
        <v>1</v>
      </c>
      <c r="J2630" s="299" t="s">
        <v>286</v>
      </c>
      <c r="K2630" s="299"/>
      <c r="L2630" s="84">
        <v>1</v>
      </c>
      <c r="M2630" s="76">
        <v>1</v>
      </c>
      <c r="Q2630" s="84">
        <v>1</v>
      </c>
      <c r="R2630" s="76">
        <v>1</v>
      </c>
    </row>
    <row r="2631" spans="2:18" s="83" customFormat="1" ht="15" hidden="1" customHeight="1" outlineLevel="2">
      <c r="B2631" s="119" t="s">
        <v>272</v>
      </c>
      <c r="C2631" s="266" t="s">
        <v>3858</v>
      </c>
      <c r="D2631" s="124" t="s">
        <v>1773</v>
      </c>
      <c r="E2631" s="125"/>
      <c r="F2631" s="118" t="s">
        <v>3441</v>
      </c>
      <c r="G2631" s="126" t="str">
        <f t="shared" si="158"/>
        <v>AR-C20P-1</v>
      </c>
      <c r="H2631" s="253">
        <v>1</v>
      </c>
      <c r="J2631" s="299" t="s">
        <v>286</v>
      </c>
      <c r="K2631" s="299"/>
      <c r="L2631" s="84">
        <v>1</v>
      </c>
      <c r="M2631" s="76">
        <v>1</v>
      </c>
      <c r="Q2631" s="84">
        <v>1</v>
      </c>
      <c r="R2631" s="76">
        <v>1</v>
      </c>
    </row>
    <row r="2632" spans="2:18" s="83" customFormat="1" ht="15" hidden="1" customHeight="1" outlineLevel="2">
      <c r="B2632" s="119" t="s">
        <v>272</v>
      </c>
      <c r="C2632" s="266" t="s">
        <v>3859</v>
      </c>
      <c r="D2632" s="124" t="s">
        <v>3607</v>
      </c>
      <c r="E2632" s="125"/>
      <c r="F2632" s="118" t="s">
        <v>3441</v>
      </c>
      <c r="G2632" s="126" t="str">
        <f t="shared" si="158"/>
        <v>AR-C20P-1</v>
      </c>
      <c r="H2632" s="253">
        <v>1</v>
      </c>
      <c r="J2632" s="299" t="s">
        <v>286</v>
      </c>
      <c r="K2632" s="299"/>
      <c r="L2632" s="84">
        <v>1</v>
      </c>
      <c r="M2632" s="76">
        <v>1</v>
      </c>
      <c r="Q2632" s="84">
        <v>1</v>
      </c>
      <c r="R2632" s="76">
        <v>1</v>
      </c>
    </row>
    <row r="2633" spans="2:18" s="83" customFormat="1" ht="15" hidden="1" customHeight="1" outlineLevel="2">
      <c r="B2633" s="119" t="s">
        <v>272</v>
      </c>
      <c r="C2633" s="266" t="s">
        <v>3860</v>
      </c>
      <c r="D2633" s="124" t="s">
        <v>3609</v>
      </c>
      <c r="E2633" s="125"/>
      <c r="F2633" s="118" t="s">
        <v>3441</v>
      </c>
      <c r="G2633" s="126" t="str">
        <f t="shared" si="158"/>
        <v>AR-C20P-1</v>
      </c>
      <c r="H2633" s="253">
        <v>1</v>
      </c>
      <c r="J2633" s="299" t="s">
        <v>286</v>
      </c>
      <c r="K2633" s="299"/>
      <c r="L2633" s="84">
        <v>1</v>
      </c>
      <c r="M2633" s="76">
        <v>1</v>
      </c>
      <c r="Q2633" s="84">
        <v>1</v>
      </c>
      <c r="R2633" s="76">
        <v>1</v>
      </c>
    </row>
    <row r="2634" spans="2:18" s="83" customFormat="1" ht="15" hidden="1" customHeight="1" outlineLevel="2">
      <c r="B2634" s="119" t="s">
        <v>272</v>
      </c>
      <c r="C2634" s="266" t="s">
        <v>3861</v>
      </c>
      <c r="D2634" s="124" t="s">
        <v>3611</v>
      </c>
      <c r="E2634" s="125"/>
      <c r="F2634" s="118" t="s">
        <v>3441</v>
      </c>
      <c r="G2634" s="126" t="str">
        <f t="shared" si="158"/>
        <v>AR-C20P-1</v>
      </c>
      <c r="H2634" s="253">
        <v>1</v>
      </c>
      <c r="J2634" s="299" t="s">
        <v>286</v>
      </c>
      <c r="K2634" s="299"/>
      <c r="L2634" s="84">
        <v>1</v>
      </c>
      <c r="M2634" s="76">
        <v>1</v>
      </c>
      <c r="Q2634" s="84">
        <v>1</v>
      </c>
      <c r="R2634" s="76">
        <v>1</v>
      </c>
    </row>
    <row r="2635" spans="2:18" s="83" customFormat="1" ht="15" hidden="1" customHeight="1" outlineLevel="2">
      <c r="B2635" s="119" t="s">
        <v>272</v>
      </c>
      <c r="C2635" s="266" t="s">
        <v>3862</v>
      </c>
      <c r="D2635" s="124" t="s">
        <v>3613</v>
      </c>
      <c r="E2635" s="125"/>
      <c r="F2635" s="118" t="s">
        <v>3441</v>
      </c>
      <c r="G2635" s="126" t="str">
        <f t="shared" si="158"/>
        <v>AR-C20P-1</v>
      </c>
      <c r="H2635" s="253">
        <v>1</v>
      </c>
      <c r="J2635" s="299" t="s">
        <v>286</v>
      </c>
      <c r="K2635" s="299"/>
      <c r="L2635" s="84">
        <v>1</v>
      </c>
      <c r="M2635" s="76">
        <v>1</v>
      </c>
      <c r="Q2635" s="84">
        <v>1</v>
      </c>
      <c r="R2635" s="76">
        <v>1</v>
      </c>
    </row>
    <row r="2636" spans="2:18" s="83" customFormat="1" ht="15" hidden="1" customHeight="1" outlineLevel="2">
      <c r="B2636" s="119" t="s">
        <v>272</v>
      </c>
      <c r="C2636" s="266" t="s">
        <v>3863</v>
      </c>
      <c r="D2636" s="124" t="s">
        <v>3615</v>
      </c>
      <c r="E2636" s="125"/>
      <c r="F2636" s="118" t="s">
        <v>3441</v>
      </c>
      <c r="G2636" s="126" t="str">
        <f t="shared" si="158"/>
        <v>AR-C20P-1</v>
      </c>
      <c r="H2636" s="253">
        <v>1</v>
      </c>
      <c r="I2636" s="76"/>
      <c r="J2636" s="299" t="s">
        <v>286</v>
      </c>
      <c r="K2636" s="299"/>
      <c r="L2636" s="84">
        <v>1</v>
      </c>
      <c r="M2636" s="76">
        <v>1</v>
      </c>
      <c r="Q2636" s="84">
        <v>1</v>
      </c>
      <c r="R2636" s="76">
        <v>1</v>
      </c>
    </row>
    <row r="2637" spans="2:18" s="83" customFormat="1" ht="15" hidden="1" customHeight="1" outlineLevel="2">
      <c r="B2637" s="119" t="s">
        <v>272</v>
      </c>
      <c r="C2637" s="266" t="s">
        <v>3864</v>
      </c>
      <c r="D2637" s="124" t="s">
        <v>1783</v>
      </c>
      <c r="E2637" s="125"/>
      <c r="F2637" s="118" t="s">
        <v>3441</v>
      </c>
      <c r="G2637" s="126" t="str">
        <f t="shared" si="158"/>
        <v>AR-C20P-1</v>
      </c>
      <c r="H2637" s="253">
        <v>1</v>
      </c>
      <c r="I2637" s="76"/>
      <c r="J2637" s="299" t="s">
        <v>286</v>
      </c>
      <c r="K2637" s="299"/>
      <c r="L2637" s="84">
        <v>1</v>
      </c>
      <c r="M2637" s="76">
        <v>1</v>
      </c>
      <c r="Q2637" s="84">
        <v>1</v>
      </c>
      <c r="R2637" s="76">
        <v>1</v>
      </c>
    </row>
    <row r="2638" spans="2:18" s="83" customFormat="1" ht="15" hidden="1" customHeight="1" outlineLevel="2">
      <c r="B2638" s="119" t="s">
        <v>272</v>
      </c>
      <c r="C2638" s="266" t="s">
        <v>3865</v>
      </c>
      <c r="D2638" s="124" t="s">
        <v>3618</v>
      </c>
      <c r="E2638" s="125"/>
      <c r="F2638" s="118" t="s">
        <v>3441</v>
      </c>
      <c r="G2638" s="126" t="str">
        <f t="shared" si="158"/>
        <v>AR-C20P-1</v>
      </c>
      <c r="H2638" s="253">
        <v>1</v>
      </c>
      <c r="I2638" s="76"/>
      <c r="J2638" s="299" t="s">
        <v>286</v>
      </c>
      <c r="K2638" s="299"/>
      <c r="L2638" s="84">
        <v>1</v>
      </c>
      <c r="M2638" s="76">
        <v>1</v>
      </c>
      <c r="Q2638" s="84">
        <v>1</v>
      </c>
      <c r="R2638" s="76">
        <v>1</v>
      </c>
    </row>
    <row r="2639" spans="2:18" s="83" customFormat="1" ht="15" hidden="1" customHeight="1" outlineLevel="2">
      <c r="B2639" s="119" t="s">
        <v>272</v>
      </c>
      <c r="C2639" s="266" t="s">
        <v>3866</v>
      </c>
      <c r="D2639" s="124" t="s">
        <v>3620</v>
      </c>
      <c r="E2639" s="125"/>
      <c r="F2639" s="118" t="s">
        <v>3441</v>
      </c>
      <c r="G2639" s="126" t="str">
        <f t="shared" si="158"/>
        <v>AR-C20P-1</v>
      </c>
      <c r="H2639" s="253">
        <v>1</v>
      </c>
      <c r="I2639" s="76"/>
      <c r="J2639" s="299" t="s">
        <v>286</v>
      </c>
      <c r="K2639" s="299"/>
      <c r="L2639" s="84">
        <v>1</v>
      </c>
      <c r="M2639" s="76">
        <v>1</v>
      </c>
      <c r="Q2639" s="84">
        <v>1</v>
      </c>
      <c r="R2639" s="76">
        <v>1</v>
      </c>
    </row>
    <row r="2640" spans="2:18" s="83" customFormat="1" ht="15" hidden="1" customHeight="1" outlineLevel="2">
      <c r="B2640" s="119" t="s">
        <v>272</v>
      </c>
      <c r="C2640" s="266" t="s">
        <v>3867</v>
      </c>
      <c r="D2640" s="124" t="s">
        <v>3622</v>
      </c>
      <c r="E2640" s="125"/>
      <c r="F2640" s="118" t="s">
        <v>3441</v>
      </c>
      <c r="G2640" s="126" t="str">
        <f t="shared" si="158"/>
        <v>AR-C20P-1</v>
      </c>
      <c r="H2640" s="253">
        <v>1</v>
      </c>
      <c r="J2640" s="299" t="s">
        <v>286</v>
      </c>
      <c r="K2640" s="299"/>
      <c r="L2640" s="84">
        <v>1</v>
      </c>
      <c r="M2640" s="76">
        <v>1</v>
      </c>
      <c r="Q2640" s="84">
        <v>1</v>
      </c>
      <c r="R2640" s="76">
        <v>1</v>
      </c>
    </row>
    <row r="2641" spans="2:18" s="83" customFormat="1" ht="15" hidden="1" customHeight="1" outlineLevel="2">
      <c r="B2641" s="119" t="s">
        <v>272</v>
      </c>
      <c r="C2641" s="266" t="s">
        <v>3868</v>
      </c>
      <c r="D2641" s="124" t="s">
        <v>3624</v>
      </c>
      <c r="E2641" s="125"/>
      <c r="F2641" s="118" t="s">
        <v>3441</v>
      </c>
      <c r="G2641" s="126" t="str">
        <f t="shared" si="158"/>
        <v>AR-C20P-1</v>
      </c>
      <c r="H2641" s="253">
        <v>1</v>
      </c>
      <c r="J2641" s="299" t="s">
        <v>286</v>
      </c>
      <c r="K2641" s="299"/>
      <c r="L2641" s="84">
        <v>1</v>
      </c>
      <c r="M2641" s="76">
        <v>1</v>
      </c>
      <c r="Q2641" s="84">
        <v>1</v>
      </c>
      <c r="R2641" s="76">
        <v>1</v>
      </c>
    </row>
    <row r="2642" spans="2:18" s="83" customFormat="1" ht="15" hidden="1" customHeight="1" outlineLevel="2">
      <c r="B2642" s="119" t="s">
        <v>272</v>
      </c>
      <c r="C2642" s="266" t="s">
        <v>3869</v>
      </c>
      <c r="D2642" s="124" t="s">
        <v>3626</v>
      </c>
      <c r="E2642" s="125"/>
      <c r="F2642" s="118" t="s">
        <v>3441</v>
      </c>
      <c r="G2642" s="126" t="str">
        <f t="shared" si="158"/>
        <v>AR-C20P-1</v>
      </c>
      <c r="H2642" s="253">
        <v>1</v>
      </c>
      <c r="J2642" s="299" t="s">
        <v>286</v>
      </c>
      <c r="K2642" s="299"/>
      <c r="L2642" s="84">
        <v>1</v>
      </c>
      <c r="M2642" s="76">
        <v>1</v>
      </c>
      <c r="Q2642" s="84">
        <v>1</v>
      </c>
      <c r="R2642" s="76">
        <v>1</v>
      </c>
    </row>
    <row r="2643" spans="2:18" s="83" customFormat="1" ht="15" hidden="1" customHeight="1" outlineLevel="2">
      <c r="B2643" s="119" t="s">
        <v>272</v>
      </c>
      <c r="C2643" s="266" t="s">
        <v>3870</v>
      </c>
      <c r="D2643" s="124" t="s">
        <v>3628</v>
      </c>
      <c r="E2643" s="125"/>
      <c r="F2643" s="118" t="s">
        <v>3441</v>
      </c>
      <c r="G2643" s="126" t="str">
        <f t="shared" si="158"/>
        <v>AR-C20P-1</v>
      </c>
      <c r="H2643" s="253">
        <v>1</v>
      </c>
      <c r="J2643" s="299" t="s">
        <v>286</v>
      </c>
      <c r="K2643" s="299"/>
      <c r="L2643" s="84">
        <v>1</v>
      </c>
      <c r="M2643" s="76">
        <v>1</v>
      </c>
      <c r="Q2643" s="84">
        <v>1</v>
      </c>
      <c r="R2643" s="76">
        <v>1</v>
      </c>
    </row>
    <row r="2644" spans="2:18" s="83" customFormat="1" ht="15" hidden="1" customHeight="1" outlineLevel="2">
      <c r="B2644" s="119" t="s">
        <v>272</v>
      </c>
      <c r="C2644" s="266" t="s">
        <v>3871</v>
      </c>
      <c r="D2644" s="124" t="s">
        <v>3630</v>
      </c>
      <c r="E2644" s="125"/>
      <c r="F2644" s="118" t="s">
        <v>3441</v>
      </c>
      <c r="G2644" s="126" t="str">
        <f t="shared" si="158"/>
        <v>AR-C20P-1</v>
      </c>
      <c r="H2644" s="253">
        <v>1</v>
      </c>
      <c r="J2644" s="299" t="s">
        <v>286</v>
      </c>
      <c r="K2644" s="299"/>
      <c r="L2644" s="84">
        <v>1</v>
      </c>
      <c r="M2644" s="76">
        <v>1</v>
      </c>
      <c r="Q2644" s="84">
        <v>1</v>
      </c>
      <c r="R2644" s="76">
        <v>1</v>
      </c>
    </row>
    <row r="2645" spans="2:18" s="83" customFormat="1" ht="15" hidden="1" customHeight="1" outlineLevel="2">
      <c r="B2645" s="119" t="s">
        <v>272</v>
      </c>
      <c r="C2645" s="266" t="s">
        <v>3872</v>
      </c>
      <c r="D2645" s="124" t="s">
        <v>3632</v>
      </c>
      <c r="E2645" s="125"/>
      <c r="F2645" s="118" t="s">
        <v>3441</v>
      </c>
      <c r="G2645" s="126" t="str">
        <f t="shared" si="158"/>
        <v>AR-C20P-1</v>
      </c>
      <c r="H2645" s="253">
        <v>1</v>
      </c>
      <c r="J2645" s="299" t="s">
        <v>286</v>
      </c>
      <c r="K2645" s="299"/>
      <c r="L2645" s="84">
        <v>1</v>
      </c>
      <c r="M2645" s="76">
        <v>1</v>
      </c>
      <c r="Q2645" s="84">
        <v>1</v>
      </c>
      <c r="R2645" s="76">
        <v>1</v>
      </c>
    </row>
    <row r="2646" spans="2:18" s="83" customFormat="1" ht="15" hidden="1" customHeight="1" outlineLevel="2">
      <c r="B2646" s="119" t="s">
        <v>272</v>
      </c>
      <c r="C2646" s="266" t="s">
        <v>3873</v>
      </c>
      <c r="D2646" s="124" t="s">
        <v>3634</v>
      </c>
      <c r="E2646" s="125"/>
      <c r="F2646" s="118" t="s">
        <v>3441</v>
      </c>
      <c r="G2646" s="126" t="str">
        <f t="shared" si="158"/>
        <v>AR-C20P-1</v>
      </c>
      <c r="H2646" s="253">
        <v>1</v>
      </c>
      <c r="J2646" s="299" t="s">
        <v>286</v>
      </c>
      <c r="K2646" s="299"/>
      <c r="L2646" s="84">
        <v>1</v>
      </c>
      <c r="M2646" s="76">
        <v>1</v>
      </c>
      <c r="Q2646" s="84">
        <v>1</v>
      </c>
      <c r="R2646" s="76">
        <v>1</v>
      </c>
    </row>
    <row r="2647" spans="2:18" s="83" customFormat="1" ht="15" hidden="1" customHeight="1" outlineLevel="2">
      <c r="B2647" s="119" t="s">
        <v>272</v>
      </c>
      <c r="C2647" s="266" t="s">
        <v>3874</v>
      </c>
      <c r="D2647" s="124" t="s">
        <v>3636</v>
      </c>
      <c r="E2647" s="125"/>
      <c r="F2647" s="118" t="s">
        <v>3441</v>
      </c>
      <c r="G2647" s="126" t="str">
        <f t="shared" si="158"/>
        <v>AR-C20P-1</v>
      </c>
      <c r="H2647" s="253">
        <v>1</v>
      </c>
      <c r="J2647" s="299" t="s">
        <v>286</v>
      </c>
      <c r="K2647" s="299"/>
      <c r="L2647" s="84">
        <v>1</v>
      </c>
      <c r="M2647" s="76">
        <v>1</v>
      </c>
      <c r="Q2647" s="84">
        <v>1</v>
      </c>
      <c r="R2647" s="76">
        <v>1</v>
      </c>
    </row>
    <row r="2648" spans="2:18" s="83" customFormat="1" ht="15" hidden="1" customHeight="1" outlineLevel="2">
      <c r="B2648" s="119" t="s">
        <v>272</v>
      </c>
      <c r="C2648" s="266" t="s">
        <v>3875</v>
      </c>
      <c r="D2648" s="124" t="s">
        <v>3638</v>
      </c>
      <c r="E2648" s="125"/>
      <c r="F2648" s="118" t="s">
        <v>3441</v>
      </c>
      <c r="G2648" s="126" t="str">
        <f t="shared" si="158"/>
        <v>AR-C20P-1</v>
      </c>
      <c r="H2648" s="253">
        <v>1</v>
      </c>
      <c r="J2648" s="299" t="s">
        <v>286</v>
      </c>
      <c r="K2648" s="299"/>
      <c r="L2648" s="84">
        <v>1</v>
      </c>
      <c r="M2648" s="76">
        <v>1</v>
      </c>
      <c r="Q2648" s="84">
        <v>1</v>
      </c>
      <c r="R2648" s="76">
        <v>1</v>
      </c>
    </row>
    <row r="2649" spans="2:18" s="83" customFormat="1" ht="15" hidden="1" customHeight="1" outlineLevel="2">
      <c r="B2649" s="119" t="s">
        <v>272</v>
      </c>
      <c r="C2649" s="266" t="s">
        <v>3876</v>
      </c>
      <c r="D2649" s="124" t="s">
        <v>3640</v>
      </c>
      <c r="E2649" s="125"/>
      <c r="F2649" s="118" t="s">
        <v>3441</v>
      </c>
      <c r="G2649" s="126" t="str">
        <f t="shared" ref="G2649:G2654" si="159">CONCATENATE("AR-",F2649,"-",H2649)</f>
        <v>AR-C20P-1</v>
      </c>
      <c r="H2649" s="253">
        <v>1</v>
      </c>
      <c r="J2649" s="299" t="s">
        <v>286</v>
      </c>
      <c r="K2649" s="299"/>
      <c r="L2649" s="84">
        <v>1</v>
      </c>
      <c r="M2649" s="76">
        <v>1</v>
      </c>
      <c r="Q2649" s="84">
        <v>1</v>
      </c>
      <c r="R2649" s="76">
        <v>1</v>
      </c>
    </row>
    <row r="2650" spans="2:18" s="83" customFormat="1" ht="15" hidden="1" customHeight="1" outlineLevel="2">
      <c r="B2650" s="119" t="s">
        <v>272</v>
      </c>
      <c r="C2650" s="266" t="s">
        <v>3877</v>
      </c>
      <c r="D2650" s="124" t="s">
        <v>3642</v>
      </c>
      <c r="E2650" s="125"/>
      <c r="F2650" s="118" t="s">
        <v>3441</v>
      </c>
      <c r="G2650" s="126" t="str">
        <f t="shared" si="159"/>
        <v>AR-C20P-1</v>
      </c>
      <c r="H2650" s="253">
        <v>1</v>
      </c>
      <c r="J2650" s="299" t="s">
        <v>286</v>
      </c>
      <c r="K2650" s="299"/>
      <c r="L2650" s="84">
        <v>1</v>
      </c>
      <c r="M2650" s="76">
        <v>1</v>
      </c>
      <c r="Q2650" s="84">
        <v>1</v>
      </c>
      <c r="R2650" s="76">
        <v>1</v>
      </c>
    </row>
    <row r="2651" spans="2:18" s="83" customFormat="1" ht="15" hidden="1" customHeight="1" outlineLevel="2">
      <c r="B2651" s="119" t="s">
        <v>272</v>
      </c>
      <c r="C2651" s="266" t="s">
        <v>3878</v>
      </c>
      <c r="D2651" s="124" t="s">
        <v>3644</v>
      </c>
      <c r="E2651" s="125"/>
      <c r="F2651" s="118" t="s">
        <v>3441</v>
      </c>
      <c r="G2651" s="126" t="str">
        <f t="shared" si="159"/>
        <v>AR-C20P-1</v>
      </c>
      <c r="H2651" s="253">
        <v>1</v>
      </c>
      <c r="J2651" s="299" t="s">
        <v>286</v>
      </c>
      <c r="K2651" s="299"/>
      <c r="L2651" s="84">
        <v>1</v>
      </c>
      <c r="M2651" s="76">
        <v>1</v>
      </c>
      <c r="Q2651" s="84">
        <v>1</v>
      </c>
      <c r="R2651" s="76">
        <v>1</v>
      </c>
    </row>
    <row r="2652" spans="2:18" s="83" customFormat="1" ht="15" hidden="1" customHeight="1" outlineLevel="2">
      <c r="B2652" s="119" t="s">
        <v>272</v>
      </c>
      <c r="C2652" s="266" t="s">
        <v>3879</v>
      </c>
      <c r="D2652" s="124" t="s">
        <v>3646</v>
      </c>
      <c r="E2652" s="125"/>
      <c r="F2652" s="118" t="s">
        <v>3441</v>
      </c>
      <c r="G2652" s="126" t="str">
        <f t="shared" si="159"/>
        <v>AR-C20P-1</v>
      </c>
      <c r="H2652" s="253">
        <v>1</v>
      </c>
      <c r="J2652" s="299" t="s">
        <v>286</v>
      </c>
      <c r="K2652" s="299"/>
      <c r="L2652" s="84">
        <v>1</v>
      </c>
      <c r="M2652" s="76">
        <v>1</v>
      </c>
      <c r="Q2652" s="84">
        <v>1</v>
      </c>
      <c r="R2652" s="76">
        <v>1</v>
      </c>
    </row>
    <row r="2653" spans="2:18" s="83" customFormat="1" ht="15" hidden="1" customHeight="1" outlineLevel="2">
      <c r="B2653" s="119" t="s">
        <v>272</v>
      </c>
      <c r="C2653" s="266" t="s">
        <v>3880</v>
      </c>
      <c r="D2653" s="124" t="s">
        <v>3648</v>
      </c>
      <c r="E2653" s="125"/>
      <c r="F2653" s="118" t="s">
        <v>3441</v>
      </c>
      <c r="G2653" s="126" t="str">
        <f t="shared" si="159"/>
        <v>AR-C20P-1</v>
      </c>
      <c r="H2653" s="253">
        <v>1</v>
      </c>
      <c r="J2653" s="299" t="s">
        <v>286</v>
      </c>
      <c r="K2653" s="299"/>
      <c r="L2653" s="84">
        <v>1</v>
      </c>
      <c r="M2653" s="76">
        <v>1</v>
      </c>
      <c r="Q2653" s="84">
        <v>1</v>
      </c>
      <c r="R2653" s="76">
        <v>1</v>
      </c>
    </row>
    <row r="2654" spans="2:18" s="83" customFormat="1" ht="15" hidden="1" customHeight="1" outlineLevel="2">
      <c r="B2654" s="119" t="s">
        <v>272</v>
      </c>
      <c r="C2654" s="266" t="s">
        <v>3881</v>
      </c>
      <c r="D2654" s="124" t="s">
        <v>3650</v>
      </c>
      <c r="E2654" s="125"/>
      <c r="F2654" s="118" t="s">
        <v>3441</v>
      </c>
      <c r="G2654" s="126" t="str">
        <f t="shared" si="159"/>
        <v>AR-C20P-1</v>
      </c>
      <c r="H2654" s="253">
        <v>1</v>
      </c>
      <c r="J2654" s="299" t="s">
        <v>286</v>
      </c>
      <c r="K2654" s="299"/>
      <c r="L2654" s="84">
        <v>1</v>
      </c>
      <c r="M2654" s="76">
        <v>1</v>
      </c>
      <c r="Q2654" s="84">
        <v>1</v>
      </c>
      <c r="R2654" s="76">
        <v>1</v>
      </c>
    </row>
    <row r="2655" spans="2:18" s="83" customFormat="1" ht="15" hidden="1" customHeight="1" outlineLevel="2">
      <c r="B2655" s="119" t="s">
        <v>272</v>
      </c>
      <c r="C2655" s="266" t="s">
        <v>3882</v>
      </c>
      <c r="D2655" s="124" t="s">
        <v>3883</v>
      </c>
      <c r="E2655" s="125"/>
      <c r="F2655" s="118" t="s">
        <v>3441</v>
      </c>
      <c r="G2655" s="126" t="str">
        <f>CONCATENATE("AR-",F2655,"-",H2655)</f>
        <v>AR-C20P-1</v>
      </c>
      <c r="H2655" s="253">
        <v>1</v>
      </c>
      <c r="J2655" s="299" t="s">
        <v>286</v>
      </c>
      <c r="K2655" s="299"/>
      <c r="L2655" s="84">
        <v>1</v>
      </c>
      <c r="M2655" s="76">
        <v>1</v>
      </c>
      <c r="Q2655" s="84">
        <v>1</v>
      </c>
      <c r="R2655" s="76">
        <v>1</v>
      </c>
    </row>
    <row r="2656" spans="2:18" s="83" customFormat="1" ht="15" hidden="1" customHeight="1" outlineLevel="2">
      <c r="B2656" s="119" t="s">
        <v>272</v>
      </c>
      <c r="C2656" s="266" t="s">
        <v>3884</v>
      </c>
      <c r="D2656" s="124" t="s">
        <v>3883</v>
      </c>
      <c r="E2656" s="125"/>
      <c r="F2656" s="118" t="s">
        <v>3441</v>
      </c>
      <c r="G2656" s="126" t="str">
        <f>CONCATENATE("AR-",F2656,"-",H2656)</f>
        <v>AR-C20P-1</v>
      </c>
      <c r="H2656" s="253">
        <v>1</v>
      </c>
      <c r="J2656" s="299" t="s">
        <v>286</v>
      </c>
      <c r="K2656" s="299"/>
      <c r="L2656" s="84">
        <v>1</v>
      </c>
      <c r="M2656" s="76">
        <v>1</v>
      </c>
      <c r="Q2656" s="84">
        <v>1</v>
      </c>
      <c r="R2656" s="76">
        <v>1</v>
      </c>
    </row>
    <row r="2657" spans="2:18" s="83" customFormat="1" ht="15" hidden="1" customHeight="1" outlineLevel="2">
      <c r="B2657" s="119" t="s">
        <v>272</v>
      </c>
      <c r="C2657" s="266" t="s">
        <v>3885</v>
      </c>
      <c r="D2657" s="124" t="s">
        <v>1502</v>
      </c>
      <c r="E2657" s="125"/>
      <c r="F2657" s="118" t="s">
        <v>3441</v>
      </c>
      <c r="G2657" s="126" t="str">
        <f>CONCATENATE("AR-",F2657,"-",H2657)</f>
        <v>AR-C20P-1</v>
      </c>
      <c r="H2657" s="253">
        <v>1</v>
      </c>
      <c r="J2657" s="299" t="s">
        <v>286</v>
      </c>
      <c r="K2657" s="299"/>
      <c r="L2657" s="84">
        <v>1</v>
      </c>
      <c r="M2657" s="76">
        <v>1</v>
      </c>
      <c r="Q2657" s="84">
        <v>1</v>
      </c>
      <c r="R2657" s="76">
        <v>1</v>
      </c>
    </row>
    <row r="2658" spans="2:18" s="83" customFormat="1" ht="15" hidden="1" customHeight="1" outlineLevel="2">
      <c r="B2658" s="119" t="s">
        <v>272</v>
      </c>
      <c r="C2658" s="266" t="s">
        <v>3886</v>
      </c>
      <c r="D2658" s="124" t="s">
        <v>1092</v>
      </c>
      <c r="E2658" s="125"/>
      <c r="F2658" s="118" t="s">
        <v>3441</v>
      </c>
      <c r="G2658" s="126" t="str">
        <f t="shared" ref="G2658:G2677" si="160">CONCATENATE("AR-",F2658,"-",H2658)</f>
        <v>AR-C20P-1</v>
      </c>
      <c r="H2658" s="253">
        <v>1</v>
      </c>
      <c r="J2658" s="299" t="s">
        <v>286</v>
      </c>
      <c r="K2658" s="299"/>
      <c r="L2658" s="84">
        <v>1</v>
      </c>
      <c r="M2658" s="76">
        <v>1</v>
      </c>
      <c r="Q2658" s="84">
        <v>1</v>
      </c>
      <c r="R2658" s="76">
        <v>1</v>
      </c>
    </row>
    <row r="2659" spans="2:18" s="83" customFormat="1" ht="15" hidden="1" customHeight="1" outlineLevel="2">
      <c r="B2659" s="119" t="s">
        <v>272</v>
      </c>
      <c r="C2659" s="266" t="s">
        <v>3887</v>
      </c>
      <c r="D2659" s="124" t="s">
        <v>1092</v>
      </c>
      <c r="E2659" s="125"/>
      <c r="F2659" s="118" t="s">
        <v>3441</v>
      </c>
      <c r="G2659" s="126" t="str">
        <f t="shared" si="160"/>
        <v>AR-C20P-1</v>
      </c>
      <c r="H2659" s="253">
        <v>1</v>
      </c>
      <c r="J2659" s="299" t="s">
        <v>286</v>
      </c>
      <c r="K2659" s="299"/>
      <c r="L2659" s="84">
        <v>1</v>
      </c>
      <c r="M2659" s="76">
        <v>1</v>
      </c>
      <c r="Q2659" s="84">
        <v>1</v>
      </c>
      <c r="R2659" s="76">
        <v>1</v>
      </c>
    </row>
    <row r="2660" spans="2:18" s="83" customFormat="1" ht="15" hidden="1" customHeight="1" outlineLevel="2">
      <c r="B2660" s="119" t="s">
        <v>272</v>
      </c>
      <c r="C2660" s="266" t="s">
        <v>3888</v>
      </c>
      <c r="D2660" s="124" t="s">
        <v>1092</v>
      </c>
      <c r="E2660" s="125"/>
      <c r="F2660" s="118" t="s">
        <v>3441</v>
      </c>
      <c r="G2660" s="126" t="str">
        <f t="shared" si="160"/>
        <v>AR-C20P-1</v>
      </c>
      <c r="H2660" s="253">
        <v>1</v>
      </c>
      <c r="J2660" s="299" t="s">
        <v>286</v>
      </c>
      <c r="K2660" s="299"/>
      <c r="L2660" s="84">
        <v>1</v>
      </c>
      <c r="M2660" s="76">
        <v>1</v>
      </c>
      <c r="Q2660" s="84">
        <v>1</v>
      </c>
      <c r="R2660" s="76">
        <v>1</v>
      </c>
    </row>
    <row r="2661" spans="2:18" s="83" customFormat="1" ht="15" hidden="1" customHeight="1" outlineLevel="2">
      <c r="B2661" s="119" t="s">
        <v>272</v>
      </c>
      <c r="C2661" s="266" t="s">
        <v>3889</v>
      </c>
      <c r="D2661" s="124" t="s">
        <v>1092</v>
      </c>
      <c r="E2661" s="125"/>
      <c r="F2661" s="118" t="s">
        <v>3441</v>
      </c>
      <c r="G2661" s="126" t="str">
        <f t="shared" si="160"/>
        <v>AR-C20P-1</v>
      </c>
      <c r="H2661" s="253">
        <v>1</v>
      </c>
      <c r="J2661" s="299" t="s">
        <v>286</v>
      </c>
      <c r="K2661" s="299"/>
      <c r="L2661" s="84">
        <v>1</v>
      </c>
      <c r="M2661" s="76">
        <v>1</v>
      </c>
      <c r="Q2661" s="84">
        <v>1</v>
      </c>
      <c r="R2661" s="76">
        <v>1</v>
      </c>
    </row>
    <row r="2662" spans="2:18" s="83" customFormat="1" ht="15" hidden="1" customHeight="1" outlineLevel="2">
      <c r="B2662" s="119" t="s">
        <v>272</v>
      </c>
      <c r="C2662" s="266" t="s">
        <v>3890</v>
      </c>
      <c r="D2662" s="124" t="s">
        <v>2511</v>
      </c>
      <c r="E2662" s="125"/>
      <c r="F2662" s="118" t="s">
        <v>3441</v>
      </c>
      <c r="G2662" s="126" t="str">
        <f t="shared" si="160"/>
        <v>AR-C20P-1</v>
      </c>
      <c r="H2662" s="253">
        <v>1</v>
      </c>
      <c r="J2662" s="299" t="s">
        <v>286</v>
      </c>
      <c r="K2662" s="299"/>
      <c r="L2662" s="84">
        <v>1</v>
      </c>
      <c r="M2662" s="76">
        <v>1</v>
      </c>
      <c r="Q2662" s="84">
        <v>1</v>
      </c>
      <c r="R2662" s="76">
        <v>1</v>
      </c>
    </row>
    <row r="2663" spans="2:18" s="83" customFormat="1" ht="15" hidden="1" customHeight="1" outlineLevel="2">
      <c r="B2663" s="119" t="s">
        <v>272</v>
      </c>
      <c r="C2663" s="266" t="s">
        <v>3891</v>
      </c>
      <c r="D2663" s="124" t="s">
        <v>3658</v>
      </c>
      <c r="E2663" s="125"/>
      <c r="F2663" s="118" t="s">
        <v>3441</v>
      </c>
      <c r="G2663" s="126" t="str">
        <f t="shared" si="160"/>
        <v>AR-C20P-1</v>
      </c>
      <c r="H2663" s="253">
        <v>1</v>
      </c>
      <c r="J2663" s="299" t="s">
        <v>286</v>
      </c>
      <c r="K2663" s="299"/>
      <c r="L2663" s="84">
        <v>1</v>
      </c>
      <c r="M2663" s="76">
        <v>1</v>
      </c>
      <c r="Q2663" s="84">
        <v>1</v>
      </c>
      <c r="R2663" s="76">
        <v>1</v>
      </c>
    </row>
    <row r="2664" spans="2:18" s="83" customFormat="1" ht="15" hidden="1" customHeight="1" outlineLevel="2">
      <c r="B2664" s="119" t="s">
        <v>272</v>
      </c>
      <c r="C2664" s="266" t="s">
        <v>3892</v>
      </c>
      <c r="D2664" s="124" t="s">
        <v>3658</v>
      </c>
      <c r="E2664" s="125"/>
      <c r="F2664" s="118" t="s">
        <v>3441</v>
      </c>
      <c r="G2664" s="126" t="str">
        <f t="shared" si="160"/>
        <v>AR-C20P-1</v>
      </c>
      <c r="H2664" s="253">
        <v>1</v>
      </c>
      <c r="J2664" s="299" t="s">
        <v>286</v>
      </c>
      <c r="K2664" s="299"/>
      <c r="L2664" s="84">
        <v>1</v>
      </c>
      <c r="M2664" s="76">
        <v>1</v>
      </c>
      <c r="Q2664" s="84">
        <v>1</v>
      </c>
      <c r="R2664" s="76">
        <v>1</v>
      </c>
    </row>
    <row r="2665" spans="2:18" s="83" customFormat="1" ht="15" hidden="1" customHeight="1" outlineLevel="2">
      <c r="B2665" s="119" t="s">
        <v>272</v>
      </c>
      <c r="C2665" s="266" t="s">
        <v>3893</v>
      </c>
      <c r="D2665" s="124" t="s">
        <v>3658</v>
      </c>
      <c r="E2665" s="125"/>
      <c r="F2665" s="118" t="s">
        <v>3441</v>
      </c>
      <c r="G2665" s="126" t="str">
        <f t="shared" si="160"/>
        <v>AR-C20P-1</v>
      </c>
      <c r="H2665" s="253">
        <v>1</v>
      </c>
      <c r="J2665" s="299" t="s">
        <v>286</v>
      </c>
      <c r="K2665" s="299"/>
      <c r="L2665" s="84">
        <v>1</v>
      </c>
      <c r="M2665" s="76">
        <v>1</v>
      </c>
      <c r="Q2665" s="84">
        <v>1</v>
      </c>
      <c r="R2665" s="76">
        <v>1</v>
      </c>
    </row>
    <row r="2666" spans="2:18" s="83" customFormat="1" ht="15" hidden="1" customHeight="1" outlineLevel="2">
      <c r="B2666" s="119" t="s">
        <v>272</v>
      </c>
      <c r="C2666" s="266" t="s">
        <v>3894</v>
      </c>
      <c r="D2666" s="124" t="s">
        <v>3658</v>
      </c>
      <c r="E2666" s="125"/>
      <c r="F2666" s="118" t="s">
        <v>3441</v>
      </c>
      <c r="G2666" s="126" t="str">
        <f t="shared" si="160"/>
        <v>AR-C20P-1</v>
      </c>
      <c r="H2666" s="253">
        <v>1</v>
      </c>
      <c r="J2666" s="299" t="s">
        <v>286</v>
      </c>
      <c r="K2666" s="299"/>
      <c r="L2666" s="84">
        <v>1</v>
      </c>
      <c r="M2666" s="76">
        <v>1</v>
      </c>
      <c r="Q2666" s="84">
        <v>1</v>
      </c>
      <c r="R2666" s="76">
        <v>1</v>
      </c>
    </row>
    <row r="2667" spans="2:18" s="83" customFormat="1" ht="15" hidden="1" customHeight="1" outlineLevel="2">
      <c r="B2667" s="119" t="s">
        <v>272</v>
      </c>
      <c r="C2667" s="266" t="s">
        <v>3895</v>
      </c>
      <c r="D2667" s="124" t="s">
        <v>3658</v>
      </c>
      <c r="E2667" s="125"/>
      <c r="F2667" s="118" t="s">
        <v>3441</v>
      </c>
      <c r="G2667" s="126" t="str">
        <f t="shared" si="160"/>
        <v>AR-C20P-1</v>
      </c>
      <c r="H2667" s="253">
        <v>1</v>
      </c>
      <c r="J2667" s="299" t="s">
        <v>286</v>
      </c>
      <c r="K2667" s="299"/>
      <c r="L2667" s="84">
        <v>1</v>
      </c>
      <c r="M2667" s="76">
        <v>1</v>
      </c>
      <c r="Q2667" s="84">
        <v>1</v>
      </c>
      <c r="R2667" s="76">
        <v>1</v>
      </c>
    </row>
    <row r="2668" spans="2:18" s="83" customFormat="1" ht="15" hidden="1" customHeight="1" outlineLevel="2">
      <c r="B2668" s="119" t="s">
        <v>272</v>
      </c>
      <c r="C2668" s="266" t="s">
        <v>3896</v>
      </c>
      <c r="D2668" s="124" t="s">
        <v>3658</v>
      </c>
      <c r="E2668" s="125"/>
      <c r="F2668" s="118" t="s">
        <v>3441</v>
      </c>
      <c r="G2668" s="126" t="str">
        <f t="shared" si="160"/>
        <v>AR-C20P-1</v>
      </c>
      <c r="H2668" s="253">
        <v>1</v>
      </c>
      <c r="J2668" s="299" t="s">
        <v>286</v>
      </c>
      <c r="K2668" s="299"/>
      <c r="L2668" s="84">
        <v>1</v>
      </c>
      <c r="M2668" s="76">
        <v>1</v>
      </c>
      <c r="Q2668" s="84">
        <v>1</v>
      </c>
      <c r="R2668" s="76">
        <v>1</v>
      </c>
    </row>
    <row r="2669" spans="2:18" s="83" customFormat="1" ht="15" hidden="1" customHeight="1" outlineLevel="2">
      <c r="B2669" s="119" t="s">
        <v>272</v>
      </c>
      <c r="C2669" s="266" t="s">
        <v>3897</v>
      </c>
      <c r="D2669" s="124" t="s">
        <v>3658</v>
      </c>
      <c r="E2669" s="125"/>
      <c r="F2669" s="118" t="s">
        <v>3441</v>
      </c>
      <c r="G2669" s="126" t="str">
        <f t="shared" si="160"/>
        <v>AR-C20P-1</v>
      </c>
      <c r="H2669" s="253">
        <v>1</v>
      </c>
      <c r="J2669" s="299" t="s">
        <v>286</v>
      </c>
      <c r="K2669" s="299"/>
      <c r="L2669" s="84">
        <v>1</v>
      </c>
      <c r="M2669" s="76">
        <v>1</v>
      </c>
      <c r="Q2669" s="84">
        <v>1</v>
      </c>
      <c r="R2669" s="76">
        <v>1</v>
      </c>
    </row>
    <row r="2670" spans="2:18" s="83" customFormat="1" ht="15" hidden="1" customHeight="1" outlineLevel="2">
      <c r="B2670" s="119" t="s">
        <v>272</v>
      </c>
      <c r="C2670" s="266" t="s">
        <v>3898</v>
      </c>
      <c r="D2670" s="124" t="s">
        <v>3899</v>
      </c>
      <c r="E2670" s="125"/>
      <c r="F2670" s="118" t="s">
        <v>3441</v>
      </c>
      <c r="G2670" s="126" t="str">
        <f t="shared" si="160"/>
        <v>AR-C20P-1</v>
      </c>
      <c r="H2670" s="253">
        <v>1</v>
      </c>
      <c r="J2670" s="299" t="s">
        <v>286</v>
      </c>
      <c r="K2670" s="299"/>
      <c r="L2670" s="84">
        <v>1</v>
      </c>
      <c r="M2670" s="76">
        <v>1</v>
      </c>
      <c r="Q2670" s="84">
        <v>1</v>
      </c>
      <c r="R2670" s="76">
        <v>1</v>
      </c>
    </row>
    <row r="2671" spans="2:18" s="83" customFormat="1" ht="15" hidden="1" customHeight="1" outlineLevel="2">
      <c r="B2671" s="119" t="s">
        <v>272</v>
      </c>
      <c r="C2671" s="266" t="s">
        <v>3900</v>
      </c>
      <c r="D2671" s="124" t="s">
        <v>3658</v>
      </c>
      <c r="E2671" s="125"/>
      <c r="F2671" s="118" t="s">
        <v>3441</v>
      </c>
      <c r="G2671" s="126" t="str">
        <f t="shared" si="160"/>
        <v>AR-C20P-1</v>
      </c>
      <c r="H2671" s="253">
        <v>1</v>
      </c>
      <c r="J2671" s="299" t="s">
        <v>286</v>
      </c>
      <c r="K2671" s="299"/>
      <c r="L2671" s="84">
        <v>1</v>
      </c>
      <c r="M2671" s="76">
        <v>1</v>
      </c>
      <c r="Q2671" s="84">
        <v>1</v>
      </c>
      <c r="R2671" s="76">
        <v>1</v>
      </c>
    </row>
    <row r="2672" spans="2:18" s="83" customFormat="1" ht="15" hidden="1" customHeight="1" outlineLevel="2">
      <c r="B2672" s="119" t="s">
        <v>272</v>
      </c>
      <c r="C2672" s="266" t="s">
        <v>3901</v>
      </c>
      <c r="D2672" s="124" t="s">
        <v>3902</v>
      </c>
      <c r="E2672" s="125"/>
      <c r="F2672" s="118" t="s">
        <v>3441</v>
      </c>
      <c r="G2672" s="126" t="str">
        <f t="shared" si="160"/>
        <v>AR-C20P-1</v>
      </c>
      <c r="H2672" s="253">
        <v>1</v>
      </c>
      <c r="J2672" s="299" t="s">
        <v>286</v>
      </c>
      <c r="K2672" s="299"/>
      <c r="L2672" s="84">
        <v>1</v>
      </c>
      <c r="M2672" s="76">
        <v>1</v>
      </c>
      <c r="Q2672" s="84">
        <v>1</v>
      </c>
      <c r="R2672" s="76">
        <v>1</v>
      </c>
    </row>
    <row r="2673" spans="2:18" s="83" customFormat="1" ht="15" hidden="1" customHeight="1" outlineLevel="2">
      <c r="B2673" s="119" t="s">
        <v>272</v>
      </c>
      <c r="C2673" s="266" t="s">
        <v>3903</v>
      </c>
      <c r="D2673" s="124" t="s">
        <v>3899</v>
      </c>
      <c r="E2673" s="125"/>
      <c r="F2673" s="118" t="s">
        <v>3441</v>
      </c>
      <c r="G2673" s="126" t="str">
        <f t="shared" si="160"/>
        <v>AR-C20P-1</v>
      </c>
      <c r="H2673" s="253">
        <v>1</v>
      </c>
      <c r="J2673" s="299" t="s">
        <v>286</v>
      </c>
      <c r="K2673" s="299"/>
      <c r="L2673" s="84">
        <v>1</v>
      </c>
      <c r="M2673" s="76">
        <v>1</v>
      </c>
      <c r="Q2673" s="84">
        <v>1</v>
      </c>
      <c r="R2673" s="76">
        <v>1</v>
      </c>
    </row>
    <row r="2674" spans="2:18" s="83" customFormat="1" ht="15" hidden="1" customHeight="1" outlineLevel="2">
      <c r="B2674" s="119" t="s">
        <v>272</v>
      </c>
      <c r="C2674" s="266" t="s">
        <v>3904</v>
      </c>
      <c r="D2674" s="124" t="s">
        <v>3669</v>
      </c>
      <c r="E2674" s="125"/>
      <c r="F2674" s="118" t="s">
        <v>3441</v>
      </c>
      <c r="G2674" s="126" t="str">
        <f t="shared" si="160"/>
        <v>AR-C20P-1</v>
      </c>
      <c r="H2674" s="253">
        <v>1</v>
      </c>
      <c r="J2674" s="299" t="s">
        <v>286</v>
      </c>
      <c r="K2674" s="299"/>
      <c r="L2674" s="84">
        <v>1</v>
      </c>
      <c r="M2674" s="76">
        <v>1</v>
      </c>
      <c r="Q2674" s="84">
        <v>1</v>
      </c>
      <c r="R2674" s="76">
        <v>1</v>
      </c>
    </row>
    <row r="2675" spans="2:18" s="83" customFormat="1" ht="15" hidden="1" customHeight="1" outlineLevel="2">
      <c r="B2675" s="119" t="s">
        <v>272</v>
      </c>
      <c r="C2675" s="266" t="s">
        <v>3905</v>
      </c>
      <c r="D2675" s="124" t="s">
        <v>3669</v>
      </c>
      <c r="E2675" s="125"/>
      <c r="F2675" s="118" t="s">
        <v>3441</v>
      </c>
      <c r="G2675" s="126" t="str">
        <f t="shared" si="160"/>
        <v>AR-C20P-1</v>
      </c>
      <c r="H2675" s="253">
        <v>1</v>
      </c>
      <c r="J2675" s="299" t="s">
        <v>286</v>
      </c>
      <c r="K2675" s="299"/>
      <c r="L2675" s="84">
        <v>1</v>
      </c>
      <c r="M2675" s="76">
        <v>1</v>
      </c>
      <c r="Q2675" s="84">
        <v>1</v>
      </c>
      <c r="R2675" s="76">
        <v>1</v>
      </c>
    </row>
    <row r="2676" spans="2:18" s="83" customFormat="1" ht="15" hidden="1" customHeight="1" outlineLevel="2">
      <c r="B2676" s="119" t="s">
        <v>272</v>
      </c>
      <c r="C2676" s="266" t="s">
        <v>3906</v>
      </c>
      <c r="D2676" s="124" t="s">
        <v>3669</v>
      </c>
      <c r="E2676" s="125"/>
      <c r="F2676" s="118" t="s">
        <v>3441</v>
      </c>
      <c r="G2676" s="126" t="str">
        <f t="shared" si="160"/>
        <v>AR-C20P-1</v>
      </c>
      <c r="H2676" s="253">
        <v>1</v>
      </c>
      <c r="J2676" s="299" t="s">
        <v>286</v>
      </c>
      <c r="K2676" s="299"/>
      <c r="L2676" s="84">
        <v>1</v>
      </c>
      <c r="M2676" s="76">
        <v>1</v>
      </c>
      <c r="Q2676" s="84">
        <v>1</v>
      </c>
      <c r="R2676" s="76">
        <v>1</v>
      </c>
    </row>
    <row r="2677" spans="2:18" s="83" customFormat="1" ht="15" hidden="1" customHeight="1" outlineLevel="2">
      <c r="B2677" s="119" t="s">
        <v>272</v>
      </c>
      <c r="C2677" s="266" t="s">
        <v>3907</v>
      </c>
      <c r="D2677" s="124" t="s">
        <v>3669</v>
      </c>
      <c r="E2677" s="125"/>
      <c r="F2677" s="118" t="s">
        <v>3441</v>
      </c>
      <c r="G2677" s="126" t="str">
        <f t="shared" si="160"/>
        <v>AR-C20P-1</v>
      </c>
      <c r="H2677" s="253">
        <v>1</v>
      </c>
      <c r="J2677" s="299" t="s">
        <v>286</v>
      </c>
      <c r="K2677" s="299"/>
      <c r="L2677" s="84">
        <v>1</v>
      </c>
      <c r="M2677" s="76">
        <v>1</v>
      </c>
      <c r="Q2677" s="84">
        <v>1</v>
      </c>
      <c r="R2677" s="76">
        <v>1</v>
      </c>
    </row>
    <row r="2678" spans="2:18" s="83" customFormat="1" ht="15" hidden="1" customHeight="1" outlineLevel="2">
      <c r="B2678" s="119" t="s">
        <v>272</v>
      </c>
      <c r="C2678" s="266" t="s">
        <v>3908</v>
      </c>
      <c r="D2678" s="124" t="s">
        <v>3673</v>
      </c>
      <c r="E2678" s="125"/>
      <c r="F2678" s="118" t="s">
        <v>3441</v>
      </c>
      <c r="G2678" s="126" t="str">
        <f t="shared" ref="G2678:G2709" si="161">CONCATENATE("AR-",F2678,"-",H2678)</f>
        <v>AR-C20P-1</v>
      </c>
      <c r="H2678" s="253">
        <v>1</v>
      </c>
      <c r="J2678" s="299" t="s">
        <v>286</v>
      </c>
      <c r="K2678" s="299"/>
      <c r="L2678" s="84">
        <v>1</v>
      </c>
      <c r="M2678" s="76">
        <v>1</v>
      </c>
      <c r="Q2678" s="84">
        <v>1</v>
      </c>
      <c r="R2678" s="76">
        <v>1</v>
      </c>
    </row>
    <row r="2679" spans="2:18" s="83" customFormat="1" ht="15" hidden="1" customHeight="1" outlineLevel="2">
      <c r="B2679" s="119" t="s">
        <v>272</v>
      </c>
      <c r="C2679" s="266" t="s">
        <v>3909</v>
      </c>
      <c r="D2679" s="124" t="s">
        <v>3673</v>
      </c>
      <c r="E2679" s="125"/>
      <c r="F2679" s="118" t="s">
        <v>3441</v>
      </c>
      <c r="G2679" s="126" t="str">
        <f t="shared" si="161"/>
        <v>AR-C20P-1</v>
      </c>
      <c r="H2679" s="253">
        <v>1</v>
      </c>
      <c r="J2679" s="299" t="s">
        <v>286</v>
      </c>
      <c r="K2679" s="299"/>
      <c r="L2679" s="84">
        <v>1</v>
      </c>
      <c r="M2679" s="76">
        <v>1</v>
      </c>
      <c r="Q2679" s="84">
        <v>1</v>
      </c>
      <c r="R2679" s="76">
        <v>1</v>
      </c>
    </row>
    <row r="2680" spans="2:18" s="100" customFormat="1" ht="15" hidden="1" customHeight="1" outlineLevel="2">
      <c r="B2680" s="119" t="s">
        <v>272</v>
      </c>
      <c r="C2680" s="266" t="s">
        <v>3910</v>
      </c>
      <c r="D2680" s="124" t="s">
        <v>3673</v>
      </c>
      <c r="E2680" s="125"/>
      <c r="F2680" s="118" t="s">
        <v>3441</v>
      </c>
      <c r="G2680" s="126" t="str">
        <f t="shared" si="161"/>
        <v>AR-C20P-1</v>
      </c>
      <c r="H2680" s="253">
        <v>1</v>
      </c>
      <c r="J2680" s="299" t="s">
        <v>286</v>
      </c>
      <c r="K2680" s="299"/>
      <c r="L2680" s="84">
        <v>1</v>
      </c>
      <c r="M2680" s="76">
        <v>1</v>
      </c>
      <c r="Q2680" s="84">
        <v>1</v>
      </c>
      <c r="R2680" s="76">
        <v>1</v>
      </c>
    </row>
    <row r="2681" spans="2:18" s="83" customFormat="1" ht="15" hidden="1" customHeight="1" outlineLevel="2">
      <c r="B2681" s="119" t="s">
        <v>272</v>
      </c>
      <c r="C2681" s="266" t="s">
        <v>3911</v>
      </c>
      <c r="D2681" s="124" t="s">
        <v>3912</v>
      </c>
      <c r="E2681" s="125"/>
      <c r="F2681" s="118" t="s">
        <v>3441</v>
      </c>
      <c r="G2681" s="126" t="str">
        <f t="shared" si="161"/>
        <v>AR-C20P-1</v>
      </c>
      <c r="H2681" s="253">
        <v>1</v>
      </c>
      <c r="J2681" s="299" t="s">
        <v>286</v>
      </c>
      <c r="K2681" s="299"/>
      <c r="L2681" s="84">
        <v>1</v>
      </c>
      <c r="M2681" s="76">
        <v>1</v>
      </c>
      <c r="Q2681" s="84">
        <v>1</v>
      </c>
      <c r="R2681" s="76">
        <v>1</v>
      </c>
    </row>
    <row r="2682" spans="2:18" s="83" customFormat="1" ht="15" hidden="1" customHeight="1" outlineLevel="2">
      <c r="B2682" s="119" t="s">
        <v>272</v>
      </c>
      <c r="C2682" s="266" t="s">
        <v>3913</v>
      </c>
      <c r="D2682" s="124" t="s">
        <v>3673</v>
      </c>
      <c r="E2682" s="125"/>
      <c r="F2682" s="118" t="s">
        <v>3441</v>
      </c>
      <c r="G2682" s="126" t="str">
        <f t="shared" si="161"/>
        <v>AR-C20P-1</v>
      </c>
      <c r="H2682" s="253">
        <v>1</v>
      </c>
      <c r="J2682" s="299" t="s">
        <v>286</v>
      </c>
      <c r="K2682" s="299"/>
      <c r="L2682" s="84">
        <v>1</v>
      </c>
      <c r="M2682" s="76">
        <v>1</v>
      </c>
      <c r="Q2682" s="84">
        <v>1</v>
      </c>
      <c r="R2682" s="76">
        <v>1</v>
      </c>
    </row>
    <row r="2683" spans="2:18" s="83" customFormat="1" ht="15" hidden="1" customHeight="1" outlineLevel="2">
      <c r="B2683" s="119" t="s">
        <v>272</v>
      </c>
      <c r="C2683" s="266" t="s">
        <v>3914</v>
      </c>
      <c r="D2683" s="124" t="s">
        <v>3673</v>
      </c>
      <c r="E2683" s="125"/>
      <c r="F2683" s="118" t="s">
        <v>3441</v>
      </c>
      <c r="G2683" s="126" t="str">
        <f t="shared" si="161"/>
        <v>AR-C20P-1</v>
      </c>
      <c r="H2683" s="253">
        <v>1</v>
      </c>
      <c r="J2683" s="299" t="s">
        <v>286</v>
      </c>
      <c r="K2683" s="299"/>
      <c r="L2683" s="84">
        <v>1</v>
      </c>
      <c r="M2683" s="76">
        <v>1</v>
      </c>
      <c r="Q2683" s="84">
        <v>1</v>
      </c>
      <c r="R2683" s="76">
        <v>1</v>
      </c>
    </row>
    <row r="2684" spans="2:18" s="83" customFormat="1" ht="15" hidden="1" customHeight="1" outlineLevel="2">
      <c r="B2684" s="119" t="s">
        <v>272</v>
      </c>
      <c r="C2684" s="266" t="s">
        <v>3915</v>
      </c>
      <c r="D2684" s="124" t="s">
        <v>3916</v>
      </c>
      <c r="E2684" s="125"/>
      <c r="F2684" s="118" t="s">
        <v>3441</v>
      </c>
      <c r="G2684" s="126" t="str">
        <f t="shared" si="161"/>
        <v>AR-C20P-1</v>
      </c>
      <c r="H2684" s="253">
        <v>1</v>
      </c>
      <c r="J2684" s="299" t="s">
        <v>286</v>
      </c>
      <c r="K2684" s="299"/>
      <c r="L2684" s="84">
        <v>1</v>
      </c>
      <c r="M2684" s="76">
        <v>1</v>
      </c>
      <c r="Q2684" s="84">
        <v>1</v>
      </c>
      <c r="R2684" s="76">
        <v>1</v>
      </c>
    </row>
    <row r="2685" spans="2:18" s="83" customFormat="1" ht="15" hidden="1" customHeight="1" outlineLevel="2">
      <c r="B2685" s="119" t="s">
        <v>272</v>
      </c>
      <c r="C2685" s="266" t="s">
        <v>3917</v>
      </c>
      <c r="D2685" s="124" t="s">
        <v>3673</v>
      </c>
      <c r="E2685" s="125"/>
      <c r="F2685" s="118" t="s">
        <v>3441</v>
      </c>
      <c r="G2685" s="126" t="str">
        <f t="shared" si="161"/>
        <v>AR-C20P-1</v>
      </c>
      <c r="H2685" s="253">
        <v>1</v>
      </c>
      <c r="J2685" s="299" t="s">
        <v>286</v>
      </c>
      <c r="K2685" s="299"/>
      <c r="L2685" s="84">
        <v>1</v>
      </c>
      <c r="M2685" s="76">
        <v>1</v>
      </c>
      <c r="Q2685" s="84">
        <v>1</v>
      </c>
      <c r="R2685" s="76">
        <v>1</v>
      </c>
    </row>
    <row r="2686" spans="2:18" s="83" customFormat="1" ht="15" hidden="1" customHeight="1" outlineLevel="2">
      <c r="B2686" s="119" t="s">
        <v>272</v>
      </c>
      <c r="C2686" s="266" t="s">
        <v>3918</v>
      </c>
      <c r="D2686" s="124" t="s">
        <v>3679</v>
      </c>
      <c r="E2686" s="125"/>
      <c r="F2686" s="118" t="s">
        <v>3441</v>
      </c>
      <c r="G2686" s="126" t="str">
        <f t="shared" si="161"/>
        <v>AR-C20P-1</v>
      </c>
      <c r="H2686" s="253">
        <v>1</v>
      </c>
      <c r="J2686" s="299" t="s">
        <v>286</v>
      </c>
      <c r="K2686" s="299"/>
      <c r="L2686" s="84">
        <v>1</v>
      </c>
      <c r="M2686" s="76">
        <v>1</v>
      </c>
      <c r="Q2686" s="84">
        <v>1</v>
      </c>
      <c r="R2686" s="76">
        <v>1</v>
      </c>
    </row>
    <row r="2687" spans="2:18" s="83" customFormat="1" ht="15" hidden="1" customHeight="1" outlineLevel="2">
      <c r="B2687" s="119" t="s">
        <v>272</v>
      </c>
      <c r="C2687" s="266" t="s">
        <v>3919</v>
      </c>
      <c r="D2687" s="124" t="s">
        <v>3679</v>
      </c>
      <c r="E2687" s="125"/>
      <c r="F2687" s="118" t="s">
        <v>3441</v>
      </c>
      <c r="G2687" s="126" t="str">
        <f t="shared" si="161"/>
        <v>AR-C20P-1</v>
      </c>
      <c r="H2687" s="253">
        <v>1</v>
      </c>
      <c r="J2687" s="299" t="s">
        <v>286</v>
      </c>
      <c r="K2687" s="299"/>
      <c r="L2687" s="84">
        <v>1</v>
      </c>
      <c r="M2687" s="76">
        <v>1</v>
      </c>
      <c r="Q2687" s="84">
        <v>1</v>
      </c>
      <c r="R2687" s="76">
        <v>1</v>
      </c>
    </row>
    <row r="2688" spans="2:18" s="83" customFormat="1" ht="15" hidden="1" customHeight="1" outlineLevel="2">
      <c r="B2688" s="119" t="s">
        <v>272</v>
      </c>
      <c r="C2688" s="266" t="s">
        <v>3920</v>
      </c>
      <c r="D2688" s="124" t="s">
        <v>3679</v>
      </c>
      <c r="E2688" s="125"/>
      <c r="F2688" s="118" t="s">
        <v>3441</v>
      </c>
      <c r="G2688" s="126" t="str">
        <f t="shared" si="161"/>
        <v>AR-C20P-1</v>
      </c>
      <c r="H2688" s="253">
        <v>1</v>
      </c>
      <c r="J2688" s="299" t="s">
        <v>286</v>
      </c>
      <c r="K2688" s="299"/>
      <c r="L2688" s="84">
        <v>1</v>
      </c>
      <c r="M2688" s="76">
        <v>1</v>
      </c>
      <c r="Q2688" s="84">
        <v>1</v>
      </c>
      <c r="R2688" s="76">
        <v>1</v>
      </c>
    </row>
    <row r="2689" spans="2:18" s="83" customFormat="1" ht="15" hidden="1" customHeight="1" outlineLevel="2">
      <c r="B2689" s="119" t="s">
        <v>272</v>
      </c>
      <c r="C2689" s="266" t="s">
        <v>3921</v>
      </c>
      <c r="D2689" s="124" t="s">
        <v>1120</v>
      </c>
      <c r="E2689" s="125"/>
      <c r="F2689" s="118" t="s">
        <v>3441</v>
      </c>
      <c r="G2689" s="126" t="str">
        <f t="shared" si="161"/>
        <v>AR-C20P-1</v>
      </c>
      <c r="H2689" s="253">
        <v>1</v>
      </c>
      <c r="J2689" s="299" t="s">
        <v>286</v>
      </c>
      <c r="K2689" s="299"/>
      <c r="L2689" s="84">
        <v>1</v>
      </c>
      <c r="M2689" s="76">
        <v>1</v>
      </c>
      <c r="Q2689" s="84">
        <v>1</v>
      </c>
      <c r="R2689" s="76">
        <v>1</v>
      </c>
    </row>
    <row r="2690" spans="2:18" s="83" customFormat="1" ht="15" hidden="1" customHeight="1" outlineLevel="2">
      <c r="B2690" s="119" t="s">
        <v>272</v>
      </c>
      <c r="C2690" s="266" t="s">
        <v>3922</v>
      </c>
      <c r="D2690" s="124" t="s">
        <v>3683</v>
      </c>
      <c r="E2690" s="125"/>
      <c r="F2690" s="118" t="s">
        <v>3441</v>
      </c>
      <c r="G2690" s="126" t="str">
        <f t="shared" si="161"/>
        <v>AR-C20P-1</v>
      </c>
      <c r="H2690" s="253">
        <v>1</v>
      </c>
      <c r="J2690" s="299" t="s">
        <v>286</v>
      </c>
      <c r="K2690" s="299"/>
      <c r="L2690" s="84">
        <v>1</v>
      </c>
      <c r="M2690" s="76">
        <v>1</v>
      </c>
      <c r="Q2690" s="84">
        <v>1</v>
      </c>
      <c r="R2690" s="76">
        <v>1</v>
      </c>
    </row>
    <row r="2691" spans="2:18" s="83" customFormat="1" ht="15" hidden="1" customHeight="1" outlineLevel="2">
      <c r="B2691" s="119" t="s">
        <v>272</v>
      </c>
      <c r="C2691" s="266" t="s">
        <v>3923</v>
      </c>
      <c r="D2691" s="124" t="s">
        <v>3683</v>
      </c>
      <c r="E2691" s="125"/>
      <c r="F2691" s="118" t="s">
        <v>3441</v>
      </c>
      <c r="G2691" s="126" t="str">
        <f t="shared" si="161"/>
        <v>AR-C20P-1</v>
      </c>
      <c r="H2691" s="253">
        <v>1</v>
      </c>
      <c r="J2691" s="299" t="s">
        <v>286</v>
      </c>
      <c r="K2691" s="299"/>
      <c r="L2691" s="84">
        <v>1</v>
      </c>
      <c r="M2691" s="76">
        <v>1</v>
      </c>
      <c r="Q2691" s="84">
        <v>1</v>
      </c>
      <c r="R2691" s="76">
        <v>1</v>
      </c>
    </row>
    <row r="2692" spans="2:18" s="83" customFormat="1" ht="15" hidden="1" customHeight="1" outlineLevel="2">
      <c r="B2692" s="119" t="s">
        <v>272</v>
      </c>
      <c r="C2692" s="266" t="s">
        <v>3924</v>
      </c>
      <c r="D2692" s="124" t="s">
        <v>3925</v>
      </c>
      <c r="E2692" s="125"/>
      <c r="F2692" s="118" t="s">
        <v>3441</v>
      </c>
      <c r="G2692" s="126" t="str">
        <f t="shared" si="161"/>
        <v>AR-C20P-1</v>
      </c>
      <c r="H2692" s="253">
        <v>1</v>
      </c>
      <c r="J2692" s="299" t="s">
        <v>286</v>
      </c>
      <c r="K2692" s="299"/>
      <c r="L2692" s="84">
        <v>1</v>
      </c>
      <c r="M2692" s="76">
        <v>1</v>
      </c>
      <c r="Q2692" s="84">
        <v>1</v>
      </c>
      <c r="R2692" s="76">
        <v>1</v>
      </c>
    </row>
    <row r="2693" spans="2:18" s="83" customFormat="1" ht="15" hidden="1" customHeight="1" outlineLevel="2">
      <c r="B2693" s="119" t="s">
        <v>272</v>
      </c>
      <c r="C2693" s="266" t="s">
        <v>3926</v>
      </c>
      <c r="D2693" s="124" t="s">
        <v>3927</v>
      </c>
      <c r="E2693" s="125"/>
      <c r="F2693" s="118" t="s">
        <v>3441</v>
      </c>
      <c r="G2693" s="126" t="str">
        <f t="shared" si="161"/>
        <v>AR-C20P-1</v>
      </c>
      <c r="H2693" s="253">
        <v>1</v>
      </c>
      <c r="J2693" s="299" t="s">
        <v>286</v>
      </c>
      <c r="K2693" s="299"/>
      <c r="L2693" s="84">
        <v>1</v>
      </c>
      <c r="M2693" s="76">
        <v>1</v>
      </c>
      <c r="Q2693" s="84">
        <v>1</v>
      </c>
      <c r="R2693" s="76">
        <v>1</v>
      </c>
    </row>
    <row r="2694" spans="2:18" s="83" customFormat="1" ht="15" hidden="1" customHeight="1" outlineLevel="2">
      <c r="B2694" s="119" t="s">
        <v>272</v>
      </c>
      <c r="C2694" s="266" t="s">
        <v>3928</v>
      </c>
      <c r="D2694" s="124" t="s">
        <v>3927</v>
      </c>
      <c r="E2694" s="125"/>
      <c r="F2694" s="118" t="s">
        <v>3441</v>
      </c>
      <c r="G2694" s="126" t="str">
        <f t="shared" si="161"/>
        <v>AR-C20P-1</v>
      </c>
      <c r="H2694" s="253">
        <v>1</v>
      </c>
      <c r="J2694" s="299" t="s">
        <v>286</v>
      </c>
      <c r="K2694" s="299"/>
      <c r="L2694" s="84">
        <v>1</v>
      </c>
      <c r="M2694" s="76">
        <v>1</v>
      </c>
      <c r="Q2694" s="84">
        <v>1</v>
      </c>
      <c r="R2694" s="76">
        <v>1</v>
      </c>
    </row>
    <row r="2695" spans="2:18" s="99" customFormat="1" ht="15" hidden="1" customHeight="1" outlineLevel="2">
      <c r="B2695" s="119" t="s">
        <v>272</v>
      </c>
      <c r="C2695" s="266" t="s">
        <v>3929</v>
      </c>
      <c r="D2695" s="124" t="s">
        <v>3930</v>
      </c>
      <c r="E2695" s="125"/>
      <c r="F2695" s="118" t="s">
        <v>3441</v>
      </c>
      <c r="G2695" s="126" t="str">
        <f t="shared" si="161"/>
        <v>AR-C20P-1</v>
      </c>
      <c r="H2695" s="253">
        <v>1</v>
      </c>
      <c r="J2695" s="299" t="s">
        <v>286</v>
      </c>
      <c r="K2695" s="299"/>
      <c r="L2695" s="84">
        <v>1</v>
      </c>
      <c r="M2695" s="76">
        <v>1</v>
      </c>
      <c r="Q2695" s="84">
        <v>1</v>
      </c>
      <c r="R2695" s="76">
        <v>1</v>
      </c>
    </row>
    <row r="2696" spans="2:18" s="83" customFormat="1" ht="15" hidden="1" customHeight="1" outlineLevel="2">
      <c r="B2696" s="119" t="s">
        <v>272</v>
      </c>
      <c r="C2696" s="266" t="s">
        <v>3931</v>
      </c>
      <c r="D2696" s="124" t="s">
        <v>3932</v>
      </c>
      <c r="E2696" s="125"/>
      <c r="F2696" s="118" t="s">
        <v>3441</v>
      </c>
      <c r="G2696" s="126" t="str">
        <f t="shared" si="161"/>
        <v>AR-C20P-1</v>
      </c>
      <c r="H2696" s="253">
        <v>1</v>
      </c>
      <c r="J2696" s="299" t="s">
        <v>286</v>
      </c>
      <c r="K2696" s="299"/>
      <c r="L2696" s="84">
        <v>1</v>
      </c>
      <c r="M2696" s="76">
        <v>1</v>
      </c>
      <c r="Q2696" s="84">
        <v>1</v>
      </c>
      <c r="R2696" s="76">
        <v>1</v>
      </c>
    </row>
    <row r="2697" spans="2:18" s="83" customFormat="1" ht="15" hidden="1" customHeight="1" outlineLevel="2">
      <c r="B2697" s="119" t="s">
        <v>272</v>
      </c>
      <c r="C2697" s="266" t="s">
        <v>3933</v>
      </c>
      <c r="D2697" s="124" t="s">
        <v>3932</v>
      </c>
      <c r="E2697" s="125"/>
      <c r="F2697" s="118" t="s">
        <v>3441</v>
      </c>
      <c r="G2697" s="126" t="str">
        <f t="shared" si="161"/>
        <v>AR-C20P-1</v>
      </c>
      <c r="H2697" s="253">
        <v>1</v>
      </c>
      <c r="J2697" s="299" t="s">
        <v>286</v>
      </c>
      <c r="K2697" s="299"/>
      <c r="L2697" s="84">
        <v>1</v>
      </c>
      <c r="M2697" s="76">
        <v>1</v>
      </c>
      <c r="Q2697" s="84">
        <v>1</v>
      </c>
      <c r="R2697" s="76">
        <v>1</v>
      </c>
    </row>
    <row r="2698" spans="2:18" s="83" customFormat="1" ht="15" hidden="1" customHeight="1" outlineLevel="2">
      <c r="B2698" s="119" t="s">
        <v>272</v>
      </c>
      <c r="C2698" s="266" t="s">
        <v>3934</v>
      </c>
      <c r="D2698" s="124" t="s">
        <v>3932</v>
      </c>
      <c r="E2698" s="125"/>
      <c r="F2698" s="118" t="s">
        <v>3441</v>
      </c>
      <c r="G2698" s="126" t="str">
        <f t="shared" si="161"/>
        <v>AR-C20P-1</v>
      </c>
      <c r="H2698" s="253">
        <v>1</v>
      </c>
      <c r="J2698" s="299" t="s">
        <v>286</v>
      </c>
      <c r="K2698" s="299"/>
      <c r="L2698" s="84">
        <v>1</v>
      </c>
      <c r="M2698" s="76">
        <v>1</v>
      </c>
      <c r="Q2698" s="84">
        <v>1</v>
      </c>
      <c r="R2698" s="76">
        <v>1</v>
      </c>
    </row>
    <row r="2699" spans="2:18" s="83" customFormat="1" ht="15" hidden="1" customHeight="1" outlineLevel="2">
      <c r="B2699" s="119" t="s">
        <v>272</v>
      </c>
      <c r="C2699" s="266" t="s">
        <v>3935</v>
      </c>
      <c r="D2699" s="124" t="s">
        <v>3936</v>
      </c>
      <c r="E2699" s="125"/>
      <c r="F2699" s="118" t="s">
        <v>3441</v>
      </c>
      <c r="G2699" s="126" t="str">
        <f t="shared" si="161"/>
        <v>AR-C20P-1</v>
      </c>
      <c r="H2699" s="253">
        <v>1</v>
      </c>
      <c r="J2699" s="299" t="s">
        <v>286</v>
      </c>
      <c r="K2699" s="299"/>
      <c r="L2699" s="84">
        <v>1</v>
      </c>
      <c r="M2699" s="76">
        <v>1</v>
      </c>
      <c r="Q2699" s="84">
        <v>1</v>
      </c>
      <c r="R2699" s="76">
        <v>1</v>
      </c>
    </row>
    <row r="2700" spans="2:18" s="83" customFormat="1" ht="15" hidden="1" customHeight="1" outlineLevel="2">
      <c r="B2700" s="119" t="s">
        <v>272</v>
      </c>
      <c r="C2700" s="266" t="s">
        <v>3937</v>
      </c>
      <c r="D2700" s="124" t="s">
        <v>3938</v>
      </c>
      <c r="E2700" s="125"/>
      <c r="F2700" s="118" t="s">
        <v>3441</v>
      </c>
      <c r="G2700" s="126" t="str">
        <f t="shared" si="161"/>
        <v>AR-C20P-1</v>
      </c>
      <c r="H2700" s="253">
        <v>1</v>
      </c>
      <c r="J2700" s="299" t="s">
        <v>286</v>
      </c>
      <c r="K2700" s="299"/>
      <c r="L2700" s="84">
        <v>1</v>
      </c>
      <c r="M2700" s="76">
        <v>1</v>
      </c>
      <c r="Q2700" s="84">
        <v>1</v>
      </c>
      <c r="R2700" s="76">
        <v>1</v>
      </c>
    </row>
    <row r="2701" spans="2:18" s="83" customFormat="1" ht="15" hidden="1" customHeight="1" outlineLevel="2">
      <c r="B2701" s="119" t="s">
        <v>272</v>
      </c>
      <c r="C2701" s="266" t="s">
        <v>3939</v>
      </c>
      <c r="D2701" s="124" t="s">
        <v>3940</v>
      </c>
      <c r="E2701" s="125"/>
      <c r="F2701" s="118" t="s">
        <v>3441</v>
      </c>
      <c r="G2701" s="126" t="str">
        <f t="shared" si="161"/>
        <v>AR-C20P-1</v>
      </c>
      <c r="H2701" s="253">
        <v>1</v>
      </c>
      <c r="J2701" s="299" t="s">
        <v>286</v>
      </c>
      <c r="K2701" s="299"/>
      <c r="L2701" s="84">
        <v>1</v>
      </c>
      <c r="M2701" s="76">
        <v>1</v>
      </c>
      <c r="Q2701" s="84">
        <v>1</v>
      </c>
      <c r="R2701" s="76">
        <v>1</v>
      </c>
    </row>
    <row r="2702" spans="2:18" s="83" customFormat="1" ht="15" hidden="1" customHeight="1" outlineLevel="2">
      <c r="B2702" s="119" t="s">
        <v>272</v>
      </c>
      <c r="C2702" s="266" t="s">
        <v>3941</v>
      </c>
      <c r="D2702" s="124" t="s">
        <v>3940</v>
      </c>
      <c r="E2702" s="125"/>
      <c r="F2702" s="118" t="s">
        <v>3441</v>
      </c>
      <c r="G2702" s="126" t="str">
        <f t="shared" si="161"/>
        <v>AR-C20P-1</v>
      </c>
      <c r="H2702" s="253">
        <v>1</v>
      </c>
      <c r="J2702" s="299" t="s">
        <v>286</v>
      </c>
      <c r="K2702" s="299"/>
      <c r="L2702" s="84">
        <v>1</v>
      </c>
      <c r="M2702" s="76">
        <v>1</v>
      </c>
      <c r="Q2702" s="84">
        <v>1</v>
      </c>
      <c r="R2702" s="76">
        <v>1</v>
      </c>
    </row>
    <row r="2703" spans="2:18" s="83" customFormat="1" ht="15" hidden="1" customHeight="1" outlineLevel="2">
      <c r="B2703" s="119" t="s">
        <v>272</v>
      </c>
      <c r="C2703" s="266" t="s">
        <v>3942</v>
      </c>
      <c r="D2703" s="124" t="s">
        <v>3940</v>
      </c>
      <c r="E2703" s="125"/>
      <c r="F2703" s="118" t="s">
        <v>3441</v>
      </c>
      <c r="G2703" s="126" t="str">
        <f t="shared" si="161"/>
        <v>AR-C20P-1</v>
      </c>
      <c r="H2703" s="253">
        <v>1</v>
      </c>
      <c r="J2703" s="299" t="s">
        <v>286</v>
      </c>
      <c r="K2703" s="299"/>
      <c r="L2703" s="84">
        <v>1</v>
      </c>
      <c r="M2703" s="76">
        <v>1</v>
      </c>
      <c r="Q2703" s="84">
        <v>1</v>
      </c>
      <c r="R2703" s="76">
        <v>1</v>
      </c>
    </row>
    <row r="2704" spans="2:18" s="83" customFormat="1" ht="15" hidden="1" customHeight="1" outlineLevel="2">
      <c r="B2704" s="119" t="s">
        <v>272</v>
      </c>
      <c r="C2704" s="266" t="s">
        <v>3943</v>
      </c>
      <c r="D2704" s="124" t="s">
        <v>3944</v>
      </c>
      <c r="E2704" s="125"/>
      <c r="F2704" s="118" t="s">
        <v>3441</v>
      </c>
      <c r="G2704" s="126" t="str">
        <f t="shared" si="161"/>
        <v>AR-C20P-1</v>
      </c>
      <c r="H2704" s="253">
        <v>1</v>
      </c>
      <c r="J2704" s="299" t="s">
        <v>286</v>
      </c>
      <c r="K2704" s="299"/>
      <c r="L2704" s="84">
        <v>1</v>
      </c>
      <c r="M2704" s="76">
        <v>1</v>
      </c>
      <c r="Q2704" s="84">
        <v>1</v>
      </c>
      <c r="R2704" s="76">
        <v>1</v>
      </c>
    </row>
    <row r="2705" spans="2:18" s="83" customFormat="1" ht="15" hidden="1" customHeight="1" outlineLevel="2">
      <c r="B2705" s="119" t="s">
        <v>272</v>
      </c>
      <c r="C2705" s="266" t="s">
        <v>3945</v>
      </c>
      <c r="D2705" s="124" t="s">
        <v>3944</v>
      </c>
      <c r="E2705" s="125"/>
      <c r="F2705" s="118" t="s">
        <v>3441</v>
      </c>
      <c r="G2705" s="126" t="str">
        <f t="shared" si="161"/>
        <v>AR-C20P-1</v>
      </c>
      <c r="H2705" s="253">
        <v>1</v>
      </c>
      <c r="J2705" s="299" t="s">
        <v>286</v>
      </c>
      <c r="K2705" s="299"/>
      <c r="L2705" s="84">
        <v>1</v>
      </c>
      <c r="M2705" s="76">
        <v>1</v>
      </c>
      <c r="Q2705" s="84">
        <v>1</v>
      </c>
      <c r="R2705" s="76">
        <v>1</v>
      </c>
    </row>
    <row r="2706" spans="2:18" s="83" customFormat="1" ht="15" hidden="1" customHeight="1" outlineLevel="2">
      <c r="B2706" s="119" t="s">
        <v>272</v>
      </c>
      <c r="C2706" s="266" t="s">
        <v>3946</v>
      </c>
      <c r="D2706" s="124" t="s">
        <v>3944</v>
      </c>
      <c r="E2706" s="125"/>
      <c r="F2706" s="118" t="s">
        <v>3441</v>
      </c>
      <c r="G2706" s="126" t="str">
        <f t="shared" si="161"/>
        <v>AR-C20P-1</v>
      </c>
      <c r="H2706" s="253">
        <v>1</v>
      </c>
      <c r="I2706" s="76"/>
      <c r="J2706" s="299" t="s">
        <v>286</v>
      </c>
      <c r="K2706" s="299"/>
      <c r="L2706" s="84">
        <v>1</v>
      </c>
      <c r="M2706" s="76">
        <v>1</v>
      </c>
      <c r="Q2706" s="84">
        <v>1</v>
      </c>
      <c r="R2706" s="76">
        <v>1</v>
      </c>
    </row>
    <row r="2707" spans="2:18" s="83" customFormat="1" ht="15" hidden="1" customHeight="1" outlineLevel="2">
      <c r="B2707" s="119" t="s">
        <v>272</v>
      </c>
      <c r="C2707" s="266" t="s">
        <v>3947</v>
      </c>
      <c r="D2707" s="124" t="s">
        <v>3925</v>
      </c>
      <c r="E2707" s="125"/>
      <c r="F2707" s="118" t="s">
        <v>3441</v>
      </c>
      <c r="G2707" s="126" t="str">
        <f t="shared" si="161"/>
        <v>AR-C20P-1</v>
      </c>
      <c r="H2707" s="253">
        <v>1</v>
      </c>
      <c r="I2707" s="76"/>
      <c r="J2707" s="299" t="s">
        <v>286</v>
      </c>
      <c r="K2707" s="299"/>
      <c r="L2707" s="84">
        <v>1</v>
      </c>
      <c r="M2707" s="76">
        <v>1</v>
      </c>
      <c r="Q2707" s="84">
        <v>1</v>
      </c>
      <c r="R2707" s="76">
        <v>1</v>
      </c>
    </row>
    <row r="2708" spans="2:18" s="83" customFormat="1" ht="15" hidden="1" customHeight="1" outlineLevel="2">
      <c r="B2708" s="119" t="s">
        <v>272</v>
      </c>
      <c r="C2708" s="266" t="s">
        <v>3948</v>
      </c>
      <c r="D2708" s="124" t="s">
        <v>3949</v>
      </c>
      <c r="E2708" s="125"/>
      <c r="F2708" s="118" t="s">
        <v>3441</v>
      </c>
      <c r="G2708" s="126" t="str">
        <f t="shared" si="161"/>
        <v>AR-C20P-1</v>
      </c>
      <c r="H2708" s="253">
        <v>1</v>
      </c>
      <c r="I2708" s="76"/>
      <c r="J2708" s="299" t="s">
        <v>286</v>
      </c>
      <c r="K2708" s="299"/>
      <c r="L2708" s="84">
        <v>1</v>
      </c>
      <c r="M2708" s="76">
        <v>1</v>
      </c>
      <c r="Q2708" s="84">
        <v>1</v>
      </c>
      <c r="R2708" s="76">
        <v>1</v>
      </c>
    </row>
    <row r="2709" spans="2:18" s="83" customFormat="1" ht="15" hidden="1" customHeight="1" outlineLevel="2">
      <c r="B2709" s="119" t="s">
        <v>272</v>
      </c>
      <c r="C2709" s="266" t="s">
        <v>3950</v>
      </c>
      <c r="D2709" s="124" t="s">
        <v>3951</v>
      </c>
      <c r="E2709" s="125"/>
      <c r="F2709" s="118" t="s">
        <v>3441</v>
      </c>
      <c r="G2709" s="126" t="str">
        <f t="shared" si="161"/>
        <v>AR-C20P-1</v>
      </c>
      <c r="H2709" s="253">
        <v>1</v>
      </c>
      <c r="I2709" s="76"/>
      <c r="J2709" s="299" t="s">
        <v>286</v>
      </c>
      <c r="K2709" s="299"/>
      <c r="L2709" s="84">
        <v>1</v>
      </c>
      <c r="M2709" s="76">
        <v>1</v>
      </c>
      <c r="Q2709" s="84">
        <v>1</v>
      </c>
      <c r="R2709" s="76">
        <v>1</v>
      </c>
    </row>
    <row r="2710" spans="2:18" s="83" customFormat="1" ht="3.6" hidden="1" customHeight="1" outlineLevel="1">
      <c r="B2710" s="119"/>
      <c r="C2710" s="266"/>
      <c r="D2710" s="124"/>
      <c r="E2710" s="125"/>
      <c r="F2710" s="118"/>
      <c r="G2710" s="126"/>
      <c r="H2710" s="253"/>
      <c r="J2710" s="299"/>
      <c r="K2710" s="299"/>
      <c r="L2710" s="84"/>
      <c r="M2710" s="76"/>
      <c r="Q2710" s="86"/>
    </row>
    <row r="2711" spans="2:18" s="91" customFormat="1" ht="15" hidden="1" customHeight="1" outlineLevel="1">
      <c r="B2711" s="135" t="s">
        <v>3952</v>
      </c>
      <c r="C2711" s="266"/>
      <c r="D2711" s="124"/>
      <c r="E2711" s="125"/>
      <c r="F2711" s="118"/>
      <c r="G2711" s="126"/>
      <c r="H2711" s="253"/>
      <c r="I2711" s="89"/>
      <c r="J2711" s="304"/>
      <c r="K2711" s="304"/>
      <c r="L2711" s="90"/>
      <c r="M2711" s="76"/>
      <c r="Q2711" s="287"/>
    </row>
    <row r="2712" spans="2:18" s="83" customFormat="1" ht="15" hidden="1" customHeight="1" outlineLevel="2">
      <c r="B2712" s="119" t="s">
        <v>272</v>
      </c>
      <c r="C2712" s="266" t="s">
        <v>3953</v>
      </c>
      <c r="D2712" s="124" t="s">
        <v>3954</v>
      </c>
      <c r="E2712" s="125"/>
      <c r="F2712" s="118" t="s">
        <v>3955</v>
      </c>
      <c r="G2712" s="126" t="str">
        <f t="shared" ref="G2712:G2717" si="162">CONCATENATE("AR-",F2712,"-",H2712)</f>
        <v>AR-L30P-1</v>
      </c>
      <c r="H2712" s="253">
        <v>1</v>
      </c>
      <c r="J2712" s="299" t="s">
        <v>286</v>
      </c>
      <c r="K2712" s="299"/>
      <c r="L2712" s="84">
        <v>1</v>
      </c>
      <c r="M2712" s="76">
        <v>1</v>
      </c>
      <c r="Q2712" s="84">
        <v>1</v>
      </c>
      <c r="R2712" s="76">
        <v>1</v>
      </c>
    </row>
    <row r="2713" spans="2:18" s="83" customFormat="1" ht="15" hidden="1" customHeight="1" outlineLevel="2">
      <c r="B2713" s="119" t="s">
        <v>272</v>
      </c>
      <c r="C2713" s="266" t="s">
        <v>3956</v>
      </c>
      <c r="D2713" s="124" t="s">
        <v>3957</v>
      </c>
      <c r="E2713" s="125"/>
      <c r="F2713" s="118" t="s">
        <v>3955</v>
      </c>
      <c r="G2713" s="126" t="str">
        <f t="shared" si="162"/>
        <v>AR-L30P-1</v>
      </c>
      <c r="H2713" s="253">
        <v>1</v>
      </c>
      <c r="J2713" s="299" t="s">
        <v>286</v>
      </c>
      <c r="K2713" s="299"/>
      <c r="L2713" s="84">
        <v>1</v>
      </c>
      <c r="M2713" s="76">
        <v>1</v>
      </c>
      <c r="Q2713" s="84">
        <v>1</v>
      </c>
      <c r="R2713" s="76">
        <v>1</v>
      </c>
    </row>
    <row r="2714" spans="2:18" s="83" customFormat="1" ht="15" hidden="1" customHeight="1" outlineLevel="2">
      <c r="B2714" s="119" t="s">
        <v>272</v>
      </c>
      <c r="C2714" s="266" t="s">
        <v>3958</v>
      </c>
      <c r="D2714" s="124" t="s">
        <v>3959</v>
      </c>
      <c r="E2714" s="125"/>
      <c r="F2714" s="118" t="s">
        <v>3955</v>
      </c>
      <c r="G2714" s="126" t="str">
        <f t="shared" si="162"/>
        <v>AR-L30P-1</v>
      </c>
      <c r="H2714" s="253">
        <v>1</v>
      </c>
      <c r="J2714" s="299" t="s">
        <v>286</v>
      </c>
      <c r="K2714" s="299"/>
      <c r="L2714" s="84">
        <v>1</v>
      </c>
      <c r="M2714" s="76">
        <v>1</v>
      </c>
      <c r="Q2714" s="84">
        <v>1</v>
      </c>
      <c r="R2714" s="76">
        <v>1</v>
      </c>
    </row>
    <row r="2715" spans="2:18" s="83" customFormat="1" ht="15" hidden="1" customHeight="1" outlineLevel="2">
      <c r="B2715" s="119" t="s">
        <v>272</v>
      </c>
      <c r="C2715" s="266" t="s">
        <v>3960</v>
      </c>
      <c r="D2715" s="124" t="s">
        <v>3961</v>
      </c>
      <c r="E2715" s="125"/>
      <c r="F2715" s="118" t="s">
        <v>3955</v>
      </c>
      <c r="G2715" s="126" t="str">
        <f t="shared" si="162"/>
        <v>AR-L30P-1</v>
      </c>
      <c r="H2715" s="253">
        <v>1</v>
      </c>
      <c r="J2715" s="299" t="s">
        <v>286</v>
      </c>
      <c r="K2715" s="299"/>
      <c r="L2715" s="84">
        <v>1</v>
      </c>
      <c r="M2715" s="76">
        <v>1</v>
      </c>
      <c r="Q2715" s="84">
        <v>1</v>
      </c>
      <c r="R2715" s="76">
        <v>1</v>
      </c>
    </row>
    <row r="2716" spans="2:18" s="83" customFormat="1" ht="15" hidden="1" customHeight="1" outlineLevel="2">
      <c r="B2716" s="119" t="s">
        <v>272</v>
      </c>
      <c r="C2716" s="266" t="s">
        <v>3962</v>
      </c>
      <c r="D2716" s="124" t="s">
        <v>1434</v>
      </c>
      <c r="E2716" s="125"/>
      <c r="F2716" s="118" t="s">
        <v>3955</v>
      </c>
      <c r="G2716" s="126" t="str">
        <f t="shared" si="162"/>
        <v>AR-L30P-1</v>
      </c>
      <c r="H2716" s="253">
        <v>1</v>
      </c>
      <c r="J2716" s="299" t="s">
        <v>286</v>
      </c>
      <c r="K2716" s="299"/>
      <c r="L2716" s="84">
        <v>1</v>
      </c>
      <c r="M2716" s="76">
        <v>1</v>
      </c>
      <c r="Q2716" s="84">
        <v>1</v>
      </c>
      <c r="R2716" s="76">
        <v>1</v>
      </c>
    </row>
    <row r="2717" spans="2:18" s="83" customFormat="1" ht="15" hidden="1" customHeight="1" outlineLevel="2">
      <c r="B2717" s="119" t="s">
        <v>272</v>
      </c>
      <c r="C2717" s="266" t="s">
        <v>3963</v>
      </c>
      <c r="D2717" s="124" t="s">
        <v>3964</v>
      </c>
      <c r="E2717" s="125"/>
      <c r="F2717" s="118" t="s">
        <v>3955</v>
      </c>
      <c r="G2717" s="126" t="str">
        <f t="shared" si="162"/>
        <v>AR-L30P-1</v>
      </c>
      <c r="H2717" s="253">
        <v>1</v>
      </c>
      <c r="J2717" s="299" t="s">
        <v>286</v>
      </c>
      <c r="K2717" s="299"/>
      <c r="L2717" s="84">
        <v>1</v>
      </c>
      <c r="M2717" s="76">
        <v>1</v>
      </c>
      <c r="Q2717" s="84">
        <v>1</v>
      </c>
      <c r="R2717" s="76">
        <v>1</v>
      </c>
    </row>
    <row r="2718" spans="2:18" s="83" customFormat="1" ht="15" hidden="1" customHeight="1" outlineLevel="2">
      <c r="B2718" s="119" t="s">
        <v>272</v>
      </c>
      <c r="C2718" s="266" t="s">
        <v>3965</v>
      </c>
      <c r="D2718" s="124" t="s">
        <v>3966</v>
      </c>
      <c r="E2718" s="125"/>
      <c r="F2718" s="118" t="s">
        <v>3955</v>
      </c>
      <c r="G2718" s="126" t="str">
        <f t="shared" ref="G2718:G2758" si="163">CONCATENATE("AR-",F2718,"-",H2718)</f>
        <v>AR-L30P-1</v>
      </c>
      <c r="H2718" s="253">
        <v>1</v>
      </c>
      <c r="J2718" s="299" t="s">
        <v>286</v>
      </c>
      <c r="K2718" s="299"/>
      <c r="L2718" s="84">
        <v>1</v>
      </c>
      <c r="M2718" s="76">
        <v>1</v>
      </c>
      <c r="Q2718" s="84">
        <v>1</v>
      </c>
      <c r="R2718" s="76">
        <v>1</v>
      </c>
    </row>
    <row r="2719" spans="2:18" s="83" customFormat="1" ht="15" hidden="1" customHeight="1" outlineLevel="2">
      <c r="B2719" s="119" t="s">
        <v>272</v>
      </c>
      <c r="C2719" s="266" t="s">
        <v>3967</v>
      </c>
      <c r="D2719" s="124" t="s">
        <v>3968</v>
      </c>
      <c r="E2719" s="125"/>
      <c r="F2719" s="118" t="s">
        <v>3955</v>
      </c>
      <c r="G2719" s="126" t="str">
        <f t="shared" si="163"/>
        <v>AR-L30P-1</v>
      </c>
      <c r="H2719" s="253">
        <v>1</v>
      </c>
      <c r="J2719" s="299" t="s">
        <v>286</v>
      </c>
      <c r="K2719" s="299"/>
      <c r="L2719" s="84">
        <v>1</v>
      </c>
      <c r="M2719" s="76">
        <v>1</v>
      </c>
      <c r="Q2719" s="84">
        <v>1</v>
      </c>
      <c r="R2719" s="76">
        <v>1</v>
      </c>
    </row>
    <row r="2720" spans="2:18" s="100" customFormat="1" ht="15" hidden="1" customHeight="1" outlineLevel="2">
      <c r="B2720" s="119" t="s">
        <v>272</v>
      </c>
      <c r="C2720" s="266" t="s">
        <v>3969</v>
      </c>
      <c r="D2720" s="124" t="s">
        <v>3970</v>
      </c>
      <c r="E2720" s="125"/>
      <c r="F2720" s="118" t="s">
        <v>3955</v>
      </c>
      <c r="G2720" s="126" t="str">
        <f t="shared" si="163"/>
        <v>AR-L30P-1</v>
      </c>
      <c r="H2720" s="253">
        <v>1</v>
      </c>
      <c r="J2720" s="299" t="s">
        <v>286</v>
      </c>
      <c r="K2720" s="299"/>
      <c r="L2720" s="84">
        <v>1</v>
      </c>
      <c r="M2720" s="76">
        <v>1</v>
      </c>
      <c r="Q2720" s="84">
        <v>1</v>
      </c>
      <c r="R2720" s="76">
        <v>1</v>
      </c>
    </row>
    <row r="2721" spans="2:18" s="83" customFormat="1" ht="15" hidden="1" customHeight="1" outlineLevel="2">
      <c r="B2721" s="119" t="s">
        <v>272</v>
      </c>
      <c r="C2721" s="266" t="s">
        <v>3971</v>
      </c>
      <c r="D2721" s="124" t="s">
        <v>3972</v>
      </c>
      <c r="E2721" s="125"/>
      <c r="F2721" s="118" t="s">
        <v>3955</v>
      </c>
      <c r="G2721" s="126" t="str">
        <f t="shared" si="163"/>
        <v>AR-L30P-1</v>
      </c>
      <c r="H2721" s="253">
        <v>1</v>
      </c>
      <c r="J2721" s="299" t="s">
        <v>286</v>
      </c>
      <c r="K2721" s="299"/>
      <c r="L2721" s="84">
        <v>1</v>
      </c>
      <c r="M2721" s="76">
        <v>1</v>
      </c>
      <c r="Q2721" s="84">
        <v>1</v>
      </c>
      <c r="R2721" s="76">
        <v>1</v>
      </c>
    </row>
    <row r="2722" spans="2:18" s="83" customFormat="1" ht="15" hidden="1" customHeight="1" outlineLevel="2">
      <c r="B2722" s="119" t="s">
        <v>272</v>
      </c>
      <c r="C2722" s="266" t="s">
        <v>3973</v>
      </c>
      <c r="D2722" s="124" t="s">
        <v>3974</v>
      </c>
      <c r="E2722" s="125"/>
      <c r="F2722" s="118" t="s">
        <v>3955</v>
      </c>
      <c r="G2722" s="126" t="str">
        <f t="shared" si="163"/>
        <v>AR-L30P-1</v>
      </c>
      <c r="H2722" s="253">
        <v>1</v>
      </c>
      <c r="J2722" s="299" t="s">
        <v>286</v>
      </c>
      <c r="K2722" s="299"/>
      <c r="L2722" s="84">
        <v>1</v>
      </c>
      <c r="M2722" s="76">
        <v>1</v>
      </c>
      <c r="Q2722" s="84">
        <v>1</v>
      </c>
      <c r="R2722" s="76">
        <v>1</v>
      </c>
    </row>
    <row r="2723" spans="2:18" s="83" customFormat="1" ht="15" hidden="1" customHeight="1" outlineLevel="2">
      <c r="B2723" s="119" t="s">
        <v>272</v>
      </c>
      <c r="C2723" s="266" t="s">
        <v>3975</v>
      </c>
      <c r="D2723" s="124" t="s">
        <v>3976</v>
      </c>
      <c r="E2723" s="125"/>
      <c r="F2723" s="118" t="s">
        <v>3955</v>
      </c>
      <c r="G2723" s="126" t="str">
        <f t="shared" si="163"/>
        <v>AR-L30P-1</v>
      </c>
      <c r="H2723" s="253">
        <v>1</v>
      </c>
      <c r="J2723" s="299" t="s">
        <v>286</v>
      </c>
      <c r="K2723" s="299"/>
      <c r="L2723" s="84">
        <v>1</v>
      </c>
      <c r="M2723" s="76">
        <v>1</v>
      </c>
      <c r="Q2723" s="84">
        <v>1</v>
      </c>
      <c r="R2723" s="76">
        <v>1</v>
      </c>
    </row>
    <row r="2724" spans="2:18" s="83" customFormat="1" ht="15" hidden="1" customHeight="1" outlineLevel="2">
      <c r="B2724" s="119" t="s">
        <v>272</v>
      </c>
      <c r="C2724" s="266" t="s">
        <v>3977</v>
      </c>
      <c r="D2724" s="124" t="s">
        <v>3978</v>
      </c>
      <c r="E2724" s="125"/>
      <c r="F2724" s="118" t="s">
        <v>3955</v>
      </c>
      <c r="G2724" s="126" t="str">
        <f t="shared" si="163"/>
        <v>AR-L30P-1</v>
      </c>
      <c r="H2724" s="253">
        <v>1</v>
      </c>
      <c r="J2724" s="299" t="s">
        <v>286</v>
      </c>
      <c r="K2724" s="299"/>
      <c r="L2724" s="84">
        <v>1</v>
      </c>
      <c r="M2724" s="76">
        <v>1</v>
      </c>
      <c r="Q2724" s="84">
        <v>1</v>
      </c>
      <c r="R2724" s="76">
        <v>1</v>
      </c>
    </row>
    <row r="2725" spans="2:18" s="83" customFormat="1" ht="15" hidden="1" customHeight="1" outlineLevel="2">
      <c r="B2725" s="119" t="s">
        <v>272</v>
      </c>
      <c r="C2725" s="266" t="s">
        <v>3979</v>
      </c>
      <c r="D2725" s="124" t="s">
        <v>3980</v>
      </c>
      <c r="E2725" s="125"/>
      <c r="F2725" s="118" t="s">
        <v>3955</v>
      </c>
      <c r="G2725" s="126" t="str">
        <f t="shared" si="163"/>
        <v>AR-L30P-1</v>
      </c>
      <c r="H2725" s="253">
        <v>1</v>
      </c>
      <c r="J2725" s="299" t="s">
        <v>286</v>
      </c>
      <c r="K2725" s="299"/>
      <c r="L2725" s="84">
        <v>1</v>
      </c>
      <c r="M2725" s="76">
        <v>1</v>
      </c>
      <c r="Q2725" s="84">
        <v>1</v>
      </c>
      <c r="R2725" s="76">
        <v>1</v>
      </c>
    </row>
    <row r="2726" spans="2:18" s="83" customFormat="1" ht="15" hidden="1" customHeight="1" outlineLevel="2">
      <c r="B2726" s="119" t="s">
        <v>272</v>
      </c>
      <c r="C2726" s="266" t="s">
        <v>3981</v>
      </c>
      <c r="D2726" s="124" t="s">
        <v>3982</v>
      </c>
      <c r="E2726" s="125"/>
      <c r="F2726" s="118" t="s">
        <v>3955</v>
      </c>
      <c r="G2726" s="126" t="str">
        <f t="shared" si="163"/>
        <v>AR-L30P-1</v>
      </c>
      <c r="H2726" s="253">
        <v>1</v>
      </c>
      <c r="J2726" s="299" t="s">
        <v>286</v>
      </c>
      <c r="K2726" s="299"/>
      <c r="L2726" s="84">
        <v>1</v>
      </c>
      <c r="M2726" s="76">
        <v>1</v>
      </c>
      <c r="Q2726" s="84">
        <v>1</v>
      </c>
      <c r="R2726" s="76">
        <v>1</v>
      </c>
    </row>
    <row r="2727" spans="2:18" s="83" customFormat="1" ht="15" hidden="1" customHeight="1" outlineLevel="2">
      <c r="B2727" s="119" t="s">
        <v>272</v>
      </c>
      <c r="C2727" s="266" t="s">
        <v>3983</v>
      </c>
      <c r="D2727" s="124" t="s">
        <v>3984</v>
      </c>
      <c r="E2727" s="125"/>
      <c r="F2727" s="118" t="s">
        <v>3955</v>
      </c>
      <c r="G2727" s="126" t="str">
        <f t="shared" si="163"/>
        <v>AR-L30P-1</v>
      </c>
      <c r="H2727" s="253">
        <v>1</v>
      </c>
      <c r="J2727" s="299" t="s">
        <v>286</v>
      </c>
      <c r="K2727" s="299"/>
      <c r="L2727" s="84">
        <v>1</v>
      </c>
      <c r="M2727" s="76">
        <v>1</v>
      </c>
      <c r="Q2727" s="84">
        <v>1</v>
      </c>
      <c r="R2727" s="76">
        <v>1</v>
      </c>
    </row>
    <row r="2728" spans="2:18" s="83" customFormat="1" ht="15" hidden="1" customHeight="1" outlineLevel="2">
      <c r="B2728" s="119" t="s">
        <v>272</v>
      </c>
      <c r="C2728" s="266" t="s">
        <v>3985</v>
      </c>
      <c r="D2728" s="124" t="s">
        <v>3986</v>
      </c>
      <c r="E2728" s="125"/>
      <c r="F2728" s="118" t="s">
        <v>3955</v>
      </c>
      <c r="G2728" s="126" t="str">
        <f t="shared" si="163"/>
        <v>AR-L30P-1</v>
      </c>
      <c r="H2728" s="253">
        <v>1</v>
      </c>
      <c r="J2728" s="299" t="s">
        <v>286</v>
      </c>
      <c r="K2728" s="299"/>
      <c r="L2728" s="84">
        <v>1</v>
      </c>
      <c r="M2728" s="76">
        <v>1</v>
      </c>
      <c r="Q2728" s="84">
        <v>1</v>
      </c>
      <c r="R2728" s="76">
        <v>1</v>
      </c>
    </row>
    <row r="2729" spans="2:18" s="83" customFormat="1" ht="15" hidden="1" customHeight="1" outlineLevel="2">
      <c r="B2729" s="119" t="s">
        <v>272</v>
      </c>
      <c r="C2729" s="266" t="s">
        <v>3987</v>
      </c>
      <c r="D2729" s="124" t="s">
        <v>3988</v>
      </c>
      <c r="E2729" s="125"/>
      <c r="F2729" s="118" t="s">
        <v>3955</v>
      </c>
      <c r="G2729" s="126" t="str">
        <f t="shared" si="163"/>
        <v>AR-L30P-1</v>
      </c>
      <c r="H2729" s="253">
        <v>1</v>
      </c>
      <c r="J2729" s="299" t="s">
        <v>286</v>
      </c>
      <c r="K2729" s="299"/>
      <c r="L2729" s="84">
        <v>1</v>
      </c>
      <c r="M2729" s="76">
        <v>1</v>
      </c>
      <c r="Q2729" s="84">
        <v>1</v>
      </c>
      <c r="R2729" s="76">
        <v>1</v>
      </c>
    </row>
    <row r="2730" spans="2:18" s="83" customFormat="1" ht="15" hidden="1" customHeight="1" outlineLevel="2">
      <c r="B2730" s="119" t="s">
        <v>272</v>
      </c>
      <c r="C2730" s="266" t="s">
        <v>3989</v>
      </c>
      <c r="D2730" s="124" t="s">
        <v>3990</v>
      </c>
      <c r="E2730" s="125"/>
      <c r="F2730" s="118" t="s">
        <v>3955</v>
      </c>
      <c r="G2730" s="126" t="str">
        <f t="shared" si="163"/>
        <v>AR-L30P-1</v>
      </c>
      <c r="H2730" s="253">
        <v>1</v>
      </c>
      <c r="J2730" s="299" t="s">
        <v>286</v>
      </c>
      <c r="K2730" s="299"/>
      <c r="L2730" s="84">
        <v>1</v>
      </c>
      <c r="M2730" s="76">
        <v>1</v>
      </c>
      <c r="Q2730" s="84">
        <v>1</v>
      </c>
      <c r="R2730" s="76">
        <v>1</v>
      </c>
    </row>
    <row r="2731" spans="2:18" s="83" customFormat="1" ht="15" hidden="1" customHeight="1" outlineLevel="2">
      <c r="B2731" s="119" t="s">
        <v>272</v>
      </c>
      <c r="C2731" s="266" t="s">
        <v>3991</v>
      </c>
      <c r="D2731" s="124" t="s">
        <v>3992</v>
      </c>
      <c r="E2731" s="125"/>
      <c r="F2731" s="118" t="s">
        <v>3955</v>
      </c>
      <c r="G2731" s="126" t="str">
        <f t="shared" si="163"/>
        <v>AR-L30P-1</v>
      </c>
      <c r="H2731" s="253">
        <v>1</v>
      </c>
      <c r="J2731" s="299" t="s">
        <v>286</v>
      </c>
      <c r="K2731" s="299"/>
      <c r="L2731" s="84">
        <v>1</v>
      </c>
      <c r="M2731" s="76">
        <v>1</v>
      </c>
      <c r="Q2731" s="84">
        <v>1</v>
      </c>
      <c r="R2731" s="76">
        <v>1</v>
      </c>
    </row>
    <row r="2732" spans="2:18" s="83" customFormat="1" ht="15" hidden="1" customHeight="1" outlineLevel="2">
      <c r="B2732" s="119" t="s">
        <v>272</v>
      </c>
      <c r="C2732" s="266" t="s">
        <v>3993</v>
      </c>
      <c r="D2732" s="124" t="s">
        <v>3992</v>
      </c>
      <c r="E2732" s="125"/>
      <c r="F2732" s="118" t="s">
        <v>3955</v>
      </c>
      <c r="G2732" s="126" t="str">
        <f t="shared" si="163"/>
        <v>AR-L30P-1</v>
      </c>
      <c r="H2732" s="253">
        <v>1</v>
      </c>
      <c r="J2732" s="299" t="s">
        <v>286</v>
      </c>
      <c r="K2732" s="299"/>
      <c r="L2732" s="84">
        <v>1</v>
      </c>
      <c r="M2732" s="76">
        <v>1</v>
      </c>
      <c r="Q2732" s="84">
        <v>1</v>
      </c>
      <c r="R2732" s="76">
        <v>1</v>
      </c>
    </row>
    <row r="2733" spans="2:18" s="83" customFormat="1" ht="15" hidden="1" customHeight="1" outlineLevel="2">
      <c r="B2733" s="119" t="s">
        <v>272</v>
      </c>
      <c r="C2733" s="266" t="s">
        <v>3994</v>
      </c>
      <c r="D2733" s="124" t="s">
        <v>3995</v>
      </c>
      <c r="E2733" s="125"/>
      <c r="F2733" s="118" t="s">
        <v>3955</v>
      </c>
      <c r="G2733" s="126" t="str">
        <f t="shared" si="163"/>
        <v>AR-L30P-1</v>
      </c>
      <c r="H2733" s="253">
        <v>1</v>
      </c>
      <c r="J2733" s="299" t="s">
        <v>286</v>
      </c>
      <c r="K2733" s="299"/>
      <c r="L2733" s="84">
        <v>1</v>
      </c>
      <c r="M2733" s="76">
        <v>1</v>
      </c>
      <c r="Q2733" s="84">
        <v>1</v>
      </c>
      <c r="R2733" s="76">
        <v>1</v>
      </c>
    </row>
    <row r="2734" spans="2:18" s="83" customFormat="1" ht="15" hidden="1" customHeight="1" outlineLevel="2">
      <c r="B2734" s="119" t="s">
        <v>272</v>
      </c>
      <c r="C2734" s="266" t="s">
        <v>3996</v>
      </c>
      <c r="D2734" s="124" t="s">
        <v>3995</v>
      </c>
      <c r="E2734" s="125"/>
      <c r="F2734" s="118" t="s">
        <v>3955</v>
      </c>
      <c r="G2734" s="126" t="str">
        <f t="shared" si="163"/>
        <v>AR-L30P-1</v>
      </c>
      <c r="H2734" s="253">
        <v>1</v>
      </c>
      <c r="J2734" s="299" t="s">
        <v>286</v>
      </c>
      <c r="K2734" s="299"/>
      <c r="L2734" s="84">
        <v>1</v>
      </c>
      <c r="M2734" s="76">
        <v>1</v>
      </c>
      <c r="Q2734" s="84">
        <v>1</v>
      </c>
      <c r="R2734" s="76">
        <v>1</v>
      </c>
    </row>
    <row r="2735" spans="2:18" s="99" customFormat="1" ht="15" hidden="1" customHeight="1" outlineLevel="2">
      <c r="B2735" s="119" t="s">
        <v>272</v>
      </c>
      <c r="C2735" s="266" t="s">
        <v>3997</v>
      </c>
      <c r="D2735" s="124" t="s">
        <v>3513</v>
      </c>
      <c r="E2735" s="125"/>
      <c r="F2735" s="118" t="s">
        <v>3955</v>
      </c>
      <c r="G2735" s="126" t="str">
        <f t="shared" si="163"/>
        <v>AR-L30P-1</v>
      </c>
      <c r="H2735" s="253">
        <v>1</v>
      </c>
      <c r="J2735" s="299" t="s">
        <v>286</v>
      </c>
      <c r="K2735" s="299"/>
      <c r="L2735" s="84">
        <v>1</v>
      </c>
      <c r="M2735" s="76">
        <v>1</v>
      </c>
      <c r="Q2735" s="84">
        <v>1</v>
      </c>
      <c r="R2735" s="76">
        <v>1</v>
      </c>
    </row>
    <row r="2736" spans="2:18" s="83" customFormat="1" ht="15" hidden="1" customHeight="1" outlineLevel="2">
      <c r="B2736" s="119" t="s">
        <v>272</v>
      </c>
      <c r="C2736" s="266" t="s">
        <v>3998</v>
      </c>
      <c r="D2736" s="124" t="s">
        <v>3513</v>
      </c>
      <c r="E2736" s="125"/>
      <c r="F2736" s="118" t="s">
        <v>3955</v>
      </c>
      <c r="G2736" s="126" t="str">
        <f t="shared" si="163"/>
        <v>AR-L30P-1</v>
      </c>
      <c r="H2736" s="253">
        <v>1</v>
      </c>
      <c r="J2736" s="299" t="s">
        <v>286</v>
      </c>
      <c r="K2736" s="299"/>
      <c r="L2736" s="84">
        <v>1</v>
      </c>
      <c r="M2736" s="76">
        <v>1</v>
      </c>
      <c r="Q2736" s="84">
        <v>1</v>
      </c>
      <c r="R2736" s="76">
        <v>1</v>
      </c>
    </row>
    <row r="2737" spans="2:18" s="83" customFormat="1" ht="15" hidden="1" customHeight="1" outlineLevel="2">
      <c r="B2737" s="119" t="s">
        <v>272</v>
      </c>
      <c r="C2737" s="266" t="s">
        <v>3999</v>
      </c>
      <c r="D2737" s="124" t="s">
        <v>3513</v>
      </c>
      <c r="E2737" s="125"/>
      <c r="F2737" s="118" t="s">
        <v>3955</v>
      </c>
      <c r="G2737" s="126" t="str">
        <f t="shared" si="163"/>
        <v>AR-L30P-1</v>
      </c>
      <c r="H2737" s="253">
        <v>1</v>
      </c>
      <c r="J2737" s="299" t="s">
        <v>286</v>
      </c>
      <c r="K2737" s="299"/>
      <c r="L2737" s="84">
        <v>1</v>
      </c>
      <c r="M2737" s="76">
        <v>1</v>
      </c>
      <c r="Q2737" s="84">
        <v>1</v>
      </c>
      <c r="R2737" s="76">
        <v>1</v>
      </c>
    </row>
    <row r="2738" spans="2:18" s="83" customFormat="1" ht="15" hidden="1" customHeight="1" outlineLevel="2">
      <c r="B2738" s="119" t="s">
        <v>272</v>
      </c>
      <c r="C2738" s="266" t="s">
        <v>4000</v>
      </c>
      <c r="D2738" s="124" t="s">
        <v>3513</v>
      </c>
      <c r="E2738" s="125"/>
      <c r="F2738" s="118" t="s">
        <v>3955</v>
      </c>
      <c r="G2738" s="126" t="str">
        <f t="shared" si="163"/>
        <v>AR-L30P-1</v>
      </c>
      <c r="H2738" s="253">
        <v>1</v>
      </c>
      <c r="J2738" s="299" t="s">
        <v>286</v>
      </c>
      <c r="K2738" s="299"/>
      <c r="L2738" s="84">
        <v>1</v>
      </c>
      <c r="M2738" s="76">
        <v>1</v>
      </c>
      <c r="Q2738" s="84">
        <v>1</v>
      </c>
      <c r="R2738" s="76">
        <v>1</v>
      </c>
    </row>
    <row r="2739" spans="2:18" s="83" customFormat="1" ht="15" hidden="1" customHeight="1" outlineLevel="2">
      <c r="B2739" s="119" t="s">
        <v>272</v>
      </c>
      <c r="C2739" s="266" t="s">
        <v>4001</v>
      </c>
      <c r="D2739" s="124" t="s">
        <v>4002</v>
      </c>
      <c r="E2739" s="125"/>
      <c r="F2739" s="118" t="s">
        <v>3955</v>
      </c>
      <c r="G2739" s="126" t="str">
        <f t="shared" si="163"/>
        <v>AR-L30P-1</v>
      </c>
      <c r="H2739" s="253">
        <v>1</v>
      </c>
      <c r="J2739" s="299" t="s">
        <v>286</v>
      </c>
      <c r="K2739" s="299"/>
      <c r="L2739" s="84">
        <v>1</v>
      </c>
      <c r="M2739" s="76">
        <v>1</v>
      </c>
      <c r="Q2739" s="84">
        <v>1</v>
      </c>
      <c r="R2739" s="76">
        <v>1</v>
      </c>
    </row>
    <row r="2740" spans="2:18" s="83" customFormat="1" ht="15" hidden="1" customHeight="1" outlineLevel="2">
      <c r="B2740" s="119" t="s">
        <v>272</v>
      </c>
      <c r="C2740" s="266" t="s">
        <v>4003</v>
      </c>
      <c r="D2740" s="124" t="s">
        <v>4004</v>
      </c>
      <c r="E2740" s="125"/>
      <c r="F2740" s="118" t="s">
        <v>3955</v>
      </c>
      <c r="G2740" s="126" t="str">
        <f t="shared" si="163"/>
        <v>AR-L30P-1</v>
      </c>
      <c r="H2740" s="253">
        <v>1</v>
      </c>
      <c r="J2740" s="299" t="s">
        <v>286</v>
      </c>
      <c r="K2740" s="299"/>
      <c r="L2740" s="84">
        <v>1</v>
      </c>
      <c r="M2740" s="76">
        <v>1</v>
      </c>
      <c r="Q2740" s="84">
        <v>1</v>
      </c>
      <c r="R2740" s="76">
        <v>1</v>
      </c>
    </row>
    <row r="2741" spans="2:18" s="83" customFormat="1" ht="15" hidden="1" customHeight="1" outlineLevel="2">
      <c r="B2741" s="119" t="s">
        <v>272</v>
      </c>
      <c r="C2741" s="266" t="s">
        <v>4005</v>
      </c>
      <c r="D2741" s="124" t="s">
        <v>4006</v>
      </c>
      <c r="E2741" s="125"/>
      <c r="F2741" s="118" t="s">
        <v>3955</v>
      </c>
      <c r="G2741" s="126" t="str">
        <f t="shared" si="163"/>
        <v>AR-L30P-1</v>
      </c>
      <c r="H2741" s="253">
        <v>1</v>
      </c>
      <c r="J2741" s="299" t="s">
        <v>286</v>
      </c>
      <c r="K2741" s="299"/>
      <c r="L2741" s="84">
        <v>1</v>
      </c>
      <c r="M2741" s="76">
        <v>1</v>
      </c>
      <c r="Q2741" s="84">
        <v>1</v>
      </c>
      <c r="R2741" s="76">
        <v>1</v>
      </c>
    </row>
    <row r="2742" spans="2:18" s="83" customFormat="1" ht="15" hidden="1" customHeight="1" outlineLevel="2">
      <c r="B2742" s="119" t="s">
        <v>272</v>
      </c>
      <c r="C2742" s="266" t="s">
        <v>4007</v>
      </c>
      <c r="D2742" s="124" t="s">
        <v>4008</v>
      </c>
      <c r="E2742" s="125"/>
      <c r="F2742" s="118" t="s">
        <v>3955</v>
      </c>
      <c r="G2742" s="126" t="str">
        <f t="shared" si="163"/>
        <v>AR-L30P-1</v>
      </c>
      <c r="H2742" s="253">
        <v>1</v>
      </c>
      <c r="J2742" s="299" t="s">
        <v>286</v>
      </c>
      <c r="K2742" s="299"/>
      <c r="L2742" s="84">
        <v>1</v>
      </c>
      <c r="M2742" s="76">
        <v>1</v>
      </c>
      <c r="Q2742" s="84">
        <v>1</v>
      </c>
      <c r="R2742" s="76">
        <v>1</v>
      </c>
    </row>
    <row r="2743" spans="2:18" s="83" customFormat="1" ht="15" hidden="1" customHeight="1" outlineLevel="2">
      <c r="B2743" s="119" t="s">
        <v>272</v>
      </c>
      <c r="C2743" s="266" t="s">
        <v>4009</v>
      </c>
      <c r="D2743" s="124" t="s">
        <v>4010</v>
      </c>
      <c r="E2743" s="125"/>
      <c r="F2743" s="118" t="s">
        <v>3955</v>
      </c>
      <c r="G2743" s="126" t="str">
        <f t="shared" si="163"/>
        <v>AR-L30P-1</v>
      </c>
      <c r="H2743" s="253">
        <v>1</v>
      </c>
      <c r="J2743" s="299" t="s">
        <v>286</v>
      </c>
      <c r="K2743" s="299"/>
      <c r="L2743" s="84">
        <v>1</v>
      </c>
      <c r="M2743" s="76">
        <v>1</v>
      </c>
      <c r="Q2743" s="84">
        <v>1</v>
      </c>
      <c r="R2743" s="76">
        <v>1</v>
      </c>
    </row>
    <row r="2744" spans="2:18" s="83" customFormat="1" ht="15" hidden="1" customHeight="1" outlineLevel="2">
      <c r="B2744" s="119" t="s">
        <v>272</v>
      </c>
      <c r="C2744" s="266" t="s">
        <v>4011</v>
      </c>
      <c r="D2744" s="124" t="s">
        <v>4006</v>
      </c>
      <c r="E2744" s="125"/>
      <c r="F2744" s="118" t="s">
        <v>3955</v>
      </c>
      <c r="G2744" s="126" t="str">
        <f t="shared" si="163"/>
        <v>AR-L30P-1</v>
      </c>
      <c r="H2744" s="253">
        <v>1</v>
      </c>
      <c r="J2744" s="299" t="s">
        <v>286</v>
      </c>
      <c r="K2744" s="299"/>
      <c r="L2744" s="84">
        <v>1</v>
      </c>
      <c r="M2744" s="76">
        <v>1</v>
      </c>
      <c r="Q2744" s="84">
        <v>1</v>
      </c>
      <c r="R2744" s="76">
        <v>1</v>
      </c>
    </row>
    <row r="2745" spans="2:18" s="83" customFormat="1" ht="15" hidden="1" customHeight="1" outlineLevel="2">
      <c r="B2745" s="119" t="s">
        <v>272</v>
      </c>
      <c r="C2745" s="266" t="s">
        <v>4012</v>
      </c>
      <c r="D2745" s="124" t="s">
        <v>4008</v>
      </c>
      <c r="E2745" s="125"/>
      <c r="F2745" s="118" t="s">
        <v>3955</v>
      </c>
      <c r="G2745" s="126" t="str">
        <f t="shared" si="163"/>
        <v>AR-L30P-1</v>
      </c>
      <c r="H2745" s="253">
        <v>1</v>
      </c>
      <c r="J2745" s="299" t="s">
        <v>286</v>
      </c>
      <c r="K2745" s="299"/>
      <c r="L2745" s="84">
        <v>1</v>
      </c>
      <c r="M2745" s="76">
        <v>1</v>
      </c>
      <c r="Q2745" s="84">
        <v>1</v>
      </c>
      <c r="R2745" s="76">
        <v>1</v>
      </c>
    </row>
    <row r="2746" spans="2:18" s="83" customFormat="1" ht="15" hidden="1" customHeight="1" outlineLevel="2">
      <c r="B2746" s="119" t="s">
        <v>272</v>
      </c>
      <c r="C2746" s="266" t="s">
        <v>4013</v>
      </c>
      <c r="D2746" s="124" t="s">
        <v>4010</v>
      </c>
      <c r="E2746" s="125"/>
      <c r="F2746" s="118" t="s">
        <v>3955</v>
      </c>
      <c r="G2746" s="126" t="str">
        <f t="shared" si="163"/>
        <v>AR-L30P-1</v>
      </c>
      <c r="H2746" s="253">
        <v>1</v>
      </c>
      <c r="I2746" s="76"/>
      <c r="J2746" s="299" t="s">
        <v>286</v>
      </c>
      <c r="K2746" s="299"/>
      <c r="L2746" s="84">
        <v>1</v>
      </c>
      <c r="M2746" s="76">
        <v>1</v>
      </c>
      <c r="Q2746" s="84">
        <v>1</v>
      </c>
      <c r="R2746" s="76">
        <v>1</v>
      </c>
    </row>
    <row r="2747" spans="2:18" s="83" customFormat="1" ht="15" hidden="1" customHeight="1" outlineLevel="2">
      <c r="B2747" s="119" t="s">
        <v>272</v>
      </c>
      <c r="C2747" s="266" t="s">
        <v>4014</v>
      </c>
      <c r="D2747" s="124" t="s">
        <v>4015</v>
      </c>
      <c r="E2747" s="125"/>
      <c r="F2747" s="118" t="s">
        <v>3955</v>
      </c>
      <c r="G2747" s="126" t="str">
        <f t="shared" si="163"/>
        <v>AR-L30P-1</v>
      </c>
      <c r="H2747" s="253">
        <v>1</v>
      </c>
      <c r="I2747" s="76"/>
      <c r="J2747" s="299" t="s">
        <v>286</v>
      </c>
      <c r="K2747" s="299"/>
      <c r="L2747" s="84">
        <v>1</v>
      </c>
      <c r="M2747" s="76">
        <v>1</v>
      </c>
      <c r="Q2747" s="84">
        <v>1</v>
      </c>
      <c r="R2747" s="76">
        <v>1</v>
      </c>
    </row>
    <row r="2748" spans="2:18" s="83" customFormat="1" ht="15" hidden="1" customHeight="1" outlineLevel="2">
      <c r="B2748" s="119" t="s">
        <v>272</v>
      </c>
      <c r="C2748" s="266" t="s">
        <v>4016</v>
      </c>
      <c r="D2748" s="124" t="s">
        <v>4017</v>
      </c>
      <c r="E2748" s="125"/>
      <c r="F2748" s="118" t="s">
        <v>3955</v>
      </c>
      <c r="G2748" s="126" t="str">
        <f t="shared" si="163"/>
        <v>AR-L30P-1</v>
      </c>
      <c r="H2748" s="253">
        <v>1</v>
      </c>
      <c r="I2748" s="76"/>
      <c r="J2748" s="299" t="s">
        <v>286</v>
      </c>
      <c r="K2748" s="299"/>
      <c r="L2748" s="84">
        <v>1</v>
      </c>
      <c r="M2748" s="76">
        <v>1</v>
      </c>
      <c r="Q2748" s="84">
        <v>1</v>
      </c>
      <c r="R2748" s="76">
        <v>1</v>
      </c>
    </row>
    <row r="2749" spans="2:18" s="83" customFormat="1" ht="15" hidden="1" customHeight="1" outlineLevel="2">
      <c r="B2749" s="119" t="s">
        <v>272</v>
      </c>
      <c r="C2749" s="266" t="s">
        <v>4018</v>
      </c>
      <c r="D2749" s="124" t="s">
        <v>4019</v>
      </c>
      <c r="E2749" s="125"/>
      <c r="F2749" s="118" t="s">
        <v>3955</v>
      </c>
      <c r="G2749" s="126" t="str">
        <f t="shared" si="163"/>
        <v>AR-L30P-1</v>
      </c>
      <c r="H2749" s="253">
        <v>1</v>
      </c>
      <c r="I2749" s="76"/>
      <c r="J2749" s="299" t="s">
        <v>286</v>
      </c>
      <c r="K2749" s="299"/>
      <c r="L2749" s="84">
        <v>1</v>
      </c>
      <c r="M2749" s="76">
        <v>1</v>
      </c>
      <c r="Q2749" s="84">
        <v>1</v>
      </c>
      <c r="R2749" s="76">
        <v>1</v>
      </c>
    </row>
    <row r="2750" spans="2:18" s="83" customFormat="1" ht="15" hidden="1" customHeight="1" outlineLevel="2">
      <c r="B2750" s="119" t="s">
        <v>272</v>
      </c>
      <c r="C2750" s="266" t="s">
        <v>4020</v>
      </c>
      <c r="D2750" s="124" t="s">
        <v>4019</v>
      </c>
      <c r="E2750" s="125"/>
      <c r="F2750" s="118" t="s">
        <v>3955</v>
      </c>
      <c r="G2750" s="126" t="str">
        <f t="shared" si="163"/>
        <v>AR-L30P-1</v>
      </c>
      <c r="H2750" s="253">
        <v>1</v>
      </c>
      <c r="J2750" s="299" t="s">
        <v>286</v>
      </c>
      <c r="K2750" s="299"/>
      <c r="L2750" s="84">
        <v>1</v>
      </c>
      <c r="M2750" s="76">
        <v>1</v>
      </c>
      <c r="Q2750" s="84">
        <v>1</v>
      </c>
      <c r="R2750" s="76">
        <v>1</v>
      </c>
    </row>
    <row r="2751" spans="2:18" s="83" customFormat="1" ht="15" hidden="1" customHeight="1" outlineLevel="2">
      <c r="B2751" s="119" t="s">
        <v>272</v>
      </c>
      <c r="C2751" s="266" t="s">
        <v>4021</v>
      </c>
      <c r="D2751" s="124" t="s">
        <v>4022</v>
      </c>
      <c r="E2751" s="125"/>
      <c r="F2751" s="118" t="s">
        <v>3955</v>
      </c>
      <c r="G2751" s="126" t="str">
        <f t="shared" si="163"/>
        <v>AR-L30P-1</v>
      </c>
      <c r="H2751" s="253">
        <v>1</v>
      </c>
      <c r="J2751" s="299" t="s">
        <v>286</v>
      </c>
      <c r="K2751" s="299"/>
      <c r="L2751" s="84">
        <v>1</v>
      </c>
      <c r="M2751" s="76">
        <v>1</v>
      </c>
      <c r="Q2751" s="84">
        <v>1</v>
      </c>
      <c r="R2751" s="76">
        <v>1</v>
      </c>
    </row>
    <row r="2752" spans="2:18" s="83" customFormat="1" ht="15" hidden="1" customHeight="1" outlineLevel="2">
      <c r="B2752" s="119" t="s">
        <v>272</v>
      </c>
      <c r="C2752" s="266" t="s">
        <v>4023</v>
      </c>
      <c r="D2752" s="124" t="s">
        <v>4022</v>
      </c>
      <c r="E2752" s="125"/>
      <c r="F2752" s="118" t="s">
        <v>3955</v>
      </c>
      <c r="G2752" s="126" t="str">
        <f t="shared" si="163"/>
        <v>AR-L30P-1</v>
      </c>
      <c r="H2752" s="253">
        <v>1</v>
      </c>
      <c r="J2752" s="299" t="s">
        <v>286</v>
      </c>
      <c r="K2752" s="299"/>
      <c r="L2752" s="84">
        <v>1</v>
      </c>
      <c r="M2752" s="76">
        <v>1</v>
      </c>
      <c r="Q2752" s="84">
        <v>1</v>
      </c>
      <c r="R2752" s="76">
        <v>1</v>
      </c>
    </row>
    <row r="2753" spans="2:18" s="83" customFormat="1" ht="15" hidden="1" customHeight="1" outlineLevel="2">
      <c r="B2753" s="119" t="s">
        <v>272</v>
      </c>
      <c r="C2753" s="266" t="s">
        <v>4024</v>
      </c>
      <c r="D2753" s="124" t="s">
        <v>4025</v>
      </c>
      <c r="E2753" s="125"/>
      <c r="F2753" s="118" t="s">
        <v>3955</v>
      </c>
      <c r="G2753" s="126" t="str">
        <f t="shared" si="163"/>
        <v>AR-L30P-1</v>
      </c>
      <c r="H2753" s="253">
        <v>1</v>
      </c>
      <c r="J2753" s="299" t="s">
        <v>286</v>
      </c>
      <c r="K2753" s="299"/>
      <c r="L2753" s="84">
        <v>1</v>
      </c>
      <c r="M2753" s="76">
        <v>1</v>
      </c>
      <c r="Q2753" s="84">
        <v>1</v>
      </c>
      <c r="R2753" s="76">
        <v>1</v>
      </c>
    </row>
    <row r="2754" spans="2:18" s="83" customFormat="1" ht="15" hidden="1" customHeight="1" outlineLevel="2">
      <c r="B2754" s="119" t="s">
        <v>272</v>
      </c>
      <c r="C2754" s="266" t="s">
        <v>4026</v>
      </c>
      <c r="D2754" s="124" t="s">
        <v>4027</v>
      </c>
      <c r="E2754" s="125"/>
      <c r="F2754" s="118" t="s">
        <v>3955</v>
      </c>
      <c r="G2754" s="126" t="str">
        <f t="shared" si="163"/>
        <v>AR-L30P-1</v>
      </c>
      <c r="H2754" s="253">
        <v>1</v>
      </c>
      <c r="J2754" s="299" t="s">
        <v>286</v>
      </c>
      <c r="K2754" s="299"/>
      <c r="L2754" s="84">
        <v>1</v>
      </c>
      <c r="M2754" s="76">
        <v>1</v>
      </c>
      <c r="Q2754" s="84">
        <v>1</v>
      </c>
      <c r="R2754" s="76">
        <v>1</v>
      </c>
    </row>
    <row r="2755" spans="2:18" s="83" customFormat="1" ht="15" hidden="1" customHeight="1" outlineLevel="2">
      <c r="B2755" s="119" t="s">
        <v>272</v>
      </c>
      <c r="C2755" s="266" t="s">
        <v>4028</v>
      </c>
      <c r="D2755" s="124" t="s">
        <v>4029</v>
      </c>
      <c r="E2755" s="125"/>
      <c r="F2755" s="118" t="s">
        <v>3955</v>
      </c>
      <c r="G2755" s="126" t="str">
        <f t="shared" si="163"/>
        <v>AR-L30P-1</v>
      </c>
      <c r="H2755" s="253">
        <v>1</v>
      </c>
      <c r="J2755" s="299" t="s">
        <v>286</v>
      </c>
      <c r="K2755" s="299"/>
      <c r="L2755" s="84">
        <v>1</v>
      </c>
      <c r="M2755" s="76">
        <v>1</v>
      </c>
      <c r="Q2755" s="84">
        <v>1</v>
      </c>
      <c r="R2755" s="76">
        <v>1</v>
      </c>
    </row>
    <row r="2756" spans="2:18" s="83" customFormat="1" ht="15" hidden="1" customHeight="1" outlineLevel="2">
      <c r="B2756" s="119" t="s">
        <v>272</v>
      </c>
      <c r="C2756" s="266" t="s">
        <v>4030</v>
      </c>
      <c r="D2756" s="124" t="s">
        <v>4031</v>
      </c>
      <c r="E2756" s="125"/>
      <c r="F2756" s="118" t="s">
        <v>3955</v>
      </c>
      <c r="G2756" s="126" t="str">
        <f t="shared" si="163"/>
        <v>AR-L30P-1</v>
      </c>
      <c r="H2756" s="253">
        <v>1</v>
      </c>
      <c r="J2756" s="299" t="s">
        <v>286</v>
      </c>
      <c r="K2756" s="299"/>
      <c r="L2756" s="84">
        <v>1</v>
      </c>
      <c r="M2756" s="76">
        <v>1</v>
      </c>
      <c r="Q2756" s="84">
        <v>1</v>
      </c>
      <c r="R2756" s="76">
        <v>1</v>
      </c>
    </row>
    <row r="2757" spans="2:18" s="83" customFormat="1" ht="15" hidden="1" customHeight="1" outlineLevel="2">
      <c r="B2757" s="119" t="s">
        <v>272</v>
      </c>
      <c r="C2757" s="266" t="s">
        <v>4032</v>
      </c>
      <c r="D2757" s="124" t="s">
        <v>4033</v>
      </c>
      <c r="E2757" s="125"/>
      <c r="F2757" s="118" t="s">
        <v>3955</v>
      </c>
      <c r="G2757" s="126" t="str">
        <f t="shared" si="163"/>
        <v>AR-L30P-1</v>
      </c>
      <c r="H2757" s="253">
        <v>1</v>
      </c>
      <c r="J2757" s="299" t="s">
        <v>286</v>
      </c>
      <c r="K2757" s="299"/>
      <c r="L2757" s="84">
        <v>1</v>
      </c>
      <c r="M2757" s="76">
        <v>1</v>
      </c>
      <c r="Q2757" s="84">
        <v>1</v>
      </c>
      <c r="R2757" s="76">
        <v>1</v>
      </c>
    </row>
    <row r="2758" spans="2:18" s="83" customFormat="1" ht="15" hidden="1" customHeight="1" outlineLevel="2">
      <c r="B2758" s="119" t="s">
        <v>272</v>
      </c>
      <c r="C2758" s="266" t="s">
        <v>4034</v>
      </c>
      <c r="D2758" s="124" t="s">
        <v>4035</v>
      </c>
      <c r="E2758" s="125"/>
      <c r="F2758" s="118" t="s">
        <v>3955</v>
      </c>
      <c r="G2758" s="126" t="str">
        <f t="shared" si="163"/>
        <v>AR-L30P-1</v>
      </c>
      <c r="H2758" s="253">
        <v>1</v>
      </c>
      <c r="J2758" s="299" t="s">
        <v>286</v>
      </c>
      <c r="K2758" s="299"/>
      <c r="L2758" s="84">
        <v>1</v>
      </c>
      <c r="M2758" s="76">
        <v>1</v>
      </c>
      <c r="Q2758" s="84">
        <v>1</v>
      </c>
      <c r="R2758" s="76">
        <v>1</v>
      </c>
    </row>
    <row r="2759" spans="2:18" s="83" customFormat="1" ht="15" hidden="1" customHeight="1" outlineLevel="2">
      <c r="B2759" s="119" t="s">
        <v>272</v>
      </c>
      <c r="C2759" s="266" t="s">
        <v>4036</v>
      </c>
      <c r="D2759" s="124" t="s">
        <v>4035</v>
      </c>
      <c r="E2759" s="125"/>
      <c r="F2759" s="118" t="s">
        <v>3955</v>
      </c>
      <c r="G2759" s="126" t="str">
        <f t="shared" ref="G2759:G2764" si="164">CONCATENATE("AR-",F2759,"-",H2759)</f>
        <v>AR-L30P-1</v>
      </c>
      <c r="H2759" s="253">
        <v>1</v>
      </c>
      <c r="J2759" s="299" t="s">
        <v>286</v>
      </c>
      <c r="K2759" s="299"/>
      <c r="L2759" s="84">
        <v>1</v>
      </c>
      <c r="M2759" s="76">
        <v>1</v>
      </c>
      <c r="Q2759" s="84">
        <v>1</v>
      </c>
      <c r="R2759" s="76">
        <v>1</v>
      </c>
    </row>
    <row r="2760" spans="2:18" s="83" customFormat="1" ht="15" hidden="1" customHeight="1" outlineLevel="2">
      <c r="B2760" s="119" t="s">
        <v>272</v>
      </c>
      <c r="C2760" s="266" t="s">
        <v>4037</v>
      </c>
      <c r="D2760" s="124" t="s">
        <v>4035</v>
      </c>
      <c r="E2760" s="125"/>
      <c r="F2760" s="118" t="s">
        <v>3955</v>
      </c>
      <c r="G2760" s="126" t="str">
        <f t="shared" si="164"/>
        <v>AR-L30P-1</v>
      </c>
      <c r="H2760" s="253">
        <v>1</v>
      </c>
      <c r="J2760" s="299" t="s">
        <v>286</v>
      </c>
      <c r="K2760" s="299"/>
      <c r="L2760" s="84">
        <v>1</v>
      </c>
      <c r="M2760" s="76">
        <v>1</v>
      </c>
      <c r="Q2760" s="84">
        <v>1</v>
      </c>
      <c r="R2760" s="76">
        <v>1</v>
      </c>
    </row>
    <row r="2761" spans="2:18" s="83" customFormat="1" ht="15" hidden="1" customHeight="1" outlineLevel="2">
      <c r="B2761" s="119" t="s">
        <v>272</v>
      </c>
      <c r="C2761" s="266" t="s">
        <v>4038</v>
      </c>
      <c r="D2761" s="124" t="s">
        <v>4039</v>
      </c>
      <c r="E2761" s="125"/>
      <c r="F2761" s="118" t="s">
        <v>3955</v>
      </c>
      <c r="G2761" s="126" t="str">
        <f t="shared" si="164"/>
        <v>AR-L30P-1</v>
      </c>
      <c r="H2761" s="253">
        <v>1</v>
      </c>
      <c r="J2761" s="299" t="s">
        <v>286</v>
      </c>
      <c r="K2761" s="299"/>
      <c r="L2761" s="84">
        <v>1</v>
      </c>
      <c r="M2761" s="76">
        <v>1</v>
      </c>
      <c r="Q2761" s="84">
        <v>1</v>
      </c>
      <c r="R2761" s="76">
        <v>1</v>
      </c>
    </row>
    <row r="2762" spans="2:18" s="83" customFormat="1" ht="15" hidden="1" customHeight="1" outlineLevel="2">
      <c r="B2762" s="119" t="s">
        <v>272</v>
      </c>
      <c r="C2762" s="266" t="s">
        <v>4040</v>
      </c>
      <c r="D2762" s="124" t="s">
        <v>4041</v>
      </c>
      <c r="E2762" s="125"/>
      <c r="F2762" s="118" t="s">
        <v>3955</v>
      </c>
      <c r="G2762" s="126" t="str">
        <f t="shared" si="164"/>
        <v>AR-L30P-1</v>
      </c>
      <c r="H2762" s="253">
        <v>1</v>
      </c>
      <c r="J2762" s="299" t="s">
        <v>286</v>
      </c>
      <c r="K2762" s="299"/>
      <c r="L2762" s="84">
        <v>1</v>
      </c>
      <c r="M2762" s="76">
        <v>1</v>
      </c>
      <c r="Q2762" s="84">
        <v>1</v>
      </c>
      <c r="R2762" s="76">
        <v>1</v>
      </c>
    </row>
    <row r="2763" spans="2:18" s="83" customFormat="1" ht="15" hidden="1" customHeight="1" outlineLevel="2">
      <c r="B2763" s="119" t="s">
        <v>272</v>
      </c>
      <c r="C2763" s="266" t="s">
        <v>4042</v>
      </c>
      <c r="D2763" s="124" t="s">
        <v>4041</v>
      </c>
      <c r="E2763" s="125"/>
      <c r="F2763" s="118" t="s">
        <v>3955</v>
      </c>
      <c r="G2763" s="126" t="str">
        <f t="shared" si="164"/>
        <v>AR-L30P-1</v>
      </c>
      <c r="H2763" s="253">
        <v>1</v>
      </c>
      <c r="J2763" s="299" t="s">
        <v>286</v>
      </c>
      <c r="K2763" s="299"/>
      <c r="L2763" s="84">
        <v>1</v>
      </c>
      <c r="M2763" s="76">
        <v>1</v>
      </c>
      <c r="Q2763" s="84">
        <v>1</v>
      </c>
      <c r="R2763" s="76">
        <v>1</v>
      </c>
    </row>
    <row r="2764" spans="2:18" s="83" customFormat="1" ht="15" hidden="1" customHeight="1" outlineLevel="2">
      <c r="B2764" s="119" t="s">
        <v>272</v>
      </c>
      <c r="C2764" s="266" t="s">
        <v>4043</v>
      </c>
      <c r="D2764" s="124" t="s">
        <v>4044</v>
      </c>
      <c r="E2764" s="125"/>
      <c r="F2764" s="118" t="s">
        <v>3955</v>
      </c>
      <c r="G2764" s="126" t="str">
        <f t="shared" si="164"/>
        <v>AR-L30P-1</v>
      </c>
      <c r="H2764" s="253">
        <v>1</v>
      </c>
      <c r="J2764" s="299" t="s">
        <v>286</v>
      </c>
      <c r="K2764" s="299"/>
      <c r="L2764" s="84">
        <v>1</v>
      </c>
      <c r="M2764" s="76">
        <v>1</v>
      </c>
      <c r="Q2764" s="84">
        <v>1</v>
      </c>
      <c r="R2764" s="76">
        <v>1</v>
      </c>
    </row>
    <row r="2765" spans="2:18" s="83" customFormat="1" ht="15" hidden="1" customHeight="1" outlineLevel="2">
      <c r="B2765" s="119" t="s">
        <v>272</v>
      </c>
      <c r="C2765" s="266" t="s">
        <v>4045</v>
      </c>
      <c r="D2765" s="124" t="s">
        <v>4046</v>
      </c>
      <c r="E2765" s="125"/>
      <c r="F2765" s="118" t="s">
        <v>3955</v>
      </c>
      <c r="G2765" s="126" t="str">
        <f>CONCATENATE("AR-",F2765,"-",H2765)</f>
        <v>AR-L30P-1</v>
      </c>
      <c r="H2765" s="253">
        <v>1</v>
      </c>
      <c r="J2765" s="299" t="s">
        <v>286</v>
      </c>
      <c r="K2765" s="299"/>
      <c r="L2765" s="84">
        <v>1</v>
      </c>
      <c r="M2765" s="76">
        <v>1</v>
      </c>
      <c r="Q2765" s="84">
        <v>1</v>
      </c>
      <c r="R2765" s="76">
        <v>1</v>
      </c>
    </row>
    <row r="2766" spans="2:18" s="83" customFormat="1" ht="15" hidden="1" customHeight="1" outlineLevel="2">
      <c r="B2766" s="119" t="s">
        <v>272</v>
      </c>
      <c r="C2766" s="266" t="s">
        <v>4047</v>
      </c>
      <c r="D2766" s="124" t="s">
        <v>4048</v>
      </c>
      <c r="E2766" s="125"/>
      <c r="F2766" s="118" t="s">
        <v>3955</v>
      </c>
      <c r="G2766" s="126" t="str">
        <f>CONCATENATE("AR-",F2766,"-",H2766)</f>
        <v>AR-L30P-1</v>
      </c>
      <c r="H2766" s="253">
        <v>1</v>
      </c>
      <c r="J2766" s="299" t="s">
        <v>286</v>
      </c>
      <c r="K2766" s="299"/>
      <c r="L2766" s="84">
        <v>1</v>
      </c>
      <c r="M2766" s="76">
        <v>1</v>
      </c>
      <c r="Q2766" s="84">
        <v>1</v>
      </c>
      <c r="R2766" s="76">
        <v>1</v>
      </c>
    </row>
    <row r="2767" spans="2:18" s="83" customFormat="1" ht="15" hidden="1" customHeight="1" outlineLevel="2">
      <c r="B2767" s="119" t="s">
        <v>272</v>
      </c>
      <c r="C2767" s="266" t="s">
        <v>4049</v>
      </c>
      <c r="D2767" s="124" t="s">
        <v>4050</v>
      </c>
      <c r="E2767" s="125"/>
      <c r="F2767" s="118" t="s">
        <v>3955</v>
      </c>
      <c r="G2767" s="126" t="str">
        <f>CONCATENATE("AR-",F2767,"-",H2767)</f>
        <v>AR-L30P-1</v>
      </c>
      <c r="H2767" s="253">
        <v>1</v>
      </c>
      <c r="J2767" s="299" t="s">
        <v>286</v>
      </c>
      <c r="K2767" s="299"/>
      <c r="L2767" s="84">
        <v>1</v>
      </c>
      <c r="M2767" s="76">
        <v>1</v>
      </c>
      <c r="Q2767" s="84">
        <v>1</v>
      </c>
      <c r="R2767" s="76">
        <v>1</v>
      </c>
    </row>
    <row r="2768" spans="2:18" s="83" customFormat="1" ht="15" hidden="1" customHeight="1" outlineLevel="2">
      <c r="B2768" s="119" t="s">
        <v>272</v>
      </c>
      <c r="C2768" s="266" t="s">
        <v>4051</v>
      </c>
      <c r="D2768" s="124" t="s">
        <v>4050</v>
      </c>
      <c r="E2768" s="125"/>
      <c r="F2768" s="118" t="s">
        <v>3955</v>
      </c>
      <c r="G2768" s="126" t="str">
        <f t="shared" ref="G2768:G2781" si="165">CONCATENATE("AR-",F2768,"-",H2768)</f>
        <v>AR-L30P-1</v>
      </c>
      <c r="H2768" s="253">
        <v>1</v>
      </c>
      <c r="J2768" s="299" t="s">
        <v>286</v>
      </c>
      <c r="K2768" s="299"/>
      <c r="L2768" s="84">
        <v>1</v>
      </c>
      <c r="M2768" s="76">
        <v>1</v>
      </c>
      <c r="Q2768" s="84">
        <v>1</v>
      </c>
      <c r="R2768" s="76">
        <v>1</v>
      </c>
    </row>
    <row r="2769" spans="2:18" s="83" customFormat="1" ht="15" hidden="1" customHeight="1" outlineLevel="2">
      <c r="B2769" s="119" t="s">
        <v>272</v>
      </c>
      <c r="C2769" s="266" t="s">
        <v>4052</v>
      </c>
      <c r="D2769" s="124" t="s">
        <v>4050</v>
      </c>
      <c r="E2769" s="125"/>
      <c r="F2769" s="118" t="s">
        <v>3955</v>
      </c>
      <c r="G2769" s="126" t="str">
        <f t="shared" si="165"/>
        <v>AR-L30P-1</v>
      </c>
      <c r="H2769" s="253">
        <v>1</v>
      </c>
      <c r="J2769" s="299" t="s">
        <v>286</v>
      </c>
      <c r="K2769" s="299"/>
      <c r="L2769" s="84">
        <v>1</v>
      </c>
      <c r="M2769" s="76">
        <v>1</v>
      </c>
      <c r="Q2769" s="84">
        <v>1</v>
      </c>
      <c r="R2769" s="76">
        <v>1</v>
      </c>
    </row>
    <row r="2770" spans="2:18" s="83" customFormat="1" ht="15" hidden="1" customHeight="1" outlineLevel="2">
      <c r="B2770" s="119" t="s">
        <v>272</v>
      </c>
      <c r="C2770" s="266" t="s">
        <v>4053</v>
      </c>
      <c r="D2770" s="124" t="s">
        <v>4054</v>
      </c>
      <c r="E2770" s="125"/>
      <c r="F2770" s="118" t="s">
        <v>3955</v>
      </c>
      <c r="G2770" s="126" t="str">
        <f t="shared" si="165"/>
        <v>AR-L30P-1</v>
      </c>
      <c r="H2770" s="253">
        <v>1</v>
      </c>
      <c r="J2770" s="299" t="s">
        <v>286</v>
      </c>
      <c r="K2770" s="299"/>
      <c r="L2770" s="84">
        <v>1</v>
      </c>
      <c r="M2770" s="76">
        <v>1</v>
      </c>
      <c r="Q2770" s="84">
        <v>1</v>
      </c>
      <c r="R2770" s="76">
        <v>1</v>
      </c>
    </row>
    <row r="2771" spans="2:18" s="83" customFormat="1" ht="15" hidden="1" customHeight="1" outlineLevel="2">
      <c r="B2771" s="119" t="s">
        <v>272</v>
      </c>
      <c r="C2771" s="266" t="s">
        <v>4055</v>
      </c>
      <c r="D2771" s="124" t="s">
        <v>4056</v>
      </c>
      <c r="E2771" s="125"/>
      <c r="F2771" s="118" t="s">
        <v>3955</v>
      </c>
      <c r="G2771" s="126" t="str">
        <f t="shared" si="165"/>
        <v>AR-L30P-1</v>
      </c>
      <c r="H2771" s="253">
        <v>1</v>
      </c>
      <c r="J2771" s="299" t="s">
        <v>286</v>
      </c>
      <c r="K2771" s="299"/>
      <c r="L2771" s="84">
        <v>1</v>
      </c>
      <c r="M2771" s="76">
        <v>1</v>
      </c>
      <c r="Q2771" s="84">
        <v>1</v>
      </c>
      <c r="R2771" s="76">
        <v>1</v>
      </c>
    </row>
    <row r="2772" spans="2:18" s="83" customFormat="1" ht="15" hidden="1" customHeight="1" outlineLevel="2">
      <c r="B2772" s="119" t="s">
        <v>272</v>
      </c>
      <c r="C2772" s="266" t="s">
        <v>4057</v>
      </c>
      <c r="D2772" s="124" t="s">
        <v>4056</v>
      </c>
      <c r="E2772" s="125"/>
      <c r="F2772" s="118" t="s">
        <v>3955</v>
      </c>
      <c r="G2772" s="126" t="str">
        <f t="shared" si="165"/>
        <v>AR-L30P-1</v>
      </c>
      <c r="H2772" s="253">
        <v>1</v>
      </c>
      <c r="J2772" s="299" t="s">
        <v>286</v>
      </c>
      <c r="K2772" s="299"/>
      <c r="L2772" s="84">
        <v>1</v>
      </c>
      <c r="M2772" s="76">
        <v>1</v>
      </c>
      <c r="Q2772" s="84">
        <v>1</v>
      </c>
      <c r="R2772" s="76">
        <v>1</v>
      </c>
    </row>
    <row r="2773" spans="2:18" s="83" customFormat="1" ht="15" hidden="1" customHeight="1" outlineLevel="2">
      <c r="B2773" s="119" t="s">
        <v>272</v>
      </c>
      <c r="C2773" s="266" t="s">
        <v>4058</v>
      </c>
      <c r="D2773" s="124" t="s">
        <v>4059</v>
      </c>
      <c r="E2773" s="125"/>
      <c r="F2773" s="118" t="s">
        <v>3955</v>
      </c>
      <c r="G2773" s="126" t="str">
        <f t="shared" si="165"/>
        <v>AR-L30P-1</v>
      </c>
      <c r="H2773" s="253">
        <v>1</v>
      </c>
      <c r="J2773" s="299" t="s">
        <v>286</v>
      </c>
      <c r="K2773" s="299"/>
      <c r="L2773" s="84">
        <v>1</v>
      </c>
      <c r="M2773" s="76">
        <v>1</v>
      </c>
      <c r="Q2773" s="84">
        <v>1</v>
      </c>
      <c r="R2773" s="76">
        <v>1</v>
      </c>
    </row>
    <row r="2774" spans="2:18" s="83" customFormat="1" ht="15" hidden="1" customHeight="1" outlineLevel="2">
      <c r="B2774" s="119" t="s">
        <v>272</v>
      </c>
      <c r="C2774" s="266" t="s">
        <v>4060</v>
      </c>
      <c r="D2774" s="124" t="s">
        <v>4061</v>
      </c>
      <c r="E2774" s="125"/>
      <c r="F2774" s="118" t="s">
        <v>3955</v>
      </c>
      <c r="G2774" s="126" t="str">
        <f t="shared" si="165"/>
        <v>AR-L30P-1</v>
      </c>
      <c r="H2774" s="253">
        <v>1</v>
      </c>
      <c r="J2774" s="299" t="s">
        <v>286</v>
      </c>
      <c r="K2774" s="299"/>
      <c r="L2774" s="84">
        <v>1</v>
      </c>
      <c r="M2774" s="76">
        <v>1</v>
      </c>
      <c r="Q2774" s="84">
        <v>1</v>
      </c>
      <c r="R2774" s="76">
        <v>1</v>
      </c>
    </row>
    <row r="2775" spans="2:18" s="83" customFormat="1" ht="15" hidden="1" customHeight="1" outlineLevel="2">
      <c r="B2775" s="119" t="s">
        <v>272</v>
      </c>
      <c r="C2775" s="266" t="s">
        <v>4062</v>
      </c>
      <c r="D2775" s="124" t="s">
        <v>4061</v>
      </c>
      <c r="E2775" s="125"/>
      <c r="F2775" s="118" t="s">
        <v>3955</v>
      </c>
      <c r="G2775" s="126" t="str">
        <f t="shared" si="165"/>
        <v>AR-L30P-1</v>
      </c>
      <c r="H2775" s="253">
        <v>1</v>
      </c>
      <c r="J2775" s="299" t="s">
        <v>286</v>
      </c>
      <c r="K2775" s="299"/>
      <c r="L2775" s="84">
        <v>1</v>
      </c>
      <c r="M2775" s="76">
        <v>1</v>
      </c>
      <c r="Q2775" s="84">
        <v>1</v>
      </c>
      <c r="R2775" s="76">
        <v>1</v>
      </c>
    </row>
    <row r="2776" spans="2:18" s="83" customFormat="1" ht="15" hidden="1" customHeight="1" outlineLevel="2">
      <c r="B2776" s="119" t="s">
        <v>272</v>
      </c>
      <c r="C2776" s="266" t="s">
        <v>4063</v>
      </c>
      <c r="D2776" s="124" t="s">
        <v>4064</v>
      </c>
      <c r="E2776" s="125"/>
      <c r="F2776" s="118" t="s">
        <v>3955</v>
      </c>
      <c r="G2776" s="126" t="str">
        <f t="shared" si="165"/>
        <v>AR-L30P-1</v>
      </c>
      <c r="H2776" s="253">
        <v>1</v>
      </c>
      <c r="J2776" s="299" t="s">
        <v>286</v>
      </c>
      <c r="K2776" s="299"/>
      <c r="L2776" s="84">
        <v>1</v>
      </c>
      <c r="M2776" s="76">
        <v>1</v>
      </c>
      <c r="Q2776" s="84">
        <v>1</v>
      </c>
      <c r="R2776" s="76">
        <v>1</v>
      </c>
    </row>
    <row r="2777" spans="2:18" s="83" customFormat="1" ht="15" hidden="1" customHeight="1" outlineLevel="2">
      <c r="B2777" s="119" t="s">
        <v>272</v>
      </c>
      <c r="C2777" s="266" t="s">
        <v>4065</v>
      </c>
      <c r="D2777" s="124" t="s">
        <v>4066</v>
      </c>
      <c r="E2777" s="125"/>
      <c r="F2777" s="118" t="s">
        <v>3955</v>
      </c>
      <c r="G2777" s="126" t="str">
        <f t="shared" si="165"/>
        <v>AR-L30P-1</v>
      </c>
      <c r="H2777" s="253">
        <v>1</v>
      </c>
      <c r="J2777" s="299" t="s">
        <v>286</v>
      </c>
      <c r="K2777" s="299"/>
      <c r="L2777" s="84">
        <v>1</v>
      </c>
      <c r="M2777" s="76">
        <v>1</v>
      </c>
      <c r="Q2777" s="84">
        <v>1</v>
      </c>
      <c r="R2777" s="76">
        <v>1</v>
      </c>
    </row>
    <row r="2778" spans="2:18" s="83" customFormat="1" ht="15" hidden="1" customHeight="1" outlineLevel="2">
      <c r="B2778" s="119" t="s">
        <v>272</v>
      </c>
      <c r="C2778" s="266" t="s">
        <v>4067</v>
      </c>
      <c r="D2778" s="124" t="s">
        <v>4066</v>
      </c>
      <c r="E2778" s="125"/>
      <c r="F2778" s="118" t="s">
        <v>3955</v>
      </c>
      <c r="G2778" s="126" t="str">
        <f t="shared" si="165"/>
        <v>AR-L30P-1</v>
      </c>
      <c r="H2778" s="253">
        <v>1</v>
      </c>
      <c r="J2778" s="299" t="s">
        <v>286</v>
      </c>
      <c r="K2778" s="299"/>
      <c r="L2778" s="84">
        <v>1</v>
      </c>
      <c r="M2778" s="76">
        <v>1</v>
      </c>
      <c r="Q2778" s="84">
        <v>1</v>
      </c>
      <c r="R2778" s="76">
        <v>1</v>
      </c>
    </row>
    <row r="2779" spans="2:18" s="83" customFormat="1" ht="15" hidden="1" customHeight="1" outlineLevel="2">
      <c r="B2779" s="119" t="s">
        <v>272</v>
      </c>
      <c r="C2779" s="266" t="s">
        <v>4068</v>
      </c>
      <c r="D2779" s="124" t="s">
        <v>4069</v>
      </c>
      <c r="E2779" s="125"/>
      <c r="F2779" s="118" t="s">
        <v>3955</v>
      </c>
      <c r="G2779" s="126" t="str">
        <f t="shared" si="165"/>
        <v>AR-L30P-1</v>
      </c>
      <c r="H2779" s="253">
        <v>1</v>
      </c>
      <c r="J2779" s="299" t="s">
        <v>286</v>
      </c>
      <c r="K2779" s="299"/>
      <c r="L2779" s="84">
        <v>1</v>
      </c>
      <c r="M2779" s="76">
        <v>1</v>
      </c>
      <c r="Q2779" s="84">
        <v>1</v>
      </c>
      <c r="R2779" s="76">
        <v>1</v>
      </c>
    </row>
    <row r="2780" spans="2:18" s="83" customFormat="1" ht="15" hidden="1" customHeight="1" outlineLevel="2">
      <c r="B2780" s="119" t="s">
        <v>272</v>
      </c>
      <c r="C2780" s="266" t="s">
        <v>4070</v>
      </c>
      <c r="D2780" s="124" t="s">
        <v>4071</v>
      </c>
      <c r="E2780" s="125"/>
      <c r="F2780" s="118" t="s">
        <v>3955</v>
      </c>
      <c r="G2780" s="126" t="str">
        <f t="shared" si="165"/>
        <v>AR-L30P-1</v>
      </c>
      <c r="H2780" s="253">
        <v>1</v>
      </c>
      <c r="J2780" s="299" t="s">
        <v>286</v>
      </c>
      <c r="K2780" s="299"/>
      <c r="L2780" s="84">
        <v>1</v>
      </c>
      <c r="M2780" s="76">
        <v>1</v>
      </c>
      <c r="Q2780" s="84">
        <v>1</v>
      </c>
      <c r="R2780" s="76">
        <v>1</v>
      </c>
    </row>
    <row r="2781" spans="2:18" s="83" customFormat="1" ht="15" hidden="1" customHeight="1" outlineLevel="2">
      <c r="B2781" s="119" t="s">
        <v>272</v>
      </c>
      <c r="C2781" s="266" t="s">
        <v>4072</v>
      </c>
      <c r="D2781" s="124" t="s">
        <v>4071</v>
      </c>
      <c r="E2781" s="125"/>
      <c r="F2781" s="118" t="s">
        <v>3955</v>
      </c>
      <c r="G2781" s="126" t="str">
        <f t="shared" si="165"/>
        <v>AR-L30P-1</v>
      </c>
      <c r="H2781" s="253">
        <v>1</v>
      </c>
      <c r="J2781" s="299" t="s">
        <v>286</v>
      </c>
      <c r="K2781" s="299"/>
      <c r="L2781" s="84">
        <v>1</v>
      </c>
      <c r="M2781" s="76">
        <v>1</v>
      </c>
      <c r="Q2781" s="84">
        <v>1</v>
      </c>
      <c r="R2781" s="76">
        <v>1</v>
      </c>
    </row>
    <row r="2782" spans="2:18" s="83" customFormat="1" ht="15" hidden="1" customHeight="1" outlineLevel="2">
      <c r="B2782" s="119" t="s">
        <v>272</v>
      </c>
      <c r="C2782" s="266" t="s">
        <v>4073</v>
      </c>
      <c r="D2782" s="124" t="s">
        <v>4074</v>
      </c>
      <c r="E2782" s="125"/>
      <c r="F2782" s="118" t="s">
        <v>3955</v>
      </c>
      <c r="G2782" s="126" t="str">
        <f t="shared" ref="G2782:G2787" si="166">CONCATENATE("AR-",F2782,"-",H2782)</f>
        <v>AR-L30P-1</v>
      </c>
      <c r="H2782" s="253">
        <v>1</v>
      </c>
      <c r="J2782" s="299" t="s">
        <v>286</v>
      </c>
      <c r="K2782" s="299"/>
      <c r="L2782" s="84">
        <v>1</v>
      </c>
      <c r="M2782" s="76">
        <v>1</v>
      </c>
      <c r="Q2782" s="84">
        <v>1</v>
      </c>
      <c r="R2782" s="76">
        <v>1</v>
      </c>
    </row>
    <row r="2783" spans="2:18" s="83" customFormat="1" ht="15" hidden="1" customHeight="1" outlineLevel="2">
      <c r="B2783" s="119" t="s">
        <v>272</v>
      </c>
      <c r="C2783" s="266" t="s">
        <v>4075</v>
      </c>
      <c r="D2783" s="124" t="s">
        <v>4074</v>
      </c>
      <c r="E2783" s="125"/>
      <c r="F2783" s="118" t="s">
        <v>3955</v>
      </c>
      <c r="G2783" s="126" t="str">
        <f t="shared" si="166"/>
        <v>AR-L30P-1</v>
      </c>
      <c r="H2783" s="253">
        <v>1</v>
      </c>
      <c r="J2783" s="299" t="s">
        <v>286</v>
      </c>
      <c r="K2783" s="299"/>
      <c r="L2783" s="84">
        <v>1</v>
      </c>
      <c r="M2783" s="76">
        <v>1</v>
      </c>
      <c r="Q2783" s="84">
        <v>1</v>
      </c>
      <c r="R2783" s="76">
        <v>1</v>
      </c>
    </row>
    <row r="2784" spans="2:18" s="83" customFormat="1" ht="15" hidden="1" customHeight="1" outlineLevel="2">
      <c r="B2784" s="119" t="s">
        <v>272</v>
      </c>
      <c r="C2784" s="266" t="s">
        <v>4076</v>
      </c>
      <c r="D2784" s="124" t="s">
        <v>4077</v>
      </c>
      <c r="E2784" s="125"/>
      <c r="F2784" s="118" t="s">
        <v>3955</v>
      </c>
      <c r="G2784" s="126" t="str">
        <f t="shared" si="166"/>
        <v>AR-L30P-1</v>
      </c>
      <c r="H2784" s="253">
        <v>1</v>
      </c>
      <c r="J2784" s="299" t="s">
        <v>286</v>
      </c>
      <c r="K2784" s="299"/>
      <c r="L2784" s="84">
        <v>1</v>
      </c>
      <c r="M2784" s="76">
        <v>1</v>
      </c>
      <c r="Q2784" s="84">
        <v>1</v>
      </c>
      <c r="R2784" s="76">
        <v>1</v>
      </c>
    </row>
    <row r="2785" spans="2:18" s="83" customFormat="1" ht="15" hidden="1" customHeight="1" outlineLevel="2">
      <c r="B2785" s="119" t="s">
        <v>272</v>
      </c>
      <c r="C2785" s="266" t="s">
        <v>4078</v>
      </c>
      <c r="D2785" s="124" t="s">
        <v>4077</v>
      </c>
      <c r="E2785" s="125"/>
      <c r="F2785" s="118" t="s">
        <v>3955</v>
      </c>
      <c r="G2785" s="126" t="str">
        <f t="shared" si="166"/>
        <v>AR-L30P-1</v>
      </c>
      <c r="H2785" s="253">
        <v>1</v>
      </c>
      <c r="J2785" s="299" t="s">
        <v>286</v>
      </c>
      <c r="K2785" s="299"/>
      <c r="L2785" s="84">
        <v>1</v>
      </c>
      <c r="M2785" s="76">
        <v>1</v>
      </c>
      <c r="Q2785" s="84">
        <v>1</v>
      </c>
      <c r="R2785" s="76">
        <v>1</v>
      </c>
    </row>
    <row r="2786" spans="2:18" s="83" customFormat="1" ht="15" hidden="1" customHeight="1" outlineLevel="2">
      <c r="B2786" s="119" t="s">
        <v>272</v>
      </c>
      <c r="C2786" s="266" t="s">
        <v>4079</v>
      </c>
      <c r="D2786" s="124" t="s">
        <v>4080</v>
      </c>
      <c r="E2786" s="125"/>
      <c r="F2786" s="118" t="s">
        <v>3955</v>
      </c>
      <c r="G2786" s="126" t="str">
        <f t="shared" si="166"/>
        <v>AR-L30P-1</v>
      </c>
      <c r="H2786" s="253">
        <v>1</v>
      </c>
      <c r="J2786" s="299" t="s">
        <v>286</v>
      </c>
      <c r="K2786" s="299"/>
      <c r="L2786" s="84">
        <v>1</v>
      </c>
      <c r="M2786" s="76">
        <v>1</v>
      </c>
      <c r="Q2786" s="84">
        <v>1</v>
      </c>
      <c r="R2786" s="76">
        <v>1</v>
      </c>
    </row>
    <row r="2787" spans="2:18" s="83" customFormat="1" ht="15" hidden="1" customHeight="1" outlineLevel="2">
      <c r="B2787" s="119" t="s">
        <v>272</v>
      </c>
      <c r="C2787" s="266" t="s">
        <v>4081</v>
      </c>
      <c r="D2787" s="124" t="s">
        <v>1434</v>
      </c>
      <c r="E2787" s="125"/>
      <c r="F2787" s="118" t="s">
        <v>3955</v>
      </c>
      <c r="G2787" s="126" t="str">
        <f t="shared" si="166"/>
        <v>AR-L30P-1</v>
      </c>
      <c r="H2787" s="253">
        <v>1</v>
      </c>
      <c r="J2787" s="299" t="s">
        <v>286</v>
      </c>
      <c r="K2787" s="299"/>
      <c r="L2787" s="84">
        <v>1</v>
      </c>
      <c r="M2787" s="76">
        <v>1</v>
      </c>
      <c r="Q2787" s="84">
        <v>1</v>
      </c>
      <c r="R2787" s="76">
        <v>1</v>
      </c>
    </row>
    <row r="2788" spans="2:18" s="83" customFormat="1" ht="15" hidden="1" customHeight="1" outlineLevel="2">
      <c r="B2788" s="119" t="s">
        <v>272</v>
      </c>
      <c r="C2788" s="266" t="s">
        <v>4082</v>
      </c>
      <c r="D2788" s="124" t="s">
        <v>3964</v>
      </c>
      <c r="E2788" s="125"/>
      <c r="F2788" s="118" t="s">
        <v>3955</v>
      </c>
      <c r="G2788" s="126" t="str">
        <f t="shared" ref="G2788:G2828" si="167">CONCATENATE("AR-",F2788,"-",H2788)</f>
        <v>AR-L30P-1</v>
      </c>
      <c r="H2788" s="253">
        <v>1</v>
      </c>
      <c r="J2788" s="299" t="s">
        <v>286</v>
      </c>
      <c r="K2788" s="299"/>
      <c r="L2788" s="84">
        <v>1</v>
      </c>
      <c r="M2788" s="76">
        <v>1</v>
      </c>
      <c r="Q2788" s="84">
        <v>1</v>
      </c>
      <c r="R2788" s="76">
        <v>1</v>
      </c>
    </row>
    <row r="2789" spans="2:18" s="83" customFormat="1" ht="15" hidden="1" customHeight="1" outlineLevel="2">
      <c r="B2789" s="119" t="s">
        <v>272</v>
      </c>
      <c r="C2789" s="266" t="s">
        <v>4083</v>
      </c>
      <c r="D2789" s="124" t="s">
        <v>3966</v>
      </c>
      <c r="E2789" s="125"/>
      <c r="F2789" s="118" t="s">
        <v>3955</v>
      </c>
      <c r="G2789" s="126" t="str">
        <f t="shared" si="167"/>
        <v>AR-L30P-1</v>
      </c>
      <c r="H2789" s="253">
        <v>1</v>
      </c>
      <c r="J2789" s="299" t="s">
        <v>286</v>
      </c>
      <c r="K2789" s="299"/>
      <c r="L2789" s="84">
        <v>1</v>
      </c>
      <c r="M2789" s="76">
        <v>1</v>
      </c>
      <c r="Q2789" s="84">
        <v>1</v>
      </c>
      <c r="R2789" s="76">
        <v>1</v>
      </c>
    </row>
    <row r="2790" spans="2:18" s="100" customFormat="1" ht="15" hidden="1" customHeight="1" outlineLevel="2">
      <c r="B2790" s="119" t="s">
        <v>272</v>
      </c>
      <c r="C2790" s="266" t="s">
        <v>4084</v>
      </c>
      <c r="D2790" s="124" t="s">
        <v>3968</v>
      </c>
      <c r="E2790" s="125"/>
      <c r="F2790" s="118" t="s">
        <v>3955</v>
      </c>
      <c r="G2790" s="126" t="str">
        <f t="shared" si="167"/>
        <v>AR-L30P-1</v>
      </c>
      <c r="H2790" s="253">
        <v>1</v>
      </c>
      <c r="J2790" s="299" t="s">
        <v>286</v>
      </c>
      <c r="K2790" s="299"/>
      <c r="L2790" s="84">
        <v>1</v>
      </c>
      <c r="M2790" s="76">
        <v>1</v>
      </c>
      <c r="Q2790" s="84">
        <v>1</v>
      </c>
      <c r="R2790" s="76">
        <v>1</v>
      </c>
    </row>
    <row r="2791" spans="2:18" s="83" customFormat="1" ht="15" hidden="1" customHeight="1" outlineLevel="2">
      <c r="B2791" s="119" t="s">
        <v>272</v>
      </c>
      <c r="C2791" s="266" t="s">
        <v>4085</v>
      </c>
      <c r="D2791" s="124" t="s">
        <v>3970</v>
      </c>
      <c r="E2791" s="125"/>
      <c r="F2791" s="118" t="s">
        <v>3955</v>
      </c>
      <c r="G2791" s="126" t="str">
        <f t="shared" si="167"/>
        <v>AR-L30P-1</v>
      </c>
      <c r="H2791" s="253">
        <v>1</v>
      </c>
      <c r="J2791" s="299" t="s">
        <v>286</v>
      </c>
      <c r="K2791" s="299"/>
      <c r="L2791" s="84">
        <v>1</v>
      </c>
      <c r="M2791" s="76">
        <v>1</v>
      </c>
      <c r="Q2791" s="84">
        <v>1</v>
      </c>
      <c r="R2791" s="76">
        <v>1</v>
      </c>
    </row>
    <row r="2792" spans="2:18" s="83" customFormat="1" ht="15" hidden="1" customHeight="1" outlineLevel="2">
      <c r="B2792" s="119" t="s">
        <v>272</v>
      </c>
      <c r="C2792" s="266" t="s">
        <v>4086</v>
      </c>
      <c r="D2792" s="124" t="s">
        <v>4087</v>
      </c>
      <c r="E2792" s="125"/>
      <c r="F2792" s="118" t="s">
        <v>3955</v>
      </c>
      <c r="G2792" s="126" t="str">
        <f t="shared" si="167"/>
        <v>AR-L30P-1</v>
      </c>
      <c r="H2792" s="253">
        <v>1</v>
      </c>
      <c r="J2792" s="299" t="s">
        <v>286</v>
      </c>
      <c r="K2792" s="299"/>
      <c r="L2792" s="84">
        <v>1</v>
      </c>
      <c r="M2792" s="76">
        <v>1</v>
      </c>
      <c r="Q2792" s="84">
        <v>1</v>
      </c>
      <c r="R2792" s="76">
        <v>1</v>
      </c>
    </row>
    <row r="2793" spans="2:18" s="83" customFormat="1" ht="15" hidden="1" customHeight="1" outlineLevel="2">
      <c r="B2793" s="119" t="s">
        <v>272</v>
      </c>
      <c r="C2793" s="266" t="s">
        <v>4088</v>
      </c>
      <c r="D2793" s="124" t="s">
        <v>3974</v>
      </c>
      <c r="E2793" s="125"/>
      <c r="F2793" s="118" t="s">
        <v>3955</v>
      </c>
      <c r="G2793" s="126" t="str">
        <f t="shared" si="167"/>
        <v>AR-L30P-1</v>
      </c>
      <c r="H2793" s="253">
        <v>1</v>
      </c>
      <c r="J2793" s="299" t="s">
        <v>286</v>
      </c>
      <c r="K2793" s="299"/>
      <c r="L2793" s="84">
        <v>1</v>
      </c>
      <c r="M2793" s="76">
        <v>1</v>
      </c>
      <c r="Q2793" s="84">
        <v>1</v>
      </c>
      <c r="R2793" s="76">
        <v>1</v>
      </c>
    </row>
    <row r="2794" spans="2:18" s="83" customFormat="1" ht="15" hidden="1" customHeight="1" outlineLevel="2">
      <c r="B2794" s="119" t="s">
        <v>272</v>
      </c>
      <c r="C2794" s="266" t="s">
        <v>4089</v>
      </c>
      <c r="D2794" s="124" t="s">
        <v>3976</v>
      </c>
      <c r="E2794" s="125"/>
      <c r="F2794" s="118" t="s">
        <v>3955</v>
      </c>
      <c r="G2794" s="126" t="str">
        <f t="shared" si="167"/>
        <v>AR-L30P-1</v>
      </c>
      <c r="H2794" s="253">
        <v>1</v>
      </c>
      <c r="J2794" s="299" t="s">
        <v>286</v>
      </c>
      <c r="K2794" s="299"/>
      <c r="L2794" s="84">
        <v>1</v>
      </c>
      <c r="M2794" s="76">
        <v>1</v>
      </c>
      <c r="Q2794" s="84">
        <v>1</v>
      </c>
      <c r="R2794" s="76">
        <v>1</v>
      </c>
    </row>
    <row r="2795" spans="2:18" s="83" customFormat="1" ht="15" hidden="1" customHeight="1" outlineLevel="2">
      <c r="B2795" s="119" t="s">
        <v>272</v>
      </c>
      <c r="C2795" s="266" t="s">
        <v>4090</v>
      </c>
      <c r="D2795" s="124" t="s">
        <v>3978</v>
      </c>
      <c r="E2795" s="125"/>
      <c r="F2795" s="118" t="s">
        <v>3955</v>
      </c>
      <c r="G2795" s="126" t="str">
        <f t="shared" si="167"/>
        <v>AR-L30P-1</v>
      </c>
      <c r="H2795" s="253">
        <v>1</v>
      </c>
      <c r="J2795" s="299" t="s">
        <v>286</v>
      </c>
      <c r="K2795" s="299"/>
      <c r="L2795" s="84">
        <v>1</v>
      </c>
      <c r="M2795" s="76">
        <v>1</v>
      </c>
      <c r="Q2795" s="84">
        <v>1</v>
      </c>
      <c r="R2795" s="76">
        <v>1</v>
      </c>
    </row>
    <row r="2796" spans="2:18" s="83" customFormat="1" ht="15" hidden="1" customHeight="1" outlineLevel="2">
      <c r="B2796" s="119" t="s">
        <v>272</v>
      </c>
      <c r="C2796" s="266" t="s">
        <v>4091</v>
      </c>
      <c r="D2796" s="124" t="s">
        <v>3513</v>
      </c>
      <c r="E2796" s="125"/>
      <c r="F2796" s="118" t="s">
        <v>3955</v>
      </c>
      <c r="G2796" s="126" t="str">
        <f t="shared" si="167"/>
        <v>AR-L30P-1</v>
      </c>
      <c r="H2796" s="253">
        <v>1</v>
      </c>
      <c r="J2796" s="299" t="s">
        <v>286</v>
      </c>
      <c r="K2796" s="299"/>
      <c r="L2796" s="84">
        <v>1</v>
      </c>
      <c r="M2796" s="76">
        <v>1</v>
      </c>
      <c r="Q2796" s="84">
        <v>1</v>
      </c>
      <c r="R2796" s="76">
        <v>1</v>
      </c>
    </row>
    <row r="2797" spans="2:18" s="83" customFormat="1" ht="15" hidden="1" customHeight="1" outlineLevel="2">
      <c r="B2797" s="119" t="s">
        <v>272</v>
      </c>
      <c r="C2797" s="266" t="s">
        <v>4092</v>
      </c>
      <c r="D2797" s="124" t="s">
        <v>3513</v>
      </c>
      <c r="E2797" s="125"/>
      <c r="F2797" s="118" t="s">
        <v>3955</v>
      </c>
      <c r="G2797" s="126" t="str">
        <f t="shared" si="167"/>
        <v>AR-L30P-1</v>
      </c>
      <c r="H2797" s="253">
        <v>1</v>
      </c>
      <c r="J2797" s="299" t="s">
        <v>286</v>
      </c>
      <c r="K2797" s="299"/>
      <c r="L2797" s="84">
        <v>1</v>
      </c>
      <c r="M2797" s="76">
        <v>1</v>
      </c>
      <c r="Q2797" s="84">
        <v>1</v>
      </c>
      <c r="R2797" s="76">
        <v>1</v>
      </c>
    </row>
    <row r="2798" spans="2:18" s="83" customFormat="1" ht="15" hidden="1" customHeight="1" outlineLevel="2">
      <c r="B2798" s="119" t="s">
        <v>272</v>
      </c>
      <c r="C2798" s="266" t="s">
        <v>4093</v>
      </c>
      <c r="D2798" s="124" t="s">
        <v>3513</v>
      </c>
      <c r="E2798" s="125"/>
      <c r="F2798" s="118" t="s">
        <v>3955</v>
      </c>
      <c r="G2798" s="126" t="str">
        <f t="shared" si="167"/>
        <v>AR-L30P-1</v>
      </c>
      <c r="H2798" s="253">
        <v>1</v>
      </c>
      <c r="J2798" s="299" t="s">
        <v>286</v>
      </c>
      <c r="K2798" s="299"/>
      <c r="L2798" s="84">
        <v>1</v>
      </c>
      <c r="M2798" s="76">
        <v>1</v>
      </c>
      <c r="Q2798" s="84">
        <v>1</v>
      </c>
      <c r="R2798" s="76">
        <v>1</v>
      </c>
    </row>
    <row r="2799" spans="2:18" s="83" customFormat="1" ht="15" hidden="1" customHeight="1" outlineLevel="2">
      <c r="B2799" s="119" t="s">
        <v>272</v>
      </c>
      <c r="C2799" s="266" t="s">
        <v>4094</v>
      </c>
      <c r="D2799" s="124" t="s">
        <v>3513</v>
      </c>
      <c r="E2799" s="125"/>
      <c r="F2799" s="118" t="s">
        <v>3955</v>
      </c>
      <c r="G2799" s="126" t="str">
        <f t="shared" si="167"/>
        <v>AR-L30P-1</v>
      </c>
      <c r="H2799" s="253">
        <v>1</v>
      </c>
      <c r="J2799" s="299" t="s">
        <v>286</v>
      </c>
      <c r="K2799" s="299"/>
      <c r="L2799" s="84">
        <v>1</v>
      </c>
      <c r="M2799" s="76">
        <v>1</v>
      </c>
      <c r="Q2799" s="84">
        <v>1</v>
      </c>
      <c r="R2799" s="76">
        <v>1</v>
      </c>
    </row>
    <row r="2800" spans="2:18" s="83" customFormat="1" ht="15" hidden="1" customHeight="1" outlineLevel="2">
      <c r="B2800" s="119" t="s">
        <v>272</v>
      </c>
      <c r="C2800" s="266" t="s">
        <v>4095</v>
      </c>
      <c r="D2800" s="124" t="s">
        <v>4004</v>
      </c>
      <c r="E2800" s="125"/>
      <c r="F2800" s="118" t="s">
        <v>3955</v>
      </c>
      <c r="G2800" s="126" t="str">
        <f t="shared" si="167"/>
        <v>AR-L30P-1</v>
      </c>
      <c r="H2800" s="253">
        <v>1</v>
      </c>
      <c r="J2800" s="299" t="s">
        <v>286</v>
      </c>
      <c r="K2800" s="299"/>
      <c r="L2800" s="84">
        <v>1</v>
      </c>
      <c r="M2800" s="76">
        <v>1</v>
      </c>
      <c r="Q2800" s="84">
        <v>1</v>
      </c>
      <c r="R2800" s="76">
        <v>1</v>
      </c>
    </row>
    <row r="2801" spans="2:18" s="83" customFormat="1" ht="15" hidden="1" customHeight="1" outlineLevel="2">
      <c r="B2801" s="119" t="s">
        <v>272</v>
      </c>
      <c r="C2801" s="266" t="s">
        <v>4096</v>
      </c>
      <c r="D2801" s="124" t="s">
        <v>4006</v>
      </c>
      <c r="E2801" s="125"/>
      <c r="F2801" s="118" t="s">
        <v>3955</v>
      </c>
      <c r="G2801" s="126" t="str">
        <f t="shared" si="167"/>
        <v>AR-L30P-1</v>
      </c>
      <c r="H2801" s="253">
        <v>1</v>
      </c>
      <c r="J2801" s="299" t="s">
        <v>286</v>
      </c>
      <c r="K2801" s="299"/>
      <c r="L2801" s="84">
        <v>1</v>
      </c>
      <c r="M2801" s="76">
        <v>1</v>
      </c>
      <c r="Q2801" s="84">
        <v>1</v>
      </c>
      <c r="R2801" s="76">
        <v>1</v>
      </c>
    </row>
    <row r="2802" spans="2:18" s="83" customFormat="1" ht="15" hidden="1" customHeight="1" outlineLevel="2">
      <c r="B2802" s="119" t="s">
        <v>272</v>
      </c>
      <c r="C2802" s="266" t="s">
        <v>4097</v>
      </c>
      <c r="D2802" s="124" t="s">
        <v>4006</v>
      </c>
      <c r="E2802" s="125"/>
      <c r="F2802" s="118" t="s">
        <v>3955</v>
      </c>
      <c r="G2802" s="126" t="str">
        <f t="shared" si="167"/>
        <v>AR-L30P-1</v>
      </c>
      <c r="H2802" s="253">
        <v>1</v>
      </c>
      <c r="J2802" s="299" t="s">
        <v>286</v>
      </c>
      <c r="K2802" s="299"/>
      <c r="L2802" s="84">
        <v>1</v>
      </c>
      <c r="M2802" s="76">
        <v>1</v>
      </c>
      <c r="Q2802" s="84">
        <v>1</v>
      </c>
      <c r="R2802" s="76">
        <v>1</v>
      </c>
    </row>
    <row r="2803" spans="2:18" s="83" customFormat="1" ht="15" hidden="1" customHeight="1" outlineLevel="2">
      <c r="B2803" s="119" t="s">
        <v>272</v>
      </c>
      <c r="C2803" s="266" t="s">
        <v>4098</v>
      </c>
      <c r="D2803" s="124" t="s">
        <v>4006</v>
      </c>
      <c r="E2803" s="125"/>
      <c r="F2803" s="118" t="s">
        <v>3955</v>
      </c>
      <c r="G2803" s="126" t="str">
        <f t="shared" si="167"/>
        <v>AR-L30P-1</v>
      </c>
      <c r="H2803" s="253">
        <v>1</v>
      </c>
      <c r="J2803" s="299" t="s">
        <v>286</v>
      </c>
      <c r="K2803" s="299"/>
      <c r="L2803" s="84">
        <v>1</v>
      </c>
      <c r="M2803" s="76">
        <v>1</v>
      </c>
      <c r="Q2803" s="84">
        <v>1</v>
      </c>
      <c r="R2803" s="76">
        <v>1</v>
      </c>
    </row>
    <row r="2804" spans="2:18" s="83" customFormat="1" ht="15" hidden="1" customHeight="1" outlineLevel="2">
      <c r="B2804" s="119" t="s">
        <v>272</v>
      </c>
      <c r="C2804" s="266" t="s">
        <v>4099</v>
      </c>
      <c r="D2804" s="124" t="s">
        <v>4100</v>
      </c>
      <c r="E2804" s="125"/>
      <c r="F2804" s="118" t="s">
        <v>3955</v>
      </c>
      <c r="G2804" s="126" t="str">
        <f t="shared" si="167"/>
        <v>AR-L30P-1</v>
      </c>
      <c r="H2804" s="253">
        <v>1</v>
      </c>
      <c r="J2804" s="299" t="s">
        <v>286</v>
      </c>
      <c r="K2804" s="299"/>
      <c r="L2804" s="84">
        <v>1</v>
      </c>
      <c r="M2804" s="76">
        <v>1</v>
      </c>
      <c r="Q2804" s="84">
        <v>1</v>
      </c>
      <c r="R2804" s="76">
        <v>1</v>
      </c>
    </row>
    <row r="2805" spans="2:18" s="99" customFormat="1" ht="15" hidden="1" customHeight="1" outlineLevel="2">
      <c r="B2805" s="119" t="s">
        <v>272</v>
      </c>
      <c r="C2805" s="266" t="s">
        <v>4101</v>
      </c>
      <c r="D2805" s="124" t="s">
        <v>4019</v>
      </c>
      <c r="E2805" s="125"/>
      <c r="F2805" s="118" t="s">
        <v>3955</v>
      </c>
      <c r="G2805" s="126" t="str">
        <f t="shared" si="167"/>
        <v>AR-L30P-1</v>
      </c>
      <c r="H2805" s="253">
        <v>1</v>
      </c>
      <c r="J2805" s="299" t="s">
        <v>286</v>
      </c>
      <c r="K2805" s="299"/>
      <c r="L2805" s="84">
        <v>1</v>
      </c>
      <c r="M2805" s="76">
        <v>1</v>
      </c>
      <c r="Q2805" s="84">
        <v>1</v>
      </c>
      <c r="R2805" s="76">
        <v>1</v>
      </c>
    </row>
    <row r="2806" spans="2:18" s="83" customFormat="1" ht="15" hidden="1" customHeight="1" outlineLevel="2">
      <c r="B2806" s="119" t="s">
        <v>272</v>
      </c>
      <c r="C2806" s="266" t="s">
        <v>4102</v>
      </c>
      <c r="D2806" s="124" t="s">
        <v>4019</v>
      </c>
      <c r="E2806" s="125"/>
      <c r="F2806" s="118" t="s">
        <v>3955</v>
      </c>
      <c r="G2806" s="126" t="str">
        <f t="shared" si="167"/>
        <v>AR-L30P-1</v>
      </c>
      <c r="H2806" s="253">
        <v>1</v>
      </c>
      <c r="J2806" s="299" t="s">
        <v>286</v>
      </c>
      <c r="K2806" s="299"/>
      <c r="L2806" s="84">
        <v>1</v>
      </c>
      <c r="M2806" s="76">
        <v>1</v>
      </c>
      <c r="Q2806" s="84">
        <v>1</v>
      </c>
      <c r="R2806" s="76">
        <v>1</v>
      </c>
    </row>
    <row r="2807" spans="2:18" s="83" customFormat="1" ht="15" hidden="1" customHeight="1" outlineLevel="2">
      <c r="B2807" s="119" t="s">
        <v>272</v>
      </c>
      <c r="C2807" s="266" t="s">
        <v>4103</v>
      </c>
      <c r="D2807" s="124" t="s">
        <v>4022</v>
      </c>
      <c r="E2807" s="125"/>
      <c r="F2807" s="118" t="s">
        <v>3955</v>
      </c>
      <c r="G2807" s="126" t="str">
        <f t="shared" si="167"/>
        <v>AR-L30P-1</v>
      </c>
      <c r="H2807" s="253">
        <v>1</v>
      </c>
      <c r="J2807" s="299" t="s">
        <v>286</v>
      </c>
      <c r="K2807" s="299"/>
      <c r="L2807" s="84">
        <v>1</v>
      </c>
      <c r="M2807" s="76">
        <v>1</v>
      </c>
      <c r="Q2807" s="84">
        <v>1</v>
      </c>
      <c r="R2807" s="76">
        <v>1</v>
      </c>
    </row>
    <row r="2808" spans="2:18" s="83" customFormat="1" ht="15" hidden="1" customHeight="1" outlineLevel="2">
      <c r="B2808" s="119" t="s">
        <v>272</v>
      </c>
      <c r="C2808" s="266" t="s">
        <v>4104</v>
      </c>
      <c r="D2808" s="124" t="s">
        <v>4022</v>
      </c>
      <c r="E2808" s="125"/>
      <c r="F2808" s="118" t="s">
        <v>3955</v>
      </c>
      <c r="G2808" s="126" t="str">
        <f t="shared" si="167"/>
        <v>AR-L30P-1</v>
      </c>
      <c r="H2808" s="253">
        <v>1</v>
      </c>
      <c r="J2808" s="299" t="s">
        <v>286</v>
      </c>
      <c r="K2808" s="299"/>
      <c r="L2808" s="84">
        <v>1</v>
      </c>
      <c r="M2808" s="76">
        <v>1</v>
      </c>
      <c r="Q2808" s="84">
        <v>1</v>
      </c>
      <c r="R2808" s="76">
        <v>1</v>
      </c>
    </row>
    <row r="2809" spans="2:18" s="83" customFormat="1" ht="15" hidden="1" customHeight="1" outlineLevel="2">
      <c r="B2809" s="119" t="s">
        <v>272</v>
      </c>
      <c r="C2809" s="266" t="s">
        <v>4105</v>
      </c>
      <c r="D2809" s="124" t="s">
        <v>4029</v>
      </c>
      <c r="E2809" s="125"/>
      <c r="F2809" s="118" t="s">
        <v>3955</v>
      </c>
      <c r="G2809" s="126" t="str">
        <f t="shared" si="167"/>
        <v>AR-L30P-1</v>
      </c>
      <c r="H2809" s="253">
        <v>1</v>
      </c>
      <c r="J2809" s="299" t="s">
        <v>286</v>
      </c>
      <c r="K2809" s="299"/>
      <c r="L2809" s="84">
        <v>1</v>
      </c>
      <c r="M2809" s="76">
        <v>1</v>
      </c>
      <c r="Q2809" s="84">
        <v>1</v>
      </c>
      <c r="R2809" s="76">
        <v>1</v>
      </c>
    </row>
    <row r="2810" spans="2:18" s="83" customFormat="1" ht="15" hidden="1" customHeight="1" outlineLevel="2">
      <c r="B2810" s="119" t="s">
        <v>272</v>
      </c>
      <c r="C2810" s="266" t="s">
        <v>4106</v>
      </c>
      <c r="D2810" s="124" t="s">
        <v>4031</v>
      </c>
      <c r="E2810" s="125"/>
      <c r="F2810" s="118" t="s">
        <v>3955</v>
      </c>
      <c r="G2810" s="126" t="str">
        <f t="shared" si="167"/>
        <v>AR-L30P-1</v>
      </c>
      <c r="H2810" s="253">
        <v>1</v>
      </c>
      <c r="J2810" s="299" t="s">
        <v>286</v>
      </c>
      <c r="K2810" s="299"/>
      <c r="L2810" s="84">
        <v>1</v>
      </c>
      <c r="M2810" s="76">
        <v>1</v>
      </c>
      <c r="Q2810" s="84">
        <v>1</v>
      </c>
      <c r="R2810" s="76">
        <v>1</v>
      </c>
    </row>
    <row r="2811" spans="2:18" s="83" customFormat="1" ht="15" hidden="1" customHeight="1" outlineLevel="2">
      <c r="B2811" s="119" t="s">
        <v>272</v>
      </c>
      <c r="C2811" s="266" t="s">
        <v>4107</v>
      </c>
      <c r="D2811" s="124" t="s">
        <v>4033</v>
      </c>
      <c r="E2811" s="125"/>
      <c r="F2811" s="118" t="s">
        <v>3955</v>
      </c>
      <c r="G2811" s="126" t="str">
        <f t="shared" si="167"/>
        <v>AR-L30P-1</v>
      </c>
      <c r="H2811" s="253">
        <v>1</v>
      </c>
      <c r="J2811" s="299" t="s">
        <v>286</v>
      </c>
      <c r="K2811" s="299"/>
      <c r="L2811" s="84">
        <v>1</v>
      </c>
      <c r="M2811" s="76">
        <v>1</v>
      </c>
      <c r="Q2811" s="84">
        <v>1</v>
      </c>
      <c r="R2811" s="76">
        <v>1</v>
      </c>
    </row>
    <row r="2812" spans="2:18" s="83" customFormat="1" ht="15" hidden="1" customHeight="1" outlineLevel="2">
      <c r="B2812" s="119" t="s">
        <v>272</v>
      </c>
      <c r="C2812" s="266" t="s">
        <v>4108</v>
      </c>
      <c r="D2812" s="124" t="s">
        <v>4035</v>
      </c>
      <c r="E2812" s="125"/>
      <c r="F2812" s="118" t="s">
        <v>3955</v>
      </c>
      <c r="G2812" s="126" t="str">
        <f t="shared" si="167"/>
        <v>AR-L30P-1</v>
      </c>
      <c r="H2812" s="253">
        <v>1</v>
      </c>
      <c r="J2812" s="299" t="s">
        <v>286</v>
      </c>
      <c r="K2812" s="299"/>
      <c r="L2812" s="84">
        <v>1</v>
      </c>
      <c r="M2812" s="76">
        <v>1</v>
      </c>
      <c r="Q2812" s="84">
        <v>1</v>
      </c>
      <c r="R2812" s="76">
        <v>1</v>
      </c>
    </row>
    <row r="2813" spans="2:18" s="83" customFormat="1" ht="15" hidden="1" customHeight="1" outlineLevel="2">
      <c r="B2813" s="119" t="s">
        <v>272</v>
      </c>
      <c r="C2813" s="266" t="s">
        <v>4109</v>
      </c>
      <c r="D2813" s="124" t="s">
        <v>4035</v>
      </c>
      <c r="E2813" s="125"/>
      <c r="F2813" s="118" t="s">
        <v>3955</v>
      </c>
      <c r="G2813" s="126" t="str">
        <f t="shared" si="167"/>
        <v>AR-L30P-1</v>
      </c>
      <c r="H2813" s="253">
        <v>1</v>
      </c>
      <c r="J2813" s="299" t="s">
        <v>286</v>
      </c>
      <c r="K2813" s="299"/>
      <c r="L2813" s="84">
        <v>1</v>
      </c>
      <c r="M2813" s="76">
        <v>1</v>
      </c>
      <c r="Q2813" s="84">
        <v>1</v>
      </c>
      <c r="R2813" s="76">
        <v>1</v>
      </c>
    </row>
    <row r="2814" spans="2:18" s="83" customFormat="1" ht="15" hidden="1" customHeight="1" outlineLevel="2">
      <c r="B2814" s="119" t="s">
        <v>272</v>
      </c>
      <c r="C2814" s="266" t="s">
        <v>4110</v>
      </c>
      <c r="D2814" s="124" t="s">
        <v>4035</v>
      </c>
      <c r="E2814" s="125"/>
      <c r="F2814" s="118" t="s">
        <v>3955</v>
      </c>
      <c r="G2814" s="126" t="str">
        <f t="shared" si="167"/>
        <v>AR-L30P-1</v>
      </c>
      <c r="H2814" s="253">
        <v>1</v>
      </c>
      <c r="J2814" s="299" t="s">
        <v>286</v>
      </c>
      <c r="K2814" s="299"/>
      <c r="L2814" s="84">
        <v>1</v>
      </c>
      <c r="M2814" s="76">
        <v>1</v>
      </c>
      <c r="Q2814" s="84">
        <v>1</v>
      </c>
      <c r="R2814" s="76">
        <v>1</v>
      </c>
    </row>
    <row r="2815" spans="2:18" s="83" customFormat="1" ht="15" hidden="1" customHeight="1" outlineLevel="2">
      <c r="B2815" s="119" t="s">
        <v>272</v>
      </c>
      <c r="C2815" s="266" t="s">
        <v>4111</v>
      </c>
      <c r="D2815" s="124" t="s">
        <v>4112</v>
      </c>
      <c r="E2815" s="125"/>
      <c r="F2815" s="118" t="s">
        <v>3955</v>
      </c>
      <c r="G2815" s="126" t="str">
        <f t="shared" si="167"/>
        <v>AR-L30P-1</v>
      </c>
      <c r="H2815" s="253">
        <v>1</v>
      </c>
      <c r="J2815" s="299" t="s">
        <v>286</v>
      </c>
      <c r="K2815" s="299"/>
      <c r="L2815" s="84">
        <v>1</v>
      </c>
      <c r="M2815" s="76">
        <v>1</v>
      </c>
      <c r="Q2815" s="84">
        <v>1</v>
      </c>
      <c r="R2815" s="76">
        <v>1</v>
      </c>
    </row>
    <row r="2816" spans="2:18" s="83" customFormat="1" ht="15" hidden="1" customHeight="1" outlineLevel="2">
      <c r="B2816" s="119" t="s">
        <v>272</v>
      </c>
      <c r="C2816" s="266" t="s">
        <v>4113</v>
      </c>
      <c r="D2816" s="124" t="s">
        <v>4041</v>
      </c>
      <c r="E2816" s="125"/>
      <c r="F2816" s="118" t="s">
        <v>3955</v>
      </c>
      <c r="G2816" s="126" t="str">
        <f t="shared" si="167"/>
        <v>AR-L30P-1</v>
      </c>
      <c r="H2816" s="253">
        <v>1</v>
      </c>
      <c r="I2816" s="76"/>
      <c r="J2816" s="299" t="s">
        <v>286</v>
      </c>
      <c r="K2816" s="299"/>
      <c r="L2816" s="84">
        <v>1</v>
      </c>
      <c r="M2816" s="76">
        <v>1</v>
      </c>
      <c r="Q2816" s="84">
        <v>1</v>
      </c>
      <c r="R2816" s="76">
        <v>1</v>
      </c>
    </row>
    <row r="2817" spans="2:18" s="83" customFormat="1" ht="15" hidden="1" customHeight="1" outlineLevel="2">
      <c r="B2817" s="119" t="s">
        <v>272</v>
      </c>
      <c r="C2817" s="266" t="s">
        <v>4114</v>
      </c>
      <c r="D2817" s="124" t="s">
        <v>4041</v>
      </c>
      <c r="E2817" s="125"/>
      <c r="F2817" s="118" t="s">
        <v>3955</v>
      </c>
      <c r="G2817" s="126" t="str">
        <f t="shared" si="167"/>
        <v>AR-L30P-1</v>
      </c>
      <c r="H2817" s="253">
        <v>1</v>
      </c>
      <c r="I2817" s="76"/>
      <c r="J2817" s="299" t="s">
        <v>286</v>
      </c>
      <c r="K2817" s="299"/>
      <c r="L2817" s="84">
        <v>1</v>
      </c>
      <c r="M2817" s="76">
        <v>1</v>
      </c>
      <c r="Q2817" s="84">
        <v>1</v>
      </c>
      <c r="R2817" s="76">
        <v>1</v>
      </c>
    </row>
    <row r="2818" spans="2:18" s="83" customFormat="1" ht="15" hidden="1" customHeight="1" outlineLevel="2">
      <c r="B2818" s="119" t="s">
        <v>272</v>
      </c>
      <c r="C2818" s="266" t="s">
        <v>4115</v>
      </c>
      <c r="D2818" s="124" t="s">
        <v>4044</v>
      </c>
      <c r="E2818" s="125"/>
      <c r="F2818" s="118" t="s">
        <v>3955</v>
      </c>
      <c r="G2818" s="126" t="str">
        <f t="shared" si="167"/>
        <v>AR-L30P-1</v>
      </c>
      <c r="H2818" s="253">
        <v>1</v>
      </c>
      <c r="I2818" s="76"/>
      <c r="J2818" s="299" t="s">
        <v>286</v>
      </c>
      <c r="K2818" s="299"/>
      <c r="L2818" s="84">
        <v>1</v>
      </c>
      <c r="M2818" s="76">
        <v>1</v>
      </c>
      <c r="Q2818" s="84">
        <v>1</v>
      </c>
      <c r="R2818" s="76">
        <v>1</v>
      </c>
    </row>
    <row r="2819" spans="2:18" s="83" customFormat="1" ht="15" hidden="1" customHeight="1" outlineLevel="2">
      <c r="B2819" s="119" t="s">
        <v>272</v>
      </c>
      <c r="C2819" s="266" t="s">
        <v>4116</v>
      </c>
      <c r="D2819" s="124" t="s">
        <v>4046</v>
      </c>
      <c r="E2819" s="125"/>
      <c r="F2819" s="118" t="s">
        <v>3955</v>
      </c>
      <c r="G2819" s="126" t="str">
        <f t="shared" si="167"/>
        <v>AR-L30P-1</v>
      </c>
      <c r="H2819" s="253">
        <v>1</v>
      </c>
      <c r="I2819" s="76"/>
      <c r="J2819" s="299" t="s">
        <v>286</v>
      </c>
      <c r="K2819" s="299"/>
      <c r="L2819" s="84">
        <v>1</v>
      </c>
      <c r="M2819" s="76">
        <v>1</v>
      </c>
      <c r="Q2819" s="84">
        <v>1</v>
      </c>
      <c r="R2819" s="76">
        <v>1</v>
      </c>
    </row>
    <row r="2820" spans="2:18" s="83" customFormat="1" ht="15" hidden="1" customHeight="1" outlineLevel="2">
      <c r="B2820" s="119" t="s">
        <v>272</v>
      </c>
      <c r="C2820" s="266" t="s">
        <v>4117</v>
      </c>
      <c r="D2820" s="124" t="s">
        <v>4048</v>
      </c>
      <c r="E2820" s="125"/>
      <c r="F2820" s="118" t="s">
        <v>3955</v>
      </c>
      <c r="G2820" s="126" t="str">
        <f t="shared" si="167"/>
        <v>AR-L30P-1</v>
      </c>
      <c r="H2820" s="253">
        <v>1</v>
      </c>
      <c r="J2820" s="299" t="s">
        <v>286</v>
      </c>
      <c r="K2820" s="299"/>
      <c r="L2820" s="84">
        <v>1</v>
      </c>
      <c r="M2820" s="76">
        <v>1</v>
      </c>
      <c r="Q2820" s="84">
        <v>1</v>
      </c>
      <c r="R2820" s="76">
        <v>1</v>
      </c>
    </row>
    <row r="2821" spans="2:18" s="83" customFormat="1" ht="15" hidden="1" customHeight="1" outlineLevel="2">
      <c r="B2821" s="119" t="s">
        <v>272</v>
      </c>
      <c r="C2821" s="266" t="s">
        <v>4118</v>
      </c>
      <c r="D2821" s="124" t="s">
        <v>4050</v>
      </c>
      <c r="E2821" s="125"/>
      <c r="F2821" s="118" t="s">
        <v>3955</v>
      </c>
      <c r="G2821" s="126" t="str">
        <f t="shared" si="167"/>
        <v>AR-L30P-1</v>
      </c>
      <c r="H2821" s="253">
        <v>1</v>
      </c>
      <c r="J2821" s="299" t="s">
        <v>286</v>
      </c>
      <c r="K2821" s="299"/>
      <c r="L2821" s="84">
        <v>1</v>
      </c>
      <c r="M2821" s="76">
        <v>1</v>
      </c>
      <c r="Q2821" s="84">
        <v>1</v>
      </c>
      <c r="R2821" s="76">
        <v>1</v>
      </c>
    </row>
    <row r="2822" spans="2:18" s="83" customFormat="1" ht="15" hidden="1" customHeight="1" outlineLevel="2">
      <c r="B2822" s="119" t="s">
        <v>272</v>
      </c>
      <c r="C2822" s="266" t="s">
        <v>4119</v>
      </c>
      <c r="D2822" s="124" t="s">
        <v>4050</v>
      </c>
      <c r="E2822" s="125"/>
      <c r="F2822" s="118" t="s">
        <v>3955</v>
      </c>
      <c r="G2822" s="126" t="str">
        <f t="shared" si="167"/>
        <v>AR-L30P-1</v>
      </c>
      <c r="H2822" s="253">
        <v>1</v>
      </c>
      <c r="J2822" s="299" t="s">
        <v>286</v>
      </c>
      <c r="K2822" s="299"/>
      <c r="L2822" s="84">
        <v>1</v>
      </c>
      <c r="M2822" s="76">
        <v>1</v>
      </c>
      <c r="Q2822" s="84">
        <v>1</v>
      </c>
      <c r="R2822" s="76">
        <v>1</v>
      </c>
    </row>
    <row r="2823" spans="2:18" s="83" customFormat="1" ht="15" hidden="1" customHeight="1" outlineLevel="2">
      <c r="B2823" s="119" t="s">
        <v>272</v>
      </c>
      <c r="C2823" s="266" t="s">
        <v>4120</v>
      </c>
      <c r="D2823" s="124" t="s">
        <v>4050</v>
      </c>
      <c r="E2823" s="125"/>
      <c r="F2823" s="118" t="s">
        <v>3955</v>
      </c>
      <c r="G2823" s="126" t="str">
        <f t="shared" si="167"/>
        <v>AR-L30P-1</v>
      </c>
      <c r="H2823" s="253">
        <v>1</v>
      </c>
      <c r="J2823" s="299" t="s">
        <v>286</v>
      </c>
      <c r="K2823" s="299"/>
      <c r="L2823" s="84">
        <v>1</v>
      </c>
      <c r="M2823" s="76">
        <v>1</v>
      </c>
      <c r="Q2823" s="84">
        <v>1</v>
      </c>
      <c r="R2823" s="76">
        <v>1</v>
      </c>
    </row>
    <row r="2824" spans="2:18" s="83" customFormat="1" ht="15" hidden="1" customHeight="1" outlineLevel="2">
      <c r="B2824" s="119" t="s">
        <v>272</v>
      </c>
      <c r="C2824" s="266" t="s">
        <v>4121</v>
      </c>
      <c r="D2824" s="124" t="s">
        <v>4054</v>
      </c>
      <c r="E2824" s="125"/>
      <c r="F2824" s="118" t="s">
        <v>3955</v>
      </c>
      <c r="G2824" s="126" t="str">
        <f t="shared" si="167"/>
        <v>AR-L30P-1</v>
      </c>
      <c r="H2824" s="253">
        <v>1</v>
      </c>
      <c r="J2824" s="299" t="s">
        <v>286</v>
      </c>
      <c r="K2824" s="299"/>
      <c r="L2824" s="84">
        <v>1</v>
      </c>
      <c r="M2824" s="76">
        <v>1</v>
      </c>
      <c r="Q2824" s="84">
        <v>1</v>
      </c>
      <c r="R2824" s="76">
        <v>1</v>
      </c>
    </row>
    <row r="2825" spans="2:18" s="83" customFormat="1" ht="15" hidden="1" customHeight="1" outlineLevel="2">
      <c r="B2825" s="119" t="s">
        <v>272</v>
      </c>
      <c r="C2825" s="266" t="s">
        <v>4122</v>
      </c>
      <c r="D2825" s="124" t="s">
        <v>4056</v>
      </c>
      <c r="E2825" s="125"/>
      <c r="F2825" s="118" t="s">
        <v>3955</v>
      </c>
      <c r="G2825" s="126" t="str">
        <f t="shared" si="167"/>
        <v>AR-L30P-1</v>
      </c>
      <c r="H2825" s="253">
        <v>1</v>
      </c>
      <c r="J2825" s="299" t="s">
        <v>286</v>
      </c>
      <c r="K2825" s="299"/>
      <c r="L2825" s="84">
        <v>1</v>
      </c>
      <c r="M2825" s="76">
        <v>1</v>
      </c>
      <c r="Q2825" s="84">
        <v>1</v>
      </c>
      <c r="R2825" s="76">
        <v>1</v>
      </c>
    </row>
    <row r="2826" spans="2:18" s="83" customFormat="1" ht="15" hidden="1" customHeight="1" outlineLevel="2">
      <c r="B2826" s="119" t="s">
        <v>272</v>
      </c>
      <c r="C2826" s="266" t="s">
        <v>4123</v>
      </c>
      <c r="D2826" s="124" t="s">
        <v>4056</v>
      </c>
      <c r="E2826" s="125"/>
      <c r="F2826" s="118" t="s">
        <v>3955</v>
      </c>
      <c r="G2826" s="126" t="str">
        <f t="shared" si="167"/>
        <v>AR-L30P-1</v>
      </c>
      <c r="H2826" s="253">
        <v>1</v>
      </c>
      <c r="J2826" s="299" t="s">
        <v>286</v>
      </c>
      <c r="K2826" s="299"/>
      <c r="L2826" s="84">
        <v>1</v>
      </c>
      <c r="M2826" s="76">
        <v>1</v>
      </c>
      <c r="Q2826" s="84">
        <v>1</v>
      </c>
      <c r="R2826" s="76">
        <v>1</v>
      </c>
    </row>
    <row r="2827" spans="2:18" s="83" customFormat="1" ht="15" hidden="1" customHeight="1" outlineLevel="2">
      <c r="B2827" s="119" t="s">
        <v>272</v>
      </c>
      <c r="C2827" s="266" t="s">
        <v>4124</v>
      </c>
      <c r="D2827" s="124" t="s">
        <v>4059</v>
      </c>
      <c r="E2827" s="125"/>
      <c r="F2827" s="118" t="s">
        <v>3955</v>
      </c>
      <c r="G2827" s="126" t="str">
        <f t="shared" si="167"/>
        <v>AR-L30P-1</v>
      </c>
      <c r="H2827" s="253">
        <v>1</v>
      </c>
      <c r="J2827" s="299" t="s">
        <v>286</v>
      </c>
      <c r="K2827" s="299"/>
      <c r="L2827" s="84">
        <v>1</v>
      </c>
      <c r="M2827" s="76">
        <v>1</v>
      </c>
      <c r="Q2827" s="84">
        <v>1</v>
      </c>
      <c r="R2827" s="76">
        <v>1</v>
      </c>
    </row>
    <row r="2828" spans="2:18" s="83" customFormat="1" ht="15" hidden="1" customHeight="1" outlineLevel="2">
      <c r="B2828" s="119" t="s">
        <v>272</v>
      </c>
      <c r="C2828" s="266" t="s">
        <v>4125</v>
      </c>
      <c r="D2828" s="124" t="s">
        <v>4061</v>
      </c>
      <c r="E2828" s="125"/>
      <c r="F2828" s="118" t="s">
        <v>3955</v>
      </c>
      <c r="G2828" s="126" t="str">
        <f t="shared" si="167"/>
        <v>AR-L30P-1</v>
      </c>
      <c r="H2828" s="253">
        <v>1</v>
      </c>
      <c r="J2828" s="299" t="s">
        <v>286</v>
      </c>
      <c r="K2828" s="299"/>
      <c r="L2828" s="84">
        <v>1</v>
      </c>
      <c r="M2828" s="76">
        <v>1</v>
      </c>
      <c r="Q2828" s="84">
        <v>1</v>
      </c>
      <c r="R2828" s="76">
        <v>1</v>
      </c>
    </row>
    <row r="2829" spans="2:18" s="83" customFormat="1" ht="15" hidden="1" customHeight="1" outlineLevel="2">
      <c r="B2829" s="119" t="s">
        <v>272</v>
      </c>
      <c r="C2829" s="266" t="s">
        <v>4126</v>
      </c>
      <c r="D2829" s="124" t="s">
        <v>4061</v>
      </c>
      <c r="E2829" s="125"/>
      <c r="F2829" s="118" t="s">
        <v>3955</v>
      </c>
      <c r="G2829" s="126" t="str">
        <f t="shared" ref="G2829:G2834" si="168">CONCATENATE("AR-",F2829,"-",H2829)</f>
        <v>AR-L30P-1</v>
      </c>
      <c r="H2829" s="253">
        <v>1</v>
      </c>
      <c r="J2829" s="299" t="s">
        <v>286</v>
      </c>
      <c r="K2829" s="299"/>
      <c r="L2829" s="84">
        <v>1</v>
      </c>
      <c r="M2829" s="76">
        <v>1</v>
      </c>
      <c r="Q2829" s="84">
        <v>1</v>
      </c>
      <c r="R2829" s="76">
        <v>1</v>
      </c>
    </row>
    <row r="2830" spans="2:18" s="83" customFormat="1" ht="15" hidden="1" customHeight="1" outlineLevel="2">
      <c r="B2830" s="119" t="s">
        <v>272</v>
      </c>
      <c r="C2830" s="266" t="s">
        <v>4127</v>
      </c>
      <c r="D2830" s="124" t="s">
        <v>4128</v>
      </c>
      <c r="E2830" s="125"/>
      <c r="F2830" s="118" t="s">
        <v>3955</v>
      </c>
      <c r="G2830" s="126" t="str">
        <f t="shared" si="168"/>
        <v>AR-L30P-1</v>
      </c>
      <c r="H2830" s="253">
        <v>1</v>
      </c>
      <c r="J2830" s="299" t="s">
        <v>286</v>
      </c>
      <c r="K2830" s="299"/>
      <c r="L2830" s="84">
        <v>1</v>
      </c>
      <c r="M2830" s="76">
        <v>1</v>
      </c>
      <c r="Q2830" s="84">
        <v>1</v>
      </c>
      <c r="R2830" s="76">
        <v>1</v>
      </c>
    </row>
    <row r="2831" spans="2:18" s="83" customFormat="1" ht="15" hidden="1" customHeight="1" outlineLevel="2">
      <c r="B2831" s="119" t="s">
        <v>272</v>
      </c>
      <c r="C2831" s="266" t="s">
        <v>4129</v>
      </c>
      <c r="D2831" s="124" t="s">
        <v>4130</v>
      </c>
      <c r="E2831" s="125"/>
      <c r="F2831" s="118" t="s">
        <v>3955</v>
      </c>
      <c r="G2831" s="126" t="str">
        <f t="shared" si="168"/>
        <v>AR-L30P-1</v>
      </c>
      <c r="H2831" s="253">
        <v>1</v>
      </c>
      <c r="J2831" s="299" t="s">
        <v>286</v>
      </c>
      <c r="K2831" s="299"/>
      <c r="L2831" s="84">
        <v>1</v>
      </c>
      <c r="M2831" s="76">
        <v>1</v>
      </c>
      <c r="Q2831" s="84">
        <v>1</v>
      </c>
      <c r="R2831" s="76">
        <v>1</v>
      </c>
    </row>
    <row r="2832" spans="2:18" s="83" customFormat="1" ht="15" hidden="1" customHeight="1" outlineLevel="2">
      <c r="B2832" s="119" t="s">
        <v>272</v>
      </c>
      <c r="C2832" s="266" t="s">
        <v>4131</v>
      </c>
      <c r="D2832" s="124" t="s">
        <v>4130</v>
      </c>
      <c r="E2832" s="125"/>
      <c r="F2832" s="118" t="s">
        <v>3955</v>
      </c>
      <c r="G2832" s="126" t="str">
        <f t="shared" si="168"/>
        <v>AR-L30P-1</v>
      </c>
      <c r="H2832" s="253">
        <v>1</v>
      </c>
      <c r="J2832" s="299" t="s">
        <v>286</v>
      </c>
      <c r="K2832" s="299"/>
      <c r="L2832" s="84">
        <v>1</v>
      </c>
      <c r="M2832" s="76">
        <v>1</v>
      </c>
      <c r="Q2832" s="84">
        <v>1</v>
      </c>
      <c r="R2832" s="76">
        <v>1</v>
      </c>
    </row>
    <row r="2833" spans="2:18" s="83" customFormat="1" ht="15" hidden="1" customHeight="1" outlineLevel="2">
      <c r="B2833" s="119" t="s">
        <v>272</v>
      </c>
      <c r="C2833" s="266" t="s">
        <v>4132</v>
      </c>
      <c r="D2833" s="124" t="s">
        <v>4133</v>
      </c>
      <c r="E2833" s="125"/>
      <c r="F2833" s="118" t="s">
        <v>3955</v>
      </c>
      <c r="G2833" s="126" t="str">
        <f t="shared" si="168"/>
        <v>AR-L30P-1</v>
      </c>
      <c r="H2833" s="253">
        <v>1</v>
      </c>
      <c r="J2833" s="299" t="s">
        <v>286</v>
      </c>
      <c r="K2833" s="299"/>
      <c r="L2833" s="84">
        <v>1</v>
      </c>
      <c r="M2833" s="76">
        <v>1</v>
      </c>
      <c r="Q2833" s="84">
        <v>1</v>
      </c>
      <c r="R2833" s="76">
        <v>1</v>
      </c>
    </row>
    <row r="2834" spans="2:18" s="83" customFormat="1" ht="15" hidden="1" customHeight="1" outlineLevel="2">
      <c r="B2834" s="119" t="s">
        <v>272</v>
      </c>
      <c r="C2834" s="266" t="s">
        <v>4134</v>
      </c>
      <c r="D2834" s="124" t="s">
        <v>4135</v>
      </c>
      <c r="E2834" s="125"/>
      <c r="F2834" s="118" t="s">
        <v>3955</v>
      </c>
      <c r="G2834" s="126" t="str">
        <f t="shared" si="168"/>
        <v>AR-L30P-1</v>
      </c>
      <c r="H2834" s="253">
        <v>1</v>
      </c>
      <c r="J2834" s="299" t="s">
        <v>286</v>
      </c>
      <c r="K2834" s="299"/>
      <c r="L2834" s="84">
        <v>1</v>
      </c>
      <c r="M2834" s="76">
        <v>1</v>
      </c>
      <c r="Q2834" s="84">
        <v>1</v>
      </c>
      <c r="R2834" s="76">
        <v>1</v>
      </c>
    </row>
    <row r="2835" spans="2:18" s="83" customFormat="1" ht="15" hidden="1" customHeight="1" outlineLevel="2">
      <c r="B2835" s="119" t="s">
        <v>272</v>
      </c>
      <c r="C2835" s="266" t="s">
        <v>4136</v>
      </c>
      <c r="D2835" s="124" t="s">
        <v>4135</v>
      </c>
      <c r="E2835" s="125"/>
      <c r="F2835" s="118" t="s">
        <v>3955</v>
      </c>
      <c r="G2835" s="126" t="str">
        <f>CONCATENATE("AR-",F2835,"-",H2835)</f>
        <v>AR-L30P-1</v>
      </c>
      <c r="H2835" s="253">
        <v>1</v>
      </c>
      <c r="J2835" s="299" t="s">
        <v>286</v>
      </c>
      <c r="K2835" s="299"/>
      <c r="L2835" s="84">
        <v>1</v>
      </c>
      <c r="M2835" s="76">
        <v>1</v>
      </c>
      <c r="Q2835" s="84">
        <v>1</v>
      </c>
      <c r="R2835" s="76">
        <v>1</v>
      </c>
    </row>
    <row r="2836" spans="2:18" s="83" customFormat="1" ht="15" hidden="1" customHeight="1" outlineLevel="2">
      <c r="B2836" s="119" t="s">
        <v>272</v>
      </c>
      <c r="C2836" s="266" t="s">
        <v>4137</v>
      </c>
      <c r="D2836" s="124" t="s">
        <v>4138</v>
      </c>
      <c r="E2836" s="125"/>
      <c r="F2836" s="118" t="s">
        <v>3955</v>
      </c>
      <c r="G2836" s="126" t="str">
        <f>CONCATENATE("AR-",F2836,"-",H2836)</f>
        <v>AR-L30P-1</v>
      </c>
      <c r="H2836" s="253">
        <v>1</v>
      </c>
      <c r="J2836" s="299" t="s">
        <v>286</v>
      </c>
      <c r="K2836" s="299"/>
      <c r="L2836" s="84">
        <v>1</v>
      </c>
      <c r="M2836" s="76">
        <v>1</v>
      </c>
      <c r="Q2836" s="84">
        <v>1</v>
      </c>
      <c r="R2836" s="76">
        <v>1</v>
      </c>
    </row>
    <row r="2837" spans="2:18" s="83" customFormat="1" ht="15" hidden="1" customHeight="1" outlineLevel="2">
      <c r="B2837" s="119" t="s">
        <v>272</v>
      </c>
      <c r="C2837" s="266" t="s">
        <v>4139</v>
      </c>
      <c r="D2837" s="124" t="s">
        <v>4138</v>
      </c>
      <c r="E2837" s="125"/>
      <c r="F2837" s="118" t="s">
        <v>3955</v>
      </c>
      <c r="G2837" s="126" t="str">
        <f>CONCATENATE("AR-",F2837,"-",H2837)</f>
        <v>AR-L30P-1</v>
      </c>
      <c r="H2837" s="253">
        <v>1</v>
      </c>
      <c r="J2837" s="299" t="s">
        <v>286</v>
      </c>
      <c r="K2837" s="299"/>
      <c r="L2837" s="84">
        <v>1</v>
      </c>
      <c r="M2837" s="76">
        <v>1</v>
      </c>
      <c r="Q2837" s="84">
        <v>1</v>
      </c>
      <c r="R2837" s="76">
        <v>1</v>
      </c>
    </row>
    <row r="2838" spans="2:18" s="83" customFormat="1" ht="15" hidden="1" customHeight="1" outlineLevel="2">
      <c r="B2838" s="119" t="s">
        <v>272</v>
      </c>
      <c r="C2838" s="266" t="s">
        <v>4140</v>
      </c>
      <c r="D2838" s="124" t="s">
        <v>4077</v>
      </c>
      <c r="E2838" s="125"/>
      <c r="F2838" s="118" t="s">
        <v>3955</v>
      </c>
      <c r="G2838" s="126" t="str">
        <f t="shared" ref="G2838:G2851" si="169">CONCATENATE("AR-",F2838,"-",H2838)</f>
        <v>AR-L30P-1</v>
      </c>
      <c r="H2838" s="253">
        <v>1</v>
      </c>
      <c r="J2838" s="299" t="s">
        <v>286</v>
      </c>
      <c r="K2838" s="299"/>
      <c r="L2838" s="84">
        <v>1</v>
      </c>
      <c r="M2838" s="76">
        <v>1</v>
      </c>
      <c r="Q2838" s="84">
        <v>1</v>
      </c>
      <c r="R2838" s="76">
        <v>1</v>
      </c>
    </row>
    <row r="2839" spans="2:18" s="83" customFormat="1" ht="15" hidden="1" customHeight="1" outlineLevel="2">
      <c r="B2839" s="119" t="s">
        <v>272</v>
      </c>
      <c r="C2839" s="266" t="s">
        <v>4141</v>
      </c>
      <c r="D2839" s="124" t="s">
        <v>4077</v>
      </c>
      <c r="E2839" s="125"/>
      <c r="F2839" s="118" t="s">
        <v>3955</v>
      </c>
      <c r="G2839" s="126" t="str">
        <f t="shared" si="169"/>
        <v>AR-L30P-1</v>
      </c>
      <c r="H2839" s="253">
        <v>1</v>
      </c>
      <c r="J2839" s="299" t="s">
        <v>286</v>
      </c>
      <c r="K2839" s="299"/>
      <c r="L2839" s="84">
        <v>1</v>
      </c>
      <c r="M2839" s="76">
        <v>1</v>
      </c>
      <c r="Q2839" s="84">
        <v>1</v>
      </c>
      <c r="R2839" s="76">
        <v>1</v>
      </c>
    </row>
    <row r="2840" spans="2:18" s="83" customFormat="1" ht="15" hidden="1" customHeight="1" outlineLevel="2">
      <c r="B2840" s="119" t="s">
        <v>272</v>
      </c>
      <c r="C2840" s="266" t="s">
        <v>4142</v>
      </c>
      <c r="D2840" s="124" t="s">
        <v>4080</v>
      </c>
      <c r="E2840" s="125"/>
      <c r="F2840" s="118" t="s">
        <v>3955</v>
      </c>
      <c r="G2840" s="126" t="str">
        <f t="shared" si="169"/>
        <v>AR-L30P-1</v>
      </c>
      <c r="H2840" s="253">
        <v>1</v>
      </c>
      <c r="J2840" s="299" t="s">
        <v>286</v>
      </c>
      <c r="K2840" s="299"/>
      <c r="L2840" s="84">
        <v>1</v>
      </c>
      <c r="M2840" s="76">
        <v>1</v>
      </c>
      <c r="Q2840" s="84">
        <v>1</v>
      </c>
      <c r="R2840" s="76">
        <v>1</v>
      </c>
    </row>
    <row r="2841" spans="2:18" s="83" customFormat="1" ht="15" hidden="1" customHeight="1" outlineLevel="2">
      <c r="B2841" s="119" t="s">
        <v>272</v>
      </c>
      <c r="C2841" s="266" t="s">
        <v>4143</v>
      </c>
      <c r="D2841" s="124" t="s">
        <v>1434</v>
      </c>
      <c r="E2841" s="125"/>
      <c r="F2841" s="118" t="s">
        <v>3955</v>
      </c>
      <c r="G2841" s="126" t="str">
        <f t="shared" si="169"/>
        <v>AR-L30P-1</v>
      </c>
      <c r="H2841" s="253">
        <v>1</v>
      </c>
      <c r="J2841" s="299" t="s">
        <v>286</v>
      </c>
      <c r="K2841" s="299"/>
      <c r="L2841" s="84">
        <v>1</v>
      </c>
      <c r="M2841" s="76">
        <v>1</v>
      </c>
      <c r="Q2841" s="84">
        <v>1</v>
      </c>
      <c r="R2841" s="76">
        <v>1</v>
      </c>
    </row>
    <row r="2842" spans="2:18" s="83" customFormat="1" ht="15" hidden="1" customHeight="1" outlineLevel="2">
      <c r="B2842" s="119" t="s">
        <v>272</v>
      </c>
      <c r="C2842" s="266" t="s">
        <v>4144</v>
      </c>
      <c r="D2842" s="124" t="s">
        <v>3964</v>
      </c>
      <c r="E2842" s="125"/>
      <c r="F2842" s="118" t="s">
        <v>3955</v>
      </c>
      <c r="G2842" s="126" t="str">
        <f t="shared" si="169"/>
        <v>AR-L30P-1</v>
      </c>
      <c r="H2842" s="253">
        <v>1</v>
      </c>
      <c r="J2842" s="299" t="s">
        <v>286</v>
      </c>
      <c r="K2842" s="299"/>
      <c r="L2842" s="84">
        <v>1</v>
      </c>
      <c r="M2842" s="76">
        <v>1</v>
      </c>
      <c r="Q2842" s="84">
        <v>1</v>
      </c>
      <c r="R2842" s="76">
        <v>1</v>
      </c>
    </row>
    <row r="2843" spans="2:18" s="83" customFormat="1" ht="15" hidden="1" customHeight="1" outlineLevel="2">
      <c r="B2843" s="119" t="s">
        <v>272</v>
      </c>
      <c r="C2843" s="266" t="s">
        <v>4145</v>
      </c>
      <c r="D2843" s="124" t="s">
        <v>3966</v>
      </c>
      <c r="E2843" s="125"/>
      <c r="F2843" s="118" t="s">
        <v>3955</v>
      </c>
      <c r="G2843" s="126" t="str">
        <f t="shared" si="169"/>
        <v>AR-L30P-1</v>
      </c>
      <c r="H2843" s="253">
        <v>1</v>
      </c>
      <c r="J2843" s="299" t="s">
        <v>286</v>
      </c>
      <c r="K2843" s="299"/>
      <c r="L2843" s="84">
        <v>1</v>
      </c>
      <c r="M2843" s="76">
        <v>1</v>
      </c>
      <c r="Q2843" s="84">
        <v>1</v>
      </c>
      <c r="R2843" s="76">
        <v>1</v>
      </c>
    </row>
    <row r="2844" spans="2:18" s="83" customFormat="1" ht="15" hidden="1" customHeight="1" outlineLevel="2">
      <c r="B2844" s="119" t="s">
        <v>272</v>
      </c>
      <c r="C2844" s="266" t="s">
        <v>4146</v>
      </c>
      <c r="D2844" s="124" t="s">
        <v>3968</v>
      </c>
      <c r="E2844" s="125"/>
      <c r="F2844" s="118" t="s">
        <v>3955</v>
      </c>
      <c r="G2844" s="126" t="str">
        <f t="shared" si="169"/>
        <v>AR-L30P-1</v>
      </c>
      <c r="H2844" s="253">
        <v>1</v>
      </c>
      <c r="J2844" s="299" t="s">
        <v>286</v>
      </c>
      <c r="K2844" s="299"/>
      <c r="L2844" s="84">
        <v>1</v>
      </c>
      <c r="M2844" s="76">
        <v>1</v>
      </c>
      <c r="Q2844" s="84">
        <v>1</v>
      </c>
      <c r="R2844" s="76">
        <v>1</v>
      </c>
    </row>
    <row r="2845" spans="2:18" s="83" customFormat="1" ht="15" hidden="1" customHeight="1" outlineLevel="2">
      <c r="B2845" s="119" t="s">
        <v>272</v>
      </c>
      <c r="C2845" s="266" t="s">
        <v>4147</v>
      </c>
      <c r="D2845" s="124" t="s">
        <v>3970</v>
      </c>
      <c r="E2845" s="125"/>
      <c r="F2845" s="118" t="s">
        <v>3955</v>
      </c>
      <c r="G2845" s="126" t="str">
        <f t="shared" si="169"/>
        <v>AR-L30P-1</v>
      </c>
      <c r="H2845" s="253">
        <v>1</v>
      </c>
      <c r="J2845" s="299" t="s">
        <v>286</v>
      </c>
      <c r="K2845" s="299"/>
      <c r="L2845" s="84">
        <v>1</v>
      </c>
      <c r="M2845" s="76">
        <v>1</v>
      </c>
      <c r="Q2845" s="84">
        <v>1</v>
      </c>
      <c r="R2845" s="76">
        <v>1</v>
      </c>
    </row>
    <row r="2846" spans="2:18" s="83" customFormat="1" ht="15" hidden="1" customHeight="1" outlineLevel="2">
      <c r="B2846" s="119" t="s">
        <v>272</v>
      </c>
      <c r="C2846" s="266" t="s">
        <v>4148</v>
      </c>
      <c r="D2846" s="124" t="s">
        <v>4087</v>
      </c>
      <c r="E2846" s="125"/>
      <c r="F2846" s="118" t="s">
        <v>3955</v>
      </c>
      <c r="G2846" s="126" t="str">
        <f t="shared" si="169"/>
        <v>AR-L30P-1</v>
      </c>
      <c r="H2846" s="253">
        <v>1</v>
      </c>
      <c r="J2846" s="299" t="s">
        <v>286</v>
      </c>
      <c r="K2846" s="299"/>
      <c r="L2846" s="84">
        <v>1</v>
      </c>
      <c r="M2846" s="76">
        <v>1</v>
      </c>
      <c r="Q2846" s="84">
        <v>1</v>
      </c>
      <c r="R2846" s="76">
        <v>1</v>
      </c>
    </row>
    <row r="2847" spans="2:18" s="83" customFormat="1" ht="15" hidden="1" customHeight="1" outlineLevel="2">
      <c r="B2847" s="119" t="s">
        <v>272</v>
      </c>
      <c r="C2847" s="266" t="s">
        <v>4149</v>
      </c>
      <c r="D2847" s="124" t="s">
        <v>3974</v>
      </c>
      <c r="E2847" s="125"/>
      <c r="F2847" s="118" t="s">
        <v>3955</v>
      </c>
      <c r="G2847" s="126" t="str">
        <f t="shared" si="169"/>
        <v>AR-L30P-1</v>
      </c>
      <c r="H2847" s="253">
        <v>1</v>
      </c>
      <c r="J2847" s="299" t="s">
        <v>286</v>
      </c>
      <c r="K2847" s="299"/>
      <c r="L2847" s="84">
        <v>1</v>
      </c>
      <c r="M2847" s="76">
        <v>1</v>
      </c>
      <c r="Q2847" s="84">
        <v>1</v>
      </c>
      <c r="R2847" s="76">
        <v>1</v>
      </c>
    </row>
    <row r="2848" spans="2:18" s="83" customFormat="1" ht="15" hidden="1" customHeight="1" outlineLevel="2">
      <c r="B2848" s="119" t="s">
        <v>272</v>
      </c>
      <c r="C2848" s="266" t="s">
        <v>4150</v>
      </c>
      <c r="D2848" s="124" t="s">
        <v>3976</v>
      </c>
      <c r="E2848" s="125"/>
      <c r="F2848" s="118" t="s">
        <v>3955</v>
      </c>
      <c r="G2848" s="126" t="str">
        <f t="shared" si="169"/>
        <v>AR-L30P-1</v>
      </c>
      <c r="H2848" s="253">
        <v>1</v>
      </c>
      <c r="J2848" s="299" t="s">
        <v>286</v>
      </c>
      <c r="K2848" s="299"/>
      <c r="L2848" s="84">
        <v>1</v>
      </c>
      <c r="M2848" s="76">
        <v>1</v>
      </c>
      <c r="Q2848" s="84">
        <v>1</v>
      </c>
      <c r="R2848" s="76">
        <v>1</v>
      </c>
    </row>
    <row r="2849" spans="2:18" s="83" customFormat="1" ht="15" hidden="1" customHeight="1" outlineLevel="2">
      <c r="B2849" s="119" t="s">
        <v>272</v>
      </c>
      <c r="C2849" s="266" t="s">
        <v>4151</v>
      </c>
      <c r="D2849" s="124" t="s">
        <v>3978</v>
      </c>
      <c r="E2849" s="125"/>
      <c r="F2849" s="118" t="s">
        <v>3955</v>
      </c>
      <c r="G2849" s="126" t="str">
        <f t="shared" si="169"/>
        <v>AR-L30P-1</v>
      </c>
      <c r="H2849" s="253">
        <v>1</v>
      </c>
      <c r="J2849" s="299" t="s">
        <v>286</v>
      </c>
      <c r="K2849" s="299"/>
      <c r="L2849" s="84">
        <v>1</v>
      </c>
      <c r="M2849" s="76">
        <v>1</v>
      </c>
      <c r="Q2849" s="84">
        <v>1</v>
      </c>
      <c r="R2849" s="76">
        <v>1</v>
      </c>
    </row>
    <row r="2850" spans="2:18" s="83" customFormat="1" ht="15" hidden="1" customHeight="1" outlineLevel="2">
      <c r="B2850" s="119" t="s">
        <v>272</v>
      </c>
      <c r="C2850" s="266" t="s">
        <v>4152</v>
      </c>
      <c r="D2850" s="124" t="s">
        <v>3980</v>
      </c>
      <c r="E2850" s="125"/>
      <c r="F2850" s="118" t="s">
        <v>3955</v>
      </c>
      <c r="G2850" s="126" t="str">
        <f t="shared" si="169"/>
        <v>AR-L30P-1</v>
      </c>
      <c r="H2850" s="253">
        <v>1</v>
      </c>
      <c r="J2850" s="299" t="s">
        <v>286</v>
      </c>
      <c r="K2850" s="299"/>
      <c r="L2850" s="84">
        <v>1</v>
      </c>
      <c r="M2850" s="76">
        <v>1</v>
      </c>
      <c r="Q2850" s="84">
        <v>1</v>
      </c>
      <c r="R2850" s="76">
        <v>1</v>
      </c>
    </row>
    <row r="2851" spans="2:18" s="83" customFormat="1" ht="15" hidden="1" customHeight="1" outlineLevel="2">
      <c r="B2851" s="119" t="s">
        <v>272</v>
      </c>
      <c r="C2851" s="266" t="s">
        <v>4153</v>
      </c>
      <c r="D2851" s="124" t="s">
        <v>3982</v>
      </c>
      <c r="E2851" s="125"/>
      <c r="F2851" s="118" t="s">
        <v>3955</v>
      </c>
      <c r="G2851" s="126" t="str">
        <f t="shared" si="169"/>
        <v>AR-L30P-1</v>
      </c>
      <c r="H2851" s="253">
        <v>1</v>
      </c>
      <c r="J2851" s="299" t="s">
        <v>286</v>
      </c>
      <c r="K2851" s="299"/>
      <c r="L2851" s="84">
        <v>1</v>
      </c>
      <c r="M2851" s="76">
        <v>1</v>
      </c>
      <c r="Q2851" s="84">
        <v>1</v>
      </c>
      <c r="R2851" s="76">
        <v>1</v>
      </c>
    </row>
    <row r="2852" spans="2:18" s="83" customFormat="1" ht="15" hidden="1" customHeight="1" outlineLevel="2">
      <c r="B2852" s="119" t="s">
        <v>272</v>
      </c>
      <c r="C2852" s="266" t="s">
        <v>4154</v>
      </c>
      <c r="D2852" s="124" t="s">
        <v>3986</v>
      </c>
      <c r="E2852" s="125"/>
      <c r="F2852" s="118" t="s">
        <v>3955</v>
      </c>
      <c r="G2852" s="126" t="str">
        <f t="shared" ref="G2852:G2857" si="170">CONCATENATE("AR-",F2852,"-",H2852)</f>
        <v>AR-L30P-1</v>
      </c>
      <c r="H2852" s="253">
        <v>1</v>
      </c>
      <c r="J2852" s="299" t="s">
        <v>286</v>
      </c>
      <c r="K2852" s="299"/>
      <c r="L2852" s="84">
        <v>1</v>
      </c>
      <c r="M2852" s="76">
        <v>1</v>
      </c>
      <c r="Q2852" s="84">
        <v>1</v>
      </c>
      <c r="R2852" s="76">
        <v>1</v>
      </c>
    </row>
    <row r="2853" spans="2:18" s="83" customFormat="1" ht="15" hidden="1" customHeight="1" outlineLevel="2">
      <c r="B2853" s="119" t="s">
        <v>272</v>
      </c>
      <c r="C2853" s="266" t="s">
        <v>4155</v>
      </c>
      <c r="D2853" s="124" t="s">
        <v>3988</v>
      </c>
      <c r="E2853" s="125"/>
      <c r="F2853" s="118" t="s">
        <v>3955</v>
      </c>
      <c r="G2853" s="126" t="str">
        <f t="shared" si="170"/>
        <v>AR-L30P-1</v>
      </c>
      <c r="H2853" s="253">
        <v>1</v>
      </c>
      <c r="J2853" s="299" t="s">
        <v>286</v>
      </c>
      <c r="K2853" s="299"/>
      <c r="L2853" s="84">
        <v>1</v>
      </c>
      <c r="M2853" s="76">
        <v>1</v>
      </c>
      <c r="Q2853" s="84">
        <v>1</v>
      </c>
      <c r="R2853" s="76">
        <v>1</v>
      </c>
    </row>
    <row r="2854" spans="2:18" s="83" customFormat="1" ht="15" hidden="1" customHeight="1" outlineLevel="2">
      <c r="B2854" s="119" t="s">
        <v>272</v>
      </c>
      <c r="C2854" s="266" t="s">
        <v>4156</v>
      </c>
      <c r="D2854" s="124" t="s">
        <v>3990</v>
      </c>
      <c r="E2854" s="125"/>
      <c r="F2854" s="118" t="s">
        <v>3955</v>
      </c>
      <c r="G2854" s="126" t="str">
        <f t="shared" si="170"/>
        <v>AR-L30P-1</v>
      </c>
      <c r="H2854" s="253">
        <v>1</v>
      </c>
      <c r="J2854" s="299" t="s">
        <v>286</v>
      </c>
      <c r="K2854" s="299"/>
      <c r="L2854" s="84">
        <v>1</v>
      </c>
      <c r="M2854" s="76">
        <v>1</v>
      </c>
      <c r="Q2854" s="84">
        <v>1</v>
      </c>
      <c r="R2854" s="76">
        <v>1</v>
      </c>
    </row>
    <row r="2855" spans="2:18" s="83" customFormat="1" ht="15" hidden="1" customHeight="1" outlineLevel="2">
      <c r="B2855" s="119" t="s">
        <v>272</v>
      </c>
      <c r="C2855" s="266" t="s">
        <v>4157</v>
      </c>
      <c r="D2855" s="124" t="s">
        <v>3992</v>
      </c>
      <c r="E2855" s="125"/>
      <c r="F2855" s="118" t="s">
        <v>3955</v>
      </c>
      <c r="G2855" s="126" t="str">
        <f t="shared" si="170"/>
        <v>AR-L30P-1</v>
      </c>
      <c r="H2855" s="253">
        <v>1</v>
      </c>
      <c r="J2855" s="299" t="s">
        <v>286</v>
      </c>
      <c r="K2855" s="299"/>
      <c r="L2855" s="84">
        <v>1</v>
      </c>
      <c r="M2855" s="76">
        <v>1</v>
      </c>
      <c r="Q2855" s="84">
        <v>1</v>
      </c>
      <c r="R2855" s="76">
        <v>1</v>
      </c>
    </row>
    <row r="2856" spans="2:18" s="83" customFormat="1" ht="15" hidden="1" customHeight="1" outlineLevel="2">
      <c r="B2856" s="119" t="s">
        <v>272</v>
      </c>
      <c r="C2856" s="266" t="s">
        <v>4158</v>
      </c>
      <c r="D2856" s="124" t="s">
        <v>3992</v>
      </c>
      <c r="E2856" s="125"/>
      <c r="F2856" s="118" t="s">
        <v>3955</v>
      </c>
      <c r="G2856" s="126" t="str">
        <f t="shared" si="170"/>
        <v>AR-L30P-1</v>
      </c>
      <c r="H2856" s="253">
        <v>1</v>
      </c>
      <c r="J2856" s="299" t="s">
        <v>286</v>
      </c>
      <c r="K2856" s="299"/>
      <c r="L2856" s="84">
        <v>1</v>
      </c>
      <c r="M2856" s="76">
        <v>1</v>
      </c>
      <c r="Q2856" s="84">
        <v>1</v>
      </c>
      <c r="R2856" s="76">
        <v>1</v>
      </c>
    </row>
    <row r="2857" spans="2:18" s="83" customFormat="1" ht="15" hidden="1" customHeight="1" outlineLevel="2">
      <c r="B2857" s="119" t="s">
        <v>272</v>
      </c>
      <c r="C2857" s="266" t="s">
        <v>4159</v>
      </c>
      <c r="D2857" s="124" t="s">
        <v>3984</v>
      </c>
      <c r="E2857" s="125"/>
      <c r="F2857" s="118" t="s">
        <v>3955</v>
      </c>
      <c r="G2857" s="126" t="str">
        <f t="shared" si="170"/>
        <v>AR-L30P-1</v>
      </c>
      <c r="H2857" s="253">
        <v>1</v>
      </c>
      <c r="J2857" s="299" t="s">
        <v>286</v>
      </c>
      <c r="K2857" s="299"/>
      <c r="L2857" s="84">
        <v>1</v>
      </c>
      <c r="M2857" s="76">
        <v>1</v>
      </c>
      <c r="Q2857" s="84">
        <v>1</v>
      </c>
      <c r="R2857" s="76">
        <v>1</v>
      </c>
    </row>
    <row r="2858" spans="2:18" s="83" customFormat="1" ht="15" hidden="1" customHeight="1" outlineLevel="2">
      <c r="B2858" s="119" t="s">
        <v>272</v>
      </c>
      <c r="C2858" s="266" t="s">
        <v>4160</v>
      </c>
      <c r="D2858" s="124" t="s">
        <v>3995</v>
      </c>
      <c r="E2858" s="125"/>
      <c r="F2858" s="118" t="s">
        <v>3955</v>
      </c>
      <c r="G2858" s="126" t="str">
        <f t="shared" ref="G2858:G2898" si="171">CONCATENATE("AR-",F2858,"-",H2858)</f>
        <v>AR-L30P-1</v>
      </c>
      <c r="H2858" s="253">
        <v>1</v>
      </c>
      <c r="J2858" s="299" t="s">
        <v>286</v>
      </c>
      <c r="K2858" s="299"/>
      <c r="L2858" s="84">
        <v>1</v>
      </c>
      <c r="M2858" s="76">
        <v>1</v>
      </c>
      <c r="Q2858" s="84">
        <v>1</v>
      </c>
      <c r="R2858" s="76">
        <v>1</v>
      </c>
    </row>
    <row r="2859" spans="2:18" s="83" customFormat="1" ht="15" hidden="1" customHeight="1" outlineLevel="2">
      <c r="B2859" s="119" t="s">
        <v>272</v>
      </c>
      <c r="C2859" s="266" t="s">
        <v>4161</v>
      </c>
      <c r="D2859" s="124" t="s">
        <v>3995</v>
      </c>
      <c r="E2859" s="125"/>
      <c r="F2859" s="118" t="s">
        <v>3955</v>
      </c>
      <c r="G2859" s="126" t="str">
        <f t="shared" si="171"/>
        <v>AR-L30P-1</v>
      </c>
      <c r="H2859" s="253">
        <v>1</v>
      </c>
      <c r="J2859" s="299" t="s">
        <v>286</v>
      </c>
      <c r="K2859" s="299"/>
      <c r="L2859" s="84">
        <v>1</v>
      </c>
      <c r="M2859" s="76">
        <v>1</v>
      </c>
      <c r="Q2859" s="84">
        <v>1</v>
      </c>
      <c r="R2859" s="76">
        <v>1</v>
      </c>
    </row>
    <row r="2860" spans="2:18" s="100" customFormat="1" ht="15" hidden="1" customHeight="1" outlineLevel="2">
      <c r="B2860" s="119" t="s">
        <v>272</v>
      </c>
      <c r="C2860" s="266" t="s">
        <v>4162</v>
      </c>
      <c r="D2860" s="124" t="s">
        <v>3513</v>
      </c>
      <c r="E2860" s="125"/>
      <c r="F2860" s="118" t="s">
        <v>3955</v>
      </c>
      <c r="G2860" s="126" t="str">
        <f t="shared" si="171"/>
        <v>AR-L30P-1</v>
      </c>
      <c r="H2860" s="253">
        <v>1</v>
      </c>
      <c r="J2860" s="299" t="s">
        <v>286</v>
      </c>
      <c r="K2860" s="299"/>
      <c r="L2860" s="84">
        <v>1</v>
      </c>
      <c r="M2860" s="76">
        <v>1</v>
      </c>
      <c r="Q2860" s="84">
        <v>1</v>
      </c>
      <c r="R2860" s="76">
        <v>1</v>
      </c>
    </row>
    <row r="2861" spans="2:18" s="83" customFormat="1" ht="15" hidden="1" customHeight="1" outlineLevel="2">
      <c r="B2861" s="119" t="s">
        <v>272</v>
      </c>
      <c r="C2861" s="266" t="s">
        <v>4163</v>
      </c>
      <c r="D2861" s="124" t="s">
        <v>3513</v>
      </c>
      <c r="E2861" s="125"/>
      <c r="F2861" s="118" t="s">
        <v>3955</v>
      </c>
      <c r="G2861" s="126" t="str">
        <f t="shared" si="171"/>
        <v>AR-L30P-1</v>
      </c>
      <c r="H2861" s="253">
        <v>1</v>
      </c>
      <c r="J2861" s="299" t="s">
        <v>286</v>
      </c>
      <c r="K2861" s="299"/>
      <c r="L2861" s="84">
        <v>1</v>
      </c>
      <c r="M2861" s="76">
        <v>1</v>
      </c>
      <c r="Q2861" s="84">
        <v>1</v>
      </c>
      <c r="R2861" s="76">
        <v>1</v>
      </c>
    </row>
    <row r="2862" spans="2:18" s="83" customFormat="1" ht="15" hidden="1" customHeight="1" outlineLevel="2">
      <c r="B2862" s="119" t="s">
        <v>272</v>
      </c>
      <c r="C2862" s="266" t="s">
        <v>4164</v>
      </c>
      <c r="D2862" s="124" t="s">
        <v>3513</v>
      </c>
      <c r="E2862" s="125"/>
      <c r="F2862" s="118" t="s">
        <v>3955</v>
      </c>
      <c r="G2862" s="126" t="str">
        <f t="shared" si="171"/>
        <v>AR-L30P-1</v>
      </c>
      <c r="H2862" s="253">
        <v>1</v>
      </c>
      <c r="J2862" s="299" t="s">
        <v>286</v>
      </c>
      <c r="K2862" s="299"/>
      <c r="L2862" s="84">
        <v>1</v>
      </c>
      <c r="M2862" s="76">
        <v>1</v>
      </c>
      <c r="Q2862" s="84">
        <v>1</v>
      </c>
      <c r="R2862" s="76">
        <v>1</v>
      </c>
    </row>
    <row r="2863" spans="2:18" s="83" customFormat="1" ht="15" hidden="1" customHeight="1" outlineLevel="2">
      <c r="B2863" s="119" t="s">
        <v>272</v>
      </c>
      <c r="C2863" s="266" t="s">
        <v>4165</v>
      </c>
      <c r="D2863" s="124" t="s">
        <v>3513</v>
      </c>
      <c r="E2863" s="125"/>
      <c r="F2863" s="118" t="s">
        <v>3955</v>
      </c>
      <c r="G2863" s="126" t="str">
        <f t="shared" si="171"/>
        <v>AR-L30P-1</v>
      </c>
      <c r="H2863" s="253">
        <v>1</v>
      </c>
      <c r="J2863" s="299" t="s">
        <v>286</v>
      </c>
      <c r="K2863" s="299"/>
      <c r="L2863" s="84">
        <v>1</v>
      </c>
      <c r="M2863" s="76">
        <v>1</v>
      </c>
      <c r="Q2863" s="84">
        <v>1</v>
      </c>
      <c r="R2863" s="76">
        <v>1</v>
      </c>
    </row>
    <row r="2864" spans="2:18" s="83" customFormat="1" ht="15" hidden="1" customHeight="1" outlineLevel="2">
      <c r="B2864" s="119" t="s">
        <v>272</v>
      </c>
      <c r="C2864" s="266" t="s">
        <v>4166</v>
      </c>
      <c r="D2864" s="124" t="s">
        <v>4167</v>
      </c>
      <c r="E2864" s="125"/>
      <c r="F2864" s="118" t="s">
        <v>3955</v>
      </c>
      <c r="G2864" s="126" t="str">
        <f t="shared" si="171"/>
        <v>AR-L30P-1</v>
      </c>
      <c r="H2864" s="253">
        <v>1</v>
      </c>
      <c r="J2864" s="299" t="s">
        <v>286</v>
      </c>
      <c r="K2864" s="299"/>
      <c r="L2864" s="84">
        <v>1</v>
      </c>
      <c r="M2864" s="76">
        <v>1</v>
      </c>
      <c r="Q2864" s="84">
        <v>1</v>
      </c>
      <c r="R2864" s="76">
        <v>1</v>
      </c>
    </row>
    <row r="2865" spans="2:18" s="83" customFormat="1" ht="15" hidden="1" customHeight="1" outlineLevel="2">
      <c r="B2865" s="119" t="s">
        <v>272</v>
      </c>
      <c r="C2865" s="266" t="s">
        <v>4168</v>
      </c>
      <c r="D2865" s="124" t="s">
        <v>4169</v>
      </c>
      <c r="E2865" s="125"/>
      <c r="F2865" s="118" t="s">
        <v>3955</v>
      </c>
      <c r="G2865" s="126" t="str">
        <f t="shared" si="171"/>
        <v>AR-L30P-1</v>
      </c>
      <c r="H2865" s="253">
        <v>1</v>
      </c>
      <c r="J2865" s="299" t="s">
        <v>286</v>
      </c>
      <c r="K2865" s="299"/>
      <c r="L2865" s="84">
        <v>1</v>
      </c>
      <c r="M2865" s="76">
        <v>1</v>
      </c>
      <c r="Q2865" s="84">
        <v>1</v>
      </c>
      <c r="R2865" s="76">
        <v>1</v>
      </c>
    </row>
    <row r="2866" spans="2:18" s="83" customFormat="1" ht="15" hidden="1" customHeight="1" outlineLevel="2">
      <c r="B2866" s="119" t="s">
        <v>272</v>
      </c>
      <c r="C2866" s="266" t="s">
        <v>4170</v>
      </c>
      <c r="D2866" s="124" t="s">
        <v>2293</v>
      </c>
      <c r="E2866" s="125"/>
      <c r="F2866" s="118" t="s">
        <v>3955</v>
      </c>
      <c r="G2866" s="126" t="str">
        <f t="shared" si="171"/>
        <v>AR-L30P-1</v>
      </c>
      <c r="H2866" s="253">
        <v>1</v>
      </c>
      <c r="J2866" s="299" t="s">
        <v>286</v>
      </c>
      <c r="K2866" s="299"/>
      <c r="L2866" s="84">
        <v>1</v>
      </c>
      <c r="M2866" s="76">
        <v>1</v>
      </c>
      <c r="Q2866" s="84">
        <v>1</v>
      </c>
      <c r="R2866" s="76">
        <v>1</v>
      </c>
    </row>
    <row r="2867" spans="2:18" s="83" customFormat="1" ht="15" hidden="1" customHeight="1" outlineLevel="2">
      <c r="B2867" s="119" t="s">
        <v>272</v>
      </c>
      <c r="C2867" s="266" t="s">
        <v>4171</v>
      </c>
      <c r="D2867" s="124" t="s">
        <v>2730</v>
      </c>
      <c r="E2867" s="125"/>
      <c r="F2867" s="118" t="s">
        <v>3955</v>
      </c>
      <c r="G2867" s="126" t="str">
        <f t="shared" si="171"/>
        <v>AR-L30P-1</v>
      </c>
      <c r="H2867" s="253">
        <v>1</v>
      </c>
      <c r="J2867" s="299" t="s">
        <v>286</v>
      </c>
      <c r="K2867" s="299"/>
      <c r="L2867" s="84">
        <v>1</v>
      </c>
      <c r="M2867" s="76">
        <v>1</v>
      </c>
      <c r="Q2867" s="84">
        <v>1</v>
      </c>
      <c r="R2867" s="76">
        <v>1</v>
      </c>
    </row>
    <row r="2868" spans="2:18" s="83" customFormat="1" ht="15" hidden="1" customHeight="1" outlineLevel="2">
      <c r="B2868" s="119" t="s">
        <v>272</v>
      </c>
      <c r="C2868" s="266" t="s">
        <v>4172</v>
      </c>
      <c r="D2868" s="124" t="s">
        <v>2295</v>
      </c>
      <c r="E2868" s="125"/>
      <c r="F2868" s="118" t="s">
        <v>3955</v>
      </c>
      <c r="G2868" s="126" t="str">
        <f t="shared" si="171"/>
        <v>AR-L30P-1</v>
      </c>
      <c r="H2868" s="253">
        <v>1</v>
      </c>
      <c r="J2868" s="299" t="s">
        <v>286</v>
      </c>
      <c r="K2868" s="299"/>
      <c r="L2868" s="84">
        <v>1</v>
      </c>
      <c r="M2868" s="76">
        <v>1</v>
      </c>
      <c r="Q2868" s="84">
        <v>1</v>
      </c>
      <c r="R2868" s="76">
        <v>1</v>
      </c>
    </row>
    <row r="2869" spans="2:18" s="83" customFormat="1" ht="15" hidden="1" customHeight="1" outlineLevel="2">
      <c r="B2869" s="119" t="s">
        <v>272</v>
      </c>
      <c r="C2869" s="266" t="s">
        <v>4173</v>
      </c>
      <c r="D2869" s="124" t="s">
        <v>4174</v>
      </c>
      <c r="E2869" s="125"/>
      <c r="F2869" s="118" t="s">
        <v>3955</v>
      </c>
      <c r="G2869" s="126" t="str">
        <f t="shared" si="171"/>
        <v>AR-L30P-1</v>
      </c>
      <c r="H2869" s="253">
        <v>1</v>
      </c>
      <c r="J2869" s="299" t="s">
        <v>286</v>
      </c>
      <c r="K2869" s="299"/>
      <c r="L2869" s="84">
        <v>1</v>
      </c>
      <c r="M2869" s="76">
        <v>1</v>
      </c>
      <c r="Q2869" s="84">
        <v>1</v>
      </c>
      <c r="R2869" s="76">
        <v>1</v>
      </c>
    </row>
    <row r="2870" spans="2:18" s="83" customFormat="1" ht="15" hidden="1" customHeight="1" outlineLevel="2">
      <c r="B2870" s="119" t="s">
        <v>272</v>
      </c>
      <c r="C2870" s="266" t="s">
        <v>4175</v>
      </c>
      <c r="D2870" s="124" t="s">
        <v>4176</v>
      </c>
      <c r="E2870" s="125"/>
      <c r="F2870" s="118" t="s">
        <v>3955</v>
      </c>
      <c r="G2870" s="126" t="str">
        <f t="shared" si="171"/>
        <v>AR-L30P-1</v>
      </c>
      <c r="H2870" s="253">
        <v>1</v>
      </c>
      <c r="J2870" s="299" t="s">
        <v>286</v>
      </c>
      <c r="K2870" s="299"/>
      <c r="L2870" s="84">
        <v>1</v>
      </c>
      <c r="M2870" s="76">
        <v>1</v>
      </c>
      <c r="Q2870" s="84">
        <v>1</v>
      </c>
      <c r="R2870" s="76">
        <v>1</v>
      </c>
    </row>
    <row r="2871" spans="2:18" s="83" customFormat="1" ht="15" hidden="1" customHeight="1" outlineLevel="2">
      <c r="B2871" s="119" t="s">
        <v>272</v>
      </c>
      <c r="C2871" s="266" t="s">
        <v>4177</v>
      </c>
      <c r="D2871" s="124" t="s">
        <v>4178</v>
      </c>
      <c r="E2871" s="125"/>
      <c r="F2871" s="118" t="s">
        <v>3955</v>
      </c>
      <c r="G2871" s="126" t="str">
        <f t="shared" si="171"/>
        <v>AR-L30P-1</v>
      </c>
      <c r="H2871" s="253">
        <v>1</v>
      </c>
      <c r="J2871" s="299" t="s">
        <v>286</v>
      </c>
      <c r="K2871" s="299"/>
      <c r="L2871" s="84">
        <v>1</v>
      </c>
      <c r="M2871" s="76">
        <v>1</v>
      </c>
      <c r="Q2871" s="84">
        <v>1</v>
      </c>
      <c r="R2871" s="76">
        <v>1</v>
      </c>
    </row>
    <row r="2872" spans="2:18" s="83" customFormat="1" ht="15" hidden="1" customHeight="1" outlineLevel="2">
      <c r="B2872" s="119" t="s">
        <v>272</v>
      </c>
      <c r="C2872" s="266" t="s">
        <v>4179</v>
      </c>
      <c r="D2872" s="124" t="s">
        <v>4180</v>
      </c>
      <c r="E2872" s="125"/>
      <c r="F2872" s="118" t="s">
        <v>3955</v>
      </c>
      <c r="G2872" s="126" t="str">
        <f t="shared" si="171"/>
        <v>AR-L30P-1</v>
      </c>
      <c r="H2872" s="253">
        <v>1</v>
      </c>
      <c r="J2872" s="299" t="s">
        <v>286</v>
      </c>
      <c r="K2872" s="299"/>
      <c r="L2872" s="84">
        <v>1</v>
      </c>
      <c r="M2872" s="76">
        <v>1</v>
      </c>
      <c r="Q2872" s="84">
        <v>1</v>
      </c>
      <c r="R2872" s="76">
        <v>1</v>
      </c>
    </row>
    <row r="2873" spans="2:18" s="83" customFormat="1" ht="15" hidden="1" customHeight="1" outlineLevel="2">
      <c r="B2873" s="119" t="s">
        <v>272</v>
      </c>
      <c r="C2873" s="266" t="s">
        <v>4181</v>
      </c>
      <c r="D2873" s="124" t="s">
        <v>4182</v>
      </c>
      <c r="E2873" s="125"/>
      <c r="F2873" s="118" t="s">
        <v>3955</v>
      </c>
      <c r="G2873" s="126" t="str">
        <f t="shared" si="171"/>
        <v>AR-L30P-1</v>
      </c>
      <c r="H2873" s="253">
        <v>1</v>
      </c>
      <c r="J2873" s="299" t="s">
        <v>286</v>
      </c>
      <c r="K2873" s="299"/>
      <c r="L2873" s="84">
        <v>1</v>
      </c>
      <c r="M2873" s="76">
        <v>1</v>
      </c>
      <c r="Q2873" s="84">
        <v>1</v>
      </c>
      <c r="R2873" s="76">
        <v>1</v>
      </c>
    </row>
    <row r="2874" spans="2:18" s="83" customFormat="1" ht="15" hidden="1" customHeight="1" outlineLevel="2">
      <c r="B2874" s="119" t="s">
        <v>272</v>
      </c>
      <c r="C2874" s="266" t="s">
        <v>4183</v>
      </c>
      <c r="D2874" s="124" t="s">
        <v>4184</v>
      </c>
      <c r="E2874" s="125"/>
      <c r="F2874" s="118" t="s">
        <v>3955</v>
      </c>
      <c r="G2874" s="126" t="str">
        <f t="shared" si="171"/>
        <v>AR-L30P-1</v>
      </c>
      <c r="H2874" s="253">
        <v>1</v>
      </c>
      <c r="J2874" s="299" t="s">
        <v>286</v>
      </c>
      <c r="K2874" s="299"/>
      <c r="L2874" s="84">
        <v>1</v>
      </c>
      <c r="M2874" s="76">
        <v>1</v>
      </c>
      <c r="Q2874" s="84">
        <v>1</v>
      </c>
      <c r="R2874" s="76">
        <v>1</v>
      </c>
    </row>
    <row r="2875" spans="2:18" s="99" customFormat="1" ht="15" hidden="1" customHeight="1" outlineLevel="2">
      <c r="B2875" s="119" t="s">
        <v>272</v>
      </c>
      <c r="C2875" s="266" t="s">
        <v>4185</v>
      </c>
      <c r="D2875" s="124" t="s">
        <v>2751</v>
      </c>
      <c r="E2875" s="125"/>
      <c r="F2875" s="118" t="s">
        <v>3955</v>
      </c>
      <c r="G2875" s="126" t="str">
        <f t="shared" si="171"/>
        <v>AR-L30P-1</v>
      </c>
      <c r="H2875" s="253">
        <v>1</v>
      </c>
      <c r="J2875" s="299" t="s">
        <v>286</v>
      </c>
      <c r="K2875" s="299"/>
      <c r="L2875" s="84">
        <v>1</v>
      </c>
      <c r="M2875" s="76">
        <v>1</v>
      </c>
      <c r="Q2875" s="84">
        <v>1</v>
      </c>
      <c r="R2875" s="76">
        <v>1</v>
      </c>
    </row>
    <row r="2876" spans="2:18" s="83" customFormat="1" ht="15" hidden="1" customHeight="1" outlineLevel="2">
      <c r="B2876" s="119" t="s">
        <v>272</v>
      </c>
      <c r="C2876" s="266" t="s">
        <v>4186</v>
      </c>
      <c r="D2876" s="124" t="s">
        <v>3544</v>
      </c>
      <c r="E2876" s="125"/>
      <c r="F2876" s="118" t="s">
        <v>3955</v>
      </c>
      <c r="G2876" s="126" t="str">
        <f t="shared" si="171"/>
        <v>AR-L30P-1</v>
      </c>
      <c r="H2876" s="253">
        <v>1</v>
      </c>
      <c r="J2876" s="299" t="s">
        <v>286</v>
      </c>
      <c r="K2876" s="299"/>
      <c r="L2876" s="84">
        <v>1</v>
      </c>
      <c r="M2876" s="76">
        <v>1</v>
      </c>
      <c r="Q2876" s="84">
        <v>1</v>
      </c>
      <c r="R2876" s="76">
        <v>1</v>
      </c>
    </row>
    <row r="2877" spans="2:18" s="83" customFormat="1" ht="15" hidden="1" customHeight="1" outlineLevel="2">
      <c r="B2877" s="119" t="s">
        <v>272</v>
      </c>
      <c r="C2877" s="266" t="s">
        <v>4187</v>
      </c>
      <c r="D2877" s="124" t="s">
        <v>2303</v>
      </c>
      <c r="E2877" s="125"/>
      <c r="F2877" s="118" t="s">
        <v>3955</v>
      </c>
      <c r="G2877" s="126" t="str">
        <f t="shared" si="171"/>
        <v>AR-L30P-1</v>
      </c>
      <c r="H2877" s="253">
        <v>1</v>
      </c>
      <c r="J2877" s="299" t="s">
        <v>286</v>
      </c>
      <c r="K2877" s="299"/>
      <c r="L2877" s="84">
        <v>1</v>
      </c>
      <c r="M2877" s="76">
        <v>1</v>
      </c>
      <c r="Q2877" s="84">
        <v>1</v>
      </c>
      <c r="R2877" s="76">
        <v>1</v>
      </c>
    </row>
    <row r="2878" spans="2:18" s="83" customFormat="1" ht="15" hidden="1" customHeight="1" outlineLevel="2">
      <c r="B2878" s="119" t="s">
        <v>272</v>
      </c>
      <c r="C2878" s="266" t="s">
        <v>4188</v>
      </c>
      <c r="D2878" s="124" t="s">
        <v>2305</v>
      </c>
      <c r="E2878" s="125"/>
      <c r="F2878" s="118" t="s">
        <v>3955</v>
      </c>
      <c r="G2878" s="126" t="str">
        <f t="shared" si="171"/>
        <v>AR-L30P-1</v>
      </c>
      <c r="H2878" s="253">
        <v>1</v>
      </c>
      <c r="J2878" s="299" t="s">
        <v>286</v>
      </c>
      <c r="K2878" s="299"/>
      <c r="L2878" s="84">
        <v>1</v>
      </c>
      <c r="M2878" s="76">
        <v>1</v>
      </c>
      <c r="Q2878" s="84">
        <v>1</v>
      </c>
      <c r="R2878" s="76">
        <v>1</v>
      </c>
    </row>
    <row r="2879" spans="2:18" s="83" customFormat="1" ht="15" hidden="1" customHeight="1" outlineLevel="2">
      <c r="B2879" s="119" t="s">
        <v>272</v>
      </c>
      <c r="C2879" s="266" t="s">
        <v>4189</v>
      </c>
      <c r="D2879" s="124" t="s">
        <v>2746</v>
      </c>
      <c r="E2879" s="125"/>
      <c r="F2879" s="118" t="s">
        <v>3955</v>
      </c>
      <c r="G2879" s="126" t="str">
        <f t="shared" si="171"/>
        <v>AR-L30P-1</v>
      </c>
      <c r="H2879" s="253">
        <v>1</v>
      </c>
      <c r="J2879" s="299" t="s">
        <v>286</v>
      </c>
      <c r="K2879" s="299"/>
      <c r="L2879" s="84">
        <v>1</v>
      </c>
      <c r="M2879" s="76">
        <v>1</v>
      </c>
      <c r="Q2879" s="84">
        <v>1</v>
      </c>
      <c r="R2879" s="76">
        <v>1</v>
      </c>
    </row>
    <row r="2880" spans="2:18" s="83" customFormat="1" ht="15" hidden="1" customHeight="1" outlineLevel="2">
      <c r="B2880" s="119" t="s">
        <v>272</v>
      </c>
      <c r="C2880" s="266" t="s">
        <v>4190</v>
      </c>
      <c r="D2880" s="124" t="s">
        <v>4191</v>
      </c>
      <c r="E2880" s="125"/>
      <c r="F2880" s="118" t="s">
        <v>3955</v>
      </c>
      <c r="G2880" s="126" t="str">
        <f t="shared" si="171"/>
        <v>AR-L30P-1</v>
      </c>
      <c r="H2880" s="253">
        <v>1</v>
      </c>
      <c r="J2880" s="299" t="s">
        <v>286</v>
      </c>
      <c r="K2880" s="299"/>
      <c r="L2880" s="84">
        <v>1</v>
      </c>
      <c r="M2880" s="76">
        <v>1</v>
      </c>
      <c r="Q2880" s="84">
        <v>1</v>
      </c>
      <c r="R2880" s="76">
        <v>1</v>
      </c>
    </row>
    <row r="2881" spans="2:18" s="83" customFormat="1" ht="15" hidden="1" customHeight="1" outlineLevel="2">
      <c r="B2881" s="119" t="s">
        <v>272</v>
      </c>
      <c r="C2881" s="266" t="s">
        <v>4192</v>
      </c>
      <c r="D2881" s="124" t="s">
        <v>4193</v>
      </c>
      <c r="E2881" s="125"/>
      <c r="F2881" s="118" t="s">
        <v>3955</v>
      </c>
      <c r="G2881" s="126" t="str">
        <f t="shared" si="171"/>
        <v>AR-L30P-1</v>
      </c>
      <c r="H2881" s="253">
        <v>1</v>
      </c>
      <c r="J2881" s="299" t="s">
        <v>286</v>
      </c>
      <c r="K2881" s="299"/>
      <c r="L2881" s="84">
        <v>1</v>
      </c>
      <c r="M2881" s="76">
        <v>1</v>
      </c>
      <c r="Q2881" s="84">
        <v>1</v>
      </c>
      <c r="R2881" s="76">
        <v>1</v>
      </c>
    </row>
    <row r="2882" spans="2:18" s="83" customFormat="1" ht="15" hidden="1" customHeight="1" outlineLevel="2">
      <c r="B2882" s="119" t="s">
        <v>272</v>
      </c>
      <c r="C2882" s="266" t="s">
        <v>4194</v>
      </c>
      <c r="D2882" s="124" t="s">
        <v>4195</v>
      </c>
      <c r="E2882" s="125"/>
      <c r="F2882" s="118" t="s">
        <v>3955</v>
      </c>
      <c r="G2882" s="126" t="str">
        <f t="shared" si="171"/>
        <v>AR-L30P-1</v>
      </c>
      <c r="H2882" s="253">
        <v>1</v>
      </c>
      <c r="J2882" s="299" t="s">
        <v>286</v>
      </c>
      <c r="K2882" s="299"/>
      <c r="L2882" s="84">
        <v>1</v>
      </c>
      <c r="M2882" s="76">
        <v>1</v>
      </c>
      <c r="Q2882" s="84">
        <v>1</v>
      </c>
      <c r="R2882" s="76">
        <v>1</v>
      </c>
    </row>
    <row r="2883" spans="2:18" s="83" customFormat="1" ht="15" hidden="1" customHeight="1" outlineLevel="2">
      <c r="B2883" s="119" t="s">
        <v>272</v>
      </c>
      <c r="C2883" s="266" t="s">
        <v>4196</v>
      </c>
      <c r="D2883" s="124" t="s">
        <v>4197</v>
      </c>
      <c r="E2883" s="125"/>
      <c r="F2883" s="118" t="s">
        <v>3955</v>
      </c>
      <c r="G2883" s="126" t="str">
        <f t="shared" si="171"/>
        <v>AR-L30P-1</v>
      </c>
      <c r="H2883" s="253">
        <v>1</v>
      </c>
      <c r="J2883" s="299" t="s">
        <v>286</v>
      </c>
      <c r="K2883" s="299"/>
      <c r="L2883" s="84">
        <v>1</v>
      </c>
      <c r="M2883" s="76">
        <v>1</v>
      </c>
      <c r="Q2883" s="84">
        <v>1</v>
      </c>
      <c r="R2883" s="76">
        <v>1</v>
      </c>
    </row>
    <row r="2884" spans="2:18" s="83" customFormat="1" ht="15" hidden="1" customHeight="1" outlineLevel="2">
      <c r="B2884" s="119" t="s">
        <v>272</v>
      </c>
      <c r="C2884" s="266" t="s">
        <v>4198</v>
      </c>
      <c r="D2884" s="124" t="s">
        <v>4199</v>
      </c>
      <c r="E2884" s="125"/>
      <c r="F2884" s="118" t="s">
        <v>3955</v>
      </c>
      <c r="G2884" s="126" t="str">
        <f t="shared" si="171"/>
        <v>AR-L30P-1</v>
      </c>
      <c r="H2884" s="253">
        <v>1</v>
      </c>
      <c r="J2884" s="299" t="s">
        <v>286</v>
      </c>
      <c r="K2884" s="299"/>
      <c r="L2884" s="84">
        <v>1</v>
      </c>
      <c r="M2884" s="76">
        <v>1</v>
      </c>
      <c r="Q2884" s="84">
        <v>1</v>
      </c>
      <c r="R2884" s="76">
        <v>1</v>
      </c>
    </row>
    <row r="2885" spans="2:18" s="83" customFormat="1" ht="15" hidden="1" customHeight="1" outlineLevel="2">
      <c r="B2885" s="119" t="s">
        <v>272</v>
      </c>
      <c r="C2885" s="266" t="s">
        <v>4200</v>
      </c>
      <c r="D2885" s="124" t="s">
        <v>4201</v>
      </c>
      <c r="E2885" s="125"/>
      <c r="F2885" s="118" t="s">
        <v>3955</v>
      </c>
      <c r="G2885" s="126" t="str">
        <f t="shared" si="171"/>
        <v>AR-L30P-1</v>
      </c>
      <c r="H2885" s="253">
        <v>1</v>
      </c>
      <c r="J2885" s="299" t="s">
        <v>286</v>
      </c>
      <c r="K2885" s="299"/>
      <c r="L2885" s="84">
        <v>1</v>
      </c>
      <c r="M2885" s="76">
        <v>1</v>
      </c>
      <c r="Q2885" s="84">
        <v>1</v>
      </c>
      <c r="R2885" s="76">
        <v>1</v>
      </c>
    </row>
    <row r="2886" spans="2:18" s="83" customFormat="1" ht="15" hidden="1" customHeight="1" outlineLevel="2">
      <c r="B2886" s="119" t="s">
        <v>272</v>
      </c>
      <c r="C2886" s="266" t="s">
        <v>4202</v>
      </c>
      <c r="D2886" s="124" t="s">
        <v>4201</v>
      </c>
      <c r="E2886" s="125"/>
      <c r="F2886" s="118" t="s">
        <v>3955</v>
      </c>
      <c r="G2886" s="126" t="str">
        <f t="shared" si="171"/>
        <v>AR-L30P-1</v>
      </c>
      <c r="H2886" s="253">
        <v>1</v>
      </c>
      <c r="I2886" s="76"/>
      <c r="J2886" s="299" t="s">
        <v>286</v>
      </c>
      <c r="K2886" s="299"/>
      <c r="L2886" s="84">
        <v>1</v>
      </c>
      <c r="M2886" s="76">
        <v>1</v>
      </c>
      <c r="Q2886" s="84">
        <v>1</v>
      </c>
      <c r="R2886" s="76">
        <v>1</v>
      </c>
    </row>
    <row r="2887" spans="2:18" s="83" customFormat="1" ht="15" hidden="1" customHeight="1" outlineLevel="2">
      <c r="B2887" s="119" t="s">
        <v>272</v>
      </c>
      <c r="C2887" s="266" t="s">
        <v>4203</v>
      </c>
      <c r="D2887" s="124" t="s">
        <v>4002</v>
      </c>
      <c r="E2887" s="125"/>
      <c r="F2887" s="118" t="s">
        <v>3955</v>
      </c>
      <c r="G2887" s="126" t="str">
        <f t="shared" si="171"/>
        <v>AR-L30P-1</v>
      </c>
      <c r="H2887" s="253">
        <v>1</v>
      </c>
      <c r="I2887" s="76"/>
      <c r="J2887" s="299" t="s">
        <v>286</v>
      </c>
      <c r="K2887" s="299"/>
      <c r="L2887" s="84">
        <v>1</v>
      </c>
      <c r="M2887" s="76">
        <v>1</v>
      </c>
      <c r="Q2887" s="84">
        <v>1</v>
      </c>
      <c r="R2887" s="76">
        <v>1</v>
      </c>
    </row>
    <row r="2888" spans="2:18" s="83" customFormat="1" ht="15" hidden="1" customHeight="1" outlineLevel="2">
      <c r="B2888" s="119" t="s">
        <v>272</v>
      </c>
      <c r="C2888" s="266" t="s">
        <v>4204</v>
      </c>
      <c r="D2888" s="124" t="s">
        <v>4004</v>
      </c>
      <c r="E2888" s="125"/>
      <c r="F2888" s="118" t="s">
        <v>3955</v>
      </c>
      <c r="G2888" s="126" t="str">
        <f t="shared" si="171"/>
        <v>AR-L30P-1</v>
      </c>
      <c r="H2888" s="253">
        <v>1</v>
      </c>
      <c r="I2888" s="76"/>
      <c r="J2888" s="299" t="s">
        <v>286</v>
      </c>
      <c r="K2888" s="299"/>
      <c r="L2888" s="84">
        <v>1</v>
      </c>
      <c r="M2888" s="76">
        <v>1</v>
      </c>
      <c r="Q2888" s="84">
        <v>1</v>
      </c>
      <c r="R2888" s="76">
        <v>1</v>
      </c>
    </row>
    <row r="2889" spans="2:18" s="83" customFormat="1" ht="15" hidden="1" customHeight="1" outlineLevel="2">
      <c r="B2889" s="119" t="s">
        <v>272</v>
      </c>
      <c r="C2889" s="266" t="s">
        <v>4205</v>
      </c>
      <c r="D2889" s="124" t="s">
        <v>4006</v>
      </c>
      <c r="E2889" s="125"/>
      <c r="F2889" s="118" t="s">
        <v>3955</v>
      </c>
      <c r="G2889" s="126" t="str">
        <f t="shared" si="171"/>
        <v>AR-L30P-1</v>
      </c>
      <c r="H2889" s="253">
        <v>1</v>
      </c>
      <c r="I2889" s="76"/>
      <c r="J2889" s="299" t="s">
        <v>286</v>
      </c>
      <c r="K2889" s="299"/>
      <c r="L2889" s="84">
        <v>1</v>
      </c>
      <c r="M2889" s="76">
        <v>1</v>
      </c>
      <c r="Q2889" s="84">
        <v>1</v>
      </c>
      <c r="R2889" s="76">
        <v>1</v>
      </c>
    </row>
    <row r="2890" spans="2:18" s="83" customFormat="1" ht="15" hidden="1" customHeight="1" outlineLevel="2">
      <c r="B2890" s="119" t="s">
        <v>272</v>
      </c>
      <c r="C2890" s="266" t="s">
        <v>4206</v>
      </c>
      <c r="D2890" s="124" t="s">
        <v>4008</v>
      </c>
      <c r="E2890" s="125"/>
      <c r="F2890" s="118" t="s">
        <v>3955</v>
      </c>
      <c r="G2890" s="126" t="str">
        <f t="shared" si="171"/>
        <v>AR-L30P-1</v>
      </c>
      <c r="H2890" s="253">
        <v>1</v>
      </c>
      <c r="J2890" s="299" t="s">
        <v>286</v>
      </c>
      <c r="K2890" s="299"/>
      <c r="L2890" s="84">
        <v>1</v>
      </c>
      <c r="M2890" s="76">
        <v>1</v>
      </c>
      <c r="Q2890" s="84">
        <v>1</v>
      </c>
      <c r="R2890" s="76">
        <v>1</v>
      </c>
    </row>
    <row r="2891" spans="2:18" s="83" customFormat="1" ht="15" hidden="1" customHeight="1" outlineLevel="2">
      <c r="B2891" s="119" t="s">
        <v>272</v>
      </c>
      <c r="C2891" s="266" t="s">
        <v>4207</v>
      </c>
      <c r="D2891" s="124" t="s">
        <v>4010</v>
      </c>
      <c r="E2891" s="125"/>
      <c r="F2891" s="118" t="s">
        <v>3955</v>
      </c>
      <c r="G2891" s="126" t="str">
        <f t="shared" si="171"/>
        <v>AR-L30P-1</v>
      </c>
      <c r="H2891" s="253">
        <v>1</v>
      </c>
      <c r="J2891" s="299" t="s">
        <v>286</v>
      </c>
      <c r="K2891" s="299"/>
      <c r="L2891" s="84">
        <v>1</v>
      </c>
      <c r="M2891" s="76">
        <v>1</v>
      </c>
      <c r="Q2891" s="84">
        <v>1</v>
      </c>
      <c r="R2891" s="76">
        <v>1</v>
      </c>
    </row>
    <row r="2892" spans="2:18" s="83" customFormat="1" ht="15" hidden="1" customHeight="1" outlineLevel="2">
      <c r="B2892" s="119" t="s">
        <v>272</v>
      </c>
      <c r="C2892" s="266" t="s">
        <v>4208</v>
      </c>
      <c r="D2892" s="124" t="s">
        <v>4006</v>
      </c>
      <c r="E2892" s="125"/>
      <c r="F2892" s="118" t="s">
        <v>3955</v>
      </c>
      <c r="G2892" s="126" t="str">
        <f t="shared" si="171"/>
        <v>AR-L30P-1</v>
      </c>
      <c r="H2892" s="253">
        <v>1</v>
      </c>
      <c r="J2892" s="299" t="s">
        <v>286</v>
      </c>
      <c r="K2892" s="299"/>
      <c r="L2892" s="84">
        <v>1</v>
      </c>
      <c r="M2892" s="76">
        <v>1</v>
      </c>
      <c r="Q2892" s="84">
        <v>1</v>
      </c>
      <c r="R2892" s="76">
        <v>1</v>
      </c>
    </row>
    <row r="2893" spans="2:18" s="83" customFormat="1" ht="15" hidden="1" customHeight="1" outlineLevel="2">
      <c r="B2893" s="119" t="s">
        <v>272</v>
      </c>
      <c r="C2893" s="266" t="s">
        <v>4209</v>
      </c>
      <c r="D2893" s="124" t="s">
        <v>4008</v>
      </c>
      <c r="E2893" s="125"/>
      <c r="F2893" s="118" t="s">
        <v>3955</v>
      </c>
      <c r="G2893" s="126" t="str">
        <f t="shared" si="171"/>
        <v>AR-L30P-1</v>
      </c>
      <c r="H2893" s="253">
        <v>1</v>
      </c>
      <c r="J2893" s="299" t="s">
        <v>286</v>
      </c>
      <c r="K2893" s="299"/>
      <c r="L2893" s="84">
        <v>1</v>
      </c>
      <c r="M2893" s="76">
        <v>1</v>
      </c>
      <c r="Q2893" s="84">
        <v>1</v>
      </c>
      <c r="R2893" s="76">
        <v>1</v>
      </c>
    </row>
    <row r="2894" spans="2:18" s="83" customFormat="1" ht="15" hidden="1" customHeight="1" outlineLevel="2">
      <c r="B2894" s="119" t="s">
        <v>272</v>
      </c>
      <c r="C2894" s="266" t="s">
        <v>4210</v>
      </c>
      <c r="D2894" s="124" t="s">
        <v>4010</v>
      </c>
      <c r="E2894" s="125"/>
      <c r="F2894" s="118" t="s">
        <v>3955</v>
      </c>
      <c r="G2894" s="126" t="str">
        <f t="shared" si="171"/>
        <v>AR-L30P-1</v>
      </c>
      <c r="H2894" s="253">
        <v>1</v>
      </c>
      <c r="J2894" s="299" t="s">
        <v>286</v>
      </c>
      <c r="K2894" s="299"/>
      <c r="L2894" s="84">
        <v>1</v>
      </c>
      <c r="M2894" s="76">
        <v>1</v>
      </c>
      <c r="Q2894" s="84">
        <v>1</v>
      </c>
      <c r="R2894" s="76">
        <v>1</v>
      </c>
    </row>
    <row r="2895" spans="2:18" s="83" customFormat="1" ht="15" hidden="1" customHeight="1" outlineLevel="2">
      <c r="B2895" s="119" t="s">
        <v>272</v>
      </c>
      <c r="C2895" s="266" t="s">
        <v>4211</v>
      </c>
      <c r="D2895" s="124" t="s">
        <v>4015</v>
      </c>
      <c r="E2895" s="125"/>
      <c r="F2895" s="118" t="s">
        <v>3955</v>
      </c>
      <c r="G2895" s="126" t="str">
        <f t="shared" si="171"/>
        <v>AR-L30P-1</v>
      </c>
      <c r="H2895" s="253">
        <v>1</v>
      </c>
      <c r="J2895" s="299" t="s">
        <v>286</v>
      </c>
      <c r="K2895" s="299"/>
      <c r="L2895" s="84">
        <v>1</v>
      </c>
      <c r="M2895" s="76">
        <v>1</v>
      </c>
      <c r="Q2895" s="84">
        <v>1</v>
      </c>
      <c r="R2895" s="76">
        <v>1</v>
      </c>
    </row>
    <row r="2896" spans="2:18" s="83" customFormat="1" ht="15" hidden="1" customHeight="1" outlineLevel="2">
      <c r="B2896" s="119" t="s">
        <v>272</v>
      </c>
      <c r="C2896" s="266" t="s">
        <v>4212</v>
      </c>
      <c r="D2896" s="124" t="s">
        <v>4017</v>
      </c>
      <c r="E2896" s="125"/>
      <c r="F2896" s="118" t="s">
        <v>3955</v>
      </c>
      <c r="G2896" s="126" t="str">
        <f t="shared" si="171"/>
        <v>AR-L30P-1</v>
      </c>
      <c r="H2896" s="253">
        <v>1</v>
      </c>
      <c r="J2896" s="299" t="s">
        <v>286</v>
      </c>
      <c r="K2896" s="299"/>
      <c r="L2896" s="84">
        <v>1</v>
      </c>
      <c r="M2896" s="76">
        <v>1</v>
      </c>
      <c r="Q2896" s="84">
        <v>1</v>
      </c>
      <c r="R2896" s="76">
        <v>1</v>
      </c>
    </row>
    <row r="2897" spans="2:18" s="83" customFormat="1" ht="15" hidden="1" customHeight="1" outlineLevel="2">
      <c r="B2897" s="119" t="s">
        <v>272</v>
      </c>
      <c r="C2897" s="266" t="s">
        <v>4213</v>
      </c>
      <c r="D2897" s="124" t="s">
        <v>4019</v>
      </c>
      <c r="E2897" s="125"/>
      <c r="F2897" s="118" t="s">
        <v>3955</v>
      </c>
      <c r="G2897" s="126" t="str">
        <f t="shared" si="171"/>
        <v>AR-L30P-1</v>
      </c>
      <c r="H2897" s="253">
        <v>1</v>
      </c>
      <c r="J2897" s="299" t="s">
        <v>286</v>
      </c>
      <c r="K2897" s="299"/>
      <c r="L2897" s="84">
        <v>1</v>
      </c>
      <c r="M2897" s="76">
        <v>1</v>
      </c>
      <c r="Q2897" s="84">
        <v>1</v>
      </c>
      <c r="R2897" s="76">
        <v>1</v>
      </c>
    </row>
    <row r="2898" spans="2:18" s="83" customFormat="1" ht="15" hidden="1" customHeight="1" outlineLevel="2">
      <c r="B2898" s="119" t="s">
        <v>272</v>
      </c>
      <c r="C2898" s="266" t="s">
        <v>4214</v>
      </c>
      <c r="D2898" s="124" t="s">
        <v>4019</v>
      </c>
      <c r="E2898" s="125"/>
      <c r="F2898" s="118" t="s">
        <v>3955</v>
      </c>
      <c r="G2898" s="126" t="str">
        <f t="shared" si="171"/>
        <v>AR-L30P-1</v>
      </c>
      <c r="H2898" s="253">
        <v>1</v>
      </c>
      <c r="J2898" s="299" t="s">
        <v>286</v>
      </c>
      <c r="K2898" s="299"/>
      <c r="L2898" s="84">
        <v>1</v>
      </c>
      <c r="M2898" s="76">
        <v>1</v>
      </c>
      <c r="Q2898" s="84">
        <v>1</v>
      </c>
      <c r="R2898" s="76">
        <v>1</v>
      </c>
    </row>
    <row r="2899" spans="2:18" s="83" customFormat="1" ht="15" hidden="1" customHeight="1" outlineLevel="2">
      <c r="B2899" s="119" t="s">
        <v>272</v>
      </c>
      <c r="C2899" s="266" t="s">
        <v>4215</v>
      </c>
      <c r="D2899" s="124" t="s">
        <v>4019</v>
      </c>
      <c r="E2899" s="125"/>
      <c r="F2899" s="118" t="s">
        <v>3955</v>
      </c>
      <c r="G2899" s="126" t="str">
        <f t="shared" ref="G2899:G2904" si="172">CONCATENATE("AR-",F2899,"-",H2899)</f>
        <v>AR-L30P-1</v>
      </c>
      <c r="H2899" s="253">
        <v>1</v>
      </c>
      <c r="J2899" s="299" t="s">
        <v>286</v>
      </c>
      <c r="K2899" s="299"/>
      <c r="L2899" s="84">
        <v>1</v>
      </c>
      <c r="M2899" s="76">
        <v>1</v>
      </c>
      <c r="Q2899" s="84">
        <v>1</v>
      </c>
      <c r="R2899" s="76">
        <v>1</v>
      </c>
    </row>
    <row r="2900" spans="2:18" s="83" customFormat="1" ht="15" hidden="1" customHeight="1" outlineLevel="2">
      <c r="B2900" s="119" t="s">
        <v>272</v>
      </c>
      <c r="C2900" s="266" t="s">
        <v>4216</v>
      </c>
      <c r="D2900" s="124" t="s">
        <v>4022</v>
      </c>
      <c r="E2900" s="125"/>
      <c r="F2900" s="118" t="s">
        <v>3955</v>
      </c>
      <c r="G2900" s="126" t="str">
        <f t="shared" si="172"/>
        <v>AR-L30P-1</v>
      </c>
      <c r="H2900" s="253">
        <v>1</v>
      </c>
      <c r="J2900" s="299" t="s">
        <v>286</v>
      </c>
      <c r="K2900" s="299"/>
      <c r="L2900" s="84">
        <v>1</v>
      </c>
      <c r="M2900" s="76">
        <v>1</v>
      </c>
      <c r="Q2900" s="84">
        <v>1</v>
      </c>
      <c r="R2900" s="76">
        <v>1</v>
      </c>
    </row>
    <row r="2901" spans="2:18" s="83" customFormat="1" ht="15" hidden="1" customHeight="1" outlineLevel="2">
      <c r="B2901" s="119" t="s">
        <v>272</v>
      </c>
      <c r="C2901" s="266" t="s">
        <v>4217</v>
      </c>
      <c r="D2901" s="124" t="s">
        <v>4022</v>
      </c>
      <c r="E2901" s="125"/>
      <c r="F2901" s="118" t="s">
        <v>3955</v>
      </c>
      <c r="G2901" s="126" t="str">
        <f t="shared" si="172"/>
        <v>AR-L30P-1</v>
      </c>
      <c r="H2901" s="253">
        <v>1</v>
      </c>
      <c r="J2901" s="299" t="s">
        <v>286</v>
      </c>
      <c r="K2901" s="299"/>
      <c r="L2901" s="84">
        <v>1</v>
      </c>
      <c r="M2901" s="76">
        <v>1</v>
      </c>
      <c r="Q2901" s="84">
        <v>1</v>
      </c>
      <c r="R2901" s="76">
        <v>1</v>
      </c>
    </row>
    <row r="2902" spans="2:18" s="83" customFormat="1" ht="15" hidden="1" customHeight="1" outlineLevel="2">
      <c r="B2902" s="119" t="s">
        <v>272</v>
      </c>
      <c r="C2902" s="266" t="s">
        <v>4218</v>
      </c>
      <c r="D2902" s="124" t="s">
        <v>4219</v>
      </c>
      <c r="E2902" s="125"/>
      <c r="F2902" s="118" t="s">
        <v>3955</v>
      </c>
      <c r="G2902" s="126" t="str">
        <f t="shared" si="172"/>
        <v>AR-L30P-1</v>
      </c>
      <c r="H2902" s="253">
        <v>1</v>
      </c>
      <c r="J2902" s="299" t="s">
        <v>286</v>
      </c>
      <c r="K2902" s="299"/>
      <c r="L2902" s="84">
        <v>1</v>
      </c>
      <c r="M2902" s="76">
        <v>1</v>
      </c>
      <c r="Q2902" s="84">
        <v>1</v>
      </c>
      <c r="R2902" s="76">
        <v>1</v>
      </c>
    </row>
    <row r="2903" spans="2:18" s="83" customFormat="1" ht="15" hidden="1" customHeight="1" outlineLevel="2">
      <c r="B2903" s="119" t="s">
        <v>272</v>
      </c>
      <c r="C2903" s="266" t="s">
        <v>4220</v>
      </c>
      <c r="D2903" s="124" t="s">
        <v>3580</v>
      </c>
      <c r="E2903" s="125"/>
      <c r="F2903" s="118" t="s">
        <v>3955</v>
      </c>
      <c r="G2903" s="126" t="str">
        <f t="shared" si="172"/>
        <v>AR-L30P-1</v>
      </c>
      <c r="H2903" s="253">
        <v>1</v>
      </c>
      <c r="J2903" s="299" t="s">
        <v>286</v>
      </c>
      <c r="K2903" s="299"/>
      <c r="L2903" s="84">
        <v>1</v>
      </c>
      <c r="M2903" s="76">
        <v>1</v>
      </c>
      <c r="Q2903" s="84">
        <v>1</v>
      </c>
      <c r="R2903" s="76">
        <v>1</v>
      </c>
    </row>
    <row r="2904" spans="2:18" s="83" customFormat="1" ht="15" hidden="1" customHeight="1" outlineLevel="2">
      <c r="B2904" s="119" t="s">
        <v>272</v>
      </c>
      <c r="C2904" s="266" t="s">
        <v>4221</v>
      </c>
      <c r="D2904" s="124" t="s">
        <v>4029</v>
      </c>
      <c r="E2904" s="125"/>
      <c r="F2904" s="118" t="s">
        <v>3955</v>
      </c>
      <c r="G2904" s="126" t="str">
        <f t="shared" si="172"/>
        <v>AR-L30P-1</v>
      </c>
      <c r="H2904" s="253">
        <v>1</v>
      </c>
      <c r="J2904" s="299" t="s">
        <v>286</v>
      </c>
      <c r="K2904" s="299"/>
      <c r="L2904" s="84">
        <v>1</v>
      </c>
      <c r="M2904" s="76">
        <v>1</v>
      </c>
      <c r="Q2904" s="84">
        <v>1</v>
      </c>
      <c r="R2904" s="76">
        <v>1</v>
      </c>
    </row>
    <row r="2905" spans="2:18" s="83" customFormat="1" ht="15" hidden="1" customHeight="1" outlineLevel="2">
      <c r="B2905" s="119" t="s">
        <v>272</v>
      </c>
      <c r="C2905" s="266" t="s">
        <v>4222</v>
      </c>
      <c r="D2905" s="124" t="s">
        <v>4031</v>
      </c>
      <c r="E2905" s="125"/>
      <c r="F2905" s="118" t="s">
        <v>3955</v>
      </c>
      <c r="G2905" s="126" t="str">
        <f>CONCATENATE("AR-",F2905,"-",H2905)</f>
        <v>AR-L30P-1</v>
      </c>
      <c r="H2905" s="253">
        <v>1</v>
      </c>
      <c r="J2905" s="299" t="s">
        <v>286</v>
      </c>
      <c r="K2905" s="299"/>
      <c r="L2905" s="84">
        <v>1</v>
      </c>
      <c r="M2905" s="76">
        <v>1</v>
      </c>
      <c r="Q2905" s="84">
        <v>1</v>
      </c>
      <c r="R2905" s="76">
        <v>1</v>
      </c>
    </row>
    <row r="2906" spans="2:18" s="83" customFormat="1" ht="15" hidden="1" customHeight="1" outlineLevel="2">
      <c r="B2906" s="119" t="s">
        <v>272</v>
      </c>
      <c r="C2906" s="266" t="s">
        <v>4223</v>
      </c>
      <c r="D2906" s="124" t="s">
        <v>4033</v>
      </c>
      <c r="E2906" s="125"/>
      <c r="F2906" s="118" t="s">
        <v>3955</v>
      </c>
      <c r="G2906" s="126" t="str">
        <f>CONCATENATE("AR-",F2906,"-",H2906)</f>
        <v>AR-L30P-1</v>
      </c>
      <c r="H2906" s="253">
        <v>1</v>
      </c>
      <c r="J2906" s="299" t="s">
        <v>286</v>
      </c>
      <c r="K2906" s="299"/>
      <c r="L2906" s="84">
        <v>1</v>
      </c>
      <c r="M2906" s="76">
        <v>1</v>
      </c>
      <c r="Q2906" s="84">
        <v>1</v>
      </c>
      <c r="R2906" s="76">
        <v>1</v>
      </c>
    </row>
    <row r="2907" spans="2:18" s="83" customFormat="1" ht="15" hidden="1" customHeight="1" outlineLevel="2">
      <c r="B2907" s="119" t="s">
        <v>272</v>
      </c>
      <c r="C2907" s="266" t="s">
        <v>4224</v>
      </c>
      <c r="D2907" s="124" t="s">
        <v>4035</v>
      </c>
      <c r="E2907" s="125"/>
      <c r="F2907" s="118" t="s">
        <v>3955</v>
      </c>
      <c r="G2907" s="126" t="str">
        <f>CONCATENATE("AR-",F2907,"-",H2907)</f>
        <v>AR-L30P-1</v>
      </c>
      <c r="H2907" s="253">
        <v>1</v>
      </c>
      <c r="J2907" s="299" t="s">
        <v>286</v>
      </c>
      <c r="K2907" s="299"/>
      <c r="L2907" s="84">
        <v>1</v>
      </c>
      <c r="M2907" s="76">
        <v>1</v>
      </c>
      <c r="Q2907" s="84">
        <v>1</v>
      </c>
      <c r="R2907" s="76">
        <v>1</v>
      </c>
    </row>
    <row r="2908" spans="2:18" s="83" customFormat="1" ht="15" hidden="1" customHeight="1" outlineLevel="2">
      <c r="B2908" s="119" t="s">
        <v>272</v>
      </c>
      <c r="C2908" s="266" t="s">
        <v>4225</v>
      </c>
      <c r="D2908" s="124" t="s">
        <v>4035</v>
      </c>
      <c r="E2908" s="125"/>
      <c r="F2908" s="118" t="s">
        <v>3955</v>
      </c>
      <c r="G2908" s="126" t="str">
        <f t="shared" ref="G2908:G2921" si="173">CONCATENATE("AR-",F2908,"-",H2908)</f>
        <v>AR-L30P-1</v>
      </c>
      <c r="H2908" s="253">
        <v>1</v>
      </c>
      <c r="J2908" s="299" t="s">
        <v>286</v>
      </c>
      <c r="K2908" s="299"/>
      <c r="L2908" s="84">
        <v>1</v>
      </c>
      <c r="M2908" s="76">
        <v>1</v>
      </c>
      <c r="Q2908" s="84">
        <v>1</v>
      </c>
      <c r="R2908" s="76">
        <v>1</v>
      </c>
    </row>
    <row r="2909" spans="2:18" s="83" customFormat="1" ht="15" hidden="1" customHeight="1" outlineLevel="2">
      <c r="B2909" s="119" t="s">
        <v>272</v>
      </c>
      <c r="C2909" s="266" t="s">
        <v>4226</v>
      </c>
      <c r="D2909" s="124" t="s">
        <v>4035</v>
      </c>
      <c r="E2909" s="125"/>
      <c r="F2909" s="118" t="s">
        <v>3955</v>
      </c>
      <c r="G2909" s="126" t="str">
        <f t="shared" si="173"/>
        <v>AR-L30P-1</v>
      </c>
      <c r="H2909" s="253">
        <v>1</v>
      </c>
      <c r="J2909" s="299" t="s">
        <v>286</v>
      </c>
      <c r="K2909" s="299"/>
      <c r="L2909" s="84">
        <v>1</v>
      </c>
      <c r="M2909" s="76">
        <v>1</v>
      </c>
      <c r="Q2909" s="84">
        <v>1</v>
      </c>
      <c r="R2909" s="76">
        <v>1</v>
      </c>
    </row>
    <row r="2910" spans="2:18" s="83" customFormat="1" ht="15" hidden="1" customHeight="1" outlineLevel="2">
      <c r="B2910" s="119" t="s">
        <v>272</v>
      </c>
      <c r="C2910" s="266" t="s">
        <v>4227</v>
      </c>
      <c r="D2910" s="124" t="s">
        <v>4039</v>
      </c>
      <c r="E2910" s="125"/>
      <c r="F2910" s="118" t="s">
        <v>3955</v>
      </c>
      <c r="G2910" s="126" t="str">
        <f t="shared" si="173"/>
        <v>AR-L30P-1</v>
      </c>
      <c r="H2910" s="253">
        <v>1</v>
      </c>
      <c r="J2910" s="299" t="s">
        <v>286</v>
      </c>
      <c r="K2910" s="299"/>
      <c r="L2910" s="84">
        <v>1</v>
      </c>
      <c r="M2910" s="76">
        <v>1</v>
      </c>
      <c r="Q2910" s="84">
        <v>1</v>
      </c>
      <c r="R2910" s="76">
        <v>1</v>
      </c>
    </row>
    <row r="2911" spans="2:18" s="83" customFormat="1" ht="15" hidden="1" customHeight="1" outlineLevel="2">
      <c r="B2911" s="119" t="s">
        <v>272</v>
      </c>
      <c r="C2911" s="266" t="s">
        <v>4228</v>
      </c>
      <c r="D2911" s="124" t="s">
        <v>4041</v>
      </c>
      <c r="E2911" s="125"/>
      <c r="F2911" s="118" t="s">
        <v>3955</v>
      </c>
      <c r="G2911" s="126" t="str">
        <f t="shared" si="173"/>
        <v>AR-L30P-1</v>
      </c>
      <c r="H2911" s="253">
        <v>1</v>
      </c>
      <c r="J2911" s="299" t="s">
        <v>286</v>
      </c>
      <c r="K2911" s="299"/>
      <c r="L2911" s="84">
        <v>1</v>
      </c>
      <c r="M2911" s="76">
        <v>1</v>
      </c>
      <c r="Q2911" s="84">
        <v>1</v>
      </c>
      <c r="R2911" s="76">
        <v>1</v>
      </c>
    </row>
    <row r="2912" spans="2:18" s="83" customFormat="1" ht="15" hidden="1" customHeight="1" outlineLevel="2">
      <c r="B2912" s="119" t="s">
        <v>272</v>
      </c>
      <c r="C2912" s="266" t="s">
        <v>4229</v>
      </c>
      <c r="D2912" s="124" t="s">
        <v>4041</v>
      </c>
      <c r="E2912" s="125"/>
      <c r="F2912" s="118" t="s">
        <v>3955</v>
      </c>
      <c r="G2912" s="126" t="str">
        <f t="shared" si="173"/>
        <v>AR-L30P-1</v>
      </c>
      <c r="H2912" s="253">
        <v>1</v>
      </c>
      <c r="J2912" s="299" t="s">
        <v>286</v>
      </c>
      <c r="K2912" s="299"/>
      <c r="L2912" s="84">
        <v>1</v>
      </c>
      <c r="M2912" s="76">
        <v>1</v>
      </c>
      <c r="Q2912" s="84">
        <v>1</v>
      </c>
      <c r="R2912" s="76">
        <v>1</v>
      </c>
    </row>
    <row r="2913" spans="2:18" s="83" customFormat="1" ht="15" hidden="1" customHeight="1" outlineLevel="2">
      <c r="B2913" s="119" t="s">
        <v>272</v>
      </c>
      <c r="C2913" s="266" t="s">
        <v>4230</v>
      </c>
      <c r="D2913" s="124" t="s">
        <v>4044</v>
      </c>
      <c r="E2913" s="125"/>
      <c r="F2913" s="118" t="s">
        <v>3955</v>
      </c>
      <c r="G2913" s="126" t="str">
        <f t="shared" si="173"/>
        <v>AR-L30P-1</v>
      </c>
      <c r="H2913" s="253">
        <v>1</v>
      </c>
      <c r="J2913" s="299" t="s">
        <v>286</v>
      </c>
      <c r="K2913" s="299"/>
      <c r="L2913" s="84">
        <v>1</v>
      </c>
      <c r="M2913" s="76">
        <v>1</v>
      </c>
      <c r="Q2913" s="84">
        <v>1</v>
      </c>
      <c r="R2913" s="76">
        <v>1</v>
      </c>
    </row>
    <row r="2914" spans="2:18" s="83" customFormat="1" ht="15" hidden="1" customHeight="1" outlineLevel="2">
      <c r="B2914" s="119" t="s">
        <v>272</v>
      </c>
      <c r="C2914" s="266" t="s">
        <v>4231</v>
      </c>
      <c r="D2914" s="124" t="s">
        <v>4046</v>
      </c>
      <c r="E2914" s="125"/>
      <c r="F2914" s="118" t="s">
        <v>3955</v>
      </c>
      <c r="G2914" s="126" t="str">
        <f t="shared" si="173"/>
        <v>AR-L30P-1</v>
      </c>
      <c r="H2914" s="253">
        <v>1</v>
      </c>
      <c r="J2914" s="299" t="s">
        <v>286</v>
      </c>
      <c r="K2914" s="299"/>
      <c r="L2914" s="84">
        <v>1</v>
      </c>
      <c r="M2914" s="76">
        <v>1</v>
      </c>
      <c r="Q2914" s="84">
        <v>1</v>
      </c>
      <c r="R2914" s="76">
        <v>1</v>
      </c>
    </row>
    <row r="2915" spans="2:18" s="83" customFormat="1" ht="15" hidden="1" customHeight="1" outlineLevel="2">
      <c r="B2915" s="119" t="s">
        <v>272</v>
      </c>
      <c r="C2915" s="266" t="s">
        <v>4232</v>
      </c>
      <c r="D2915" s="124" t="s">
        <v>4048</v>
      </c>
      <c r="E2915" s="125"/>
      <c r="F2915" s="118" t="s">
        <v>3955</v>
      </c>
      <c r="G2915" s="126" t="str">
        <f t="shared" si="173"/>
        <v>AR-L30P-1</v>
      </c>
      <c r="H2915" s="253">
        <v>1</v>
      </c>
      <c r="J2915" s="299" t="s">
        <v>286</v>
      </c>
      <c r="K2915" s="299"/>
      <c r="L2915" s="84">
        <v>1</v>
      </c>
      <c r="M2915" s="76">
        <v>1</v>
      </c>
      <c r="Q2915" s="84">
        <v>1</v>
      </c>
      <c r="R2915" s="76">
        <v>1</v>
      </c>
    </row>
    <row r="2916" spans="2:18" s="83" customFormat="1" ht="15" hidden="1" customHeight="1" outlineLevel="2">
      <c r="B2916" s="119" t="s">
        <v>272</v>
      </c>
      <c r="C2916" s="266" t="s">
        <v>4233</v>
      </c>
      <c r="D2916" s="124" t="s">
        <v>4050</v>
      </c>
      <c r="E2916" s="125"/>
      <c r="F2916" s="118" t="s">
        <v>3955</v>
      </c>
      <c r="G2916" s="126" t="str">
        <f t="shared" si="173"/>
        <v>AR-L30P-1</v>
      </c>
      <c r="H2916" s="253">
        <v>1</v>
      </c>
      <c r="J2916" s="299" t="s">
        <v>286</v>
      </c>
      <c r="K2916" s="299"/>
      <c r="L2916" s="84">
        <v>1</v>
      </c>
      <c r="M2916" s="76">
        <v>1</v>
      </c>
      <c r="Q2916" s="84">
        <v>1</v>
      </c>
      <c r="R2916" s="76">
        <v>1</v>
      </c>
    </row>
    <row r="2917" spans="2:18" s="83" customFormat="1" ht="15" hidden="1" customHeight="1" outlineLevel="2">
      <c r="B2917" s="119" t="s">
        <v>272</v>
      </c>
      <c r="C2917" s="266" t="s">
        <v>4234</v>
      </c>
      <c r="D2917" s="124" t="s">
        <v>4050</v>
      </c>
      <c r="E2917" s="125"/>
      <c r="F2917" s="118" t="s">
        <v>3955</v>
      </c>
      <c r="G2917" s="126" t="str">
        <f t="shared" si="173"/>
        <v>AR-L30P-1</v>
      </c>
      <c r="H2917" s="253">
        <v>1</v>
      </c>
      <c r="J2917" s="299" t="s">
        <v>286</v>
      </c>
      <c r="K2917" s="299"/>
      <c r="L2917" s="84">
        <v>1</v>
      </c>
      <c r="M2917" s="76">
        <v>1</v>
      </c>
      <c r="Q2917" s="84">
        <v>1</v>
      </c>
      <c r="R2917" s="76">
        <v>1</v>
      </c>
    </row>
    <row r="2918" spans="2:18" s="83" customFormat="1" ht="15" hidden="1" customHeight="1" outlineLevel="2">
      <c r="B2918" s="119" t="s">
        <v>272</v>
      </c>
      <c r="C2918" s="266" t="s">
        <v>4235</v>
      </c>
      <c r="D2918" s="124" t="s">
        <v>4050</v>
      </c>
      <c r="E2918" s="125"/>
      <c r="F2918" s="118" t="s">
        <v>3955</v>
      </c>
      <c r="G2918" s="126" t="str">
        <f t="shared" si="173"/>
        <v>AR-L30P-1</v>
      </c>
      <c r="H2918" s="253">
        <v>1</v>
      </c>
      <c r="J2918" s="299" t="s">
        <v>286</v>
      </c>
      <c r="K2918" s="299"/>
      <c r="L2918" s="84">
        <v>1</v>
      </c>
      <c r="M2918" s="76">
        <v>1</v>
      </c>
      <c r="Q2918" s="84">
        <v>1</v>
      </c>
      <c r="R2918" s="76">
        <v>1</v>
      </c>
    </row>
    <row r="2919" spans="2:18" s="83" customFormat="1" ht="15" hidden="1" customHeight="1" outlineLevel="2">
      <c r="B2919" s="119" t="s">
        <v>272</v>
      </c>
      <c r="C2919" s="266" t="s">
        <v>4236</v>
      </c>
      <c r="D2919" s="124" t="s">
        <v>4054</v>
      </c>
      <c r="E2919" s="125"/>
      <c r="F2919" s="118" t="s">
        <v>3955</v>
      </c>
      <c r="G2919" s="126" t="str">
        <f t="shared" si="173"/>
        <v>AR-L30P-1</v>
      </c>
      <c r="H2919" s="253">
        <v>1</v>
      </c>
      <c r="J2919" s="299" t="s">
        <v>286</v>
      </c>
      <c r="K2919" s="299"/>
      <c r="L2919" s="84">
        <v>1</v>
      </c>
      <c r="M2919" s="76">
        <v>1</v>
      </c>
      <c r="Q2919" s="84">
        <v>1</v>
      </c>
      <c r="R2919" s="76">
        <v>1</v>
      </c>
    </row>
    <row r="2920" spans="2:18" s="83" customFormat="1" ht="15" hidden="1" customHeight="1" outlineLevel="2">
      <c r="B2920" s="119" t="s">
        <v>272</v>
      </c>
      <c r="C2920" s="266" t="s">
        <v>4237</v>
      </c>
      <c r="D2920" s="124" t="s">
        <v>4056</v>
      </c>
      <c r="E2920" s="125"/>
      <c r="F2920" s="118" t="s">
        <v>3955</v>
      </c>
      <c r="G2920" s="126" t="str">
        <f t="shared" si="173"/>
        <v>AR-L30P-1</v>
      </c>
      <c r="H2920" s="253">
        <v>1</v>
      </c>
      <c r="J2920" s="299" t="s">
        <v>286</v>
      </c>
      <c r="K2920" s="299"/>
      <c r="L2920" s="84">
        <v>1</v>
      </c>
      <c r="M2920" s="76">
        <v>1</v>
      </c>
      <c r="Q2920" s="84">
        <v>1</v>
      </c>
      <c r="R2920" s="76">
        <v>1</v>
      </c>
    </row>
    <row r="2921" spans="2:18" s="83" customFormat="1" ht="15" hidden="1" customHeight="1" outlineLevel="2">
      <c r="B2921" s="119" t="s">
        <v>272</v>
      </c>
      <c r="C2921" s="266" t="s">
        <v>4238</v>
      </c>
      <c r="D2921" s="124" t="s">
        <v>4056</v>
      </c>
      <c r="E2921" s="125"/>
      <c r="F2921" s="118" t="s">
        <v>3955</v>
      </c>
      <c r="G2921" s="126" t="str">
        <f t="shared" si="173"/>
        <v>AR-L30P-1</v>
      </c>
      <c r="H2921" s="253">
        <v>1</v>
      </c>
      <c r="J2921" s="299" t="s">
        <v>286</v>
      </c>
      <c r="K2921" s="299"/>
      <c r="L2921" s="84">
        <v>1</v>
      </c>
      <c r="M2921" s="76">
        <v>1</v>
      </c>
      <c r="Q2921" s="84">
        <v>1</v>
      </c>
      <c r="R2921" s="76">
        <v>1</v>
      </c>
    </row>
    <row r="2922" spans="2:18" s="83" customFormat="1" ht="15" hidden="1" customHeight="1" outlineLevel="2">
      <c r="B2922" s="119" t="s">
        <v>272</v>
      </c>
      <c r="C2922" s="266" t="s">
        <v>4239</v>
      </c>
      <c r="D2922" s="124" t="s">
        <v>4059</v>
      </c>
      <c r="E2922" s="125"/>
      <c r="F2922" s="118" t="s">
        <v>3955</v>
      </c>
      <c r="G2922" s="126" t="str">
        <f t="shared" ref="G2922:G2927" si="174">CONCATENATE("AR-",F2922,"-",H2922)</f>
        <v>AR-L30P-1</v>
      </c>
      <c r="H2922" s="253">
        <v>1</v>
      </c>
      <c r="J2922" s="299" t="s">
        <v>286</v>
      </c>
      <c r="K2922" s="299"/>
      <c r="L2922" s="84">
        <v>1</v>
      </c>
      <c r="M2922" s="76">
        <v>1</v>
      </c>
      <c r="Q2922" s="84">
        <v>1</v>
      </c>
      <c r="R2922" s="76">
        <v>1</v>
      </c>
    </row>
    <row r="2923" spans="2:18" s="83" customFormat="1" ht="15" hidden="1" customHeight="1" outlineLevel="2">
      <c r="B2923" s="119" t="s">
        <v>272</v>
      </c>
      <c r="C2923" s="266" t="s">
        <v>4240</v>
      </c>
      <c r="D2923" s="124" t="s">
        <v>4061</v>
      </c>
      <c r="E2923" s="125"/>
      <c r="F2923" s="118" t="s">
        <v>3955</v>
      </c>
      <c r="G2923" s="126" t="str">
        <f t="shared" si="174"/>
        <v>AR-L30P-1</v>
      </c>
      <c r="H2923" s="253">
        <v>1</v>
      </c>
      <c r="J2923" s="299" t="s">
        <v>286</v>
      </c>
      <c r="K2923" s="299"/>
      <c r="L2923" s="84">
        <v>1</v>
      </c>
      <c r="M2923" s="76">
        <v>1</v>
      </c>
      <c r="Q2923" s="84">
        <v>1</v>
      </c>
      <c r="R2923" s="76">
        <v>1</v>
      </c>
    </row>
    <row r="2924" spans="2:18" s="83" customFormat="1" ht="15" hidden="1" customHeight="1" outlineLevel="2">
      <c r="B2924" s="119" t="s">
        <v>272</v>
      </c>
      <c r="C2924" s="266" t="s">
        <v>4241</v>
      </c>
      <c r="D2924" s="124" t="s">
        <v>4061</v>
      </c>
      <c r="E2924" s="125"/>
      <c r="F2924" s="118" t="s">
        <v>3955</v>
      </c>
      <c r="G2924" s="126" t="str">
        <f t="shared" si="174"/>
        <v>AR-L30P-1</v>
      </c>
      <c r="H2924" s="253">
        <v>1</v>
      </c>
      <c r="J2924" s="299" t="s">
        <v>286</v>
      </c>
      <c r="K2924" s="299"/>
      <c r="L2924" s="84">
        <v>1</v>
      </c>
      <c r="M2924" s="76">
        <v>1</v>
      </c>
      <c r="Q2924" s="84">
        <v>1</v>
      </c>
      <c r="R2924" s="76">
        <v>1</v>
      </c>
    </row>
    <row r="2925" spans="2:18" s="83" customFormat="1" ht="15" hidden="1" customHeight="1" outlineLevel="2">
      <c r="B2925" s="119" t="s">
        <v>272</v>
      </c>
      <c r="C2925" s="266" t="s">
        <v>4242</v>
      </c>
      <c r="D2925" s="124" t="s">
        <v>4128</v>
      </c>
      <c r="E2925" s="125"/>
      <c r="F2925" s="118" t="s">
        <v>3955</v>
      </c>
      <c r="G2925" s="126" t="str">
        <f t="shared" si="174"/>
        <v>AR-L30P-1</v>
      </c>
      <c r="H2925" s="253">
        <v>1</v>
      </c>
      <c r="J2925" s="299" t="s">
        <v>286</v>
      </c>
      <c r="K2925" s="299"/>
      <c r="L2925" s="84">
        <v>1</v>
      </c>
      <c r="M2925" s="76">
        <v>1</v>
      </c>
      <c r="Q2925" s="84">
        <v>1</v>
      </c>
      <c r="R2925" s="76">
        <v>1</v>
      </c>
    </row>
    <row r="2926" spans="2:18" s="83" customFormat="1" ht="15" hidden="1" customHeight="1" outlineLevel="2">
      <c r="B2926" s="119" t="s">
        <v>272</v>
      </c>
      <c r="C2926" s="266" t="s">
        <v>4243</v>
      </c>
      <c r="D2926" s="124" t="s">
        <v>4130</v>
      </c>
      <c r="E2926" s="125"/>
      <c r="F2926" s="118" t="s">
        <v>3955</v>
      </c>
      <c r="G2926" s="126" t="str">
        <f t="shared" si="174"/>
        <v>AR-L30P-1</v>
      </c>
      <c r="H2926" s="253">
        <v>1</v>
      </c>
      <c r="J2926" s="299" t="s">
        <v>286</v>
      </c>
      <c r="K2926" s="299"/>
      <c r="L2926" s="84">
        <v>1</v>
      </c>
      <c r="M2926" s="76">
        <v>1</v>
      </c>
      <c r="Q2926" s="84">
        <v>1</v>
      </c>
      <c r="R2926" s="76">
        <v>1</v>
      </c>
    </row>
    <row r="2927" spans="2:18" s="83" customFormat="1" ht="15" hidden="1" customHeight="1" outlineLevel="2">
      <c r="B2927" s="119" t="s">
        <v>272</v>
      </c>
      <c r="C2927" s="266" t="s">
        <v>4244</v>
      </c>
      <c r="D2927" s="124" t="s">
        <v>4130</v>
      </c>
      <c r="E2927" s="125"/>
      <c r="F2927" s="118" t="s">
        <v>3955</v>
      </c>
      <c r="G2927" s="126" t="str">
        <f t="shared" si="174"/>
        <v>AR-L30P-1</v>
      </c>
      <c r="H2927" s="253">
        <v>1</v>
      </c>
      <c r="J2927" s="299" t="s">
        <v>286</v>
      </c>
      <c r="K2927" s="299"/>
      <c r="L2927" s="84">
        <v>1</v>
      </c>
      <c r="M2927" s="76">
        <v>1</v>
      </c>
      <c r="Q2927" s="84">
        <v>1</v>
      </c>
      <c r="R2927" s="76">
        <v>1</v>
      </c>
    </row>
    <row r="2928" spans="2:18" s="83" customFormat="1" ht="15" hidden="1" customHeight="1" outlineLevel="2">
      <c r="B2928" s="119" t="s">
        <v>272</v>
      </c>
      <c r="C2928" s="266" t="s">
        <v>4245</v>
      </c>
      <c r="D2928" s="124" t="s">
        <v>4069</v>
      </c>
      <c r="E2928" s="125"/>
      <c r="F2928" s="118" t="s">
        <v>3955</v>
      </c>
      <c r="G2928" s="126" t="str">
        <f t="shared" ref="G2928:G2935" si="175">CONCATENATE("AR-",F2928,"-",H2928)</f>
        <v>AR-L30P-1</v>
      </c>
      <c r="H2928" s="253">
        <v>1</v>
      </c>
      <c r="J2928" s="299" t="s">
        <v>286</v>
      </c>
      <c r="K2928" s="299"/>
      <c r="L2928" s="84">
        <v>1</v>
      </c>
      <c r="M2928" s="76">
        <v>1</v>
      </c>
      <c r="Q2928" s="84">
        <v>1</v>
      </c>
      <c r="R2928" s="76">
        <v>1</v>
      </c>
    </row>
    <row r="2929" spans="2:18" s="83" customFormat="1" ht="15" hidden="1" customHeight="1" outlineLevel="2">
      <c r="B2929" s="119" t="s">
        <v>272</v>
      </c>
      <c r="C2929" s="266" t="s">
        <v>4246</v>
      </c>
      <c r="D2929" s="124" t="s">
        <v>4071</v>
      </c>
      <c r="E2929" s="125"/>
      <c r="F2929" s="118" t="s">
        <v>3955</v>
      </c>
      <c r="G2929" s="126" t="str">
        <f t="shared" si="175"/>
        <v>AR-L30P-1</v>
      </c>
      <c r="H2929" s="253">
        <v>1</v>
      </c>
      <c r="J2929" s="299" t="s">
        <v>286</v>
      </c>
      <c r="K2929" s="299"/>
      <c r="L2929" s="84">
        <v>1</v>
      </c>
      <c r="M2929" s="76">
        <v>1</v>
      </c>
      <c r="Q2929" s="84">
        <v>1</v>
      </c>
      <c r="R2929" s="76">
        <v>1</v>
      </c>
    </row>
    <row r="2930" spans="2:18" s="100" customFormat="1" ht="15" hidden="1" customHeight="1" outlineLevel="2">
      <c r="B2930" s="119" t="s">
        <v>272</v>
      </c>
      <c r="C2930" s="266" t="s">
        <v>4247</v>
      </c>
      <c r="D2930" s="124" t="s">
        <v>4071</v>
      </c>
      <c r="E2930" s="125"/>
      <c r="F2930" s="118" t="s">
        <v>3955</v>
      </c>
      <c r="G2930" s="126" t="str">
        <f t="shared" si="175"/>
        <v>AR-L30P-1</v>
      </c>
      <c r="H2930" s="253">
        <v>1</v>
      </c>
      <c r="J2930" s="299" t="s">
        <v>286</v>
      </c>
      <c r="K2930" s="299"/>
      <c r="L2930" s="84">
        <v>1</v>
      </c>
      <c r="M2930" s="76">
        <v>1</v>
      </c>
      <c r="Q2930" s="84">
        <v>1</v>
      </c>
      <c r="R2930" s="76">
        <v>1</v>
      </c>
    </row>
    <row r="2931" spans="2:18" s="83" customFormat="1" ht="15" hidden="1" customHeight="1" outlineLevel="2">
      <c r="B2931" s="119" t="s">
        <v>272</v>
      </c>
      <c r="C2931" s="266" t="s">
        <v>4248</v>
      </c>
      <c r="D2931" s="124" t="s">
        <v>4074</v>
      </c>
      <c r="E2931" s="125"/>
      <c r="F2931" s="118" t="s">
        <v>3955</v>
      </c>
      <c r="G2931" s="126" t="str">
        <f t="shared" si="175"/>
        <v>AR-L30P-1</v>
      </c>
      <c r="H2931" s="253">
        <v>1</v>
      </c>
      <c r="J2931" s="299" t="s">
        <v>286</v>
      </c>
      <c r="K2931" s="299"/>
      <c r="L2931" s="84">
        <v>1</v>
      </c>
      <c r="M2931" s="76">
        <v>1</v>
      </c>
      <c r="Q2931" s="84">
        <v>1</v>
      </c>
      <c r="R2931" s="76">
        <v>1</v>
      </c>
    </row>
    <row r="2932" spans="2:18" s="83" customFormat="1" ht="15" hidden="1" customHeight="1" outlineLevel="2">
      <c r="B2932" s="119" t="s">
        <v>272</v>
      </c>
      <c r="C2932" s="266" t="s">
        <v>4249</v>
      </c>
      <c r="D2932" s="124" t="s">
        <v>4074</v>
      </c>
      <c r="E2932" s="125"/>
      <c r="F2932" s="118" t="s">
        <v>3955</v>
      </c>
      <c r="G2932" s="126" t="str">
        <f t="shared" si="175"/>
        <v>AR-L30P-1</v>
      </c>
      <c r="H2932" s="253">
        <v>1</v>
      </c>
      <c r="J2932" s="299" t="s">
        <v>286</v>
      </c>
      <c r="K2932" s="299"/>
      <c r="L2932" s="84">
        <v>1</v>
      </c>
      <c r="M2932" s="76">
        <v>1</v>
      </c>
      <c r="Q2932" s="84">
        <v>1</v>
      </c>
      <c r="R2932" s="76">
        <v>1</v>
      </c>
    </row>
    <row r="2933" spans="2:18" s="83" customFormat="1" ht="15" hidden="1" customHeight="1" outlineLevel="2">
      <c r="B2933" s="119" t="s">
        <v>272</v>
      </c>
      <c r="C2933" s="266" t="s">
        <v>4250</v>
      </c>
      <c r="D2933" s="124" t="s">
        <v>4077</v>
      </c>
      <c r="E2933" s="125"/>
      <c r="F2933" s="118" t="s">
        <v>3955</v>
      </c>
      <c r="G2933" s="126" t="str">
        <f t="shared" si="175"/>
        <v>AR-L30P-1</v>
      </c>
      <c r="H2933" s="253">
        <v>1</v>
      </c>
      <c r="J2933" s="299" t="s">
        <v>286</v>
      </c>
      <c r="K2933" s="299"/>
      <c r="L2933" s="84">
        <v>1</v>
      </c>
      <c r="M2933" s="76">
        <v>1</v>
      </c>
      <c r="Q2933" s="84">
        <v>1</v>
      </c>
      <c r="R2933" s="76">
        <v>1</v>
      </c>
    </row>
    <row r="2934" spans="2:18" s="83" customFormat="1" ht="15" hidden="1" customHeight="1" outlineLevel="2">
      <c r="B2934" s="119" t="s">
        <v>272</v>
      </c>
      <c r="C2934" s="266" t="s">
        <v>4251</v>
      </c>
      <c r="D2934" s="124" t="s">
        <v>4077</v>
      </c>
      <c r="E2934" s="125"/>
      <c r="F2934" s="118" t="s">
        <v>3955</v>
      </c>
      <c r="G2934" s="126" t="str">
        <f t="shared" si="175"/>
        <v>AR-L30P-1</v>
      </c>
      <c r="H2934" s="253">
        <v>1</v>
      </c>
      <c r="J2934" s="299" t="s">
        <v>286</v>
      </c>
      <c r="K2934" s="299"/>
      <c r="L2934" s="84">
        <v>1</v>
      </c>
      <c r="M2934" s="76">
        <v>1</v>
      </c>
      <c r="Q2934" s="84">
        <v>1</v>
      </c>
      <c r="R2934" s="76">
        <v>1</v>
      </c>
    </row>
    <row r="2935" spans="2:18" s="83" customFormat="1" ht="15" hidden="1" customHeight="1" outlineLevel="2">
      <c r="B2935" s="119" t="s">
        <v>272</v>
      </c>
      <c r="C2935" s="266" t="s">
        <v>4252</v>
      </c>
      <c r="D2935" s="124" t="s">
        <v>4080</v>
      </c>
      <c r="E2935" s="125"/>
      <c r="F2935" s="118" t="s">
        <v>3955</v>
      </c>
      <c r="G2935" s="126" t="str">
        <f t="shared" si="175"/>
        <v>AR-L30P-1</v>
      </c>
      <c r="H2935" s="253">
        <v>1</v>
      </c>
      <c r="J2935" s="299" t="s">
        <v>286</v>
      </c>
      <c r="K2935" s="299"/>
      <c r="L2935" s="84">
        <v>1</v>
      </c>
      <c r="M2935" s="76">
        <v>1</v>
      </c>
      <c r="Q2935" s="84">
        <v>1</v>
      </c>
      <c r="R2935" s="76">
        <v>1</v>
      </c>
    </row>
    <row r="2936" spans="2:18" s="83" customFormat="1" ht="3.6" hidden="1" customHeight="1" outlineLevel="1">
      <c r="B2936" s="119"/>
      <c r="C2936" s="266"/>
      <c r="D2936" s="124"/>
      <c r="E2936" s="125"/>
      <c r="F2936" s="118"/>
      <c r="G2936" s="126"/>
      <c r="H2936" s="253"/>
      <c r="J2936" s="299"/>
      <c r="K2936" s="299"/>
      <c r="L2936" s="84"/>
      <c r="M2936" s="76"/>
      <c r="Q2936" s="86"/>
    </row>
    <row r="2937" spans="2:18" s="91" customFormat="1" ht="15" hidden="1" customHeight="1" outlineLevel="1">
      <c r="B2937" s="135" t="s">
        <v>4253</v>
      </c>
      <c r="C2937" s="266"/>
      <c r="D2937" s="124"/>
      <c r="E2937" s="125"/>
      <c r="F2937" s="118"/>
      <c r="G2937" s="126"/>
      <c r="H2937" s="253"/>
      <c r="I2937" s="89"/>
      <c r="J2937" s="304"/>
      <c r="K2937" s="304"/>
      <c r="L2937" s="90"/>
      <c r="M2937" s="76"/>
      <c r="Q2937" s="287"/>
    </row>
    <row r="2938" spans="2:18" s="83" customFormat="1" ht="15" hidden="1" customHeight="1" outlineLevel="2">
      <c r="B2938" s="119" t="s">
        <v>272</v>
      </c>
      <c r="C2938" s="266" t="s">
        <v>4254</v>
      </c>
      <c r="D2938" s="124" t="s">
        <v>2532</v>
      </c>
      <c r="E2938" s="125"/>
      <c r="F2938" s="118" t="s">
        <v>4255</v>
      </c>
      <c r="G2938" s="126" t="str">
        <f t="shared" ref="G2938:G2943" si="176">CONCATENATE("AR-",F2938,"-",H2938)</f>
        <v>AR-L45P-1</v>
      </c>
      <c r="H2938" s="253">
        <v>1</v>
      </c>
      <c r="J2938" s="299" t="s">
        <v>286</v>
      </c>
      <c r="K2938" s="299"/>
      <c r="L2938" s="84">
        <v>1</v>
      </c>
      <c r="M2938" s="76">
        <v>1</v>
      </c>
      <c r="Q2938" s="84">
        <v>1</v>
      </c>
      <c r="R2938" s="76">
        <v>1</v>
      </c>
    </row>
    <row r="2939" spans="2:18" s="83" customFormat="1" ht="15" hidden="1" customHeight="1" outlineLevel="2">
      <c r="B2939" s="119" t="s">
        <v>272</v>
      </c>
      <c r="C2939" s="266" t="s">
        <v>4256</v>
      </c>
      <c r="D2939" s="124" t="s">
        <v>2534</v>
      </c>
      <c r="E2939" s="125"/>
      <c r="F2939" s="118" t="s">
        <v>4255</v>
      </c>
      <c r="G2939" s="126" t="str">
        <f t="shared" si="176"/>
        <v>AR-L45P-1</v>
      </c>
      <c r="H2939" s="253">
        <v>1</v>
      </c>
      <c r="J2939" s="299" t="s">
        <v>286</v>
      </c>
      <c r="K2939" s="299"/>
      <c r="L2939" s="84">
        <v>1</v>
      </c>
      <c r="M2939" s="76">
        <v>1</v>
      </c>
      <c r="Q2939" s="84">
        <v>1</v>
      </c>
      <c r="R2939" s="76">
        <v>1</v>
      </c>
    </row>
    <row r="2940" spans="2:18" s="83" customFormat="1" ht="15" hidden="1" customHeight="1" outlineLevel="2">
      <c r="B2940" s="119" t="s">
        <v>272</v>
      </c>
      <c r="C2940" s="266" t="s">
        <v>4257</v>
      </c>
      <c r="D2940" s="124" t="s">
        <v>4258</v>
      </c>
      <c r="E2940" s="125"/>
      <c r="F2940" s="118" t="s">
        <v>4255</v>
      </c>
      <c r="G2940" s="126" t="str">
        <f t="shared" si="176"/>
        <v>AR-L45P-1</v>
      </c>
      <c r="H2940" s="253">
        <v>1</v>
      </c>
      <c r="J2940" s="299" t="s">
        <v>286</v>
      </c>
      <c r="K2940" s="299"/>
      <c r="L2940" s="84">
        <v>1</v>
      </c>
      <c r="M2940" s="76">
        <v>1</v>
      </c>
      <c r="Q2940" s="84">
        <v>1</v>
      </c>
      <c r="R2940" s="76">
        <v>1</v>
      </c>
    </row>
    <row r="2941" spans="2:18" s="83" customFormat="1" ht="15" hidden="1" customHeight="1" outlineLevel="2">
      <c r="B2941" s="119" t="s">
        <v>272</v>
      </c>
      <c r="C2941" s="266" t="s">
        <v>4259</v>
      </c>
      <c r="D2941" s="124" t="s">
        <v>1434</v>
      </c>
      <c r="E2941" s="125"/>
      <c r="F2941" s="118" t="s">
        <v>4255</v>
      </c>
      <c r="G2941" s="126" t="str">
        <f t="shared" si="176"/>
        <v>AR-L45P-1</v>
      </c>
      <c r="H2941" s="253">
        <v>1</v>
      </c>
      <c r="J2941" s="299" t="s">
        <v>286</v>
      </c>
      <c r="K2941" s="299"/>
      <c r="L2941" s="84">
        <v>1</v>
      </c>
      <c r="M2941" s="76">
        <v>1</v>
      </c>
      <c r="Q2941" s="84">
        <v>1</v>
      </c>
      <c r="R2941" s="76">
        <v>1</v>
      </c>
    </row>
    <row r="2942" spans="2:18" s="83" customFormat="1" ht="15" hidden="1" customHeight="1" outlineLevel="2">
      <c r="B2942" s="119" t="s">
        <v>272</v>
      </c>
      <c r="C2942" s="266" t="s">
        <v>4260</v>
      </c>
      <c r="D2942" s="124" t="s">
        <v>1436</v>
      </c>
      <c r="E2942" s="125"/>
      <c r="F2942" s="118" t="s">
        <v>4255</v>
      </c>
      <c r="G2942" s="126" t="str">
        <f t="shared" si="176"/>
        <v>AR-L45P-1</v>
      </c>
      <c r="H2942" s="253">
        <v>1</v>
      </c>
      <c r="J2942" s="299" t="s">
        <v>286</v>
      </c>
      <c r="K2942" s="299"/>
      <c r="L2942" s="84">
        <v>1</v>
      </c>
      <c r="M2942" s="76">
        <v>1</v>
      </c>
      <c r="Q2942" s="84">
        <v>1</v>
      </c>
      <c r="R2942" s="76">
        <v>1</v>
      </c>
    </row>
    <row r="2943" spans="2:18" s="83" customFormat="1" ht="15" hidden="1" customHeight="1" outlineLevel="2">
      <c r="B2943" s="119" t="s">
        <v>272</v>
      </c>
      <c r="C2943" s="266" t="s">
        <v>4261</v>
      </c>
      <c r="D2943" s="124" t="s">
        <v>1438</v>
      </c>
      <c r="E2943" s="125"/>
      <c r="F2943" s="118" t="s">
        <v>4255</v>
      </c>
      <c r="G2943" s="126" t="str">
        <f t="shared" si="176"/>
        <v>AR-L45P-1</v>
      </c>
      <c r="H2943" s="253">
        <v>1</v>
      </c>
      <c r="J2943" s="299" t="s">
        <v>286</v>
      </c>
      <c r="K2943" s="299"/>
      <c r="L2943" s="84">
        <v>1</v>
      </c>
      <c r="M2943" s="76">
        <v>1</v>
      </c>
      <c r="Q2943" s="84">
        <v>1</v>
      </c>
      <c r="R2943" s="76">
        <v>1</v>
      </c>
    </row>
    <row r="2944" spans="2:18" s="83" customFormat="1" ht="15" hidden="1" customHeight="1" outlineLevel="2">
      <c r="B2944" s="119" t="s">
        <v>272</v>
      </c>
      <c r="C2944" s="266" t="s">
        <v>4262</v>
      </c>
      <c r="D2944" s="124" t="s">
        <v>1094</v>
      </c>
      <c r="E2944" s="125"/>
      <c r="F2944" s="118" t="s">
        <v>4255</v>
      </c>
      <c r="G2944" s="126" t="str">
        <f t="shared" ref="G2944:G2984" si="177">CONCATENATE("AR-",F2944,"-",H2944)</f>
        <v>AR-L45P-1</v>
      </c>
      <c r="H2944" s="253">
        <v>1</v>
      </c>
      <c r="J2944" s="299" t="s">
        <v>286</v>
      </c>
      <c r="K2944" s="299"/>
      <c r="L2944" s="84">
        <v>1</v>
      </c>
      <c r="M2944" s="76">
        <v>1</v>
      </c>
      <c r="Q2944" s="84">
        <v>1</v>
      </c>
      <c r="R2944" s="76">
        <v>1</v>
      </c>
    </row>
    <row r="2945" spans="2:18" s="83" customFormat="1" ht="15" hidden="1" customHeight="1" outlineLevel="2">
      <c r="B2945" s="119" t="s">
        <v>272</v>
      </c>
      <c r="C2945" s="266" t="s">
        <v>4263</v>
      </c>
      <c r="D2945" s="124" t="s">
        <v>1441</v>
      </c>
      <c r="E2945" s="125"/>
      <c r="F2945" s="118" t="s">
        <v>4255</v>
      </c>
      <c r="G2945" s="126" t="str">
        <f t="shared" si="177"/>
        <v>AR-L45P-1</v>
      </c>
      <c r="H2945" s="253">
        <v>1</v>
      </c>
      <c r="J2945" s="299" t="s">
        <v>286</v>
      </c>
      <c r="K2945" s="299"/>
      <c r="L2945" s="84">
        <v>1</v>
      </c>
      <c r="M2945" s="76">
        <v>1</v>
      </c>
      <c r="Q2945" s="84">
        <v>1</v>
      </c>
      <c r="R2945" s="76">
        <v>1</v>
      </c>
    </row>
    <row r="2946" spans="2:18" s="100" customFormat="1" ht="15" hidden="1" customHeight="1" outlineLevel="2">
      <c r="B2946" s="119" t="s">
        <v>272</v>
      </c>
      <c r="C2946" s="266" t="s">
        <v>4264</v>
      </c>
      <c r="D2946" s="124" t="s">
        <v>1443</v>
      </c>
      <c r="E2946" s="125"/>
      <c r="F2946" s="118" t="s">
        <v>4255</v>
      </c>
      <c r="G2946" s="126" t="str">
        <f t="shared" si="177"/>
        <v>AR-L45P-1</v>
      </c>
      <c r="H2946" s="253">
        <v>1</v>
      </c>
      <c r="J2946" s="299" t="s">
        <v>286</v>
      </c>
      <c r="K2946" s="299"/>
      <c r="L2946" s="84">
        <v>1</v>
      </c>
      <c r="M2946" s="76">
        <v>1</v>
      </c>
      <c r="Q2946" s="84">
        <v>1</v>
      </c>
      <c r="R2946" s="76">
        <v>1</v>
      </c>
    </row>
    <row r="2947" spans="2:18" s="83" customFormat="1" ht="15" hidden="1" customHeight="1" outlineLevel="2">
      <c r="B2947" s="119" t="s">
        <v>272</v>
      </c>
      <c r="C2947" s="266" t="s">
        <v>4265</v>
      </c>
      <c r="D2947" s="124" t="s">
        <v>1445</v>
      </c>
      <c r="E2947" s="125"/>
      <c r="F2947" s="118" t="s">
        <v>4255</v>
      </c>
      <c r="G2947" s="126" t="str">
        <f t="shared" si="177"/>
        <v>AR-L45P-1</v>
      </c>
      <c r="H2947" s="253">
        <v>1</v>
      </c>
      <c r="J2947" s="299" t="s">
        <v>286</v>
      </c>
      <c r="K2947" s="299"/>
      <c r="L2947" s="84">
        <v>1</v>
      </c>
      <c r="M2947" s="76">
        <v>1</v>
      </c>
      <c r="Q2947" s="84">
        <v>1</v>
      </c>
      <c r="R2947" s="76">
        <v>1</v>
      </c>
    </row>
    <row r="2948" spans="2:18" s="83" customFormat="1" ht="15" hidden="1" customHeight="1" outlineLevel="2">
      <c r="B2948" s="119" t="s">
        <v>272</v>
      </c>
      <c r="C2948" s="266" t="s">
        <v>4266</v>
      </c>
      <c r="D2948" s="124" t="s">
        <v>4267</v>
      </c>
      <c r="E2948" s="125"/>
      <c r="F2948" s="118" t="s">
        <v>4255</v>
      </c>
      <c r="G2948" s="126" t="str">
        <f t="shared" si="177"/>
        <v>AR-L45P-1</v>
      </c>
      <c r="H2948" s="253">
        <v>1</v>
      </c>
      <c r="J2948" s="299" t="s">
        <v>286</v>
      </c>
      <c r="K2948" s="299"/>
      <c r="L2948" s="84">
        <v>1</v>
      </c>
      <c r="M2948" s="76">
        <v>1</v>
      </c>
      <c r="Q2948" s="84">
        <v>1</v>
      </c>
      <c r="R2948" s="76">
        <v>1</v>
      </c>
    </row>
    <row r="2949" spans="2:18" s="83" customFormat="1" ht="15" hidden="1" customHeight="1" outlineLevel="2">
      <c r="B2949" s="119" t="s">
        <v>272</v>
      </c>
      <c r="C2949" s="266" t="s">
        <v>4268</v>
      </c>
      <c r="D2949" s="124" t="s">
        <v>4269</v>
      </c>
      <c r="E2949" s="125"/>
      <c r="F2949" s="118" t="s">
        <v>4255</v>
      </c>
      <c r="G2949" s="126" t="str">
        <f t="shared" si="177"/>
        <v>AR-L45P-1</v>
      </c>
      <c r="H2949" s="253">
        <v>1</v>
      </c>
      <c r="J2949" s="299" t="s">
        <v>286</v>
      </c>
      <c r="K2949" s="299"/>
      <c r="L2949" s="84">
        <v>1</v>
      </c>
      <c r="M2949" s="76">
        <v>1</v>
      </c>
      <c r="Q2949" s="84">
        <v>1</v>
      </c>
      <c r="R2949" s="76">
        <v>1</v>
      </c>
    </row>
    <row r="2950" spans="2:18" s="83" customFormat="1" ht="15" hidden="1" customHeight="1" outlineLevel="2">
      <c r="B2950" s="119" t="s">
        <v>272</v>
      </c>
      <c r="C2950" s="266" t="s">
        <v>4270</v>
      </c>
      <c r="D2950" s="124" t="s">
        <v>4271</v>
      </c>
      <c r="E2950" s="125"/>
      <c r="F2950" s="118" t="s">
        <v>4255</v>
      </c>
      <c r="G2950" s="126" t="str">
        <f t="shared" si="177"/>
        <v>AR-L45P-1</v>
      </c>
      <c r="H2950" s="253">
        <v>1</v>
      </c>
      <c r="J2950" s="299" t="s">
        <v>286</v>
      </c>
      <c r="K2950" s="299"/>
      <c r="L2950" s="84">
        <v>1</v>
      </c>
      <c r="M2950" s="76">
        <v>1</v>
      </c>
      <c r="Q2950" s="84">
        <v>1</v>
      </c>
      <c r="R2950" s="76">
        <v>1</v>
      </c>
    </row>
    <row r="2951" spans="2:18" s="83" customFormat="1" ht="15" hidden="1" customHeight="1" outlineLevel="2">
      <c r="B2951" s="119" t="s">
        <v>272</v>
      </c>
      <c r="C2951" s="266" t="s">
        <v>4272</v>
      </c>
      <c r="D2951" s="124" t="s">
        <v>4273</v>
      </c>
      <c r="E2951" s="125"/>
      <c r="F2951" s="118" t="s">
        <v>4255</v>
      </c>
      <c r="G2951" s="126" t="str">
        <f t="shared" si="177"/>
        <v>AR-L45P-1</v>
      </c>
      <c r="H2951" s="253">
        <v>1</v>
      </c>
      <c r="J2951" s="299" t="s">
        <v>286</v>
      </c>
      <c r="K2951" s="299"/>
      <c r="L2951" s="84">
        <v>1</v>
      </c>
      <c r="M2951" s="76">
        <v>1</v>
      </c>
      <c r="Q2951" s="84">
        <v>1</v>
      </c>
      <c r="R2951" s="76">
        <v>1</v>
      </c>
    </row>
    <row r="2952" spans="2:18" s="83" customFormat="1" ht="15" hidden="1" customHeight="1" outlineLevel="2">
      <c r="B2952" s="119" t="s">
        <v>272</v>
      </c>
      <c r="C2952" s="266" t="s">
        <v>4274</v>
      </c>
      <c r="D2952" s="124" t="s">
        <v>4275</v>
      </c>
      <c r="E2952" s="125"/>
      <c r="F2952" s="118" t="s">
        <v>4255</v>
      </c>
      <c r="G2952" s="126" t="str">
        <f t="shared" si="177"/>
        <v>AR-L45P-1</v>
      </c>
      <c r="H2952" s="253">
        <v>1</v>
      </c>
      <c r="J2952" s="299" t="s">
        <v>286</v>
      </c>
      <c r="K2952" s="299"/>
      <c r="L2952" s="84">
        <v>1</v>
      </c>
      <c r="M2952" s="76">
        <v>1</v>
      </c>
      <c r="Q2952" s="84">
        <v>1</v>
      </c>
      <c r="R2952" s="76">
        <v>1</v>
      </c>
    </row>
    <row r="2953" spans="2:18" s="83" customFormat="1" ht="15" hidden="1" customHeight="1" outlineLevel="2">
      <c r="B2953" s="119" t="s">
        <v>272</v>
      </c>
      <c r="C2953" s="266" t="s">
        <v>4276</v>
      </c>
      <c r="D2953" s="124" t="s">
        <v>4277</v>
      </c>
      <c r="E2953" s="125"/>
      <c r="F2953" s="118" t="s">
        <v>4255</v>
      </c>
      <c r="G2953" s="126" t="str">
        <f t="shared" si="177"/>
        <v>AR-L45P-1</v>
      </c>
      <c r="H2953" s="253">
        <v>1</v>
      </c>
      <c r="J2953" s="299" t="s">
        <v>286</v>
      </c>
      <c r="K2953" s="299"/>
      <c r="L2953" s="84">
        <v>1</v>
      </c>
      <c r="M2953" s="76">
        <v>1</v>
      </c>
      <c r="Q2953" s="84">
        <v>1</v>
      </c>
      <c r="R2953" s="76">
        <v>1</v>
      </c>
    </row>
    <row r="2954" spans="2:18" s="83" customFormat="1" ht="15" hidden="1" customHeight="1" outlineLevel="2">
      <c r="B2954" s="119" t="s">
        <v>272</v>
      </c>
      <c r="C2954" s="266" t="s">
        <v>4278</v>
      </c>
      <c r="D2954" s="124" t="s">
        <v>4279</v>
      </c>
      <c r="E2954" s="125"/>
      <c r="F2954" s="118" t="s">
        <v>4255</v>
      </c>
      <c r="G2954" s="126" t="str">
        <f t="shared" si="177"/>
        <v>AR-L45P-1</v>
      </c>
      <c r="H2954" s="253">
        <v>1</v>
      </c>
      <c r="J2954" s="299" t="s">
        <v>286</v>
      </c>
      <c r="K2954" s="299"/>
      <c r="L2954" s="84">
        <v>1</v>
      </c>
      <c r="M2954" s="76">
        <v>1</v>
      </c>
      <c r="Q2954" s="84">
        <v>1</v>
      </c>
      <c r="R2954" s="76">
        <v>1</v>
      </c>
    </row>
    <row r="2955" spans="2:18" s="83" customFormat="1" ht="15" hidden="1" customHeight="1" outlineLevel="2">
      <c r="B2955" s="119" t="s">
        <v>272</v>
      </c>
      <c r="C2955" s="266" t="s">
        <v>4280</v>
      </c>
      <c r="D2955" s="124" t="s">
        <v>4281</v>
      </c>
      <c r="E2955" s="125"/>
      <c r="F2955" s="118" t="s">
        <v>4255</v>
      </c>
      <c r="G2955" s="126" t="str">
        <f t="shared" si="177"/>
        <v>AR-L45P-1</v>
      </c>
      <c r="H2955" s="253">
        <v>1</v>
      </c>
      <c r="J2955" s="299" t="s">
        <v>286</v>
      </c>
      <c r="K2955" s="299"/>
      <c r="L2955" s="84">
        <v>1</v>
      </c>
      <c r="M2955" s="76">
        <v>1</v>
      </c>
      <c r="Q2955" s="84">
        <v>1</v>
      </c>
      <c r="R2955" s="76">
        <v>1</v>
      </c>
    </row>
    <row r="2956" spans="2:18" s="83" customFormat="1" ht="15" hidden="1" customHeight="1" outlineLevel="2">
      <c r="B2956" s="119" t="s">
        <v>272</v>
      </c>
      <c r="C2956" s="266" t="s">
        <v>4282</v>
      </c>
      <c r="D2956" s="124" t="s">
        <v>1461</v>
      </c>
      <c r="E2956" s="125"/>
      <c r="F2956" s="118" t="s">
        <v>4255</v>
      </c>
      <c r="G2956" s="126" t="str">
        <f t="shared" si="177"/>
        <v>AR-L45P-1</v>
      </c>
      <c r="H2956" s="253">
        <v>1</v>
      </c>
      <c r="J2956" s="299" t="s">
        <v>286</v>
      </c>
      <c r="K2956" s="299"/>
      <c r="L2956" s="84">
        <v>1</v>
      </c>
      <c r="M2956" s="76">
        <v>1</v>
      </c>
      <c r="Q2956" s="84">
        <v>1</v>
      </c>
      <c r="R2956" s="76">
        <v>1</v>
      </c>
    </row>
    <row r="2957" spans="2:18" s="83" customFormat="1" ht="15" hidden="1" customHeight="1" outlineLevel="2">
      <c r="B2957" s="119" t="s">
        <v>272</v>
      </c>
      <c r="C2957" s="266" t="s">
        <v>4283</v>
      </c>
      <c r="D2957" s="124" t="s">
        <v>4284</v>
      </c>
      <c r="E2957" s="125"/>
      <c r="F2957" s="118" t="s">
        <v>4255</v>
      </c>
      <c r="G2957" s="126" t="str">
        <f t="shared" si="177"/>
        <v>AR-L45P-1</v>
      </c>
      <c r="H2957" s="253">
        <v>1</v>
      </c>
      <c r="J2957" s="299" t="s">
        <v>286</v>
      </c>
      <c r="K2957" s="299"/>
      <c r="L2957" s="84">
        <v>1</v>
      </c>
      <c r="M2957" s="76">
        <v>1</v>
      </c>
      <c r="Q2957" s="84">
        <v>1</v>
      </c>
      <c r="R2957" s="76">
        <v>1</v>
      </c>
    </row>
    <row r="2958" spans="2:18" s="83" customFormat="1" ht="15" hidden="1" customHeight="1" outlineLevel="2">
      <c r="B2958" s="119" t="s">
        <v>272</v>
      </c>
      <c r="C2958" s="266" t="s">
        <v>4285</v>
      </c>
      <c r="D2958" s="124" t="s">
        <v>1753</v>
      </c>
      <c r="E2958" s="125"/>
      <c r="F2958" s="118" t="s">
        <v>4255</v>
      </c>
      <c r="G2958" s="126" t="str">
        <f t="shared" si="177"/>
        <v>AR-L45P-1</v>
      </c>
      <c r="H2958" s="253">
        <v>1</v>
      </c>
      <c r="J2958" s="299" t="s">
        <v>286</v>
      </c>
      <c r="K2958" s="299"/>
      <c r="L2958" s="84">
        <v>1</v>
      </c>
      <c r="M2958" s="76">
        <v>1</v>
      </c>
      <c r="Q2958" s="84">
        <v>1</v>
      </c>
      <c r="R2958" s="76">
        <v>1</v>
      </c>
    </row>
    <row r="2959" spans="2:18" s="83" customFormat="1" ht="15" hidden="1" customHeight="1" outlineLevel="2">
      <c r="B2959" s="119" t="s">
        <v>272</v>
      </c>
      <c r="C2959" s="266" t="s">
        <v>4286</v>
      </c>
      <c r="D2959" s="124" t="s">
        <v>3587</v>
      </c>
      <c r="E2959" s="125"/>
      <c r="F2959" s="118" t="s">
        <v>4255</v>
      </c>
      <c r="G2959" s="126" t="str">
        <f t="shared" si="177"/>
        <v>AR-L45P-1</v>
      </c>
      <c r="H2959" s="253">
        <v>1</v>
      </c>
      <c r="J2959" s="299" t="s">
        <v>286</v>
      </c>
      <c r="K2959" s="299"/>
      <c r="L2959" s="84">
        <v>1</v>
      </c>
      <c r="M2959" s="76">
        <v>1</v>
      </c>
      <c r="Q2959" s="84">
        <v>1</v>
      </c>
      <c r="R2959" s="76">
        <v>1</v>
      </c>
    </row>
    <row r="2960" spans="2:18" s="83" customFormat="1" ht="15" hidden="1" customHeight="1" outlineLevel="2">
      <c r="B2960" s="119" t="s">
        <v>272</v>
      </c>
      <c r="C2960" s="266" t="s">
        <v>4287</v>
      </c>
      <c r="D2960" s="124" t="s">
        <v>4288</v>
      </c>
      <c r="E2960" s="125"/>
      <c r="F2960" s="118" t="s">
        <v>4255</v>
      </c>
      <c r="G2960" s="126" t="str">
        <f t="shared" si="177"/>
        <v>AR-L45P-1</v>
      </c>
      <c r="H2960" s="253">
        <v>1</v>
      </c>
      <c r="J2960" s="299" t="s">
        <v>286</v>
      </c>
      <c r="K2960" s="299"/>
      <c r="L2960" s="84">
        <v>1</v>
      </c>
      <c r="M2960" s="76">
        <v>1</v>
      </c>
      <c r="Q2960" s="84">
        <v>1</v>
      </c>
      <c r="R2960" s="76">
        <v>1</v>
      </c>
    </row>
    <row r="2961" spans="2:18" s="99" customFormat="1" ht="15" hidden="1" customHeight="1" outlineLevel="2">
      <c r="B2961" s="119" t="s">
        <v>272</v>
      </c>
      <c r="C2961" s="266" t="s">
        <v>4289</v>
      </c>
      <c r="D2961" s="124" t="s">
        <v>3591</v>
      </c>
      <c r="E2961" s="125"/>
      <c r="F2961" s="118" t="s">
        <v>4255</v>
      </c>
      <c r="G2961" s="126" t="str">
        <f t="shared" si="177"/>
        <v>AR-L45P-1</v>
      </c>
      <c r="H2961" s="253">
        <v>1</v>
      </c>
      <c r="J2961" s="299" t="s">
        <v>286</v>
      </c>
      <c r="K2961" s="299"/>
      <c r="L2961" s="84">
        <v>1</v>
      </c>
      <c r="M2961" s="76">
        <v>1</v>
      </c>
      <c r="Q2961" s="84">
        <v>1</v>
      </c>
      <c r="R2961" s="76">
        <v>1</v>
      </c>
    </row>
    <row r="2962" spans="2:18" s="83" customFormat="1" ht="15" hidden="1" customHeight="1" outlineLevel="2">
      <c r="B2962" s="119" t="s">
        <v>272</v>
      </c>
      <c r="C2962" s="266" t="s">
        <v>4290</v>
      </c>
      <c r="D2962" s="124" t="s">
        <v>1763</v>
      </c>
      <c r="E2962" s="125"/>
      <c r="F2962" s="118" t="s">
        <v>4255</v>
      </c>
      <c r="G2962" s="126" t="str">
        <f t="shared" si="177"/>
        <v>AR-L45P-1</v>
      </c>
      <c r="H2962" s="253">
        <v>1</v>
      </c>
      <c r="J2962" s="299" t="s">
        <v>286</v>
      </c>
      <c r="K2962" s="299"/>
      <c r="L2962" s="84">
        <v>1</v>
      </c>
      <c r="M2962" s="76">
        <v>1</v>
      </c>
      <c r="Q2962" s="84">
        <v>1</v>
      </c>
      <c r="R2962" s="76">
        <v>1</v>
      </c>
    </row>
    <row r="2963" spans="2:18" s="83" customFormat="1" ht="15" hidden="1" customHeight="1" outlineLevel="2">
      <c r="B2963" s="119" t="s">
        <v>272</v>
      </c>
      <c r="C2963" s="266" t="s">
        <v>4291</v>
      </c>
      <c r="D2963" s="124" t="s">
        <v>4292</v>
      </c>
      <c r="E2963" s="125"/>
      <c r="F2963" s="118" t="s">
        <v>4255</v>
      </c>
      <c r="G2963" s="126" t="str">
        <f t="shared" si="177"/>
        <v>AR-L45P-1</v>
      </c>
      <c r="H2963" s="253">
        <v>1</v>
      </c>
      <c r="J2963" s="299" t="s">
        <v>286</v>
      </c>
      <c r="K2963" s="299"/>
      <c r="L2963" s="84">
        <v>1</v>
      </c>
      <c r="M2963" s="76">
        <v>1</v>
      </c>
      <c r="Q2963" s="84">
        <v>1</v>
      </c>
      <c r="R2963" s="76">
        <v>1</v>
      </c>
    </row>
    <row r="2964" spans="2:18" s="83" customFormat="1" ht="15" hidden="1" customHeight="1" outlineLevel="2">
      <c r="B2964" s="119" t="s">
        <v>272</v>
      </c>
      <c r="C2964" s="266" t="s">
        <v>4293</v>
      </c>
      <c r="D2964" s="124" t="s">
        <v>4294</v>
      </c>
      <c r="E2964" s="125"/>
      <c r="F2964" s="118" t="s">
        <v>4255</v>
      </c>
      <c r="G2964" s="126" t="str">
        <f t="shared" si="177"/>
        <v>AR-L45P-1</v>
      </c>
      <c r="H2964" s="253">
        <v>1</v>
      </c>
      <c r="J2964" s="299" t="s">
        <v>286</v>
      </c>
      <c r="K2964" s="299"/>
      <c r="L2964" s="84">
        <v>1</v>
      </c>
      <c r="M2964" s="76">
        <v>1</v>
      </c>
      <c r="Q2964" s="84">
        <v>1</v>
      </c>
      <c r="R2964" s="76">
        <v>1</v>
      </c>
    </row>
    <row r="2965" spans="2:18" s="83" customFormat="1" ht="15" hidden="1" customHeight="1" outlineLevel="2">
      <c r="B2965" s="119" t="s">
        <v>272</v>
      </c>
      <c r="C2965" s="266" t="s">
        <v>4295</v>
      </c>
      <c r="D2965" s="124" t="s">
        <v>1773</v>
      </c>
      <c r="E2965" s="125"/>
      <c r="F2965" s="118" t="s">
        <v>4255</v>
      </c>
      <c r="G2965" s="126" t="str">
        <f t="shared" si="177"/>
        <v>AR-L45P-1</v>
      </c>
      <c r="H2965" s="253">
        <v>1</v>
      </c>
      <c r="J2965" s="299" t="s">
        <v>286</v>
      </c>
      <c r="K2965" s="299"/>
      <c r="L2965" s="84">
        <v>1</v>
      </c>
      <c r="M2965" s="76">
        <v>1</v>
      </c>
      <c r="Q2965" s="84">
        <v>1</v>
      </c>
      <c r="R2965" s="76">
        <v>1</v>
      </c>
    </row>
    <row r="2966" spans="2:18" s="83" customFormat="1" ht="15" hidden="1" customHeight="1" outlineLevel="2">
      <c r="B2966" s="119" t="s">
        <v>272</v>
      </c>
      <c r="C2966" s="266" t="s">
        <v>4296</v>
      </c>
      <c r="D2966" s="124" t="s">
        <v>3611</v>
      </c>
      <c r="E2966" s="125"/>
      <c r="F2966" s="118" t="s">
        <v>4255</v>
      </c>
      <c r="G2966" s="126" t="str">
        <f t="shared" si="177"/>
        <v>AR-L45P-1</v>
      </c>
      <c r="H2966" s="253">
        <v>1</v>
      </c>
      <c r="J2966" s="299" t="s">
        <v>286</v>
      </c>
      <c r="K2966" s="299"/>
      <c r="L2966" s="84">
        <v>1</v>
      </c>
      <c r="M2966" s="76">
        <v>1</v>
      </c>
      <c r="Q2966" s="84">
        <v>1</v>
      </c>
      <c r="R2966" s="76">
        <v>1</v>
      </c>
    </row>
    <row r="2967" spans="2:18" s="83" customFormat="1" ht="15" hidden="1" customHeight="1" outlineLevel="2">
      <c r="B2967" s="119" t="s">
        <v>272</v>
      </c>
      <c r="C2967" s="266" t="s">
        <v>4297</v>
      </c>
      <c r="D2967" s="124" t="s">
        <v>4298</v>
      </c>
      <c r="E2967" s="125"/>
      <c r="F2967" s="118" t="s">
        <v>4255</v>
      </c>
      <c r="G2967" s="126" t="str">
        <f t="shared" si="177"/>
        <v>AR-L45P-1</v>
      </c>
      <c r="H2967" s="253">
        <v>1</v>
      </c>
      <c r="J2967" s="299" t="s">
        <v>286</v>
      </c>
      <c r="K2967" s="299"/>
      <c r="L2967" s="84">
        <v>1</v>
      </c>
      <c r="M2967" s="76">
        <v>1</v>
      </c>
      <c r="Q2967" s="84">
        <v>1</v>
      </c>
      <c r="R2967" s="76">
        <v>1</v>
      </c>
    </row>
    <row r="2968" spans="2:18" s="83" customFormat="1" ht="15" hidden="1" customHeight="1" outlineLevel="2">
      <c r="B2968" s="119" t="s">
        <v>272</v>
      </c>
      <c r="C2968" s="266" t="s">
        <v>4299</v>
      </c>
      <c r="D2968" s="124" t="s">
        <v>1783</v>
      </c>
      <c r="E2968" s="125"/>
      <c r="F2968" s="118" t="s">
        <v>4255</v>
      </c>
      <c r="G2968" s="126" t="str">
        <f t="shared" si="177"/>
        <v>AR-L45P-1</v>
      </c>
      <c r="H2968" s="253">
        <v>1</v>
      </c>
      <c r="J2968" s="299" t="s">
        <v>286</v>
      </c>
      <c r="K2968" s="299"/>
      <c r="L2968" s="84">
        <v>1</v>
      </c>
      <c r="M2968" s="76">
        <v>1</v>
      </c>
      <c r="Q2968" s="84">
        <v>1</v>
      </c>
      <c r="R2968" s="76">
        <v>1</v>
      </c>
    </row>
    <row r="2969" spans="2:18" s="83" customFormat="1" ht="15" hidden="1" customHeight="1" outlineLevel="2">
      <c r="B2969" s="119" t="s">
        <v>272</v>
      </c>
      <c r="C2969" s="266" t="s">
        <v>4300</v>
      </c>
      <c r="D2969" s="124" t="s">
        <v>3622</v>
      </c>
      <c r="E2969" s="125"/>
      <c r="F2969" s="118" t="s">
        <v>4255</v>
      </c>
      <c r="G2969" s="126" t="str">
        <f t="shared" si="177"/>
        <v>AR-L45P-1</v>
      </c>
      <c r="H2969" s="253">
        <v>1</v>
      </c>
      <c r="J2969" s="299" t="s">
        <v>286</v>
      </c>
      <c r="K2969" s="299"/>
      <c r="L2969" s="84">
        <v>1</v>
      </c>
      <c r="M2969" s="76">
        <v>1</v>
      </c>
      <c r="Q2969" s="84">
        <v>1</v>
      </c>
      <c r="R2969" s="76">
        <v>1</v>
      </c>
    </row>
    <row r="2970" spans="2:18" s="83" customFormat="1" ht="15" hidden="1" customHeight="1" outlineLevel="2">
      <c r="B2970" s="119" t="s">
        <v>272</v>
      </c>
      <c r="C2970" s="266" t="s">
        <v>4301</v>
      </c>
      <c r="D2970" s="124" t="s">
        <v>3624</v>
      </c>
      <c r="E2970" s="125"/>
      <c r="F2970" s="118" t="s">
        <v>4255</v>
      </c>
      <c r="G2970" s="126" t="str">
        <f t="shared" si="177"/>
        <v>AR-L45P-1</v>
      </c>
      <c r="H2970" s="253">
        <v>1</v>
      </c>
      <c r="J2970" s="299" t="s">
        <v>286</v>
      </c>
      <c r="K2970" s="299"/>
      <c r="L2970" s="84">
        <v>1</v>
      </c>
      <c r="M2970" s="76">
        <v>1</v>
      </c>
      <c r="Q2970" s="84">
        <v>1</v>
      </c>
      <c r="R2970" s="76">
        <v>1</v>
      </c>
    </row>
    <row r="2971" spans="2:18" s="83" customFormat="1" ht="15" hidden="1" customHeight="1" outlineLevel="2">
      <c r="B2971" s="119" t="s">
        <v>272</v>
      </c>
      <c r="C2971" s="266" t="s">
        <v>4302</v>
      </c>
      <c r="D2971" s="124" t="s">
        <v>3628</v>
      </c>
      <c r="E2971" s="125"/>
      <c r="F2971" s="118" t="s">
        <v>4255</v>
      </c>
      <c r="G2971" s="126" t="str">
        <f t="shared" si="177"/>
        <v>AR-L45P-1</v>
      </c>
      <c r="H2971" s="253">
        <v>1</v>
      </c>
      <c r="J2971" s="299" t="s">
        <v>286</v>
      </c>
      <c r="K2971" s="299"/>
      <c r="L2971" s="84">
        <v>1</v>
      </c>
      <c r="M2971" s="76">
        <v>1</v>
      </c>
      <c r="Q2971" s="84">
        <v>1</v>
      </c>
      <c r="R2971" s="76">
        <v>1</v>
      </c>
    </row>
    <row r="2972" spans="2:18" s="83" customFormat="1" ht="15" hidden="1" customHeight="1" outlineLevel="2">
      <c r="B2972" s="119" t="s">
        <v>272</v>
      </c>
      <c r="C2972" s="266" t="s">
        <v>4303</v>
      </c>
      <c r="D2972" s="124" t="s">
        <v>3636</v>
      </c>
      <c r="E2972" s="125"/>
      <c r="F2972" s="118" t="s">
        <v>4255</v>
      </c>
      <c r="G2972" s="126" t="str">
        <f t="shared" si="177"/>
        <v>AR-L45P-1</v>
      </c>
      <c r="H2972" s="253">
        <v>1</v>
      </c>
      <c r="I2972" s="76"/>
      <c r="J2972" s="299" t="s">
        <v>286</v>
      </c>
      <c r="K2972" s="299"/>
      <c r="L2972" s="84">
        <v>1</v>
      </c>
      <c r="M2972" s="76">
        <v>1</v>
      </c>
      <c r="Q2972" s="84">
        <v>1</v>
      </c>
      <c r="R2972" s="76">
        <v>1</v>
      </c>
    </row>
    <row r="2973" spans="2:18" s="83" customFormat="1" ht="15" hidden="1" customHeight="1" outlineLevel="2">
      <c r="B2973" s="119" t="s">
        <v>272</v>
      </c>
      <c r="C2973" s="266" t="s">
        <v>4304</v>
      </c>
      <c r="D2973" s="124" t="s">
        <v>3632</v>
      </c>
      <c r="E2973" s="125"/>
      <c r="F2973" s="118" t="s">
        <v>4255</v>
      </c>
      <c r="G2973" s="126" t="str">
        <f t="shared" si="177"/>
        <v>AR-L45P-1</v>
      </c>
      <c r="H2973" s="253">
        <v>1</v>
      </c>
      <c r="I2973" s="76"/>
      <c r="J2973" s="299" t="s">
        <v>286</v>
      </c>
      <c r="K2973" s="299"/>
      <c r="L2973" s="84">
        <v>1</v>
      </c>
      <c r="M2973" s="76">
        <v>1</v>
      </c>
      <c r="Q2973" s="84">
        <v>1</v>
      </c>
      <c r="R2973" s="76">
        <v>1</v>
      </c>
    </row>
    <row r="2974" spans="2:18" s="83" customFormat="1" ht="15" hidden="1" customHeight="1" outlineLevel="2">
      <c r="B2974" s="119" t="s">
        <v>272</v>
      </c>
      <c r="C2974" s="266" t="s">
        <v>4305</v>
      </c>
      <c r="D2974" s="124" t="s">
        <v>4306</v>
      </c>
      <c r="E2974" s="125"/>
      <c r="F2974" s="118" t="s">
        <v>4255</v>
      </c>
      <c r="G2974" s="126" t="str">
        <f t="shared" si="177"/>
        <v>AR-L45P-1</v>
      </c>
      <c r="H2974" s="253">
        <v>1</v>
      </c>
      <c r="I2974" s="76"/>
      <c r="J2974" s="299" t="s">
        <v>286</v>
      </c>
      <c r="K2974" s="299"/>
      <c r="L2974" s="84">
        <v>1</v>
      </c>
      <c r="M2974" s="76">
        <v>1</v>
      </c>
      <c r="Q2974" s="84">
        <v>1</v>
      </c>
      <c r="R2974" s="76">
        <v>1</v>
      </c>
    </row>
    <row r="2975" spans="2:18" s="83" customFormat="1" ht="15" hidden="1" customHeight="1" outlineLevel="2">
      <c r="B2975" s="119" t="s">
        <v>272</v>
      </c>
      <c r="C2975" s="266" t="s">
        <v>4307</v>
      </c>
      <c r="D2975" s="124" t="s">
        <v>4308</v>
      </c>
      <c r="E2975" s="125"/>
      <c r="F2975" s="118" t="s">
        <v>4255</v>
      </c>
      <c r="G2975" s="126" t="str">
        <f t="shared" si="177"/>
        <v>AR-L45P-1</v>
      </c>
      <c r="H2975" s="253">
        <v>1</v>
      </c>
      <c r="I2975" s="76"/>
      <c r="J2975" s="299" t="s">
        <v>286</v>
      </c>
      <c r="K2975" s="299"/>
      <c r="L2975" s="84">
        <v>1</v>
      </c>
      <c r="M2975" s="76">
        <v>1</v>
      </c>
      <c r="Q2975" s="84">
        <v>1</v>
      </c>
      <c r="R2975" s="76">
        <v>1</v>
      </c>
    </row>
    <row r="2976" spans="2:18" s="83" customFormat="1" ht="15" hidden="1" customHeight="1" outlineLevel="2">
      <c r="B2976" s="119" t="s">
        <v>272</v>
      </c>
      <c r="C2976" s="266" t="s">
        <v>4309</v>
      </c>
      <c r="D2976" s="124" t="s">
        <v>4310</v>
      </c>
      <c r="E2976" s="125"/>
      <c r="F2976" s="118" t="s">
        <v>4255</v>
      </c>
      <c r="G2976" s="126" t="str">
        <f t="shared" si="177"/>
        <v>AR-L45P-1</v>
      </c>
      <c r="H2976" s="253">
        <v>1</v>
      </c>
      <c r="J2976" s="299" t="s">
        <v>286</v>
      </c>
      <c r="K2976" s="299"/>
      <c r="L2976" s="84">
        <v>1</v>
      </c>
      <c r="M2976" s="76">
        <v>1</v>
      </c>
      <c r="Q2976" s="84">
        <v>1</v>
      </c>
      <c r="R2976" s="76">
        <v>1</v>
      </c>
    </row>
    <row r="2977" spans="2:18" s="83" customFormat="1" ht="15" hidden="1" customHeight="1" outlineLevel="2">
      <c r="B2977" s="119" t="s">
        <v>272</v>
      </c>
      <c r="C2977" s="266" t="s">
        <v>4311</v>
      </c>
      <c r="D2977" s="124" t="s">
        <v>1434</v>
      </c>
      <c r="E2977" s="125"/>
      <c r="F2977" s="118" t="s">
        <v>4255</v>
      </c>
      <c r="G2977" s="126" t="str">
        <f t="shared" si="177"/>
        <v>AR-L45P-1</v>
      </c>
      <c r="H2977" s="253">
        <v>1</v>
      </c>
      <c r="J2977" s="299" t="s">
        <v>286</v>
      </c>
      <c r="K2977" s="299"/>
      <c r="L2977" s="84">
        <v>1</v>
      </c>
      <c r="M2977" s="76">
        <v>1</v>
      </c>
      <c r="Q2977" s="84">
        <v>1</v>
      </c>
      <c r="R2977" s="76">
        <v>1</v>
      </c>
    </row>
    <row r="2978" spans="2:18" s="83" customFormat="1" ht="15" hidden="1" customHeight="1" outlineLevel="2">
      <c r="B2978" s="119" t="s">
        <v>272</v>
      </c>
      <c r="C2978" s="266" t="s">
        <v>4312</v>
      </c>
      <c r="D2978" s="124" t="s">
        <v>1436</v>
      </c>
      <c r="E2978" s="125"/>
      <c r="F2978" s="118" t="s">
        <v>4255</v>
      </c>
      <c r="G2978" s="126" t="str">
        <f t="shared" si="177"/>
        <v>AR-L45P-1</v>
      </c>
      <c r="H2978" s="253">
        <v>1</v>
      </c>
      <c r="J2978" s="299" t="s">
        <v>286</v>
      </c>
      <c r="K2978" s="299"/>
      <c r="L2978" s="84">
        <v>1</v>
      </c>
      <c r="M2978" s="76">
        <v>1</v>
      </c>
      <c r="Q2978" s="84">
        <v>1</v>
      </c>
      <c r="R2978" s="76">
        <v>1</v>
      </c>
    </row>
    <row r="2979" spans="2:18" s="83" customFormat="1" ht="15" hidden="1" customHeight="1" outlineLevel="2">
      <c r="B2979" s="119" t="s">
        <v>272</v>
      </c>
      <c r="C2979" s="266" t="s">
        <v>4313</v>
      </c>
      <c r="D2979" s="124" t="s">
        <v>1438</v>
      </c>
      <c r="E2979" s="125"/>
      <c r="F2979" s="118" t="s">
        <v>4255</v>
      </c>
      <c r="G2979" s="126" t="str">
        <f t="shared" si="177"/>
        <v>AR-L45P-1</v>
      </c>
      <c r="H2979" s="253">
        <v>1</v>
      </c>
      <c r="J2979" s="299" t="s">
        <v>286</v>
      </c>
      <c r="K2979" s="299"/>
      <c r="L2979" s="84">
        <v>1</v>
      </c>
      <c r="M2979" s="76">
        <v>1</v>
      </c>
      <c r="Q2979" s="84">
        <v>1</v>
      </c>
      <c r="R2979" s="76">
        <v>1</v>
      </c>
    </row>
    <row r="2980" spans="2:18" s="83" customFormat="1" ht="15" hidden="1" customHeight="1" outlineLevel="2">
      <c r="B2980" s="119" t="s">
        <v>272</v>
      </c>
      <c r="C2980" s="266" t="s">
        <v>4314</v>
      </c>
      <c r="D2980" s="124" t="s">
        <v>1094</v>
      </c>
      <c r="E2980" s="125"/>
      <c r="F2980" s="118" t="s">
        <v>4255</v>
      </c>
      <c r="G2980" s="126" t="str">
        <f t="shared" si="177"/>
        <v>AR-L45P-1</v>
      </c>
      <c r="H2980" s="253">
        <v>1</v>
      </c>
      <c r="J2980" s="299" t="s">
        <v>286</v>
      </c>
      <c r="K2980" s="299"/>
      <c r="L2980" s="84">
        <v>1</v>
      </c>
      <c r="M2980" s="76">
        <v>1</v>
      </c>
      <c r="Q2980" s="84">
        <v>1</v>
      </c>
      <c r="R2980" s="76">
        <v>1</v>
      </c>
    </row>
    <row r="2981" spans="2:18" s="83" customFormat="1" ht="15" hidden="1" customHeight="1" outlineLevel="2">
      <c r="B2981" s="119" t="s">
        <v>272</v>
      </c>
      <c r="C2981" s="266" t="s">
        <v>4315</v>
      </c>
      <c r="D2981" s="124" t="s">
        <v>1441</v>
      </c>
      <c r="E2981" s="125"/>
      <c r="F2981" s="118" t="s">
        <v>4255</v>
      </c>
      <c r="G2981" s="126" t="str">
        <f t="shared" si="177"/>
        <v>AR-L45P-1</v>
      </c>
      <c r="H2981" s="253">
        <v>1</v>
      </c>
      <c r="J2981" s="299" t="s">
        <v>286</v>
      </c>
      <c r="K2981" s="299"/>
      <c r="L2981" s="84">
        <v>1</v>
      </c>
      <c r="M2981" s="76">
        <v>1</v>
      </c>
      <c r="Q2981" s="84">
        <v>1</v>
      </c>
      <c r="R2981" s="76">
        <v>1</v>
      </c>
    </row>
    <row r="2982" spans="2:18" s="83" customFormat="1" ht="15" hidden="1" customHeight="1" outlineLevel="2">
      <c r="B2982" s="119" t="s">
        <v>272</v>
      </c>
      <c r="C2982" s="266" t="s">
        <v>4316</v>
      </c>
      <c r="D2982" s="124" t="s">
        <v>1445</v>
      </c>
      <c r="E2982" s="125"/>
      <c r="F2982" s="118" t="s">
        <v>4255</v>
      </c>
      <c r="G2982" s="126" t="str">
        <f t="shared" si="177"/>
        <v>AR-L45P-1</v>
      </c>
      <c r="H2982" s="253">
        <v>1</v>
      </c>
      <c r="J2982" s="299" t="s">
        <v>286</v>
      </c>
      <c r="K2982" s="299"/>
      <c r="L2982" s="84">
        <v>1</v>
      </c>
      <c r="M2982" s="76">
        <v>1</v>
      </c>
      <c r="Q2982" s="84">
        <v>1</v>
      </c>
      <c r="R2982" s="76">
        <v>1</v>
      </c>
    </row>
    <row r="2983" spans="2:18" s="83" customFormat="1" ht="15" hidden="1" customHeight="1" outlineLevel="2">
      <c r="B2983" s="119" t="s">
        <v>272</v>
      </c>
      <c r="C2983" s="266" t="s">
        <v>4317</v>
      </c>
      <c r="D2983" s="124" t="s">
        <v>4318</v>
      </c>
      <c r="E2983" s="125"/>
      <c r="F2983" s="118" t="s">
        <v>4255</v>
      </c>
      <c r="G2983" s="126" t="str">
        <f t="shared" si="177"/>
        <v>AR-L45P-1</v>
      </c>
      <c r="H2983" s="253">
        <v>1</v>
      </c>
      <c r="J2983" s="299" t="s">
        <v>286</v>
      </c>
      <c r="K2983" s="299"/>
      <c r="L2983" s="84">
        <v>1</v>
      </c>
      <c r="M2983" s="76">
        <v>1</v>
      </c>
      <c r="Q2983" s="84">
        <v>1</v>
      </c>
      <c r="R2983" s="76">
        <v>1</v>
      </c>
    </row>
    <row r="2984" spans="2:18" s="83" customFormat="1" ht="15" hidden="1" customHeight="1" outlineLevel="2">
      <c r="B2984" s="119" t="s">
        <v>272</v>
      </c>
      <c r="C2984" s="266" t="s">
        <v>4319</v>
      </c>
      <c r="D2984" s="124" t="s">
        <v>4320</v>
      </c>
      <c r="E2984" s="125"/>
      <c r="F2984" s="118" t="s">
        <v>4255</v>
      </c>
      <c r="G2984" s="126" t="str">
        <f t="shared" si="177"/>
        <v>AR-L45P-1</v>
      </c>
      <c r="H2984" s="253">
        <v>1</v>
      </c>
      <c r="J2984" s="299" t="s">
        <v>286</v>
      </c>
      <c r="K2984" s="299"/>
      <c r="L2984" s="84">
        <v>1</v>
      </c>
      <c r="M2984" s="76">
        <v>1</v>
      </c>
      <c r="Q2984" s="84">
        <v>1</v>
      </c>
      <c r="R2984" s="76">
        <v>1</v>
      </c>
    </row>
    <row r="2985" spans="2:18" s="83" customFormat="1" ht="15" hidden="1" customHeight="1" outlineLevel="2">
      <c r="B2985" s="119" t="s">
        <v>272</v>
      </c>
      <c r="C2985" s="266" t="s">
        <v>4321</v>
      </c>
      <c r="D2985" s="124" t="s">
        <v>4322</v>
      </c>
      <c r="E2985" s="125"/>
      <c r="F2985" s="118" t="s">
        <v>4255</v>
      </c>
      <c r="G2985" s="126" t="str">
        <f t="shared" ref="G2985:G2990" si="178">CONCATENATE("AR-",F2985,"-",H2985)</f>
        <v>AR-L45P-1</v>
      </c>
      <c r="H2985" s="253">
        <v>1</v>
      </c>
      <c r="J2985" s="299" t="s">
        <v>286</v>
      </c>
      <c r="K2985" s="299"/>
      <c r="L2985" s="84">
        <v>1</v>
      </c>
      <c r="M2985" s="76">
        <v>1</v>
      </c>
      <c r="Q2985" s="84">
        <v>1</v>
      </c>
      <c r="R2985" s="76">
        <v>1</v>
      </c>
    </row>
    <row r="2986" spans="2:18" s="83" customFormat="1" ht="15" hidden="1" customHeight="1" outlineLevel="2">
      <c r="B2986" s="119" t="s">
        <v>272</v>
      </c>
      <c r="C2986" s="266" t="s">
        <v>4323</v>
      </c>
      <c r="D2986" s="124" t="s">
        <v>4324</v>
      </c>
      <c r="E2986" s="125"/>
      <c r="F2986" s="118" t="s">
        <v>4255</v>
      </c>
      <c r="G2986" s="126" t="str">
        <f t="shared" si="178"/>
        <v>AR-L45P-1</v>
      </c>
      <c r="H2986" s="253">
        <v>1</v>
      </c>
      <c r="J2986" s="299" t="s">
        <v>286</v>
      </c>
      <c r="K2986" s="299"/>
      <c r="L2986" s="84">
        <v>1</v>
      </c>
      <c r="M2986" s="76">
        <v>1</v>
      </c>
      <c r="Q2986" s="84">
        <v>1</v>
      </c>
      <c r="R2986" s="76">
        <v>1</v>
      </c>
    </row>
    <row r="2987" spans="2:18" s="83" customFormat="1" ht="15" hidden="1" customHeight="1" outlineLevel="2">
      <c r="B2987" s="119" t="s">
        <v>272</v>
      </c>
      <c r="C2987" s="266" t="s">
        <v>4325</v>
      </c>
      <c r="D2987" s="124" t="s">
        <v>4281</v>
      </c>
      <c r="E2987" s="125"/>
      <c r="F2987" s="118" t="s">
        <v>4255</v>
      </c>
      <c r="G2987" s="126" t="str">
        <f t="shared" si="178"/>
        <v>AR-L45P-1</v>
      </c>
      <c r="H2987" s="253">
        <v>1</v>
      </c>
      <c r="J2987" s="299" t="s">
        <v>286</v>
      </c>
      <c r="K2987" s="299"/>
      <c r="L2987" s="84">
        <v>1</v>
      </c>
      <c r="M2987" s="76">
        <v>1</v>
      </c>
      <c r="Q2987" s="84">
        <v>1</v>
      </c>
      <c r="R2987" s="76">
        <v>1</v>
      </c>
    </row>
    <row r="2988" spans="2:18" s="83" customFormat="1" ht="15" hidden="1" customHeight="1" outlineLevel="2">
      <c r="B2988" s="119" t="s">
        <v>272</v>
      </c>
      <c r="C2988" s="266" t="s">
        <v>4326</v>
      </c>
      <c r="D2988" s="124" t="s">
        <v>1461</v>
      </c>
      <c r="E2988" s="125"/>
      <c r="F2988" s="118" t="s">
        <v>4255</v>
      </c>
      <c r="G2988" s="126" t="str">
        <f t="shared" si="178"/>
        <v>AR-L45P-1</v>
      </c>
      <c r="H2988" s="253">
        <v>1</v>
      </c>
      <c r="J2988" s="299" t="s">
        <v>286</v>
      </c>
      <c r="K2988" s="299"/>
      <c r="L2988" s="84">
        <v>1</v>
      </c>
      <c r="M2988" s="76">
        <v>1</v>
      </c>
      <c r="Q2988" s="84">
        <v>1</v>
      </c>
      <c r="R2988" s="76">
        <v>1</v>
      </c>
    </row>
    <row r="2989" spans="2:18" s="83" customFormat="1" ht="15" hidden="1" customHeight="1" outlineLevel="2">
      <c r="B2989" s="119" t="s">
        <v>272</v>
      </c>
      <c r="C2989" s="266" t="s">
        <v>4327</v>
      </c>
      <c r="D2989" s="124" t="s">
        <v>4284</v>
      </c>
      <c r="E2989" s="125"/>
      <c r="F2989" s="118" t="s">
        <v>4255</v>
      </c>
      <c r="G2989" s="126" t="str">
        <f t="shared" si="178"/>
        <v>AR-L45P-1</v>
      </c>
      <c r="H2989" s="253">
        <v>1</v>
      </c>
      <c r="J2989" s="299" t="s">
        <v>286</v>
      </c>
      <c r="K2989" s="299"/>
      <c r="L2989" s="84">
        <v>1</v>
      </c>
      <c r="M2989" s="76">
        <v>1</v>
      </c>
      <c r="Q2989" s="84">
        <v>1</v>
      </c>
      <c r="R2989" s="76">
        <v>1</v>
      </c>
    </row>
    <row r="2990" spans="2:18" s="83" customFormat="1" ht="15" hidden="1" customHeight="1" outlineLevel="2">
      <c r="B2990" s="119" t="s">
        <v>272</v>
      </c>
      <c r="C2990" s="266" t="s">
        <v>4328</v>
      </c>
      <c r="D2990" s="124" t="s">
        <v>1753</v>
      </c>
      <c r="E2990" s="125"/>
      <c r="F2990" s="118" t="s">
        <v>4255</v>
      </c>
      <c r="G2990" s="126" t="str">
        <f t="shared" si="178"/>
        <v>AR-L45P-1</v>
      </c>
      <c r="H2990" s="253">
        <v>1</v>
      </c>
      <c r="J2990" s="299" t="s">
        <v>286</v>
      </c>
      <c r="K2990" s="299"/>
      <c r="L2990" s="84">
        <v>1</v>
      </c>
      <c r="M2990" s="76">
        <v>1</v>
      </c>
      <c r="Q2990" s="84">
        <v>1</v>
      </c>
      <c r="R2990" s="76">
        <v>1</v>
      </c>
    </row>
    <row r="2991" spans="2:18" s="83" customFormat="1" ht="15" hidden="1" customHeight="1" outlineLevel="2">
      <c r="B2991" s="119" t="s">
        <v>272</v>
      </c>
      <c r="C2991" s="266" t="s">
        <v>4329</v>
      </c>
      <c r="D2991" s="124" t="s">
        <v>3587</v>
      </c>
      <c r="E2991" s="125"/>
      <c r="F2991" s="118" t="s">
        <v>4255</v>
      </c>
      <c r="G2991" s="126" t="str">
        <f>CONCATENATE("AR-",F2991,"-",H2991)</f>
        <v>AR-L45P-1</v>
      </c>
      <c r="H2991" s="253">
        <v>1</v>
      </c>
      <c r="J2991" s="299" t="s">
        <v>286</v>
      </c>
      <c r="K2991" s="299"/>
      <c r="L2991" s="84">
        <v>1</v>
      </c>
      <c r="M2991" s="76">
        <v>1</v>
      </c>
      <c r="Q2991" s="84">
        <v>1</v>
      </c>
      <c r="R2991" s="76">
        <v>1</v>
      </c>
    </row>
    <row r="2992" spans="2:18" s="83" customFormat="1" ht="15" hidden="1" customHeight="1" outlineLevel="2">
      <c r="B2992" s="119" t="s">
        <v>272</v>
      </c>
      <c r="C2992" s="266" t="s">
        <v>4330</v>
      </c>
      <c r="D2992" s="124" t="s">
        <v>4288</v>
      </c>
      <c r="E2992" s="125"/>
      <c r="F2992" s="118" t="s">
        <v>4255</v>
      </c>
      <c r="G2992" s="126" t="str">
        <f>CONCATENATE("AR-",F2992,"-",H2992)</f>
        <v>AR-L45P-1</v>
      </c>
      <c r="H2992" s="253">
        <v>1</v>
      </c>
      <c r="J2992" s="299" t="s">
        <v>286</v>
      </c>
      <c r="K2992" s="299"/>
      <c r="L2992" s="84">
        <v>1</v>
      </c>
      <c r="M2992" s="76">
        <v>1</v>
      </c>
      <c r="Q2992" s="84">
        <v>1</v>
      </c>
      <c r="R2992" s="76">
        <v>1</v>
      </c>
    </row>
    <row r="2993" spans="2:18" s="83" customFormat="1" ht="15" hidden="1" customHeight="1" outlineLevel="2">
      <c r="B2993" s="119" t="s">
        <v>272</v>
      </c>
      <c r="C2993" s="266" t="s">
        <v>4331</v>
      </c>
      <c r="D2993" s="124" t="s">
        <v>3591</v>
      </c>
      <c r="E2993" s="125"/>
      <c r="F2993" s="118" t="s">
        <v>4255</v>
      </c>
      <c r="G2993" s="126" t="str">
        <f>CONCATENATE("AR-",F2993,"-",H2993)</f>
        <v>AR-L45P-1</v>
      </c>
      <c r="H2993" s="253">
        <v>1</v>
      </c>
      <c r="J2993" s="299" t="s">
        <v>286</v>
      </c>
      <c r="K2993" s="299"/>
      <c r="L2993" s="84">
        <v>1</v>
      </c>
      <c r="M2993" s="76">
        <v>1</v>
      </c>
      <c r="Q2993" s="84">
        <v>1</v>
      </c>
      <c r="R2993" s="76">
        <v>1</v>
      </c>
    </row>
    <row r="2994" spans="2:18" s="83" customFormat="1" ht="15" hidden="1" customHeight="1" outlineLevel="2">
      <c r="B2994" s="119" t="s">
        <v>272</v>
      </c>
      <c r="C2994" s="266" t="s">
        <v>4332</v>
      </c>
      <c r="D2994" s="124" t="s">
        <v>1763</v>
      </c>
      <c r="E2994" s="125"/>
      <c r="F2994" s="118" t="s">
        <v>4255</v>
      </c>
      <c r="G2994" s="126" t="str">
        <f t="shared" ref="G2994:G3013" si="179">CONCATENATE("AR-",F2994,"-",H2994)</f>
        <v>AR-L45P-1</v>
      </c>
      <c r="H2994" s="253">
        <v>1</v>
      </c>
      <c r="J2994" s="299" t="s">
        <v>286</v>
      </c>
      <c r="K2994" s="299"/>
      <c r="L2994" s="84">
        <v>1</v>
      </c>
      <c r="M2994" s="76">
        <v>1</v>
      </c>
      <c r="Q2994" s="84">
        <v>1</v>
      </c>
      <c r="R2994" s="76">
        <v>1</v>
      </c>
    </row>
    <row r="2995" spans="2:18" s="83" customFormat="1" ht="15" hidden="1" customHeight="1" outlineLevel="2">
      <c r="B2995" s="119" t="s">
        <v>272</v>
      </c>
      <c r="C2995" s="266" t="s">
        <v>4333</v>
      </c>
      <c r="D2995" s="124" t="s">
        <v>4292</v>
      </c>
      <c r="E2995" s="125"/>
      <c r="F2995" s="118" t="s">
        <v>4255</v>
      </c>
      <c r="G2995" s="126" t="str">
        <f t="shared" si="179"/>
        <v>AR-L45P-1</v>
      </c>
      <c r="H2995" s="253">
        <v>1</v>
      </c>
      <c r="J2995" s="299" t="s">
        <v>286</v>
      </c>
      <c r="K2995" s="299"/>
      <c r="L2995" s="84">
        <v>1</v>
      </c>
      <c r="M2995" s="76">
        <v>1</v>
      </c>
      <c r="Q2995" s="84">
        <v>1</v>
      </c>
      <c r="R2995" s="76">
        <v>1</v>
      </c>
    </row>
    <row r="2996" spans="2:18" s="83" customFormat="1" ht="15" hidden="1" customHeight="1" outlineLevel="2">
      <c r="B2996" s="119" t="s">
        <v>272</v>
      </c>
      <c r="C2996" s="266" t="s">
        <v>4334</v>
      </c>
      <c r="D2996" s="124" t="s">
        <v>3602</v>
      </c>
      <c r="E2996" s="125"/>
      <c r="F2996" s="118" t="s">
        <v>4255</v>
      </c>
      <c r="G2996" s="126" t="str">
        <f t="shared" si="179"/>
        <v>AR-L45P-1</v>
      </c>
      <c r="H2996" s="253">
        <v>1</v>
      </c>
      <c r="J2996" s="299" t="s">
        <v>286</v>
      </c>
      <c r="K2996" s="299"/>
      <c r="L2996" s="84">
        <v>1</v>
      </c>
      <c r="M2996" s="76">
        <v>1</v>
      </c>
      <c r="Q2996" s="84">
        <v>1</v>
      </c>
      <c r="R2996" s="76">
        <v>1</v>
      </c>
    </row>
    <row r="2997" spans="2:18" s="83" customFormat="1" ht="15" hidden="1" customHeight="1" outlineLevel="2">
      <c r="B2997" s="119" t="s">
        <v>272</v>
      </c>
      <c r="C2997" s="266" t="s">
        <v>4335</v>
      </c>
      <c r="D2997" s="124" t="s">
        <v>1773</v>
      </c>
      <c r="E2997" s="125"/>
      <c r="F2997" s="118" t="s">
        <v>4255</v>
      </c>
      <c r="G2997" s="126" t="str">
        <f t="shared" si="179"/>
        <v>AR-L45P-1</v>
      </c>
      <c r="H2997" s="253">
        <v>1</v>
      </c>
      <c r="J2997" s="299" t="s">
        <v>286</v>
      </c>
      <c r="K2997" s="299"/>
      <c r="L2997" s="84">
        <v>1</v>
      </c>
      <c r="M2997" s="76">
        <v>1</v>
      </c>
      <c r="Q2997" s="84">
        <v>1</v>
      </c>
      <c r="R2997" s="76">
        <v>1</v>
      </c>
    </row>
    <row r="2998" spans="2:18" s="83" customFormat="1" ht="15" hidden="1" customHeight="1" outlineLevel="2">
      <c r="B2998" s="119" t="s">
        <v>272</v>
      </c>
      <c r="C2998" s="266" t="s">
        <v>4336</v>
      </c>
      <c r="D2998" s="124" t="s">
        <v>3611</v>
      </c>
      <c r="E2998" s="125"/>
      <c r="F2998" s="118" t="s">
        <v>4255</v>
      </c>
      <c r="G2998" s="126" t="str">
        <f t="shared" si="179"/>
        <v>AR-L45P-1</v>
      </c>
      <c r="H2998" s="253">
        <v>1</v>
      </c>
      <c r="J2998" s="299" t="s">
        <v>286</v>
      </c>
      <c r="K2998" s="299"/>
      <c r="L2998" s="84">
        <v>1</v>
      </c>
      <c r="M2998" s="76">
        <v>1</v>
      </c>
      <c r="Q2998" s="84">
        <v>1</v>
      </c>
      <c r="R2998" s="76">
        <v>1</v>
      </c>
    </row>
    <row r="2999" spans="2:18" s="83" customFormat="1" ht="15" hidden="1" customHeight="1" outlineLevel="2">
      <c r="B2999" s="119" t="s">
        <v>272</v>
      </c>
      <c r="C2999" s="266" t="s">
        <v>4337</v>
      </c>
      <c r="D2999" s="124" t="s">
        <v>4298</v>
      </c>
      <c r="E2999" s="125"/>
      <c r="F2999" s="118" t="s">
        <v>4255</v>
      </c>
      <c r="G2999" s="126" t="str">
        <f t="shared" si="179"/>
        <v>AR-L45P-1</v>
      </c>
      <c r="H2999" s="253">
        <v>1</v>
      </c>
      <c r="J2999" s="299" t="s">
        <v>286</v>
      </c>
      <c r="K2999" s="299"/>
      <c r="L2999" s="84">
        <v>1</v>
      </c>
      <c r="M2999" s="76">
        <v>1</v>
      </c>
      <c r="Q2999" s="84">
        <v>1</v>
      </c>
      <c r="R2999" s="76">
        <v>1</v>
      </c>
    </row>
    <row r="3000" spans="2:18" s="83" customFormat="1" ht="15" hidden="1" customHeight="1" outlineLevel="2">
      <c r="B3000" s="119" t="s">
        <v>272</v>
      </c>
      <c r="C3000" s="266" t="s">
        <v>4338</v>
      </c>
      <c r="D3000" s="124" t="s">
        <v>1783</v>
      </c>
      <c r="E3000" s="125"/>
      <c r="F3000" s="118" t="s">
        <v>4255</v>
      </c>
      <c r="G3000" s="126" t="str">
        <f t="shared" si="179"/>
        <v>AR-L45P-1</v>
      </c>
      <c r="H3000" s="253">
        <v>1</v>
      </c>
      <c r="J3000" s="299" t="s">
        <v>286</v>
      </c>
      <c r="K3000" s="299"/>
      <c r="L3000" s="84">
        <v>1</v>
      </c>
      <c r="M3000" s="76">
        <v>1</v>
      </c>
      <c r="Q3000" s="84">
        <v>1</v>
      </c>
      <c r="R3000" s="76">
        <v>1</v>
      </c>
    </row>
    <row r="3001" spans="2:18" s="83" customFormat="1" ht="15" hidden="1" customHeight="1" outlineLevel="2">
      <c r="B3001" s="119" t="s">
        <v>272</v>
      </c>
      <c r="C3001" s="266" t="s">
        <v>4339</v>
      </c>
      <c r="D3001" s="124" t="s">
        <v>3622</v>
      </c>
      <c r="E3001" s="125"/>
      <c r="F3001" s="118" t="s">
        <v>4255</v>
      </c>
      <c r="G3001" s="126" t="str">
        <f t="shared" si="179"/>
        <v>AR-L45P-1</v>
      </c>
      <c r="H3001" s="253">
        <v>1</v>
      </c>
      <c r="J3001" s="299" t="s">
        <v>286</v>
      </c>
      <c r="K3001" s="299"/>
      <c r="L3001" s="84">
        <v>1</v>
      </c>
      <c r="M3001" s="76">
        <v>1</v>
      </c>
      <c r="Q3001" s="84">
        <v>1</v>
      </c>
      <c r="R3001" s="76">
        <v>1</v>
      </c>
    </row>
    <row r="3002" spans="2:18" s="83" customFormat="1" ht="15" hidden="1" customHeight="1" outlineLevel="2">
      <c r="B3002" s="119" t="s">
        <v>272</v>
      </c>
      <c r="C3002" s="266" t="s">
        <v>4340</v>
      </c>
      <c r="D3002" s="124" t="s">
        <v>3624</v>
      </c>
      <c r="E3002" s="125"/>
      <c r="F3002" s="118" t="s">
        <v>4255</v>
      </c>
      <c r="G3002" s="126" t="str">
        <f t="shared" si="179"/>
        <v>AR-L45P-1</v>
      </c>
      <c r="H3002" s="253">
        <v>1</v>
      </c>
      <c r="J3002" s="299" t="s">
        <v>286</v>
      </c>
      <c r="K3002" s="299"/>
      <c r="L3002" s="84">
        <v>1</v>
      </c>
      <c r="M3002" s="76">
        <v>1</v>
      </c>
      <c r="Q3002" s="84">
        <v>1</v>
      </c>
      <c r="R3002" s="76">
        <v>1</v>
      </c>
    </row>
    <row r="3003" spans="2:18" s="83" customFormat="1" ht="15" hidden="1" customHeight="1" outlineLevel="2">
      <c r="B3003" s="119" t="s">
        <v>272</v>
      </c>
      <c r="C3003" s="266" t="s">
        <v>4341</v>
      </c>
      <c r="D3003" s="124" t="s">
        <v>3628</v>
      </c>
      <c r="E3003" s="125"/>
      <c r="F3003" s="118" t="s">
        <v>4255</v>
      </c>
      <c r="G3003" s="126" t="str">
        <f t="shared" si="179"/>
        <v>AR-L45P-1</v>
      </c>
      <c r="H3003" s="253">
        <v>1</v>
      </c>
      <c r="J3003" s="299" t="s">
        <v>286</v>
      </c>
      <c r="K3003" s="299"/>
      <c r="L3003" s="84">
        <v>1</v>
      </c>
      <c r="M3003" s="76">
        <v>1</v>
      </c>
      <c r="Q3003" s="84">
        <v>1</v>
      </c>
      <c r="R3003" s="76">
        <v>1</v>
      </c>
    </row>
    <row r="3004" spans="2:18" s="83" customFormat="1" ht="15" hidden="1" customHeight="1" outlineLevel="2">
      <c r="B3004" s="119" t="s">
        <v>272</v>
      </c>
      <c r="C3004" s="266" t="s">
        <v>4342</v>
      </c>
      <c r="D3004" s="124" t="s">
        <v>4343</v>
      </c>
      <c r="E3004" s="125"/>
      <c r="F3004" s="118" t="s">
        <v>4255</v>
      </c>
      <c r="G3004" s="126" t="str">
        <f t="shared" si="179"/>
        <v>AR-L45P-1</v>
      </c>
      <c r="H3004" s="253">
        <v>1</v>
      </c>
      <c r="J3004" s="299" t="s">
        <v>286</v>
      </c>
      <c r="K3004" s="299"/>
      <c r="L3004" s="84">
        <v>1</v>
      </c>
      <c r="M3004" s="76">
        <v>1</v>
      </c>
      <c r="Q3004" s="84">
        <v>1</v>
      </c>
      <c r="R3004" s="76">
        <v>1</v>
      </c>
    </row>
    <row r="3005" spans="2:18" s="83" customFormat="1" ht="15" hidden="1" customHeight="1" outlineLevel="2">
      <c r="B3005" s="119" t="s">
        <v>272</v>
      </c>
      <c r="C3005" s="266" t="s">
        <v>4344</v>
      </c>
      <c r="D3005" s="124" t="s">
        <v>4345</v>
      </c>
      <c r="E3005" s="125"/>
      <c r="F3005" s="118" t="s">
        <v>4255</v>
      </c>
      <c r="G3005" s="126" t="str">
        <f t="shared" si="179"/>
        <v>AR-L45P-1</v>
      </c>
      <c r="H3005" s="253">
        <v>1</v>
      </c>
      <c r="J3005" s="299" t="s">
        <v>286</v>
      </c>
      <c r="K3005" s="299"/>
      <c r="L3005" s="84">
        <v>1</v>
      </c>
      <c r="M3005" s="76">
        <v>1</v>
      </c>
      <c r="Q3005" s="84">
        <v>1</v>
      </c>
      <c r="R3005" s="76">
        <v>1</v>
      </c>
    </row>
    <row r="3006" spans="2:18" s="83" customFormat="1" ht="15" hidden="1" customHeight="1" outlineLevel="2">
      <c r="B3006" s="119" t="s">
        <v>272</v>
      </c>
      <c r="C3006" s="266" t="s">
        <v>4346</v>
      </c>
      <c r="D3006" s="124" t="s">
        <v>4306</v>
      </c>
      <c r="E3006" s="125"/>
      <c r="F3006" s="118" t="s">
        <v>4255</v>
      </c>
      <c r="G3006" s="126" t="str">
        <f t="shared" si="179"/>
        <v>AR-L45P-1</v>
      </c>
      <c r="H3006" s="253">
        <v>1</v>
      </c>
      <c r="J3006" s="299" t="s">
        <v>286</v>
      </c>
      <c r="K3006" s="299"/>
      <c r="L3006" s="84">
        <v>1</v>
      </c>
      <c r="M3006" s="76">
        <v>1</v>
      </c>
      <c r="Q3006" s="84">
        <v>1</v>
      </c>
      <c r="R3006" s="76">
        <v>1</v>
      </c>
    </row>
    <row r="3007" spans="2:18" s="83" customFormat="1" ht="15" hidden="1" customHeight="1" outlineLevel="2">
      <c r="B3007" s="119" t="s">
        <v>272</v>
      </c>
      <c r="C3007" s="266" t="s">
        <v>4347</v>
      </c>
      <c r="D3007" s="124" t="s">
        <v>4308</v>
      </c>
      <c r="E3007" s="125"/>
      <c r="F3007" s="118" t="s">
        <v>4255</v>
      </c>
      <c r="G3007" s="126" t="str">
        <f t="shared" si="179"/>
        <v>AR-L45P-1</v>
      </c>
      <c r="H3007" s="253">
        <v>1</v>
      </c>
      <c r="J3007" s="299" t="s">
        <v>286</v>
      </c>
      <c r="K3007" s="299"/>
      <c r="L3007" s="84">
        <v>1</v>
      </c>
      <c r="M3007" s="76">
        <v>1</v>
      </c>
      <c r="Q3007" s="84">
        <v>1</v>
      </c>
      <c r="R3007" s="76">
        <v>1</v>
      </c>
    </row>
    <row r="3008" spans="2:18" s="83" customFormat="1" ht="15" hidden="1" customHeight="1" outlineLevel="2">
      <c r="B3008" s="119" t="s">
        <v>272</v>
      </c>
      <c r="C3008" s="266" t="s">
        <v>4348</v>
      </c>
      <c r="D3008" s="124" t="s">
        <v>4310</v>
      </c>
      <c r="E3008" s="125"/>
      <c r="F3008" s="118" t="s">
        <v>4255</v>
      </c>
      <c r="G3008" s="126" t="str">
        <f t="shared" si="179"/>
        <v>AR-L45P-1</v>
      </c>
      <c r="H3008" s="253">
        <v>1</v>
      </c>
      <c r="J3008" s="299" t="s">
        <v>286</v>
      </c>
      <c r="K3008" s="299"/>
      <c r="L3008" s="84">
        <v>1</v>
      </c>
      <c r="M3008" s="76">
        <v>1</v>
      </c>
      <c r="Q3008" s="84">
        <v>1</v>
      </c>
      <c r="R3008" s="76">
        <v>1</v>
      </c>
    </row>
    <row r="3009" spans="2:18" s="83" customFormat="1" ht="15" hidden="1" customHeight="1" outlineLevel="2">
      <c r="B3009" s="119" t="s">
        <v>272</v>
      </c>
      <c r="C3009" s="266" t="s">
        <v>4349</v>
      </c>
      <c r="D3009" s="124" t="s">
        <v>1434</v>
      </c>
      <c r="E3009" s="125"/>
      <c r="F3009" s="118" t="s">
        <v>4255</v>
      </c>
      <c r="G3009" s="126" t="str">
        <f t="shared" si="179"/>
        <v>AR-L45P-1</v>
      </c>
      <c r="H3009" s="253">
        <v>1</v>
      </c>
      <c r="J3009" s="299" t="s">
        <v>286</v>
      </c>
      <c r="K3009" s="299"/>
      <c r="L3009" s="84">
        <v>1</v>
      </c>
      <c r="M3009" s="76">
        <v>1</v>
      </c>
      <c r="Q3009" s="84">
        <v>1</v>
      </c>
      <c r="R3009" s="76">
        <v>1</v>
      </c>
    </row>
    <row r="3010" spans="2:18" s="83" customFormat="1" ht="15" hidden="1" customHeight="1" outlineLevel="2">
      <c r="B3010" s="119" t="s">
        <v>272</v>
      </c>
      <c r="C3010" s="266" t="s">
        <v>4350</v>
      </c>
      <c r="D3010" s="124" t="s">
        <v>1436</v>
      </c>
      <c r="E3010" s="125"/>
      <c r="F3010" s="118" t="s">
        <v>4255</v>
      </c>
      <c r="G3010" s="126" t="str">
        <f t="shared" si="179"/>
        <v>AR-L45P-1</v>
      </c>
      <c r="H3010" s="253">
        <v>1</v>
      </c>
      <c r="J3010" s="299" t="s">
        <v>286</v>
      </c>
      <c r="K3010" s="299"/>
      <c r="L3010" s="84">
        <v>1</v>
      </c>
      <c r="M3010" s="76">
        <v>1</v>
      </c>
      <c r="Q3010" s="84">
        <v>1</v>
      </c>
      <c r="R3010" s="76">
        <v>1</v>
      </c>
    </row>
    <row r="3011" spans="2:18" s="83" customFormat="1" ht="15" hidden="1" customHeight="1" outlineLevel="2">
      <c r="B3011" s="119" t="s">
        <v>272</v>
      </c>
      <c r="C3011" s="266" t="s">
        <v>4351</v>
      </c>
      <c r="D3011" s="124" t="s">
        <v>1438</v>
      </c>
      <c r="E3011" s="125"/>
      <c r="F3011" s="118" t="s">
        <v>4255</v>
      </c>
      <c r="G3011" s="126" t="str">
        <f t="shared" si="179"/>
        <v>AR-L45P-1</v>
      </c>
      <c r="H3011" s="253">
        <v>1</v>
      </c>
      <c r="J3011" s="299" t="s">
        <v>286</v>
      </c>
      <c r="K3011" s="299"/>
      <c r="L3011" s="84">
        <v>1</v>
      </c>
      <c r="M3011" s="76">
        <v>1</v>
      </c>
      <c r="Q3011" s="84">
        <v>1</v>
      </c>
      <c r="R3011" s="76">
        <v>1</v>
      </c>
    </row>
    <row r="3012" spans="2:18" s="83" customFormat="1" ht="15" hidden="1" customHeight="1" outlineLevel="2">
      <c r="B3012" s="119" t="s">
        <v>272</v>
      </c>
      <c r="C3012" s="266" t="s">
        <v>4352</v>
      </c>
      <c r="D3012" s="124" t="s">
        <v>1094</v>
      </c>
      <c r="E3012" s="125"/>
      <c r="F3012" s="118" t="s">
        <v>4255</v>
      </c>
      <c r="G3012" s="126" t="str">
        <f t="shared" si="179"/>
        <v>AR-L45P-1</v>
      </c>
      <c r="H3012" s="253">
        <v>1</v>
      </c>
      <c r="J3012" s="299" t="s">
        <v>286</v>
      </c>
      <c r="K3012" s="299"/>
      <c r="L3012" s="84">
        <v>1</v>
      </c>
      <c r="M3012" s="76">
        <v>1</v>
      </c>
      <c r="Q3012" s="84">
        <v>1</v>
      </c>
      <c r="R3012" s="76">
        <v>1</v>
      </c>
    </row>
    <row r="3013" spans="2:18" s="83" customFormat="1" ht="15" hidden="1" customHeight="1" outlineLevel="2">
      <c r="B3013" s="119" t="s">
        <v>272</v>
      </c>
      <c r="C3013" s="266" t="s">
        <v>4353</v>
      </c>
      <c r="D3013" s="124" t="s">
        <v>1441</v>
      </c>
      <c r="E3013" s="125"/>
      <c r="F3013" s="118" t="s">
        <v>4255</v>
      </c>
      <c r="G3013" s="126" t="str">
        <f t="shared" si="179"/>
        <v>AR-L45P-1</v>
      </c>
      <c r="H3013" s="253">
        <v>1</v>
      </c>
      <c r="J3013" s="299" t="s">
        <v>286</v>
      </c>
      <c r="K3013" s="299"/>
      <c r="L3013" s="84">
        <v>1</v>
      </c>
      <c r="M3013" s="76">
        <v>1</v>
      </c>
      <c r="Q3013" s="84">
        <v>1</v>
      </c>
      <c r="R3013" s="76">
        <v>1</v>
      </c>
    </row>
    <row r="3014" spans="2:18" s="83" customFormat="1" ht="15" hidden="1" customHeight="1" outlineLevel="2">
      <c r="B3014" s="119" t="s">
        <v>272</v>
      </c>
      <c r="C3014" s="266" t="s">
        <v>4354</v>
      </c>
      <c r="D3014" s="124" t="s">
        <v>1443</v>
      </c>
      <c r="E3014" s="125"/>
      <c r="F3014" s="118" t="s">
        <v>4255</v>
      </c>
      <c r="G3014" s="126" t="str">
        <f t="shared" ref="G3014:G3044" si="180">CONCATENATE("AR-",F3014,"-",H3014)</f>
        <v>AR-L45P-1</v>
      </c>
      <c r="H3014" s="253">
        <v>1</v>
      </c>
      <c r="J3014" s="299" t="s">
        <v>286</v>
      </c>
      <c r="K3014" s="299"/>
      <c r="L3014" s="84">
        <v>1</v>
      </c>
      <c r="M3014" s="76">
        <v>1</v>
      </c>
      <c r="Q3014" s="84">
        <v>1</v>
      </c>
      <c r="R3014" s="76">
        <v>1</v>
      </c>
    </row>
    <row r="3015" spans="2:18" s="83" customFormat="1" ht="15" hidden="1" customHeight="1" outlineLevel="2">
      <c r="B3015" s="119" t="s">
        <v>272</v>
      </c>
      <c r="C3015" s="266" t="s">
        <v>4355</v>
      </c>
      <c r="D3015" s="124" t="s">
        <v>1445</v>
      </c>
      <c r="E3015" s="125"/>
      <c r="F3015" s="118" t="s">
        <v>4255</v>
      </c>
      <c r="G3015" s="126" t="str">
        <f t="shared" si="180"/>
        <v>AR-L45P-1</v>
      </c>
      <c r="H3015" s="253">
        <v>1</v>
      </c>
      <c r="J3015" s="299" t="s">
        <v>286</v>
      </c>
      <c r="K3015" s="299"/>
      <c r="L3015" s="84">
        <v>1</v>
      </c>
      <c r="M3015" s="76">
        <v>1</v>
      </c>
      <c r="Q3015" s="84">
        <v>1</v>
      </c>
      <c r="R3015" s="76">
        <v>1</v>
      </c>
    </row>
    <row r="3016" spans="2:18" s="100" customFormat="1" ht="15" hidden="1" customHeight="1" outlineLevel="2">
      <c r="B3016" s="119" t="s">
        <v>272</v>
      </c>
      <c r="C3016" s="266" t="s">
        <v>4356</v>
      </c>
      <c r="D3016" s="124" t="s">
        <v>4267</v>
      </c>
      <c r="E3016" s="125"/>
      <c r="F3016" s="118" t="s">
        <v>4255</v>
      </c>
      <c r="G3016" s="126" t="str">
        <f t="shared" si="180"/>
        <v>AR-L45P-1</v>
      </c>
      <c r="H3016" s="253">
        <v>1</v>
      </c>
      <c r="J3016" s="299" t="s">
        <v>286</v>
      </c>
      <c r="K3016" s="299"/>
      <c r="L3016" s="84">
        <v>1</v>
      </c>
      <c r="M3016" s="76">
        <v>1</v>
      </c>
      <c r="Q3016" s="84">
        <v>1</v>
      </c>
      <c r="R3016" s="76">
        <v>1</v>
      </c>
    </row>
    <row r="3017" spans="2:18" s="83" customFormat="1" ht="15" hidden="1" customHeight="1" outlineLevel="2">
      <c r="B3017" s="119" t="s">
        <v>272</v>
      </c>
      <c r="C3017" s="266" t="s">
        <v>4357</v>
      </c>
      <c r="D3017" s="124" t="s">
        <v>4269</v>
      </c>
      <c r="E3017" s="125"/>
      <c r="F3017" s="118" t="s">
        <v>4255</v>
      </c>
      <c r="G3017" s="126" t="str">
        <f t="shared" si="180"/>
        <v>AR-L45P-1</v>
      </c>
      <c r="H3017" s="253">
        <v>1</v>
      </c>
      <c r="J3017" s="299" t="s">
        <v>286</v>
      </c>
      <c r="K3017" s="299"/>
      <c r="L3017" s="84">
        <v>1</v>
      </c>
      <c r="M3017" s="76">
        <v>1</v>
      </c>
      <c r="Q3017" s="84">
        <v>1</v>
      </c>
      <c r="R3017" s="76">
        <v>1</v>
      </c>
    </row>
    <row r="3018" spans="2:18" s="83" customFormat="1" ht="15" hidden="1" customHeight="1" outlineLevel="2">
      <c r="B3018" s="119" t="s">
        <v>272</v>
      </c>
      <c r="C3018" s="266" t="s">
        <v>4358</v>
      </c>
      <c r="D3018" s="124" t="s">
        <v>4271</v>
      </c>
      <c r="E3018" s="125"/>
      <c r="F3018" s="118" t="s">
        <v>4255</v>
      </c>
      <c r="G3018" s="126" t="str">
        <f t="shared" si="180"/>
        <v>AR-L45P-1</v>
      </c>
      <c r="H3018" s="253">
        <v>1</v>
      </c>
      <c r="J3018" s="299" t="s">
        <v>286</v>
      </c>
      <c r="K3018" s="299"/>
      <c r="L3018" s="84">
        <v>1</v>
      </c>
      <c r="M3018" s="76">
        <v>1</v>
      </c>
      <c r="Q3018" s="84">
        <v>1</v>
      </c>
      <c r="R3018" s="76">
        <v>1</v>
      </c>
    </row>
    <row r="3019" spans="2:18" s="83" customFormat="1" ht="15" hidden="1" customHeight="1" outlineLevel="2">
      <c r="B3019" s="119" t="s">
        <v>272</v>
      </c>
      <c r="C3019" s="266" t="s">
        <v>4359</v>
      </c>
      <c r="D3019" s="124" t="s">
        <v>4273</v>
      </c>
      <c r="E3019" s="125"/>
      <c r="F3019" s="118" t="s">
        <v>4255</v>
      </c>
      <c r="G3019" s="126" t="str">
        <f t="shared" si="180"/>
        <v>AR-L45P-1</v>
      </c>
      <c r="H3019" s="253">
        <v>1</v>
      </c>
      <c r="J3019" s="299" t="s">
        <v>286</v>
      </c>
      <c r="K3019" s="299"/>
      <c r="L3019" s="84">
        <v>1</v>
      </c>
      <c r="M3019" s="76">
        <v>1</v>
      </c>
      <c r="Q3019" s="84">
        <v>1</v>
      </c>
      <c r="R3019" s="76">
        <v>1</v>
      </c>
    </row>
    <row r="3020" spans="2:18" s="83" customFormat="1" ht="15" hidden="1" customHeight="1" outlineLevel="2">
      <c r="B3020" s="119" t="s">
        <v>272</v>
      </c>
      <c r="C3020" s="266" t="s">
        <v>4360</v>
      </c>
      <c r="D3020" s="124" t="s">
        <v>4275</v>
      </c>
      <c r="E3020" s="125"/>
      <c r="F3020" s="118" t="s">
        <v>4255</v>
      </c>
      <c r="G3020" s="126" t="str">
        <f t="shared" si="180"/>
        <v>AR-L45P-1</v>
      </c>
      <c r="H3020" s="253">
        <v>1</v>
      </c>
      <c r="J3020" s="299" t="s">
        <v>286</v>
      </c>
      <c r="K3020" s="299"/>
      <c r="L3020" s="84">
        <v>1</v>
      </c>
      <c r="M3020" s="76">
        <v>1</v>
      </c>
      <c r="Q3020" s="84">
        <v>1</v>
      </c>
      <c r="R3020" s="76">
        <v>1</v>
      </c>
    </row>
    <row r="3021" spans="2:18" s="83" customFormat="1" ht="15" hidden="1" customHeight="1" outlineLevel="2">
      <c r="B3021" s="119" t="s">
        <v>272</v>
      </c>
      <c r="C3021" s="266" t="s">
        <v>4361</v>
      </c>
      <c r="D3021" s="124" t="s">
        <v>4277</v>
      </c>
      <c r="E3021" s="125"/>
      <c r="F3021" s="118" t="s">
        <v>4255</v>
      </c>
      <c r="G3021" s="126" t="str">
        <f t="shared" si="180"/>
        <v>AR-L45P-1</v>
      </c>
      <c r="H3021" s="253">
        <v>1</v>
      </c>
      <c r="J3021" s="299" t="s">
        <v>286</v>
      </c>
      <c r="K3021" s="299"/>
      <c r="L3021" s="84">
        <v>1</v>
      </c>
      <c r="M3021" s="76">
        <v>1</v>
      </c>
      <c r="Q3021" s="84">
        <v>1</v>
      </c>
      <c r="R3021" s="76">
        <v>1</v>
      </c>
    </row>
    <row r="3022" spans="2:18" s="83" customFormat="1" ht="15" hidden="1" customHeight="1" outlineLevel="2">
      <c r="B3022" s="119" t="s">
        <v>272</v>
      </c>
      <c r="C3022" s="266" t="s">
        <v>4362</v>
      </c>
      <c r="D3022" s="124" t="s">
        <v>4279</v>
      </c>
      <c r="E3022" s="125"/>
      <c r="F3022" s="118" t="s">
        <v>4255</v>
      </c>
      <c r="G3022" s="126" t="str">
        <f t="shared" si="180"/>
        <v>AR-L45P-1</v>
      </c>
      <c r="H3022" s="253">
        <v>1</v>
      </c>
      <c r="J3022" s="299" t="s">
        <v>286</v>
      </c>
      <c r="K3022" s="299"/>
      <c r="L3022" s="84">
        <v>1</v>
      </c>
      <c r="M3022" s="76">
        <v>1</v>
      </c>
      <c r="Q3022" s="84">
        <v>1</v>
      </c>
      <c r="R3022" s="76">
        <v>1</v>
      </c>
    </row>
    <row r="3023" spans="2:18" s="83" customFormat="1" ht="15" hidden="1" customHeight="1" outlineLevel="2">
      <c r="B3023" s="119" t="s">
        <v>272</v>
      </c>
      <c r="C3023" s="266" t="s">
        <v>4363</v>
      </c>
      <c r="D3023" s="124" t="s">
        <v>4281</v>
      </c>
      <c r="E3023" s="125"/>
      <c r="F3023" s="118" t="s">
        <v>4255</v>
      </c>
      <c r="G3023" s="126" t="str">
        <f t="shared" si="180"/>
        <v>AR-L45P-1</v>
      </c>
      <c r="H3023" s="253">
        <v>1</v>
      </c>
      <c r="J3023" s="299" t="s">
        <v>286</v>
      </c>
      <c r="K3023" s="299"/>
      <c r="L3023" s="84">
        <v>1</v>
      </c>
      <c r="M3023" s="76">
        <v>1</v>
      </c>
      <c r="Q3023" s="84">
        <v>1</v>
      </c>
      <c r="R3023" s="76">
        <v>1</v>
      </c>
    </row>
    <row r="3024" spans="2:18" s="83" customFormat="1" ht="15" hidden="1" customHeight="1" outlineLevel="2">
      <c r="B3024" s="119" t="s">
        <v>272</v>
      </c>
      <c r="C3024" s="266" t="s">
        <v>4364</v>
      </c>
      <c r="D3024" s="124" t="s">
        <v>1461</v>
      </c>
      <c r="E3024" s="125"/>
      <c r="F3024" s="118" t="s">
        <v>4255</v>
      </c>
      <c r="G3024" s="126" t="str">
        <f t="shared" si="180"/>
        <v>AR-L45P-1</v>
      </c>
      <c r="H3024" s="253">
        <v>1</v>
      </c>
      <c r="J3024" s="299" t="s">
        <v>286</v>
      </c>
      <c r="K3024" s="299"/>
      <c r="L3024" s="84">
        <v>1</v>
      </c>
      <c r="M3024" s="76">
        <v>1</v>
      </c>
      <c r="Q3024" s="84">
        <v>1</v>
      </c>
      <c r="R3024" s="76">
        <v>1</v>
      </c>
    </row>
    <row r="3025" spans="2:18" s="83" customFormat="1" ht="15" hidden="1" customHeight="1" outlineLevel="2">
      <c r="B3025" s="119" t="s">
        <v>272</v>
      </c>
      <c r="C3025" s="266" t="s">
        <v>4365</v>
      </c>
      <c r="D3025" s="124" t="s">
        <v>4284</v>
      </c>
      <c r="E3025" s="125"/>
      <c r="F3025" s="118" t="s">
        <v>4255</v>
      </c>
      <c r="G3025" s="126" t="str">
        <f t="shared" si="180"/>
        <v>AR-L45P-1</v>
      </c>
      <c r="H3025" s="253">
        <v>1</v>
      </c>
      <c r="J3025" s="299" t="s">
        <v>286</v>
      </c>
      <c r="K3025" s="299"/>
      <c r="L3025" s="84">
        <v>1</v>
      </c>
      <c r="M3025" s="76">
        <v>1</v>
      </c>
      <c r="Q3025" s="84">
        <v>1</v>
      </c>
      <c r="R3025" s="76">
        <v>1</v>
      </c>
    </row>
    <row r="3026" spans="2:18" s="83" customFormat="1" ht="15" hidden="1" customHeight="1" outlineLevel="2">
      <c r="B3026" s="119" t="s">
        <v>272</v>
      </c>
      <c r="C3026" s="266" t="s">
        <v>4366</v>
      </c>
      <c r="D3026" s="124" t="s">
        <v>1753</v>
      </c>
      <c r="E3026" s="125"/>
      <c r="F3026" s="118" t="s">
        <v>4255</v>
      </c>
      <c r="G3026" s="126" t="str">
        <f t="shared" si="180"/>
        <v>AR-L45P-1</v>
      </c>
      <c r="H3026" s="253">
        <v>1</v>
      </c>
      <c r="J3026" s="299" t="s">
        <v>286</v>
      </c>
      <c r="K3026" s="299"/>
      <c r="L3026" s="84">
        <v>1</v>
      </c>
      <c r="M3026" s="76">
        <v>1</v>
      </c>
      <c r="Q3026" s="84">
        <v>1</v>
      </c>
      <c r="R3026" s="76">
        <v>1</v>
      </c>
    </row>
    <row r="3027" spans="2:18" s="83" customFormat="1" ht="15" hidden="1" customHeight="1" outlineLevel="2">
      <c r="B3027" s="119" t="s">
        <v>272</v>
      </c>
      <c r="C3027" s="266" t="s">
        <v>4367</v>
      </c>
      <c r="D3027" s="124" t="s">
        <v>4368</v>
      </c>
      <c r="E3027" s="125"/>
      <c r="F3027" s="118" t="s">
        <v>4255</v>
      </c>
      <c r="G3027" s="126" t="str">
        <f t="shared" si="180"/>
        <v>AR-L45P-1</v>
      </c>
      <c r="H3027" s="253">
        <v>1</v>
      </c>
      <c r="J3027" s="299" t="s">
        <v>286</v>
      </c>
      <c r="K3027" s="299"/>
      <c r="L3027" s="84">
        <v>1</v>
      </c>
      <c r="M3027" s="76">
        <v>1</v>
      </c>
      <c r="Q3027" s="84">
        <v>1</v>
      </c>
      <c r="R3027" s="76">
        <v>1</v>
      </c>
    </row>
    <row r="3028" spans="2:18" s="83" customFormat="1" ht="15" hidden="1" customHeight="1" outlineLevel="2">
      <c r="B3028" s="119" t="s">
        <v>272</v>
      </c>
      <c r="C3028" s="266" t="s">
        <v>4369</v>
      </c>
      <c r="D3028" s="124" t="s">
        <v>4370</v>
      </c>
      <c r="E3028" s="125"/>
      <c r="F3028" s="118" t="s">
        <v>4255</v>
      </c>
      <c r="G3028" s="126" t="str">
        <f t="shared" si="180"/>
        <v>AR-L45P-1</v>
      </c>
      <c r="H3028" s="253">
        <v>1</v>
      </c>
      <c r="J3028" s="299" t="s">
        <v>286</v>
      </c>
      <c r="K3028" s="299"/>
      <c r="L3028" s="84">
        <v>1</v>
      </c>
      <c r="M3028" s="76">
        <v>1</v>
      </c>
      <c r="Q3028" s="84">
        <v>1</v>
      </c>
      <c r="R3028" s="76">
        <v>1</v>
      </c>
    </row>
    <row r="3029" spans="2:18" s="83" customFormat="1" ht="15" hidden="1" customHeight="1" outlineLevel="2">
      <c r="B3029" s="119" t="s">
        <v>272</v>
      </c>
      <c r="C3029" s="266" t="s">
        <v>4371</v>
      </c>
      <c r="D3029" s="124" t="s">
        <v>4372</v>
      </c>
      <c r="E3029" s="125"/>
      <c r="F3029" s="118" t="s">
        <v>4255</v>
      </c>
      <c r="G3029" s="126" t="str">
        <f t="shared" si="180"/>
        <v>AR-L45P-1</v>
      </c>
      <c r="H3029" s="253">
        <v>1</v>
      </c>
      <c r="J3029" s="299" t="s">
        <v>286</v>
      </c>
      <c r="K3029" s="299"/>
      <c r="L3029" s="84">
        <v>1</v>
      </c>
      <c r="M3029" s="76">
        <v>1</v>
      </c>
      <c r="Q3029" s="84">
        <v>1</v>
      </c>
      <c r="R3029" s="76">
        <v>1</v>
      </c>
    </row>
    <row r="3030" spans="2:18" s="83" customFormat="1" ht="15" hidden="1" customHeight="1" outlineLevel="2">
      <c r="B3030" s="119" t="s">
        <v>272</v>
      </c>
      <c r="C3030" s="266" t="s">
        <v>4373</v>
      </c>
      <c r="D3030" s="124" t="s">
        <v>1763</v>
      </c>
      <c r="E3030" s="125"/>
      <c r="F3030" s="118" t="s">
        <v>4255</v>
      </c>
      <c r="G3030" s="126" t="str">
        <f t="shared" si="180"/>
        <v>AR-L45P-1</v>
      </c>
      <c r="H3030" s="253">
        <v>1</v>
      </c>
      <c r="J3030" s="299" t="s">
        <v>286</v>
      </c>
      <c r="K3030" s="299"/>
      <c r="L3030" s="84">
        <v>1</v>
      </c>
      <c r="M3030" s="76">
        <v>1</v>
      </c>
      <c r="Q3030" s="84">
        <v>1</v>
      </c>
      <c r="R3030" s="76">
        <v>1</v>
      </c>
    </row>
    <row r="3031" spans="2:18" s="99" customFormat="1" ht="15" hidden="1" customHeight="1" outlineLevel="2">
      <c r="B3031" s="119" t="s">
        <v>272</v>
      </c>
      <c r="C3031" s="266" t="s">
        <v>4374</v>
      </c>
      <c r="D3031" s="124" t="s">
        <v>4292</v>
      </c>
      <c r="E3031" s="125"/>
      <c r="F3031" s="118" t="s">
        <v>4255</v>
      </c>
      <c r="G3031" s="126" t="str">
        <f t="shared" si="180"/>
        <v>AR-L45P-1</v>
      </c>
      <c r="H3031" s="253">
        <v>1</v>
      </c>
      <c r="J3031" s="299" t="s">
        <v>286</v>
      </c>
      <c r="K3031" s="299"/>
      <c r="L3031" s="84">
        <v>1</v>
      </c>
      <c r="M3031" s="76">
        <v>1</v>
      </c>
      <c r="Q3031" s="84">
        <v>1</v>
      </c>
      <c r="R3031" s="76">
        <v>1</v>
      </c>
    </row>
    <row r="3032" spans="2:18" s="83" customFormat="1" ht="15" hidden="1" customHeight="1" outlineLevel="2">
      <c r="B3032" s="119" t="s">
        <v>272</v>
      </c>
      <c r="C3032" s="266" t="s">
        <v>4375</v>
      </c>
      <c r="D3032" s="124" t="s">
        <v>4376</v>
      </c>
      <c r="E3032" s="125"/>
      <c r="F3032" s="118" t="s">
        <v>4255</v>
      </c>
      <c r="G3032" s="126" t="str">
        <f t="shared" si="180"/>
        <v>AR-L45P-1</v>
      </c>
      <c r="H3032" s="253">
        <v>1</v>
      </c>
      <c r="J3032" s="299" t="s">
        <v>286</v>
      </c>
      <c r="K3032" s="299"/>
      <c r="L3032" s="84">
        <v>1</v>
      </c>
      <c r="M3032" s="76">
        <v>1</v>
      </c>
      <c r="Q3032" s="84">
        <v>1</v>
      </c>
      <c r="R3032" s="76">
        <v>1</v>
      </c>
    </row>
    <row r="3033" spans="2:18" s="83" customFormat="1" ht="15" hidden="1" customHeight="1" outlineLevel="2">
      <c r="B3033" s="119" t="s">
        <v>272</v>
      </c>
      <c r="C3033" s="266" t="s">
        <v>4377</v>
      </c>
      <c r="D3033" s="124" t="s">
        <v>1773</v>
      </c>
      <c r="E3033" s="125"/>
      <c r="F3033" s="118" t="s">
        <v>4255</v>
      </c>
      <c r="G3033" s="126" t="str">
        <f t="shared" si="180"/>
        <v>AR-L45P-1</v>
      </c>
      <c r="H3033" s="253">
        <v>1</v>
      </c>
      <c r="J3033" s="299" t="s">
        <v>286</v>
      </c>
      <c r="K3033" s="299"/>
      <c r="L3033" s="84">
        <v>1</v>
      </c>
      <c r="M3033" s="76">
        <v>1</v>
      </c>
      <c r="Q3033" s="84">
        <v>1</v>
      </c>
      <c r="R3033" s="76">
        <v>1</v>
      </c>
    </row>
    <row r="3034" spans="2:18" s="83" customFormat="1" ht="15" hidden="1" customHeight="1" outlineLevel="2">
      <c r="B3034" s="119" t="s">
        <v>272</v>
      </c>
      <c r="C3034" s="266" t="s">
        <v>4378</v>
      </c>
      <c r="D3034" s="124" t="s">
        <v>4379</v>
      </c>
      <c r="E3034" s="125"/>
      <c r="F3034" s="118" t="s">
        <v>4255</v>
      </c>
      <c r="G3034" s="126" t="str">
        <f t="shared" si="180"/>
        <v>AR-L45P-1</v>
      </c>
      <c r="H3034" s="253">
        <v>1</v>
      </c>
      <c r="J3034" s="299" t="s">
        <v>286</v>
      </c>
      <c r="K3034" s="299"/>
      <c r="L3034" s="84">
        <v>1</v>
      </c>
      <c r="M3034" s="76">
        <v>1</v>
      </c>
      <c r="Q3034" s="84">
        <v>1</v>
      </c>
      <c r="R3034" s="76">
        <v>1</v>
      </c>
    </row>
    <row r="3035" spans="2:18" s="83" customFormat="1" ht="15" hidden="1" customHeight="1" outlineLevel="2">
      <c r="B3035" s="119" t="s">
        <v>272</v>
      </c>
      <c r="C3035" s="266" t="s">
        <v>4380</v>
      </c>
      <c r="D3035" s="124" t="s">
        <v>4298</v>
      </c>
      <c r="E3035" s="125"/>
      <c r="F3035" s="118" t="s">
        <v>4255</v>
      </c>
      <c r="G3035" s="126" t="str">
        <f t="shared" si="180"/>
        <v>AR-L45P-1</v>
      </c>
      <c r="H3035" s="253">
        <v>1</v>
      </c>
      <c r="J3035" s="299" t="s">
        <v>286</v>
      </c>
      <c r="K3035" s="299"/>
      <c r="L3035" s="84">
        <v>1</v>
      </c>
      <c r="M3035" s="76">
        <v>1</v>
      </c>
      <c r="Q3035" s="84">
        <v>1</v>
      </c>
      <c r="R3035" s="76">
        <v>1</v>
      </c>
    </row>
    <row r="3036" spans="2:18" s="83" customFormat="1" ht="15" hidden="1" customHeight="1" outlineLevel="2">
      <c r="B3036" s="119" t="s">
        <v>272</v>
      </c>
      <c r="C3036" s="266" t="s">
        <v>4381</v>
      </c>
      <c r="D3036" s="124" t="s">
        <v>1783</v>
      </c>
      <c r="E3036" s="125"/>
      <c r="F3036" s="118" t="s">
        <v>4255</v>
      </c>
      <c r="G3036" s="126" t="str">
        <f t="shared" si="180"/>
        <v>AR-L45P-1</v>
      </c>
      <c r="H3036" s="253">
        <v>1</v>
      </c>
      <c r="J3036" s="299" t="s">
        <v>286</v>
      </c>
      <c r="K3036" s="299"/>
      <c r="L3036" s="84">
        <v>1</v>
      </c>
      <c r="M3036" s="76">
        <v>1</v>
      </c>
      <c r="Q3036" s="84">
        <v>1</v>
      </c>
      <c r="R3036" s="76">
        <v>1</v>
      </c>
    </row>
    <row r="3037" spans="2:18" s="83" customFormat="1" ht="15" hidden="1" customHeight="1" outlineLevel="2">
      <c r="B3037" s="119" t="s">
        <v>272</v>
      </c>
      <c r="C3037" s="266" t="s">
        <v>4382</v>
      </c>
      <c r="D3037" s="124" t="s">
        <v>4383</v>
      </c>
      <c r="E3037" s="125"/>
      <c r="F3037" s="118" t="s">
        <v>4255</v>
      </c>
      <c r="G3037" s="126" t="str">
        <f t="shared" si="180"/>
        <v>AR-L45P-1</v>
      </c>
      <c r="H3037" s="253">
        <v>1</v>
      </c>
      <c r="J3037" s="299" t="s">
        <v>286</v>
      </c>
      <c r="K3037" s="299"/>
      <c r="L3037" s="84">
        <v>1</v>
      </c>
      <c r="M3037" s="76">
        <v>1</v>
      </c>
      <c r="Q3037" s="84">
        <v>1</v>
      </c>
      <c r="R3037" s="76">
        <v>1</v>
      </c>
    </row>
    <row r="3038" spans="2:18" s="83" customFormat="1" ht="15" hidden="1" customHeight="1" outlineLevel="2">
      <c r="B3038" s="119" t="s">
        <v>272</v>
      </c>
      <c r="C3038" s="266" t="s">
        <v>4384</v>
      </c>
      <c r="D3038" s="124" t="s">
        <v>4385</v>
      </c>
      <c r="E3038" s="125"/>
      <c r="F3038" s="118" t="s">
        <v>4255</v>
      </c>
      <c r="G3038" s="126" t="str">
        <f t="shared" si="180"/>
        <v>AR-L45P-1</v>
      </c>
      <c r="H3038" s="253">
        <v>1</v>
      </c>
      <c r="J3038" s="299" t="s">
        <v>286</v>
      </c>
      <c r="K3038" s="299"/>
      <c r="L3038" s="84">
        <v>1</v>
      </c>
      <c r="M3038" s="76">
        <v>1</v>
      </c>
      <c r="Q3038" s="84">
        <v>1</v>
      </c>
      <c r="R3038" s="76">
        <v>1</v>
      </c>
    </row>
    <row r="3039" spans="2:18" s="83" customFormat="1" ht="15" hidden="1" customHeight="1" outlineLevel="2">
      <c r="B3039" s="119" t="s">
        <v>272</v>
      </c>
      <c r="C3039" s="266" t="s">
        <v>4386</v>
      </c>
      <c r="D3039" s="124" t="s">
        <v>3628</v>
      </c>
      <c r="E3039" s="125"/>
      <c r="F3039" s="118" t="s">
        <v>4255</v>
      </c>
      <c r="G3039" s="126" t="str">
        <f t="shared" si="180"/>
        <v>AR-L45P-1</v>
      </c>
      <c r="H3039" s="253">
        <v>1</v>
      </c>
      <c r="J3039" s="299" t="s">
        <v>286</v>
      </c>
      <c r="K3039" s="299"/>
      <c r="L3039" s="84">
        <v>1</v>
      </c>
      <c r="M3039" s="76">
        <v>1</v>
      </c>
      <c r="Q3039" s="84">
        <v>1</v>
      </c>
      <c r="R3039" s="76">
        <v>1</v>
      </c>
    </row>
    <row r="3040" spans="2:18" s="83" customFormat="1" ht="15" hidden="1" customHeight="1" outlineLevel="2">
      <c r="B3040" s="119" t="s">
        <v>272</v>
      </c>
      <c r="C3040" s="266" t="s">
        <v>4387</v>
      </c>
      <c r="D3040" s="124" t="s">
        <v>4388</v>
      </c>
      <c r="E3040" s="125"/>
      <c r="F3040" s="118" t="s">
        <v>4255</v>
      </c>
      <c r="G3040" s="126" t="str">
        <f t="shared" si="180"/>
        <v>AR-L45P-1</v>
      </c>
      <c r="H3040" s="253">
        <v>1</v>
      </c>
      <c r="J3040" s="299" t="s">
        <v>286</v>
      </c>
      <c r="K3040" s="299"/>
      <c r="L3040" s="84">
        <v>1</v>
      </c>
      <c r="M3040" s="76">
        <v>1</v>
      </c>
      <c r="Q3040" s="84">
        <v>1</v>
      </c>
      <c r="R3040" s="76">
        <v>1</v>
      </c>
    </row>
    <row r="3041" spans="1:21" s="83" customFormat="1" ht="15" hidden="1" customHeight="1" outlineLevel="2">
      <c r="B3041" s="119" t="s">
        <v>272</v>
      </c>
      <c r="C3041" s="266" t="s">
        <v>4389</v>
      </c>
      <c r="D3041" s="124" t="s">
        <v>4390</v>
      </c>
      <c r="E3041" s="125"/>
      <c r="F3041" s="118" t="s">
        <v>4255</v>
      </c>
      <c r="G3041" s="126" t="str">
        <f t="shared" si="180"/>
        <v>AR-L45P-1</v>
      </c>
      <c r="H3041" s="253">
        <v>1</v>
      </c>
      <c r="J3041" s="299" t="s">
        <v>286</v>
      </c>
      <c r="K3041" s="299"/>
      <c r="L3041" s="84">
        <v>1</v>
      </c>
      <c r="M3041" s="76">
        <v>1</v>
      </c>
      <c r="Q3041" s="84">
        <v>1</v>
      </c>
      <c r="R3041" s="76">
        <v>1</v>
      </c>
    </row>
    <row r="3042" spans="1:21" s="83" customFormat="1" ht="15" hidden="1" customHeight="1" outlineLevel="2">
      <c r="B3042" s="119" t="s">
        <v>272</v>
      </c>
      <c r="C3042" s="266" t="s">
        <v>4391</v>
      </c>
      <c r="D3042" s="124" t="s">
        <v>4306</v>
      </c>
      <c r="E3042" s="125"/>
      <c r="F3042" s="118" t="s">
        <v>4255</v>
      </c>
      <c r="G3042" s="126" t="str">
        <f t="shared" si="180"/>
        <v>AR-L45P-1</v>
      </c>
      <c r="H3042" s="253">
        <v>1</v>
      </c>
      <c r="I3042" s="76"/>
      <c r="J3042" s="299" t="s">
        <v>286</v>
      </c>
      <c r="K3042" s="299"/>
      <c r="L3042" s="84">
        <v>1</v>
      </c>
      <c r="M3042" s="76">
        <v>1</v>
      </c>
      <c r="Q3042" s="84">
        <v>1</v>
      </c>
      <c r="R3042" s="76">
        <v>1</v>
      </c>
    </row>
    <row r="3043" spans="1:21" s="83" customFormat="1" ht="15" hidden="1" customHeight="1" outlineLevel="2">
      <c r="B3043" s="119" t="s">
        <v>272</v>
      </c>
      <c r="C3043" s="266" t="s">
        <v>4392</v>
      </c>
      <c r="D3043" s="124" t="s">
        <v>4308</v>
      </c>
      <c r="E3043" s="125"/>
      <c r="F3043" s="118" t="s">
        <v>4255</v>
      </c>
      <c r="G3043" s="126" t="str">
        <f t="shared" si="180"/>
        <v>AR-L45P-1</v>
      </c>
      <c r="H3043" s="253">
        <v>1</v>
      </c>
      <c r="I3043" s="76"/>
      <c r="J3043" s="299" t="s">
        <v>286</v>
      </c>
      <c r="K3043" s="299"/>
      <c r="L3043" s="84">
        <v>1</v>
      </c>
      <c r="M3043" s="76">
        <v>1</v>
      </c>
      <c r="Q3043" s="84">
        <v>1</v>
      </c>
      <c r="R3043" s="76">
        <v>1</v>
      </c>
    </row>
    <row r="3044" spans="1:21" s="83" customFormat="1" ht="15" hidden="1" customHeight="1" outlineLevel="2">
      <c r="B3044" s="119" t="s">
        <v>272</v>
      </c>
      <c r="C3044" s="266" t="s">
        <v>4393</v>
      </c>
      <c r="D3044" s="124" t="s">
        <v>4310</v>
      </c>
      <c r="E3044" s="125"/>
      <c r="F3044" s="118" t="s">
        <v>4255</v>
      </c>
      <c r="G3044" s="126" t="str">
        <f t="shared" si="180"/>
        <v>AR-L45P-1</v>
      </c>
      <c r="H3044" s="253">
        <v>1</v>
      </c>
      <c r="I3044" s="76"/>
      <c r="J3044" s="299" t="s">
        <v>286</v>
      </c>
      <c r="K3044" s="299"/>
      <c r="L3044" s="84">
        <v>1</v>
      </c>
      <c r="M3044" s="76">
        <v>1</v>
      </c>
      <c r="Q3044" s="84">
        <v>1</v>
      </c>
      <c r="R3044" s="76">
        <v>1</v>
      </c>
    </row>
    <row r="3045" spans="1:21" s="83" customFormat="1" ht="3.6" hidden="1" customHeight="1">
      <c r="B3045" s="119"/>
      <c r="C3045" s="266"/>
      <c r="D3045" s="124"/>
      <c r="E3045" s="125"/>
      <c r="F3045" s="118"/>
      <c r="G3045" s="126"/>
      <c r="H3045" s="253"/>
      <c r="J3045" s="299"/>
      <c r="K3045" s="299"/>
      <c r="L3045" s="84"/>
      <c r="M3045" s="76"/>
      <c r="Q3045" s="86"/>
    </row>
    <row r="3046" spans="1:21" s="83" customFormat="1" ht="13.5" hidden="1" collapsed="1">
      <c r="A3046" s="72" t="s">
        <v>27</v>
      </c>
      <c r="B3046" s="85"/>
      <c r="C3046" s="269"/>
      <c r="D3046" s="85" t="s">
        <v>299</v>
      </c>
      <c r="E3046" s="390"/>
      <c r="F3046" s="73"/>
      <c r="G3046" s="73"/>
      <c r="H3046" s="74"/>
      <c r="I3046" s="76"/>
      <c r="J3046" s="299"/>
      <c r="K3046" s="299"/>
      <c r="L3046" s="75"/>
      <c r="M3046" s="75"/>
      <c r="N3046" s="75"/>
      <c r="O3046" s="75"/>
      <c r="P3046" s="75"/>
      <c r="Q3046" s="75"/>
      <c r="R3046" s="75"/>
      <c r="S3046" s="75"/>
      <c r="T3046" s="75"/>
      <c r="U3046" s="75"/>
    </row>
    <row r="3047" spans="1:21" s="83" customFormat="1" ht="3" hidden="1" customHeight="1" outlineLevel="1">
      <c r="A3047" s="261"/>
      <c r="B3047" s="119"/>
      <c r="C3047" s="266"/>
      <c r="D3047" s="124" t="s">
        <v>299</v>
      </c>
      <c r="E3047" s="125"/>
      <c r="F3047" s="118"/>
      <c r="G3047" s="126"/>
      <c r="H3047" s="253"/>
      <c r="I3047" s="76"/>
      <c r="J3047" s="299"/>
      <c r="K3047" s="299"/>
      <c r="L3047" s="84"/>
      <c r="M3047" s="76"/>
      <c r="N3047" s="76"/>
      <c r="O3047" s="76"/>
      <c r="P3047" s="76"/>
      <c r="Q3047" s="84"/>
      <c r="R3047" s="76"/>
      <c r="S3047" s="76"/>
      <c r="T3047" s="76"/>
      <c r="U3047" s="76"/>
    </row>
    <row r="3048" spans="1:21" s="83" customFormat="1" ht="13.5" hidden="1" customHeight="1" outlineLevel="1">
      <c r="A3048" s="264"/>
      <c r="B3048" s="119" t="s">
        <v>272</v>
      </c>
      <c r="C3048" s="266" t="s">
        <v>4394</v>
      </c>
      <c r="D3048" s="124" t="s">
        <v>4395</v>
      </c>
      <c r="E3048" s="125"/>
      <c r="F3048" s="118" t="s">
        <v>4396</v>
      </c>
      <c r="G3048" s="126" t="str">
        <f t="shared" ref="G3048" si="181">CONCATENATE("AR-",F3048,"-",H3048)</f>
        <v>AR-SDV-2</v>
      </c>
      <c r="H3048" s="253">
        <v>2</v>
      </c>
      <c r="I3048" s="76"/>
      <c r="J3048" s="299"/>
      <c r="K3048" s="299"/>
      <c r="L3048" s="84">
        <v>1</v>
      </c>
      <c r="M3048" s="76">
        <v>1</v>
      </c>
      <c r="N3048" s="76"/>
      <c r="O3048" s="76"/>
      <c r="P3048" s="76"/>
      <c r="Q3048" s="84"/>
      <c r="R3048" s="76"/>
    </row>
    <row r="3049" spans="1:21" s="83" customFormat="1" ht="14.25" hidden="1" customHeight="1" outlineLevel="1">
      <c r="A3049" s="264"/>
      <c r="B3049" s="119" t="s">
        <v>272</v>
      </c>
      <c r="C3049" s="266" t="s">
        <v>4397</v>
      </c>
      <c r="D3049" s="124" t="s">
        <v>4398</v>
      </c>
      <c r="E3049" s="125"/>
      <c r="F3049" s="118" t="s">
        <v>4396</v>
      </c>
      <c r="G3049" s="126" t="str">
        <f t="shared" ref="G3049:G3055" si="182">CONCATENATE("AR-",F3049,"-",H3049)</f>
        <v>AR-SDV-2</v>
      </c>
      <c r="H3049" s="253">
        <v>2</v>
      </c>
      <c r="I3049" s="76"/>
      <c r="J3049" s="299"/>
      <c r="K3049" s="299"/>
      <c r="L3049" s="84">
        <v>1</v>
      </c>
      <c r="M3049" s="76">
        <v>1</v>
      </c>
      <c r="N3049" s="76"/>
      <c r="O3049" s="76"/>
      <c r="P3049" s="76"/>
      <c r="Q3049" s="84"/>
      <c r="R3049" s="76"/>
    </row>
    <row r="3050" spans="1:21" s="83" customFormat="1" ht="14.25" hidden="1" customHeight="1" outlineLevel="1">
      <c r="A3050" s="264"/>
      <c r="B3050" s="119" t="s">
        <v>272</v>
      </c>
      <c r="C3050" s="266" t="s">
        <v>4399</v>
      </c>
      <c r="D3050" s="124" t="s">
        <v>4400</v>
      </c>
      <c r="E3050" s="125"/>
      <c r="F3050" s="118" t="s">
        <v>4396</v>
      </c>
      <c r="G3050" s="126" t="str">
        <f t="shared" si="182"/>
        <v>AR-SDV-2</v>
      </c>
      <c r="H3050" s="253">
        <v>2</v>
      </c>
      <c r="I3050" s="76"/>
      <c r="J3050" s="299"/>
      <c r="K3050" s="299"/>
      <c r="L3050" s="84">
        <v>1</v>
      </c>
      <c r="M3050" s="76">
        <v>1</v>
      </c>
      <c r="Q3050" s="86"/>
    </row>
    <row r="3051" spans="1:21" s="83" customFormat="1" ht="14.25" hidden="1" customHeight="1" outlineLevel="1">
      <c r="A3051" s="264"/>
      <c r="B3051" s="119" t="s">
        <v>272</v>
      </c>
      <c r="C3051" s="266" t="s">
        <v>4401</v>
      </c>
      <c r="D3051" s="124" t="s">
        <v>4402</v>
      </c>
      <c r="E3051" s="125"/>
      <c r="F3051" s="118" t="s">
        <v>4396</v>
      </c>
      <c r="G3051" s="126" t="str">
        <f t="shared" si="182"/>
        <v>AR-SDV-4</v>
      </c>
      <c r="H3051" s="253">
        <v>4</v>
      </c>
      <c r="I3051" s="76"/>
      <c r="J3051" s="299"/>
      <c r="K3051" s="299"/>
      <c r="L3051" s="84">
        <v>1</v>
      </c>
      <c r="M3051" s="76">
        <v>1</v>
      </c>
      <c r="Q3051" s="86"/>
    </row>
    <row r="3052" spans="1:21" s="83" customFormat="1" ht="14.25" hidden="1" customHeight="1" outlineLevel="1">
      <c r="A3052" s="264"/>
      <c r="B3052" s="119" t="s">
        <v>272</v>
      </c>
      <c r="C3052" s="266" t="s">
        <v>4403</v>
      </c>
      <c r="D3052" s="124" t="s">
        <v>4404</v>
      </c>
      <c r="E3052" s="125"/>
      <c r="F3052" s="118" t="s">
        <v>4396</v>
      </c>
      <c r="G3052" s="126" t="str">
        <f t="shared" si="182"/>
        <v>AR-SDV-4</v>
      </c>
      <c r="H3052" s="253">
        <v>4</v>
      </c>
      <c r="I3052" s="76"/>
      <c r="J3052" s="299"/>
      <c r="K3052" s="299"/>
      <c r="L3052" s="84">
        <v>1</v>
      </c>
      <c r="M3052" s="76">
        <v>1</v>
      </c>
      <c r="Q3052" s="86"/>
    </row>
    <row r="3053" spans="1:21" s="83" customFormat="1" ht="13.5" hidden="1" customHeight="1" outlineLevel="1">
      <c r="A3053" s="264"/>
      <c r="B3053" s="119" t="s">
        <v>272</v>
      </c>
      <c r="C3053" s="266" t="s">
        <v>4405</v>
      </c>
      <c r="D3053" s="124" t="s">
        <v>4406</v>
      </c>
      <c r="E3053" s="125"/>
      <c r="F3053" s="118" t="s">
        <v>4396</v>
      </c>
      <c r="G3053" s="126" t="str">
        <f t="shared" si="182"/>
        <v>AR-SDV-1</v>
      </c>
      <c r="H3053" s="253" t="s">
        <v>304</v>
      </c>
      <c r="I3053" s="76">
        <v>1</v>
      </c>
      <c r="J3053" s="299" t="s">
        <v>310</v>
      </c>
      <c r="K3053" s="299"/>
      <c r="L3053" s="84"/>
      <c r="M3053" s="76"/>
      <c r="N3053" s="76"/>
      <c r="O3053" s="76"/>
      <c r="P3053" s="76"/>
      <c r="Q3053" s="84"/>
      <c r="R3053" s="76"/>
      <c r="S3053" s="76"/>
      <c r="T3053" s="76"/>
      <c r="U3053" s="76"/>
    </row>
    <row r="3054" spans="1:21" s="83" customFormat="1" ht="13.5" hidden="1" customHeight="1" outlineLevel="1">
      <c r="A3054" s="264"/>
      <c r="B3054" s="119" t="s">
        <v>272</v>
      </c>
      <c r="C3054" s="266" t="s">
        <v>4407</v>
      </c>
      <c r="D3054" s="124" t="s">
        <v>4408</v>
      </c>
      <c r="E3054" s="125"/>
      <c r="F3054" s="118" t="s">
        <v>4396</v>
      </c>
      <c r="G3054" s="126" t="str">
        <f t="shared" si="182"/>
        <v>AR-SDV-1</v>
      </c>
      <c r="H3054" s="253" t="s">
        <v>304</v>
      </c>
      <c r="I3054" s="76">
        <v>1</v>
      </c>
      <c r="J3054" s="299" t="s">
        <v>286</v>
      </c>
      <c r="K3054" s="299"/>
      <c r="L3054" s="84"/>
      <c r="M3054" s="76"/>
      <c r="N3054" s="76"/>
      <c r="O3054" s="76"/>
      <c r="P3054" s="76"/>
      <c r="Q3054" s="84"/>
      <c r="R3054" s="76"/>
      <c r="S3054" s="76"/>
      <c r="T3054" s="76"/>
      <c r="U3054" s="76"/>
    </row>
    <row r="3055" spans="1:21" s="83" customFormat="1" ht="14.25" hidden="1" customHeight="1" outlineLevel="1">
      <c r="A3055" s="264"/>
      <c r="B3055" s="119" t="s">
        <v>272</v>
      </c>
      <c r="C3055" s="266" t="s">
        <v>4409</v>
      </c>
      <c r="D3055" s="124" t="s">
        <v>4410</v>
      </c>
      <c r="E3055" s="125"/>
      <c r="F3055" s="118" t="s">
        <v>4396</v>
      </c>
      <c r="G3055" s="126" t="str">
        <f t="shared" si="182"/>
        <v>AR-SDV-1</v>
      </c>
      <c r="H3055" s="253" t="s">
        <v>304</v>
      </c>
      <c r="I3055" s="76">
        <v>1</v>
      </c>
      <c r="J3055" s="299" t="s">
        <v>286</v>
      </c>
      <c r="K3055" s="299"/>
      <c r="L3055" s="84"/>
      <c r="M3055" s="76"/>
      <c r="N3055" s="76"/>
      <c r="O3055" s="76"/>
      <c r="P3055" s="76"/>
      <c r="Q3055" s="84"/>
      <c r="R3055" s="76"/>
      <c r="S3055" s="76"/>
      <c r="T3055" s="76"/>
      <c r="U3055" s="76"/>
    </row>
    <row r="3056" spans="1:21" s="83" customFormat="1" ht="14.25" hidden="1" customHeight="1" outlineLevel="1">
      <c r="A3056" s="264"/>
      <c r="B3056" s="119" t="s">
        <v>272</v>
      </c>
      <c r="C3056" s="266" t="s">
        <v>4411</v>
      </c>
      <c r="D3056" s="124" t="s">
        <v>4412</v>
      </c>
      <c r="E3056" s="125"/>
      <c r="F3056" s="118" t="s">
        <v>4396</v>
      </c>
      <c r="G3056" s="126" t="str">
        <f t="shared" ref="G3056:G3065" si="183">CONCATENATE("AR-",F3056,"-",H3056)</f>
        <v>AR-SDV-1</v>
      </c>
      <c r="H3056" s="253" t="s">
        <v>304</v>
      </c>
      <c r="I3056" s="76">
        <v>1</v>
      </c>
      <c r="J3056" s="299" t="s">
        <v>286</v>
      </c>
      <c r="K3056" s="299"/>
      <c r="L3056" s="84"/>
      <c r="M3056" s="76"/>
      <c r="N3056" s="76"/>
      <c r="O3056" s="76"/>
      <c r="P3056" s="76"/>
      <c r="Q3056" s="84"/>
      <c r="R3056" s="76"/>
      <c r="S3056" s="76"/>
      <c r="T3056" s="76"/>
      <c r="U3056" s="76"/>
    </row>
    <row r="3057" spans="1:21" s="83" customFormat="1" ht="14.25" hidden="1" customHeight="1" outlineLevel="1">
      <c r="A3057" s="264"/>
      <c r="B3057" s="119" t="s">
        <v>272</v>
      </c>
      <c r="C3057" s="266" t="s">
        <v>4413</v>
      </c>
      <c r="D3057" s="124" t="s">
        <v>4414</v>
      </c>
      <c r="E3057" s="125"/>
      <c r="F3057" s="118" t="s">
        <v>4396</v>
      </c>
      <c r="G3057" s="126" t="str">
        <f t="shared" si="183"/>
        <v>AR-SDV-1</v>
      </c>
      <c r="H3057" s="253" t="s">
        <v>304</v>
      </c>
      <c r="I3057" s="76">
        <v>1</v>
      </c>
      <c r="J3057" s="299" t="s">
        <v>286</v>
      </c>
      <c r="K3057" s="299"/>
      <c r="L3057" s="84"/>
      <c r="M3057" s="76"/>
      <c r="N3057" s="76"/>
      <c r="O3057" s="76"/>
      <c r="P3057" s="76"/>
      <c r="Q3057" s="84"/>
      <c r="R3057" s="76"/>
      <c r="S3057" s="76"/>
      <c r="T3057" s="76"/>
      <c r="U3057" s="76"/>
    </row>
    <row r="3058" spans="1:21" s="83" customFormat="1" ht="14.25" hidden="1" customHeight="1" outlineLevel="1">
      <c r="A3058" s="264"/>
      <c r="B3058" s="119" t="s">
        <v>272</v>
      </c>
      <c r="C3058" s="266" t="s">
        <v>1121</v>
      </c>
      <c r="D3058" s="124" t="s">
        <v>1122</v>
      </c>
      <c r="E3058" s="125"/>
      <c r="F3058" s="118" t="s">
        <v>4396</v>
      </c>
      <c r="G3058" s="126" t="str">
        <f t="shared" si="183"/>
        <v>AR-SDV-1</v>
      </c>
      <c r="H3058" s="253" t="s">
        <v>304</v>
      </c>
      <c r="I3058" s="76">
        <v>1</v>
      </c>
      <c r="J3058" s="299" t="s">
        <v>286</v>
      </c>
      <c r="K3058" s="299"/>
      <c r="L3058" s="86"/>
      <c r="M3058" s="76"/>
      <c r="N3058" s="76"/>
      <c r="O3058" s="76"/>
      <c r="P3058" s="76"/>
      <c r="Q3058" s="84"/>
      <c r="R3058" s="76"/>
      <c r="S3058" s="76"/>
      <c r="T3058" s="76"/>
      <c r="U3058" s="76"/>
    </row>
    <row r="3059" spans="1:21" s="83" customFormat="1" ht="14.25" hidden="1" customHeight="1" outlineLevel="1">
      <c r="A3059" s="264"/>
      <c r="B3059" s="119" t="s">
        <v>272</v>
      </c>
      <c r="C3059" s="266" t="s">
        <v>4415</v>
      </c>
      <c r="D3059" s="124" t="s">
        <v>4416</v>
      </c>
      <c r="E3059" s="125"/>
      <c r="F3059" s="118" t="s">
        <v>4396</v>
      </c>
      <c r="G3059" s="126" t="str">
        <f t="shared" si="183"/>
        <v>AR-SDV-2</v>
      </c>
      <c r="H3059" s="253" t="s">
        <v>289</v>
      </c>
      <c r="I3059" s="76">
        <v>1</v>
      </c>
      <c r="J3059" s="299" t="s">
        <v>286</v>
      </c>
      <c r="K3059" s="299"/>
      <c r="L3059" s="86"/>
      <c r="M3059" s="76"/>
      <c r="N3059" s="76"/>
      <c r="O3059" s="76"/>
      <c r="P3059" s="76"/>
      <c r="Q3059" s="84"/>
      <c r="R3059" s="76"/>
      <c r="S3059" s="76"/>
      <c r="T3059" s="76"/>
      <c r="U3059" s="76"/>
    </row>
    <row r="3060" spans="1:21" s="83" customFormat="1" ht="14.25" hidden="1" customHeight="1" outlineLevel="1">
      <c r="A3060" s="264"/>
      <c r="B3060" s="119" t="s">
        <v>272</v>
      </c>
      <c r="C3060" s="266" t="s">
        <v>4417</v>
      </c>
      <c r="D3060" s="124" t="s">
        <v>4418</v>
      </c>
      <c r="E3060" s="125"/>
      <c r="F3060" s="118" t="s">
        <v>4396</v>
      </c>
      <c r="G3060" s="126" t="str">
        <f t="shared" si="183"/>
        <v>AR-SDV-2</v>
      </c>
      <c r="H3060" s="253" t="s">
        <v>289</v>
      </c>
      <c r="I3060" s="76">
        <v>1</v>
      </c>
      <c r="J3060" s="299" t="s">
        <v>286</v>
      </c>
      <c r="K3060" s="299"/>
      <c r="L3060" s="86"/>
      <c r="M3060" s="76"/>
      <c r="N3060" s="76"/>
      <c r="O3060" s="76"/>
      <c r="P3060" s="76"/>
      <c r="Q3060" s="84"/>
      <c r="R3060" s="76"/>
      <c r="S3060" s="76"/>
      <c r="T3060" s="76"/>
      <c r="U3060" s="76"/>
    </row>
    <row r="3061" spans="1:21" s="83" customFormat="1" ht="14.25" hidden="1" customHeight="1" outlineLevel="1">
      <c r="A3061" s="264"/>
      <c r="B3061" s="119" t="s">
        <v>272</v>
      </c>
      <c r="C3061" s="266" t="s">
        <v>4419</v>
      </c>
      <c r="D3061" s="124" t="s">
        <v>4420</v>
      </c>
      <c r="E3061" s="125"/>
      <c r="F3061" s="118" t="s">
        <v>4396</v>
      </c>
      <c r="G3061" s="126" t="str">
        <f t="shared" si="183"/>
        <v>AR-SDV-2</v>
      </c>
      <c r="H3061" s="253" t="s">
        <v>289</v>
      </c>
      <c r="I3061" s="76">
        <v>1</v>
      </c>
      <c r="J3061" s="299" t="s">
        <v>286</v>
      </c>
      <c r="K3061" s="299"/>
      <c r="L3061" s="86"/>
      <c r="M3061" s="76"/>
      <c r="N3061" s="76"/>
      <c r="O3061" s="76"/>
      <c r="P3061" s="76"/>
      <c r="Q3061" s="84"/>
      <c r="R3061" s="76"/>
      <c r="S3061" s="76"/>
      <c r="T3061" s="76"/>
      <c r="U3061" s="76"/>
    </row>
    <row r="3062" spans="1:21" s="83" customFormat="1" ht="14.25" hidden="1" customHeight="1" outlineLevel="1">
      <c r="A3062" s="264"/>
      <c r="B3062" s="119" t="s">
        <v>272</v>
      </c>
      <c r="C3062" s="266" t="s">
        <v>4421</v>
      </c>
      <c r="D3062" s="124" t="s">
        <v>4422</v>
      </c>
      <c r="E3062" s="125"/>
      <c r="F3062" s="118" t="s">
        <v>4396</v>
      </c>
      <c r="G3062" s="126" t="str">
        <f t="shared" si="183"/>
        <v>AR-SDV-2</v>
      </c>
      <c r="H3062" s="253" t="s">
        <v>289</v>
      </c>
      <c r="I3062" s="76">
        <v>1</v>
      </c>
      <c r="J3062" s="299" t="s">
        <v>310</v>
      </c>
      <c r="K3062" s="299"/>
      <c r="L3062" s="84"/>
      <c r="M3062" s="76"/>
      <c r="N3062" s="76"/>
      <c r="O3062" s="76"/>
      <c r="P3062" s="76"/>
      <c r="Q3062" s="84"/>
      <c r="R3062" s="76"/>
      <c r="S3062" s="76"/>
      <c r="T3062" s="76"/>
      <c r="U3062" s="76"/>
    </row>
    <row r="3063" spans="1:21" s="83" customFormat="1" ht="14.25" hidden="1" customHeight="1" outlineLevel="1">
      <c r="A3063" s="264"/>
      <c r="B3063" s="119" t="s">
        <v>272</v>
      </c>
      <c r="C3063" s="266" t="s">
        <v>4423</v>
      </c>
      <c r="D3063" s="124" t="s">
        <v>4424</v>
      </c>
      <c r="E3063" s="125"/>
      <c r="F3063" s="118" t="s">
        <v>4396</v>
      </c>
      <c r="G3063" s="126" t="str">
        <f t="shared" si="183"/>
        <v>AR-SDV-2</v>
      </c>
      <c r="H3063" s="253" t="s">
        <v>289</v>
      </c>
      <c r="I3063" s="76">
        <v>1</v>
      </c>
      <c r="J3063" s="299" t="s">
        <v>286</v>
      </c>
      <c r="K3063" s="299"/>
      <c r="L3063" s="84"/>
      <c r="M3063" s="76"/>
      <c r="Q3063" s="84"/>
    </row>
    <row r="3064" spans="1:21" s="83" customFormat="1" ht="13.5" hidden="1" customHeight="1" outlineLevel="1">
      <c r="A3064" s="264"/>
      <c r="B3064" s="119" t="s">
        <v>272</v>
      </c>
      <c r="C3064" s="266" t="s">
        <v>4425</v>
      </c>
      <c r="D3064" s="124" t="s">
        <v>4426</v>
      </c>
      <c r="E3064" s="125"/>
      <c r="F3064" s="118" t="s">
        <v>4396</v>
      </c>
      <c r="G3064" s="126" t="str">
        <f t="shared" si="183"/>
        <v>AR-SDV-2</v>
      </c>
      <c r="H3064" s="253" t="s">
        <v>289</v>
      </c>
      <c r="I3064" s="76">
        <v>1</v>
      </c>
      <c r="J3064" s="299" t="s">
        <v>286</v>
      </c>
      <c r="K3064" s="299"/>
      <c r="L3064" s="84"/>
      <c r="M3064" s="76"/>
      <c r="Q3064" s="84"/>
    </row>
    <row r="3065" spans="1:21" s="83" customFormat="1" ht="14.1" hidden="1" customHeight="1" outlineLevel="1">
      <c r="A3065" s="264"/>
      <c r="B3065" s="119" t="s">
        <v>272</v>
      </c>
      <c r="C3065" s="266" t="s">
        <v>4427</v>
      </c>
      <c r="D3065" s="124" t="s">
        <v>4428</v>
      </c>
      <c r="E3065" s="125"/>
      <c r="F3065" s="118" t="s">
        <v>4396</v>
      </c>
      <c r="G3065" s="126" t="str">
        <f t="shared" si="183"/>
        <v>AR-SDV-2</v>
      </c>
      <c r="H3065" s="253" t="s">
        <v>289</v>
      </c>
      <c r="I3065" s="76">
        <v>1</v>
      </c>
      <c r="J3065" s="299" t="s">
        <v>286</v>
      </c>
      <c r="K3065" s="299"/>
      <c r="L3065" s="84"/>
      <c r="M3065" s="76"/>
      <c r="Q3065" s="84"/>
    </row>
    <row r="3066" spans="1:21" s="83" customFormat="1" ht="14.25" hidden="1" customHeight="1" outlineLevel="1">
      <c r="A3066" s="264"/>
      <c r="B3066" s="119" t="s">
        <v>272</v>
      </c>
      <c r="C3066" s="266" t="s">
        <v>4429</v>
      </c>
      <c r="D3066" s="124" t="s">
        <v>4430</v>
      </c>
      <c r="E3066" s="125"/>
      <c r="F3066" s="118" t="s">
        <v>4396</v>
      </c>
      <c r="G3066" s="126" t="str">
        <f t="shared" ref="G3066:G3072" si="184">CONCATENATE("AR-",F3066,"-",H3066)</f>
        <v>AR-SDV-2</v>
      </c>
      <c r="H3066" s="253" t="s">
        <v>289</v>
      </c>
      <c r="I3066" s="76">
        <v>1</v>
      </c>
      <c r="J3066" s="299" t="s">
        <v>310</v>
      </c>
      <c r="K3066" s="299"/>
      <c r="L3066" s="84"/>
      <c r="M3066" s="76"/>
      <c r="Q3066" s="84"/>
    </row>
    <row r="3067" spans="1:21" s="83" customFormat="1" ht="14.25" hidden="1" customHeight="1" outlineLevel="1">
      <c r="A3067" s="264"/>
      <c r="B3067" s="119" t="s">
        <v>272</v>
      </c>
      <c r="C3067" s="266" t="s">
        <v>4431</v>
      </c>
      <c r="D3067" s="124" t="s">
        <v>4432</v>
      </c>
      <c r="E3067" s="125"/>
      <c r="F3067" s="118" t="s">
        <v>4396</v>
      </c>
      <c r="G3067" s="126" t="str">
        <f t="shared" si="184"/>
        <v>AR-SDV-2</v>
      </c>
      <c r="H3067" s="253" t="s">
        <v>289</v>
      </c>
      <c r="I3067" s="76">
        <v>1</v>
      </c>
      <c r="J3067" s="299" t="s">
        <v>286</v>
      </c>
      <c r="K3067" s="299"/>
      <c r="L3067" s="84"/>
      <c r="M3067" s="76"/>
      <c r="Q3067" s="84"/>
    </row>
    <row r="3068" spans="1:21" s="83" customFormat="1" ht="14.25" hidden="1" customHeight="1" outlineLevel="1">
      <c r="A3068" s="264"/>
      <c r="B3068" s="119" t="s">
        <v>272</v>
      </c>
      <c r="C3068" s="266" t="s">
        <v>4433</v>
      </c>
      <c r="D3068" s="124" t="s">
        <v>4434</v>
      </c>
      <c r="E3068" s="125"/>
      <c r="F3068" s="118" t="s">
        <v>4396</v>
      </c>
      <c r="G3068" s="126" t="str">
        <f t="shared" si="184"/>
        <v>AR-SDV-2</v>
      </c>
      <c r="H3068" s="253" t="s">
        <v>289</v>
      </c>
      <c r="I3068" s="76">
        <v>1</v>
      </c>
      <c r="J3068" s="299" t="s">
        <v>310</v>
      </c>
      <c r="K3068" s="299"/>
      <c r="L3068" s="86"/>
      <c r="M3068" s="76"/>
      <c r="Q3068" s="84"/>
    </row>
    <row r="3069" spans="1:21" s="83" customFormat="1" ht="14.25" hidden="1" customHeight="1" outlineLevel="1">
      <c r="A3069" s="264"/>
      <c r="B3069" s="119" t="s">
        <v>272</v>
      </c>
      <c r="C3069" s="266" t="s">
        <v>4435</v>
      </c>
      <c r="D3069" s="124" t="s">
        <v>4436</v>
      </c>
      <c r="E3069" s="125"/>
      <c r="F3069" s="118" t="s">
        <v>4396</v>
      </c>
      <c r="G3069" s="126" t="str">
        <f t="shared" si="184"/>
        <v>AR-SDV-2</v>
      </c>
      <c r="H3069" s="253" t="s">
        <v>289</v>
      </c>
      <c r="I3069" s="76">
        <v>1</v>
      </c>
      <c r="J3069" s="299" t="s">
        <v>286</v>
      </c>
      <c r="K3069" s="299"/>
      <c r="L3069" s="84"/>
      <c r="M3069" s="76"/>
      <c r="Q3069" s="86"/>
    </row>
    <row r="3070" spans="1:21" s="83" customFormat="1" ht="14.25" hidden="1" customHeight="1" outlineLevel="1">
      <c r="A3070" s="264"/>
      <c r="B3070" s="119" t="s">
        <v>272</v>
      </c>
      <c r="C3070" s="266" t="s">
        <v>4437</v>
      </c>
      <c r="D3070" s="124" t="s">
        <v>4438</v>
      </c>
      <c r="E3070" s="125"/>
      <c r="F3070" s="118" t="s">
        <v>4396</v>
      </c>
      <c r="G3070" s="126" t="str">
        <f t="shared" si="184"/>
        <v>AR-SDV-2</v>
      </c>
      <c r="H3070" s="253" t="s">
        <v>289</v>
      </c>
      <c r="I3070" s="76">
        <v>1</v>
      </c>
      <c r="J3070" s="299" t="s">
        <v>286</v>
      </c>
      <c r="K3070" s="299"/>
      <c r="L3070" s="84"/>
      <c r="M3070" s="76"/>
      <c r="Q3070" s="86"/>
    </row>
    <row r="3071" spans="1:21" s="83" customFormat="1" ht="14.25" hidden="1" customHeight="1" outlineLevel="1">
      <c r="A3071" s="264"/>
      <c r="B3071" s="119" t="s">
        <v>272</v>
      </c>
      <c r="C3071" s="266" t="s">
        <v>4439</v>
      </c>
      <c r="D3071" s="124" t="s">
        <v>4440</v>
      </c>
      <c r="E3071" s="125"/>
      <c r="F3071" s="118" t="s">
        <v>4396</v>
      </c>
      <c r="G3071" s="126" t="str">
        <f t="shared" si="184"/>
        <v>AR-SDV-2</v>
      </c>
      <c r="H3071" s="253" t="s">
        <v>289</v>
      </c>
      <c r="I3071" s="76">
        <v>1</v>
      </c>
      <c r="J3071" s="299" t="s">
        <v>286</v>
      </c>
      <c r="K3071" s="299"/>
      <c r="L3071" s="84"/>
      <c r="M3071" s="76"/>
      <c r="Q3071" s="86"/>
    </row>
    <row r="3072" spans="1:21" s="83" customFormat="1" ht="14.25" hidden="1" customHeight="1" outlineLevel="1">
      <c r="A3072" s="264"/>
      <c r="B3072" s="119" t="s">
        <v>272</v>
      </c>
      <c r="C3072" s="266" t="s">
        <v>4441</v>
      </c>
      <c r="D3072" s="124" t="s">
        <v>4442</v>
      </c>
      <c r="E3072" s="125"/>
      <c r="F3072" s="118" t="s">
        <v>4396</v>
      </c>
      <c r="G3072" s="126" t="str">
        <f t="shared" si="184"/>
        <v>AR-SDV-2</v>
      </c>
      <c r="H3072" s="253" t="s">
        <v>289</v>
      </c>
      <c r="I3072" s="76">
        <v>1</v>
      </c>
      <c r="J3072" s="299" t="s">
        <v>286</v>
      </c>
      <c r="K3072" s="299"/>
      <c r="L3072" s="86"/>
      <c r="Q3072" s="86"/>
    </row>
    <row r="3073" spans="1:21" s="83" customFormat="1" ht="14.25" hidden="1" customHeight="1" outlineLevel="1">
      <c r="A3073" s="264"/>
      <c r="B3073" s="119" t="s">
        <v>272</v>
      </c>
      <c r="C3073" s="266" t="s">
        <v>4443</v>
      </c>
      <c r="D3073" s="124" t="s">
        <v>4444</v>
      </c>
      <c r="E3073" s="125"/>
      <c r="F3073" s="118" t="s">
        <v>4396</v>
      </c>
      <c r="G3073" s="126" t="str">
        <f t="shared" ref="G3073:G3079" si="185">CONCATENATE("AR-",F3073,"-",H3073)</f>
        <v>AR-SDV-2</v>
      </c>
      <c r="H3073" s="253" t="s">
        <v>289</v>
      </c>
      <c r="I3073" s="76">
        <v>1</v>
      </c>
      <c r="J3073" s="299" t="s">
        <v>286</v>
      </c>
      <c r="K3073" s="299"/>
      <c r="L3073" s="86"/>
      <c r="Q3073" s="86"/>
    </row>
    <row r="3074" spans="1:21" s="83" customFormat="1" ht="14.25" hidden="1" customHeight="1" outlineLevel="1">
      <c r="A3074" s="264"/>
      <c r="B3074" s="119" t="s">
        <v>272</v>
      </c>
      <c r="C3074" s="266" t="s">
        <v>1102</v>
      </c>
      <c r="D3074" s="124" t="s">
        <v>1103</v>
      </c>
      <c r="E3074" s="125"/>
      <c r="F3074" s="118" t="s">
        <v>4396</v>
      </c>
      <c r="G3074" s="126" t="str">
        <f t="shared" si="185"/>
        <v>AR-SDV-2</v>
      </c>
      <c r="H3074" s="253" t="s">
        <v>289</v>
      </c>
      <c r="I3074" s="76">
        <v>1</v>
      </c>
      <c r="J3074" s="299" t="s">
        <v>286</v>
      </c>
      <c r="K3074" s="299"/>
      <c r="L3074" s="86"/>
      <c r="Q3074" s="86"/>
    </row>
    <row r="3075" spans="1:21" s="83" customFormat="1" ht="14.25" hidden="1" customHeight="1" outlineLevel="1">
      <c r="A3075" s="264"/>
      <c r="B3075" s="119" t="s">
        <v>272</v>
      </c>
      <c r="C3075" s="266" t="s">
        <v>4445</v>
      </c>
      <c r="D3075" s="124" t="s">
        <v>4446</v>
      </c>
      <c r="E3075" s="125"/>
      <c r="F3075" s="118" t="s">
        <v>4396</v>
      </c>
      <c r="G3075" s="126" t="str">
        <f t="shared" si="185"/>
        <v>AR-SDV-2</v>
      </c>
      <c r="H3075" s="253" t="s">
        <v>289</v>
      </c>
      <c r="I3075" s="76">
        <v>1</v>
      </c>
      <c r="J3075" s="299" t="s">
        <v>286</v>
      </c>
      <c r="K3075" s="299"/>
      <c r="L3075" s="86"/>
      <c r="Q3075" s="86"/>
    </row>
    <row r="3076" spans="1:21" s="83" customFormat="1" ht="14.25" hidden="1" customHeight="1" outlineLevel="1">
      <c r="A3076" s="264"/>
      <c r="B3076" s="119" t="s">
        <v>272</v>
      </c>
      <c r="C3076" s="266" t="s">
        <v>1105</v>
      </c>
      <c r="D3076" s="124" t="s">
        <v>1106</v>
      </c>
      <c r="E3076" s="125"/>
      <c r="F3076" s="118" t="s">
        <v>4396</v>
      </c>
      <c r="G3076" s="126" t="str">
        <f t="shared" si="185"/>
        <v>AR-SDV-2</v>
      </c>
      <c r="H3076" s="253" t="s">
        <v>289</v>
      </c>
      <c r="I3076" s="76">
        <v>1</v>
      </c>
      <c r="J3076" s="299" t="s">
        <v>286</v>
      </c>
      <c r="K3076" s="299"/>
      <c r="L3076" s="86"/>
      <c r="Q3076" s="86"/>
    </row>
    <row r="3077" spans="1:21" s="83" customFormat="1" ht="14.25" hidden="1" customHeight="1" outlineLevel="1">
      <c r="A3077" s="264"/>
      <c r="B3077" s="119" t="s">
        <v>272</v>
      </c>
      <c r="C3077" s="266" t="s">
        <v>1107</v>
      </c>
      <c r="D3077" s="124" t="s">
        <v>1108</v>
      </c>
      <c r="E3077" s="125"/>
      <c r="F3077" s="118" t="s">
        <v>4396</v>
      </c>
      <c r="G3077" s="126" t="str">
        <f t="shared" si="185"/>
        <v>AR-SDV-2</v>
      </c>
      <c r="H3077" s="253" t="s">
        <v>289</v>
      </c>
      <c r="I3077" s="76">
        <v>1</v>
      </c>
      <c r="J3077" s="299" t="s">
        <v>286</v>
      </c>
      <c r="K3077" s="299"/>
      <c r="L3077" s="86"/>
      <c r="Q3077" s="86"/>
    </row>
    <row r="3078" spans="1:21" s="83" customFormat="1" ht="14.25" hidden="1" customHeight="1" outlineLevel="1">
      <c r="A3078" s="264"/>
      <c r="B3078" s="119" t="s">
        <v>272</v>
      </c>
      <c r="C3078" s="266" t="s">
        <v>1109</v>
      </c>
      <c r="D3078" s="124" t="s">
        <v>1110</v>
      </c>
      <c r="E3078" s="125"/>
      <c r="F3078" s="118" t="s">
        <v>4396</v>
      </c>
      <c r="G3078" s="126" t="str">
        <f t="shared" si="185"/>
        <v>AR-SDV-2</v>
      </c>
      <c r="H3078" s="253" t="s">
        <v>289</v>
      </c>
      <c r="I3078" s="76">
        <v>1</v>
      </c>
      <c r="J3078" s="299" t="s">
        <v>310</v>
      </c>
      <c r="K3078" s="299"/>
      <c r="L3078" s="86"/>
      <c r="Q3078" s="86"/>
    </row>
    <row r="3079" spans="1:21" s="83" customFormat="1" ht="14.25" hidden="1" customHeight="1" outlineLevel="1">
      <c r="A3079" s="264"/>
      <c r="B3079" s="119" t="s">
        <v>272</v>
      </c>
      <c r="C3079" s="266" t="s">
        <v>4447</v>
      </c>
      <c r="D3079" s="124" t="s">
        <v>4448</v>
      </c>
      <c r="E3079" s="125"/>
      <c r="F3079" s="118" t="s">
        <v>4396</v>
      </c>
      <c r="G3079" s="126" t="str">
        <f t="shared" si="185"/>
        <v>AR-SDV-2</v>
      </c>
      <c r="H3079" s="253" t="s">
        <v>289</v>
      </c>
      <c r="I3079" s="76">
        <v>1</v>
      </c>
      <c r="J3079" s="299" t="s">
        <v>286</v>
      </c>
      <c r="K3079" s="299"/>
      <c r="L3079" s="86"/>
      <c r="Q3079" s="86"/>
    </row>
    <row r="3080" spans="1:21" s="83" customFormat="1" ht="14.25" hidden="1" customHeight="1" outlineLevel="1">
      <c r="A3080" s="264"/>
      <c r="B3080" s="119" t="s">
        <v>272</v>
      </c>
      <c r="C3080" s="266" t="s">
        <v>1111</v>
      </c>
      <c r="D3080" s="124" t="s">
        <v>1112</v>
      </c>
      <c r="E3080" s="125"/>
      <c r="F3080" s="118" t="s">
        <v>4396</v>
      </c>
      <c r="G3080" s="126" t="str">
        <f>CONCATENATE("AR-",F3080,"-",H3080)</f>
        <v>AR-SDV-2</v>
      </c>
      <c r="H3080" s="253" t="s">
        <v>289</v>
      </c>
      <c r="I3080" s="76">
        <v>1</v>
      </c>
      <c r="J3080" s="299" t="s">
        <v>286</v>
      </c>
      <c r="K3080" s="299"/>
      <c r="L3080" s="86"/>
      <c r="Q3080" s="86"/>
    </row>
    <row r="3081" spans="1:21" s="83" customFormat="1" ht="13.5" hidden="1" customHeight="1" outlineLevel="1">
      <c r="A3081" s="264"/>
      <c r="B3081" s="119" t="s">
        <v>272</v>
      </c>
      <c r="C3081" s="266" t="s">
        <v>1113</v>
      </c>
      <c r="D3081" s="124" t="s">
        <v>4449</v>
      </c>
      <c r="E3081" s="125"/>
      <c r="F3081" s="118" t="s">
        <v>4396</v>
      </c>
      <c r="G3081" s="126" t="str">
        <f>CONCATENATE("AR-",F3081,"-",H3081)</f>
        <v>AR-SDV-2</v>
      </c>
      <c r="H3081" s="253" t="s">
        <v>289</v>
      </c>
      <c r="I3081" s="76">
        <v>1</v>
      </c>
      <c r="J3081" s="299" t="s">
        <v>310</v>
      </c>
      <c r="K3081" s="299"/>
      <c r="L3081" s="84"/>
      <c r="M3081" s="76"/>
      <c r="N3081" s="76"/>
      <c r="O3081" s="76"/>
      <c r="P3081" s="76"/>
      <c r="Q3081" s="84"/>
      <c r="R3081" s="76"/>
      <c r="S3081" s="76"/>
      <c r="T3081" s="76"/>
      <c r="U3081" s="76"/>
    </row>
    <row r="3082" spans="1:21" s="83" customFormat="1" ht="13.5" hidden="1" customHeight="1" outlineLevel="1">
      <c r="A3082" s="264"/>
      <c r="B3082" s="119" t="s">
        <v>272</v>
      </c>
      <c r="C3082" s="266" t="s">
        <v>1115</v>
      </c>
      <c r="D3082" s="124" t="s">
        <v>1116</v>
      </c>
      <c r="E3082" s="125"/>
      <c r="F3082" s="118" t="s">
        <v>4396</v>
      </c>
      <c r="G3082" s="126" t="str">
        <f>CONCATENATE("AR-",F3082,"-",H3082)</f>
        <v>AR-SDV-2</v>
      </c>
      <c r="H3082" s="253" t="s">
        <v>289</v>
      </c>
      <c r="I3082" s="76">
        <v>1</v>
      </c>
      <c r="J3082" s="299" t="s">
        <v>286</v>
      </c>
      <c r="K3082" s="299"/>
      <c r="L3082" s="84"/>
      <c r="M3082" s="76"/>
      <c r="N3082" s="76"/>
      <c r="O3082" s="76"/>
      <c r="P3082" s="76"/>
      <c r="Q3082" s="84"/>
      <c r="R3082" s="76"/>
      <c r="S3082" s="76"/>
      <c r="T3082" s="76"/>
      <c r="U3082" s="76"/>
    </row>
    <row r="3083" spans="1:21" s="83" customFormat="1" ht="14.25" hidden="1" customHeight="1" outlineLevel="1">
      <c r="A3083" s="264"/>
      <c r="B3083" s="119" t="s">
        <v>272</v>
      </c>
      <c r="C3083" s="266" t="s">
        <v>4450</v>
      </c>
      <c r="D3083" s="124" t="s">
        <v>4451</v>
      </c>
      <c r="E3083" s="125"/>
      <c r="F3083" s="118" t="s">
        <v>4396</v>
      </c>
      <c r="G3083" s="126" t="str">
        <f>CONCATENATE("AR-",F3083,"-",H3083)</f>
        <v>AR-SDV-2</v>
      </c>
      <c r="H3083" s="253" t="s">
        <v>289</v>
      </c>
      <c r="I3083" s="76">
        <v>1</v>
      </c>
      <c r="J3083" s="299" t="s">
        <v>310</v>
      </c>
      <c r="K3083" s="299"/>
      <c r="L3083" s="84"/>
      <c r="M3083" s="76"/>
      <c r="N3083" s="76"/>
      <c r="O3083" s="76"/>
      <c r="P3083" s="76"/>
      <c r="Q3083" s="84"/>
      <c r="R3083" s="76"/>
      <c r="S3083" s="76"/>
      <c r="T3083" s="76"/>
      <c r="U3083" s="76"/>
    </row>
    <row r="3084" spans="1:21" s="83" customFormat="1" ht="14.25" hidden="1" customHeight="1" outlineLevel="1">
      <c r="A3084" s="264"/>
      <c r="B3084" s="119" t="s">
        <v>272</v>
      </c>
      <c r="C3084" s="266" t="s">
        <v>4452</v>
      </c>
      <c r="D3084" s="124" t="s">
        <v>4453</v>
      </c>
      <c r="E3084" s="125"/>
      <c r="F3084" s="118" t="s">
        <v>4396</v>
      </c>
      <c r="G3084" s="126" t="str">
        <f t="shared" ref="G3084:G3092" si="186">CONCATENATE("AR-",F3084,"-",H3084)</f>
        <v>AR-SDV-2</v>
      </c>
      <c r="H3084" s="253" t="s">
        <v>289</v>
      </c>
      <c r="I3084" s="76">
        <v>1</v>
      </c>
      <c r="J3084" s="299" t="s">
        <v>286</v>
      </c>
      <c r="K3084" s="299"/>
      <c r="L3084" s="84"/>
      <c r="M3084" s="76"/>
      <c r="N3084" s="76"/>
      <c r="O3084" s="76"/>
      <c r="P3084" s="76"/>
      <c r="Q3084" s="84"/>
      <c r="R3084" s="76"/>
      <c r="S3084" s="76"/>
      <c r="T3084" s="76"/>
      <c r="U3084" s="76"/>
    </row>
    <row r="3085" spans="1:21" s="83" customFormat="1" ht="14.25" hidden="1" customHeight="1" outlineLevel="1">
      <c r="A3085" s="264"/>
      <c r="B3085" s="119" t="s">
        <v>272</v>
      </c>
      <c r="C3085" s="266" t="s">
        <v>4454</v>
      </c>
      <c r="D3085" s="124" t="s">
        <v>4455</v>
      </c>
      <c r="E3085" s="125"/>
      <c r="F3085" s="118" t="s">
        <v>4396</v>
      </c>
      <c r="G3085" s="126" t="str">
        <f t="shared" si="186"/>
        <v>AR-SDV-2</v>
      </c>
      <c r="H3085" s="253" t="s">
        <v>289</v>
      </c>
      <c r="I3085" s="76">
        <v>1</v>
      </c>
      <c r="J3085" s="299" t="s">
        <v>286</v>
      </c>
      <c r="K3085" s="299"/>
      <c r="L3085" s="84"/>
      <c r="M3085" s="76"/>
      <c r="N3085" s="76"/>
      <c r="O3085" s="76"/>
      <c r="P3085" s="76"/>
      <c r="Q3085" s="84"/>
      <c r="R3085" s="76"/>
      <c r="S3085" s="76"/>
      <c r="T3085" s="76"/>
      <c r="U3085" s="76"/>
    </row>
    <row r="3086" spans="1:21" s="83" customFormat="1" ht="14.25" hidden="1" customHeight="1" outlineLevel="1">
      <c r="A3086" s="264"/>
      <c r="B3086" s="119" t="s">
        <v>272</v>
      </c>
      <c r="C3086" s="266" t="s">
        <v>4456</v>
      </c>
      <c r="D3086" s="124" t="s">
        <v>4457</v>
      </c>
      <c r="E3086" s="125"/>
      <c r="F3086" s="118" t="s">
        <v>4396</v>
      </c>
      <c r="G3086" s="126" t="str">
        <f t="shared" si="186"/>
        <v>AR-SDV-2</v>
      </c>
      <c r="H3086" s="253" t="s">
        <v>289</v>
      </c>
      <c r="I3086" s="76">
        <v>1</v>
      </c>
      <c r="J3086" s="299" t="s">
        <v>286</v>
      </c>
      <c r="K3086" s="299"/>
      <c r="L3086" s="86"/>
      <c r="M3086" s="76"/>
      <c r="N3086" s="76"/>
      <c r="O3086" s="76"/>
      <c r="P3086" s="76"/>
      <c r="Q3086" s="84"/>
      <c r="R3086" s="76"/>
      <c r="S3086" s="76"/>
      <c r="T3086" s="76"/>
      <c r="U3086" s="76"/>
    </row>
    <row r="3087" spans="1:21" s="83" customFormat="1" ht="14.25" hidden="1" customHeight="1" outlineLevel="1">
      <c r="A3087" s="264"/>
      <c r="B3087" s="119" t="s">
        <v>272</v>
      </c>
      <c r="C3087" s="266" t="s">
        <v>4458</v>
      </c>
      <c r="D3087" s="124" t="s">
        <v>4459</v>
      </c>
      <c r="E3087" s="125"/>
      <c r="F3087" s="118" t="s">
        <v>4396</v>
      </c>
      <c r="G3087" s="126" t="str">
        <f t="shared" si="186"/>
        <v>AR-SDV-2</v>
      </c>
      <c r="H3087" s="253" t="s">
        <v>289</v>
      </c>
      <c r="I3087" s="76">
        <v>1</v>
      </c>
      <c r="J3087" s="299" t="s">
        <v>310</v>
      </c>
      <c r="K3087" s="299"/>
      <c r="L3087" s="86"/>
      <c r="M3087" s="76"/>
      <c r="N3087" s="76"/>
      <c r="O3087" s="76"/>
      <c r="P3087" s="76"/>
      <c r="Q3087" s="84"/>
      <c r="R3087" s="76"/>
      <c r="S3087" s="76"/>
      <c r="T3087" s="76"/>
      <c r="U3087" s="76"/>
    </row>
    <row r="3088" spans="1:21" s="83" customFormat="1" ht="14.25" hidden="1" customHeight="1" outlineLevel="1">
      <c r="A3088" s="264"/>
      <c r="B3088" s="119" t="s">
        <v>272</v>
      </c>
      <c r="C3088" s="266" t="s">
        <v>4460</v>
      </c>
      <c r="D3088" s="124" t="s">
        <v>4461</v>
      </c>
      <c r="E3088" s="125"/>
      <c r="F3088" s="118" t="s">
        <v>4396</v>
      </c>
      <c r="G3088" s="126" t="str">
        <f t="shared" si="186"/>
        <v>AR-SDV-2</v>
      </c>
      <c r="H3088" s="253" t="s">
        <v>289</v>
      </c>
      <c r="I3088" s="76">
        <v>1</v>
      </c>
      <c r="J3088" s="299" t="s">
        <v>310</v>
      </c>
      <c r="K3088" s="299"/>
      <c r="L3088" s="86"/>
      <c r="M3088" s="76"/>
      <c r="N3088" s="76"/>
      <c r="O3088" s="76"/>
      <c r="P3088" s="76"/>
      <c r="Q3088" s="84"/>
      <c r="R3088" s="76"/>
      <c r="S3088" s="76"/>
      <c r="T3088" s="76"/>
      <c r="U3088" s="76"/>
    </row>
    <row r="3089" spans="1:21" s="83" customFormat="1" ht="14.25" hidden="1" customHeight="1" outlineLevel="1">
      <c r="A3089" s="264"/>
      <c r="B3089" s="119" t="s">
        <v>272</v>
      </c>
      <c r="C3089" s="266" t="s">
        <v>4462</v>
      </c>
      <c r="D3089" s="124" t="s">
        <v>4463</v>
      </c>
      <c r="E3089" s="125"/>
      <c r="F3089" s="118" t="s">
        <v>4396</v>
      </c>
      <c r="G3089" s="126" t="str">
        <f t="shared" si="186"/>
        <v>AR-SDV-2</v>
      </c>
      <c r="H3089" s="253" t="s">
        <v>289</v>
      </c>
      <c r="I3089" s="76">
        <v>1</v>
      </c>
      <c r="J3089" s="299" t="s">
        <v>286</v>
      </c>
      <c r="K3089" s="299"/>
      <c r="L3089" s="84"/>
      <c r="M3089" s="76"/>
      <c r="N3089" s="76"/>
      <c r="O3089" s="76"/>
      <c r="P3089" s="76"/>
      <c r="Q3089" s="84"/>
      <c r="R3089" s="76"/>
      <c r="S3089" s="76"/>
      <c r="T3089" s="76"/>
      <c r="U3089" s="76"/>
    </row>
    <row r="3090" spans="1:21" s="83" customFormat="1" ht="14.25" hidden="1" customHeight="1" outlineLevel="1">
      <c r="A3090" s="264"/>
      <c r="B3090" s="119" t="s">
        <v>272</v>
      </c>
      <c r="C3090" s="266" t="s">
        <v>4464</v>
      </c>
      <c r="D3090" s="124" t="s">
        <v>4463</v>
      </c>
      <c r="E3090" s="125"/>
      <c r="F3090" s="118" t="s">
        <v>4396</v>
      </c>
      <c r="G3090" s="126" t="str">
        <f t="shared" si="186"/>
        <v>AR-SDV-2</v>
      </c>
      <c r="H3090" s="253" t="s">
        <v>289</v>
      </c>
      <c r="I3090" s="76">
        <v>1</v>
      </c>
      <c r="J3090" s="299" t="s">
        <v>286</v>
      </c>
      <c r="K3090" s="299"/>
      <c r="L3090" s="84"/>
      <c r="M3090" s="76"/>
      <c r="Q3090" s="84"/>
    </row>
    <row r="3091" spans="1:21" s="83" customFormat="1" ht="13.5" hidden="1" customHeight="1" outlineLevel="1">
      <c r="A3091" s="264"/>
      <c r="B3091" s="119" t="s">
        <v>272</v>
      </c>
      <c r="C3091" s="266" t="s">
        <v>4465</v>
      </c>
      <c r="D3091" s="124" t="s">
        <v>4466</v>
      </c>
      <c r="E3091" s="125"/>
      <c r="F3091" s="118" t="s">
        <v>4396</v>
      </c>
      <c r="G3091" s="126" t="str">
        <f t="shared" si="186"/>
        <v>AR-SDV-2</v>
      </c>
      <c r="H3091" s="253" t="s">
        <v>289</v>
      </c>
      <c r="I3091" s="76">
        <v>1</v>
      </c>
      <c r="J3091" s="299" t="s">
        <v>286</v>
      </c>
      <c r="K3091" s="299"/>
      <c r="L3091" s="84"/>
      <c r="M3091" s="76"/>
      <c r="Q3091" s="84"/>
    </row>
    <row r="3092" spans="1:21" s="83" customFormat="1" ht="14.1" hidden="1" customHeight="1" outlineLevel="1">
      <c r="A3092" s="264"/>
      <c r="B3092" s="119" t="s">
        <v>272</v>
      </c>
      <c r="C3092" s="266" t="s">
        <v>4467</v>
      </c>
      <c r="D3092" s="124" t="s">
        <v>4468</v>
      </c>
      <c r="E3092" s="125"/>
      <c r="F3092" s="118" t="s">
        <v>4396</v>
      </c>
      <c r="G3092" s="126" t="str">
        <f t="shared" si="186"/>
        <v>AR-SDV-2</v>
      </c>
      <c r="H3092" s="253" t="s">
        <v>289</v>
      </c>
      <c r="I3092" s="76">
        <v>1</v>
      </c>
      <c r="J3092" s="299" t="s">
        <v>286</v>
      </c>
      <c r="K3092" s="299"/>
      <c r="L3092" s="84"/>
      <c r="M3092" s="76"/>
      <c r="Q3092" s="84"/>
    </row>
    <row r="3093" spans="1:21" s="83" customFormat="1" ht="14.25" hidden="1" customHeight="1" outlineLevel="1">
      <c r="A3093" s="264"/>
      <c r="B3093" s="119" t="s">
        <v>272</v>
      </c>
      <c r="C3093" s="266" t="s">
        <v>4469</v>
      </c>
      <c r="D3093" s="124" t="s">
        <v>4470</v>
      </c>
      <c r="E3093" s="125"/>
      <c r="F3093" s="118" t="s">
        <v>4396</v>
      </c>
      <c r="G3093" s="126" t="str">
        <f t="shared" ref="G3093:G3099" si="187">CONCATENATE("AR-",F3093,"-",H3093)</f>
        <v>AR-SDV-2</v>
      </c>
      <c r="H3093" s="253" t="s">
        <v>289</v>
      </c>
      <c r="I3093" s="76">
        <v>1</v>
      </c>
      <c r="J3093" s="299" t="s">
        <v>310</v>
      </c>
      <c r="K3093" s="299"/>
      <c r="L3093" s="84"/>
      <c r="M3093" s="76"/>
      <c r="Q3093" s="84"/>
    </row>
    <row r="3094" spans="1:21" s="83" customFormat="1" ht="14.25" hidden="1" customHeight="1" outlineLevel="1">
      <c r="A3094" s="264"/>
      <c r="B3094" s="119" t="s">
        <v>272</v>
      </c>
      <c r="C3094" s="266" t="s">
        <v>4471</v>
      </c>
      <c r="D3094" s="124" t="s">
        <v>4472</v>
      </c>
      <c r="E3094" s="125"/>
      <c r="F3094" s="118" t="s">
        <v>4396</v>
      </c>
      <c r="G3094" s="126" t="str">
        <f t="shared" si="187"/>
        <v>AR-SDV-2</v>
      </c>
      <c r="H3094" s="253" t="s">
        <v>289</v>
      </c>
      <c r="I3094" s="76">
        <v>1</v>
      </c>
      <c r="J3094" s="299" t="s">
        <v>325</v>
      </c>
      <c r="K3094" s="299"/>
      <c r="L3094" s="84"/>
      <c r="M3094" s="76"/>
      <c r="Q3094" s="84"/>
    </row>
    <row r="3095" spans="1:21" s="83" customFormat="1" ht="14.25" hidden="1" customHeight="1" outlineLevel="1">
      <c r="A3095" s="264"/>
      <c r="B3095" s="119" t="s">
        <v>272</v>
      </c>
      <c r="C3095" s="266" t="s">
        <v>4473</v>
      </c>
      <c r="D3095" s="124" t="s">
        <v>4474</v>
      </c>
      <c r="E3095" s="125"/>
      <c r="F3095" s="118" t="s">
        <v>4396</v>
      </c>
      <c r="G3095" s="126" t="str">
        <f t="shared" si="187"/>
        <v>AR-SDV-2</v>
      </c>
      <c r="H3095" s="253" t="s">
        <v>289</v>
      </c>
      <c r="I3095" s="76">
        <v>1</v>
      </c>
      <c r="J3095" s="299" t="s">
        <v>325</v>
      </c>
      <c r="K3095" s="299"/>
      <c r="L3095" s="86"/>
      <c r="M3095" s="76"/>
      <c r="Q3095" s="84"/>
    </row>
    <row r="3096" spans="1:21" s="83" customFormat="1" ht="14.25" hidden="1" customHeight="1" outlineLevel="1">
      <c r="A3096" s="264"/>
      <c r="B3096" s="119" t="s">
        <v>272</v>
      </c>
      <c r="C3096" s="266" t="s">
        <v>4475</v>
      </c>
      <c r="D3096" s="124" t="s">
        <v>4476</v>
      </c>
      <c r="E3096" s="125"/>
      <c r="F3096" s="118" t="s">
        <v>4396</v>
      </c>
      <c r="G3096" s="126" t="str">
        <f t="shared" si="187"/>
        <v>AR-SDV-2</v>
      </c>
      <c r="H3096" s="253" t="s">
        <v>289</v>
      </c>
      <c r="I3096" s="76">
        <v>1</v>
      </c>
      <c r="J3096" s="299" t="s">
        <v>286</v>
      </c>
      <c r="K3096" s="299"/>
      <c r="L3096" s="84"/>
      <c r="M3096" s="76"/>
      <c r="Q3096" s="86"/>
    </row>
    <row r="3097" spans="1:21" s="83" customFormat="1" ht="14.25" hidden="1" customHeight="1" outlineLevel="1">
      <c r="A3097" s="264"/>
      <c r="B3097" s="119" t="s">
        <v>272</v>
      </c>
      <c r="C3097" s="266" t="s">
        <v>4477</v>
      </c>
      <c r="D3097" s="124" t="s">
        <v>4478</v>
      </c>
      <c r="E3097" s="125"/>
      <c r="F3097" s="118" t="s">
        <v>4396</v>
      </c>
      <c r="G3097" s="126" t="str">
        <f t="shared" si="187"/>
        <v>AR-SDV-2</v>
      </c>
      <c r="H3097" s="253" t="s">
        <v>289</v>
      </c>
      <c r="I3097" s="76">
        <v>1</v>
      </c>
      <c r="J3097" s="299" t="s">
        <v>286</v>
      </c>
      <c r="K3097" s="299"/>
      <c r="L3097" s="84"/>
      <c r="M3097" s="76"/>
      <c r="Q3097" s="86"/>
    </row>
    <row r="3098" spans="1:21" s="83" customFormat="1" ht="14.25" hidden="1" customHeight="1" outlineLevel="1">
      <c r="A3098" s="264"/>
      <c r="B3098" s="119" t="s">
        <v>272</v>
      </c>
      <c r="C3098" s="266" t="s">
        <v>4479</v>
      </c>
      <c r="D3098" s="124" t="s">
        <v>4480</v>
      </c>
      <c r="E3098" s="125"/>
      <c r="F3098" s="118" t="s">
        <v>4396</v>
      </c>
      <c r="G3098" s="126" t="str">
        <f t="shared" si="187"/>
        <v>AR-SDV-2</v>
      </c>
      <c r="H3098" s="253" t="s">
        <v>289</v>
      </c>
      <c r="I3098" s="76">
        <v>1</v>
      </c>
      <c r="J3098" s="299" t="s">
        <v>286</v>
      </c>
      <c r="K3098" s="299"/>
      <c r="L3098" s="84"/>
      <c r="M3098" s="76"/>
      <c r="Q3098" s="86"/>
    </row>
    <row r="3099" spans="1:21" s="83" customFormat="1" ht="14.25" hidden="1" customHeight="1" outlineLevel="1">
      <c r="A3099" s="264"/>
      <c r="B3099" s="119" t="s">
        <v>272</v>
      </c>
      <c r="C3099" s="266" t="s">
        <v>4481</v>
      </c>
      <c r="D3099" s="124" t="s">
        <v>4482</v>
      </c>
      <c r="E3099" s="125"/>
      <c r="F3099" s="118" t="s">
        <v>4396</v>
      </c>
      <c r="G3099" s="126" t="str">
        <f t="shared" si="187"/>
        <v>AR-SDV-2</v>
      </c>
      <c r="H3099" s="253" t="s">
        <v>289</v>
      </c>
      <c r="I3099" s="76">
        <v>1</v>
      </c>
      <c r="J3099" s="299" t="s">
        <v>325</v>
      </c>
      <c r="K3099" s="299"/>
      <c r="L3099" s="86"/>
      <c r="Q3099" s="86"/>
    </row>
    <row r="3100" spans="1:21" s="83" customFormat="1" ht="14.25" hidden="1" customHeight="1" outlineLevel="1">
      <c r="A3100" s="264"/>
      <c r="B3100" s="119" t="s">
        <v>272</v>
      </c>
      <c r="C3100" s="266" t="s">
        <v>4483</v>
      </c>
      <c r="D3100" s="124" t="s">
        <v>4484</v>
      </c>
      <c r="E3100" s="125"/>
      <c r="F3100" s="118" t="s">
        <v>4396</v>
      </c>
      <c r="G3100" s="126" t="str">
        <f t="shared" ref="G3100:G3106" si="188">CONCATENATE("AR-",F3100,"-",H3100)</f>
        <v>AR-SDV-2</v>
      </c>
      <c r="H3100" s="253" t="s">
        <v>289</v>
      </c>
      <c r="I3100" s="76">
        <v>1</v>
      </c>
      <c r="J3100" s="299" t="s">
        <v>286</v>
      </c>
      <c r="K3100" s="299"/>
      <c r="L3100" s="86"/>
      <c r="Q3100" s="86"/>
    </row>
    <row r="3101" spans="1:21" s="83" customFormat="1" ht="14.25" hidden="1" customHeight="1" outlineLevel="1">
      <c r="A3101" s="264"/>
      <c r="B3101" s="119" t="s">
        <v>272</v>
      </c>
      <c r="C3101" s="266" t="s">
        <v>4485</v>
      </c>
      <c r="D3101" s="124" t="s">
        <v>4486</v>
      </c>
      <c r="E3101" s="125"/>
      <c r="F3101" s="118" t="s">
        <v>4396</v>
      </c>
      <c r="G3101" s="126" t="str">
        <f t="shared" si="188"/>
        <v>AR-SDV-2</v>
      </c>
      <c r="H3101" s="253" t="s">
        <v>289</v>
      </c>
      <c r="I3101" s="76">
        <v>1</v>
      </c>
      <c r="J3101" s="299" t="s">
        <v>310</v>
      </c>
      <c r="K3101" s="299"/>
      <c r="L3101" s="86"/>
      <c r="Q3101" s="86"/>
    </row>
    <row r="3102" spans="1:21" s="83" customFormat="1" ht="14.25" hidden="1" customHeight="1" outlineLevel="1">
      <c r="A3102" s="264"/>
      <c r="B3102" s="119" t="s">
        <v>272</v>
      </c>
      <c r="C3102" s="266" t="s">
        <v>4487</v>
      </c>
      <c r="D3102" s="124" t="s">
        <v>4488</v>
      </c>
      <c r="E3102" s="125"/>
      <c r="F3102" s="118" t="s">
        <v>4396</v>
      </c>
      <c r="G3102" s="126" t="str">
        <f t="shared" si="188"/>
        <v>AR-SDV-2</v>
      </c>
      <c r="H3102" s="253" t="s">
        <v>289</v>
      </c>
      <c r="I3102" s="76">
        <v>1</v>
      </c>
      <c r="J3102" s="299" t="s">
        <v>307</v>
      </c>
      <c r="K3102" s="299"/>
      <c r="L3102" s="86"/>
      <c r="Q3102" s="86"/>
    </row>
    <row r="3103" spans="1:21" s="83" customFormat="1" ht="14.25" hidden="1" customHeight="1" outlineLevel="1">
      <c r="A3103" s="264"/>
      <c r="B3103" s="119" t="s">
        <v>272</v>
      </c>
      <c r="C3103" s="266" t="s">
        <v>4489</v>
      </c>
      <c r="D3103" s="124" t="s">
        <v>4490</v>
      </c>
      <c r="E3103" s="125"/>
      <c r="F3103" s="118" t="s">
        <v>4396</v>
      </c>
      <c r="G3103" s="126" t="str">
        <f t="shared" si="188"/>
        <v>AR-SDV-2</v>
      </c>
      <c r="H3103" s="253" t="s">
        <v>289</v>
      </c>
      <c r="I3103" s="76">
        <v>1</v>
      </c>
      <c r="J3103" s="299" t="s">
        <v>307</v>
      </c>
      <c r="K3103" s="299"/>
      <c r="L3103" s="86"/>
      <c r="Q3103" s="86"/>
    </row>
    <row r="3104" spans="1:21" s="83" customFormat="1" ht="14.25" hidden="1" customHeight="1" outlineLevel="1">
      <c r="A3104" s="264"/>
      <c r="B3104" s="119" t="s">
        <v>272</v>
      </c>
      <c r="C3104" s="266" t="s">
        <v>4491</v>
      </c>
      <c r="D3104" s="124" t="s">
        <v>4492</v>
      </c>
      <c r="E3104" s="125"/>
      <c r="F3104" s="118" t="s">
        <v>4396</v>
      </c>
      <c r="G3104" s="126" t="str">
        <f t="shared" si="188"/>
        <v>AR-SDV-2</v>
      </c>
      <c r="H3104" s="253" t="s">
        <v>289</v>
      </c>
      <c r="I3104" s="76">
        <v>1</v>
      </c>
      <c r="J3104" s="299" t="s">
        <v>286</v>
      </c>
      <c r="K3104" s="299"/>
      <c r="L3104" s="86"/>
      <c r="Q3104" s="86"/>
    </row>
    <row r="3105" spans="1:18" s="83" customFormat="1" ht="14.25" hidden="1" customHeight="1" outlineLevel="1">
      <c r="A3105" s="264"/>
      <c r="B3105" s="119" t="s">
        <v>272</v>
      </c>
      <c r="C3105" s="266" t="s">
        <v>4493</v>
      </c>
      <c r="D3105" s="124" t="s">
        <v>4494</v>
      </c>
      <c r="E3105" s="125"/>
      <c r="F3105" s="118" t="s">
        <v>4396</v>
      </c>
      <c r="G3105" s="126" t="str">
        <f t="shared" si="188"/>
        <v>AR-SDV-2</v>
      </c>
      <c r="H3105" s="253" t="s">
        <v>289</v>
      </c>
      <c r="I3105" s="76">
        <v>1</v>
      </c>
      <c r="J3105" s="299" t="s">
        <v>310</v>
      </c>
      <c r="K3105" s="299"/>
      <c r="L3105" s="86"/>
      <c r="Q3105" s="86"/>
    </row>
    <row r="3106" spans="1:18" s="83" customFormat="1" ht="14.25" hidden="1" customHeight="1" outlineLevel="1">
      <c r="A3106" s="264"/>
      <c r="B3106" s="119" t="s">
        <v>272</v>
      </c>
      <c r="C3106" s="266" t="s">
        <v>4495</v>
      </c>
      <c r="D3106" s="124" t="s">
        <v>4496</v>
      </c>
      <c r="E3106" s="125"/>
      <c r="F3106" s="118" t="s">
        <v>4396</v>
      </c>
      <c r="G3106" s="126" t="str">
        <f t="shared" si="188"/>
        <v>AR-SDV-2</v>
      </c>
      <c r="H3106" s="253" t="s">
        <v>289</v>
      </c>
      <c r="I3106" s="76">
        <v>1</v>
      </c>
      <c r="J3106" s="299" t="s">
        <v>286</v>
      </c>
      <c r="K3106" s="299"/>
      <c r="L3106" s="86"/>
      <c r="Q3106" s="86"/>
    </row>
    <row r="3107" spans="1:18" s="83" customFormat="1" ht="14.25" hidden="1" customHeight="1" outlineLevel="1">
      <c r="A3107" s="264"/>
      <c r="B3107" s="119" t="s">
        <v>272</v>
      </c>
      <c r="C3107" s="266" t="s">
        <v>4497</v>
      </c>
      <c r="D3107" s="124" t="s">
        <v>4498</v>
      </c>
      <c r="E3107" s="125"/>
      <c r="F3107" s="118" t="s">
        <v>4396</v>
      </c>
      <c r="G3107" s="126" t="str">
        <f>CONCATENATE("AR-",F3107,"-",H3107)</f>
        <v>AR-SDV-2</v>
      </c>
      <c r="H3107" s="253" t="s">
        <v>289</v>
      </c>
      <c r="I3107" s="76">
        <v>1</v>
      </c>
      <c r="J3107" s="299" t="s">
        <v>286</v>
      </c>
      <c r="K3107" s="299"/>
      <c r="L3107" s="86"/>
      <c r="Q3107" s="86"/>
    </row>
    <row r="3108" spans="1:18" s="83" customFormat="1" ht="13.5" hidden="1" customHeight="1" outlineLevel="1">
      <c r="A3108" s="264"/>
      <c r="B3108" s="119" t="s">
        <v>272</v>
      </c>
      <c r="C3108" s="266" t="s">
        <v>4499</v>
      </c>
      <c r="D3108" s="124" t="s">
        <v>4500</v>
      </c>
      <c r="E3108" s="125"/>
      <c r="F3108" s="118" t="s">
        <v>4396</v>
      </c>
      <c r="G3108" s="126" t="str">
        <f t="shared" ref="G3108:G3113" si="189">CONCATENATE("AR-",F3108,"-",H3108)</f>
        <v>AR-SDV-2</v>
      </c>
      <c r="H3108" s="253" t="s">
        <v>289</v>
      </c>
      <c r="I3108" s="76">
        <v>1</v>
      </c>
      <c r="J3108" s="299" t="s">
        <v>307</v>
      </c>
      <c r="K3108" s="299"/>
      <c r="L3108" s="84"/>
      <c r="M3108" s="76"/>
      <c r="N3108" s="76"/>
      <c r="O3108" s="76"/>
      <c r="P3108" s="76"/>
      <c r="Q3108" s="84"/>
      <c r="R3108" s="76"/>
    </row>
    <row r="3109" spans="1:18" s="83" customFormat="1" ht="13.5" hidden="1" customHeight="1" outlineLevel="1">
      <c r="A3109" s="264"/>
      <c r="B3109" s="119" t="s">
        <v>272</v>
      </c>
      <c r="C3109" s="266" t="s">
        <v>4501</v>
      </c>
      <c r="D3109" s="124" t="s">
        <v>4502</v>
      </c>
      <c r="E3109" s="125"/>
      <c r="F3109" s="118" t="s">
        <v>4396</v>
      </c>
      <c r="G3109" s="126" t="str">
        <f t="shared" si="189"/>
        <v>AR-SDV-2</v>
      </c>
      <c r="H3109" s="253" t="s">
        <v>289</v>
      </c>
      <c r="I3109" s="76">
        <v>1</v>
      </c>
      <c r="J3109" s="299" t="s">
        <v>310</v>
      </c>
      <c r="K3109" s="299"/>
      <c r="L3109" s="84"/>
      <c r="M3109" s="76"/>
      <c r="N3109" s="76"/>
      <c r="O3109" s="76"/>
      <c r="P3109" s="76"/>
      <c r="Q3109" s="84"/>
      <c r="R3109" s="76"/>
    </row>
    <row r="3110" spans="1:18" s="83" customFormat="1" ht="14.25" hidden="1" customHeight="1" outlineLevel="1">
      <c r="A3110" s="264"/>
      <c r="B3110" s="119" t="s">
        <v>272</v>
      </c>
      <c r="C3110" s="266" t="s">
        <v>4503</v>
      </c>
      <c r="D3110" s="124" t="s">
        <v>4504</v>
      </c>
      <c r="E3110" s="125"/>
      <c r="F3110" s="118" t="s">
        <v>4396</v>
      </c>
      <c r="G3110" s="126" t="str">
        <f t="shared" si="189"/>
        <v>AR-SDV-2</v>
      </c>
      <c r="H3110" s="253" t="s">
        <v>289</v>
      </c>
      <c r="I3110" s="76">
        <v>1</v>
      </c>
      <c r="J3110" s="299" t="s">
        <v>310</v>
      </c>
      <c r="K3110" s="299"/>
      <c r="L3110" s="84"/>
      <c r="M3110" s="76"/>
      <c r="N3110" s="76"/>
      <c r="O3110" s="76"/>
      <c r="P3110" s="76"/>
      <c r="Q3110" s="84"/>
      <c r="R3110" s="76"/>
    </row>
    <row r="3111" spans="1:18" s="83" customFormat="1" ht="14.25" hidden="1" customHeight="1" outlineLevel="1">
      <c r="A3111" s="264"/>
      <c r="B3111" s="119" t="s">
        <v>272</v>
      </c>
      <c r="C3111" s="266" t="s">
        <v>4505</v>
      </c>
      <c r="D3111" s="124" t="s">
        <v>4506</v>
      </c>
      <c r="E3111" s="125"/>
      <c r="F3111" s="118" t="s">
        <v>4396</v>
      </c>
      <c r="G3111" s="126" t="str">
        <f t="shared" si="189"/>
        <v>AR-SDV-2</v>
      </c>
      <c r="H3111" s="253" t="s">
        <v>289</v>
      </c>
      <c r="I3111" s="76">
        <v>1</v>
      </c>
      <c r="J3111" s="299" t="s">
        <v>286</v>
      </c>
      <c r="K3111" s="299"/>
      <c r="L3111" s="84"/>
      <c r="M3111" s="76"/>
      <c r="N3111" s="76"/>
      <c r="O3111" s="76"/>
      <c r="P3111" s="76"/>
      <c r="Q3111" s="84"/>
      <c r="R3111" s="76"/>
    </row>
    <row r="3112" spans="1:18" s="83" customFormat="1" ht="14.25" hidden="1" customHeight="1" outlineLevel="1">
      <c r="A3112" s="264"/>
      <c r="B3112" s="119" t="s">
        <v>272</v>
      </c>
      <c r="C3112" s="266" t="s">
        <v>4507</v>
      </c>
      <c r="D3112" s="124" t="s">
        <v>4508</v>
      </c>
      <c r="E3112" s="125"/>
      <c r="F3112" s="118" t="s">
        <v>4396</v>
      </c>
      <c r="G3112" s="126" t="str">
        <f t="shared" si="189"/>
        <v>AR-SDV-2</v>
      </c>
      <c r="H3112" s="253" t="s">
        <v>289</v>
      </c>
      <c r="I3112" s="76">
        <v>1</v>
      </c>
      <c r="J3112" s="299" t="s">
        <v>307</v>
      </c>
      <c r="K3112" s="299"/>
      <c r="L3112" s="84"/>
      <c r="M3112" s="76"/>
      <c r="N3112" s="76"/>
      <c r="O3112" s="76"/>
      <c r="P3112" s="76"/>
      <c r="Q3112" s="84"/>
      <c r="R3112" s="76"/>
    </row>
    <row r="3113" spans="1:18" s="83" customFormat="1" ht="14.25" hidden="1" customHeight="1" outlineLevel="1">
      <c r="A3113" s="264"/>
      <c r="B3113" s="119" t="s">
        <v>272</v>
      </c>
      <c r="C3113" s="266" t="s">
        <v>4509</v>
      </c>
      <c r="D3113" s="124" t="s">
        <v>4510</v>
      </c>
      <c r="E3113" s="125"/>
      <c r="F3113" s="118" t="s">
        <v>4396</v>
      </c>
      <c r="G3113" s="126" t="str">
        <f t="shared" si="189"/>
        <v>AR-SDV-2</v>
      </c>
      <c r="H3113" s="253" t="s">
        <v>289</v>
      </c>
      <c r="I3113" s="76">
        <v>1</v>
      </c>
      <c r="J3113" s="299" t="s">
        <v>307</v>
      </c>
      <c r="K3113" s="299"/>
      <c r="L3113" s="84"/>
      <c r="M3113" s="76"/>
      <c r="N3113" s="76"/>
      <c r="O3113" s="76"/>
      <c r="P3113" s="76"/>
      <c r="Q3113" s="84"/>
      <c r="R3113" s="76"/>
    </row>
    <row r="3114" spans="1:18" s="83" customFormat="1" ht="14.25" hidden="1" customHeight="1" outlineLevel="1">
      <c r="A3114" s="264"/>
      <c r="B3114" s="119" t="s">
        <v>272</v>
      </c>
      <c r="C3114" s="266" t="s">
        <v>4511</v>
      </c>
      <c r="D3114" s="124" t="s">
        <v>4512</v>
      </c>
      <c r="E3114" s="125"/>
      <c r="F3114" s="118" t="s">
        <v>4396</v>
      </c>
      <c r="G3114" s="126" t="str">
        <f>CONCATENATE("AR-",F3114,"-",H3114)</f>
        <v>AR-SDV-2</v>
      </c>
      <c r="H3114" s="253" t="s">
        <v>289</v>
      </c>
      <c r="I3114" s="76">
        <v>1</v>
      </c>
      <c r="J3114" s="299" t="s">
        <v>310</v>
      </c>
      <c r="K3114" s="299"/>
      <c r="L3114" s="84"/>
      <c r="M3114" s="76"/>
      <c r="Q3114" s="86"/>
    </row>
    <row r="3115" spans="1:18" s="83" customFormat="1" ht="14.25" hidden="1" customHeight="1" outlineLevel="1">
      <c r="A3115" s="264"/>
      <c r="B3115" s="119" t="s">
        <v>272</v>
      </c>
      <c r="C3115" s="266" t="s">
        <v>4513</v>
      </c>
      <c r="D3115" s="124" t="s">
        <v>4514</v>
      </c>
      <c r="E3115" s="125"/>
      <c r="F3115" s="118" t="s">
        <v>4396</v>
      </c>
      <c r="G3115" s="126" t="str">
        <f t="shared" ref="G3115:G3129" si="190">CONCATENATE("AR-",F3115,"-",H3115)</f>
        <v>AR-SDV-2</v>
      </c>
      <c r="H3115" s="253" t="s">
        <v>289</v>
      </c>
      <c r="I3115" s="76">
        <v>1</v>
      </c>
      <c r="J3115" s="299" t="s">
        <v>307</v>
      </c>
      <c r="K3115" s="299"/>
      <c r="L3115" s="84"/>
      <c r="M3115" s="76"/>
      <c r="Q3115" s="86"/>
    </row>
    <row r="3116" spans="1:18" s="83" customFormat="1" ht="14.25" hidden="1" customHeight="1" outlineLevel="1">
      <c r="A3116" s="264"/>
      <c r="B3116" s="119" t="s">
        <v>272</v>
      </c>
      <c r="C3116" s="266" t="s">
        <v>405</v>
      </c>
      <c r="D3116" s="124" t="s">
        <v>4515</v>
      </c>
      <c r="E3116" s="125"/>
      <c r="F3116" s="118" t="s">
        <v>4396</v>
      </c>
      <c r="G3116" s="126" t="str">
        <f t="shared" si="190"/>
        <v>AR-SDV-2</v>
      </c>
      <c r="H3116" s="253" t="s">
        <v>289</v>
      </c>
      <c r="I3116" s="76">
        <v>1</v>
      </c>
      <c r="J3116" s="299" t="s">
        <v>286</v>
      </c>
      <c r="K3116" s="299"/>
      <c r="L3116" s="84"/>
      <c r="M3116" s="76"/>
      <c r="Q3116" s="86"/>
    </row>
    <row r="3117" spans="1:18" s="83" customFormat="1" ht="14.25" hidden="1" customHeight="1" outlineLevel="1">
      <c r="A3117" s="264"/>
      <c r="B3117" s="119" t="s">
        <v>272</v>
      </c>
      <c r="C3117" s="266" t="s">
        <v>4516</v>
      </c>
      <c r="D3117" s="124" t="s">
        <v>4517</v>
      </c>
      <c r="E3117" s="125"/>
      <c r="F3117" s="118" t="s">
        <v>4396</v>
      </c>
      <c r="G3117" s="126" t="str">
        <f t="shared" si="190"/>
        <v>AR-SDV-2</v>
      </c>
      <c r="H3117" s="253" t="s">
        <v>289</v>
      </c>
      <c r="I3117" s="76">
        <v>1</v>
      </c>
      <c r="J3117" s="299" t="s">
        <v>286</v>
      </c>
      <c r="K3117" s="299"/>
      <c r="L3117" s="84"/>
      <c r="M3117" s="76"/>
      <c r="Q3117" s="86"/>
    </row>
    <row r="3118" spans="1:18" s="83" customFormat="1" ht="14.25" hidden="1" customHeight="1" outlineLevel="1">
      <c r="A3118" s="264"/>
      <c r="B3118" s="119" t="s">
        <v>272</v>
      </c>
      <c r="C3118" s="266" t="s">
        <v>407</v>
      </c>
      <c r="D3118" s="124" t="s">
        <v>4518</v>
      </c>
      <c r="E3118" s="125"/>
      <c r="F3118" s="118" t="s">
        <v>4396</v>
      </c>
      <c r="G3118" s="126" t="str">
        <f t="shared" si="190"/>
        <v>AR-SDV-2</v>
      </c>
      <c r="H3118" s="253" t="s">
        <v>289</v>
      </c>
      <c r="I3118" s="76">
        <v>1</v>
      </c>
      <c r="J3118" s="299" t="s">
        <v>286</v>
      </c>
      <c r="K3118" s="299"/>
      <c r="L3118" s="84"/>
      <c r="M3118" s="76"/>
      <c r="Q3118" s="86"/>
    </row>
    <row r="3119" spans="1:18" s="83" customFormat="1" ht="14.25" hidden="1" customHeight="1" outlineLevel="1">
      <c r="A3119" s="264"/>
      <c r="B3119" s="119" t="s">
        <v>272</v>
      </c>
      <c r="C3119" s="266" t="s">
        <v>4519</v>
      </c>
      <c r="D3119" s="124" t="s">
        <v>4520</v>
      </c>
      <c r="E3119" s="125"/>
      <c r="F3119" s="118" t="s">
        <v>4396</v>
      </c>
      <c r="G3119" s="126" t="str">
        <f>CONCATENATE("AR-",F3119,"-",H3119)</f>
        <v>AR-SDV-2</v>
      </c>
      <c r="H3119" s="253">
        <v>2</v>
      </c>
      <c r="I3119" s="76">
        <v>1</v>
      </c>
      <c r="J3119" s="299" t="s">
        <v>286</v>
      </c>
      <c r="K3119" s="299"/>
      <c r="L3119" s="86"/>
      <c r="Q3119" s="86"/>
    </row>
    <row r="3120" spans="1:18" s="83" customFormat="1" ht="14.25" hidden="1" customHeight="1" outlineLevel="1">
      <c r="A3120" s="264"/>
      <c r="B3120" s="119" t="s">
        <v>272</v>
      </c>
      <c r="C3120" s="266" t="s">
        <v>4521</v>
      </c>
      <c r="D3120" s="124" t="s">
        <v>4522</v>
      </c>
      <c r="E3120" s="125"/>
      <c r="F3120" s="118" t="s">
        <v>4396</v>
      </c>
      <c r="G3120" s="126" t="str">
        <f>CONCATENATE("AR-",F3120,"-",H3120)</f>
        <v>AR-SDV-2</v>
      </c>
      <c r="H3120" s="253">
        <v>2</v>
      </c>
      <c r="I3120" s="76">
        <v>1</v>
      </c>
      <c r="J3120" s="299" t="s">
        <v>286</v>
      </c>
      <c r="K3120" s="299"/>
      <c r="L3120" s="86"/>
      <c r="Q3120" s="86"/>
    </row>
    <row r="3121" spans="1:17" s="83" customFormat="1" ht="14.25" hidden="1" customHeight="1" outlineLevel="1">
      <c r="A3121" s="264"/>
      <c r="B3121" s="119" t="s">
        <v>272</v>
      </c>
      <c r="C3121" s="266" t="s">
        <v>4523</v>
      </c>
      <c r="D3121" s="124" t="s">
        <v>4524</v>
      </c>
      <c r="E3121" s="125"/>
      <c r="F3121" s="118" t="s">
        <v>4396</v>
      </c>
      <c r="G3121" s="126" t="str">
        <f>CONCATENATE("AR-",F3121,"-",H3121)</f>
        <v>AR-SDV-2</v>
      </c>
      <c r="H3121" s="253">
        <v>2</v>
      </c>
      <c r="I3121" s="76">
        <v>1</v>
      </c>
      <c r="J3121" s="299" t="s">
        <v>286</v>
      </c>
      <c r="K3121" s="299"/>
      <c r="L3121" s="86"/>
      <c r="Q3121" s="86"/>
    </row>
    <row r="3122" spans="1:17" s="83" customFormat="1" ht="14.25" hidden="1" customHeight="1" outlineLevel="1">
      <c r="A3122" s="264"/>
      <c r="B3122" s="119" t="s">
        <v>272</v>
      </c>
      <c r="C3122" s="266" t="s">
        <v>4525</v>
      </c>
      <c r="D3122" s="124" t="s">
        <v>4526</v>
      </c>
      <c r="E3122" s="125"/>
      <c r="F3122" s="118" t="s">
        <v>4396</v>
      </c>
      <c r="G3122" s="126" t="str">
        <f>CONCATENATE("AR-",F3122,"-",H3122)</f>
        <v>AR-SDV-2</v>
      </c>
      <c r="H3122" s="253">
        <v>2</v>
      </c>
      <c r="I3122" s="76">
        <v>1</v>
      </c>
      <c r="J3122" s="299" t="s">
        <v>286</v>
      </c>
      <c r="K3122" s="299"/>
      <c r="L3122" s="84"/>
      <c r="M3122" s="76"/>
      <c r="Q3122" s="86"/>
    </row>
    <row r="3123" spans="1:17" s="83" customFormat="1" ht="14.25" hidden="1" customHeight="1" outlineLevel="1">
      <c r="A3123" s="264"/>
      <c r="B3123" s="119" t="s">
        <v>272</v>
      </c>
      <c r="C3123" s="266" t="s">
        <v>4527</v>
      </c>
      <c r="D3123" s="124" t="s">
        <v>4528</v>
      </c>
      <c r="E3123" s="125"/>
      <c r="F3123" s="118" t="s">
        <v>4396</v>
      </c>
      <c r="G3123" s="126" t="str">
        <f>CONCATENATE("AR-",F3123,"-",H3123)</f>
        <v>AR-SDV-2</v>
      </c>
      <c r="H3123" s="253">
        <v>2</v>
      </c>
      <c r="I3123" s="76">
        <v>1</v>
      </c>
      <c r="J3123" s="299" t="s">
        <v>286</v>
      </c>
      <c r="K3123" s="299"/>
      <c r="L3123" s="86"/>
      <c r="Q3123" s="86"/>
    </row>
    <row r="3124" spans="1:17" s="83" customFormat="1" ht="14.25" hidden="1" customHeight="1" outlineLevel="1">
      <c r="A3124" s="264"/>
      <c r="B3124" s="119" t="s">
        <v>272</v>
      </c>
      <c r="C3124" s="266" t="s">
        <v>4529</v>
      </c>
      <c r="D3124" s="124" t="s">
        <v>4530</v>
      </c>
      <c r="E3124" s="125"/>
      <c r="F3124" s="118" t="s">
        <v>4396</v>
      </c>
      <c r="G3124" s="126" t="str">
        <f t="shared" ref="G3124" si="191">CONCATENATE("AR-",F3124,"-",H3124)</f>
        <v>AR-SDV-2</v>
      </c>
      <c r="H3124" s="253">
        <v>2</v>
      </c>
      <c r="I3124" s="76">
        <v>1</v>
      </c>
      <c r="J3124" s="299" t="s">
        <v>286</v>
      </c>
      <c r="K3124" s="299"/>
      <c r="L3124" s="86"/>
      <c r="Q3124" s="86"/>
    </row>
    <row r="3125" spans="1:17" s="83" customFormat="1" ht="14.25" hidden="1" customHeight="1" outlineLevel="1">
      <c r="A3125" s="264"/>
      <c r="B3125" s="119" t="s">
        <v>272</v>
      </c>
      <c r="C3125" s="266" t="s">
        <v>4531</v>
      </c>
      <c r="D3125" s="124" t="s">
        <v>4466</v>
      </c>
      <c r="E3125" s="125"/>
      <c r="F3125" s="118" t="s">
        <v>4396</v>
      </c>
      <c r="G3125" s="126" t="str">
        <f>CONCATENATE("AR-",F3125,"-",H3125)</f>
        <v>AR-SDV-2</v>
      </c>
      <c r="H3125" s="253">
        <v>2</v>
      </c>
      <c r="I3125" s="76">
        <v>1</v>
      </c>
      <c r="J3125" s="299" t="s">
        <v>286</v>
      </c>
      <c r="K3125" s="299"/>
      <c r="L3125" s="86"/>
      <c r="Q3125" s="86"/>
    </row>
    <row r="3126" spans="1:17" s="83" customFormat="1" ht="14.25" hidden="1" customHeight="1" outlineLevel="1">
      <c r="A3126" s="264"/>
      <c r="B3126" s="119" t="s">
        <v>272</v>
      </c>
      <c r="C3126" s="266" t="s">
        <v>4532</v>
      </c>
      <c r="D3126" s="124" t="s">
        <v>4533</v>
      </c>
      <c r="E3126" s="125"/>
      <c r="F3126" s="118" t="s">
        <v>4396</v>
      </c>
      <c r="G3126" s="126" t="str">
        <f t="shared" si="190"/>
        <v>AR-SDV-3</v>
      </c>
      <c r="H3126" s="253" t="s">
        <v>346</v>
      </c>
      <c r="I3126" s="76">
        <v>1</v>
      </c>
      <c r="J3126" s="299" t="s">
        <v>286</v>
      </c>
      <c r="K3126" s="299"/>
      <c r="L3126" s="84"/>
      <c r="M3126" s="76"/>
      <c r="Q3126" s="86"/>
    </row>
    <row r="3127" spans="1:17" s="83" customFormat="1" ht="14.25" hidden="1" customHeight="1" outlineLevel="1">
      <c r="A3127" s="264"/>
      <c r="B3127" s="119" t="s">
        <v>272</v>
      </c>
      <c r="C3127" s="266" t="s">
        <v>4534</v>
      </c>
      <c r="D3127" s="124" t="s">
        <v>4535</v>
      </c>
      <c r="E3127" s="125"/>
      <c r="F3127" s="118" t="s">
        <v>4396</v>
      </c>
      <c r="G3127" s="126" t="str">
        <f t="shared" si="190"/>
        <v>AR-SDV-3</v>
      </c>
      <c r="H3127" s="253" t="s">
        <v>346</v>
      </c>
      <c r="I3127" s="76">
        <v>1</v>
      </c>
      <c r="J3127" s="299" t="s">
        <v>286</v>
      </c>
      <c r="K3127" s="299"/>
      <c r="L3127" s="84"/>
      <c r="M3127" s="76"/>
      <c r="Q3127" s="86"/>
    </row>
    <row r="3128" spans="1:17" s="83" customFormat="1" ht="14.25" hidden="1" customHeight="1" outlineLevel="1">
      <c r="A3128" s="264"/>
      <c r="B3128" s="119" t="s">
        <v>272</v>
      </c>
      <c r="C3128" s="266" t="s">
        <v>4536</v>
      </c>
      <c r="D3128" s="124" t="s">
        <v>4537</v>
      </c>
      <c r="E3128" s="125"/>
      <c r="F3128" s="118" t="s">
        <v>4396</v>
      </c>
      <c r="G3128" s="126" t="str">
        <f t="shared" si="190"/>
        <v>AR-SDV-3</v>
      </c>
      <c r="H3128" s="253" t="s">
        <v>346</v>
      </c>
      <c r="I3128" s="76">
        <v>1</v>
      </c>
      <c r="J3128" s="299" t="s">
        <v>286</v>
      </c>
      <c r="K3128" s="299"/>
      <c r="L3128" s="84"/>
      <c r="M3128" s="76"/>
      <c r="Q3128" s="86"/>
    </row>
    <row r="3129" spans="1:17" s="83" customFormat="1" ht="14.25" hidden="1" customHeight="1" outlineLevel="1">
      <c r="A3129" s="264"/>
      <c r="B3129" s="119" t="s">
        <v>272</v>
      </c>
      <c r="C3129" s="266" t="s">
        <v>4538</v>
      </c>
      <c r="D3129" s="124" t="s">
        <v>4539</v>
      </c>
      <c r="E3129" s="125"/>
      <c r="F3129" s="118" t="s">
        <v>4396</v>
      </c>
      <c r="G3129" s="126" t="str">
        <f t="shared" si="190"/>
        <v>AR-SDV-3</v>
      </c>
      <c r="H3129" s="253" t="s">
        <v>346</v>
      </c>
      <c r="I3129" s="76">
        <v>1</v>
      </c>
      <c r="J3129" s="299" t="s">
        <v>286</v>
      </c>
      <c r="K3129" s="299"/>
      <c r="L3129" s="84"/>
      <c r="M3129" s="76"/>
      <c r="Q3129" s="86"/>
    </row>
    <row r="3130" spans="1:17" s="83" customFormat="1" ht="14.25" hidden="1" customHeight="1" outlineLevel="1">
      <c r="A3130" s="264"/>
      <c r="B3130" s="119" t="s">
        <v>272</v>
      </c>
      <c r="C3130" s="266" t="s">
        <v>4540</v>
      </c>
      <c r="D3130" s="124" t="s">
        <v>4541</v>
      </c>
      <c r="E3130" s="125"/>
      <c r="F3130" s="118" t="s">
        <v>4396</v>
      </c>
      <c r="G3130" s="126" t="str">
        <f>CONCATENATE("AR-",F3130,"-",H3130)</f>
        <v>AR-SDV-3</v>
      </c>
      <c r="H3130" s="253" t="s">
        <v>346</v>
      </c>
      <c r="I3130" s="76">
        <v>1</v>
      </c>
      <c r="J3130" s="299" t="s">
        <v>286</v>
      </c>
      <c r="K3130" s="299"/>
      <c r="L3130" s="84"/>
      <c r="M3130" s="76"/>
      <c r="Q3130" s="86"/>
    </row>
    <row r="3131" spans="1:17" s="83" customFormat="1" ht="14.25" hidden="1" customHeight="1" outlineLevel="1">
      <c r="A3131" s="264"/>
      <c r="B3131" s="119" t="s">
        <v>272</v>
      </c>
      <c r="C3131" s="266" t="s">
        <v>4542</v>
      </c>
      <c r="D3131" s="124" t="s">
        <v>4543</v>
      </c>
      <c r="E3131" s="125"/>
      <c r="F3131" s="118" t="s">
        <v>4396</v>
      </c>
      <c r="G3131" s="126" t="str">
        <f>CONCATENATE("AR-",F3131,"-",H3131)</f>
        <v>AR-SDV-3</v>
      </c>
      <c r="H3131" s="253" t="s">
        <v>346</v>
      </c>
      <c r="I3131" s="76">
        <v>1</v>
      </c>
      <c r="J3131" s="299" t="s">
        <v>286</v>
      </c>
      <c r="K3131" s="299"/>
      <c r="L3131" s="84"/>
      <c r="M3131" s="76"/>
      <c r="Q3131" s="86"/>
    </row>
    <row r="3132" spans="1:17" s="83" customFormat="1" ht="14.25" hidden="1" customHeight="1" outlineLevel="1">
      <c r="A3132" s="264"/>
      <c r="B3132" s="119" t="s">
        <v>272</v>
      </c>
      <c r="C3132" s="266" t="s">
        <v>4544</v>
      </c>
      <c r="D3132" s="124" t="s">
        <v>4545</v>
      </c>
      <c r="E3132" s="125"/>
      <c r="F3132" s="118" t="s">
        <v>4396</v>
      </c>
      <c r="G3132" s="126" t="str">
        <f>CONCATENATE("AR-",F3132,"-",H3132)</f>
        <v>AR-SDV-3</v>
      </c>
      <c r="H3132" s="253" t="s">
        <v>346</v>
      </c>
      <c r="I3132" s="76">
        <v>1</v>
      </c>
      <c r="J3132" s="299" t="s">
        <v>286</v>
      </c>
      <c r="K3132" s="299"/>
      <c r="L3132" s="84"/>
      <c r="M3132" s="76"/>
      <c r="Q3132" s="86"/>
    </row>
    <row r="3133" spans="1:17" s="83" customFormat="1" ht="14.25" hidden="1" customHeight="1" outlineLevel="1">
      <c r="A3133" s="264"/>
      <c r="B3133" s="119"/>
      <c r="C3133" s="266" t="s">
        <v>4546</v>
      </c>
      <c r="D3133" s="124" t="s">
        <v>4466</v>
      </c>
      <c r="E3133" s="125"/>
      <c r="F3133" s="118" t="s">
        <v>4396</v>
      </c>
      <c r="G3133" s="126" t="str">
        <f>CONCATENATE("AR-",F3133,"-",H3133)</f>
        <v>AR-SDV-3</v>
      </c>
      <c r="H3133" s="253" t="s">
        <v>346</v>
      </c>
      <c r="I3133" s="76">
        <v>1</v>
      </c>
      <c r="J3133" s="299" t="s">
        <v>286</v>
      </c>
      <c r="K3133" s="299"/>
      <c r="L3133" s="84"/>
      <c r="M3133" s="76"/>
      <c r="Q3133" s="86"/>
    </row>
    <row r="3134" spans="1:17" s="83" customFormat="1" ht="14.25" hidden="1" customHeight="1" outlineLevel="1">
      <c r="A3134" s="264"/>
      <c r="B3134" s="119" t="s">
        <v>272</v>
      </c>
      <c r="C3134" s="266" t="s">
        <v>4547</v>
      </c>
      <c r="D3134" s="124" t="s">
        <v>4548</v>
      </c>
      <c r="E3134" s="125"/>
      <c r="F3134" s="118" t="s">
        <v>4396</v>
      </c>
      <c r="G3134" s="126" t="str">
        <f>CONCATENATE("AR-",F3134,"-",H3134)</f>
        <v>AR-SDV-3</v>
      </c>
      <c r="H3134" s="253" t="s">
        <v>346</v>
      </c>
      <c r="I3134" s="76">
        <v>1</v>
      </c>
      <c r="J3134" s="299" t="s">
        <v>286</v>
      </c>
      <c r="K3134" s="299"/>
      <c r="L3134" s="84"/>
      <c r="M3134" s="76"/>
      <c r="Q3134" s="86"/>
    </row>
    <row r="3135" spans="1:17" s="83" customFormat="1" ht="14.25" hidden="1" customHeight="1" outlineLevel="1">
      <c r="A3135" s="264"/>
      <c r="B3135" s="119" t="s">
        <v>272</v>
      </c>
      <c r="C3135" s="266" t="s">
        <v>4549</v>
      </c>
      <c r="D3135" s="124" t="s">
        <v>4550</v>
      </c>
      <c r="E3135" s="125"/>
      <c r="F3135" s="118" t="s">
        <v>4396</v>
      </c>
      <c r="G3135" s="126" t="str">
        <f t="shared" ref="G3135:G3149" si="192">CONCATENATE("AR-",F3135,"-",H3135)</f>
        <v>AR-SDV-3</v>
      </c>
      <c r="H3135" s="253" t="s">
        <v>346</v>
      </c>
      <c r="I3135" s="76">
        <v>1</v>
      </c>
      <c r="J3135" s="299" t="s">
        <v>286</v>
      </c>
      <c r="K3135" s="299"/>
      <c r="L3135" s="84"/>
      <c r="M3135" s="76"/>
      <c r="Q3135" s="86"/>
    </row>
    <row r="3136" spans="1:17" s="83" customFormat="1" ht="14.25" hidden="1" customHeight="1" outlineLevel="1">
      <c r="A3136" s="264"/>
      <c r="B3136" s="119" t="s">
        <v>272</v>
      </c>
      <c r="C3136" s="266" t="s">
        <v>4551</v>
      </c>
      <c r="D3136" s="124" t="s">
        <v>4552</v>
      </c>
      <c r="E3136" s="125"/>
      <c r="F3136" s="118" t="s">
        <v>4396</v>
      </c>
      <c r="G3136" s="126" t="str">
        <f t="shared" si="192"/>
        <v>AR-SDV-3</v>
      </c>
      <c r="H3136" s="253" t="s">
        <v>346</v>
      </c>
      <c r="I3136" s="76">
        <v>1</v>
      </c>
      <c r="J3136" s="299" t="s">
        <v>286</v>
      </c>
      <c r="K3136" s="299"/>
      <c r="L3136" s="84"/>
      <c r="M3136" s="76"/>
      <c r="Q3136" s="86"/>
    </row>
    <row r="3137" spans="1:17" s="83" customFormat="1" ht="14.25" hidden="1" customHeight="1" outlineLevel="1">
      <c r="A3137" s="264"/>
      <c r="B3137" s="119" t="s">
        <v>272</v>
      </c>
      <c r="C3137" s="266" t="s">
        <v>4553</v>
      </c>
      <c r="D3137" s="124" t="s">
        <v>4554</v>
      </c>
      <c r="E3137" s="125"/>
      <c r="F3137" s="118" t="s">
        <v>4396</v>
      </c>
      <c r="G3137" s="126" t="str">
        <f t="shared" si="192"/>
        <v>AR-SDV-3</v>
      </c>
      <c r="H3137" s="253" t="s">
        <v>346</v>
      </c>
      <c r="I3137" s="76">
        <v>1</v>
      </c>
      <c r="J3137" s="299" t="s">
        <v>286</v>
      </c>
      <c r="K3137" s="299"/>
      <c r="L3137" s="84"/>
      <c r="M3137" s="76"/>
      <c r="Q3137" s="86"/>
    </row>
    <row r="3138" spans="1:17" s="83" customFormat="1" ht="14.25" hidden="1" customHeight="1" outlineLevel="1">
      <c r="A3138" s="264"/>
      <c r="B3138" s="119" t="s">
        <v>272</v>
      </c>
      <c r="C3138" s="266" t="s">
        <v>4555</v>
      </c>
      <c r="D3138" s="124" t="s">
        <v>4556</v>
      </c>
      <c r="E3138" s="125"/>
      <c r="F3138" s="118" t="s">
        <v>4396</v>
      </c>
      <c r="G3138" s="126" t="str">
        <f t="shared" si="192"/>
        <v>AR-SDV-3</v>
      </c>
      <c r="H3138" s="253" t="s">
        <v>346</v>
      </c>
      <c r="I3138" s="76">
        <v>1</v>
      </c>
      <c r="J3138" s="299" t="s">
        <v>286</v>
      </c>
      <c r="K3138" s="299"/>
      <c r="L3138" s="84"/>
      <c r="M3138" s="76"/>
      <c r="Q3138" s="86"/>
    </row>
    <row r="3139" spans="1:17" s="83" customFormat="1" ht="14.25" hidden="1" customHeight="1" outlineLevel="1">
      <c r="A3139" s="264"/>
      <c r="B3139" s="119" t="s">
        <v>272</v>
      </c>
      <c r="C3139" s="266" t="s">
        <v>4557</v>
      </c>
      <c r="D3139" s="124" t="s">
        <v>4558</v>
      </c>
      <c r="E3139" s="125"/>
      <c r="F3139" s="118" t="s">
        <v>4396</v>
      </c>
      <c r="G3139" s="126" t="str">
        <f t="shared" si="192"/>
        <v>AR-SDV-3</v>
      </c>
      <c r="H3139" s="253" t="s">
        <v>346</v>
      </c>
      <c r="I3139" s="76">
        <v>1</v>
      </c>
      <c r="J3139" s="299" t="s">
        <v>286</v>
      </c>
      <c r="K3139" s="299"/>
      <c r="L3139" s="86"/>
      <c r="Q3139" s="86"/>
    </row>
    <row r="3140" spans="1:17" s="83" customFormat="1" ht="14.25" hidden="1" customHeight="1" outlineLevel="1">
      <c r="A3140" s="264"/>
      <c r="B3140" s="119" t="s">
        <v>272</v>
      </c>
      <c r="C3140" s="266" t="s">
        <v>4559</v>
      </c>
      <c r="D3140" s="124" t="s">
        <v>4560</v>
      </c>
      <c r="E3140" s="125"/>
      <c r="F3140" s="118" t="s">
        <v>4396</v>
      </c>
      <c r="G3140" s="126" t="str">
        <f t="shared" si="192"/>
        <v>AR-SDV-3</v>
      </c>
      <c r="H3140" s="253" t="s">
        <v>346</v>
      </c>
      <c r="I3140" s="76">
        <v>1</v>
      </c>
      <c r="J3140" s="299" t="s">
        <v>286</v>
      </c>
      <c r="K3140" s="299"/>
      <c r="L3140" s="86"/>
      <c r="Q3140" s="86"/>
    </row>
    <row r="3141" spans="1:17" s="83" customFormat="1" ht="14.25" hidden="1" customHeight="1" outlineLevel="1">
      <c r="A3141" s="264"/>
      <c r="B3141" s="119" t="s">
        <v>272</v>
      </c>
      <c r="C3141" s="266" t="s">
        <v>4561</v>
      </c>
      <c r="D3141" s="124" t="s">
        <v>4543</v>
      </c>
      <c r="E3141" s="125"/>
      <c r="F3141" s="118" t="s">
        <v>4396</v>
      </c>
      <c r="G3141" s="126" t="str">
        <f t="shared" si="192"/>
        <v>AR-SDV-3</v>
      </c>
      <c r="H3141" s="253" t="s">
        <v>346</v>
      </c>
      <c r="I3141" s="76">
        <v>1</v>
      </c>
      <c r="J3141" s="299" t="s">
        <v>286</v>
      </c>
      <c r="K3141" s="299"/>
      <c r="L3141" s="86"/>
      <c r="Q3141" s="86"/>
    </row>
    <row r="3142" spans="1:17" s="83" customFormat="1" ht="14.25" hidden="1" customHeight="1" outlineLevel="1">
      <c r="A3142" s="264"/>
      <c r="B3142" s="119" t="s">
        <v>272</v>
      </c>
      <c r="C3142" s="266" t="s">
        <v>4562</v>
      </c>
      <c r="D3142" s="124" t="s">
        <v>4545</v>
      </c>
      <c r="E3142" s="125"/>
      <c r="F3142" s="118" t="s">
        <v>4396</v>
      </c>
      <c r="G3142" s="126" t="str">
        <f t="shared" si="192"/>
        <v>AR-SDV-3</v>
      </c>
      <c r="H3142" s="253" t="s">
        <v>346</v>
      </c>
      <c r="I3142" s="76">
        <v>1</v>
      </c>
      <c r="J3142" s="299" t="s">
        <v>286</v>
      </c>
      <c r="K3142" s="299"/>
      <c r="L3142" s="86"/>
      <c r="Q3142" s="86"/>
    </row>
    <row r="3143" spans="1:17" s="83" customFormat="1" ht="14.25" hidden="1" customHeight="1" outlineLevel="1">
      <c r="A3143" s="264"/>
      <c r="B3143" s="119" t="s">
        <v>272</v>
      </c>
      <c r="C3143" s="266" t="s">
        <v>4563</v>
      </c>
      <c r="D3143" s="124" t="s">
        <v>4466</v>
      </c>
      <c r="E3143" s="125"/>
      <c r="F3143" s="118" t="s">
        <v>4396</v>
      </c>
      <c r="G3143" s="126" t="str">
        <f t="shared" si="192"/>
        <v>AR-SDV-3</v>
      </c>
      <c r="H3143" s="253" t="s">
        <v>346</v>
      </c>
      <c r="I3143" s="76">
        <v>1</v>
      </c>
      <c r="J3143" s="299" t="s">
        <v>286</v>
      </c>
      <c r="K3143" s="299"/>
      <c r="L3143" s="86"/>
      <c r="Q3143" s="86"/>
    </row>
    <row r="3144" spans="1:17" s="83" customFormat="1" ht="14.25" hidden="1" customHeight="1" outlineLevel="1">
      <c r="A3144" s="264"/>
      <c r="B3144" s="119" t="s">
        <v>272</v>
      </c>
      <c r="C3144" s="266" t="s">
        <v>4564</v>
      </c>
      <c r="D3144" s="124" t="s">
        <v>4565</v>
      </c>
      <c r="E3144" s="125"/>
      <c r="F3144" s="118" t="s">
        <v>4396</v>
      </c>
      <c r="G3144" s="126" t="str">
        <f t="shared" si="192"/>
        <v>AR-SDV-3</v>
      </c>
      <c r="H3144" s="253" t="s">
        <v>346</v>
      </c>
      <c r="I3144" s="76">
        <v>1</v>
      </c>
      <c r="J3144" s="299" t="s">
        <v>286</v>
      </c>
      <c r="K3144" s="299"/>
      <c r="L3144" s="86"/>
      <c r="Q3144" s="86"/>
    </row>
    <row r="3145" spans="1:17" s="83" customFormat="1" ht="14.25" hidden="1" customHeight="1" outlineLevel="1">
      <c r="A3145" s="264"/>
      <c r="B3145" s="119" t="s">
        <v>272</v>
      </c>
      <c r="C3145" s="266" t="s">
        <v>4566</v>
      </c>
      <c r="D3145" s="124" t="s">
        <v>4550</v>
      </c>
      <c r="E3145" s="125"/>
      <c r="F3145" s="118" t="s">
        <v>4396</v>
      </c>
      <c r="G3145" s="126" t="str">
        <f t="shared" si="192"/>
        <v>AR-SDV-3</v>
      </c>
      <c r="H3145" s="253" t="s">
        <v>346</v>
      </c>
      <c r="I3145" s="76">
        <v>1</v>
      </c>
      <c r="J3145" s="299" t="s">
        <v>286</v>
      </c>
      <c r="K3145" s="299"/>
      <c r="L3145" s="86"/>
      <c r="Q3145" s="86"/>
    </row>
    <row r="3146" spans="1:17" s="83" customFormat="1" ht="14.25" hidden="1" customHeight="1" outlineLevel="1">
      <c r="A3146" s="264"/>
      <c r="B3146" s="119" t="s">
        <v>272</v>
      </c>
      <c r="C3146" s="266" t="s">
        <v>4567</v>
      </c>
      <c r="D3146" s="124" t="s">
        <v>4568</v>
      </c>
      <c r="E3146" s="125"/>
      <c r="F3146" s="118" t="s">
        <v>4396</v>
      </c>
      <c r="G3146" s="126" t="str">
        <f t="shared" si="192"/>
        <v>AR-SDV-3</v>
      </c>
      <c r="H3146" s="253" t="s">
        <v>346</v>
      </c>
      <c r="I3146" s="76">
        <v>1</v>
      </c>
      <c r="J3146" s="299" t="s">
        <v>286</v>
      </c>
      <c r="K3146" s="299"/>
      <c r="L3146" s="86"/>
      <c r="Q3146" s="86"/>
    </row>
    <row r="3147" spans="1:17" s="83" customFormat="1" ht="14.25" hidden="1" customHeight="1" outlineLevel="1">
      <c r="A3147" s="264"/>
      <c r="B3147" s="119" t="s">
        <v>272</v>
      </c>
      <c r="C3147" s="266" t="s">
        <v>4569</v>
      </c>
      <c r="D3147" s="124" t="s">
        <v>4570</v>
      </c>
      <c r="E3147" s="125"/>
      <c r="F3147" s="118" t="s">
        <v>4396</v>
      </c>
      <c r="G3147" s="126" t="str">
        <f t="shared" si="192"/>
        <v>AR-SDV-3</v>
      </c>
      <c r="H3147" s="253" t="s">
        <v>346</v>
      </c>
      <c r="I3147" s="76">
        <v>1</v>
      </c>
      <c r="J3147" s="299" t="s">
        <v>286</v>
      </c>
      <c r="K3147" s="299"/>
      <c r="L3147" s="86"/>
      <c r="Q3147" s="86"/>
    </row>
    <row r="3148" spans="1:17" s="83" customFormat="1" ht="14.25" hidden="1" customHeight="1" outlineLevel="1">
      <c r="A3148" s="264"/>
      <c r="B3148" s="119" t="s">
        <v>272</v>
      </c>
      <c r="C3148" s="266" t="s">
        <v>4571</v>
      </c>
      <c r="D3148" s="124" t="s">
        <v>4572</v>
      </c>
      <c r="E3148" s="125"/>
      <c r="F3148" s="118" t="s">
        <v>4396</v>
      </c>
      <c r="G3148" s="126" t="str">
        <f t="shared" si="192"/>
        <v>AR-SDV-3</v>
      </c>
      <c r="H3148" s="253" t="s">
        <v>346</v>
      </c>
      <c r="I3148" s="76">
        <v>1</v>
      </c>
      <c r="J3148" s="299" t="s">
        <v>286</v>
      </c>
      <c r="K3148" s="299"/>
      <c r="L3148" s="86"/>
      <c r="Q3148" s="86"/>
    </row>
    <row r="3149" spans="1:17" s="83" customFormat="1" ht="14.25" hidden="1" customHeight="1" outlineLevel="1">
      <c r="A3149" s="264"/>
      <c r="B3149" s="119" t="s">
        <v>272</v>
      </c>
      <c r="C3149" s="266" t="s">
        <v>4573</v>
      </c>
      <c r="D3149" s="124" t="s">
        <v>4574</v>
      </c>
      <c r="E3149" s="125"/>
      <c r="F3149" s="118" t="s">
        <v>4396</v>
      </c>
      <c r="G3149" s="126" t="str">
        <f t="shared" si="192"/>
        <v>AR-SDV-3</v>
      </c>
      <c r="H3149" s="253" t="s">
        <v>346</v>
      </c>
      <c r="I3149" s="76">
        <v>1</v>
      </c>
      <c r="J3149" s="299" t="s">
        <v>286</v>
      </c>
      <c r="K3149" s="299"/>
      <c r="L3149" s="86"/>
      <c r="Q3149" s="86"/>
    </row>
    <row r="3150" spans="1:17" s="83" customFormat="1" ht="14.25" hidden="1" customHeight="1" outlineLevel="1">
      <c r="A3150" s="264"/>
      <c r="B3150" s="119" t="s">
        <v>272</v>
      </c>
      <c r="C3150" s="266" t="s">
        <v>4575</v>
      </c>
      <c r="D3150" s="124" t="s">
        <v>4576</v>
      </c>
      <c r="E3150" s="125"/>
      <c r="F3150" s="118" t="s">
        <v>4396</v>
      </c>
      <c r="G3150" s="126" t="str">
        <f t="shared" ref="G3150:G3151" si="193">CONCATENATE("AR-",F3150,"-",H3150)</f>
        <v>AR-SDV-3</v>
      </c>
      <c r="H3150" s="253" t="s">
        <v>346</v>
      </c>
      <c r="I3150" s="76">
        <v>1</v>
      </c>
      <c r="J3150" s="299" t="s">
        <v>286</v>
      </c>
      <c r="K3150" s="299"/>
      <c r="L3150" s="86"/>
      <c r="Q3150" s="86"/>
    </row>
    <row r="3151" spans="1:17" s="83" customFormat="1" ht="14.25" hidden="1" customHeight="1" outlineLevel="1">
      <c r="A3151" s="264"/>
      <c r="B3151" s="119" t="s">
        <v>272</v>
      </c>
      <c r="C3151" s="266" t="s">
        <v>4577</v>
      </c>
      <c r="D3151" s="124" t="s">
        <v>4578</v>
      </c>
      <c r="E3151" s="125"/>
      <c r="F3151" s="118" t="s">
        <v>4396</v>
      </c>
      <c r="G3151" s="126" t="str">
        <f t="shared" si="193"/>
        <v>AR-SDV-3</v>
      </c>
      <c r="H3151" s="253" t="s">
        <v>346</v>
      </c>
      <c r="I3151" s="76">
        <v>1</v>
      </c>
      <c r="J3151" s="299" t="s">
        <v>286</v>
      </c>
      <c r="K3151" s="299"/>
      <c r="L3151" s="86"/>
      <c r="Q3151" s="86"/>
    </row>
    <row r="3152" spans="1:17" s="83" customFormat="1" ht="14.25" hidden="1" customHeight="1" outlineLevel="1">
      <c r="A3152" s="264"/>
      <c r="B3152" s="119" t="s">
        <v>272</v>
      </c>
      <c r="C3152" s="266" t="s">
        <v>4579</v>
      </c>
      <c r="D3152" s="124" t="s">
        <v>4580</v>
      </c>
      <c r="E3152" s="125"/>
      <c r="F3152" s="118" t="s">
        <v>4396</v>
      </c>
      <c r="G3152" s="126" t="str">
        <f t="shared" ref="G3152:G3158" si="194">CONCATENATE("AR-",F3152,"-",H3152)</f>
        <v>AR-SDV-3</v>
      </c>
      <c r="H3152" s="253" t="s">
        <v>346</v>
      </c>
      <c r="I3152" s="76">
        <v>1</v>
      </c>
      <c r="J3152" s="299" t="s">
        <v>286</v>
      </c>
      <c r="K3152" s="299"/>
      <c r="L3152" s="86"/>
      <c r="Q3152" s="86"/>
    </row>
    <row r="3153" spans="1:17" s="83" customFormat="1" ht="14.25" hidden="1" customHeight="1" outlineLevel="1">
      <c r="A3153" s="264"/>
      <c r="B3153" s="119" t="s">
        <v>272</v>
      </c>
      <c r="C3153" s="266" t="s">
        <v>4581</v>
      </c>
      <c r="D3153" s="124" t="s">
        <v>1094</v>
      </c>
      <c r="E3153" s="125"/>
      <c r="F3153" s="118" t="s">
        <v>4396</v>
      </c>
      <c r="G3153" s="126" t="str">
        <f t="shared" si="194"/>
        <v>AR-SDV-3</v>
      </c>
      <c r="H3153" s="253" t="s">
        <v>346</v>
      </c>
      <c r="I3153" s="76">
        <v>1</v>
      </c>
      <c r="J3153" s="299" t="s">
        <v>286</v>
      </c>
      <c r="K3153" s="299"/>
      <c r="L3153" s="86"/>
      <c r="Q3153" s="86"/>
    </row>
    <row r="3154" spans="1:17" s="83" customFormat="1" ht="14.25" hidden="1" customHeight="1" outlineLevel="1">
      <c r="A3154" s="264"/>
      <c r="B3154" s="119" t="s">
        <v>272</v>
      </c>
      <c r="C3154" s="266" t="s">
        <v>4582</v>
      </c>
      <c r="D3154" s="124" t="s">
        <v>4583</v>
      </c>
      <c r="E3154" s="125"/>
      <c r="F3154" s="118" t="s">
        <v>4396</v>
      </c>
      <c r="G3154" s="126" t="str">
        <f t="shared" si="194"/>
        <v>AR-SDV-3</v>
      </c>
      <c r="H3154" s="253" t="s">
        <v>346</v>
      </c>
      <c r="I3154" s="76">
        <v>1</v>
      </c>
      <c r="J3154" s="299" t="s">
        <v>286</v>
      </c>
      <c r="K3154" s="299"/>
      <c r="L3154" s="86"/>
      <c r="Q3154" s="86"/>
    </row>
    <row r="3155" spans="1:17" s="83" customFormat="1" ht="14.25" hidden="1" customHeight="1" outlineLevel="1">
      <c r="A3155" s="264"/>
      <c r="B3155" s="119" t="s">
        <v>272</v>
      </c>
      <c r="C3155" s="266" t="s">
        <v>4584</v>
      </c>
      <c r="D3155" s="124" t="s">
        <v>4585</v>
      </c>
      <c r="E3155" s="125"/>
      <c r="F3155" s="118" t="s">
        <v>4396</v>
      </c>
      <c r="G3155" s="126" t="str">
        <f t="shared" si="194"/>
        <v>AR-SDV-3</v>
      </c>
      <c r="H3155" s="253" t="s">
        <v>346</v>
      </c>
      <c r="I3155" s="76">
        <v>1</v>
      </c>
      <c r="J3155" s="299" t="s">
        <v>286</v>
      </c>
      <c r="K3155" s="299"/>
      <c r="L3155" s="84"/>
      <c r="M3155" s="76"/>
      <c r="Q3155" s="86"/>
    </row>
    <row r="3156" spans="1:17" s="83" customFormat="1" ht="14.25" hidden="1" customHeight="1" outlineLevel="1">
      <c r="A3156" s="264"/>
      <c r="B3156" s="119" t="s">
        <v>272</v>
      </c>
      <c r="C3156" s="266" t="s">
        <v>4586</v>
      </c>
      <c r="D3156" s="124" t="s">
        <v>4587</v>
      </c>
      <c r="E3156" s="125"/>
      <c r="F3156" s="118" t="s">
        <v>4396</v>
      </c>
      <c r="G3156" s="126" t="str">
        <f t="shared" si="194"/>
        <v>AR-SDV-3</v>
      </c>
      <c r="H3156" s="253" t="s">
        <v>346</v>
      </c>
      <c r="I3156" s="76">
        <v>1</v>
      </c>
      <c r="J3156" s="299" t="s">
        <v>307</v>
      </c>
      <c r="K3156" s="299"/>
      <c r="L3156" s="86"/>
      <c r="Q3156" s="86"/>
    </row>
    <row r="3157" spans="1:17" s="83" customFormat="1" ht="14.25" hidden="1" customHeight="1" outlineLevel="1">
      <c r="A3157" s="264"/>
      <c r="B3157" s="119" t="s">
        <v>272</v>
      </c>
      <c r="C3157" s="266" t="s">
        <v>4588</v>
      </c>
      <c r="D3157" s="124" t="s">
        <v>4589</v>
      </c>
      <c r="E3157" s="125"/>
      <c r="F3157" s="118" t="s">
        <v>4396</v>
      </c>
      <c r="G3157" s="126" t="str">
        <f t="shared" si="194"/>
        <v>AR-SDV-3</v>
      </c>
      <c r="H3157" s="253" t="s">
        <v>346</v>
      </c>
      <c r="I3157" s="76">
        <v>1</v>
      </c>
      <c r="J3157" s="299" t="s">
        <v>310</v>
      </c>
      <c r="K3157" s="299"/>
      <c r="L3157" s="86"/>
      <c r="Q3157" s="86"/>
    </row>
    <row r="3158" spans="1:17" s="83" customFormat="1" ht="14.25" hidden="1" customHeight="1" outlineLevel="1">
      <c r="A3158" s="264"/>
      <c r="B3158" s="119" t="s">
        <v>272</v>
      </c>
      <c r="C3158" s="266" t="s">
        <v>4590</v>
      </c>
      <c r="D3158" s="124" t="s">
        <v>1094</v>
      </c>
      <c r="E3158" s="125"/>
      <c r="F3158" s="118" t="s">
        <v>4396</v>
      </c>
      <c r="G3158" s="126" t="str">
        <f t="shared" si="194"/>
        <v>AR-SDV-3</v>
      </c>
      <c r="H3158" s="253" t="s">
        <v>346</v>
      </c>
      <c r="I3158" s="76">
        <v>1</v>
      </c>
      <c r="J3158" s="299" t="s">
        <v>310</v>
      </c>
      <c r="K3158" s="299"/>
      <c r="L3158" s="86"/>
      <c r="Q3158" s="86"/>
    </row>
    <row r="3159" spans="1:17" s="83" customFormat="1" ht="3" hidden="1" customHeight="1" outlineLevel="1">
      <c r="A3159" s="264"/>
      <c r="B3159" s="119"/>
      <c r="C3159" s="266"/>
      <c r="D3159" s="124" t="s">
        <v>299</v>
      </c>
      <c r="E3159" s="125"/>
      <c r="F3159" s="118"/>
      <c r="G3159" s="126"/>
      <c r="H3159" s="253"/>
      <c r="I3159" s="76"/>
      <c r="J3159" s="299"/>
      <c r="K3159" s="299"/>
      <c r="L3159" s="84"/>
      <c r="M3159" s="76"/>
      <c r="Q3159" s="86"/>
    </row>
    <row r="3160" spans="1:17" s="91" customFormat="1" ht="14.25" hidden="1" customHeight="1" outlineLevel="1">
      <c r="A3160" s="268"/>
      <c r="B3160" s="119" t="s">
        <v>4591</v>
      </c>
      <c r="C3160" s="266"/>
      <c r="D3160" s="124"/>
      <c r="E3160" s="125"/>
      <c r="F3160" s="118"/>
      <c r="G3160" s="126"/>
      <c r="H3160" s="253"/>
      <c r="I3160" s="89"/>
      <c r="J3160" s="304"/>
      <c r="K3160" s="304"/>
      <c r="L3160" s="90"/>
      <c r="M3160" s="76"/>
      <c r="Q3160" s="287"/>
    </row>
    <row r="3161" spans="1:17" s="83" customFormat="1" ht="13.5" hidden="1" outlineLevel="2">
      <c r="A3161" s="264"/>
      <c r="B3161" s="119" t="s">
        <v>272</v>
      </c>
      <c r="C3161" s="266" t="s">
        <v>4592</v>
      </c>
      <c r="D3161" s="124" t="s">
        <v>4593</v>
      </c>
      <c r="E3161" s="125"/>
      <c r="F3161" s="118" t="s">
        <v>4396</v>
      </c>
      <c r="G3161" s="126" t="str">
        <f t="shared" ref="G3161:G3192" si="195">CONCATENATE("AR-",F3161,"-",H3161)</f>
        <v>AR-SDV-3</v>
      </c>
      <c r="H3161" s="253">
        <v>3</v>
      </c>
      <c r="I3161" s="76"/>
      <c r="J3161" s="299"/>
      <c r="K3161" s="299"/>
      <c r="L3161" s="84">
        <v>1</v>
      </c>
      <c r="M3161" s="76">
        <v>1</v>
      </c>
      <c r="Q3161" s="86"/>
    </row>
    <row r="3162" spans="1:17" s="83" customFormat="1" ht="13.5" hidden="1" outlineLevel="2">
      <c r="A3162" s="264"/>
      <c r="B3162" s="119" t="s">
        <v>272</v>
      </c>
      <c r="C3162" s="266" t="s">
        <v>4594</v>
      </c>
      <c r="D3162" s="124" t="s">
        <v>4595</v>
      </c>
      <c r="E3162" s="125"/>
      <c r="F3162" s="118" t="s">
        <v>4396</v>
      </c>
      <c r="G3162" s="126" t="str">
        <f t="shared" si="195"/>
        <v>AR-SDV-3</v>
      </c>
      <c r="H3162" s="253">
        <v>3</v>
      </c>
      <c r="I3162" s="76">
        <v>1</v>
      </c>
      <c r="J3162" s="299" t="s">
        <v>286</v>
      </c>
      <c r="K3162" s="299"/>
      <c r="L3162" s="86"/>
      <c r="M3162" s="76"/>
      <c r="Q3162" s="86"/>
    </row>
    <row r="3163" spans="1:17" s="83" customFormat="1" ht="13.5" hidden="1" outlineLevel="2">
      <c r="A3163" s="264"/>
      <c r="B3163" s="119" t="s">
        <v>272</v>
      </c>
      <c r="C3163" s="266" t="s">
        <v>1273</v>
      </c>
      <c r="D3163" s="124" t="s">
        <v>4596</v>
      </c>
      <c r="E3163" s="125"/>
      <c r="F3163" s="118" t="s">
        <v>4396</v>
      </c>
      <c r="G3163" s="126" t="str">
        <f t="shared" si="195"/>
        <v>AR-SDV-3</v>
      </c>
      <c r="H3163" s="253">
        <v>3</v>
      </c>
      <c r="I3163" s="76"/>
      <c r="J3163" s="299"/>
      <c r="K3163" s="299"/>
      <c r="L3163" s="84">
        <v>1</v>
      </c>
      <c r="M3163" s="76">
        <v>1</v>
      </c>
      <c r="Q3163" s="86"/>
    </row>
    <row r="3164" spans="1:17" s="83" customFormat="1" ht="13.5" hidden="1" outlineLevel="2">
      <c r="A3164" s="264"/>
      <c r="B3164" s="119" t="s">
        <v>272</v>
      </c>
      <c r="C3164" s="266" t="s">
        <v>4597</v>
      </c>
      <c r="D3164" s="124" t="s">
        <v>4598</v>
      </c>
      <c r="E3164" s="125"/>
      <c r="F3164" s="118" t="s">
        <v>4396</v>
      </c>
      <c r="G3164" s="126" t="str">
        <f t="shared" si="195"/>
        <v>AR-SDV-3</v>
      </c>
      <c r="H3164" s="253">
        <v>3</v>
      </c>
      <c r="I3164" s="76"/>
      <c r="J3164" s="299"/>
      <c r="K3164" s="299"/>
      <c r="L3164" s="84">
        <v>1</v>
      </c>
      <c r="M3164" s="76">
        <v>1</v>
      </c>
      <c r="Q3164" s="86"/>
    </row>
    <row r="3165" spans="1:17" s="83" customFormat="1" ht="13.5" hidden="1" outlineLevel="2">
      <c r="A3165" s="264"/>
      <c r="B3165" s="119" t="s">
        <v>272</v>
      </c>
      <c r="C3165" s="266" t="s">
        <v>4597</v>
      </c>
      <c r="D3165" s="124" t="s">
        <v>4599</v>
      </c>
      <c r="E3165" s="125"/>
      <c r="F3165" s="118" t="s">
        <v>4396</v>
      </c>
      <c r="G3165" s="126" t="str">
        <f t="shared" si="195"/>
        <v>AR-SDV-3</v>
      </c>
      <c r="H3165" s="253">
        <v>3</v>
      </c>
      <c r="I3165" s="76"/>
      <c r="J3165" s="299"/>
      <c r="K3165" s="299"/>
      <c r="L3165" s="84">
        <v>1</v>
      </c>
      <c r="M3165" s="76">
        <v>1</v>
      </c>
      <c r="Q3165" s="86"/>
    </row>
    <row r="3166" spans="1:17" s="83" customFormat="1" ht="13.5" hidden="1" outlineLevel="2">
      <c r="A3166" s="264"/>
      <c r="B3166" s="119" t="s">
        <v>272</v>
      </c>
      <c r="C3166" s="266" t="s">
        <v>1276</v>
      </c>
      <c r="D3166" s="124" t="s">
        <v>4600</v>
      </c>
      <c r="E3166" s="125"/>
      <c r="F3166" s="118" t="s">
        <v>4396</v>
      </c>
      <c r="G3166" s="126" t="str">
        <f t="shared" si="195"/>
        <v>AR-SDV-3</v>
      </c>
      <c r="H3166" s="253">
        <v>3</v>
      </c>
      <c r="I3166" s="76"/>
      <c r="J3166" s="299"/>
      <c r="K3166" s="299"/>
      <c r="L3166" s="84">
        <v>1</v>
      </c>
      <c r="M3166" s="76">
        <v>1</v>
      </c>
      <c r="Q3166" s="86"/>
    </row>
    <row r="3167" spans="1:17" s="83" customFormat="1" ht="13.5" hidden="1" outlineLevel="2">
      <c r="A3167" s="264"/>
      <c r="B3167" s="119" t="s">
        <v>272</v>
      </c>
      <c r="C3167" s="266" t="s">
        <v>2148</v>
      </c>
      <c r="D3167" s="124" t="s">
        <v>4601</v>
      </c>
      <c r="E3167" s="125"/>
      <c r="F3167" s="118" t="s">
        <v>4396</v>
      </c>
      <c r="G3167" s="126" t="str">
        <f t="shared" si="195"/>
        <v>AR-SDV-3</v>
      </c>
      <c r="H3167" s="253">
        <v>3</v>
      </c>
      <c r="I3167" s="76"/>
      <c r="J3167" s="299"/>
      <c r="K3167" s="299"/>
      <c r="L3167" s="84">
        <v>1</v>
      </c>
      <c r="M3167" s="76">
        <v>1</v>
      </c>
      <c r="Q3167" s="86"/>
    </row>
    <row r="3168" spans="1:17" s="83" customFormat="1" ht="13.5" hidden="1" outlineLevel="2">
      <c r="A3168" s="264"/>
      <c r="B3168" s="119" t="s">
        <v>272</v>
      </c>
      <c r="C3168" s="266" t="s">
        <v>1278</v>
      </c>
      <c r="D3168" s="124" t="s">
        <v>4602</v>
      </c>
      <c r="E3168" s="125"/>
      <c r="F3168" s="118" t="s">
        <v>4396</v>
      </c>
      <c r="G3168" s="126" t="str">
        <f t="shared" si="195"/>
        <v>AR-SDV-3</v>
      </c>
      <c r="H3168" s="253">
        <v>3</v>
      </c>
      <c r="I3168" s="76"/>
      <c r="J3168" s="299"/>
      <c r="K3168" s="299"/>
      <c r="L3168" s="84">
        <v>1</v>
      </c>
      <c r="M3168" s="76">
        <v>1</v>
      </c>
      <c r="Q3168" s="86"/>
    </row>
    <row r="3169" spans="1:17" s="83" customFormat="1" ht="13.5" hidden="1" outlineLevel="2">
      <c r="A3169" s="264"/>
      <c r="B3169" s="119" t="s">
        <v>272</v>
      </c>
      <c r="C3169" s="266" t="s">
        <v>2152</v>
      </c>
      <c r="D3169" s="124" t="s">
        <v>4603</v>
      </c>
      <c r="E3169" s="125"/>
      <c r="F3169" s="118" t="s">
        <v>4396</v>
      </c>
      <c r="G3169" s="126" t="str">
        <f t="shared" si="195"/>
        <v>AR-SDV-3</v>
      </c>
      <c r="H3169" s="253">
        <v>3</v>
      </c>
      <c r="I3169" s="76"/>
      <c r="J3169" s="299"/>
      <c r="K3169" s="299"/>
      <c r="L3169" s="84">
        <v>1</v>
      </c>
      <c r="M3169" s="76">
        <v>1</v>
      </c>
      <c r="Q3169" s="86"/>
    </row>
    <row r="3170" spans="1:17" s="83" customFormat="1" ht="13.5" hidden="1" outlineLevel="2">
      <c r="A3170" s="264"/>
      <c r="B3170" s="119" t="s">
        <v>272</v>
      </c>
      <c r="C3170" s="266" t="s">
        <v>4604</v>
      </c>
      <c r="D3170" s="124" t="s">
        <v>4605</v>
      </c>
      <c r="E3170" s="125"/>
      <c r="F3170" s="118" t="s">
        <v>4396</v>
      </c>
      <c r="G3170" s="126" t="str">
        <f t="shared" si="195"/>
        <v>AR-SDV-3</v>
      </c>
      <c r="H3170" s="253">
        <v>3</v>
      </c>
      <c r="I3170" s="76"/>
      <c r="J3170" s="299"/>
      <c r="K3170" s="299"/>
      <c r="L3170" s="84">
        <v>1</v>
      </c>
      <c r="M3170" s="76">
        <v>1</v>
      </c>
      <c r="Q3170" s="86"/>
    </row>
    <row r="3171" spans="1:17" s="83" customFormat="1" ht="13.5" hidden="1" outlineLevel="2">
      <c r="A3171" s="264"/>
      <c r="B3171" s="119" t="s">
        <v>272</v>
      </c>
      <c r="C3171" s="266">
        <v>1401</v>
      </c>
      <c r="D3171" s="124" t="s">
        <v>4606</v>
      </c>
      <c r="E3171" s="125"/>
      <c r="F3171" s="118" t="s">
        <v>4396</v>
      </c>
      <c r="G3171" s="126" t="str">
        <f t="shared" si="195"/>
        <v>AR-SDV-3</v>
      </c>
      <c r="H3171" s="253">
        <v>3</v>
      </c>
      <c r="I3171" s="76"/>
      <c r="J3171" s="299"/>
      <c r="K3171" s="299"/>
      <c r="L3171" s="84">
        <v>1</v>
      </c>
      <c r="M3171" s="76">
        <v>1</v>
      </c>
      <c r="Q3171" s="86"/>
    </row>
    <row r="3172" spans="1:17" s="83" customFormat="1" ht="13.5" hidden="1" outlineLevel="2">
      <c r="A3172" s="264"/>
      <c r="B3172" s="119" t="s">
        <v>272</v>
      </c>
      <c r="C3172" s="266">
        <v>1402</v>
      </c>
      <c r="D3172" s="124" t="s">
        <v>4607</v>
      </c>
      <c r="E3172" s="125"/>
      <c r="F3172" s="118" t="s">
        <v>4396</v>
      </c>
      <c r="G3172" s="126" t="str">
        <f t="shared" si="195"/>
        <v>AR-SDV-3</v>
      </c>
      <c r="H3172" s="253">
        <v>3</v>
      </c>
      <c r="I3172" s="76"/>
      <c r="J3172" s="299"/>
      <c r="K3172" s="299"/>
      <c r="L3172" s="84">
        <v>1</v>
      </c>
      <c r="M3172" s="76">
        <v>1</v>
      </c>
      <c r="Q3172" s="86"/>
    </row>
    <row r="3173" spans="1:17" s="83" customFormat="1" ht="13.5" hidden="1" outlineLevel="2">
      <c r="A3173" s="264"/>
      <c r="B3173" s="119" t="s">
        <v>272</v>
      </c>
      <c r="C3173" s="266">
        <v>1403</v>
      </c>
      <c r="D3173" s="124" t="s">
        <v>4608</v>
      </c>
      <c r="E3173" s="125"/>
      <c r="F3173" s="118" t="s">
        <v>4396</v>
      </c>
      <c r="G3173" s="126" t="str">
        <f t="shared" si="195"/>
        <v>AR-SDV-3</v>
      </c>
      <c r="H3173" s="253">
        <v>3</v>
      </c>
      <c r="I3173" s="76"/>
      <c r="J3173" s="299"/>
      <c r="K3173" s="299"/>
      <c r="L3173" s="84">
        <v>1</v>
      </c>
      <c r="M3173" s="76">
        <v>1</v>
      </c>
      <c r="Q3173" s="86"/>
    </row>
    <row r="3174" spans="1:17" s="83" customFormat="1" ht="13.5" hidden="1" outlineLevel="2">
      <c r="A3174" s="264"/>
      <c r="B3174" s="119" t="s">
        <v>272</v>
      </c>
      <c r="C3174" s="266">
        <v>1404</v>
      </c>
      <c r="D3174" s="124" t="s">
        <v>4609</v>
      </c>
      <c r="E3174" s="125"/>
      <c r="F3174" s="118" t="s">
        <v>4396</v>
      </c>
      <c r="G3174" s="126" t="str">
        <f t="shared" si="195"/>
        <v>AR-SDV-3</v>
      </c>
      <c r="H3174" s="253">
        <v>3</v>
      </c>
      <c r="I3174" s="76"/>
      <c r="J3174" s="299"/>
      <c r="K3174" s="299"/>
      <c r="L3174" s="84">
        <v>1</v>
      </c>
      <c r="M3174" s="76">
        <v>1</v>
      </c>
      <c r="Q3174" s="86"/>
    </row>
    <row r="3175" spans="1:17" s="83" customFormat="1" ht="13.5" hidden="1" outlineLevel="2">
      <c r="A3175" s="264"/>
      <c r="B3175" s="119" t="s">
        <v>272</v>
      </c>
      <c r="C3175" s="266" t="s">
        <v>1282</v>
      </c>
      <c r="D3175" s="124" t="s">
        <v>4610</v>
      </c>
      <c r="E3175" s="125"/>
      <c r="F3175" s="118" t="s">
        <v>4396</v>
      </c>
      <c r="G3175" s="126" t="str">
        <f t="shared" si="195"/>
        <v>AR-SDV-3</v>
      </c>
      <c r="H3175" s="253">
        <v>3</v>
      </c>
      <c r="I3175" s="76"/>
      <c r="J3175" s="299"/>
      <c r="K3175" s="299"/>
      <c r="L3175" s="84">
        <v>1</v>
      </c>
      <c r="M3175" s="76">
        <v>1</v>
      </c>
      <c r="Q3175" s="86"/>
    </row>
    <row r="3176" spans="1:17" s="83" customFormat="1" ht="13.5" hidden="1" outlineLevel="2">
      <c r="A3176" s="264"/>
      <c r="B3176" s="119" t="s">
        <v>272</v>
      </c>
      <c r="C3176" s="266" t="s">
        <v>4611</v>
      </c>
      <c r="D3176" s="124" t="s">
        <v>4612</v>
      </c>
      <c r="E3176" s="125"/>
      <c r="F3176" s="118" t="s">
        <v>4396</v>
      </c>
      <c r="G3176" s="126" t="str">
        <f t="shared" si="195"/>
        <v>AR-SDV-3</v>
      </c>
      <c r="H3176" s="253">
        <v>3</v>
      </c>
      <c r="I3176" s="76"/>
      <c r="J3176" s="299"/>
      <c r="K3176" s="299"/>
      <c r="L3176" s="84">
        <v>1</v>
      </c>
      <c r="M3176" s="76">
        <v>1</v>
      </c>
      <c r="Q3176" s="86"/>
    </row>
    <row r="3177" spans="1:17" s="83" customFormat="1" ht="13.5" hidden="1" outlineLevel="2">
      <c r="A3177" s="264"/>
      <c r="B3177" s="119" t="s">
        <v>272</v>
      </c>
      <c r="C3177" s="266" t="s">
        <v>4611</v>
      </c>
      <c r="D3177" s="124" t="s">
        <v>4612</v>
      </c>
      <c r="E3177" s="125"/>
      <c r="F3177" s="118" t="s">
        <v>4396</v>
      </c>
      <c r="G3177" s="126" t="str">
        <f t="shared" si="195"/>
        <v>AR-SDV-3</v>
      </c>
      <c r="H3177" s="253">
        <v>3</v>
      </c>
      <c r="I3177" s="76"/>
      <c r="J3177" s="299"/>
      <c r="K3177" s="299"/>
      <c r="L3177" s="84">
        <v>1</v>
      </c>
      <c r="M3177" s="76">
        <v>1</v>
      </c>
      <c r="Q3177" s="86"/>
    </row>
    <row r="3178" spans="1:17" s="83" customFormat="1" ht="13.5" hidden="1" outlineLevel="2">
      <c r="A3178" s="264"/>
      <c r="B3178" s="119" t="s">
        <v>272</v>
      </c>
      <c r="C3178" s="266" t="s">
        <v>4613</v>
      </c>
      <c r="D3178" s="124" t="s">
        <v>4614</v>
      </c>
      <c r="E3178" s="125"/>
      <c r="F3178" s="118" t="s">
        <v>4396</v>
      </c>
      <c r="G3178" s="126" t="str">
        <f t="shared" si="195"/>
        <v>AR-SDV-3</v>
      </c>
      <c r="H3178" s="253">
        <v>3</v>
      </c>
      <c r="I3178" s="76"/>
      <c r="J3178" s="299"/>
      <c r="K3178" s="299"/>
      <c r="L3178" s="84">
        <v>1</v>
      </c>
      <c r="M3178" s="76">
        <v>1</v>
      </c>
      <c r="Q3178" s="86"/>
    </row>
    <row r="3179" spans="1:17" s="83" customFormat="1" ht="13.5" hidden="1" outlineLevel="2">
      <c r="A3179" s="264"/>
      <c r="B3179" s="119" t="s">
        <v>272</v>
      </c>
      <c r="C3179" s="266" t="s">
        <v>4615</v>
      </c>
      <c r="D3179" s="124" t="s">
        <v>4614</v>
      </c>
      <c r="E3179" s="125"/>
      <c r="F3179" s="118" t="s">
        <v>4396</v>
      </c>
      <c r="G3179" s="126" t="str">
        <f t="shared" si="195"/>
        <v>AR-SDV-3</v>
      </c>
      <c r="H3179" s="253">
        <v>3</v>
      </c>
      <c r="I3179" s="76"/>
      <c r="J3179" s="299"/>
      <c r="K3179" s="299"/>
      <c r="L3179" s="84">
        <v>1</v>
      </c>
      <c r="M3179" s="76">
        <v>1</v>
      </c>
      <c r="Q3179" s="86"/>
    </row>
    <row r="3180" spans="1:17" s="83" customFormat="1" ht="13.5" hidden="1" outlineLevel="2">
      <c r="A3180" s="264"/>
      <c r="B3180" s="119" t="s">
        <v>272</v>
      </c>
      <c r="C3180" s="266">
        <v>4401</v>
      </c>
      <c r="D3180" s="124" t="s">
        <v>4616</v>
      </c>
      <c r="E3180" s="125"/>
      <c r="F3180" s="118" t="s">
        <v>4396</v>
      </c>
      <c r="G3180" s="126" t="str">
        <f t="shared" si="195"/>
        <v>AR-SDV-3</v>
      </c>
      <c r="H3180" s="253">
        <v>3</v>
      </c>
      <c r="I3180" s="76"/>
      <c r="J3180" s="299"/>
      <c r="K3180" s="299"/>
      <c r="L3180" s="84">
        <v>1</v>
      </c>
      <c r="M3180" s="76">
        <v>1</v>
      </c>
      <c r="Q3180" s="86"/>
    </row>
    <row r="3181" spans="1:17" s="83" customFormat="1" ht="13.5" hidden="1" outlineLevel="2">
      <c r="A3181" s="264"/>
      <c r="B3181" s="119" t="s">
        <v>272</v>
      </c>
      <c r="C3181" s="266">
        <v>4402</v>
      </c>
      <c r="D3181" s="124" t="s">
        <v>4617</v>
      </c>
      <c r="E3181" s="125"/>
      <c r="F3181" s="118" t="s">
        <v>4396</v>
      </c>
      <c r="G3181" s="126" t="str">
        <f t="shared" si="195"/>
        <v>AR-SDV-3</v>
      </c>
      <c r="H3181" s="253">
        <v>3</v>
      </c>
      <c r="I3181" s="76"/>
      <c r="J3181" s="299"/>
      <c r="K3181" s="299"/>
      <c r="L3181" s="84">
        <v>1</v>
      </c>
      <c r="M3181" s="76">
        <v>1</v>
      </c>
      <c r="Q3181" s="86"/>
    </row>
    <row r="3182" spans="1:17" s="83" customFormat="1" ht="13.5" hidden="1" outlineLevel="2">
      <c r="A3182" s="264"/>
      <c r="B3182" s="119" t="s">
        <v>272</v>
      </c>
      <c r="C3182" s="266">
        <v>4408</v>
      </c>
      <c r="D3182" s="124" t="s">
        <v>4618</v>
      </c>
      <c r="E3182" s="125"/>
      <c r="F3182" s="118" t="s">
        <v>4396</v>
      </c>
      <c r="G3182" s="126" t="str">
        <f t="shared" si="195"/>
        <v>AR-SDV-3</v>
      </c>
      <c r="H3182" s="253">
        <v>3</v>
      </c>
      <c r="I3182" s="76"/>
      <c r="J3182" s="299"/>
      <c r="K3182" s="299"/>
      <c r="L3182" s="84">
        <v>1</v>
      </c>
      <c r="M3182" s="76">
        <v>1</v>
      </c>
      <c r="Q3182" s="86"/>
    </row>
    <row r="3183" spans="1:17" s="83" customFormat="1" ht="13.5" hidden="1" outlineLevel="2">
      <c r="A3183" s="264"/>
      <c r="B3183" s="119" t="s">
        <v>272</v>
      </c>
      <c r="C3183" s="266">
        <v>4601</v>
      </c>
      <c r="D3183" s="124" t="s">
        <v>4619</v>
      </c>
      <c r="E3183" s="125"/>
      <c r="F3183" s="118" t="s">
        <v>4396</v>
      </c>
      <c r="G3183" s="126" t="str">
        <f t="shared" si="195"/>
        <v>AR-SDV-3</v>
      </c>
      <c r="H3183" s="253">
        <v>3</v>
      </c>
      <c r="I3183" s="76"/>
      <c r="J3183" s="299"/>
      <c r="K3183" s="299"/>
      <c r="L3183" s="84">
        <v>1</v>
      </c>
      <c r="M3183" s="76">
        <v>1</v>
      </c>
      <c r="Q3183" s="86"/>
    </row>
    <row r="3184" spans="1:17" s="83" customFormat="1" ht="13.5" hidden="1" outlineLevel="2">
      <c r="A3184" s="264"/>
      <c r="B3184" s="119" t="s">
        <v>272</v>
      </c>
      <c r="C3184" s="266" t="s">
        <v>1293</v>
      </c>
      <c r="D3184" s="124" t="s">
        <v>1294</v>
      </c>
      <c r="E3184" s="125"/>
      <c r="F3184" s="118" t="s">
        <v>4396</v>
      </c>
      <c r="G3184" s="126" t="str">
        <f t="shared" si="195"/>
        <v>AR-SDV-3</v>
      </c>
      <c r="H3184" s="253">
        <v>3</v>
      </c>
      <c r="I3184" s="76"/>
      <c r="J3184" s="299"/>
      <c r="K3184" s="299"/>
      <c r="L3184" s="84">
        <v>1</v>
      </c>
      <c r="M3184" s="76">
        <v>1</v>
      </c>
      <c r="Q3184" s="86"/>
    </row>
    <row r="3185" spans="1:21" s="83" customFormat="1" ht="13.5" hidden="1" outlineLevel="2">
      <c r="A3185" s="264"/>
      <c r="B3185" s="119" t="s">
        <v>272</v>
      </c>
      <c r="C3185" s="266" t="s">
        <v>1295</v>
      </c>
      <c r="D3185" s="124" t="s">
        <v>1296</v>
      </c>
      <c r="E3185" s="125"/>
      <c r="F3185" s="118" t="s">
        <v>4396</v>
      </c>
      <c r="G3185" s="126" t="str">
        <f t="shared" si="195"/>
        <v>AR-SDV-3</v>
      </c>
      <c r="H3185" s="253">
        <v>3</v>
      </c>
      <c r="I3185" s="76"/>
      <c r="J3185" s="299"/>
      <c r="K3185" s="299"/>
      <c r="L3185" s="84">
        <v>1</v>
      </c>
      <c r="M3185" s="76">
        <v>1</v>
      </c>
      <c r="Q3185" s="86"/>
    </row>
    <row r="3186" spans="1:21" s="83" customFormat="1" ht="13.5" hidden="1" outlineLevel="2">
      <c r="A3186" s="264"/>
      <c r="B3186" s="119" t="s">
        <v>272</v>
      </c>
      <c r="C3186" s="266" t="s">
        <v>1297</v>
      </c>
      <c r="D3186" s="124" t="s">
        <v>1298</v>
      </c>
      <c r="E3186" s="125"/>
      <c r="F3186" s="118" t="s">
        <v>4396</v>
      </c>
      <c r="G3186" s="126" t="str">
        <f t="shared" si="195"/>
        <v>AR-SDV-3</v>
      </c>
      <c r="H3186" s="253">
        <v>3</v>
      </c>
      <c r="I3186" s="76"/>
      <c r="J3186" s="299"/>
      <c r="K3186" s="299"/>
      <c r="L3186" s="84">
        <v>1</v>
      </c>
      <c r="M3186" s="76">
        <v>1</v>
      </c>
      <c r="Q3186" s="86"/>
    </row>
    <row r="3187" spans="1:21" s="83" customFormat="1" ht="13.5" hidden="1" outlineLevel="2">
      <c r="A3187" s="264"/>
      <c r="B3187" s="119" t="s">
        <v>272</v>
      </c>
      <c r="C3187" s="266" t="s">
        <v>1299</v>
      </c>
      <c r="D3187" s="124" t="s">
        <v>1300</v>
      </c>
      <c r="E3187" s="125"/>
      <c r="F3187" s="118" t="s">
        <v>4396</v>
      </c>
      <c r="G3187" s="126" t="str">
        <f t="shared" si="195"/>
        <v>AR-SDV-3</v>
      </c>
      <c r="H3187" s="253">
        <v>3</v>
      </c>
      <c r="I3187" s="76"/>
      <c r="J3187" s="299"/>
      <c r="K3187" s="299"/>
      <c r="L3187" s="84">
        <v>1</v>
      </c>
      <c r="M3187" s="76">
        <v>1</v>
      </c>
      <c r="Q3187" s="86"/>
    </row>
    <row r="3188" spans="1:21" s="83" customFormat="1" ht="13.5" hidden="1" outlineLevel="2">
      <c r="A3188" s="264"/>
      <c r="B3188" s="119" t="s">
        <v>272</v>
      </c>
      <c r="C3188" s="266">
        <v>6601</v>
      </c>
      <c r="D3188" s="124" t="s">
        <v>4620</v>
      </c>
      <c r="E3188" s="125"/>
      <c r="F3188" s="118" t="s">
        <v>4396</v>
      </c>
      <c r="G3188" s="126" t="str">
        <f t="shared" si="195"/>
        <v>AR-SDV-3</v>
      </c>
      <c r="H3188" s="253">
        <v>3</v>
      </c>
      <c r="I3188" s="76"/>
      <c r="J3188" s="299"/>
      <c r="K3188" s="299"/>
      <c r="L3188" s="84">
        <v>1</v>
      </c>
      <c r="M3188" s="76">
        <v>1</v>
      </c>
      <c r="Q3188" s="86"/>
    </row>
    <row r="3189" spans="1:21" s="83" customFormat="1" ht="13.5" hidden="1" outlineLevel="2">
      <c r="A3189" s="264"/>
      <c r="B3189" s="119" t="s">
        <v>272</v>
      </c>
      <c r="C3189" s="266">
        <v>6602</v>
      </c>
      <c r="D3189" s="124" t="s">
        <v>4621</v>
      </c>
      <c r="E3189" s="125"/>
      <c r="F3189" s="118" t="s">
        <v>4396</v>
      </c>
      <c r="G3189" s="126" t="str">
        <f t="shared" si="195"/>
        <v>AR-SDV-3</v>
      </c>
      <c r="H3189" s="253">
        <v>3</v>
      </c>
      <c r="I3189" s="76"/>
      <c r="J3189" s="299"/>
      <c r="K3189" s="299"/>
      <c r="L3189" s="84">
        <v>1</v>
      </c>
      <c r="M3189" s="76">
        <v>1</v>
      </c>
      <c r="Q3189" s="86"/>
    </row>
    <row r="3190" spans="1:21" s="83" customFormat="1" ht="13.5" hidden="1" outlineLevel="2">
      <c r="A3190" s="264"/>
      <c r="B3190" s="119" t="s">
        <v>272</v>
      </c>
      <c r="C3190" s="266">
        <v>8101</v>
      </c>
      <c r="D3190" s="124" t="s">
        <v>4622</v>
      </c>
      <c r="E3190" s="125"/>
      <c r="F3190" s="118" t="s">
        <v>4396</v>
      </c>
      <c r="G3190" s="126" t="str">
        <f t="shared" si="195"/>
        <v>AR-SDV-3</v>
      </c>
      <c r="H3190" s="253">
        <v>3</v>
      </c>
      <c r="I3190" s="76"/>
      <c r="J3190" s="299"/>
      <c r="K3190" s="299"/>
      <c r="L3190" s="84">
        <v>1</v>
      </c>
      <c r="M3190" s="76">
        <v>1</v>
      </c>
      <c r="Q3190" s="86"/>
    </row>
    <row r="3191" spans="1:21" s="83" customFormat="1" ht="13.5" hidden="1" outlineLevel="2">
      <c r="A3191" s="264"/>
      <c r="B3191" s="119" t="s">
        <v>272</v>
      </c>
      <c r="C3191" s="266">
        <v>8101</v>
      </c>
      <c r="D3191" s="124" t="s">
        <v>4623</v>
      </c>
      <c r="E3191" s="125"/>
      <c r="F3191" s="118" t="s">
        <v>4396</v>
      </c>
      <c r="G3191" s="126" t="str">
        <f t="shared" si="195"/>
        <v>AR-SDV-3</v>
      </c>
      <c r="H3191" s="253">
        <v>3</v>
      </c>
      <c r="I3191" s="76"/>
      <c r="J3191" s="299"/>
      <c r="K3191" s="299"/>
      <c r="L3191" s="84">
        <v>1</v>
      </c>
      <c r="M3191" s="76">
        <v>1</v>
      </c>
      <c r="Q3191" s="86"/>
    </row>
    <row r="3192" spans="1:21" s="83" customFormat="1" ht="13.5" hidden="1" outlineLevel="2">
      <c r="A3192" s="264"/>
      <c r="B3192" s="119" t="s">
        <v>272</v>
      </c>
      <c r="C3192" s="266">
        <v>8201</v>
      </c>
      <c r="D3192" s="124" t="s">
        <v>4624</v>
      </c>
      <c r="E3192" s="125"/>
      <c r="F3192" s="118" t="s">
        <v>4396</v>
      </c>
      <c r="G3192" s="126" t="str">
        <f t="shared" si="195"/>
        <v>AR-SDV-3</v>
      </c>
      <c r="H3192" s="253">
        <v>3</v>
      </c>
      <c r="I3192" s="76"/>
      <c r="J3192" s="299"/>
      <c r="K3192" s="299"/>
      <c r="L3192" s="84">
        <v>1</v>
      </c>
      <c r="M3192" s="76">
        <v>1</v>
      </c>
      <c r="Q3192" s="86"/>
    </row>
    <row r="3193" spans="1:21" s="83" customFormat="1" ht="3" hidden="1" customHeight="1" outlineLevel="1">
      <c r="A3193" s="264"/>
      <c r="B3193" s="119"/>
      <c r="C3193" s="266"/>
      <c r="D3193" s="124" t="s">
        <v>299</v>
      </c>
      <c r="E3193" s="125"/>
      <c r="F3193" s="118"/>
      <c r="G3193" s="126"/>
      <c r="H3193" s="253"/>
      <c r="I3193" s="76"/>
      <c r="J3193" s="299"/>
      <c r="K3193" s="299"/>
      <c r="L3193" s="84"/>
      <c r="M3193" s="76"/>
      <c r="Q3193" s="86"/>
    </row>
    <row r="3194" spans="1:21" s="83" customFormat="1" ht="3" hidden="1" customHeight="1">
      <c r="A3194" s="265"/>
      <c r="B3194" s="119"/>
      <c r="C3194" s="266"/>
      <c r="D3194" s="124" t="s">
        <v>299</v>
      </c>
      <c r="E3194" s="125"/>
      <c r="F3194" s="118"/>
      <c r="G3194" s="126"/>
      <c r="H3194" s="253"/>
      <c r="I3194" s="76"/>
      <c r="J3194" s="299"/>
      <c r="K3194" s="299"/>
      <c r="L3194" s="84"/>
      <c r="M3194" s="76"/>
      <c r="N3194" s="76"/>
      <c r="O3194" s="76"/>
      <c r="P3194" s="76"/>
      <c r="Q3194" s="84"/>
      <c r="R3194" s="76"/>
      <c r="S3194" s="76"/>
      <c r="T3194" s="76"/>
      <c r="U3194" s="76"/>
    </row>
    <row r="3195" spans="1:21" s="83" customFormat="1" ht="13.5" hidden="1" collapsed="1">
      <c r="A3195" s="72" t="s">
        <v>29</v>
      </c>
      <c r="B3195" s="85"/>
      <c r="C3195" s="269"/>
      <c r="D3195" s="85"/>
      <c r="E3195" s="390"/>
      <c r="F3195" s="73"/>
      <c r="G3195" s="73"/>
      <c r="H3195" s="74"/>
      <c r="I3195" s="76"/>
      <c r="J3195" s="299"/>
      <c r="K3195" s="299"/>
      <c r="L3195" s="75"/>
      <c r="M3195" s="75"/>
      <c r="N3195" s="75"/>
      <c r="O3195" s="75"/>
      <c r="P3195" s="75"/>
      <c r="Q3195" s="75"/>
      <c r="R3195" s="75"/>
      <c r="S3195" s="75"/>
      <c r="T3195" s="75"/>
      <c r="U3195" s="75"/>
    </row>
    <row r="3196" spans="1:21" s="83" customFormat="1" ht="13.5" hidden="1" outlineLevel="1">
      <c r="A3196" s="261"/>
      <c r="B3196" s="293" t="s">
        <v>4625</v>
      </c>
      <c r="C3196" s="266"/>
      <c r="D3196" s="124"/>
      <c r="E3196" s="125"/>
      <c r="F3196" s="118"/>
      <c r="G3196" s="126"/>
      <c r="H3196" s="253"/>
      <c r="I3196" s="76"/>
      <c r="J3196" s="299"/>
      <c r="K3196" s="299"/>
      <c r="L3196" s="84"/>
      <c r="M3196" s="76"/>
      <c r="N3196" s="76"/>
      <c r="O3196" s="76"/>
      <c r="P3196" s="76"/>
      <c r="Q3196" s="84"/>
      <c r="R3196" s="76"/>
      <c r="S3196" s="76"/>
      <c r="T3196" s="76"/>
      <c r="U3196" s="76"/>
    </row>
    <row r="3197" spans="1:21" s="83" customFormat="1" ht="3" hidden="1" customHeight="1" outlineLevel="2">
      <c r="A3197" s="265"/>
      <c r="B3197" s="119"/>
      <c r="C3197" s="266"/>
      <c r="D3197" s="124" t="s">
        <v>299</v>
      </c>
      <c r="E3197" s="125"/>
      <c r="F3197" s="118"/>
      <c r="G3197" s="126"/>
      <c r="H3197" s="253"/>
      <c r="I3197" s="76"/>
      <c r="J3197" s="299"/>
      <c r="K3197" s="299"/>
      <c r="L3197" s="84"/>
      <c r="M3197" s="76"/>
      <c r="N3197" s="76"/>
      <c r="O3197" s="76"/>
      <c r="P3197" s="76"/>
      <c r="Q3197" s="84"/>
      <c r="R3197" s="76"/>
      <c r="S3197" s="76"/>
      <c r="T3197" s="76"/>
      <c r="U3197" s="76"/>
    </row>
    <row r="3198" spans="1:21" s="83" customFormat="1" ht="13.5" hidden="1" outlineLevel="2">
      <c r="A3198" s="264"/>
      <c r="B3198" s="119" t="s">
        <v>272</v>
      </c>
      <c r="C3198" s="266" t="s">
        <v>4626</v>
      </c>
      <c r="D3198" s="124" t="s">
        <v>4627</v>
      </c>
      <c r="E3198" s="125"/>
      <c r="F3198" s="118" t="s">
        <v>4628</v>
      </c>
      <c r="G3198" s="126" t="str">
        <f>CONCATENATE("AR-",F3198,"-",H3198)</f>
        <v>AR-AMN-1</v>
      </c>
      <c r="H3198" s="253" t="s">
        <v>304</v>
      </c>
      <c r="I3198" s="76">
        <v>1</v>
      </c>
      <c r="J3198" s="299" t="s">
        <v>286</v>
      </c>
      <c r="K3198" s="299"/>
      <c r="L3198" s="84"/>
      <c r="M3198" s="76"/>
      <c r="N3198" s="76"/>
      <c r="O3198" s="76"/>
      <c r="P3198" s="76"/>
      <c r="Q3198" s="84"/>
      <c r="R3198" s="76"/>
      <c r="S3198" s="76"/>
      <c r="T3198" s="76"/>
      <c r="U3198" s="76"/>
    </row>
    <row r="3199" spans="1:21" s="83" customFormat="1" ht="13.5" hidden="1" outlineLevel="2">
      <c r="A3199" s="264"/>
      <c r="B3199" s="119" t="s">
        <v>272</v>
      </c>
      <c r="C3199" s="266" t="s">
        <v>4629</v>
      </c>
      <c r="D3199" s="124" t="s">
        <v>4630</v>
      </c>
      <c r="E3199" s="125"/>
      <c r="F3199" s="118" t="s">
        <v>4628</v>
      </c>
      <c r="G3199" s="126" t="str">
        <f>CONCATENATE("AR-",F3199,"-",H3199)</f>
        <v>AR-AMN-1</v>
      </c>
      <c r="H3199" s="253" t="s">
        <v>304</v>
      </c>
      <c r="I3199" s="76">
        <v>1</v>
      </c>
      <c r="J3199" s="299" t="s">
        <v>310</v>
      </c>
      <c r="K3199" s="299"/>
      <c r="L3199" s="84"/>
      <c r="M3199" s="76"/>
      <c r="N3199" s="76"/>
      <c r="O3199" s="76"/>
      <c r="P3199" s="76"/>
      <c r="Q3199" s="84"/>
      <c r="R3199" s="76"/>
      <c r="S3199" s="76"/>
      <c r="T3199" s="76"/>
      <c r="U3199" s="76"/>
    </row>
    <row r="3200" spans="1:21" s="83" customFormat="1" ht="13.5" hidden="1" outlineLevel="2">
      <c r="A3200" s="264"/>
      <c r="B3200" s="119" t="s">
        <v>272</v>
      </c>
      <c r="C3200" s="266" t="s">
        <v>4631</v>
      </c>
      <c r="D3200" s="124" t="s">
        <v>4632</v>
      </c>
      <c r="E3200" s="125"/>
      <c r="F3200" s="118" t="s">
        <v>4628</v>
      </c>
      <c r="G3200" s="126" t="str">
        <f t="shared" ref="G3200:G3206" si="196">CONCATENATE("AR-",F3200,"-",H3200)</f>
        <v>AR-AMN-1</v>
      </c>
      <c r="H3200" s="253" t="s">
        <v>304</v>
      </c>
      <c r="I3200" s="76">
        <v>1</v>
      </c>
      <c r="J3200" s="299" t="s">
        <v>307</v>
      </c>
      <c r="K3200" s="299"/>
      <c r="L3200" s="84"/>
      <c r="M3200" s="76"/>
      <c r="N3200" s="76"/>
      <c r="O3200" s="76"/>
      <c r="P3200" s="76"/>
      <c r="Q3200" s="84"/>
      <c r="R3200" s="76"/>
      <c r="S3200" s="76"/>
      <c r="T3200" s="76"/>
      <c r="U3200" s="76"/>
    </row>
    <row r="3201" spans="1:21" s="83" customFormat="1" ht="13.5" hidden="1" outlineLevel="2">
      <c r="A3201" s="264"/>
      <c r="B3201" s="119" t="s">
        <v>272</v>
      </c>
      <c r="C3201" s="266" t="s">
        <v>4633</v>
      </c>
      <c r="D3201" s="124" t="s">
        <v>4528</v>
      </c>
      <c r="E3201" s="125"/>
      <c r="F3201" s="118" t="s">
        <v>4628</v>
      </c>
      <c r="G3201" s="126" t="str">
        <f t="shared" si="196"/>
        <v>AR-AMN-1</v>
      </c>
      <c r="H3201" s="253" t="s">
        <v>304</v>
      </c>
      <c r="I3201" s="76">
        <v>1</v>
      </c>
      <c r="J3201" s="299" t="s">
        <v>307</v>
      </c>
      <c r="K3201" s="299"/>
      <c r="L3201" s="84"/>
      <c r="M3201" s="76"/>
      <c r="N3201" s="76"/>
      <c r="O3201" s="76"/>
      <c r="P3201" s="76"/>
      <c r="Q3201" s="84"/>
      <c r="R3201" s="76"/>
      <c r="S3201" s="76"/>
      <c r="T3201" s="76"/>
      <c r="U3201" s="76"/>
    </row>
    <row r="3202" spans="1:21" s="83" customFormat="1" ht="13.5" hidden="1" outlineLevel="2">
      <c r="A3202" s="264"/>
      <c r="B3202" s="119" t="s">
        <v>272</v>
      </c>
      <c r="C3202" s="266" t="s">
        <v>4634</v>
      </c>
      <c r="D3202" s="124" t="s">
        <v>345</v>
      </c>
      <c r="E3202" s="125"/>
      <c r="F3202" s="118" t="s">
        <v>4628</v>
      </c>
      <c r="G3202" s="126" t="str">
        <f t="shared" si="196"/>
        <v>AR-AMN-1</v>
      </c>
      <c r="H3202" s="253" t="s">
        <v>304</v>
      </c>
      <c r="I3202" s="76">
        <v>1</v>
      </c>
      <c r="J3202" s="299" t="s">
        <v>286</v>
      </c>
      <c r="K3202" s="299"/>
      <c r="L3202" s="84"/>
      <c r="M3202" s="76"/>
      <c r="N3202" s="76"/>
      <c r="O3202" s="76"/>
      <c r="P3202" s="76"/>
      <c r="Q3202" s="84"/>
      <c r="R3202" s="76"/>
      <c r="S3202" s="76"/>
      <c r="T3202" s="76"/>
      <c r="U3202" s="76"/>
    </row>
    <row r="3203" spans="1:21" s="83" customFormat="1" ht="13.5" hidden="1" outlineLevel="2">
      <c r="A3203" s="264"/>
      <c r="B3203" s="119" t="s">
        <v>272</v>
      </c>
      <c r="C3203" s="266" t="s">
        <v>4635</v>
      </c>
      <c r="D3203" s="124" t="s">
        <v>4636</v>
      </c>
      <c r="E3203" s="125"/>
      <c r="F3203" s="118" t="s">
        <v>4628</v>
      </c>
      <c r="G3203" s="126" t="str">
        <f t="shared" si="196"/>
        <v>AR-AMN-1</v>
      </c>
      <c r="H3203" s="253" t="s">
        <v>304</v>
      </c>
      <c r="I3203" s="76">
        <v>1</v>
      </c>
      <c r="J3203" s="299" t="s">
        <v>307</v>
      </c>
      <c r="K3203" s="299"/>
      <c r="L3203" s="86"/>
      <c r="Q3203" s="86"/>
    </row>
    <row r="3204" spans="1:21" s="83" customFormat="1" ht="13.5" hidden="1" outlineLevel="2">
      <c r="A3204" s="264"/>
      <c r="B3204" s="119" t="s">
        <v>272</v>
      </c>
      <c r="C3204" s="266" t="s">
        <v>4637</v>
      </c>
      <c r="D3204" s="124" t="s">
        <v>4638</v>
      </c>
      <c r="E3204" s="125"/>
      <c r="F3204" s="118" t="s">
        <v>4628</v>
      </c>
      <c r="G3204" s="126" t="str">
        <f t="shared" si="196"/>
        <v>AR-AMN-1</v>
      </c>
      <c r="H3204" s="253" t="s">
        <v>304</v>
      </c>
      <c r="I3204" s="76">
        <v>1</v>
      </c>
      <c r="J3204" s="299" t="s">
        <v>307</v>
      </c>
      <c r="K3204" s="299"/>
      <c r="L3204" s="86"/>
      <c r="Q3204" s="86"/>
    </row>
    <row r="3205" spans="1:21" s="83" customFormat="1" ht="13.5" hidden="1" outlineLevel="2">
      <c r="A3205" s="264"/>
      <c r="B3205" s="119" t="s">
        <v>272</v>
      </c>
      <c r="C3205" s="266" t="s">
        <v>4639</v>
      </c>
      <c r="D3205" s="124" t="s">
        <v>4640</v>
      </c>
      <c r="E3205" s="125"/>
      <c r="F3205" s="118" t="s">
        <v>4628</v>
      </c>
      <c r="G3205" s="126" t="str">
        <f t="shared" si="196"/>
        <v>AR-AMN-1</v>
      </c>
      <c r="H3205" s="253" t="s">
        <v>304</v>
      </c>
      <c r="I3205" s="76">
        <v>1</v>
      </c>
      <c r="J3205" s="299" t="s">
        <v>307</v>
      </c>
      <c r="K3205" s="299"/>
      <c r="L3205" s="86"/>
      <c r="Q3205" s="86"/>
    </row>
    <row r="3206" spans="1:21" s="83" customFormat="1" ht="13.5" hidden="1" outlineLevel="2">
      <c r="A3206" s="264"/>
      <c r="B3206" s="119" t="s">
        <v>272</v>
      </c>
      <c r="C3206" s="266" t="s">
        <v>4641</v>
      </c>
      <c r="D3206" s="124" t="s">
        <v>4642</v>
      </c>
      <c r="E3206" s="125"/>
      <c r="F3206" s="118" t="s">
        <v>4628</v>
      </c>
      <c r="G3206" s="126" t="str">
        <f t="shared" si="196"/>
        <v>AR-AMN-1</v>
      </c>
      <c r="H3206" s="253" t="s">
        <v>304</v>
      </c>
      <c r="I3206" s="76">
        <v>1</v>
      </c>
      <c r="J3206" s="299" t="s">
        <v>310</v>
      </c>
      <c r="K3206" s="299"/>
      <c r="L3206" s="86"/>
      <c r="Q3206" s="86"/>
    </row>
    <row r="3207" spans="1:21" s="83" customFormat="1" ht="13.5" hidden="1" outlineLevel="2">
      <c r="A3207" s="264"/>
      <c r="B3207" s="119" t="s">
        <v>272</v>
      </c>
      <c r="C3207" s="266" t="s">
        <v>4643</v>
      </c>
      <c r="D3207" s="124" t="s">
        <v>4644</v>
      </c>
      <c r="E3207" s="125"/>
      <c r="F3207" s="118" t="s">
        <v>4628</v>
      </c>
      <c r="G3207" s="126" t="str">
        <f t="shared" ref="G3207:G3213" si="197">CONCATENATE("AR-",F3207,"-",H3207)</f>
        <v>AR-AMN-1</v>
      </c>
      <c r="H3207" s="253" t="s">
        <v>304</v>
      </c>
      <c r="I3207" s="76">
        <v>1</v>
      </c>
      <c r="J3207" s="299" t="s">
        <v>310</v>
      </c>
      <c r="K3207" s="299"/>
      <c r="L3207" s="86"/>
      <c r="Q3207" s="86"/>
    </row>
    <row r="3208" spans="1:21" s="83" customFormat="1" ht="13.5" hidden="1" outlineLevel="2">
      <c r="A3208" s="264"/>
      <c r="B3208" s="119" t="s">
        <v>272</v>
      </c>
      <c r="C3208" s="266" t="s">
        <v>4645</v>
      </c>
      <c r="D3208" s="124" t="s">
        <v>4646</v>
      </c>
      <c r="E3208" s="125"/>
      <c r="F3208" s="118" t="s">
        <v>4628</v>
      </c>
      <c r="G3208" s="126" t="str">
        <f t="shared" si="197"/>
        <v>AR-AMN-1</v>
      </c>
      <c r="H3208" s="253" t="s">
        <v>304</v>
      </c>
      <c r="I3208" s="76">
        <v>1</v>
      </c>
      <c r="J3208" s="299" t="s">
        <v>307</v>
      </c>
      <c r="K3208" s="299"/>
      <c r="L3208" s="86"/>
      <c r="Q3208" s="86"/>
    </row>
    <row r="3209" spans="1:21" s="83" customFormat="1" ht="13.5" hidden="1" outlineLevel="2">
      <c r="A3209" s="264"/>
      <c r="B3209" s="119" t="s">
        <v>272</v>
      </c>
      <c r="C3209" s="266" t="s">
        <v>4647</v>
      </c>
      <c r="D3209" s="124" t="s">
        <v>4648</v>
      </c>
      <c r="E3209" s="125"/>
      <c r="F3209" s="118" t="s">
        <v>4628</v>
      </c>
      <c r="G3209" s="126" t="str">
        <f t="shared" si="197"/>
        <v>AR-AMN-1</v>
      </c>
      <c r="H3209" s="253" t="s">
        <v>304</v>
      </c>
      <c r="I3209" s="76">
        <v>1</v>
      </c>
      <c r="J3209" s="299" t="s">
        <v>310</v>
      </c>
      <c r="K3209" s="299"/>
      <c r="L3209" s="86"/>
      <c r="Q3209" s="86"/>
    </row>
    <row r="3210" spans="1:21" s="83" customFormat="1" ht="13.5" hidden="1" outlineLevel="2">
      <c r="A3210" s="264"/>
      <c r="B3210" s="119" t="s">
        <v>272</v>
      </c>
      <c r="C3210" s="266" t="s">
        <v>4649</v>
      </c>
      <c r="D3210" s="124" t="s">
        <v>4650</v>
      </c>
      <c r="E3210" s="125"/>
      <c r="F3210" s="118" t="s">
        <v>4628</v>
      </c>
      <c r="G3210" s="126" t="str">
        <f t="shared" si="197"/>
        <v>AR-AMN-1</v>
      </c>
      <c r="H3210" s="253" t="s">
        <v>304</v>
      </c>
      <c r="I3210" s="76">
        <v>1</v>
      </c>
      <c r="J3210" s="299" t="s">
        <v>310</v>
      </c>
      <c r="K3210" s="299"/>
      <c r="L3210" s="86"/>
      <c r="Q3210" s="86"/>
    </row>
    <row r="3211" spans="1:21" s="83" customFormat="1" ht="13.5" hidden="1" outlineLevel="2">
      <c r="A3211" s="264"/>
      <c r="B3211" s="119" t="s">
        <v>272</v>
      </c>
      <c r="C3211" s="266" t="s">
        <v>4651</v>
      </c>
      <c r="D3211" s="124" t="s">
        <v>4652</v>
      </c>
      <c r="E3211" s="125"/>
      <c r="F3211" s="118" t="s">
        <v>4628</v>
      </c>
      <c r="G3211" s="126" t="str">
        <f t="shared" si="197"/>
        <v>AR-AMN-1</v>
      </c>
      <c r="H3211" s="253" t="s">
        <v>304</v>
      </c>
      <c r="I3211" s="76">
        <v>1</v>
      </c>
      <c r="J3211" s="299" t="s">
        <v>310</v>
      </c>
      <c r="K3211" s="299"/>
      <c r="L3211" s="86"/>
      <c r="Q3211" s="86"/>
    </row>
    <row r="3212" spans="1:21" s="83" customFormat="1" ht="13.5" hidden="1" outlineLevel="2">
      <c r="A3212" s="264"/>
      <c r="B3212" s="119" t="s">
        <v>272</v>
      </c>
      <c r="C3212" s="266" t="s">
        <v>4653</v>
      </c>
      <c r="D3212" s="124" t="s">
        <v>4654</v>
      </c>
      <c r="E3212" s="125"/>
      <c r="F3212" s="118" t="s">
        <v>4628</v>
      </c>
      <c r="G3212" s="126" t="str">
        <f t="shared" si="197"/>
        <v>AR-AMN-1</v>
      </c>
      <c r="H3212" s="253" t="s">
        <v>304</v>
      </c>
      <c r="I3212" s="76">
        <v>1</v>
      </c>
      <c r="J3212" s="299" t="s">
        <v>310</v>
      </c>
      <c r="K3212" s="299"/>
      <c r="L3212" s="86"/>
      <c r="Q3212" s="86"/>
    </row>
    <row r="3213" spans="1:21" s="83" customFormat="1" ht="13.5" hidden="1" outlineLevel="2">
      <c r="A3213" s="264"/>
      <c r="B3213" s="119" t="s">
        <v>272</v>
      </c>
      <c r="C3213" s="266" t="s">
        <v>4655</v>
      </c>
      <c r="D3213" s="124" t="s">
        <v>4654</v>
      </c>
      <c r="E3213" s="125"/>
      <c r="F3213" s="118" t="s">
        <v>4628</v>
      </c>
      <c r="G3213" s="126" t="str">
        <f t="shared" si="197"/>
        <v>AR-AMN-1</v>
      </c>
      <c r="H3213" s="253" t="s">
        <v>304</v>
      </c>
      <c r="I3213" s="76">
        <v>1</v>
      </c>
      <c r="J3213" s="299" t="s">
        <v>286</v>
      </c>
      <c r="K3213" s="299"/>
      <c r="L3213" s="86"/>
      <c r="Q3213" s="86"/>
    </row>
    <row r="3214" spans="1:21" s="83" customFormat="1" ht="13.5" hidden="1" outlineLevel="2">
      <c r="A3214" s="264"/>
      <c r="B3214" s="119" t="s">
        <v>272</v>
      </c>
      <c r="C3214" s="266" t="s">
        <v>4656</v>
      </c>
      <c r="D3214" s="124" t="s">
        <v>4654</v>
      </c>
      <c r="E3214" s="125"/>
      <c r="F3214" s="118" t="s">
        <v>4628</v>
      </c>
      <c r="G3214" s="126" t="str">
        <f t="shared" ref="G3214:G3223" si="198">CONCATENATE("AR-",F3214,"-",H3214)</f>
        <v>AR-AMN-1</v>
      </c>
      <c r="H3214" s="253" t="s">
        <v>304</v>
      </c>
      <c r="I3214" s="76">
        <v>1</v>
      </c>
      <c r="J3214" s="299" t="s">
        <v>325</v>
      </c>
      <c r="K3214" s="299"/>
      <c r="L3214" s="86"/>
      <c r="Q3214" s="86"/>
    </row>
    <row r="3215" spans="1:21" s="83" customFormat="1" ht="13.5" hidden="1" outlineLevel="2">
      <c r="A3215" s="264"/>
      <c r="B3215" s="119" t="s">
        <v>272</v>
      </c>
      <c r="C3215" s="266" t="s">
        <v>4657</v>
      </c>
      <c r="D3215" s="124" t="s">
        <v>4654</v>
      </c>
      <c r="E3215" s="125"/>
      <c r="F3215" s="118" t="s">
        <v>4628</v>
      </c>
      <c r="G3215" s="126" t="str">
        <f t="shared" si="198"/>
        <v>AR-AMN-1</v>
      </c>
      <c r="H3215" s="253" t="s">
        <v>304</v>
      </c>
      <c r="I3215" s="76">
        <v>1</v>
      </c>
      <c r="J3215" s="299" t="s">
        <v>310</v>
      </c>
      <c r="K3215" s="299"/>
      <c r="L3215" s="86"/>
      <c r="Q3215" s="86"/>
    </row>
    <row r="3216" spans="1:21" s="83" customFormat="1" ht="13.5" hidden="1" outlineLevel="2">
      <c r="A3216" s="264"/>
      <c r="B3216" s="119" t="s">
        <v>272</v>
      </c>
      <c r="C3216" s="266" t="s">
        <v>4658</v>
      </c>
      <c r="D3216" s="124" t="s">
        <v>4659</v>
      </c>
      <c r="E3216" s="125"/>
      <c r="F3216" s="118" t="s">
        <v>4628</v>
      </c>
      <c r="G3216" s="126" t="str">
        <f t="shared" si="198"/>
        <v>AR-AMN-1</v>
      </c>
      <c r="H3216" s="253" t="s">
        <v>304</v>
      </c>
      <c r="I3216" s="76">
        <v>1</v>
      </c>
      <c r="J3216" s="299" t="s">
        <v>286</v>
      </c>
      <c r="K3216" s="299"/>
      <c r="L3216" s="86"/>
      <c r="Q3216" s="86"/>
    </row>
    <row r="3217" spans="1:17" s="83" customFormat="1" ht="13.5" hidden="1" outlineLevel="2">
      <c r="A3217" s="264"/>
      <c r="B3217" s="119" t="s">
        <v>272</v>
      </c>
      <c r="C3217" s="266" t="s">
        <v>4660</v>
      </c>
      <c r="D3217" s="124" t="s">
        <v>4659</v>
      </c>
      <c r="E3217" s="125"/>
      <c r="F3217" s="118" t="s">
        <v>4628</v>
      </c>
      <c r="G3217" s="126" t="str">
        <f t="shared" si="198"/>
        <v>AR-AMN-1</v>
      </c>
      <c r="H3217" s="253" t="s">
        <v>304</v>
      </c>
      <c r="I3217" s="76">
        <v>1</v>
      </c>
      <c r="J3217" s="299" t="s">
        <v>286</v>
      </c>
      <c r="K3217" s="299"/>
      <c r="L3217" s="86"/>
      <c r="Q3217" s="86"/>
    </row>
    <row r="3218" spans="1:17" s="83" customFormat="1" ht="13.5" hidden="1" outlineLevel="2">
      <c r="A3218" s="264"/>
      <c r="B3218" s="119" t="s">
        <v>272</v>
      </c>
      <c r="C3218" s="266" t="s">
        <v>4661</v>
      </c>
      <c r="D3218" s="124" t="s">
        <v>4662</v>
      </c>
      <c r="E3218" s="125"/>
      <c r="F3218" s="118" t="s">
        <v>4628</v>
      </c>
      <c r="G3218" s="126" t="str">
        <f t="shared" si="198"/>
        <v>AR-AMN-1</v>
      </c>
      <c r="H3218" s="253" t="s">
        <v>304</v>
      </c>
      <c r="I3218" s="76">
        <v>1</v>
      </c>
      <c r="J3218" s="299" t="s">
        <v>286</v>
      </c>
      <c r="K3218" s="299"/>
      <c r="L3218" s="86"/>
      <c r="Q3218" s="86"/>
    </row>
    <row r="3219" spans="1:17" s="83" customFormat="1" ht="13.5" hidden="1" outlineLevel="2">
      <c r="A3219" s="264"/>
      <c r="B3219" s="119" t="s">
        <v>272</v>
      </c>
      <c r="C3219" s="266" t="s">
        <v>4663</v>
      </c>
      <c r="D3219" s="124" t="s">
        <v>4664</v>
      </c>
      <c r="E3219" s="125"/>
      <c r="F3219" s="118" t="s">
        <v>4628</v>
      </c>
      <c r="G3219" s="126" t="str">
        <f t="shared" si="198"/>
        <v>AR-AMN-1</v>
      </c>
      <c r="H3219" s="253" t="s">
        <v>304</v>
      </c>
      <c r="I3219" s="76">
        <v>1</v>
      </c>
      <c r="J3219" s="299" t="s">
        <v>310</v>
      </c>
      <c r="K3219" s="299"/>
      <c r="L3219" s="86"/>
      <c r="Q3219" s="86"/>
    </row>
    <row r="3220" spans="1:17" s="83" customFormat="1" ht="13.5" hidden="1" outlineLevel="2">
      <c r="A3220" s="264"/>
      <c r="B3220" s="119" t="s">
        <v>272</v>
      </c>
      <c r="C3220" s="266" t="s">
        <v>4665</v>
      </c>
      <c r="D3220" s="124" t="s">
        <v>4666</v>
      </c>
      <c r="E3220" s="125"/>
      <c r="F3220" s="118" t="s">
        <v>4628</v>
      </c>
      <c r="G3220" s="126" t="str">
        <f t="shared" si="198"/>
        <v>AR-AMN-1</v>
      </c>
      <c r="H3220" s="253" t="s">
        <v>304</v>
      </c>
      <c r="I3220" s="76">
        <v>1</v>
      </c>
      <c r="J3220" s="299" t="s">
        <v>286</v>
      </c>
      <c r="K3220" s="299"/>
      <c r="L3220" s="86"/>
      <c r="Q3220" s="86"/>
    </row>
    <row r="3221" spans="1:17" s="83" customFormat="1" ht="13.5" hidden="1" outlineLevel="2">
      <c r="A3221" s="264"/>
      <c r="B3221" s="119" t="s">
        <v>272</v>
      </c>
      <c r="C3221" s="266" t="s">
        <v>4667</v>
      </c>
      <c r="D3221" s="124" t="s">
        <v>4668</v>
      </c>
      <c r="E3221" s="125"/>
      <c r="F3221" s="118" t="s">
        <v>4628</v>
      </c>
      <c r="G3221" s="126" t="str">
        <f t="shared" si="198"/>
        <v>AR-AMN-2</v>
      </c>
      <c r="H3221" s="253" t="s">
        <v>289</v>
      </c>
      <c r="I3221" s="76">
        <v>1</v>
      </c>
      <c r="J3221" s="299" t="s">
        <v>310</v>
      </c>
      <c r="K3221" s="299"/>
      <c r="L3221" s="86"/>
      <c r="Q3221" s="86"/>
    </row>
    <row r="3222" spans="1:17" s="83" customFormat="1" ht="13.5" hidden="1" outlineLevel="2">
      <c r="A3222" s="264"/>
      <c r="B3222" s="119" t="s">
        <v>272</v>
      </c>
      <c r="C3222" s="266" t="s">
        <v>4669</v>
      </c>
      <c r="D3222" s="124" t="s">
        <v>4670</v>
      </c>
      <c r="E3222" s="125"/>
      <c r="F3222" s="118" t="s">
        <v>4628</v>
      </c>
      <c r="G3222" s="126" t="str">
        <f t="shared" si="198"/>
        <v>AR-AMN-2</v>
      </c>
      <c r="H3222" s="253" t="s">
        <v>289</v>
      </c>
      <c r="I3222" s="76">
        <v>1</v>
      </c>
      <c r="J3222" s="299" t="s">
        <v>286</v>
      </c>
      <c r="K3222" s="299"/>
      <c r="L3222" s="86"/>
      <c r="Q3222" s="86"/>
    </row>
    <row r="3223" spans="1:17" s="83" customFormat="1" ht="13.5" hidden="1" outlineLevel="2">
      <c r="A3223" s="264"/>
      <c r="B3223" s="119" t="s">
        <v>272</v>
      </c>
      <c r="C3223" s="266" t="s">
        <v>4671</v>
      </c>
      <c r="D3223" s="124" t="s">
        <v>4672</v>
      </c>
      <c r="E3223" s="125"/>
      <c r="F3223" s="118" t="s">
        <v>4628</v>
      </c>
      <c r="G3223" s="126" t="str">
        <f t="shared" si="198"/>
        <v>AR-AMN-2</v>
      </c>
      <c r="H3223" s="253" t="s">
        <v>289</v>
      </c>
      <c r="I3223" s="76">
        <v>1</v>
      </c>
      <c r="J3223" s="299" t="s">
        <v>325</v>
      </c>
      <c r="K3223" s="299"/>
      <c r="L3223" s="86"/>
      <c r="Q3223" s="86"/>
    </row>
    <row r="3224" spans="1:17" s="83" customFormat="1" ht="13.5" hidden="1" outlineLevel="2">
      <c r="A3224" s="264"/>
      <c r="B3224" s="119" t="s">
        <v>272</v>
      </c>
      <c r="C3224" s="266" t="s">
        <v>4673</v>
      </c>
      <c r="D3224" s="124" t="s">
        <v>4674</v>
      </c>
      <c r="E3224" s="125"/>
      <c r="F3224" s="118" t="s">
        <v>4628</v>
      </c>
      <c r="G3224" s="126" t="str">
        <f t="shared" ref="G3224:G3229" si="199">CONCATENATE("AR-",F3224,"-",H3224)</f>
        <v>AR-AMN-2</v>
      </c>
      <c r="H3224" s="253" t="s">
        <v>289</v>
      </c>
      <c r="I3224" s="76">
        <v>1</v>
      </c>
      <c r="J3224" s="299" t="s">
        <v>310</v>
      </c>
      <c r="K3224" s="299"/>
      <c r="L3224" s="86"/>
      <c r="Q3224" s="86"/>
    </row>
    <row r="3225" spans="1:17" s="83" customFormat="1" ht="13.5" hidden="1" outlineLevel="2">
      <c r="A3225" s="264"/>
      <c r="B3225" s="119" t="s">
        <v>272</v>
      </c>
      <c r="C3225" s="266" t="s">
        <v>4675</v>
      </c>
      <c r="D3225" s="124" t="s">
        <v>4676</v>
      </c>
      <c r="E3225" s="125"/>
      <c r="F3225" s="118" t="s">
        <v>4628</v>
      </c>
      <c r="G3225" s="126" t="str">
        <f t="shared" si="199"/>
        <v>AR-AMN-2</v>
      </c>
      <c r="H3225" s="253" t="s">
        <v>289</v>
      </c>
      <c r="I3225" s="76">
        <v>1</v>
      </c>
      <c r="J3225" s="299" t="s">
        <v>310</v>
      </c>
      <c r="K3225" s="299"/>
      <c r="L3225" s="86"/>
      <c r="Q3225" s="86"/>
    </row>
    <row r="3226" spans="1:17" s="83" customFormat="1" ht="13.5" hidden="1" outlineLevel="2">
      <c r="A3226" s="264"/>
      <c r="B3226" s="119" t="s">
        <v>272</v>
      </c>
      <c r="C3226" s="266" t="s">
        <v>4677</v>
      </c>
      <c r="D3226" s="124" t="s">
        <v>4678</v>
      </c>
      <c r="E3226" s="125"/>
      <c r="F3226" s="118" t="s">
        <v>4628</v>
      </c>
      <c r="G3226" s="126" t="str">
        <f t="shared" si="199"/>
        <v>AR-AMN-2</v>
      </c>
      <c r="H3226" s="253" t="s">
        <v>289</v>
      </c>
      <c r="I3226" s="76">
        <v>1</v>
      </c>
      <c r="J3226" s="299" t="s">
        <v>286</v>
      </c>
      <c r="K3226" s="299"/>
      <c r="L3226" s="86"/>
      <c r="Q3226" s="86"/>
    </row>
    <row r="3227" spans="1:17" s="83" customFormat="1" ht="13.5" hidden="1" outlineLevel="2">
      <c r="A3227" s="264"/>
      <c r="B3227" s="119" t="s">
        <v>272</v>
      </c>
      <c r="C3227" s="266" t="s">
        <v>4679</v>
      </c>
      <c r="D3227" s="124" t="s">
        <v>4680</v>
      </c>
      <c r="E3227" s="125"/>
      <c r="F3227" s="118" t="s">
        <v>4628</v>
      </c>
      <c r="G3227" s="126" t="str">
        <f t="shared" si="199"/>
        <v>AR-AMN-2</v>
      </c>
      <c r="H3227" s="253" t="s">
        <v>289</v>
      </c>
      <c r="I3227" s="76">
        <v>1</v>
      </c>
      <c r="J3227" s="299" t="s">
        <v>286</v>
      </c>
      <c r="K3227" s="299"/>
      <c r="L3227" s="86"/>
      <c r="Q3227" s="86"/>
    </row>
    <row r="3228" spans="1:17" s="83" customFormat="1" ht="13.5" hidden="1" outlineLevel="2">
      <c r="A3228" s="264"/>
      <c r="B3228" s="119" t="s">
        <v>272</v>
      </c>
      <c r="C3228" s="266" t="s">
        <v>4681</v>
      </c>
      <c r="D3228" s="124" t="s">
        <v>4682</v>
      </c>
      <c r="E3228" s="125"/>
      <c r="F3228" s="118" t="s">
        <v>4628</v>
      </c>
      <c r="G3228" s="126" t="str">
        <f t="shared" si="199"/>
        <v>AR-AMN-2</v>
      </c>
      <c r="H3228" s="253" t="s">
        <v>289</v>
      </c>
      <c r="I3228" s="76">
        <v>1</v>
      </c>
      <c r="J3228" s="299" t="s">
        <v>286</v>
      </c>
      <c r="K3228" s="299"/>
      <c r="L3228" s="86"/>
      <c r="Q3228" s="86"/>
    </row>
    <row r="3229" spans="1:17" s="83" customFormat="1" ht="13.5" hidden="1" outlineLevel="2">
      <c r="A3229" s="264"/>
      <c r="B3229" s="119" t="s">
        <v>272</v>
      </c>
      <c r="C3229" s="266" t="s">
        <v>4683</v>
      </c>
      <c r="D3229" s="124" t="s">
        <v>4684</v>
      </c>
      <c r="E3229" s="125"/>
      <c r="F3229" s="118" t="s">
        <v>4628</v>
      </c>
      <c r="G3229" s="126" t="str">
        <f t="shared" si="199"/>
        <v>AR-AMN-2</v>
      </c>
      <c r="H3229" s="253" t="s">
        <v>289</v>
      </c>
      <c r="I3229" s="76">
        <v>1</v>
      </c>
      <c r="J3229" s="299" t="s">
        <v>307</v>
      </c>
      <c r="K3229" s="299"/>
      <c r="L3229" s="86"/>
      <c r="Q3229" s="86"/>
    </row>
    <row r="3230" spans="1:17" s="83" customFormat="1" ht="13.5" hidden="1" outlineLevel="2">
      <c r="A3230" s="264"/>
      <c r="B3230" s="119" t="s">
        <v>272</v>
      </c>
      <c r="C3230" s="266" t="s">
        <v>4685</v>
      </c>
      <c r="D3230" s="124" t="s">
        <v>4686</v>
      </c>
      <c r="E3230" s="125"/>
      <c r="F3230" s="118" t="s">
        <v>4628</v>
      </c>
      <c r="G3230" s="126" t="str">
        <f>CONCATENATE("AR-",F3230,"-",H3230)</f>
        <v>AR-AMN-2</v>
      </c>
      <c r="H3230" s="253" t="s">
        <v>289</v>
      </c>
      <c r="I3230" s="76">
        <v>1</v>
      </c>
      <c r="J3230" s="299" t="s">
        <v>310</v>
      </c>
      <c r="K3230" s="299"/>
      <c r="L3230" s="86"/>
      <c r="Q3230" s="86"/>
    </row>
    <row r="3231" spans="1:17" s="83" customFormat="1" ht="13.5" hidden="1" outlineLevel="2">
      <c r="A3231" s="264"/>
      <c r="B3231" s="119" t="s">
        <v>272</v>
      </c>
      <c r="C3231" s="266" t="s">
        <v>4687</v>
      </c>
      <c r="D3231" s="124" t="s">
        <v>4688</v>
      </c>
      <c r="E3231" s="125"/>
      <c r="F3231" s="118" t="s">
        <v>4628</v>
      </c>
      <c r="G3231" s="126" t="str">
        <f>CONCATENATE("AR-",F3231,"-",H3231)</f>
        <v>AR-AMN-2</v>
      </c>
      <c r="H3231" s="253" t="s">
        <v>289</v>
      </c>
      <c r="I3231" s="76">
        <v>1</v>
      </c>
      <c r="J3231" s="299" t="s">
        <v>286</v>
      </c>
      <c r="K3231" s="299"/>
      <c r="L3231" s="86"/>
      <c r="Q3231" s="86"/>
    </row>
    <row r="3232" spans="1:17" s="83" customFormat="1" ht="13.5" hidden="1" outlineLevel="2">
      <c r="A3232" s="264"/>
      <c r="B3232" s="119" t="s">
        <v>272</v>
      </c>
      <c r="C3232" s="266" t="s">
        <v>4689</v>
      </c>
      <c r="D3232" s="124" t="s">
        <v>4690</v>
      </c>
      <c r="E3232" s="125"/>
      <c r="F3232" s="118" t="s">
        <v>4628</v>
      </c>
      <c r="G3232" s="126" t="str">
        <f>CONCATENATE("AR-",F3232,"-",H3232)</f>
        <v>AR-AMN-2</v>
      </c>
      <c r="H3232" s="253" t="s">
        <v>289</v>
      </c>
      <c r="I3232" s="76">
        <v>1</v>
      </c>
      <c r="J3232" s="299" t="s">
        <v>286</v>
      </c>
      <c r="K3232" s="299"/>
      <c r="L3232" s="86"/>
      <c r="Q3232" s="86"/>
    </row>
    <row r="3233" spans="1:17" s="83" customFormat="1" ht="13.5" hidden="1" outlineLevel="2">
      <c r="A3233" s="264"/>
      <c r="B3233" s="119" t="s">
        <v>272</v>
      </c>
      <c r="C3233" s="266" t="s">
        <v>4691</v>
      </c>
      <c r="D3233" s="124" t="s">
        <v>4692</v>
      </c>
      <c r="E3233" s="125"/>
      <c r="F3233" s="118" t="s">
        <v>4628</v>
      </c>
      <c r="G3233" s="126" t="str">
        <f>CONCATENATE("AR-",F3233,"-",H3233)</f>
        <v>AR-AMN-2</v>
      </c>
      <c r="H3233" s="253" t="s">
        <v>289</v>
      </c>
      <c r="I3233" s="76">
        <v>1</v>
      </c>
      <c r="J3233" s="299" t="s">
        <v>286</v>
      </c>
      <c r="K3233" s="299"/>
      <c r="L3233" s="86"/>
      <c r="Q3233" s="86"/>
    </row>
    <row r="3234" spans="1:17" s="83" customFormat="1" ht="13.5" hidden="1" outlineLevel="2">
      <c r="A3234" s="264"/>
      <c r="B3234" s="119" t="s">
        <v>272</v>
      </c>
      <c r="C3234" s="266" t="s">
        <v>4693</v>
      </c>
      <c r="D3234" s="124" t="s">
        <v>4694</v>
      </c>
      <c r="E3234" s="125"/>
      <c r="F3234" s="118" t="s">
        <v>4628</v>
      </c>
      <c r="G3234" s="126" t="str">
        <f t="shared" ref="G3234:G3245" si="200">CONCATENATE("AR-",F3234,"-",H3234)</f>
        <v>AR-AMN-2</v>
      </c>
      <c r="H3234" s="253" t="s">
        <v>289</v>
      </c>
      <c r="I3234" s="76">
        <v>1</v>
      </c>
      <c r="J3234" s="299" t="s">
        <v>286</v>
      </c>
      <c r="K3234" s="299"/>
      <c r="L3234" s="86"/>
      <c r="Q3234" s="86"/>
    </row>
    <row r="3235" spans="1:17" s="83" customFormat="1" ht="13.5" hidden="1" outlineLevel="2">
      <c r="A3235" s="264"/>
      <c r="B3235" s="119" t="s">
        <v>272</v>
      </c>
      <c r="C3235" s="266" t="s">
        <v>4695</v>
      </c>
      <c r="D3235" s="124" t="s">
        <v>4696</v>
      </c>
      <c r="E3235" s="125"/>
      <c r="F3235" s="118" t="s">
        <v>4628</v>
      </c>
      <c r="G3235" s="126" t="str">
        <f t="shared" si="200"/>
        <v>AR-AMN-2</v>
      </c>
      <c r="H3235" s="253" t="s">
        <v>289</v>
      </c>
      <c r="I3235" s="76">
        <v>1</v>
      </c>
      <c r="J3235" s="299" t="s">
        <v>286</v>
      </c>
      <c r="K3235" s="299"/>
      <c r="L3235" s="86"/>
      <c r="Q3235" s="86"/>
    </row>
    <row r="3236" spans="1:17" s="83" customFormat="1" ht="13.5" hidden="1" outlineLevel="2">
      <c r="A3236" s="264"/>
      <c r="B3236" s="119" t="s">
        <v>272</v>
      </c>
      <c r="C3236" s="266" t="s">
        <v>4697</v>
      </c>
      <c r="D3236" s="124" t="s">
        <v>4698</v>
      </c>
      <c r="E3236" s="125"/>
      <c r="F3236" s="118" t="s">
        <v>4628</v>
      </c>
      <c r="G3236" s="126" t="str">
        <f t="shared" si="200"/>
        <v>AR-AMN-2</v>
      </c>
      <c r="H3236" s="253" t="s">
        <v>289</v>
      </c>
      <c r="I3236" s="76">
        <v>1</v>
      </c>
      <c r="J3236" s="299" t="s">
        <v>310</v>
      </c>
      <c r="K3236" s="299"/>
      <c r="L3236" s="86"/>
      <c r="Q3236" s="86"/>
    </row>
    <row r="3237" spans="1:17" s="83" customFormat="1" ht="13.5" hidden="1" outlineLevel="2">
      <c r="A3237" s="264"/>
      <c r="B3237" s="119" t="s">
        <v>272</v>
      </c>
      <c r="C3237" s="266" t="s">
        <v>4699</v>
      </c>
      <c r="D3237" s="124" t="s">
        <v>4700</v>
      </c>
      <c r="E3237" s="125"/>
      <c r="F3237" s="118" t="s">
        <v>4628</v>
      </c>
      <c r="G3237" s="126" t="str">
        <f t="shared" si="200"/>
        <v>AR-AMN-2</v>
      </c>
      <c r="H3237" s="253" t="s">
        <v>289</v>
      </c>
      <c r="I3237" s="76">
        <v>1</v>
      </c>
      <c r="J3237" s="299" t="s">
        <v>310</v>
      </c>
      <c r="K3237" s="299"/>
      <c r="L3237" s="86"/>
      <c r="Q3237" s="86"/>
    </row>
    <row r="3238" spans="1:17" s="83" customFormat="1" ht="13.5" hidden="1" outlineLevel="2">
      <c r="A3238" s="264"/>
      <c r="B3238" s="119" t="s">
        <v>272</v>
      </c>
      <c r="C3238" s="266" t="s">
        <v>4701</v>
      </c>
      <c r="D3238" s="124" t="s">
        <v>4702</v>
      </c>
      <c r="E3238" s="125"/>
      <c r="F3238" s="118" t="s">
        <v>4628</v>
      </c>
      <c r="G3238" s="126" t="str">
        <f t="shared" si="200"/>
        <v>AR-AMN-2</v>
      </c>
      <c r="H3238" s="253" t="s">
        <v>289</v>
      </c>
      <c r="I3238" s="76">
        <v>1</v>
      </c>
      <c r="J3238" s="299" t="s">
        <v>310</v>
      </c>
      <c r="K3238" s="299"/>
      <c r="L3238" s="86"/>
      <c r="Q3238" s="86"/>
    </row>
    <row r="3239" spans="1:17" s="83" customFormat="1" ht="13.5" hidden="1" outlineLevel="2">
      <c r="A3239" s="264"/>
      <c r="B3239" s="119" t="s">
        <v>272</v>
      </c>
      <c r="C3239" s="266" t="s">
        <v>4703</v>
      </c>
      <c r="D3239" s="124" t="s">
        <v>4704</v>
      </c>
      <c r="E3239" s="125"/>
      <c r="F3239" s="118" t="s">
        <v>4628</v>
      </c>
      <c r="G3239" s="126" t="str">
        <f t="shared" si="200"/>
        <v>AR-AMN-2</v>
      </c>
      <c r="H3239" s="253" t="s">
        <v>289</v>
      </c>
      <c r="I3239" s="76">
        <v>1</v>
      </c>
      <c r="J3239" s="299" t="s">
        <v>286</v>
      </c>
      <c r="K3239" s="299"/>
      <c r="L3239" s="86"/>
      <c r="Q3239" s="86"/>
    </row>
    <row r="3240" spans="1:17" s="83" customFormat="1" ht="13.5" hidden="1" outlineLevel="2">
      <c r="A3240" s="264"/>
      <c r="B3240" s="119" t="s">
        <v>272</v>
      </c>
      <c r="C3240" s="266" t="s">
        <v>4705</v>
      </c>
      <c r="D3240" s="124" t="s">
        <v>4704</v>
      </c>
      <c r="E3240" s="125"/>
      <c r="F3240" s="118" t="s">
        <v>4628</v>
      </c>
      <c r="G3240" s="126" t="str">
        <f t="shared" si="200"/>
        <v>AR-AMN-2</v>
      </c>
      <c r="H3240" s="253" t="s">
        <v>289</v>
      </c>
      <c r="I3240" s="76">
        <v>1</v>
      </c>
      <c r="J3240" s="299" t="s">
        <v>286</v>
      </c>
      <c r="K3240" s="299"/>
      <c r="L3240" s="86"/>
      <c r="Q3240" s="86"/>
    </row>
    <row r="3241" spans="1:17" s="83" customFormat="1" ht="13.5" hidden="1" outlineLevel="2">
      <c r="A3241" s="264"/>
      <c r="B3241" s="119" t="s">
        <v>272</v>
      </c>
      <c r="C3241" s="266" t="s">
        <v>4706</v>
      </c>
      <c r="D3241" s="124" t="s">
        <v>4707</v>
      </c>
      <c r="E3241" s="125"/>
      <c r="F3241" s="118" t="s">
        <v>4628</v>
      </c>
      <c r="G3241" s="126" t="str">
        <f t="shared" si="200"/>
        <v>AR-AMN-2</v>
      </c>
      <c r="H3241" s="253" t="s">
        <v>289</v>
      </c>
      <c r="I3241" s="76">
        <v>1</v>
      </c>
      <c r="J3241" s="299" t="s">
        <v>286</v>
      </c>
      <c r="K3241" s="299"/>
      <c r="L3241" s="86"/>
      <c r="Q3241" s="86"/>
    </row>
    <row r="3242" spans="1:17" s="83" customFormat="1" ht="13.5" hidden="1" outlineLevel="2">
      <c r="A3242" s="264"/>
      <c r="B3242" s="119" t="s">
        <v>272</v>
      </c>
      <c r="C3242" s="266" t="s">
        <v>4708</v>
      </c>
      <c r="D3242" s="124" t="s">
        <v>4709</v>
      </c>
      <c r="E3242" s="125"/>
      <c r="F3242" s="118" t="s">
        <v>4628</v>
      </c>
      <c r="G3242" s="126" t="str">
        <f t="shared" si="200"/>
        <v>AR-AMN-2</v>
      </c>
      <c r="H3242" s="253" t="s">
        <v>289</v>
      </c>
      <c r="I3242" s="76">
        <v>1</v>
      </c>
      <c r="J3242" s="299" t="s">
        <v>310</v>
      </c>
      <c r="K3242" s="299"/>
      <c r="L3242" s="86"/>
      <c r="Q3242" s="86"/>
    </row>
    <row r="3243" spans="1:17" s="83" customFormat="1" ht="13.5" hidden="1" outlineLevel="2">
      <c r="A3243" s="264"/>
      <c r="B3243" s="119" t="s">
        <v>272</v>
      </c>
      <c r="C3243" s="266" t="s">
        <v>4710</v>
      </c>
      <c r="D3243" s="124" t="s">
        <v>4711</v>
      </c>
      <c r="E3243" s="125"/>
      <c r="F3243" s="118" t="s">
        <v>4628</v>
      </c>
      <c r="G3243" s="126" t="str">
        <f t="shared" si="200"/>
        <v>AR-AMN-2</v>
      </c>
      <c r="H3243" s="253" t="s">
        <v>289</v>
      </c>
      <c r="I3243" s="76">
        <v>1</v>
      </c>
      <c r="J3243" s="299" t="s">
        <v>310</v>
      </c>
      <c r="K3243" s="299"/>
      <c r="L3243" s="86"/>
      <c r="Q3243" s="86"/>
    </row>
    <row r="3244" spans="1:17" s="83" customFormat="1" ht="13.5" hidden="1" outlineLevel="2">
      <c r="A3244" s="264"/>
      <c r="B3244" s="119" t="s">
        <v>272</v>
      </c>
      <c r="C3244" s="266" t="s">
        <v>4712</v>
      </c>
      <c r="D3244" s="124" t="s">
        <v>4713</v>
      </c>
      <c r="E3244" s="125"/>
      <c r="F3244" s="118" t="s">
        <v>4628</v>
      </c>
      <c r="G3244" s="126" t="str">
        <f t="shared" si="200"/>
        <v>AR-AMN-2</v>
      </c>
      <c r="H3244" s="253" t="s">
        <v>289</v>
      </c>
      <c r="I3244" s="76">
        <v>1</v>
      </c>
      <c r="J3244" s="299" t="s">
        <v>310</v>
      </c>
      <c r="K3244" s="299"/>
      <c r="L3244" s="86"/>
      <c r="Q3244" s="86"/>
    </row>
    <row r="3245" spans="1:17" s="83" customFormat="1" ht="13.5" hidden="1" outlineLevel="2">
      <c r="A3245" s="264"/>
      <c r="B3245" s="119" t="s">
        <v>272</v>
      </c>
      <c r="C3245" s="266" t="s">
        <v>4714</v>
      </c>
      <c r="D3245" s="124" t="s">
        <v>4715</v>
      </c>
      <c r="E3245" s="125"/>
      <c r="F3245" s="118" t="s">
        <v>4628</v>
      </c>
      <c r="G3245" s="126" t="str">
        <f t="shared" si="200"/>
        <v>AR-AMN-2</v>
      </c>
      <c r="H3245" s="253" t="s">
        <v>289</v>
      </c>
      <c r="I3245" s="76">
        <v>1</v>
      </c>
      <c r="J3245" s="299" t="s">
        <v>307</v>
      </c>
      <c r="K3245" s="299"/>
      <c r="L3245" s="86"/>
      <c r="Q3245" s="86"/>
    </row>
    <row r="3246" spans="1:17" s="83" customFormat="1" ht="13.5" hidden="1" outlineLevel="2">
      <c r="A3246" s="264"/>
      <c r="B3246" s="119" t="s">
        <v>272</v>
      </c>
      <c r="C3246" s="266" t="s">
        <v>4716</v>
      </c>
      <c r="D3246" s="124" t="s">
        <v>4715</v>
      </c>
      <c r="E3246" s="125"/>
      <c r="F3246" s="118" t="s">
        <v>4628</v>
      </c>
      <c r="G3246" s="126" t="str">
        <f t="shared" ref="G3246:G3252" si="201">CONCATENATE("AR-",F3246,"-",H3246)</f>
        <v>AR-AMN-2</v>
      </c>
      <c r="H3246" s="253" t="s">
        <v>289</v>
      </c>
      <c r="I3246" s="76">
        <v>1</v>
      </c>
      <c r="J3246" s="299" t="s">
        <v>307</v>
      </c>
      <c r="K3246" s="299"/>
      <c r="L3246" s="86"/>
      <c r="Q3246" s="86"/>
    </row>
    <row r="3247" spans="1:17" s="83" customFormat="1" ht="13.5" hidden="1" outlineLevel="2">
      <c r="A3247" s="264"/>
      <c r="B3247" s="119" t="s">
        <v>272</v>
      </c>
      <c r="C3247" s="266" t="s">
        <v>4717</v>
      </c>
      <c r="D3247" s="124" t="s">
        <v>4718</v>
      </c>
      <c r="E3247" s="125"/>
      <c r="F3247" s="118" t="s">
        <v>4628</v>
      </c>
      <c r="G3247" s="126" t="str">
        <f t="shared" si="201"/>
        <v>AR-AMN-2</v>
      </c>
      <c r="H3247" s="253" t="s">
        <v>289</v>
      </c>
      <c r="I3247" s="76">
        <v>1</v>
      </c>
      <c r="J3247" s="299" t="s">
        <v>286</v>
      </c>
      <c r="K3247" s="299"/>
      <c r="L3247" s="86"/>
      <c r="Q3247" s="86"/>
    </row>
    <row r="3248" spans="1:17" s="83" customFormat="1" ht="13.5" hidden="1" outlineLevel="2">
      <c r="A3248" s="264"/>
      <c r="B3248" s="119" t="s">
        <v>272</v>
      </c>
      <c r="C3248" s="266" t="s">
        <v>4719</v>
      </c>
      <c r="D3248" s="124" t="s">
        <v>4720</v>
      </c>
      <c r="E3248" s="125"/>
      <c r="F3248" s="118" t="s">
        <v>4628</v>
      </c>
      <c r="G3248" s="126" t="str">
        <f t="shared" si="201"/>
        <v>AR-AMN-2</v>
      </c>
      <c r="H3248" s="253" t="s">
        <v>289</v>
      </c>
      <c r="I3248" s="76">
        <v>1</v>
      </c>
      <c r="J3248" s="299" t="s">
        <v>307</v>
      </c>
      <c r="K3248" s="299"/>
      <c r="L3248" s="86"/>
      <c r="Q3248" s="86"/>
    </row>
    <row r="3249" spans="2:18" s="83" customFormat="1" ht="13.5" hidden="1" outlineLevel="2">
      <c r="B3249" s="119" t="s">
        <v>272</v>
      </c>
      <c r="C3249" s="266" t="s">
        <v>4721</v>
      </c>
      <c r="D3249" s="124" t="s">
        <v>4722</v>
      </c>
      <c r="E3249" s="125"/>
      <c r="F3249" s="118" t="s">
        <v>4628</v>
      </c>
      <c r="G3249" s="126" t="str">
        <f t="shared" si="201"/>
        <v>AR-AMN-2</v>
      </c>
      <c r="H3249" s="253" t="s">
        <v>289</v>
      </c>
      <c r="I3249" s="76">
        <v>1</v>
      </c>
      <c r="J3249" s="299" t="s">
        <v>307</v>
      </c>
      <c r="K3249" s="299"/>
      <c r="L3249" s="86"/>
      <c r="Q3249" s="86"/>
    </row>
    <row r="3250" spans="2:18" s="83" customFormat="1" ht="13.5" hidden="1" outlineLevel="2">
      <c r="B3250" s="119" t="s">
        <v>272</v>
      </c>
      <c r="C3250" s="266" t="s">
        <v>4723</v>
      </c>
      <c r="D3250" s="124" t="s">
        <v>4724</v>
      </c>
      <c r="E3250" s="125"/>
      <c r="F3250" s="118" t="s">
        <v>4628</v>
      </c>
      <c r="G3250" s="126" t="str">
        <f t="shared" si="201"/>
        <v>AR-AMN-2</v>
      </c>
      <c r="H3250" s="253" t="s">
        <v>289</v>
      </c>
      <c r="I3250" s="76">
        <v>1</v>
      </c>
      <c r="J3250" s="299" t="s">
        <v>325</v>
      </c>
      <c r="K3250" s="299"/>
      <c r="L3250" s="86"/>
      <c r="Q3250" s="86"/>
    </row>
    <row r="3251" spans="2:18" s="83" customFormat="1" ht="13.5" hidden="1" outlineLevel="2">
      <c r="B3251" s="119" t="s">
        <v>272</v>
      </c>
      <c r="C3251" s="266" t="s">
        <v>4725</v>
      </c>
      <c r="D3251" s="124" t="s">
        <v>4726</v>
      </c>
      <c r="E3251" s="125"/>
      <c r="F3251" s="118" t="s">
        <v>4628</v>
      </c>
      <c r="G3251" s="126" t="str">
        <f t="shared" si="201"/>
        <v>AR-AMN-2</v>
      </c>
      <c r="H3251" s="253" t="s">
        <v>289</v>
      </c>
      <c r="I3251" s="76">
        <v>1</v>
      </c>
      <c r="J3251" s="299" t="s">
        <v>286</v>
      </c>
      <c r="K3251" s="299"/>
      <c r="L3251" s="86"/>
      <c r="Q3251" s="86"/>
    </row>
    <row r="3252" spans="2:18" s="83" customFormat="1" ht="13.5" hidden="1" outlineLevel="2">
      <c r="B3252" s="119" t="s">
        <v>272</v>
      </c>
      <c r="C3252" s="266" t="s">
        <v>4727</v>
      </c>
      <c r="D3252" s="124" t="s">
        <v>4728</v>
      </c>
      <c r="E3252" s="125"/>
      <c r="F3252" s="118" t="s">
        <v>4628</v>
      </c>
      <c r="G3252" s="126" t="str">
        <f t="shared" si="201"/>
        <v>AR-AMN-2</v>
      </c>
      <c r="H3252" s="253" t="s">
        <v>289</v>
      </c>
      <c r="I3252" s="76">
        <v>1</v>
      </c>
      <c r="J3252" s="299" t="s">
        <v>325</v>
      </c>
      <c r="K3252" s="299"/>
      <c r="L3252" s="86"/>
      <c r="Q3252" s="86"/>
    </row>
    <row r="3253" spans="2:18" s="83" customFormat="1" ht="13.5" hidden="1" outlineLevel="2">
      <c r="B3253" s="119" t="s">
        <v>272</v>
      </c>
      <c r="C3253" s="266" t="s">
        <v>4729</v>
      </c>
      <c r="D3253" s="124" t="s">
        <v>4730</v>
      </c>
      <c r="E3253" s="125"/>
      <c r="F3253" s="118" t="s">
        <v>4628</v>
      </c>
      <c r="G3253" s="126" t="str">
        <f t="shared" ref="G3253:G3256" si="202">CONCATENATE("AR-",F3253,"-",H3253)</f>
        <v>AR-AMN-2</v>
      </c>
      <c r="H3253" s="253" t="s">
        <v>289</v>
      </c>
      <c r="I3253" s="76">
        <v>1</v>
      </c>
      <c r="J3253" s="299" t="s">
        <v>286</v>
      </c>
      <c r="K3253" s="299"/>
      <c r="L3253" s="86"/>
      <c r="Q3253" s="86"/>
    </row>
    <row r="3254" spans="2:18" s="83" customFormat="1" ht="13.5" hidden="1" outlineLevel="2">
      <c r="B3254" s="119" t="s">
        <v>272</v>
      </c>
      <c r="C3254" s="266" t="s">
        <v>4731</v>
      </c>
      <c r="D3254" s="124" t="s">
        <v>4732</v>
      </c>
      <c r="E3254" s="125"/>
      <c r="F3254" s="118" t="s">
        <v>4628</v>
      </c>
      <c r="G3254" s="126" t="str">
        <f t="shared" si="202"/>
        <v>AR-AMN-2</v>
      </c>
      <c r="H3254" s="253" t="s">
        <v>289</v>
      </c>
      <c r="I3254" s="76">
        <v>1</v>
      </c>
      <c r="J3254" s="299" t="s">
        <v>310</v>
      </c>
      <c r="K3254" s="299"/>
      <c r="L3254" s="86"/>
      <c r="Q3254" s="86"/>
    </row>
    <row r="3255" spans="2:18" s="83" customFormat="1" ht="13.5" hidden="1" outlineLevel="2">
      <c r="B3255" s="119" t="s">
        <v>272</v>
      </c>
      <c r="C3255" s="266" t="s">
        <v>4733</v>
      </c>
      <c r="D3255" s="124" t="s">
        <v>4734</v>
      </c>
      <c r="E3255" s="125"/>
      <c r="F3255" s="118" t="s">
        <v>4628</v>
      </c>
      <c r="G3255" s="126" t="str">
        <f t="shared" si="202"/>
        <v>AR-AMN-2</v>
      </c>
      <c r="H3255" s="253" t="s">
        <v>289</v>
      </c>
      <c r="I3255" s="76">
        <v>1</v>
      </c>
      <c r="J3255" s="299" t="s">
        <v>310</v>
      </c>
      <c r="K3255" s="299"/>
      <c r="L3255" s="86"/>
      <c r="Q3255" s="86"/>
    </row>
    <row r="3256" spans="2:18" s="83" customFormat="1" ht="13.5" hidden="1" outlineLevel="2">
      <c r="B3256" s="119" t="s">
        <v>272</v>
      </c>
      <c r="C3256" s="266" t="s">
        <v>4735</v>
      </c>
      <c r="D3256" s="124" t="s">
        <v>4736</v>
      </c>
      <c r="E3256" s="125"/>
      <c r="F3256" s="118" t="s">
        <v>4628</v>
      </c>
      <c r="G3256" s="126" t="str">
        <f t="shared" si="202"/>
        <v>AR-AMN-2</v>
      </c>
      <c r="H3256" s="253" t="s">
        <v>289</v>
      </c>
      <c r="I3256" s="76">
        <v>1</v>
      </c>
      <c r="J3256" s="299" t="s">
        <v>310</v>
      </c>
      <c r="K3256" s="299"/>
      <c r="L3256" s="86"/>
      <c r="Q3256" s="86"/>
    </row>
    <row r="3257" spans="2:18" s="83" customFormat="1" ht="13.5" hidden="1" outlineLevel="2">
      <c r="B3257" s="119" t="s">
        <v>272</v>
      </c>
      <c r="C3257" s="266" t="s">
        <v>4737</v>
      </c>
      <c r="D3257" s="124" t="s">
        <v>4738</v>
      </c>
      <c r="E3257" s="125"/>
      <c r="F3257" s="118" t="s">
        <v>4628</v>
      </c>
      <c r="G3257" s="126" t="str">
        <f t="shared" ref="G3257:G3267" si="203">CONCATENATE("AR-",F3257,"-",H3257)</f>
        <v>AR-AMN-2</v>
      </c>
      <c r="H3257" s="253" t="s">
        <v>289</v>
      </c>
      <c r="I3257" s="76">
        <v>1</v>
      </c>
      <c r="J3257" s="299" t="s">
        <v>307</v>
      </c>
      <c r="K3257" s="299"/>
      <c r="L3257" s="84"/>
      <c r="M3257" s="76"/>
      <c r="N3257" s="76"/>
      <c r="O3257" s="76"/>
      <c r="P3257" s="76"/>
      <c r="Q3257" s="84"/>
      <c r="R3257" s="76"/>
    </row>
    <row r="3258" spans="2:18" s="83" customFormat="1" ht="13.5" hidden="1" outlineLevel="2">
      <c r="B3258" s="119" t="s">
        <v>272</v>
      </c>
      <c r="C3258" s="266" t="s">
        <v>4739</v>
      </c>
      <c r="D3258" s="124" t="s">
        <v>4740</v>
      </c>
      <c r="E3258" s="125"/>
      <c r="F3258" s="118" t="s">
        <v>4628</v>
      </c>
      <c r="G3258" s="126" t="str">
        <f t="shared" si="203"/>
        <v>AR-AMN-2</v>
      </c>
      <c r="H3258" s="253" t="s">
        <v>289</v>
      </c>
      <c r="I3258" s="76">
        <v>1</v>
      </c>
      <c r="J3258" s="299" t="s">
        <v>286</v>
      </c>
      <c r="K3258" s="299"/>
      <c r="L3258" s="84"/>
      <c r="M3258" s="76"/>
      <c r="N3258" s="76"/>
      <c r="O3258" s="76"/>
      <c r="P3258" s="76"/>
      <c r="Q3258" s="84"/>
      <c r="R3258" s="76"/>
    </row>
    <row r="3259" spans="2:18" s="83" customFormat="1" ht="13.5" hidden="1" outlineLevel="2">
      <c r="B3259" s="119" t="s">
        <v>272</v>
      </c>
      <c r="C3259" s="266" t="s">
        <v>4741</v>
      </c>
      <c r="D3259" s="124" t="s">
        <v>4742</v>
      </c>
      <c r="E3259" s="125"/>
      <c r="F3259" s="118" t="s">
        <v>4628</v>
      </c>
      <c r="G3259" s="126" t="str">
        <f t="shared" si="203"/>
        <v>AR-AMN-2</v>
      </c>
      <c r="H3259" s="253" t="s">
        <v>289</v>
      </c>
      <c r="I3259" s="76">
        <v>1</v>
      </c>
      <c r="J3259" s="299" t="s">
        <v>307</v>
      </c>
      <c r="K3259" s="299"/>
      <c r="L3259" s="84"/>
      <c r="M3259" s="76"/>
      <c r="N3259" s="76"/>
      <c r="O3259" s="76"/>
      <c r="P3259" s="76"/>
      <c r="Q3259" s="84"/>
      <c r="R3259" s="76"/>
    </row>
    <row r="3260" spans="2:18" s="83" customFormat="1" ht="13.5" hidden="1" outlineLevel="2">
      <c r="B3260" s="119" t="s">
        <v>272</v>
      </c>
      <c r="C3260" s="266" t="s">
        <v>4743</v>
      </c>
      <c r="D3260" s="124" t="s">
        <v>4744</v>
      </c>
      <c r="E3260" s="125"/>
      <c r="F3260" s="118" t="s">
        <v>4628</v>
      </c>
      <c r="G3260" s="126" t="str">
        <f t="shared" si="203"/>
        <v>AR-AMN-2</v>
      </c>
      <c r="H3260" s="253" t="s">
        <v>289</v>
      </c>
      <c r="I3260" s="76">
        <v>1</v>
      </c>
      <c r="J3260" s="299" t="s">
        <v>307</v>
      </c>
      <c r="K3260" s="299"/>
      <c r="L3260" s="84"/>
      <c r="M3260" s="76"/>
      <c r="N3260" s="76"/>
      <c r="O3260" s="76"/>
      <c r="P3260" s="76"/>
      <c r="Q3260" s="84"/>
      <c r="R3260" s="76"/>
    </row>
    <row r="3261" spans="2:18" s="83" customFormat="1" ht="13.5" hidden="1" outlineLevel="2">
      <c r="B3261" s="119" t="s">
        <v>272</v>
      </c>
      <c r="C3261" s="266" t="s">
        <v>4745</v>
      </c>
      <c r="D3261" s="124" t="s">
        <v>4746</v>
      </c>
      <c r="E3261" s="125"/>
      <c r="F3261" s="118" t="s">
        <v>4628</v>
      </c>
      <c r="G3261" s="126" t="str">
        <f t="shared" si="203"/>
        <v>AR-AMN-2</v>
      </c>
      <c r="H3261" s="253" t="s">
        <v>289</v>
      </c>
      <c r="I3261" s="76">
        <v>1</v>
      </c>
      <c r="J3261" s="299" t="s">
        <v>286</v>
      </c>
      <c r="K3261" s="299"/>
      <c r="L3261" s="84"/>
      <c r="M3261" s="76"/>
      <c r="N3261" s="76"/>
      <c r="O3261" s="76"/>
      <c r="P3261" s="76"/>
      <c r="Q3261" s="84"/>
      <c r="R3261" s="76"/>
    </row>
    <row r="3262" spans="2:18" s="83" customFormat="1" ht="13.5" hidden="1" outlineLevel="2">
      <c r="B3262" s="119" t="s">
        <v>272</v>
      </c>
      <c r="C3262" s="266" t="s">
        <v>4747</v>
      </c>
      <c r="D3262" s="124" t="s">
        <v>4748</v>
      </c>
      <c r="E3262" s="125"/>
      <c r="F3262" s="118" t="s">
        <v>4628</v>
      </c>
      <c r="G3262" s="126" t="str">
        <f t="shared" si="203"/>
        <v>AR-AMN-2</v>
      </c>
      <c r="H3262" s="253" t="s">
        <v>289</v>
      </c>
      <c r="I3262" s="76">
        <v>1</v>
      </c>
      <c r="J3262" s="299" t="s">
        <v>286</v>
      </c>
      <c r="K3262" s="299"/>
      <c r="L3262" s="84"/>
      <c r="M3262" s="76"/>
      <c r="N3262" s="76"/>
      <c r="O3262" s="76"/>
      <c r="P3262" s="76"/>
      <c r="Q3262" s="84"/>
      <c r="R3262" s="76"/>
    </row>
    <row r="3263" spans="2:18" s="83" customFormat="1" ht="13.5" hidden="1" outlineLevel="2">
      <c r="B3263" s="119" t="s">
        <v>272</v>
      </c>
      <c r="C3263" s="266" t="s">
        <v>4749</v>
      </c>
      <c r="D3263" s="124" t="s">
        <v>4750</v>
      </c>
      <c r="E3263" s="125"/>
      <c r="F3263" s="118" t="s">
        <v>4628</v>
      </c>
      <c r="G3263" s="126" t="str">
        <f t="shared" si="203"/>
        <v>AR-AMN-2</v>
      </c>
      <c r="H3263" s="253" t="s">
        <v>289</v>
      </c>
      <c r="I3263" s="76">
        <v>1</v>
      </c>
      <c r="J3263" s="299" t="s">
        <v>310</v>
      </c>
      <c r="K3263" s="299"/>
      <c r="L3263" s="84"/>
      <c r="M3263" s="76"/>
      <c r="N3263" s="76"/>
      <c r="O3263" s="76"/>
      <c r="P3263" s="76"/>
      <c r="Q3263" s="84"/>
      <c r="R3263" s="76"/>
    </row>
    <row r="3264" spans="2:18" s="83" customFormat="1" ht="13.5" hidden="1" outlineLevel="2">
      <c r="B3264" s="119" t="s">
        <v>272</v>
      </c>
      <c r="C3264" s="266" t="s">
        <v>4751</v>
      </c>
      <c r="D3264" s="124" t="s">
        <v>4752</v>
      </c>
      <c r="E3264" s="125"/>
      <c r="F3264" s="118" t="s">
        <v>4628</v>
      </c>
      <c r="G3264" s="126" t="str">
        <f t="shared" si="203"/>
        <v>AR-AMN-2</v>
      </c>
      <c r="H3264" s="253" t="s">
        <v>289</v>
      </c>
      <c r="I3264" s="76">
        <v>1</v>
      </c>
      <c r="J3264" s="299" t="s">
        <v>286</v>
      </c>
      <c r="K3264" s="299"/>
      <c r="L3264" s="84"/>
      <c r="M3264" s="76"/>
      <c r="N3264" s="76"/>
      <c r="O3264" s="76"/>
      <c r="P3264" s="76"/>
      <c r="Q3264" s="84"/>
      <c r="R3264" s="76"/>
    </row>
    <row r="3265" spans="2:18" s="83" customFormat="1" ht="13.5" hidden="1" outlineLevel="2">
      <c r="B3265" s="119" t="s">
        <v>272</v>
      </c>
      <c r="C3265" s="266" t="s">
        <v>4753</v>
      </c>
      <c r="D3265" s="124" t="s">
        <v>4506</v>
      </c>
      <c r="E3265" s="125"/>
      <c r="F3265" s="118" t="s">
        <v>4628</v>
      </c>
      <c r="G3265" s="126" t="str">
        <f t="shared" si="203"/>
        <v>AR-AMN-2</v>
      </c>
      <c r="H3265" s="253" t="s">
        <v>289</v>
      </c>
      <c r="I3265" s="76">
        <v>1</v>
      </c>
      <c r="J3265" s="299" t="s">
        <v>286</v>
      </c>
      <c r="K3265" s="299"/>
      <c r="L3265" s="84"/>
      <c r="M3265" s="76"/>
      <c r="N3265" s="76"/>
      <c r="O3265" s="76"/>
      <c r="P3265" s="76"/>
      <c r="Q3265" s="84"/>
      <c r="R3265" s="76"/>
    </row>
    <row r="3266" spans="2:18" s="83" customFormat="1" ht="13.5" hidden="1" outlineLevel="2">
      <c r="B3266" s="119" t="s">
        <v>272</v>
      </c>
      <c r="C3266" s="266" t="s">
        <v>4754</v>
      </c>
      <c r="D3266" s="124" t="s">
        <v>4755</v>
      </c>
      <c r="E3266" s="125"/>
      <c r="F3266" s="118" t="s">
        <v>4628</v>
      </c>
      <c r="G3266" s="126" t="str">
        <f t="shared" si="203"/>
        <v>AR-AMN-2</v>
      </c>
      <c r="H3266" s="253" t="s">
        <v>289</v>
      </c>
      <c r="I3266" s="76">
        <v>1</v>
      </c>
      <c r="J3266" s="299" t="s">
        <v>286</v>
      </c>
      <c r="K3266" s="299"/>
      <c r="L3266" s="84"/>
      <c r="M3266" s="76"/>
      <c r="N3266" s="76"/>
      <c r="O3266" s="76"/>
      <c r="P3266" s="76"/>
      <c r="Q3266" s="84"/>
      <c r="R3266" s="76"/>
    </row>
    <row r="3267" spans="2:18" s="83" customFormat="1" ht="13.5" hidden="1" outlineLevel="2">
      <c r="B3267" s="119" t="s">
        <v>272</v>
      </c>
      <c r="C3267" s="266" t="s">
        <v>4756</v>
      </c>
      <c r="D3267" s="124" t="s">
        <v>4757</v>
      </c>
      <c r="E3267" s="125"/>
      <c r="F3267" s="118" t="s">
        <v>4628</v>
      </c>
      <c r="G3267" s="126" t="str">
        <f t="shared" si="203"/>
        <v>AR-AMN-2</v>
      </c>
      <c r="H3267" s="253" t="s">
        <v>289</v>
      </c>
      <c r="I3267" s="76">
        <v>1</v>
      </c>
      <c r="J3267" s="299" t="s">
        <v>286</v>
      </c>
      <c r="K3267" s="299"/>
      <c r="L3267" s="84"/>
      <c r="M3267" s="76"/>
      <c r="N3267" s="76"/>
      <c r="O3267" s="76"/>
      <c r="P3267" s="76"/>
      <c r="Q3267" s="84"/>
      <c r="R3267" s="76"/>
    </row>
    <row r="3268" spans="2:18" s="83" customFormat="1" ht="13.5" hidden="1" outlineLevel="2">
      <c r="B3268" s="119" t="s">
        <v>272</v>
      </c>
      <c r="C3268" s="266" t="s">
        <v>4758</v>
      </c>
      <c r="D3268" s="124" t="s">
        <v>4759</v>
      </c>
      <c r="E3268" s="125"/>
      <c r="F3268" s="118" t="s">
        <v>4628</v>
      </c>
      <c r="G3268" s="126" t="str">
        <f t="shared" ref="G3268:G3269" si="204">CONCATENATE("AR-",F3268,"-",H3268)</f>
        <v>AR-AMN-2</v>
      </c>
      <c r="H3268" s="253" t="s">
        <v>289</v>
      </c>
      <c r="I3268" s="76">
        <v>1</v>
      </c>
      <c r="J3268" s="299" t="s">
        <v>286</v>
      </c>
      <c r="K3268" s="299"/>
      <c r="L3268" s="84"/>
      <c r="M3268" s="76"/>
      <c r="N3268" s="76"/>
      <c r="O3268" s="76"/>
      <c r="P3268" s="76"/>
      <c r="Q3268" s="84"/>
      <c r="R3268" s="76"/>
    </row>
    <row r="3269" spans="2:18" s="83" customFormat="1" ht="13.5" hidden="1" outlineLevel="2">
      <c r="B3269" s="119" t="s">
        <v>272</v>
      </c>
      <c r="C3269" s="266" t="s">
        <v>4760</v>
      </c>
      <c r="D3269" s="124" t="s">
        <v>4761</v>
      </c>
      <c r="E3269" s="125"/>
      <c r="F3269" s="118" t="s">
        <v>4628</v>
      </c>
      <c r="G3269" s="126" t="str">
        <f t="shared" si="204"/>
        <v>AR-AMN-2</v>
      </c>
      <c r="H3269" s="253" t="s">
        <v>289</v>
      </c>
      <c r="I3269" s="76">
        <v>1</v>
      </c>
      <c r="J3269" s="299" t="s">
        <v>310</v>
      </c>
      <c r="K3269" s="299"/>
      <c r="L3269" s="84"/>
      <c r="M3269" s="76"/>
      <c r="N3269" s="76"/>
      <c r="O3269" s="76"/>
      <c r="P3269" s="76"/>
      <c r="Q3269" s="84"/>
      <c r="R3269" s="76"/>
    </row>
    <row r="3270" spans="2:18" s="83" customFormat="1" ht="13.5" hidden="1" outlineLevel="2">
      <c r="B3270" s="119" t="s">
        <v>272</v>
      </c>
      <c r="C3270" s="266" t="s">
        <v>4762</v>
      </c>
      <c r="D3270" s="124" t="s">
        <v>4763</v>
      </c>
      <c r="E3270" s="125"/>
      <c r="F3270" s="118" t="s">
        <v>4628</v>
      </c>
      <c r="G3270" s="126" t="str">
        <f t="shared" ref="G3270" si="205">CONCATENATE("AR-",F3270,"-",H3270)</f>
        <v>AR-AMN-2</v>
      </c>
      <c r="H3270" s="253" t="s">
        <v>289</v>
      </c>
      <c r="I3270" s="76">
        <v>1</v>
      </c>
      <c r="J3270" s="299" t="s">
        <v>310</v>
      </c>
      <c r="K3270" s="299"/>
      <c r="L3270" s="84"/>
      <c r="M3270" s="76"/>
      <c r="N3270" s="76"/>
      <c r="O3270" s="76"/>
      <c r="P3270" s="76"/>
      <c r="Q3270" s="84"/>
      <c r="R3270" s="76"/>
    </row>
    <row r="3271" spans="2:18" s="83" customFormat="1" ht="13.5" hidden="1" outlineLevel="2">
      <c r="B3271" s="119" t="s">
        <v>272</v>
      </c>
      <c r="C3271" s="266" t="s">
        <v>4764</v>
      </c>
      <c r="D3271" s="124" t="s">
        <v>4765</v>
      </c>
      <c r="E3271" s="125"/>
      <c r="F3271" s="118" t="s">
        <v>4628</v>
      </c>
      <c r="G3271" s="126" t="str">
        <f t="shared" ref="G3271:G3274" si="206">CONCATENATE("AR-",F3271,"-",H3271)</f>
        <v>AR-AMN-2</v>
      </c>
      <c r="H3271" s="253" t="s">
        <v>289</v>
      </c>
      <c r="I3271" s="76">
        <v>1</v>
      </c>
      <c r="J3271" s="299" t="s">
        <v>310</v>
      </c>
      <c r="K3271" s="299"/>
      <c r="L3271" s="84"/>
      <c r="M3271" s="76"/>
      <c r="N3271" s="76"/>
      <c r="O3271" s="76"/>
      <c r="P3271" s="76"/>
      <c r="Q3271" s="84"/>
      <c r="R3271" s="76"/>
    </row>
    <row r="3272" spans="2:18" s="83" customFormat="1" ht="13.5" hidden="1" outlineLevel="2">
      <c r="B3272" s="119" t="s">
        <v>272</v>
      </c>
      <c r="C3272" s="266" t="s">
        <v>4766</v>
      </c>
      <c r="D3272" s="124" t="s">
        <v>4767</v>
      </c>
      <c r="E3272" s="125"/>
      <c r="F3272" s="118" t="s">
        <v>4628</v>
      </c>
      <c r="G3272" s="126" t="str">
        <f t="shared" ref="G3272:G3273" si="207">CONCATENATE("AR-",F3272,"-",H3272)</f>
        <v>AR-AMN-2</v>
      </c>
      <c r="H3272" s="253" t="s">
        <v>289</v>
      </c>
      <c r="I3272" s="76">
        <v>1</v>
      </c>
      <c r="J3272" s="299" t="s">
        <v>310</v>
      </c>
      <c r="K3272" s="299"/>
      <c r="L3272" s="84"/>
      <c r="M3272" s="76"/>
      <c r="N3272" s="76"/>
      <c r="O3272" s="76"/>
      <c r="P3272" s="76"/>
      <c r="Q3272" s="84"/>
      <c r="R3272" s="76"/>
    </row>
    <row r="3273" spans="2:18" s="83" customFormat="1" ht="13.5" hidden="1" outlineLevel="2">
      <c r="B3273" s="119" t="s">
        <v>272</v>
      </c>
      <c r="C3273" s="266" t="s">
        <v>4768</v>
      </c>
      <c r="D3273" s="124" t="s">
        <v>4769</v>
      </c>
      <c r="E3273" s="125"/>
      <c r="F3273" s="118" t="s">
        <v>4628</v>
      </c>
      <c r="G3273" s="126" t="str">
        <f t="shared" si="207"/>
        <v>AR-AMN-2</v>
      </c>
      <c r="H3273" s="253" t="s">
        <v>289</v>
      </c>
      <c r="I3273" s="76">
        <v>1</v>
      </c>
      <c r="J3273" s="299" t="s">
        <v>310</v>
      </c>
      <c r="K3273" s="299"/>
      <c r="L3273" s="84"/>
      <c r="M3273" s="76"/>
      <c r="N3273" s="76"/>
      <c r="O3273" s="76"/>
      <c r="P3273" s="76"/>
      <c r="Q3273" s="84"/>
      <c r="R3273" s="76"/>
    </row>
    <row r="3274" spans="2:18" s="83" customFormat="1" ht="13.5" hidden="1" outlineLevel="2">
      <c r="B3274" s="119" t="s">
        <v>272</v>
      </c>
      <c r="C3274" s="266" t="s">
        <v>4770</v>
      </c>
      <c r="D3274" s="124" t="s">
        <v>4771</v>
      </c>
      <c r="E3274" s="125"/>
      <c r="F3274" s="118" t="s">
        <v>4628</v>
      </c>
      <c r="G3274" s="126" t="str">
        <f t="shared" si="206"/>
        <v>AR-AMN-2</v>
      </c>
      <c r="H3274" s="253" t="s">
        <v>289</v>
      </c>
      <c r="I3274" s="76">
        <v>1</v>
      </c>
      <c r="J3274" s="299" t="s">
        <v>286</v>
      </c>
      <c r="K3274" s="299"/>
      <c r="L3274" s="84"/>
      <c r="M3274" s="76"/>
      <c r="N3274" s="76"/>
      <c r="O3274" s="76"/>
      <c r="P3274" s="76"/>
      <c r="Q3274" s="84"/>
      <c r="R3274" s="76"/>
    </row>
    <row r="3275" spans="2:18" s="83" customFormat="1" ht="13.5" hidden="1" outlineLevel="2">
      <c r="B3275" s="119" t="s">
        <v>272</v>
      </c>
      <c r="C3275" s="266" t="s">
        <v>4772</v>
      </c>
      <c r="D3275" s="124" t="s">
        <v>4773</v>
      </c>
      <c r="E3275" s="125"/>
      <c r="F3275" s="118" t="s">
        <v>4628</v>
      </c>
      <c r="G3275" s="126" t="str">
        <f t="shared" ref="G3275:G3281" si="208">CONCATENATE("AR-",F3275,"-",H3275)</f>
        <v>AR-AMN-2</v>
      </c>
      <c r="H3275" s="253" t="s">
        <v>289</v>
      </c>
      <c r="I3275" s="76">
        <v>1</v>
      </c>
      <c r="J3275" s="299" t="s">
        <v>286</v>
      </c>
      <c r="K3275" s="299"/>
      <c r="L3275" s="84"/>
      <c r="M3275" s="76"/>
      <c r="N3275" s="76"/>
      <c r="O3275" s="76"/>
      <c r="P3275" s="76"/>
      <c r="Q3275" s="84"/>
      <c r="R3275" s="76"/>
    </row>
    <row r="3276" spans="2:18" s="83" customFormat="1" ht="13.5" hidden="1" outlineLevel="2">
      <c r="B3276" s="119" t="s">
        <v>272</v>
      </c>
      <c r="C3276" s="266" t="s">
        <v>4774</v>
      </c>
      <c r="D3276" s="124" t="s">
        <v>4775</v>
      </c>
      <c r="E3276" s="125"/>
      <c r="F3276" s="118" t="s">
        <v>4628</v>
      </c>
      <c r="G3276" s="126" t="str">
        <f t="shared" si="208"/>
        <v>AR-AMN-2</v>
      </c>
      <c r="H3276" s="253" t="s">
        <v>289</v>
      </c>
      <c r="I3276" s="76">
        <v>1</v>
      </c>
      <c r="J3276" s="299" t="s">
        <v>286</v>
      </c>
      <c r="K3276" s="299"/>
      <c r="L3276" s="84"/>
      <c r="M3276" s="76"/>
      <c r="N3276" s="76"/>
      <c r="O3276" s="76"/>
      <c r="P3276" s="76"/>
      <c r="Q3276" s="84"/>
      <c r="R3276" s="76"/>
    </row>
    <row r="3277" spans="2:18" s="83" customFormat="1" ht="13.5" hidden="1" outlineLevel="2">
      <c r="B3277" s="119" t="s">
        <v>272</v>
      </c>
      <c r="C3277" s="266" t="s">
        <v>4776</v>
      </c>
      <c r="D3277" s="124" t="s">
        <v>4777</v>
      </c>
      <c r="E3277" s="125"/>
      <c r="F3277" s="118" t="s">
        <v>4628</v>
      </c>
      <c r="G3277" s="126" t="str">
        <f t="shared" si="208"/>
        <v>AR-AMN-2</v>
      </c>
      <c r="H3277" s="253" t="s">
        <v>289</v>
      </c>
      <c r="I3277" s="76">
        <v>1</v>
      </c>
      <c r="J3277" s="299" t="s">
        <v>286</v>
      </c>
      <c r="K3277" s="299"/>
      <c r="L3277" s="84"/>
      <c r="M3277" s="76"/>
      <c r="N3277" s="76"/>
      <c r="O3277" s="76"/>
      <c r="P3277" s="76"/>
      <c r="Q3277" s="84"/>
      <c r="R3277" s="76"/>
    </row>
    <row r="3278" spans="2:18" s="83" customFormat="1" ht="13.5" hidden="1" outlineLevel="2">
      <c r="B3278" s="119" t="s">
        <v>272</v>
      </c>
      <c r="C3278" s="266" t="s">
        <v>4778</v>
      </c>
      <c r="D3278" s="124" t="s">
        <v>4779</v>
      </c>
      <c r="E3278" s="125"/>
      <c r="F3278" s="118" t="s">
        <v>4628</v>
      </c>
      <c r="G3278" s="126" t="str">
        <f t="shared" si="208"/>
        <v>AR-AMN-2</v>
      </c>
      <c r="H3278" s="253" t="s">
        <v>289</v>
      </c>
      <c r="I3278" s="76">
        <v>1</v>
      </c>
      <c r="J3278" s="299" t="s">
        <v>286</v>
      </c>
      <c r="K3278" s="299"/>
      <c r="L3278" s="84"/>
      <c r="M3278" s="76"/>
      <c r="N3278" s="76"/>
      <c r="O3278" s="76"/>
      <c r="P3278" s="76"/>
      <c r="Q3278" s="84"/>
      <c r="R3278" s="76"/>
    </row>
    <row r="3279" spans="2:18" s="83" customFormat="1" ht="13.5" hidden="1" outlineLevel="2">
      <c r="B3279" s="119" t="s">
        <v>272</v>
      </c>
      <c r="C3279" s="266" t="s">
        <v>4780</v>
      </c>
      <c r="D3279" s="124" t="s">
        <v>4781</v>
      </c>
      <c r="E3279" s="125"/>
      <c r="F3279" s="118" t="s">
        <v>4628</v>
      </c>
      <c r="G3279" s="126" t="str">
        <f t="shared" si="208"/>
        <v>AR-AMN-2</v>
      </c>
      <c r="H3279" s="253" t="s">
        <v>289</v>
      </c>
      <c r="I3279" s="76">
        <v>1</v>
      </c>
      <c r="J3279" s="299" t="s">
        <v>286</v>
      </c>
      <c r="K3279" s="299"/>
      <c r="L3279" s="84"/>
      <c r="M3279" s="76"/>
      <c r="N3279" s="76"/>
      <c r="O3279" s="76"/>
      <c r="P3279" s="76"/>
      <c r="Q3279" s="84"/>
      <c r="R3279" s="76"/>
    </row>
    <row r="3280" spans="2:18" s="83" customFormat="1" ht="13.5" hidden="1" outlineLevel="2">
      <c r="B3280" s="119" t="s">
        <v>272</v>
      </c>
      <c r="C3280" s="266" t="s">
        <v>4782</v>
      </c>
      <c r="D3280" s="124" t="s">
        <v>4783</v>
      </c>
      <c r="E3280" s="125"/>
      <c r="F3280" s="118" t="s">
        <v>4628</v>
      </c>
      <c r="G3280" s="126" t="str">
        <f t="shared" si="208"/>
        <v>AR-AMN-2</v>
      </c>
      <c r="H3280" s="253" t="s">
        <v>289</v>
      </c>
      <c r="I3280" s="76">
        <v>1</v>
      </c>
      <c r="J3280" s="299" t="s">
        <v>286</v>
      </c>
      <c r="K3280" s="299"/>
      <c r="L3280" s="84"/>
      <c r="M3280" s="76"/>
      <c r="N3280" s="76"/>
      <c r="O3280" s="76"/>
      <c r="P3280" s="76"/>
      <c r="Q3280" s="84"/>
      <c r="R3280" s="76"/>
    </row>
    <row r="3281" spans="2:18" s="83" customFormat="1" ht="13.5" hidden="1" outlineLevel="2">
      <c r="B3281" s="119" t="s">
        <v>272</v>
      </c>
      <c r="C3281" s="266" t="s">
        <v>4784</v>
      </c>
      <c r="D3281" s="124" t="s">
        <v>4785</v>
      </c>
      <c r="E3281" s="125"/>
      <c r="F3281" s="118" t="s">
        <v>4628</v>
      </c>
      <c r="G3281" s="126" t="str">
        <f t="shared" si="208"/>
        <v>AR-AMN-2</v>
      </c>
      <c r="H3281" s="253" t="s">
        <v>289</v>
      </c>
      <c r="I3281" s="76">
        <v>1</v>
      </c>
      <c r="J3281" s="299" t="s">
        <v>310</v>
      </c>
      <c r="K3281" s="299"/>
      <c r="L3281" s="84"/>
      <c r="M3281" s="76"/>
      <c r="N3281" s="76"/>
      <c r="O3281" s="76"/>
      <c r="P3281" s="76"/>
      <c r="Q3281" s="84"/>
      <c r="R3281" s="76"/>
    </row>
    <row r="3282" spans="2:18" s="83" customFormat="1" ht="13.5" hidden="1" outlineLevel="2">
      <c r="B3282" s="119" t="s">
        <v>272</v>
      </c>
      <c r="C3282" s="266" t="s">
        <v>4786</v>
      </c>
      <c r="D3282" s="124" t="s">
        <v>4787</v>
      </c>
      <c r="E3282" s="125"/>
      <c r="F3282" s="118" t="s">
        <v>4628</v>
      </c>
      <c r="G3282" s="126" t="str">
        <f>CONCATENATE("AR-",F3282,"-",H3282)</f>
        <v>AR-AMN-2</v>
      </c>
      <c r="H3282" s="253" t="s">
        <v>289</v>
      </c>
      <c r="I3282" s="76">
        <v>1</v>
      </c>
      <c r="J3282" s="299" t="s">
        <v>310</v>
      </c>
      <c r="K3282" s="299"/>
      <c r="L3282" s="84"/>
      <c r="M3282" s="76"/>
      <c r="Q3282" s="86"/>
    </row>
    <row r="3283" spans="2:18" s="83" customFormat="1" ht="13.5" hidden="1" outlineLevel="2">
      <c r="B3283" s="119" t="s">
        <v>272</v>
      </c>
      <c r="C3283" s="266" t="s">
        <v>4788</v>
      </c>
      <c r="D3283" s="124" t="s">
        <v>4789</v>
      </c>
      <c r="E3283" s="125"/>
      <c r="F3283" s="118" t="s">
        <v>4628</v>
      </c>
      <c r="G3283" s="126" t="str">
        <f>CONCATENATE("AR-",F3283,"-",H3283)</f>
        <v>AR-AMN-2</v>
      </c>
      <c r="H3283" s="253" t="s">
        <v>289</v>
      </c>
      <c r="I3283" s="76">
        <v>1</v>
      </c>
      <c r="J3283" s="299" t="s">
        <v>286</v>
      </c>
      <c r="K3283" s="299"/>
      <c r="L3283" s="84"/>
      <c r="M3283" s="76"/>
      <c r="Q3283" s="86"/>
    </row>
    <row r="3284" spans="2:18" s="83" customFormat="1" ht="13.5" hidden="1" outlineLevel="2">
      <c r="B3284" s="119" t="s">
        <v>272</v>
      </c>
      <c r="C3284" s="266" t="s">
        <v>4790</v>
      </c>
      <c r="D3284" s="124" t="s">
        <v>4791</v>
      </c>
      <c r="E3284" s="125"/>
      <c r="F3284" s="118" t="s">
        <v>4628</v>
      </c>
      <c r="G3284" s="126" t="str">
        <f t="shared" ref="G3284:G3301" si="209">CONCATENATE("AR-",F3284,"-",H3284)</f>
        <v>AR-AMN-2</v>
      </c>
      <c r="H3284" s="253" t="s">
        <v>289</v>
      </c>
      <c r="I3284" s="76">
        <v>1</v>
      </c>
      <c r="J3284" s="299" t="s">
        <v>286</v>
      </c>
      <c r="K3284" s="299"/>
      <c r="L3284" s="84"/>
      <c r="M3284" s="76"/>
      <c r="Q3284" s="86"/>
    </row>
    <row r="3285" spans="2:18" s="83" customFormat="1" ht="13.5" hidden="1" outlineLevel="2">
      <c r="B3285" s="119" t="s">
        <v>272</v>
      </c>
      <c r="C3285" s="266" t="s">
        <v>4792</v>
      </c>
      <c r="D3285" s="124" t="s">
        <v>4793</v>
      </c>
      <c r="E3285" s="125"/>
      <c r="F3285" s="118" t="s">
        <v>4628</v>
      </c>
      <c r="G3285" s="126" t="str">
        <f t="shared" si="209"/>
        <v>AR-AMN-2</v>
      </c>
      <c r="H3285" s="253" t="s">
        <v>289</v>
      </c>
      <c r="I3285" s="76">
        <v>1</v>
      </c>
      <c r="J3285" s="299" t="s">
        <v>310</v>
      </c>
      <c r="K3285" s="299"/>
      <c r="L3285" s="84"/>
      <c r="M3285" s="76"/>
      <c r="Q3285" s="86"/>
    </row>
    <row r="3286" spans="2:18" s="83" customFormat="1" ht="13.5" hidden="1" outlineLevel="2">
      <c r="B3286" s="119" t="s">
        <v>272</v>
      </c>
      <c r="C3286" s="266" t="s">
        <v>4794</v>
      </c>
      <c r="D3286" s="124" t="s">
        <v>4795</v>
      </c>
      <c r="E3286" s="125"/>
      <c r="F3286" s="118" t="s">
        <v>4628</v>
      </c>
      <c r="G3286" s="126" t="str">
        <f t="shared" si="209"/>
        <v>AR-AMN-2</v>
      </c>
      <c r="H3286" s="253" t="s">
        <v>289</v>
      </c>
      <c r="I3286" s="76">
        <v>1</v>
      </c>
      <c r="J3286" s="299" t="s">
        <v>310</v>
      </c>
      <c r="K3286" s="299"/>
      <c r="L3286" s="84"/>
      <c r="M3286" s="76"/>
      <c r="Q3286" s="86"/>
    </row>
    <row r="3287" spans="2:18" s="83" customFormat="1" ht="13.5" hidden="1" outlineLevel="2">
      <c r="B3287" s="119" t="s">
        <v>272</v>
      </c>
      <c r="C3287" s="266" t="s">
        <v>4796</v>
      </c>
      <c r="D3287" s="124" t="s">
        <v>4797</v>
      </c>
      <c r="E3287" s="125"/>
      <c r="F3287" s="118" t="s">
        <v>4628</v>
      </c>
      <c r="G3287" s="126" t="str">
        <f t="shared" si="209"/>
        <v>AR-AMN-2</v>
      </c>
      <c r="H3287" s="253" t="s">
        <v>289</v>
      </c>
      <c r="I3287" s="76">
        <v>1</v>
      </c>
      <c r="J3287" s="299" t="s">
        <v>310</v>
      </c>
      <c r="K3287" s="299"/>
      <c r="L3287" s="84"/>
      <c r="M3287" s="76"/>
      <c r="Q3287" s="86"/>
    </row>
    <row r="3288" spans="2:18" s="83" customFormat="1" ht="13.5" hidden="1" outlineLevel="2">
      <c r="B3288" s="119" t="s">
        <v>272</v>
      </c>
      <c r="C3288" s="266" t="s">
        <v>4798</v>
      </c>
      <c r="D3288" s="124" t="s">
        <v>4799</v>
      </c>
      <c r="E3288" s="125"/>
      <c r="F3288" s="118" t="s">
        <v>4628</v>
      </c>
      <c r="G3288" s="126" t="str">
        <f t="shared" si="209"/>
        <v>AR-AMN-2</v>
      </c>
      <c r="H3288" s="253" t="s">
        <v>289</v>
      </c>
      <c r="I3288" s="76">
        <v>1</v>
      </c>
      <c r="J3288" s="299" t="s">
        <v>310</v>
      </c>
      <c r="K3288" s="299"/>
      <c r="L3288" s="84"/>
      <c r="M3288" s="76"/>
      <c r="Q3288" s="86"/>
    </row>
    <row r="3289" spans="2:18" s="83" customFormat="1" ht="13.5" hidden="1" outlineLevel="2">
      <c r="B3289" s="119" t="s">
        <v>272</v>
      </c>
      <c r="C3289" s="266" t="s">
        <v>4800</v>
      </c>
      <c r="D3289" s="124" t="s">
        <v>4795</v>
      </c>
      <c r="E3289" s="125"/>
      <c r="F3289" s="118" t="s">
        <v>4628</v>
      </c>
      <c r="G3289" s="126" t="str">
        <f t="shared" ref="G3289:G3297" si="210">CONCATENATE("AR-",F3289,"-",H3289)</f>
        <v>AR-AMN-2</v>
      </c>
      <c r="H3289" s="253" t="s">
        <v>289</v>
      </c>
      <c r="I3289" s="76">
        <v>1</v>
      </c>
      <c r="J3289" s="299" t="s">
        <v>286</v>
      </c>
      <c r="K3289" s="299"/>
      <c r="L3289" s="84"/>
      <c r="M3289" s="76"/>
      <c r="Q3289" s="86"/>
    </row>
    <row r="3290" spans="2:18" s="83" customFormat="1" ht="13.5" hidden="1" outlineLevel="2">
      <c r="B3290" s="119" t="s">
        <v>272</v>
      </c>
      <c r="C3290" s="266" t="s">
        <v>4801</v>
      </c>
      <c r="D3290" s="124" t="s">
        <v>4799</v>
      </c>
      <c r="E3290" s="125"/>
      <c r="F3290" s="118" t="s">
        <v>4628</v>
      </c>
      <c r="G3290" s="126" t="str">
        <f t="shared" si="210"/>
        <v>AR-AMN-2</v>
      </c>
      <c r="H3290" s="253" t="s">
        <v>289</v>
      </c>
      <c r="I3290" s="76">
        <v>1</v>
      </c>
      <c r="J3290" s="299" t="s">
        <v>286</v>
      </c>
      <c r="K3290" s="299"/>
      <c r="L3290" s="84"/>
      <c r="M3290" s="76"/>
      <c r="Q3290" s="86"/>
    </row>
    <row r="3291" spans="2:18" s="83" customFormat="1" ht="13.5" hidden="1" outlineLevel="2">
      <c r="B3291" s="119" t="s">
        <v>272</v>
      </c>
      <c r="C3291" s="266" t="s">
        <v>4802</v>
      </c>
      <c r="D3291" s="124" t="s">
        <v>4803</v>
      </c>
      <c r="E3291" s="125"/>
      <c r="F3291" s="118" t="s">
        <v>4628</v>
      </c>
      <c r="G3291" s="126" t="str">
        <f t="shared" si="210"/>
        <v>AR-AMN-2</v>
      </c>
      <c r="H3291" s="253" t="s">
        <v>289</v>
      </c>
      <c r="I3291" s="76">
        <v>1</v>
      </c>
      <c r="J3291" s="299" t="s">
        <v>310</v>
      </c>
      <c r="K3291" s="299"/>
      <c r="L3291" s="84"/>
      <c r="M3291" s="76"/>
      <c r="Q3291" s="86"/>
    </row>
    <row r="3292" spans="2:18" s="83" customFormat="1" ht="13.5" hidden="1" outlineLevel="2">
      <c r="B3292" s="119" t="s">
        <v>272</v>
      </c>
      <c r="C3292" s="266" t="s">
        <v>4804</v>
      </c>
      <c r="D3292" s="124" t="s">
        <v>4805</v>
      </c>
      <c r="E3292" s="125"/>
      <c r="F3292" s="118" t="s">
        <v>4628</v>
      </c>
      <c r="G3292" s="126" t="str">
        <f t="shared" si="210"/>
        <v>AR-AMN-2</v>
      </c>
      <c r="H3292" s="253" t="s">
        <v>289</v>
      </c>
      <c r="I3292" s="76">
        <v>1</v>
      </c>
      <c r="J3292" s="299" t="s">
        <v>310</v>
      </c>
      <c r="K3292" s="299"/>
      <c r="L3292" s="84"/>
      <c r="M3292" s="76"/>
      <c r="Q3292" s="86"/>
    </row>
    <row r="3293" spans="2:18" s="83" customFormat="1" ht="13.5" hidden="1" outlineLevel="2">
      <c r="B3293" s="119" t="s">
        <v>272</v>
      </c>
      <c r="C3293" s="266" t="s">
        <v>4806</v>
      </c>
      <c r="D3293" s="124" t="s">
        <v>4807</v>
      </c>
      <c r="E3293" s="125"/>
      <c r="F3293" s="118" t="s">
        <v>4628</v>
      </c>
      <c r="G3293" s="126" t="str">
        <f t="shared" si="210"/>
        <v>AR-AMN-2</v>
      </c>
      <c r="H3293" s="253" t="s">
        <v>289</v>
      </c>
      <c r="I3293" s="76">
        <v>1</v>
      </c>
      <c r="J3293" s="299" t="s">
        <v>286</v>
      </c>
      <c r="K3293" s="299"/>
      <c r="L3293" s="84"/>
      <c r="M3293" s="76"/>
      <c r="Q3293" s="86"/>
    </row>
    <row r="3294" spans="2:18" s="83" customFormat="1" ht="13.5" hidden="1" outlineLevel="2">
      <c r="B3294" s="119" t="s">
        <v>272</v>
      </c>
      <c r="C3294" s="266" t="s">
        <v>4808</v>
      </c>
      <c r="D3294" s="124" t="s">
        <v>4809</v>
      </c>
      <c r="E3294" s="125"/>
      <c r="F3294" s="118" t="s">
        <v>4628</v>
      </c>
      <c r="G3294" s="126" t="str">
        <f t="shared" si="210"/>
        <v>AR-AMN-3</v>
      </c>
      <c r="H3294" s="253" t="s">
        <v>346</v>
      </c>
      <c r="I3294" s="76">
        <v>1</v>
      </c>
      <c r="J3294" s="299" t="s">
        <v>307</v>
      </c>
      <c r="K3294" s="299"/>
      <c r="L3294" s="84"/>
      <c r="M3294" s="76"/>
      <c r="Q3294" s="86"/>
    </row>
    <row r="3295" spans="2:18" s="83" customFormat="1" ht="13.5" hidden="1" outlineLevel="2">
      <c r="B3295" s="119" t="s">
        <v>272</v>
      </c>
      <c r="C3295" s="266" t="s">
        <v>4810</v>
      </c>
      <c r="D3295" s="124" t="s">
        <v>4811</v>
      </c>
      <c r="E3295" s="125"/>
      <c r="F3295" s="118" t="s">
        <v>4628</v>
      </c>
      <c r="G3295" s="126" t="str">
        <f t="shared" si="210"/>
        <v>AR-AMN-3</v>
      </c>
      <c r="H3295" s="255" t="s">
        <v>346</v>
      </c>
      <c r="I3295" s="76">
        <v>1</v>
      </c>
      <c r="J3295" s="299" t="s">
        <v>286</v>
      </c>
      <c r="K3295" s="299"/>
      <c r="L3295" s="84"/>
      <c r="M3295" s="76"/>
      <c r="Q3295" s="86"/>
    </row>
    <row r="3296" spans="2:18" s="83" customFormat="1" ht="13.5" hidden="1" outlineLevel="2">
      <c r="B3296" s="119" t="s">
        <v>272</v>
      </c>
      <c r="C3296" s="266" t="s">
        <v>4812</v>
      </c>
      <c r="D3296" s="124" t="s">
        <v>4813</v>
      </c>
      <c r="E3296" s="125"/>
      <c r="F3296" s="118" t="s">
        <v>4628</v>
      </c>
      <c r="G3296" s="126" t="str">
        <f t="shared" si="210"/>
        <v>AR-AMN-3</v>
      </c>
      <c r="H3296" s="253" t="s">
        <v>346</v>
      </c>
      <c r="I3296" s="76">
        <v>1</v>
      </c>
      <c r="J3296" s="299" t="s">
        <v>743</v>
      </c>
      <c r="K3296" s="299"/>
      <c r="L3296" s="84"/>
      <c r="M3296" s="76"/>
      <c r="Q3296" s="86"/>
    </row>
    <row r="3297" spans="1:21" s="83" customFormat="1" ht="13.5" hidden="1" outlineLevel="2">
      <c r="B3297" s="119" t="s">
        <v>272</v>
      </c>
      <c r="C3297" s="266" t="s">
        <v>4814</v>
      </c>
      <c r="D3297" s="124" t="s">
        <v>4815</v>
      </c>
      <c r="E3297" s="125"/>
      <c r="F3297" s="118" t="s">
        <v>4628</v>
      </c>
      <c r="G3297" s="126" t="str">
        <f t="shared" si="210"/>
        <v>AR-AMN-3</v>
      </c>
      <c r="H3297" s="253" t="s">
        <v>346</v>
      </c>
      <c r="I3297" s="76">
        <v>1</v>
      </c>
      <c r="J3297" s="299" t="s">
        <v>743</v>
      </c>
      <c r="K3297" s="299"/>
      <c r="L3297" s="84"/>
      <c r="M3297" s="76"/>
      <c r="Q3297" s="86"/>
    </row>
    <row r="3298" spans="1:21" s="83" customFormat="1" ht="13.5" hidden="1" outlineLevel="2">
      <c r="B3298" s="119" t="s">
        <v>272</v>
      </c>
      <c r="C3298" s="266" t="s">
        <v>4816</v>
      </c>
      <c r="D3298" s="124" t="s">
        <v>4817</v>
      </c>
      <c r="E3298" s="125"/>
      <c r="F3298" s="118" t="s">
        <v>4628</v>
      </c>
      <c r="G3298" s="126" t="str">
        <f t="shared" si="209"/>
        <v>AR-AMN-3</v>
      </c>
      <c r="H3298" s="253" t="s">
        <v>346</v>
      </c>
      <c r="I3298" s="76">
        <v>1</v>
      </c>
      <c r="J3298" s="299" t="s">
        <v>307</v>
      </c>
      <c r="K3298" s="299"/>
      <c r="L3298" s="84"/>
      <c r="M3298" s="76"/>
      <c r="Q3298" s="86"/>
    </row>
    <row r="3299" spans="1:21" s="83" customFormat="1" ht="13.5" hidden="1" outlineLevel="2">
      <c r="B3299" s="119" t="s">
        <v>272</v>
      </c>
      <c r="C3299" s="266" t="s">
        <v>4818</v>
      </c>
      <c r="D3299" s="124" t="s">
        <v>4819</v>
      </c>
      <c r="E3299" s="125"/>
      <c r="F3299" s="118" t="s">
        <v>4628</v>
      </c>
      <c r="G3299" s="126" t="str">
        <f t="shared" si="209"/>
        <v>AR-AMN-3</v>
      </c>
      <c r="H3299" s="253" t="s">
        <v>346</v>
      </c>
      <c r="I3299" s="76">
        <v>1</v>
      </c>
      <c r="J3299" s="299" t="s">
        <v>325</v>
      </c>
      <c r="K3299" s="299"/>
      <c r="L3299" s="84"/>
      <c r="M3299" s="76"/>
      <c r="Q3299" s="86"/>
    </row>
    <row r="3300" spans="1:21" s="83" customFormat="1" ht="13.5" hidden="1" outlineLevel="2">
      <c r="B3300" s="119" t="s">
        <v>272</v>
      </c>
      <c r="C3300" s="266" t="s">
        <v>4820</v>
      </c>
      <c r="D3300" s="124" t="s">
        <v>4821</v>
      </c>
      <c r="E3300" s="125"/>
      <c r="F3300" s="118" t="s">
        <v>4628</v>
      </c>
      <c r="G3300" s="126" t="str">
        <f t="shared" si="209"/>
        <v>AR-AMN-3</v>
      </c>
      <c r="H3300" s="253" t="s">
        <v>346</v>
      </c>
      <c r="I3300" s="76">
        <v>1</v>
      </c>
      <c r="J3300" s="299" t="s">
        <v>307</v>
      </c>
      <c r="K3300" s="299"/>
      <c r="L3300" s="84"/>
      <c r="M3300" s="76"/>
      <c r="Q3300" s="86"/>
    </row>
    <row r="3301" spans="1:21" s="83" customFormat="1" ht="13.5" hidden="1" outlineLevel="2">
      <c r="B3301" s="119" t="s">
        <v>272</v>
      </c>
      <c r="C3301" s="266" t="s">
        <v>4822</v>
      </c>
      <c r="D3301" s="124" t="s">
        <v>4823</v>
      </c>
      <c r="E3301" s="125"/>
      <c r="F3301" s="118" t="s">
        <v>4628</v>
      </c>
      <c r="G3301" s="126" t="str">
        <f t="shared" si="209"/>
        <v>AR-AMN-3</v>
      </c>
      <c r="H3301" s="253" t="s">
        <v>346</v>
      </c>
      <c r="I3301" s="76">
        <v>1</v>
      </c>
      <c r="J3301" s="299" t="s">
        <v>310</v>
      </c>
      <c r="K3301" s="299"/>
      <c r="L3301" s="84"/>
      <c r="M3301" s="76"/>
      <c r="Q3301" s="86"/>
    </row>
    <row r="3302" spans="1:21" s="83" customFormat="1" ht="13.5" hidden="1" outlineLevel="2">
      <c r="B3302" s="119" t="s">
        <v>272</v>
      </c>
      <c r="C3302" s="266" t="s">
        <v>4824</v>
      </c>
      <c r="D3302" s="124" t="s">
        <v>4825</v>
      </c>
      <c r="E3302" s="125"/>
      <c r="F3302" s="118" t="s">
        <v>4628</v>
      </c>
      <c r="G3302" s="126" t="str">
        <f t="shared" ref="G3302:G3304" si="211">CONCATENATE("AR-",F3302,"-",H3302)</f>
        <v>AR-AMN-3</v>
      </c>
      <c r="H3302" s="253" t="s">
        <v>346</v>
      </c>
      <c r="I3302" s="76">
        <v>1</v>
      </c>
      <c r="J3302" s="299" t="s">
        <v>310</v>
      </c>
      <c r="K3302" s="299"/>
      <c r="L3302" s="84"/>
      <c r="M3302" s="76"/>
      <c r="Q3302" s="86"/>
    </row>
    <row r="3303" spans="1:21" s="83" customFormat="1" ht="13.5" hidden="1" outlineLevel="2">
      <c r="B3303" s="119" t="s">
        <v>272</v>
      </c>
      <c r="C3303" s="266" t="s">
        <v>4826</v>
      </c>
      <c r="D3303" s="124" t="s">
        <v>4827</v>
      </c>
      <c r="E3303" s="125"/>
      <c r="F3303" s="118" t="s">
        <v>4628</v>
      </c>
      <c r="G3303" s="126" t="str">
        <f t="shared" si="211"/>
        <v>AR-AMN-3</v>
      </c>
      <c r="H3303" s="253" t="s">
        <v>346</v>
      </c>
      <c r="I3303" s="76">
        <v>1</v>
      </c>
      <c r="J3303" s="299" t="s">
        <v>286</v>
      </c>
      <c r="K3303" s="299"/>
      <c r="L3303" s="84"/>
      <c r="M3303" s="76"/>
      <c r="Q3303" s="86"/>
    </row>
    <row r="3304" spans="1:21" s="83" customFormat="1" ht="13.5" hidden="1" outlineLevel="2">
      <c r="B3304" s="119" t="s">
        <v>272</v>
      </c>
      <c r="C3304" s="266" t="s">
        <v>4828</v>
      </c>
      <c r="D3304" s="124" t="s">
        <v>4829</v>
      </c>
      <c r="E3304" s="125"/>
      <c r="F3304" s="118" t="s">
        <v>4628</v>
      </c>
      <c r="G3304" s="126" t="str">
        <f t="shared" si="211"/>
        <v>AR-AMN-3</v>
      </c>
      <c r="H3304" s="255" t="s">
        <v>346</v>
      </c>
      <c r="I3304" s="76">
        <v>1</v>
      </c>
      <c r="J3304" s="299" t="s">
        <v>286</v>
      </c>
      <c r="K3304" s="299"/>
      <c r="L3304" s="84"/>
      <c r="M3304" s="76"/>
      <c r="Q3304" s="86"/>
    </row>
    <row r="3305" spans="1:21" s="83" customFormat="1" ht="14.25" hidden="1" customHeight="1" outlineLevel="1">
      <c r="A3305" s="264"/>
      <c r="B3305" s="119" t="s">
        <v>272</v>
      </c>
      <c r="C3305" s="266" t="s">
        <v>4830</v>
      </c>
      <c r="D3305" s="124" t="s">
        <v>4831</v>
      </c>
      <c r="E3305" s="125"/>
      <c r="F3305" s="118" t="s">
        <v>4628</v>
      </c>
      <c r="G3305" s="126" t="str">
        <f>CONCATENATE("AR-",F3305,"-",H3305)</f>
        <v>AR-AMN-4</v>
      </c>
      <c r="H3305" s="253">
        <v>4</v>
      </c>
      <c r="I3305" s="76">
        <v>1</v>
      </c>
      <c r="J3305" s="299" t="s">
        <v>307</v>
      </c>
      <c r="K3305" s="299"/>
      <c r="L3305" s="86"/>
      <c r="M3305" s="76"/>
      <c r="N3305" s="76"/>
      <c r="O3305" s="76"/>
      <c r="P3305" s="76"/>
      <c r="Q3305" s="84"/>
      <c r="R3305" s="76"/>
      <c r="S3305" s="76"/>
      <c r="T3305" s="76"/>
      <c r="U3305" s="76"/>
    </row>
    <row r="3306" spans="1:21" s="83" customFormat="1" ht="13.5" hidden="1" outlineLevel="2">
      <c r="J3306" s="300"/>
      <c r="K3306" s="300"/>
      <c r="L3306" s="86"/>
      <c r="Q3306" s="86"/>
    </row>
    <row r="3307" spans="1:21" s="83" customFormat="1" ht="3" hidden="1" customHeight="1" outlineLevel="1">
      <c r="B3307" s="119"/>
      <c r="C3307" s="266"/>
      <c r="D3307" s="124" t="s">
        <v>299</v>
      </c>
      <c r="E3307" s="125"/>
      <c r="F3307" s="118"/>
      <c r="G3307" s="126"/>
      <c r="H3307" s="253"/>
      <c r="I3307" s="76"/>
      <c r="J3307" s="300"/>
      <c r="K3307" s="300"/>
      <c r="L3307" s="86"/>
      <c r="Q3307" s="86"/>
    </row>
    <row r="3308" spans="1:21" s="83" customFormat="1" ht="13.5" hidden="1" outlineLevel="1">
      <c r="B3308" s="293" t="s">
        <v>4832</v>
      </c>
      <c r="C3308" s="266"/>
      <c r="D3308" s="124"/>
      <c r="E3308" s="125"/>
      <c r="F3308" s="118"/>
      <c r="G3308" s="126"/>
      <c r="H3308" s="253"/>
      <c r="I3308" s="76"/>
      <c r="J3308" s="299"/>
      <c r="K3308" s="299"/>
      <c r="L3308" s="84"/>
      <c r="M3308" s="76"/>
      <c r="Q3308" s="86"/>
    </row>
    <row r="3309" spans="1:21" s="83" customFormat="1" ht="3" hidden="1" customHeight="1" outlineLevel="2">
      <c r="B3309" s="119"/>
      <c r="C3309" s="266"/>
      <c r="D3309" s="124" t="s">
        <v>299</v>
      </c>
      <c r="E3309" s="125"/>
      <c r="F3309" s="118"/>
      <c r="G3309" s="126"/>
      <c r="H3309" s="253"/>
      <c r="I3309" s="76"/>
      <c r="J3309" s="299"/>
      <c r="K3309" s="299"/>
      <c r="L3309" s="84"/>
      <c r="M3309" s="76"/>
      <c r="Q3309" s="86"/>
    </row>
    <row r="3310" spans="1:21" s="83" customFormat="1" ht="14.25" hidden="1" customHeight="1" outlineLevel="2">
      <c r="B3310" s="119" t="s">
        <v>4833</v>
      </c>
      <c r="C3310" s="266"/>
      <c r="D3310" s="124"/>
      <c r="E3310" s="125"/>
      <c r="F3310" s="118"/>
      <c r="G3310" s="126"/>
      <c r="H3310" s="253"/>
      <c r="I3310" s="76"/>
      <c r="J3310" s="299"/>
      <c r="K3310" s="299"/>
      <c r="L3310" s="84"/>
      <c r="M3310" s="76"/>
      <c r="Q3310" s="86"/>
    </row>
    <row r="3311" spans="1:21" s="83" customFormat="1" ht="13.5" hidden="1" outlineLevel="2">
      <c r="B3311" s="119" t="s">
        <v>272</v>
      </c>
      <c r="C3311" s="266" t="s">
        <v>4592</v>
      </c>
      <c r="D3311" s="124" t="s">
        <v>4593</v>
      </c>
      <c r="E3311" s="125"/>
      <c r="F3311" s="118" t="s">
        <v>4628</v>
      </c>
      <c r="G3311" s="126" t="str">
        <f>CONCATENATE("AR-",F3311,"-",H3311)</f>
        <v>AR-AMN-5</v>
      </c>
      <c r="H3311" s="253">
        <v>5</v>
      </c>
      <c r="I3311" s="76"/>
      <c r="J3311" s="299"/>
      <c r="K3311" s="299"/>
      <c r="L3311" s="84">
        <v>1</v>
      </c>
      <c r="M3311" s="76">
        <v>1</v>
      </c>
      <c r="Q3311" s="86"/>
    </row>
    <row r="3312" spans="1:21" s="83" customFormat="1" ht="3" hidden="1" customHeight="1" outlineLevel="2">
      <c r="B3312" s="119"/>
      <c r="C3312" s="266"/>
      <c r="D3312" s="124" t="s">
        <v>299</v>
      </c>
      <c r="E3312" s="125"/>
      <c r="F3312" s="118"/>
      <c r="G3312" s="126"/>
      <c r="H3312" s="253"/>
      <c r="I3312" s="76"/>
      <c r="J3312" s="299"/>
      <c r="K3312" s="299"/>
      <c r="L3312" s="84"/>
      <c r="M3312" s="76"/>
      <c r="Q3312" s="86"/>
    </row>
    <row r="3313" spans="2:17" s="83" customFormat="1" ht="14.25" hidden="1" customHeight="1" outlineLevel="2">
      <c r="B3313" s="119" t="s">
        <v>4834</v>
      </c>
      <c r="C3313" s="266"/>
      <c r="D3313" s="124"/>
      <c r="E3313" s="125"/>
      <c r="F3313" s="118"/>
      <c r="G3313" s="126"/>
      <c r="H3313" s="253"/>
      <c r="I3313" s="76"/>
      <c r="J3313" s="299"/>
      <c r="K3313" s="299"/>
      <c r="L3313" s="84"/>
      <c r="M3313" s="76"/>
      <c r="Q3313" s="86"/>
    </row>
    <row r="3314" spans="2:17" s="83" customFormat="1" ht="13.5" hidden="1" outlineLevel="2">
      <c r="B3314" s="119" t="s">
        <v>272</v>
      </c>
      <c r="C3314" s="266" t="s">
        <v>4594</v>
      </c>
      <c r="D3314" s="124" t="s">
        <v>4595</v>
      </c>
      <c r="E3314" s="125"/>
      <c r="F3314" s="118" t="s">
        <v>4628</v>
      </c>
      <c r="G3314" s="126" t="str">
        <f>CONCATENATE("AR-",F3314,"-",H3314)</f>
        <v>AR-AMN-5</v>
      </c>
      <c r="H3314" s="253">
        <v>5</v>
      </c>
      <c r="I3314" s="76"/>
      <c r="J3314" s="299"/>
      <c r="K3314" s="299"/>
      <c r="L3314" s="84">
        <v>1</v>
      </c>
      <c r="M3314" s="76">
        <v>1</v>
      </c>
      <c r="Q3314" s="86"/>
    </row>
    <row r="3315" spans="2:17" s="83" customFormat="1" ht="3" hidden="1" customHeight="1" outlineLevel="2">
      <c r="B3315" s="119"/>
      <c r="C3315" s="266"/>
      <c r="D3315" s="124" t="s">
        <v>299</v>
      </c>
      <c r="E3315" s="125"/>
      <c r="F3315" s="118"/>
      <c r="G3315" s="126"/>
      <c r="H3315" s="253"/>
      <c r="I3315" s="76"/>
      <c r="J3315" s="299"/>
      <c r="K3315" s="299"/>
      <c r="L3315" s="84"/>
      <c r="M3315" s="76"/>
      <c r="Q3315" s="86"/>
    </row>
    <row r="3316" spans="2:17" s="83" customFormat="1" ht="14.25" hidden="1" customHeight="1" outlineLevel="2">
      <c r="B3316" s="119" t="s">
        <v>4835</v>
      </c>
      <c r="C3316" s="266"/>
      <c r="D3316" s="124"/>
      <c r="E3316" s="125"/>
      <c r="F3316" s="118"/>
      <c r="G3316" s="126"/>
      <c r="H3316" s="253"/>
      <c r="I3316" s="76"/>
      <c r="J3316" s="299"/>
      <c r="K3316" s="299"/>
      <c r="L3316" s="84"/>
      <c r="M3316" s="76"/>
      <c r="Q3316" s="86"/>
    </row>
    <row r="3317" spans="2:17" s="83" customFormat="1" ht="13.5" hidden="1" outlineLevel="2">
      <c r="B3317" s="119" t="s">
        <v>272</v>
      </c>
      <c r="C3317" s="266" t="s">
        <v>1273</v>
      </c>
      <c r="D3317" s="124" t="s">
        <v>4596</v>
      </c>
      <c r="E3317" s="125"/>
      <c r="F3317" s="118" t="s">
        <v>4628</v>
      </c>
      <c r="G3317" s="126" t="str">
        <f>CONCATENATE("AR-",F3317,"-",H3317)</f>
        <v>AR-AMN-5</v>
      </c>
      <c r="H3317" s="253">
        <v>5</v>
      </c>
      <c r="I3317" s="76"/>
      <c r="J3317" s="299"/>
      <c r="K3317" s="299"/>
      <c r="L3317" s="84">
        <v>1</v>
      </c>
      <c r="M3317" s="76">
        <v>1</v>
      </c>
      <c r="Q3317" s="86"/>
    </row>
    <row r="3318" spans="2:17" s="83" customFormat="1" ht="13.5" hidden="1" outlineLevel="2">
      <c r="B3318" s="119" t="s">
        <v>272</v>
      </c>
      <c r="C3318" s="266" t="s">
        <v>4597</v>
      </c>
      <c r="D3318" s="124" t="s">
        <v>4836</v>
      </c>
      <c r="E3318" s="125"/>
      <c r="F3318" s="118" t="s">
        <v>4628</v>
      </c>
      <c r="G3318" s="126" t="str">
        <f>CONCATENATE("AR-",F3318,"-",H3318)</f>
        <v>AR-AMN-5</v>
      </c>
      <c r="H3318" s="253">
        <v>5</v>
      </c>
      <c r="I3318" s="76"/>
      <c r="J3318" s="299"/>
      <c r="K3318" s="299"/>
      <c r="L3318" s="84">
        <v>1</v>
      </c>
      <c r="M3318" s="76">
        <v>1</v>
      </c>
      <c r="Q3318" s="86"/>
    </row>
    <row r="3319" spans="2:17" s="83" customFormat="1" ht="3" hidden="1" customHeight="1" outlineLevel="2">
      <c r="B3319" s="119"/>
      <c r="C3319" s="266"/>
      <c r="D3319" s="124" t="s">
        <v>299</v>
      </c>
      <c r="E3319" s="125"/>
      <c r="F3319" s="118"/>
      <c r="G3319" s="126"/>
      <c r="H3319" s="253"/>
      <c r="I3319" s="76"/>
      <c r="J3319" s="299"/>
      <c r="K3319" s="299"/>
      <c r="L3319" s="84"/>
      <c r="M3319" s="76"/>
      <c r="Q3319" s="86"/>
    </row>
    <row r="3320" spans="2:17" s="83" customFormat="1" ht="14.25" hidden="1" customHeight="1" outlineLevel="2">
      <c r="B3320" s="119" t="s">
        <v>4837</v>
      </c>
      <c r="C3320" s="266"/>
      <c r="D3320" s="124"/>
      <c r="E3320" s="125"/>
      <c r="F3320" s="118"/>
      <c r="G3320" s="126"/>
      <c r="H3320" s="253"/>
      <c r="I3320" s="76"/>
      <c r="J3320" s="299"/>
      <c r="K3320" s="299"/>
      <c r="L3320" s="84"/>
      <c r="M3320" s="76"/>
      <c r="Q3320" s="86"/>
    </row>
    <row r="3321" spans="2:17" s="83" customFormat="1" ht="13.5" hidden="1" outlineLevel="2">
      <c r="B3321" s="119" t="s">
        <v>272</v>
      </c>
      <c r="C3321" s="266" t="s">
        <v>1276</v>
      </c>
      <c r="D3321" s="124" t="s">
        <v>4838</v>
      </c>
      <c r="E3321" s="125"/>
      <c r="F3321" s="118" t="s">
        <v>4628</v>
      </c>
      <c r="G3321" s="126" t="str">
        <f>CONCATENATE("AR-",F3321,"-",H3321)</f>
        <v>AR-AMN-5</v>
      </c>
      <c r="H3321" s="253">
        <v>5</v>
      </c>
      <c r="I3321" s="76"/>
      <c r="J3321" s="299"/>
      <c r="K3321" s="299"/>
      <c r="L3321" s="84">
        <v>1</v>
      </c>
      <c r="M3321" s="76">
        <v>1</v>
      </c>
      <c r="Q3321" s="86"/>
    </row>
    <row r="3322" spans="2:17" s="83" customFormat="1" ht="13.5" hidden="1" outlineLevel="2">
      <c r="B3322" s="119" t="s">
        <v>272</v>
      </c>
      <c r="C3322" s="266" t="s">
        <v>2148</v>
      </c>
      <c r="D3322" s="124" t="s">
        <v>4839</v>
      </c>
      <c r="E3322" s="125"/>
      <c r="F3322" s="118" t="s">
        <v>4628</v>
      </c>
      <c r="G3322" s="126" t="str">
        <f>CONCATENATE("AR-",F3322,"-",H3322)</f>
        <v>AR-AMN-5</v>
      </c>
      <c r="H3322" s="253">
        <v>5</v>
      </c>
      <c r="I3322" s="76"/>
      <c r="J3322" s="299"/>
      <c r="K3322" s="299"/>
      <c r="L3322" s="84">
        <v>1</v>
      </c>
      <c r="M3322" s="76">
        <v>1</v>
      </c>
      <c r="Q3322" s="86"/>
    </row>
    <row r="3323" spans="2:17" s="83" customFormat="1" ht="3" hidden="1" customHeight="1" outlineLevel="2">
      <c r="B3323" s="119"/>
      <c r="C3323" s="266"/>
      <c r="D3323" s="124" t="s">
        <v>299</v>
      </c>
      <c r="E3323" s="125"/>
      <c r="F3323" s="118"/>
      <c r="G3323" s="126"/>
      <c r="H3323" s="253"/>
      <c r="I3323" s="76"/>
      <c r="J3323" s="299"/>
      <c r="K3323" s="299"/>
      <c r="L3323" s="84"/>
      <c r="M3323" s="76"/>
      <c r="Q3323" s="86"/>
    </row>
    <row r="3324" spans="2:17" s="83" customFormat="1" ht="14.25" hidden="1" customHeight="1" outlineLevel="2">
      <c r="B3324" s="119" t="s">
        <v>4840</v>
      </c>
      <c r="C3324" s="266"/>
      <c r="D3324" s="124"/>
      <c r="E3324" s="125"/>
      <c r="F3324" s="118"/>
      <c r="G3324" s="126"/>
      <c r="H3324" s="253"/>
      <c r="I3324" s="76"/>
      <c r="J3324" s="299"/>
      <c r="K3324" s="299"/>
      <c r="L3324" s="84"/>
      <c r="M3324" s="76"/>
      <c r="Q3324" s="86"/>
    </row>
    <row r="3325" spans="2:17" s="83" customFormat="1" ht="13.5" hidden="1" outlineLevel="2">
      <c r="B3325" s="119" t="s">
        <v>272</v>
      </c>
      <c r="C3325" s="266" t="s">
        <v>1278</v>
      </c>
      <c r="D3325" s="124" t="s">
        <v>4841</v>
      </c>
      <c r="E3325" s="125"/>
      <c r="F3325" s="118" t="s">
        <v>4628</v>
      </c>
      <c r="G3325" s="126" t="str">
        <f>CONCATENATE("AR-",F3325,"-",H3325)</f>
        <v>AR-AMN-5</v>
      </c>
      <c r="H3325" s="253">
        <v>5</v>
      </c>
      <c r="I3325" s="76"/>
      <c r="J3325" s="299"/>
      <c r="K3325" s="299"/>
      <c r="L3325" s="84">
        <v>1</v>
      </c>
      <c r="M3325" s="76">
        <v>1</v>
      </c>
      <c r="Q3325" s="86"/>
    </row>
    <row r="3326" spans="2:17" s="83" customFormat="1" ht="13.5" hidden="1" outlineLevel="2">
      <c r="B3326" s="119" t="s">
        <v>272</v>
      </c>
      <c r="C3326" s="266" t="s">
        <v>2152</v>
      </c>
      <c r="D3326" s="124" t="s">
        <v>4842</v>
      </c>
      <c r="E3326" s="125"/>
      <c r="F3326" s="118" t="s">
        <v>4628</v>
      </c>
      <c r="G3326" s="126" t="str">
        <f>CONCATENATE("AR-",F3326,"-",H3326)</f>
        <v>AR-AMN-5</v>
      </c>
      <c r="H3326" s="253">
        <v>5</v>
      </c>
      <c r="I3326" s="76"/>
      <c r="J3326" s="299"/>
      <c r="K3326" s="299"/>
      <c r="L3326" s="84">
        <v>1</v>
      </c>
      <c r="M3326" s="76">
        <v>1</v>
      </c>
      <c r="Q3326" s="86"/>
    </row>
    <row r="3327" spans="2:17" s="83" customFormat="1" ht="3" hidden="1" customHeight="1" outlineLevel="2">
      <c r="B3327" s="119"/>
      <c r="C3327" s="266"/>
      <c r="D3327" s="124" t="s">
        <v>299</v>
      </c>
      <c r="E3327" s="125"/>
      <c r="F3327" s="118"/>
      <c r="G3327" s="126"/>
      <c r="H3327" s="253"/>
      <c r="I3327" s="76"/>
      <c r="J3327" s="299"/>
      <c r="K3327" s="299"/>
      <c r="L3327" s="84"/>
      <c r="M3327" s="76"/>
      <c r="Q3327" s="86"/>
    </row>
    <row r="3328" spans="2:17" s="83" customFormat="1" ht="14.25" hidden="1" customHeight="1" outlineLevel="2">
      <c r="B3328" s="119" t="s">
        <v>4843</v>
      </c>
      <c r="C3328" s="266"/>
      <c r="D3328" s="124"/>
      <c r="E3328" s="125"/>
      <c r="F3328" s="118"/>
      <c r="G3328" s="126"/>
      <c r="H3328" s="253"/>
      <c r="I3328" s="76"/>
      <c r="J3328" s="299"/>
      <c r="K3328" s="299"/>
      <c r="L3328" s="84"/>
      <c r="M3328" s="76"/>
      <c r="Q3328" s="86"/>
    </row>
    <row r="3329" spans="2:17" s="83" customFormat="1" ht="13.5" hidden="1" outlineLevel="2">
      <c r="B3329" s="119" t="s">
        <v>272</v>
      </c>
      <c r="C3329" s="266">
        <v>1401</v>
      </c>
      <c r="D3329" s="124" t="s">
        <v>4606</v>
      </c>
      <c r="E3329" s="125"/>
      <c r="F3329" s="118" t="s">
        <v>4628</v>
      </c>
      <c r="G3329" s="126" t="str">
        <f>CONCATENATE("AR-",F3329,"-",H3329)</f>
        <v>AR-AMN-5</v>
      </c>
      <c r="H3329" s="253">
        <v>5</v>
      </c>
      <c r="I3329" s="76"/>
      <c r="J3329" s="299"/>
      <c r="K3329" s="299"/>
      <c r="L3329" s="84">
        <v>1</v>
      </c>
      <c r="M3329" s="76">
        <v>1</v>
      </c>
      <c r="Q3329" s="86"/>
    </row>
    <row r="3330" spans="2:17" s="83" customFormat="1" ht="13.5" hidden="1" outlineLevel="2">
      <c r="B3330" s="119" t="s">
        <v>272</v>
      </c>
      <c r="C3330" s="266">
        <v>1402</v>
      </c>
      <c r="D3330" s="124" t="s">
        <v>4844</v>
      </c>
      <c r="E3330" s="125"/>
      <c r="F3330" s="118" t="s">
        <v>4628</v>
      </c>
      <c r="G3330" s="126" t="str">
        <f>CONCATENATE("AR-",F3330,"-",H3330)</f>
        <v>AR-AMN-5</v>
      </c>
      <c r="H3330" s="253">
        <v>5</v>
      </c>
      <c r="I3330" s="76"/>
      <c r="J3330" s="299"/>
      <c r="K3330" s="299"/>
      <c r="L3330" s="84">
        <v>1</v>
      </c>
      <c r="M3330" s="76">
        <v>1</v>
      </c>
      <c r="Q3330" s="86"/>
    </row>
    <row r="3331" spans="2:17" s="83" customFormat="1" ht="13.5" hidden="1" outlineLevel="2">
      <c r="B3331" s="119" t="s">
        <v>272</v>
      </c>
      <c r="C3331" s="266">
        <v>1404</v>
      </c>
      <c r="D3331" s="124" t="s">
        <v>4609</v>
      </c>
      <c r="E3331" s="125"/>
      <c r="F3331" s="118" t="s">
        <v>4628</v>
      </c>
      <c r="G3331" s="126" t="str">
        <f>CONCATENATE("AR-",F3331,"-",H3331)</f>
        <v>AR-AMN-5</v>
      </c>
      <c r="H3331" s="253">
        <v>5</v>
      </c>
      <c r="I3331" s="76"/>
      <c r="J3331" s="299"/>
      <c r="K3331" s="299"/>
      <c r="L3331" s="84">
        <v>1</v>
      </c>
      <c r="M3331" s="76">
        <v>1</v>
      </c>
      <c r="Q3331" s="86"/>
    </row>
    <row r="3332" spans="2:17" s="83" customFormat="1" ht="13.5" hidden="1" outlineLevel="2">
      <c r="B3332" s="119" t="s">
        <v>272</v>
      </c>
      <c r="C3332" s="266" t="s">
        <v>1282</v>
      </c>
      <c r="D3332" s="124" t="s">
        <v>4610</v>
      </c>
      <c r="E3332" s="125"/>
      <c r="F3332" s="118" t="s">
        <v>4628</v>
      </c>
      <c r="G3332" s="126" t="str">
        <f>CONCATENATE("AR-",F3332,"-",H3332)</f>
        <v>AR-AMN-5</v>
      </c>
      <c r="H3332" s="253">
        <v>5</v>
      </c>
      <c r="I3332" s="76"/>
      <c r="J3332" s="299"/>
      <c r="K3332" s="299"/>
      <c r="L3332" s="84">
        <v>1</v>
      </c>
      <c r="M3332" s="76">
        <v>1</v>
      </c>
      <c r="Q3332" s="86"/>
    </row>
    <row r="3333" spans="2:17" s="83" customFormat="1" ht="3" hidden="1" customHeight="1" outlineLevel="2">
      <c r="B3333" s="119"/>
      <c r="C3333" s="266"/>
      <c r="D3333" s="124" t="s">
        <v>299</v>
      </c>
      <c r="E3333" s="125"/>
      <c r="F3333" s="118"/>
      <c r="G3333" s="126"/>
      <c r="H3333" s="253"/>
      <c r="I3333" s="76"/>
      <c r="J3333" s="299"/>
      <c r="K3333" s="299"/>
      <c r="L3333" s="84"/>
      <c r="M3333" s="76"/>
      <c r="Q3333" s="86"/>
    </row>
    <row r="3334" spans="2:17" s="83" customFormat="1" ht="14.25" hidden="1" customHeight="1" outlineLevel="2">
      <c r="B3334" s="119" t="s">
        <v>4845</v>
      </c>
      <c r="C3334" s="266"/>
      <c r="D3334" s="124"/>
      <c r="E3334" s="125"/>
      <c r="F3334" s="118"/>
      <c r="G3334" s="126"/>
      <c r="H3334" s="253"/>
      <c r="I3334" s="76"/>
      <c r="J3334" s="299"/>
      <c r="K3334" s="299"/>
      <c r="L3334" s="84"/>
      <c r="M3334" s="76"/>
      <c r="Q3334" s="86"/>
    </row>
    <row r="3335" spans="2:17" s="83" customFormat="1" ht="13.5" hidden="1" outlineLevel="2">
      <c r="B3335" s="119" t="s">
        <v>272</v>
      </c>
      <c r="C3335" s="266" t="s">
        <v>1284</v>
      </c>
      <c r="D3335" s="124" t="s">
        <v>4846</v>
      </c>
      <c r="E3335" s="125"/>
      <c r="F3335" s="118" t="s">
        <v>4628</v>
      </c>
      <c r="G3335" s="126" t="str">
        <f>CONCATENATE("AR-",F3335,"-",H3335)</f>
        <v>AR-AMN-5</v>
      </c>
      <c r="H3335" s="253">
        <v>5</v>
      </c>
      <c r="I3335" s="76"/>
      <c r="J3335" s="299"/>
      <c r="K3335" s="299"/>
      <c r="L3335" s="84">
        <v>1</v>
      </c>
      <c r="M3335" s="76">
        <v>1</v>
      </c>
      <c r="Q3335" s="86"/>
    </row>
    <row r="3336" spans="2:17" s="83" customFormat="1" ht="13.5" hidden="1" outlineLevel="2">
      <c r="B3336" s="119" t="s">
        <v>272</v>
      </c>
      <c r="C3336" s="266" t="s">
        <v>1286</v>
      </c>
      <c r="D3336" s="124" t="s">
        <v>4847</v>
      </c>
      <c r="E3336" s="125"/>
      <c r="F3336" s="118" t="s">
        <v>4628</v>
      </c>
      <c r="G3336" s="126" t="str">
        <f>CONCATENATE("AR-",F3336,"-",H3336)</f>
        <v>AR-AMN-5</v>
      </c>
      <c r="H3336" s="253">
        <v>5</v>
      </c>
      <c r="I3336" s="76"/>
      <c r="J3336" s="299"/>
      <c r="K3336" s="299"/>
      <c r="L3336" s="84">
        <v>1</v>
      </c>
      <c r="M3336" s="76">
        <v>1</v>
      </c>
      <c r="Q3336" s="86"/>
    </row>
    <row r="3337" spans="2:17" s="83" customFormat="1" ht="3" hidden="1" customHeight="1" outlineLevel="2">
      <c r="B3337" s="119"/>
      <c r="C3337" s="266"/>
      <c r="D3337" s="124" t="s">
        <v>299</v>
      </c>
      <c r="E3337" s="125"/>
      <c r="F3337" s="118"/>
      <c r="G3337" s="126"/>
      <c r="H3337" s="253"/>
      <c r="I3337" s="76"/>
      <c r="J3337" s="299"/>
      <c r="K3337" s="299"/>
      <c r="L3337" s="84"/>
      <c r="M3337" s="76"/>
      <c r="Q3337" s="86"/>
    </row>
    <row r="3338" spans="2:17" s="83" customFormat="1" ht="14.25" hidden="1" customHeight="1" outlineLevel="2">
      <c r="B3338" s="119" t="s">
        <v>4848</v>
      </c>
      <c r="C3338" s="266"/>
      <c r="D3338" s="124"/>
      <c r="E3338" s="125"/>
      <c r="F3338" s="118"/>
      <c r="G3338" s="126"/>
      <c r="H3338" s="253"/>
      <c r="I3338" s="76"/>
      <c r="J3338" s="299"/>
      <c r="K3338" s="299"/>
      <c r="L3338" s="84"/>
      <c r="M3338" s="76"/>
      <c r="Q3338" s="86"/>
    </row>
    <row r="3339" spans="2:17" s="83" customFormat="1" ht="13.5" hidden="1" outlineLevel="2">
      <c r="B3339" s="119" t="s">
        <v>272</v>
      </c>
      <c r="C3339" s="266" t="s">
        <v>4611</v>
      </c>
      <c r="D3339" s="124" t="s">
        <v>4612</v>
      </c>
      <c r="E3339" s="125"/>
      <c r="F3339" s="118" t="s">
        <v>4628</v>
      </c>
      <c r="G3339" s="126" t="str">
        <f>CONCATENATE("AR-",F3339,"-",H3339)</f>
        <v>AR-AMN-5</v>
      </c>
      <c r="H3339" s="253">
        <v>5</v>
      </c>
      <c r="I3339" s="76"/>
      <c r="J3339" s="299"/>
      <c r="K3339" s="299"/>
      <c r="L3339" s="84">
        <v>1</v>
      </c>
      <c r="M3339" s="76">
        <v>1</v>
      </c>
      <c r="Q3339" s="86"/>
    </row>
    <row r="3340" spans="2:17" s="83" customFormat="1" ht="3" hidden="1" customHeight="1" outlineLevel="2">
      <c r="B3340" s="119"/>
      <c r="C3340" s="266"/>
      <c r="D3340" s="124" t="s">
        <v>299</v>
      </c>
      <c r="E3340" s="125"/>
      <c r="F3340" s="118"/>
      <c r="G3340" s="126"/>
      <c r="H3340" s="253"/>
      <c r="I3340" s="76"/>
      <c r="J3340" s="299"/>
      <c r="K3340" s="299"/>
      <c r="L3340" s="84"/>
      <c r="M3340" s="76"/>
      <c r="Q3340" s="86"/>
    </row>
    <row r="3341" spans="2:17" s="83" customFormat="1" ht="14.25" hidden="1" customHeight="1" outlineLevel="2">
      <c r="B3341" s="119" t="s">
        <v>4849</v>
      </c>
      <c r="C3341" s="266"/>
      <c r="D3341" s="124"/>
      <c r="E3341" s="125"/>
      <c r="F3341" s="118"/>
      <c r="G3341" s="126"/>
      <c r="H3341" s="253"/>
      <c r="I3341" s="76"/>
      <c r="J3341" s="299"/>
      <c r="K3341" s="299"/>
      <c r="L3341" s="84"/>
      <c r="M3341" s="76"/>
      <c r="Q3341" s="86"/>
    </row>
    <row r="3342" spans="2:17" s="83" customFormat="1" ht="13.5" hidden="1" outlineLevel="2">
      <c r="B3342" s="119" t="s">
        <v>272</v>
      </c>
      <c r="C3342" s="266" t="s">
        <v>4613</v>
      </c>
      <c r="D3342" s="124" t="s">
        <v>4614</v>
      </c>
      <c r="E3342" s="125"/>
      <c r="F3342" s="118" t="s">
        <v>4628</v>
      </c>
      <c r="G3342" s="126" t="str">
        <f>CONCATENATE("AR-",F3342,"-",H3342)</f>
        <v>AR-AMN-5</v>
      </c>
      <c r="H3342" s="253">
        <v>5</v>
      </c>
      <c r="I3342" s="76"/>
      <c r="J3342" s="299"/>
      <c r="K3342" s="299"/>
      <c r="L3342" s="84">
        <v>1</v>
      </c>
      <c r="M3342" s="76">
        <v>1</v>
      </c>
      <c r="Q3342" s="86"/>
    </row>
    <row r="3343" spans="2:17" s="83" customFormat="1" ht="13.5" hidden="1" outlineLevel="2">
      <c r="B3343" s="119" t="s">
        <v>272</v>
      </c>
      <c r="C3343" s="266" t="s">
        <v>4615</v>
      </c>
      <c r="D3343" s="124" t="s">
        <v>4614</v>
      </c>
      <c r="E3343" s="125"/>
      <c r="F3343" s="118" t="s">
        <v>4628</v>
      </c>
      <c r="G3343" s="126" t="str">
        <f>CONCATENATE("AR-",F3343,"-",H3343)</f>
        <v>AR-AMN-5</v>
      </c>
      <c r="H3343" s="253">
        <v>5</v>
      </c>
      <c r="I3343" s="76"/>
      <c r="J3343" s="299"/>
      <c r="K3343" s="299"/>
      <c r="L3343" s="84">
        <v>1</v>
      </c>
      <c r="M3343" s="76">
        <v>1</v>
      </c>
      <c r="Q3343" s="86"/>
    </row>
    <row r="3344" spans="2:17" s="83" customFormat="1" ht="3" hidden="1" customHeight="1" outlineLevel="2">
      <c r="B3344" s="119"/>
      <c r="C3344" s="266"/>
      <c r="D3344" s="124" t="s">
        <v>299</v>
      </c>
      <c r="E3344" s="125"/>
      <c r="F3344" s="118"/>
      <c r="G3344" s="126"/>
      <c r="H3344" s="253"/>
      <c r="I3344" s="76"/>
      <c r="J3344" s="299"/>
      <c r="K3344" s="299"/>
      <c r="L3344" s="84"/>
      <c r="M3344" s="76"/>
      <c r="Q3344" s="86"/>
    </row>
    <row r="3345" spans="2:17" s="83" customFormat="1" ht="13.5" hidden="1" outlineLevel="2">
      <c r="B3345" s="119" t="s">
        <v>4850</v>
      </c>
      <c r="C3345" s="266"/>
      <c r="D3345" s="124"/>
      <c r="E3345" s="125"/>
      <c r="F3345" s="118"/>
      <c r="G3345" s="126"/>
      <c r="H3345" s="253"/>
      <c r="I3345" s="76"/>
      <c r="J3345" s="299"/>
      <c r="K3345" s="299"/>
      <c r="L3345" s="84"/>
      <c r="M3345" s="76"/>
      <c r="Q3345" s="86"/>
    </row>
    <row r="3346" spans="2:17" s="83" customFormat="1" ht="13.5" hidden="1" outlineLevel="2">
      <c r="B3346" s="119" t="s">
        <v>272</v>
      </c>
      <c r="C3346" s="266">
        <v>4001</v>
      </c>
      <c r="D3346" s="124" t="s">
        <v>4851</v>
      </c>
      <c r="E3346" s="125"/>
      <c r="F3346" s="118" t="s">
        <v>4628</v>
      </c>
      <c r="G3346" s="126" t="str">
        <f>CONCATENATE("AR-",F3346,"-",H3346)</f>
        <v>AR-AMN-5</v>
      </c>
      <c r="H3346" s="253">
        <v>5</v>
      </c>
      <c r="I3346" s="76"/>
      <c r="J3346" s="299"/>
      <c r="K3346" s="299"/>
      <c r="L3346" s="84">
        <v>1</v>
      </c>
      <c r="M3346" s="76">
        <v>1</v>
      </c>
      <c r="Q3346" s="86"/>
    </row>
    <row r="3347" spans="2:17" s="83" customFormat="1" ht="13.5" hidden="1" outlineLevel="2">
      <c r="B3347" s="119" t="s">
        <v>272</v>
      </c>
      <c r="C3347" s="266">
        <v>4002</v>
      </c>
      <c r="D3347" s="124" t="s">
        <v>4852</v>
      </c>
      <c r="E3347" s="125"/>
      <c r="F3347" s="118" t="s">
        <v>4628</v>
      </c>
      <c r="G3347" s="126" t="str">
        <f>CONCATENATE("AR-",F3347,"-",H3347)</f>
        <v>AR-AMN-5</v>
      </c>
      <c r="H3347" s="253">
        <v>5</v>
      </c>
      <c r="I3347" s="76"/>
      <c r="J3347" s="299"/>
      <c r="K3347" s="299"/>
      <c r="L3347" s="84">
        <v>1</v>
      </c>
      <c r="M3347" s="76">
        <v>1</v>
      </c>
      <c r="Q3347" s="86"/>
    </row>
    <row r="3348" spans="2:17" s="83" customFormat="1" ht="13.5" hidden="1" outlineLevel="2">
      <c r="B3348" s="119" t="s">
        <v>272</v>
      </c>
      <c r="C3348" s="266">
        <v>4003</v>
      </c>
      <c r="D3348" s="124" t="s">
        <v>4853</v>
      </c>
      <c r="E3348" s="125"/>
      <c r="F3348" s="118" t="s">
        <v>4628</v>
      </c>
      <c r="G3348" s="126" t="str">
        <f>CONCATENATE("AR-",F3348,"-",H3348)</f>
        <v>AR-AMN-5</v>
      </c>
      <c r="H3348" s="253">
        <v>5</v>
      </c>
      <c r="I3348" s="76"/>
      <c r="J3348" s="299"/>
      <c r="K3348" s="299"/>
      <c r="L3348" s="84">
        <v>1</v>
      </c>
      <c r="M3348" s="76">
        <v>1</v>
      </c>
      <c r="Q3348" s="86"/>
    </row>
    <row r="3349" spans="2:17" s="83" customFormat="1" ht="13.5" hidden="1" outlineLevel="2">
      <c r="B3349" s="119" t="s">
        <v>272</v>
      </c>
      <c r="C3349" s="266">
        <v>4004</v>
      </c>
      <c r="D3349" s="124" t="s">
        <v>4854</v>
      </c>
      <c r="E3349" s="125"/>
      <c r="F3349" s="118" t="s">
        <v>4628</v>
      </c>
      <c r="G3349" s="126" t="str">
        <f>CONCATENATE("AR-",F3349,"-",H3349)</f>
        <v>AR-AMN-5</v>
      </c>
      <c r="H3349" s="253">
        <v>5</v>
      </c>
      <c r="I3349" s="76"/>
      <c r="J3349" s="299"/>
      <c r="K3349" s="299"/>
      <c r="L3349" s="84">
        <v>1</v>
      </c>
      <c r="M3349" s="76">
        <v>1</v>
      </c>
      <c r="Q3349" s="86"/>
    </row>
    <row r="3350" spans="2:17" s="83" customFormat="1" ht="3" hidden="1" customHeight="1" outlineLevel="2">
      <c r="B3350" s="119"/>
      <c r="C3350" s="266"/>
      <c r="D3350" s="124" t="s">
        <v>299</v>
      </c>
      <c r="E3350" s="125"/>
      <c r="F3350" s="118"/>
      <c r="G3350" s="126"/>
      <c r="H3350" s="253"/>
      <c r="I3350" s="76"/>
      <c r="J3350" s="299"/>
      <c r="K3350" s="299"/>
      <c r="L3350" s="84"/>
      <c r="M3350" s="76"/>
      <c r="Q3350" s="86"/>
    </row>
    <row r="3351" spans="2:17" s="83" customFormat="1" ht="13.5" hidden="1" outlineLevel="2">
      <c r="B3351" s="119" t="s">
        <v>4855</v>
      </c>
      <c r="C3351" s="266"/>
      <c r="D3351" s="124"/>
      <c r="E3351" s="125"/>
      <c r="F3351" s="118"/>
      <c r="G3351" s="126"/>
      <c r="H3351" s="253"/>
      <c r="I3351" s="76"/>
      <c r="J3351" s="299"/>
      <c r="K3351" s="299"/>
      <c r="L3351" s="84"/>
      <c r="M3351" s="76"/>
      <c r="Q3351" s="86"/>
    </row>
    <row r="3352" spans="2:17" s="83" customFormat="1" ht="13.5" hidden="1" outlineLevel="2">
      <c r="B3352" s="119" t="s">
        <v>272</v>
      </c>
      <c r="C3352" s="266">
        <v>4401</v>
      </c>
      <c r="D3352" s="124" t="s">
        <v>4616</v>
      </c>
      <c r="E3352" s="125"/>
      <c r="F3352" s="118" t="s">
        <v>4628</v>
      </c>
      <c r="G3352" s="126" t="str">
        <f>CONCATENATE("AR-",F3352,"-",H3352)</f>
        <v>AR-AMN-5</v>
      </c>
      <c r="H3352" s="253">
        <v>5</v>
      </c>
      <c r="I3352" s="76"/>
      <c r="J3352" s="299"/>
      <c r="K3352" s="299"/>
      <c r="L3352" s="84">
        <v>1</v>
      </c>
      <c r="M3352" s="76">
        <v>1</v>
      </c>
      <c r="Q3352" s="86"/>
    </row>
    <row r="3353" spans="2:17" s="83" customFormat="1" ht="13.5" hidden="1" outlineLevel="2">
      <c r="B3353" s="119" t="s">
        <v>272</v>
      </c>
      <c r="C3353" s="266">
        <v>4402</v>
      </c>
      <c r="D3353" s="124" t="s">
        <v>4617</v>
      </c>
      <c r="E3353" s="125"/>
      <c r="F3353" s="118" t="s">
        <v>4628</v>
      </c>
      <c r="G3353" s="126" t="str">
        <f>CONCATENATE("AR-",F3353,"-",H3353)</f>
        <v>AR-AMN-5</v>
      </c>
      <c r="H3353" s="253">
        <v>5</v>
      </c>
      <c r="I3353" s="76"/>
      <c r="J3353" s="299"/>
      <c r="K3353" s="299"/>
      <c r="L3353" s="84">
        <v>1</v>
      </c>
      <c r="M3353" s="76">
        <v>1</v>
      </c>
      <c r="Q3353" s="86"/>
    </row>
    <row r="3354" spans="2:17" s="83" customFormat="1" ht="3" hidden="1" customHeight="1" outlineLevel="2">
      <c r="B3354" s="119"/>
      <c r="C3354" s="266"/>
      <c r="D3354" s="124" t="s">
        <v>299</v>
      </c>
      <c r="E3354" s="125"/>
      <c r="F3354" s="118"/>
      <c r="G3354" s="126"/>
      <c r="H3354" s="253"/>
      <c r="I3354" s="76"/>
      <c r="J3354" s="299"/>
      <c r="K3354" s="299"/>
      <c r="L3354" s="84"/>
      <c r="M3354" s="76"/>
      <c r="Q3354" s="86"/>
    </row>
    <row r="3355" spans="2:17" s="83" customFormat="1" ht="13.5" hidden="1" outlineLevel="2">
      <c r="B3355" s="119" t="s">
        <v>4856</v>
      </c>
      <c r="C3355" s="266"/>
      <c r="D3355" s="124"/>
      <c r="E3355" s="125"/>
      <c r="F3355" s="118"/>
      <c r="G3355" s="126"/>
      <c r="H3355" s="253"/>
      <c r="I3355" s="76"/>
      <c r="J3355" s="299"/>
      <c r="K3355" s="299"/>
      <c r="L3355" s="84"/>
      <c r="M3355" s="76"/>
      <c r="Q3355" s="86"/>
    </row>
    <row r="3356" spans="2:17" s="83" customFormat="1" ht="13.5" hidden="1" outlineLevel="2">
      <c r="B3356" s="119" t="s">
        <v>272</v>
      </c>
      <c r="C3356" s="266">
        <v>4601</v>
      </c>
      <c r="D3356" s="124" t="s">
        <v>4619</v>
      </c>
      <c r="E3356" s="125"/>
      <c r="F3356" s="118" t="s">
        <v>4628</v>
      </c>
      <c r="G3356" s="126" t="str">
        <f>CONCATENATE("AR-",F3356,"-",H3356)</f>
        <v>AR-AMN-5</v>
      </c>
      <c r="H3356" s="253">
        <v>5</v>
      </c>
      <c r="I3356" s="76"/>
      <c r="J3356" s="299"/>
      <c r="K3356" s="299"/>
      <c r="L3356" s="84">
        <v>1</v>
      </c>
      <c r="M3356" s="76">
        <v>1</v>
      </c>
      <c r="Q3356" s="86"/>
    </row>
    <row r="3357" spans="2:17" s="83" customFormat="1" ht="3" hidden="1" customHeight="1" outlineLevel="2">
      <c r="B3357" s="119"/>
      <c r="C3357" s="266"/>
      <c r="D3357" s="124" t="s">
        <v>299</v>
      </c>
      <c r="E3357" s="125"/>
      <c r="F3357" s="118"/>
      <c r="G3357" s="126"/>
      <c r="H3357" s="253"/>
      <c r="I3357" s="76"/>
      <c r="J3357" s="299"/>
      <c r="K3357" s="299"/>
      <c r="L3357" s="84"/>
      <c r="M3357" s="76"/>
      <c r="Q3357" s="86"/>
    </row>
    <row r="3358" spans="2:17" s="83" customFormat="1" ht="13.5" hidden="1" outlineLevel="2">
      <c r="B3358" s="119" t="s">
        <v>4857</v>
      </c>
      <c r="C3358" s="266"/>
      <c r="D3358" s="124"/>
      <c r="E3358" s="125"/>
      <c r="F3358" s="118"/>
      <c r="G3358" s="126"/>
      <c r="H3358" s="253"/>
      <c r="I3358" s="76"/>
      <c r="J3358" s="299"/>
      <c r="K3358" s="299"/>
      <c r="L3358" s="84"/>
      <c r="M3358" s="76"/>
      <c r="Q3358" s="86"/>
    </row>
    <row r="3359" spans="2:17" s="83" customFormat="1" ht="13.5" hidden="1" outlineLevel="2">
      <c r="B3359" s="119" t="s">
        <v>272</v>
      </c>
      <c r="C3359" s="266" t="s">
        <v>1293</v>
      </c>
      <c r="D3359" s="124" t="s">
        <v>1294</v>
      </c>
      <c r="E3359" s="125"/>
      <c r="F3359" s="118" t="s">
        <v>4628</v>
      </c>
      <c r="G3359" s="126" t="str">
        <f>CONCATENATE("AR-",F3359,"-",H3359)</f>
        <v>AR-AMN-5</v>
      </c>
      <c r="H3359" s="253">
        <v>5</v>
      </c>
      <c r="I3359" s="76"/>
      <c r="J3359" s="299"/>
      <c r="K3359" s="299"/>
      <c r="L3359" s="84">
        <v>1</v>
      </c>
      <c r="M3359" s="76">
        <v>1</v>
      </c>
      <c r="Q3359" s="86"/>
    </row>
    <row r="3360" spans="2:17" s="83" customFormat="1" ht="13.5" hidden="1" outlineLevel="2">
      <c r="B3360" s="119" t="s">
        <v>272</v>
      </c>
      <c r="C3360" s="266" t="s">
        <v>1295</v>
      </c>
      <c r="D3360" s="124" t="s">
        <v>1296</v>
      </c>
      <c r="E3360" s="125"/>
      <c r="F3360" s="118" t="s">
        <v>4628</v>
      </c>
      <c r="G3360" s="126" t="str">
        <f>CONCATENATE("AR-",F3360,"-",H3360)</f>
        <v>AR-AMN-5</v>
      </c>
      <c r="H3360" s="253">
        <v>5</v>
      </c>
      <c r="I3360" s="76"/>
      <c r="J3360" s="299"/>
      <c r="K3360" s="299"/>
      <c r="L3360" s="84">
        <v>1</v>
      </c>
      <c r="M3360" s="76">
        <v>1</v>
      </c>
      <c r="Q3360" s="86"/>
    </row>
    <row r="3361" spans="2:17" s="83" customFormat="1" ht="13.5" hidden="1" outlineLevel="2">
      <c r="B3361" s="119" t="s">
        <v>272</v>
      </c>
      <c r="C3361" s="266" t="s">
        <v>1297</v>
      </c>
      <c r="D3361" s="124" t="s">
        <v>1298</v>
      </c>
      <c r="E3361" s="125"/>
      <c r="F3361" s="118" t="s">
        <v>4628</v>
      </c>
      <c r="G3361" s="126" t="str">
        <f>CONCATENATE("AR-",F3361,"-",H3361)</f>
        <v>AR-AMN-5</v>
      </c>
      <c r="H3361" s="253">
        <v>5</v>
      </c>
      <c r="I3361" s="76"/>
      <c r="J3361" s="299"/>
      <c r="K3361" s="299"/>
      <c r="L3361" s="84">
        <v>1</v>
      </c>
      <c r="M3361" s="76">
        <v>1</v>
      </c>
      <c r="Q3361" s="86"/>
    </row>
    <row r="3362" spans="2:17" s="83" customFormat="1" ht="13.5" hidden="1" outlineLevel="2">
      <c r="B3362" s="119" t="s">
        <v>272</v>
      </c>
      <c r="C3362" s="266" t="s">
        <v>1299</v>
      </c>
      <c r="D3362" s="124" t="s">
        <v>1300</v>
      </c>
      <c r="E3362" s="125"/>
      <c r="F3362" s="118" t="s">
        <v>4628</v>
      </c>
      <c r="G3362" s="126" t="str">
        <f>CONCATENATE("AR-",F3362,"-",H3362)</f>
        <v>AR-AMN-5</v>
      </c>
      <c r="H3362" s="253">
        <v>5</v>
      </c>
      <c r="I3362" s="76"/>
      <c r="J3362" s="299"/>
      <c r="K3362" s="299"/>
      <c r="L3362" s="84">
        <v>1</v>
      </c>
      <c r="M3362" s="76">
        <v>1</v>
      </c>
      <c r="Q3362" s="86"/>
    </row>
    <row r="3363" spans="2:17" s="83" customFormat="1" ht="3" hidden="1" customHeight="1" outlineLevel="2">
      <c r="B3363" s="119"/>
      <c r="C3363" s="266"/>
      <c r="D3363" s="124" t="s">
        <v>299</v>
      </c>
      <c r="E3363" s="125"/>
      <c r="F3363" s="118"/>
      <c r="G3363" s="126"/>
      <c r="H3363" s="253"/>
      <c r="I3363" s="76"/>
      <c r="J3363" s="299"/>
      <c r="K3363" s="299"/>
      <c r="L3363" s="84"/>
      <c r="M3363" s="76"/>
      <c r="Q3363" s="86"/>
    </row>
    <row r="3364" spans="2:17" s="83" customFormat="1" ht="14.25" hidden="1" customHeight="1" outlineLevel="2">
      <c r="B3364" s="119" t="s">
        <v>4858</v>
      </c>
      <c r="C3364" s="266"/>
      <c r="D3364" s="124"/>
      <c r="E3364" s="125"/>
      <c r="F3364" s="118"/>
      <c r="G3364" s="126"/>
      <c r="H3364" s="253"/>
      <c r="I3364" s="76"/>
      <c r="J3364" s="299"/>
      <c r="K3364" s="299"/>
      <c r="L3364" s="84"/>
      <c r="M3364" s="76"/>
      <c r="Q3364" s="86"/>
    </row>
    <row r="3365" spans="2:17" s="83" customFormat="1" ht="13.5" hidden="1" outlineLevel="2">
      <c r="B3365" s="119" t="s">
        <v>272</v>
      </c>
      <c r="C3365" s="266">
        <v>5501</v>
      </c>
      <c r="D3365" s="124" t="s">
        <v>4859</v>
      </c>
      <c r="E3365" s="125"/>
      <c r="F3365" s="118" t="s">
        <v>4628</v>
      </c>
      <c r="G3365" s="126" t="str">
        <f>CONCATENATE("AR-",F3365,"-",H3365)</f>
        <v>AR-AMN-5</v>
      </c>
      <c r="H3365" s="253">
        <v>5</v>
      </c>
      <c r="I3365" s="76"/>
      <c r="J3365" s="299"/>
      <c r="K3365" s="299"/>
      <c r="L3365" s="84">
        <v>1</v>
      </c>
      <c r="M3365" s="76">
        <v>1</v>
      </c>
      <c r="Q3365" s="86"/>
    </row>
    <row r="3366" spans="2:17" s="83" customFormat="1" ht="13.5" hidden="1" outlineLevel="2">
      <c r="B3366" s="119" t="s">
        <v>272</v>
      </c>
      <c r="C3366" s="266">
        <v>5502</v>
      </c>
      <c r="D3366" s="124" t="s">
        <v>4860</v>
      </c>
      <c r="E3366" s="125"/>
      <c r="F3366" s="118" t="s">
        <v>4628</v>
      </c>
      <c r="G3366" s="126" t="str">
        <f>CONCATENATE("AR-",F3366,"-",H3366)</f>
        <v>AR-AMN-5</v>
      </c>
      <c r="H3366" s="253">
        <v>5</v>
      </c>
      <c r="I3366" s="76"/>
      <c r="J3366" s="299"/>
      <c r="K3366" s="299"/>
      <c r="L3366" s="84">
        <v>1</v>
      </c>
      <c r="M3366" s="76">
        <v>1</v>
      </c>
      <c r="Q3366" s="86"/>
    </row>
    <row r="3367" spans="2:17" s="83" customFormat="1" ht="13.5" hidden="1" outlineLevel="2">
      <c r="B3367" s="119" t="s">
        <v>272</v>
      </c>
      <c r="C3367" s="266">
        <v>5503</v>
      </c>
      <c r="D3367" s="124" t="s">
        <v>4861</v>
      </c>
      <c r="E3367" s="125"/>
      <c r="F3367" s="118" t="s">
        <v>4628</v>
      </c>
      <c r="G3367" s="126" t="str">
        <f>CONCATENATE("AR-",F3367,"-",H3367)</f>
        <v>AR-AMN-5</v>
      </c>
      <c r="H3367" s="253">
        <v>5</v>
      </c>
      <c r="I3367" s="76"/>
      <c r="J3367" s="299"/>
      <c r="K3367" s="299"/>
      <c r="L3367" s="84">
        <v>1</v>
      </c>
      <c r="M3367" s="76">
        <v>1</v>
      </c>
      <c r="Q3367" s="86"/>
    </row>
    <row r="3368" spans="2:17" s="83" customFormat="1" ht="3" hidden="1" customHeight="1" outlineLevel="2">
      <c r="B3368" s="119"/>
      <c r="C3368" s="266"/>
      <c r="D3368" s="124" t="s">
        <v>299</v>
      </c>
      <c r="E3368" s="125"/>
      <c r="F3368" s="118"/>
      <c r="G3368" s="126"/>
      <c r="H3368" s="253"/>
      <c r="I3368" s="76"/>
      <c r="J3368" s="299"/>
      <c r="K3368" s="299"/>
      <c r="L3368" s="84"/>
      <c r="M3368" s="76"/>
      <c r="Q3368" s="86"/>
    </row>
    <row r="3369" spans="2:17" s="83" customFormat="1" ht="14.25" hidden="1" customHeight="1" outlineLevel="2">
      <c r="B3369" s="119" t="s">
        <v>4862</v>
      </c>
      <c r="C3369" s="266"/>
      <c r="D3369" s="124"/>
      <c r="E3369" s="125"/>
      <c r="F3369" s="118"/>
      <c r="G3369" s="126"/>
      <c r="H3369" s="253"/>
      <c r="I3369" s="76"/>
      <c r="J3369" s="299"/>
      <c r="K3369" s="299"/>
      <c r="L3369" s="84"/>
      <c r="M3369" s="76"/>
      <c r="Q3369" s="86"/>
    </row>
    <row r="3370" spans="2:17" s="83" customFormat="1" ht="13.5" hidden="1" outlineLevel="2">
      <c r="B3370" s="119" t="s">
        <v>272</v>
      </c>
      <c r="C3370" s="266">
        <v>6601</v>
      </c>
      <c r="D3370" s="124" t="s">
        <v>4620</v>
      </c>
      <c r="E3370" s="125"/>
      <c r="F3370" s="118" t="s">
        <v>4628</v>
      </c>
      <c r="G3370" s="126" t="str">
        <f>CONCATENATE("AR-",F3370,"-",H3370)</f>
        <v>AR-AMN-5</v>
      </c>
      <c r="H3370" s="253">
        <v>5</v>
      </c>
      <c r="I3370" s="76"/>
      <c r="J3370" s="299"/>
      <c r="K3370" s="299"/>
      <c r="L3370" s="84">
        <v>1</v>
      </c>
      <c r="M3370" s="76">
        <v>1</v>
      </c>
      <c r="Q3370" s="86"/>
    </row>
    <row r="3371" spans="2:17" s="83" customFormat="1" ht="13.5" hidden="1" outlineLevel="2">
      <c r="B3371" s="119" t="s">
        <v>272</v>
      </c>
      <c r="C3371" s="266">
        <v>6602</v>
      </c>
      <c r="D3371" s="124" t="s">
        <v>4621</v>
      </c>
      <c r="E3371" s="125"/>
      <c r="F3371" s="118" t="s">
        <v>4628</v>
      </c>
      <c r="G3371" s="126" t="str">
        <f>CONCATENATE("AR-",F3371,"-",H3371)</f>
        <v>AR-AMN-5</v>
      </c>
      <c r="H3371" s="253">
        <v>5</v>
      </c>
      <c r="I3371" s="76"/>
      <c r="J3371" s="299"/>
      <c r="K3371" s="299"/>
      <c r="L3371" s="84">
        <v>1</v>
      </c>
      <c r="M3371" s="76">
        <v>1</v>
      </c>
      <c r="Q3371" s="86"/>
    </row>
    <row r="3372" spans="2:17" s="83" customFormat="1" ht="3" hidden="1" customHeight="1" outlineLevel="2">
      <c r="B3372" s="119"/>
      <c r="C3372" s="266"/>
      <c r="D3372" s="124" t="s">
        <v>299</v>
      </c>
      <c r="E3372" s="125"/>
      <c r="F3372" s="118"/>
      <c r="G3372" s="126"/>
      <c r="H3372" s="253"/>
      <c r="I3372" s="76"/>
      <c r="J3372" s="299"/>
      <c r="K3372" s="299"/>
      <c r="L3372" s="84"/>
      <c r="M3372" s="76"/>
      <c r="Q3372" s="86"/>
    </row>
    <row r="3373" spans="2:17" s="83" customFormat="1" ht="14.25" hidden="1" customHeight="1" outlineLevel="2">
      <c r="B3373" s="119" t="s">
        <v>4863</v>
      </c>
      <c r="C3373" s="266"/>
      <c r="D3373" s="124"/>
      <c r="E3373" s="125"/>
      <c r="F3373" s="118"/>
      <c r="G3373" s="126"/>
      <c r="H3373" s="253"/>
      <c r="I3373" s="76"/>
      <c r="J3373" s="299"/>
      <c r="K3373" s="299"/>
      <c r="L3373" s="84"/>
      <c r="M3373" s="76"/>
      <c r="Q3373" s="86"/>
    </row>
    <row r="3374" spans="2:17" s="83" customFormat="1" ht="13.5" hidden="1" outlineLevel="2">
      <c r="B3374" s="119" t="s">
        <v>272</v>
      </c>
      <c r="C3374" s="266">
        <v>8001</v>
      </c>
      <c r="D3374" s="124" t="s">
        <v>4622</v>
      </c>
      <c r="E3374" s="125"/>
      <c r="F3374" s="118" t="s">
        <v>4628</v>
      </c>
      <c r="G3374" s="126" t="str">
        <f>CONCATENATE("AR-",F3374,"-",H3374)</f>
        <v>AR-AMN-5</v>
      </c>
      <c r="H3374" s="253">
        <v>5</v>
      </c>
      <c r="I3374" s="76"/>
      <c r="J3374" s="299"/>
      <c r="K3374" s="299"/>
      <c r="L3374" s="84">
        <v>1</v>
      </c>
      <c r="M3374" s="76">
        <v>1</v>
      </c>
      <c r="Q3374" s="86"/>
    </row>
    <row r="3375" spans="2:17" s="83" customFormat="1" ht="13.5" hidden="1" outlineLevel="2">
      <c r="B3375" s="119" t="s">
        <v>272</v>
      </c>
      <c r="C3375" s="266">
        <v>8002</v>
      </c>
      <c r="D3375" s="124" t="s">
        <v>4623</v>
      </c>
      <c r="E3375" s="125"/>
      <c r="F3375" s="118" t="s">
        <v>4628</v>
      </c>
      <c r="G3375" s="126" t="str">
        <f>CONCATENATE("AR-",F3375,"-",H3375)</f>
        <v>AR-AMN-5</v>
      </c>
      <c r="H3375" s="253">
        <v>5</v>
      </c>
      <c r="I3375" s="76"/>
      <c r="J3375" s="299"/>
      <c r="K3375" s="299"/>
      <c r="L3375" s="84">
        <v>1</v>
      </c>
      <c r="M3375" s="76">
        <v>1</v>
      </c>
      <c r="Q3375" s="86"/>
    </row>
    <row r="3376" spans="2:17" s="83" customFormat="1" ht="3" hidden="1" customHeight="1" outlineLevel="2">
      <c r="B3376" s="119"/>
      <c r="C3376" s="266"/>
      <c r="D3376" s="124" t="s">
        <v>299</v>
      </c>
      <c r="E3376" s="125"/>
      <c r="F3376" s="118"/>
      <c r="G3376" s="126"/>
      <c r="H3376" s="253"/>
      <c r="I3376" s="76"/>
      <c r="J3376" s="299"/>
      <c r="K3376" s="299"/>
      <c r="L3376" s="84"/>
      <c r="M3376" s="76"/>
      <c r="Q3376" s="86"/>
    </row>
    <row r="3377" spans="1:21" s="83" customFormat="1" ht="14.25" hidden="1" customHeight="1" outlineLevel="2">
      <c r="B3377" s="119" t="s">
        <v>4864</v>
      </c>
      <c r="C3377" s="266"/>
      <c r="D3377" s="124"/>
      <c r="E3377" s="125"/>
      <c r="F3377" s="118"/>
      <c r="G3377" s="126"/>
      <c r="H3377" s="253"/>
      <c r="I3377" s="76"/>
      <c r="J3377" s="299"/>
      <c r="K3377" s="299"/>
      <c r="L3377" s="84"/>
      <c r="M3377" s="76"/>
      <c r="Q3377" s="86"/>
    </row>
    <row r="3378" spans="1:21" s="83" customFormat="1" ht="13.5" hidden="1" outlineLevel="2">
      <c r="B3378" s="119" t="s">
        <v>272</v>
      </c>
      <c r="C3378" s="266">
        <v>8101</v>
      </c>
      <c r="D3378" s="124" t="s">
        <v>4865</v>
      </c>
      <c r="E3378" s="125"/>
      <c r="F3378" s="118" t="s">
        <v>4628</v>
      </c>
      <c r="G3378" s="126" t="str">
        <f>CONCATENATE("AR-",F3378,"-",H3378)</f>
        <v>AR-AMN-5</v>
      </c>
      <c r="H3378" s="253">
        <v>5</v>
      </c>
      <c r="I3378" s="76"/>
      <c r="J3378" s="299"/>
      <c r="K3378" s="299"/>
      <c r="L3378" s="84">
        <v>1</v>
      </c>
      <c r="M3378" s="76">
        <v>1</v>
      </c>
      <c r="Q3378" s="86"/>
    </row>
    <row r="3379" spans="1:21" s="83" customFormat="1" ht="13.5" hidden="1" outlineLevel="2">
      <c r="B3379" s="119" t="s">
        <v>272</v>
      </c>
      <c r="C3379" s="266">
        <v>8102</v>
      </c>
      <c r="D3379" s="124" t="s">
        <v>4866</v>
      </c>
      <c r="E3379" s="125"/>
      <c r="F3379" s="118" t="s">
        <v>4628</v>
      </c>
      <c r="G3379" s="126" t="str">
        <f>CONCATENATE("AR-",F3379,"-",H3379)</f>
        <v>AR-AMN-5</v>
      </c>
      <c r="H3379" s="253">
        <v>5</v>
      </c>
      <c r="I3379" s="76"/>
      <c r="J3379" s="299"/>
      <c r="K3379" s="299"/>
      <c r="L3379" s="84">
        <v>1</v>
      </c>
      <c r="M3379" s="76">
        <v>1</v>
      </c>
      <c r="Q3379" s="86"/>
    </row>
    <row r="3380" spans="1:21" s="83" customFormat="1" ht="3" customHeight="1">
      <c r="A3380" s="265"/>
      <c r="B3380" s="119"/>
      <c r="C3380" s="266"/>
      <c r="D3380" s="124"/>
      <c r="E3380" s="125"/>
      <c r="F3380" s="118"/>
      <c r="G3380" s="126"/>
      <c r="H3380" s="253"/>
      <c r="I3380" s="76"/>
      <c r="J3380" s="299"/>
      <c r="K3380" s="299"/>
      <c r="L3380" s="84"/>
      <c r="M3380" s="76"/>
      <c r="N3380" s="76"/>
      <c r="O3380" s="76"/>
      <c r="P3380" s="76"/>
      <c r="Q3380" s="84"/>
      <c r="R3380" s="76"/>
      <c r="S3380" s="76"/>
      <c r="T3380" s="76"/>
      <c r="U3380" s="76"/>
    </row>
    <row r="3381" spans="1:21">
      <c r="B3381" s="119"/>
      <c r="C3381" s="266"/>
      <c r="D3381" s="124"/>
      <c r="E3381" s="125"/>
      <c r="F3381" s="118"/>
      <c r="G3381" s="126"/>
      <c r="H3381" s="253"/>
      <c r="L3381" s="97"/>
      <c r="Q3381" s="97"/>
    </row>
    <row r="3382" spans="1:21" ht="1.35" customHeight="1">
      <c r="A3382" s="261" t="s">
        <v>4867</v>
      </c>
      <c r="B3382" s="119" t="s">
        <v>4867</v>
      </c>
      <c r="C3382" s="266" t="s">
        <v>4867</v>
      </c>
      <c r="D3382" s="124"/>
      <c r="E3382" s="125" t="s">
        <v>4867</v>
      </c>
      <c r="F3382" s="118" t="s">
        <v>4867</v>
      </c>
      <c r="G3382" s="126" t="s">
        <v>4867</v>
      </c>
      <c r="H3382" s="255" t="s">
        <v>4867</v>
      </c>
      <c r="I3382" s="77" t="s">
        <v>4867</v>
      </c>
      <c r="J3382" s="300"/>
      <c r="K3382" s="300"/>
      <c r="L3382" s="71" t="s">
        <v>4867</v>
      </c>
      <c r="M3382" s="77" t="s">
        <v>4867</v>
      </c>
      <c r="N3382" s="77" t="s">
        <v>4867</v>
      </c>
      <c r="O3382" s="77" t="s">
        <v>4867</v>
      </c>
      <c r="P3382" s="77" t="s">
        <v>4867</v>
      </c>
      <c r="Q3382" s="71" t="s">
        <v>4867</v>
      </c>
      <c r="R3382" s="77" t="s">
        <v>4867</v>
      </c>
      <c r="S3382" s="77" t="s">
        <v>4867</v>
      </c>
      <c r="T3382" s="77" t="s">
        <v>4867</v>
      </c>
      <c r="U3382" s="77" t="s">
        <v>4867</v>
      </c>
    </row>
    <row r="3389" spans="1:21">
      <c r="A3389" s="87"/>
      <c r="B3389" s="87"/>
      <c r="C3389" s="87"/>
      <c r="D3389" s="87"/>
      <c r="E3389" s="87"/>
      <c r="F3389" s="87"/>
      <c r="G3389" s="87"/>
      <c r="H3389" s="87"/>
      <c r="I3389" s="87"/>
      <c r="J3389" s="87"/>
      <c r="K3389" s="87"/>
      <c r="L3389" s="87"/>
      <c r="M3389" s="87"/>
      <c r="N3389" s="96" t="s">
        <v>1189</v>
      </c>
      <c r="O3389" s="87"/>
      <c r="P3389" s="87"/>
      <c r="Q3389" s="87"/>
      <c r="R3389" s="87"/>
      <c r="S3389" s="87"/>
      <c r="T3389" s="87"/>
      <c r="U3389" s="87"/>
    </row>
    <row r="3401" spans="1:22">
      <c r="A3401" s="87"/>
      <c r="B3401" s="87"/>
      <c r="C3401" s="87"/>
      <c r="D3401" s="119"/>
    </row>
    <row r="3402" spans="1:22">
      <c r="A3402" s="87"/>
      <c r="B3402" s="87"/>
      <c r="C3402" s="87"/>
      <c r="D3402" s="124"/>
    </row>
    <row r="3403" spans="1:22">
      <c r="A3403" s="87"/>
      <c r="B3403" s="87"/>
      <c r="C3403" s="87"/>
      <c r="D3403" s="124"/>
    </row>
    <row r="3404" spans="1:22">
      <c r="A3404" s="87"/>
      <c r="B3404" s="87"/>
      <c r="C3404" s="87"/>
      <c r="D3404" s="124"/>
    </row>
    <row r="3405" spans="1:22">
      <c r="A3405" s="87"/>
      <c r="B3405" s="87"/>
      <c r="C3405" s="87"/>
      <c r="D3405" s="124"/>
    </row>
    <row r="3406" spans="1:22">
      <c r="A3406" s="87"/>
      <c r="B3406" s="87"/>
      <c r="C3406" s="87"/>
      <c r="D3406" s="124"/>
    </row>
    <row r="3407" spans="1:22">
      <c r="A3407" s="87"/>
      <c r="B3407" s="87"/>
      <c r="C3407" s="87"/>
      <c r="D3407" s="119"/>
      <c r="V3407" s="296"/>
    </row>
    <row r="3408" spans="1:22">
      <c r="A3408" s="87"/>
      <c r="B3408" s="87"/>
      <c r="C3408" s="87"/>
      <c r="D3408" s="119"/>
    </row>
    <row r="3409" spans="1:21">
      <c r="A3409" s="87"/>
      <c r="B3409" s="87"/>
      <c r="C3409" s="87"/>
      <c r="D3409" s="119"/>
    </row>
    <row r="3410" spans="1:21">
      <c r="A3410" s="87"/>
      <c r="B3410" s="87"/>
      <c r="C3410" s="87"/>
      <c r="D3410" s="119"/>
    </row>
    <row r="3411" spans="1:21">
      <c r="A3411" s="87"/>
      <c r="B3411" s="87"/>
      <c r="C3411" s="87"/>
      <c r="D3411" s="119"/>
    </row>
    <row r="3412" spans="1:21">
      <c r="A3412" s="87"/>
      <c r="B3412" s="87"/>
      <c r="C3412" s="87"/>
      <c r="D3412" s="119"/>
    </row>
    <row r="3413" spans="1:21">
      <c r="A3413" s="87"/>
      <c r="B3413" s="87"/>
      <c r="C3413" s="87"/>
      <c r="D3413" s="119"/>
    </row>
    <row r="3414" spans="1:21">
      <c r="A3414" s="87"/>
      <c r="B3414" s="87"/>
      <c r="C3414" s="87"/>
      <c r="D3414" s="119"/>
    </row>
    <row r="3415" spans="1:21">
      <c r="A3415" s="87"/>
      <c r="B3415" s="87"/>
      <c r="C3415" s="87"/>
      <c r="D3415" s="119"/>
    </row>
    <row r="3416" spans="1:21">
      <c r="A3416" s="87"/>
      <c r="B3416" s="87"/>
      <c r="C3416" s="87"/>
      <c r="D3416" s="119"/>
    </row>
    <row r="3417" spans="1:21">
      <c r="A3417" s="87"/>
      <c r="B3417" s="87"/>
      <c r="C3417" s="87"/>
      <c r="D3417" s="119"/>
      <c r="E3417" s="87"/>
      <c r="F3417" s="87"/>
      <c r="G3417" s="87"/>
      <c r="H3417" s="87"/>
      <c r="I3417" s="87"/>
      <c r="J3417" s="87"/>
      <c r="K3417" s="87"/>
      <c r="L3417" s="87"/>
      <c r="M3417" s="87"/>
      <c r="N3417" s="87"/>
      <c r="O3417" s="87"/>
      <c r="P3417" s="87"/>
      <c r="Q3417" s="87"/>
      <c r="R3417" s="87"/>
      <c r="S3417" s="87"/>
      <c r="T3417" s="87"/>
      <c r="U3417" s="87"/>
    </row>
    <row r="3418" spans="1:21">
      <c r="A3418" s="87"/>
      <c r="B3418" s="87"/>
      <c r="C3418" s="87"/>
      <c r="D3418" s="119"/>
      <c r="E3418" s="87"/>
      <c r="F3418" s="87"/>
      <c r="G3418" s="87"/>
      <c r="H3418" s="87"/>
      <c r="I3418" s="87"/>
      <c r="J3418" s="87"/>
      <c r="K3418" s="87"/>
      <c r="L3418" s="87"/>
      <c r="M3418" s="87"/>
      <c r="N3418" s="87"/>
      <c r="O3418" s="87"/>
      <c r="P3418" s="87"/>
      <c r="Q3418" s="87"/>
      <c r="R3418" s="87"/>
      <c r="S3418" s="87"/>
      <c r="T3418" s="87"/>
      <c r="U3418" s="87"/>
    </row>
    <row r="3419" spans="1:21">
      <c r="A3419" s="87"/>
      <c r="B3419" s="87"/>
      <c r="C3419" s="87"/>
      <c r="D3419" s="119"/>
      <c r="E3419" s="87"/>
      <c r="F3419" s="87"/>
      <c r="G3419" s="87"/>
      <c r="H3419" s="87"/>
      <c r="I3419" s="87"/>
      <c r="J3419" s="87"/>
      <c r="K3419" s="87"/>
      <c r="L3419" s="87"/>
      <c r="M3419" s="87"/>
      <c r="N3419" s="87"/>
      <c r="O3419" s="87"/>
      <c r="P3419" s="87"/>
      <c r="Q3419" s="87"/>
      <c r="R3419" s="87"/>
      <c r="S3419" s="87"/>
      <c r="T3419" s="87"/>
      <c r="U3419" s="87"/>
    </row>
    <row r="3420" spans="1:21">
      <c r="A3420" s="87"/>
      <c r="B3420" s="87"/>
      <c r="C3420" s="87"/>
      <c r="D3420" s="119"/>
      <c r="E3420" s="87"/>
      <c r="F3420" s="87"/>
      <c r="G3420" s="87"/>
      <c r="H3420" s="87"/>
      <c r="I3420" s="87"/>
      <c r="J3420" s="87"/>
      <c r="K3420" s="87"/>
      <c r="L3420" s="87"/>
      <c r="M3420" s="87"/>
      <c r="N3420" s="87"/>
      <c r="O3420" s="87"/>
      <c r="P3420" s="87"/>
      <c r="Q3420" s="87"/>
      <c r="R3420" s="87"/>
      <c r="S3420" s="87"/>
      <c r="T3420" s="87"/>
      <c r="U3420" s="87"/>
    </row>
    <row r="3421" spans="1:21">
      <c r="A3421" s="87"/>
      <c r="B3421" s="87"/>
      <c r="C3421" s="87"/>
      <c r="D3421" s="119"/>
      <c r="E3421" s="87"/>
      <c r="F3421" s="87"/>
      <c r="G3421" s="87"/>
      <c r="H3421" s="87"/>
      <c r="I3421" s="87"/>
      <c r="J3421" s="87"/>
      <c r="K3421" s="87"/>
      <c r="L3421" s="87"/>
      <c r="M3421" s="87"/>
      <c r="N3421" s="87"/>
      <c r="O3421" s="87"/>
      <c r="P3421" s="87"/>
      <c r="Q3421" s="87"/>
      <c r="R3421" s="87"/>
      <c r="S3421" s="87"/>
      <c r="T3421" s="87"/>
      <c r="U3421" s="87"/>
    </row>
    <row r="3422" spans="1:21">
      <c r="A3422" s="87"/>
      <c r="B3422" s="87"/>
      <c r="C3422" s="87"/>
      <c r="D3422" s="119"/>
      <c r="E3422" s="87"/>
      <c r="F3422" s="87"/>
      <c r="G3422" s="87"/>
      <c r="H3422" s="87"/>
      <c r="I3422" s="87"/>
      <c r="J3422" s="87"/>
      <c r="K3422" s="87"/>
      <c r="L3422" s="87"/>
      <c r="M3422" s="87"/>
      <c r="N3422" s="87"/>
      <c r="O3422" s="87"/>
      <c r="P3422" s="87"/>
      <c r="Q3422" s="87"/>
      <c r="R3422" s="87"/>
      <c r="S3422" s="87"/>
      <c r="T3422" s="87"/>
      <c r="U3422" s="87"/>
    </row>
    <row r="3423" spans="1:21">
      <c r="A3423" s="87"/>
      <c r="B3423" s="87"/>
      <c r="C3423" s="87"/>
      <c r="D3423" s="124"/>
      <c r="E3423" s="87"/>
      <c r="F3423" s="87"/>
      <c r="G3423" s="87"/>
      <c r="H3423" s="87"/>
      <c r="I3423" s="87"/>
      <c r="J3423" s="87"/>
      <c r="K3423" s="87"/>
      <c r="L3423" s="87"/>
      <c r="M3423" s="87"/>
      <c r="N3423" s="87"/>
      <c r="O3423" s="87"/>
      <c r="P3423" s="87"/>
      <c r="Q3423" s="87"/>
      <c r="R3423" s="87"/>
      <c r="S3423" s="87"/>
      <c r="T3423" s="87"/>
      <c r="U3423" s="87"/>
    </row>
    <row r="3424" spans="1:21">
      <c r="A3424" s="87"/>
      <c r="B3424" s="87"/>
      <c r="C3424" s="87"/>
      <c r="D3424" s="124"/>
      <c r="E3424" s="87"/>
      <c r="F3424" s="87"/>
      <c r="G3424" s="87"/>
      <c r="H3424" s="87"/>
      <c r="I3424" s="87"/>
      <c r="J3424" s="87"/>
      <c r="K3424" s="87"/>
      <c r="L3424" s="87"/>
      <c r="M3424" s="87"/>
      <c r="N3424" s="87"/>
      <c r="O3424" s="87"/>
      <c r="P3424" s="87"/>
      <c r="Q3424" s="87"/>
      <c r="R3424" s="87"/>
      <c r="S3424" s="87"/>
      <c r="T3424" s="87"/>
      <c r="U3424" s="87"/>
    </row>
    <row r="3425" spans="4:4" s="87" customFormat="1">
      <c r="D3425" s="124"/>
    </row>
  </sheetData>
  <sheetProtection selectLockedCells="1" selectUnlockedCells="1"/>
  <autoFilter ref="A5:U3379" xr:uid="{00000000-0009-0000-0000-000001000000}">
    <filterColumn colId="6">
      <filters>
        <filter val="AR-SS0-4"/>
      </filters>
    </filterColumn>
  </autoFilter>
  <sortState xmlns:xlrd2="http://schemas.microsoft.com/office/spreadsheetml/2017/richdata2" ref="A493:V514">
    <sortCondition ref="H493:H514"/>
  </sortState>
  <mergeCells count="5">
    <mergeCell ref="Q2:Q4"/>
    <mergeCell ref="F2:F4"/>
    <mergeCell ref="G2:G4"/>
    <mergeCell ref="H2:H4"/>
    <mergeCell ref="L2:L4"/>
  </mergeCells>
  <phoneticPr fontId="37" type="noConversion"/>
  <conditionalFormatting sqref="N9">
    <cfRule type="iconSet" priority="1146">
      <iconSet iconSet="3Symbols2" showValue="0">
        <cfvo type="percent" val="0"/>
        <cfvo type="num" val="0"/>
        <cfvo type="num" val="1"/>
      </iconSet>
    </cfRule>
  </conditionalFormatting>
  <conditionalFormatting sqref="N213">
    <cfRule type="iconSet" priority="1122">
      <iconSet iconSet="3Symbols2" showValue="0">
        <cfvo type="percent" val="0"/>
        <cfvo type="num" val="0"/>
        <cfvo type="num" val="1"/>
      </iconSet>
    </cfRule>
  </conditionalFormatting>
  <conditionalFormatting sqref="N288:N289">
    <cfRule type="iconSet" priority="1116">
      <iconSet iconSet="3Symbols2" showValue="0">
        <cfvo type="percent" val="0"/>
        <cfvo type="num" val="0"/>
        <cfvo type="num" val="1"/>
      </iconSet>
    </cfRule>
  </conditionalFormatting>
  <conditionalFormatting sqref="I1466">
    <cfRule type="expression" dxfId="82" priority="1075">
      <formula>OR(CELL(“col”)=COLUMN(),CELL(“row”)=ROW())</formula>
    </cfRule>
  </conditionalFormatting>
  <conditionalFormatting sqref="Q40:Q41">
    <cfRule type="iconSet" priority="1042">
      <iconSet iconSet="3Symbols2" showValue="0">
        <cfvo type="percent" val="0"/>
        <cfvo type="num" val="0"/>
        <cfvo type="num" val="1"/>
      </iconSet>
    </cfRule>
  </conditionalFormatting>
  <conditionalFormatting sqref="R400">
    <cfRule type="iconSet" priority="1032">
      <iconSet iconSet="3Symbols2" showValue="0">
        <cfvo type="percent" val="0"/>
        <cfvo type="num" val="0"/>
        <cfvo type="num" val="1"/>
      </iconSet>
    </cfRule>
  </conditionalFormatting>
  <conditionalFormatting sqref="Q400 Q402">
    <cfRule type="iconSet" priority="1031">
      <iconSet iconSet="3Symbols2" showValue="0">
        <cfvo type="percent" val="0"/>
        <cfvo type="num" val="0"/>
        <cfvo type="num" val="1"/>
      </iconSet>
    </cfRule>
  </conditionalFormatting>
  <conditionalFormatting sqref="S400">
    <cfRule type="iconSet" priority="1030">
      <iconSet iconSet="3Symbols2" showValue="0">
        <cfvo type="percent" val="0"/>
        <cfvo type="num" val="0"/>
        <cfvo type="num" val="1"/>
      </iconSet>
    </cfRule>
  </conditionalFormatting>
  <conditionalFormatting sqref="T402">
    <cfRule type="iconSet" priority="1025">
      <iconSet iconSet="3Symbols2" showValue="0">
        <cfvo type="percent" val="0"/>
        <cfvo type="num" val="0"/>
        <cfvo type="num" val="1"/>
      </iconSet>
    </cfRule>
  </conditionalFormatting>
  <conditionalFormatting sqref="T391">
    <cfRule type="iconSet" priority="1023">
      <iconSet iconSet="3Symbols2" showValue="0">
        <cfvo type="percent" val="0"/>
        <cfvo type="num" val="0"/>
        <cfvo type="num" val="1"/>
      </iconSet>
    </cfRule>
  </conditionalFormatting>
  <conditionalFormatting sqref="S3211">
    <cfRule type="iconSet" priority="1022">
      <iconSet iconSet="3Symbols2" showValue="0">
        <cfvo type="percent" val="0"/>
        <cfvo type="num" val="0"/>
        <cfvo type="num" val="1"/>
      </iconSet>
    </cfRule>
  </conditionalFormatting>
  <conditionalFormatting sqref="S3212">
    <cfRule type="iconSet" priority="1021">
      <iconSet iconSet="3Symbols2" showValue="0">
        <cfvo type="percent" val="0"/>
        <cfvo type="num" val="0"/>
        <cfvo type="num" val="1"/>
      </iconSet>
    </cfRule>
  </conditionalFormatting>
  <conditionalFormatting sqref="Q140:Q141 Q129:Q138">
    <cfRule type="iconSet" priority="1019">
      <iconSet iconSet="3Symbols2" showValue="0">
        <cfvo type="percent" val="0"/>
        <cfvo type="num" val="0"/>
        <cfvo type="num" val="1"/>
      </iconSet>
    </cfRule>
  </conditionalFormatting>
  <conditionalFormatting sqref="S129:S141">
    <cfRule type="iconSet" priority="1018">
      <iconSet iconSet="3Symbols2" showValue="0">
        <cfvo type="percent" val="0"/>
        <cfvo type="num" val="0"/>
        <cfvo type="num" val="1"/>
      </iconSet>
    </cfRule>
  </conditionalFormatting>
  <conditionalFormatting sqref="R411">
    <cfRule type="iconSet" priority="938">
      <iconSet iconSet="3Symbols2" showValue="0">
        <cfvo type="percent" val="0"/>
        <cfvo type="num" val="0"/>
        <cfvo type="num" val="1"/>
      </iconSet>
    </cfRule>
  </conditionalFormatting>
  <conditionalFormatting sqref="Q411">
    <cfRule type="iconSet" priority="937">
      <iconSet iconSet="3Symbols2" showValue="0">
        <cfvo type="percent" val="0"/>
        <cfvo type="num" val="0"/>
        <cfvo type="num" val="1"/>
      </iconSet>
    </cfRule>
  </conditionalFormatting>
  <conditionalFormatting sqref="R389">
    <cfRule type="iconSet" priority="936">
      <iconSet iconSet="3Symbols2" showValue="0">
        <cfvo type="percent" val="0"/>
        <cfvo type="num" val="0"/>
        <cfvo type="num" val="1"/>
      </iconSet>
    </cfRule>
  </conditionalFormatting>
  <conditionalFormatting sqref="Q389">
    <cfRule type="iconSet" priority="935">
      <iconSet iconSet="3Symbols2" showValue="0">
        <cfvo type="percent" val="0"/>
        <cfvo type="num" val="0"/>
        <cfvo type="num" val="1"/>
      </iconSet>
    </cfRule>
  </conditionalFormatting>
  <conditionalFormatting sqref="M221">
    <cfRule type="iconSet" priority="933">
      <iconSet iconSet="3Symbols2" showValue="0">
        <cfvo type="percent" val="0"/>
        <cfvo type="num" val="0"/>
        <cfvo type="num" val="1"/>
      </iconSet>
    </cfRule>
  </conditionalFormatting>
  <conditionalFormatting sqref="Q221:R221">
    <cfRule type="iconSet" priority="932">
      <iconSet iconSet="3Symbols2" showValue="0">
        <cfvo type="percent" val="0"/>
        <cfvo type="num" val="0"/>
        <cfvo type="num" val="1"/>
      </iconSet>
    </cfRule>
  </conditionalFormatting>
  <conditionalFormatting sqref="Q221">
    <cfRule type="iconSet" priority="931">
      <iconSet iconSet="3Symbols2" showValue="0">
        <cfvo type="percent" val="0"/>
        <cfvo type="num" val="0"/>
        <cfvo type="num" val="1"/>
      </iconSet>
    </cfRule>
  </conditionalFormatting>
  <conditionalFormatting sqref="R221">
    <cfRule type="iconSet" priority="930">
      <iconSet iconSet="3Symbols2" showValue="0">
        <cfvo type="percent" val="0"/>
        <cfvo type="num" val="0"/>
        <cfvo type="num" val="1"/>
      </iconSet>
    </cfRule>
  </conditionalFormatting>
  <conditionalFormatting sqref="Q139:R139">
    <cfRule type="iconSet" priority="916">
      <iconSet iconSet="3Symbols2" showValue="0">
        <cfvo type="percent" val="0"/>
        <cfvo type="num" val="0"/>
        <cfvo type="num" val="1"/>
      </iconSet>
    </cfRule>
  </conditionalFormatting>
  <conditionalFormatting sqref="Q142:R143">
    <cfRule type="iconSet" priority="915">
      <iconSet iconSet="3Symbols2" showValue="0">
        <cfvo type="percent" val="0"/>
        <cfvo type="num" val="0"/>
        <cfvo type="num" val="1"/>
      </iconSet>
    </cfRule>
  </conditionalFormatting>
  <conditionalFormatting sqref="R390:S390">
    <cfRule type="iconSet" priority="906">
      <iconSet iconSet="3Symbols2" showValue="0">
        <cfvo type="percent" val="0"/>
        <cfvo type="num" val="0"/>
        <cfvo type="num" val="1"/>
      </iconSet>
    </cfRule>
  </conditionalFormatting>
  <conditionalFormatting sqref="Q390">
    <cfRule type="iconSet" priority="905">
      <iconSet iconSet="3Symbols2" showValue="0">
        <cfvo type="percent" val="0"/>
        <cfvo type="num" val="0"/>
        <cfvo type="num" val="1"/>
      </iconSet>
    </cfRule>
  </conditionalFormatting>
  <conditionalFormatting sqref="S391">
    <cfRule type="iconSet" priority="904">
      <iconSet iconSet="3Symbols2" showValue="0">
        <cfvo type="percent" val="0"/>
        <cfvo type="num" val="0"/>
        <cfvo type="num" val="1"/>
      </iconSet>
    </cfRule>
  </conditionalFormatting>
  <conditionalFormatting sqref="Q391">
    <cfRule type="iconSet" priority="903">
      <iconSet iconSet="3Symbols2" showValue="0">
        <cfvo type="percent" val="0"/>
        <cfvo type="num" val="0"/>
        <cfvo type="num" val="1"/>
      </iconSet>
    </cfRule>
  </conditionalFormatting>
  <conditionalFormatting sqref="S166">
    <cfRule type="iconSet" priority="888">
      <iconSet iconSet="3Symbols2" showValue="0">
        <cfvo type="percent" val="0"/>
        <cfvo type="num" val="0"/>
        <cfvo type="num" val="1"/>
      </iconSet>
    </cfRule>
  </conditionalFormatting>
  <conditionalFormatting sqref="Q108 S108">
    <cfRule type="iconSet" priority="97444">
      <iconSet iconSet="3Symbols2" showValue="0">
        <cfvo type="percent" val="0"/>
        <cfvo type="num" val="0"/>
        <cfvo type="num" val="1"/>
      </iconSet>
    </cfRule>
  </conditionalFormatting>
  <conditionalFormatting sqref="Q229:S229 Q230:R230">
    <cfRule type="iconSet" priority="886">
      <iconSet iconSet="3Symbols2" showValue="0">
        <cfvo type="percent" val="0"/>
        <cfvo type="num" val="0"/>
        <cfvo type="num" val="1"/>
      </iconSet>
    </cfRule>
  </conditionalFormatting>
  <conditionalFormatting sqref="S227:S229">
    <cfRule type="iconSet" priority="885">
      <iconSet iconSet="3Symbols2" showValue="0">
        <cfvo type="percent" val="0"/>
        <cfvo type="num" val="0"/>
        <cfvo type="num" val="1"/>
      </iconSet>
    </cfRule>
  </conditionalFormatting>
  <conditionalFormatting sqref="Q227:Q230">
    <cfRule type="iconSet" priority="884">
      <iconSet iconSet="3Symbols2" showValue="0">
        <cfvo type="percent" val="0"/>
        <cfvo type="num" val="0"/>
        <cfvo type="num" val="1"/>
      </iconSet>
    </cfRule>
  </conditionalFormatting>
  <conditionalFormatting sqref="F1:H8 B3384:D3400 B3401:C3425 B1:D8 F21:H21 B21:D21 F84:H84 B84:D84 F190:H190 B190:D190 F296:H296 B296:D296 F421:H421 B421:D421 F376:H376 B376:D376 F444:H444 B444:D444 F491:H491 B491:D491 F516:H516 B516:D516 F565:H565 B565:D565 F612:H612 B612:D612 F3046:H3046 B3046:D3046 F3195:H3195 B3195:D3195 F3384:H1048576 B3426:D1048576">
    <cfRule type="expression" dxfId="81" priority="879">
      <formula>AND($L1=1,$Q1&lt;&gt;1)</formula>
    </cfRule>
  </conditionalFormatting>
  <conditionalFormatting sqref="N410:N411 N398:N405">
    <cfRule type="iconSet" priority="97984">
      <iconSet iconSet="3Symbols2" showValue="0">
        <cfvo type="percent" val="0"/>
        <cfvo type="num" val="0"/>
        <cfvo type="num" val="1"/>
      </iconSet>
    </cfRule>
  </conditionalFormatting>
  <conditionalFormatting sqref="S398:S399">
    <cfRule type="iconSet" priority="878">
      <iconSet iconSet="3Symbols2" showValue="0">
        <cfvo type="percent" val="0"/>
        <cfvo type="num" val="0"/>
        <cfvo type="num" val="1"/>
      </iconSet>
    </cfRule>
  </conditionalFormatting>
  <conditionalFormatting sqref="Q398:Q399">
    <cfRule type="iconSet" priority="877">
      <iconSet iconSet="3Symbols2" showValue="0">
        <cfvo type="percent" val="0"/>
        <cfvo type="num" val="0"/>
        <cfvo type="num" val="1"/>
      </iconSet>
    </cfRule>
  </conditionalFormatting>
  <conditionalFormatting sqref="S395:S396 R392:R394">
    <cfRule type="iconSet" priority="876">
      <iconSet iconSet="3Symbols2" showValue="0">
        <cfvo type="percent" val="0"/>
        <cfvo type="num" val="0"/>
        <cfvo type="num" val="1"/>
      </iconSet>
    </cfRule>
  </conditionalFormatting>
  <conditionalFormatting sqref="Q392:Q396">
    <cfRule type="iconSet" priority="875">
      <iconSet iconSet="3Symbols2" showValue="0">
        <cfvo type="percent" val="0"/>
        <cfvo type="num" val="0"/>
        <cfvo type="num" val="1"/>
      </iconSet>
    </cfRule>
  </conditionalFormatting>
  <conditionalFormatting sqref="Q209:S210 Q241:S241">
    <cfRule type="iconSet" priority="874">
      <iconSet iconSet="3Symbols2" showValue="0">
        <cfvo type="percent" val="0"/>
        <cfvo type="num" val="0"/>
        <cfvo type="num" val="1"/>
      </iconSet>
    </cfRule>
  </conditionalFormatting>
  <conditionalFormatting sqref="S209:S210 S241">
    <cfRule type="iconSet" priority="873">
      <iconSet iconSet="3Symbols2" showValue="0">
        <cfvo type="percent" val="0"/>
        <cfvo type="num" val="0"/>
        <cfvo type="num" val="1"/>
      </iconSet>
    </cfRule>
  </conditionalFormatting>
  <conditionalFormatting sqref="Q209:Q210 Q241">
    <cfRule type="iconSet" priority="872">
      <iconSet iconSet="3Symbols2" showValue="0">
        <cfvo type="percent" val="0"/>
        <cfvo type="num" val="0"/>
        <cfvo type="num" val="1"/>
      </iconSet>
    </cfRule>
  </conditionalFormatting>
  <conditionalFormatting sqref="N204:O211 N241:O241">
    <cfRule type="iconSet" priority="98162">
      <iconSet iconSet="3Symbols2" showValue="0">
        <cfvo type="percent" val="0"/>
        <cfvo type="num" val="0"/>
        <cfvo type="num" val="1"/>
      </iconSet>
    </cfRule>
  </conditionalFormatting>
  <conditionalFormatting sqref="S230:S238">
    <cfRule type="iconSet" priority="98899">
      <iconSet iconSet="3Symbols2" showValue="0">
        <cfvo type="percent" val="0"/>
        <cfvo type="num" val="0"/>
        <cfvo type="num" val="1"/>
      </iconSet>
    </cfRule>
  </conditionalFormatting>
  <conditionalFormatting sqref="S230:S238">
    <cfRule type="iconSet" priority="99056">
      <iconSet iconSet="3Symbols2" showValue="0">
        <cfvo type="percent" val="0"/>
        <cfvo type="num" val="0"/>
        <cfvo type="num" val="1"/>
      </iconSet>
    </cfRule>
  </conditionalFormatting>
  <conditionalFormatting sqref="N468">
    <cfRule type="iconSet" priority="867">
      <iconSet iconSet="3Symbols2" showValue="0">
        <cfvo type="percent" val="0"/>
        <cfvo type="num" val="0"/>
        <cfvo type="num" val="1"/>
      </iconSet>
    </cfRule>
  </conditionalFormatting>
  <conditionalFormatting sqref="N475:O479">
    <cfRule type="iconSet" priority="866">
      <iconSet iconSet="3Symbols2" showValue="0">
        <cfvo type="percent" val="0"/>
        <cfvo type="num" val="0"/>
        <cfvo type="num" val="1"/>
      </iconSet>
    </cfRule>
  </conditionalFormatting>
  <conditionalFormatting sqref="M476:M479">
    <cfRule type="iconSet" priority="863">
      <iconSet iconSet="3Symbols2" showValue="0">
        <cfvo type="percent" val="0"/>
        <cfvo type="num" val="0"/>
        <cfvo type="num" val="1"/>
      </iconSet>
    </cfRule>
  </conditionalFormatting>
  <conditionalFormatting sqref="R476:R479">
    <cfRule type="iconSet" priority="862">
      <iconSet iconSet="3Symbols2" showValue="0">
        <cfvo type="percent" val="0"/>
        <cfvo type="num" val="0"/>
        <cfvo type="num" val="1"/>
      </iconSet>
    </cfRule>
  </conditionalFormatting>
  <conditionalFormatting sqref="R476:R479">
    <cfRule type="iconSet" priority="860">
      <iconSet iconSet="3Symbols2" showValue="0">
        <cfvo type="percent" val="0"/>
        <cfvo type="num" val="0"/>
        <cfvo type="num" val="1"/>
      </iconSet>
    </cfRule>
  </conditionalFormatting>
  <conditionalFormatting sqref="N459:O466">
    <cfRule type="iconSet" priority="853">
      <iconSet iconSet="3Symbols2" showValue="0">
        <cfvo type="percent" val="0"/>
        <cfvo type="num" val="0"/>
        <cfvo type="num" val="1"/>
      </iconSet>
    </cfRule>
  </conditionalFormatting>
  <conditionalFormatting sqref="N459:N467">
    <cfRule type="iconSet" priority="842">
      <iconSet iconSet="3Symbols2" showValue="0">
        <cfvo type="percent" val="0"/>
        <cfvo type="num" val="0"/>
        <cfvo type="num" val="1"/>
      </iconSet>
    </cfRule>
  </conditionalFormatting>
  <conditionalFormatting sqref="N468:N479">
    <cfRule type="iconSet" priority="841">
      <iconSet iconSet="3Symbols2" showValue="0">
        <cfvo type="percent" val="0"/>
        <cfvo type="num" val="0"/>
        <cfvo type="num" val="1"/>
      </iconSet>
    </cfRule>
  </conditionalFormatting>
  <conditionalFormatting sqref="L480:L482">
    <cfRule type="iconSet" priority="840">
      <iconSet iconSet="3Symbols2" showValue="0">
        <cfvo type="percent" val="0"/>
        <cfvo type="num" val="0"/>
        <cfvo type="num" val="1"/>
      </iconSet>
    </cfRule>
  </conditionalFormatting>
  <conditionalFormatting sqref="N480:N482">
    <cfRule type="iconSet" priority="839">
      <iconSet iconSet="3Symbols2" showValue="0">
        <cfvo type="percent" val="0"/>
        <cfvo type="num" val="0"/>
        <cfvo type="num" val="1"/>
      </iconSet>
    </cfRule>
  </conditionalFormatting>
  <conditionalFormatting sqref="Q211:S211">
    <cfRule type="iconSet" priority="793">
      <iconSet iconSet="3Symbols2" showValue="0">
        <cfvo type="percent" val="0"/>
        <cfvo type="num" val="0"/>
        <cfvo type="num" val="1"/>
      </iconSet>
    </cfRule>
  </conditionalFormatting>
  <conditionalFormatting sqref="Q211">
    <cfRule type="iconSet" priority="792">
      <iconSet iconSet="3Symbols2" showValue="0">
        <cfvo type="percent" val="0"/>
        <cfvo type="num" val="0"/>
        <cfvo type="num" val="1"/>
      </iconSet>
    </cfRule>
  </conditionalFormatting>
  <conditionalFormatting sqref="S211">
    <cfRule type="iconSet" priority="791">
      <iconSet iconSet="3Symbols2" showValue="0">
        <cfvo type="percent" val="0"/>
        <cfvo type="num" val="0"/>
        <cfvo type="num" val="1"/>
      </iconSet>
    </cfRule>
  </conditionalFormatting>
  <conditionalFormatting sqref="Q268:S270 Q231:R231 Q237:R238 R232:R236 Q239:S240 Q242:S242">
    <cfRule type="iconSet" priority="790">
      <iconSet iconSet="3Symbols2" showValue="0">
        <cfvo type="percent" val="0"/>
        <cfvo type="num" val="0"/>
        <cfvo type="num" val="1"/>
      </iconSet>
    </cfRule>
  </conditionalFormatting>
  <conditionalFormatting sqref="Q231 Q268:Q270 Q237:Q240 Q242">
    <cfRule type="iconSet" priority="789">
      <iconSet iconSet="3Symbols2" showValue="0">
        <cfvo type="percent" val="0"/>
        <cfvo type="num" val="0"/>
        <cfvo type="num" val="1"/>
      </iconSet>
    </cfRule>
  </conditionalFormatting>
  <conditionalFormatting sqref="S268:S270">
    <cfRule type="iconSet" priority="102536">
      <iconSet iconSet="3Symbols2" showValue="0">
        <cfvo type="percent" val="0"/>
        <cfvo type="num" val="0"/>
        <cfvo type="num" val="1"/>
      </iconSet>
    </cfRule>
  </conditionalFormatting>
  <conditionalFormatting sqref="S272 Q272:Q278">
    <cfRule type="iconSet" priority="102713">
      <iconSet iconSet="3Symbols2" showValue="0">
        <cfvo type="percent" val="0"/>
        <cfvo type="num" val="0"/>
        <cfvo type="num" val="1"/>
      </iconSet>
    </cfRule>
  </conditionalFormatting>
  <conditionalFormatting sqref="N272:N278">
    <cfRule type="iconSet" priority="103478">
      <iconSet iconSet="3Symbols2" showValue="0">
        <cfvo type="percent" val="0"/>
        <cfvo type="num" val="0"/>
        <cfvo type="num" val="1"/>
      </iconSet>
    </cfRule>
  </conditionalFormatting>
  <conditionalFormatting sqref="Q288:Q289">
    <cfRule type="iconSet" priority="784">
      <iconSet iconSet="3Symbols2" showValue="0">
        <cfvo type="percent" val="0"/>
        <cfvo type="num" val="0"/>
        <cfvo type="num" val="1"/>
      </iconSet>
    </cfRule>
  </conditionalFormatting>
  <conditionalFormatting sqref="T288:T289">
    <cfRule type="iconSet" priority="783">
      <iconSet iconSet="3Symbols2" showValue="0">
        <cfvo type="percent" val="0"/>
        <cfvo type="num" val="0"/>
        <cfvo type="num" val="1"/>
      </iconSet>
    </cfRule>
  </conditionalFormatting>
  <conditionalFormatting sqref="N3271:N3274">
    <cfRule type="iconSet" priority="104599">
      <iconSet iconSet="3Symbols2" showValue="0">
        <cfvo type="percent" val="0"/>
        <cfvo type="num" val="0"/>
        <cfvo type="num" val="1"/>
      </iconSet>
    </cfRule>
  </conditionalFormatting>
  <conditionalFormatting sqref="U3251:U3256">
    <cfRule type="iconSet" priority="773">
      <iconSet iconSet="3Symbols2" showValue="0">
        <cfvo type="percent" val="0"/>
        <cfvo type="num" val="0"/>
        <cfvo type="num" val="1"/>
      </iconSet>
    </cfRule>
  </conditionalFormatting>
  <conditionalFormatting sqref="M3299 M570:M571 M1463:M1476 M1455:M1460 M1451:M1452 M1446:M1448 M1442:M1443 M1439:M1440 M1433:M1436 M1429:M1430 M1422:M1426 M1416:M1419 M1411:M1413 M1406:M1408 M1402:M1403 M1396:M1399 M1392:M1393 M1387:M1389 M1379:M1384 M448:M489 M1479:M1709 M1712:M2305">
    <cfRule type="iconSet" priority="691">
      <iconSet iconSet="3Symbols2" showValue="0">
        <cfvo type="percent" val="0"/>
        <cfvo type="num" val="0"/>
        <cfvo type="num" val="1"/>
      </iconSet>
    </cfRule>
  </conditionalFormatting>
  <conditionalFormatting sqref="M3299">
    <cfRule type="iconSet" priority="690">
      <iconSet iconSet="3Symbols2" showValue="0">
        <cfvo type="percent" val="0"/>
        <cfvo type="num" val="0"/>
        <cfvo type="num" val="1"/>
      </iconSet>
    </cfRule>
  </conditionalFormatting>
  <conditionalFormatting sqref="F9:H13 B9:D20 I1330:I1331 I1280:I1281 I1284:I1285 I1290:I1291 I1294:I1295 I1299:I1300 I1307:I1308 I1313:I1314 I1320:I1321 I1324:I1325 I1334 I1337:I1338 I1342:I1343 I1346:I1347 I1354:I1355 I1359:I1360 B22:D83 B445:D490 B492:D515 B191:D295 B377:D420 B297:D375 B517:D564 B422:D443 F17:H20 F22:H83 F191:H295 F297:H375 F377:H420 F422:H443 F445:H490 F492:H515 F517:H564 B3196:D3383 F3196:H3383 F85:H189 B85:D189 F566:H611 B566:D611 B3047:D3194 F3047:H3194 B613:D3045 F613:H3045">
    <cfRule type="expression" dxfId="80" priority="686">
      <formula>AND($L9=1,$Q9&lt;&gt;1)</formula>
    </cfRule>
    <cfRule type="expression" dxfId="79" priority="687">
      <formula>OR($I9=1,$Q9=1)</formula>
    </cfRule>
    <cfRule type="expression" dxfId="78" priority="688">
      <formula>($H9="NA")</formula>
    </cfRule>
  </conditionalFormatting>
  <conditionalFormatting sqref="L3380:U3380 I3380">
    <cfRule type="iconSet" priority="105434">
      <iconSet iconSet="3Symbols2" showValue="0">
        <cfvo type="percent" val="0"/>
        <cfvo type="num" val="0"/>
        <cfvo type="num" val="1"/>
      </iconSet>
    </cfRule>
  </conditionalFormatting>
  <conditionalFormatting sqref="Q480:Q482">
    <cfRule type="iconSet" priority="650">
      <iconSet iconSet="3Symbols2" showValue="0">
        <cfvo type="percent" val="0"/>
        <cfvo type="num" val="0"/>
        <cfvo type="num" val="1"/>
      </iconSet>
    </cfRule>
  </conditionalFormatting>
  <conditionalFormatting sqref="R480:R482">
    <cfRule type="iconSet" priority="649">
      <iconSet iconSet="3Symbols2" showValue="0">
        <cfvo type="percent" val="0"/>
        <cfvo type="num" val="0"/>
        <cfvo type="num" val="1"/>
      </iconSet>
    </cfRule>
  </conditionalFormatting>
  <conditionalFormatting sqref="R480:R482">
    <cfRule type="iconSet" priority="648">
      <iconSet iconSet="3Symbols2" showValue="0">
        <cfvo type="percent" val="0"/>
        <cfvo type="num" val="0"/>
        <cfvo type="num" val="1"/>
      </iconSet>
    </cfRule>
  </conditionalFormatting>
  <conditionalFormatting sqref="Q480:R482">
    <cfRule type="iconSet" priority="647">
      <iconSet iconSet="3Symbols2" showValue="0">
        <cfvo type="percent" val="0"/>
        <cfvo type="num" val="0"/>
        <cfvo type="num" val="1"/>
      </iconSet>
    </cfRule>
  </conditionalFormatting>
  <conditionalFormatting sqref="Q467">
    <cfRule type="iconSet" priority="642">
      <iconSet iconSet="3Symbols2" showValue="0">
        <cfvo type="percent" val="0"/>
        <cfvo type="num" val="0"/>
        <cfvo type="num" val="1"/>
      </iconSet>
    </cfRule>
  </conditionalFormatting>
  <conditionalFormatting sqref="R467">
    <cfRule type="iconSet" priority="641">
      <iconSet iconSet="3Symbols2" showValue="0">
        <cfvo type="percent" val="0"/>
        <cfvo type="num" val="0"/>
        <cfvo type="num" val="1"/>
      </iconSet>
    </cfRule>
  </conditionalFormatting>
  <conditionalFormatting sqref="R467">
    <cfRule type="iconSet" priority="640">
      <iconSet iconSet="3Symbols2" showValue="0">
        <cfvo type="percent" val="0"/>
        <cfvo type="num" val="0"/>
        <cfvo type="num" val="1"/>
      </iconSet>
    </cfRule>
  </conditionalFormatting>
  <conditionalFormatting sqref="Q467:R467">
    <cfRule type="iconSet" priority="639">
      <iconSet iconSet="3Symbols2" showValue="0">
        <cfvo type="percent" val="0"/>
        <cfvo type="num" val="0"/>
        <cfvo type="num" val="1"/>
      </iconSet>
    </cfRule>
  </conditionalFormatting>
  <conditionalFormatting sqref="Q459:Q465">
    <cfRule type="iconSet" priority="638">
      <iconSet iconSet="3Symbols2" showValue="0">
        <cfvo type="percent" val="0"/>
        <cfvo type="num" val="0"/>
        <cfvo type="num" val="1"/>
      </iconSet>
    </cfRule>
  </conditionalFormatting>
  <conditionalFormatting sqref="R459:R465">
    <cfRule type="iconSet" priority="637">
      <iconSet iconSet="3Symbols2" showValue="0">
        <cfvo type="percent" val="0"/>
        <cfvo type="num" val="0"/>
        <cfvo type="num" val="1"/>
      </iconSet>
    </cfRule>
  </conditionalFormatting>
  <conditionalFormatting sqref="R459:R465">
    <cfRule type="iconSet" priority="636">
      <iconSet iconSet="3Symbols2" showValue="0">
        <cfvo type="percent" val="0"/>
        <cfvo type="num" val="0"/>
        <cfvo type="num" val="1"/>
      </iconSet>
    </cfRule>
  </conditionalFormatting>
  <conditionalFormatting sqref="Q459:R465">
    <cfRule type="iconSet" priority="635">
      <iconSet iconSet="3Symbols2" showValue="0">
        <cfvo type="percent" val="0"/>
        <cfvo type="num" val="0"/>
        <cfvo type="num" val="1"/>
      </iconSet>
    </cfRule>
  </conditionalFormatting>
  <conditionalFormatting sqref="Q468:Q474">
    <cfRule type="iconSet" priority="634">
      <iconSet iconSet="3Symbols2" showValue="0">
        <cfvo type="percent" val="0"/>
        <cfvo type="num" val="0"/>
        <cfvo type="num" val="1"/>
      </iconSet>
    </cfRule>
  </conditionalFormatting>
  <conditionalFormatting sqref="R468:R474">
    <cfRule type="iconSet" priority="633">
      <iconSet iconSet="3Symbols2" showValue="0">
        <cfvo type="percent" val="0"/>
        <cfvo type="num" val="0"/>
        <cfvo type="num" val="1"/>
      </iconSet>
    </cfRule>
  </conditionalFormatting>
  <conditionalFormatting sqref="R468:R474">
    <cfRule type="iconSet" priority="632">
      <iconSet iconSet="3Symbols2" showValue="0">
        <cfvo type="percent" val="0"/>
        <cfvo type="num" val="0"/>
        <cfvo type="num" val="1"/>
      </iconSet>
    </cfRule>
  </conditionalFormatting>
  <conditionalFormatting sqref="Q468:R474">
    <cfRule type="iconSet" priority="631">
      <iconSet iconSet="3Symbols2" showValue="0">
        <cfvo type="percent" val="0"/>
        <cfvo type="num" val="0"/>
        <cfvo type="num" val="1"/>
      </iconSet>
    </cfRule>
  </conditionalFormatting>
  <conditionalFormatting sqref="Q466">
    <cfRule type="iconSet" priority="618">
      <iconSet iconSet="3Symbols2" showValue="0">
        <cfvo type="percent" val="0"/>
        <cfvo type="num" val="0"/>
        <cfvo type="num" val="1"/>
      </iconSet>
    </cfRule>
  </conditionalFormatting>
  <conditionalFormatting sqref="R466">
    <cfRule type="iconSet" priority="617">
      <iconSet iconSet="3Symbols2" showValue="0">
        <cfvo type="percent" val="0"/>
        <cfvo type="num" val="0"/>
        <cfvo type="num" val="1"/>
      </iconSet>
    </cfRule>
  </conditionalFormatting>
  <conditionalFormatting sqref="R466">
    <cfRule type="iconSet" priority="616">
      <iconSet iconSet="3Symbols2" showValue="0">
        <cfvo type="percent" val="0"/>
        <cfvo type="num" val="0"/>
        <cfvo type="num" val="1"/>
      </iconSet>
    </cfRule>
  </conditionalFormatting>
  <conditionalFormatting sqref="Q466:R466">
    <cfRule type="iconSet" priority="615">
      <iconSet iconSet="3Symbols2" showValue="0">
        <cfvo type="percent" val="0"/>
        <cfvo type="num" val="0"/>
        <cfvo type="num" val="1"/>
      </iconSet>
    </cfRule>
  </conditionalFormatting>
  <conditionalFormatting sqref="M3268:M3270">
    <cfRule type="iconSet" priority="613">
      <iconSet iconSet="3Symbols2" showValue="0">
        <cfvo type="percent" val="0"/>
        <cfvo type="num" val="0"/>
        <cfvo type="num" val="1"/>
      </iconSet>
    </cfRule>
  </conditionalFormatting>
  <conditionalFormatting sqref="M3268:M3270">
    <cfRule type="iconSet" priority="612">
      <iconSet iconSet="3Symbols2" showValue="0">
        <cfvo type="percent" val="0"/>
        <cfvo type="num" val="0"/>
        <cfvo type="num" val="1"/>
      </iconSet>
    </cfRule>
  </conditionalFormatting>
  <conditionalFormatting sqref="R3268:R3270">
    <cfRule type="iconSet" priority="611">
      <iconSet iconSet="3Symbols2" showValue="0">
        <cfvo type="percent" val="0"/>
        <cfvo type="num" val="0"/>
        <cfvo type="num" val="1"/>
      </iconSet>
    </cfRule>
  </conditionalFormatting>
  <conditionalFormatting sqref="R3268:R3270">
    <cfRule type="iconSet" priority="610">
      <iconSet iconSet="3Symbols2" showValue="0">
        <cfvo type="percent" val="0"/>
        <cfvo type="num" val="0"/>
        <cfvo type="num" val="1"/>
      </iconSet>
    </cfRule>
  </conditionalFormatting>
  <conditionalFormatting sqref="Q483:R487">
    <cfRule type="iconSet" priority="609">
      <iconSet iconSet="3Symbols2" showValue="0">
        <cfvo type="percent" val="0"/>
        <cfvo type="num" val="0"/>
        <cfvo type="num" val="1"/>
      </iconSet>
    </cfRule>
  </conditionalFormatting>
  <conditionalFormatting sqref="Q227:S228">
    <cfRule type="iconSet" priority="608">
      <iconSet iconSet="3Symbols2" showValue="0">
        <cfvo type="percent" val="0"/>
        <cfvo type="num" val="0"/>
        <cfvo type="num" val="1"/>
      </iconSet>
    </cfRule>
  </conditionalFormatting>
  <conditionalFormatting sqref="N227:O228">
    <cfRule type="iconSet" priority="607">
      <iconSet iconSet="3Symbols2" showValue="0">
        <cfvo type="percent" val="0"/>
        <cfvo type="num" val="0"/>
        <cfvo type="num" val="1"/>
      </iconSet>
    </cfRule>
  </conditionalFormatting>
  <conditionalFormatting sqref="N220:O221">
    <cfRule type="iconSet" priority="106596">
      <iconSet iconSet="3Symbols2" showValue="0">
        <cfvo type="percent" val="0"/>
        <cfvo type="num" val="0"/>
        <cfvo type="num" val="1"/>
      </iconSet>
    </cfRule>
  </conditionalFormatting>
  <conditionalFormatting sqref="L448:L458">
    <cfRule type="iconSet" priority="107237">
      <iconSet iconSet="3Symbols2" showValue="0">
        <cfvo type="percent" val="0"/>
        <cfvo type="num" val="0"/>
        <cfvo type="num" val="1"/>
      </iconSet>
    </cfRule>
  </conditionalFormatting>
  <conditionalFormatting sqref="N448:N458">
    <cfRule type="iconSet" priority="107239">
      <iconSet iconSet="3Symbols2" showValue="0">
        <cfvo type="percent" val="0"/>
        <cfvo type="num" val="0"/>
        <cfvo type="num" val="1"/>
      </iconSet>
    </cfRule>
  </conditionalFormatting>
  <conditionalFormatting sqref="Q448:Q458">
    <cfRule type="iconSet" priority="107504">
      <iconSet iconSet="3Symbols2" showValue="0">
        <cfvo type="percent" val="0"/>
        <cfvo type="num" val="0"/>
        <cfvo type="num" val="1"/>
      </iconSet>
    </cfRule>
  </conditionalFormatting>
  <conditionalFormatting sqref="R448:R458">
    <cfRule type="iconSet" priority="107508">
      <iconSet iconSet="3Symbols2" showValue="0">
        <cfvo type="percent" val="0"/>
        <cfvo type="num" val="0"/>
        <cfvo type="num" val="1"/>
      </iconSet>
    </cfRule>
  </conditionalFormatting>
  <conditionalFormatting sqref="I1275:I1276">
    <cfRule type="expression" dxfId="77" priority="595">
      <formula>AND($L1275=1,$Q1275&lt;&gt;1)</formula>
    </cfRule>
    <cfRule type="expression" dxfId="76" priority="596">
      <formula>OR($I1275=1,$Q1275=1)</formula>
    </cfRule>
    <cfRule type="expression" dxfId="75" priority="597">
      <formula>($H1275="NA")</formula>
    </cfRule>
  </conditionalFormatting>
  <conditionalFormatting sqref="L3132:L3133">
    <cfRule type="iconSet" priority="593">
      <iconSet iconSet="3Symbols2" showValue="0">
        <cfvo type="percent" val="0"/>
        <cfvo type="num" val="0"/>
        <cfvo type="num" val="1"/>
      </iconSet>
    </cfRule>
  </conditionalFormatting>
  <conditionalFormatting sqref="L3134">
    <cfRule type="iconSet" priority="592">
      <iconSet iconSet="3Symbols2" showValue="0">
        <cfvo type="percent" val="0"/>
        <cfvo type="num" val="0"/>
        <cfvo type="num" val="1"/>
      </iconSet>
    </cfRule>
  </conditionalFormatting>
  <conditionalFormatting sqref="Q3132:Q3133">
    <cfRule type="iconSet" priority="591">
      <iconSet iconSet="3Symbols2" showValue="0">
        <cfvo type="percent" val="0"/>
        <cfvo type="num" val="0"/>
        <cfvo type="num" val="1"/>
      </iconSet>
    </cfRule>
  </conditionalFormatting>
  <conditionalFormatting sqref="Q3134">
    <cfRule type="iconSet" priority="590">
      <iconSet iconSet="3Symbols2" showValue="0">
        <cfvo type="percent" val="0"/>
        <cfvo type="num" val="0"/>
        <cfvo type="num" val="1"/>
      </iconSet>
    </cfRule>
  </conditionalFormatting>
  <conditionalFormatting sqref="N3110:N3113">
    <cfRule type="iconSet" priority="586">
      <iconSet iconSet="3Symbols2" showValue="0">
        <cfvo type="percent" val="0"/>
        <cfvo type="num" val="0"/>
        <cfvo type="num" val="1"/>
      </iconSet>
    </cfRule>
  </conditionalFormatting>
  <conditionalFormatting sqref="N3050">
    <cfRule type="iconSet" priority="585">
      <iconSet iconSet="3Symbols2" showValue="0">
        <cfvo type="percent" val="0"/>
        <cfvo type="num" val="0"/>
        <cfvo type="num" val="1"/>
      </iconSet>
    </cfRule>
  </conditionalFormatting>
  <conditionalFormatting sqref="N3130:N3131">
    <cfRule type="iconSet" priority="584">
      <iconSet iconSet="3Symbols2" showValue="0">
        <cfvo type="percent" val="0"/>
        <cfvo type="num" val="0"/>
        <cfvo type="num" val="1"/>
      </iconSet>
    </cfRule>
  </conditionalFormatting>
  <conditionalFormatting sqref="Q3084:Q3085">
    <cfRule type="expression" dxfId="74" priority="581">
      <formula>OR(CELL(“col”)=COLUMN(),CELL(“row”)=ROW())</formula>
    </cfRule>
  </conditionalFormatting>
  <conditionalFormatting sqref="N3115:N3118 N3126:N3129">
    <cfRule type="iconSet" priority="580">
      <iconSet iconSet="3Symbols2" showValue="0">
        <cfvo type="percent" val="0"/>
        <cfvo type="num" val="0"/>
        <cfvo type="num" val="1"/>
      </iconSet>
    </cfRule>
  </conditionalFormatting>
  <conditionalFormatting sqref="N3135:N3137">
    <cfRule type="iconSet" priority="579">
      <iconSet iconSet="3Symbols2" showValue="0">
        <cfvo type="percent" val="0"/>
        <cfvo type="num" val="0"/>
        <cfvo type="num" val="1"/>
      </iconSet>
    </cfRule>
  </conditionalFormatting>
  <conditionalFormatting sqref="N3161">
    <cfRule type="iconSet" priority="577">
      <iconSet iconSet="3Symbols2" showValue="0">
        <cfvo type="percent" val="0"/>
        <cfvo type="num" val="0"/>
        <cfvo type="num" val="1"/>
      </iconSet>
    </cfRule>
  </conditionalFormatting>
  <conditionalFormatting sqref="N3163:N3165">
    <cfRule type="iconSet" priority="576">
      <iconSet iconSet="3Symbols2" showValue="0">
        <cfvo type="percent" val="0"/>
        <cfvo type="num" val="0"/>
        <cfvo type="num" val="1"/>
      </iconSet>
    </cfRule>
  </conditionalFormatting>
  <conditionalFormatting sqref="N3166:N3167">
    <cfRule type="iconSet" priority="575">
      <iconSet iconSet="3Symbols2" showValue="0">
        <cfvo type="percent" val="0"/>
        <cfvo type="num" val="0"/>
        <cfvo type="num" val="1"/>
      </iconSet>
    </cfRule>
  </conditionalFormatting>
  <conditionalFormatting sqref="N3168:N3170">
    <cfRule type="iconSet" priority="574">
      <iconSet iconSet="3Symbols2" showValue="0">
        <cfvo type="percent" val="0"/>
        <cfvo type="num" val="0"/>
        <cfvo type="num" val="1"/>
      </iconSet>
    </cfRule>
  </conditionalFormatting>
  <conditionalFormatting sqref="N3171:N3175">
    <cfRule type="iconSet" priority="573">
      <iconSet iconSet="3Symbols2" showValue="0">
        <cfvo type="percent" val="0"/>
        <cfvo type="num" val="0"/>
        <cfvo type="num" val="1"/>
      </iconSet>
    </cfRule>
  </conditionalFormatting>
  <conditionalFormatting sqref="N3176:N3177">
    <cfRule type="iconSet" priority="572">
      <iconSet iconSet="3Symbols2" showValue="0">
        <cfvo type="percent" val="0"/>
        <cfvo type="num" val="0"/>
        <cfvo type="num" val="1"/>
      </iconSet>
    </cfRule>
  </conditionalFormatting>
  <conditionalFormatting sqref="N3178:N3179">
    <cfRule type="iconSet" priority="571">
      <iconSet iconSet="3Symbols2" showValue="0">
        <cfvo type="percent" val="0"/>
        <cfvo type="num" val="0"/>
        <cfvo type="num" val="1"/>
      </iconSet>
    </cfRule>
  </conditionalFormatting>
  <conditionalFormatting sqref="N3180:N3182">
    <cfRule type="iconSet" priority="570">
      <iconSet iconSet="3Symbols2" showValue="0">
        <cfvo type="percent" val="0"/>
        <cfvo type="num" val="0"/>
        <cfvo type="num" val="1"/>
      </iconSet>
    </cfRule>
  </conditionalFormatting>
  <conditionalFormatting sqref="N3183">
    <cfRule type="iconSet" priority="569">
      <iconSet iconSet="3Symbols2" showValue="0">
        <cfvo type="percent" val="0"/>
        <cfvo type="num" val="0"/>
        <cfvo type="num" val="1"/>
      </iconSet>
    </cfRule>
  </conditionalFormatting>
  <conditionalFormatting sqref="N3184:N3187">
    <cfRule type="iconSet" priority="568">
      <iconSet iconSet="3Symbols2" showValue="0">
        <cfvo type="percent" val="0"/>
        <cfvo type="num" val="0"/>
        <cfvo type="num" val="1"/>
      </iconSet>
    </cfRule>
  </conditionalFormatting>
  <conditionalFormatting sqref="N3188:N3189">
    <cfRule type="iconSet" priority="567">
      <iconSet iconSet="3Symbols2" showValue="0">
        <cfvo type="percent" val="0"/>
        <cfvo type="num" val="0"/>
        <cfvo type="num" val="1"/>
      </iconSet>
    </cfRule>
  </conditionalFormatting>
  <conditionalFormatting sqref="N3190:N3191">
    <cfRule type="iconSet" priority="566">
      <iconSet iconSet="3Symbols2" showValue="0">
        <cfvo type="percent" val="0"/>
        <cfvo type="num" val="0"/>
        <cfvo type="num" val="1"/>
      </iconSet>
    </cfRule>
  </conditionalFormatting>
  <conditionalFormatting sqref="N3192">
    <cfRule type="iconSet" priority="565">
      <iconSet iconSet="3Symbols2" showValue="0">
        <cfvo type="percent" val="0"/>
        <cfvo type="num" val="0"/>
        <cfvo type="num" val="1"/>
      </iconSet>
    </cfRule>
  </conditionalFormatting>
  <conditionalFormatting sqref="M3051:M3052">
    <cfRule type="iconSet" priority="555">
      <iconSet iconSet="3Symbols2" showValue="0">
        <cfvo type="percent" val="0"/>
        <cfvo type="num" val="0"/>
        <cfvo type="num" val="1"/>
      </iconSet>
    </cfRule>
  </conditionalFormatting>
  <conditionalFormatting sqref="I566 L566">
    <cfRule type="iconSet" priority="115338">
      <iconSet iconSet="3Symbols2" showValue="0">
        <cfvo type="percent" val="0"/>
        <cfvo type="num" val="0"/>
        <cfvo type="num" val="1"/>
      </iconSet>
    </cfRule>
  </conditionalFormatting>
  <conditionalFormatting sqref="L232:L236">
    <cfRule type="iconSet" priority="508">
      <iconSet iconSet="3Symbols2" showValue="0">
        <cfvo type="percent" val="0"/>
        <cfvo type="num" val="0"/>
        <cfvo type="num" val="1"/>
      </iconSet>
    </cfRule>
  </conditionalFormatting>
  <conditionalFormatting sqref="Q232:Q236">
    <cfRule type="iconSet" priority="507">
      <iconSet iconSet="3Symbols2" showValue="0">
        <cfvo type="percent" val="0"/>
        <cfvo type="num" val="0"/>
        <cfvo type="num" val="1"/>
      </iconSet>
    </cfRule>
  </conditionalFormatting>
  <conditionalFormatting sqref="T232:T236">
    <cfRule type="iconSet" priority="506">
      <iconSet iconSet="3Symbols2" showValue="0">
        <cfvo type="percent" val="0"/>
        <cfvo type="num" val="0"/>
        <cfvo type="num" val="1"/>
      </iconSet>
    </cfRule>
  </conditionalFormatting>
  <conditionalFormatting sqref="T232:T236">
    <cfRule type="iconSet" priority="505">
      <iconSet iconSet="3Symbols2" showValue="0">
        <cfvo type="percent" val="0"/>
        <cfvo type="num" val="0"/>
        <cfvo type="num" val="1"/>
      </iconSet>
    </cfRule>
  </conditionalFormatting>
  <conditionalFormatting sqref="Q1653:Q1658">
    <cfRule type="iconSet" priority="504">
      <iconSet iconSet="3Symbols2" showValue="0">
        <cfvo type="percent" val="0"/>
        <cfvo type="num" val="0"/>
        <cfvo type="num" val="1"/>
      </iconSet>
    </cfRule>
  </conditionalFormatting>
  <conditionalFormatting sqref="Q1653:Q1658">
    <cfRule type="iconSet" priority="503">
      <iconSet iconSet="3Symbols2" showValue="0">
        <cfvo type="percent" val="0"/>
        <cfvo type="num" val="0"/>
        <cfvo type="num" val="1"/>
      </iconSet>
    </cfRule>
  </conditionalFormatting>
  <conditionalFormatting sqref="T1653:T1658">
    <cfRule type="iconSet" priority="502">
      <iconSet iconSet="3Symbols2" showValue="0">
        <cfvo type="percent" val="0"/>
        <cfvo type="num" val="0"/>
        <cfvo type="num" val="1"/>
      </iconSet>
    </cfRule>
  </conditionalFormatting>
  <conditionalFormatting sqref="T1653:T1658">
    <cfRule type="iconSet" priority="501">
      <iconSet iconSet="3Symbols2" showValue="0">
        <cfvo type="percent" val="0"/>
        <cfvo type="num" val="0"/>
        <cfvo type="num" val="1"/>
      </iconSet>
    </cfRule>
  </conditionalFormatting>
  <conditionalFormatting sqref="Q1659:Q1661">
    <cfRule type="iconSet" priority="500">
      <iconSet iconSet="3Symbols2" showValue="0">
        <cfvo type="percent" val="0"/>
        <cfvo type="num" val="0"/>
        <cfvo type="num" val="1"/>
      </iconSet>
    </cfRule>
  </conditionalFormatting>
  <conditionalFormatting sqref="Q1659:Q1661">
    <cfRule type="iconSet" priority="499">
      <iconSet iconSet="3Symbols2" showValue="0">
        <cfvo type="percent" val="0"/>
        <cfvo type="num" val="0"/>
        <cfvo type="num" val="1"/>
      </iconSet>
    </cfRule>
  </conditionalFormatting>
  <conditionalFormatting sqref="T1659:T1661">
    <cfRule type="iconSet" priority="498">
      <iconSet iconSet="3Symbols2" showValue="0">
        <cfvo type="percent" val="0"/>
        <cfvo type="num" val="0"/>
        <cfvo type="num" val="1"/>
      </iconSet>
    </cfRule>
  </conditionalFormatting>
  <conditionalFormatting sqref="T1659:T1661">
    <cfRule type="iconSet" priority="497">
      <iconSet iconSet="3Symbols2" showValue="0">
        <cfvo type="percent" val="0"/>
        <cfvo type="num" val="0"/>
        <cfvo type="num" val="1"/>
      </iconSet>
    </cfRule>
  </conditionalFormatting>
  <conditionalFormatting sqref="Q1662:Q1663">
    <cfRule type="iconSet" priority="496">
      <iconSet iconSet="3Symbols2" showValue="0">
        <cfvo type="percent" val="0"/>
        <cfvo type="num" val="0"/>
        <cfvo type="num" val="1"/>
      </iconSet>
    </cfRule>
  </conditionalFormatting>
  <conditionalFormatting sqref="Q1662:Q1663">
    <cfRule type="iconSet" priority="495">
      <iconSet iconSet="3Symbols2" showValue="0">
        <cfvo type="percent" val="0"/>
        <cfvo type="num" val="0"/>
        <cfvo type="num" val="1"/>
      </iconSet>
    </cfRule>
  </conditionalFormatting>
  <conditionalFormatting sqref="T1662:T1663">
    <cfRule type="iconSet" priority="494">
      <iconSet iconSet="3Symbols2" showValue="0">
        <cfvo type="percent" val="0"/>
        <cfvo type="num" val="0"/>
        <cfvo type="num" val="1"/>
      </iconSet>
    </cfRule>
  </conditionalFormatting>
  <conditionalFormatting sqref="T1662:T1663">
    <cfRule type="iconSet" priority="493">
      <iconSet iconSet="3Symbols2" showValue="0">
        <cfvo type="percent" val="0"/>
        <cfvo type="num" val="0"/>
        <cfvo type="num" val="1"/>
      </iconSet>
    </cfRule>
  </conditionalFormatting>
  <conditionalFormatting sqref="Q1664:Q1667">
    <cfRule type="iconSet" priority="492">
      <iconSet iconSet="3Symbols2" showValue="0">
        <cfvo type="percent" val="0"/>
        <cfvo type="num" val="0"/>
        <cfvo type="num" val="1"/>
      </iconSet>
    </cfRule>
  </conditionalFormatting>
  <conditionalFormatting sqref="Q1664:Q1667">
    <cfRule type="iconSet" priority="491">
      <iconSet iconSet="3Symbols2" showValue="0">
        <cfvo type="percent" val="0"/>
        <cfvo type="num" val="0"/>
        <cfvo type="num" val="1"/>
      </iconSet>
    </cfRule>
  </conditionalFormatting>
  <conditionalFormatting sqref="T1664:T1667">
    <cfRule type="iconSet" priority="490">
      <iconSet iconSet="3Symbols2" showValue="0">
        <cfvo type="percent" val="0"/>
        <cfvo type="num" val="0"/>
        <cfvo type="num" val="1"/>
      </iconSet>
    </cfRule>
  </conditionalFormatting>
  <conditionalFormatting sqref="T1664:T1667">
    <cfRule type="iconSet" priority="489">
      <iconSet iconSet="3Symbols2" showValue="0">
        <cfvo type="percent" val="0"/>
        <cfvo type="num" val="0"/>
        <cfvo type="num" val="1"/>
      </iconSet>
    </cfRule>
  </conditionalFormatting>
  <conditionalFormatting sqref="Q1668:Q1669">
    <cfRule type="iconSet" priority="488">
      <iconSet iconSet="3Symbols2" showValue="0">
        <cfvo type="percent" val="0"/>
        <cfvo type="num" val="0"/>
        <cfvo type="num" val="1"/>
      </iconSet>
    </cfRule>
  </conditionalFormatting>
  <conditionalFormatting sqref="Q1668:Q1669">
    <cfRule type="iconSet" priority="487">
      <iconSet iconSet="3Symbols2" showValue="0">
        <cfvo type="percent" val="0"/>
        <cfvo type="num" val="0"/>
        <cfvo type="num" val="1"/>
      </iconSet>
    </cfRule>
  </conditionalFormatting>
  <conditionalFormatting sqref="T1668:T1669">
    <cfRule type="iconSet" priority="486">
      <iconSet iconSet="3Symbols2" showValue="0">
        <cfvo type="percent" val="0"/>
        <cfvo type="num" val="0"/>
        <cfvo type="num" val="1"/>
      </iconSet>
    </cfRule>
  </conditionalFormatting>
  <conditionalFormatting sqref="T1668:T1669">
    <cfRule type="iconSet" priority="485">
      <iconSet iconSet="3Symbols2" showValue="0">
        <cfvo type="percent" val="0"/>
        <cfvo type="num" val="0"/>
        <cfvo type="num" val="1"/>
      </iconSet>
    </cfRule>
  </conditionalFormatting>
  <conditionalFormatting sqref="Q1670:Q1672">
    <cfRule type="iconSet" priority="484">
      <iconSet iconSet="3Symbols2" showValue="0">
        <cfvo type="percent" val="0"/>
        <cfvo type="num" val="0"/>
        <cfvo type="num" val="1"/>
      </iconSet>
    </cfRule>
  </conditionalFormatting>
  <conditionalFormatting sqref="Q1670:Q1672">
    <cfRule type="iconSet" priority="483">
      <iconSet iconSet="3Symbols2" showValue="0">
        <cfvo type="percent" val="0"/>
        <cfvo type="num" val="0"/>
        <cfvo type="num" val="1"/>
      </iconSet>
    </cfRule>
  </conditionalFormatting>
  <conditionalFormatting sqref="T1670:T1672">
    <cfRule type="iconSet" priority="482">
      <iconSet iconSet="3Symbols2" showValue="0">
        <cfvo type="percent" val="0"/>
        <cfvo type="num" val="0"/>
        <cfvo type="num" val="1"/>
      </iconSet>
    </cfRule>
  </conditionalFormatting>
  <conditionalFormatting sqref="T1670:T1672">
    <cfRule type="iconSet" priority="481">
      <iconSet iconSet="3Symbols2" showValue="0">
        <cfvo type="percent" val="0"/>
        <cfvo type="num" val="0"/>
        <cfvo type="num" val="1"/>
      </iconSet>
    </cfRule>
  </conditionalFormatting>
  <conditionalFormatting sqref="Q1673:Q1675">
    <cfRule type="iconSet" priority="480">
      <iconSet iconSet="3Symbols2" showValue="0">
        <cfvo type="percent" val="0"/>
        <cfvo type="num" val="0"/>
        <cfvo type="num" val="1"/>
      </iconSet>
    </cfRule>
  </conditionalFormatting>
  <conditionalFormatting sqref="Q1673:Q1675">
    <cfRule type="iconSet" priority="479">
      <iconSet iconSet="3Symbols2" showValue="0">
        <cfvo type="percent" val="0"/>
        <cfvo type="num" val="0"/>
        <cfvo type="num" val="1"/>
      </iconSet>
    </cfRule>
  </conditionalFormatting>
  <conditionalFormatting sqref="T1673:T1675">
    <cfRule type="iconSet" priority="478">
      <iconSet iconSet="3Symbols2" showValue="0">
        <cfvo type="percent" val="0"/>
        <cfvo type="num" val="0"/>
        <cfvo type="num" val="1"/>
      </iconSet>
    </cfRule>
  </conditionalFormatting>
  <conditionalFormatting sqref="T1673:T1675">
    <cfRule type="iconSet" priority="477">
      <iconSet iconSet="3Symbols2" showValue="0">
        <cfvo type="percent" val="0"/>
        <cfvo type="num" val="0"/>
        <cfvo type="num" val="1"/>
      </iconSet>
    </cfRule>
  </conditionalFormatting>
  <conditionalFormatting sqref="Q1676:Q1679">
    <cfRule type="iconSet" priority="476">
      <iconSet iconSet="3Symbols2" showValue="0">
        <cfvo type="percent" val="0"/>
        <cfvo type="num" val="0"/>
        <cfvo type="num" val="1"/>
      </iconSet>
    </cfRule>
  </conditionalFormatting>
  <conditionalFormatting sqref="Q1676:Q1679">
    <cfRule type="iconSet" priority="475">
      <iconSet iconSet="3Symbols2" showValue="0">
        <cfvo type="percent" val="0"/>
        <cfvo type="num" val="0"/>
        <cfvo type="num" val="1"/>
      </iconSet>
    </cfRule>
  </conditionalFormatting>
  <conditionalFormatting sqref="T1676:T1679">
    <cfRule type="iconSet" priority="474">
      <iconSet iconSet="3Symbols2" showValue="0">
        <cfvo type="percent" val="0"/>
        <cfvo type="num" val="0"/>
        <cfvo type="num" val="1"/>
      </iconSet>
    </cfRule>
  </conditionalFormatting>
  <conditionalFormatting sqref="T1676:T1679">
    <cfRule type="iconSet" priority="473">
      <iconSet iconSet="3Symbols2" showValue="0">
        <cfvo type="percent" val="0"/>
        <cfvo type="num" val="0"/>
        <cfvo type="num" val="1"/>
      </iconSet>
    </cfRule>
  </conditionalFormatting>
  <conditionalFormatting sqref="Q1680:Q1684">
    <cfRule type="iconSet" priority="472">
      <iconSet iconSet="3Symbols2" showValue="0">
        <cfvo type="percent" val="0"/>
        <cfvo type="num" val="0"/>
        <cfvo type="num" val="1"/>
      </iconSet>
    </cfRule>
  </conditionalFormatting>
  <conditionalFormatting sqref="Q1680:Q1684">
    <cfRule type="iconSet" priority="471">
      <iconSet iconSet="3Symbols2" showValue="0">
        <cfvo type="percent" val="0"/>
        <cfvo type="num" val="0"/>
        <cfvo type="num" val="1"/>
      </iconSet>
    </cfRule>
  </conditionalFormatting>
  <conditionalFormatting sqref="T1680:T1684">
    <cfRule type="iconSet" priority="470">
      <iconSet iconSet="3Symbols2" showValue="0">
        <cfvo type="percent" val="0"/>
        <cfvo type="num" val="0"/>
        <cfvo type="num" val="1"/>
      </iconSet>
    </cfRule>
  </conditionalFormatting>
  <conditionalFormatting sqref="T1680:T1684">
    <cfRule type="iconSet" priority="469">
      <iconSet iconSet="3Symbols2" showValue="0">
        <cfvo type="percent" val="0"/>
        <cfvo type="num" val="0"/>
        <cfvo type="num" val="1"/>
      </iconSet>
    </cfRule>
  </conditionalFormatting>
  <conditionalFormatting sqref="Q1685:Q1686">
    <cfRule type="iconSet" priority="468">
      <iconSet iconSet="3Symbols2" showValue="0">
        <cfvo type="percent" val="0"/>
        <cfvo type="num" val="0"/>
        <cfvo type="num" val="1"/>
      </iconSet>
    </cfRule>
  </conditionalFormatting>
  <conditionalFormatting sqref="Q1685:Q1686">
    <cfRule type="iconSet" priority="467">
      <iconSet iconSet="3Symbols2" showValue="0">
        <cfvo type="percent" val="0"/>
        <cfvo type="num" val="0"/>
        <cfvo type="num" val="1"/>
      </iconSet>
    </cfRule>
  </conditionalFormatting>
  <conditionalFormatting sqref="T1685:T1686">
    <cfRule type="iconSet" priority="466">
      <iconSet iconSet="3Symbols2" showValue="0">
        <cfvo type="percent" val="0"/>
        <cfvo type="num" val="0"/>
        <cfvo type="num" val="1"/>
      </iconSet>
    </cfRule>
  </conditionalFormatting>
  <conditionalFormatting sqref="T1685:T1686">
    <cfRule type="iconSet" priority="465">
      <iconSet iconSet="3Symbols2" showValue="0">
        <cfvo type="percent" val="0"/>
        <cfvo type="num" val="0"/>
        <cfvo type="num" val="1"/>
      </iconSet>
    </cfRule>
  </conditionalFormatting>
  <conditionalFormatting sqref="Q1687:Q1690">
    <cfRule type="iconSet" priority="464">
      <iconSet iconSet="3Symbols2" showValue="0">
        <cfvo type="percent" val="0"/>
        <cfvo type="num" val="0"/>
        <cfvo type="num" val="1"/>
      </iconSet>
    </cfRule>
  </conditionalFormatting>
  <conditionalFormatting sqref="Q1687:Q1690">
    <cfRule type="iconSet" priority="463">
      <iconSet iconSet="3Symbols2" showValue="0">
        <cfvo type="percent" val="0"/>
        <cfvo type="num" val="0"/>
        <cfvo type="num" val="1"/>
      </iconSet>
    </cfRule>
  </conditionalFormatting>
  <conditionalFormatting sqref="T1687:T1690">
    <cfRule type="iconSet" priority="462">
      <iconSet iconSet="3Symbols2" showValue="0">
        <cfvo type="percent" val="0"/>
        <cfvo type="num" val="0"/>
        <cfvo type="num" val="1"/>
      </iconSet>
    </cfRule>
  </conditionalFormatting>
  <conditionalFormatting sqref="T1687:T1690">
    <cfRule type="iconSet" priority="461">
      <iconSet iconSet="3Symbols2" showValue="0">
        <cfvo type="percent" val="0"/>
        <cfvo type="num" val="0"/>
        <cfvo type="num" val="1"/>
      </iconSet>
    </cfRule>
  </conditionalFormatting>
  <conditionalFormatting sqref="Q1691:Q1692">
    <cfRule type="iconSet" priority="460">
      <iconSet iconSet="3Symbols2" showValue="0">
        <cfvo type="percent" val="0"/>
        <cfvo type="num" val="0"/>
        <cfvo type="num" val="1"/>
      </iconSet>
    </cfRule>
  </conditionalFormatting>
  <conditionalFormatting sqref="Q1691:Q1692">
    <cfRule type="iconSet" priority="459">
      <iconSet iconSet="3Symbols2" showValue="0">
        <cfvo type="percent" val="0"/>
        <cfvo type="num" val="0"/>
        <cfvo type="num" val="1"/>
      </iconSet>
    </cfRule>
  </conditionalFormatting>
  <conditionalFormatting sqref="T1691:T1692">
    <cfRule type="iconSet" priority="458">
      <iconSet iconSet="3Symbols2" showValue="0">
        <cfvo type="percent" val="0"/>
        <cfvo type="num" val="0"/>
        <cfvo type="num" val="1"/>
      </iconSet>
    </cfRule>
  </conditionalFormatting>
  <conditionalFormatting sqref="T1691:T1692">
    <cfRule type="iconSet" priority="457">
      <iconSet iconSet="3Symbols2" showValue="0">
        <cfvo type="percent" val="0"/>
        <cfvo type="num" val="0"/>
        <cfvo type="num" val="1"/>
      </iconSet>
    </cfRule>
  </conditionalFormatting>
  <conditionalFormatting sqref="Q1693:Q1694">
    <cfRule type="iconSet" priority="456">
      <iconSet iconSet="3Symbols2" showValue="0">
        <cfvo type="percent" val="0"/>
        <cfvo type="num" val="0"/>
        <cfvo type="num" val="1"/>
      </iconSet>
    </cfRule>
  </conditionalFormatting>
  <conditionalFormatting sqref="Q1693:Q1694">
    <cfRule type="iconSet" priority="455">
      <iconSet iconSet="3Symbols2" showValue="0">
        <cfvo type="percent" val="0"/>
        <cfvo type="num" val="0"/>
        <cfvo type="num" val="1"/>
      </iconSet>
    </cfRule>
  </conditionalFormatting>
  <conditionalFormatting sqref="T1693:T1694">
    <cfRule type="iconSet" priority="454">
      <iconSet iconSet="3Symbols2" showValue="0">
        <cfvo type="percent" val="0"/>
        <cfvo type="num" val="0"/>
        <cfvo type="num" val="1"/>
      </iconSet>
    </cfRule>
  </conditionalFormatting>
  <conditionalFormatting sqref="T1693:T1694">
    <cfRule type="iconSet" priority="453">
      <iconSet iconSet="3Symbols2" showValue="0">
        <cfvo type="percent" val="0"/>
        <cfvo type="num" val="0"/>
        <cfvo type="num" val="1"/>
      </iconSet>
    </cfRule>
  </conditionalFormatting>
  <conditionalFormatting sqref="Q1695:Q1697">
    <cfRule type="iconSet" priority="452">
      <iconSet iconSet="3Symbols2" showValue="0">
        <cfvo type="percent" val="0"/>
        <cfvo type="num" val="0"/>
        <cfvo type="num" val="1"/>
      </iconSet>
    </cfRule>
  </conditionalFormatting>
  <conditionalFormatting sqref="Q1695:Q1697">
    <cfRule type="iconSet" priority="451">
      <iconSet iconSet="3Symbols2" showValue="0">
        <cfvo type="percent" val="0"/>
        <cfvo type="num" val="0"/>
        <cfvo type="num" val="1"/>
      </iconSet>
    </cfRule>
  </conditionalFormatting>
  <conditionalFormatting sqref="T1695:T1697">
    <cfRule type="iconSet" priority="450">
      <iconSet iconSet="3Symbols2" showValue="0">
        <cfvo type="percent" val="0"/>
        <cfvo type="num" val="0"/>
        <cfvo type="num" val="1"/>
      </iconSet>
    </cfRule>
  </conditionalFormatting>
  <conditionalFormatting sqref="T1695:T1697">
    <cfRule type="iconSet" priority="449">
      <iconSet iconSet="3Symbols2" showValue="0">
        <cfvo type="percent" val="0"/>
        <cfvo type="num" val="0"/>
        <cfvo type="num" val="1"/>
      </iconSet>
    </cfRule>
  </conditionalFormatting>
  <conditionalFormatting sqref="Q1698:Q1699">
    <cfRule type="iconSet" priority="448">
      <iconSet iconSet="3Symbols2" showValue="0">
        <cfvo type="percent" val="0"/>
        <cfvo type="num" val="0"/>
        <cfvo type="num" val="1"/>
      </iconSet>
    </cfRule>
  </conditionalFormatting>
  <conditionalFormatting sqref="Q1698:Q1699">
    <cfRule type="iconSet" priority="447">
      <iconSet iconSet="3Symbols2" showValue="0">
        <cfvo type="percent" val="0"/>
        <cfvo type="num" val="0"/>
        <cfvo type="num" val="1"/>
      </iconSet>
    </cfRule>
  </conditionalFormatting>
  <conditionalFormatting sqref="T1698:T1699">
    <cfRule type="iconSet" priority="446">
      <iconSet iconSet="3Symbols2" showValue="0">
        <cfvo type="percent" val="0"/>
        <cfvo type="num" val="0"/>
        <cfvo type="num" val="1"/>
      </iconSet>
    </cfRule>
  </conditionalFormatting>
  <conditionalFormatting sqref="T1698:T1699">
    <cfRule type="iconSet" priority="445">
      <iconSet iconSet="3Symbols2" showValue="0">
        <cfvo type="percent" val="0"/>
        <cfvo type="num" val="0"/>
        <cfvo type="num" val="1"/>
      </iconSet>
    </cfRule>
  </conditionalFormatting>
  <conditionalFormatting sqref="Q1700:Q1705">
    <cfRule type="iconSet" priority="444">
      <iconSet iconSet="3Symbols2" showValue="0">
        <cfvo type="percent" val="0"/>
        <cfvo type="num" val="0"/>
        <cfvo type="num" val="1"/>
      </iconSet>
    </cfRule>
  </conditionalFormatting>
  <conditionalFormatting sqref="Q1700:Q1705">
    <cfRule type="iconSet" priority="443">
      <iconSet iconSet="3Symbols2" showValue="0">
        <cfvo type="percent" val="0"/>
        <cfvo type="num" val="0"/>
        <cfvo type="num" val="1"/>
      </iconSet>
    </cfRule>
  </conditionalFormatting>
  <conditionalFormatting sqref="T1700:T1705">
    <cfRule type="iconSet" priority="442">
      <iconSet iconSet="3Symbols2" showValue="0">
        <cfvo type="percent" val="0"/>
        <cfvo type="num" val="0"/>
        <cfvo type="num" val="1"/>
      </iconSet>
    </cfRule>
  </conditionalFormatting>
  <conditionalFormatting sqref="T1700:T1705">
    <cfRule type="iconSet" priority="441">
      <iconSet iconSet="3Symbols2" showValue="0">
        <cfvo type="percent" val="0"/>
        <cfvo type="num" val="0"/>
        <cfvo type="num" val="1"/>
      </iconSet>
    </cfRule>
  </conditionalFormatting>
  <conditionalFormatting sqref="Q1706:Q1708">
    <cfRule type="iconSet" priority="440">
      <iconSet iconSet="3Symbols2" showValue="0">
        <cfvo type="percent" val="0"/>
        <cfvo type="num" val="0"/>
        <cfvo type="num" val="1"/>
      </iconSet>
    </cfRule>
  </conditionalFormatting>
  <conditionalFormatting sqref="Q1706:Q1708">
    <cfRule type="iconSet" priority="439">
      <iconSet iconSet="3Symbols2" showValue="0">
        <cfvo type="percent" val="0"/>
        <cfvo type="num" val="0"/>
        <cfvo type="num" val="1"/>
      </iconSet>
    </cfRule>
  </conditionalFormatting>
  <conditionalFormatting sqref="T1706:T1708">
    <cfRule type="iconSet" priority="438">
      <iconSet iconSet="3Symbols2" showValue="0">
        <cfvo type="percent" val="0"/>
        <cfvo type="num" val="0"/>
        <cfvo type="num" val="1"/>
      </iconSet>
    </cfRule>
  </conditionalFormatting>
  <conditionalFormatting sqref="T1706:T1708">
    <cfRule type="iconSet" priority="437">
      <iconSet iconSet="3Symbols2" showValue="0">
        <cfvo type="percent" val="0"/>
        <cfvo type="num" val="0"/>
        <cfvo type="num" val="1"/>
      </iconSet>
    </cfRule>
  </conditionalFormatting>
  <conditionalFormatting sqref="D3423:D3425">
    <cfRule type="expression" dxfId="73" priority="421">
      <formula>AND($L3423=1,$Q3423&lt;&gt;1)</formula>
    </cfRule>
    <cfRule type="expression" dxfId="72" priority="422">
      <formula>OR($I3423=1,$Q3423=1)</formula>
    </cfRule>
    <cfRule type="expression" dxfId="71" priority="423">
      <formula>($H3423="NA")</formula>
    </cfRule>
  </conditionalFormatting>
  <conditionalFormatting sqref="D3401">
    <cfRule type="expression" dxfId="70" priority="418">
      <formula>AND($L3401=1,$Q3401&lt;&gt;1)</formula>
    </cfRule>
    <cfRule type="expression" dxfId="69" priority="419">
      <formula>OR($I3401=1,$Q3401=1)</formula>
    </cfRule>
    <cfRule type="expression" dxfId="68" priority="420">
      <formula>($H3401="NA")</formula>
    </cfRule>
  </conditionalFormatting>
  <conditionalFormatting sqref="D3407:D3408">
    <cfRule type="expression" dxfId="67" priority="415">
      <formula>AND($L3407=1,$Q3407&lt;&gt;1)</formula>
    </cfRule>
    <cfRule type="expression" dxfId="66" priority="416">
      <formula>OR($I3407=1,$Q3407=1)</formula>
    </cfRule>
    <cfRule type="expression" dxfId="65" priority="417">
      <formula>($H3407="NA")</formula>
    </cfRule>
  </conditionalFormatting>
  <conditionalFormatting sqref="D3402:D3406">
    <cfRule type="expression" dxfId="64" priority="412">
      <formula>AND($L3402=1,$Q3402&lt;&gt;1)</formula>
    </cfRule>
    <cfRule type="expression" dxfId="63" priority="413">
      <formula>OR($I3402=1,$Q3402=1)</formula>
    </cfRule>
    <cfRule type="expression" dxfId="62" priority="414">
      <formula>($H3402="NA")</formula>
    </cfRule>
  </conditionalFormatting>
  <conditionalFormatting sqref="D3409:D3422">
    <cfRule type="expression" dxfId="61" priority="406">
      <formula>AND($L3409=1,$Q3409&lt;&gt;1)</formula>
    </cfRule>
    <cfRule type="expression" dxfId="60" priority="407">
      <formula>OR($I3409=1,$Q3409=1)</formula>
    </cfRule>
    <cfRule type="expression" dxfId="59" priority="408">
      <formula>($H3409="NA")</formula>
    </cfRule>
  </conditionalFormatting>
  <conditionalFormatting sqref="I3253">
    <cfRule type="iconSet" priority="403">
      <iconSet iconSet="3Symbols2" showValue="0">
        <cfvo type="percent" val="0"/>
        <cfvo type="num" val="0"/>
        <cfvo type="num" val="1"/>
      </iconSet>
    </cfRule>
  </conditionalFormatting>
  <conditionalFormatting sqref="M3302">
    <cfRule type="iconSet" priority="402">
      <iconSet iconSet="3Symbols2" showValue="0">
        <cfvo type="percent" val="0"/>
        <cfvo type="num" val="0"/>
        <cfvo type="num" val="1"/>
      </iconSet>
    </cfRule>
  </conditionalFormatting>
  <conditionalFormatting sqref="M3302">
    <cfRule type="iconSet" priority="401">
      <iconSet iconSet="3Symbols2" showValue="0">
        <cfvo type="percent" val="0"/>
        <cfvo type="num" val="0"/>
        <cfvo type="num" val="1"/>
      </iconSet>
    </cfRule>
  </conditionalFormatting>
  <conditionalFormatting sqref="N3282:N3283">
    <cfRule type="iconSet" priority="174358">
      <iconSet iconSet="3Symbols2" showValue="0">
        <cfvo type="percent" val="0"/>
        <cfvo type="num" val="0"/>
        <cfvo type="num" val="1"/>
      </iconSet>
    </cfRule>
  </conditionalFormatting>
  <conditionalFormatting sqref="M3290">
    <cfRule type="iconSet" priority="400">
      <iconSet iconSet="3Symbols2" showValue="0">
        <cfvo type="percent" val="0"/>
        <cfvo type="num" val="0"/>
        <cfvo type="num" val="1"/>
      </iconSet>
    </cfRule>
  </conditionalFormatting>
  <conditionalFormatting sqref="M3290">
    <cfRule type="iconSet" priority="399">
      <iconSet iconSet="3Symbols2" showValue="0">
        <cfvo type="percent" val="0"/>
        <cfvo type="num" val="0"/>
        <cfvo type="num" val="1"/>
      </iconSet>
    </cfRule>
  </conditionalFormatting>
  <conditionalFormatting sqref="M3293">
    <cfRule type="iconSet" priority="398">
      <iconSet iconSet="3Symbols2" showValue="0">
        <cfvo type="percent" val="0"/>
        <cfvo type="num" val="0"/>
        <cfvo type="num" val="1"/>
      </iconSet>
    </cfRule>
  </conditionalFormatting>
  <conditionalFormatting sqref="M3293">
    <cfRule type="iconSet" priority="397">
      <iconSet iconSet="3Symbols2" showValue="0">
        <cfvo type="percent" val="0"/>
        <cfvo type="num" val="0"/>
        <cfvo type="num" val="1"/>
      </iconSet>
    </cfRule>
  </conditionalFormatting>
  <conditionalFormatting sqref="N3275:N3281 N212 N214:N219 N222:N226 N271 N3047 N191:N203 N377:N388 N566 N3196:N3250 N290:N295 N467 N469:N474 N3257:N3270 N480:N490 N3194 N279:N287 N445:N458 N22:N83 N3284:N3304 N3306 N11:N20 N422:N443 N492:N515 N416 N419:N420 N297:N375 N517:N564 N613:N1378 N85:N189">
    <cfRule type="iconSet" priority="179148">
      <iconSet iconSet="3Symbols2" showValue="0">
        <cfvo type="percent" val="0"/>
        <cfvo type="num" val="0"/>
        <cfvo type="num" val="1"/>
      </iconSet>
    </cfRule>
  </conditionalFormatting>
  <conditionalFormatting sqref="N3307:N3379">
    <cfRule type="iconSet" priority="179559">
      <iconSet iconSet="3Symbols2" showValue="0">
        <cfvo type="percent" val="0"/>
        <cfvo type="num" val="0"/>
        <cfvo type="num" val="1"/>
      </iconSet>
    </cfRule>
  </conditionalFormatting>
  <conditionalFormatting sqref="R3196:R3267 R3047 R570:R571 R3194 R3271:R3304 R3306:R3379 R2936:R2937 R3045 R2306:R2307 R2710:R2711 R1280:R1711">
    <cfRule type="iconSet" priority="179561">
      <iconSet iconSet="3Symbols2" showValue="0">
        <cfvo type="percent" val="0"/>
        <cfvo type="num" val="0"/>
        <cfvo type="num" val="1"/>
      </iconSet>
    </cfRule>
  </conditionalFormatting>
  <conditionalFormatting sqref="U3196:U3250 U3047 U3194 U570:U571 U3257:U3304 U3306:U3379 U1280:U3045">
    <cfRule type="iconSet" priority="179604">
      <iconSet iconSet="3Symbols2" showValue="0">
        <cfvo type="percent" val="0"/>
        <cfvo type="num" val="0"/>
        <cfvo type="num" val="1"/>
      </iconSet>
    </cfRule>
  </conditionalFormatting>
  <conditionalFormatting sqref="S3196:S3210 S3047 S570:S571 S3194 S3213:S3304 S3306:S3379 S1280:S3045">
    <cfRule type="iconSet" priority="179611">
      <iconSet iconSet="3Symbols2" showValue="0">
        <cfvo type="percent" val="0"/>
        <cfvo type="num" val="0"/>
        <cfvo type="num" val="1"/>
      </iconSet>
    </cfRule>
  </conditionalFormatting>
  <conditionalFormatting sqref="O3194 O191:O203 O212:O219 O222:O226 O467:O474 O480:O490 O3047 O271:O295 O445:O458 O566:O568 O22:O83 O3196:O3304 O3306:O3379 O9:O20 O422:O443 O492:O515 O377:O420 O297:O375 O517:O564 O613:O1378 O85:O189">
    <cfRule type="iconSet" priority="179620">
      <iconSet iconSet="3Symbols2" showValue="0">
        <cfvo type="percent" val="0"/>
        <cfvo type="num" val="0"/>
        <cfvo type="num" val="1"/>
      </iconSet>
    </cfRule>
  </conditionalFormatting>
  <conditionalFormatting sqref="P3194 P3047 P445:P490 P22:P83 P3196:P3304 P3306:P3379 P9:P20 P422:P443 P492:P515 P191:P295 P377:P420 P297:P375 P517:P564 P613:P3045 P85:P189 P566:P611">
    <cfRule type="iconSet" priority="179647">
      <iconSet iconSet="3Symbols2" showValue="0">
        <cfvo type="percent" val="0"/>
        <cfvo type="num" val="0"/>
        <cfvo type="num" val="1"/>
      </iconSet>
    </cfRule>
  </conditionalFormatting>
  <conditionalFormatting sqref="T3194 T3047 T570:T571 T3196:T3304 T3306:T3379 T1280:T1478 T1710:T3045">
    <cfRule type="iconSet" priority="179663">
      <iconSet iconSet="3Symbols2" showValue="0">
        <cfvo type="percent" val="0"/>
        <cfvo type="num" val="0"/>
        <cfvo type="num" val="1"/>
      </iconSet>
    </cfRule>
  </conditionalFormatting>
  <conditionalFormatting sqref="F14:H16">
    <cfRule type="expression" dxfId="58" priority="394">
      <formula>AND($L14=1,$Q14&lt;&gt;1)</formula>
    </cfRule>
    <cfRule type="expression" dxfId="57" priority="395">
      <formula>OR($I14=1,$Q14=1)</formula>
    </cfRule>
    <cfRule type="expression" dxfId="56" priority="396">
      <formula>($H14="NA")</formula>
    </cfRule>
  </conditionalFormatting>
  <conditionalFormatting sqref="N10">
    <cfRule type="iconSet" priority="180345">
      <iconSet iconSet="3Symbols2" showValue="0">
        <cfvo type="percent" val="0"/>
        <cfvo type="num" val="0"/>
        <cfvo type="num" val="1"/>
      </iconSet>
    </cfRule>
  </conditionalFormatting>
  <conditionalFormatting sqref="L3093:L3094">
    <cfRule type="iconSet" priority="180645">
      <iconSet iconSet="3Symbols2" showValue="0">
        <cfvo type="percent" val="0"/>
        <cfvo type="num" val="0"/>
        <cfvo type="num" val="1"/>
      </iconSet>
    </cfRule>
  </conditionalFormatting>
  <conditionalFormatting sqref="M3051:M3052">
    <cfRule type="iconSet" priority="188189">
      <iconSet iconSet="3Symbols2" showValue="0">
        <cfvo type="percent" val="0"/>
        <cfvo type="num" val="0"/>
        <cfvo type="num" val="1"/>
      </iconSet>
    </cfRule>
  </conditionalFormatting>
  <conditionalFormatting sqref="N3193 N3138 N3114 N3132:N3134 N3159:N3160 N3162 N3048:N3049 N3053:N3109 N3305">
    <cfRule type="iconSet" priority="199348">
      <iconSet iconSet="3Symbols2" showValue="0">
        <cfvo type="percent" val="0"/>
        <cfvo type="num" val="0"/>
        <cfvo type="num" val="1"/>
      </iconSet>
    </cfRule>
  </conditionalFormatting>
  <conditionalFormatting sqref="Q3056:Q3057">
    <cfRule type="expression" dxfId="55" priority="393">
      <formula>OR(CELL(“col”)=COLUMN(),CELL(“row”)=ROW())</formula>
    </cfRule>
  </conditionalFormatting>
  <conditionalFormatting sqref="L3066:L3067">
    <cfRule type="iconSet" priority="392">
      <iconSet iconSet="3Symbols2" showValue="0">
        <cfvo type="percent" val="0"/>
        <cfvo type="num" val="0"/>
        <cfvo type="num" val="1"/>
      </iconSet>
    </cfRule>
  </conditionalFormatting>
  <conditionalFormatting sqref="N3139:N3158 N3119:N3125">
    <cfRule type="iconSet" priority="200065">
      <iconSet iconSet="3Symbols2" showValue="0">
        <cfvo type="percent" val="0"/>
        <cfvo type="num" val="0"/>
        <cfvo type="num" val="1"/>
      </iconSet>
    </cfRule>
  </conditionalFormatting>
  <conditionalFormatting sqref="U3305 U3048:U3193">
    <cfRule type="iconSet" priority="200610">
      <iconSet iconSet="3Symbols2" showValue="0">
        <cfvo type="percent" val="0"/>
        <cfvo type="num" val="0"/>
        <cfvo type="num" val="1"/>
      </iconSet>
    </cfRule>
  </conditionalFormatting>
  <conditionalFormatting sqref="O3305 O3048:O3193">
    <cfRule type="iconSet" priority="200612">
      <iconSet iconSet="3Symbols2" showValue="0">
        <cfvo type="percent" val="0"/>
        <cfvo type="num" val="0"/>
        <cfvo type="num" val="1"/>
      </iconSet>
    </cfRule>
  </conditionalFormatting>
  <conditionalFormatting sqref="P3305 P3048:P3193">
    <cfRule type="iconSet" priority="200614">
      <iconSet iconSet="3Symbols2" showValue="0">
        <cfvo type="percent" val="0"/>
        <cfvo type="num" val="0"/>
        <cfvo type="num" val="1"/>
      </iconSet>
    </cfRule>
  </conditionalFormatting>
  <conditionalFormatting sqref="R3305 R3048:R3193">
    <cfRule type="iconSet" priority="200616">
      <iconSet iconSet="3Symbols2" showValue="0">
        <cfvo type="percent" val="0"/>
        <cfvo type="num" val="0"/>
        <cfvo type="num" val="1"/>
      </iconSet>
    </cfRule>
  </conditionalFormatting>
  <conditionalFormatting sqref="S3305 S3048:S3193">
    <cfRule type="iconSet" priority="200618">
      <iconSet iconSet="3Symbols2" showValue="0">
        <cfvo type="percent" val="0"/>
        <cfvo type="num" val="0"/>
        <cfvo type="num" val="1"/>
      </iconSet>
    </cfRule>
  </conditionalFormatting>
  <conditionalFormatting sqref="T3305 T3048:T3193">
    <cfRule type="iconSet" priority="200620">
      <iconSet iconSet="3Symbols2" showValue="0">
        <cfvo type="percent" val="0"/>
        <cfvo type="num" val="0"/>
        <cfvo type="num" val="1"/>
      </iconSet>
    </cfRule>
  </conditionalFormatting>
  <conditionalFormatting sqref="N268:O270 N229:O240 N242:O242">
    <cfRule type="iconSet" priority="201784">
      <iconSet iconSet="3Symbols2" showValue="0">
        <cfvo type="percent" val="0"/>
        <cfvo type="num" val="0"/>
        <cfvo type="num" val="1"/>
      </iconSet>
    </cfRule>
  </conditionalFormatting>
  <conditionalFormatting sqref="N260:N261">
    <cfRule type="iconSet" priority="391">
      <iconSet iconSet="3Symbols2" showValue="0">
        <cfvo type="percent" val="0"/>
        <cfvo type="num" val="0"/>
        <cfvo type="num" val="1"/>
      </iconSet>
    </cfRule>
  </conditionalFormatting>
  <conditionalFormatting sqref="S243 S245:S266">
    <cfRule type="iconSet" priority="390">
      <iconSet iconSet="3Symbols2" showValue="0">
        <cfvo type="percent" val="0"/>
        <cfvo type="num" val="0"/>
        <cfvo type="num" val="1"/>
      </iconSet>
    </cfRule>
  </conditionalFormatting>
  <conditionalFormatting sqref="S267">
    <cfRule type="iconSet" priority="389">
      <iconSet iconSet="3Symbols2" showValue="0">
        <cfvo type="percent" val="0"/>
        <cfvo type="num" val="0"/>
        <cfvo type="num" val="1"/>
      </iconSet>
    </cfRule>
  </conditionalFormatting>
  <conditionalFormatting sqref="S239:S240 S242">
    <cfRule type="iconSet" priority="388">
      <iconSet iconSet="3Symbols2" showValue="0">
        <cfvo type="percent" val="0"/>
        <cfvo type="num" val="0"/>
        <cfvo type="num" val="1"/>
      </iconSet>
    </cfRule>
  </conditionalFormatting>
  <conditionalFormatting sqref="S244 Q244:Q250">
    <cfRule type="iconSet" priority="387">
      <iconSet iconSet="3Symbols2" showValue="0">
        <cfvo type="percent" val="0"/>
        <cfvo type="num" val="0"/>
        <cfvo type="num" val="1"/>
      </iconSet>
    </cfRule>
  </conditionalFormatting>
  <conditionalFormatting sqref="N244:N250">
    <cfRule type="iconSet" priority="386">
      <iconSet iconSet="3Symbols2" showValue="0">
        <cfvo type="percent" val="0"/>
        <cfvo type="num" val="0"/>
        <cfvo type="num" val="1"/>
      </iconSet>
    </cfRule>
  </conditionalFormatting>
  <conditionalFormatting sqref="Q260:Q261">
    <cfRule type="iconSet" priority="385">
      <iconSet iconSet="3Symbols2" showValue="0">
        <cfvo type="percent" val="0"/>
        <cfvo type="num" val="0"/>
        <cfvo type="num" val="1"/>
      </iconSet>
    </cfRule>
  </conditionalFormatting>
  <conditionalFormatting sqref="T260:T261">
    <cfRule type="iconSet" priority="384">
      <iconSet iconSet="3Symbols2" showValue="0">
        <cfvo type="percent" val="0"/>
        <cfvo type="num" val="0"/>
        <cfvo type="num" val="1"/>
      </iconSet>
    </cfRule>
  </conditionalFormatting>
  <conditionalFormatting sqref="N243 N262:N266 N251:N259">
    <cfRule type="iconSet" priority="383">
      <iconSet iconSet="3Symbols2" showValue="0">
        <cfvo type="percent" val="0"/>
        <cfvo type="num" val="0"/>
        <cfvo type="num" val="1"/>
      </iconSet>
    </cfRule>
  </conditionalFormatting>
  <conditionalFormatting sqref="O243:O267">
    <cfRule type="iconSet" priority="382">
      <iconSet iconSet="3Symbols2" showValue="0">
        <cfvo type="percent" val="0"/>
        <cfvo type="num" val="0"/>
        <cfvo type="num" val="1"/>
      </iconSet>
    </cfRule>
  </conditionalFormatting>
  <conditionalFormatting sqref="R243 R245:R267">
    <cfRule type="iconSet" priority="381">
      <iconSet iconSet="3Symbols2" showValue="0">
        <cfvo type="percent" val="0"/>
        <cfvo type="num" val="0"/>
        <cfvo type="num" val="1"/>
      </iconSet>
    </cfRule>
  </conditionalFormatting>
  <conditionalFormatting sqref="Q243 Q262:Q267 Q251:Q259">
    <cfRule type="iconSet" priority="380">
      <iconSet iconSet="3Symbols2" showValue="0">
        <cfvo type="percent" val="0"/>
        <cfvo type="num" val="0"/>
        <cfvo type="num" val="1"/>
      </iconSet>
    </cfRule>
  </conditionalFormatting>
  <conditionalFormatting sqref="N267">
    <cfRule type="iconSet" priority="379">
      <iconSet iconSet="3Symbols2" showValue="0">
        <cfvo type="percent" val="0"/>
        <cfvo type="num" val="0"/>
        <cfvo type="num" val="1"/>
      </iconSet>
    </cfRule>
  </conditionalFormatting>
  <conditionalFormatting sqref="S146">
    <cfRule type="iconSet" priority="378">
      <iconSet iconSet="3Symbols2" showValue="0">
        <cfvo type="percent" val="0"/>
        <cfvo type="num" val="0"/>
        <cfvo type="num" val="1"/>
      </iconSet>
    </cfRule>
  </conditionalFormatting>
  <conditionalFormatting sqref="Q161:S163">
    <cfRule type="iconSet" priority="377">
      <iconSet iconSet="3Symbols2" showValue="0">
        <cfvo type="percent" val="0"/>
        <cfvo type="num" val="0"/>
        <cfvo type="num" val="1"/>
      </iconSet>
    </cfRule>
  </conditionalFormatting>
  <conditionalFormatting sqref="S161:S163">
    <cfRule type="iconSet" priority="376">
      <iconSet iconSet="3Symbols2" showValue="0">
        <cfvo type="percent" val="0"/>
        <cfvo type="num" val="0"/>
        <cfvo type="num" val="1"/>
      </iconSet>
    </cfRule>
  </conditionalFormatting>
  <conditionalFormatting sqref="Q177:S178">
    <cfRule type="iconSet" priority="202341">
      <iconSet iconSet="3Symbols2" showValue="0">
        <cfvo type="percent" val="0"/>
        <cfvo type="num" val="0"/>
        <cfvo type="num" val="1"/>
      </iconSet>
    </cfRule>
  </conditionalFormatting>
  <conditionalFormatting sqref="S177:S178">
    <cfRule type="iconSet" priority="202342">
      <iconSet iconSet="3Symbols2" showValue="0">
        <cfvo type="percent" val="0"/>
        <cfvo type="num" val="0"/>
        <cfvo type="num" val="1"/>
      </iconSet>
    </cfRule>
  </conditionalFormatting>
  <conditionalFormatting sqref="L459:L479">
    <cfRule type="iconSet" priority="203720">
      <iconSet iconSet="3Symbols2" showValue="0">
        <cfvo type="percent" val="0"/>
        <cfvo type="num" val="0"/>
        <cfvo type="num" val="1"/>
      </iconSet>
    </cfRule>
  </conditionalFormatting>
  <conditionalFormatting sqref="L483:L489">
    <cfRule type="iconSet" priority="203721">
      <iconSet iconSet="3Symbols2" showValue="0">
        <cfvo type="percent" val="0"/>
        <cfvo type="num" val="0"/>
        <cfvo type="num" val="1"/>
      </iconSet>
    </cfRule>
  </conditionalFormatting>
  <conditionalFormatting sqref="N483:N489">
    <cfRule type="iconSet" priority="203722">
      <iconSet iconSet="3Symbols2" showValue="0">
        <cfvo type="percent" val="0"/>
        <cfvo type="num" val="0"/>
        <cfvo type="num" val="1"/>
      </iconSet>
    </cfRule>
  </conditionalFormatting>
  <conditionalFormatting sqref="Q483:Q489">
    <cfRule type="iconSet" priority="203799">
      <iconSet iconSet="3Symbols2" showValue="0">
        <cfvo type="percent" val="0"/>
        <cfvo type="num" val="0"/>
        <cfvo type="num" val="1"/>
      </iconSet>
    </cfRule>
  </conditionalFormatting>
  <conditionalFormatting sqref="R483:R489">
    <cfRule type="iconSet" priority="203800">
      <iconSet iconSet="3Symbols2" showValue="0">
        <cfvo type="percent" val="0"/>
        <cfvo type="num" val="0"/>
        <cfvo type="num" val="1"/>
      </iconSet>
    </cfRule>
  </conditionalFormatting>
  <conditionalFormatting sqref="Q488:R489">
    <cfRule type="iconSet" priority="203802">
      <iconSet iconSet="3Symbols2" showValue="0">
        <cfvo type="percent" val="0"/>
        <cfvo type="num" val="0"/>
        <cfvo type="num" val="1"/>
      </iconSet>
    </cfRule>
  </conditionalFormatting>
  <conditionalFormatting sqref="Q434">
    <cfRule type="iconSet" priority="375">
      <iconSet iconSet="3Symbols2" showValue="0">
        <cfvo type="percent" val="0"/>
        <cfvo type="num" val="0"/>
        <cfvo type="num" val="1"/>
      </iconSet>
    </cfRule>
  </conditionalFormatting>
  <conditionalFormatting sqref="S434">
    <cfRule type="iconSet" priority="374">
      <iconSet iconSet="3Symbols2" showValue="0">
        <cfvo type="percent" val="0"/>
        <cfvo type="num" val="0"/>
        <cfvo type="num" val="1"/>
      </iconSet>
    </cfRule>
  </conditionalFormatting>
  <conditionalFormatting sqref="Q435:R435">
    <cfRule type="iconSet" priority="373">
      <iconSet iconSet="3Symbols2" showValue="0">
        <cfvo type="percent" val="0"/>
        <cfvo type="num" val="0"/>
        <cfvo type="num" val="1"/>
      </iconSet>
    </cfRule>
  </conditionalFormatting>
  <conditionalFormatting sqref="Q496:Q497">
    <cfRule type="iconSet" priority="372">
      <iconSet iconSet="3Symbols2" showValue="0">
        <cfvo type="percent" val="0"/>
        <cfvo type="num" val="0"/>
        <cfvo type="num" val="1"/>
      </iconSet>
    </cfRule>
  </conditionalFormatting>
  <conditionalFormatting sqref="Q495">
    <cfRule type="iconSet" priority="371">
      <iconSet iconSet="3Symbols2" showValue="0">
        <cfvo type="percent" val="0"/>
        <cfvo type="num" val="0"/>
        <cfvo type="num" val="1"/>
      </iconSet>
    </cfRule>
  </conditionalFormatting>
  <conditionalFormatting sqref="Q503:Q506">
    <cfRule type="iconSet" priority="370">
      <iconSet iconSet="3Symbols2" showValue="0">
        <cfvo type="percent" val="0"/>
        <cfvo type="num" val="0"/>
        <cfvo type="num" val="1"/>
      </iconSet>
    </cfRule>
  </conditionalFormatting>
  <conditionalFormatting sqref="Q510:Q511">
    <cfRule type="iconSet" priority="369">
      <iconSet iconSet="3Symbols2" showValue="0">
        <cfvo type="percent" val="0"/>
        <cfvo type="num" val="0"/>
        <cfvo type="num" val="1"/>
      </iconSet>
    </cfRule>
  </conditionalFormatting>
  <conditionalFormatting sqref="Q512">
    <cfRule type="iconSet" priority="368">
      <iconSet iconSet="3Symbols2" showValue="0">
        <cfvo type="percent" val="0"/>
        <cfvo type="num" val="0"/>
        <cfvo type="num" val="1"/>
      </iconSet>
    </cfRule>
  </conditionalFormatting>
  <conditionalFormatting sqref="L493:L494 L498:L502 L509 L513:L514">
    <cfRule type="iconSet" priority="205673">
      <iconSet iconSet="3Symbols2" showValue="0">
        <cfvo type="percent" val="0"/>
        <cfvo type="num" val="0"/>
        <cfvo type="num" val="1"/>
      </iconSet>
    </cfRule>
  </conditionalFormatting>
  <conditionalFormatting sqref="Q493:Q494 Q498:Q502 Q509 Q513:Q514">
    <cfRule type="iconSet" priority="206145">
      <iconSet iconSet="3Symbols2" showValue="0">
        <cfvo type="percent" val="0"/>
        <cfvo type="num" val="0"/>
        <cfvo type="num" val="1"/>
      </iconSet>
    </cfRule>
  </conditionalFormatting>
  <conditionalFormatting sqref="Q507:Q508">
    <cfRule type="iconSet" priority="367">
      <iconSet iconSet="3Symbols2" showValue="0">
        <cfvo type="percent" val="0"/>
        <cfvo type="num" val="0"/>
        <cfvo type="num" val="1"/>
      </iconSet>
    </cfRule>
  </conditionalFormatting>
  <conditionalFormatting sqref="Q410 Q377:Q388 Q403:Q404 Q401">
    <cfRule type="iconSet" priority="206931">
      <iconSet iconSet="3Symbols2" showValue="0">
        <cfvo type="percent" val="0"/>
        <cfvo type="num" val="0"/>
        <cfvo type="num" val="1"/>
      </iconSet>
    </cfRule>
  </conditionalFormatting>
  <conditionalFormatting sqref="N389:N397">
    <cfRule type="iconSet" priority="208034">
      <iconSet iconSet="3Symbols2" showValue="0">
        <cfvo type="percent" val="0"/>
        <cfvo type="num" val="0"/>
        <cfvo type="num" val="1"/>
      </iconSet>
    </cfRule>
  </conditionalFormatting>
  <conditionalFormatting sqref="R405">
    <cfRule type="iconSet" priority="366">
      <iconSet iconSet="3Symbols2" showValue="0">
        <cfvo type="percent" val="0"/>
        <cfvo type="num" val="0"/>
        <cfvo type="num" val="1"/>
      </iconSet>
    </cfRule>
  </conditionalFormatting>
  <conditionalFormatting sqref="Q405">
    <cfRule type="iconSet" priority="365">
      <iconSet iconSet="3Symbols2" showValue="0">
        <cfvo type="percent" val="0"/>
        <cfvo type="num" val="0"/>
        <cfvo type="num" val="1"/>
      </iconSet>
    </cfRule>
  </conditionalFormatting>
  <conditionalFormatting sqref="T415">
    <cfRule type="iconSet" priority="364">
      <iconSet iconSet="3Symbols2" showValue="0">
        <cfvo type="percent" val="0"/>
        <cfvo type="num" val="0"/>
        <cfvo type="num" val="1"/>
      </iconSet>
    </cfRule>
  </conditionalFormatting>
  <conditionalFormatting sqref="R409">
    <cfRule type="iconSet" priority="361">
      <iconSet iconSet="3Symbols2" showValue="0">
        <cfvo type="percent" val="0"/>
        <cfvo type="num" val="0"/>
        <cfvo type="num" val="1"/>
      </iconSet>
    </cfRule>
  </conditionalFormatting>
  <conditionalFormatting sqref="Q409">
    <cfRule type="iconSet" priority="360">
      <iconSet iconSet="3Symbols2" showValue="0">
        <cfvo type="percent" val="0"/>
        <cfvo type="num" val="0"/>
        <cfvo type="num" val="1"/>
      </iconSet>
    </cfRule>
  </conditionalFormatting>
  <conditionalFormatting sqref="L409 L405">
    <cfRule type="iconSet" priority="359">
      <iconSet iconSet="3Symbols2" showValue="0">
        <cfvo type="percent" val="0"/>
        <cfvo type="num" val="0"/>
        <cfvo type="num" val="1"/>
      </iconSet>
    </cfRule>
  </conditionalFormatting>
  <conditionalFormatting sqref="L412:L414">
    <cfRule type="iconSet" priority="208502">
      <iconSet iconSet="3Symbols2" showValue="0">
        <cfvo type="percent" val="0"/>
        <cfvo type="num" val="0"/>
        <cfvo type="num" val="1"/>
      </iconSet>
    </cfRule>
  </conditionalFormatting>
  <conditionalFormatting sqref="Q412:Q414">
    <cfRule type="iconSet" priority="208503">
      <iconSet iconSet="3Symbols2" showValue="0">
        <cfvo type="percent" val="0"/>
        <cfvo type="num" val="0"/>
        <cfvo type="num" val="1"/>
      </iconSet>
    </cfRule>
  </conditionalFormatting>
  <conditionalFormatting sqref="R397">
    <cfRule type="iconSet" priority="209138">
      <iconSet iconSet="3Symbols2" showValue="0">
        <cfvo type="percent" val="0"/>
        <cfvo type="num" val="0"/>
        <cfvo type="num" val="1"/>
      </iconSet>
    </cfRule>
  </conditionalFormatting>
  <conditionalFormatting sqref="Q397">
    <cfRule type="iconSet" priority="209139">
      <iconSet iconSet="3Symbols2" showValue="0">
        <cfvo type="percent" val="0"/>
        <cfvo type="num" val="0"/>
        <cfvo type="num" val="1"/>
      </iconSet>
    </cfRule>
  </conditionalFormatting>
  <conditionalFormatting sqref="L411 L389:L390 L392:L399">
    <cfRule type="iconSet" priority="209140">
      <iconSet iconSet="3Symbols2" showValue="0">
        <cfvo type="percent" val="0"/>
        <cfvo type="num" val="0"/>
        <cfvo type="num" val="1"/>
      </iconSet>
    </cfRule>
  </conditionalFormatting>
  <conditionalFormatting sqref="L415 L406:L408">
    <cfRule type="iconSet" priority="209845">
      <iconSet iconSet="3Symbols2" showValue="0">
        <cfvo type="percent" val="0"/>
        <cfvo type="num" val="0"/>
        <cfvo type="num" val="1"/>
      </iconSet>
    </cfRule>
  </conditionalFormatting>
  <conditionalFormatting sqref="Q415 Q406:Q408">
    <cfRule type="iconSet" priority="209847">
      <iconSet iconSet="3Symbols2" showValue="0">
        <cfvo type="percent" val="0"/>
        <cfvo type="num" val="0"/>
        <cfvo type="num" val="1"/>
      </iconSet>
    </cfRule>
  </conditionalFormatting>
  <conditionalFormatting sqref="N417:N418">
    <cfRule type="iconSet" priority="358">
      <iconSet iconSet="3Symbols2" showValue="0">
        <cfvo type="percent" val="0"/>
        <cfvo type="num" val="0"/>
        <cfvo type="num" val="1"/>
      </iconSet>
    </cfRule>
  </conditionalFormatting>
  <conditionalFormatting sqref="Q417:Q418">
    <cfRule type="iconSet" priority="357">
      <iconSet iconSet="3Symbols2" showValue="0">
        <cfvo type="percent" val="0"/>
        <cfvo type="num" val="0"/>
        <cfvo type="num" val="1"/>
      </iconSet>
    </cfRule>
  </conditionalFormatting>
  <conditionalFormatting sqref="T417:T418">
    <cfRule type="iconSet" priority="356">
      <iconSet iconSet="3Symbols2" showValue="0">
        <cfvo type="percent" val="0"/>
        <cfvo type="num" val="0"/>
        <cfvo type="num" val="1"/>
      </iconSet>
    </cfRule>
  </conditionalFormatting>
  <conditionalFormatting sqref="L410 L377:L388 L391 L400:L404">
    <cfRule type="iconSet" priority="210556">
      <iconSet iconSet="3Symbols2" showValue="0">
        <cfvo type="percent" val="0"/>
        <cfvo type="num" val="0"/>
        <cfvo type="num" val="1"/>
      </iconSet>
    </cfRule>
  </conditionalFormatting>
  <conditionalFormatting sqref="Q372:S373">
    <cfRule type="iconSet" priority="355">
      <iconSet iconSet="3Symbols2" showValue="0">
        <cfvo type="percent" val="0"/>
        <cfvo type="num" val="0"/>
        <cfvo type="num" val="1"/>
      </iconSet>
    </cfRule>
  </conditionalFormatting>
  <conditionalFormatting sqref="S372:S373">
    <cfRule type="iconSet" priority="354">
      <iconSet iconSet="3Symbols2" showValue="0">
        <cfvo type="percent" val="0"/>
        <cfvo type="num" val="0"/>
        <cfvo type="num" val="1"/>
      </iconSet>
    </cfRule>
  </conditionalFormatting>
  <conditionalFormatting sqref="Q1265:Q1279 Q515 Q22:Q39 Q191:Q208 Q492 Q85:Q107 Q109:Q128 Q222:Q226 Q271 Q445:Q447 Q179:Q189 Q290:Q295 Q490 Q475:Q479 Q279:Q287 Q212:Q220 Q42:Q83 Q8:Q20 Q164:Q176 Q422:Q433 Q436:Q443 Q416 Q419:Q420 Q374:Q375 Q297:Q371 Q517:Q564 Q613:Q861 Q160 Q144:Q156">
    <cfRule type="iconSet" priority="211188">
      <iconSet iconSet="3Symbols2" showValue="0">
        <cfvo type="percent" val="0"/>
        <cfvo type="num" val="0"/>
        <cfvo type="num" val="1"/>
      </iconSet>
    </cfRule>
  </conditionalFormatting>
  <conditionalFormatting sqref="I3198:I3252 I1361:I1374 I1356:I1358 I1348:I1353 I1344:I1345 I1339:I1341 I1335:I1336 I1332:I1333 I1326:I1329 I1322:I1323 I1315:I1319 I1309:I1312 I1301:I1306 I1296:I1298 I1292:I1293 I1286:I1289 I1282:I1283 I1277:I1279 I1269:I1274 I616:I662 I446:I489 I23:I82 I3254:I3304 I14:I19 I423:I442 I493:I514 I192:I294 I377:I419 I298:I374 I518:I563 I666:I859 I862:I1264 I1479:I1709 I1712:I2305 I86:I188 I572:I610">
    <cfRule type="iconSet" priority="211308">
      <iconSet iconSet="3Symbols2" showValue="0">
        <cfvo type="percent" val="0"/>
        <cfvo type="num" val="0"/>
        <cfvo type="num" val="1"/>
      </iconSet>
    </cfRule>
  </conditionalFormatting>
  <conditionalFormatting sqref="R1265:R1279 R8:U8 R191:R208 R377:R388 R140:R141 R85:R107 R222:R226 R271 R445:R447 R179:R189 R490 R475 R273:R295 R212:R220 R566:R569 R611 R109:R138 R22:R83 R9:R20 R164:R176 R422:R434 R436:R443 R492:R515 R410 R401:R404 R416:R420 R374:R375 R297:R371 R517:R564 R613:R861 R160 R144:R156">
    <cfRule type="iconSet" priority="211738">
      <iconSet iconSet="3Symbols2" showValue="0">
        <cfvo type="percent" val="0"/>
        <cfvo type="num" val="0"/>
        <cfvo type="num" val="1"/>
      </iconSet>
    </cfRule>
  </conditionalFormatting>
  <conditionalFormatting sqref="I3381:I1048576 L515 L492 Q1280:Q1303 M492:P494 L3047:Q3047 L293:P295 L3196:Q3250 L3251:L3256 N3251:Q3256 L3381:U1048576 I3306:I3379 L3257:Q3267 L3268:R3270 L3194:Q3194 M288:P292 L288:L289 L1307:L1375 Q1307:Q1375 I1265:I1268 L1304:Q1306 L445:P490 I663:I665 I860:I861 I1375 L567 L568:P569 M566:P567 L1:U5 M611:P611 M570:P571 M232:P236 I1:I13 L22:P83 L3271:Q3304 L3306:Q3379 L8:P20 L265:P287 M260:P264 L260:L261 L422:P443 M498:P502 L495:P497 M509:P509 M513:P515 L510:P512 L503:P508 L191:P231 L237:P259 M410:P411 M377:P405 N406:P409 N412:P415 L416:P416 L420:P420 M417:P419 L417:L418 L297:P375 L517:P564 L613:P1303 O2307:P3045 M2307:M3045 I20:I22 I83:I85 I189:I191 I295:I297 I420:I422 I375:I376 I443:I445 I490:I492 I515:I517 I564:I565 I612:I615 I3046:I3047 I3194:I3197 M1307:P2306 L85:P189 L572:P610">
    <cfRule type="iconSet" priority="212543">
      <iconSet iconSet="3Symbols2" showValue="0">
        <cfvo type="percent" val="0"/>
        <cfvo type="num" val="0"/>
        <cfvo type="num" val="1"/>
      </iconSet>
    </cfRule>
  </conditionalFormatting>
  <conditionalFormatting sqref="L611 I611 I567:I569">
    <cfRule type="iconSet" priority="213423">
      <iconSet iconSet="3Symbols2" showValue="0">
        <cfvo type="percent" val="0"/>
        <cfvo type="num" val="0"/>
        <cfvo type="num" val="1"/>
      </iconSet>
    </cfRule>
  </conditionalFormatting>
  <conditionalFormatting sqref="L610">
    <cfRule type="iconSet" priority="351">
      <iconSet iconSet="3Symbols2" showValue="0">
        <cfvo type="percent" val="0"/>
        <cfvo type="num" val="0"/>
        <cfvo type="num" val="1"/>
      </iconSet>
    </cfRule>
  </conditionalFormatting>
  <conditionalFormatting sqref="M610">
    <cfRule type="iconSet" priority="350">
      <iconSet iconSet="3Symbols2" showValue="0">
        <cfvo type="percent" val="0"/>
        <cfvo type="num" val="0"/>
        <cfvo type="num" val="1"/>
      </iconSet>
    </cfRule>
  </conditionalFormatting>
  <conditionalFormatting sqref="R610">
    <cfRule type="iconSet" priority="340">
      <iconSet iconSet="3Symbols2" showValue="0">
        <cfvo type="percent" val="0"/>
        <cfvo type="num" val="0"/>
        <cfvo type="num" val="1"/>
      </iconSet>
    </cfRule>
  </conditionalFormatting>
  <conditionalFormatting sqref="S602 T603:T609">
    <cfRule type="iconSet" priority="336">
      <iconSet iconSet="3Symbols2" showValue="0">
        <cfvo type="percent" val="0"/>
        <cfvo type="num" val="0"/>
        <cfvo type="num" val="1"/>
      </iconSet>
    </cfRule>
  </conditionalFormatting>
  <conditionalFormatting sqref="T602 U603:U609">
    <cfRule type="iconSet" priority="335">
      <iconSet iconSet="3Symbols2" showValue="0">
        <cfvo type="percent" val="0"/>
        <cfvo type="num" val="0"/>
        <cfvo type="num" val="1"/>
      </iconSet>
    </cfRule>
  </conditionalFormatting>
  <conditionalFormatting sqref="L602">
    <cfRule type="iconSet" priority="334">
      <iconSet iconSet="3Symbols2" showValue="0">
        <cfvo type="percent" val="0"/>
        <cfvo type="num" val="0"/>
        <cfvo type="num" val="1"/>
      </iconSet>
    </cfRule>
  </conditionalFormatting>
  <conditionalFormatting sqref="M602">
    <cfRule type="iconSet" priority="333">
      <iconSet iconSet="3Symbols2" showValue="0">
        <cfvo type="percent" val="0"/>
        <cfvo type="num" val="0"/>
        <cfvo type="num" val="1"/>
      </iconSet>
    </cfRule>
  </conditionalFormatting>
  <conditionalFormatting sqref="L603:L604">
    <cfRule type="iconSet" priority="332">
      <iconSet iconSet="3Symbols2" showValue="0">
        <cfvo type="percent" val="0"/>
        <cfvo type="num" val="0"/>
        <cfvo type="num" val="1"/>
      </iconSet>
    </cfRule>
  </conditionalFormatting>
  <conditionalFormatting sqref="M603:M604">
    <cfRule type="iconSet" priority="331">
      <iconSet iconSet="3Symbols2" showValue="0">
        <cfvo type="percent" val="0"/>
        <cfvo type="num" val="0"/>
        <cfvo type="num" val="1"/>
      </iconSet>
    </cfRule>
  </conditionalFormatting>
  <conditionalFormatting sqref="R603:R604">
    <cfRule type="iconSet" priority="330">
      <iconSet iconSet="3Symbols2" showValue="0">
        <cfvo type="percent" val="0"/>
        <cfvo type="num" val="0"/>
        <cfvo type="num" val="1"/>
      </iconSet>
    </cfRule>
  </conditionalFormatting>
  <conditionalFormatting sqref="S603:S604">
    <cfRule type="iconSet" priority="329">
      <iconSet iconSet="3Symbols2" showValue="0">
        <cfvo type="percent" val="0"/>
        <cfvo type="num" val="0"/>
        <cfvo type="num" val="1"/>
      </iconSet>
    </cfRule>
  </conditionalFormatting>
  <conditionalFormatting sqref="R605:R607">
    <cfRule type="iconSet" priority="328">
      <iconSet iconSet="3Symbols2" showValue="0">
        <cfvo type="percent" val="0"/>
        <cfvo type="num" val="0"/>
        <cfvo type="num" val="1"/>
      </iconSet>
    </cfRule>
  </conditionalFormatting>
  <conditionalFormatting sqref="S605:S607">
    <cfRule type="iconSet" priority="327">
      <iconSet iconSet="3Symbols2" showValue="0">
        <cfvo type="percent" val="0"/>
        <cfvo type="num" val="0"/>
        <cfvo type="num" val="1"/>
      </iconSet>
    </cfRule>
  </conditionalFormatting>
  <conditionalFormatting sqref="R608:R609">
    <cfRule type="iconSet" priority="326">
      <iconSet iconSet="3Symbols2" showValue="0">
        <cfvo type="percent" val="0"/>
        <cfvo type="num" val="0"/>
        <cfvo type="num" val="1"/>
      </iconSet>
    </cfRule>
  </conditionalFormatting>
  <conditionalFormatting sqref="S608:S609">
    <cfRule type="iconSet" priority="325">
      <iconSet iconSet="3Symbols2" showValue="0">
        <cfvo type="percent" val="0"/>
        <cfvo type="num" val="0"/>
        <cfvo type="num" val="1"/>
      </iconSet>
    </cfRule>
  </conditionalFormatting>
  <conditionalFormatting sqref="O604 O602">
    <cfRule type="iconSet" priority="324">
      <iconSet iconSet="3Symbols2" showValue="0">
        <cfvo type="percent" val="0"/>
        <cfvo type="num" val="0"/>
        <cfvo type="num" val="1"/>
      </iconSet>
    </cfRule>
  </conditionalFormatting>
  <conditionalFormatting sqref="R602">
    <cfRule type="iconSet" priority="323">
      <iconSet iconSet="3Symbols2" showValue="0">
        <cfvo type="percent" val="0"/>
        <cfvo type="num" val="0"/>
        <cfvo type="num" val="1"/>
      </iconSet>
    </cfRule>
  </conditionalFormatting>
  <conditionalFormatting sqref="L605:L609">
    <cfRule type="iconSet" priority="322">
      <iconSet iconSet="3Symbols2" showValue="0">
        <cfvo type="percent" val="0"/>
        <cfvo type="num" val="0"/>
        <cfvo type="num" val="1"/>
      </iconSet>
    </cfRule>
  </conditionalFormatting>
  <conditionalFormatting sqref="M605:M609">
    <cfRule type="iconSet" priority="321">
      <iconSet iconSet="3Symbols2" showValue="0">
        <cfvo type="percent" val="0"/>
        <cfvo type="num" val="0"/>
        <cfvo type="num" val="1"/>
      </iconSet>
    </cfRule>
  </conditionalFormatting>
  <conditionalFormatting sqref="O605:O609 O603 N604 N602">
    <cfRule type="iconSet" priority="320">
      <iconSet iconSet="3Symbols2" showValue="0">
        <cfvo type="percent" val="0"/>
        <cfvo type="num" val="0"/>
        <cfvo type="num" val="1"/>
      </iconSet>
    </cfRule>
  </conditionalFormatting>
  <conditionalFormatting sqref="S590 T591:T599">
    <cfRule type="iconSet" priority="319">
      <iconSet iconSet="3Symbols2" showValue="0">
        <cfvo type="percent" val="0"/>
        <cfvo type="num" val="0"/>
        <cfvo type="num" val="1"/>
      </iconSet>
    </cfRule>
  </conditionalFormatting>
  <conditionalFormatting sqref="T590 U591:U599">
    <cfRule type="iconSet" priority="318">
      <iconSet iconSet="3Symbols2" showValue="0">
        <cfvo type="percent" val="0"/>
        <cfvo type="num" val="0"/>
        <cfvo type="num" val="1"/>
      </iconSet>
    </cfRule>
  </conditionalFormatting>
  <conditionalFormatting sqref="L590">
    <cfRule type="iconSet" priority="317">
      <iconSet iconSet="3Symbols2" showValue="0">
        <cfvo type="percent" val="0"/>
        <cfvo type="num" val="0"/>
        <cfvo type="num" val="1"/>
      </iconSet>
    </cfRule>
  </conditionalFormatting>
  <conditionalFormatting sqref="M590">
    <cfRule type="iconSet" priority="316">
      <iconSet iconSet="3Symbols2" showValue="0">
        <cfvo type="percent" val="0"/>
        <cfvo type="num" val="0"/>
        <cfvo type="num" val="1"/>
      </iconSet>
    </cfRule>
  </conditionalFormatting>
  <conditionalFormatting sqref="L591:L592">
    <cfRule type="iconSet" priority="315">
      <iconSet iconSet="3Symbols2" showValue="0">
        <cfvo type="percent" val="0"/>
        <cfvo type="num" val="0"/>
        <cfvo type="num" val="1"/>
      </iconSet>
    </cfRule>
  </conditionalFormatting>
  <conditionalFormatting sqref="M591:M592">
    <cfRule type="iconSet" priority="314">
      <iconSet iconSet="3Symbols2" showValue="0">
        <cfvo type="percent" val="0"/>
        <cfvo type="num" val="0"/>
        <cfvo type="num" val="1"/>
      </iconSet>
    </cfRule>
  </conditionalFormatting>
  <conditionalFormatting sqref="R591:R592">
    <cfRule type="iconSet" priority="313">
      <iconSet iconSet="3Symbols2" showValue="0">
        <cfvo type="percent" val="0"/>
        <cfvo type="num" val="0"/>
        <cfvo type="num" val="1"/>
      </iconSet>
    </cfRule>
  </conditionalFormatting>
  <conditionalFormatting sqref="S591:S592">
    <cfRule type="iconSet" priority="312">
      <iconSet iconSet="3Symbols2" showValue="0">
        <cfvo type="percent" val="0"/>
        <cfvo type="num" val="0"/>
        <cfvo type="num" val="1"/>
      </iconSet>
    </cfRule>
  </conditionalFormatting>
  <conditionalFormatting sqref="R593:R595">
    <cfRule type="iconSet" priority="311">
      <iconSet iconSet="3Symbols2" showValue="0">
        <cfvo type="percent" val="0"/>
        <cfvo type="num" val="0"/>
        <cfvo type="num" val="1"/>
      </iconSet>
    </cfRule>
  </conditionalFormatting>
  <conditionalFormatting sqref="S593:S595">
    <cfRule type="iconSet" priority="310">
      <iconSet iconSet="3Symbols2" showValue="0">
        <cfvo type="percent" val="0"/>
        <cfvo type="num" val="0"/>
        <cfvo type="num" val="1"/>
      </iconSet>
    </cfRule>
  </conditionalFormatting>
  <conditionalFormatting sqref="R596:R599">
    <cfRule type="iconSet" priority="309">
      <iconSet iconSet="3Symbols2" showValue="0">
        <cfvo type="percent" val="0"/>
        <cfvo type="num" val="0"/>
        <cfvo type="num" val="1"/>
      </iconSet>
    </cfRule>
  </conditionalFormatting>
  <conditionalFormatting sqref="S596:S599">
    <cfRule type="iconSet" priority="308">
      <iconSet iconSet="3Symbols2" showValue="0">
        <cfvo type="percent" val="0"/>
        <cfvo type="num" val="0"/>
        <cfvo type="num" val="1"/>
      </iconSet>
    </cfRule>
  </conditionalFormatting>
  <conditionalFormatting sqref="O592 O590">
    <cfRule type="iconSet" priority="307">
      <iconSet iconSet="3Symbols2" showValue="0">
        <cfvo type="percent" val="0"/>
        <cfvo type="num" val="0"/>
        <cfvo type="num" val="1"/>
      </iconSet>
    </cfRule>
  </conditionalFormatting>
  <conditionalFormatting sqref="R590">
    <cfRule type="iconSet" priority="306">
      <iconSet iconSet="3Symbols2" showValue="0">
        <cfvo type="percent" val="0"/>
        <cfvo type="num" val="0"/>
        <cfvo type="num" val="1"/>
      </iconSet>
    </cfRule>
  </conditionalFormatting>
  <conditionalFormatting sqref="L593:L599">
    <cfRule type="iconSet" priority="305">
      <iconSet iconSet="3Symbols2" showValue="0">
        <cfvo type="percent" val="0"/>
        <cfvo type="num" val="0"/>
        <cfvo type="num" val="1"/>
      </iconSet>
    </cfRule>
  </conditionalFormatting>
  <conditionalFormatting sqref="M593:M599">
    <cfRule type="iconSet" priority="304">
      <iconSet iconSet="3Symbols2" showValue="0">
        <cfvo type="percent" val="0"/>
        <cfvo type="num" val="0"/>
        <cfvo type="num" val="1"/>
      </iconSet>
    </cfRule>
  </conditionalFormatting>
  <conditionalFormatting sqref="O591 N592 N590 O593:O599">
    <cfRule type="iconSet" priority="303">
      <iconSet iconSet="3Symbols2" showValue="0">
        <cfvo type="percent" val="0"/>
        <cfvo type="num" val="0"/>
        <cfvo type="num" val="1"/>
      </iconSet>
    </cfRule>
  </conditionalFormatting>
  <conditionalFormatting sqref="S582 T583:T589">
    <cfRule type="iconSet" priority="302">
      <iconSet iconSet="3Symbols2" showValue="0">
        <cfvo type="percent" val="0"/>
        <cfvo type="num" val="0"/>
        <cfvo type="num" val="1"/>
      </iconSet>
    </cfRule>
  </conditionalFormatting>
  <conditionalFormatting sqref="T582 U583:U589">
    <cfRule type="iconSet" priority="301">
      <iconSet iconSet="3Symbols2" showValue="0">
        <cfvo type="percent" val="0"/>
        <cfvo type="num" val="0"/>
        <cfvo type="num" val="1"/>
      </iconSet>
    </cfRule>
  </conditionalFormatting>
  <conditionalFormatting sqref="L582">
    <cfRule type="iconSet" priority="300">
      <iconSet iconSet="3Symbols2" showValue="0">
        <cfvo type="percent" val="0"/>
        <cfvo type="num" val="0"/>
        <cfvo type="num" val="1"/>
      </iconSet>
    </cfRule>
  </conditionalFormatting>
  <conditionalFormatting sqref="M582">
    <cfRule type="iconSet" priority="299">
      <iconSet iconSet="3Symbols2" showValue="0">
        <cfvo type="percent" val="0"/>
        <cfvo type="num" val="0"/>
        <cfvo type="num" val="1"/>
      </iconSet>
    </cfRule>
  </conditionalFormatting>
  <conditionalFormatting sqref="L583:L584">
    <cfRule type="iconSet" priority="298">
      <iconSet iconSet="3Symbols2" showValue="0">
        <cfvo type="percent" val="0"/>
        <cfvo type="num" val="0"/>
        <cfvo type="num" val="1"/>
      </iconSet>
    </cfRule>
  </conditionalFormatting>
  <conditionalFormatting sqref="M583:M584">
    <cfRule type="iconSet" priority="297">
      <iconSet iconSet="3Symbols2" showValue="0">
        <cfvo type="percent" val="0"/>
        <cfvo type="num" val="0"/>
        <cfvo type="num" val="1"/>
      </iconSet>
    </cfRule>
  </conditionalFormatting>
  <conditionalFormatting sqref="R583:R584">
    <cfRule type="iconSet" priority="296">
      <iconSet iconSet="3Symbols2" showValue="0">
        <cfvo type="percent" val="0"/>
        <cfvo type="num" val="0"/>
        <cfvo type="num" val="1"/>
      </iconSet>
    </cfRule>
  </conditionalFormatting>
  <conditionalFormatting sqref="S583:S584">
    <cfRule type="iconSet" priority="295">
      <iconSet iconSet="3Symbols2" showValue="0">
        <cfvo type="percent" val="0"/>
        <cfvo type="num" val="0"/>
        <cfvo type="num" val="1"/>
      </iconSet>
    </cfRule>
  </conditionalFormatting>
  <conditionalFormatting sqref="R585:R587">
    <cfRule type="iconSet" priority="294">
      <iconSet iconSet="3Symbols2" showValue="0">
        <cfvo type="percent" val="0"/>
        <cfvo type="num" val="0"/>
        <cfvo type="num" val="1"/>
      </iconSet>
    </cfRule>
  </conditionalFormatting>
  <conditionalFormatting sqref="S585:S587">
    <cfRule type="iconSet" priority="293">
      <iconSet iconSet="3Symbols2" showValue="0">
        <cfvo type="percent" val="0"/>
        <cfvo type="num" val="0"/>
        <cfvo type="num" val="1"/>
      </iconSet>
    </cfRule>
  </conditionalFormatting>
  <conditionalFormatting sqref="R588:R589">
    <cfRule type="iconSet" priority="292">
      <iconSet iconSet="3Symbols2" showValue="0">
        <cfvo type="percent" val="0"/>
        <cfvo type="num" val="0"/>
        <cfvo type="num" val="1"/>
      </iconSet>
    </cfRule>
  </conditionalFormatting>
  <conditionalFormatting sqref="S588:S589">
    <cfRule type="iconSet" priority="291">
      <iconSet iconSet="3Symbols2" showValue="0">
        <cfvo type="percent" val="0"/>
        <cfvo type="num" val="0"/>
        <cfvo type="num" val="1"/>
      </iconSet>
    </cfRule>
  </conditionalFormatting>
  <conditionalFormatting sqref="O584 O582">
    <cfRule type="iconSet" priority="290">
      <iconSet iconSet="3Symbols2" showValue="0">
        <cfvo type="percent" val="0"/>
        <cfvo type="num" val="0"/>
        <cfvo type="num" val="1"/>
      </iconSet>
    </cfRule>
  </conditionalFormatting>
  <conditionalFormatting sqref="R582">
    <cfRule type="iconSet" priority="289">
      <iconSet iconSet="3Symbols2" showValue="0">
        <cfvo type="percent" val="0"/>
        <cfvo type="num" val="0"/>
        <cfvo type="num" val="1"/>
      </iconSet>
    </cfRule>
  </conditionalFormatting>
  <conditionalFormatting sqref="L585:L589">
    <cfRule type="iconSet" priority="288">
      <iconSet iconSet="3Symbols2" showValue="0">
        <cfvo type="percent" val="0"/>
        <cfvo type="num" val="0"/>
        <cfvo type="num" val="1"/>
      </iconSet>
    </cfRule>
  </conditionalFormatting>
  <conditionalFormatting sqref="M585:M589">
    <cfRule type="iconSet" priority="287">
      <iconSet iconSet="3Symbols2" showValue="0">
        <cfvo type="percent" val="0"/>
        <cfvo type="num" val="0"/>
        <cfvo type="num" val="1"/>
      </iconSet>
    </cfRule>
  </conditionalFormatting>
  <conditionalFormatting sqref="O585:O589 O583 N584 N582">
    <cfRule type="iconSet" priority="286">
      <iconSet iconSet="3Symbols2" showValue="0">
        <cfvo type="percent" val="0"/>
        <cfvo type="num" val="0"/>
        <cfvo type="num" val="1"/>
      </iconSet>
    </cfRule>
  </conditionalFormatting>
  <conditionalFormatting sqref="S572 T573:T581">
    <cfRule type="iconSet" priority="285">
      <iconSet iconSet="3Symbols2" showValue="0">
        <cfvo type="percent" val="0"/>
        <cfvo type="num" val="0"/>
        <cfvo type="num" val="1"/>
      </iconSet>
    </cfRule>
  </conditionalFormatting>
  <conditionalFormatting sqref="T572 U573:U581">
    <cfRule type="iconSet" priority="284">
      <iconSet iconSet="3Symbols2" showValue="0">
        <cfvo type="percent" val="0"/>
        <cfvo type="num" val="0"/>
        <cfvo type="num" val="1"/>
      </iconSet>
    </cfRule>
  </conditionalFormatting>
  <conditionalFormatting sqref="L572">
    <cfRule type="iconSet" priority="283">
      <iconSet iconSet="3Symbols2" showValue="0">
        <cfvo type="percent" val="0"/>
        <cfvo type="num" val="0"/>
        <cfvo type="num" val="1"/>
      </iconSet>
    </cfRule>
  </conditionalFormatting>
  <conditionalFormatting sqref="M572">
    <cfRule type="iconSet" priority="282">
      <iconSet iconSet="3Symbols2" showValue="0">
        <cfvo type="percent" val="0"/>
        <cfvo type="num" val="0"/>
        <cfvo type="num" val="1"/>
      </iconSet>
    </cfRule>
  </conditionalFormatting>
  <conditionalFormatting sqref="L573:L574">
    <cfRule type="iconSet" priority="281">
      <iconSet iconSet="3Symbols2" showValue="0">
        <cfvo type="percent" val="0"/>
        <cfvo type="num" val="0"/>
        <cfvo type="num" val="1"/>
      </iconSet>
    </cfRule>
  </conditionalFormatting>
  <conditionalFormatting sqref="M573:M574">
    <cfRule type="iconSet" priority="280">
      <iconSet iconSet="3Symbols2" showValue="0">
        <cfvo type="percent" val="0"/>
        <cfvo type="num" val="0"/>
        <cfvo type="num" val="1"/>
      </iconSet>
    </cfRule>
  </conditionalFormatting>
  <conditionalFormatting sqref="R573:R574">
    <cfRule type="iconSet" priority="279">
      <iconSet iconSet="3Symbols2" showValue="0">
        <cfvo type="percent" val="0"/>
        <cfvo type="num" val="0"/>
        <cfvo type="num" val="1"/>
      </iconSet>
    </cfRule>
  </conditionalFormatting>
  <conditionalFormatting sqref="S573:S574">
    <cfRule type="iconSet" priority="278">
      <iconSet iconSet="3Symbols2" showValue="0">
        <cfvo type="percent" val="0"/>
        <cfvo type="num" val="0"/>
        <cfvo type="num" val="1"/>
      </iconSet>
    </cfRule>
  </conditionalFormatting>
  <conditionalFormatting sqref="R575:R577">
    <cfRule type="iconSet" priority="277">
      <iconSet iconSet="3Symbols2" showValue="0">
        <cfvo type="percent" val="0"/>
        <cfvo type="num" val="0"/>
        <cfvo type="num" val="1"/>
      </iconSet>
    </cfRule>
  </conditionalFormatting>
  <conditionalFormatting sqref="S575:S577">
    <cfRule type="iconSet" priority="276">
      <iconSet iconSet="3Symbols2" showValue="0">
        <cfvo type="percent" val="0"/>
        <cfvo type="num" val="0"/>
        <cfvo type="num" val="1"/>
      </iconSet>
    </cfRule>
  </conditionalFormatting>
  <conditionalFormatting sqref="R578:R581">
    <cfRule type="iconSet" priority="275">
      <iconSet iconSet="3Symbols2" showValue="0">
        <cfvo type="percent" val="0"/>
        <cfvo type="num" val="0"/>
        <cfvo type="num" val="1"/>
      </iconSet>
    </cfRule>
  </conditionalFormatting>
  <conditionalFormatting sqref="S578:S581">
    <cfRule type="iconSet" priority="274">
      <iconSet iconSet="3Symbols2" showValue="0">
        <cfvo type="percent" val="0"/>
        <cfvo type="num" val="0"/>
        <cfvo type="num" val="1"/>
      </iconSet>
    </cfRule>
  </conditionalFormatting>
  <conditionalFormatting sqref="O574 O572">
    <cfRule type="iconSet" priority="273">
      <iconSet iconSet="3Symbols2" showValue="0">
        <cfvo type="percent" val="0"/>
        <cfvo type="num" val="0"/>
        <cfvo type="num" val="1"/>
      </iconSet>
    </cfRule>
  </conditionalFormatting>
  <conditionalFormatting sqref="R572">
    <cfRule type="iconSet" priority="272">
      <iconSet iconSet="3Symbols2" showValue="0">
        <cfvo type="percent" val="0"/>
        <cfvo type="num" val="0"/>
        <cfvo type="num" val="1"/>
      </iconSet>
    </cfRule>
  </conditionalFormatting>
  <conditionalFormatting sqref="L575:L581">
    <cfRule type="iconSet" priority="271">
      <iconSet iconSet="3Symbols2" showValue="0">
        <cfvo type="percent" val="0"/>
        <cfvo type="num" val="0"/>
        <cfvo type="num" val="1"/>
      </iconSet>
    </cfRule>
  </conditionalFormatting>
  <conditionalFormatting sqref="M575:M581">
    <cfRule type="iconSet" priority="270">
      <iconSet iconSet="3Symbols2" showValue="0">
        <cfvo type="percent" val="0"/>
        <cfvo type="num" val="0"/>
        <cfvo type="num" val="1"/>
      </iconSet>
    </cfRule>
  </conditionalFormatting>
  <conditionalFormatting sqref="O573 N574 N572 O575:O581">
    <cfRule type="iconSet" priority="269">
      <iconSet iconSet="3Symbols2" showValue="0">
        <cfvo type="percent" val="0"/>
        <cfvo type="num" val="0"/>
        <cfvo type="num" val="1"/>
      </iconSet>
    </cfRule>
  </conditionalFormatting>
  <conditionalFormatting sqref="L567:L568">
    <cfRule type="iconSet" priority="213976">
      <iconSet iconSet="3Symbols2" showValue="0">
        <cfvo type="percent" val="0"/>
        <cfvo type="num" val="0"/>
        <cfvo type="num" val="1"/>
      </iconSet>
    </cfRule>
  </conditionalFormatting>
  <conditionalFormatting sqref="M567:M568">
    <cfRule type="iconSet" priority="213977">
      <iconSet iconSet="3Symbols2" showValue="0">
        <cfvo type="percent" val="0"/>
        <cfvo type="num" val="0"/>
        <cfvo type="num" val="1"/>
      </iconSet>
    </cfRule>
  </conditionalFormatting>
  <conditionalFormatting sqref="L569">
    <cfRule type="iconSet" priority="214406">
      <iconSet iconSet="3Symbols2" showValue="0">
        <cfvo type="percent" val="0"/>
        <cfvo type="num" val="0"/>
        <cfvo type="num" val="1"/>
      </iconSet>
    </cfRule>
  </conditionalFormatting>
  <conditionalFormatting sqref="M569">
    <cfRule type="iconSet" priority="214407">
      <iconSet iconSet="3Symbols2" showValue="0">
        <cfvo type="percent" val="0"/>
        <cfvo type="num" val="0"/>
        <cfvo type="num" val="1"/>
      </iconSet>
    </cfRule>
  </conditionalFormatting>
  <conditionalFormatting sqref="O611 O569 N567:N568">
    <cfRule type="iconSet" priority="214484">
      <iconSet iconSet="3Symbols2" showValue="0">
        <cfvo type="percent" val="0"/>
        <cfvo type="num" val="0"/>
        <cfvo type="num" val="1"/>
      </iconSet>
    </cfRule>
  </conditionalFormatting>
  <conditionalFormatting sqref="Q566:Q569 Q572:Q611">
    <cfRule type="iconSet" priority="214489">
      <iconSet iconSet="3Symbols2" showValue="0">
        <cfvo type="percent" val="0"/>
        <cfvo type="num" val="0"/>
        <cfvo type="num" val="1"/>
      </iconSet>
    </cfRule>
  </conditionalFormatting>
  <conditionalFormatting sqref="S610">
    <cfRule type="iconSet" priority="214492">
      <iconSet iconSet="3Symbols2" showValue="0">
        <cfvo type="percent" val="0"/>
        <cfvo type="num" val="0"/>
        <cfvo type="num" val="1"/>
      </iconSet>
    </cfRule>
  </conditionalFormatting>
  <conditionalFormatting sqref="T610">
    <cfRule type="iconSet" priority="214493">
      <iconSet iconSet="3Symbols2" showValue="0">
        <cfvo type="percent" val="0"/>
        <cfvo type="num" val="0"/>
        <cfvo type="num" val="1"/>
      </iconSet>
    </cfRule>
  </conditionalFormatting>
  <conditionalFormatting sqref="O610">
    <cfRule type="iconSet" priority="214494">
      <iconSet iconSet="3Symbols2" showValue="0">
        <cfvo type="percent" val="0"/>
        <cfvo type="num" val="0"/>
        <cfvo type="num" val="1"/>
      </iconSet>
    </cfRule>
  </conditionalFormatting>
  <conditionalFormatting sqref="N610">
    <cfRule type="iconSet" priority="214495">
      <iconSet iconSet="3Symbols2" showValue="0">
        <cfvo type="percent" val="0"/>
        <cfvo type="num" val="0"/>
        <cfvo type="num" val="1"/>
      </iconSet>
    </cfRule>
  </conditionalFormatting>
  <conditionalFormatting sqref="O2711">
    <cfRule type="iconSet" priority="228720">
      <iconSet iconSet="3Symbols2" showValue="0">
        <cfvo type="percent" val="0"/>
        <cfvo type="num" val="0"/>
        <cfvo type="num" val="1"/>
      </iconSet>
    </cfRule>
  </conditionalFormatting>
  <conditionalFormatting sqref="I2911">
    <cfRule type="expression" dxfId="54" priority="268">
      <formula>OR(CELL(“col”)=COLUMN(),CELL(“row”)=ROW())</formula>
    </cfRule>
  </conditionalFormatting>
  <conditionalFormatting sqref="Q2908:Q2921">
    <cfRule type="iconSet" priority="267">
      <iconSet iconSet="3Symbols2" showValue="0">
        <cfvo type="percent" val="0"/>
        <cfvo type="num" val="0"/>
        <cfvo type="num" val="1"/>
      </iconSet>
    </cfRule>
  </conditionalFormatting>
  <conditionalFormatting sqref="R2908:R2921">
    <cfRule type="iconSet" priority="266">
      <iconSet iconSet="3Symbols2" showValue="0">
        <cfvo type="percent" val="0"/>
        <cfvo type="num" val="0"/>
        <cfvo type="num" val="1"/>
      </iconSet>
    </cfRule>
  </conditionalFormatting>
  <conditionalFormatting sqref="I2886:I2889">
    <cfRule type="iconSet" priority="265">
      <iconSet iconSet="3Symbols2" showValue="0">
        <cfvo type="percent" val="0"/>
        <cfvo type="num" val="0"/>
        <cfvo type="num" val="1"/>
      </iconSet>
    </cfRule>
  </conditionalFormatting>
  <conditionalFormatting sqref="I2841">
    <cfRule type="expression" dxfId="53" priority="264">
      <formula>OR(CELL(“col”)=COLUMN(),CELL(“row”)=ROW())</formula>
    </cfRule>
  </conditionalFormatting>
  <conditionalFormatting sqref="Q2838:Q2851">
    <cfRule type="iconSet" priority="263">
      <iconSet iconSet="3Symbols2" showValue="0">
        <cfvo type="percent" val="0"/>
        <cfvo type="num" val="0"/>
        <cfvo type="num" val="1"/>
      </iconSet>
    </cfRule>
  </conditionalFormatting>
  <conditionalFormatting sqref="R2838:R2851">
    <cfRule type="iconSet" priority="262">
      <iconSet iconSet="3Symbols2" showValue="0">
        <cfvo type="percent" val="0"/>
        <cfvo type="num" val="0"/>
        <cfvo type="num" val="1"/>
      </iconSet>
    </cfRule>
  </conditionalFormatting>
  <conditionalFormatting sqref="I2816:I2819">
    <cfRule type="iconSet" priority="261">
      <iconSet iconSet="3Symbols2" showValue="0">
        <cfvo type="percent" val="0"/>
        <cfvo type="num" val="0"/>
        <cfvo type="num" val="1"/>
      </iconSet>
    </cfRule>
  </conditionalFormatting>
  <conditionalFormatting sqref="I2771">
    <cfRule type="expression" dxfId="52" priority="260">
      <formula>OR(CELL(“col”)=COLUMN(),CELL(“row”)=ROW())</formula>
    </cfRule>
  </conditionalFormatting>
  <conditionalFormatting sqref="Q2768:Q2781">
    <cfRule type="iconSet" priority="259">
      <iconSet iconSet="3Symbols2" showValue="0">
        <cfvo type="percent" val="0"/>
        <cfvo type="num" val="0"/>
        <cfvo type="num" val="1"/>
      </iconSet>
    </cfRule>
  </conditionalFormatting>
  <conditionalFormatting sqref="R2768:R2781">
    <cfRule type="iconSet" priority="258">
      <iconSet iconSet="3Symbols2" showValue="0">
        <cfvo type="percent" val="0"/>
        <cfvo type="num" val="0"/>
        <cfvo type="num" val="1"/>
      </iconSet>
    </cfRule>
  </conditionalFormatting>
  <conditionalFormatting sqref="I2746:I2749">
    <cfRule type="iconSet" priority="257">
      <iconSet iconSet="3Symbols2" showValue="0">
        <cfvo type="percent" val="0"/>
        <cfvo type="num" val="0"/>
        <cfvo type="num" val="1"/>
      </iconSet>
    </cfRule>
  </conditionalFormatting>
  <conditionalFormatting sqref="Q2712:Q2935 Q1712:Q2305">
    <cfRule type="iconSet" priority="229114">
      <iconSet iconSet="3Symbols2" showValue="0">
        <cfvo type="percent" val="0"/>
        <cfvo type="num" val="0"/>
        <cfvo type="num" val="1"/>
      </iconSet>
    </cfRule>
  </conditionalFormatting>
  <conditionalFormatting sqref="R2712:R2935 R1712:R2305">
    <cfRule type="iconSet" priority="229133">
      <iconSet iconSet="3Symbols2" showValue="0">
        <cfvo type="percent" val="0"/>
        <cfvo type="num" val="0"/>
        <cfvo type="num" val="1"/>
      </iconSet>
    </cfRule>
  </conditionalFormatting>
  <conditionalFormatting sqref="Q3045 I1376:I1378 L1376:L1378 L1385:L1386 L1390:L1391 L1394:L1395 L1400:L1401 L1404:L1405 L1409:L1410 L1414:L1415 L1420:L1421 L1427:L1428 L1431:L1432 L1437:L1438 L1441 L1444:L1445 L1449:L1450 L1453:L1454 L1461:L1462 I1478 L1478 I1711 L1711 I2711 L2711 Q570:Q571 I2937 L2937 Q2936:Q2937 I2307 L2307 Q2306:Q2307 Q2710:Q2711 Q1710:Q1711 Q1376:Q1478">
    <cfRule type="iconSet" priority="229134">
      <iconSet iconSet="3Symbols2" showValue="0">
        <cfvo type="percent" val="0"/>
        <cfvo type="num" val="0"/>
        <cfvo type="num" val="1"/>
      </iconSet>
    </cfRule>
  </conditionalFormatting>
  <conditionalFormatting sqref="O2937">
    <cfRule type="iconSet" priority="256">
      <iconSet iconSet="3Symbols2" showValue="0">
        <cfvo type="percent" val="0"/>
        <cfvo type="num" val="0"/>
        <cfvo type="num" val="1"/>
      </iconSet>
    </cfRule>
  </conditionalFormatting>
  <conditionalFormatting sqref="I2997">
    <cfRule type="expression" dxfId="51" priority="247">
      <formula>OR(CELL(“col”)=COLUMN(),CELL(“row”)=ROW())</formula>
    </cfRule>
  </conditionalFormatting>
  <conditionalFormatting sqref="Q2994:Q3007">
    <cfRule type="iconSet" priority="246">
      <iconSet iconSet="3Symbols2" showValue="0">
        <cfvo type="percent" val="0"/>
        <cfvo type="num" val="0"/>
        <cfvo type="num" val="1"/>
      </iconSet>
    </cfRule>
  </conditionalFormatting>
  <conditionalFormatting sqref="R2994:R3007">
    <cfRule type="iconSet" priority="245">
      <iconSet iconSet="3Symbols2" showValue="0">
        <cfvo type="percent" val="0"/>
        <cfvo type="num" val="0"/>
        <cfvo type="num" val="1"/>
      </iconSet>
    </cfRule>
  </conditionalFormatting>
  <conditionalFormatting sqref="I2972:I2975">
    <cfRule type="iconSet" priority="244">
      <iconSet iconSet="3Symbols2" showValue="0">
        <cfvo type="percent" val="0"/>
        <cfvo type="num" val="0"/>
        <cfvo type="num" val="1"/>
      </iconSet>
    </cfRule>
  </conditionalFormatting>
  <conditionalFormatting sqref="Q1236:R1259">
    <cfRule type="iconSet" priority="241">
      <iconSet iconSet="3Symbols2" showValue="0">
        <cfvo type="percent" val="0"/>
        <cfvo type="num" val="0"/>
        <cfvo type="num" val="1"/>
      </iconSet>
    </cfRule>
  </conditionalFormatting>
  <conditionalFormatting sqref="Q1212:R1235">
    <cfRule type="iconSet" priority="240">
      <iconSet iconSet="3Symbols2" showValue="0">
        <cfvo type="percent" val="0"/>
        <cfvo type="num" val="0"/>
        <cfvo type="num" val="1"/>
      </iconSet>
    </cfRule>
  </conditionalFormatting>
  <conditionalFormatting sqref="Q1188:R1211">
    <cfRule type="iconSet" priority="239">
      <iconSet iconSet="3Symbols2" showValue="0">
        <cfvo type="percent" val="0"/>
        <cfvo type="num" val="0"/>
        <cfvo type="num" val="1"/>
      </iconSet>
    </cfRule>
  </conditionalFormatting>
  <conditionalFormatting sqref="Q1164:R1187">
    <cfRule type="iconSet" priority="238">
      <iconSet iconSet="3Symbols2" showValue="0">
        <cfvo type="percent" val="0"/>
        <cfvo type="num" val="0"/>
        <cfvo type="num" val="1"/>
      </iconSet>
    </cfRule>
  </conditionalFormatting>
  <conditionalFormatting sqref="Q1140:R1163">
    <cfRule type="iconSet" priority="237">
      <iconSet iconSet="3Symbols2" showValue="0">
        <cfvo type="percent" val="0"/>
        <cfvo type="num" val="0"/>
        <cfvo type="num" val="1"/>
      </iconSet>
    </cfRule>
  </conditionalFormatting>
  <conditionalFormatting sqref="Q1116:R1139">
    <cfRule type="iconSet" priority="236">
      <iconSet iconSet="3Symbols2" showValue="0">
        <cfvo type="percent" val="0"/>
        <cfvo type="num" val="0"/>
        <cfvo type="num" val="1"/>
      </iconSet>
    </cfRule>
  </conditionalFormatting>
  <conditionalFormatting sqref="Q1092:R1115">
    <cfRule type="iconSet" priority="235">
      <iconSet iconSet="3Symbols2" showValue="0">
        <cfvo type="percent" val="0"/>
        <cfvo type="num" val="0"/>
        <cfvo type="num" val="1"/>
      </iconSet>
    </cfRule>
  </conditionalFormatting>
  <conditionalFormatting sqref="Q1068:R1091">
    <cfRule type="iconSet" priority="234">
      <iconSet iconSet="3Symbols2" showValue="0">
        <cfvo type="percent" val="0"/>
        <cfvo type="num" val="0"/>
        <cfvo type="num" val="1"/>
      </iconSet>
    </cfRule>
  </conditionalFormatting>
  <conditionalFormatting sqref="Q1044:R1067">
    <cfRule type="iconSet" priority="233">
      <iconSet iconSet="3Symbols2" showValue="0">
        <cfvo type="percent" val="0"/>
        <cfvo type="num" val="0"/>
        <cfvo type="num" val="1"/>
      </iconSet>
    </cfRule>
  </conditionalFormatting>
  <conditionalFormatting sqref="Q1020:R1043">
    <cfRule type="iconSet" priority="232">
      <iconSet iconSet="3Symbols2" showValue="0">
        <cfvo type="percent" val="0"/>
        <cfvo type="num" val="0"/>
        <cfvo type="num" val="1"/>
      </iconSet>
    </cfRule>
  </conditionalFormatting>
  <conditionalFormatting sqref="Q996:R1019">
    <cfRule type="iconSet" priority="231">
      <iconSet iconSet="3Symbols2" showValue="0">
        <cfvo type="percent" val="0"/>
        <cfvo type="num" val="0"/>
        <cfvo type="num" val="1"/>
      </iconSet>
    </cfRule>
  </conditionalFormatting>
  <conditionalFormatting sqref="Q972:R995">
    <cfRule type="iconSet" priority="230">
      <iconSet iconSet="3Symbols2" showValue="0">
        <cfvo type="percent" val="0"/>
        <cfvo type="num" val="0"/>
        <cfvo type="num" val="1"/>
      </iconSet>
    </cfRule>
  </conditionalFormatting>
  <conditionalFormatting sqref="Q948:R971">
    <cfRule type="iconSet" priority="229">
      <iconSet iconSet="3Symbols2" showValue="0">
        <cfvo type="percent" val="0"/>
        <cfvo type="num" val="0"/>
        <cfvo type="num" val="1"/>
      </iconSet>
    </cfRule>
  </conditionalFormatting>
  <conditionalFormatting sqref="Q924:R947">
    <cfRule type="iconSet" priority="228">
      <iconSet iconSet="3Symbols2" showValue="0">
        <cfvo type="percent" val="0"/>
        <cfvo type="num" val="0"/>
        <cfvo type="num" val="1"/>
      </iconSet>
    </cfRule>
  </conditionalFormatting>
  <conditionalFormatting sqref="Q900:R923">
    <cfRule type="iconSet" priority="227">
      <iconSet iconSet="3Symbols2" showValue="0">
        <cfvo type="percent" val="0"/>
        <cfvo type="num" val="0"/>
        <cfvo type="num" val="1"/>
      </iconSet>
    </cfRule>
  </conditionalFormatting>
  <conditionalFormatting sqref="Q886:R899">
    <cfRule type="iconSet" priority="226">
      <iconSet iconSet="3Symbols2" showValue="0">
        <cfvo type="percent" val="0"/>
        <cfvo type="num" val="0"/>
        <cfvo type="num" val="1"/>
      </iconSet>
    </cfRule>
  </conditionalFormatting>
  <conditionalFormatting sqref="Q862:R885">
    <cfRule type="iconSet" priority="225">
      <iconSet iconSet="3Symbols2" showValue="0">
        <cfvo type="percent" val="0"/>
        <cfvo type="num" val="0"/>
        <cfvo type="num" val="1"/>
      </iconSet>
    </cfRule>
  </conditionalFormatting>
  <conditionalFormatting sqref="Q1260:R1264">
    <cfRule type="iconSet" priority="229329">
      <iconSet iconSet="3Symbols2" showValue="0">
        <cfvo type="percent" val="0"/>
        <cfvo type="num" val="0"/>
        <cfvo type="num" val="1"/>
      </iconSet>
    </cfRule>
  </conditionalFormatting>
  <conditionalFormatting sqref="T445:T490 T377:T390 T290:T295 T566:T569 T611 T22:T83 T9:T20 T262:T287 T422:T443 T492:T515 T191:T231 T237:T259 T403:T414 T392:T401 T416 T419:T420 T297:T375 T517:T564 T613:T1279 T85:T189">
    <cfRule type="iconSet" priority="229771">
      <iconSet iconSet="3Symbols2" showValue="0">
        <cfvo type="percent" val="0"/>
        <cfvo type="num" val="0"/>
        <cfvo type="num" val="1"/>
      </iconSet>
    </cfRule>
  </conditionalFormatting>
  <conditionalFormatting sqref="U445:U490 U566:U569 U611 U22:U83 U9:U20 U422:U443 U492:U515 U191:U295 U377:U420 U297:U375 U517:U564 U613:U1279 U85:U189">
    <cfRule type="iconSet" priority="229792">
      <iconSet iconSet="3Symbols2" showValue="0">
        <cfvo type="percent" val="0"/>
        <cfvo type="num" val="0"/>
        <cfvo type="num" val="1"/>
      </iconSet>
    </cfRule>
  </conditionalFormatting>
  <conditionalFormatting sqref="S445:S490 S142:S145 S377:S389 S397 S167:S176 S85:S107 S109:S128 S191:S208 S271 S179:S189 S273:S295 S212:S226 S566:S569 S611 S22:S83 S9:S20 S164:S165 S422:S433 S435:S443 S492:S515 S401:S420 S374:S375 S297:S371 S517:S564 S613:S1279 S160 S147:S156">
    <cfRule type="iconSet" priority="229806">
      <iconSet iconSet="3Symbols2" showValue="0">
        <cfvo type="percent" val="0"/>
        <cfvo type="num" val="0"/>
        <cfvo type="num" val="1"/>
      </iconSet>
    </cfRule>
  </conditionalFormatting>
  <conditionalFormatting sqref="L2712:L2936 L570:L571 L1455:L1460 L1451:L1452 L1446:L1448 L1442:L1443 L1439:L1440 L1433:L1436 L1429:L1430 L1422:L1426 L1416:L1419 L1411:L1413 L1406:L1408 L1402:L1403 L1396:L1399 L1392:L1393 L1387:L1389 L1379:L1384 L221 L227:L231 L268:L270 L209:L211 L237:L242 L2938:L3045 L2308:L2710 L1479:L1710 L1463:L1477 L1712:L2306">
    <cfRule type="iconSet" priority="230844">
      <iconSet iconSet="3Symbols2" showValue="0">
        <cfvo type="percent" val="0"/>
        <cfvo type="num" val="0"/>
        <cfvo type="num" val="1"/>
      </iconSet>
    </cfRule>
  </conditionalFormatting>
  <conditionalFormatting sqref="L2712:L2936 L570:L571 L1455:L1460 L1451:L1452 L1446:L1448 L1442:L1443 L1439:L1440 L1433:L1436 L1429:L1430 L1422:L1426 L1416:L1419 L1411:L1413 L1406:L1408 L1402:L1403 L1396:L1399 L1392:L1393 L1387:L1389 L1379:L1384 L2938:L3045 L2308:L2710 L1479:L1710 L1463:L1477 L1712:L2306">
    <cfRule type="iconSet" priority="230924">
      <iconSet iconSet="3Symbols2" showValue="0">
        <cfvo type="percent" val="0"/>
        <cfvo type="num" val="0"/>
        <cfvo type="num" val="1"/>
      </iconSet>
    </cfRule>
  </conditionalFormatting>
  <conditionalFormatting sqref="I3042:I3044">
    <cfRule type="iconSet" priority="230999">
      <iconSet iconSet="3Symbols2" showValue="0">
        <cfvo type="percent" val="0"/>
        <cfvo type="num" val="0"/>
        <cfvo type="num" val="1"/>
      </iconSet>
    </cfRule>
  </conditionalFormatting>
  <conditionalFormatting sqref="Q2938:Q3044">
    <cfRule type="iconSet" priority="231000">
      <iconSet iconSet="3Symbols2" showValue="0">
        <cfvo type="percent" val="0"/>
        <cfvo type="num" val="0"/>
        <cfvo type="num" val="1"/>
      </iconSet>
    </cfRule>
  </conditionalFormatting>
  <conditionalFormatting sqref="R2938:R3044">
    <cfRule type="iconSet" priority="231001">
      <iconSet iconSet="3Symbols2" showValue="0">
        <cfvo type="percent" val="0"/>
        <cfvo type="num" val="0"/>
        <cfvo type="num" val="1"/>
      </iconSet>
    </cfRule>
  </conditionalFormatting>
  <conditionalFormatting sqref="O2307">
    <cfRule type="iconSet" priority="224">
      <iconSet iconSet="3Symbols2" showValue="0">
        <cfvo type="percent" val="0"/>
        <cfvo type="num" val="0"/>
        <cfvo type="num" val="1"/>
      </iconSet>
    </cfRule>
  </conditionalFormatting>
  <conditionalFormatting sqref="I2706:I2709">
    <cfRule type="iconSet" priority="220">
      <iconSet iconSet="3Symbols2" showValue="0">
        <cfvo type="percent" val="0"/>
        <cfvo type="num" val="0"/>
        <cfvo type="num" val="1"/>
      </iconSet>
    </cfRule>
  </conditionalFormatting>
  <conditionalFormatting sqref="I2661">
    <cfRule type="expression" dxfId="50" priority="219">
      <formula>OR(CELL(“col”)=COLUMN(),CELL(“row”)=ROW())</formula>
    </cfRule>
  </conditionalFormatting>
  <conditionalFormatting sqref="Q2658:Q2671">
    <cfRule type="iconSet" priority="218">
      <iconSet iconSet="3Symbols2" showValue="0">
        <cfvo type="percent" val="0"/>
        <cfvo type="num" val="0"/>
        <cfvo type="num" val="1"/>
      </iconSet>
    </cfRule>
  </conditionalFormatting>
  <conditionalFormatting sqref="R2658:R2671">
    <cfRule type="iconSet" priority="217">
      <iconSet iconSet="3Symbols2" showValue="0">
        <cfvo type="percent" val="0"/>
        <cfvo type="num" val="0"/>
        <cfvo type="num" val="1"/>
      </iconSet>
    </cfRule>
  </conditionalFormatting>
  <conditionalFormatting sqref="I2636:I2639">
    <cfRule type="iconSet" priority="216">
      <iconSet iconSet="3Symbols2" showValue="0">
        <cfvo type="percent" val="0"/>
        <cfvo type="num" val="0"/>
        <cfvo type="num" val="1"/>
      </iconSet>
    </cfRule>
  </conditionalFormatting>
  <conditionalFormatting sqref="I2591">
    <cfRule type="expression" dxfId="49" priority="215">
      <formula>OR(CELL(“col”)=COLUMN(),CELL(“row”)=ROW())</formula>
    </cfRule>
  </conditionalFormatting>
  <conditionalFormatting sqref="Q2588:Q2601">
    <cfRule type="iconSet" priority="214">
      <iconSet iconSet="3Symbols2" showValue="0">
        <cfvo type="percent" val="0"/>
        <cfvo type="num" val="0"/>
        <cfvo type="num" val="1"/>
      </iconSet>
    </cfRule>
  </conditionalFormatting>
  <conditionalFormatting sqref="R2588:R2601">
    <cfRule type="iconSet" priority="213">
      <iconSet iconSet="3Symbols2" showValue="0">
        <cfvo type="percent" val="0"/>
        <cfvo type="num" val="0"/>
        <cfvo type="num" val="1"/>
      </iconSet>
    </cfRule>
  </conditionalFormatting>
  <conditionalFormatting sqref="I2566:I2569">
    <cfRule type="iconSet" priority="212">
      <iconSet iconSet="3Symbols2" showValue="0">
        <cfvo type="percent" val="0"/>
        <cfvo type="num" val="0"/>
        <cfvo type="num" val="1"/>
      </iconSet>
    </cfRule>
  </conditionalFormatting>
  <conditionalFormatting sqref="I2507">
    <cfRule type="expression" dxfId="48" priority="209">
      <formula>OR(CELL(“col”)=COLUMN(),CELL(“row”)=ROW())</formula>
    </cfRule>
  </conditionalFormatting>
  <conditionalFormatting sqref="Q2504:Q2517">
    <cfRule type="iconSet" priority="208">
      <iconSet iconSet="3Symbols2" showValue="0">
        <cfvo type="percent" val="0"/>
        <cfvo type="num" val="0"/>
        <cfvo type="num" val="1"/>
      </iconSet>
    </cfRule>
  </conditionalFormatting>
  <conditionalFormatting sqref="R2504:R2517">
    <cfRule type="iconSet" priority="207">
      <iconSet iconSet="3Symbols2" showValue="0">
        <cfvo type="percent" val="0"/>
        <cfvo type="num" val="0"/>
        <cfvo type="num" val="1"/>
      </iconSet>
    </cfRule>
  </conditionalFormatting>
  <conditionalFormatting sqref="I2482:I2485">
    <cfRule type="iconSet" priority="206">
      <iconSet iconSet="3Symbols2" showValue="0">
        <cfvo type="percent" val="0"/>
        <cfvo type="num" val="0"/>
        <cfvo type="num" val="1"/>
      </iconSet>
    </cfRule>
  </conditionalFormatting>
  <conditionalFormatting sqref="I2437">
    <cfRule type="expression" dxfId="47" priority="205">
      <formula>OR(CELL(“col”)=COLUMN(),CELL(“row”)=ROW())</formula>
    </cfRule>
  </conditionalFormatting>
  <conditionalFormatting sqref="Q2434:Q2447">
    <cfRule type="iconSet" priority="204">
      <iconSet iconSet="3Symbols2" showValue="0">
        <cfvo type="percent" val="0"/>
        <cfvo type="num" val="0"/>
        <cfvo type="num" val="1"/>
      </iconSet>
    </cfRule>
  </conditionalFormatting>
  <conditionalFormatting sqref="R2434:R2447">
    <cfRule type="iconSet" priority="203">
      <iconSet iconSet="3Symbols2" showValue="0">
        <cfvo type="percent" val="0"/>
        <cfvo type="num" val="0"/>
        <cfvo type="num" val="1"/>
      </iconSet>
    </cfRule>
  </conditionalFormatting>
  <conditionalFormatting sqref="I2412:I2415">
    <cfRule type="iconSet" priority="202">
      <iconSet iconSet="3Symbols2" showValue="0">
        <cfvo type="percent" val="0"/>
        <cfvo type="num" val="0"/>
        <cfvo type="num" val="1"/>
      </iconSet>
    </cfRule>
  </conditionalFormatting>
  <conditionalFormatting sqref="I2367">
    <cfRule type="expression" dxfId="46" priority="201">
      <formula>OR(CELL(“col”)=COLUMN(),CELL(“row”)=ROW())</formula>
    </cfRule>
  </conditionalFormatting>
  <conditionalFormatting sqref="Q2364:Q2377">
    <cfRule type="iconSet" priority="200">
      <iconSet iconSet="3Symbols2" showValue="0">
        <cfvo type="percent" val="0"/>
        <cfvo type="num" val="0"/>
        <cfvo type="num" val="1"/>
      </iconSet>
    </cfRule>
  </conditionalFormatting>
  <conditionalFormatting sqref="R2364:R2377">
    <cfRule type="iconSet" priority="199">
      <iconSet iconSet="3Symbols2" showValue="0">
        <cfvo type="percent" val="0"/>
        <cfvo type="num" val="0"/>
        <cfvo type="num" val="1"/>
      </iconSet>
    </cfRule>
  </conditionalFormatting>
  <conditionalFormatting sqref="I2342:I2345">
    <cfRule type="iconSet" priority="198">
      <iconSet iconSet="3Symbols2" showValue="0">
        <cfvo type="percent" val="0"/>
        <cfvo type="num" val="0"/>
        <cfvo type="num" val="1"/>
      </iconSet>
    </cfRule>
  </conditionalFormatting>
  <conditionalFormatting sqref="Q2308:Q2709">
    <cfRule type="iconSet" priority="231624">
      <iconSet iconSet="3Symbols2" showValue="0">
        <cfvo type="percent" val="0"/>
        <cfvo type="num" val="0"/>
        <cfvo type="num" val="1"/>
      </iconSet>
    </cfRule>
  </conditionalFormatting>
  <conditionalFormatting sqref="R2308:R2709">
    <cfRule type="iconSet" priority="231625">
      <iconSet iconSet="3Symbols2" showValue="0">
        <cfvo type="percent" val="0"/>
        <cfvo type="num" val="0"/>
        <cfvo type="num" val="1"/>
      </iconSet>
    </cfRule>
  </conditionalFormatting>
  <conditionalFormatting sqref="N1478">
    <cfRule type="iconSet" priority="231626">
      <iconSet iconSet="3Symbols2" showValue="0">
        <cfvo type="percent" val="0"/>
        <cfvo type="num" val="0"/>
        <cfvo type="num" val="1"/>
      </iconSet>
    </cfRule>
  </conditionalFormatting>
  <conditionalFormatting sqref="O1478">
    <cfRule type="iconSet" priority="231627">
      <iconSet iconSet="3Symbols2" showValue="0">
        <cfvo type="percent" val="0"/>
        <cfvo type="num" val="0"/>
        <cfvo type="num" val="1"/>
      </iconSet>
    </cfRule>
  </conditionalFormatting>
  <conditionalFormatting sqref="Q1583:Q1588">
    <cfRule type="iconSet" priority="197">
      <iconSet iconSet="3Symbols2" showValue="0">
        <cfvo type="percent" val="0"/>
        <cfvo type="num" val="0"/>
        <cfvo type="num" val="1"/>
      </iconSet>
    </cfRule>
  </conditionalFormatting>
  <conditionalFormatting sqref="Q1583:Q1588">
    <cfRule type="iconSet" priority="196">
      <iconSet iconSet="3Symbols2" showValue="0">
        <cfvo type="percent" val="0"/>
        <cfvo type="num" val="0"/>
        <cfvo type="num" val="1"/>
      </iconSet>
    </cfRule>
  </conditionalFormatting>
  <conditionalFormatting sqref="T1583:T1588">
    <cfRule type="iconSet" priority="195">
      <iconSet iconSet="3Symbols2" showValue="0">
        <cfvo type="percent" val="0"/>
        <cfvo type="num" val="0"/>
        <cfvo type="num" val="1"/>
      </iconSet>
    </cfRule>
  </conditionalFormatting>
  <conditionalFormatting sqref="T1583:T1588">
    <cfRule type="iconSet" priority="194">
      <iconSet iconSet="3Symbols2" showValue="0">
        <cfvo type="percent" val="0"/>
        <cfvo type="num" val="0"/>
        <cfvo type="num" val="1"/>
      </iconSet>
    </cfRule>
  </conditionalFormatting>
  <conditionalFormatting sqref="Q1589:Q1591">
    <cfRule type="iconSet" priority="193">
      <iconSet iconSet="3Symbols2" showValue="0">
        <cfvo type="percent" val="0"/>
        <cfvo type="num" val="0"/>
        <cfvo type="num" val="1"/>
      </iconSet>
    </cfRule>
  </conditionalFormatting>
  <conditionalFormatting sqref="Q1589:Q1591">
    <cfRule type="iconSet" priority="192">
      <iconSet iconSet="3Symbols2" showValue="0">
        <cfvo type="percent" val="0"/>
        <cfvo type="num" val="0"/>
        <cfvo type="num" val="1"/>
      </iconSet>
    </cfRule>
  </conditionalFormatting>
  <conditionalFormatting sqref="T1589:T1591">
    <cfRule type="iconSet" priority="191">
      <iconSet iconSet="3Symbols2" showValue="0">
        <cfvo type="percent" val="0"/>
        <cfvo type="num" val="0"/>
        <cfvo type="num" val="1"/>
      </iconSet>
    </cfRule>
  </conditionalFormatting>
  <conditionalFormatting sqref="T1589:T1591">
    <cfRule type="iconSet" priority="190">
      <iconSet iconSet="3Symbols2" showValue="0">
        <cfvo type="percent" val="0"/>
        <cfvo type="num" val="0"/>
        <cfvo type="num" val="1"/>
      </iconSet>
    </cfRule>
  </conditionalFormatting>
  <conditionalFormatting sqref="Q1592:Q1593">
    <cfRule type="iconSet" priority="189">
      <iconSet iconSet="3Symbols2" showValue="0">
        <cfvo type="percent" val="0"/>
        <cfvo type="num" val="0"/>
        <cfvo type="num" val="1"/>
      </iconSet>
    </cfRule>
  </conditionalFormatting>
  <conditionalFormatting sqref="Q1592:Q1593">
    <cfRule type="iconSet" priority="188">
      <iconSet iconSet="3Symbols2" showValue="0">
        <cfvo type="percent" val="0"/>
        <cfvo type="num" val="0"/>
        <cfvo type="num" val="1"/>
      </iconSet>
    </cfRule>
  </conditionalFormatting>
  <conditionalFormatting sqref="T1592:T1593">
    <cfRule type="iconSet" priority="187">
      <iconSet iconSet="3Symbols2" showValue="0">
        <cfvo type="percent" val="0"/>
        <cfvo type="num" val="0"/>
        <cfvo type="num" val="1"/>
      </iconSet>
    </cfRule>
  </conditionalFormatting>
  <conditionalFormatting sqref="T1592:T1593">
    <cfRule type="iconSet" priority="186">
      <iconSet iconSet="3Symbols2" showValue="0">
        <cfvo type="percent" val="0"/>
        <cfvo type="num" val="0"/>
        <cfvo type="num" val="1"/>
      </iconSet>
    </cfRule>
  </conditionalFormatting>
  <conditionalFormatting sqref="Q1594:Q1597">
    <cfRule type="iconSet" priority="185">
      <iconSet iconSet="3Symbols2" showValue="0">
        <cfvo type="percent" val="0"/>
        <cfvo type="num" val="0"/>
        <cfvo type="num" val="1"/>
      </iconSet>
    </cfRule>
  </conditionalFormatting>
  <conditionalFormatting sqref="Q1594:Q1597">
    <cfRule type="iconSet" priority="184">
      <iconSet iconSet="3Symbols2" showValue="0">
        <cfvo type="percent" val="0"/>
        <cfvo type="num" val="0"/>
        <cfvo type="num" val="1"/>
      </iconSet>
    </cfRule>
  </conditionalFormatting>
  <conditionalFormatting sqref="T1594:T1597">
    <cfRule type="iconSet" priority="183">
      <iconSet iconSet="3Symbols2" showValue="0">
        <cfvo type="percent" val="0"/>
        <cfvo type="num" val="0"/>
        <cfvo type="num" val="1"/>
      </iconSet>
    </cfRule>
  </conditionalFormatting>
  <conditionalFormatting sqref="T1594:T1597">
    <cfRule type="iconSet" priority="182">
      <iconSet iconSet="3Symbols2" showValue="0">
        <cfvo type="percent" val="0"/>
        <cfvo type="num" val="0"/>
        <cfvo type="num" val="1"/>
      </iconSet>
    </cfRule>
  </conditionalFormatting>
  <conditionalFormatting sqref="Q1598:Q1599">
    <cfRule type="iconSet" priority="181">
      <iconSet iconSet="3Symbols2" showValue="0">
        <cfvo type="percent" val="0"/>
        <cfvo type="num" val="0"/>
        <cfvo type="num" val="1"/>
      </iconSet>
    </cfRule>
  </conditionalFormatting>
  <conditionalFormatting sqref="Q1598:Q1599">
    <cfRule type="iconSet" priority="180">
      <iconSet iconSet="3Symbols2" showValue="0">
        <cfvo type="percent" val="0"/>
        <cfvo type="num" val="0"/>
        <cfvo type="num" val="1"/>
      </iconSet>
    </cfRule>
  </conditionalFormatting>
  <conditionalFormatting sqref="T1598:T1599">
    <cfRule type="iconSet" priority="179">
      <iconSet iconSet="3Symbols2" showValue="0">
        <cfvo type="percent" val="0"/>
        <cfvo type="num" val="0"/>
        <cfvo type="num" val="1"/>
      </iconSet>
    </cfRule>
  </conditionalFormatting>
  <conditionalFormatting sqref="T1598:T1599">
    <cfRule type="iconSet" priority="178">
      <iconSet iconSet="3Symbols2" showValue="0">
        <cfvo type="percent" val="0"/>
        <cfvo type="num" val="0"/>
        <cfvo type="num" val="1"/>
      </iconSet>
    </cfRule>
  </conditionalFormatting>
  <conditionalFormatting sqref="Q1600:Q1602">
    <cfRule type="iconSet" priority="177">
      <iconSet iconSet="3Symbols2" showValue="0">
        <cfvo type="percent" val="0"/>
        <cfvo type="num" val="0"/>
        <cfvo type="num" val="1"/>
      </iconSet>
    </cfRule>
  </conditionalFormatting>
  <conditionalFormatting sqref="Q1600:Q1602">
    <cfRule type="iconSet" priority="176">
      <iconSet iconSet="3Symbols2" showValue="0">
        <cfvo type="percent" val="0"/>
        <cfvo type="num" val="0"/>
        <cfvo type="num" val="1"/>
      </iconSet>
    </cfRule>
  </conditionalFormatting>
  <conditionalFormatting sqref="T1600:T1602">
    <cfRule type="iconSet" priority="175">
      <iconSet iconSet="3Symbols2" showValue="0">
        <cfvo type="percent" val="0"/>
        <cfvo type="num" val="0"/>
        <cfvo type="num" val="1"/>
      </iconSet>
    </cfRule>
  </conditionalFormatting>
  <conditionalFormatting sqref="T1600:T1602">
    <cfRule type="iconSet" priority="174">
      <iconSet iconSet="3Symbols2" showValue="0">
        <cfvo type="percent" val="0"/>
        <cfvo type="num" val="0"/>
        <cfvo type="num" val="1"/>
      </iconSet>
    </cfRule>
  </conditionalFormatting>
  <conditionalFormatting sqref="Q1603:Q1605">
    <cfRule type="iconSet" priority="173">
      <iconSet iconSet="3Symbols2" showValue="0">
        <cfvo type="percent" val="0"/>
        <cfvo type="num" val="0"/>
        <cfvo type="num" val="1"/>
      </iconSet>
    </cfRule>
  </conditionalFormatting>
  <conditionalFormatting sqref="Q1603:Q1605">
    <cfRule type="iconSet" priority="172">
      <iconSet iconSet="3Symbols2" showValue="0">
        <cfvo type="percent" val="0"/>
        <cfvo type="num" val="0"/>
        <cfvo type="num" val="1"/>
      </iconSet>
    </cfRule>
  </conditionalFormatting>
  <conditionalFormatting sqref="T1603:T1605">
    <cfRule type="iconSet" priority="171">
      <iconSet iconSet="3Symbols2" showValue="0">
        <cfvo type="percent" val="0"/>
        <cfvo type="num" val="0"/>
        <cfvo type="num" val="1"/>
      </iconSet>
    </cfRule>
  </conditionalFormatting>
  <conditionalFormatting sqref="T1603:T1605">
    <cfRule type="iconSet" priority="170">
      <iconSet iconSet="3Symbols2" showValue="0">
        <cfvo type="percent" val="0"/>
        <cfvo type="num" val="0"/>
        <cfvo type="num" val="1"/>
      </iconSet>
    </cfRule>
  </conditionalFormatting>
  <conditionalFormatting sqref="Q1606:Q1609">
    <cfRule type="iconSet" priority="169">
      <iconSet iconSet="3Symbols2" showValue="0">
        <cfvo type="percent" val="0"/>
        <cfvo type="num" val="0"/>
        <cfvo type="num" val="1"/>
      </iconSet>
    </cfRule>
  </conditionalFormatting>
  <conditionalFormatting sqref="Q1606:Q1609">
    <cfRule type="iconSet" priority="168">
      <iconSet iconSet="3Symbols2" showValue="0">
        <cfvo type="percent" val="0"/>
        <cfvo type="num" val="0"/>
        <cfvo type="num" val="1"/>
      </iconSet>
    </cfRule>
  </conditionalFormatting>
  <conditionalFormatting sqref="T1606:T1609">
    <cfRule type="iconSet" priority="167">
      <iconSet iconSet="3Symbols2" showValue="0">
        <cfvo type="percent" val="0"/>
        <cfvo type="num" val="0"/>
        <cfvo type="num" val="1"/>
      </iconSet>
    </cfRule>
  </conditionalFormatting>
  <conditionalFormatting sqref="T1606:T1609">
    <cfRule type="iconSet" priority="166">
      <iconSet iconSet="3Symbols2" showValue="0">
        <cfvo type="percent" val="0"/>
        <cfvo type="num" val="0"/>
        <cfvo type="num" val="1"/>
      </iconSet>
    </cfRule>
  </conditionalFormatting>
  <conditionalFormatting sqref="Q1610:Q1614">
    <cfRule type="iconSet" priority="165">
      <iconSet iconSet="3Symbols2" showValue="0">
        <cfvo type="percent" val="0"/>
        <cfvo type="num" val="0"/>
        <cfvo type="num" val="1"/>
      </iconSet>
    </cfRule>
  </conditionalFormatting>
  <conditionalFormatting sqref="Q1610:Q1614">
    <cfRule type="iconSet" priority="164">
      <iconSet iconSet="3Symbols2" showValue="0">
        <cfvo type="percent" val="0"/>
        <cfvo type="num" val="0"/>
        <cfvo type="num" val="1"/>
      </iconSet>
    </cfRule>
  </conditionalFormatting>
  <conditionalFormatting sqref="T1610:T1614">
    <cfRule type="iconSet" priority="163">
      <iconSet iconSet="3Symbols2" showValue="0">
        <cfvo type="percent" val="0"/>
        <cfvo type="num" val="0"/>
        <cfvo type="num" val="1"/>
      </iconSet>
    </cfRule>
  </conditionalFormatting>
  <conditionalFormatting sqref="T1610:T1614">
    <cfRule type="iconSet" priority="162">
      <iconSet iconSet="3Symbols2" showValue="0">
        <cfvo type="percent" val="0"/>
        <cfvo type="num" val="0"/>
        <cfvo type="num" val="1"/>
      </iconSet>
    </cfRule>
  </conditionalFormatting>
  <conditionalFormatting sqref="Q1615:Q1616">
    <cfRule type="iconSet" priority="161">
      <iconSet iconSet="3Symbols2" showValue="0">
        <cfvo type="percent" val="0"/>
        <cfvo type="num" val="0"/>
        <cfvo type="num" val="1"/>
      </iconSet>
    </cfRule>
  </conditionalFormatting>
  <conditionalFormatting sqref="Q1615:Q1616">
    <cfRule type="iconSet" priority="160">
      <iconSet iconSet="3Symbols2" showValue="0">
        <cfvo type="percent" val="0"/>
        <cfvo type="num" val="0"/>
        <cfvo type="num" val="1"/>
      </iconSet>
    </cfRule>
  </conditionalFormatting>
  <conditionalFormatting sqref="T1615:T1616">
    <cfRule type="iconSet" priority="159">
      <iconSet iconSet="3Symbols2" showValue="0">
        <cfvo type="percent" val="0"/>
        <cfvo type="num" val="0"/>
        <cfvo type="num" val="1"/>
      </iconSet>
    </cfRule>
  </conditionalFormatting>
  <conditionalFormatting sqref="T1615:T1616">
    <cfRule type="iconSet" priority="158">
      <iconSet iconSet="3Symbols2" showValue="0">
        <cfvo type="percent" val="0"/>
        <cfvo type="num" val="0"/>
        <cfvo type="num" val="1"/>
      </iconSet>
    </cfRule>
  </conditionalFormatting>
  <conditionalFormatting sqref="Q1617:Q1620">
    <cfRule type="iconSet" priority="157">
      <iconSet iconSet="3Symbols2" showValue="0">
        <cfvo type="percent" val="0"/>
        <cfvo type="num" val="0"/>
        <cfvo type="num" val="1"/>
      </iconSet>
    </cfRule>
  </conditionalFormatting>
  <conditionalFormatting sqref="Q1617:Q1620">
    <cfRule type="iconSet" priority="156">
      <iconSet iconSet="3Symbols2" showValue="0">
        <cfvo type="percent" val="0"/>
        <cfvo type="num" val="0"/>
        <cfvo type="num" val="1"/>
      </iconSet>
    </cfRule>
  </conditionalFormatting>
  <conditionalFormatting sqref="T1617:T1620">
    <cfRule type="iconSet" priority="155">
      <iconSet iconSet="3Symbols2" showValue="0">
        <cfvo type="percent" val="0"/>
        <cfvo type="num" val="0"/>
        <cfvo type="num" val="1"/>
      </iconSet>
    </cfRule>
  </conditionalFormatting>
  <conditionalFormatting sqref="T1617:T1620">
    <cfRule type="iconSet" priority="154">
      <iconSet iconSet="3Symbols2" showValue="0">
        <cfvo type="percent" val="0"/>
        <cfvo type="num" val="0"/>
        <cfvo type="num" val="1"/>
      </iconSet>
    </cfRule>
  </conditionalFormatting>
  <conditionalFormatting sqref="Q1621:Q1622">
    <cfRule type="iconSet" priority="153">
      <iconSet iconSet="3Symbols2" showValue="0">
        <cfvo type="percent" val="0"/>
        <cfvo type="num" val="0"/>
        <cfvo type="num" val="1"/>
      </iconSet>
    </cfRule>
  </conditionalFormatting>
  <conditionalFormatting sqref="Q1621:Q1622">
    <cfRule type="iconSet" priority="152">
      <iconSet iconSet="3Symbols2" showValue="0">
        <cfvo type="percent" val="0"/>
        <cfvo type="num" val="0"/>
        <cfvo type="num" val="1"/>
      </iconSet>
    </cfRule>
  </conditionalFormatting>
  <conditionalFormatting sqref="T1621:T1622">
    <cfRule type="iconSet" priority="151">
      <iconSet iconSet="3Symbols2" showValue="0">
        <cfvo type="percent" val="0"/>
        <cfvo type="num" val="0"/>
        <cfvo type="num" val="1"/>
      </iconSet>
    </cfRule>
  </conditionalFormatting>
  <conditionalFormatting sqref="T1621:T1622">
    <cfRule type="iconSet" priority="150">
      <iconSet iconSet="3Symbols2" showValue="0">
        <cfvo type="percent" val="0"/>
        <cfvo type="num" val="0"/>
        <cfvo type="num" val="1"/>
      </iconSet>
    </cfRule>
  </conditionalFormatting>
  <conditionalFormatting sqref="Q1623:Q1624">
    <cfRule type="iconSet" priority="149">
      <iconSet iconSet="3Symbols2" showValue="0">
        <cfvo type="percent" val="0"/>
        <cfvo type="num" val="0"/>
        <cfvo type="num" val="1"/>
      </iconSet>
    </cfRule>
  </conditionalFormatting>
  <conditionalFormatting sqref="Q1623:Q1624">
    <cfRule type="iconSet" priority="148">
      <iconSet iconSet="3Symbols2" showValue="0">
        <cfvo type="percent" val="0"/>
        <cfvo type="num" val="0"/>
        <cfvo type="num" val="1"/>
      </iconSet>
    </cfRule>
  </conditionalFormatting>
  <conditionalFormatting sqref="T1623:T1624">
    <cfRule type="iconSet" priority="147">
      <iconSet iconSet="3Symbols2" showValue="0">
        <cfvo type="percent" val="0"/>
        <cfvo type="num" val="0"/>
        <cfvo type="num" val="1"/>
      </iconSet>
    </cfRule>
  </conditionalFormatting>
  <conditionalFormatting sqref="T1623:T1624">
    <cfRule type="iconSet" priority="146">
      <iconSet iconSet="3Symbols2" showValue="0">
        <cfvo type="percent" val="0"/>
        <cfvo type="num" val="0"/>
        <cfvo type="num" val="1"/>
      </iconSet>
    </cfRule>
  </conditionalFormatting>
  <conditionalFormatting sqref="Q1625:Q1627">
    <cfRule type="iconSet" priority="145">
      <iconSet iconSet="3Symbols2" showValue="0">
        <cfvo type="percent" val="0"/>
        <cfvo type="num" val="0"/>
        <cfvo type="num" val="1"/>
      </iconSet>
    </cfRule>
  </conditionalFormatting>
  <conditionalFormatting sqref="Q1625:Q1627">
    <cfRule type="iconSet" priority="144">
      <iconSet iconSet="3Symbols2" showValue="0">
        <cfvo type="percent" val="0"/>
        <cfvo type="num" val="0"/>
        <cfvo type="num" val="1"/>
      </iconSet>
    </cfRule>
  </conditionalFormatting>
  <conditionalFormatting sqref="T1625:T1627">
    <cfRule type="iconSet" priority="143">
      <iconSet iconSet="3Symbols2" showValue="0">
        <cfvo type="percent" val="0"/>
        <cfvo type="num" val="0"/>
        <cfvo type="num" val="1"/>
      </iconSet>
    </cfRule>
  </conditionalFormatting>
  <conditionalFormatting sqref="T1625:T1627">
    <cfRule type="iconSet" priority="142">
      <iconSet iconSet="3Symbols2" showValue="0">
        <cfvo type="percent" val="0"/>
        <cfvo type="num" val="0"/>
        <cfvo type="num" val="1"/>
      </iconSet>
    </cfRule>
  </conditionalFormatting>
  <conditionalFormatting sqref="Q1628:Q1629">
    <cfRule type="iconSet" priority="141">
      <iconSet iconSet="3Symbols2" showValue="0">
        <cfvo type="percent" val="0"/>
        <cfvo type="num" val="0"/>
        <cfvo type="num" val="1"/>
      </iconSet>
    </cfRule>
  </conditionalFormatting>
  <conditionalFormatting sqref="Q1628:Q1629">
    <cfRule type="iconSet" priority="140">
      <iconSet iconSet="3Symbols2" showValue="0">
        <cfvo type="percent" val="0"/>
        <cfvo type="num" val="0"/>
        <cfvo type="num" val="1"/>
      </iconSet>
    </cfRule>
  </conditionalFormatting>
  <conditionalFormatting sqref="T1628:T1629">
    <cfRule type="iconSet" priority="139">
      <iconSet iconSet="3Symbols2" showValue="0">
        <cfvo type="percent" val="0"/>
        <cfvo type="num" val="0"/>
        <cfvo type="num" val="1"/>
      </iconSet>
    </cfRule>
  </conditionalFormatting>
  <conditionalFormatting sqref="T1628:T1629">
    <cfRule type="iconSet" priority="138">
      <iconSet iconSet="3Symbols2" showValue="0">
        <cfvo type="percent" val="0"/>
        <cfvo type="num" val="0"/>
        <cfvo type="num" val="1"/>
      </iconSet>
    </cfRule>
  </conditionalFormatting>
  <conditionalFormatting sqref="Q1630:Q1635">
    <cfRule type="iconSet" priority="137">
      <iconSet iconSet="3Symbols2" showValue="0">
        <cfvo type="percent" val="0"/>
        <cfvo type="num" val="0"/>
        <cfvo type="num" val="1"/>
      </iconSet>
    </cfRule>
  </conditionalFormatting>
  <conditionalFormatting sqref="Q1630:Q1635">
    <cfRule type="iconSet" priority="136">
      <iconSet iconSet="3Symbols2" showValue="0">
        <cfvo type="percent" val="0"/>
        <cfvo type="num" val="0"/>
        <cfvo type="num" val="1"/>
      </iconSet>
    </cfRule>
  </conditionalFormatting>
  <conditionalFormatting sqref="T1630:T1635">
    <cfRule type="iconSet" priority="135">
      <iconSet iconSet="3Symbols2" showValue="0">
        <cfvo type="percent" val="0"/>
        <cfvo type="num" val="0"/>
        <cfvo type="num" val="1"/>
      </iconSet>
    </cfRule>
  </conditionalFormatting>
  <conditionalFormatting sqref="T1630:T1635">
    <cfRule type="iconSet" priority="134">
      <iconSet iconSet="3Symbols2" showValue="0">
        <cfvo type="percent" val="0"/>
        <cfvo type="num" val="0"/>
        <cfvo type="num" val="1"/>
      </iconSet>
    </cfRule>
  </conditionalFormatting>
  <conditionalFormatting sqref="Q1636:Q1638">
    <cfRule type="iconSet" priority="133">
      <iconSet iconSet="3Symbols2" showValue="0">
        <cfvo type="percent" val="0"/>
        <cfvo type="num" val="0"/>
        <cfvo type="num" val="1"/>
      </iconSet>
    </cfRule>
  </conditionalFormatting>
  <conditionalFormatting sqref="Q1636:Q1638">
    <cfRule type="iconSet" priority="132">
      <iconSet iconSet="3Symbols2" showValue="0">
        <cfvo type="percent" val="0"/>
        <cfvo type="num" val="0"/>
        <cfvo type="num" val="1"/>
      </iconSet>
    </cfRule>
  </conditionalFormatting>
  <conditionalFormatting sqref="T1636:T1638">
    <cfRule type="iconSet" priority="131">
      <iconSet iconSet="3Symbols2" showValue="0">
        <cfvo type="percent" val="0"/>
        <cfvo type="num" val="0"/>
        <cfvo type="num" val="1"/>
      </iconSet>
    </cfRule>
  </conditionalFormatting>
  <conditionalFormatting sqref="T1636:T1638">
    <cfRule type="iconSet" priority="130">
      <iconSet iconSet="3Symbols2" showValue="0">
        <cfvo type="percent" val="0"/>
        <cfvo type="num" val="0"/>
        <cfvo type="num" val="1"/>
      </iconSet>
    </cfRule>
  </conditionalFormatting>
  <conditionalFormatting sqref="Q1639:Q1652">
    <cfRule type="iconSet" priority="129">
      <iconSet iconSet="3Symbols2" showValue="0">
        <cfvo type="percent" val="0"/>
        <cfvo type="num" val="0"/>
        <cfvo type="num" val="1"/>
      </iconSet>
    </cfRule>
  </conditionalFormatting>
  <conditionalFormatting sqref="Q1639:Q1652">
    <cfRule type="iconSet" priority="128">
      <iconSet iconSet="3Symbols2" showValue="0">
        <cfvo type="percent" val="0"/>
        <cfvo type="num" val="0"/>
        <cfvo type="num" val="1"/>
      </iconSet>
    </cfRule>
  </conditionalFormatting>
  <conditionalFormatting sqref="T1639:T1652">
    <cfRule type="iconSet" priority="127">
      <iconSet iconSet="3Symbols2" showValue="0">
        <cfvo type="percent" val="0"/>
        <cfvo type="num" val="0"/>
        <cfvo type="num" val="1"/>
      </iconSet>
    </cfRule>
  </conditionalFormatting>
  <conditionalFormatting sqref="T1639:T1652">
    <cfRule type="iconSet" priority="126">
      <iconSet iconSet="3Symbols2" showValue="0">
        <cfvo type="percent" val="0"/>
        <cfvo type="num" val="0"/>
        <cfvo type="num" val="1"/>
      </iconSet>
    </cfRule>
  </conditionalFormatting>
  <conditionalFormatting sqref="Q1513:Q1518">
    <cfRule type="iconSet" priority="125">
      <iconSet iconSet="3Symbols2" showValue="0">
        <cfvo type="percent" val="0"/>
        <cfvo type="num" val="0"/>
        <cfvo type="num" val="1"/>
      </iconSet>
    </cfRule>
  </conditionalFormatting>
  <conditionalFormatting sqref="Q1513:Q1518">
    <cfRule type="iconSet" priority="124">
      <iconSet iconSet="3Symbols2" showValue="0">
        <cfvo type="percent" val="0"/>
        <cfvo type="num" val="0"/>
        <cfvo type="num" val="1"/>
      </iconSet>
    </cfRule>
  </conditionalFormatting>
  <conditionalFormatting sqref="T1513:T1518">
    <cfRule type="iconSet" priority="123">
      <iconSet iconSet="3Symbols2" showValue="0">
        <cfvo type="percent" val="0"/>
        <cfvo type="num" val="0"/>
        <cfvo type="num" val="1"/>
      </iconSet>
    </cfRule>
  </conditionalFormatting>
  <conditionalFormatting sqref="T1513:T1518">
    <cfRule type="iconSet" priority="122">
      <iconSet iconSet="3Symbols2" showValue="0">
        <cfvo type="percent" val="0"/>
        <cfvo type="num" val="0"/>
        <cfvo type="num" val="1"/>
      </iconSet>
    </cfRule>
  </conditionalFormatting>
  <conditionalFormatting sqref="Q1519:Q1521">
    <cfRule type="iconSet" priority="121">
      <iconSet iconSet="3Symbols2" showValue="0">
        <cfvo type="percent" val="0"/>
        <cfvo type="num" val="0"/>
        <cfvo type="num" val="1"/>
      </iconSet>
    </cfRule>
  </conditionalFormatting>
  <conditionalFormatting sqref="Q1519:Q1521">
    <cfRule type="iconSet" priority="120">
      <iconSet iconSet="3Symbols2" showValue="0">
        <cfvo type="percent" val="0"/>
        <cfvo type="num" val="0"/>
        <cfvo type="num" val="1"/>
      </iconSet>
    </cfRule>
  </conditionalFormatting>
  <conditionalFormatting sqref="T1519:T1521">
    <cfRule type="iconSet" priority="119">
      <iconSet iconSet="3Symbols2" showValue="0">
        <cfvo type="percent" val="0"/>
        <cfvo type="num" val="0"/>
        <cfvo type="num" val="1"/>
      </iconSet>
    </cfRule>
  </conditionalFormatting>
  <conditionalFormatting sqref="T1519:T1521">
    <cfRule type="iconSet" priority="118">
      <iconSet iconSet="3Symbols2" showValue="0">
        <cfvo type="percent" val="0"/>
        <cfvo type="num" val="0"/>
        <cfvo type="num" val="1"/>
      </iconSet>
    </cfRule>
  </conditionalFormatting>
  <conditionalFormatting sqref="Q1522:Q1523">
    <cfRule type="iconSet" priority="117">
      <iconSet iconSet="3Symbols2" showValue="0">
        <cfvo type="percent" val="0"/>
        <cfvo type="num" val="0"/>
        <cfvo type="num" val="1"/>
      </iconSet>
    </cfRule>
  </conditionalFormatting>
  <conditionalFormatting sqref="Q1522:Q1523">
    <cfRule type="iconSet" priority="116">
      <iconSet iconSet="3Symbols2" showValue="0">
        <cfvo type="percent" val="0"/>
        <cfvo type="num" val="0"/>
        <cfvo type="num" val="1"/>
      </iconSet>
    </cfRule>
  </conditionalFormatting>
  <conditionalFormatting sqref="T1522:T1523">
    <cfRule type="iconSet" priority="115">
      <iconSet iconSet="3Symbols2" showValue="0">
        <cfvo type="percent" val="0"/>
        <cfvo type="num" val="0"/>
        <cfvo type="num" val="1"/>
      </iconSet>
    </cfRule>
  </conditionalFormatting>
  <conditionalFormatting sqref="T1522:T1523">
    <cfRule type="iconSet" priority="114">
      <iconSet iconSet="3Symbols2" showValue="0">
        <cfvo type="percent" val="0"/>
        <cfvo type="num" val="0"/>
        <cfvo type="num" val="1"/>
      </iconSet>
    </cfRule>
  </conditionalFormatting>
  <conditionalFormatting sqref="Q1524:Q1527">
    <cfRule type="iconSet" priority="113">
      <iconSet iconSet="3Symbols2" showValue="0">
        <cfvo type="percent" val="0"/>
        <cfvo type="num" val="0"/>
        <cfvo type="num" val="1"/>
      </iconSet>
    </cfRule>
  </conditionalFormatting>
  <conditionalFormatting sqref="Q1524:Q1527">
    <cfRule type="iconSet" priority="112">
      <iconSet iconSet="3Symbols2" showValue="0">
        <cfvo type="percent" val="0"/>
        <cfvo type="num" val="0"/>
        <cfvo type="num" val="1"/>
      </iconSet>
    </cfRule>
  </conditionalFormatting>
  <conditionalFormatting sqref="T1524:T1527">
    <cfRule type="iconSet" priority="111">
      <iconSet iconSet="3Symbols2" showValue="0">
        <cfvo type="percent" val="0"/>
        <cfvo type="num" val="0"/>
        <cfvo type="num" val="1"/>
      </iconSet>
    </cfRule>
  </conditionalFormatting>
  <conditionalFormatting sqref="T1524:T1527">
    <cfRule type="iconSet" priority="110">
      <iconSet iconSet="3Symbols2" showValue="0">
        <cfvo type="percent" val="0"/>
        <cfvo type="num" val="0"/>
        <cfvo type="num" val="1"/>
      </iconSet>
    </cfRule>
  </conditionalFormatting>
  <conditionalFormatting sqref="Q1528:Q1529">
    <cfRule type="iconSet" priority="109">
      <iconSet iconSet="3Symbols2" showValue="0">
        <cfvo type="percent" val="0"/>
        <cfvo type="num" val="0"/>
        <cfvo type="num" val="1"/>
      </iconSet>
    </cfRule>
  </conditionalFormatting>
  <conditionalFormatting sqref="Q1528:Q1529">
    <cfRule type="iconSet" priority="108">
      <iconSet iconSet="3Symbols2" showValue="0">
        <cfvo type="percent" val="0"/>
        <cfvo type="num" val="0"/>
        <cfvo type="num" val="1"/>
      </iconSet>
    </cfRule>
  </conditionalFormatting>
  <conditionalFormatting sqref="T1528:T1529">
    <cfRule type="iconSet" priority="107">
      <iconSet iconSet="3Symbols2" showValue="0">
        <cfvo type="percent" val="0"/>
        <cfvo type="num" val="0"/>
        <cfvo type="num" val="1"/>
      </iconSet>
    </cfRule>
  </conditionalFormatting>
  <conditionalFormatting sqref="T1528:T1529">
    <cfRule type="iconSet" priority="106">
      <iconSet iconSet="3Symbols2" showValue="0">
        <cfvo type="percent" val="0"/>
        <cfvo type="num" val="0"/>
        <cfvo type="num" val="1"/>
      </iconSet>
    </cfRule>
  </conditionalFormatting>
  <conditionalFormatting sqref="Q1530:Q1532">
    <cfRule type="iconSet" priority="105">
      <iconSet iconSet="3Symbols2" showValue="0">
        <cfvo type="percent" val="0"/>
        <cfvo type="num" val="0"/>
        <cfvo type="num" val="1"/>
      </iconSet>
    </cfRule>
  </conditionalFormatting>
  <conditionalFormatting sqref="Q1530:Q1532">
    <cfRule type="iconSet" priority="104">
      <iconSet iconSet="3Symbols2" showValue="0">
        <cfvo type="percent" val="0"/>
        <cfvo type="num" val="0"/>
        <cfvo type="num" val="1"/>
      </iconSet>
    </cfRule>
  </conditionalFormatting>
  <conditionalFormatting sqref="T1530:T1532">
    <cfRule type="iconSet" priority="103">
      <iconSet iconSet="3Symbols2" showValue="0">
        <cfvo type="percent" val="0"/>
        <cfvo type="num" val="0"/>
        <cfvo type="num" val="1"/>
      </iconSet>
    </cfRule>
  </conditionalFormatting>
  <conditionalFormatting sqref="T1530:T1532">
    <cfRule type="iconSet" priority="102">
      <iconSet iconSet="3Symbols2" showValue="0">
        <cfvo type="percent" val="0"/>
        <cfvo type="num" val="0"/>
        <cfvo type="num" val="1"/>
      </iconSet>
    </cfRule>
  </conditionalFormatting>
  <conditionalFormatting sqref="Q1533:Q1535">
    <cfRule type="iconSet" priority="101">
      <iconSet iconSet="3Symbols2" showValue="0">
        <cfvo type="percent" val="0"/>
        <cfvo type="num" val="0"/>
        <cfvo type="num" val="1"/>
      </iconSet>
    </cfRule>
  </conditionalFormatting>
  <conditionalFormatting sqref="Q1533:Q1535">
    <cfRule type="iconSet" priority="100">
      <iconSet iconSet="3Symbols2" showValue="0">
        <cfvo type="percent" val="0"/>
        <cfvo type="num" val="0"/>
        <cfvo type="num" val="1"/>
      </iconSet>
    </cfRule>
  </conditionalFormatting>
  <conditionalFormatting sqref="T1533:T1535">
    <cfRule type="iconSet" priority="99">
      <iconSet iconSet="3Symbols2" showValue="0">
        <cfvo type="percent" val="0"/>
        <cfvo type="num" val="0"/>
        <cfvo type="num" val="1"/>
      </iconSet>
    </cfRule>
  </conditionalFormatting>
  <conditionalFormatting sqref="T1533:T1535">
    <cfRule type="iconSet" priority="98">
      <iconSet iconSet="3Symbols2" showValue="0">
        <cfvo type="percent" val="0"/>
        <cfvo type="num" val="0"/>
        <cfvo type="num" val="1"/>
      </iconSet>
    </cfRule>
  </conditionalFormatting>
  <conditionalFormatting sqref="Q1536:Q1539">
    <cfRule type="iconSet" priority="97">
      <iconSet iconSet="3Symbols2" showValue="0">
        <cfvo type="percent" val="0"/>
        <cfvo type="num" val="0"/>
        <cfvo type="num" val="1"/>
      </iconSet>
    </cfRule>
  </conditionalFormatting>
  <conditionalFormatting sqref="Q1536:Q1539">
    <cfRule type="iconSet" priority="96">
      <iconSet iconSet="3Symbols2" showValue="0">
        <cfvo type="percent" val="0"/>
        <cfvo type="num" val="0"/>
        <cfvo type="num" val="1"/>
      </iconSet>
    </cfRule>
  </conditionalFormatting>
  <conditionalFormatting sqref="T1536:T1539">
    <cfRule type="iconSet" priority="95">
      <iconSet iconSet="3Symbols2" showValue="0">
        <cfvo type="percent" val="0"/>
        <cfvo type="num" val="0"/>
        <cfvo type="num" val="1"/>
      </iconSet>
    </cfRule>
  </conditionalFormatting>
  <conditionalFormatting sqref="T1536:T1539">
    <cfRule type="iconSet" priority="94">
      <iconSet iconSet="3Symbols2" showValue="0">
        <cfvo type="percent" val="0"/>
        <cfvo type="num" val="0"/>
        <cfvo type="num" val="1"/>
      </iconSet>
    </cfRule>
  </conditionalFormatting>
  <conditionalFormatting sqref="Q1540:Q1544">
    <cfRule type="iconSet" priority="93">
      <iconSet iconSet="3Symbols2" showValue="0">
        <cfvo type="percent" val="0"/>
        <cfvo type="num" val="0"/>
        <cfvo type="num" val="1"/>
      </iconSet>
    </cfRule>
  </conditionalFormatting>
  <conditionalFormatting sqref="Q1540:Q1544">
    <cfRule type="iconSet" priority="92">
      <iconSet iconSet="3Symbols2" showValue="0">
        <cfvo type="percent" val="0"/>
        <cfvo type="num" val="0"/>
        <cfvo type="num" val="1"/>
      </iconSet>
    </cfRule>
  </conditionalFormatting>
  <conditionalFormatting sqref="T1540:T1544">
    <cfRule type="iconSet" priority="91">
      <iconSet iconSet="3Symbols2" showValue="0">
        <cfvo type="percent" val="0"/>
        <cfvo type="num" val="0"/>
        <cfvo type="num" val="1"/>
      </iconSet>
    </cfRule>
  </conditionalFormatting>
  <conditionalFormatting sqref="T1540:T1544">
    <cfRule type="iconSet" priority="90">
      <iconSet iconSet="3Symbols2" showValue="0">
        <cfvo type="percent" val="0"/>
        <cfvo type="num" val="0"/>
        <cfvo type="num" val="1"/>
      </iconSet>
    </cfRule>
  </conditionalFormatting>
  <conditionalFormatting sqref="Q1545:Q1546">
    <cfRule type="iconSet" priority="89">
      <iconSet iconSet="3Symbols2" showValue="0">
        <cfvo type="percent" val="0"/>
        <cfvo type="num" val="0"/>
        <cfvo type="num" val="1"/>
      </iconSet>
    </cfRule>
  </conditionalFormatting>
  <conditionalFormatting sqref="Q1545:Q1546">
    <cfRule type="iconSet" priority="88">
      <iconSet iconSet="3Symbols2" showValue="0">
        <cfvo type="percent" val="0"/>
        <cfvo type="num" val="0"/>
        <cfvo type="num" val="1"/>
      </iconSet>
    </cfRule>
  </conditionalFormatting>
  <conditionalFormatting sqref="T1545:T1546">
    <cfRule type="iconSet" priority="87">
      <iconSet iconSet="3Symbols2" showValue="0">
        <cfvo type="percent" val="0"/>
        <cfvo type="num" val="0"/>
        <cfvo type="num" val="1"/>
      </iconSet>
    </cfRule>
  </conditionalFormatting>
  <conditionalFormatting sqref="T1545:T1546">
    <cfRule type="iconSet" priority="86">
      <iconSet iconSet="3Symbols2" showValue="0">
        <cfvo type="percent" val="0"/>
        <cfvo type="num" val="0"/>
        <cfvo type="num" val="1"/>
      </iconSet>
    </cfRule>
  </conditionalFormatting>
  <conditionalFormatting sqref="Q1547:Q1550">
    <cfRule type="iconSet" priority="85">
      <iconSet iconSet="3Symbols2" showValue="0">
        <cfvo type="percent" val="0"/>
        <cfvo type="num" val="0"/>
        <cfvo type="num" val="1"/>
      </iconSet>
    </cfRule>
  </conditionalFormatting>
  <conditionalFormatting sqref="Q1547:Q1550">
    <cfRule type="iconSet" priority="84">
      <iconSet iconSet="3Symbols2" showValue="0">
        <cfvo type="percent" val="0"/>
        <cfvo type="num" val="0"/>
        <cfvo type="num" val="1"/>
      </iconSet>
    </cfRule>
  </conditionalFormatting>
  <conditionalFormatting sqref="T1547:T1550">
    <cfRule type="iconSet" priority="83">
      <iconSet iconSet="3Symbols2" showValue="0">
        <cfvo type="percent" val="0"/>
        <cfvo type="num" val="0"/>
        <cfvo type="num" val="1"/>
      </iconSet>
    </cfRule>
  </conditionalFormatting>
  <conditionalFormatting sqref="T1547:T1550">
    <cfRule type="iconSet" priority="82">
      <iconSet iconSet="3Symbols2" showValue="0">
        <cfvo type="percent" val="0"/>
        <cfvo type="num" val="0"/>
        <cfvo type="num" val="1"/>
      </iconSet>
    </cfRule>
  </conditionalFormatting>
  <conditionalFormatting sqref="Q1551:Q1552">
    <cfRule type="iconSet" priority="81">
      <iconSet iconSet="3Symbols2" showValue="0">
        <cfvo type="percent" val="0"/>
        <cfvo type="num" val="0"/>
        <cfvo type="num" val="1"/>
      </iconSet>
    </cfRule>
  </conditionalFormatting>
  <conditionalFormatting sqref="Q1551:Q1552">
    <cfRule type="iconSet" priority="80">
      <iconSet iconSet="3Symbols2" showValue="0">
        <cfvo type="percent" val="0"/>
        <cfvo type="num" val="0"/>
        <cfvo type="num" val="1"/>
      </iconSet>
    </cfRule>
  </conditionalFormatting>
  <conditionalFormatting sqref="T1551:T1552">
    <cfRule type="iconSet" priority="79">
      <iconSet iconSet="3Symbols2" showValue="0">
        <cfvo type="percent" val="0"/>
        <cfvo type="num" val="0"/>
        <cfvo type="num" val="1"/>
      </iconSet>
    </cfRule>
  </conditionalFormatting>
  <conditionalFormatting sqref="T1551:T1552">
    <cfRule type="iconSet" priority="78">
      <iconSet iconSet="3Symbols2" showValue="0">
        <cfvo type="percent" val="0"/>
        <cfvo type="num" val="0"/>
        <cfvo type="num" val="1"/>
      </iconSet>
    </cfRule>
  </conditionalFormatting>
  <conditionalFormatting sqref="Q1553:Q1554">
    <cfRule type="iconSet" priority="77">
      <iconSet iconSet="3Symbols2" showValue="0">
        <cfvo type="percent" val="0"/>
        <cfvo type="num" val="0"/>
        <cfvo type="num" val="1"/>
      </iconSet>
    </cfRule>
  </conditionalFormatting>
  <conditionalFormatting sqref="Q1553:Q1554">
    <cfRule type="iconSet" priority="76">
      <iconSet iconSet="3Symbols2" showValue="0">
        <cfvo type="percent" val="0"/>
        <cfvo type="num" val="0"/>
        <cfvo type="num" val="1"/>
      </iconSet>
    </cfRule>
  </conditionalFormatting>
  <conditionalFormatting sqref="T1553:T1554">
    <cfRule type="iconSet" priority="75">
      <iconSet iconSet="3Symbols2" showValue="0">
        <cfvo type="percent" val="0"/>
        <cfvo type="num" val="0"/>
        <cfvo type="num" val="1"/>
      </iconSet>
    </cfRule>
  </conditionalFormatting>
  <conditionalFormatting sqref="T1553:T1554">
    <cfRule type="iconSet" priority="74">
      <iconSet iconSet="3Symbols2" showValue="0">
        <cfvo type="percent" val="0"/>
        <cfvo type="num" val="0"/>
        <cfvo type="num" val="1"/>
      </iconSet>
    </cfRule>
  </conditionalFormatting>
  <conditionalFormatting sqref="Q1555:Q1557">
    <cfRule type="iconSet" priority="73">
      <iconSet iconSet="3Symbols2" showValue="0">
        <cfvo type="percent" val="0"/>
        <cfvo type="num" val="0"/>
        <cfvo type="num" val="1"/>
      </iconSet>
    </cfRule>
  </conditionalFormatting>
  <conditionalFormatting sqref="Q1555:Q1557">
    <cfRule type="iconSet" priority="72">
      <iconSet iconSet="3Symbols2" showValue="0">
        <cfvo type="percent" val="0"/>
        <cfvo type="num" val="0"/>
        <cfvo type="num" val="1"/>
      </iconSet>
    </cfRule>
  </conditionalFormatting>
  <conditionalFormatting sqref="T1555:T1557">
    <cfRule type="iconSet" priority="71">
      <iconSet iconSet="3Symbols2" showValue="0">
        <cfvo type="percent" val="0"/>
        <cfvo type="num" val="0"/>
        <cfvo type="num" val="1"/>
      </iconSet>
    </cfRule>
  </conditionalFormatting>
  <conditionalFormatting sqref="T1555:T1557">
    <cfRule type="iconSet" priority="70">
      <iconSet iconSet="3Symbols2" showValue="0">
        <cfvo type="percent" val="0"/>
        <cfvo type="num" val="0"/>
        <cfvo type="num" val="1"/>
      </iconSet>
    </cfRule>
  </conditionalFormatting>
  <conditionalFormatting sqref="Q1558:Q1559">
    <cfRule type="iconSet" priority="69">
      <iconSet iconSet="3Symbols2" showValue="0">
        <cfvo type="percent" val="0"/>
        <cfvo type="num" val="0"/>
        <cfvo type="num" val="1"/>
      </iconSet>
    </cfRule>
  </conditionalFormatting>
  <conditionalFormatting sqref="Q1558:Q1559">
    <cfRule type="iconSet" priority="68">
      <iconSet iconSet="3Symbols2" showValue="0">
        <cfvo type="percent" val="0"/>
        <cfvo type="num" val="0"/>
        <cfvo type="num" val="1"/>
      </iconSet>
    </cfRule>
  </conditionalFormatting>
  <conditionalFormatting sqref="T1558:T1559">
    <cfRule type="iconSet" priority="67">
      <iconSet iconSet="3Symbols2" showValue="0">
        <cfvo type="percent" val="0"/>
        <cfvo type="num" val="0"/>
        <cfvo type="num" val="1"/>
      </iconSet>
    </cfRule>
  </conditionalFormatting>
  <conditionalFormatting sqref="T1558:T1559">
    <cfRule type="iconSet" priority="66">
      <iconSet iconSet="3Symbols2" showValue="0">
        <cfvo type="percent" val="0"/>
        <cfvo type="num" val="0"/>
        <cfvo type="num" val="1"/>
      </iconSet>
    </cfRule>
  </conditionalFormatting>
  <conditionalFormatting sqref="Q1560:Q1565">
    <cfRule type="iconSet" priority="65">
      <iconSet iconSet="3Symbols2" showValue="0">
        <cfvo type="percent" val="0"/>
        <cfvo type="num" val="0"/>
        <cfvo type="num" val="1"/>
      </iconSet>
    </cfRule>
  </conditionalFormatting>
  <conditionalFormatting sqref="Q1560:Q1565">
    <cfRule type="iconSet" priority="64">
      <iconSet iconSet="3Symbols2" showValue="0">
        <cfvo type="percent" val="0"/>
        <cfvo type="num" val="0"/>
        <cfvo type="num" val="1"/>
      </iconSet>
    </cfRule>
  </conditionalFormatting>
  <conditionalFormatting sqref="T1560:T1565">
    <cfRule type="iconSet" priority="63">
      <iconSet iconSet="3Symbols2" showValue="0">
        <cfvo type="percent" val="0"/>
        <cfvo type="num" val="0"/>
        <cfvo type="num" val="1"/>
      </iconSet>
    </cfRule>
  </conditionalFormatting>
  <conditionalFormatting sqref="T1560:T1565">
    <cfRule type="iconSet" priority="62">
      <iconSet iconSet="3Symbols2" showValue="0">
        <cfvo type="percent" val="0"/>
        <cfvo type="num" val="0"/>
        <cfvo type="num" val="1"/>
      </iconSet>
    </cfRule>
  </conditionalFormatting>
  <conditionalFormatting sqref="Q1566:Q1568">
    <cfRule type="iconSet" priority="61">
      <iconSet iconSet="3Symbols2" showValue="0">
        <cfvo type="percent" val="0"/>
        <cfvo type="num" val="0"/>
        <cfvo type="num" val="1"/>
      </iconSet>
    </cfRule>
  </conditionalFormatting>
  <conditionalFormatting sqref="Q1566:Q1568">
    <cfRule type="iconSet" priority="60">
      <iconSet iconSet="3Symbols2" showValue="0">
        <cfvo type="percent" val="0"/>
        <cfvo type="num" val="0"/>
        <cfvo type="num" val="1"/>
      </iconSet>
    </cfRule>
  </conditionalFormatting>
  <conditionalFormatting sqref="T1566:T1568">
    <cfRule type="iconSet" priority="59">
      <iconSet iconSet="3Symbols2" showValue="0">
        <cfvo type="percent" val="0"/>
        <cfvo type="num" val="0"/>
        <cfvo type="num" val="1"/>
      </iconSet>
    </cfRule>
  </conditionalFormatting>
  <conditionalFormatting sqref="T1566:T1568">
    <cfRule type="iconSet" priority="58">
      <iconSet iconSet="3Symbols2" showValue="0">
        <cfvo type="percent" val="0"/>
        <cfvo type="num" val="0"/>
        <cfvo type="num" val="1"/>
      </iconSet>
    </cfRule>
  </conditionalFormatting>
  <conditionalFormatting sqref="Q1569:Q1582">
    <cfRule type="iconSet" priority="57">
      <iconSet iconSet="3Symbols2" showValue="0">
        <cfvo type="percent" val="0"/>
        <cfvo type="num" val="0"/>
        <cfvo type="num" val="1"/>
      </iconSet>
    </cfRule>
  </conditionalFormatting>
  <conditionalFormatting sqref="Q1569:Q1582">
    <cfRule type="iconSet" priority="56">
      <iconSet iconSet="3Symbols2" showValue="0">
        <cfvo type="percent" val="0"/>
        <cfvo type="num" val="0"/>
        <cfvo type="num" val="1"/>
      </iconSet>
    </cfRule>
  </conditionalFormatting>
  <conditionalFormatting sqref="T1569:T1582">
    <cfRule type="iconSet" priority="55">
      <iconSet iconSet="3Symbols2" showValue="0">
        <cfvo type="percent" val="0"/>
        <cfvo type="num" val="0"/>
        <cfvo type="num" val="1"/>
      </iconSet>
    </cfRule>
  </conditionalFormatting>
  <conditionalFormatting sqref="T1569:T1582">
    <cfRule type="iconSet" priority="54">
      <iconSet iconSet="3Symbols2" showValue="0">
        <cfvo type="percent" val="0"/>
        <cfvo type="num" val="0"/>
        <cfvo type="num" val="1"/>
      </iconSet>
    </cfRule>
  </conditionalFormatting>
  <conditionalFormatting sqref="Q1479:Q1484">
    <cfRule type="iconSet" priority="53">
      <iconSet iconSet="3Symbols2" showValue="0">
        <cfvo type="percent" val="0"/>
        <cfvo type="num" val="0"/>
        <cfvo type="num" val="1"/>
      </iconSet>
    </cfRule>
  </conditionalFormatting>
  <conditionalFormatting sqref="Q1479:Q1484">
    <cfRule type="iconSet" priority="52">
      <iconSet iconSet="3Symbols2" showValue="0">
        <cfvo type="percent" val="0"/>
        <cfvo type="num" val="0"/>
        <cfvo type="num" val="1"/>
      </iconSet>
    </cfRule>
  </conditionalFormatting>
  <conditionalFormatting sqref="T1479:T1484">
    <cfRule type="iconSet" priority="51">
      <iconSet iconSet="3Symbols2" showValue="0">
        <cfvo type="percent" val="0"/>
        <cfvo type="num" val="0"/>
        <cfvo type="num" val="1"/>
      </iconSet>
    </cfRule>
  </conditionalFormatting>
  <conditionalFormatting sqref="T1479:T1484">
    <cfRule type="iconSet" priority="50">
      <iconSet iconSet="3Symbols2" showValue="0">
        <cfvo type="percent" val="0"/>
        <cfvo type="num" val="0"/>
        <cfvo type="num" val="1"/>
      </iconSet>
    </cfRule>
  </conditionalFormatting>
  <conditionalFormatting sqref="Q1485:Q1487">
    <cfRule type="iconSet" priority="49">
      <iconSet iconSet="3Symbols2" showValue="0">
        <cfvo type="percent" val="0"/>
        <cfvo type="num" val="0"/>
        <cfvo type="num" val="1"/>
      </iconSet>
    </cfRule>
  </conditionalFormatting>
  <conditionalFormatting sqref="Q1485:Q1487">
    <cfRule type="iconSet" priority="48">
      <iconSet iconSet="3Symbols2" showValue="0">
        <cfvo type="percent" val="0"/>
        <cfvo type="num" val="0"/>
        <cfvo type="num" val="1"/>
      </iconSet>
    </cfRule>
  </conditionalFormatting>
  <conditionalFormatting sqref="T1485:T1487">
    <cfRule type="iconSet" priority="47">
      <iconSet iconSet="3Symbols2" showValue="0">
        <cfvo type="percent" val="0"/>
        <cfvo type="num" val="0"/>
        <cfvo type="num" val="1"/>
      </iconSet>
    </cfRule>
  </conditionalFormatting>
  <conditionalFormatting sqref="T1485:T1487">
    <cfRule type="iconSet" priority="46">
      <iconSet iconSet="3Symbols2" showValue="0">
        <cfvo type="percent" val="0"/>
        <cfvo type="num" val="0"/>
        <cfvo type="num" val="1"/>
      </iconSet>
    </cfRule>
  </conditionalFormatting>
  <conditionalFormatting sqref="Q1488:Q1489">
    <cfRule type="iconSet" priority="45">
      <iconSet iconSet="3Symbols2" showValue="0">
        <cfvo type="percent" val="0"/>
        <cfvo type="num" val="0"/>
        <cfvo type="num" val="1"/>
      </iconSet>
    </cfRule>
  </conditionalFormatting>
  <conditionalFormatting sqref="Q1488:Q1489">
    <cfRule type="iconSet" priority="44">
      <iconSet iconSet="3Symbols2" showValue="0">
        <cfvo type="percent" val="0"/>
        <cfvo type="num" val="0"/>
        <cfvo type="num" val="1"/>
      </iconSet>
    </cfRule>
  </conditionalFormatting>
  <conditionalFormatting sqref="T1488:T1489">
    <cfRule type="iconSet" priority="43">
      <iconSet iconSet="3Symbols2" showValue="0">
        <cfvo type="percent" val="0"/>
        <cfvo type="num" val="0"/>
        <cfvo type="num" val="1"/>
      </iconSet>
    </cfRule>
  </conditionalFormatting>
  <conditionalFormatting sqref="T1488:T1489">
    <cfRule type="iconSet" priority="42">
      <iconSet iconSet="3Symbols2" showValue="0">
        <cfvo type="percent" val="0"/>
        <cfvo type="num" val="0"/>
        <cfvo type="num" val="1"/>
      </iconSet>
    </cfRule>
  </conditionalFormatting>
  <conditionalFormatting sqref="Q1490:Q1493">
    <cfRule type="iconSet" priority="41">
      <iconSet iconSet="3Symbols2" showValue="0">
        <cfvo type="percent" val="0"/>
        <cfvo type="num" val="0"/>
        <cfvo type="num" val="1"/>
      </iconSet>
    </cfRule>
  </conditionalFormatting>
  <conditionalFormatting sqref="Q1490:Q1493">
    <cfRule type="iconSet" priority="40">
      <iconSet iconSet="3Symbols2" showValue="0">
        <cfvo type="percent" val="0"/>
        <cfvo type="num" val="0"/>
        <cfvo type="num" val="1"/>
      </iconSet>
    </cfRule>
  </conditionalFormatting>
  <conditionalFormatting sqref="T1490:T1493">
    <cfRule type="iconSet" priority="39">
      <iconSet iconSet="3Symbols2" showValue="0">
        <cfvo type="percent" val="0"/>
        <cfvo type="num" val="0"/>
        <cfvo type="num" val="1"/>
      </iconSet>
    </cfRule>
  </conditionalFormatting>
  <conditionalFormatting sqref="T1490:T1493">
    <cfRule type="iconSet" priority="38">
      <iconSet iconSet="3Symbols2" showValue="0">
        <cfvo type="percent" val="0"/>
        <cfvo type="num" val="0"/>
        <cfvo type="num" val="1"/>
      </iconSet>
    </cfRule>
  </conditionalFormatting>
  <conditionalFormatting sqref="Q1494:Q1495">
    <cfRule type="iconSet" priority="37">
      <iconSet iconSet="3Symbols2" showValue="0">
        <cfvo type="percent" val="0"/>
        <cfvo type="num" val="0"/>
        <cfvo type="num" val="1"/>
      </iconSet>
    </cfRule>
  </conditionalFormatting>
  <conditionalFormatting sqref="Q1494:Q1495">
    <cfRule type="iconSet" priority="36">
      <iconSet iconSet="3Symbols2" showValue="0">
        <cfvo type="percent" val="0"/>
        <cfvo type="num" val="0"/>
        <cfvo type="num" val="1"/>
      </iconSet>
    </cfRule>
  </conditionalFormatting>
  <conditionalFormatting sqref="T1494:T1495">
    <cfRule type="iconSet" priority="35">
      <iconSet iconSet="3Symbols2" showValue="0">
        <cfvo type="percent" val="0"/>
        <cfvo type="num" val="0"/>
        <cfvo type="num" val="1"/>
      </iconSet>
    </cfRule>
  </conditionalFormatting>
  <conditionalFormatting sqref="T1494:T1495">
    <cfRule type="iconSet" priority="34">
      <iconSet iconSet="3Symbols2" showValue="0">
        <cfvo type="percent" val="0"/>
        <cfvo type="num" val="0"/>
        <cfvo type="num" val="1"/>
      </iconSet>
    </cfRule>
  </conditionalFormatting>
  <conditionalFormatting sqref="Q1496:Q1498">
    <cfRule type="iconSet" priority="33">
      <iconSet iconSet="3Symbols2" showValue="0">
        <cfvo type="percent" val="0"/>
        <cfvo type="num" val="0"/>
        <cfvo type="num" val="1"/>
      </iconSet>
    </cfRule>
  </conditionalFormatting>
  <conditionalFormatting sqref="Q1496:Q1498">
    <cfRule type="iconSet" priority="32">
      <iconSet iconSet="3Symbols2" showValue="0">
        <cfvo type="percent" val="0"/>
        <cfvo type="num" val="0"/>
        <cfvo type="num" val="1"/>
      </iconSet>
    </cfRule>
  </conditionalFormatting>
  <conditionalFormatting sqref="T1496:T1498">
    <cfRule type="iconSet" priority="31">
      <iconSet iconSet="3Symbols2" showValue="0">
        <cfvo type="percent" val="0"/>
        <cfvo type="num" val="0"/>
        <cfvo type="num" val="1"/>
      </iconSet>
    </cfRule>
  </conditionalFormatting>
  <conditionalFormatting sqref="T1496:T1498">
    <cfRule type="iconSet" priority="30">
      <iconSet iconSet="3Symbols2" showValue="0">
        <cfvo type="percent" val="0"/>
        <cfvo type="num" val="0"/>
        <cfvo type="num" val="1"/>
      </iconSet>
    </cfRule>
  </conditionalFormatting>
  <conditionalFormatting sqref="Q1499:Q1501">
    <cfRule type="iconSet" priority="29">
      <iconSet iconSet="3Symbols2" showValue="0">
        <cfvo type="percent" val="0"/>
        <cfvo type="num" val="0"/>
        <cfvo type="num" val="1"/>
      </iconSet>
    </cfRule>
  </conditionalFormatting>
  <conditionalFormatting sqref="Q1499:Q1501">
    <cfRule type="iconSet" priority="28">
      <iconSet iconSet="3Symbols2" showValue="0">
        <cfvo type="percent" val="0"/>
        <cfvo type="num" val="0"/>
        <cfvo type="num" val="1"/>
      </iconSet>
    </cfRule>
  </conditionalFormatting>
  <conditionalFormatting sqref="T1499:T1501">
    <cfRule type="iconSet" priority="27">
      <iconSet iconSet="3Symbols2" showValue="0">
        <cfvo type="percent" val="0"/>
        <cfvo type="num" val="0"/>
        <cfvo type="num" val="1"/>
      </iconSet>
    </cfRule>
  </conditionalFormatting>
  <conditionalFormatting sqref="T1499:T1501">
    <cfRule type="iconSet" priority="26">
      <iconSet iconSet="3Symbols2" showValue="0">
        <cfvo type="percent" val="0"/>
        <cfvo type="num" val="0"/>
        <cfvo type="num" val="1"/>
      </iconSet>
    </cfRule>
  </conditionalFormatting>
  <conditionalFormatting sqref="Q1502:Q1505">
    <cfRule type="iconSet" priority="25">
      <iconSet iconSet="3Symbols2" showValue="0">
        <cfvo type="percent" val="0"/>
        <cfvo type="num" val="0"/>
        <cfvo type="num" val="1"/>
      </iconSet>
    </cfRule>
  </conditionalFormatting>
  <conditionalFormatting sqref="Q1502:Q1505">
    <cfRule type="iconSet" priority="24">
      <iconSet iconSet="3Symbols2" showValue="0">
        <cfvo type="percent" val="0"/>
        <cfvo type="num" val="0"/>
        <cfvo type="num" val="1"/>
      </iconSet>
    </cfRule>
  </conditionalFormatting>
  <conditionalFormatting sqref="T1502:T1505">
    <cfRule type="iconSet" priority="23">
      <iconSet iconSet="3Symbols2" showValue="0">
        <cfvo type="percent" val="0"/>
        <cfvo type="num" val="0"/>
        <cfvo type="num" val="1"/>
      </iconSet>
    </cfRule>
  </conditionalFormatting>
  <conditionalFormatting sqref="T1502:T1505">
    <cfRule type="iconSet" priority="22">
      <iconSet iconSet="3Symbols2" showValue="0">
        <cfvo type="percent" val="0"/>
        <cfvo type="num" val="0"/>
        <cfvo type="num" val="1"/>
      </iconSet>
    </cfRule>
  </conditionalFormatting>
  <conditionalFormatting sqref="Q1506:Q1510">
    <cfRule type="iconSet" priority="21">
      <iconSet iconSet="3Symbols2" showValue="0">
        <cfvo type="percent" val="0"/>
        <cfvo type="num" val="0"/>
        <cfvo type="num" val="1"/>
      </iconSet>
    </cfRule>
  </conditionalFormatting>
  <conditionalFormatting sqref="Q1506:Q1510">
    <cfRule type="iconSet" priority="20">
      <iconSet iconSet="3Symbols2" showValue="0">
        <cfvo type="percent" val="0"/>
        <cfvo type="num" val="0"/>
        <cfvo type="num" val="1"/>
      </iconSet>
    </cfRule>
  </conditionalFormatting>
  <conditionalFormatting sqref="T1506:T1510">
    <cfRule type="iconSet" priority="19">
      <iconSet iconSet="3Symbols2" showValue="0">
        <cfvo type="percent" val="0"/>
        <cfvo type="num" val="0"/>
        <cfvo type="num" val="1"/>
      </iconSet>
    </cfRule>
  </conditionalFormatting>
  <conditionalFormatting sqref="T1506:T1510">
    <cfRule type="iconSet" priority="18">
      <iconSet iconSet="3Symbols2" showValue="0">
        <cfvo type="percent" val="0"/>
        <cfvo type="num" val="0"/>
        <cfvo type="num" val="1"/>
      </iconSet>
    </cfRule>
  </conditionalFormatting>
  <conditionalFormatting sqref="Q1511:Q1512">
    <cfRule type="iconSet" priority="17">
      <iconSet iconSet="3Symbols2" showValue="0">
        <cfvo type="percent" val="0"/>
        <cfvo type="num" val="0"/>
        <cfvo type="num" val="1"/>
      </iconSet>
    </cfRule>
  </conditionalFormatting>
  <conditionalFormatting sqref="Q1511:Q1512">
    <cfRule type="iconSet" priority="16">
      <iconSet iconSet="3Symbols2" showValue="0">
        <cfvo type="percent" val="0"/>
        <cfvo type="num" val="0"/>
        <cfvo type="num" val="1"/>
      </iconSet>
    </cfRule>
  </conditionalFormatting>
  <conditionalFormatting sqref="T1511:T1512">
    <cfRule type="iconSet" priority="15">
      <iconSet iconSet="3Symbols2" showValue="0">
        <cfvo type="percent" val="0"/>
        <cfvo type="num" val="0"/>
        <cfvo type="num" val="1"/>
      </iconSet>
    </cfRule>
  </conditionalFormatting>
  <conditionalFormatting sqref="T1511:T1512">
    <cfRule type="iconSet" priority="14">
      <iconSet iconSet="3Symbols2" showValue="0">
        <cfvo type="percent" val="0"/>
        <cfvo type="num" val="0"/>
        <cfvo type="num" val="1"/>
      </iconSet>
    </cfRule>
  </conditionalFormatting>
  <conditionalFormatting sqref="Q1709">
    <cfRule type="iconSet" priority="231687">
      <iconSet iconSet="3Symbols2" showValue="0">
        <cfvo type="percent" val="0"/>
        <cfvo type="num" val="0"/>
        <cfvo type="num" val="1"/>
      </iconSet>
    </cfRule>
  </conditionalFormatting>
  <conditionalFormatting sqref="T1709">
    <cfRule type="iconSet" priority="231689">
      <iconSet iconSet="3Symbols2" showValue="0">
        <cfvo type="percent" val="0"/>
        <cfvo type="num" val="0"/>
        <cfvo type="num" val="1"/>
      </iconSet>
    </cfRule>
  </conditionalFormatting>
  <conditionalFormatting sqref="N1711">
    <cfRule type="iconSet" priority="234050">
      <iconSet iconSet="3Symbols2" showValue="0">
        <cfvo type="percent" val="0"/>
        <cfvo type="num" val="0"/>
        <cfvo type="num" val="1"/>
      </iconSet>
    </cfRule>
  </conditionalFormatting>
  <conditionalFormatting sqref="O1711">
    <cfRule type="iconSet" priority="234051">
      <iconSet iconSet="3Symbols2" showValue="0">
        <cfvo type="percent" val="0"/>
        <cfvo type="num" val="0"/>
        <cfvo type="num" val="1"/>
      </iconSet>
    </cfRule>
  </conditionalFormatting>
  <conditionalFormatting sqref="O1479:O1710 O570:O571 O1379:O1477 O1712:O2306">
    <cfRule type="iconSet" priority="239157">
      <iconSet iconSet="3Symbols2" showValue="0">
        <cfvo type="percent" val="0"/>
        <cfvo type="num" val="0"/>
        <cfvo type="num" val="1"/>
      </iconSet>
    </cfRule>
  </conditionalFormatting>
  <conditionalFormatting sqref="Q157:S159">
    <cfRule type="iconSet" priority="13">
      <iconSet iconSet="3Symbols2" showValue="0">
        <cfvo type="percent" val="0"/>
        <cfvo type="num" val="0"/>
        <cfvo type="num" val="1"/>
      </iconSet>
    </cfRule>
  </conditionalFormatting>
  <conditionalFormatting sqref="S157:S159">
    <cfRule type="iconSet" priority="12">
      <iconSet iconSet="3Symbols2" showValue="0">
        <cfvo type="percent" val="0"/>
        <cfvo type="num" val="0"/>
        <cfvo type="num" val="1"/>
      </iconSet>
    </cfRule>
  </conditionalFormatting>
  <conditionalFormatting sqref="S600 T601">
    <cfRule type="iconSet" priority="11">
      <iconSet iconSet="3Symbols2" showValue="0">
        <cfvo type="percent" val="0"/>
        <cfvo type="num" val="0"/>
        <cfvo type="num" val="1"/>
      </iconSet>
    </cfRule>
  </conditionalFormatting>
  <conditionalFormatting sqref="T600 U601">
    <cfRule type="iconSet" priority="10">
      <iconSet iconSet="3Symbols2" showValue="0">
        <cfvo type="percent" val="0"/>
        <cfvo type="num" val="0"/>
        <cfvo type="num" val="1"/>
      </iconSet>
    </cfRule>
  </conditionalFormatting>
  <conditionalFormatting sqref="L600">
    <cfRule type="iconSet" priority="9">
      <iconSet iconSet="3Symbols2" showValue="0">
        <cfvo type="percent" val="0"/>
        <cfvo type="num" val="0"/>
        <cfvo type="num" val="1"/>
      </iconSet>
    </cfRule>
  </conditionalFormatting>
  <conditionalFormatting sqref="M600">
    <cfRule type="iconSet" priority="8">
      <iconSet iconSet="3Symbols2" showValue="0">
        <cfvo type="percent" val="0"/>
        <cfvo type="num" val="0"/>
        <cfvo type="num" val="1"/>
      </iconSet>
    </cfRule>
  </conditionalFormatting>
  <conditionalFormatting sqref="L601">
    <cfRule type="iconSet" priority="7">
      <iconSet iconSet="3Symbols2" showValue="0">
        <cfvo type="percent" val="0"/>
        <cfvo type="num" val="0"/>
        <cfvo type="num" val="1"/>
      </iconSet>
    </cfRule>
  </conditionalFormatting>
  <conditionalFormatting sqref="M601">
    <cfRule type="iconSet" priority="6">
      <iconSet iconSet="3Symbols2" showValue="0">
        <cfvo type="percent" val="0"/>
        <cfvo type="num" val="0"/>
        <cfvo type="num" val="1"/>
      </iconSet>
    </cfRule>
  </conditionalFormatting>
  <conditionalFormatting sqref="R601">
    <cfRule type="iconSet" priority="5">
      <iconSet iconSet="3Symbols2" showValue="0">
        <cfvo type="percent" val="0"/>
        <cfvo type="num" val="0"/>
        <cfvo type="num" val="1"/>
      </iconSet>
    </cfRule>
  </conditionalFormatting>
  <conditionalFormatting sqref="S601">
    <cfRule type="iconSet" priority="4">
      <iconSet iconSet="3Symbols2" showValue="0">
        <cfvo type="percent" val="0"/>
        <cfvo type="num" val="0"/>
        <cfvo type="num" val="1"/>
      </iconSet>
    </cfRule>
  </conditionalFormatting>
  <conditionalFormatting sqref="O600">
    <cfRule type="iconSet" priority="3">
      <iconSet iconSet="3Symbols2" showValue="0">
        <cfvo type="percent" val="0"/>
        <cfvo type="num" val="0"/>
        <cfvo type="num" val="1"/>
      </iconSet>
    </cfRule>
  </conditionalFormatting>
  <conditionalFormatting sqref="R600">
    <cfRule type="iconSet" priority="2">
      <iconSet iconSet="3Symbols2" showValue="0">
        <cfvo type="percent" val="0"/>
        <cfvo type="num" val="0"/>
        <cfvo type="num" val="1"/>
      </iconSet>
    </cfRule>
  </conditionalFormatting>
  <conditionalFormatting sqref="O601 N600">
    <cfRule type="iconSet" priority="1">
      <iconSet iconSet="3Symbols2" showValue="0">
        <cfvo type="percent" val="0"/>
        <cfvo type="num" val="0"/>
        <cfvo type="num" val="1"/>
      </iconSet>
    </cfRule>
  </conditionalFormatting>
  <conditionalFormatting sqref="L3163:L3193 N3051:Q3052 L3135:L3149 L3089:L3092 L3096:L3109 Q3135:Q3149 M3132:P3149 L3048:Q3050 L3062:L3065 L3069:L3085 L3051:L3057 M3053:Q3109 M3305:Q3305 I3305 L3159:L3161 M3159:Q3193 L3110:Q3131 L3150:Q3158 I3048:I3193">
    <cfRule type="iconSet" priority="239303">
      <iconSet iconSet="3Symbols2" showValue="0">
        <cfvo type="percent" val="0"/>
        <cfvo type="num" val="0"/>
        <cfvo type="num" val="1"/>
      </iconSet>
    </cfRule>
  </conditionalFormatting>
  <printOptions horizontalCentered="1"/>
  <pageMargins left="0.23622047244094491" right="0.27559055118110237" top="0.43307086614173229" bottom="0.6692913385826772" header="0.51181102362204722" footer="0.51181102362204722"/>
  <pageSetup paperSize="9" scale="73" firstPageNumber="0" fitToHeight="0" orientation="portrait" r:id="rId1"/>
  <headerFooter alignWithMargins="0"/>
  <ignoredErrors>
    <ignoredError sqref="C3380 C1304:C1372 C1265:C1300 C3382 C3384 C3306:C3377 C3159:C3197 C3046:C3047 C611:C665 C860:C861"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outlinePr summaryBelow="0" summaryRight="0"/>
  </sheetPr>
  <dimension ref="A2:X7372"/>
  <sheetViews>
    <sheetView zoomScaleNormal="100" workbookViewId="0">
      <pane ySplit="6" topLeftCell="A6781" activePane="bottomLeft" state="frozen"/>
      <selection pane="bottomLeft" activeCell="L7352" sqref="L7352"/>
    </sheetView>
  </sheetViews>
  <sheetFormatPr defaultColWidth="8.5703125" defaultRowHeight="12" customHeight="1" outlineLevelRow="1" outlineLevelCol="1"/>
  <cols>
    <col min="1" max="1" width="0.5703125" style="374" customWidth="1"/>
    <col min="2" max="2" width="4.5703125" style="381" customWidth="1"/>
    <col min="3" max="3" width="13.42578125" style="382" customWidth="1"/>
    <col min="4" max="4" width="79.42578125" style="374" bestFit="1" customWidth="1"/>
    <col min="5" max="5" width="0.5703125" style="383" customWidth="1"/>
    <col min="6" max="6" width="8.42578125" style="374" bestFit="1" customWidth="1"/>
    <col min="7" max="7" width="10.42578125" style="374" bestFit="1" customWidth="1"/>
    <col min="8" max="8" width="6" style="384" bestFit="1" customWidth="1"/>
    <col min="9" max="9" width="9.5703125" style="361" bestFit="1" customWidth="1"/>
    <col min="10" max="10" width="8.5703125" style="371" bestFit="1" customWidth="1"/>
    <col min="11" max="11" width="7.42578125" style="373" bestFit="1" customWidth="1"/>
    <col min="12" max="12" width="7.5703125" customWidth="1" outlineLevel="1"/>
    <col min="13" max="15" width="7.5703125" style="373" customWidth="1" outlineLevel="1"/>
    <col min="16" max="16" width="10.42578125" style="375" customWidth="1"/>
    <col min="17" max="20" width="7.5703125" style="373" customWidth="1" outlineLevel="1"/>
    <col min="21" max="21" width="0.42578125" style="373" customWidth="1" outlineLevel="1"/>
    <col min="22" max="22" width="8.5703125" style="374"/>
    <col min="23" max="23" width="7.5703125" style="373" hidden="1" customWidth="1"/>
    <col min="24" max="24" width="0" style="374" hidden="1" customWidth="1"/>
    <col min="25" max="16384" width="8.5703125" style="374"/>
  </cols>
  <sheetData>
    <row r="2" spans="1:24" s="1" customFormat="1" ht="12" customHeight="1">
      <c r="A2" s="110" t="s">
        <v>260</v>
      </c>
      <c r="B2" s="63"/>
      <c r="C2" s="320"/>
      <c r="D2" s="63"/>
      <c r="E2" s="113"/>
      <c r="F2" s="701" t="s">
        <v>261</v>
      </c>
      <c r="G2" s="701" t="s">
        <v>262</v>
      </c>
      <c r="H2" s="702" t="s">
        <v>263</v>
      </c>
      <c r="I2" s="702" t="s">
        <v>264</v>
      </c>
      <c r="J2" s="702"/>
      <c r="K2" s="700" t="s">
        <v>4868</v>
      </c>
      <c r="M2" s="116"/>
      <c r="N2" s="116"/>
      <c r="O2" s="116"/>
      <c r="P2" s="700" t="s">
        <v>4869</v>
      </c>
      <c r="Q2" s="116"/>
      <c r="R2" s="116"/>
      <c r="S2" s="116"/>
      <c r="T2" s="116"/>
      <c r="U2" s="116"/>
      <c r="W2" s="116"/>
    </row>
    <row r="3" spans="1:24" s="1" customFormat="1" ht="12" customHeight="1">
      <c r="A3" s="110"/>
      <c r="B3" s="63"/>
      <c r="C3" s="320"/>
      <c r="D3" s="63"/>
      <c r="E3" s="113"/>
      <c r="F3" s="701"/>
      <c r="G3" s="701"/>
      <c r="H3" s="702"/>
      <c r="I3" s="114"/>
      <c r="J3" s="339"/>
      <c r="K3" s="700"/>
      <c r="M3" s="116"/>
      <c r="N3" s="116"/>
      <c r="O3" s="116"/>
      <c r="P3" s="700"/>
      <c r="Q3" s="116"/>
      <c r="R3" s="116"/>
      <c r="S3" s="116"/>
      <c r="T3" s="116"/>
      <c r="U3" s="116"/>
      <c r="W3" s="116"/>
    </row>
    <row r="4" spans="1:24" s="1" customFormat="1" ht="12" customHeight="1">
      <c r="A4" s="321" t="s">
        <v>4870</v>
      </c>
      <c r="B4" s="322"/>
      <c r="C4" s="323"/>
      <c r="D4" s="322"/>
      <c r="E4" s="113"/>
      <c r="F4" s="701"/>
      <c r="G4" s="701"/>
      <c r="H4" s="702"/>
      <c r="I4" s="115" t="s">
        <v>268</v>
      </c>
      <c r="J4" s="115" t="s">
        <v>4871</v>
      </c>
      <c r="K4" s="700"/>
      <c r="L4" s="116" t="s">
        <v>7</v>
      </c>
      <c r="M4" s="116" t="s">
        <v>8</v>
      </c>
      <c r="N4" s="116" t="s">
        <v>9</v>
      </c>
      <c r="O4" s="116" t="s">
        <v>10</v>
      </c>
      <c r="P4" s="700"/>
      <c r="Q4" s="116" t="s">
        <v>7</v>
      </c>
      <c r="R4" s="116" t="s">
        <v>8</v>
      </c>
      <c r="S4" s="116" t="s">
        <v>9</v>
      </c>
      <c r="T4" s="116" t="s">
        <v>10</v>
      </c>
      <c r="U4" s="340" t="s">
        <v>4872</v>
      </c>
      <c r="W4" s="116" t="s">
        <v>4873</v>
      </c>
    </row>
    <row r="5" spans="1:24" s="350" customFormat="1" ht="12" customHeight="1">
      <c r="A5" s="341"/>
      <c r="B5" s="342"/>
      <c r="C5" s="343"/>
      <c r="D5" s="342"/>
      <c r="E5" s="344"/>
      <c r="F5" s="345"/>
      <c r="G5" s="345"/>
      <c r="H5" s="346"/>
      <c r="I5" s="346"/>
      <c r="J5" s="347"/>
      <c r="K5" s="348"/>
      <c r="L5" s="348"/>
      <c r="M5" s="348"/>
      <c r="N5" s="348"/>
      <c r="O5" s="348"/>
      <c r="P5" s="348"/>
      <c r="Q5" s="348"/>
      <c r="R5" s="348"/>
      <c r="S5" s="348"/>
      <c r="T5" s="348"/>
      <c r="U5" s="349"/>
      <c r="W5" s="348"/>
    </row>
    <row r="6" spans="1:24" s="1" customFormat="1" ht="3" customHeight="1">
      <c r="A6" s="110"/>
      <c r="B6" s="63"/>
      <c r="C6" s="320"/>
      <c r="D6" s="63"/>
      <c r="E6" s="113"/>
      <c r="F6" s="63"/>
      <c r="G6" s="64"/>
      <c r="H6" s="64"/>
      <c r="I6" s="111"/>
      <c r="J6" s="339"/>
      <c r="K6" s="325"/>
      <c r="M6" s="325"/>
      <c r="N6" s="325"/>
      <c r="O6" s="325"/>
      <c r="P6" s="114"/>
      <c r="Q6" s="325"/>
      <c r="R6" s="325"/>
      <c r="S6" s="325"/>
      <c r="T6" s="325"/>
      <c r="U6" s="325"/>
      <c r="W6" s="325"/>
    </row>
    <row r="7" spans="1:24" s="1" customFormat="1" ht="15" customHeight="1">
      <c r="A7" s="110"/>
      <c r="B7" s="63"/>
      <c r="C7" s="320"/>
      <c r="D7" s="63"/>
      <c r="E7" s="113"/>
      <c r="F7" s="63"/>
      <c r="G7" s="64"/>
      <c r="H7" s="64"/>
      <c r="I7" s="351"/>
      <c r="J7" s="352"/>
      <c r="K7" s="351"/>
      <c r="L7" s="351"/>
      <c r="M7" s="351"/>
      <c r="N7" s="351"/>
      <c r="O7" s="351"/>
      <c r="P7" s="353"/>
      <c r="Q7" s="353"/>
      <c r="R7" s="353"/>
      <c r="S7" s="353"/>
      <c r="T7" s="353"/>
      <c r="U7" s="325"/>
      <c r="W7" s="353"/>
    </row>
    <row r="8" spans="1:24" s="360" customFormat="1" ht="12" customHeight="1">
      <c r="A8" s="354" t="s">
        <v>271</v>
      </c>
      <c r="B8" s="337"/>
      <c r="C8" s="355"/>
      <c r="D8" s="356"/>
      <c r="E8" s="357"/>
      <c r="F8" s="41" t="s">
        <v>261</v>
      </c>
      <c r="G8" s="41" t="s">
        <v>262</v>
      </c>
      <c r="H8" s="42" t="s">
        <v>263</v>
      </c>
      <c r="I8" s="62"/>
      <c r="J8" s="358"/>
      <c r="K8" s="62"/>
      <c r="L8" s="62"/>
      <c r="M8" s="62"/>
      <c r="N8" s="62"/>
      <c r="O8" s="62"/>
      <c r="P8" s="359"/>
      <c r="Q8" s="359"/>
      <c r="R8" s="359"/>
      <c r="S8" s="359"/>
      <c r="T8" s="359"/>
      <c r="U8" s="329"/>
      <c r="W8" s="359"/>
    </row>
    <row r="9" spans="1:24" s="337" customFormat="1" ht="12" customHeight="1" outlineLevel="1">
      <c r="A9" s="335"/>
      <c r="B9" s="118" t="s">
        <v>12</v>
      </c>
      <c r="C9" s="334" t="s">
        <v>4874</v>
      </c>
      <c r="D9" s="124" t="s">
        <v>4875</v>
      </c>
      <c r="E9" s="125"/>
      <c r="F9" s="118" t="s">
        <v>275</v>
      </c>
      <c r="G9" s="126" t="str">
        <f t="shared" ref="G9:G40" si="0">CONCATENATE(B9,"-",F9,"-",H9)</f>
        <v>ST-SS0-1</v>
      </c>
      <c r="H9" s="255" t="s">
        <v>304</v>
      </c>
      <c r="I9" s="361">
        <v>1</v>
      </c>
      <c r="J9" s="362" t="s">
        <v>286</v>
      </c>
      <c r="K9" s="363"/>
      <c r="L9" s="129"/>
      <c r="M9" s="129"/>
      <c r="N9" s="129"/>
      <c r="O9" s="129"/>
      <c r="P9" s="364"/>
      <c r="Q9" s="364"/>
      <c r="R9" s="129"/>
      <c r="S9" s="129"/>
      <c r="T9" s="129"/>
      <c r="U9" s="363"/>
      <c r="W9" s="129" t="s">
        <v>4876</v>
      </c>
      <c r="X9" s="337" t="b">
        <f>W9=J9</f>
        <v>0</v>
      </c>
    </row>
    <row r="10" spans="1:24" s="337" customFormat="1" ht="12" customHeight="1" outlineLevel="1">
      <c r="A10" s="335"/>
      <c r="B10" s="118" t="s">
        <v>12</v>
      </c>
      <c r="C10" s="334" t="s">
        <v>4877</v>
      </c>
      <c r="D10" s="124" t="s">
        <v>4878</v>
      </c>
      <c r="E10" s="125"/>
      <c r="F10" s="118" t="s">
        <v>4879</v>
      </c>
      <c r="G10" s="126" t="str">
        <f t="shared" si="0"/>
        <v>ST-SS1-1</v>
      </c>
      <c r="H10" s="255" t="s">
        <v>304</v>
      </c>
      <c r="I10" s="361">
        <v>1</v>
      </c>
      <c r="J10" s="362" t="s">
        <v>286</v>
      </c>
      <c r="K10" s="363"/>
      <c r="L10" s="129"/>
      <c r="M10" s="129"/>
      <c r="N10" s="129"/>
      <c r="O10" s="129"/>
      <c r="P10" s="364"/>
      <c r="Q10" s="364"/>
      <c r="R10" s="129"/>
      <c r="S10" s="129"/>
      <c r="T10" s="129"/>
      <c r="U10" s="363"/>
      <c r="W10" s="129" t="s">
        <v>4876</v>
      </c>
      <c r="X10" s="337" t="b">
        <f t="shared" ref="X10:X73" si="1">W10=J10</f>
        <v>0</v>
      </c>
    </row>
    <row r="11" spans="1:24" s="337" customFormat="1" ht="12" customHeight="1" outlineLevel="1">
      <c r="A11" s="335"/>
      <c r="B11" s="118" t="s">
        <v>12</v>
      </c>
      <c r="C11" s="334" t="s">
        <v>4880</v>
      </c>
      <c r="D11" s="124" t="s">
        <v>4881</v>
      </c>
      <c r="E11" s="125"/>
      <c r="F11" s="118" t="s">
        <v>4879</v>
      </c>
      <c r="G11" s="126" t="str">
        <f t="shared" si="0"/>
        <v>ST-SS1-1</v>
      </c>
      <c r="H11" s="255" t="s">
        <v>304</v>
      </c>
      <c r="I11" s="361">
        <v>1</v>
      </c>
      <c r="J11" s="362" t="s">
        <v>286</v>
      </c>
      <c r="K11" s="363"/>
      <c r="L11" s="129"/>
      <c r="M11" s="129"/>
      <c r="N11" s="129"/>
      <c r="O11" s="129"/>
      <c r="P11" s="364"/>
      <c r="Q11" s="364"/>
      <c r="R11" s="129"/>
      <c r="S11" s="129"/>
      <c r="T11" s="129"/>
      <c r="U11" s="363"/>
      <c r="W11" s="129" t="s">
        <v>4876</v>
      </c>
      <c r="X11" s="337" t="b">
        <f t="shared" si="1"/>
        <v>0</v>
      </c>
    </row>
    <row r="12" spans="1:24" s="337" customFormat="1" ht="12" customHeight="1" outlineLevel="1">
      <c r="A12" s="335"/>
      <c r="B12" s="118" t="s">
        <v>12</v>
      </c>
      <c r="C12" s="334" t="s">
        <v>4882</v>
      </c>
      <c r="D12" s="124" t="s">
        <v>4883</v>
      </c>
      <c r="E12" s="125"/>
      <c r="F12" s="118" t="s">
        <v>4879</v>
      </c>
      <c r="G12" s="126" t="str">
        <f t="shared" si="0"/>
        <v>ST-SS1-1</v>
      </c>
      <c r="H12" s="255" t="s">
        <v>304</v>
      </c>
      <c r="I12" s="361">
        <v>1</v>
      </c>
      <c r="J12" s="362" t="s">
        <v>286</v>
      </c>
      <c r="K12" s="363"/>
      <c r="L12" s="129"/>
      <c r="M12" s="129"/>
      <c r="N12" s="129"/>
      <c r="O12" s="129"/>
      <c r="P12" s="364"/>
      <c r="Q12" s="364"/>
      <c r="R12" s="129"/>
      <c r="S12" s="129"/>
      <c r="T12" s="129"/>
      <c r="U12" s="363"/>
      <c r="W12" s="129" t="s">
        <v>4876</v>
      </c>
      <c r="X12" s="337" t="b">
        <f t="shared" si="1"/>
        <v>0</v>
      </c>
    </row>
    <row r="13" spans="1:24" s="337" customFormat="1" ht="12" customHeight="1" outlineLevel="1">
      <c r="A13" s="335"/>
      <c r="B13" s="118" t="s">
        <v>12</v>
      </c>
      <c r="C13" s="334" t="s">
        <v>4884</v>
      </c>
      <c r="D13" s="124" t="s">
        <v>4885</v>
      </c>
      <c r="E13" s="125"/>
      <c r="F13" s="118" t="s">
        <v>4879</v>
      </c>
      <c r="G13" s="126" t="str">
        <f t="shared" si="0"/>
        <v>ST-SS1-1</v>
      </c>
      <c r="H13" s="255" t="s">
        <v>304</v>
      </c>
      <c r="I13" s="361">
        <v>1</v>
      </c>
      <c r="J13" s="362" t="s">
        <v>286</v>
      </c>
      <c r="K13" s="363"/>
      <c r="L13" s="129"/>
      <c r="M13" s="129"/>
      <c r="N13" s="129"/>
      <c r="O13" s="129"/>
      <c r="P13" s="364"/>
      <c r="Q13" s="364"/>
      <c r="R13" s="129"/>
      <c r="S13" s="129"/>
      <c r="T13" s="129"/>
      <c r="U13" s="363"/>
      <c r="W13" s="129" t="s">
        <v>4876</v>
      </c>
      <c r="X13" s="337" t="b">
        <f t="shared" si="1"/>
        <v>0</v>
      </c>
    </row>
    <row r="14" spans="1:24" s="337" customFormat="1" ht="12" customHeight="1" outlineLevel="1">
      <c r="A14" s="335"/>
      <c r="B14" s="118" t="s">
        <v>12</v>
      </c>
      <c r="C14" s="334" t="s">
        <v>4886</v>
      </c>
      <c r="D14" s="124" t="s">
        <v>4887</v>
      </c>
      <c r="E14" s="125"/>
      <c r="F14" s="118" t="s">
        <v>4879</v>
      </c>
      <c r="G14" s="126" t="str">
        <f t="shared" si="0"/>
        <v>ST-SS1-1</v>
      </c>
      <c r="H14" s="255" t="s">
        <v>304</v>
      </c>
      <c r="I14" s="361">
        <v>1</v>
      </c>
      <c r="J14" s="362" t="s">
        <v>286</v>
      </c>
      <c r="K14" s="363"/>
      <c r="L14" s="129"/>
      <c r="M14" s="129"/>
      <c r="N14" s="129"/>
      <c r="O14" s="129"/>
      <c r="P14" s="364"/>
      <c r="Q14" s="364"/>
      <c r="R14" s="129"/>
      <c r="S14" s="129"/>
      <c r="T14" s="129"/>
      <c r="U14" s="363"/>
      <c r="W14" s="129" t="s">
        <v>4876</v>
      </c>
      <c r="X14" s="337" t="b">
        <f t="shared" si="1"/>
        <v>0</v>
      </c>
    </row>
    <row r="15" spans="1:24" s="337" customFormat="1" ht="12" customHeight="1" outlineLevel="1">
      <c r="A15" s="335"/>
      <c r="B15" s="118" t="s">
        <v>12</v>
      </c>
      <c r="C15" s="334" t="s">
        <v>4888</v>
      </c>
      <c r="D15" s="124" t="s">
        <v>4889</v>
      </c>
      <c r="E15" s="125"/>
      <c r="F15" s="118" t="s">
        <v>4879</v>
      </c>
      <c r="G15" s="126" t="str">
        <f t="shared" si="0"/>
        <v>ST-SS1-1</v>
      </c>
      <c r="H15" s="255" t="s">
        <v>304</v>
      </c>
      <c r="I15" s="361">
        <v>1</v>
      </c>
      <c r="J15" s="362" t="s">
        <v>286</v>
      </c>
      <c r="K15" s="363"/>
      <c r="L15" s="129"/>
      <c r="M15" s="129"/>
      <c r="N15" s="129"/>
      <c r="O15" s="129"/>
      <c r="P15" s="364"/>
      <c r="Q15" s="364"/>
      <c r="R15" s="129"/>
      <c r="S15" s="129"/>
      <c r="T15" s="129"/>
      <c r="U15" s="363"/>
      <c r="W15" s="129" t="s">
        <v>4876</v>
      </c>
      <c r="X15" s="337" t="b">
        <f t="shared" si="1"/>
        <v>0</v>
      </c>
    </row>
    <row r="16" spans="1:24" s="337" customFormat="1" ht="12" customHeight="1" outlineLevel="1">
      <c r="A16" s="335"/>
      <c r="B16" s="118" t="s">
        <v>12</v>
      </c>
      <c r="C16" s="334" t="s">
        <v>4890</v>
      </c>
      <c r="D16" s="124" t="s">
        <v>4891</v>
      </c>
      <c r="E16" s="125"/>
      <c r="F16" s="118" t="s">
        <v>4879</v>
      </c>
      <c r="G16" s="126" t="str">
        <f t="shared" si="0"/>
        <v>ST-SS1-1</v>
      </c>
      <c r="H16" s="255" t="s">
        <v>304</v>
      </c>
      <c r="I16" s="361">
        <v>1</v>
      </c>
      <c r="J16" s="362" t="s">
        <v>286</v>
      </c>
      <c r="K16" s="363"/>
      <c r="L16" s="129"/>
      <c r="M16" s="129"/>
      <c r="N16" s="129"/>
      <c r="O16" s="129"/>
      <c r="P16" s="364"/>
      <c r="Q16" s="364"/>
      <c r="R16" s="129"/>
      <c r="S16" s="129"/>
      <c r="T16" s="129"/>
      <c r="U16" s="363"/>
      <c r="W16" s="129" t="s">
        <v>4876</v>
      </c>
      <c r="X16" s="337" t="b">
        <f t="shared" si="1"/>
        <v>0</v>
      </c>
    </row>
    <row r="17" spans="1:24" s="337" customFormat="1" ht="12" customHeight="1" outlineLevel="1">
      <c r="A17" s="335"/>
      <c r="B17" s="118" t="s">
        <v>12</v>
      </c>
      <c r="C17" s="334" t="s">
        <v>4892</v>
      </c>
      <c r="D17" s="124" t="s">
        <v>4893</v>
      </c>
      <c r="E17" s="125"/>
      <c r="F17" s="118" t="s">
        <v>4879</v>
      </c>
      <c r="G17" s="126" t="str">
        <f t="shared" si="0"/>
        <v>ST-SS1-1</v>
      </c>
      <c r="H17" s="255" t="s">
        <v>304</v>
      </c>
      <c r="I17" s="361">
        <v>1</v>
      </c>
      <c r="J17" s="362" t="s">
        <v>286</v>
      </c>
      <c r="K17" s="363"/>
      <c r="L17" s="129"/>
      <c r="M17" s="129"/>
      <c r="N17" s="129"/>
      <c r="O17" s="129"/>
      <c r="P17" s="364"/>
      <c r="Q17" s="364"/>
      <c r="R17" s="129"/>
      <c r="S17" s="129"/>
      <c r="T17" s="129"/>
      <c r="U17" s="363"/>
      <c r="W17" s="129" t="s">
        <v>4876</v>
      </c>
      <c r="X17" s="337" t="b">
        <f t="shared" si="1"/>
        <v>0</v>
      </c>
    </row>
    <row r="18" spans="1:24" s="337" customFormat="1" ht="12" customHeight="1" outlineLevel="1">
      <c r="A18" s="335"/>
      <c r="B18" s="118" t="s">
        <v>12</v>
      </c>
      <c r="C18" s="334" t="s">
        <v>4894</v>
      </c>
      <c r="D18" s="124" t="s">
        <v>4895</v>
      </c>
      <c r="E18" s="125"/>
      <c r="F18" s="118" t="s">
        <v>4879</v>
      </c>
      <c r="G18" s="126" t="str">
        <f t="shared" si="0"/>
        <v>ST-SS1-2</v>
      </c>
      <c r="H18" s="255" t="s">
        <v>289</v>
      </c>
      <c r="I18" s="361">
        <v>1</v>
      </c>
      <c r="J18" s="362" t="s">
        <v>286</v>
      </c>
      <c r="K18" s="363"/>
      <c r="L18" s="129"/>
      <c r="M18" s="129"/>
      <c r="N18" s="129"/>
      <c r="O18" s="129"/>
      <c r="P18" s="364"/>
      <c r="Q18" s="364"/>
      <c r="R18" s="129"/>
      <c r="S18" s="129"/>
      <c r="T18" s="129"/>
      <c r="U18" s="363"/>
      <c r="W18" s="129" t="s">
        <v>4876</v>
      </c>
      <c r="X18" s="337" t="b">
        <f t="shared" si="1"/>
        <v>0</v>
      </c>
    </row>
    <row r="19" spans="1:24" s="337" customFormat="1" ht="12" customHeight="1" outlineLevel="1">
      <c r="A19" s="335"/>
      <c r="B19" s="118" t="s">
        <v>12</v>
      </c>
      <c r="C19" s="334" t="s">
        <v>4896</v>
      </c>
      <c r="D19" s="124" t="s">
        <v>4897</v>
      </c>
      <c r="E19" s="125"/>
      <c r="F19" s="118" t="s">
        <v>4879</v>
      </c>
      <c r="G19" s="126" t="str">
        <f t="shared" si="0"/>
        <v>ST-SS1-1</v>
      </c>
      <c r="H19" s="255" t="s">
        <v>304</v>
      </c>
      <c r="I19" s="361">
        <v>1</v>
      </c>
      <c r="J19" s="362" t="s">
        <v>286</v>
      </c>
      <c r="K19" s="363"/>
      <c r="L19" s="129"/>
      <c r="M19" s="129"/>
      <c r="N19" s="129"/>
      <c r="O19" s="129"/>
      <c r="P19" s="364"/>
      <c r="Q19" s="364"/>
      <c r="R19" s="129"/>
      <c r="S19" s="129"/>
      <c r="T19" s="129"/>
      <c r="U19" s="363"/>
      <c r="W19" s="129" t="s">
        <v>286</v>
      </c>
      <c r="X19" s="337" t="b">
        <f t="shared" si="1"/>
        <v>1</v>
      </c>
    </row>
    <row r="20" spans="1:24" s="337" customFormat="1" ht="12" customHeight="1" outlineLevel="1">
      <c r="A20" s="335"/>
      <c r="B20" s="118" t="s">
        <v>12</v>
      </c>
      <c r="C20" s="334" t="s">
        <v>4898</v>
      </c>
      <c r="D20" s="124" t="s">
        <v>4899</v>
      </c>
      <c r="E20" s="125"/>
      <c r="F20" s="118" t="s">
        <v>4879</v>
      </c>
      <c r="G20" s="126" t="str">
        <f t="shared" si="0"/>
        <v>ST-SS1-1</v>
      </c>
      <c r="H20" s="255" t="s">
        <v>304</v>
      </c>
      <c r="I20" s="361">
        <v>1</v>
      </c>
      <c r="J20" s="362" t="s">
        <v>743</v>
      </c>
      <c r="K20" s="363"/>
      <c r="L20" s="129"/>
      <c r="M20" s="129"/>
      <c r="N20" s="129"/>
      <c r="O20" s="129"/>
      <c r="P20" s="364"/>
      <c r="Q20" s="364"/>
      <c r="R20" s="129"/>
      <c r="S20" s="129"/>
      <c r="T20" s="129"/>
      <c r="U20" s="363"/>
      <c r="W20" s="129" t="s">
        <v>286</v>
      </c>
      <c r="X20" s="337" t="b">
        <f t="shared" si="1"/>
        <v>0</v>
      </c>
    </row>
    <row r="21" spans="1:24" s="337" customFormat="1" ht="12" customHeight="1" outlineLevel="1">
      <c r="A21" s="335"/>
      <c r="B21" s="118" t="s">
        <v>12</v>
      </c>
      <c r="C21" s="334" t="s">
        <v>4900</v>
      </c>
      <c r="D21" s="124" t="s">
        <v>4901</v>
      </c>
      <c r="E21" s="125"/>
      <c r="F21" s="118" t="s">
        <v>4879</v>
      </c>
      <c r="G21" s="126" t="str">
        <f t="shared" si="0"/>
        <v>ST-SS1-1</v>
      </c>
      <c r="H21" s="255" t="s">
        <v>304</v>
      </c>
      <c r="I21" s="361">
        <v>1</v>
      </c>
      <c r="J21" s="362" t="s">
        <v>310</v>
      </c>
      <c r="K21" s="363"/>
      <c r="L21" s="129"/>
      <c r="M21" s="129"/>
      <c r="N21" s="129"/>
      <c r="O21" s="129"/>
      <c r="P21" s="364"/>
      <c r="Q21" s="364"/>
      <c r="R21" s="129"/>
      <c r="S21" s="129"/>
      <c r="T21" s="129"/>
      <c r="U21" s="363"/>
      <c r="W21" s="129" t="s">
        <v>286</v>
      </c>
      <c r="X21" s="337" t="b">
        <f t="shared" si="1"/>
        <v>0</v>
      </c>
    </row>
    <row r="22" spans="1:24" s="337" customFormat="1" ht="12" customHeight="1" outlineLevel="1">
      <c r="A22" s="335"/>
      <c r="B22" s="118" t="s">
        <v>12</v>
      </c>
      <c r="C22" s="334" t="s">
        <v>4902</v>
      </c>
      <c r="D22" s="124" t="s">
        <v>4903</v>
      </c>
      <c r="E22" s="125"/>
      <c r="F22" s="118" t="s">
        <v>4879</v>
      </c>
      <c r="G22" s="126" t="str">
        <f t="shared" si="0"/>
        <v>ST-SS1-1</v>
      </c>
      <c r="H22" s="255" t="s">
        <v>304</v>
      </c>
      <c r="I22" s="361">
        <v>1</v>
      </c>
      <c r="J22" s="362" t="s">
        <v>286</v>
      </c>
      <c r="K22" s="363"/>
      <c r="L22" s="129"/>
      <c r="M22" s="129"/>
      <c r="N22" s="129"/>
      <c r="O22" s="129"/>
      <c r="P22" s="364"/>
      <c r="Q22" s="364"/>
      <c r="R22" s="129"/>
      <c r="S22" s="129"/>
      <c r="T22" s="129"/>
      <c r="U22" s="363"/>
      <c r="W22" s="129" t="s">
        <v>4876</v>
      </c>
      <c r="X22" s="337" t="b">
        <f t="shared" si="1"/>
        <v>0</v>
      </c>
    </row>
    <row r="23" spans="1:24" s="337" customFormat="1" ht="12" customHeight="1" outlineLevel="1">
      <c r="A23" s="335"/>
      <c r="B23" s="118" t="s">
        <v>12</v>
      </c>
      <c r="C23" s="334" t="s">
        <v>4904</v>
      </c>
      <c r="D23" s="124" t="s">
        <v>4905</v>
      </c>
      <c r="E23" s="125"/>
      <c r="F23" s="118" t="s">
        <v>4879</v>
      </c>
      <c r="G23" s="126" t="str">
        <f t="shared" si="0"/>
        <v>ST-SS1-1</v>
      </c>
      <c r="H23" s="255" t="s">
        <v>304</v>
      </c>
      <c r="I23" s="361">
        <v>1</v>
      </c>
      <c r="J23" s="362" t="s">
        <v>286</v>
      </c>
      <c r="K23" s="363"/>
      <c r="L23" s="129"/>
      <c r="M23" s="129"/>
      <c r="N23" s="129"/>
      <c r="O23" s="129"/>
      <c r="P23" s="364"/>
      <c r="Q23" s="364"/>
      <c r="R23" s="129"/>
      <c r="S23" s="129"/>
      <c r="T23" s="129"/>
      <c r="U23" s="363"/>
      <c r="W23" s="129" t="s">
        <v>4876</v>
      </c>
      <c r="X23" s="337" t="b">
        <f t="shared" si="1"/>
        <v>0</v>
      </c>
    </row>
    <row r="24" spans="1:24" s="337" customFormat="1" ht="12" customHeight="1" outlineLevel="1">
      <c r="A24" s="335"/>
      <c r="B24" s="118" t="s">
        <v>12</v>
      </c>
      <c r="C24" s="334" t="s">
        <v>4906</v>
      </c>
      <c r="D24" s="124" t="s">
        <v>4907</v>
      </c>
      <c r="E24" s="125"/>
      <c r="F24" s="118" t="s">
        <v>4879</v>
      </c>
      <c r="G24" s="126" t="str">
        <f t="shared" si="0"/>
        <v>ST-SS1-1</v>
      </c>
      <c r="H24" s="255" t="s">
        <v>304</v>
      </c>
      <c r="I24" s="361">
        <v>1</v>
      </c>
      <c r="J24" s="362" t="s">
        <v>286</v>
      </c>
      <c r="K24" s="363"/>
      <c r="L24" s="129"/>
      <c r="M24" s="129"/>
      <c r="N24" s="129"/>
      <c r="O24" s="129"/>
      <c r="P24" s="364"/>
      <c r="Q24" s="364"/>
      <c r="R24" s="129"/>
      <c r="S24" s="129"/>
      <c r="T24" s="129"/>
      <c r="U24" s="363"/>
      <c r="W24" s="129" t="s">
        <v>4876</v>
      </c>
      <c r="X24" s="337" t="b">
        <f t="shared" si="1"/>
        <v>0</v>
      </c>
    </row>
    <row r="25" spans="1:24" s="337" customFormat="1" ht="12" customHeight="1" outlineLevel="1">
      <c r="A25" s="335"/>
      <c r="B25" s="118" t="s">
        <v>12</v>
      </c>
      <c r="C25" s="334" t="s">
        <v>4908</v>
      </c>
      <c r="D25" s="124" t="s">
        <v>4909</v>
      </c>
      <c r="E25" s="125"/>
      <c r="F25" s="118" t="s">
        <v>4879</v>
      </c>
      <c r="G25" s="126" t="str">
        <f t="shared" si="0"/>
        <v>ST-SS1-1</v>
      </c>
      <c r="H25" s="255" t="s">
        <v>304</v>
      </c>
      <c r="I25" s="361">
        <v>1</v>
      </c>
      <c r="J25" s="362" t="s">
        <v>286</v>
      </c>
      <c r="K25" s="363"/>
      <c r="L25" s="129"/>
      <c r="M25" s="129"/>
      <c r="N25" s="129"/>
      <c r="O25" s="129"/>
      <c r="P25" s="364"/>
      <c r="Q25" s="364"/>
      <c r="R25" s="129"/>
      <c r="S25" s="129"/>
      <c r="T25" s="129"/>
      <c r="U25" s="363"/>
      <c r="W25" s="129" t="s">
        <v>4876</v>
      </c>
      <c r="X25" s="337" t="b">
        <f t="shared" si="1"/>
        <v>0</v>
      </c>
    </row>
    <row r="26" spans="1:24" s="337" customFormat="1" ht="12" customHeight="1" outlineLevel="1">
      <c r="A26" s="335"/>
      <c r="B26" s="118" t="s">
        <v>12</v>
      </c>
      <c r="C26" s="334" t="s">
        <v>4910</v>
      </c>
      <c r="D26" s="124" t="s">
        <v>4911</v>
      </c>
      <c r="E26" s="125"/>
      <c r="F26" s="118" t="s">
        <v>4879</v>
      </c>
      <c r="G26" s="126" t="str">
        <f t="shared" si="0"/>
        <v>ST-SS1-1</v>
      </c>
      <c r="H26" s="255" t="s">
        <v>304</v>
      </c>
      <c r="I26" s="361">
        <v>1</v>
      </c>
      <c r="J26" s="362" t="s">
        <v>286</v>
      </c>
      <c r="K26" s="363"/>
      <c r="L26" s="129"/>
      <c r="M26" s="129"/>
      <c r="N26" s="129"/>
      <c r="O26" s="129"/>
      <c r="P26" s="364"/>
      <c r="Q26" s="364"/>
      <c r="R26" s="129"/>
      <c r="S26" s="129"/>
      <c r="T26" s="129"/>
      <c r="U26" s="363"/>
      <c r="W26" s="129" t="s">
        <v>4876</v>
      </c>
      <c r="X26" s="337" t="b">
        <f t="shared" si="1"/>
        <v>0</v>
      </c>
    </row>
    <row r="27" spans="1:24" s="337" customFormat="1" ht="12" customHeight="1" outlineLevel="1">
      <c r="A27" s="335"/>
      <c r="B27" s="118" t="s">
        <v>12</v>
      </c>
      <c r="C27" s="334" t="s">
        <v>4912</v>
      </c>
      <c r="D27" s="124" t="s">
        <v>4913</v>
      </c>
      <c r="E27" s="125"/>
      <c r="F27" s="118" t="s">
        <v>4879</v>
      </c>
      <c r="G27" s="126" t="str">
        <f t="shared" si="0"/>
        <v>ST-SS1-1</v>
      </c>
      <c r="H27" s="255" t="s">
        <v>304</v>
      </c>
      <c r="I27" s="361">
        <v>1</v>
      </c>
      <c r="J27" s="362" t="s">
        <v>286</v>
      </c>
      <c r="K27" s="363"/>
      <c r="L27" s="129"/>
      <c r="M27" s="129"/>
      <c r="N27" s="129"/>
      <c r="O27" s="129"/>
      <c r="P27" s="364"/>
      <c r="Q27" s="364"/>
      <c r="R27" s="129"/>
      <c r="S27" s="129"/>
      <c r="T27" s="129"/>
      <c r="U27" s="363"/>
      <c r="W27" s="129" t="s">
        <v>4876</v>
      </c>
      <c r="X27" s="337" t="b">
        <f t="shared" si="1"/>
        <v>0</v>
      </c>
    </row>
    <row r="28" spans="1:24" s="337" customFormat="1" ht="12" customHeight="1" outlineLevel="1">
      <c r="A28" s="335"/>
      <c r="B28" s="118" t="s">
        <v>12</v>
      </c>
      <c r="C28" s="334" t="s">
        <v>4914</v>
      </c>
      <c r="D28" s="124" t="s">
        <v>4915</v>
      </c>
      <c r="E28" s="125"/>
      <c r="F28" s="118" t="s">
        <v>4879</v>
      </c>
      <c r="G28" s="126" t="str">
        <f t="shared" si="0"/>
        <v>ST-SS1-1</v>
      </c>
      <c r="H28" s="255" t="s">
        <v>304</v>
      </c>
      <c r="I28" s="361">
        <v>1</v>
      </c>
      <c r="J28" s="362" t="s">
        <v>286</v>
      </c>
      <c r="K28" s="363"/>
      <c r="L28" s="129"/>
      <c r="M28" s="129"/>
      <c r="N28" s="129"/>
      <c r="O28" s="129"/>
      <c r="P28" s="364"/>
      <c r="Q28" s="364"/>
      <c r="R28" s="129"/>
      <c r="S28" s="129"/>
      <c r="T28" s="129"/>
      <c r="U28" s="363"/>
      <c r="W28" s="129" t="s">
        <v>4876</v>
      </c>
      <c r="X28" s="337" t="b">
        <f t="shared" si="1"/>
        <v>0</v>
      </c>
    </row>
    <row r="29" spans="1:24" s="337" customFormat="1" ht="12" customHeight="1" outlineLevel="1">
      <c r="A29" s="335"/>
      <c r="B29" s="118" t="s">
        <v>12</v>
      </c>
      <c r="C29" s="334" t="s">
        <v>4916</v>
      </c>
      <c r="D29" s="124" t="s">
        <v>4917</v>
      </c>
      <c r="E29" s="125"/>
      <c r="F29" s="118" t="s">
        <v>4879</v>
      </c>
      <c r="G29" s="126" t="str">
        <f t="shared" si="0"/>
        <v>ST-SS1-1</v>
      </c>
      <c r="H29" s="255" t="s">
        <v>304</v>
      </c>
      <c r="I29" s="361">
        <v>1</v>
      </c>
      <c r="J29" s="362" t="s">
        <v>286</v>
      </c>
      <c r="K29" s="363"/>
      <c r="L29" s="129"/>
      <c r="M29" s="129"/>
      <c r="N29" s="129"/>
      <c r="O29" s="129"/>
      <c r="P29" s="364"/>
      <c r="Q29" s="364"/>
      <c r="R29" s="129"/>
      <c r="S29" s="129"/>
      <c r="T29" s="129"/>
      <c r="U29" s="363"/>
      <c r="W29" s="129" t="s">
        <v>4876</v>
      </c>
      <c r="X29" s="337" t="b">
        <f t="shared" si="1"/>
        <v>0</v>
      </c>
    </row>
    <row r="30" spans="1:24" s="337" customFormat="1" ht="12" customHeight="1" outlineLevel="1">
      <c r="A30" s="335"/>
      <c r="B30" s="118" t="s">
        <v>12</v>
      </c>
      <c r="C30" s="334" t="s">
        <v>4918</v>
      </c>
      <c r="D30" s="124" t="s">
        <v>4919</v>
      </c>
      <c r="E30" s="125"/>
      <c r="F30" s="118" t="s">
        <v>4879</v>
      </c>
      <c r="G30" s="126" t="str">
        <f t="shared" si="0"/>
        <v>ST-SS1-1</v>
      </c>
      <c r="H30" s="255" t="s">
        <v>304</v>
      </c>
      <c r="I30" s="361">
        <v>1</v>
      </c>
      <c r="J30" s="362" t="s">
        <v>286</v>
      </c>
      <c r="K30" s="363"/>
      <c r="L30" s="129"/>
      <c r="M30" s="129"/>
      <c r="N30" s="129"/>
      <c r="O30" s="129"/>
      <c r="P30" s="364"/>
      <c r="Q30" s="364"/>
      <c r="R30" s="129"/>
      <c r="S30" s="129"/>
      <c r="T30" s="129"/>
      <c r="U30" s="363"/>
      <c r="W30" s="129" t="s">
        <v>4876</v>
      </c>
      <c r="X30" s="337" t="b">
        <f t="shared" si="1"/>
        <v>0</v>
      </c>
    </row>
    <row r="31" spans="1:24" s="337" customFormat="1" ht="12" customHeight="1" outlineLevel="1">
      <c r="A31" s="335"/>
      <c r="B31" s="118" t="s">
        <v>12</v>
      </c>
      <c r="C31" s="334" t="s">
        <v>4920</v>
      </c>
      <c r="D31" s="124" t="s">
        <v>4921</v>
      </c>
      <c r="E31" s="125"/>
      <c r="F31" s="118" t="s">
        <v>4879</v>
      </c>
      <c r="G31" s="126" t="str">
        <f t="shared" si="0"/>
        <v>ST-SS1-1</v>
      </c>
      <c r="H31" s="255" t="s">
        <v>304</v>
      </c>
      <c r="I31" s="361">
        <v>1</v>
      </c>
      <c r="J31" s="362" t="s">
        <v>286</v>
      </c>
      <c r="K31" s="363"/>
      <c r="L31" s="129"/>
      <c r="M31" s="129"/>
      <c r="N31" s="129"/>
      <c r="O31" s="129"/>
      <c r="P31" s="364"/>
      <c r="Q31" s="364"/>
      <c r="R31" s="129"/>
      <c r="S31" s="129"/>
      <c r="T31" s="129"/>
      <c r="U31" s="363"/>
      <c r="W31" s="129" t="s">
        <v>4876</v>
      </c>
      <c r="X31" s="337" t="b">
        <f t="shared" si="1"/>
        <v>0</v>
      </c>
    </row>
    <row r="32" spans="1:24" s="337" customFormat="1" ht="12" customHeight="1" outlineLevel="1">
      <c r="A32" s="335"/>
      <c r="B32" s="118" t="s">
        <v>12</v>
      </c>
      <c r="C32" s="334" t="s">
        <v>4922</v>
      </c>
      <c r="D32" s="124" t="s">
        <v>4923</v>
      </c>
      <c r="E32" s="125"/>
      <c r="F32" s="118" t="s">
        <v>4879</v>
      </c>
      <c r="G32" s="126" t="str">
        <f t="shared" si="0"/>
        <v>ST-SS1-1</v>
      </c>
      <c r="H32" s="255" t="s">
        <v>304</v>
      </c>
      <c r="I32" s="361">
        <v>1</v>
      </c>
      <c r="J32" s="362" t="s">
        <v>286</v>
      </c>
      <c r="K32" s="363"/>
      <c r="L32" s="129"/>
      <c r="M32" s="129"/>
      <c r="N32" s="129"/>
      <c r="O32" s="129"/>
      <c r="P32" s="364"/>
      <c r="Q32" s="364"/>
      <c r="R32" s="129"/>
      <c r="S32" s="129"/>
      <c r="T32" s="129"/>
      <c r="U32" s="363"/>
      <c r="W32" s="129" t="s">
        <v>4876</v>
      </c>
      <c r="X32" s="337" t="b">
        <f t="shared" si="1"/>
        <v>0</v>
      </c>
    </row>
    <row r="33" spans="1:24" s="337" customFormat="1" ht="12" customHeight="1" outlineLevel="1">
      <c r="A33" s="335"/>
      <c r="B33" s="118" t="s">
        <v>12</v>
      </c>
      <c r="C33" s="334" t="s">
        <v>4924</v>
      </c>
      <c r="D33" s="124" t="s">
        <v>4925</v>
      </c>
      <c r="E33" s="125"/>
      <c r="F33" s="118" t="s">
        <v>4879</v>
      </c>
      <c r="G33" s="126" t="str">
        <f t="shared" si="0"/>
        <v>ST-SS1-1</v>
      </c>
      <c r="H33" s="255" t="s">
        <v>304</v>
      </c>
      <c r="I33" s="361">
        <v>1</v>
      </c>
      <c r="J33" s="362" t="s">
        <v>286</v>
      </c>
      <c r="K33" s="363"/>
      <c r="L33" s="129"/>
      <c r="M33" s="129"/>
      <c r="N33" s="129"/>
      <c r="O33" s="129"/>
      <c r="P33" s="364"/>
      <c r="Q33" s="364"/>
      <c r="R33" s="129"/>
      <c r="S33" s="129"/>
      <c r="T33" s="129"/>
      <c r="U33" s="363"/>
      <c r="W33" s="129" t="s">
        <v>4876</v>
      </c>
      <c r="X33" s="337" t="b">
        <f t="shared" si="1"/>
        <v>0</v>
      </c>
    </row>
    <row r="34" spans="1:24" s="337" customFormat="1" ht="12" customHeight="1" outlineLevel="1">
      <c r="A34" s="335"/>
      <c r="B34" s="118" t="s">
        <v>12</v>
      </c>
      <c r="C34" s="334" t="s">
        <v>4926</v>
      </c>
      <c r="D34" s="124" t="s">
        <v>4927</v>
      </c>
      <c r="E34" s="125"/>
      <c r="F34" s="118" t="s">
        <v>4879</v>
      </c>
      <c r="G34" s="126" t="str">
        <f t="shared" si="0"/>
        <v>ST-SS1-1</v>
      </c>
      <c r="H34" s="255" t="s">
        <v>304</v>
      </c>
      <c r="I34" s="361">
        <v>1</v>
      </c>
      <c r="J34" s="362" t="s">
        <v>286</v>
      </c>
      <c r="K34" s="363"/>
      <c r="L34" s="129"/>
      <c r="M34" s="129"/>
      <c r="N34" s="129"/>
      <c r="O34" s="129"/>
      <c r="P34" s="364"/>
      <c r="Q34" s="364"/>
      <c r="R34" s="129"/>
      <c r="S34" s="129"/>
      <c r="T34" s="129"/>
      <c r="U34" s="363"/>
      <c r="W34" s="129" t="s">
        <v>4876</v>
      </c>
      <c r="X34" s="337" t="b">
        <f t="shared" si="1"/>
        <v>0</v>
      </c>
    </row>
    <row r="35" spans="1:24" s="337" customFormat="1" ht="12" customHeight="1" outlineLevel="1">
      <c r="A35" s="335"/>
      <c r="B35" s="118" t="s">
        <v>12</v>
      </c>
      <c r="C35" s="334" t="s">
        <v>4928</v>
      </c>
      <c r="D35" s="124" t="s">
        <v>4929</v>
      </c>
      <c r="E35" s="125"/>
      <c r="F35" s="118" t="s">
        <v>4879</v>
      </c>
      <c r="G35" s="126" t="str">
        <f t="shared" si="0"/>
        <v>ST-SS1-1</v>
      </c>
      <c r="H35" s="255" t="s">
        <v>304</v>
      </c>
      <c r="I35" s="361">
        <v>1</v>
      </c>
      <c r="J35" s="362" t="s">
        <v>286</v>
      </c>
      <c r="K35" s="363"/>
      <c r="L35" s="129"/>
      <c r="M35" s="129"/>
      <c r="N35" s="129"/>
      <c r="O35" s="129"/>
      <c r="P35" s="364"/>
      <c r="Q35" s="364"/>
      <c r="R35" s="129"/>
      <c r="S35" s="129"/>
      <c r="T35" s="129"/>
      <c r="U35" s="363"/>
      <c r="W35" s="129" t="s">
        <v>4876</v>
      </c>
      <c r="X35" s="337" t="b">
        <f t="shared" si="1"/>
        <v>0</v>
      </c>
    </row>
    <row r="36" spans="1:24" s="337" customFormat="1" ht="12" customHeight="1" outlineLevel="1">
      <c r="A36" s="335"/>
      <c r="B36" s="118" t="s">
        <v>12</v>
      </c>
      <c r="C36" s="334" t="s">
        <v>4930</v>
      </c>
      <c r="D36" s="124" t="s">
        <v>4931</v>
      </c>
      <c r="E36" s="125"/>
      <c r="F36" s="118" t="s">
        <v>4879</v>
      </c>
      <c r="G36" s="126" t="str">
        <f t="shared" si="0"/>
        <v>ST-SS1-1</v>
      </c>
      <c r="H36" s="255" t="s">
        <v>304</v>
      </c>
      <c r="I36" s="361">
        <v>1</v>
      </c>
      <c r="J36" s="362" t="s">
        <v>286</v>
      </c>
      <c r="K36" s="363"/>
      <c r="L36" s="129"/>
      <c r="M36" s="129"/>
      <c r="N36" s="129"/>
      <c r="O36" s="129"/>
      <c r="P36" s="364"/>
      <c r="Q36" s="364"/>
      <c r="R36" s="129"/>
      <c r="S36" s="129"/>
      <c r="T36" s="129"/>
      <c r="U36" s="363"/>
      <c r="W36" s="129" t="s">
        <v>4876</v>
      </c>
      <c r="X36" s="337" t="b">
        <f t="shared" si="1"/>
        <v>0</v>
      </c>
    </row>
    <row r="37" spans="1:24" s="337" customFormat="1" ht="12" customHeight="1" outlineLevel="1">
      <c r="A37" s="335"/>
      <c r="B37" s="118" t="s">
        <v>12</v>
      </c>
      <c r="C37" s="334" t="s">
        <v>4932</v>
      </c>
      <c r="D37" s="124" t="s">
        <v>4933</v>
      </c>
      <c r="E37" s="125"/>
      <c r="F37" s="118" t="s">
        <v>4879</v>
      </c>
      <c r="G37" s="126" t="str">
        <f t="shared" si="0"/>
        <v>ST-SS1-1</v>
      </c>
      <c r="H37" s="255" t="s">
        <v>304</v>
      </c>
      <c r="I37" s="361">
        <v>1</v>
      </c>
      <c r="J37" s="362" t="s">
        <v>286</v>
      </c>
      <c r="K37" s="363"/>
      <c r="L37" s="129"/>
      <c r="M37" s="129"/>
      <c r="N37" s="129"/>
      <c r="O37" s="129"/>
      <c r="P37" s="364"/>
      <c r="Q37" s="364"/>
      <c r="R37" s="129"/>
      <c r="S37" s="129"/>
      <c r="T37" s="129"/>
      <c r="U37" s="363"/>
      <c r="W37" s="129" t="s">
        <v>4876</v>
      </c>
      <c r="X37" s="337" t="b">
        <f t="shared" si="1"/>
        <v>0</v>
      </c>
    </row>
    <row r="38" spans="1:24" s="337" customFormat="1" ht="12" customHeight="1" outlineLevel="1">
      <c r="A38" s="335"/>
      <c r="B38" s="118" t="s">
        <v>12</v>
      </c>
      <c r="C38" s="334" t="s">
        <v>4934</v>
      </c>
      <c r="D38" s="124" t="s">
        <v>4935</v>
      </c>
      <c r="E38" s="125"/>
      <c r="F38" s="118" t="s">
        <v>4879</v>
      </c>
      <c r="G38" s="126" t="str">
        <f t="shared" si="0"/>
        <v>ST-SS1-1</v>
      </c>
      <c r="H38" s="255" t="s">
        <v>304</v>
      </c>
      <c r="I38" s="361">
        <v>1</v>
      </c>
      <c r="J38" s="362" t="s">
        <v>286</v>
      </c>
      <c r="K38" s="363"/>
      <c r="L38" s="129"/>
      <c r="M38" s="129"/>
      <c r="N38" s="129"/>
      <c r="O38" s="129"/>
      <c r="P38" s="364"/>
      <c r="Q38" s="364"/>
      <c r="R38" s="129"/>
      <c r="S38" s="129"/>
      <c r="T38" s="129"/>
      <c r="U38" s="363"/>
      <c r="W38" s="129" t="s">
        <v>4876</v>
      </c>
      <c r="X38" s="337" t="b">
        <f t="shared" si="1"/>
        <v>0</v>
      </c>
    </row>
    <row r="39" spans="1:24" s="337" customFormat="1" ht="12" customHeight="1" outlineLevel="1">
      <c r="A39" s="335"/>
      <c r="B39" s="118" t="s">
        <v>12</v>
      </c>
      <c r="C39" s="334" t="s">
        <v>4936</v>
      </c>
      <c r="D39" s="124" t="s">
        <v>4937</v>
      </c>
      <c r="E39" s="125"/>
      <c r="F39" s="118" t="s">
        <v>4879</v>
      </c>
      <c r="G39" s="126" t="str">
        <f t="shared" si="0"/>
        <v>ST-SS1-1</v>
      </c>
      <c r="H39" s="255" t="s">
        <v>304</v>
      </c>
      <c r="I39" s="361">
        <v>1</v>
      </c>
      <c r="J39" s="362" t="s">
        <v>286</v>
      </c>
      <c r="K39" s="363"/>
      <c r="L39" s="129"/>
      <c r="M39" s="129"/>
      <c r="N39" s="129"/>
      <c r="O39" s="129"/>
      <c r="P39" s="364"/>
      <c r="Q39" s="364"/>
      <c r="R39" s="129"/>
      <c r="S39" s="129"/>
      <c r="T39" s="129"/>
      <c r="U39" s="363"/>
      <c r="W39" s="129" t="s">
        <v>4876</v>
      </c>
      <c r="X39" s="337" t="b">
        <f t="shared" si="1"/>
        <v>0</v>
      </c>
    </row>
    <row r="40" spans="1:24" s="337" customFormat="1" ht="12" customHeight="1" outlineLevel="1">
      <c r="A40" s="335"/>
      <c r="B40" s="118" t="s">
        <v>12</v>
      </c>
      <c r="C40" s="334" t="s">
        <v>4938</v>
      </c>
      <c r="D40" s="124" t="s">
        <v>4939</v>
      </c>
      <c r="E40" s="125"/>
      <c r="F40" s="118" t="s">
        <v>4879</v>
      </c>
      <c r="G40" s="126" t="str">
        <f t="shared" si="0"/>
        <v>ST-SS1-1</v>
      </c>
      <c r="H40" s="255" t="s">
        <v>304</v>
      </c>
      <c r="I40" s="361">
        <v>1</v>
      </c>
      <c r="J40" s="362" t="s">
        <v>286</v>
      </c>
      <c r="K40" s="363"/>
      <c r="L40" s="129"/>
      <c r="M40" s="129"/>
      <c r="N40" s="129"/>
      <c r="O40" s="129"/>
      <c r="P40" s="364"/>
      <c r="Q40" s="364"/>
      <c r="R40" s="129"/>
      <c r="S40" s="129"/>
      <c r="T40" s="129"/>
      <c r="U40" s="363"/>
      <c r="W40" s="129" t="s">
        <v>4876</v>
      </c>
      <c r="X40" s="337" t="b">
        <f t="shared" si="1"/>
        <v>0</v>
      </c>
    </row>
    <row r="41" spans="1:24" s="337" customFormat="1" ht="12" customHeight="1" outlineLevel="1">
      <c r="A41" s="335"/>
      <c r="B41" s="118" t="s">
        <v>12</v>
      </c>
      <c r="C41" s="334" t="s">
        <v>4940</v>
      </c>
      <c r="D41" s="124" t="s">
        <v>4941</v>
      </c>
      <c r="E41" s="125"/>
      <c r="F41" s="118" t="s">
        <v>4879</v>
      </c>
      <c r="G41" s="126" t="str">
        <f t="shared" ref="G41:G72" si="2">CONCATENATE(B41,"-",F41,"-",H41)</f>
        <v>ST-SS1-1</v>
      </c>
      <c r="H41" s="255" t="s">
        <v>304</v>
      </c>
      <c r="I41" s="361">
        <v>1</v>
      </c>
      <c r="J41" s="362" t="s">
        <v>286</v>
      </c>
      <c r="K41" s="363"/>
      <c r="L41" s="129"/>
      <c r="M41" s="129"/>
      <c r="N41" s="129"/>
      <c r="O41" s="129"/>
      <c r="P41" s="364"/>
      <c r="Q41" s="364"/>
      <c r="R41" s="129"/>
      <c r="S41" s="129"/>
      <c r="T41" s="129"/>
      <c r="U41" s="363"/>
      <c r="W41" s="129" t="s">
        <v>4876</v>
      </c>
      <c r="X41" s="337" t="b">
        <f t="shared" si="1"/>
        <v>0</v>
      </c>
    </row>
    <row r="42" spans="1:24" s="337" customFormat="1" ht="12" customHeight="1" outlineLevel="1">
      <c r="A42" s="335"/>
      <c r="B42" s="118" t="s">
        <v>12</v>
      </c>
      <c r="C42" s="334" t="s">
        <v>4942</v>
      </c>
      <c r="D42" s="124" t="s">
        <v>4943</v>
      </c>
      <c r="E42" s="125"/>
      <c r="F42" s="118" t="s">
        <v>4879</v>
      </c>
      <c r="G42" s="126" t="str">
        <f t="shared" si="2"/>
        <v>ST-SS1-1</v>
      </c>
      <c r="H42" s="255" t="s">
        <v>304</v>
      </c>
      <c r="I42" s="361">
        <v>1</v>
      </c>
      <c r="J42" s="362" t="s">
        <v>286</v>
      </c>
      <c r="K42" s="363"/>
      <c r="L42" s="129"/>
      <c r="M42" s="129"/>
      <c r="N42" s="129"/>
      <c r="O42" s="129"/>
      <c r="P42" s="364"/>
      <c r="Q42" s="364"/>
      <c r="R42" s="129"/>
      <c r="S42" s="129"/>
      <c r="T42" s="129"/>
      <c r="U42" s="363"/>
      <c r="W42" s="129" t="s">
        <v>4876</v>
      </c>
      <c r="X42" s="337" t="b">
        <f t="shared" si="1"/>
        <v>0</v>
      </c>
    </row>
    <row r="43" spans="1:24" s="337" customFormat="1" ht="12" customHeight="1" outlineLevel="1">
      <c r="A43" s="335"/>
      <c r="B43" s="118" t="s">
        <v>12</v>
      </c>
      <c r="C43" s="334" t="s">
        <v>4944</v>
      </c>
      <c r="D43" s="124" t="s">
        <v>4945</v>
      </c>
      <c r="E43" s="125"/>
      <c r="F43" s="118" t="s">
        <v>4879</v>
      </c>
      <c r="G43" s="126" t="str">
        <f t="shared" si="2"/>
        <v>ST-SS1-1</v>
      </c>
      <c r="H43" s="255" t="s">
        <v>304</v>
      </c>
      <c r="I43" s="361">
        <v>1</v>
      </c>
      <c r="J43" s="362" t="s">
        <v>286</v>
      </c>
      <c r="K43" s="363"/>
      <c r="L43" s="129"/>
      <c r="M43" s="129"/>
      <c r="N43" s="129"/>
      <c r="O43" s="129"/>
      <c r="P43" s="364"/>
      <c r="Q43" s="364"/>
      <c r="R43" s="129"/>
      <c r="S43" s="129"/>
      <c r="T43" s="129"/>
      <c r="U43" s="363"/>
      <c r="W43" s="129" t="s">
        <v>4876</v>
      </c>
      <c r="X43" s="337" t="b">
        <f t="shared" si="1"/>
        <v>0</v>
      </c>
    </row>
    <row r="44" spans="1:24" s="337" customFormat="1" ht="12" customHeight="1" outlineLevel="1">
      <c r="A44" s="335"/>
      <c r="B44" s="118" t="s">
        <v>12</v>
      </c>
      <c r="C44" s="334" t="s">
        <v>4946</v>
      </c>
      <c r="D44" s="124" t="s">
        <v>4947</v>
      </c>
      <c r="E44" s="125"/>
      <c r="F44" s="118" t="s">
        <v>4879</v>
      </c>
      <c r="G44" s="126" t="str">
        <f t="shared" si="2"/>
        <v>ST-SS1-1</v>
      </c>
      <c r="H44" s="255" t="s">
        <v>304</v>
      </c>
      <c r="I44" s="361">
        <v>1</v>
      </c>
      <c r="J44" s="362" t="s">
        <v>286</v>
      </c>
      <c r="K44" s="363"/>
      <c r="L44" s="129"/>
      <c r="M44" s="129"/>
      <c r="N44" s="129"/>
      <c r="O44" s="129"/>
      <c r="P44" s="364"/>
      <c r="Q44" s="364"/>
      <c r="R44" s="129"/>
      <c r="S44" s="129"/>
      <c r="T44" s="129"/>
      <c r="U44" s="363"/>
      <c r="W44" s="129" t="s">
        <v>4876</v>
      </c>
      <c r="X44" s="337" t="b">
        <f t="shared" si="1"/>
        <v>0</v>
      </c>
    </row>
    <row r="45" spans="1:24" s="337" customFormat="1" ht="12" customHeight="1" outlineLevel="1">
      <c r="A45" s="335"/>
      <c r="B45" s="118" t="s">
        <v>12</v>
      </c>
      <c r="C45" s="334" t="s">
        <v>4948</v>
      </c>
      <c r="D45" s="124" t="s">
        <v>4949</v>
      </c>
      <c r="E45" s="125"/>
      <c r="F45" s="118" t="s">
        <v>4879</v>
      </c>
      <c r="G45" s="126" t="str">
        <f t="shared" si="2"/>
        <v>ST-SS1-1</v>
      </c>
      <c r="H45" s="255" t="s">
        <v>304</v>
      </c>
      <c r="I45" s="361">
        <v>1</v>
      </c>
      <c r="J45" s="362" t="s">
        <v>286</v>
      </c>
      <c r="K45" s="363"/>
      <c r="L45" s="129"/>
      <c r="M45" s="129"/>
      <c r="N45" s="129"/>
      <c r="O45" s="129"/>
      <c r="P45" s="364"/>
      <c r="Q45" s="364"/>
      <c r="R45" s="129"/>
      <c r="S45" s="129"/>
      <c r="T45" s="129"/>
      <c r="U45" s="363"/>
      <c r="W45" s="129" t="s">
        <v>4876</v>
      </c>
      <c r="X45" s="337" t="b">
        <f t="shared" si="1"/>
        <v>0</v>
      </c>
    </row>
    <row r="46" spans="1:24" s="337" customFormat="1" ht="12" customHeight="1" outlineLevel="1">
      <c r="A46" s="335"/>
      <c r="B46" s="118" t="s">
        <v>12</v>
      </c>
      <c r="C46" s="334" t="s">
        <v>4950</v>
      </c>
      <c r="D46" s="124" t="s">
        <v>4951</v>
      </c>
      <c r="E46" s="125"/>
      <c r="F46" s="118" t="s">
        <v>4879</v>
      </c>
      <c r="G46" s="126" t="str">
        <f t="shared" si="2"/>
        <v>ST-SS1-1</v>
      </c>
      <c r="H46" s="255" t="s">
        <v>304</v>
      </c>
      <c r="I46" s="361">
        <v>1</v>
      </c>
      <c r="J46" s="362" t="s">
        <v>286</v>
      </c>
      <c r="K46" s="363"/>
      <c r="L46" s="129"/>
      <c r="M46" s="129"/>
      <c r="N46" s="129"/>
      <c r="O46" s="129"/>
      <c r="P46" s="364"/>
      <c r="Q46" s="364"/>
      <c r="R46" s="129"/>
      <c r="S46" s="129"/>
      <c r="T46" s="129"/>
      <c r="U46" s="363"/>
      <c r="W46" s="129" t="s">
        <v>4876</v>
      </c>
      <c r="X46" s="337" t="b">
        <f t="shared" si="1"/>
        <v>0</v>
      </c>
    </row>
    <row r="47" spans="1:24" s="337" customFormat="1" ht="12" customHeight="1" outlineLevel="1">
      <c r="A47" s="335"/>
      <c r="B47" s="118" t="s">
        <v>12</v>
      </c>
      <c r="C47" s="334" t="s">
        <v>4952</v>
      </c>
      <c r="D47" s="124" t="s">
        <v>4953</v>
      </c>
      <c r="E47" s="125"/>
      <c r="F47" s="118" t="s">
        <v>4879</v>
      </c>
      <c r="G47" s="126" t="str">
        <f t="shared" si="2"/>
        <v>ST-SS1-1</v>
      </c>
      <c r="H47" s="255" t="s">
        <v>304</v>
      </c>
      <c r="I47" s="361">
        <v>1</v>
      </c>
      <c r="J47" s="362" t="s">
        <v>286</v>
      </c>
      <c r="K47" s="363"/>
      <c r="L47" s="129"/>
      <c r="M47" s="129"/>
      <c r="N47" s="129"/>
      <c r="O47" s="129"/>
      <c r="P47" s="364"/>
      <c r="Q47" s="364"/>
      <c r="R47" s="129"/>
      <c r="S47" s="129"/>
      <c r="T47" s="129"/>
      <c r="U47" s="363"/>
      <c r="W47" s="129" t="s">
        <v>4876</v>
      </c>
      <c r="X47" s="337" t="b">
        <f t="shared" si="1"/>
        <v>0</v>
      </c>
    </row>
    <row r="48" spans="1:24" s="337" customFormat="1" ht="12" customHeight="1" outlineLevel="1">
      <c r="A48" s="335"/>
      <c r="B48" s="118" t="s">
        <v>12</v>
      </c>
      <c r="C48" s="334" t="s">
        <v>4954</v>
      </c>
      <c r="D48" s="124" t="s">
        <v>4955</v>
      </c>
      <c r="E48" s="125"/>
      <c r="F48" s="118" t="s">
        <v>4879</v>
      </c>
      <c r="G48" s="126" t="str">
        <f t="shared" si="2"/>
        <v>ST-SS1-1</v>
      </c>
      <c r="H48" s="255" t="s">
        <v>304</v>
      </c>
      <c r="I48" s="361">
        <v>1</v>
      </c>
      <c r="J48" s="362" t="s">
        <v>286</v>
      </c>
      <c r="K48" s="363"/>
      <c r="L48" s="129"/>
      <c r="M48" s="129"/>
      <c r="N48" s="129"/>
      <c r="O48" s="129"/>
      <c r="P48" s="364"/>
      <c r="Q48" s="364"/>
      <c r="R48" s="129"/>
      <c r="S48" s="129"/>
      <c r="T48" s="129"/>
      <c r="U48" s="363"/>
      <c r="W48" s="129" t="s">
        <v>4876</v>
      </c>
      <c r="X48" s="337" t="b">
        <f t="shared" si="1"/>
        <v>0</v>
      </c>
    </row>
    <row r="49" spans="1:24" s="337" customFormat="1" ht="12" customHeight="1" outlineLevel="1">
      <c r="A49" s="335"/>
      <c r="B49" s="118" t="s">
        <v>12</v>
      </c>
      <c r="C49" s="334" t="s">
        <v>4956</v>
      </c>
      <c r="D49" s="124" t="s">
        <v>4957</v>
      </c>
      <c r="E49" s="125"/>
      <c r="F49" s="118" t="s">
        <v>4879</v>
      </c>
      <c r="G49" s="126" t="str">
        <f t="shared" si="2"/>
        <v>ST-SS1-1</v>
      </c>
      <c r="H49" s="255" t="s">
        <v>304</v>
      </c>
      <c r="I49" s="361">
        <v>1</v>
      </c>
      <c r="J49" s="362" t="s">
        <v>286</v>
      </c>
      <c r="K49" s="363"/>
      <c r="L49" s="129"/>
      <c r="M49" s="129"/>
      <c r="N49" s="129"/>
      <c r="O49" s="129"/>
      <c r="P49" s="364"/>
      <c r="Q49" s="364"/>
      <c r="R49" s="129"/>
      <c r="S49" s="129"/>
      <c r="T49" s="129"/>
      <c r="U49" s="363"/>
      <c r="W49" s="129" t="s">
        <v>4876</v>
      </c>
      <c r="X49" s="337" t="b">
        <f t="shared" si="1"/>
        <v>0</v>
      </c>
    </row>
    <row r="50" spans="1:24" s="337" customFormat="1" ht="12" customHeight="1" outlineLevel="1">
      <c r="A50" s="335"/>
      <c r="B50" s="118" t="s">
        <v>12</v>
      </c>
      <c r="C50" s="334" t="s">
        <v>4958</v>
      </c>
      <c r="D50" s="124" t="s">
        <v>4959</v>
      </c>
      <c r="E50" s="125"/>
      <c r="F50" s="118" t="s">
        <v>4879</v>
      </c>
      <c r="G50" s="126" t="str">
        <f t="shared" si="2"/>
        <v>ST-SS1-1</v>
      </c>
      <c r="H50" s="255" t="s">
        <v>304</v>
      </c>
      <c r="I50" s="361">
        <v>1</v>
      </c>
      <c r="J50" s="362" t="s">
        <v>286</v>
      </c>
      <c r="K50" s="363"/>
      <c r="L50" s="129"/>
      <c r="M50" s="129"/>
      <c r="N50" s="129"/>
      <c r="O50" s="129"/>
      <c r="P50" s="364"/>
      <c r="Q50" s="364"/>
      <c r="R50" s="129"/>
      <c r="S50" s="129"/>
      <c r="T50" s="129"/>
      <c r="U50" s="363"/>
      <c r="W50" s="129" t="s">
        <v>4876</v>
      </c>
      <c r="X50" s="337" t="b">
        <f t="shared" si="1"/>
        <v>0</v>
      </c>
    </row>
    <row r="51" spans="1:24" s="337" customFormat="1" ht="12" customHeight="1" outlineLevel="1">
      <c r="A51" s="335"/>
      <c r="B51" s="118" t="s">
        <v>12</v>
      </c>
      <c r="C51" s="334" t="s">
        <v>4960</v>
      </c>
      <c r="D51" s="124" t="s">
        <v>4961</v>
      </c>
      <c r="E51" s="125"/>
      <c r="F51" s="118" t="s">
        <v>4879</v>
      </c>
      <c r="G51" s="126" t="str">
        <f t="shared" si="2"/>
        <v>ST-SS1-1</v>
      </c>
      <c r="H51" s="255" t="s">
        <v>304</v>
      </c>
      <c r="I51" s="361">
        <v>1</v>
      </c>
      <c r="J51" s="362" t="s">
        <v>286</v>
      </c>
      <c r="K51" s="363"/>
      <c r="L51" s="129"/>
      <c r="M51" s="129"/>
      <c r="N51" s="129"/>
      <c r="O51" s="129"/>
      <c r="P51" s="364"/>
      <c r="Q51" s="364"/>
      <c r="R51" s="129"/>
      <c r="S51" s="129"/>
      <c r="T51" s="129"/>
      <c r="U51" s="363"/>
      <c r="W51" s="129" t="s">
        <v>4876</v>
      </c>
      <c r="X51" s="337" t="b">
        <f t="shared" si="1"/>
        <v>0</v>
      </c>
    </row>
    <row r="52" spans="1:24" s="337" customFormat="1" ht="12" customHeight="1" outlineLevel="1">
      <c r="A52" s="335"/>
      <c r="B52" s="118" t="s">
        <v>12</v>
      </c>
      <c r="C52" s="334" t="s">
        <v>4962</v>
      </c>
      <c r="D52" s="124" t="s">
        <v>4963</v>
      </c>
      <c r="E52" s="125"/>
      <c r="F52" s="118" t="s">
        <v>4879</v>
      </c>
      <c r="G52" s="126" t="str">
        <f t="shared" si="2"/>
        <v>ST-SS1-1</v>
      </c>
      <c r="H52" s="255" t="s">
        <v>304</v>
      </c>
      <c r="I52" s="361">
        <v>1</v>
      </c>
      <c r="J52" s="362" t="s">
        <v>286</v>
      </c>
      <c r="K52" s="363"/>
      <c r="L52" s="129"/>
      <c r="M52" s="129"/>
      <c r="N52" s="129"/>
      <c r="O52" s="129"/>
      <c r="P52" s="364"/>
      <c r="Q52" s="364"/>
      <c r="R52" s="129"/>
      <c r="S52" s="129"/>
      <c r="T52" s="129"/>
      <c r="U52" s="363"/>
      <c r="W52" s="129" t="s">
        <v>4876</v>
      </c>
      <c r="X52" s="337" t="b">
        <f t="shared" si="1"/>
        <v>0</v>
      </c>
    </row>
    <row r="53" spans="1:24" s="337" customFormat="1" ht="12" customHeight="1" outlineLevel="1">
      <c r="A53" s="335"/>
      <c r="B53" s="118" t="s">
        <v>12</v>
      </c>
      <c r="C53" s="334" t="s">
        <v>4964</v>
      </c>
      <c r="D53" s="124" t="s">
        <v>4965</v>
      </c>
      <c r="E53" s="125"/>
      <c r="F53" s="118" t="s">
        <v>4879</v>
      </c>
      <c r="G53" s="126" t="str">
        <f t="shared" si="2"/>
        <v>ST-SS1-1</v>
      </c>
      <c r="H53" s="255" t="s">
        <v>304</v>
      </c>
      <c r="I53" s="361">
        <v>1</v>
      </c>
      <c r="J53" s="362" t="s">
        <v>286</v>
      </c>
      <c r="K53" s="363"/>
      <c r="L53" s="129"/>
      <c r="M53" s="129"/>
      <c r="N53" s="129"/>
      <c r="O53" s="129"/>
      <c r="P53" s="364"/>
      <c r="Q53" s="364"/>
      <c r="R53" s="129"/>
      <c r="S53" s="129"/>
      <c r="T53" s="129"/>
      <c r="U53" s="363"/>
      <c r="W53" s="129" t="s">
        <v>4876</v>
      </c>
      <c r="X53" s="337" t="b">
        <f t="shared" si="1"/>
        <v>0</v>
      </c>
    </row>
    <row r="54" spans="1:24" s="337" customFormat="1" ht="12" customHeight="1" outlineLevel="1">
      <c r="A54" s="335"/>
      <c r="B54" s="118" t="s">
        <v>12</v>
      </c>
      <c r="C54" s="334" t="s">
        <v>4966</v>
      </c>
      <c r="D54" s="124" t="s">
        <v>4967</v>
      </c>
      <c r="E54" s="125"/>
      <c r="F54" s="118" t="s">
        <v>4879</v>
      </c>
      <c r="G54" s="126" t="str">
        <f t="shared" si="2"/>
        <v>ST-SS1-1</v>
      </c>
      <c r="H54" s="255" t="s">
        <v>304</v>
      </c>
      <c r="I54" s="361">
        <v>1</v>
      </c>
      <c r="J54" s="362" t="s">
        <v>286</v>
      </c>
      <c r="K54" s="363"/>
      <c r="L54" s="129"/>
      <c r="M54" s="129"/>
      <c r="N54" s="129"/>
      <c r="O54" s="129"/>
      <c r="P54" s="364"/>
      <c r="Q54" s="364"/>
      <c r="R54" s="129"/>
      <c r="S54" s="129"/>
      <c r="T54" s="129"/>
      <c r="U54" s="363"/>
      <c r="W54" s="129" t="s">
        <v>4876</v>
      </c>
      <c r="X54" s="337" t="b">
        <f t="shared" si="1"/>
        <v>0</v>
      </c>
    </row>
    <row r="55" spans="1:24" s="337" customFormat="1" ht="12" customHeight="1" outlineLevel="1">
      <c r="A55" s="335"/>
      <c r="B55" s="118" t="s">
        <v>12</v>
      </c>
      <c r="C55" s="334" t="s">
        <v>4968</v>
      </c>
      <c r="D55" s="124" t="s">
        <v>4969</v>
      </c>
      <c r="E55" s="125"/>
      <c r="F55" s="118" t="s">
        <v>4879</v>
      </c>
      <c r="G55" s="126" t="str">
        <f t="shared" si="2"/>
        <v>ST-SS1-1</v>
      </c>
      <c r="H55" s="255" t="s">
        <v>304</v>
      </c>
      <c r="I55" s="361">
        <v>1</v>
      </c>
      <c r="J55" s="362" t="s">
        <v>286</v>
      </c>
      <c r="K55" s="363"/>
      <c r="L55" s="129"/>
      <c r="M55" s="129"/>
      <c r="N55" s="129"/>
      <c r="O55" s="129"/>
      <c r="P55" s="364"/>
      <c r="Q55" s="364"/>
      <c r="R55" s="129"/>
      <c r="S55" s="129"/>
      <c r="T55" s="129"/>
      <c r="U55" s="363"/>
      <c r="W55" s="129" t="s">
        <v>4876</v>
      </c>
      <c r="X55" s="337" t="b">
        <f t="shared" si="1"/>
        <v>0</v>
      </c>
    </row>
    <row r="56" spans="1:24" s="337" customFormat="1" ht="12" customHeight="1" outlineLevel="1">
      <c r="A56" s="335"/>
      <c r="B56" s="118" t="s">
        <v>12</v>
      </c>
      <c r="C56" s="334" t="s">
        <v>4970</v>
      </c>
      <c r="D56" s="124" t="s">
        <v>4971</v>
      </c>
      <c r="E56" s="125"/>
      <c r="F56" s="118" t="s">
        <v>4879</v>
      </c>
      <c r="G56" s="126" t="str">
        <f t="shared" si="2"/>
        <v>ST-SS1-1</v>
      </c>
      <c r="H56" s="255" t="s">
        <v>304</v>
      </c>
      <c r="I56" s="361">
        <v>1</v>
      </c>
      <c r="J56" s="362" t="s">
        <v>286</v>
      </c>
      <c r="K56" s="363"/>
      <c r="L56" s="129"/>
      <c r="M56" s="129"/>
      <c r="N56" s="129"/>
      <c r="O56" s="129"/>
      <c r="P56" s="364"/>
      <c r="Q56" s="364"/>
      <c r="R56" s="129"/>
      <c r="S56" s="129"/>
      <c r="T56" s="129"/>
      <c r="U56" s="363"/>
      <c r="W56" s="129" t="s">
        <v>4876</v>
      </c>
      <c r="X56" s="337" t="b">
        <f t="shared" si="1"/>
        <v>0</v>
      </c>
    </row>
    <row r="57" spans="1:24" s="337" customFormat="1" ht="12" customHeight="1" outlineLevel="1">
      <c r="A57" s="335"/>
      <c r="B57" s="118" t="s">
        <v>12</v>
      </c>
      <c r="C57" s="334" t="s">
        <v>4972</v>
      </c>
      <c r="D57" s="124" t="s">
        <v>4973</v>
      </c>
      <c r="E57" s="125"/>
      <c r="F57" s="118" t="s">
        <v>4879</v>
      </c>
      <c r="G57" s="126" t="str">
        <f t="shared" si="2"/>
        <v>ST-SS1-1</v>
      </c>
      <c r="H57" s="255" t="s">
        <v>304</v>
      </c>
      <c r="I57" s="361">
        <v>1</v>
      </c>
      <c r="J57" s="362" t="s">
        <v>286</v>
      </c>
      <c r="K57" s="363"/>
      <c r="L57" s="129"/>
      <c r="M57" s="129"/>
      <c r="N57" s="129"/>
      <c r="O57" s="129"/>
      <c r="P57" s="364"/>
      <c r="Q57" s="364"/>
      <c r="R57" s="129"/>
      <c r="S57" s="129"/>
      <c r="T57" s="129"/>
      <c r="U57" s="363"/>
      <c r="W57" s="129" t="s">
        <v>4876</v>
      </c>
      <c r="X57" s="337" t="b">
        <f t="shared" si="1"/>
        <v>0</v>
      </c>
    </row>
    <row r="58" spans="1:24" s="337" customFormat="1" ht="12" customHeight="1" outlineLevel="1">
      <c r="A58" s="335"/>
      <c r="B58" s="118" t="s">
        <v>12</v>
      </c>
      <c r="C58" s="334" t="s">
        <v>4974</v>
      </c>
      <c r="D58" s="124" t="s">
        <v>4975</v>
      </c>
      <c r="E58" s="125"/>
      <c r="F58" s="118" t="s">
        <v>4879</v>
      </c>
      <c r="G58" s="126" t="str">
        <f t="shared" si="2"/>
        <v>ST-SS1-1</v>
      </c>
      <c r="H58" s="255" t="s">
        <v>304</v>
      </c>
      <c r="I58" s="361">
        <v>1</v>
      </c>
      <c r="J58" s="362" t="s">
        <v>286</v>
      </c>
      <c r="K58" s="363"/>
      <c r="L58" s="129"/>
      <c r="M58" s="129"/>
      <c r="N58" s="129"/>
      <c r="O58" s="129"/>
      <c r="P58" s="364"/>
      <c r="Q58" s="364"/>
      <c r="R58" s="129"/>
      <c r="S58" s="129"/>
      <c r="T58" s="129"/>
      <c r="U58" s="363"/>
      <c r="W58" s="129" t="s">
        <v>4876</v>
      </c>
      <c r="X58" s="337" t="b">
        <f t="shared" si="1"/>
        <v>0</v>
      </c>
    </row>
    <row r="59" spans="1:24" s="337" customFormat="1" ht="12" customHeight="1" outlineLevel="1">
      <c r="A59" s="335"/>
      <c r="B59" s="118" t="s">
        <v>12</v>
      </c>
      <c r="C59" s="334" t="s">
        <v>4976</v>
      </c>
      <c r="D59" s="124" t="s">
        <v>4977</v>
      </c>
      <c r="E59" s="125"/>
      <c r="F59" s="118" t="s">
        <v>4879</v>
      </c>
      <c r="G59" s="126" t="str">
        <f t="shared" si="2"/>
        <v>ST-SS1-1</v>
      </c>
      <c r="H59" s="255" t="s">
        <v>304</v>
      </c>
      <c r="I59" s="361">
        <v>1</v>
      </c>
      <c r="J59" s="362" t="s">
        <v>286</v>
      </c>
      <c r="K59" s="363"/>
      <c r="L59" s="129"/>
      <c r="M59" s="129"/>
      <c r="N59" s="129"/>
      <c r="O59" s="129"/>
      <c r="P59" s="364"/>
      <c r="Q59" s="364"/>
      <c r="R59" s="129"/>
      <c r="S59" s="129"/>
      <c r="T59" s="129"/>
      <c r="U59" s="363"/>
      <c r="W59" s="129" t="s">
        <v>4876</v>
      </c>
      <c r="X59" s="337" t="b">
        <f t="shared" si="1"/>
        <v>0</v>
      </c>
    </row>
    <row r="60" spans="1:24" s="337" customFormat="1" ht="12" customHeight="1" outlineLevel="1">
      <c r="A60" s="335"/>
      <c r="B60" s="118" t="s">
        <v>12</v>
      </c>
      <c r="C60" s="334" t="s">
        <v>4978</v>
      </c>
      <c r="D60" s="124" t="s">
        <v>4979</v>
      </c>
      <c r="E60" s="125"/>
      <c r="F60" s="118" t="s">
        <v>4879</v>
      </c>
      <c r="G60" s="126" t="str">
        <f t="shared" si="2"/>
        <v>ST-SS1-1</v>
      </c>
      <c r="H60" s="255" t="s">
        <v>304</v>
      </c>
      <c r="I60" s="361">
        <v>1</v>
      </c>
      <c r="J60" s="362" t="s">
        <v>286</v>
      </c>
      <c r="K60" s="363"/>
      <c r="L60" s="129"/>
      <c r="M60" s="129"/>
      <c r="N60" s="129"/>
      <c r="O60" s="129"/>
      <c r="P60" s="364"/>
      <c r="Q60" s="364"/>
      <c r="R60" s="129"/>
      <c r="S60" s="129"/>
      <c r="T60" s="129"/>
      <c r="U60" s="363"/>
      <c r="W60" s="129" t="s">
        <v>4876</v>
      </c>
      <c r="X60" s="337" t="b">
        <f t="shared" si="1"/>
        <v>0</v>
      </c>
    </row>
    <row r="61" spans="1:24" s="337" customFormat="1" ht="12" customHeight="1" outlineLevel="1">
      <c r="A61" s="335"/>
      <c r="B61" s="118" t="s">
        <v>12</v>
      </c>
      <c r="C61" s="334" t="s">
        <v>4980</v>
      </c>
      <c r="D61" s="124" t="s">
        <v>4981</v>
      </c>
      <c r="E61" s="125"/>
      <c r="F61" s="118" t="s">
        <v>4879</v>
      </c>
      <c r="G61" s="126" t="str">
        <f t="shared" si="2"/>
        <v>ST-SS1-1</v>
      </c>
      <c r="H61" s="255" t="s">
        <v>304</v>
      </c>
      <c r="I61" s="361">
        <v>1</v>
      </c>
      <c r="J61" s="362" t="s">
        <v>286</v>
      </c>
      <c r="K61" s="363"/>
      <c r="L61" s="129"/>
      <c r="M61" s="129"/>
      <c r="N61" s="129"/>
      <c r="O61" s="129"/>
      <c r="P61" s="364"/>
      <c r="Q61" s="364"/>
      <c r="R61" s="129"/>
      <c r="S61" s="129"/>
      <c r="T61" s="129"/>
      <c r="U61" s="363"/>
      <c r="W61" s="129" t="s">
        <v>4876</v>
      </c>
      <c r="X61" s="337" t="b">
        <f t="shared" si="1"/>
        <v>0</v>
      </c>
    </row>
    <row r="62" spans="1:24" s="337" customFormat="1" ht="12" customHeight="1" outlineLevel="1">
      <c r="A62" s="335"/>
      <c r="B62" s="118" t="s">
        <v>12</v>
      </c>
      <c r="C62" s="334" t="s">
        <v>4982</v>
      </c>
      <c r="D62" s="124" t="s">
        <v>4983</v>
      </c>
      <c r="E62" s="125"/>
      <c r="F62" s="118" t="s">
        <v>4879</v>
      </c>
      <c r="G62" s="126" t="str">
        <f t="shared" si="2"/>
        <v>ST-SS1-1</v>
      </c>
      <c r="H62" s="255" t="s">
        <v>304</v>
      </c>
      <c r="I62" s="361">
        <v>1</v>
      </c>
      <c r="J62" s="362" t="s">
        <v>286</v>
      </c>
      <c r="K62" s="363"/>
      <c r="L62" s="129"/>
      <c r="M62" s="129"/>
      <c r="N62" s="129"/>
      <c r="O62" s="129"/>
      <c r="P62" s="364"/>
      <c r="Q62" s="364"/>
      <c r="R62" s="129"/>
      <c r="S62" s="129"/>
      <c r="T62" s="129"/>
      <c r="U62" s="363"/>
      <c r="W62" s="129" t="s">
        <v>4876</v>
      </c>
      <c r="X62" s="337" t="b">
        <f t="shared" si="1"/>
        <v>0</v>
      </c>
    </row>
    <row r="63" spans="1:24" s="337" customFormat="1" ht="12" customHeight="1" outlineLevel="1">
      <c r="A63" s="335"/>
      <c r="B63" s="118" t="s">
        <v>12</v>
      </c>
      <c r="C63" s="334" t="s">
        <v>4984</v>
      </c>
      <c r="D63" s="124" t="s">
        <v>4985</v>
      </c>
      <c r="E63" s="125"/>
      <c r="F63" s="118" t="s">
        <v>4879</v>
      </c>
      <c r="G63" s="126" t="str">
        <f t="shared" si="2"/>
        <v>ST-SS1-1</v>
      </c>
      <c r="H63" s="255" t="s">
        <v>304</v>
      </c>
      <c r="I63" s="361">
        <v>1</v>
      </c>
      <c r="J63" s="362" t="s">
        <v>286</v>
      </c>
      <c r="K63" s="363"/>
      <c r="L63" s="129"/>
      <c r="M63" s="129"/>
      <c r="N63" s="129"/>
      <c r="O63" s="129"/>
      <c r="P63" s="364"/>
      <c r="Q63" s="364"/>
      <c r="R63" s="129"/>
      <c r="S63" s="129"/>
      <c r="T63" s="129"/>
      <c r="U63" s="363"/>
      <c r="W63" s="129" t="s">
        <v>4876</v>
      </c>
      <c r="X63" s="337" t="b">
        <f t="shared" si="1"/>
        <v>0</v>
      </c>
    </row>
    <row r="64" spans="1:24" s="337" customFormat="1" ht="12" customHeight="1" outlineLevel="1">
      <c r="A64" s="335"/>
      <c r="B64" s="118" t="s">
        <v>12</v>
      </c>
      <c r="C64" s="334" t="s">
        <v>4986</v>
      </c>
      <c r="D64" s="124" t="s">
        <v>4987</v>
      </c>
      <c r="E64" s="125"/>
      <c r="F64" s="118" t="s">
        <v>4879</v>
      </c>
      <c r="G64" s="126" t="str">
        <f t="shared" si="2"/>
        <v>ST-SS1-1</v>
      </c>
      <c r="H64" s="255" t="s">
        <v>304</v>
      </c>
      <c r="I64" s="361">
        <v>1</v>
      </c>
      <c r="J64" s="362" t="s">
        <v>286</v>
      </c>
      <c r="K64" s="363"/>
      <c r="L64" s="129"/>
      <c r="M64" s="129"/>
      <c r="N64" s="129"/>
      <c r="O64" s="129"/>
      <c r="P64" s="364"/>
      <c r="Q64" s="364"/>
      <c r="R64" s="129"/>
      <c r="S64" s="129"/>
      <c r="T64" s="129"/>
      <c r="U64" s="363"/>
      <c r="W64" s="129" t="s">
        <v>4876</v>
      </c>
      <c r="X64" s="337" t="b">
        <f t="shared" si="1"/>
        <v>0</v>
      </c>
    </row>
    <row r="65" spans="1:24" s="337" customFormat="1" ht="12" customHeight="1" outlineLevel="1">
      <c r="A65" s="335"/>
      <c r="B65" s="118" t="s">
        <v>12</v>
      </c>
      <c r="C65" s="334" t="s">
        <v>4988</v>
      </c>
      <c r="D65" s="124" t="s">
        <v>4989</v>
      </c>
      <c r="E65" s="125"/>
      <c r="F65" s="118" t="s">
        <v>4879</v>
      </c>
      <c r="G65" s="126" t="str">
        <f t="shared" si="2"/>
        <v>ST-SS1-1</v>
      </c>
      <c r="H65" s="255" t="s">
        <v>304</v>
      </c>
      <c r="I65" s="361">
        <v>1</v>
      </c>
      <c r="J65" s="362" t="s">
        <v>286</v>
      </c>
      <c r="K65" s="363"/>
      <c r="L65" s="129"/>
      <c r="M65" s="129"/>
      <c r="N65" s="129"/>
      <c r="O65" s="129"/>
      <c r="P65" s="364"/>
      <c r="Q65" s="364"/>
      <c r="R65" s="129"/>
      <c r="S65" s="129"/>
      <c r="T65" s="129"/>
      <c r="U65" s="363"/>
      <c r="W65" s="129" t="s">
        <v>4876</v>
      </c>
      <c r="X65" s="337" t="b">
        <f t="shared" si="1"/>
        <v>0</v>
      </c>
    </row>
    <row r="66" spans="1:24" s="337" customFormat="1" ht="12" customHeight="1" outlineLevel="1">
      <c r="A66" s="335"/>
      <c r="B66" s="118" t="s">
        <v>12</v>
      </c>
      <c r="C66" s="334" t="s">
        <v>4990</v>
      </c>
      <c r="D66" s="124" t="s">
        <v>4991</v>
      </c>
      <c r="E66" s="125"/>
      <c r="F66" s="118" t="s">
        <v>4879</v>
      </c>
      <c r="G66" s="126" t="str">
        <f t="shared" si="2"/>
        <v>ST-SS1-1</v>
      </c>
      <c r="H66" s="255" t="s">
        <v>304</v>
      </c>
      <c r="I66" s="361">
        <v>1</v>
      </c>
      <c r="J66" s="362" t="s">
        <v>286</v>
      </c>
      <c r="K66" s="363"/>
      <c r="L66" s="129"/>
      <c r="M66" s="129"/>
      <c r="N66" s="129"/>
      <c r="O66" s="129"/>
      <c r="P66" s="364"/>
      <c r="Q66" s="364"/>
      <c r="R66" s="129"/>
      <c r="S66" s="129"/>
      <c r="T66" s="129"/>
      <c r="U66" s="363"/>
      <c r="W66" s="129" t="s">
        <v>4876</v>
      </c>
      <c r="X66" s="337" t="b">
        <f t="shared" si="1"/>
        <v>0</v>
      </c>
    </row>
    <row r="67" spans="1:24" s="337" customFormat="1" ht="12" customHeight="1" outlineLevel="1">
      <c r="A67" s="335"/>
      <c r="B67" s="118" t="s">
        <v>12</v>
      </c>
      <c r="C67" s="334" t="s">
        <v>4992</v>
      </c>
      <c r="D67" s="124" t="s">
        <v>4993</v>
      </c>
      <c r="E67" s="125"/>
      <c r="F67" s="118" t="s">
        <v>4879</v>
      </c>
      <c r="G67" s="126" t="str">
        <f t="shared" si="2"/>
        <v>ST-SS1-1</v>
      </c>
      <c r="H67" s="255" t="s">
        <v>304</v>
      </c>
      <c r="I67" s="361">
        <v>1</v>
      </c>
      <c r="J67" s="362" t="s">
        <v>286</v>
      </c>
      <c r="K67" s="363"/>
      <c r="L67" s="129"/>
      <c r="M67" s="129"/>
      <c r="N67" s="129"/>
      <c r="O67" s="129"/>
      <c r="P67" s="364"/>
      <c r="Q67" s="364"/>
      <c r="R67" s="129"/>
      <c r="S67" s="129"/>
      <c r="T67" s="129"/>
      <c r="U67" s="363"/>
      <c r="W67" s="129" t="s">
        <v>4876</v>
      </c>
      <c r="X67" s="337" t="b">
        <f t="shared" si="1"/>
        <v>0</v>
      </c>
    </row>
    <row r="68" spans="1:24" s="337" customFormat="1" ht="12" customHeight="1" outlineLevel="1">
      <c r="A68" s="335"/>
      <c r="B68" s="118" t="s">
        <v>12</v>
      </c>
      <c r="C68" s="334" t="s">
        <v>4994</v>
      </c>
      <c r="D68" s="124" t="s">
        <v>4995</v>
      </c>
      <c r="E68" s="125"/>
      <c r="F68" s="118" t="s">
        <v>4879</v>
      </c>
      <c r="G68" s="126" t="str">
        <f t="shared" si="2"/>
        <v>ST-SS1-1</v>
      </c>
      <c r="H68" s="255" t="s">
        <v>304</v>
      </c>
      <c r="I68" s="361">
        <v>1</v>
      </c>
      <c r="J68" s="362" t="s">
        <v>286</v>
      </c>
      <c r="K68" s="363"/>
      <c r="L68" s="129"/>
      <c r="M68" s="129"/>
      <c r="N68" s="129"/>
      <c r="O68" s="129"/>
      <c r="P68" s="364"/>
      <c r="Q68" s="364"/>
      <c r="R68" s="129"/>
      <c r="S68" s="129"/>
      <c r="T68" s="129"/>
      <c r="U68" s="363"/>
      <c r="W68" s="129" t="s">
        <v>4876</v>
      </c>
      <c r="X68" s="337" t="b">
        <f t="shared" si="1"/>
        <v>0</v>
      </c>
    </row>
    <row r="69" spans="1:24" s="337" customFormat="1" ht="12" customHeight="1" outlineLevel="1">
      <c r="A69" s="335"/>
      <c r="B69" s="118" t="s">
        <v>12</v>
      </c>
      <c r="C69" s="334" t="s">
        <v>4996</v>
      </c>
      <c r="D69" s="124" t="s">
        <v>4997</v>
      </c>
      <c r="E69" s="125"/>
      <c r="F69" s="118" t="s">
        <v>4879</v>
      </c>
      <c r="G69" s="126" t="str">
        <f t="shared" si="2"/>
        <v>ST-SS1-1</v>
      </c>
      <c r="H69" s="255" t="s">
        <v>304</v>
      </c>
      <c r="I69" s="361">
        <v>1</v>
      </c>
      <c r="J69" s="362" t="s">
        <v>286</v>
      </c>
      <c r="K69" s="363"/>
      <c r="L69" s="129"/>
      <c r="M69" s="129"/>
      <c r="N69" s="129"/>
      <c r="O69" s="129"/>
      <c r="P69" s="364"/>
      <c r="Q69" s="364"/>
      <c r="R69" s="129"/>
      <c r="S69" s="129"/>
      <c r="T69" s="129"/>
      <c r="U69" s="363"/>
      <c r="W69" s="129" t="s">
        <v>4876</v>
      </c>
      <c r="X69" s="337" t="b">
        <f t="shared" si="1"/>
        <v>0</v>
      </c>
    </row>
    <row r="70" spans="1:24" s="337" customFormat="1" ht="12" customHeight="1" outlineLevel="1">
      <c r="A70" s="335"/>
      <c r="B70" s="118" t="s">
        <v>12</v>
      </c>
      <c r="C70" s="334" t="s">
        <v>4998</v>
      </c>
      <c r="D70" s="124" t="s">
        <v>4999</v>
      </c>
      <c r="E70" s="125"/>
      <c r="F70" s="118" t="s">
        <v>4879</v>
      </c>
      <c r="G70" s="126" t="str">
        <f t="shared" si="2"/>
        <v>ST-SS1-1</v>
      </c>
      <c r="H70" s="255" t="s">
        <v>304</v>
      </c>
      <c r="I70" s="361">
        <v>1</v>
      </c>
      <c r="J70" s="362" t="s">
        <v>286</v>
      </c>
      <c r="K70" s="363"/>
      <c r="L70" s="129"/>
      <c r="M70" s="129"/>
      <c r="N70" s="129"/>
      <c r="O70" s="129"/>
      <c r="P70" s="364"/>
      <c r="Q70" s="364"/>
      <c r="R70" s="129"/>
      <c r="S70" s="129"/>
      <c r="T70" s="129"/>
      <c r="U70" s="363"/>
      <c r="W70" s="129" t="s">
        <v>4876</v>
      </c>
      <c r="X70" s="337" t="b">
        <f t="shared" si="1"/>
        <v>0</v>
      </c>
    </row>
    <row r="71" spans="1:24" s="337" customFormat="1" ht="12" customHeight="1" outlineLevel="1">
      <c r="A71" s="335"/>
      <c r="B71" s="118" t="s">
        <v>12</v>
      </c>
      <c r="C71" s="334" t="s">
        <v>5000</v>
      </c>
      <c r="D71" s="124" t="s">
        <v>5001</v>
      </c>
      <c r="E71" s="125"/>
      <c r="F71" s="118" t="s">
        <v>4879</v>
      </c>
      <c r="G71" s="126" t="str">
        <f t="shared" si="2"/>
        <v>ST-SS1-1</v>
      </c>
      <c r="H71" s="255" t="s">
        <v>304</v>
      </c>
      <c r="I71" s="361">
        <v>1</v>
      </c>
      <c r="J71" s="362" t="s">
        <v>286</v>
      </c>
      <c r="K71" s="363"/>
      <c r="L71" s="129"/>
      <c r="M71" s="129"/>
      <c r="N71" s="129"/>
      <c r="O71" s="129"/>
      <c r="P71" s="364"/>
      <c r="Q71" s="364"/>
      <c r="R71" s="129"/>
      <c r="S71" s="129"/>
      <c r="T71" s="129"/>
      <c r="U71" s="363"/>
      <c r="W71" s="129" t="s">
        <v>4876</v>
      </c>
      <c r="X71" s="337" t="b">
        <f t="shared" si="1"/>
        <v>0</v>
      </c>
    </row>
    <row r="72" spans="1:24" s="337" customFormat="1" ht="12" customHeight="1" outlineLevel="1">
      <c r="A72" s="335"/>
      <c r="B72" s="118" t="s">
        <v>12</v>
      </c>
      <c r="C72" s="334" t="s">
        <v>5002</v>
      </c>
      <c r="D72" s="124" t="s">
        <v>5003</v>
      </c>
      <c r="E72" s="125"/>
      <c r="F72" s="118" t="s">
        <v>4879</v>
      </c>
      <c r="G72" s="126" t="str">
        <f t="shared" si="2"/>
        <v>ST-SS1-1</v>
      </c>
      <c r="H72" s="255" t="s">
        <v>304</v>
      </c>
      <c r="I72" s="361">
        <v>1</v>
      </c>
      <c r="J72" s="362" t="s">
        <v>286</v>
      </c>
      <c r="K72" s="363"/>
      <c r="L72" s="129"/>
      <c r="M72" s="129"/>
      <c r="N72" s="129"/>
      <c r="O72" s="129"/>
      <c r="P72" s="364"/>
      <c r="Q72" s="364"/>
      <c r="R72" s="129"/>
      <c r="S72" s="129"/>
      <c r="T72" s="129"/>
      <c r="U72" s="363"/>
      <c r="W72" s="129" t="s">
        <v>4876</v>
      </c>
      <c r="X72" s="337" t="b">
        <f t="shared" si="1"/>
        <v>0</v>
      </c>
    </row>
    <row r="73" spans="1:24" s="337" customFormat="1" ht="12" customHeight="1" outlineLevel="1">
      <c r="A73" s="335"/>
      <c r="B73" s="118" t="s">
        <v>12</v>
      </c>
      <c r="C73" s="334" t="s">
        <v>5004</v>
      </c>
      <c r="D73" s="124" t="s">
        <v>5005</v>
      </c>
      <c r="E73" s="125"/>
      <c r="F73" s="118" t="s">
        <v>4879</v>
      </c>
      <c r="G73" s="126" t="str">
        <f t="shared" ref="G73:G104" si="3">CONCATENATE(B73,"-",F73,"-",H73)</f>
        <v>ST-SS1-1</v>
      </c>
      <c r="H73" s="255" t="s">
        <v>304</v>
      </c>
      <c r="I73" s="361">
        <v>1</v>
      </c>
      <c r="J73" s="362" t="s">
        <v>286</v>
      </c>
      <c r="K73" s="363"/>
      <c r="L73" s="129"/>
      <c r="M73" s="129"/>
      <c r="N73" s="129"/>
      <c r="O73" s="129"/>
      <c r="P73" s="364"/>
      <c r="Q73" s="364"/>
      <c r="R73" s="129"/>
      <c r="S73" s="129"/>
      <c r="T73" s="129"/>
      <c r="U73" s="363"/>
      <c r="W73" s="129" t="s">
        <v>4876</v>
      </c>
      <c r="X73" s="337" t="b">
        <f t="shared" si="1"/>
        <v>0</v>
      </c>
    </row>
    <row r="74" spans="1:24" s="337" customFormat="1" ht="12" customHeight="1" outlineLevel="1">
      <c r="A74" s="335"/>
      <c r="B74" s="118" t="s">
        <v>12</v>
      </c>
      <c r="C74" s="334" t="s">
        <v>5006</v>
      </c>
      <c r="D74" s="124" t="s">
        <v>5007</v>
      </c>
      <c r="E74" s="125"/>
      <c r="F74" s="118" t="s">
        <v>4879</v>
      </c>
      <c r="G74" s="126" t="str">
        <f t="shared" si="3"/>
        <v>ST-SS1-1</v>
      </c>
      <c r="H74" s="255" t="s">
        <v>304</v>
      </c>
      <c r="I74" s="361">
        <v>1</v>
      </c>
      <c r="J74" s="362" t="s">
        <v>286</v>
      </c>
      <c r="K74" s="363"/>
      <c r="L74" s="129"/>
      <c r="M74" s="129"/>
      <c r="N74" s="129"/>
      <c r="O74" s="129"/>
      <c r="P74" s="364"/>
      <c r="Q74" s="364"/>
      <c r="R74" s="129"/>
      <c r="S74" s="129"/>
      <c r="T74" s="129"/>
      <c r="U74" s="363"/>
      <c r="W74" s="129" t="s">
        <v>4876</v>
      </c>
      <c r="X74" s="337" t="b">
        <f t="shared" ref="X74:X137" si="4">W74=J74</f>
        <v>0</v>
      </c>
    </row>
    <row r="75" spans="1:24" s="337" customFormat="1" ht="12" customHeight="1" outlineLevel="1">
      <c r="A75" s="335"/>
      <c r="B75" s="118" t="s">
        <v>12</v>
      </c>
      <c r="C75" s="334" t="s">
        <v>5008</v>
      </c>
      <c r="D75" s="124" t="s">
        <v>5009</v>
      </c>
      <c r="E75" s="125"/>
      <c r="F75" s="118" t="s">
        <v>4879</v>
      </c>
      <c r="G75" s="126" t="str">
        <f t="shared" si="3"/>
        <v>ST-SS1-1</v>
      </c>
      <c r="H75" s="255" t="s">
        <v>304</v>
      </c>
      <c r="I75" s="361">
        <v>1</v>
      </c>
      <c r="J75" s="362" t="s">
        <v>286</v>
      </c>
      <c r="K75" s="363"/>
      <c r="L75" s="129"/>
      <c r="M75" s="129"/>
      <c r="N75" s="129"/>
      <c r="O75" s="129"/>
      <c r="P75" s="364"/>
      <c r="Q75" s="364"/>
      <c r="R75" s="129"/>
      <c r="S75" s="129"/>
      <c r="T75" s="129"/>
      <c r="U75" s="363"/>
      <c r="W75" s="129" t="s">
        <v>4876</v>
      </c>
      <c r="X75" s="337" t="b">
        <f t="shared" si="4"/>
        <v>0</v>
      </c>
    </row>
    <row r="76" spans="1:24" s="337" customFormat="1" ht="12" customHeight="1" outlineLevel="1">
      <c r="A76" s="335"/>
      <c r="B76" s="118" t="s">
        <v>12</v>
      </c>
      <c r="C76" s="334" t="s">
        <v>5010</v>
      </c>
      <c r="D76" s="124" t="s">
        <v>5011</v>
      </c>
      <c r="E76" s="125"/>
      <c r="F76" s="118" t="s">
        <v>4879</v>
      </c>
      <c r="G76" s="126" t="str">
        <f t="shared" si="3"/>
        <v>ST-SS1-1</v>
      </c>
      <c r="H76" s="255" t="s">
        <v>304</v>
      </c>
      <c r="I76" s="361">
        <v>1</v>
      </c>
      <c r="J76" s="362" t="s">
        <v>286</v>
      </c>
      <c r="K76" s="363"/>
      <c r="L76" s="129"/>
      <c r="M76" s="129"/>
      <c r="N76" s="129"/>
      <c r="O76" s="129"/>
      <c r="P76" s="364"/>
      <c r="Q76" s="364"/>
      <c r="R76" s="129"/>
      <c r="S76" s="129"/>
      <c r="T76" s="129"/>
      <c r="U76" s="363"/>
      <c r="W76" s="129" t="s">
        <v>4876</v>
      </c>
      <c r="X76" s="337" t="b">
        <f t="shared" si="4"/>
        <v>0</v>
      </c>
    </row>
    <row r="77" spans="1:24" s="337" customFormat="1" ht="12" customHeight="1" outlineLevel="1">
      <c r="A77" s="335"/>
      <c r="B77" s="118" t="s">
        <v>12</v>
      </c>
      <c r="C77" s="334" t="s">
        <v>5012</v>
      </c>
      <c r="D77" s="124" t="s">
        <v>5013</v>
      </c>
      <c r="E77" s="125"/>
      <c r="F77" s="118" t="s">
        <v>4879</v>
      </c>
      <c r="G77" s="126" t="str">
        <f t="shared" si="3"/>
        <v>ST-SS1-1</v>
      </c>
      <c r="H77" s="255" t="s">
        <v>304</v>
      </c>
      <c r="I77" s="361">
        <v>1</v>
      </c>
      <c r="J77" s="362" t="s">
        <v>286</v>
      </c>
      <c r="K77" s="363"/>
      <c r="L77" s="129"/>
      <c r="M77" s="129"/>
      <c r="N77" s="129"/>
      <c r="O77" s="129"/>
      <c r="P77" s="364"/>
      <c r="Q77" s="364"/>
      <c r="R77" s="129"/>
      <c r="S77" s="129"/>
      <c r="T77" s="129"/>
      <c r="U77" s="363"/>
      <c r="W77" s="129" t="s">
        <v>4876</v>
      </c>
      <c r="X77" s="337" t="b">
        <f t="shared" si="4"/>
        <v>0</v>
      </c>
    </row>
    <row r="78" spans="1:24" s="337" customFormat="1" ht="12" customHeight="1" outlineLevel="1">
      <c r="A78" s="335"/>
      <c r="B78" s="118" t="s">
        <v>12</v>
      </c>
      <c r="C78" s="334" t="s">
        <v>5014</v>
      </c>
      <c r="D78" s="124" t="s">
        <v>5015</v>
      </c>
      <c r="E78" s="125"/>
      <c r="F78" s="118" t="s">
        <v>4879</v>
      </c>
      <c r="G78" s="126" t="str">
        <f t="shared" si="3"/>
        <v>ST-SS1-1</v>
      </c>
      <c r="H78" s="255" t="s">
        <v>304</v>
      </c>
      <c r="I78" s="361">
        <v>1</v>
      </c>
      <c r="J78" s="362" t="s">
        <v>286</v>
      </c>
      <c r="K78" s="363"/>
      <c r="L78" s="129"/>
      <c r="M78" s="129"/>
      <c r="N78" s="129"/>
      <c r="O78" s="129"/>
      <c r="P78" s="364"/>
      <c r="Q78" s="364"/>
      <c r="R78" s="129"/>
      <c r="S78" s="129"/>
      <c r="T78" s="129"/>
      <c r="U78" s="363"/>
      <c r="W78" s="129" t="s">
        <v>4876</v>
      </c>
      <c r="X78" s="337" t="b">
        <f t="shared" si="4"/>
        <v>0</v>
      </c>
    </row>
    <row r="79" spans="1:24" s="337" customFormat="1" ht="12" customHeight="1" outlineLevel="1">
      <c r="A79" s="335"/>
      <c r="B79" s="118" t="s">
        <v>12</v>
      </c>
      <c r="C79" s="334" t="s">
        <v>5016</v>
      </c>
      <c r="D79" s="124" t="s">
        <v>5017</v>
      </c>
      <c r="E79" s="125"/>
      <c r="F79" s="118" t="s">
        <v>4879</v>
      </c>
      <c r="G79" s="126" t="str">
        <f t="shared" si="3"/>
        <v>ST-SS1-1</v>
      </c>
      <c r="H79" s="255" t="s">
        <v>304</v>
      </c>
      <c r="I79" s="361">
        <v>1</v>
      </c>
      <c r="J79" s="362" t="s">
        <v>286</v>
      </c>
      <c r="K79" s="363"/>
      <c r="L79" s="129"/>
      <c r="M79" s="129"/>
      <c r="N79" s="129"/>
      <c r="O79" s="129"/>
      <c r="P79" s="364"/>
      <c r="Q79" s="364"/>
      <c r="R79" s="129"/>
      <c r="S79" s="129"/>
      <c r="T79" s="129"/>
      <c r="U79" s="363"/>
      <c r="W79" s="129" t="s">
        <v>4876</v>
      </c>
      <c r="X79" s="337" t="b">
        <f t="shared" si="4"/>
        <v>0</v>
      </c>
    </row>
    <row r="80" spans="1:24" s="337" customFormat="1" ht="12" customHeight="1" outlineLevel="1">
      <c r="A80" s="335"/>
      <c r="B80" s="118" t="s">
        <v>12</v>
      </c>
      <c r="C80" s="334" t="s">
        <v>5018</v>
      </c>
      <c r="D80" s="124" t="s">
        <v>5019</v>
      </c>
      <c r="E80" s="125"/>
      <c r="F80" s="118" t="s">
        <v>4879</v>
      </c>
      <c r="G80" s="126" t="str">
        <f t="shared" si="3"/>
        <v>ST-SS1-1</v>
      </c>
      <c r="H80" s="255" t="s">
        <v>304</v>
      </c>
      <c r="I80" s="361">
        <v>1</v>
      </c>
      <c r="J80" s="362" t="s">
        <v>286</v>
      </c>
      <c r="K80" s="363"/>
      <c r="L80" s="129"/>
      <c r="M80" s="129"/>
      <c r="N80" s="129"/>
      <c r="O80" s="129"/>
      <c r="P80" s="364"/>
      <c r="Q80" s="364"/>
      <c r="R80" s="129"/>
      <c r="S80" s="129"/>
      <c r="T80" s="129"/>
      <c r="U80" s="363"/>
      <c r="W80" s="129" t="s">
        <v>4876</v>
      </c>
      <c r="X80" s="337" t="b">
        <f t="shared" si="4"/>
        <v>0</v>
      </c>
    </row>
    <row r="81" spans="1:24" s="337" customFormat="1" ht="12" customHeight="1" outlineLevel="1">
      <c r="A81" s="335"/>
      <c r="B81" s="118" t="s">
        <v>12</v>
      </c>
      <c r="C81" s="334" t="s">
        <v>5020</v>
      </c>
      <c r="D81" s="124" t="s">
        <v>5021</v>
      </c>
      <c r="E81" s="125"/>
      <c r="F81" s="118" t="s">
        <v>4879</v>
      </c>
      <c r="G81" s="126" t="str">
        <f t="shared" si="3"/>
        <v>ST-SS1-1</v>
      </c>
      <c r="H81" s="255" t="s">
        <v>304</v>
      </c>
      <c r="I81" s="361">
        <v>1</v>
      </c>
      <c r="J81" s="362" t="s">
        <v>286</v>
      </c>
      <c r="K81" s="363"/>
      <c r="L81" s="129"/>
      <c r="M81" s="129"/>
      <c r="N81" s="129"/>
      <c r="O81" s="129"/>
      <c r="P81" s="364"/>
      <c r="Q81" s="364"/>
      <c r="R81" s="129"/>
      <c r="S81" s="129"/>
      <c r="T81" s="129"/>
      <c r="U81" s="363"/>
      <c r="W81" s="129" t="s">
        <v>4876</v>
      </c>
      <c r="X81" s="337" t="b">
        <f t="shared" si="4"/>
        <v>0</v>
      </c>
    </row>
    <row r="82" spans="1:24" s="337" customFormat="1" ht="12" customHeight="1" outlineLevel="1">
      <c r="A82" s="335"/>
      <c r="B82" s="118" t="s">
        <v>12</v>
      </c>
      <c r="C82" s="334" t="s">
        <v>5022</v>
      </c>
      <c r="D82" s="124" t="s">
        <v>5023</v>
      </c>
      <c r="E82" s="125"/>
      <c r="F82" s="118" t="s">
        <v>4879</v>
      </c>
      <c r="G82" s="126" t="str">
        <f t="shared" si="3"/>
        <v>ST-SS1-1</v>
      </c>
      <c r="H82" s="255" t="s">
        <v>304</v>
      </c>
      <c r="I82" s="361">
        <v>1</v>
      </c>
      <c r="J82" s="362" t="s">
        <v>286</v>
      </c>
      <c r="K82" s="363"/>
      <c r="L82" s="129"/>
      <c r="M82" s="129"/>
      <c r="N82" s="129"/>
      <c r="O82" s="129"/>
      <c r="P82" s="364"/>
      <c r="Q82" s="364"/>
      <c r="R82" s="129"/>
      <c r="S82" s="129"/>
      <c r="T82" s="129"/>
      <c r="U82" s="363"/>
      <c r="W82" s="129" t="s">
        <v>4876</v>
      </c>
      <c r="X82" s="337" t="b">
        <f t="shared" si="4"/>
        <v>0</v>
      </c>
    </row>
    <row r="83" spans="1:24" s="337" customFormat="1" ht="12" customHeight="1" outlineLevel="1">
      <c r="A83" s="335"/>
      <c r="B83" s="118" t="s">
        <v>12</v>
      </c>
      <c r="C83" s="334" t="s">
        <v>5024</v>
      </c>
      <c r="D83" s="124" t="s">
        <v>5025</v>
      </c>
      <c r="E83" s="125"/>
      <c r="F83" s="118" t="s">
        <v>4879</v>
      </c>
      <c r="G83" s="126" t="str">
        <f t="shared" si="3"/>
        <v>ST-SS1-1</v>
      </c>
      <c r="H83" s="255" t="s">
        <v>304</v>
      </c>
      <c r="I83" s="361">
        <v>1</v>
      </c>
      <c r="J83" s="362" t="s">
        <v>286</v>
      </c>
      <c r="K83" s="363"/>
      <c r="L83" s="129"/>
      <c r="M83" s="129"/>
      <c r="N83" s="129"/>
      <c r="O83" s="129"/>
      <c r="P83" s="364"/>
      <c r="Q83" s="364"/>
      <c r="R83" s="129"/>
      <c r="S83" s="129"/>
      <c r="T83" s="129"/>
      <c r="U83" s="363"/>
      <c r="W83" s="129" t="s">
        <v>4876</v>
      </c>
      <c r="X83" s="337" t="b">
        <f t="shared" si="4"/>
        <v>0</v>
      </c>
    </row>
    <row r="84" spans="1:24" s="337" customFormat="1" ht="12" customHeight="1" outlineLevel="1">
      <c r="A84" s="335"/>
      <c r="B84" s="118" t="s">
        <v>12</v>
      </c>
      <c r="C84" s="334" t="s">
        <v>5026</v>
      </c>
      <c r="D84" s="124" t="s">
        <v>5027</v>
      </c>
      <c r="E84" s="125"/>
      <c r="F84" s="118" t="s">
        <v>4879</v>
      </c>
      <c r="G84" s="126" t="str">
        <f t="shared" si="3"/>
        <v>ST-SS1-1</v>
      </c>
      <c r="H84" s="255" t="s">
        <v>304</v>
      </c>
      <c r="I84" s="361">
        <v>1</v>
      </c>
      <c r="J84" s="362" t="s">
        <v>286</v>
      </c>
      <c r="K84" s="363"/>
      <c r="L84" s="129"/>
      <c r="M84" s="129"/>
      <c r="N84" s="129"/>
      <c r="O84" s="129"/>
      <c r="P84" s="364"/>
      <c r="Q84" s="364"/>
      <c r="R84" s="129"/>
      <c r="S84" s="129"/>
      <c r="T84" s="129"/>
      <c r="U84" s="363"/>
      <c r="W84" s="129" t="s">
        <v>4876</v>
      </c>
      <c r="X84" s="337" t="b">
        <f t="shared" si="4"/>
        <v>0</v>
      </c>
    </row>
    <row r="85" spans="1:24" s="337" customFormat="1" ht="12" customHeight="1" outlineLevel="1">
      <c r="A85" s="335"/>
      <c r="B85" s="118" t="s">
        <v>12</v>
      </c>
      <c r="C85" s="334" t="s">
        <v>5028</v>
      </c>
      <c r="D85" s="124" t="s">
        <v>5029</v>
      </c>
      <c r="E85" s="125"/>
      <c r="F85" s="118" t="s">
        <v>4879</v>
      </c>
      <c r="G85" s="126" t="str">
        <f t="shared" si="3"/>
        <v>ST-SS1-1</v>
      </c>
      <c r="H85" s="255" t="s">
        <v>304</v>
      </c>
      <c r="I85" s="361">
        <v>1</v>
      </c>
      <c r="J85" s="362" t="s">
        <v>286</v>
      </c>
      <c r="K85" s="363"/>
      <c r="L85" s="129"/>
      <c r="M85" s="129"/>
      <c r="N85" s="129"/>
      <c r="O85" s="129"/>
      <c r="P85" s="364"/>
      <c r="Q85" s="364"/>
      <c r="R85" s="129"/>
      <c r="S85" s="129"/>
      <c r="T85" s="129"/>
      <c r="U85" s="363"/>
      <c r="W85" s="129" t="s">
        <v>4876</v>
      </c>
      <c r="X85" s="337" t="b">
        <f t="shared" si="4"/>
        <v>0</v>
      </c>
    </row>
    <row r="86" spans="1:24" s="337" customFormat="1" ht="12" customHeight="1" outlineLevel="1">
      <c r="A86" s="335"/>
      <c r="B86" s="118" t="s">
        <v>12</v>
      </c>
      <c r="C86" s="334" t="s">
        <v>5030</v>
      </c>
      <c r="D86" s="124" t="s">
        <v>5031</v>
      </c>
      <c r="E86" s="125"/>
      <c r="F86" s="118" t="s">
        <v>4879</v>
      </c>
      <c r="G86" s="126" t="str">
        <f t="shared" si="3"/>
        <v>ST-SS1-1</v>
      </c>
      <c r="H86" s="255" t="s">
        <v>304</v>
      </c>
      <c r="I86" s="361">
        <v>1</v>
      </c>
      <c r="J86" s="362" t="s">
        <v>286</v>
      </c>
      <c r="K86" s="363"/>
      <c r="L86" s="129"/>
      <c r="M86" s="129"/>
      <c r="N86" s="129"/>
      <c r="O86" s="129"/>
      <c r="P86" s="364"/>
      <c r="Q86" s="364"/>
      <c r="R86" s="129"/>
      <c r="S86" s="129"/>
      <c r="T86" s="129"/>
      <c r="U86" s="363"/>
      <c r="W86" s="129" t="s">
        <v>4876</v>
      </c>
      <c r="X86" s="337" t="b">
        <f t="shared" si="4"/>
        <v>0</v>
      </c>
    </row>
    <row r="87" spans="1:24" s="337" customFormat="1" ht="12" customHeight="1" outlineLevel="1">
      <c r="A87" s="335"/>
      <c r="B87" s="118" t="s">
        <v>12</v>
      </c>
      <c r="C87" s="334" t="s">
        <v>5032</v>
      </c>
      <c r="D87" s="124" t="s">
        <v>5033</v>
      </c>
      <c r="E87" s="125"/>
      <c r="F87" s="118" t="s">
        <v>4879</v>
      </c>
      <c r="G87" s="126" t="str">
        <f t="shared" si="3"/>
        <v>ST-SS1-1</v>
      </c>
      <c r="H87" s="255" t="s">
        <v>304</v>
      </c>
      <c r="I87" s="361">
        <v>1</v>
      </c>
      <c r="J87" s="362" t="s">
        <v>286</v>
      </c>
      <c r="K87" s="363"/>
      <c r="L87" s="129"/>
      <c r="M87" s="129"/>
      <c r="N87" s="129"/>
      <c r="O87" s="129"/>
      <c r="P87" s="364"/>
      <c r="Q87" s="364"/>
      <c r="R87" s="129"/>
      <c r="S87" s="129"/>
      <c r="T87" s="129"/>
      <c r="U87" s="363"/>
      <c r="W87" s="129" t="s">
        <v>4876</v>
      </c>
      <c r="X87" s="337" t="b">
        <f t="shared" si="4"/>
        <v>0</v>
      </c>
    </row>
    <row r="88" spans="1:24" s="337" customFormat="1" ht="12" customHeight="1" outlineLevel="1">
      <c r="A88" s="335"/>
      <c r="B88" s="118" t="s">
        <v>12</v>
      </c>
      <c r="C88" s="334" t="s">
        <v>5034</v>
      </c>
      <c r="D88" s="124" t="s">
        <v>5035</v>
      </c>
      <c r="E88" s="125"/>
      <c r="F88" s="118" t="s">
        <v>4879</v>
      </c>
      <c r="G88" s="126" t="str">
        <f t="shared" si="3"/>
        <v>ST-SS1-1</v>
      </c>
      <c r="H88" s="255" t="s">
        <v>304</v>
      </c>
      <c r="I88" s="361">
        <v>1</v>
      </c>
      <c r="J88" s="362" t="s">
        <v>286</v>
      </c>
      <c r="K88" s="363"/>
      <c r="L88" s="129"/>
      <c r="M88" s="129"/>
      <c r="N88" s="129"/>
      <c r="O88" s="129"/>
      <c r="P88" s="364"/>
      <c r="Q88" s="364"/>
      <c r="R88" s="129"/>
      <c r="S88" s="129"/>
      <c r="T88" s="129"/>
      <c r="U88" s="363"/>
      <c r="W88" s="129" t="s">
        <v>4876</v>
      </c>
      <c r="X88" s="337" t="b">
        <f t="shared" si="4"/>
        <v>0</v>
      </c>
    </row>
    <row r="89" spans="1:24" s="337" customFormat="1" ht="12" customHeight="1" outlineLevel="1">
      <c r="A89" s="335"/>
      <c r="B89" s="118" t="s">
        <v>12</v>
      </c>
      <c r="C89" s="334" t="s">
        <v>5036</v>
      </c>
      <c r="D89" s="124" t="s">
        <v>5037</v>
      </c>
      <c r="E89" s="125"/>
      <c r="F89" s="118" t="s">
        <v>4879</v>
      </c>
      <c r="G89" s="126" t="str">
        <f t="shared" si="3"/>
        <v>ST-SS1-1</v>
      </c>
      <c r="H89" s="255" t="s">
        <v>304</v>
      </c>
      <c r="I89" s="361">
        <v>1</v>
      </c>
      <c r="J89" s="362" t="s">
        <v>286</v>
      </c>
      <c r="K89" s="363"/>
      <c r="L89" s="129"/>
      <c r="M89" s="129"/>
      <c r="N89" s="129"/>
      <c r="O89" s="129"/>
      <c r="P89" s="364"/>
      <c r="Q89" s="364"/>
      <c r="R89" s="129"/>
      <c r="S89" s="129"/>
      <c r="T89" s="129"/>
      <c r="U89" s="363"/>
      <c r="W89" s="129" t="s">
        <v>4876</v>
      </c>
      <c r="X89" s="337" t="b">
        <f t="shared" si="4"/>
        <v>0</v>
      </c>
    </row>
    <row r="90" spans="1:24" s="337" customFormat="1" ht="12" customHeight="1" outlineLevel="1">
      <c r="A90" s="335"/>
      <c r="B90" s="118" t="s">
        <v>12</v>
      </c>
      <c r="C90" s="334" t="s">
        <v>5038</v>
      </c>
      <c r="D90" s="124" t="s">
        <v>5039</v>
      </c>
      <c r="E90" s="125"/>
      <c r="F90" s="118" t="s">
        <v>4879</v>
      </c>
      <c r="G90" s="126" t="str">
        <f t="shared" si="3"/>
        <v>ST-SS1-1</v>
      </c>
      <c r="H90" s="255" t="s">
        <v>304</v>
      </c>
      <c r="I90" s="361">
        <v>1</v>
      </c>
      <c r="J90" s="362" t="s">
        <v>286</v>
      </c>
      <c r="K90" s="363"/>
      <c r="L90" s="129"/>
      <c r="M90" s="129"/>
      <c r="N90" s="129"/>
      <c r="O90" s="129"/>
      <c r="P90" s="364"/>
      <c r="Q90" s="364"/>
      <c r="R90" s="129"/>
      <c r="S90" s="129"/>
      <c r="T90" s="129"/>
      <c r="U90" s="363"/>
      <c r="W90" s="129" t="s">
        <v>4876</v>
      </c>
      <c r="X90" s="337" t="b">
        <f t="shared" si="4"/>
        <v>0</v>
      </c>
    </row>
    <row r="91" spans="1:24" s="337" customFormat="1" ht="12" customHeight="1" outlineLevel="1">
      <c r="A91" s="335"/>
      <c r="B91" s="118" t="s">
        <v>12</v>
      </c>
      <c r="C91" s="334" t="s">
        <v>5040</v>
      </c>
      <c r="D91" s="124" t="s">
        <v>5041</v>
      </c>
      <c r="E91" s="125"/>
      <c r="F91" s="118" t="s">
        <v>4879</v>
      </c>
      <c r="G91" s="126" t="str">
        <f t="shared" si="3"/>
        <v>ST-SS1-1</v>
      </c>
      <c r="H91" s="255" t="s">
        <v>304</v>
      </c>
      <c r="I91" s="361">
        <v>1</v>
      </c>
      <c r="J91" s="362" t="s">
        <v>286</v>
      </c>
      <c r="K91" s="363"/>
      <c r="L91" s="129"/>
      <c r="M91" s="129"/>
      <c r="N91" s="129"/>
      <c r="O91" s="129"/>
      <c r="P91" s="364"/>
      <c r="Q91" s="364"/>
      <c r="R91" s="129"/>
      <c r="S91" s="129"/>
      <c r="T91" s="129"/>
      <c r="U91" s="363"/>
      <c r="W91" s="129" t="s">
        <v>4876</v>
      </c>
      <c r="X91" s="337" t="b">
        <f t="shared" si="4"/>
        <v>0</v>
      </c>
    </row>
    <row r="92" spans="1:24" s="337" customFormat="1" ht="12" customHeight="1" outlineLevel="1">
      <c r="A92" s="335"/>
      <c r="B92" s="118" t="s">
        <v>12</v>
      </c>
      <c r="C92" s="334" t="s">
        <v>5042</v>
      </c>
      <c r="D92" s="124" t="s">
        <v>5043</v>
      </c>
      <c r="E92" s="125"/>
      <c r="F92" s="118" t="s">
        <v>4879</v>
      </c>
      <c r="G92" s="126" t="str">
        <f t="shared" si="3"/>
        <v>ST-SS1-1</v>
      </c>
      <c r="H92" s="255" t="s">
        <v>304</v>
      </c>
      <c r="I92" s="361">
        <v>1</v>
      </c>
      <c r="J92" s="362" t="s">
        <v>286</v>
      </c>
      <c r="K92" s="363"/>
      <c r="L92" s="129"/>
      <c r="M92" s="129"/>
      <c r="N92" s="129"/>
      <c r="O92" s="129"/>
      <c r="P92" s="364"/>
      <c r="Q92" s="364"/>
      <c r="R92" s="129"/>
      <c r="S92" s="129"/>
      <c r="T92" s="129"/>
      <c r="U92" s="363"/>
      <c r="W92" s="129" t="s">
        <v>4876</v>
      </c>
      <c r="X92" s="337" t="b">
        <f t="shared" si="4"/>
        <v>0</v>
      </c>
    </row>
    <row r="93" spans="1:24" s="337" customFormat="1" ht="12" customHeight="1" outlineLevel="1">
      <c r="A93" s="335"/>
      <c r="B93" s="118" t="s">
        <v>12</v>
      </c>
      <c r="C93" s="334" t="s">
        <v>5044</v>
      </c>
      <c r="D93" s="124" t="s">
        <v>5045</v>
      </c>
      <c r="E93" s="125"/>
      <c r="F93" s="118" t="s">
        <v>4879</v>
      </c>
      <c r="G93" s="126" t="str">
        <f t="shared" si="3"/>
        <v>ST-SS1-1</v>
      </c>
      <c r="H93" s="255" t="s">
        <v>304</v>
      </c>
      <c r="I93" s="361">
        <v>1</v>
      </c>
      <c r="J93" s="362" t="s">
        <v>286</v>
      </c>
      <c r="K93" s="363"/>
      <c r="L93" s="129"/>
      <c r="M93" s="129"/>
      <c r="N93" s="129"/>
      <c r="O93" s="129"/>
      <c r="P93" s="364"/>
      <c r="Q93" s="364"/>
      <c r="R93" s="129"/>
      <c r="S93" s="129"/>
      <c r="T93" s="129"/>
      <c r="U93" s="363"/>
      <c r="W93" s="129" t="s">
        <v>4876</v>
      </c>
      <c r="X93" s="337" t="b">
        <f t="shared" si="4"/>
        <v>0</v>
      </c>
    </row>
    <row r="94" spans="1:24" s="337" customFormat="1" ht="12" customHeight="1" outlineLevel="1">
      <c r="A94" s="335"/>
      <c r="B94" s="118" t="s">
        <v>12</v>
      </c>
      <c r="C94" s="334" t="s">
        <v>5046</v>
      </c>
      <c r="D94" s="124" t="s">
        <v>5047</v>
      </c>
      <c r="E94" s="125"/>
      <c r="F94" s="118" t="s">
        <v>4879</v>
      </c>
      <c r="G94" s="126" t="str">
        <f t="shared" si="3"/>
        <v>ST-SS1-2</v>
      </c>
      <c r="H94" s="255" t="s">
        <v>289</v>
      </c>
      <c r="I94" s="361">
        <v>1</v>
      </c>
      <c r="J94" s="362" t="s">
        <v>286</v>
      </c>
      <c r="K94" s="363"/>
      <c r="L94" s="129"/>
      <c r="M94" s="129"/>
      <c r="N94" s="129"/>
      <c r="O94" s="129"/>
      <c r="P94" s="364"/>
      <c r="Q94" s="364"/>
      <c r="R94" s="129"/>
      <c r="S94" s="129"/>
      <c r="T94" s="129"/>
      <c r="U94" s="363"/>
      <c r="W94" s="129" t="s">
        <v>4876</v>
      </c>
      <c r="X94" s="337" t="b">
        <f t="shared" si="4"/>
        <v>0</v>
      </c>
    </row>
    <row r="95" spans="1:24" s="337" customFormat="1" ht="12" customHeight="1" outlineLevel="1">
      <c r="A95" s="335"/>
      <c r="B95" s="118" t="s">
        <v>12</v>
      </c>
      <c r="C95" s="334" t="s">
        <v>5048</v>
      </c>
      <c r="D95" s="124" t="s">
        <v>5049</v>
      </c>
      <c r="E95" s="125"/>
      <c r="F95" s="118" t="s">
        <v>4879</v>
      </c>
      <c r="G95" s="126" t="str">
        <f t="shared" si="3"/>
        <v>ST-SS1-2</v>
      </c>
      <c r="H95" s="255" t="s">
        <v>289</v>
      </c>
      <c r="I95" s="361">
        <v>1</v>
      </c>
      <c r="J95" s="362" t="s">
        <v>286</v>
      </c>
      <c r="K95" s="363"/>
      <c r="L95" s="129"/>
      <c r="M95" s="129"/>
      <c r="N95" s="129"/>
      <c r="O95" s="129"/>
      <c r="P95" s="364"/>
      <c r="Q95" s="364"/>
      <c r="R95" s="129"/>
      <c r="S95" s="129"/>
      <c r="T95" s="129"/>
      <c r="U95" s="363"/>
      <c r="W95" s="129" t="s">
        <v>4876</v>
      </c>
      <c r="X95" s="337" t="b">
        <f t="shared" si="4"/>
        <v>0</v>
      </c>
    </row>
    <row r="96" spans="1:24" s="337" customFormat="1" ht="12" customHeight="1" outlineLevel="1">
      <c r="A96" s="335"/>
      <c r="B96" s="118" t="s">
        <v>12</v>
      </c>
      <c r="C96" s="334" t="s">
        <v>5050</v>
      </c>
      <c r="D96" s="124" t="s">
        <v>5051</v>
      </c>
      <c r="E96" s="125"/>
      <c r="F96" s="118" t="s">
        <v>4879</v>
      </c>
      <c r="G96" s="126" t="str">
        <f t="shared" si="3"/>
        <v>ST-SS1-2</v>
      </c>
      <c r="H96" s="255" t="s">
        <v>289</v>
      </c>
      <c r="I96" s="361">
        <v>1</v>
      </c>
      <c r="J96" s="362" t="s">
        <v>286</v>
      </c>
      <c r="K96" s="363"/>
      <c r="L96" s="129"/>
      <c r="M96" s="129"/>
      <c r="N96" s="129"/>
      <c r="O96" s="129"/>
      <c r="P96" s="364"/>
      <c r="Q96" s="364"/>
      <c r="R96" s="129"/>
      <c r="S96" s="129"/>
      <c r="T96" s="129"/>
      <c r="U96" s="363"/>
      <c r="W96" s="129" t="s">
        <v>4876</v>
      </c>
      <c r="X96" s="337" t="b">
        <f t="shared" si="4"/>
        <v>0</v>
      </c>
    </row>
    <row r="97" spans="1:24" s="337" customFormat="1" ht="12" customHeight="1" outlineLevel="1">
      <c r="A97" s="335"/>
      <c r="B97" s="118" t="s">
        <v>12</v>
      </c>
      <c r="C97" s="334" t="s">
        <v>5052</v>
      </c>
      <c r="D97" s="124" t="s">
        <v>5053</v>
      </c>
      <c r="E97" s="125"/>
      <c r="F97" s="118" t="s">
        <v>4879</v>
      </c>
      <c r="G97" s="126" t="str">
        <f t="shared" si="3"/>
        <v>ST-SS1-2</v>
      </c>
      <c r="H97" s="255" t="s">
        <v>289</v>
      </c>
      <c r="I97" s="361">
        <v>1</v>
      </c>
      <c r="J97" s="362" t="s">
        <v>286</v>
      </c>
      <c r="K97" s="363"/>
      <c r="L97" s="129"/>
      <c r="M97" s="129"/>
      <c r="N97" s="129"/>
      <c r="O97" s="129"/>
      <c r="P97" s="364"/>
      <c r="Q97" s="364"/>
      <c r="R97" s="129"/>
      <c r="S97" s="129"/>
      <c r="T97" s="129"/>
      <c r="U97" s="363"/>
      <c r="W97" s="129" t="s">
        <v>4876</v>
      </c>
      <c r="X97" s="337" t="b">
        <f t="shared" si="4"/>
        <v>0</v>
      </c>
    </row>
    <row r="98" spans="1:24" s="337" customFormat="1" ht="12" customHeight="1" outlineLevel="1">
      <c r="A98" s="335"/>
      <c r="B98" s="118" t="s">
        <v>12</v>
      </c>
      <c r="C98" s="334" t="s">
        <v>5054</v>
      </c>
      <c r="D98" s="124" t="s">
        <v>5055</v>
      </c>
      <c r="E98" s="125"/>
      <c r="F98" s="118" t="s">
        <v>4879</v>
      </c>
      <c r="G98" s="126" t="str">
        <f t="shared" si="3"/>
        <v>ST-SS1-2</v>
      </c>
      <c r="H98" s="255" t="s">
        <v>289</v>
      </c>
      <c r="I98" s="361">
        <v>1</v>
      </c>
      <c r="J98" s="362" t="s">
        <v>286</v>
      </c>
      <c r="K98" s="363"/>
      <c r="L98" s="129"/>
      <c r="M98" s="129"/>
      <c r="N98" s="129"/>
      <c r="O98" s="129"/>
      <c r="P98" s="364"/>
      <c r="Q98" s="364"/>
      <c r="R98" s="129"/>
      <c r="S98" s="129"/>
      <c r="T98" s="129"/>
      <c r="U98" s="363"/>
      <c r="W98" s="129" t="s">
        <v>4876</v>
      </c>
      <c r="X98" s="337" t="b">
        <f t="shared" si="4"/>
        <v>0</v>
      </c>
    </row>
    <row r="99" spans="1:24" s="337" customFormat="1" ht="12" customHeight="1" outlineLevel="1">
      <c r="A99" s="335"/>
      <c r="B99" s="118" t="s">
        <v>12</v>
      </c>
      <c r="C99" s="334" t="s">
        <v>5056</v>
      </c>
      <c r="D99" s="124" t="s">
        <v>5057</v>
      </c>
      <c r="E99" s="125"/>
      <c r="F99" s="118" t="s">
        <v>4879</v>
      </c>
      <c r="G99" s="126" t="str">
        <f t="shared" si="3"/>
        <v>ST-SS1-2</v>
      </c>
      <c r="H99" s="255" t="s">
        <v>289</v>
      </c>
      <c r="I99" s="361">
        <v>1</v>
      </c>
      <c r="J99" s="362" t="s">
        <v>286</v>
      </c>
      <c r="K99" s="363"/>
      <c r="L99" s="129"/>
      <c r="M99" s="129"/>
      <c r="N99" s="129"/>
      <c r="O99" s="129"/>
      <c r="P99" s="364"/>
      <c r="Q99" s="364"/>
      <c r="R99" s="129"/>
      <c r="S99" s="129"/>
      <c r="T99" s="129"/>
      <c r="U99" s="363"/>
      <c r="W99" s="129" t="s">
        <v>4876</v>
      </c>
      <c r="X99" s="337" t="b">
        <f t="shared" si="4"/>
        <v>0</v>
      </c>
    </row>
    <row r="100" spans="1:24" s="337" customFormat="1" ht="12" customHeight="1" outlineLevel="1">
      <c r="A100" s="335"/>
      <c r="B100" s="118" t="s">
        <v>12</v>
      </c>
      <c r="C100" s="334" t="s">
        <v>5058</v>
      </c>
      <c r="D100" s="124" t="s">
        <v>5059</v>
      </c>
      <c r="E100" s="125"/>
      <c r="F100" s="118" t="s">
        <v>4879</v>
      </c>
      <c r="G100" s="126" t="str">
        <f t="shared" si="3"/>
        <v>ST-SS1-2</v>
      </c>
      <c r="H100" s="255" t="s">
        <v>289</v>
      </c>
      <c r="I100" s="361">
        <v>1</v>
      </c>
      <c r="J100" s="362" t="s">
        <v>286</v>
      </c>
      <c r="K100" s="363"/>
      <c r="L100" s="129"/>
      <c r="M100" s="129"/>
      <c r="N100" s="129"/>
      <c r="O100" s="129"/>
      <c r="P100" s="364"/>
      <c r="Q100" s="364"/>
      <c r="R100" s="129"/>
      <c r="S100" s="129"/>
      <c r="T100" s="129"/>
      <c r="U100" s="363"/>
      <c r="W100" s="129" t="s">
        <v>4876</v>
      </c>
      <c r="X100" s="337" t="b">
        <f t="shared" si="4"/>
        <v>0</v>
      </c>
    </row>
    <row r="101" spans="1:24" s="337" customFormat="1" ht="12" customHeight="1" outlineLevel="1">
      <c r="A101" s="335"/>
      <c r="B101" s="118" t="s">
        <v>12</v>
      </c>
      <c r="C101" s="334" t="s">
        <v>5060</v>
      </c>
      <c r="D101" s="124" t="s">
        <v>5061</v>
      </c>
      <c r="E101" s="125"/>
      <c r="F101" s="118" t="s">
        <v>4879</v>
      </c>
      <c r="G101" s="126" t="str">
        <f t="shared" si="3"/>
        <v>ST-SS1-2</v>
      </c>
      <c r="H101" s="255" t="s">
        <v>289</v>
      </c>
      <c r="I101" s="361">
        <v>1</v>
      </c>
      <c r="J101" s="362" t="s">
        <v>286</v>
      </c>
      <c r="K101" s="363"/>
      <c r="L101" s="129"/>
      <c r="M101" s="129"/>
      <c r="N101" s="129"/>
      <c r="O101" s="129"/>
      <c r="P101" s="364"/>
      <c r="Q101" s="364"/>
      <c r="R101" s="129"/>
      <c r="S101" s="129"/>
      <c r="T101" s="129"/>
      <c r="U101" s="363"/>
      <c r="W101" s="129" t="s">
        <v>4876</v>
      </c>
      <c r="X101" s="337" t="b">
        <f t="shared" si="4"/>
        <v>0</v>
      </c>
    </row>
    <row r="102" spans="1:24" s="337" customFormat="1" ht="12" customHeight="1" outlineLevel="1">
      <c r="A102" s="335"/>
      <c r="B102" s="118" t="s">
        <v>12</v>
      </c>
      <c r="C102" s="334" t="s">
        <v>5062</v>
      </c>
      <c r="D102" s="124" t="s">
        <v>5063</v>
      </c>
      <c r="E102" s="125"/>
      <c r="F102" s="118" t="s">
        <v>4879</v>
      </c>
      <c r="G102" s="126" t="str">
        <f t="shared" si="3"/>
        <v>ST-SS1-2</v>
      </c>
      <c r="H102" s="255" t="s">
        <v>289</v>
      </c>
      <c r="I102" s="361">
        <v>1</v>
      </c>
      <c r="J102" s="362" t="s">
        <v>286</v>
      </c>
      <c r="K102" s="363"/>
      <c r="L102" s="129"/>
      <c r="M102" s="129"/>
      <c r="N102" s="129"/>
      <c r="O102" s="129"/>
      <c r="P102" s="364"/>
      <c r="Q102" s="364"/>
      <c r="R102" s="129"/>
      <c r="S102" s="129"/>
      <c r="T102" s="129"/>
      <c r="U102" s="363"/>
      <c r="W102" s="129" t="s">
        <v>4876</v>
      </c>
      <c r="X102" s="337" t="b">
        <f t="shared" si="4"/>
        <v>0</v>
      </c>
    </row>
    <row r="103" spans="1:24" s="337" customFormat="1" ht="12" customHeight="1" outlineLevel="1">
      <c r="A103" s="335"/>
      <c r="B103" s="118" t="s">
        <v>12</v>
      </c>
      <c r="C103" s="334" t="s">
        <v>5064</v>
      </c>
      <c r="D103" s="124" t="s">
        <v>5065</v>
      </c>
      <c r="E103" s="125"/>
      <c r="F103" s="118" t="s">
        <v>4879</v>
      </c>
      <c r="G103" s="126" t="str">
        <f t="shared" si="3"/>
        <v>ST-SS1-2</v>
      </c>
      <c r="H103" s="255" t="s">
        <v>289</v>
      </c>
      <c r="I103" s="361">
        <v>1</v>
      </c>
      <c r="J103" s="362" t="s">
        <v>286</v>
      </c>
      <c r="K103" s="363"/>
      <c r="L103" s="129"/>
      <c r="M103" s="129"/>
      <c r="N103" s="129"/>
      <c r="O103" s="129"/>
      <c r="P103" s="364"/>
      <c r="Q103" s="364"/>
      <c r="R103" s="129"/>
      <c r="S103" s="129"/>
      <c r="T103" s="129"/>
      <c r="U103" s="363"/>
      <c r="W103" s="129" t="s">
        <v>4876</v>
      </c>
      <c r="X103" s="337" t="b">
        <f t="shared" si="4"/>
        <v>0</v>
      </c>
    </row>
    <row r="104" spans="1:24" s="337" customFormat="1" ht="12" customHeight="1" outlineLevel="1">
      <c r="A104" s="335"/>
      <c r="B104" s="118" t="s">
        <v>12</v>
      </c>
      <c r="C104" s="334" t="s">
        <v>5066</v>
      </c>
      <c r="D104" s="124" t="s">
        <v>5067</v>
      </c>
      <c r="E104" s="125"/>
      <c r="F104" s="118" t="s">
        <v>4879</v>
      </c>
      <c r="G104" s="126" t="str">
        <f t="shared" si="3"/>
        <v>ST-SS1-2</v>
      </c>
      <c r="H104" s="255" t="s">
        <v>289</v>
      </c>
      <c r="I104" s="361">
        <v>1</v>
      </c>
      <c r="J104" s="362" t="s">
        <v>286</v>
      </c>
      <c r="K104" s="363"/>
      <c r="L104" s="129"/>
      <c r="M104" s="129"/>
      <c r="N104" s="129"/>
      <c r="O104" s="129"/>
      <c r="P104" s="364"/>
      <c r="Q104" s="364"/>
      <c r="R104" s="129"/>
      <c r="S104" s="129"/>
      <c r="T104" s="129"/>
      <c r="U104" s="363"/>
      <c r="W104" s="129" t="s">
        <v>4876</v>
      </c>
      <c r="X104" s="337" t="b">
        <f t="shared" si="4"/>
        <v>0</v>
      </c>
    </row>
    <row r="105" spans="1:24" s="337" customFormat="1" ht="12" customHeight="1" outlineLevel="1">
      <c r="A105" s="335"/>
      <c r="B105" s="118" t="s">
        <v>12</v>
      </c>
      <c r="C105" s="334" t="s">
        <v>5068</v>
      </c>
      <c r="D105" s="124" t="s">
        <v>5069</v>
      </c>
      <c r="E105" s="125"/>
      <c r="F105" s="118" t="s">
        <v>4879</v>
      </c>
      <c r="G105" s="126" t="str">
        <f t="shared" ref="G105:G136" si="5">CONCATENATE(B105,"-",F105,"-",H105)</f>
        <v>ST-SS1-2</v>
      </c>
      <c r="H105" s="255" t="s">
        <v>289</v>
      </c>
      <c r="I105" s="361">
        <v>1</v>
      </c>
      <c r="J105" s="362" t="s">
        <v>286</v>
      </c>
      <c r="K105" s="363"/>
      <c r="L105" s="129"/>
      <c r="M105" s="129"/>
      <c r="N105" s="129"/>
      <c r="O105" s="129"/>
      <c r="P105" s="364"/>
      <c r="Q105" s="364"/>
      <c r="R105" s="129"/>
      <c r="S105" s="129"/>
      <c r="T105" s="129"/>
      <c r="U105" s="363"/>
      <c r="W105" s="129" t="s">
        <v>4876</v>
      </c>
      <c r="X105" s="337" t="b">
        <f t="shared" si="4"/>
        <v>0</v>
      </c>
    </row>
    <row r="106" spans="1:24" s="337" customFormat="1" ht="12" customHeight="1" outlineLevel="1">
      <c r="A106" s="335"/>
      <c r="B106" s="118" t="s">
        <v>12</v>
      </c>
      <c r="C106" s="334" t="s">
        <v>5070</v>
      </c>
      <c r="D106" s="124" t="s">
        <v>5071</v>
      </c>
      <c r="E106" s="125"/>
      <c r="F106" s="118" t="s">
        <v>4879</v>
      </c>
      <c r="G106" s="126" t="str">
        <f t="shared" si="5"/>
        <v>ST-SS1-2</v>
      </c>
      <c r="H106" s="255" t="s">
        <v>289</v>
      </c>
      <c r="I106" s="361">
        <v>1</v>
      </c>
      <c r="J106" s="362" t="s">
        <v>286</v>
      </c>
      <c r="K106" s="363"/>
      <c r="L106" s="129"/>
      <c r="M106" s="129"/>
      <c r="N106" s="129"/>
      <c r="O106" s="129"/>
      <c r="P106" s="364"/>
      <c r="Q106" s="364"/>
      <c r="R106" s="129"/>
      <c r="S106" s="129"/>
      <c r="T106" s="129"/>
      <c r="U106" s="363"/>
      <c r="W106" s="129" t="s">
        <v>4876</v>
      </c>
      <c r="X106" s="337" t="b">
        <f t="shared" si="4"/>
        <v>0</v>
      </c>
    </row>
    <row r="107" spans="1:24" s="337" customFormat="1" ht="12" customHeight="1" outlineLevel="1">
      <c r="A107" s="335"/>
      <c r="B107" s="118" t="s">
        <v>12</v>
      </c>
      <c r="C107" s="334" t="s">
        <v>5072</v>
      </c>
      <c r="D107" s="124" t="s">
        <v>5073</v>
      </c>
      <c r="E107" s="125"/>
      <c r="F107" s="118" t="s">
        <v>4879</v>
      </c>
      <c r="G107" s="126" t="str">
        <f t="shared" si="5"/>
        <v>ST-SS1-2</v>
      </c>
      <c r="H107" s="255" t="s">
        <v>289</v>
      </c>
      <c r="I107" s="361">
        <v>1</v>
      </c>
      <c r="J107" s="362" t="s">
        <v>286</v>
      </c>
      <c r="K107" s="363"/>
      <c r="L107" s="129"/>
      <c r="M107" s="129"/>
      <c r="N107" s="129"/>
      <c r="O107" s="129"/>
      <c r="P107" s="364"/>
      <c r="Q107" s="364"/>
      <c r="R107" s="129"/>
      <c r="S107" s="129"/>
      <c r="T107" s="129"/>
      <c r="U107" s="363"/>
      <c r="W107" s="129" t="s">
        <v>4876</v>
      </c>
      <c r="X107" s="337" t="b">
        <f t="shared" si="4"/>
        <v>0</v>
      </c>
    </row>
    <row r="108" spans="1:24" s="337" customFormat="1" ht="12" customHeight="1" outlineLevel="1">
      <c r="A108" s="335"/>
      <c r="B108" s="118" t="s">
        <v>12</v>
      </c>
      <c r="C108" s="334" t="s">
        <v>5074</v>
      </c>
      <c r="D108" s="124" t="s">
        <v>5075</v>
      </c>
      <c r="E108" s="125"/>
      <c r="F108" s="118" t="s">
        <v>4879</v>
      </c>
      <c r="G108" s="126" t="str">
        <f t="shared" si="5"/>
        <v>ST-SS1-2</v>
      </c>
      <c r="H108" s="255" t="s">
        <v>289</v>
      </c>
      <c r="I108" s="361">
        <v>1</v>
      </c>
      <c r="J108" s="362" t="s">
        <v>286</v>
      </c>
      <c r="K108" s="363"/>
      <c r="L108" s="129"/>
      <c r="M108" s="129"/>
      <c r="N108" s="129"/>
      <c r="O108" s="129"/>
      <c r="P108" s="364"/>
      <c r="Q108" s="364"/>
      <c r="R108" s="129"/>
      <c r="S108" s="129"/>
      <c r="T108" s="129"/>
      <c r="U108" s="363"/>
      <c r="W108" s="129" t="s">
        <v>4876</v>
      </c>
      <c r="X108" s="337" t="b">
        <f t="shared" si="4"/>
        <v>0</v>
      </c>
    </row>
    <row r="109" spans="1:24" s="337" customFormat="1" ht="12" customHeight="1" outlineLevel="1">
      <c r="A109" s="335"/>
      <c r="B109" s="118" t="s">
        <v>12</v>
      </c>
      <c r="C109" s="334" t="s">
        <v>5076</v>
      </c>
      <c r="D109" s="124" t="s">
        <v>5077</v>
      </c>
      <c r="E109" s="125"/>
      <c r="F109" s="118" t="s">
        <v>4879</v>
      </c>
      <c r="G109" s="126" t="str">
        <f t="shared" si="5"/>
        <v>ST-SS1-2</v>
      </c>
      <c r="H109" s="255" t="s">
        <v>289</v>
      </c>
      <c r="I109" s="361">
        <v>1</v>
      </c>
      <c r="J109" s="362" t="s">
        <v>286</v>
      </c>
      <c r="K109" s="363"/>
      <c r="L109" s="129"/>
      <c r="M109" s="129"/>
      <c r="N109" s="129"/>
      <c r="O109" s="129"/>
      <c r="P109" s="364"/>
      <c r="Q109" s="364"/>
      <c r="R109" s="129"/>
      <c r="S109" s="129"/>
      <c r="T109" s="129"/>
      <c r="U109" s="363"/>
      <c r="W109" s="129" t="s">
        <v>4876</v>
      </c>
      <c r="X109" s="337" t="b">
        <f t="shared" si="4"/>
        <v>0</v>
      </c>
    </row>
    <row r="110" spans="1:24" s="337" customFormat="1" ht="12" customHeight="1" outlineLevel="1">
      <c r="A110" s="335"/>
      <c r="B110" s="118" t="s">
        <v>12</v>
      </c>
      <c r="C110" s="334" t="s">
        <v>5078</v>
      </c>
      <c r="D110" s="124" t="s">
        <v>5079</v>
      </c>
      <c r="E110" s="125"/>
      <c r="F110" s="118" t="s">
        <v>4879</v>
      </c>
      <c r="G110" s="126" t="str">
        <f t="shared" si="5"/>
        <v>ST-SS1-2</v>
      </c>
      <c r="H110" s="255" t="s">
        <v>289</v>
      </c>
      <c r="I110" s="361">
        <v>1</v>
      </c>
      <c r="J110" s="362" t="s">
        <v>286</v>
      </c>
      <c r="K110" s="363"/>
      <c r="L110" s="129"/>
      <c r="M110" s="129"/>
      <c r="N110" s="129"/>
      <c r="O110" s="129"/>
      <c r="P110" s="364"/>
      <c r="Q110" s="364"/>
      <c r="R110" s="129"/>
      <c r="S110" s="129"/>
      <c r="T110" s="129"/>
      <c r="U110" s="363"/>
      <c r="W110" s="129" t="s">
        <v>4876</v>
      </c>
      <c r="X110" s="337" t="b">
        <f t="shared" si="4"/>
        <v>0</v>
      </c>
    </row>
    <row r="111" spans="1:24" s="337" customFormat="1" ht="12" customHeight="1" outlineLevel="1">
      <c r="A111" s="335"/>
      <c r="B111" s="118" t="s">
        <v>12</v>
      </c>
      <c r="C111" s="334" t="s">
        <v>5080</v>
      </c>
      <c r="D111" s="124" t="s">
        <v>5081</v>
      </c>
      <c r="E111" s="125"/>
      <c r="F111" s="118" t="s">
        <v>4879</v>
      </c>
      <c r="G111" s="126" t="str">
        <f t="shared" si="5"/>
        <v>ST-SS1-2</v>
      </c>
      <c r="H111" s="255" t="s">
        <v>289</v>
      </c>
      <c r="I111" s="361">
        <v>1</v>
      </c>
      <c r="J111" s="362" t="s">
        <v>286</v>
      </c>
      <c r="K111" s="363"/>
      <c r="L111" s="129"/>
      <c r="M111" s="129"/>
      <c r="N111" s="129"/>
      <c r="O111" s="129"/>
      <c r="P111" s="364"/>
      <c r="Q111" s="364"/>
      <c r="R111" s="129"/>
      <c r="S111" s="129"/>
      <c r="T111" s="129"/>
      <c r="U111" s="363"/>
      <c r="W111" s="129" t="s">
        <v>4876</v>
      </c>
      <c r="X111" s="337" t="b">
        <f t="shared" si="4"/>
        <v>0</v>
      </c>
    </row>
    <row r="112" spans="1:24" s="337" customFormat="1" ht="12" customHeight="1" outlineLevel="1">
      <c r="A112" s="335"/>
      <c r="B112" s="118" t="s">
        <v>12</v>
      </c>
      <c r="C112" s="334" t="s">
        <v>5082</v>
      </c>
      <c r="D112" s="124" t="s">
        <v>5083</v>
      </c>
      <c r="E112" s="125"/>
      <c r="F112" s="118" t="s">
        <v>4879</v>
      </c>
      <c r="G112" s="126" t="str">
        <f t="shared" si="5"/>
        <v>ST-SS1-2</v>
      </c>
      <c r="H112" s="255" t="s">
        <v>289</v>
      </c>
      <c r="I112" s="361">
        <v>1</v>
      </c>
      <c r="J112" s="362" t="s">
        <v>286</v>
      </c>
      <c r="K112" s="363"/>
      <c r="L112" s="129"/>
      <c r="M112" s="129"/>
      <c r="N112" s="129"/>
      <c r="O112" s="129"/>
      <c r="P112" s="364"/>
      <c r="Q112" s="364"/>
      <c r="R112" s="129"/>
      <c r="S112" s="129"/>
      <c r="T112" s="129"/>
      <c r="U112" s="363"/>
      <c r="W112" s="129" t="s">
        <v>4876</v>
      </c>
      <c r="X112" s="337" t="b">
        <f t="shared" si="4"/>
        <v>0</v>
      </c>
    </row>
    <row r="113" spans="1:24" s="337" customFormat="1" ht="12" customHeight="1" outlineLevel="1">
      <c r="A113" s="335"/>
      <c r="B113" s="118" t="s">
        <v>12</v>
      </c>
      <c r="C113" s="334" t="s">
        <v>5084</v>
      </c>
      <c r="D113" s="124" t="s">
        <v>5085</v>
      </c>
      <c r="E113" s="125"/>
      <c r="F113" s="118" t="s">
        <v>4879</v>
      </c>
      <c r="G113" s="126" t="str">
        <f t="shared" si="5"/>
        <v>ST-SS1-2</v>
      </c>
      <c r="H113" s="255" t="s">
        <v>289</v>
      </c>
      <c r="I113" s="361">
        <v>1</v>
      </c>
      <c r="J113" s="362" t="s">
        <v>286</v>
      </c>
      <c r="K113" s="363"/>
      <c r="L113" s="129"/>
      <c r="M113" s="129"/>
      <c r="N113" s="129"/>
      <c r="O113" s="129"/>
      <c r="P113" s="364"/>
      <c r="Q113" s="364"/>
      <c r="R113" s="129"/>
      <c r="S113" s="129"/>
      <c r="T113" s="129"/>
      <c r="U113" s="363"/>
      <c r="W113" s="129" t="s">
        <v>4876</v>
      </c>
      <c r="X113" s="337" t="b">
        <f t="shared" si="4"/>
        <v>0</v>
      </c>
    </row>
    <row r="114" spans="1:24" s="337" customFormat="1" ht="12" customHeight="1" outlineLevel="1">
      <c r="A114" s="335"/>
      <c r="B114" s="118" t="s">
        <v>12</v>
      </c>
      <c r="C114" s="334" t="s">
        <v>5086</v>
      </c>
      <c r="D114" s="124" t="s">
        <v>5087</v>
      </c>
      <c r="E114" s="125"/>
      <c r="F114" s="118" t="s">
        <v>4879</v>
      </c>
      <c r="G114" s="126" t="str">
        <f t="shared" si="5"/>
        <v>ST-SS1-2</v>
      </c>
      <c r="H114" s="255" t="s">
        <v>289</v>
      </c>
      <c r="I114" s="361">
        <v>1</v>
      </c>
      <c r="J114" s="362" t="s">
        <v>286</v>
      </c>
      <c r="K114" s="363"/>
      <c r="L114" s="129"/>
      <c r="M114" s="129"/>
      <c r="N114" s="129"/>
      <c r="O114" s="129"/>
      <c r="P114" s="364"/>
      <c r="Q114" s="364"/>
      <c r="R114" s="129"/>
      <c r="S114" s="129"/>
      <c r="T114" s="129"/>
      <c r="U114" s="363"/>
      <c r="W114" s="129" t="s">
        <v>4876</v>
      </c>
      <c r="X114" s="337" t="b">
        <f t="shared" si="4"/>
        <v>0</v>
      </c>
    </row>
    <row r="115" spans="1:24" s="337" customFormat="1" ht="12" customHeight="1" outlineLevel="1">
      <c r="A115" s="335"/>
      <c r="B115" s="118" t="s">
        <v>12</v>
      </c>
      <c r="C115" s="334" t="s">
        <v>5088</v>
      </c>
      <c r="D115" s="124" t="s">
        <v>5089</v>
      </c>
      <c r="E115" s="125"/>
      <c r="F115" s="118" t="s">
        <v>4879</v>
      </c>
      <c r="G115" s="126" t="str">
        <f t="shared" si="5"/>
        <v>ST-SS1-2</v>
      </c>
      <c r="H115" s="255" t="s">
        <v>289</v>
      </c>
      <c r="I115" s="361">
        <v>1</v>
      </c>
      <c r="J115" s="362" t="s">
        <v>286</v>
      </c>
      <c r="K115" s="363"/>
      <c r="L115" s="129"/>
      <c r="M115" s="129"/>
      <c r="N115" s="129"/>
      <c r="O115" s="129"/>
      <c r="P115" s="364"/>
      <c r="Q115" s="364"/>
      <c r="R115" s="129"/>
      <c r="S115" s="129"/>
      <c r="T115" s="129"/>
      <c r="U115" s="363"/>
      <c r="W115" s="129" t="s">
        <v>4876</v>
      </c>
      <c r="X115" s="337" t="b">
        <f t="shared" si="4"/>
        <v>0</v>
      </c>
    </row>
    <row r="116" spans="1:24" s="337" customFormat="1" ht="12" customHeight="1" outlineLevel="1">
      <c r="A116" s="335"/>
      <c r="B116" s="118" t="s">
        <v>12</v>
      </c>
      <c r="C116" s="334" t="s">
        <v>5090</v>
      </c>
      <c r="D116" s="124" t="s">
        <v>5091</v>
      </c>
      <c r="E116" s="125"/>
      <c r="F116" s="118" t="s">
        <v>4879</v>
      </c>
      <c r="G116" s="126" t="str">
        <f t="shared" si="5"/>
        <v>ST-SS1-2</v>
      </c>
      <c r="H116" s="255" t="s">
        <v>289</v>
      </c>
      <c r="I116" s="361">
        <v>1</v>
      </c>
      <c r="J116" s="362" t="s">
        <v>286</v>
      </c>
      <c r="K116" s="363"/>
      <c r="L116" s="129"/>
      <c r="M116" s="129"/>
      <c r="N116" s="129"/>
      <c r="O116" s="129"/>
      <c r="P116" s="364"/>
      <c r="Q116" s="364"/>
      <c r="R116" s="129"/>
      <c r="S116" s="129"/>
      <c r="T116" s="129"/>
      <c r="U116" s="363"/>
      <c r="W116" s="129" t="s">
        <v>4876</v>
      </c>
      <c r="X116" s="337" t="b">
        <f t="shared" si="4"/>
        <v>0</v>
      </c>
    </row>
    <row r="117" spans="1:24" s="337" customFormat="1" ht="12" customHeight="1" outlineLevel="1">
      <c r="A117" s="335"/>
      <c r="B117" s="118" t="s">
        <v>12</v>
      </c>
      <c r="C117" s="334" t="s">
        <v>5092</v>
      </c>
      <c r="D117" s="124" t="s">
        <v>5093</v>
      </c>
      <c r="E117" s="125"/>
      <c r="F117" s="118" t="s">
        <v>4879</v>
      </c>
      <c r="G117" s="126" t="str">
        <f t="shared" si="5"/>
        <v>ST-SS1-2</v>
      </c>
      <c r="H117" s="255" t="s">
        <v>289</v>
      </c>
      <c r="I117" s="361">
        <v>1</v>
      </c>
      <c r="J117" s="362" t="s">
        <v>286</v>
      </c>
      <c r="K117" s="363"/>
      <c r="L117" s="129"/>
      <c r="M117" s="129"/>
      <c r="N117" s="129"/>
      <c r="O117" s="129"/>
      <c r="P117" s="364"/>
      <c r="Q117" s="364"/>
      <c r="R117" s="129"/>
      <c r="S117" s="129"/>
      <c r="T117" s="129"/>
      <c r="U117" s="363"/>
      <c r="W117" s="129" t="s">
        <v>4876</v>
      </c>
      <c r="X117" s="337" t="b">
        <f t="shared" si="4"/>
        <v>0</v>
      </c>
    </row>
    <row r="118" spans="1:24" s="337" customFormat="1" ht="12" customHeight="1" outlineLevel="1">
      <c r="A118" s="335"/>
      <c r="B118" s="118" t="s">
        <v>12</v>
      </c>
      <c r="C118" s="334" t="s">
        <v>5094</v>
      </c>
      <c r="D118" s="124" t="s">
        <v>5095</v>
      </c>
      <c r="E118" s="125"/>
      <c r="F118" s="118" t="s">
        <v>4879</v>
      </c>
      <c r="G118" s="126" t="str">
        <f t="shared" si="5"/>
        <v>ST-SS1-2</v>
      </c>
      <c r="H118" s="255" t="s">
        <v>289</v>
      </c>
      <c r="I118" s="361">
        <v>1</v>
      </c>
      <c r="J118" s="362" t="s">
        <v>286</v>
      </c>
      <c r="K118" s="363"/>
      <c r="L118" s="129"/>
      <c r="M118" s="129"/>
      <c r="N118" s="129"/>
      <c r="O118" s="129"/>
      <c r="P118" s="364"/>
      <c r="Q118" s="364"/>
      <c r="R118" s="129"/>
      <c r="S118" s="129"/>
      <c r="T118" s="129"/>
      <c r="U118" s="363"/>
      <c r="W118" s="129" t="s">
        <v>4876</v>
      </c>
      <c r="X118" s="337" t="b">
        <f t="shared" si="4"/>
        <v>0</v>
      </c>
    </row>
    <row r="119" spans="1:24" s="337" customFormat="1" ht="12" customHeight="1" outlineLevel="1">
      <c r="A119" s="335"/>
      <c r="B119" s="118" t="s">
        <v>12</v>
      </c>
      <c r="C119" s="334" t="s">
        <v>5096</v>
      </c>
      <c r="D119" s="124" t="s">
        <v>5097</v>
      </c>
      <c r="E119" s="125"/>
      <c r="F119" s="118" t="s">
        <v>4879</v>
      </c>
      <c r="G119" s="126" t="str">
        <f t="shared" si="5"/>
        <v>ST-SS1-2</v>
      </c>
      <c r="H119" s="255" t="s">
        <v>289</v>
      </c>
      <c r="I119" s="361">
        <v>1</v>
      </c>
      <c r="J119" s="362" t="s">
        <v>286</v>
      </c>
      <c r="K119" s="363"/>
      <c r="L119" s="129"/>
      <c r="M119" s="129"/>
      <c r="N119" s="129"/>
      <c r="O119" s="129"/>
      <c r="P119" s="364"/>
      <c r="Q119" s="364"/>
      <c r="R119" s="129"/>
      <c r="S119" s="129"/>
      <c r="T119" s="129"/>
      <c r="U119" s="363"/>
      <c r="W119" s="129" t="s">
        <v>4876</v>
      </c>
      <c r="X119" s="337" t="b">
        <f t="shared" si="4"/>
        <v>0</v>
      </c>
    </row>
    <row r="120" spans="1:24" s="337" customFormat="1" ht="12" customHeight="1" outlineLevel="1">
      <c r="A120" s="335"/>
      <c r="B120" s="118" t="s">
        <v>12</v>
      </c>
      <c r="C120" s="334" t="s">
        <v>5098</v>
      </c>
      <c r="D120" s="124" t="s">
        <v>5099</v>
      </c>
      <c r="E120" s="125"/>
      <c r="F120" s="118" t="s">
        <v>4879</v>
      </c>
      <c r="G120" s="126" t="str">
        <f t="shared" si="5"/>
        <v>ST-SS1-2</v>
      </c>
      <c r="H120" s="255" t="s">
        <v>289</v>
      </c>
      <c r="I120" s="361">
        <v>1</v>
      </c>
      <c r="J120" s="362" t="s">
        <v>286</v>
      </c>
      <c r="K120" s="363"/>
      <c r="L120" s="129"/>
      <c r="M120" s="129"/>
      <c r="N120" s="129"/>
      <c r="O120" s="129"/>
      <c r="P120" s="364"/>
      <c r="Q120" s="364"/>
      <c r="R120" s="129"/>
      <c r="S120" s="129"/>
      <c r="T120" s="129"/>
      <c r="U120" s="363"/>
      <c r="W120" s="129" t="s">
        <v>4876</v>
      </c>
      <c r="X120" s="337" t="b">
        <f t="shared" si="4"/>
        <v>0</v>
      </c>
    </row>
    <row r="121" spans="1:24" s="337" customFormat="1" ht="12" customHeight="1" outlineLevel="1">
      <c r="A121" s="335"/>
      <c r="B121" s="118" t="s">
        <v>12</v>
      </c>
      <c r="C121" s="334" t="s">
        <v>5100</v>
      </c>
      <c r="D121" s="124" t="s">
        <v>5101</v>
      </c>
      <c r="E121" s="125"/>
      <c r="F121" s="118" t="s">
        <v>4879</v>
      </c>
      <c r="G121" s="126" t="str">
        <f t="shared" si="5"/>
        <v>ST-SS1-2</v>
      </c>
      <c r="H121" s="255" t="s">
        <v>289</v>
      </c>
      <c r="I121" s="361">
        <v>1</v>
      </c>
      <c r="J121" s="362" t="s">
        <v>286</v>
      </c>
      <c r="K121" s="363"/>
      <c r="L121" s="129"/>
      <c r="M121" s="129"/>
      <c r="N121" s="129"/>
      <c r="O121" s="129"/>
      <c r="P121" s="364"/>
      <c r="Q121" s="364"/>
      <c r="R121" s="129"/>
      <c r="S121" s="129"/>
      <c r="T121" s="129"/>
      <c r="U121" s="363"/>
      <c r="W121" s="129" t="s">
        <v>4876</v>
      </c>
      <c r="X121" s="337" t="b">
        <f t="shared" si="4"/>
        <v>0</v>
      </c>
    </row>
    <row r="122" spans="1:24" s="337" customFormat="1" ht="12" customHeight="1" outlineLevel="1">
      <c r="A122" s="335"/>
      <c r="B122" s="118" t="s">
        <v>12</v>
      </c>
      <c r="C122" s="334" t="s">
        <v>5102</v>
      </c>
      <c r="D122" s="124" t="s">
        <v>5103</v>
      </c>
      <c r="E122" s="125"/>
      <c r="F122" s="118" t="s">
        <v>4879</v>
      </c>
      <c r="G122" s="126" t="str">
        <f t="shared" si="5"/>
        <v>ST-SS1-2</v>
      </c>
      <c r="H122" s="255" t="s">
        <v>289</v>
      </c>
      <c r="I122" s="361">
        <v>1</v>
      </c>
      <c r="J122" s="362" t="s">
        <v>286</v>
      </c>
      <c r="K122" s="363"/>
      <c r="L122" s="129"/>
      <c r="M122" s="129"/>
      <c r="N122" s="129"/>
      <c r="O122" s="129"/>
      <c r="P122" s="364"/>
      <c r="Q122" s="364"/>
      <c r="R122" s="129"/>
      <c r="S122" s="129"/>
      <c r="T122" s="129"/>
      <c r="U122" s="363"/>
      <c r="W122" s="129" t="s">
        <v>4876</v>
      </c>
      <c r="X122" s="337" t="b">
        <f t="shared" si="4"/>
        <v>0</v>
      </c>
    </row>
    <row r="123" spans="1:24" s="337" customFormat="1" ht="12" customHeight="1" outlineLevel="1">
      <c r="A123" s="335"/>
      <c r="B123" s="118" t="s">
        <v>12</v>
      </c>
      <c r="C123" s="334" t="s">
        <v>5104</v>
      </c>
      <c r="D123" s="124" t="s">
        <v>5105</v>
      </c>
      <c r="E123" s="125"/>
      <c r="F123" s="118" t="s">
        <v>4879</v>
      </c>
      <c r="G123" s="126" t="str">
        <f t="shared" si="5"/>
        <v>ST-SS1-2</v>
      </c>
      <c r="H123" s="255" t="s">
        <v>289</v>
      </c>
      <c r="I123" s="361">
        <v>1</v>
      </c>
      <c r="J123" s="362" t="s">
        <v>286</v>
      </c>
      <c r="K123" s="363"/>
      <c r="L123" s="129"/>
      <c r="M123" s="129"/>
      <c r="N123" s="129"/>
      <c r="O123" s="129"/>
      <c r="P123" s="364"/>
      <c r="Q123" s="364"/>
      <c r="R123" s="129"/>
      <c r="S123" s="129"/>
      <c r="T123" s="129"/>
      <c r="U123" s="363"/>
      <c r="W123" s="129" t="s">
        <v>4876</v>
      </c>
      <c r="X123" s="337" t="b">
        <f t="shared" si="4"/>
        <v>0</v>
      </c>
    </row>
    <row r="124" spans="1:24" s="337" customFormat="1" ht="12" customHeight="1" outlineLevel="1">
      <c r="A124" s="335"/>
      <c r="B124" s="118" t="s">
        <v>12</v>
      </c>
      <c r="C124" s="334" t="s">
        <v>5106</v>
      </c>
      <c r="D124" s="124" t="s">
        <v>5107</v>
      </c>
      <c r="E124" s="125"/>
      <c r="F124" s="118" t="s">
        <v>4879</v>
      </c>
      <c r="G124" s="126" t="str">
        <f t="shared" si="5"/>
        <v>ST-SS1-2</v>
      </c>
      <c r="H124" s="255" t="s">
        <v>289</v>
      </c>
      <c r="I124" s="361">
        <v>1</v>
      </c>
      <c r="J124" s="362" t="s">
        <v>286</v>
      </c>
      <c r="K124" s="363"/>
      <c r="L124" s="129"/>
      <c r="M124" s="129"/>
      <c r="N124" s="129"/>
      <c r="O124" s="129"/>
      <c r="P124" s="364"/>
      <c r="Q124" s="364"/>
      <c r="R124" s="129"/>
      <c r="S124" s="129"/>
      <c r="T124" s="129"/>
      <c r="U124" s="363"/>
      <c r="W124" s="129" t="s">
        <v>4876</v>
      </c>
      <c r="X124" s="337" t="b">
        <f t="shared" si="4"/>
        <v>0</v>
      </c>
    </row>
    <row r="125" spans="1:24" s="337" customFormat="1" ht="12" customHeight="1" outlineLevel="1">
      <c r="A125" s="335"/>
      <c r="B125" s="118" t="s">
        <v>12</v>
      </c>
      <c r="C125" s="334" t="s">
        <v>5108</v>
      </c>
      <c r="D125" s="124" t="s">
        <v>5109</v>
      </c>
      <c r="E125" s="125"/>
      <c r="F125" s="118" t="s">
        <v>4879</v>
      </c>
      <c r="G125" s="126" t="str">
        <f t="shared" si="5"/>
        <v>ST-SS1-2</v>
      </c>
      <c r="H125" s="255" t="s">
        <v>289</v>
      </c>
      <c r="I125" s="361">
        <v>1</v>
      </c>
      <c r="J125" s="362" t="s">
        <v>286</v>
      </c>
      <c r="K125" s="363"/>
      <c r="L125" s="129"/>
      <c r="M125" s="129"/>
      <c r="N125" s="129"/>
      <c r="O125" s="129"/>
      <c r="P125" s="364"/>
      <c r="Q125" s="364"/>
      <c r="R125" s="129"/>
      <c r="S125" s="129"/>
      <c r="T125" s="129"/>
      <c r="U125" s="363"/>
      <c r="W125" s="129" t="s">
        <v>4876</v>
      </c>
      <c r="X125" s="337" t="b">
        <f t="shared" si="4"/>
        <v>0</v>
      </c>
    </row>
    <row r="126" spans="1:24" s="337" customFormat="1" ht="12" customHeight="1" outlineLevel="1">
      <c r="A126" s="335"/>
      <c r="B126" s="118" t="s">
        <v>12</v>
      </c>
      <c r="C126" s="334" t="s">
        <v>5110</v>
      </c>
      <c r="D126" s="124" t="s">
        <v>5111</v>
      </c>
      <c r="E126" s="125"/>
      <c r="F126" s="118" t="s">
        <v>4879</v>
      </c>
      <c r="G126" s="126" t="str">
        <f t="shared" si="5"/>
        <v>ST-SS1-2</v>
      </c>
      <c r="H126" s="255" t="s">
        <v>289</v>
      </c>
      <c r="I126" s="361">
        <v>1</v>
      </c>
      <c r="J126" s="362" t="s">
        <v>286</v>
      </c>
      <c r="K126" s="363"/>
      <c r="L126" s="129"/>
      <c r="M126" s="129"/>
      <c r="N126" s="129"/>
      <c r="O126" s="129"/>
      <c r="P126" s="364"/>
      <c r="Q126" s="364"/>
      <c r="R126" s="129"/>
      <c r="S126" s="129"/>
      <c r="T126" s="129"/>
      <c r="U126" s="363"/>
      <c r="W126" s="129" t="s">
        <v>4876</v>
      </c>
      <c r="X126" s="337" t="b">
        <f t="shared" si="4"/>
        <v>0</v>
      </c>
    </row>
    <row r="127" spans="1:24" s="337" customFormat="1" ht="12" customHeight="1" outlineLevel="1">
      <c r="A127" s="335"/>
      <c r="B127" s="118" t="s">
        <v>12</v>
      </c>
      <c r="C127" s="334" t="s">
        <v>5112</v>
      </c>
      <c r="D127" s="124" t="s">
        <v>5113</v>
      </c>
      <c r="E127" s="125"/>
      <c r="F127" s="118" t="s">
        <v>4879</v>
      </c>
      <c r="G127" s="126" t="str">
        <f t="shared" si="5"/>
        <v>ST-SS1-2</v>
      </c>
      <c r="H127" s="255" t="s">
        <v>289</v>
      </c>
      <c r="I127" s="361">
        <v>1</v>
      </c>
      <c r="J127" s="362" t="s">
        <v>286</v>
      </c>
      <c r="K127" s="363"/>
      <c r="L127" s="129"/>
      <c r="M127" s="129"/>
      <c r="N127" s="129"/>
      <c r="O127" s="129"/>
      <c r="P127" s="364"/>
      <c r="Q127" s="364"/>
      <c r="R127" s="129"/>
      <c r="S127" s="129"/>
      <c r="T127" s="129"/>
      <c r="U127" s="363"/>
      <c r="W127" s="129" t="s">
        <v>4876</v>
      </c>
      <c r="X127" s="337" t="b">
        <f t="shared" si="4"/>
        <v>0</v>
      </c>
    </row>
    <row r="128" spans="1:24" s="337" customFormat="1" ht="12" customHeight="1" outlineLevel="1">
      <c r="A128" s="335"/>
      <c r="B128" s="118" t="s">
        <v>12</v>
      </c>
      <c r="C128" s="334" t="s">
        <v>5114</v>
      </c>
      <c r="D128" s="124" t="s">
        <v>5115</v>
      </c>
      <c r="E128" s="125"/>
      <c r="F128" s="118" t="s">
        <v>4879</v>
      </c>
      <c r="G128" s="126" t="str">
        <f t="shared" si="5"/>
        <v>ST-SS1-2</v>
      </c>
      <c r="H128" s="255" t="s">
        <v>289</v>
      </c>
      <c r="I128" s="361">
        <v>1</v>
      </c>
      <c r="J128" s="362" t="s">
        <v>286</v>
      </c>
      <c r="K128" s="363"/>
      <c r="L128" s="129"/>
      <c r="M128" s="129"/>
      <c r="N128" s="129"/>
      <c r="O128" s="129"/>
      <c r="P128" s="364"/>
      <c r="Q128" s="364"/>
      <c r="R128" s="129"/>
      <c r="S128" s="129"/>
      <c r="T128" s="129"/>
      <c r="U128" s="363"/>
      <c r="W128" s="129" t="s">
        <v>4876</v>
      </c>
      <c r="X128" s="337" t="b">
        <f t="shared" si="4"/>
        <v>0</v>
      </c>
    </row>
    <row r="129" spans="1:24" s="337" customFormat="1" ht="12" customHeight="1" outlineLevel="1">
      <c r="A129" s="335"/>
      <c r="B129" s="118" t="s">
        <v>12</v>
      </c>
      <c r="C129" s="334" t="s">
        <v>5116</v>
      </c>
      <c r="D129" s="124" t="s">
        <v>5117</v>
      </c>
      <c r="E129" s="125"/>
      <c r="F129" s="118" t="s">
        <v>4879</v>
      </c>
      <c r="G129" s="126" t="str">
        <f t="shared" si="5"/>
        <v>ST-SS1-2</v>
      </c>
      <c r="H129" s="255" t="s">
        <v>289</v>
      </c>
      <c r="I129" s="361">
        <v>1</v>
      </c>
      <c r="J129" s="362" t="s">
        <v>286</v>
      </c>
      <c r="K129" s="363"/>
      <c r="L129" s="129"/>
      <c r="M129" s="129"/>
      <c r="N129" s="129"/>
      <c r="O129" s="129"/>
      <c r="P129" s="364"/>
      <c r="Q129" s="364"/>
      <c r="R129" s="129"/>
      <c r="S129" s="129"/>
      <c r="T129" s="129"/>
      <c r="U129" s="363"/>
      <c r="W129" s="129" t="s">
        <v>4876</v>
      </c>
      <c r="X129" s="337" t="b">
        <f t="shared" si="4"/>
        <v>0</v>
      </c>
    </row>
    <row r="130" spans="1:24" s="337" customFormat="1" ht="12" customHeight="1" outlineLevel="1">
      <c r="A130" s="335"/>
      <c r="B130" s="118" t="s">
        <v>12</v>
      </c>
      <c r="C130" s="334" t="s">
        <v>5118</v>
      </c>
      <c r="D130" s="124" t="s">
        <v>5119</v>
      </c>
      <c r="E130" s="125"/>
      <c r="F130" s="118" t="s">
        <v>4879</v>
      </c>
      <c r="G130" s="126" t="str">
        <f t="shared" si="5"/>
        <v>ST-SS1-2</v>
      </c>
      <c r="H130" s="255" t="s">
        <v>289</v>
      </c>
      <c r="I130" s="361">
        <v>1</v>
      </c>
      <c r="J130" s="362" t="s">
        <v>286</v>
      </c>
      <c r="K130" s="363"/>
      <c r="L130" s="129"/>
      <c r="M130" s="129"/>
      <c r="N130" s="129"/>
      <c r="O130" s="129"/>
      <c r="P130" s="364"/>
      <c r="Q130" s="364"/>
      <c r="R130" s="129"/>
      <c r="S130" s="129"/>
      <c r="T130" s="129"/>
      <c r="U130" s="363"/>
      <c r="W130" s="129" t="s">
        <v>4876</v>
      </c>
      <c r="X130" s="337" t="b">
        <f t="shared" si="4"/>
        <v>0</v>
      </c>
    </row>
    <row r="131" spans="1:24" s="337" customFormat="1" ht="12" customHeight="1" outlineLevel="1">
      <c r="A131" s="335"/>
      <c r="B131" s="118" t="s">
        <v>12</v>
      </c>
      <c r="C131" s="334" t="s">
        <v>5120</v>
      </c>
      <c r="D131" s="124" t="s">
        <v>5121</v>
      </c>
      <c r="E131" s="125"/>
      <c r="F131" s="118" t="s">
        <v>4879</v>
      </c>
      <c r="G131" s="126" t="str">
        <f t="shared" si="5"/>
        <v>ST-SS1-2</v>
      </c>
      <c r="H131" s="255" t="s">
        <v>289</v>
      </c>
      <c r="I131" s="361">
        <v>1</v>
      </c>
      <c r="J131" s="362" t="s">
        <v>286</v>
      </c>
      <c r="K131" s="363"/>
      <c r="L131" s="129"/>
      <c r="M131" s="129"/>
      <c r="N131" s="129"/>
      <c r="O131" s="129"/>
      <c r="P131" s="364"/>
      <c r="Q131" s="364"/>
      <c r="R131" s="129"/>
      <c r="S131" s="129"/>
      <c r="T131" s="129"/>
      <c r="U131" s="363"/>
      <c r="W131" s="129" t="s">
        <v>4876</v>
      </c>
      <c r="X131" s="337" t="b">
        <f t="shared" si="4"/>
        <v>0</v>
      </c>
    </row>
    <row r="132" spans="1:24" s="337" customFormat="1" ht="12" customHeight="1" outlineLevel="1">
      <c r="A132" s="335"/>
      <c r="B132" s="118" t="s">
        <v>12</v>
      </c>
      <c r="C132" s="334" t="s">
        <v>5122</v>
      </c>
      <c r="D132" s="124" t="s">
        <v>5123</v>
      </c>
      <c r="E132" s="125"/>
      <c r="F132" s="118" t="s">
        <v>4879</v>
      </c>
      <c r="G132" s="126" t="str">
        <f t="shared" si="5"/>
        <v>ST-SS1-2</v>
      </c>
      <c r="H132" s="255" t="s">
        <v>289</v>
      </c>
      <c r="I132" s="361">
        <v>1</v>
      </c>
      <c r="J132" s="362" t="s">
        <v>286</v>
      </c>
      <c r="K132" s="363"/>
      <c r="L132" s="129"/>
      <c r="M132" s="129"/>
      <c r="N132" s="129"/>
      <c r="O132" s="129"/>
      <c r="P132" s="364"/>
      <c r="Q132" s="364"/>
      <c r="R132" s="129"/>
      <c r="S132" s="129"/>
      <c r="T132" s="129"/>
      <c r="U132" s="363"/>
      <c r="W132" s="129" t="s">
        <v>4876</v>
      </c>
      <c r="X132" s="337" t="b">
        <f t="shared" si="4"/>
        <v>0</v>
      </c>
    </row>
    <row r="133" spans="1:24" s="337" customFormat="1" ht="12" customHeight="1" outlineLevel="1">
      <c r="A133" s="335"/>
      <c r="B133" s="118" t="s">
        <v>12</v>
      </c>
      <c r="C133" s="334" t="s">
        <v>5124</v>
      </c>
      <c r="D133" s="124" t="s">
        <v>5125</v>
      </c>
      <c r="E133" s="125"/>
      <c r="F133" s="118" t="s">
        <v>4879</v>
      </c>
      <c r="G133" s="126" t="str">
        <f t="shared" si="5"/>
        <v>ST-SS1-2</v>
      </c>
      <c r="H133" s="255" t="s">
        <v>289</v>
      </c>
      <c r="I133" s="361">
        <v>1</v>
      </c>
      <c r="J133" s="362" t="s">
        <v>286</v>
      </c>
      <c r="K133" s="363"/>
      <c r="L133" s="129"/>
      <c r="M133" s="129"/>
      <c r="N133" s="129"/>
      <c r="O133" s="129"/>
      <c r="P133" s="364"/>
      <c r="Q133" s="364"/>
      <c r="R133" s="129"/>
      <c r="S133" s="129"/>
      <c r="T133" s="129"/>
      <c r="U133" s="363"/>
      <c r="W133" s="129" t="s">
        <v>4876</v>
      </c>
      <c r="X133" s="337" t="b">
        <f t="shared" si="4"/>
        <v>0</v>
      </c>
    </row>
    <row r="134" spans="1:24" s="337" customFormat="1" ht="12" customHeight="1" outlineLevel="1">
      <c r="A134" s="335"/>
      <c r="B134" s="118" t="s">
        <v>12</v>
      </c>
      <c r="C134" s="334" t="s">
        <v>5126</v>
      </c>
      <c r="D134" s="124" t="s">
        <v>5127</v>
      </c>
      <c r="E134" s="125"/>
      <c r="F134" s="118" t="s">
        <v>4879</v>
      </c>
      <c r="G134" s="126" t="str">
        <f t="shared" si="5"/>
        <v>ST-SS1-2</v>
      </c>
      <c r="H134" s="255" t="s">
        <v>289</v>
      </c>
      <c r="I134" s="361">
        <v>1</v>
      </c>
      <c r="J134" s="362" t="s">
        <v>286</v>
      </c>
      <c r="K134" s="363"/>
      <c r="L134" s="129"/>
      <c r="M134" s="129"/>
      <c r="N134" s="129"/>
      <c r="O134" s="129"/>
      <c r="P134" s="364"/>
      <c r="Q134" s="364"/>
      <c r="R134" s="129"/>
      <c r="S134" s="129"/>
      <c r="T134" s="129"/>
      <c r="U134" s="363"/>
      <c r="W134" s="129" t="s">
        <v>4876</v>
      </c>
      <c r="X134" s="337" t="b">
        <f t="shared" si="4"/>
        <v>0</v>
      </c>
    </row>
    <row r="135" spans="1:24" s="337" customFormat="1" ht="12" customHeight="1" outlineLevel="1">
      <c r="A135" s="335"/>
      <c r="B135" s="118" t="s">
        <v>12</v>
      </c>
      <c r="C135" s="334" t="s">
        <v>5128</v>
      </c>
      <c r="D135" s="124" t="s">
        <v>5129</v>
      </c>
      <c r="E135" s="125"/>
      <c r="F135" s="118" t="s">
        <v>4879</v>
      </c>
      <c r="G135" s="126" t="str">
        <f t="shared" si="5"/>
        <v>ST-SS1-2</v>
      </c>
      <c r="H135" s="255" t="s">
        <v>289</v>
      </c>
      <c r="I135" s="361">
        <v>1</v>
      </c>
      <c r="J135" s="362" t="s">
        <v>286</v>
      </c>
      <c r="K135" s="363"/>
      <c r="L135" s="129"/>
      <c r="M135" s="129"/>
      <c r="N135" s="129"/>
      <c r="O135" s="129"/>
      <c r="P135" s="364"/>
      <c r="Q135" s="364"/>
      <c r="R135" s="129"/>
      <c r="S135" s="129"/>
      <c r="T135" s="129"/>
      <c r="U135" s="363"/>
      <c r="W135" s="129" t="s">
        <v>4876</v>
      </c>
      <c r="X135" s="337" t="b">
        <f t="shared" si="4"/>
        <v>0</v>
      </c>
    </row>
    <row r="136" spans="1:24" s="337" customFormat="1" ht="12" customHeight="1" outlineLevel="1">
      <c r="A136" s="335"/>
      <c r="B136" s="118" t="s">
        <v>12</v>
      </c>
      <c r="C136" s="334" t="s">
        <v>5130</v>
      </c>
      <c r="D136" s="124" t="s">
        <v>5131</v>
      </c>
      <c r="E136" s="125"/>
      <c r="F136" s="118" t="s">
        <v>4879</v>
      </c>
      <c r="G136" s="126" t="str">
        <f t="shared" si="5"/>
        <v>ST-SS1-2</v>
      </c>
      <c r="H136" s="255" t="s">
        <v>289</v>
      </c>
      <c r="I136" s="361">
        <v>1</v>
      </c>
      <c r="J136" s="362" t="s">
        <v>286</v>
      </c>
      <c r="K136" s="363"/>
      <c r="L136" s="129"/>
      <c r="M136" s="129"/>
      <c r="N136" s="129"/>
      <c r="O136" s="129"/>
      <c r="P136" s="364"/>
      <c r="Q136" s="364"/>
      <c r="R136" s="129"/>
      <c r="S136" s="129"/>
      <c r="T136" s="129"/>
      <c r="U136" s="363"/>
      <c r="W136" s="129" t="s">
        <v>4876</v>
      </c>
      <c r="X136" s="337" t="b">
        <f t="shared" si="4"/>
        <v>0</v>
      </c>
    </row>
    <row r="137" spans="1:24" s="337" customFormat="1" ht="12" customHeight="1" outlineLevel="1">
      <c r="A137" s="335"/>
      <c r="B137" s="118" t="s">
        <v>12</v>
      </c>
      <c r="C137" s="334" t="s">
        <v>5132</v>
      </c>
      <c r="D137" s="124" t="s">
        <v>5133</v>
      </c>
      <c r="E137" s="125"/>
      <c r="F137" s="118" t="s">
        <v>4879</v>
      </c>
      <c r="G137" s="126" t="str">
        <f t="shared" ref="G137:G200" si="6">CONCATENATE(B137,"-",F137,"-",H137)</f>
        <v>ST-SS1-2</v>
      </c>
      <c r="H137" s="255" t="s">
        <v>289</v>
      </c>
      <c r="I137" s="361">
        <v>1</v>
      </c>
      <c r="J137" s="362" t="s">
        <v>286</v>
      </c>
      <c r="K137" s="363"/>
      <c r="L137" s="129"/>
      <c r="M137" s="129"/>
      <c r="N137" s="129"/>
      <c r="O137" s="129"/>
      <c r="P137" s="364"/>
      <c r="Q137" s="364"/>
      <c r="R137" s="129"/>
      <c r="S137" s="129"/>
      <c r="T137" s="129"/>
      <c r="U137" s="363"/>
      <c r="W137" s="129" t="s">
        <v>4876</v>
      </c>
      <c r="X137" s="337" t="b">
        <f t="shared" si="4"/>
        <v>0</v>
      </c>
    </row>
    <row r="138" spans="1:24" s="337" customFormat="1" ht="12" customHeight="1" outlineLevel="1">
      <c r="A138" s="335"/>
      <c r="B138" s="118" t="s">
        <v>12</v>
      </c>
      <c r="C138" s="334" t="s">
        <v>5134</v>
      </c>
      <c r="D138" s="124" t="s">
        <v>5135</v>
      </c>
      <c r="E138" s="125"/>
      <c r="F138" s="118" t="s">
        <v>4879</v>
      </c>
      <c r="G138" s="126" t="str">
        <f t="shared" si="6"/>
        <v>ST-SS1-2</v>
      </c>
      <c r="H138" s="255" t="s">
        <v>289</v>
      </c>
      <c r="I138" s="361">
        <v>1</v>
      </c>
      <c r="J138" s="362" t="s">
        <v>286</v>
      </c>
      <c r="K138" s="363"/>
      <c r="L138" s="129"/>
      <c r="M138" s="129"/>
      <c r="N138" s="129"/>
      <c r="O138" s="129"/>
      <c r="P138" s="364"/>
      <c r="Q138" s="364"/>
      <c r="R138" s="129"/>
      <c r="S138" s="129"/>
      <c r="T138" s="129"/>
      <c r="U138" s="363"/>
      <c r="W138" s="129" t="s">
        <v>4876</v>
      </c>
      <c r="X138" s="337" t="b">
        <f t="shared" ref="X138:X161" si="7">W138=J138</f>
        <v>0</v>
      </c>
    </row>
    <row r="139" spans="1:24" s="337" customFormat="1" ht="12" customHeight="1" outlineLevel="1">
      <c r="A139" s="335"/>
      <c r="B139" s="118" t="s">
        <v>12</v>
      </c>
      <c r="C139" s="334" t="s">
        <v>5136</v>
      </c>
      <c r="D139" s="124" t="s">
        <v>5137</v>
      </c>
      <c r="E139" s="125"/>
      <c r="F139" s="118" t="s">
        <v>4879</v>
      </c>
      <c r="G139" s="126" t="str">
        <f t="shared" si="6"/>
        <v>ST-SS1-2</v>
      </c>
      <c r="H139" s="255" t="s">
        <v>289</v>
      </c>
      <c r="I139" s="361">
        <v>1</v>
      </c>
      <c r="J139" s="362" t="s">
        <v>286</v>
      </c>
      <c r="K139" s="363"/>
      <c r="L139" s="129"/>
      <c r="M139" s="129"/>
      <c r="N139" s="129"/>
      <c r="O139" s="129"/>
      <c r="P139" s="364"/>
      <c r="Q139" s="364"/>
      <c r="R139" s="129"/>
      <c r="S139" s="129"/>
      <c r="T139" s="129"/>
      <c r="U139" s="363"/>
      <c r="W139" s="129" t="s">
        <v>4876</v>
      </c>
      <c r="X139" s="337" t="b">
        <f t="shared" si="7"/>
        <v>0</v>
      </c>
    </row>
    <row r="140" spans="1:24" s="337" customFormat="1" ht="12" customHeight="1" outlineLevel="1">
      <c r="A140" s="335"/>
      <c r="B140" s="118" t="s">
        <v>12</v>
      </c>
      <c r="C140" s="334" t="s">
        <v>5138</v>
      </c>
      <c r="D140" s="124" t="s">
        <v>5139</v>
      </c>
      <c r="E140" s="125"/>
      <c r="F140" s="118" t="s">
        <v>4879</v>
      </c>
      <c r="G140" s="126" t="str">
        <f t="shared" si="6"/>
        <v>ST-SS1-2</v>
      </c>
      <c r="H140" s="255" t="s">
        <v>289</v>
      </c>
      <c r="I140" s="361">
        <v>1</v>
      </c>
      <c r="J140" s="362" t="s">
        <v>286</v>
      </c>
      <c r="K140" s="363"/>
      <c r="L140" s="129"/>
      <c r="M140" s="129"/>
      <c r="N140" s="129"/>
      <c r="O140" s="129"/>
      <c r="P140" s="364"/>
      <c r="Q140" s="364"/>
      <c r="R140" s="129"/>
      <c r="S140" s="129"/>
      <c r="T140" s="129"/>
      <c r="U140" s="363"/>
      <c r="W140" s="129" t="s">
        <v>4876</v>
      </c>
      <c r="X140" s="337" t="b">
        <f t="shared" si="7"/>
        <v>0</v>
      </c>
    </row>
    <row r="141" spans="1:24" s="337" customFormat="1" ht="12" customHeight="1" outlineLevel="1">
      <c r="A141" s="335"/>
      <c r="B141" s="118" t="s">
        <v>12</v>
      </c>
      <c r="C141" s="334" t="s">
        <v>5140</v>
      </c>
      <c r="D141" s="124" t="s">
        <v>5141</v>
      </c>
      <c r="E141" s="125"/>
      <c r="F141" s="118" t="s">
        <v>4879</v>
      </c>
      <c r="G141" s="126" t="str">
        <f t="shared" si="6"/>
        <v>ST-SS1-2</v>
      </c>
      <c r="H141" s="255" t="s">
        <v>289</v>
      </c>
      <c r="I141" s="361">
        <v>1</v>
      </c>
      <c r="J141" s="362" t="s">
        <v>286</v>
      </c>
      <c r="K141" s="363"/>
      <c r="L141" s="129"/>
      <c r="M141" s="129"/>
      <c r="N141" s="129"/>
      <c r="O141" s="129"/>
      <c r="P141" s="364"/>
      <c r="Q141" s="364"/>
      <c r="R141" s="129"/>
      <c r="S141" s="129"/>
      <c r="T141" s="129"/>
      <c r="U141" s="363"/>
      <c r="W141" s="129" t="s">
        <v>4876</v>
      </c>
      <c r="X141" s="337" t="b">
        <f t="shared" si="7"/>
        <v>0</v>
      </c>
    </row>
    <row r="142" spans="1:24" s="337" customFormat="1" ht="12" customHeight="1" outlineLevel="1">
      <c r="A142" s="335"/>
      <c r="B142" s="118" t="s">
        <v>12</v>
      </c>
      <c r="C142" s="334" t="s">
        <v>5142</v>
      </c>
      <c r="D142" s="124" t="s">
        <v>5143</v>
      </c>
      <c r="E142" s="125"/>
      <c r="F142" s="118" t="s">
        <v>4879</v>
      </c>
      <c r="G142" s="126" t="str">
        <f t="shared" si="6"/>
        <v>ST-SS1-2</v>
      </c>
      <c r="H142" s="255" t="s">
        <v>289</v>
      </c>
      <c r="I142" s="361">
        <v>1</v>
      </c>
      <c r="J142" s="362" t="s">
        <v>286</v>
      </c>
      <c r="K142" s="363"/>
      <c r="L142" s="129"/>
      <c r="M142" s="129"/>
      <c r="N142" s="129"/>
      <c r="O142" s="129"/>
      <c r="P142" s="364"/>
      <c r="Q142" s="364"/>
      <c r="R142" s="129"/>
      <c r="S142" s="129"/>
      <c r="T142" s="129"/>
      <c r="U142" s="363"/>
      <c r="W142" s="129" t="s">
        <v>4876</v>
      </c>
      <c r="X142" s="337" t="b">
        <f t="shared" si="7"/>
        <v>0</v>
      </c>
    </row>
    <row r="143" spans="1:24" s="337" customFormat="1" ht="12" customHeight="1" outlineLevel="1">
      <c r="A143" s="335"/>
      <c r="B143" s="118" t="s">
        <v>12</v>
      </c>
      <c r="C143" s="334" t="s">
        <v>5144</v>
      </c>
      <c r="D143" s="124" t="s">
        <v>5145</v>
      </c>
      <c r="E143" s="125"/>
      <c r="F143" s="118" t="s">
        <v>4879</v>
      </c>
      <c r="G143" s="126" t="str">
        <f t="shared" si="6"/>
        <v>ST-SS1-2</v>
      </c>
      <c r="H143" s="255" t="s">
        <v>289</v>
      </c>
      <c r="I143" s="361">
        <v>1</v>
      </c>
      <c r="J143" s="362" t="s">
        <v>286</v>
      </c>
      <c r="K143" s="363"/>
      <c r="L143" s="129"/>
      <c r="M143" s="129"/>
      <c r="N143" s="129"/>
      <c r="O143" s="129"/>
      <c r="P143" s="364"/>
      <c r="Q143" s="364"/>
      <c r="R143" s="129"/>
      <c r="S143" s="129"/>
      <c r="T143" s="129"/>
      <c r="U143" s="363"/>
      <c r="W143" s="129" t="s">
        <v>4876</v>
      </c>
      <c r="X143" s="337" t="b">
        <f t="shared" si="7"/>
        <v>0</v>
      </c>
    </row>
    <row r="144" spans="1:24" s="337" customFormat="1" ht="12" customHeight="1" outlineLevel="1">
      <c r="A144" s="335"/>
      <c r="B144" s="118" t="s">
        <v>12</v>
      </c>
      <c r="C144" s="334" t="s">
        <v>5146</v>
      </c>
      <c r="D144" s="124" t="s">
        <v>5147</v>
      </c>
      <c r="E144" s="125"/>
      <c r="F144" s="118" t="s">
        <v>4879</v>
      </c>
      <c r="G144" s="126" t="str">
        <f t="shared" si="6"/>
        <v>ST-SS1-1</v>
      </c>
      <c r="H144" s="255" t="s">
        <v>304</v>
      </c>
      <c r="I144" s="361">
        <v>1</v>
      </c>
      <c r="J144" s="362" t="s">
        <v>286</v>
      </c>
      <c r="K144" s="363"/>
      <c r="L144" s="129"/>
      <c r="M144" s="129"/>
      <c r="N144" s="129"/>
      <c r="O144" s="129"/>
      <c r="P144" s="364"/>
      <c r="Q144" s="364"/>
      <c r="R144" s="129"/>
      <c r="S144" s="129"/>
      <c r="T144" s="129"/>
      <c r="U144" s="363"/>
      <c r="W144" s="129" t="s">
        <v>4876</v>
      </c>
      <c r="X144" s="337" t="b">
        <f t="shared" si="7"/>
        <v>0</v>
      </c>
    </row>
    <row r="145" spans="1:24" s="337" customFormat="1" ht="12" customHeight="1" outlineLevel="1">
      <c r="A145" s="335"/>
      <c r="B145" s="118" t="s">
        <v>12</v>
      </c>
      <c r="C145" s="334" t="s">
        <v>5148</v>
      </c>
      <c r="D145" s="124" t="s">
        <v>5149</v>
      </c>
      <c r="E145" s="125"/>
      <c r="F145" s="118" t="s">
        <v>4879</v>
      </c>
      <c r="G145" s="126" t="str">
        <f t="shared" si="6"/>
        <v>ST-SS1-1</v>
      </c>
      <c r="H145" s="255" t="s">
        <v>304</v>
      </c>
      <c r="I145" s="361">
        <v>1</v>
      </c>
      <c r="J145" s="362" t="s">
        <v>286</v>
      </c>
      <c r="K145" s="363"/>
      <c r="L145" s="129"/>
      <c r="M145" s="129"/>
      <c r="N145" s="129"/>
      <c r="O145" s="129"/>
      <c r="P145" s="364"/>
      <c r="Q145" s="364"/>
      <c r="R145" s="129"/>
      <c r="S145" s="129"/>
      <c r="T145" s="129"/>
      <c r="U145" s="363"/>
      <c r="W145" s="129" t="s">
        <v>4876</v>
      </c>
      <c r="X145" s="337" t="b">
        <f t="shared" si="7"/>
        <v>0</v>
      </c>
    </row>
    <row r="146" spans="1:24" s="337" customFormat="1" ht="12" customHeight="1" outlineLevel="1">
      <c r="A146" s="335"/>
      <c r="B146" s="118" t="s">
        <v>12</v>
      </c>
      <c r="C146" s="334" t="s">
        <v>5150</v>
      </c>
      <c r="D146" s="124" t="s">
        <v>5151</v>
      </c>
      <c r="E146" s="125"/>
      <c r="F146" s="118" t="s">
        <v>4879</v>
      </c>
      <c r="G146" s="126" t="str">
        <f t="shared" si="6"/>
        <v>ST-SS1-1</v>
      </c>
      <c r="H146" s="255" t="s">
        <v>304</v>
      </c>
      <c r="I146" s="361">
        <v>1</v>
      </c>
      <c r="J146" s="362" t="s">
        <v>286</v>
      </c>
      <c r="K146" s="363"/>
      <c r="L146" s="129"/>
      <c r="M146" s="129"/>
      <c r="N146" s="129"/>
      <c r="O146" s="129"/>
      <c r="P146" s="364"/>
      <c r="Q146" s="364"/>
      <c r="R146" s="129"/>
      <c r="S146" s="129"/>
      <c r="T146" s="129"/>
      <c r="U146" s="363"/>
      <c r="W146" s="129" t="s">
        <v>4876</v>
      </c>
      <c r="X146" s="337" t="b">
        <f t="shared" si="7"/>
        <v>0</v>
      </c>
    </row>
    <row r="147" spans="1:24" s="337" customFormat="1" ht="12" customHeight="1" outlineLevel="1">
      <c r="A147" s="335"/>
      <c r="B147" s="118" t="s">
        <v>12</v>
      </c>
      <c r="C147" s="334" t="s">
        <v>5152</v>
      </c>
      <c r="D147" s="124" t="s">
        <v>5153</v>
      </c>
      <c r="E147" s="125"/>
      <c r="F147" s="118" t="s">
        <v>4879</v>
      </c>
      <c r="G147" s="126" t="str">
        <f t="shared" si="6"/>
        <v>ST-SS1-1</v>
      </c>
      <c r="H147" s="255" t="s">
        <v>304</v>
      </c>
      <c r="I147" s="361">
        <v>1</v>
      </c>
      <c r="J147" s="362" t="s">
        <v>286</v>
      </c>
      <c r="K147" s="363"/>
      <c r="L147" s="129"/>
      <c r="M147" s="129"/>
      <c r="N147" s="129"/>
      <c r="O147" s="129"/>
      <c r="P147" s="364"/>
      <c r="Q147" s="364"/>
      <c r="R147" s="129"/>
      <c r="S147" s="129"/>
      <c r="T147" s="129"/>
      <c r="U147" s="363"/>
      <c r="W147" s="129" t="s">
        <v>4876</v>
      </c>
      <c r="X147" s="337" t="b">
        <f t="shared" si="7"/>
        <v>0</v>
      </c>
    </row>
    <row r="148" spans="1:24" s="337" customFormat="1" ht="12" customHeight="1" outlineLevel="1">
      <c r="A148" s="335"/>
      <c r="B148" s="118" t="s">
        <v>12</v>
      </c>
      <c r="C148" s="334" t="s">
        <v>5154</v>
      </c>
      <c r="D148" s="124" t="s">
        <v>5155</v>
      </c>
      <c r="E148" s="125"/>
      <c r="F148" s="118" t="s">
        <v>4879</v>
      </c>
      <c r="G148" s="126" t="str">
        <f t="shared" si="6"/>
        <v>ST-SS1-1</v>
      </c>
      <c r="H148" s="255" t="s">
        <v>304</v>
      </c>
      <c r="I148" s="361">
        <v>1</v>
      </c>
      <c r="J148" s="362" t="s">
        <v>286</v>
      </c>
      <c r="K148" s="363"/>
      <c r="L148" s="129"/>
      <c r="M148" s="129"/>
      <c r="N148" s="129"/>
      <c r="O148" s="129"/>
      <c r="P148" s="364"/>
      <c r="Q148" s="364"/>
      <c r="R148" s="129"/>
      <c r="S148" s="129"/>
      <c r="T148" s="129"/>
      <c r="U148" s="363"/>
      <c r="W148" s="129" t="s">
        <v>4876</v>
      </c>
      <c r="X148" s="337" t="b">
        <f t="shared" si="7"/>
        <v>0</v>
      </c>
    </row>
    <row r="149" spans="1:24" s="337" customFormat="1" ht="12" customHeight="1" outlineLevel="1">
      <c r="A149" s="335"/>
      <c r="B149" s="118" t="s">
        <v>12</v>
      </c>
      <c r="C149" s="334" t="s">
        <v>5156</v>
      </c>
      <c r="D149" s="124" t="s">
        <v>5157</v>
      </c>
      <c r="E149" s="125"/>
      <c r="F149" s="118" t="s">
        <v>4879</v>
      </c>
      <c r="G149" s="126" t="str">
        <f t="shared" si="6"/>
        <v>ST-SS1-2</v>
      </c>
      <c r="H149" s="255" t="s">
        <v>289</v>
      </c>
      <c r="I149" s="361">
        <v>1</v>
      </c>
      <c r="J149" s="362" t="s">
        <v>286</v>
      </c>
      <c r="K149" s="363"/>
      <c r="L149" s="129"/>
      <c r="M149" s="129"/>
      <c r="N149" s="129"/>
      <c r="O149" s="129"/>
      <c r="P149" s="364"/>
      <c r="Q149" s="364"/>
      <c r="R149" s="129"/>
      <c r="S149" s="129"/>
      <c r="T149" s="129"/>
      <c r="U149" s="363"/>
      <c r="W149" s="129" t="s">
        <v>4876</v>
      </c>
      <c r="X149" s="337" t="b">
        <f t="shared" si="7"/>
        <v>0</v>
      </c>
    </row>
    <row r="150" spans="1:24" s="337" customFormat="1" ht="12" customHeight="1" outlineLevel="1">
      <c r="A150" s="335"/>
      <c r="B150" s="118" t="s">
        <v>12</v>
      </c>
      <c r="C150" s="334" t="s">
        <v>5158</v>
      </c>
      <c r="D150" s="124" t="s">
        <v>5159</v>
      </c>
      <c r="E150" s="125"/>
      <c r="F150" s="118" t="s">
        <v>4879</v>
      </c>
      <c r="G150" s="126" t="str">
        <f t="shared" si="6"/>
        <v>ST-SS1-2</v>
      </c>
      <c r="H150" s="255" t="s">
        <v>289</v>
      </c>
      <c r="I150" s="361">
        <v>1</v>
      </c>
      <c r="J150" s="362" t="s">
        <v>286</v>
      </c>
      <c r="K150" s="363"/>
      <c r="L150" s="129"/>
      <c r="M150" s="129"/>
      <c r="N150" s="129"/>
      <c r="O150" s="129"/>
      <c r="P150" s="364"/>
      <c r="Q150" s="364"/>
      <c r="R150" s="129"/>
      <c r="S150" s="129"/>
      <c r="T150" s="129"/>
      <c r="U150" s="363"/>
      <c r="W150" s="129" t="s">
        <v>4876</v>
      </c>
      <c r="X150" s="337" t="b">
        <f t="shared" si="7"/>
        <v>0</v>
      </c>
    </row>
    <row r="151" spans="1:24" s="337" customFormat="1" ht="12" customHeight="1" outlineLevel="1">
      <c r="A151" s="335"/>
      <c r="B151" s="118" t="s">
        <v>12</v>
      </c>
      <c r="C151" s="334" t="s">
        <v>5160</v>
      </c>
      <c r="D151" s="124" t="s">
        <v>5161</v>
      </c>
      <c r="E151" s="125"/>
      <c r="F151" s="118" t="s">
        <v>4879</v>
      </c>
      <c r="G151" s="126" t="str">
        <f t="shared" si="6"/>
        <v>ST-SS1-2</v>
      </c>
      <c r="H151" s="255" t="s">
        <v>289</v>
      </c>
      <c r="I151" s="361">
        <v>1</v>
      </c>
      <c r="J151" s="362" t="s">
        <v>286</v>
      </c>
      <c r="K151" s="363"/>
      <c r="L151" s="129"/>
      <c r="M151" s="129"/>
      <c r="N151" s="129"/>
      <c r="O151" s="129"/>
      <c r="P151" s="364"/>
      <c r="Q151" s="364"/>
      <c r="R151" s="129"/>
      <c r="S151" s="129"/>
      <c r="T151" s="129"/>
      <c r="U151" s="363"/>
      <c r="W151" s="129" t="s">
        <v>4876</v>
      </c>
      <c r="X151" s="337" t="b">
        <f t="shared" si="7"/>
        <v>0</v>
      </c>
    </row>
    <row r="152" spans="1:24" s="337" customFormat="1" ht="12" customHeight="1" outlineLevel="1">
      <c r="A152" s="335"/>
      <c r="B152" s="118" t="s">
        <v>12</v>
      </c>
      <c r="C152" s="334" t="s">
        <v>5162</v>
      </c>
      <c r="D152" s="124" t="s">
        <v>5163</v>
      </c>
      <c r="E152" s="125"/>
      <c r="F152" s="118" t="s">
        <v>4879</v>
      </c>
      <c r="G152" s="126" t="str">
        <f t="shared" si="6"/>
        <v>ST-SS1-2</v>
      </c>
      <c r="H152" s="255" t="s">
        <v>289</v>
      </c>
      <c r="I152" s="361">
        <v>1</v>
      </c>
      <c r="J152" s="362" t="s">
        <v>286</v>
      </c>
      <c r="K152" s="363"/>
      <c r="L152" s="129"/>
      <c r="M152" s="129"/>
      <c r="N152" s="129"/>
      <c r="O152" s="129"/>
      <c r="P152" s="364"/>
      <c r="Q152" s="364"/>
      <c r="R152" s="129"/>
      <c r="S152" s="129"/>
      <c r="T152" s="129"/>
      <c r="U152" s="363"/>
      <c r="W152" s="129" t="s">
        <v>4876</v>
      </c>
      <c r="X152" s="337" t="b">
        <f t="shared" si="7"/>
        <v>0</v>
      </c>
    </row>
    <row r="153" spans="1:24" s="337" customFormat="1" ht="12" customHeight="1" outlineLevel="1">
      <c r="A153" s="335"/>
      <c r="B153" s="118" t="s">
        <v>12</v>
      </c>
      <c r="C153" s="334" t="s">
        <v>5164</v>
      </c>
      <c r="D153" s="124" t="s">
        <v>5165</v>
      </c>
      <c r="E153" s="125"/>
      <c r="F153" s="118" t="s">
        <v>4879</v>
      </c>
      <c r="G153" s="126" t="str">
        <f t="shared" si="6"/>
        <v>ST-SS1-1</v>
      </c>
      <c r="H153" s="255" t="s">
        <v>304</v>
      </c>
      <c r="I153" s="361">
        <v>1</v>
      </c>
      <c r="J153" s="362" t="s">
        <v>286</v>
      </c>
      <c r="K153" s="363"/>
      <c r="L153" s="129"/>
      <c r="M153" s="129"/>
      <c r="N153" s="129"/>
      <c r="O153" s="129"/>
      <c r="P153" s="364"/>
      <c r="Q153" s="364"/>
      <c r="R153" s="129"/>
      <c r="S153" s="129"/>
      <c r="T153" s="129"/>
      <c r="U153" s="363"/>
      <c r="W153" s="129" t="s">
        <v>4876</v>
      </c>
      <c r="X153" s="337" t="b">
        <f t="shared" si="7"/>
        <v>0</v>
      </c>
    </row>
    <row r="154" spans="1:24" s="337" customFormat="1" ht="12" customHeight="1" outlineLevel="1">
      <c r="A154" s="335"/>
      <c r="B154" s="118" t="s">
        <v>12</v>
      </c>
      <c r="C154" s="334" t="s">
        <v>5166</v>
      </c>
      <c r="D154" s="124" t="s">
        <v>5167</v>
      </c>
      <c r="E154" s="125"/>
      <c r="F154" s="118" t="s">
        <v>4879</v>
      </c>
      <c r="G154" s="126" t="str">
        <f t="shared" si="6"/>
        <v>ST-SS1-1</v>
      </c>
      <c r="H154" s="255" t="s">
        <v>304</v>
      </c>
      <c r="I154" s="361">
        <v>1</v>
      </c>
      <c r="J154" s="362" t="s">
        <v>286</v>
      </c>
      <c r="K154" s="363"/>
      <c r="L154" s="129"/>
      <c r="M154" s="129"/>
      <c r="N154" s="129"/>
      <c r="O154" s="129"/>
      <c r="P154" s="364"/>
      <c r="Q154" s="364"/>
      <c r="R154" s="129"/>
      <c r="S154" s="129"/>
      <c r="T154" s="129"/>
      <c r="U154" s="363"/>
      <c r="W154" s="129" t="s">
        <v>4876</v>
      </c>
      <c r="X154" s="337" t="b">
        <f t="shared" si="7"/>
        <v>0</v>
      </c>
    </row>
    <row r="155" spans="1:24" s="337" customFormat="1" ht="12" customHeight="1" outlineLevel="1">
      <c r="A155" s="335"/>
      <c r="B155" s="118" t="s">
        <v>12</v>
      </c>
      <c r="C155" s="334" t="s">
        <v>5168</v>
      </c>
      <c r="D155" s="124" t="s">
        <v>5169</v>
      </c>
      <c r="E155" s="125"/>
      <c r="F155" s="118" t="s">
        <v>4879</v>
      </c>
      <c r="G155" s="126" t="str">
        <f t="shared" si="6"/>
        <v>ST-SS1-1</v>
      </c>
      <c r="H155" s="255" t="s">
        <v>304</v>
      </c>
      <c r="I155" s="361">
        <v>1</v>
      </c>
      <c r="J155" s="362" t="s">
        <v>286</v>
      </c>
      <c r="K155" s="363"/>
      <c r="L155" s="129"/>
      <c r="M155" s="129"/>
      <c r="N155" s="129"/>
      <c r="O155" s="129"/>
      <c r="P155" s="364"/>
      <c r="Q155" s="364"/>
      <c r="R155" s="129"/>
      <c r="S155" s="129"/>
      <c r="T155" s="129"/>
      <c r="U155" s="363"/>
      <c r="W155" s="129" t="s">
        <v>4876</v>
      </c>
      <c r="X155" s="337" t="b">
        <f t="shared" si="7"/>
        <v>0</v>
      </c>
    </row>
    <row r="156" spans="1:24" s="337" customFormat="1" ht="12" customHeight="1" outlineLevel="1">
      <c r="A156" s="335"/>
      <c r="B156" s="118" t="s">
        <v>12</v>
      </c>
      <c r="C156" s="334" t="s">
        <v>5170</v>
      </c>
      <c r="D156" s="124" t="s">
        <v>5171</v>
      </c>
      <c r="E156" s="125"/>
      <c r="F156" s="118" t="s">
        <v>4879</v>
      </c>
      <c r="G156" s="126" t="str">
        <f t="shared" si="6"/>
        <v>ST-SS1-1</v>
      </c>
      <c r="H156" s="255" t="s">
        <v>304</v>
      </c>
      <c r="I156" s="361">
        <v>1</v>
      </c>
      <c r="J156" s="362" t="s">
        <v>286</v>
      </c>
      <c r="K156" s="363"/>
      <c r="L156" s="129"/>
      <c r="M156" s="129"/>
      <c r="N156" s="129"/>
      <c r="O156" s="129"/>
      <c r="P156" s="364"/>
      <c r="Q156" s="364"/>
      <c r="R156" s="129"/>
      <c r="S156" s="129"/>
      <c r="T156" s="129"/>
      <c r="U156" s="363"/>
      <c r="W156" s="129" t="s">
        <v>4876</v>
      </c>
      <c r="X156" s="337" t="b">
        <f t="shared" si="7"/>
        <v>0</v>
      </c>
    </row>
    <row r="157" spans="1:24" s="337" customFormat="1" ht="12" customHeight="1" outlineLevel="1">
      <c r="A157" s="335"/>
      <c r="B157" s="118" t="s">
        <v>12</v>
      </c>
      <c r="C157" s="334" t="s">
        <v>5172</v>
      </c>
      <c r="D157" s="124" t="s">
        <v>5173</v>
      </c>
      <c r="E157" s="125"/>
      <c r="F157" s="118" t="s">
        <v>4879</v>
      </c>
      <c r="G157" s="126" t="str">
        <f t="shared" si="6"/>
        <v>ST-SS1-1</v>
      </c>
      <c r="H157" s="255" t="s">
        <v>304</v>
      </c>
      <c r="I157" s="361">
        <v>1</v>
      </c>
      <c r="J157" s="362" t="s">
        <v>286</v>
      </c>
      <c r="K157" s="363"/>
      <c r="L157" s="129"/>
      <c r="M157" s="129"/>
      <c r="N157" s="129"/>
      <c r="O157" s="129"/>
      <c r="P157" s="364"/>
      <c r="Q157" s="364"/>
      <c r="R157" s="129"/>
      <c r="S157" s="129"/>
      <c r="T157" s="129"/>
      <c r="U157" s="363"/>
      <c r="W157" s="129" t="s">
        <v>4876</v>
      </c>
      <c r="X157" s="337" t="b">
        <f t="shared" si="7"/>
        <v>0</v>
      </c>
    </row>
    <row r="158" spans="1:24" s="337" customFormat="1" ht="12" customHeight="1" outlineLevel="1">
      <c r="A158" s="335"/>
      <c r="B158" s="118" t="s">
        <v>12</v>
      </c>
      <c r="C158" s="334" t="s">
        <v>5174</v>
      </c>
      <c r="D158" s="124" t="s">
        <v>5175</v>
      </c>
      <c r="E158" s="125"/>
      <c r="F158" s="118" t="s">
        <v>4879</v>
      </c>
      <c r="G158" s="126" t="str">
        <f t="shared" si="6"/>
        <v>ST-SS1-2</v>
      </c>
      <c r="H158" s="255" t="s">
        <v>289</v>
      </c>
      <c r="I158" s="361">
        <v>1</v>
      </c>
      <c r="J158" s="362" t="s">
        <v>286</v>
      </c>
      <c r="K158" s="363"/>
      <c r="L158" s="129"/>
      <c r="M158" s="129"/>
      <c r="N158" s="129"/>
      <c r="O158" s="129"/>
      <c r="P158" s="364"/>
      <c r="Q158" s="364"/>
      <c r="R158" s="129"/>
      <c r="S158" s="129"/>
      <c r="T158" s="129"/>
      <c r="U158" s="363"/>
      <c r="W158" s="129" t="s">
        <v>4876</v>
      </c>
      <c r="X158" s="337" t="b">
        <f t="shared" si="7"/>
        <v>0</v>
      </c>
    </row>
    <row r="159" spans="1:24" s="337" customFormat="1" ht="12" customHeight="1" outlineLevel="1">
      <c r="A159" s="335"/>
      <c r="B159" s="118" t="s">
        <v>12</v>
      </c>
      <c r="C159" s="334" t="s">
        <v>5176</v>
      </c>
      <c r="D159" s="124" t="s">
        <v>5177</v>
      </c>
      <c r="E159" s="125"/>
      <c r="F159" s="118" t="s">
        <v>4879</v>
      </c>
      <c r="G159" s="126" t="str">
        <f t="shared" si="6"/>
        <v>ST-SS1-2</v>
      </c>
      <c r="H159" s="255" t="s">
        <v>289</v>
      </c>
      <c r="I159" s="361">
        <v>1</v>
      </c>
      <c r="J159" s="362" t="s">
        <v>286</v>
      </c>
      <c r="K159" s="363"/>
      <c r="L159" s="129"/>
      <c r="M159" s="129"/>
      <c r="N159" s="129"/>
      <c r="O159" s="129"/>
      <c r="P159" s="364"/>
      <c r="Q159" s="364"/>
      <c r="R159" s="129"/>
      <c r="S159" s="129"/>
      <c r="T159" s="129"/>
      <c r="U159" s="363"/>
      <c r="W159" s="129" t="s">
        <v>4876</v>
      </c>
      <c r="X159" s="337" t="b">
        <f t="shared" si="7"/>
        <v>0</v>
      </c>
    </row>
    <row r="160" spans="1:24" s="337" customFormat="1" ht="12" customHeight="1" outlineLevel="1">
      <c r="A160" s="335"/>
      <c r="B160" s="118" t="s">
        <v>12</v>
      </c>
      <c r="C160" s="334" t="s">
        <v>5178</v>
      </c>
      <c r="D160" s="124" t="s">
        <v>5179</v>
      </c>
      <c r="E160" s="125"/>
      <c r="F160" s="118" t="s">
        <v>4879</v>
      </c>
      <c r="G160" s="126" t="str">
        <f t="shared" si="6"/>
        <v>ST-SS1-2</v>
      </c>
      <c r="H160" s="255" t="s">
        <v>289</v>
      </c>
      <c r="I160" s="361">
        <v>1</v>
      </c>
      <c r="J160" s="362" t="s">
        <v>286</v>
      </c>
      <c r="K160" s="363"/>
      <c r="L160" s="129"/>
      <c r="M160" s="129"/>
      <c r="N160" s="129"/>
      <c r="O160" s="129"/>
      <c r="P160" s="364"/>
      <c r="Q160" s="364"/>
      <c r="R160" s="129"/>
      <c r="S160" s="129"/>
      <c r="T160" s="129"/>
      <c r="U160" s="363"/>
      <c r="W160" s="129" t="s">
        <v>4876</v>
      </c>
      <c r="X160" s="337" t="b">
        <f t="shared" si="7"/>
        <v>0</v>
      </c>
    </row>
    <row r="161" spans="1:24" s="337" customFormat="1" ht="12" customHeight="1" outlineLevel="1">
      <c r="A161" s="335"/>
      <c r="B161" s="118" t="s">
        <v>12</v>
      </c>
      <c r="C161" s="334" t="s">
        <v>5180</v>
      </c>
      <c r="D161" s="124" t="s">
        <v>5181</v>
      </c>
      <c r="E161" s="125"/>
      <c r="F161" s="118" t="s">
        <v>4879</v>
      </c>
      <c r="G161" s="126" t="str">
        <f t="shared" si="6"/>
        <v>ST-SS1-2</v>
      </c>
      <c r="H161" s="255" t="s">
        <v>289</v>
      </c>
      <c r="I161" s="361">
        <v>1</v>
      </c>
      <c r="J161" s="362" t="s">
        <v>286</v>
      </c>
      <c r="K161" s="363"/>
      <c r="L161" s="129"/>
      <c r="M161" s="129"/>
      <c r="N161" s="129"/>
      <c r="O161" s="129"/>
      <c r="P161" s="364"/>
      <c r="Q161" s="364"/>
      <c r="R161" s="129"/>
      <c r="S161" s="129"/>
      <c r="T161" s="129"/>
      <c r="U161" s="363"/>
      <c r="W161" s="129" t="s">
        <v>4876</v>
      </c>
      <c r="X161" s="337" t="b">
        <f t="shared" si="7"/>
        <v>0</v>
      </c>
    </row>
    <row r="162" spans="1:24" s="360" customFormat="1" ht="12" customHeight="1" outlineLevel="1">
      <c r="A162" s="365"/>
      <c r="B162" s="118"/>
      <c r="C162" s="266" t="s">
        <v>5182</v>
      </c>
      <c r="D162" s="124"/>
      <c r="E162" s="125"/>
      <c r="F162" s="118"/>
      <c r="G162" s="126"/>
      <c r="H162" s="253"/>
      <c r="I162" s="361"/>
      <c r="J162" s="366"/>
    </row>
    <row r="163" spans="1:24" s="337" customFormat="1" ht="12" customHeight="1" outlineLevel="1">
      <c r="A163" s="335"/>
      <c r="B163" s="118" t="s">
        <v>12</v>
      </c>
      <c r="C163" s="334" t="s">
        <v>5183</v>
      </c>
      <c r="D163" s="124" t="s">
        <v>5184</v>
      </c>
      <c r="E163" s="125"/>
      <c r="F163" s="118" t="s">
        <v>5185</v>
      </c>
      <c r="G163" s="126" t="str">
        <f t="shared" si="6"/>
        <v>ST-SS2-1</v>
      </c>
      <c r="H163" s="255">
        <v>1</v>
      </c>
      <c r="I163" s="361">
        <v>1</v>
      </c>
      <c r="J163" s="362" t="s">
        <v>286</v>
      </c>
      <c r="W163" s="129" t="s">
        <v>4876</v>
      </c>
      <c r="X163" s="337" t="b">
        <f t="shared" ref="X163:X208" si="8">W163=J163</f>
        <v>0</v>
      </c>
    </row>
    <row r="164" spans="1:24" s="337" customFormat="1" ht="12" customHeight="1" outlineLevel="1">
      <c r="A164" s="335"/>
      <c r="B164" s="118" t="s">
        <v>12</v>
      </c>
      <c r="C164" s="334" t="s">
        <v>5186</v>
      </c>
      <c r="D164" s="124" t="s">
        <v>5187</v>
      </c>
      <c r="E164" s="125"/>
      <c r="F164" s="118" t="s">
        <v>5185</v>
      </c>
      <c r="G164" s="126" t="str">
        <f t="shared" si="6"/>
        <v>ST-SS2-1</v>
      </c>
      <c r="H164" s="255">
        <v>1</v>
      </c>
      <c r="I164" s="361">
        <v>1</v>
      </c>
      <c r="J164" s="362" t="s">
        <v>286</v>
      </c>
      <c r="W164" s="129" t="s">
        <v>4876</v>
      </c>
      <c r="X164" s="337" t="b">
        <f t="shared" si="8"/>
        <v>0</v>
      </c>
    </row>
    <row r="165" spans="1:24" s="337" customFormat="1" ht="12" customHeight="1" outlineLevel="1">
      <c r="A165" s="335"/>
      <c r="B165" s="118" t="s">
        <v>12</v>
      </c>
      <c r="C165" s="334" t="s">
        <v>5188</v>
      </c>
      <c r="D165" s="124" t="s">
        <v>5189</v>
      </c>
      <c r="E165" s="125"/>
      <c r="F165" s="118" t="s">
        <v>5185</v>
      </c>
      <c r="G165" s="126" t="str">
        <f t="shared" si="6"/>
        <v>ST-SS2-1</v>
      </c>
      <c r="H165" s="255">
        <v>1</v>
      </c>
      <c r="I165" s="361">
        <v>1</v>
      </c>
      <c r="J165" s="362" t="s">
        <v>286</v>
      </c>
      <c r="W165" s="129" t="s">
        <v>4876</v>
      </c>
      <c r="X165" s="337" t="b">
        <f t="shared" si="8"/>
        <v>0</v>
      </c>
    </row>
    <row r="166" spans="1:24" s="337" customFormat="1" ht="12" customHeight="1" outlineLevel="1">
      <c r="A166" s="335"/>
      <c r="B166" s="118" t="s">
        <v>12</v>
      </c>
      <c r="C166" s="334" t="s">
        <v>5190</v>
      </c>
      <c r="D166" s="124" t="s">
        <v>5191</v>
      </c>
      <c r="E166" s="125"/>
      <c r="F166" s="118" t="s">
        <v>5185</v>
      </c>
      <c r="G166" s="126" t="str">
        <f t="shared" si="6"/>
        <v>ST-SS2-1</v>
      </c>
      <c r="H166" s="255">
        <v>1</v>
      </c>
      <c r="I166" s="361">
        <v>1</v>
      </c>
      <c r="J166" s="362" t="s">
        <v>286</v>
      </c>
      <c r="W166" s="129" t="s">
        <v>4876</v>
      </c>
      <c r="X166" s="337" t="b">
        <f t="shared" si="8"/>
        <v>0</v>
      </c>
    </row>
    <row r="167" spans="1:24" s="337" customFormat="1" ht="12" customHeight="1" outlineLevel="1">
      <c r="A167" s="335"/>
      <c r="B167" s="118" t="s">
        <v>12</v>
      </c>
      <c r="C167" s="334" t="s">
        <v>5192</v>
      </c>
      <c r="D167" s="124" t="s">
        <v>5193</v>
      </c>
      <c r="E167" s="125"/>
      <c r="F167" s="118" t="s">
        <v>5185</v>
      </c>
      <c r="G167" s="126" t="str">
        <f t="shared" si="6"/>
        <v>ST-SS2-1</v>
      </c>
      <c r="H167" s="255">
        <v>1</v>
      </c>
      <c r="I167" s="361">
        <v>1</v>
      </c>
      <c r="J167" s="362" t="s">
        <v>286</v>
      </c>
      <c r="W167" s="129" t="s">
        <v>4876</v>
      </c>
      <c r="X167" s="337" t="b">
        <f t="shared" si="8"/>
        <v>0</v>
      </c>
    </row>
    <row r="168" spans="1:24" s="337" customFormat="1" ht="12" customHeight="1" outlineLevel="1">
      <c r="A168" s="335"/>
      <c r="B168" s="118" t="s">
        <v>12</v>
      </c>
      <c r="C168" s="334" t="s">
        <v>5194</v>
      </c>
      <c r="D168" s="124" t="s">
        <v>5195</v>
      </c>
      <c r="E168" s="125"/>
      <c r="F168" s="118" t="s">
        <v>5185</v>
      </c>
      <c r="G168" s="126" t="str">
        <f t="shared" si="6"/>
        <v>ST-SS2-1</v>
      </c>
      <c r="H168" s="255">
        <v>1</v>
      </c>
      <c r="I168" s="361">
        <v>1</v>
      </c>
      <c r="J168" s="362" t="s">
        <v>286</v>
      </c>
      <c r="W168" s="129" t="s">
        <v>4876</v>
      </c>
      <c r="X168" s="337" t="b">
        <f t="shared" si="8"/>
        <v>0</v>
      </c>
    </row>
    <row r="169" spans="1:24" s="337" customFormat="1" ht="12" customHeight="1" outlineLevel="1">
      <c r="A169" s="335"/>
      <c r="B169" s="118" t="s">
        <v>12</v>
      </c>
      <c r="C169" s="334" t="s">
        <v>5196</v>
      </c>
      <c r="D169" s="124" t="s">
        <v>5197</v>
      </c>
      <c r="E169" s="125"/>
      <c r="F169" s="118" t="s">
        <v>5185</v>
      </c>
      <c r="G169" s="126" t="str">
        <f t="shared" si="6"/>
        <v>ST-SS2-1</v>
      </c>
      <c r="H169" s="255">
        <v>1</v>
      </c>
      <c r="I169" s="361">
        <v>1</v>
      </c>
      <c r="J169" s="362" t="s">
        <v>286</v>
      </c>
      <c r="W169" s="129" t="s">
        <v>4876</v>
      </c>
      <c r="X169" s="337" t="b">
        <f t="shared" si="8"/>
        <v>0</v>
      </c>
    </row>
    <row r="170" spans="1:24" s="337" customFormat="1" ht="12" customHeight="1" outlineLevel="1">
      <c r="A170" s="335"/>
      <c r="B170" s="118" t="s">
        <v>12</v>
      </c>
      <c r="C170" s="334" t="s">
        <v>5198</v>
      </c>
      <c r="D170" s="124" t="s">
        <v>5199</v>
      </c>
      <c r="E170" s="125"/>
      <c r="F170" s="118" t="s">
        <v>5185</v>
      </c>
      <c r="G170" s="126" t="str">
        <f t="shared" si="6"/>
        <v>ST-SS2-1</v>
      </c>
      <c r="H170" s="255">
        <v>1</v>
      </c>
      <c r="I170" s="361">
        <v>1</v>
      </c>
      <c r="J170" s="362" t="s">
        <v>286</v>
      </c>
      <c r="W170" s="129" t="s">
        <v>4876</v>
      </c>
      <c r="X170" s="337" t="b">
        <f t="shared" si="8"/>
        <v>0</v>
      </c>
    </row>
    <row r="171" spans="1:24" s="337" customFormat="1" ht="12" customHeight="1" outlineLevel="1">
      <c r="A171" s="335"/>
      <c r="B171" s="118" t="s">
        <v>12</v>
      </c>
      <c r="C171" s="334" t="s">
        <v>5200</v>
      </c>
      <c r="D171" s="124" t="s">
        <v>5201</v>
      </c>
      <c r="E171" s="125"/>
      <c r="F171" s="118" t="s">
        <v>5185</v>
      </c>
      <c r="G171" s="126" t="str">
        <f t="shared" si="6"/>
        <v>ST-SS2-1</v>
      </c>
      <c r="H171" s="255">
        <v>1</v>
      </c>
      <c r="I171" s="361">
        <v>1</v>
      </c>
      <c r="J171" s="362" t="s">
        <v>286</v>
      </c>
      <c r="W171" s="129" t="s">
        <v>4876</v>
      </c>
      <c r="X171" s="337" t="b">
        <f t="shared" si="8"/>
        <v>0</v>
      </c>
    </row>
    <row r="172" spans="1:24" s="337" customFormat="1" ht="12" customHeight="1" outlineLevel="1">
      <c r="A172" s="335"/>
      <c r="B172" s="118" t="s">
        <v>12</v>
      </c>
      <c r="C172" s="334" t="s">
        <v>5202</v>
      </c>
      <c r="D172" s="124" t="s">
        <v>5203</v>
      </c>
      <c r="E172" s="125"/>
      <c r="F172" s="118" t="s">
        <v>5185</v>
      </c>
      <c r="G172" s="126" t="str">
        <f t="shared" si="6"/>
        <v>ST-SS2-1</v>
      </c>
      <c r="H172" s="255">
        <v>1</v>
      </c>
      <c r="I172" s="361">
        <v>1</v>
      </c>
      <c r="J172" s="362" t="s">
        <v>286</v>
      </c>
      <c r="W172" s="129" t="s">
        <v>4876</v>
      </c>
      <c r="X172" s="337" t="b">
        <f t="shared" si="8"/>
        <v>0</v>
      </c>
    </row>
    <row r="173" spans="1:24" s="337" customFormat="1" ht="12" customHeight="1" outlineLevel="1">
      <c r="A173" s="335"/>
      <c r="B173" s="118" t="s">
        <v>12</v>
      </c>
      <c r="C173" s="334" t="s">
        <v>5204</v>
      </c>
      <c r="D173" s="124" t="s">
        <v>5205</v>
      </c>
      <c r="E173" s="125"/>
      <c r="F173" s="118" t="s">
        <v>5185</v>
      </c>
      <c r="G173" s="126" t="str">
        <f t="shared" si="6"/>
        <v>ST-SS2-1</v>
      </c>
      <c r="H173" s="255">
        <v>1</v>
      </c>
      <c r="I173" s="361">
        <v>1</v>
      </c>
      <c r="J173" s="362" t="s">
        <v>310</v>
      </c>
      <c r="W173" s="129" t="s">
        <v>286</v>
      </c>
      <c r="X173" s="337" t="b">
        <f t="shared" si="8"/>
        <v>0</v>
      </c>
    </row>
    <row r="174" spans="1:24" s="337" customFormat="1" ht="12" customHeight="1" outlineLevel="1">
      <c r="A174" s="335"/>
      <c r="B174" s="118" t="s">
        <v>12</v>
      </c>
      <c r="C174" s="334" t="s">
        <v>5206</v>
      </c>
      <c r="D174" s="124" t="s">
        <v>4897</v>
      </c>
      <c r="E174" s="125"/>
      <c r="F174" s="118" t="s">
        <v>5185</v>
      </c>
      <c r="G174" s="126" t="str">
        <f t="shared" si="6"/>
        <v>ST-SS2-1</v>
      </c>
      <c r="H174" s="255">
        <v>1</v>
      </c>
      <c r="I174" s="361">
        <v>1</v>
      </c>
      <c r="J174" s="362" t="s">
        <v>286</v>
      </c>
      <c r="W174" s="129" t="s">
        <v>286</v>
      </c>
      <c r="X174" s="337" t="b">
        <f t="shared" si="8"/>
        <v>1</v>
      </c>
    </row>
    <row r="175" spans="1:24" s="337" customFormat="1" ht="12" customHeight="1" outlineLevel="1">
      <c r="A175" s="335"/>
      <c r="B175" s="118" t="s">
        <v>12</v>
      </c>
      <c r="C175" s="334" t="s">
        <v>5207</v>
      </c>
      <c r="D175" s="124" t="s">
        <v>5208</v>
      </c>
      <c r="E175" s="125"/>
      <c r="F175" s="118" t="s">
        <v>5185</v>
      </c>
      <c r="G175" s="126" t="str">
        <f t="shared" si="6"/>
        <v>ST-SS2-1</v>
      </c>
      <c r="H175" s="255">
        <v>1</v>
      </c>
      <c r="I175" s="361">
        <v>1</v>
      </c>
      <c r="J175" s="362" t="s">
        <v>743</v>
      </c>
      <c r="W175" s="129" t="s">
        <v>286</v>
      </c>
      <c r="X175" s="337" t="b">
        <f t="shared" si="8"/>
        <v>0</v>
      </c>
    </row>
    <row r="176" spans="1:24" s="337" customFormat="1" ht="12" customHeight="1" outlineLevel="1">
      <c r="A176" s="335"/>
      <c r="B176" s="118" t="s">
        <v>12</v>
      </c>
      <c r="C176" s="334" t="s">
        <v>5209</v>
      </c>
      <c r="D176" s="124" t="s">
        <v>5210</v>
      </c>
      <c r="E176" s="125"/>
      <c r="F176" s="118" t="s">
        <v>5185</v>
      </c>
      <c r="G176" s="126" t="str">
        <f t="shared" si="6"/>
        <v>ST-SS2-1</v>
      </c>
      <c r="H176" s="255">
        <v>1</v>
      </c>
      <c r="I176" s="361">
        <v>1</v>
      </c>
      <c r="J176" s="362" t="s">
        <v>310</v>
      </c>
      <c r="W176" s="129" t="s">
        <v>310</v>
      </c>
      <c r="X176" s="337" t="b">
        <f t="shared" si="8"/>
        <v>1</v>
      </c>
    </row>
    <row r="177" spans="1:24" s="337" customFormat="1" ht="12" customHeight="1" outlineLevel="1">
      <c r="A177" s="335"/>
      <c r="B177" s="118" t="s">
        <v>12</v>
      </c>
      <c r="C177" s="334" t="s">
        <v>5211</v>
      </c>
      <c r="D177" s="124" t="s">
        <v>5212</v>
      </c>
      <c r="E177" s="125"/>
      <c r="F177" s="118" t="s">
        <v>5185</v>
      </c>
      <c r="G177" s="126" t="str">
        <f t="shared" si="6"/>
        <v>ST-SS2-1</v>
      </c>
      <c r="H177" s="255">
        <v>1</v>
      </c>
      <c r="I177" s="361">
        <v>1</v>
      </c>
      <c r="J177" s="362" t="s">
        <v>286</v>
      </c>
      <c r="W177" s="129" t="s">
        <v>286</v>
      </c>
      <c r="X177" s="337" t="b">
        <f t="shared" si="8"/>
        <v>1</v>
      </c>
    </row>
    <row r="178" spans="1:24" s="337" customFormat="1" ht="12" customHeight="1" outlineLevel="1">
      <c r="A178" s="335"/>
      <c r="B178" s="118" t="s">
        <v>12</v>
      </c>
      <c r="C178" s="334" t="s">
        <v>5213</v>
      </c>
      <c r="D178" s="124" t="s">
        <v>5214</v>
      </c>
      <c r="E178" s="125"/>
      <c r="F178" s="118" t="s">
        <v>5185</v>
      </c>
      <c r="G178" s="126" t="str">
        <f t="shared" si="6"/>
        <v>ST-SS2-1</v>
      </c>
      <c r="H178" s="255">
        <v>1</v>
      </c>
      <c r="I178" s="361">
        <v>1</v>
      </c>
      <c r="J178" s="362" t="s">
        <v>307</v>
      </c>
      <c r="W178" s="129" t="s">
        <v>307</v>
      </c>
      <c r="X178" s="337" t="b">
        <f t="shared" si="8"/>
        <v>1</v>
      </c>
    </row>
    <row r="179" spans="1:24" s="337" customFormat="1" ht="12" customHeight="1" outlineLevel="1">
      <c r="A179" s="335"/>
      <c r="B179" s="118" t="s">
        <v>12</v>
      </c>
      <c r="C179" s="334" t="s">
        <v>5215</v>
      </c>
      <c r="D179" s="124" t="s">
        <v>5216</v>
      </c>
      <c r="E179" s="125"/>
      <c r="F179" s="118" t="s">
        <v>5185</v>
      </c>
      <c r="G179" s="126" t="str">
        <f t="shared" si="6"/>
        <v>ST-SS2-1</v>
      </c>
      <c r="H179" s="255">
        <v>1</v>
      </c>
      <c r="I179" s="361">
        <v>1</v>
      </c>
      <c r="J179" s="362" t="s">
        <v>286</v>
      </c>
      <c r="W179" s="129" t="s">
        <v>286</v>
      </c>
      <c r="X179" s="337" t="b">
        <f t="shared" si="8"/>
        <v>1</v>
      </c>
    </row>
    <row r="180" spans="1:24" s="337" customFormat="1" ht="12" customHeight="1" outlineLevel="1">
      <c r="A180" s="335"/>
      <c r="B180" s="118" t="s">
        <v>12</v>
      </c>
      <c r="C180" s="334" t="s">
        <v>5217</v>
      </c>
      <c r="D180" s="124" t="s">
        <v>5218</v>
      </c>
      <c r="E180" s="125"/>
      <c r="F180" s="118" t="s">
        <v>5185</v>
      </c>
      <c r="G180" s="126" t="str">
        <f t="shared" si="6"/>
        <v>ST-SS2-1</v>
      </c>
      <c r="H180" s="255">
        <v>1</v>
      </c>
      <c r="I180" s="361">
        <v>1</v>
      </c>
      <c r="J180" s="362" t="s">
        <v>286</v>
      </c>
      <c r="W180" s="129" t="s">
        <v>286</v>
      </c>
      <c r="X180" s="337" t="b">
        <f t="shared" si="8"/>
        <v>1</v>
      </c>
    </row>
    <row r="181" spans="1:24" s="337" customFormat="1" ht="12" customHeight="1" outlineLevel="1">
      <c r="A181" s="335"/>
      <c r="B181" s="118" t="s">
        <v>12</v>
      </c>
      <c r="C181" s="334" t="s">
        <v>5219</v>
      </c>
      <c r="D181" s="124" t="s">
        <v>5220</v>
      </c>
      <c r="E181" s="125"/>
      <c r="F181" s="118" t="s">
        <v>5185</v>
      </c>
      <c r="G181" s="126" t="str">
        <f t="shared" si="6"/>
        <v>ST-SS2-1</v>
      </c>
      <c r="H181" s="255">
        <v>1</v>
      </c>
      <c r="I181" s="361">
        <v>1</v>
      </c>
      <c r="J181" s="362" t="s">
        <v>310</v>
      </c>
      <c r="W181" s="129" t="s">
        <v>286</v>
      </c>
      <c r="X181" s="337" t="b">
        <f t="shared" si="8"/>
        <v>0</v>
      </c>
    </row>
    <row r="182" spans="1:24" s="337" customFormat="1" ht="12" customHeight="1" outlineLevel="1">
      <c r="A182" s="335"/>
      <c r="B182" s="118" t="s">
        <v>12</v>
      </c>
      <c r="C182" s="334" t="s">
        <v>5221</v>
      </c>
      <c r="D182" s="124" t="s">
        <v>5222</v>
      </c>
      <c r="E182" s="125"/>
      <c r="F182" s="118" t="s">
        <v>5185</v>
      </c>
      <c r="G182" s="126" t="str">
        <f t="shared" si="6"/>
        <v>ST-SS2-2</v>
      </c>
      <c r="H182" s="255">
        <v>2</v>
      </c>
      <c r="I182" s="361">
        <v>1</v>
      </c>
      <c r="J182" s="362" t="s">
        <v>310</v>
      </c>
      <c r="W182" s="129" t="s">
        <v>4876</v>
      </c>
      <c r="X182" s="337" t="b">
        <f t="shared" si="8"/>
        <v>0</v>
      </c>
    </row>
    <row r="183" spans="1:24" s="337" customFormat="1" ht="12" customHeight="1" outlineLevel="1">
      <c r="A183" s="335"/>
      <c r="B183" s="118" t="s">
        <v>12</v>
      </c>
      <c r="C183" s="334" t="s">
        <v>5223</v>
      </c>
      <c r="D183" s="124" t="s">
        <v>5224</v>
      </c>
      <c r="E183" s="125"/>
      <c r="F183" s="118" t="s">
        <v>5185</v>
      </c>
      <c r="G183" s="126" t="str">
        <f t="shared" si="6"/>
        <v>ST-SS2-2</v>
      </c>
      <c r="H183" s="255">
        <v>2</v>
      </c>
      <c r="I183" s="361">
        <v>1</v>
      </c>
      <c r="J183" s="362" t="s">
        <v>310</v>
      </c>
      <c r="W183" s="129" t="s">
        <v>286</v>
      </c>
      <c r="X183" s="337" t="b">
        <f t="shared" si="8"/>
        <v>0</v>
      </c>
    </row>
    <row r="184" spans="1:24" s="337" customFormat="1" ht="12" customHeight="1" outlineLevel="1">
      <c r="A184" s="335"/>
      <c r="B184" s="118" t="s">
        <v>12</v>
      </c>
      <c r="C184" s="334" t="s">
        <v>5225</v>
      </c>
      <c r="D184" s="124" t="s">
        <v>5226</v>
      </c>
      <c r="E184" s="125"/>
      <c r="F184" s="118" t="s">
        <v>5185</v>
      </c>
      <c r="G184" s="126" t="str">
        <f t="shared" si="6"/>
        <v>ST-SS2-2</v>
      </c>
      <c r="H184" s="255">
        <v>2</v>
      </c>
      <c r="I184" s="361">
        <v>1</v>
      </c>
      <c r="J184" s="362" t="s">
        <v>310</v>
      </c>
      <c r="W184" s="129" t="s">
        <v>286</v>
      </c>
      <c r="X184" s="337" t="b">
        <f t="shared" si="8"/>
        <v>0</v>
      </c>
    </row>
    <row r="185" spans="1:24" s="337" customFormat="1" ht="12" customHeight="1" outlineLevel="1">
      <c r="A185" s="335"/>
      <c r="B185" s="118" t="s">
        <v>12</v>
      </c>
      <c r="C185" s="334" t="s">
        <v>5227</v>
      </c>
      <c r="D185" s="124" t="s">
        <v>5228</v>
      </c>
      <c r="E185" s="125"/>
      <c r="F185" s="118" t="s">
        <v>5185</v>
      </c>
      <c r="G185" s="126" t="str">
        <f t="shared" si="6"/>
        <v>ST-SS2-2</v>
      </c>
      <c r="H185" s="255">
        <v>2</v>
      </c>
      <c r="I185" s="361">
        <v>1</v>
      </c>
      <c r="J185" s="362" t="s">
        <v>310</v>
      </c>
      <c r="W185" s="129" t="s">
        <v>286</v>
      </c>
      <c r="X185" s="337" t="b">
        <f t="shared" si="8"/>
        <v>0</v>
      </c>
    </row>
    <row r="186" spans="1:24" s="337" customFormat="1" ht="12" customHeight="1" outlineLevel="1">
      <c r="A186" s="335"/>
      <c r="B186" s="118" t="s">
        <v>12</v>
      </c>
      <c r="C186" s="334" t="s">
        <v>5229</v>
      </c>
      <c r="D186" s="124" t="s">
        <v>5230</v>
      </c>
      <c r="E186" s="125"/>
      <c r="F186" s="118" t="s">
        <v>5185</v>
      </c>
      <c r="G186" s="126" t="str">
        <f t="shared" si="6"/>
        <v>ST-SS2-2</v>
      </c>
      <c r="H186" s="255">
        <v>2</v>
      </c>
      <c r="I186" s="361">
        <v>1</v>
      </c>
      <c r="J186" s="362" t="s">
        <v>310</v>
      </c>
      <c r="W186" s="129" t="s">
        <v>286</v>
      </c>
      <c r="X186" s="337" t="b">
        <f t="shared" si="8"/>
        <v>0</v>
      </c>
    </row>
    <row r="187" spans="1:24" s="337" customFormat="1" ht="12" customHeight="1" outlineLevel="1">
      <c r="A187" s="335"/>
      <c r="B187" s="118" t="s">
        <v>12</v>
      </c>
      <c r="C187" s="334" t="s">
        <v>5231</v>
      </c>
      <c r="D187" s="124" t="s">
        <v>5232</v>
      </c>
      <c r="E187" s="125"/>
      <c r="F187" s="118" t="s">
        <v>5185</v>
      </c>
      <c r="G187" s="126" t="str">
        <f t="shared" si="6"/>
        <v>ST-SS2-2</v>
      </c>
      <c r="H187" s="255">
        <v>2</v>
      </c>
      <c r="I187" s="361">
        <v>1</v>
      </c>
      <c r="J187" s="362" t="s">
        <v>310</v>
      </c>
      <c r="W187" s="129" t="s">
        <v>286</v>
      </c>
      <c r="X187" s="337" t="b">
        <f t="shared" si="8"/>
        <v>0</v>
      </c>
    </row>
    <row r="188" spans="1:24" s="337" customFormat="1" ht="12" customHeight="1" outlineLevel="1">
      <c r="A188" s="335"/>
      <c r="B188" s="118" t="s">
        <v>12</v>
      </c>
      <c r="C188" s="334" t="s">
        <v>5233</v>
      </c>
      <c r="D188" s="124" t="s">
        <v>5234</v>
      </c>
      <c r="E188" s="125"/>
      <c r="F188" s="118" t="s">
        <v>5185</v>
      </c>
      <c r="G188" s="126" t="str">
        <f t="shared" si="6"/>
        <v>ST-SS2-2</v>
      </c>
      <c r="H188" s="255">
        <v>2</v>
      </c>
      <c r="I188" s="361">
        <v>1</v>
      </c>
      <c r="J188" s="362" t="s">
        <v>310</v>
      </c>
      <c r="W188" s="129" t="s">
        <v>286</v>
      </c>
      <c r="X188" s="337" t="b">
        <f t="shared" si="8"/>
        <v>0</v>
      </c>
    </row>
    <row r="189" spans="1:24" s="337" customFormat="1" ht="12" customHeight="1" outlineLevel="1">
      <c r="A189" s="335"/>
      <c r="B189" s="118" t="s">
        <v>12</v>
      </c>
      <c r="C189" s="334" t="s">
        <v>5235</v>
      </c>
      <c r="D189" s="124" t="s">
        <v>5236</v>
      </c>
      <c r="E189" s="125"/>
      <c r="F189" s="118" t="s">
        <v>5185</v>
      </c>
      <c r="G189" s="126" t="str">
        <f t="shared" si="6"/>
        <v>ST-SS2-2</v>
      </c>
      <c r="H189" s="255">
        <v>2</v>
      </c>
      <c r="I189" s="361">
        <v>1</v>
      </c>
      <c r="J189" s="362" t="s">
        <v>310</v>
      </c>
      <c r="W189" s="129" t="s">
        <v>286</v>
      </c>
      <c r="X189" s="337" t="b">
        <f t="shared" si="8"/>
        <v>0</v>
      </c>
    </row>
    <row r="190" spans="1:24" s="337" customFormat="1" ht="12" customHeight="1" outlineLevel="1">
      <c r="A190" s="335"/>
      <c r="B190" s="118" t="s">
        <v>12</v>
      </c>
      <c r="C190" s="334" t="s">
        <v>5237</v>
      </c>
      <c r="D190" s="124" t="s">
        <v>5238</v>
      </c>
      <c r="E190" s="125"/>
      <c r="F190" s="118" t="s">
        <v>5185</v>
      </c>
      <c r="G190" s="126" t="str">
        <f t="shared" si="6"/>
        <v>ST-SS2-2</v>
      </c>
      <c r="H190" s="255">
        <v>2</v>
      </c>
      <c r="I190" s="361">
        <v>1</v>
      </c>
      <c r="J190" s="362" t="s">
        <v>310</v>
      </c>
      <c r="W190" s="129" t="s">
        <v>286</v>
      </c>
      <c r="X190" s="337" t="b">
        <f t="shared" si="8"/>
        <v>0</v>
      </c>
    </row>
    <row r="191" spans="1:24" s="337" customFormat="1" ht="12" customHeight="1" outlineLevel="1">
      <c r="A191" s="335"/>
      <c r="B191" s="118" t="s">
        <v>12</v>
      </c>
      <c r="C191" s="334" t="s">
        <v>5239</v>
      </c>
      <c r="D191" s="124" t="s">
        <v>5240</v>
      </c>
      <c r="E191" s="125"/>
      <c r="F191" s="118" t="s">
        <v>5185</v>
      </c>
      <c r="G191" s="126" t="str">
        <f t="shared" si="6"/>
        <v>ST-SS2-2</v>
      </c>
      <c r="H191" s="255">
        <v>2</v>
      </c>
      <c r="I191" s="361">
        <v>1</v>
      </c>
      <c r="J191" s="362" t="s">
        <v>310</v>
      </c>
      <c r="W191" s="129" t="s">
        <v>286</v>
      </c>
      <c r="X191" s="337" t="b">
        <f t="shared" si="8"/>
        <v>0</v>
      </c>
    </row>
    <row r="192" spans="1:24" s="337" customFormat="1" ht="12" customHeight="1" outlineLevel="1">
      <c r="A192" s="335"/>
      <c r="B192" s="118" t="s">
        <v>12</v>
      </c>
      <c r="C192" s="334" t="s">
        <v>5241</v>
      </c>
      <c r="D192" s="124" t="s">
        <v>5242</v>
      </c>
      <c r="E192" s="125"/>
      <c r="F192" s="118" t="s">
        <v>5185</v>
      </c>
      <c r="G192" s="126" t="str">
        <f t="shared" si="6"/>
        <v>ST-SS2-2</v>
      </c>
      <c r="H192" s="255">
        <v>2</v>
      </c>
      <c r="I192" s="361">
        <v>1</v>
      </c>
      <c r="J192" s="362" t="s">
        <v>310</v>
      </c>
      <c r="W192" s="129" t="s">
        <v>286</v>
      </c>
      <c r="X192" s="337" t="b">
        <f t="shared" si="8"/>
        <v>0</v>
      </c>
    </row>
    <row r="193" spans="1:24" s="337" customFormat="1" ht="12" customHeight="1" outlineLevel="1">
      <c r="A193" s="335"/>
      <c r="B193" s="118" t="s">
        <v>12</v>
      </c>
      <c r="C193" s="334" t="s">
        <v>5243</v>
      </c>
      <c r="D193" s="124" t="s">
        <v>5244</v>
      </c>
      <c r="E193" s="125"/>
      <c r="F193" s="118" t="s">
        <v>5185</v>
      </c>
      <c r="G193" s="126" t="str">
        <f t="shared" si="6"/>
        <v>ST-SS2-2</v>
      </c>
      <c r="H193" s="255">
        <v>2</v>
      </c>
      <c r="I193" s="361">
        <v>1</v>
      </c>
      <c r="J193" s="362" t="s">
        <v>310</v>
      </c>
      <c r="W193" s="129" t="s">
        <v>286</v>
      </c>
      <c r="X193" s="337" t="b">
        <f t="shared" si="8"/>
        <v>0</v>
      </c>
    </row>
    <row r="194" spans="1:24" s="337" customFormat="1" ht="12" customHeight="1" outlineLevel="1">
      <c r="A194" s="335"/>
      <c r="B194" s="118" t="s">
        <v>12</v>
      </c>
      <c r="C194" s="334" t="s">
        <v>5245</v>
      </c>
      <c r="D194" s="124" t="s">
        <v>5246</v>
      </c>
      <c r="E194" s="125"/>
      <c r="F194" s="118" t="s">
        <v>5185</v>
      </c>
      <c r="G194" s="126" t="str">
        <f t="shared" si="6"/>
        <v>ST-SS2-2</v>
      </c>
      <c r="H194" s="255">
        <v>2</v>
      </c>
      <c r="I194" s="361">
        <v>1</v>
      </c>
      <c r="J194" s="362" t="s">
        <v>310</v>
      </c>
      <c r="W194" s="129" t="s">
        <v>286</v>
      </c>
      <c r="X194" s="337" t="b">
        <f t="shared" si="8"/>
        <v>0</v>
      </c>
    </row>
    <row r="195" spans="1:24" s="337" customFormat="1" ht="12" customHeight="1" outlineLevel="1">
      <c r="A195" s="335"/>
      <c r="B195" s="118" t="s">
        <v>12</v>
      </c>
      <c r="C195" s="334" t="s">
        <v>5247</v>
      </c>
      <c r="D195" s="124" t="s">
        <v>5248</v>
      </c>
      <c r="E195" s="125"/>
      <c r="F195" s="118" t="s">
        <v>5185</v>
      </c>
      <c r="G195" s="126" t="str">
        <f t="shared" si="6"/>
        <v>ST-SS2-2</v>
      </c>
      <c r="H195" s="255">
        <v>2</v>
      </c>
      <c r="I195" s="361">
        <v>1</v>
      </c>
      <c r="J195" s="362" t="s">
        <v>310</v>
      </c>
      <c r="W195" s="129" t="s">
        <v>286</v>
      </c>
      <c r="X195" s="337" t="b">
        <f t="shared" si="8"/>
        <v>0</v>
      </c>
    </row>
    <row r="196" spans="1:24" s="337" customFormat="1" ht="12" customHeight="1" outlineLevel="1">
      <c r="A196" s="335"/>
      <c r="B196" s="118" t="s">
        <v>12</v>
      </c>
      <c r="C196" s="334" t="s">
        <v>5249</v>
      </c>
      <c r="D196" s="124" t="s">
        <v>5250</v>
      </c>
      <c r="E196" s="125"/>
      <c r="F196" s="118" t="s">
        <v>5185</v>
      </c>
      <c r="G196" s="126" t="str">
        <f t="shared" si="6"/>
        <v>ST-SS2-2</v>
      </c>
      <c r="H196" s="255">
        <v>2</v>
      </c>
      <c r="I196" s="361">
        <v>1</v>
      </c>
      <c r="J196" s="362" t="s">
        <v>310</v>
      </c>
      <c r="W196" s="129" t="s">
        <v>286</v>
      </c>
      <c r="X196" s="337" t="b">
        <f t="shared" si="8"/>
        <v>0</v>
      </c>
    </row>
    <row r="197" spans="1:24" s="337" customFormat="1" ht="12" customHeight="1" outlineLevel="1">
      <c r="A197" s="335"/>
      <c r="B197" s="118" t="s">
        <v>12</v>
      </c>
      <c r="C197" s="334" t="s">
        <v>5251</v>
      </c>
      <c r="D197" s="124" t="s">
        <v>5252</v>
      </c>
      <c r="E197" s="125"/>
      <c r="F197" s="118" t="s">
        <v>5185</v>
      </c>
      <c r="G197" s="126" t="str">
        <f t="shared" si="6"/>
        <v>ST-SS2-2</v>
      </c>
      <c r="H197" s="255">
        <v>2</v>
      </c>
      <c r="I197" s="361">
        <v>1</v>
      </c>
      <c r="J197" s="362" t="s">
        <v>310</v>
      </c>
      <c r="W197" s="129" t="s">
        <v>286</v>
      </c>
      <c r="X197" s="337" t="b">
        <f t="shared" si="8"/>
        <v>0</v>
      </c>
    </row>
    <row r="198" spans="1:24" s="337" customFormat="1" ht="12" customHeight="1" outlineLevel="1">
      <c r="A198" s="335"/>
      <c r="B198" s="118" t="s">
        <v>12</v>
      </c>
      <c r="C198" s="334" t="s">
        <v>5253</v>
      </c>
      <c r="D198" s="124" t="s">
        <v>5254</v>
      </c>
      <c r="E198" s="125"/>
      <c r="F198" s="118" t="s">
        <v>5185</v>
      </c>
      <c r="G198" s="126" t="str">
        <f t="shared" si="6"/>
        <v>ST-SS2-2</v>
      </c>
      <c r="H198" s="255">
        <v>2</v>
      </c>
      <c r="I198" s="361">
        <v>1</v>
      </c>
      <c r="J198" s="362" t="s">
        <v>310</v>
      </c>
      <c r="W198" s="129" t="s">
        <v>286</v>
      </c>
      <c r="X198" s="337" t="b">
        <f t="shared" si="8"/>
        <v>0</v>
      </c>
    </row>
    <row r="199" spans="1:24" s="337" customFormat="1" ht="12" customHeight="1" outlineLevel="1">
      <c r="A199" s="335"/>
      <c r="B199" s="118" t="s">
        <v>12</v>
      </c>
      <c r="C199" s="334" t="s">
        <v>5255</v>
      </c>
      <c r="D199" s="124" t="s">
        <v>5256</v>
      </c>
      <c r="E199" s="125"/>
      <c r="F199" s="118" t="s">
        <v>5185</v>
      </c>
      <c r="G199" s="126" t="str">
        <f t="shared" si="6"/>
        <v>ST-SS2-2</v>
      </c>
      <c r="H199" s="255">
        <v>2</v>
      </c>
      <c r="I199" s="361">
        <v>1</v>
      </c>
      <c r="J199" s="362" t="s">
        <v>310</v>
      </c>
      <c r="W199" s="129" t="s">
        <v>286</v>
      </c>
      <c r="X199" s="337" t="b">
        <f t="shared" si="8"/>
        <v>0</v>
      </c>
    </row>
    <row r="200" spans="1:24" s="337" customFormat="1" ht="12" customHeight="1" outlineLevel="1">
      <c r="A200" s="335"/>
      <c r="B200" s="118" t="s">
        <v>12</v>
      </c>
      <c r="C200" s="334" t="s">
        <v>5257</v>
      </c>
      <c r="D200" s="124" t="s">
        <v>5258</v>
      </c>
      <c r="E200" s="125"/>
      <c r="F200" s="118" t="s">
        <v>5185</v>
      </c>
      <c r="G200" s="126" t="str">
        <f t="shared" si="6"/>
        <v>ST-SS2-2</v>
      </c>
      <c r="H200" s="255">
        <v>2</v>
      </c>
      <c r="I200" s="361">
        <v>1</v>
      </c>
      <c r="J200" s="362" t="s">
        <v>310</v>
      </c>
      <c r="W200" s="129" t="s">
        <v>286</v>
      </c>
      <c r="X200" s="337" t="b">
        <f t="shared" si="8"/>
        <v>0</v>
      </c>
    </row>
    <row r="201" spans="1:24" s="337" customFormat="1" ht="12" customHeight="1" outlineLevel="1">
      <c r="A201" s="335"/>
      <c r="B201" s="118" t="s">
        <v>12</v>
      </c>
      <c r="C201" s="334" t="s">
        <v>5259</v>
      </c>
      <c r="D201" s="124" t="s">
        <v>5260</v>
      </c>
      <c r="E201" s="125"/>
      <c r="F201" s="118" t="s">
        <v>5185</v>
      </c>
      <c r="G201" s="126" t="str">
        <f t="shared" ref="G201:G208" si="9">CONCATENATE(B201,"-",F201,"-",H201)</f>
        <v>ST-SS2-1</v>
      </c>
      <c r="H201" s="255">
        <v>1</v>
      </c>
      <c r="I201" s="361">
        <v>1</v>
      </c>
      <c r="J201" s="362" t="s">
        <v>286</v>
      </c>
      <c r="W201" s="129" t="s">
        <v>4876</v>
      </c>
      <c r="X201" s="337" t="b">
        <f t="shared" si="8"/>
        <v>0</v>
      </c>
    </row>
    <row r="202" spans="1:24" s="337" customFormat="1" ht="12" customHeight="1" outlineLevel="1">
      <c r="A202" s="335"/>
      <c r="B202" s="118" t="s">
        <v>12</v>
      </c>
      <c r="C202" s="334" t="s">
        <v>5261</v>
      </c>
      <c r="D202" s="124" t="s">
        <v>5262</v>
      </c>
      <c r="E202" s="125"/>
      <c r="F202" s="118" t="s">
        <v>5185</v>
      </c>
      <c r="G202" s="126" t="str">
        <f t="shared" si="9"/>
        <v>ST-SS2-1</v>
      </c>
      <c r="H202" s="255">
        <v>1</v>
      </c>
      <c r="I202" s="361">
        <v>1</v>
      </c>
      <c r="J202" s="362" t="s">
        <v>286</v>
      </c>
      <c r="W202" s="129" t="s">
        <v>4876</v>
      </c>
      <c r="X202" s="337" t="b">
        <f t="shared" si="8"/>
        <v>0</v>
      </c>
    </row>
    <row r="203" spans="1:24" s="337" customFormat="1" ht="12" customHeight="1" outlineLevel="1">
      <c r="A203" s="335"/>
      <c r="B203" s="118" t="s">
        <v>12</v>
      </c>
      <c r="C203" s="334" t="s">
        <v>5263</v>
      </c>
      <c r="D203" s="124" t="s">
        <v>5264</v>
      </c>
      <c r="E203" s="125"/>
      <c r="F203" s="118" t="s">
        <v>5185</v>
      </c>
      <c r="G203" s="126" t="str">
        <f t="shared" si="9"/>
        <v>ST-SS2-1</v>
      </c>
      <c r="H203" s="255">
        <v>1</v>
      </c>
      <c r="I203" s="361">
        <v>1</v>
      </c>
      <c r="J203" s="362" t="s">
        <v>286</v>
      </c>
      <c r="W203" s="129" t="s">
        <v>4876</v>
      </c>
      <c r="X203" s="337" t="b">
        <f t="shared" si="8"/>
        <v>0</v>
      </c>
    </row>
    <row r="204" spans="1:24" s="337" customFormat="1" ht="12" customHeight="1" outlineLevel="1">
      <c r="A204" s="335"/>
      <c r="B204" s="118" t="s">
        <v>12</v>
      </c>
      <c r="C204" s="334" t="s">
        <v>5265</v>
      </c>
      <c r="D204" s="124" t="s">
        <v>5266</v>
      </c>
      <c r="E204" s="125"/>
      <c r="F204" s="118" t="s">
        <v>5185</v>
      </c>
      <c r="G204" s="126" t="str">
        <f t="shared" si="9"/>
        <v>ST-SS2-1</v>
      </c>
      <c r="H204" s="255">
        <v>1</v>
      </c>
      <c r="I204" s="361">
        <v>1</v>
      </c>
      <c r="J204" s="362" t="s">
        <v>286</v>
      </c>
      <c r="W204" s="129" t="s">
        <v>4876</v>
      </c>
      <c r="X204" s="337" t="b">
        <f t="shared" si="8"/>
        <v>0</v>
      </c>
    </row>
    <row r="205" spans="1:24" s="337" customFormat="1" ht="12" customHeight="1" outlineLevel="1">
      <c r="A205" s="335"/>
      <c r="B205" s="118" t="s">
        <v>12</v>
      </c>
      <c r="C205" s="334" t="s">
        <v>5267</v>
      </c>
      <c r="D205" s="124" t="s">
        <v>5268</v>
      </c>
      <c r="E205" s="125"/>
      <c r="F205" s="118" t="s">
        <v>5185</v>
      </c>
      <c r="G205" s="126" t="str">
        <f t="shared" si="9"/>
        <v>ST-SS2-1</v>
      </c>
      <c r="H205" s="255">
        <v>1</v>
      </c>
      <c r="I205" s="361">
        <v>1</v>
      </c>
      <c r="J205" s="362" t="s">
        <v>286</v>
      </c>
      <c r="W205" s="129" t="s">
        <v>4876</v>
      </c>
      <c r="X205" s="337" t="b">
        <f t="shared" si="8"/>
        <v>0</v>
      </c>
    </row>
    <row r="206" spans="1:24" s="337" customFormat="1" ht="12" customHeight="1" outlineLevel="1">
      <c r="A206" s="335"/>
      <c r="B206" s="118" t="s">
        <v>12</v>
      </c>
      <c r="C206" s="334" t="s">
        <v>5269</v>
      </c>
      <c r="D206" s="124" t="s">
        <v>5270</v>
      </c>
      <c r="E206" s="125"/>
      <c r="F206" s="118" t="s">
        <v>5185</v>
      </c>
      <c r="G206" s="126" t="str">
        <f t="shared" si="9"/>
        <v>ST-SS2-2</v>
      </c>
      <c r="H206" s="255">
        <v>2</v>
      </c>
      <c r="I206" s="361">
        <v>1</v>
      </c>
      <c r="J206" s="362" t="s">
        <v>310</v>
      </c>
      <c r="W206" s="129" t="s">
        <v>4876</v>
      </c>
      <c r="X206" s="337" t="b">
        <f t="shared" si="8"/>
        <v>0</v>
      </c>
    </row>
    <row r="207" spans="1:24" s="337" customFormat="1" ht="12" customHeight="1" outlineLevel="1">
      <c r="A207" s="335"/>
      <c r="B207" s="118" t="s">
        <v>12</v>
      </c>
      <c r="C207" s="334" t="s">
        <v>5271</v>
      </c>
      <c r="D207" s="124" t="s">
        <v>5272</v>
      </c>
      <c r="E207" s="125"/>
      <c r="F207" s="118" t="s">
        <v>5185</v>
      </c>
      <c r="G207" s="126" t="str">
        <f t="shared" si="9"/>
        <v>ST-SS2-2</v>
      </c>
      <c r="H207" s="255">
        <v>2</v>
      </c>
      <c r="I207" s="361">
        <v>1</v>
      </c>
      <c r="J207" s="362" t="s">
        <v>310</v>
      </c>
      <c r="W207" s="129" t="s">
        <v>4876</v>
      </c>
      <c r="X207" s="337" t="b">
        <f t="shared" si="8"/>
        <v>0</v>
      </c>
    </row>
    <row r="208" spans="1:24" s="337" customFormat="1" ht="12" customHeight="1" outlineLevel="1">
      <c r="A208" s="335"/>
      <c r="B208" s="118" t="s">
        <v>12</v>
      </c>
      <c r="C208" s="334" t="s">
        <v>5273</v>
      </c>
      <c r="D208" s="124" t="s">
        <v>5274</v>
      </c>
      <c r="E208" s="125"/>
      <c r="F208" s="118" t="s">
        <v>5185</v>
      </c>
      <c r="G208" s="126" t="str">
        <f t="shared" si="9"/>
        <v>ST-SS2-2</v>
      </c>
      <c r="H208" s="255">
        <v>2</v>
      </c>
      <c r="I208" s="361">
        <v>1</v>
      </c>
      <c r="J208" s="362" t="s">
        <v>310</v>
      </c>
      <c r="W208" s="129" t="s">
        <v>4876</v>
      </c>
      <c r="X208" s="337" t="b">
        <f t="shared" si="8"/>
        <v>0</v>
      </c>
    </row>
    <row r="209" spans="1:24" s="360" customFormat="1" ht="12" customHeight="1" outlineLevel="1">
      <c r="A209" s="365"/>
      <c r="B209" s="118"/>
      <c r="C209" s="266" t="s">
        <v>5275</v>
      </c>
      <c r="D209" s="124"/>
      <c r="E209" s="125"/>
      <c r="F209" s="118"/>
      <c r="G209" s="126"/>
      <c r="H209" s="253"/>
      <c r="I209" s="361"/>
      <c r="J209" s="366"/>
    </row>
    <row r="210" spans="1:24" s="337" customFormat="1" ht="12" customHeight="1" outlineLevel="1">
      <c r="A210" s="335"/>
      <c r="B210" s="118" t="s">
        <v>12</v>
      </c>
      <c r="C210" s="334" t="s">
        <v>5183</v>
      </c>
      <c r="D210" s="124" t="s">
        <v>5184</v>
      </c>
      <c r="E210" s="125"/>
      <c r="F210" s="118" t="s">
        <v>5276</v>
      </c>
      <c r="G210" s="126" t="str">
        <f t="shared" ref="G210:G241" si="10">CONCATENATE(B210,"-",F210,"-",H210)</f>
        <v>ST-SS3-1</v>
      </c>
      <c r="H210" s="255">
        <v>1</v>
      </c>
      <c r="I210" s="361">
        <v>1</v>
      </c>
      <c r="J210" s="362" t="s">
        <v>286</v>
      </c>
      <c r="W210" s="129" t="s">
        <v>4876</v>
      </c>
      <c r="X210" s="337" t="b">
        <f t="shared" ref="X210:X273" si="11">W210=J210</f>
        <v>0</v>
      </c>
    </row>
    <row r="211" spans="1:24" s="337" customFormat="1" ht="12" customHeight="1" outlineLevel="1">
      <c r="A211" s="335"/>
      <c r="B211" s="118" t="s">
        <v>12</v>
      </c>
      <c r="C211" s="334" t="s">
        <v>5277</v>
      </c>
      <c r="D211" s="124" t="s">
        <v>5278</v>
      </c>
      <c r="E211" s="125"/>
      <c r="F211" s="118" t="s">
        <v>5276</v>
      </c>
      <c r="G211" s="126" t="str">
        <f t="shared" si="10"/>
        <v>ST-SS3-1</v>
      </c>
      <c r="H211" s="255">
        <v>1</v>
      </c>
      <c r="I211" s="361">
        <v>1</v>
      </c>
      <c r="J211" s="362" t="s">
        <v>286</v>
      </c>
      <c r="W211" s="129" t="s">
        <v>4876</v>
      </c>
      <c r="X211" s="337" t="b">
        <f t="shared" si="11"/>
        <v>0</v>
      </c>
    </row>
    <row r="212" spans="1:24" s="337" customFormat="1" ht="12" customHeight="1" outlineLevel="1">
      <c r="A212" s="335"/>
      <c r="B212" s="118" t="s">
        <v>12</v>
      </c>
      <c r="C212" s="334" t="s">
        <v>5279</v>
      </c>
      <c r="D212" s="124" t="s">
        <v>5280</v>
      </c>
      <c r="E212" s="125"/>
      <c r="F212" s="118" t="s">
        <v>5276</v>
      </c>
      <c r="G212" s="126" t="str">
        <f t="shared" si="10"/>
        <v>ST-SS3-1</v>
      </c>
      <c r="H212" s="255">
        <v>1</v>
      </c>
      <c r="I212" s="361">
        <v>1</v>
      </c>
      <c r="J212" s="362" t="s">
        <v>286</v>
      </c>
      <c r="W212" s="129" t="s">
        <v>4876</v>
      </c>
      <c r="X212" s="337" t="b">
        <f t="shared" si="11"/>
        <v>0</v>
      </c>
    </row>
    <row r="213" spans="1:24" s="337" customFormat="1" ht="12" customHeight="1" outlineLevel="1">
      <c r="A213" s="335"/>
      <c r="B213" s="118" t="s">
        <v>12</v>
      </c>
      <c r="C213" s="334" t="s">
        <v>5281</v>
      </c>
      <c r="D213" s="124" t="s">
        <v>5282</v>
      </c>
      <c r="E213" s="125"/>
      <c r="F213" s="118" t="s">
        <v>5276</v>
      </c>
      <c r="G213" s="126" t="str">
        <f t="shared" si="10"/>
        <v>ST-SS3-1</v>
      </c>
      <c r="H213" s="255">
        <v>1</v>
      </c>
      <c r="I213" s="361">
        <v>1</v>
      </c>
      <c r="J213" s="362" t="s">
        <v>286</v>
      </c>
      <c r="W213" s="129" t="s">
        <v>4876</v>
      </c>
      <c r="X213" s="337" t="b">
        <f t="shared" si="11"/>
        <v>0</v>
      </c>
    </row>
    <row r="214" spans="1:24" s="337" customFormat="1" ht="12" customHeight="1" outlineLevel="1">
      <c r="A214" s="335"/>
      <c r="B214" s="118" t="s">
        <v>12</v>
      </c>
      <c r="C214" s="334" t="s">
        <v>5283</v>
      </c>
      <c r="D214" s="124" t="s">
        <v>5284</v>
      </c>
      <c r="E214" s="125"/>
      <c r="F214" s="118" t="s">
        <v>5276</v>
      </c>
      <c r="G214" s="126" t="str">
        <f t="shared" si="10"/>
        <v>ST-SS3-1</v>
      </c>
      <c r="H214" s="255">
        <v>1</v>
      </c>
      <c r="I214" s="361">
        <v>1</v>
      </c>
      <c r="J214" s="362" t="s">
        <v>286</v>
      </c>
      <c r="W214" s="129" t="s">
        <v>4876</v>
      </c>
      <c r="X214" s="337" t="b">
        <f t="shared" si="11"/>
        <v>0</v>
      </c>
    </row>
    <row r="215" spans="1:24" s="337" customFormat="1" ht="12" customHeight="1" outlineLevel="1">
      <c r="A215" s="335"/>
      <c r="B215" s="118" t="s">
        <v>12</v>
      </c>
      <c r="C215" s="334" t="s">
        <v>5285</v>
      </c>
      <c r="D215" s="124" t="s">
        <v>5286</v>
      </c>
      <c r="E215" s="125"/>
      <c r="F215" s="118" t="s">
        <v>5276</v>
      </c>
      <c r="G215" s="126" t="str">
        <f t="shared" si="10"/>
        <v>ST-SS3-1</v>
      </c>
      <c r="H215" s="255">
        <v>1</v>
      </c>
      <c r="I215" s="361">
        <v>1</v>
      </c>
      <c r="J215" s="362" t="s">
        <v>286</v>
      </c>
      <c r="W215" s="129" t="s">
        <v>4876</v>
      </c>
      <c r="X215" s="337" t="b">
        <f t="shared" si="11"/>
        <v>0</v>
      </c>
    </row>
    <row r="216" spans="1:24" s="337" customFormat="1" ht="12" customHeight="1" outlineLevel="1">
      <c r="A216" s="335"/>
      <c r="B216" s="118" t="s">
        <v>12</v>
      </c>
      <c r="C216" s="334" t="s">
        <v>5287</v>
      </c>
      <c r="D216" s="124" t="s">
        <v>5288</v>
      </c>
      <c r="E216" s="125"/>
      <c r="F216" s="118" t="s">
        <v>5276</v>
      </c>
      <c r="G216" s="126" t="str">
        <f t="shared" si="10"/>
        <v>ST-SS3-1</v>
      </c>
      <c r="H216" s="255">
        <v>1</v>
      </c>
      <c r="I216" s="361">
        <v>1</v>
      </c>
      <c r="J216" s="362" t="s">
        <v>286</v>
      </c>
      <c r="W216" s="129" t="s">
        <v>4876</v>
      </c>
      <c r="X216" s="337" t="b">
        <f t="shared" si="11"/>
        <v>0</v>
      </c>
    </row>
    <row r="217" spans="1:24" s="337" customFormat="1" ht="12" customHeight="1" outlineLevel="1">
      <c r="A217" s="335"/>
      <c r="B217" s="118" t="s">
        <v>12</v>
      </c>
      <c r="C217" s="334" t="s">
        <v>5289</v>
      </c>
      <c r="D217" s="124" t="s">
        <v>5290</v>
      </c>
      <c r="E217" s="125"/>
      <c r="F217" s="118" t="s">
        <v>5276</v>
      </c>
      <c r="G217" s="126" t="str">
        <f t="shared" si="10"/>
        <v>ST-SS3-1</v>
      </c>
      <c r="H217" s="255">
        <v>1</v>
      </c>
      <c r="I217" s="361">
        <v>1</v>
      </c>
      <c r="J217" s="362" t="s">
        <v>286</v>
      </c>
      <c r="W217" s="129" t="s">
        <v>4876</v>
      </c>
      <c r="X217" s="337" t="b">
        <f t="shared" si="11"/>
        <v>0</v>
      </c>
    </row>
    <row r="218" spans="1:24" s="337" customFormat="1" ht="12" customHeight="1" outlineLevel="1">
      <c r="A218" s="335"/>
      <c r="B218" s="118" t="s">
        <v>12</v>
      </c>
      <c r="C218" s="334" t="s">
        <v>5291</v>
      </c>
      <c r="D218" s="124" t="s">
        <v>5292</v>
      </c>
      <c r="E218" s="125"/>
      <c r="F218" s="118" t="s">
        <v>5276</v>
      </c>
      <c r="G218" s="126" t="str">
        <f t="shared" si="10"/>
        <v>ST-SS3-1</v>
      </c>
      <c r="H218" s="255">
        <v>1</v>
      </c>
      <c r="I218" s="361">
        <v>1</v>
      </c>
      <c r="J218" s="362" t="s">
        <v>286</v>
      </c>
      <c r="W218" s="129" t="s">
        <v>4876</v>
      </c>
      <c r="X218" s="337" t="b">
        <f t="shared" si="11"/>
        <v>0</v>
      </c>
    </row>
    <row r="219" spans="1:24" s="337" customFormat="1" ht="12" customHeight="1" outlineLevel="1">
      <c r="A219" s="335"/>
      <c r="B219" s="118" t="s">
        <v>12</v>
      </c>
      <c r="C219" s="334" t="s">
        <v>5293</v>
      </c>
      <c r="D219" s="124" t="s">
        <v>5294</v>
      </c>
      <c r="E219" s="125"/>
      <c r="F219" s="118" t="s">
        <v>5276</v>
      </c>
      <c r="G219" s="126" t="str">
        <f t="shared" si="10"/>
        <v>ST-SS3-1</v>
      </c>
      <c r="H219" s="255">
        <v>1</v>
      </c>
      <c r="I219" s="361">
        <v>1</v>
      </c>
      <c r="J219" s="362" t="s">
        <v>286</v>
      </c>
      <c r="W219" s="129" t="s">
        <v>4876</v>
      </c>
      <c r="X219" s="337" t="b">
        <f t="shared" si="11"/>
        <v>0</v>
      </c>
    </row>
    <row r="220" spans="1:24" s="337" customFormat="1" ht="12" customHeight="1" outlineLevel="1">
      <c r="A220" s="335"/>
      <c r="B220" s="118" t="s">
        <v>12</v>
      </c>
      <c r="C220" s="334" t="s">
        <v>5295</v>
      </c>
      <c r="D220" s="124" t="s">
        <v>5296</v>
      </c>
      <c r="E220" s="125"/>
      <c r="F220" s="118" t="s">
        <v>5276</v>
      </c>
      <c r="G220" s="126" t="str">
        <f t="shared" si="10"/>
        <v>ST-SS3-1</v>
      </c>
      <c r="H220" s="255">
        <v>1</v>
      </c>
      <c r="I220" s="361">
        <v>1</v>
      </c>
      <c r="J220" s="362" t="s">
        <v>286</v>
      </c>
      <c r="W220" s="129" t="s">
        <v>4876</v>
      </c>
      <c r="X220" s="337" t="b">
        <f t="shared" si="11"/>
        <v>0</v>
      </c>
    </row>
    <row r="221" spans="1:24" s="337" customFormat="1" ht="12" customHeight="1" outlineLevel="1">
      <c r="A221" s="335"/>
      <c r="B221" s="118" t="s">
        <v>12</v>
      </c>
      <c r="C221" s="334" t="s">
        <v>5297</v>
      </c>
      <c r="D221" s="124" t="s">
        <v>4897</v>
      </c>
      <c r="E221" s="125"/>
      <c r="F221" s="118" t="s">
        <v>5276</v>
      </c>
      <c r="G221" s="126" t="str">
        <f t="shared" si="10"/>
        <v>ST-SS3-1</v>
      </c>
      <c r="H221" s="255">
        <v>1</v>
      </c>
      <c r="I221" s="361">
        <v>1</v>
      </c>
      <c r="J221" s="362" t="s">
        <v>307</v>
      </c>
      <c r="W221" s="129" t="s">
        <v>286</v>
      </c>
      <c r="X221" s="337" t="b">
        <f t="shared" si="11"/>
        <v>0</v>
      </c>
    </row>
    <row r="222" spans="1:24" s="337" customFormat="1" ht="12" customHeight="1" outlineLevel="1">
      <c r="A222" s="335"/>
      <c r="B222" s="118" t="s">
        <v>12</v>
      </c>
      <c r="C222" s="334" t="s">
        <v>5298</v>
      </c>
      <c r="D222" s="124" t="s">
        <v>5299</v>
      </c>
      <c r="E222" s="125"/>
      <c r="F222" s="118" t="s">
        <v>5276</v>
      </c>
      <c r="G222" s="126" t="str">
        <f t="shared" si="10"/>
        <v>ST-SS3-1</v>
      </c>
      <c r="H222" s="255">
        <v>1</v>
      </c>
      <c r="I222" s="361">
        <v>1</v>
      </c>
      <c r="J222" s="362" t="s">
        <v>310</v>
      </c>
      <c r="W222" s="129" t="s">
        <v>286</v>
      </c>
      <c r="X222" s="337" t="b">
        <f t="shared" si="11"/>
        <v>0</v>
      </c>
    </row>
    <row r="223" spans="1:24" s="337" customFormat="1" ht="12" customHeight="1" outlineLevel="1">
      <c r="A223" s="335"/>
      <c r="B223" s="118" t="s">
        <v>12</v>
      </c>
      <c r="C223" s="334" t="s">
        <v>5300</v>
      </c>
      <c r="D223" s="124" t="s">
        <v>5301</v>
      </c>
      <c r="E223" s="125"/>
      <c r="F223" s="118" t="s">
        <v>5276</v>
      </c>
      <c r="G223" s="126" t="str">
        <f t="shared" si="10"/>
        <v>ST-SS3-1</v>
      </c>
      <c r="H223" s="255">
        <v>1</v>
      </c>
      <c r="I223" s="361">
        <v>1</v>
      </c>
      <c r="J223" s="362" t="s">
        <v>310</v>
      </c>
      <c r="W223" s="129" t="s">
        <v>286</v>
      </c>
      <c r="X223" s="337" t="b">
        <f t="shared" si="11"/>
        <v>0</v>
      </c>
    </row>
    <row r="224" spans="1:24" s="337" customFormat="1" ht="12" customHeight="1" outlineLevel="1">
      <c r="A224" s="335"/>
      <c r="B224" s="118" t="s">
        <v>12</v>
      </c>
      <c r="C224" s="334" t="s">
        <v>5302</v>
      </c>
      <c r="D224" s="124" t="s">
        <v>5303</v>
      </c>
      <c r="E224" s="125"/>
      <c r="F224" s="118" t="s">
        <v>5276</v>
      </c>
      <c r="G224" s="126" t="str">
        <f t="shared" si="10"/>
        <v>ST-SS3-1</v>
      </c>
      <c r="H224" s="255">
        <v>1</v>
      </c>
      <c r="I224" s="361">
        <v>1</v>
      </c>
      <c r="J224" s="362" t="s">
        <v>325</v>
      </c>
      <c r="W224" s="129" t="s">
        <v>307</v>
      </c>
      <c r="X224" s="337" t="b">
        <f t="shared" si="11"/>
        <v>0</v>
      </c>
    </row>
    <row r="225" spans="1:24" s="337" customFormat="1" ht="12" customHeight="1" outlineLevel="1">
      <c r="A225" s="335"/>
      <c r="B225" s="118" t="s">
        <v>12</v>
      </c>
      <c r="C225" s="334" t="s">
        <v>5304</v>
      </c>
      <c r="D225" s="124" t="s">
        <v>5305</v>
      </c>
      <c r="E225" s="125"/>
      <c r="F225" s="118" t="s">
        <v>5276</v>
      </c>
      <c r="G225" s="126" t="str">
        <f t="shared" si="10"/>
        <v>ST-SS3-1</v>
      </c>
      <c r="H225" s="255">
        <v>1</v>
      </c>
      <c r="I225" s="361">
        <v>1</v>
      </c>
      <c r="J225" s="362" t="s">
        <v>325</v>
      </c>
      <c r="W225" s="129" t="s">
        <v>286</v>
      </c>
      <c r="X225" s="337" t="b">
        <f t="shared" si="11"/>
        <v>0</v>
      </c>
    </row>
    <row r="226" spans="1:24" s="337" customFormat="1" ht="12" customHeight="1" outlineLevel="1">
      <c r="A226" s="335"/>
      <c r="B226" s="118" t="s">
        <v>12</v>
      </c>
      <c r="C226" s="334" t="s">
        <v>5306</v>
      </c>
      <c r="D226" s="124" t="s">
        <v>5307</v>
      </c>
      <c r="E226" s="125"/>
      <c r="F226" s="118" t="s">
        <v>5276</v>
      </c>
      <c r="G226" s="126" t="str">
        <f t="shared" si="10"/>
        <v>ST-SS3-1</v>
      </c>
      <c r="H226" s="255">
        <v>1</v>
      </c>
      <c r="I226" s="361">
        <v>1</v>
      </c>
      <c r="J226" s="362" t="s">
        <v>286</v>
      </c>
      <c r="W226" s="129" t="s">
        <v>286</v>
      </c>
      <c r="X226" s="337" t="b">
        <f t="shared" si="11"/>
        <v>1</v>
      </c>
    </row>
    <row r="227" spans="1:24" s="337" customFormat="1" ht="12" customHeight="1" outlineLevel="1">
      <c r="A227" s="335"/>
      <c r="B227" s="118" t="s">
        <v>12</v>
      </c>
      <c r="C227" s="334" t="s">
        <v>5308</v>
      </c>
      <c r="D227" s="124" t="s">
        <v>5309</v>
      </c>
      <c r="E227" s="125"/>
      <c r="F227" s="118" t="s">
        <v>5276</v>
      </c>
      <c r="G227" s="126" t="str">
        <f t="shared" si="10"/>
        <v>ST-SS3-1</v>
      </c>
      <c r="H227" s="255">
        <v>1</v>
      </c>
      <c r="I227" s="361">
        <v>1</v>
      </c>
      <c r="J227" s="362" t="s">
        <v>310</v>
      </c>
      <c r="W227" s="129" t="s">
        <v>286</v>
      </c>
      <c r="X227" s="337" t="b">
        <f t="shared" si="11"/>
        <v>0</v>
      </c>
    </row>
    <row r="228" spans="1:24" s="337" customFormat="1" ht="12" customHeight="1" outlineLevel="1">
      <c r="A228" s="335"/>
      <c r="B228" s="118" t="s">
        <v>12</v>
      </c>
      <c r="C228" s="334" t="s">
        <v>5310</v>
      </c>
      <c r="D228" s="124" t="s">
        <v>5311</v>
      </c>
      <c r="E228" s="125"/>
      <c r="F228" s="118" t="s">
        <v>5276</v>
      </c>
      <c r="G228" s="126" t="str">
        <f t="shared" si="10"/>
        <v>ST-SS3-1</v>
      </c>
      <c r="H228" s="255">
        <v>1</v>
      </c>
      <c r="I228" s="361">
        <v>1</v>
      </c>
      <c r="J228" s="362" t="s">
        <v>286</v>
      </c>
      <c r="W228" s="129" t="s">
        <v>286</v>
      </c>
      <c r="X228" s="337" t="b">
        <f t="shared" si="11"/>
        <v>1</v>
      </c>
    </row>
    <row r="229" spans="1:24" s="337" customFormat="1" ht="12" customHeight="1" outlineLevel="1">
      <c r="A229" s="335"/>
      <c r="B229" s="118" t="s">
        <v>12</v>
      </c>
      <c r="C229" s="334" t="s">
        <v>5312</v>
      </c>
      <c r="D229" s="124" t="s">
        <v>5313</v>
      </c>
      <c r="E229" s="125"/>
      <c r="F229" s="118" t="s">
        <v>5276</v>
      </c>
      <c r="G229" s="126" t="str">
        <f t="shared" si="10"/>
        <v>ST-SS3-1</v>
      </c>
      <c r="H229" s="255">
        <v>1</v>
      </c>
      <c r="I229" s="361">
        <v>1</v>
      </c>
      <c r="J229" s="362" t="s">
        <v>286</v>
      </c>
      <c r="W229" s="129" t="s">
        <v>4876</v>
      </c>
      <c r="X229" s="337" t="b">
        <f t="shared" si="11"/>
        <v>0</v>
      </c>
    </row>
    <row r="230" spans="1:24" s="337" customFormat="1" ht="12" customHeight="1" outlineLevel="1">
      <c r="A230" s="335"/>
      <c r="B230" s="118" t="s">
        <v>12</v>
      </c>
      <c r="C230" s="334" t="s">
        <v>5314</v>
      </c>
      <c r="D230" s="124" t="s">
        <v>5315</v>
      </c>
      <c r="E230" s="125"/>
      <c r="F230" s="118" t="s">
        <v>5276</v>
      </c>
      <c r="G230" s="126" t="str">
        <f t="shared" si="10"/>
        <v>ST-SS3-1</v>
      </c>
      <c r="H230" s="255">
        <v>1</v>
      </c>
      <c r="I230" s="361">
        <v>1</v>
      </c>
      <c r="J230" s="362" t="s">
        <v>286</v>
      </c>
      <c r="W230" s="129" t="s">
        <v>4876</v>
      </c>
      <c r="X230" s="337" t="b">
        <f t="shared" si="11"/>
        <v>0</v>
      </c>
    </row>
    <row r="231" spans="1:24" s="337" customFormat="1" ht="12" customHeight="1" outlineLevel="1">
      <c r="A231" s="335"/>
      <c r="B231" s="118" t="s">
        <v>12</v>
      </c>
      <c r="C231" s="334" t="s">
        <v>5316</v>
      </c>
      <c r="D231" s="124" t="s">
        <v>5317</v>
      </c>
      <c r="E231" s="125"/>
      <c r="F231" s="118" t="s">
        <v>5276</v>
      </c>
      <c r="G231" s="126" t="str">
        <f t="shared" si="10"/>
        <v>ST-SS3-1</v>
      </c>
      <c r="H231" s="255">
        <v>1</v>
      </c>
      <c r="I231" s="361">
        <v>1</v>
      </c>
      <c r="J231" s="362" t="s">
        <v>286</v>
      </c>
      <c r="W231" s="129" t="s">
        <v>4876</v>
      </c>
      <c r="X231" s="337" t="b">
        <f t="shared" si="11"/>
        <v>0</v>
      </c>
    </row>
    <row r="232" spans="1:24" s="337" customFormat="1" ht="12" customHeight="1" outlineLevel="1">
      <c r="A232" s="335"/>
      <c r="B232" s="118" t="s">
        <v>12</v>
      </c>
      <c r="C232" s="334" t="s">
        <v>5318</v>
      </c>
      <c r="D232" s="124" t="s">
        <v>5319</v>
      </c>
      <c r="E232" s="125"/>
      <c r="F232" s="118" t="s">
        <v>5276</v>
      </c>
      <c r="G232" s="126" t="str">
        <f t="shared" si="10"/>
        <v>ST-SS3-1</v>
      </c>
      <c r="H232" s="255">
        <v>1</v>
      </c>
      <c r="I232" s="361">
        <v>1</v>
      </c>
      <c r="J232" s="362" t="s">
        <v>286</v>
      </c>
      <c r="W232" s="129" t="s">
        <v>4876</v>
      </c>
      <c r="X232" s="337" t="b">
        <f t="shared" si="11"/>
        <v>0</v>
      </c>
    </row>
    <row r="233" spans="1:24" s="337" customFormat="1" ht="12" customHeight="1" outlineLevel="1">
      <c r="A233" s="335"/>
      <c r="B233" s="118" t="s">
        <v>12</v>
      </c>
      <c r="C233" s="334" t="s">
        <v>5320</v>
      </c>
      <c r="D233" s="124" t="s">
        <v>5321</v>
      </c>
      <c r="E233" s="125"/>
      <c r="F233" s="118" t="s">
        <v>5276</v>
      </c>
      <c r="G233" s="126" t="str">
        <f t="shared" si="10"/>
        <v>ST-SS3-1</v>
      </c>
      <c r="H233" s="255">
        <v>1</v>
      </c>
      <c r="I233" s="361">
        <v>1</v>
      </c>
      <c r="J233" s="362" t="s">
        <v>286</v>
      </c>
      <c r="W233" s="129" t="s">
        <v>4876</v>
      </c>
      <c r="X233" s="337" t="b">
        <f t="shared" si="11"/>
        <v>0</v>
      </c>
    </row>
    <row r="234" spans="1:24" s="337" customFormat="1" ht="12" customHeight="1" outlineLevel="1">
      <c r="A234" s="335"/>
      <c r="B234" s="118" t="s">
        <v>12</v>
      </c>
      <c r="C234" s="334" t="s">
        <v>5322</v>
      </c>
      <c r="D234" s="124" t="s">
        <v>5323</v>
      </c>
      <c r="E234" s="125"/>
      <c r="F234" s="118" t="s">
        <v>5276</v>
      </c>
      <c r="G234" s="126" t="str">
        <f t="shared" si="10"/>
        <v>ST-SS3-1</v>
      </c>
      <c r="H234" s="255">
        <v>1</v>
      </c>
      <c r="I234" s="361">
        <v>1</v>
      </c>
      <c r="J234" s="362" t="s">
        <v>286</v>
      </c>
      <c r="W234" s="129" t="s">
        <v>4876</v>
      </c>
      <c r="X234" s="337" t="b">
        <f t="shared" si="11"/>
        <v>0</v>
      </c>
    </row>
    <row r="235" spans="1:24" s="337" customFormat="1" ht="12" customHeight="1" outlineLevel="1">
      <c r="A235" s="335"/>
      <c r="B235" s="118" t="s">
        <v>12</v>
      </c>
      <c r="C235" s="334" t="s">
        <v>5324</v>
      </c>
      <c r="D235" s="124" t="s">
        <v>5325</v>
      </c>
      <c r="E235" s="125"/>
      <c r="F235" s="118" t="s">
        <v>5276</v>
      </c>
      <c r="G235" s="126" t="str">
        <f t="shared" si="10"/>
        <v>ST-SS3-1</v>
      </c>
      <c r="H235" s="255">
        <v>1</v>
      </c>
      <c r="I235" s="361">
        <v>1</v>
      </c>
      <c r="J235" s="362" t="s">
        <v>286</v>
      </c>
      <c r="W235" s="129" t="s">
        <v>4876</v>
      </c>
      <c r="X235" s="337" t="b">
        <f t="shared" si="11"/>
        <v>0</v>
      </c>
    </row>
    <row r="236" spans="1:24" s="337" customFormat="1" ht="12" customHeight="1" outlineLevel="1">
      <c r="A236" s="335"/>
      <c r="B236" s="118" t="s">
        <v>12</v>
      </c>
      <c r="C236" s="334" t="s">
        <v>5326</v>
      </c>
      <c r="D236" s="124" t="s">
        <v>5327</v>
      </c>
      <c r="E236" s="125"/>
      <c r="F236" s="118" t="s">
        <v>5276</v>
      </c>
      <c r="G236" s="126" t="str">
        <f t="shared" si="10"/>
        <v>ST-SS3-1</v>
      </c>
      <c r="H236" s="255">
        <v>1</v>
      </c>
      <c r="I236" s="361">
        <v>1</v>
      </c>
      <c r="J236" s="362" t="s">
        <v>286</v>
      </c>
      <c r="W236" s="129" t="s">
        <v>4876</v>
      </c>
      <c r="X236" s="337" t="b">
        <f t="shared" si="11"/>
        <v>0</v>
      </c>
    </row>
    <row r="237" spans="1:24" s="337" customFormat="1" ht="12" customHeight="1" outlineLevel="1">
      <c r="A237" s="335"/>
      <c r="B237" s="118" t="s">
        <v>12</v>
      </c>
      <c r="C237" s="334" t="s">
        <v>5328</v>
      </c>
      <c r="D237" s="124" t="s">
        <v>5329</v>
      </c>
      <c r="E237" s="125"/>
      <c r="F237" s="118" t="s">
        <v>5276</v>
      </c>
      <c r="G237" s="126" t="str">
        <f t="shared" si="10"/>
        <v>ST-SS3-1</v>
      </c>
      <c r="H237" s="255">
        <v>1</v>
      </c>
      <c r="I237" s="361">
        <v>1</v>
      </c>
      <c r="J237" s="362" t="s">
        <v>286</v>
      </c>
      <c r="W237" s="129" t="s">
        <v>4876</v>
      </c>
      <c r="X237" s="337" t="b">
        <f t="shared" si="11"/>
        <v>0</v>
      </c>
    </row>
    <row r="238" spans="1:24" s="337" customFormat="1" ht="12" customHeight="1" outlineLevel="1">
      <c r="A238" s="335"/>
      <c r="B238" s="118" t="s">
        <v>12</v>
      </c>
      <c r="C238" s="334" t="s">
        <v>5330</v>
      </c>
      <c r="D238" s="124" t="s">
        <v>5331</v>
      </c>
      <c r="E238" s="125"/>
      <c r="F238" s="118" t="s">
        <v>5276</v>
      </c>
      <c r="G238" s="126" t="str">
        <f t="shared" si="10"/>
        <v>ST-SS3-1</v>
      </c>
      <c r="H238" s="255">
        <v>1</v>
      </c>
      <c r="I238" s="361">
        <v>1</v>
      </c>
      <c r="J238" s="362" t="s">
        <v>286</v>
      </c>
      <c r="W238" s="129" t="s">
        <v>4876</v>
      </c>
      <c r="X238" s="337" t="b">
        <f t="shared" si="11"/>
        <v>0</v>
      </c>
    </row>
    <row r="239" spans="1:24" s="337" customFormat="1" ht="12" customHeight="1" outlineLevel="1">
      <c r="A239" s="335"/>
      <c r="B239" s="118" t="s">
        <v>12</v>
      </c>
      <c r="C239" s="334" t="s">
        <v>5332</v>
      </c>
      <c r="D239" s="124" t="s">
        <v>5333</v>
      </c>
      <c r="E239" s="125"/>
      <c r="F239" s="118" t="s">
        <v>5276</v>
      </c>
      <c r="G239" s="126" t="str">
        <f t="shared" si="10"/>
        <v>ST-SS3-1</v>
      </c>
      <c r="H239" s="255">
        <v>1</v>
      </c>
      <c r="I239" s="361">
        <v>1</v>
      </c>
      <c r="J239" s="362" t="s">
        <v>286</v>
      </c>
      <c r="W239" s="129" t="s">
        <v>4876</v>
      </c>
      <c r="X239" s="337" t="b">
        <f t="shared" si="11"/>
        <v>0</v>
      </c>
    </row>
    <row r="240" spans="1:24" s="337" customFormat="1" ht="12" customHeight="1" outlineLevel="1">
      <c r="A240" s="335"/>
      <c r="B240" s="118" t="s">
        <v>12</v>
      </c>
      <c r="C240" s="334" t="s">
        <v>5334</v>
      </c>
      <c r="D240" s="124" t="s">
        <v>5335</v>
      </c>
      <c r="E240" s="125"/>
      <c r="F240" s="118" t="s">
        <v>5276</v>
      </c>
      <c r="G240" s="126" t="str">
        <f t="shared" si="10"/>
        <v>ST-SS3-1</v>
      </c>
      <c r="H240" s="255">
        <v>1</v>
      </c>
      <c r="I240" s="361">
        <v>1</v>
      </c>
      <c r="J240" s="362" t="s">
        <v>286</v>
      </c>
      <c r="W240" s="129" t="s">
        <v>4876</v>
      </c>
      <c r="X240" s="337" t="b">
        <f t="shared" si="11"/>
        <v>0</v>
      </c>
    </row>
    <row r="241" spans="1:24" s="337" customFormat="1" ht="12" customHeight="1" outlineLevel="1">
      <c r="A241" s="335"/>
      <c r="B241" s="118" t="s">
        <v>12</v>
      </c>
      <c r="C241" s="334" t="s">
        <v>5336</v>
      </c>
      <c r="D241" s="124" t="s">
        <v>5337</v>
      </c>
      <c r="E241" s="125"/>
      <c r="F241" s="118" t="s">
        <v>5276</v>
      </c>
      <c r="G241" s="126" t="str">
        <f t="shared" si="10"/>
        <v>ST-SS3-1</v>
      </c>
      <c r="H241" s="255">
        <v>1</v>
      </c>
      <c r="I241" s="361">
        <v>1</v>
      </c>
      <c r="J241" s="362" t="s">
        <v>286</v>
      </c>
      <c r="W241" s="129" t="s">
        <v>4876</v>
      </c>
      <c r="X241" s="337" t="b">
        <f t="shared" si="11"/>
        <v>0</v>
      </c>
    </row>
    <row r="242" spans="1:24" s="337" customFormat="1" ht="12" customHeight="1" outlineLevel="1">
      <c r="A242" s="335"/>
      <c r="B242" s="118" t="s">
        <v>12</v>
      </c>
      <c r="C242" s="334" t="s">
        <v>5338</v>
      </c>
      <c r="D242" s="124" t="s">
        <v>5339</v>
      </c>
      <c r="E242" s="125"/>
      <c r="F242" s="118" t="s">
        <v>5276</v>
      </c>
      <c r="G242" s="126" t="str">
        <f t="shared" ref="G242:G273" si="12">CONCATENATE(B242,"-",F242,"-",H242)</f>
        <v>ST-SS3-1</v>
      </c>
      <c r="H242" s="255">
        <v>1</v>
      </c>
      <c r="I242" s="361">
        <v>1</v>
      </c>
      <c r="J242" s="362" t="s">
        <v>286</v>
      </c>
      <c r="W242" s="129" t="s">
        <v>4876</v>
      </c>
      <c r="X242" s="337" t="b">
        <f t="shared" si="11"/>
        <v>0</v>
      </c>
    </row>
    <row r="243" spans="1:24" s="337" customFormat="1" ht="12" customHeight="1" outlineLevel="1">
      <c r="A243" s="335"/>
      <c r="B243" s="118" t="s">
        <v>12</v>
      </c>
      <c r="C243" s="334" t="s">
        <v>5340</v>
      </c>
      <c r="D243" s="124" t="s">
        <v>5341</v>
      </c>
      <c r="E243" s="125"/>
      <c r="F243" s="118" t="s">
        <v>5276</v>
      </c>
      <c r="G243" s="126" t="str">
        <f t="shared" si="12"/>
        <v>ST-SS3-1</v>
      </c>
      <c r="H243" s="255">
        <v>1</v>
      </c>
      <c r="I243" s="361">
        <v>1</v>
      </c>
      <c r="J243" s="362" t="s">
        <v>286</v>
      </c>
      <c r="W243" s="129" t="s">
        <v>4876</v>
      </c>
      <c r="X243" s="337" t="b">
        <f t="shared" si="11"/>
        <v>0</v>
      </c>
    </row>
    <row r="244" spans="1:24" s="337" customFormat="1" ht="12" customHeight="1" outlineLevel="1">
      <c r="A244" s="335"/>
      <c r="B244" s="118" t="s">
        <v>12</v>
      </c>
      <c r="C244" s="334" t="s">
        <v>5342</v>
      </c>
      <c r="D244" s="124" t="s">
        <v>5343</v>
      </c>
      <c r="E244" s="125"/>
      <c r="F244" s="118" t="s">
        <v>5276</v>
      </c>
      <c r="G244" s="126" t="str">
        <f t="shared" si="12"/>
        <v>ST-SS3-1</v>
      </c>
      <c r="H244" s="255">
        <v>1</v>
      </c>
      <c r="I244" s="361">
        <v>1</v>
      </c>
      <c r="J244" s="362" t="s">
        <v>286</v>
      </c>
      <c r="W244" s="129" t="s">
        <v>4876</v>
      </c>
      <c r="X244" s="337" t="b">
        <f t="shared" si="11"/>
        <v>0</v>
      </c>
    </row>
    <row r="245" spans="1:24" s="337" customFormat="1" ht="12" customHeight="1" outlineLevel="1">
      <c r="A245" s="335"/>
      <c r="B245" s="118" t="s">
        <v>12</v>
      </c>
      <c r="C245" s="334" t="s">
        <v>5344</v>
      </c>
      <c r="D245" s="124" t="s">
        <v>5345</v>
      </c>
      <c r="E245" s="125"/>
      <c r="F245" s="118" t="s">
        <v>5276</v>
      </c>
      <c r="G245" s="126" t="str">
        <f t="shared" si="12"/>
        <v>ST-SS3-1</v>
      </c>
      <c r="H245" s="255">
        <v>1</v>
      </c>
      <c r="I245" s="361">
        <v>1</v>
      </c>
      <c r="J245" s="362" t="s">
        <v>286</v>
      </c>
      <c r="W245" s="129" t="s">
        <v>4876</v>
      </c>
      <c r="X245" s="337" t="b">
        <f t="shared" si="11"/>
        <v>0</v>
      </c>
    </row>
    <row r="246" spans="1:24" s="337" customFormat="1" ht="12" customHeight="1" outlineLevel="1">
      <c r="A246" s="335"/>
      <c r="B246" s="118" t="s">
        <v>12</v>
      </c>
      <c r="C246" s="334" t="s">
        <v>5346</v>
      </c>
      <c r="D246" s="124" t="s">
        <v>5347</v>
      </c>
      <c r="E246" s="125"/>
      <c r="F246" s="118" t="s">
        <v>5276</v>
      </c>
      <c r="G246" s="126" t="str">
        <f t="shared" si="12"/>
        <v>ST-SS3-2</v>
      </c>
      <c r="H246" s="255">
        <v>2</v>
      </c>
      <c r="I246" s="361">
        <v>1</v>
      </c>
      <c r="J246" s="362" t="s">
        <v>286</v>
      </c>
      <c r="W246" s="129" t="s">
        <v>4876</v>
      </c>
      <c r="X246" s="337" t="b">
        <f t="shared" si="11"/>
        <v>0</v>
      </c>
    </row>
    <row r="247" spans="1:24" s="337" customFormat="1" ht="12" customHeight="1" outlineLevel="1">
      <c r="A247" s="335"/>
      <c r="B247" s="118" t="s">
        <v>12</v>
      </c>
      <c r="C247" s="334" t="s">
        <v>5348</v>
      </c>
      <c r="D247" s="124" t="s">
        <v>5349</v>
      </c>
      <c r="E247" s="125"/>
      <c r="F247" s="118" t="s">
        <v>5276</v>
      </c>
      <c r="G247" s="126" t="str">
        <f t="shared" si="12"/>
        <v>ST-SS3-2</v>
      </c>
      <c r="H247" s="255">
        <v>2</v>
      </c>
      <c r="I247" s="361">
        <v>1</v>
      </c>
      <c r="J247" s="362" t="s">
        <v>286</v>
      </c>
      <c r="W247" s="129" t="s">
        <v>4876</v>
      </c>
      <c r="X247" s="337" t="b">
        <f t="shared" si="11"/>
        <v>0</v>
      </c>
    </row>
    <row r="248" spans="1:24" s="337" customFormat="1" ht="12" customHeight="1" outlineLevel="1">
      <c r="A248" s="335"/>
      <c r="B248" s="118" t="s">
        <v>12</v>
      </c>
      <c r="C248" s="334" t="s">
        <v>5350</v>
      </c>
      <c r="D248" s="124" t="s">
        <v>5351</v>
      </c>
      <c r="E248" s="125"/>
      <c r="F248" s="118" t="s">
        <v>5276</v>
      </c>
      <c r="G248" s="126" t="str">
        <f t="shared" si="12"/>
        <v>ST-SS3-2</v>
      </c>
      <c r="H248" s="255">
        <v>2</v>
      </c>
      <c r="I248" s="361">
        <v>1</v>
      </c>
      <c r="J248" s="362" t="s">
        <v>286</v>
      </c>
      <c r="W248" s="129" t="s">
        <v>4876</v>
      </c>
      <c r="X248" s="337" t="b">
        <f t="shared" si="11"/>
        <v>0</v>
      </c>
    </row>
    <row r="249" spans="1:24" s="337" customFormat="1" ht="12" customHeight="1" outlineLevel="1">
      <c r="A249" s="335"/>
      <c r="B249" s="118" t="s">
        <v>12</v>
      </c>
      <c r="C249" s="334" t="s">
        <v>5352</v>
      </c>
      <c r="D249" s="124" t="s">
        <v>5353</v>
      </c>
      <c r="E249" s="125"/>
      <c r="F249" s="118" t="s">
        <v>5276</v>
      </c>
      <c r="G249" s="126" t="str">
        <f t="shared" si="12"/>
        <v>ST-SS3-2</v>
      </c>
      <c r="H249" s="255">
        <v>2</v>
      </c>
      <c r="I249" s="361">
        <v>1</v>
      </c>
      <c r="J249" s="362" t="s">
        <v>286</v>
      </c>
      <c r="W249" s="129" t="s">
        <v>4876</v>
      </c>
      <c r="X249" s="337" t="b">
        <f t="shared" si="11"/>
        <v>0</v>
      </c>
    </row>
    <row r="250" spans="1:24" s="337" customFormat="1" ht="12" customHeight="1" outlineLevel="1">
      <c r="A250" s="335"/>
      <c r="B250" s="118" t="s">
        <v>12</v>
      </c>
      <c r="C250" s="334" t="s">
        <v>5354</v>
      </c>
      <c r="D250" s="124" t="s">
        <v>5355</v>
      </c>
      <c r="E250" s="125"/>
      <c r="F250" s="118" t="s">
        <v>5276</v>
      </c>
      <c r="G250" s="126" t="str">
        <f t="shared" si="12"/>
        <v>ST-SS3-2</v>
      </c>
      <c r="H250" s="255">
        <v>2</v>
      </c>
      <c r="I250" s="361">
        <v>1</v>
      </c>
      <c r="J250" s="362" t="s">
        <v>286</v>
      </c>
      <c r="W250" s="129" t="s">
        <v>4876</v>
      </c>
      <c r="X250" s="337" t="b">
        <f t="shared" si="11"/>
        <v>0</v>
      </c>
    </row>
    <row r="251" spans="1:24" s="337" customFormat="1" ht="12" customHeight="1" outlineLevel="1">
      <c r="A251" s="335"/>
      <c r="B251" s="118" t="s">
        <v>12</v>
      </c>
      <c r="C251" s="334" t="s">
        <v>5356</v>
      </c>
      <c r="D251" s="124" t="s">
        <v>5357</v>
      </c>
      <c r="E251" s="125"/>
      <c r="F251" s="118" t="s">
        <v>5276</v>
      </c>
      <c r="G251" s="126" t="str">
        <f t="shared" si="12"/>
        <v>ST-SS3-2</v>
      </c>
      <c r="H251" s="255">
        <v>2</v>
      </c>
      <c r="I251" s="361">
        <v>1</v>
      </c>
      <c r="J251" s="362" t="s">
        <v>286</v>
      </c>
      <c r="W251" s="129" t="s">
        <v>4876</v>
      </c>
      <c r="X251" s="337" t="b">
        <f t="shared" si="11"/>
        <v>0</v>
      </c>
    </row>
    <row r="252" spans="1:24" s="337" customFormat="1" ht="12" customHeight="1" outlineLevel="1">
      <c r="A252" s="335"/>
      <c r="B252" s="118" t="s">
        <v>12</v>
      </c>
      <c r="C252" s="334" t="s">
        <v>5358</v>
      </c>
      <c r="D252" s="124" t="s">
        <v>5359</v>
      </c>
      <c r="E252" s="125"/>
      <c r="F252" s="118" t="s">
        <v>5276</v>
      </c>
      <c r="G252" s="126" t="str">
        <f t="shared" si="12"/>
        <v>ST-SS3-2</v>
      </c>
      <c r="H252" s="255">
        <v>2</v>
      </c>
      <c r="I252" s="361">
        <v>1</v>
      </c>
      <c r="J252" s="362" t="s">
        <v>286</v>
      </c>
      <c r="W252" s="129" t="s">
        <v>4876</v>
      </c>
      <c r="X252" s="337" t="b">
        <f t="shared" si="11"/>
        <v>0</v>
      </c>
    </row>
    <row r="253" spans="1:24" s="337" customFormat="1" ht="12" customHeight="1" outlineLevel="1">
      <c r="A253" s="335"/>
      <c r="B253" s="118" t="s">
        <v>12</v>
      </c>
      <c r="C253" s="334" t="s">
        <v>5360</v>
      </c>
      <c r="D253" s="124" t="s">
        <v>5361</v>
      </c>
      <c r="E253" s="125"/>
      <c r="F253" s="118" t="s">
        <v>5276</v>
      </c>
      <c r="G253" s="126" t="str">
        <f t="shared" si="12"/>
        <v>ST-SS3-2</v>
      </c>
      <c r="H253" s="255">
        <v>2</v>
      </c>
      <c r="I253" s="361">
        <v>1</v>
      </c>
      <c r="J253" s="362" t="s">
        <v>286</v>
      </c>
      <c r="W253" s="129" t="s">
        <v>4876</v>
      </c>
      <c r="X253" s="337" t="b">
        <f t="shared" si="11"/>
        <v>0</v>
      </c>
    </row>
    <row r="254" spans="1:24" s="337" customFormat="1" ht="12" customHeight="1" outlineLevel="1">
      <c r="A254" s="335"/>
      <c r="B254" s="118" t="s">
        <v>12</v>
      </c>
      <c r="C254" s="334" t="s">
        <v>5362</v>
      </c>
      <c r="D254" s="124" t="s">
        <v>5363</v>
      </c>
      <c r="E254" s="125"/>
      <c r="F254" s="118" t="s">
        <v>5276</v>
      </c>
      <c r="G254" s="126" t="str">
        <f t="shared" si="12"/>
        <v>ST-SS3-2</v>
      </c>
      <c r="H254" s="255">
        <v>2</v>
      </c>
      <c r="I254" s="361">
        <v>1</v>
      </c>
      <c r="J254" s="362" t="s">
        <v>286</v>
      </c>
      <c r="W254" s="129" t="s">
        <v>4876</v>
      </c>
      <c r="X254" s="337" t="b">
        <f t="shared" si="11"/>
        <v>0</v>
      </c>
    </row>
    <row r="255" spans="1:24" s="337" customFormat="1" ht="12" customHeight="1" outlineLevel="1">
      <c r="A255" s="335"/>
      <c r="B255" s="118" t="s">
        <v>12</v>
      </c>
      <c r="C255" s="334" t="s">
        <v>5364</v>
      </c>
      <c r="D255" s="124" t="s">
        <v>5365</v>
      </c>
      <c r="E255" s="125"/>
      <c r="F255" s="118" t="s">
        <v>5276</v>
      </c>
      <c r="G255" s="126" t="str">
        <f t="shared" si="12"/>
        <v>ST-SS3-2</v>
      </c>
      <c r="H255" s="255">
        <v>2</v>
      </c>
      <c r="I255" s="361">
        <v>1</v>
      </c>
      <c r="J255" s="362" t="s">
        <v>286</v>
      </c>
      <c r="W255" s="129" t="s">
        <v>4876</v>
      </c>
      <c r="X255" s="337" t="b">
        <f t="shared" si="11"/>
        <v>0</v>
      </c>
    </row>
    <row r="256" spans="1:24" s="337" customFormat="1" ht="12" customHeight="1" outlineLevel="1">
      <c r="A256" s="335"/>
      <c r="B256" s="118" t="s">
        <v>12</v>
      </c>
      <c r="C256" s="334" t="s">
        <v>5366</v>
      </c>
      <c r="D256" s="124" t="s">
        <v>5367</v>
      </c>
      <c r="E256" s="125"/>
      <c r="F256" s="118" t="s">
        <v>5276</v>
      </c>
      <c r="G256" s="126" t="str">
        <f t="shared" si="12"/>
        <v>ST-SS3-2</v>
      </c>
      <c r="H256" s="255">
        <v>2</v>
      </c>
      <c r="I256" s="361">
        <v>1</v>
      </c>
      <c r="J256" s="362" t="s">
        <v>286</v>
      </c>
      <c r="W256" s="129" t="s">
        <v>4876</v>
      </c>
      <c r="X256" s="337" t="b">
        <f t="shared" si="11"/>
        <v>0</v>
      </c>
    </row>
    <row r="257" spans="1:24" s="337" customFormat="1" ht="12" customHeight="1" outlineLevel="1">
      <c r="A257" s="335"/>
      <c r="B257" s="118" t="s">
        <v>12</v>
      </c>
      <c r="C257" s="334" t="s">
        <v>5368</v>
      </c>
      <c r="D257" s="124" t="s">
        <v>5369</v>
      </c>
      <c r="E257" s="125"/>
      <c r="F257" s="118" t="s">
        <v>5276</v>
      </c>
      <c r="G257" s="126" t="str">
        <f t="shared" si="12"/>
        <v>ST-SS3-2</v>
      </c>
      <c r="H257" s="255">
        <v>2</v>
      </c>
      <c r="I257" s="361">
        <v>1</v>
      </c>
      <c r="J257" s="362" t="s">
        <v>286</v>
      </c>
      <c r="W257" s="129" t="s">
        <v>4876</v>
      </c>
      <c r="X257" s="337" t="b">
        <f t="shared" si="11"/>
        <v>0</v>
      </c>
    </row>
    <row r="258" spans="1:24" s="337" customFormat="1" ht="12" customHeight="1" outlineLevel="1">
      <c r="A258" s="335"/>
      <c r="B258" s="118" t="s">
        <v>12</v>
      </c>
      <c r="C258" s="334" t="s">
        <v>5370</v>
      </c>
      <c r="D258" s="124" t="s">
        <v>5371</v>
      </c>
      <c r="E258" s="125"/>
      <c r="F258" s="118" t="s">
        <v>5276</v>
      </c>
      <c r="G258" s="126" t="str">
        <f t="shared" si="12"/>
        <v>ST-SS3-2</v>
      </c>
      <c r="H258" s="255">
        <v>2</v>
      </c>
      <c r="I258" s="361">
        <v>1</v>
      </c>
      <c r="J258" s="362" t="s">
        <v>286</v>
      </c>
      <c r="W258" s="129" t="s">
        <v>4876</v>
      </c>
      <c r="X258" s="337" t="b">
        <f t="shared" si="11"/>
        <v>0</v>
      </c>
    </row>
    <row r="259" spans="1:24" s="337" customFormat="1" ht="12" customHeight="1" outlineLevel="1">
      <c r="A259" s="335"/>
      <c r="B259" s="118" t="s">
        <v>12</v>
      </c>
      <c r="C259" s="334" t="s">
        <v>5372</v>
      </c>
      <c r="D259" s="124" t="s">
        <v>5373</v>
      </c>
      <c r="E259" s="125"/>
      <c r="F259" s="118" t="s">
        <v>5276</v>
      </c>
      <c r="G259" s="126" t="str">
        <f t="shared" si="12"/>
        <v>ST-SS3-2</v>
      </c>
      <c r="H259" s="255">
        <v>2</v>
      </c>
      <c r="I259" s="361">
        <v>1</v>
      </c>
      <c r="J259" s="362" t="s">
        <v>286</v>
      </c>
      <c r="W259" s="129" t="s">
        <v>4876</v>
      </c>
      <c r="X259" s="337" t="b">
        <f t="shared" si="11"/>
        <v>0</v>
      </c>
    </row>
    <row r="260" spans="1:24" s="337" customFormat="1" ht="12" customHeight="1" outlineLevel="1">
      <c r="A260" s="335"/>
      <c r="B260" s="118" t="s">
        <v>12</v>
      </c>
      <c r="C260" s="334" t="s">
        <v>5374</v>
      </c>
      <c r="D260" s="124" t="s">
        <v>5375</v>
      </c>
      <c r="E260" s="125"/>
      <c r="F260" s="118" t="s">
        <v>5276</v>
      </c>
      <c r="G260" s="126" t="str">
        <f t="shared" si="12"/>
        <v>ST-SS3-2</v>
      </c>
      <c r="H260" s="255">
        <v>2</v>
      </c>
      <c r="I260" s="361">
        <v>1</v>
      </c>
      <c r="J260" s="362" t="s">
        <v>286</v>
      </c>
      <c r="W260" s="129" t="s">
        <v>4876</v>
      </c>
      <c r="X260" s="337" t="b">
        <f t="shared" si="11"/>
        <v>0</v>
      </c>
    </row>
    <row r="261" spans="1:24" s="337" customFormat="1" ht="12" customHeight="1" outlineLevel="1">
      <c r="A261" s="335"/>
      <c r="B261" s="118" t="s">
        <v>12</v>
      </c>
      <c r="C261" s="334" t="s">
        <v>5376</v>
      </c>
      <c r="D261" s="124" t="s">
        <v>5377</v>
      </c>
      <c r="E261" s="125"/>
      <c r="F261" s="118" t="s">
        <v>5276</v>
      </c>
      <c r="G261" s="126" t="str">
        <f t="shared" si="12"/>
        <v>ST-SS3-2</v>
      </c>
      <c r="H261" s="255">
        <v>2</v>
      </c>
      <c r="I261" s="361">
        <v>1</v>
      </c>
      <c r="J261" s="362" t="s">
        <v>286</v>
      </c>
      <c r="W261" s="129" t="s">
        <v>4876</v>
      </c>
      <c r="X261" s="337" t="b">
        <f t="shared" si="11"/>
        <v>0</v>
      </c>
    </row>
    <row r="262" spans="1:24" s="337" customFormat="1" ht="12" customHeight="1" outlineLevel="1">
      <c r="A262" s="335"/>
      <c r="B262" s="118" t="s">
        <v>12</v>
      </c>
      <c r="C262" s="334" t="s">
        <v>5378</v>
      </c>
      <c r="D262" s="124" t="s">
        <v>5379</v>
      </c>
      <c r="E262" s="125"/>
      <c r="F262" s="118" t="s">
        <v>5276</v>
      </c>
      <c r="G262" s="126" t="str">
        <f t="shared" si="12"/>
        <v>ST-SS3-2</v>
      </c>
      <c r="H262" s="255">
        <v>2</v>
      </c>
      <c r="I262" s="361">
        <v>1</v>
      </c>
      <c r="J262" s="362" t="s">
        <v>286</v>
      </c>
      <c r="W262" s="129" t="s">
        <v>4876</v>
      </c>
      <c r="X262" s="337" t="b">
        <f t="shared" si="11"/>
        <v>0</v>
      </c>
    </row>
    <row r="263" spans="1:24" s="337" customFormat="1" ht="12" customHeight="1" outlineLevel="1">
      <c r="A263" s="335"/>
      <c r="B263" s="118" t="s">
        <v>12</v>
      </c>
      <c r="C263" s="334" t="s">
        <v>5380</v>
      </c>
      <c r="D263" s="124" t="s">
        <v>5381</v>
      </c>
      <c r="E263" s="125"/>
      <c r="F263" s="118" t="s">
        <v>5276</v>
      </c>
      <c r="G263" s="126" t="str">
        <f t="shared" si="12"/>
        <v>ST-SS3-2</v>
      </c>
      <c r="H263" s="255">
        <v>2</v>
      </c>
      <c r="I263" s="361">
        <v>1</v>
      </c>
      <c r="J263" s="362" t="s">
        <v>286</v>
      </c>
      <c r="W263" s="129" t="s">
        <v>4876</v>
      </c>
      <c r="X263" s="337" t="b">
        <f t="shared" si="11"/>
        <v>0</v>
      </c>
    </row>
    <row r="264" spans="1:24" s="337" customFormat="1" ht="12" customHeight="1" outlineLevel="1">
      <c r="A264" s="335"/>
      <c r="B264" s="118" t="s">
        <v>12</v>
      </c>
      <c r="C264" s="334" t="s">
        <v>5382</v>
      </c>
      <c r="D264" s="124" t="s">
        <v>5383</v>
      </c>
      <c r="E264" s="125"/>
      <c r="F264" s="118" t="s">
        <v>5276</v>
      </c>
      <c r="G264" s="126" t="str">
        <f t="shared" si="12"/>
        <v>ST-SS3-2</v>
      </c>
      <c r="H264" s="255">
        <v>2</v>
      </c>
      <c r="I264" s="361">
        <v>1</v>
      </c>
      <c r="J264" s="362" t="s">
        <v>286</v>
      </c>
      <c r="W264" s="129" t="s">
        <v>4876</v>
      </c>
      <c r="X264" s="337" t="b">
        <f t="shared" si="11"/>
        <v>0</v>
      </c>
    </row>
    <row r="265" spans="1:24" s="337" customFormat="1" ht="12" customHeight="1" outlineLevel="1">
      <c r="A265" s="335"/>
      <c r="B265" s="118" t="s">
        <v>12</v>
      </c>
      <c r="C265" s="334" t="s">
        <v>5384</v>
      </c>
      <c r="D265" s="124" t="s">
        <v>5385</v>
      </c>
      <c r="E265" s="125"/>
      <c r="F265" s="118" t="s">
        <v>5276</v>
      </c>
      <c r="G265" s="126" t="str">
        <f t="shared" si="12"/>
        <v>ST-SS3-2</v>
      </c>
      <c r="H265" s="255">
        <v>2</v>
      </c>
      <c r="I265" s="361">
        <v>1</v>
      </c>
      <c r="J265" s="362" t="s">
        <v>286</v>
      </c>
      <c r="W265" s="129" t="s">
        <v>4876</v>
      </c>
      <c r="X265" s="337" t="b">
        <f t="shared" si="11"/>
        <v>0</v>
      </c>
    </row>
    <row r="266" spans="1:24" s="337" customFormat="1" ht="12" customHeight="1" outlineLevel="1">
      <c r="A266" s="335"/>
      <c r="B266" s="118" t="s">
        <v>12</v>
      </c>
      <c r="C266" s="334" t="s">
        <v>5386</v>
      </c>
      <c r="D266" s="124" t="s">
        <v>5387</v>
      </c>
      <c r="E266" s="125"/>
      <c r="F266" s="118" t="s">
        <v>5276</v>
      </c>
      <c r="G266" s="126" t="str">
        <f t="shared" si="12"/>
        <v>ST-SS3-2</v>
      </c>
      <c r="H266" s="255">
        <v>2</v>
      </c>
      <c r="I266" s="361">
        <v>1</v>
      </c>
      <c r="J266" s="362" t="s">
        <v>286</v>
      </c>
      <c r="W266" s="129" t="s">
        <v>4876</v>
      </c>
      <c r="X266" s="337" t="b">
        <f t="shared" si="11"/>
        <v>0</v>
      </c>
    </row>
    <row r="267" spans="1:24" s="337" customFormat="1" ht="12" customHeight="1" outlineLevel="1">
      <c r="A267" s="335"/>
      <c r="B267" s="118" t="s">
        <v>12</v>
      </c>
      <c r="C267" s="334" t="s">
        <v>5388</v>
      </c>
      <c r="D267" s="124" t="s">
        <v>5389</v>
      </c>
      <c r="E267" s="125"/>
      <c r="F267" s="118" t="s">
        <v>5276</v>
      </c>
      <c r="G267" s="126" t="str">
        <f t="shared" si="12"/>
        <v>ST-SS3-2</v>
      </c>
      <c r="H267" s="255">
        <v>2</v>
      </c>
      <c r="I267" s="361">
        <v>1</v>
      </c>
      <c r="J267" s="362" t="s">
        <v>286</v>
      </c>
      <c r="W267" s="129" t="s">
        <v>4876</v>
      </c>
      <c r="X267" s="337" t="b">
        <f t="shared" si="11"/>
        <v>0</v>
      </c>
    </row>
    <row r="268" spans="1:24" s="337" customFormat="1" ht="12" customHeight="1" outlineLevel="1">
      <c r="A268" s="335"/>
      <c r="B268" s="118" t="s">
        <v>12</v>
      </c>
      <c r="C268" s="334" t="s">
        <v>5390</v>
      </c>
      <c r="D268" s="124" t="s">
        <v>5391</v>
      </c>
      <c r="E268" s="125"/>
      <c r="F268" s="118" t="s">
        <v>5276</v>
      </c>
      <c r="G268" s="126" t="str">
        <f t="shared" si="12"/>
        <v>ST-SS3-2</v>
      </c>
      <c r="H268" s="255">
        <v>2</v>
      </c>
      <c r="I268" s="361">
        <v>1</v>
      </c>
      <c r="J268" s="362" t="s">
        <v>286</v>
      </c>
      <c r="W268" s="129" t="s">
        <v>4876</v>
      </c>
      <c r="X268" s="337" t="b">
        <f t="shared" si="11"/>
        <v>0</v>
      </c>
    </row>
    <row r="269" spans="1:24" s="337" customFormat="1" ht="12" customHeight="1" outlineLevel="1">
      <c r="A269" s="335"/>
      <c r="B269" s="118" t="s">
        <v>12</v>
      </c>
      <c r="C269" s="334" t="s">
        <v>5392</v>
      </c>
      <c r="D269" s="124" t="s">
        <v>5393</v>
      </c>
      <c r="E269" s="125"/>
      <c r="F269" s="118" t="s">
        <v>5276</v>
      </c>
      <c r="G269" s="126" t="str">
        <f t="shared" si="12"/>
        <v>ST-SS3-2</v>
      </c>
      <c r="H269" s="255">
        <v>2</v>
      </c>
      <c r="I269" s="361">
        <v>1</v>
      </c>
      <c r="J269" s="362" t="s">
        <v>286</v>
      </c>
      <c r="W269" s="129" t="s">
        <v>4876</v>
      </c>
      <c r="X269" s="337" t="b">
        <f t="shared" si="11"/>
        <v>0</v>
      </c>
    </row>
    <row r="270" spans="1:24" s="337" customFormat="1" ht="12" customHeight="1" outlineLevel="1">
      <c r="A270" s="335"/>
      <c r="B270" s="118" t="s">
        <v>12</v>
      </c>
      <c r="C270" s="334" t="s">
        <v>5394</v>
      </c>
      <c r="D270" s="124" t="s">
        <v>5395</v>
      </c>
      <c r="E270" s="125"/>
      <c r="F270" s="118" t="s">
        <v>5276</v>
      </c>
      <c r="G270" s="126" t="str">
        <f t="shared" si="12"/>
        <v>ST-SS3-2</v>
      </c>
      <c r="H270" s="255">
        <v>2</v>
      </c>
      <c r="I270" s="361">
        <v>1</v>
      </c>
      <c r="J270" s="362" t="s">
        <v>286</v>
      </c>
      <c r="W270" s="129" t="s">
        <v>4876</v>
      </c>
      <c r="X270" s="337" t="b">
        <f t="shared" si="11"/>
        <v>0</v>
      </c>
    </row>
    <row r="271" spans="1:24" s="337" customFormat="1" ht="12" customHeight="1" outlineLevel="1">
      <c r="A271" s="335"/>
      <c r="B271" s="118" t="s">
        <v>12</v>
      </c>
      <c r="C271" s="334" t="s">
        <v>5396</v>
      </c>
      <c r="D271" s="124" t="s">
        <v>5397</v>
      </c>
      <c r="E271" s="125"/>
      <c r="F271" s="118" t="s">
        <v>5276</v>
      </c>
      <c r="G271" s="126" t="str">
        <f t="shared" si="12"/>
        <v>ST-SS3-2</v>
      </c>
      <c r="H271" s="255">
        <v>2</v>
      </c>
      <c r="I271" s="361">
        <v>1</v>
      </c>
      <c r="J271" s="362" t="s">
        <v>286</v>
      </c>
      <c r="W271" s="129" t="s">
        <v>4876</v>
      </c>
      <c r="X271" s="337" t="b">
        <f t="shared" si="11"/>
        <v>0</v>
      </c>
    </row>
    <row r="272" spans="1:24" s="337" customFormat="1" ht="12" customHeight="1" outlineLevel="1">
      <c r="A272" s="335"/>
      <c r="B272" s="118" t="s">
        <v>12</v>
      </c>
      <c r="C272" s="334" t="s">
        <v>5398</v>
      </c>
      <c r="D272" s="124" t="s">
        <v>5399</v>
      </c>
      <c r="E272" s="125"/>
      <c r="F272" s="118" t="s">
        <v>5276</v>
      </c>
      <c r="G272" s="126" t="str">
        <f t="shared" si="12"/>
        <v>ST-SS3-2</v>
      </c>
      <c r="H272" s="255">
        <v>2</v>
      </c>
      <c r="I272" s="361">
        <v>1</v>
      </c>
      <c r="J272" s="362" t="s">
        <v>286</v>
      </c>
      <c r="W272" s="129" t="s">
        <v>4876</v>
      </c>
      <c r="X272" s="337" t="b">
        <f t="shared" si="11"/>
        <v>0</v>
      </c>
    </row>
    <row r="273" spans="1:24" s="337" customFormat="1" ht="12" customHeight="1" outlineLevel="1">
      <c r="A273" s="335"/>
      <c r="B273" s="118" t="s">
        <v>12</v>
      </c>
      <c r="C273" s="334" t="s">
        <v>5400</v>
      </c>
      <c r="D273" s="124" t="s">
        <v>5401</v>
      </c>
      <c r="E273" s="125"/>
      <c r="F273" s="118" t="s">
        <v>5276</v>
      </c>
      <c r="G273" s="126" t="str">
        <f t="shared" si="12"/>
        <v>ST-SS3-2</v>
      </c>
      <c r="H273" s="255">
        <v>2</v>
      </c>
      <c r="I273" s="361">
        <v>1</v>
      </c>
      <c r="J273" s="362" t="s">
        <v>286</v>
      </c>
      <c r="W273" s="129" t="s">
        <v>4876</v>
      </c>
      <c r="X273" s="337" t="b">
        <f t="shared" si="11"/>
        <v>0</v>
      </c>
    </row>
    <row r="274" spans="1:24" s="337" customFormat="1" ht="12" customHeight="1" outlineLevel="1">
      <c r="A274" s="335"/>
      <c r="B274" s="118" t="s">
        <v>12</v>
      </c>
      <c r="C274" s="334" t="s">
        <v>5402</v>
      </c>
      <c r="D274" s="124" t="s">
        <v>5403</v>
      </c>
      <c r="E274" s="125"/>
      <c r="F274" s="118" t="s">
        <v>5276</v>
      </c>
      <c r="G274" s="126" t="str">
        <f t="shared" ref="G274:G305" si="13">CONCATENATE(B274,"-",F274,"-",H274)</f>
        <v>ST-SS3-2</v>
      </c>
      <c r="H274" s="255">
        <v>2</v>
      </c>
      <c r="I274" s="361">
        <v>1</v>
      </c>
      <c r="J274" s="362" t="s">
        <v>286</v>
      </c>
      <c r="W274" s="129" t="s">
        <v>4876</v>
      </c>
      <c r="X274" s="337" t="b">
        <f t="shared" ref="X274:X337" si="14">W274=J274</f>
        <v>0</v>
      </c>
    </row>
    <row r="275" spans="1:24" s="337" customFormat="1" ht="12" customHeight="1" outlineLevel="1">
      <c r="A275" s="335"/>
      <c r="B275" s="118" t="s">
        <v>12</v>
      </c>
      <c r="C275" s="334" t="s">
        <v>5404</v>
      </c>
      <c r="D275" s="124" t="s">
        <v>5405</v>
      </c>
      <c r="E275" s="125"/>
      <c r="F275" s="118" t="s">
        <v>5276</v>
      </c>
      <c r="G275" s="126" t="str">
        <f t="shared" si="13"/>
        <v>ST-SS3-2</v>
      </c>
      <c r="H275" s="255">
        <v>2</v>
      </c>
      <c r="I275" s="361">
        <v>1</v>
      </c>
      <c r="J275" s="362" t="s">
        <v>286</v>
      </c>
      <c r="W275" s="129" t="s">
        <v>4876</v>
      </c>
      <c r="X275" s="337" t="b">
        <f t="shared" si="14"/>
        <v>0</v>
      </c>
    </row>
    <row r="276" spans="1:24" s="337" customFormat="1" ht="12" customHeight="1" outlineLevel="1">
      <c r="A276" s="335"/>
      <c r="B276" s="118" t="s">
        <v>12</v>
      </c>
      <c r="C276" s="334" t="s">
        <v>5406</v>
      </c>
      <c r="D276" s="124" t="s">
        <v>5407</v>
      </c>
      <c r="E276" s="125"/>
      <c r="F276" s="118" t="s">
        <v>5276</v>
      </c>
      <c r="G276" s="126" t="str">
        <f t="shared" si="13"/>
        <v>ST-SS3-2</v>
      </c>
      <c r="H276" s="255">
        <v>2</v>
      </c>
      <c r="I276" s="361">
        <v>1</v>
      </c>
      <c r="J276" s="362" t="s">
        <v>286</v>
      </c>
      <c r="W276" s="129" t="s">
        <v>4876</v>
      </c>
      <c r="X276" s="337" t="b">
        <f t="shared" si="14"/>
        <v>0</v>
      </c>
    </row>
    <row r="277" spans="1:24" s="337" customFormat="1" ht="12" customHeight="1" outlineLevel="1">
      <c r="A277" s="335"/>
      <c r="B277" s="118" t="s">
        <v>12</v>
      </c>
      <c r="C277" s="334" t="s">
        <v>5408</v>
      </c>
      <c r="D277" s="124" t="s">
        <v>5409</v>
      </c>
      <c r="E277" s="125"/>
      <c r="F277" s="118" t="s">
        <v>5276</v>
      </c>
      <c r="G277" s="126" t="str">
        <f t="shared" si="13"/>
        <v>ST-SS3-2</v>
      </c>
      <c r="H277" s="255">
        <v>2</v>
      </c>
      <c r="I277" s="361">
        <v>1</v>
      </c>
      <c r="J277" s="362" t="s">
        <v>286</v>
      </c>
      <c r="W277" s="129" t="s">
        <v>4876</v>
      </c>
      <c r="X277" s="337" t="b">
        <f t="shared" si="14"/>
        <v>0</v>
      </c>
    </row>
    <row r="278" spans="1:24" s="337" customFormat="1" ht="12" customHeight="1" outlineLevel="1">
      <c r="A278" s="335"/>
      <c r="B278" s="118" t="s">
        <v>12</v>
      </c>
      <c r="C278" s="334" t="s">
        <v>5410</v>
      </c>
      <c r="D278" s="124" t="s">
        <v>5411</v>
      </c>
      <c r="E278" s="125"/>
      <c r="F278" s="118" t="s">
        <v>5276</v>
      </c>
      <c r="G278" s="126" t="str">
        <f t="shared" si="13"/>
        <v>ST-SS3-2</v>
      </c>
      <c r="H278" s="255">
        <v>2</v>
      </c>
      <c r="I278" s="361">
        <v>1</v>
      </c>
      <c r="J278" s="362" t="s">
        <v>286</v>
      </c>
      <c r="W278" s="129" t="s">
        <v>4876</v>
      </c>
      <c r="X278" s="337" t="b">
        <f t="shared" si="14"/>
        <v>0</v>
      </c>
    </row>
    <row r="279" spans="1:24" s="337" customFormat="1" ht="12" customHeight="1" outlineLevel="1">
      <c r="A279" s="335"/>
      <c r="B279" s="118" t="s">
        <v>12</v>
      </c>
      <c r="C279" s="334" t="s">
        <v>5412</v>
      </c>
      <c r="D279" s="124" t="s">
        <v>5413</v>
      </c>
      <c r="E279" s="125"/>
      <c r="F279" s="118" t="s">
        <v>5276</v>
      </c>
      <c r="G279" s="126" t="str">
        <f t="shared" si="13"/>
        <v>ST-SS3-2</v>
      </c>
      <c r="H279" s="255">
        <v>2</v>
      </c>
      <c r="I279" s="361">
        <v>1</v>
      </c>
      <c r="J279" s="362" t="s">
        <v>286</v>
      </c>
      <c r="W279" s="129" t="s">
        <v>4876</v>
      </c>
      <c r="X279" s="337" t="b">
        <f t="shared" si="14"/>
        <v>0</v>
      </c>
    </row>
    <row r="280" spans="1:24" s="337" customFormat="1" ht="12" customHeight="1" outlineLevel="1">
      <c r="A280" s="335"/>
      <c r="B280" s="118" t="s">
        <v>12</v>
      </c>
      <c r="C280" s="334" t="s">
        <v>5414</v>
      </c>
      <c r="D280" s="124" t="s">
        <v>5415</v>
      </c>
      <c r="E280" s="125"/>
      <c r="F280" s="118" t="s">
        <v>5276</v>
      </c>
      <c r="G280" s="126" t="str">
        <f t="shared" si="13"/>
        <v>ST-SS3-2</v>
      </c>
      <c r="H280" s="255">
        <v>2</v>
      </c>
      <c r="I280" s="361">
        <v>1</v>
      </c>
      <c r="J280" s="362" t="s">
        <v>286</v>
      </c>
      <c r="W280" s="129" t="s">
        <v>4876</v>
      </c>
      <c r="X280" s="337" t="b">
        <f t="shared" si="14"/>
        <v>0</v>
      </c>
    </row>
    <row r="281" spans="1:24" s="337" customFormat="1" ht="12" customHeight="1" outlineLevel="1">
      <c r="A281" s="335"/>
      <c r="B281" s="118" t="s">
        <v>12</v>
      </c>
      <c r="C281" s="334" t="s">
        <v>5416</v>
      </c>
      <c r="D281" s="124" t="s">
        <v>5417</v>
      </c>
      <c r="E281" s="125"/>
      <c r="F281" s="118" t="s">
        <v>5276</v>
      </c>
      <c r="G281" s="126" t="str">
        <f t="shared" si="13"/>
        <v>ST-SS3-2</v>
      </c>
      <c r="H281" s="255">
        <v>2</v>
      </c>
      <c r="I281" s="361">
        <v>1</v>
      </c>
      <c r="J281" s="362" t="s">
        <v>286</v>
      </c>
      <c r="W281" s="129" t="s">
        <v>4876</v>
      </c>
      <c r="X281" s="337" t="b">
        <f t="shared" si="14"/>
        <v>0</v>
      </c>
    </row>
    <row r="282" spans="1:24" s="337" customFormat="1" ht="12" customHeight="1" outlineLevel="1">
      <c r="A282" s="335"/>
      <c r="B282" s="118" t="s">
        <v>12</v>
      </c>
      <c r="C282" s="334" t="s">
        <v>5418</v>
      </c>
      <c r="D282" s="124" t="s">
        <v>5419</v>
      </c>
      <c r="E282" s="125"/>
      <c r="F282" s="118" t="s">
        <v>5276</v>
      </c>
      <c r="G282" s="126" t="str">
        <f t="shared" si="13"/>
        <v>ST-SS3-2</v>
      </c>
      <c r="H282" s="255">
        <v>2</v>
      </c>
      <c r="I282" s="361">
        <v>1</v>
      </c>
      <c r="J282" s="362" t="s">
        <v>286</v>
      </c>
      <c r="W282" s="129" t="s">
        <v>4876</v>
      </c>
      <c r="X282" s="337" t="b">
        <f t="shared" si="14"/>
        <v>0</v>
      </c>
    </row>
    <row r="283" spans="1:24" s="337" customFormat="1" ht="12" customHeight="1" outlineLevel="1">
      <c r="A283" s="335"/>
      <c r="B283" s="118" t="s">
        <v>12</v>
      </c>
      <c r="C283" s="334" t="s">
        <v>5420</v>
      </c>
      <c r="D283" s="124" t="s">
        <v>5421</v>
      </c>
      <c r="E283" s="125"/>
      <c r="F283" s="118" t="s">
        <v>5276</v>
      </c>
      <c r="G283" s="126" t="str">
        <f t="shared" si="13"/>
        <v>ST-SS3-2</v>
      </c>
      <c r="H283" s="255">
        <v>2</v>
      </c>
      <c r="I283" s="361">
        <v>1</v>
      </c>
      <c r="J283" s="362" t="s">
        <v>286</v>
      </c>
      <c r="W283" s="129" t="s">
        <v>4876</v>
      </c>
      <c r="X283" s="337" t="b">
        <f t="shared" si="14"/>
        <v>0</v>
      </c>
    </row>
    <row r="284" spans="1:24" s="337" customFormat="1" ht="12" customHeight="1" outlineLevel="1">
      <c r="A284" s="335"/>
      <c r="B284" s="118" t="s">
        <v>12</v>
      </c>
      <c r="C284" s="334" t="s">
        <v>5422</v>
      </c>
      <c r="D284" s="124" t="s">
        <v>5423</v>
      </c>
      <c r="E284" s="125"/>
      <c r="F284" s="118" t="s">
        <v>5276</v>
      </c>
      <c r="G284" s="126" t="str">
        <f t="shared" si="13"/>
        <v>ST-SS3-2</v>
      </c>
      <c r="H284" s="255">
        <v>2</v>
      </c>
      <c r="I284" s="361">
        <v>1</v>
      </c>
      <c r="J284" s="362" t="s">
        <v>286</v>
      </c>
      <c r="W284" s="129" t="s">
        <v>4876</v>
      </c>
      <c r="X284" s="337" t="b">
        <f t="shared" si="14"/>
        <v>0</v>
      </c>
    </row>
    <row r="285" spans="1:24" s="337" customFormat="1" ht="12" customHeight="1" outlineLevel="1">
      <c r="A285" s="335"/>
      <c r="B285" s="118" t="s">
        <v>12</v>
      </c>
      <c r="C285" s="334" t="s">
        <v>5424</v>
      </c>
      <c r="D285" s="124" t="s">
        <v>5425</v>
      </c>
      <c r="E285" s="125"/>
      <c r="F285" s="118" t="s">
        <v>5276</v>
      </c>
      <c r="G285" s="126" t="str">
        <f t="shared" si="13"/>
        <v>ST-SS3-2</v>
      </c>
      <c r="H285" s="255">
        <v>2</v>
      </c>
      <c r="I285" s="361">
        <v>1</v>
      </c>
      <c r="J285" s="362" t="s">
        <v>286</v>
      </c>
      <c r="W285" s="129" t="s">
        <v>4876</v>
      </c>
      <c r="X285" s="337" t="b">
        <f t="shared" si="14"/>
        <v>0</v>
      </c>
    </row>
    <row r="286" spans="1:24" s="337" customFormat="1" ht="12" customHeight="1" outlineLevel="1">
      <c r="A286" s="335"/>
      <c r="B286" s="118" t="s">
        <v>12</v>
      </c>
      <c r="C286" s="334" t="s">
        <v>5426</v>
      </c>
      <c r="D286" s="124" t="s">
        <v>5427</v>
      </c>
      <c r="E286" s="125"/>
      <c r="F286" s="118" t="s">
        <v>5276</v>
      </c>
      <c r="G286" s="126" t="str">
        <f t="shared" si="13"/>
        <v>ST-SS3-2</v>
      </c>
      <c r="H286" s="255">
        <v>2</v>
      </c>
      <c r="I286" s="361">
        <v>1</v>
      </c>
      <c r="J286" s="362" t="s">
        <v>286</v>
      </c>
      <c r="W286" s="129" t="s">
        <v>4876</v>
      </c>
      <c r="X286" s="337" t="b">
        <f t="shared" si="14"/>
        <v>0</v>
      </c>
    </row>
    <row r="287" spans="1:24" s="337" customFormat="1" ht="12" customHeight="1" outlineLevel="1">
      <c r="A287" s="335"/>
      <c r="B287" s="118" t="s">
        <v>12</v>
      </c>
      <c r="C287" s="334" t="s">
        <v>5428</v>
      </c>
      <c r="D287" s="124" t="s">
        <v>5429</v>
      </c>
      <c r="E287" s="125"/>
      <c r="F287" s="118" t="s">
        <v>5276</v>
      </c>
      <c r="G287" s="126" t="str">
        <f t="shared" si="13"/>
        <v>ST-SS3-2</v>
      </c>
      <c r="H287" s="255">
        <v>2</v>
      </c>
      <c r="I287" s="361">
        <v>1</v>
      </c>
      <c r="J287" s="362" t="s">
        <v>286</v>
      </c>
      <c r="W287" s="129" t="s">
        <v>4876</v>
      </c>
      <c r="X287" s="337" t="b">
        <f t="shared" si="14"/>
        <v>0</v>
      </c>
    </row>
    <row r="288" spans="1:24" s="337" customFormat="1" ht="12" customHeight="1" outlineLevel="1">
      <c r="A288" s="335"/>
      <c r="B288" s="118" t="s">
        <v>12</v>
      </c>
      <c r="C288" s="334" t="s">
        <v>5430</v>
      </c>
      <c r="D288" s="124" t="s">
        <v>5431</v>
      </c>
      <c r="E288" s="125"/>
      <c r="F288" s="118" t="s">
        <v>5276</v>
      </c>
      <c r="G288" s="126" t="str">
        <f t="shared" si="13"/>
        <v>ST-SS3-2</v>
      </c>
      <c r="H288" s="255">
        <v>2</v>
      </c>
      <c r="I288" s="361">
        <v>1</v>
      </c>
      <c r="J288" s="362" t="s">
        <v>286</v>
      </c>
      <c r="W288" s="129" t="s">
        <v>4876</v>
      </c>
      <c r="X288" s="337" t="b">
        <f t="shared" si="14"/>
        <v>0</v>
      </c>
    </row>
    <row r="289" spans="1:24" s="337" customFormat="1" ht="12" customHeight="1" outlineLevel="1">
      <c r="A289" s="335"/>
      <c r="B289" s="118" t="s">
        <v>12</v>
      </c>
      <c r="C289" s="334" t="s">
        <v>5432</v>
      </c>
      <c r="D289" s="124" t="s">
        <v>5433</v>
      </c>
      <c r="E289" s="125"/>
      <c r="F289" s="118" t="s">
        <v>5276</v>
      </c>
      <c r="G289" s="126" t="str">
        <f t="shared" si="13"/>
        <v>ST-SS3-2</v>
      </c>
      <c r="H289" s="255">
        <v>2</v>
      </c>
      <c r="I289" s="361">
        <v>1</v>
      </c>
      <c r="J289" s="362" t="s">
        <v>286</v>
      </c>
      <c r="W289" s="129" t="s">
        <v>4876</v>
      </c>
      <c r="X289" s="337" t="b">
        <f t="shared" si="14"/>
        <v>0</v>
      </c>
    </row>
    <row r="290" spans="1:24" s="337" customFormat="1" ht="12" customHeight="1" outlineLevel="1">
      <c r="A290" s="335"/>
      <c r="B290" s="118" t="s">
        <v>12</v>
      </c>
      <c r="C290" s="334" t="s">
        <v>5434</v>
      </c>
      <c r="D290" s="124" t="s">
        <v>5435</v>
      </c>
      <c r="E290" s="125"/>
      <c r="F290" s="118" t="s">
        <v>5276</v>
      </c>
      <c r="G290" s="126" t="str">
        <f t="shared" si="13"/>
        <v>ST-SS3-2</v>
      </c>
      <c r="H290" s="255">
        <v>2</v>
      </c>
      <c r="I290" s="361">
        <v>1</v>
      </c>
      <c r="J290" s="362" t="s">
        <v>286</v>
      </c>
      <c r="W290" s="129" t="s">
        <v>4876</v>
      </c>
      <c r="X290" s="337" t="b">
        <f t="shared" si="14"/>
        <v>0</v>
      </c>
    </row>
    <row r="291" spans="1:24" s="337" customFormat="1" ht="12" customHeight="1" outlineLevel="1">
      <c r="A291" s="335"/>
      <c r="B291" s="118" t="s">
        <v>12</v>
      </c>
      <c r="C291" s="334" t="s">
        <v>5436</v>
      </c>
      <c r="D291" s="124" t="s">
        <v>5437</v>
      </c>
      <c r="E291" s="125"/>
      <c r="F291" s="118" t="s">
        <v>5276</v>
      </c>
      <c r="G291" s="126" t="str">
        <f t="shared" si="13"/>
        <v>ST-SS3-2</v>
      </c>
      <c r="H291" s="255">
        <v>2</v>
      </c>
      <c r="I291" s="361">
        <v>1</v>
      </c>
      <c r="J291" s="362" t="s">
        <v>286</v>
      </c>
      <c r="W291" s="129" t="s">
        <v>4876</v>
      </c>
      <c r="X291" s="337" t="b">
        <f t="shared" si="14"/>
        <v>0</v>
      </c>
    </row>
    <row r="292" spans="1:24" s="337" customFormat="1" ht="12" customHeight="1" outlineLevel="1">
      <c r="A292" s="335"/>
      <c r="B292" s="118" t="s">
        <v>12</v>
      </c>
      <c r="C292" s="334" t="s">
        <v>5438</v>
      </c>
      <c r="D292" s="124" t="s">
        <v>5439</v>
      </c>
      <c r="E292" s="125"/>
      <c r="F292" s="118" t="s">
        <v>5276</v>
      </c>
      <c r="G292" s="126" t="str">
        <f t="shared" si="13"/>
        <v>ST-SS3-2</v>
      </c>
      <c r="H292" s="255">
        <v>2</v>
      </c>
      <c r="I292" s="361">
        <v>1</v>
      </c>
      <c r="J292" s="362" t="s">
        <v>286</v>
      </c>
      <c r="W292" s="129" t="s">
        <v>4876</v>
      </c>
      <c r="X292" s="337" t="b">
        <f t="shared" si="14"/>
        <v>0</v>
      </c>
    </row>
    <row r="293" spans="1:24" s="337" customFormat="1" ht="12" customHeight="1" outlineLevel="1">
      <c r="A293" s="335"/>
      <c r="B293" s="118" t="s">
        <v>12</v>
      </c>
      <c r="C293" s="334" t="s">
        <v>5440</v>
      </c>
      <c r="D293" s="124" t="s">
        <v>5441</v>
      </c>
      <c r="E293" s="125"/>
      <c r="F293" s="118" t="s">
        <v>5276</v>
      </c>
      <c r="G293" s="126" t="str">
        <f t="shared" si="13"/>
        <v>ST-SS3-2</v>
      </c>
      <c r="H293" s="255">
        <v>2</v>
      </c>
      <c r="I293" s="361">
        <v>1</v>
      </c>
      <c r="J293" s="362" t="s">
        <v>286</v>
      </c>
      <c r="W293" s="129" t="s">
        <v>4876</v>
      </c>
      <c r="X293" s="337" t="b">
        <f t="shared" si="14"/>
        <v>0</v>
      </c>
    </row>
    <row r="294" spans="1:24" s="337" customFormat="1" ht="12" customHeight="1" outlineLevel="1">
      <c r="A294" s="335"/>
      <c r="B294" s="118" t="s">
        <v>12</v>
      </c>
      <c r="C294" s="334" t="s">
        <v>5442</v>
      </c>
      <c r="D294" s="124" t="s">
        <v>5443</v>
      </c>
      <c r="E294" s="125"/>
      <c r="F294" s="118" t="s">
        <v>5276</v>
      </c>
      <c r="G294" s="126" t="str">
        <f t="shared" si="13"/>
        <v>ST-SS3-2</v>
      </c>
      <c r="H294" s="255">
        <v>2</v>
      </c>
      <c r="I294" s="361">
        <v>1</v>
      </c>
      <c r="J294" s="362" t="s">
        <v>286</v>
      </c>
      <c r="W294" s="129" t="s">
        <v>4876</v>
      </c>
      <c r="X294" s="337" t="b">
        <f t="shared" si="14"/>
        <v>0</v>
      </c>
    </row>
    <row r="295" spans="1:24" s="337" customFormat="1" ht="12" customHeight="1" outlineLevel="1">
      <c r="A295" s="335"/>
      <c r="B295" s="118" t="s">
        <v>12</v>
      </c>
      <c r="C295" s="334" t="s">
        <v>5444</v>
      </c>
      <c r="D295" s="124" t="s">
        <v>5445</v>
      </c>
      <c r="E295" s="125"/>
      <c r="F295" s="118" t="s">
        <v>5276</v>
      </c>
      <c r="G295" s="126" t="str">
        <f t="shared" si="13"/>
        <v>ST-SS3-2</v>
      </c>
      <c r="H295" s="255">
        <v>2</v>
      </c>
      <c r="I295" s="361">
        <v>1</v>
      </c>
      <c r="J295" s="362" t="s">
        <v>286</v>
      </c>
      <c r="W295" s="129" t="s">
        <v>4876</v>
      </c>
      <c r="X295" s="337" t="b">
        <f t="shared" si="14"/>
        <v>0</v>
      </c>
    </row>
    <row r="296" spans="1:24" s="337" customFormat="1" ht="12" customHeight="1" outlineLevel="1">
      <c r="A296" s="335"/>
      <c r="B296" s="118" t="s">
        <v>12</v>
      </c>
      <c r="C296" s="334" t="s">
        <v>5446</v>
      </c>
      <c r="D296" s="124" t="s">
        <v>5447</v>
      </c>
      <c r="E296" s="125"/>
      <c r="F296" s="118" t="s">
        <v>5276</v>
      </c>
      <c r="G296" s="126" t="str">
        <f t="shared" si="13"/>
        <v>ST-SS3-2</v>
      </c>
      <c r="H296" s="255">
        <v>2</v>
      </c>
      <c r="I296" s="361">
        <v>1</v>
      </c>
      <c r="J296" s="362" t="s">
        <v>286</v>
      </c>
      <c r="W296" s="129" t="s">
        <v>4876</v>
      </c>
      <c r="X296" s="337" t="b">
        <f t="shared" si="14"/>
        <v>0</v>
      </c>
    </row>
    <row r="297" spans="1:24" s="337" customFormat="1" ht="12" customHeight="1" outlineLevel="1">
      <c r="A297" s="335"/>
      <c r="B297" s="118" t="s">
        <v>12</v>
      </c>
      <c r="C297" s="334" t="s">
        <v>5448</v>
      </c>
      <c r="D297" s="124" t="s">
        <v>5449</v>
      </c>
      <c r="E297" s="125"/>
      <c r="F297" s="118" t="s">
        <v>5276</v>
      </c>
      <c r="G297" s="126" t="str">
        <f t="shared" si="13"/>
        <v>ST-SS3-2</v>
      </c>
      <c r="H297" s="255">
        <v>2</v>
      </c>
      <c r="I297" s="361">
        <v>1</v>
      </c>
      <c r="J297" s="362" t="s">
        <v>286</v>
      </c>
      <c r="W297" s="129" t="s">
        <v>4876</v>
      </c>
      <c r="X297" s="337" t="b">
        <f t="shared" si="14"/>
        <v>0</v>
      </c>
    </row>
    <row r="298" spans="1:24" s="337" customFormat="1" ht="12" customHeight="1" outlineLevel="1">
      <c r="A298" s="335"/>
      <c r="B298" s="118" t="s">
        <v>12</v>
      </c>
      <c r="C298" s="334" t="s">
        <v>5450</v>
      </c>
      <c r="D298" s="124" t="s">
        <v>5451</v>
      </c>
      <c r="E298" s="125"/>
      <c r="F298" s="118" t="s">
        <v>5276</v>
      </c>
      <c r="G298" s="126" t="str">
        <f t="shared" si="13"/>
        <v>ST-SS3-2</v>
      </c>
      <c r="H298" s="255">
        <v>2</v>
      </c>
      <c r="I298" s="361">
        <v>1</v>
      </c>
      <c r="J298" s="362" t="s">
        <v>286</v>
      </c>
      <c r="W298" s="129" t="s">
        <v>4876</v>
      </c>
      <c r="X298" s="337" t="b">
        <f t="shared" si="14"/>
        <v>0</v>
      </c>
    </row>
    <row r="299" spans="1:24" s="337" customFormat="1" ht="12" customHeight="1" outlineLevel="1">
      <c r="A299" s="335"/>
      <c r="B299" s="118" t="s">
        <v>12</v>
      </c>
      <c r="C299" s="334" t="s">
        <v>5452</v>
      </c>
      <c r="D299" s="124" t="s">
        <v>5453</v>
      </c>
      <c r="E299" s="125"/>
      <c r="F299" s="118" t="s">
        <v>5276</v>
      </c>
      <c r="G299" s="126" t="str">
        <f t="shared" si="13"/>
        <v>ST-SS3-2</v>
      </c>
      <c r="H299" s="255">
        <v>2</v>
      </c>
      <c r="I299" s="361">
        <v>1</v>
      </c>
      <c r="J299" s="362" t="s">
        <v>286</v>
      </c>
      <c r="W299" s="129" t="s">
        <v>4876</v>
      </c>
      <c r="X299" s="337" t="b">
        <f t="shared" si="14"/>
        <v>0</v>
      </c>
    </row>
    <row r="300" spans="1:24" s="337" customFormat="1" ht="12" customHeight="1" outlineLevel="1">
      <c r="A300" s="335"/>
      <c r="B300" s="118" t="s">
        <v>12</v>
      </c>
      <c r="C300" s="334" t="s">
        <v>5454</v>
      </c>
      <c r="D300" s="124" t="s">
        <v>5455</v>
      </c>
      <c r="E300" s="125"/>
      <c r="F300" s="118" t="s">
        <v>5276</v>
      </c>
      <c r="G300" s="126" t="str">
        <f t="shared" si="13"/>
        <v>ST-SS3-2</v>
      </c>
      <c r="H300" s="255">
        <v>2</v>
      </c>
      <c r="I300" s="361">
        <v>1</v>
      </c>
      <c r="J300" s="362" t="s">
        <v>286</v>
      </c>
      <c r="W300" s="129" t="s">
        <v>4876</v>
      </c>
      <c r="X300" s="337" t="b">
        <f t="shared" si="14"/>
        <v>0</v>
      </c>
    </row>
    <row r="301" spans="1:24" s="337" customFormat="1" ht="12" customHeight="1" outlineLevel="1">
      <c r="A301" s="335"/>
      <c r="B301" s="118" t="s">
        <v>12</v>
      </c>
      <c r="C301" s="334" t="s">
        <v>5456</v>
      </c>
      <c r="D301" s="124" t="s">
        <v>5457</v>
      </c>
      <c r="E301" s="125"/>
      <c r="F301" s="118" t="s">
        <v>5276</v>
      </c>
      <c r="G301" s="126" t="str">
        <f t="shared" si="13"/>
        <v>ST-SS3-2</v>
      </c>
      <c r="H301" s="255">
        <v>2</v>
      </c>
      <c r="I301" s="361">
        <v>1</v>
      </c>
      <c r="J301" s="362" t="s">
        <v>286</v>
      </c>
      <c r="W301" s="129" t="s">
        <v>4876</v>
      </c>
      <c r="X301" s="337" t="b">
        <f t="shared" si="14"/>
        <v>0</v>
      </c>
    </row>
    <row r="302" spans="1:24" s="337" customFormat="1" ht="12" customHeight="1" outlineLevel="1">
      <c r="A302" s="335"/>
      <c r="B302" s="118" t="s">
        <v>12</v>
      </c>
      <c r="C302" s="334" t="s">
        <v>5458</v>
      </c>
      <c r="D302" s="124" t="s">
        <v>5459</v>
      </c>
      <c r="E302" s="125"/>
      <c r="F302" s="118" t="s">
        <v>5276</v>
      </c>
      <c r="G302" s="126" t="str">
        <f t="shared" si="13"/>
        <v>ST-SS3-2</v>
      </c>
      <c r="H302" s="255">
        <v>2</v>
      </c>
      <c r="I302" s="361">
        <v>1</v>
      </c>
      <c r="J302" s="362" t="s">
        <v>286</v>
      </c>
      <c r="W302" s="129" t="s">
        <v>4876</v>
      </c>
      <c r="X302" s="337" t="b">
        <f t="shared" si="14"/>
        <v>0</v>
      </c>
    </row>
    <row r="303" spans="1:24" s="337" customFormat="1" ht="12" customHeight="1" outlineLevel="1">
      <c r="A303" s="335"/>
      <c r="B303" s="118" t="s">
        <v>12</v>
      </c>
      <c r="C303" s="334" t="s">
        <v>5460</v>
      </c>
      <c r="D303" s="124" t="s">
        <v>5461</v>
      </c>
      <c r="E303" s="125"/>
      <c r="F303" s="118" t="s">
        <v>5276</v>
      </c>
      <c r="G303" s="126" t="str">
        <f t="shared" si="13"/>
        <v>ST-SS3-2</v>
      </c>
      <c r="H303" s="255">
        <v>2</v>
      </c>
      <c r="I303" s="361">
        <v>1</v>
      </c>
      <c r="J303" s="362" t="s">
        <v>286</v>
      </c>
      <c r="W303" s="129" t="s">
        <v>4876</v>
      </c>
      <c r="X303" s="337" t="b">
        <f t="shared" si="14"/>
        <v>0</v>
      </c>
    </row>
    <row r="304" spans="1:24" s="337" customFormat="1" ht="12" customHeight="1" outlineLevel="1">
      <c r="A304" s="335"/>
      <c r="B304" s="118" t="s">
        <v>12</v>
      </c>
      <c r="C304" s="334" t="s">
        <v>5462</v>
      </c>
      <c r="D304" s="124" t="s">
        <v>5463</v>
      </c>
      <c r="E304" s="125"/>
      <c r="F304" s="118" t="s">
        <v>5276</v>
      </c>
      <c r="G304" s="126" t="str">
        <f t="shared" si="13"/>
        <v>ST-SS3-2</v>
      </c>
      <c r="H304" s="255">
        <v>2</v>
      </c>
      <c r="I304" s="361">
        <v>1</v>
      </c>
      <c r="J304" s="362" t="s">
        <v>286</v>
      </c>
      <c r="W304" s="129" t="s">
        <v>4876</v>
      </c>
      <c r="X304" s="337" t="b">
        <f t="shared" si="14"/>
        <v>0</v>
      </c>
    </row>
    <row r="305" spans="1:24" s="337" customFormat="1" ht="12" customHeight="1" outlineLevel="1">
      <c r="A305" s="335"/>
      <c r="B305" s="118" t="s">
        <v>12</v>
      </c>
      <c r="C305" s="334" t="s">
        <v>5464</v>
      </c>
      <c r="D305" s="124" t="s">
        <v>5465</v>
      </c>
      <c r="E305" s="125"/>
      <c r="F305" s="118" t="s">
        <v>5276</v>
      </c>
      <c r="G305" s="126" t="str">
        <f t="shared" si="13"/>
        <v>ST-SS3-2</v>
      </c>
      <c r="H305" s="255">
        <v>2</v>
      </c>
      <c r="I305" s="361">
        <v>1</v>
      </c>
      <c r="J305" s="362" t="s">
        <v>286</v>
      </c>
      <c r="W305" s="129" t="s">
        <v>4876</v>
      </c>
      <c r="X305" s="337" t="b">
        <f t="shared" si="14"/>
        <v>0</v>
      </c>
    </row>
    <row r="306" spans="1:24" s="337" customFormat="1" ht="12" customHeight="1" outlineLevel="1">
      <c r="A306" s="335"/>
      <c r="B306" s="118" t="s">
        <v>12</v>
      </c>
      <c r="C306" s="334" t="s">
        <v>5466</v>
      </c>
      <c r="D306" s="124" t="s">
        <v>5467</v>
      </c>
      <c r="E306" s="125"/>
      <c r="F306" s="118" t="s">
        <v>5276</v>
      </c>
      <c r="G306" s="126" t="str">
        <f t="shared" ref="G306:G337" si="15">CONCATENATE(B306,"-",F306,"-",H306)</f>
        <v>ST-SS3-2</v>
      </c>
      <c r="H306" s="255">
        <v>2</v>
      </c>
      <c r="I306" s="361">
        <v>1</v>
      </c>
      <c r="J306" s="362" t="s">
        <v>286</v>
      </c>
      <c r="W306" s="129" t="s">
        <v>4876</v>
      </c>
      <c r="X306" s="337" t="b">
        <f t="shared" si="14"/>
        <v>0</v>
      </c>
    </row>
    <row r="307" spans="1:24" s="337" customFormat="1" ht="12" customHeight="1" outlineLevel="1">
      <c r="A307" s="335"/>
      <c r="B307" s="118" t="s">
        <v>12</v>
      </c>
      <c r="C307" s="334" t="s">
        <v>5468</v>
      </c>
      <c r="D307" s="124" t="s">
        <v>5469</v>
      </c>
      <c r="E307" s="125"/>
      <c r="F307" s="118" t="s">
        <v>5276</v>
      </c>
      <c r="G307" s="126" t="str">
        <f t="shared" si="15"/>
        <v>ST-SS3-2</v>
      </c>
      <c r="H307" s="255">
        <v>2</v>
      </c>
      <c r="I307" s="361">
        <v>1</v>
      </c>
      <c r="J307" s="362" t="s">
        <v>286</v>
      </c>
      <c r="W307" s="129" t="s">
        <v>4876</v>
      </c>
      <c r="X307" s="337" t="b">
        <f t="shared" si="14"/>
        <v>0</v>
      </c>
    </row>
    <row r="308" spans="1:24" s="337" customFormat="1" ht="12" customHeight="1" outlineLevel="1">
      <c r="A308" s="335"/>
      <c r="B308" s="118" t="s">
        <v>12</v>
      </c>
      <c r="C308" s="334" t="s">
        <v>5470</v>
      </c>
      <c r="D308" s="124" t="s">
        <v>5471</v>
      </c>
      <c r="E308" s="125"/>
      <c r="F308" s="118" t="s">
        <v>5276</v>
      </c>
      <c r="G308" s="126" t="str">
        <f t="shared" si="15"/>
        <v>ST-SS3-2</v>
      </c>
      <c r="H308" s="255">
        <v>2</v>
      </c>
      <c r="I308" s="361">
        <v>1</v>
      </c>
      <c r="J308" s="362" t="s">
        <v>286</v>
      </c>
      <c r="W308" s="129" t="s">
        <v>4876</v>
      </c>
      <c r="X308" s="337" t="b">
        <f t="shared" si="14"/>
        <v>0</v>
      </c>
    </row>
    <row r="309" spans="1:24" s="337" customFormat="1" ht="12" customHeight="1" outlineLevel="1">
      <c r="A309" s="335"/>
      <c r="B309" s="118" t="s">
        <v>12</v>
      </c>
      <c r="C309" s="334" t="s">
        <v>5472</v>
      </c>
      <c r="D309" s="124" t="s">
        <v>5473</v>
      </c>
      <c r="E309" s="125"/>
      <c r="F309" s="118" t="s">
        <v>5276</v>
      </c>
      <c r="G309" s="126" t="str">
        <f t="shared" si="15"/>
        <v>ST-SS3-2</v>
      </c>
      <c r="H309" s="255">
        <v>2</v>
      </c>
      <c r="I309" s="361">
        <v>1</v>
      </c>
      <c r="J309" s="362" t="s">
        <v>286</v>
      </c>
      <c r="W309" s="129" t="s">
        <v>4876</v>
      </c>
      <c r="X309" s="337" t="b">
        <f t="shared" si="14"/>
        <v>0</v>
      </c>
    </row>
    <row r="310" spans="1:24" s="337" customFormat="1" ht="12" customHeight="1" outlineLevel="1">
      <c r="A310" s="335"/>
      <c r="B310" s="118" t="s">
        <v>12</v>
      </c>
      <c r="C310" s="334" t="s">
        <v>5474</v>
      </c>
      <c r="D310" s="124" t="s">
        <v>5475</v>
      </c>
      <c r="E310" s="125"/>
      <c r="F310" s="118" t="s">
        <v>5276</v>
      </c>
      <c r="G310" s="126" t="str">
        <f t="shared" si="15"/>
        <v>ST-SS3-2</v>
      </c>
      <c r="H310" s="255">
        <v>2</v>
      </c>
      <c r="I310" s="361">
        <v>1</v>
      </c>
      <c r="J310" s="362" t="s">
        <v>286</v>
      </c>
      <c r="W310" s="129" t="s">
        <v>4876</v>
      </c>
      <c r="X310" s="337" t="b">
        <f t="shared" si="14"/>
        <v>0</v>
      </c>
    </row>
    <row r="311" spans="1:24" s="337" customFormat="1" ht="12" customHeight="1" outlineLevel="1">
      <c r="A311" s="335"/>
      <c r="B311" s="118" t="s">
        <v>12</v>
      </c>
      <c r="C311" s="334" t="s">
        <v>5476</v>
      </c>
      <c r="D311" s="124" t="s">
        <v>5477</v>
      </c>
      <c r="E311" s="125"/>
      <c r="F311" s="118" t="s">
        <v>5276</v>
      </c>
      <c r="G311" s="126" t="str">
        <f t="shared" si="15"/>
        <v>ST-SS3-2</v>
      </c>
      <c r="H311" s="255">
        <v>2</v>
      </c>
      <c r="I311" s="361">
        <v>1</v>
      </c>
      <c r="J311" s="362" t="s">
        <v>286</v>
      </c>
      <c r="W311" s="129" t="s">
        <v>4876</v>
      </c>
      <c r="X311" s="337" t="b">
        <f t="shared" si="14"/>
        <v>0</v>
      </c>
    </row>
    <row r="312" spans="1:24" s="337" customFormat="1" ht="12" customHeight="1" outlineLevel="1">
      <c r="A312" s="335"/>
      <c r="B312" s="118" t="s">
        <v>12</v>
      </c>
      <c r="C312" s="334" t="s">
        <v>5478</v>
      </c>
      <c r="D312" s="124" t="s">
        <v>5479</v>
      </c>
      <c r="E312" s="125"/>
      <c r="F312" s="118" t="s">
        <v>5276</v>
      </c>
      <c r="G312" s="126" t="str">
        <f t="shared" si="15"/>
        <v>ST-SS3-2</v>
      </c>
      <c r="H312" s="255">
        <v>2</v>
      </c>
      <c r="I312" s="361">
        <v>1</v>
      </c>
      <c r="J312" s="362" t="s">
        <v>286</v>
      </c>
      <c r="W312" s="129" t="s">
        <v>4876</v>
      </c>
      <c r="X312" s="337" t="b">
        <f t="shared" si="14"/>
        <v>0</v>
      </c>
    </row>
    <row r="313" spans="1:24" s="337" customFormat="1" ht="12" customHeight="1" outlineLevel="1">
      <c r="A313" s="335"/>
      <c r="B313" s="118" t="s">
        <v>12</v>
      </c>
      <c r="C313" s="334" t="s">
        <v>5480</v>
      </c>
      <c r="D313" s="124" t="s">
        <v>5481</v>
      </c>
      <c r="E313" s="125"/>
      <c r="F313" s="118" t="s">
        <v>5276</v>
      </c>
      <c r="G313" s="126" t="str">
        <f t="shared" si="15"/>
        <v>ST-SS3-2</v>
      </c>
      <c r="H313" s="255">
        <v>2</v>
      </c>
      <c r="I313" s="361">
        <v>1</v>
      </c>
      <c r="J313" s="362" t="s">
        <v>286</v>
      </c>
      <c r="W313" s="129" t="s">
        <v>4876</v>
      </c>
      <c r="X313" s="337" t="b">
        <f t="shared" si="14"/>
        <v>0</v>
      </c>
    </row>
    <row r="314" spans="1:24" s="337" customFormat="1" ht="12" customHeight="1" outlineLevel="1">
      <c r="A314" s="335"/>
      <c r="B314" s="118" t="s">
        <v>12</v>
      </c>
      <c r="C314" s="334" t="s">
        <v>5482</v>
      </c>
      <c r="D314" s="124" t="s">
        <v>5483</v>
      </c>
      <c r="E314" s="125"/>
      <c r="F314" s="118" t="s">
        <v>5276</v>
      </c>
      <c r="G314" s="126" t="str">
        <f t="shared" si="15"/>
        <v>ST-SS3-2</v>
      </c>
      <c r="H314" s="255">
        <v>2</v>
      </c>
      <c r="I314" s="361">
        <v>1</v>
      </c>
      <c r="J314" s="362" t="s">
        <v>286</v>
      </c>
      <c r="W314" s="129" t="s">
        <v>4876</v>
      </c>
      <c r="X314" s="337" t="b">
        <f t="shared" si="14"/>
        <v>0</v>
      </c>
    </row>
    <row r="315" spans="1:24" s="337" customFormat="1" ht="12" customHeight="1" outlineLevel="1">
      <c r="A315" s="335"/>
      <c r="B315" s="118" t="s">
        <v>12</v>
      </c>
      <c r="C315" s="334" t="s">
        <v>5484</v>
      </c>
      <c r="D315" s="124" t="s">
        <v>5485</v>
      </c>
      <c r="E315" s="125"/>
      <c r="F315" s="118" t="s">
        <v>5276</v>
      </c>
      <c r="G315" s="126" t="str">
        <f t="shared" si="15"/>
        <v>ST-SS3-2</v>
      </c>
      <c r="H315" s="255">
        <v>2</v>
      </c>
      <c r="I315" s="361">
        <v>1</v>
      </c>
      <c r="J315" s="362" t="s">
        <v>286</v>
      </c>
      <c r="W315" s="129" t="s">
        <v>4876</v>
      </c>
      <c r="X315" s="337" t="b">
        <f t="shared" si="14"/>
        <v>0</v>
      </c>
    </row>
    <row r="316" spans="1:24" s="337" customFormat="1" ht="12" customHeight="1" outlineLevel="1">
      <c r="A316" s="335"/>
      <c r="B316" s="118" t="s">
        <v>12</v>
      </c>
      <c r="C316" s="334" t="s">
        <v>5486</v>
      </c>
      <c r="D316" s="124" t="s">
        <v>5487</v>
      </c>
      <c r="E316" s="125"/>
      <c r="F316" s="118" t="s">
        <v>5276</v>
      </c>
      <c r="G316" s="126" t="str">
        <f t="shared" si="15"/>
        <v>ST-SS3-2</v>
      </c>
      <c r="H316" s="255">
        <v>2</v>
      </c>
      <c r="I316" s="361">
        <v>1</v>
      </c>
      <c r="J316" s="362" t="s">
        <v>286</v>
      </c>
      <c r="W316" s="129" t="s">
        <v>4876</v>
      </c>
      <c r="X316" s="337" t="b">
        <f t="shared" si="14"/>
        <v>0</v>
      </c>
    </row>
    <row r="317" spans="1:24" s="337" customFormat="1" ht="12" customHeight="1" outlineLevel="1">
      <c r="A317" s="335"/>
      <c r="B317" s="118" t="s">
        <v>12</v>
      </c>
      <c r="C317" s="334" t="s">
        <v>5488</v>
      </c>
      <c r="D317" s="124" t="s">
        <v>5489</v>
      </c>
      <c r="E317" s="125"/>
      <c r="F317" s="118" t="s">
        <v>5276</v>
      </c>
      <c r="G317" s="126" t="str">
        <f t="shared" si="15"/>
        <v>ST-SS3-2</v>
      </c>
      <c r="H317" s="255">
        <v>2</v>
      </c>
      <c r="I317" s="361">
        <v>1</v>
      </c>
      <c r="J317" s="362" t="s">
        <v>286</v>
      </c>
      <c r="W317" s="129" t="s">
        <v>4876</v>
      </c>
      <c r="X317" s="337" t="b">
        <f t="shared" si="14"/>
        <v>0</v>
      </c>
    </row>
    <row r="318" spans="1:24" s="337" customFormat="1" ht="12" customHeight="1" outlineLevel="1">
      <c r="A318" s="335"/>
      <c r="B318" s="118" t="s">
        <v>12</v>
      </c>
      <c r="C318" s="334" t="s">
        <v>5490</v>
      </c>
      <c r="D318" s="124" t="s">
        <v>5491</v>
      </c>
      <c r="E318" s="125"/>
      <c r="F318" s="118" t="s">
        <v>5276</v>
      </c>
      <c r="G318" s="126" t="str">
        <f t="shared" si="15"/>
        <v>ST-SS3-2</v>
      </c>
      <c r="H318" s="255">
        <v>2</v>
      </c>
      <c r="I318" s="361">
        <v>1</v>
      </c>
      <c r="J318" s="362" t="s">
        <v>286</v>
      </c>
      <c r="W318" s="129" t="s">
        <v>4876</v>
      </c>
      <c r="X318" s="337" t="b">
        <f t="shared" si="14"/>
        <v>0</v>
      </c>
    </row>
    <row r="319" spans="1:24" s="337" customFormat="1" ht="12" customHeight="1" outlineLevel="1">
      <c r="A319" s="335"/>
      <c r="B319" s="118" t="s">
        <v>12</v>
      </c>
      <c r="C319" s="334" t="s">
        <v>5492</v>
      </c>
      <c r="D319" s="124" t="s">
        <v>5493</v>
      </c>
      <c r="E319" s="125"/>
      <c r="F319" s="118" t="s">
        <v>5276</v>
      </c>
      <c r="G319" s="126" t="str">
        <f t="shared" si="15"/>
        <v>ST-SS3-2</v>
      </c>
      <c r="H319" s="255">
        <v>2</v>
      </c>
      <c r="I319" s="361">
        <v>1</v>
      </c>
      <c r="J319" s="362" t="s">
        <v>286</v>
      </c>
      <c r="W319" s="129" t="s">
        <v>4876</v>
      </c>
      <c r="X319" s="337" t="b">
        <f t="shared" si="14"/>
        <v>0</v>
      </c>
    </row>
    <row r="320" spans="1:24" s="337" customFormat="1" ht="12" customHeight="1" outlineLevel="1">
      <c r="A320" s="335"/>
      <c r="B320" s="118" t="s">
        <v>12</v>
      </c>
      <c r="C320" s="334" t="s">
        <v>5494</v>
      </c>
      <c r="D320" s="124" t="s">
        <v>5495</v>
      </c>
      <c r="E320" s="125"/>
      <c r="F320" s="118" t="s">
        <v>5276</v>
      </c>
      <c r="G320" s="126" t="str">
        <f t="shared" si="15"/>
        <v>ST-SS3-2</v>
      </c>
      <c r="H320" s="255">
        <v>2</v>
      </c>
      <c r="I320" s="361">
        <v>1</v>
      </c>
      <c r="J320" s="362" t="s">
        <v>286</v>
      </c>
      <c r="W320" s="129" t="s">
        <v>4876</v>
      </c>
      <c r="X320" s="337" t="b">
        <f t="shared" si="14"/>
        <v>0</v>
      </c>
    </row>
    <row r="321" spans="1:24" s="337" customFormat="1" ht="12" customHeight="1" outlineLevel="1">
      <c r="A321" s="335"/>
      <c r="B321" s="118" t="s">
        <v>12</v>
      </c>
      <c r="C321" s="334" t="s">
        <v>5496</v>
      </c>
      <c r="D321" s="124" t="s">
        <v>5497</v>
      </c>
      <c r="E321" s="125"/>
      <c r="F321" s="118" t="s">
        <v>5276</v>
      </c>
      <c r="G321" s="126" t="str">
        <f t="shared" si="15"/>
        <v>ST-SS3-2</v>
      </c>
      <c r="H321" s="255">
        <v>2</v>
      </c>
      <c r="I321" s="361">
        <v>1</v>
      </c>
      <c r="J321" s="362" t="s">
        <v>286</v>
      </c>
      <c r="W321" s="129" t="s">
        <v>4876</v>
      </c>
      <c r="X321" s="337" t="b">
        <f t="shared" si="14"/>
        <v>0</v>
      </c>
    </row>
    <row r="322" spans="1:24" s="337" customFormat="1" ht="12" customHeight="1" outlineLevel="1">
      <c r="A322" s="335"/>
      <c r="B322" s="118" t="s">
        <v>12</v>
      </c>
      <c r="C322" s="334" t="s">
        <v>5498</v>
      </c>
      <c r="D322" s="124" t="s">
        <v>5499</v>
      </c>
      <c r="E322" s="125"/>
      <c r="F322" s="118" t="s">
        <v>5276</v>
      </c>
      <c r="G322" s="126" t="str">
        <f t="shared" si="15"/>
        <v>ST-SS3-2</v>
      </c>
      <c r="H322" s="255">
        <v>2</v>
      </c>
      <c r="I322" s="361">
        <v>1</v>
      </c>
      <c r="J322" s="362" t="s">
        <v>286</v>
      </c>
      <c r="W322" s="129" t="s">
        <v>4876</v>
      </c>
      <c r="X322" s="337" t="b">
        <f t="shared" si="14"/>
        <v>0</v>
      </c>
    </row>
    <row r="323" spans="1:24" s="337" customFormat="1" ht="12" customHeight="1" outlineLevel="1">
      <c r="A323" s="335"/>
      <c r="B323" s="118" t="s">
        <v>12</v>
      </c>
      <c r="C323" s="334" t="s">
        <v>5500</v>
      </c>
      <c r="D323" s="124" t="s">
        <v>5501</v>
      </c>
      <c r="E323" s="125"/>
      <c r="F323" s="118" t="s">
        <v>5276</v>
      </c>
      <c r="G323" s="126" t="str">
        <f t="shared" si="15"/>
        <v>ST-SS3-2</v>
      </c>
      <c r="H323" s="255">
        <v>2</v>
      </c>
      <c r="I323" s="361">
        <v>1</v>
      </c>
      <c r="J323" s="362" t="s">
        <v>286</v>
      </c>
      <c r="W323" s="129" t="s">
        <v>4876</v>
      </c>
      <c r="X323" s="337" t="b">
        <f t="shared" si="14"/>
        <v>0</v>
      </c>
    </row>
    <row r="324" spans="1:24" s="337" customFormat="1" ht="12" customHeight="1" outlineLevel="1">
      <c r="A324" s="335"/>
      <c r="B324" s="118" t="s">
        <v>12</v>
      </c>
      <c r="C324" s="334" t="s">
        <v>5502</v>
      </c>
      <c r="D324" s="124" t="s">
        <v>5503</v>
      </c>
      <c r="E324" s="125"/>
      <c r="F324" s="118" t="s">
        <v>5276</v>
      </c>
      <c r="G324" s="126" t="str">
        <f t="shared" si="15"/>
        <v>ST-SS3-2</v>
      </c>
      <c r="H324" s="255">
        <v>2</v>
      </c>
      <c r="I324" s="361">
        <v>1</v>
      </c>
      <c r="J324" s="362" t="s">
        <v>286</v>
      </c>
      <c r="W324" s="129" t="s">
        <v>4876</v>
      </c>
      <c r="X324" s="337" t="b">
        <f t="shared" si="14"/>
        <v>0</v>
      </c>
    </row>
    <row r="325" spans="1:24" s="337" customFormat="1" ht="12" customHeight="1" outlineLevel="1">
      <c r="A325" s="335"/>
      <c r="B325" s="118" t="s">
        <v>12</v>
      </c>
      <c r="C325" s="334" t="s">
        <v>5504</v>
      </c>
      <c r="D325" s="124" t="s">
        <v>5505</v>
      </c>
      <c r="E325" s="125"/>
      <c r="F325" s="118" t="s">
        <v>5276</v>
      </c>
      <c r="G325" s="126" t="str">
        <f t="shared" si="15"/>
        <v>ST-SS3-2</v>
      </c>
      <c r="H325" s="255">
        <v>2</v>
      </c>
      <c r="I325" s="361">
        <v>1</v>
      </c>
      <c r="J325" s="362" t="s">
        <v>286</v>
      </c>
      <c r="W325" s="129" t="s">
        <v>4876</v>
      </c>
      <c r="X325" s="337" t="b">
        <f t="shared" si="14"/>
        <v>0</v>
      </c>
    </row>
    <row r="326" spans="1:24" s="337" customFormat="1" ht="12" customHeight="1" outlineLevel="1">
      <c r="A326" s="335"/>
      <c r="B326" s="118" t="s">
        <v>12</v>
      </c>
      <c r="C326" s="334" t="s">
        <v>5506</v>
      </c>
      <c r="D326" s="124" t="s">
        <v>5507</v>
      </c>
      <c r="E326" s="125"/>
      <c r="F326" s="118" t="s">
        <v>5276</v>
      </c>
      <c r="G326" s="126" t="str">
        <f t="shared" si="15"/>
        <v>ST-SS3-2</v>
      </c>
      <c r="H326" s="255">
        <v>2</v>
      </c>
      <c r="I326" s="361">
        <v>1</v>
      </c>
      <c r="J326" s="362" t="s">
        <v>286</v>
      </c>
      <c r="W326" s="129" t="s">
        <v>4876</v>
      </c>
      <c r="X326" s="337" t="b">
        <f t="shared" si="14"/>
        <v>0</v>
      </c>
    </row>
    <row r="327" spans="1:24" s="337" customFormat="1" ht="12" customHeight="1" outlineLevel="1">
      <c r="A327" s="335"/>
      <c r="B327" s="118" t="s">
        <v>12</v>
      </c>
      <c r="C327" s="334" t="s">
        <v>5508</v>
      </c>
      <c r="D327" s="124" t="s">
        <v>5509</v>
      </c>
      <c r="E327" s="125"/>
      <c r="F327" s="118" t="s">
        <v>5276</v>
      </c>
      <c r="G327" s="126" t="str">
        <f t="shared" si="15"/>
        <v>ST-SS3-2</v>
      </c>
      <c r="H327" s="255">
        <v>2</v>
      </c>
      <c r="I327" s="361">
        <v>1</v>
      </c>
      <c r="J327" s="362" t="s">
        <v>286</v>
      </c>
      <c r="W327" s="129" t="s">
        <v>4876</v>
      </c>
      <c r="X327" s="337" t="b">
        <f t="shared" si="14"/>
        <v>0</v>
      </c>
    </row>
    <row r="328" spans="1:24" s="337" customFormat="1" ht="12" customHeight="1" outlineLevel="1">
      <c r="A328" s="335"/>
      <c r="B328" s="118" t="s">
        <v>12</v>
      </c>
      <c r="C328" s="334" t="s">
        <v>5510</v>
      </c>
      <c r="D328" s="124" t="s">
        <v>5511</v>
      </c>
      <c r="E328" s="125"/>
      <c r="F328" s="118" t="s">
        <v>5276</v>
      </c>
      <c r="G328" s="126" t="str">
        <f t="shared" si="15"/>
        <v>ST-SS3-2</v>
      </c>
      <c r="H328" s="255">
        <v>2</v>
      </c>
      <c r="I328" s="361">
        <v>1</v>
      </c>
      <c r="J328" s="362" t="s">
        <v>286</v>
      </c>
      <c r="W328" s="129" t="s">
        <v>4876</v>
      </c>
      <c r="X328" s="337" t="b">
        <f t="shared" si="14"/>
        <v>0</v>
      </c>
    </row>
    <row r="329" spans="1:24" s="337" customFormat="1" ht="12" customHeight="1" outlineLevel="1">
      <c r="A329" s="335"/>
      <c r="B329" s="118" t="s">
        <v>12</v>
      </c>
      <c r="C329" s="334" t="s">
        <v>5512</v>
      </c>
      <c r="D329" s="124" t="s">
        <v>5513</v>
      </c>
      <c r="E329" s="125"/>
      <c r="F329" s="118" t="s">
        <v>5276</v>
      </c>
      <c r="G329" s="126" t="str">
        <f t="shared" si="15"/>
        <v>ST-SS3-2</v>
      </c>
      <c r="H329" s="255">
        <v>2</v>
      </c>
      <c r="I329" s="361">
        <v>1</v>
      </c>
      <c r="J329" s="362" t="s">
        <v>286</v>
      </c>
      <c r="W329" s="129" t="s">
        <v>4876</v>
      </c>
      <c r="X329" s="337" t="b">
        <f t="shared" si="14"/>
        <v>0</v>
      </c>
    </row>
    <row r="330" spans="1:24" s="337" customFormat="1" ht="12" customHeight="1" outlineLevel="1">
      <c r="A330" s="335"/>
      <c r="B330" s="118" t="s">
        <v>12</v>
      </c>
      <c r="C330" s="334" t="s">
        <v>5514</v>
      </c>
      <c r="D330" s="124" t="s">
        <v>5515</v>
      </c>
      <c r="E330" s="125"/>
      <c r="F330" s="118" t="s">
        <v>5276</v>
      </c>
      <c r="G330" s="126" t="str">
        <f t="shared" si="15"/>
        <v>ST-SS3-2</v>
      </c>
      <c r="H330" s="255">
        <v>2</v>
      </c>
      <c r="I330" s="361">
        <v>1</v>
      </c>
      <c r="J330" s="362" t="s">
        <v>286</v>
      </c>
      <c r="W330" s="129" t="s">
        <v>4876</v>
      </c>
      <c r="X330" s="337" t="b">
        <f t="shared" si="14"/>
        <v>0</v>
      </c>
    </row>
    <row r="331" spans="1:24" s="337" customFormat="1" ht="12" customHeight="1" outlineLevel="1">
      <c r="A331" s="335"/>
      <c r="B331" s="118" t="s">
        <v>12</v>
      </c>
      <c r="C331" s="334" t="s">
        <v>5516</v>
      </c>
      <c r="D331" s="124" t="s">
        <v>5517</v>
      </c>
      <c r="E331" s="125"/>
      <c r="F331" s="118" t="s">
        <v>5276</v>
      </c>
      <c r="G331" s="126" t="str">
        <f t="shared" si="15"/>
        <v>ST-SS3-2</v>
      </c>
      <c r="H331" s="255">
        <v>2</v>
      </c>
      <c r="I331" s="361">
        <v>1</v>
      </c>
      <c r="J331" s="362" t="s">
        <v>286</v>
      </c>
      <c r="W331" s="129" t="s">
        <v>4876</v>
      </c>
      <c r="X331" s="337" t="b">
        <f t="shared" si="14"/>
        <v>0</v>
      </c>
    </row>
    <row r="332" spans="1:24" s="337" customFormat="1" ht="12" customHeight="1" outlineLevel="1">
      <c r="A332" s="335"/>
      <c r="B332" s="118" t="s">
        <v>12</v>
      </c>
      <c r="C332" s="334" t="s">
        <v>5518</v>
      </c>
      <c r="D332" s="124" t="s">
        <v>5519</v>
      </c>
      <c r="E332" s="125"/>
      <c r="F332" s="118" t="s">
        <v>5276</v>
      </c>
      <c r="G332" s="126" t="str">
        <f t="shared" si="15"/>
        <v>ST-SS3-2</v>
      </c>
      <c r="H332" s="255">
        <v>2</v>
      </c>
      <c r="I332" s="361">
        <v>1</v>
      </c>
      <c r="J332" s="362" t="s">
        <v>286</v>
      </c>
      <c r="W332" s="129" t="s">
        <v>4876</v>
      </c>
      <c r="X332" s="337" t="b">
        <f t="shared" si="14"/>
        <v>0</v>
      </c>
    </row>
    <row r="333" spans="1:24" s="337" customFormat="1" ht="12" customHeight="1" outlineLevel="1">
      <c r="A333" s="335"/>
      <c r="B333" s="118" t="s">
        <v>12</v>
      </c>
      <c r="C333" s="334" t="s">
        <v>5520</v>
      </c>
      <c r="D333" s="124" t="s">
        <v>5521</v>
      </c>
      <c r="E333" s="125"/>
      <c r="F333" s="118" t="s">
        <v>5276</v>
      </c>
      <c r="G333" s="126" t="str">
        <f t="shared" si="15"/>
        <v>ST-SS3-2</v>
      </c>
      <c r="H333" s="255">
        <v>2</v>
      </c>
      <c r="I333" s="361">
        <v>1</v>
      </c>
      <c r="J333" s="362" t="s">
        <v>286</v>
      </c>
      <c r="W333" s="129" t="s">
        <v>4876</v>
      </c>
      <c r="X333" s="337" t="b">
        <f t="shared" si="14"/>
        <v>0</v>
      </c>
    </row>
    <row r="334" spans="1:24" s="337" customFormat="1" ht="12" customHeight="1" outlineLevel="1">
      <c r="A334" s="335"/>
      <c r="B334" s="118" t="s">
        <v>12</v>
      </c>
      <c r="C334" s="334" t="s">
        <v>5522</v>
      </c>
      <c r="D334" s="124" t="s">
        <v>5523</v>
      </c>
      <c r="E334" s="125"/>
      <c r="F334" s="118" t="s">
        <v>5276</v>
      </c>
      <c r="G334" s="126" t="str">
        <f t="shared" si="15"/>
        <v>ST-SS3-2</v>
      </c>
      <c r="H334" s="255">
        <v>2</v>
      </c>
      <c r="I334" s="361">
        <v>1</v>
      </c>
      <c r="J334" s="362" t="s">
        <v>286</v>
      </c>
      <c r="W334" s="129" t="s">
        <v>4876</v>
      </c>
      <c r="X334" s="337" t="b">
        <f t="shared" si="14"/>
        <v>0</v>
      </c>
    </row>
    <row r="335" spans="1:24" s="337" customFormat="1" ht="12" customHeight="1" outlineLevel="1">
      <c r="A335" s="335"/>
      <c r="B335" s="118" t="s">
        <v>12</v>
      </c>
      <c r="C335" s="334" t="s">
        <v>5524</v>
      </c>
      <c r="D335" s="124" t="s">
        <v>5525</v>
      </c>
      <c r="E335" s="125"/>
      <c r="F335" s="118" t="s">
        <v>5276</v>
      </c>
      <c r="G335" s="126" t="str">
        <f t="shared" si="15"/>
        <v>ST-SS3-2</v>
      </c>
      <c r="H335" s="255">
        <v>2</v>
      </c>
      <c r="I335" s="361">
        <v>1</v>
      </c>
      <c r="J335" s="362" t="s">
        <v>286</v>
      </c>
      <c r="W335" s="129" t="s">
        <v>4876</v>
      </c>
      <c r="X335" s="337" t="b">
        <f t="shared" si="14"/>
        <v>0</v>
      </c>
    </row>
    <row r="336" spans="1:24" s="337" customFormat="1" ht="12" customHeight="1" outlineLevel="1">
      <c r="A336" s="335"/>
      <c r="B336" s="118" t="s">
        <v>12</v>
      </c>
      <c r="C336" s="334" t="s">
        <v>5526</v>
      </c>
      <c r="D336" s="124" t="s">
        <v>5527</v>
      </c>
      <c r="E336" s="125"/>
      <c r="F336" s="118" t="s">
        <v>5276</v>
      </c>
      <c r="G336" s="126" t="str">
        <f t="shared" si="15"/>
        <v>ST-SS3-2</v>
      </c>
      <c r="H336" s="255">
        <v>2</v>
      </c>
      <c r="I336" s="361">
        <v>1</v>
      </c>
      <c r="J336" s="362" t="s">
        <v>286</v>
      </c>
      <c r="W336" s="129" t="s">
        <v>4876</v>
      </c>
      <c r="X336" s="337" t="b">
        <f t="shared" si="14"/>
        <v>0</v>
      </c>
    </row>
    <row r="337" spans="1:24" s="337" customFormat="1" ht="12" customHeight="1" outlineLevel="1">
      <c r="A337" s="335"/>
      <c r="B337" s="118" t="s">
        <v>12</v>
      </c>
      <c r="C337" s="334" t="s">
        <v>5528</v>
      </c>
      <c r="D337" s="124" t="s">
        <v>5529</v>
      </c>
      <c r="E337" s="125"/>
      <c r="F337" s="118" t="s">
        <v>5276</v>
      </c>
      <c r="G337" s="126" t="str">
        <f t="shared" si="15"/>
        <v>ST-SS3-2</v>
      </c>
      <c r="H337" s="255">
        <v>2</v>
      </c>
      <c r="I337" s="361">
        <v>1</v>
      </c>
      <c r="J337" s="362" t="s">
        <v>286</v>
      </c>
      <c r="W337" s="129" t="s">
        <v>4876</v>
      </c>
      <c r="X337" s="337" t="b">
        <f t="shared" si="14"/>
        <v>0</v>
      </c>
    </row>
    <row r="338" spans="1:24" s="337" customFormat="1" ht="12" customHeight="1" outlineLevel="1">
      <c r="A338" s="335"/>
      <c r="B338" s="118" t="s">
        <v>12</v>
      </c>
      <c r="C338" s="334" t="s">
        <v>5530</v>
      </c>
      <c r="D338" s="124" t="s">
        <v>5531</v>
      </c>
      <c r="E338" s="125"/>
      <c r="F338" s="118" t="s">
        <v>5276</v>
      </c>
      <c r="G338" s="126" t="str">
        <f t="shared" ref="G338:G363" si="16">CONCATENATE(B338,"-",F338,"-",H338)</f>
        <v>ST-SS3-2</v>
      </c>
      <c r="H338" s="255">
        <v>2</v>
      </c>
      <c r="I338" s="361">
        <v>1</v>
      </c>
      <c r="J338" s="362" t="s">
        <v>286</v>
      </c>
      <c r="W338" s="129" t="s">
        <v>4876</v>
      </c>
      <c r="X338" s="337" t="b">
        <f t="shared" ref="X338:X363" si="17">W338=J338</f>
        <v>0</v>
      </c>
    </row>
    <row r="339" spans="1:24" s="337" customFormat="1" ht="12" customHeight="1" outlineLevel="1">
      <c r="A339" s="335"/>
      <c r="B339" s="118" t="s">
        <v>12</v>
      </c>
      <c r="C339" s="334" t="s">
        <v>5532</v>
      </c>
      <c r="D339" s="124" t="s">
        <v>5533</v>
      </c>
      <c r="E339" s="125"/>
      <c r="F339" s="118" t="s">
        <v>5276</v>
      </c>
      <c r="G339" s="126" t="str">
        <f t="shared" si="16"/>
        <v>ST-SS3-2</v>
      </c>
      <c r="H339" s="255">
        <v>2</v>
      </c>
      <c r="I339" s="361">
        <v>1</v>
      </c>
      <c r="J339" s="362" t="s">
        <v>286</v>
      </c>
      <c r="W339" s="129" t="s">
        <v>4876</v>
      </c>
      <c r="X339" s="337" t="b">
        <f t="shared" si="17"/>
        <v>0</v>
      </c>
    </row>
    <row r="340" spans="1:24" s="337" customFormat="1" ht="12" customHeight="1" outlineLevel="1">
      <c r="A340" s="335"/>
      <c r="B340" s="118" t="s">
        <v>12</v>
      </c>
      <c r="C340" s="334" t="s">
        <v>5534</v>
      </c>
      <c r="D340" s="124" t="s">
        <v>5535</v>
      </c>
      <c r="E340" s="125"/>
      <c r="F340" s="118" t="s">
        <v>5276</v>
      </c>
      <c r="G340" s="126" t="str">
        <f t="shared" si="16"/>
        <v>ST-SS3-2</v>
      </c>
      <c r="H340" s="255">
        <v>2</v>
      </c>
      <c r="I340" s="361">
        <v>1</v>
      </c>
      <c r="J340" s="362" t="s">
        <v>286</v>
      </c>
      <c r="W340" s="129" t="s">
        <v>4876</v>
      </c>
      <c r="X340" s="337" t="b">
        <f t="shared" si="17"/>
        <v>0</v>
      </c>
    </row>
    <row r="341" spans="1:24" s="337" customFormat="1" ht="12" customHeight="1" outlineLevel="1">
      <c r="A341" s="335"/>
      <c r="B341" s="118" t="s">
        <v>12</v>
      </c>
      <c r="C341" s="334" t="s">
        <v>5536</v>
      </c>
      <c r="D341" s="124" t="s">
        <v>5537</v>
      </c>
      <c r="E341" s="125"/>
      <c r="F341" s="118" t="s">
        <v>5276</v>
      </c>
      <c r="G341" s="126" t="str">
        <f t="shared" si="16"/>
        <v>ST-SS3-2</v>
      </c>
      <c r="H341" s="255">
        <v>2</v>
      </c>
      <c r="I341" s="361">
        <v>1</v>
      </c>
      <c r="J341" s="362" t="s">
        <v>286</v>
      </c>
      <c r="W341" s="129" t="s">
        <v>4876</v>
      </c>
      <c r="X341" s="337" t="b">
        <f t="shared" si="17"/>
        <v>0</v>
      </c>
    </row>
    <row r="342" spans="1:24" s="337" customFormat="1" ht="12" customHeight="1" outlineLevel="1">
      <c r="A342" s="335"/>
      <c r="B342" s="118" t="s">
        <v>12</v>
      </c>
      <c r="C342" s="334" t="s">
        <v>5538</v>
      </c>
      <c r="D342" s="124" t="s">
        <v>5539</v>
      </c>
      <c r="E342" s="125"/>
      <c r="F342" s="118" t="s">
        <v>5276</v>
      </c>
      <c r="G342" s="126" t="str">
        <f t="shared" si="16"/>
        <v>ST-SS3-2</v>
      </c>
      <c r="H342" s="255">
        <v>2</v>
      </c>
      <c r="I342" s="361">
        <v>1</v>
      </c>
      <c r="J342" s="362" t="s">
        <v>286</v>
      </c>
      <c r="W342" s="129" t="s">
        <v>4876</v>
      </c>
      <c r="X342" s="337" t="b">
        <f t="shared" si="17"/>
        <v>0</v>
      </c>
    </row>
    <row r="343" spans="1:24" s="337" customFormat="1" ht="12" customHeight="1" outlineLevel="1">
      <c r="A343" s="335"/>
      <c r="B343" s="118" t="s">
        <v>12</v>
      </c>
      <c r="C343" s="334" t="s">
        <v>5540</v>
      </c>
      <c r="D343" s="124" t="s">
        <v>5541</v>
      </c>
      <c r="E343" s="125"/>
      <c r="F343" s="118" t="s">
        <v>5276</v>
      </c>
      <c r="G343" s="126" t="str">
        <f t="shared" si="16"/>
        <v>ST-SS3-2</v>
      </c>
      <c r="H343" s="255">
        <v>2</v>
      </c>
      <c r="I343" s="361">
        <v>1</v>
      </c>
      <c r="J343" s="362" t="s">
        <v>286</v>
      </c>
      <c r="W343" s="129" t="s">
        <v>4876</v>
      </c>
      <c r="X343" s="337" t="b">
        <f t="shared" si="17"/>
        <v>0</v>
      </c>
    </row>
    <row r="344" spans="1:24" s="337" customFormat="1" ht="12" customHeight="1" outlineLevel="1">
      <c r="A344" s="335"/>
      <c r="B344" s="118" t="s">
        <v>12</v>
      </c>
      <c r="C344" s="334" t="s">
        <v>5542</v>
      </c>
      <c r="D344" s="124" t="s">
        <v>5543</v>
      </c>
      <c r="E344" s="125"/>
      <c r="F344" s="118" t="s">
        <v>5276</v>
      </c>
      <c r="G344" s="126" t="str">
        <f t="shared" si="16"/>
        <v>ST-SS3-2</v>
      </c>
      <c r="H344" s="255">
        <v>2</v>
      </c>
      <c r="I344" s="361">
        <v>1</v>
      </c>
      <c r="J344" s="362" t="s">
        <v>286</v>
      </c>
      <c r="W344" s="129" t="s">
        <v>4876</v>
      </c>
      <c r="X344" s="337" t="b">
        <f t="shared" si="17"/>
        <v>0</v>
      </c>
    </row>
    <row r="345" spans="1:24" s="337" customFormat="1" ht="12" customHeight="1" outlineLevel="1">
      <c r="A345" s="335"/>
      <c r="B345" s="118" t="s">
        <v>12</v>
      </c>
      <c r="C345" s="334" t="s">
        <v>5544</v>
      </c>
      <c r="D345" s="124" t="s">
        <v>5545</v>
      </c>
      <c r="E345" s="125"/>
      <c r="F345" s="118" t="s">
        <v>5276</v>
      </c>
      <c r="G345" s="126" t="str">
        <f t="shared" si="16"/>
        <v>ST-SS3-2</v>
      </c>
      <c r="H345" s="255">
        <v>2</v>
      </c>
      <c r="I345" s="361">
        <v>1</v>
      </c>
      <c r="J345" s="362" t="s">
        <v>286</v>
      </c>
      <c r="W345" s="129" t="s">
        <v>4876</v>
      </c>
      <c r="X345" s="337" t="b">
        <f t="shared" si="17"/>
        <v>0</v>
      </c>
    </row>
    <row r="346" spans="1:24" s="337" customFormat="1" ht="12" customHeight="1" outlineLevel="1">
      <c r="A346" s="335"/>
      <c r="B346" s="118" t="s">
        <v>12</v>
      </c>
      <c r="C346" s="334" t="s">
        <v>5546</v>
      </c>
      <c r="D346" s="124" t="s">
        <v>5547</v>
      </c>
      <c r="E346" s="125"/>
      <c r="F346" s="118" t="s">
        <v>5276</v>
      </c>
      <c r="G346" s="126" t="str">
        <f t="shared" si="16"/>
        <v>ST-SS3-2</v>
      </c>
      <c r="H346" s="255">
        <v>2</v>
      </c>
      <c r="I346" s="361">
        <v>1</v>
      </c>
      <c r="J346" s="362" t="s">
        <v>286</v>
      </c>
      <c r="W346" s="129" t="s">
        <v>4876</v>
      </c>
      <c r="X346" s="337" t="b">
        <f t="shared" si="17"/>
        <v>0</v>
      </c>
    </row>
    <row r="347" spans="1:24" s="337" customFormat="1" ht="12" customHeight="1" outlineLevel="1">
      <c r="A347" s="335"/>
      <c r="B347" s="118" t="s">
        <v>12</v>
      </c>
      <c r="C347" s="334" t="s">
        <v>5548</v>
      </c>
      <c r="D347" s="124" t="s">
        <v>5549</v>
      </c>
      <c r="E347" s="125"/>
      <c r="F347" s="118" t="s">
        <v>5276</v>
      </c>
      <c r="G347" s="126" t="str">
        <f t="shared" si="16"/>
        <v>ST-SS3-2</v>
      </c>
      <c r="H347" s="255">
        <v>2</v>
      </c>
      <c r="I347" s="361">
        <v>1</v>
      </c>
      <c r="J347" s="362" t="s">
        <v>286</v>
      </c>
      <c r="W347" s="129" t="s">
        <v>4876</v>
      </c>
      <c r="X347" s="337" t="b">
        <f t="shared" si="17"/>
        <v>0</v>
      </c>
    </row>
    <row r="348" spans="1:24" s="337" customFormat="1" ht="12" customHeight="1" outlineLevel="1">
      <c r="A348" s="335"/>
      <c r="B348" s="118" t="s">
        <v>12</v>
      </c>
      <c r="C348" s="334" t="s">
        <v>5550</v>
      </c>
      <c r="D348" s="124" t="s">
        <v>5551</v>
      </c>
      <c r="E348" s="125"/>
      <c r="F348" s="118" t="s">
        <v>5276</v>
      </c>
      <c r="G348" s="126" t="str">
        <f t="shared" si="16"/>
        <v>ST-SS3-2</v>
      </c>
      <c r="H348" s="255">
        <v>2</v>
      </c>
      <c r="I348" s="361">
        <v>1</v>
      </c>
      <c r="J348" s="362" t="s">
        <v>286</v>
      </c>
      <c r="W348" s="129" t="s">
        <v>4876</v>
      </c>
      <c r="X348" s="337" t="b">
        <f t="shared" si="17"/>
        <v>0</v>
      </c>
    </row>
    <row r="349" spans="1:24" s="337" customFormat="1" ht="12" customHeight="1" outlineLevel="1">
      <c r="A349" s="335"/>
      <c r="B349" s="118" t="s">
        <v>12</v>
      </c>
      <c r="C349" s="334" t="s">
        <v>5552</v>
      </c>
      <c r="D349" s="124" t="s">
        <v>5553</v>
      </c>
      <c r="E349" s="125"/>
      <c r="F349" s="118" t="s">
        <v>5276</v>
      </c>
      <c r="G349" s="126" t="str">
        <f t="shared" si="16"/>
        <v>ST-SS3-2</v>
      </c>
      <c r="H349" s="255">
        <v>2</v>
      </c>
      <c r="I349" s="361">
        <v>1</v>
      </c>
      <c r="J349" s="362" t="s">
        <v>286</v>
      </c>
      <c r="W349" s="129" t="s">
        <v>4876</v>
      </c>
      <c r="X349" s="337" t="b">
        <f t="shared" si="17"/>
        <v>0</v>
      </c>
    </row>
    <row r="350" spans="1:24" s="337" customFormat="1" ht="12" customHeight="1" outlineLevel="1">
      <c r="A350" s="335"/>
      <c r="B350" s="118" t="s">
        <v>12</v>
      </c>
      <c r="C350" s="334" t="s">
        <v>5554</v>
      </c>
      <c r="D350" s="124" t="s">
        <v>5555</v>
      </c>
      <c r="E350" s="125"/>
      <c r="F350" s="118" t="s">
        <v>5276</v>
      </c>
      <c r="G350" s="126" t="str">
        <f t="shared" si="16"/>
        <v>ST-SS3-2</v>
      </c>
      <c r="H350" s="255">
        <v>2</v>
      </c>
      <c r="I350" s="361">
        <v>1</v>
      </c>
      <c r="J350" s="362" t="s">
        <v>286</v>
      </c>
      <c r="W350" s="129" t="s">
        <v>4876</v>
      </c>
      <c r="X350" s="337" t="b">
        <f t="shared" si="17"/>
        <v>0</v>
      </c>
    </row>
    <row r="351" spans="1:24" s="337" customFormat="1" ht="12" customHeight="1" outlineLevel="1">
      <c r="A351" s="335"/>
      <c r="B351" s="118" t="s">
        <v>12</v>
      </c>
      <c r="C351" s="334" t="s">
        <v>5556</v>
      </c>
      <c r="D351" s="124" t="s">
        <v>5557</v>
      </c>
      <c r="E351" s="125"/>
      <c r="F351" s="118" t="s">
        <v>5276</v>
      </c>
      <c r="G351" s="126" t="str">
        <f t="shared" si="16"/>
        <v>ST-SS3-2</v>
      </c>
      <c r="H351" s="255">
        <v>2</v>
      </c>
      <c r="I351" s="361">
        <v>1</v>
      </c>
      <c r="J351" s="362" t="s">
        <v>286</v>
      </c>
      <c r="W351" s="129" t="s">
        <v>4876</v>
      </c>
      <c r="X351" s="337" t="b">
        <f t="shared" si="17"/>
        <v>0</v>
      </c>
    </row>
    <row r="352" spans="1:24" s="337" customFormat="1" ht="12" customHeight="1" outlineLevel="1">
      <c r="A352" s="335"/>
      <c r="B352" s="118" t="s">
        <v>12</v>
      </c>
      <c r="C352" s="334" t="s">
        <v>5558</v>
      </c>
      <c r="D352" s="124" t="s">
        <v>5559</v>
      </c>
      <c r="E352" s="125"/>
      <c r="F352" s="118" t="s">
        <v>5276</v>
      </c>
      <c r="G352" s="126" t="str">
        <f t="shared" si="16"/>
        <v>ST-SS3-2</v>
      </c>
      <c r="H352" s="255">
        <v>2</v>
      </c>
      <c r="I352" s="361">
        <v>1</v>
      </c>
      <c r="J352" s="362" t="s">
        <v>286</v>
      </c>
      <c r="W352" s="129" t="s">
        <v>4876</v>
      </c>
      <c r="X352" s="337" t="b">
        <f t="shared" si="17"/>
        <v>0</v>
      </c>
    </row>
    <row r="353" spans="1:24" s="337" customFormat="1" ht="12" customHeight="1" outlineLevel="1">
      <c r="A353" s="335"/>
      <c r="B353" s="118" t="s">
        <v>12</v>
      </c>
      <c r="C353" s="334" t="s">
        <v>5560</v>
      </c>
      <c r="D353" s="124" t="s">
        <v>5561</v>
      </c>
      <c r="E353" s="125"/>
      <c r="F353" s="118" t="s">
        <v>5276</v>
      </c>
      <c r="G353" s="126" t="str">
        <f t="shared" si="16"/>
        <v>ST-SS3-2</v>
      </c>
      <c r="H353" s="255">
        <v>2</v>
      </c>
      <c r="I353" s="361">
        <v>1</v>
      </c>
      <c r="J353" s="362" t="s">
        <v>286</v>
      </c>
      <c r="W353" s="129" t="s">
        <v>4876</v>
      </c>
      <c r="X353" s="337" t="b">
        <f t="shared" si="17"/>
        <v>0</v>
      </c>
    </row>
    <row r="354" spans="1:24" s="337" customFormat="1" ht="12" customHeight="1" outlineLevel="1">
      <c r="A354" s="335"/>
      <c r="B354" s="118" t="s">
        <v>12</v>
      </c>
      <c r="C354" s="334" t="s">
        <v>5562</v>
      </c>
      <c r="D354" s="124" t="s">
        <v>5563</v>
      </c>
      <c r="E354" s="125"/>
      <c r="F354" s="118" t="s">
        <v>5276</v>
      </c>
      <c r="G354" s="126" t="str">
        <f t="shared" si="16"/>
        <v>ST-SS3-2</v>
      </c>
      <c r="H354" s="255">
        <v>2</v>
      </c>
      <c r="I354" s="361">
        <v>1</v>
      </c>
      <c r="J354" s="362" t="s">
        <v>286</v>
      </c>
      <c r="W354" s="129" t="s">
        <v>4876</v>
      </c>
      <c r="X354" s="337" t="b">
        <f t="shared" si="17"/>
        <v>0</v>
      </c>
    </row>
    <row r="355" spans="1:24" s="337" customFormat="1" ht="12" customHeight="1" outlineLevel="1">
      <c r="A355" s="335"/>
      <c r="B355" s="118" t="s">
        <v>12</v>
      </c>
      <c r="C355" s="334" t="s">
        <v>5564</v>
      </c>
      <c r="D355" s="124" t="s">
        <v>5565</v>
      </c>
      <c r="E355" s="125"/>
      <c r="F355" s="118" t="s">
        <v>5276</v>
      </c>
      <c r="G355" s="126" t="str">
        <f t="shared" si="16"/>
        <v>ST-SS3-2</v>
      </c>
      <c r="H355" s="255">
        <v>2</v>
      </c>
      <c r="I355" s="361">
        <v>1</v>
      </c>
      <c r="J355" s="362" t="s">
        <v>286</v>
      </c>
      <c r="W355" s="129" t="s">
        <v>4876</v>
      </c>
      <c r="X355" s="337" t="b">
        <f t="shared" si="17"/>
        <v>0</v>
      </c>
    </row>
    <row r="356" spans="1:24" s="337" customFormat="1" ht="12" customHeight="1" outlineLevel="1">
      <c r="A356" s="335"/>
      <c r="B356" s="118" t="s">
        <v>12</v>
      </c>
      <c r="C356" s="334" t="s">
        <v>5566</v>
      </c>
      <c r="D356" s="124" t="s">
        <v>5567</v>
      </c>
      <c r="E356" s="125"/>
      <c r="F356" s="118" t="s">
        <v>5276</v>
      </c>
      <c r="G356" s="126" t="str">
        <f t="shared" si="16"/>
        <v>ST-SS3-2</v>
      </c>
      <c r="H356" s="255">
        <v>2</v>
      </c>
      <c r="I356" s="361">
        <v>1</v>
      </c>
      <c r="J356" s="362" t="s">
        <v>286</v>
      </c>
      <c r="W356" s="129" t="s">
        <v>4876</v>
      </c>
      <c r="X356" s="337" t="b">
        <f t="shared" si="17"/>
        <v>0</v>
      </c>
    </row>
    <row r="357" spans="1:24" s="337" customFormat="1" ht="12" customHeight="1" outlineLevel="1">
      <c r="A357" s="335"/>
      <c r="B357" s="118" t="s">
        <v>12</v>
      </c>
      <c r="C357" s="334" t="s">
        <v>5568</v>
      </c>
      <c r="D357" s="124" t="s">
        <v>5569</v>
      </c>
      <c r="E357" s="125"/>
      <c r="F357" s="118" t="s">
        <v>5276</v>
      </c>
      <c r="G357" s="126" t="str">
        <f t="shared" si="16"/>
        <v>ST-SS3-2</v>
      </c>
      <c r="H357" s="255">
        <v>2</v>
      </c>
      <c r="I357" s="361">
        <v>1</v>
      </c>
      <c r="J357" s="362" t="s">
        <v>286</v>
      </c>
      <c r="W357" s="129" t="s">
        <v>4876</v>
      </c>
      <c r="X357" s="337" t="b">
        <f t="shared" si="17"/>
        <v>0</v>
      </c>
    </row>
    <row r="358" spans="1:24" s="337" customFormat="1" ht="12" customHeight="1" outlineLevel="1">
      <c r="A358" s="335"/>
      <c r="B358" s="118" t="s">
        <v>12</v>
      </c>
      <c r="C358" s="334" t="s">
        <v>5570</v>
      </c>
      <c r="D358" s="124" t="s">
        <v>5571</v>
      </c>
      <c r="E358" s="125"/>
      <c r="F358" s="118" t="s">
        <v>5276</v>
      </c>
      <c r="G358" s="126" t="str">
        <f t="shared" si="16"/>
        <v>ST-SS3-2</v>
      </c>
      <c r="H358" s="255">
        <v>2</v>
      </c>
      <c r="I358" s="361">
        <v>1</v>
      </c>
      <c r="J358" s="362" t="s">
        <v>286</v>
      </c>
      <c r="W358" s="129" t="s">
        <v>4876</v>
      </c>
      <c r="X358" s="337" t="b">
        <f t="shared" si="17"/>
        <v>0</v>
      </c>
    </row>
    <row r="359" spans="1:24" s="337" customFormat="1" ht="12" customHeight="1" outlineLevel="1">
      <c r="A359" s="335"/>
      <c r="B359" s="118" t="s">
        <v>12</v>
      </c>
      <c r="C359" s="334" t="s">
        <v>5572</v>
      </c>
      <c r="D359" s="124" t="s">
        <v>5573</v>
      </c>
      <c r="E359" s="125"/>
      <c r="F359" s="118" t="s">
        <v>5276</v>
      </c>
      <c r="G359" s="126" t="str">
        <f t="shared" si="16"/>
        <v>ST-SS3-2</v>
      </c>
      <c r="H359" s="255">
        <v>2</v>
      </c>
      <c r="I359" s="361">
        <v>1</v>
      </c>
      <c r="J359" s="362" t="s">
        <v>286</v>
      </c>
      <c r="W359" s="129" t="s">
        <v>4876</v>
      </c>
      <c r="X359" s="337" t="b">
        <f t="shared" si="17"/>
        <v>0</v>
      </c>
    </row>
    <row r="360" spans="1:24" s="337" customFormat="1" ht="12" customHeight="1" outlineLevel="1">
      <c r="A360" s="335"/>
      <c r="B360" s="118" t="s">
        <v>12</v>
      </c>
      <c r="C360" s="334" t="s">
        <v>5574</v>
      </c>
      <c r="D360" s="124" t="s">
        <v>5575</v>
      </c>
      <c r="E360" s="125"/>
      <c r="F360" s="118" t="s">
        <v>5276</v>
      </c>
      <c r="G360" s="126" t="str">
        <f t="shared" si="16"/>
        <v>ST-SS3-2</v>
      </c>
      <c r="H360" s="255">
        <v>2</v>
      </c>
      <c r="I360" s="361">
        <v>1</v>
      </c>
      <c r="J360" s="362" t="s">
        <v>286</v>
      </c>
      <c r="W360" s="129" t="s">
        <v>4876</v>
      </c>
      <c r="X360" s="337" t="b">
        <f t="shared" si="17"/>
        <v>0</v>
      </c>
    </row>
    <row r="361" spans="1:24" s="337" customFormat="1" ht="12" customHeight="1" outlineLevel="1">
      <c r="A361" s="335"/>
      <c r="B361" s="118" t="s">
        <v>12</v>
      </c>
      <c r="C361" s="334" t="s">
        <v>5576</v>
      </c>
      <c r="D361" s="124" t="s">
        <v>5577</v>
      </c>
      <c r="E361" s="125"/>
      <c r="F361" s="118" t="s">
        <v>5276</v>
      </c>
      <c r="G361" s="126" t="str">
        <f t="shared" si="16"/>
        <v>ST-SS3-2</v>
      </c>
      <c r="H361" s="255">
        <v>2</v>
      </c>
      <c r="I361" s="361">
        <v>1</v>
      </c>
      <c r="J361" s="362" t="s">
        <v>286</v>
      </c>
      <c r="W361" s="129" t="s">
        <v>4876</v>
      </c>
      <c r="X361" s="337" t="b">
        <f t="shared" si="17"/>
        <v>0</v>
      </c>
    </row>
    <row r="362" spans="1:24" s="337" customFormat="1" ht="12" customHeight="1" outlineLevel="1">
      <c r="A362" s="335"/>
      <c r="B362" s="118" t="s">
        <v>12</v>
      </c>
      <c r="C362" s="334" t="s">
        <v>5578</v>
      </c>
      <c r="D362" s="124" t="s">
        <v>5579</v>
      </c>
      <c r="E362" s="125"/>
      <c r="F362" s="118" t="s">
        <v>5276</v>
      </c>
      <c r="G362" s="126" t="str">
        <f t="shared" si="16"/>
        <v>ST-SS3-2</v>
      </c>
      <c r="H362" s="255">
        <v>2</v>
      </c>
      <c r="I362" s="361">
        <v>1</v>
      </c>
      <c r="J362" s="362" t="s">
        <v>286</v>
      </c>
      <c r="W362" s="129" t="s">
        <v>4876</v>
      </c>
      <c r="X362" s="337" t="b">
        <f t="shared" si="17"/>
        <v>0</v>
      </c>
    </row>
    <row r="363" spans="1:24" s="337" customFormat="1" ht="12" customHeight="1" outlineLevel="1">
      <c r="A363" s="335"/>
      <c r="B363" s="118" t="s">
        <v>12</v>
      </c>
      <c r="C363" s="334" t="s">
        <v>5580</v>
      </c>
      <c r="D363" s="124" t="s">
        <v>5581</v>
      </c>
      <c r="E363" s="125"/>
      <c r="F363" s="118" t="s">
        <v>5276</v>
      </c>
      <c r="G363" s="126" t="str">
        <f t="shared" si="16"/>
        <v>ST-SS3-2</v>
      </c>
      <c r="H363" s="255">
        <v>2</v>
      </c>
      <c r="I363" s="361">
        <v>1</v>
      </c>
      <c r="J363" s="362" t="s">
        <v>286</v>
      </c>
      <c r="W363" s="129" t="s">
        <v>4876</v>
      </c>
      <c r="X363" s="337" t="b">
        <f t="shared" si="17"/>
        <v>0</v>
      </c>
    </row>
    <row r="364" spans="1:24" s="360" customFormat="1" ht="12" customHeight="1" outlineLevel="1">
      <c r="A364" s="365"/>
      <c r="B364" s="118"/>
      <c r="C364" s="266" t="s">
        <v>5582</v>
      </c>
      <c r="D364" s="124"/>
      <c r="E364" s="125"/>
      <c r="F364" s="118"/>
      <c r="G364" s="126"/>
      <c r="H364" s="253"/>
      <c r="I364" s="361"/>
      <c r="J364" s="366"/>
    </row>
    <row r="365" spans="1:24" s="337" customFormat="1" ht="12" customHeight="1" outlineLevel="1">
      <c r="A365" s="335"/>
      <c r="B365" s="118" t="s">
        <v>12</v>
      </c>
      <c r="C365" s="334" t="s">
        <v>5183</v>
      </c>
      <c r="D365" s="124" t="s">
        <v>5184</v>
      </c>
      <c r="E365" s="125"/>
      <c r="F365" s="118" t="s">
        <v>5583</v>
      </c>
      <c r="G365" s="126" t="str">
        <f t="shared" ref="G365:G396" si="18">CONCATENATE(B365,"-",F365,"-",H365)</f>
        <v>ST-SS4-1</v>
      </c>
      <c r="H365" s="255">
        <v>1</v>
      </c>
      <c r="I365" s="361">
        <v>1</v>
      </c>
      <c r="J365" s="362" t="s">
        <v>286</v>
      </c>
      <c r="W365" s="129" t="s">
        <v>4876</v>
      </c>
      <c r="X365" s="337" t="b">
        <f t="shared" ref="X365:X428" si="19">W365=J365</f>
        <v>0</v>
      </c>
    </row>
    <row r="366" spans="1:24" s="337" customFormat="1" ht="12" customHeight="1" outlineLevel="1">
      <c r="A366" s="335"/>
      <c r="B366" s="118" t="s">
        <v>12</v>
      </c>
      <c r="C366" s="334" t="s">
        <v>5584</v>
      </c>
      <c r="D366" s="124" t="s">
        <v>5585</v>
      </c>
      <c r="E366" s="125"/>
      <c r="F366" s="118" t="s">
        <v>5583</v>
      </c>
      <c r="G366" s="126" t="str">
        <f t="shared" si="18"/>
        <v>ST-SS4-1</v>
      </c>
      <c r="H366" s="255">
        <v>1</v>
      </c>
      <c r="I366" s="361">
        <v>1</v>
      </c>
      <c r="J366" s="362" t="s">
        <v>286</v>
      </c>
      <c r="W366" s="129" t="s">
        <v>4876</v>
      </c>
      <c r="X366" s="337" t="b">
        <f t="shared" si="19"/>
        <v>0</v>
      </c>
    </row>
    <row r="367" spans="1:24" s="337" customFormat="1" ht="12" customHeight="1" outlineLevel="1">
      <c r="A367" s="335"/>
      <c r="B367" s="118" t="s">
        <v>12</v>
      </c>
      <c r="C367" s="334" t="s">
        <v>5586</v>
      </c>
      <c r="D367" s="124" t="s">
        <v>5587</v>
      </c>
      <c r="E367" s="125"/>
      <c r="F367" s="118" t="s">
        <v>5583</v>
      </c>
      <c r="G367" s="126" t="str">
        <f t="shared" si="18"/>
        <v>ST-SS4-1</v>
      </c>
      <c r="H367" s="255">
        <v>1</v>
      </c>
      <c r="I367" s="361">
        <v>1</v>
      </c>
      <c r="J367" s="362" t="s">
        <v>286</v>
      </c>
      <c r="W367" s="129" t="s">
        <v>4876</v>
      </c>
      <c r="X367" s="337" t="b">
        <f t="shared" si="19"/>
        <v>0</v>
      </c>
    </row>
    <row r="368" spans="1:24" s="337" customFormat="1" ht="12" customHeight="1" outlineLevel="1">
      <c r="A368" s="335"/>
      <c r="B368" s="118" t="s">
        <v>12</v>
      </c>
      <c r="C368" s="334" t="s">
        <v>5588</v>
      </c>
      <c r="D368" s="124" t="s">
        <v>5589</v>
      </c>
      <c r="E368" s="125"/>
      <c r="F368" s="118" t="s">
        <v>5583</v>
      </c>
      <c r="G368" s="126" t="str">
        <f t="shared" si="18"/>
        <v>ST-SS4-1</v>
      </c>
      <c r="H368" s="255">
        <v>1</v>
      </c>
      <c r="I368" s="361">
        <v>1</v>
      </c>
      <c r="J368" s="362" t="s">
        <v>286</v>
      </c>
      <c r="W368" s="129" t="s">
        <v>4876</v>
      </c>
      <c r="X368" s="337" t="b">
        <f t="shared" si="19"/>
        <v>0</v>
      </c>
    </row>
    <row r="369" spans="1:24" s="337" customFormat="1" ht="12" customHeight="1" outlineLevel="1">
      <c r="A369" s="335"/>
      <c r="B369" s="118" t="s">
        <v>12</v>
      </c>
      <c r="C369" s="334" t="s">
        <v>5590</v>
      </c>
      <c r="D369" s="124" t="s">
        <v>5591</v>
      </c>
      <c r="E369" s="125"/>
      <c r="F369" s="118" t="s">
        <v>5583</v>
      </c>
      <c r="G369" s="126" t="str">
        <f t="shared" si="18"/>
        <v>ST-SS4-1</v>
      </c>
      <c r="H369" s="255">
        <v>1</v>
      </c>
      <c r="I369" s="361">
        <v>1</v>
      </c>
      <c r="J369" s="362" t="s">
        <v>286</v>
      </c>
      <c r="W369" s="129" t="s">
        <v>4876</v>
      </c>
      <c r="X369" s="337" t="b">
        <f t="shared" si="19"/>
        <v>0</v>
      </c>
    </row>
    <row r="370" spans="1:24" s="337" customFormat="1" ht="12" customHeight="1" outlineLevel="1">
      <c r="A370" s="335"/>
      <c r="B370" s="118" t="s">
        <v>12</v>
      </c>
      <c r="C370" s="334" t="s">
        <v>5592</v>
      </c>
      <c r="D370" s="124" t="s">
        <v>5593</v>
      </c>
      <c r="E370" s="125"/>
      <c r="F370" s="118" t="s">
        <v>5583</v>
      </c>
      <c r="G370" s="126" t="str">
        <f t="shared" si="18"/>
        <v>ST-SS4-1</v>
      </c>
      <c r="H370" s="255">
        <v>1</v>
      </c>
      <c r="I370" s="361">
        <v>1</v>
      </c>
      <c r="J370" s="362" t="s">
        <v>286</v>
      </c>
      <c r="W370" s="129" t="s">
        <v>4876</v>
      </c>
      <c r="X370" s="337" t="b">
        <f t="shared" si="19"/>
        <v>0</v>
      </c>
    </row>
    <row r="371" spans="1:24" s="337" customFormat="1" ht="12" customHeight="1" outlineLevel="1">
      <c r="A371" s="335"/>
      <c r="B371" s="118" t="s">
        <v>12</v>
      </c>
      <c r="C371" s="334" t="s">
        <v>5594</v>
      </c>
      <c r="D371" s="124" t="s">
        <v>5595</v>
      </c>
      <c r="E371" s="125"/>
      <c r="F371" s="118" t="s">
        <v>5583</v>
      </c>
      <c r="G371" s="126" t="str">
        <f t="shared" si="18"/>
        <v>ST-SS4-1</v>
      </c>
      <c r="H371" s="255">
        <v>1</v>
      </c>
      <c r="I371" s="361">
        <v>1</v>
      </c>
      <c r="J371" s="362" t="s">
        <v>286</v>
      </c>
      <c r="W371" s="129" t="s">
        <v>4876</v>
      </c>
      <c r="X371" s="337" t="b">
        <f t="shared" si="19"/>
        <v>0</v>
      </c>
    </row>
    <row r="372" spans="1:24" s="337" customFormat="1" ht="12" customHeight="1" outlineLevel="1">
      <c r="A372" s="335"/>
      <c r="B372" s="118" t="s">
        <v>12</v>
      </c>
      <c r="C372" s="334" t="s">
        <v>5596</v>
      </c>
      <c r="D372" s="124" t="s">
        <v>5597</v>
      </c>
      <c r="E372" s="125"/>
      <c r="F372" s="118" t="s">
        <v>5583</v>
      </c>
      <c r="G372" s="126" t="str">
        <f t="shared" si="18"/>
        <v>ST-SS4-1</v>
      </c>
      <c r="H372" s="255">
        <v>1</v>
      </c>
      <c r="I372" s="361">
        <v>1</v>
      </c>
      <c r="J372" s="362" t="s">
        <v>286</v>
      </c>
      <c r="W372" s="129" t="s">
        <v>4876</v>
      </c>
      <c r="X372" s="337" t="b">
        <f t="shared" si="19"/>
        <v>0</v>
      </c>
    </row>
    <row r="373" spans="1:24" s="337" customFormat="1" ht="12" customHeight="1" outlineLevel="1">
      <c r="A373" s="335"/>
      <c r="B373" s="118" t="s">
        <v>12</v>
      </c>
      <c r="C373" s="334" t="s">
        <v>5598</v>
      </c>
      <c r="D373" s="124" t="s">
        <v>5599</v>
      </c>
      <c r="E373" s="125"/>
      <c r="F373" s="118" t="s">
        <v>5583</v>
      </c>
      <c r="G373" s="126" t="str">
        <f t="shared" si="18"/>
        <v>ST-SS4-1</v>
      </c>
      <c r="H373" s="255">
        <v>1</v>
      </c>
      <c r="I373" s="361">
        <v>1</v>
      </c>
      <c r="J373" s="362" t="s">
        <v>286</v>
      </c>
      <c r="W373" s="129" t="s">
        <v>4876</v>
      </c>
      <c r="X373" s="337" t="b">
        <f t="shared" si="19"/>
        <v>0</v>
      </c>
    </row>
    <row r="374" spans="1:24" s="337" customFormat="1" ht="12" customHeight="1" outlineLevel="1">
      <c r="A374" s="335"/>
      <c r="B374" s="118" t="s">
        <v>12</v>
      </c>
      <c r="C374" s="334" t="s">
        <v>5600</v>
      </c>
      <c r="D374" s="124" t="s">
        <v>5601</v>
      </c>
      <c r="E374" s="125"/>
      <c r="F374" s="118" t="s">
        <v>5583</v>
      </c>
      <c r="G374" s="126" t="str">
        <f t="shared" si="18"/>
        <v>ST-SS4-1</v>
      </c>
      <c r="H374" s="255">
        <v>1</v>
      </c>
      <c r="I374" s="361">
        <v>1</v>
      </c>
      <c r="J374" s="362" t="s">
        <v>286</v>
      </c>
      <c r="W374" s="129" t="s">
        <v>4876</v>
      </c>
      <c r="X374" s="337" t="b">
        <f t="shared" si="19"/>
        <v>0</v>
      </c>
    </row>
    <row r="375" spans="1:24" s="337" customFormat="1" ht="12" customHeight="1" outlineLevel="1">
      <c r="A375" s="335"/>
      <c r="B375" s="118" t="s">
        <v>12</v>
      </c>
      <c r="C375" s="334" t="s">
        <v>5602</v>
      </c>
      <c r="D375" s="124" t="s">
        <v>5603</v>
      </c>
      <c r="E375" s="125"/>
      <c r="F375" s="118" t="s">
        <v>5583</v>
      </c>
      <c r="G375" s="126" t="str">
        <f t="shared" si="18"/>
        <v>ST-SS4-1</v>
      </c>
      <c r="H375" s="255">
        <v>1</v>
      </c>
      <c r="I375" s="361">
        <v>1</v>
      </c>
      <c r="J375" s="362" t="s">
        <v>286</v>
      </c>
      <c r="W375" s="129" t="s">
        <v>4876</v>
      </c>
      <c r="X375" s="337" t="b">
        <f t="shared" si="19"/>
        <v>0</v>
      </c>
    </row>
    <row r="376" spans="1:24" s="337" customFormat="1" ht="12" customHeight="1" outlineLevel="1">
      <c r="A376" s="335"/>
      <c r="B376" s="118" t="s">
        <v>12</v>
      </c>
      <c r="C376" s="334" t="s">
        <v>5604</v>
      </c>
      <c r="D376" s="124" t="s">
        <v>5605</v>
      </c>
      <c r="E376" s="125"/>
      <c r="F376" s="118" t="s">
        <v>5583</v>
      </c>
      <c r="G376" s="126" t="str">
        <f t="shared" si="18"/>
        <v>ST-SS4-1</v>
      </c>
      <c r="H376" s="255">
        <v>1</v>
      </c>
      <c r="I376" s="361">
        <v>1</v>
      </c>
      <c r="J376" s="362" t="s">
        <v>310</v>
      </c>
      <c r="W376" s="129" t="s">
        <v>310</v>
      </c>
      <c r="X376" s="337" t="b">
        <f t="shared" si="19"/>
        <v>1</v>
      </c>
    </row>
    <row r="377" spans="1:24" s="337" customFormat="1" ht="12" customHeight="1" outlineLevel="1">
      <c r="A377" s="335"/>
      <c r="B377" s="118" t="s">
        <v>12</v>
      </c>
      <c r="C377" s="334" t="s">
        <v>5606</v>
      </c>
      <c r="D377" s="124" t="s">
        <v>5607</v>
      </c>
      <c r="E377" s="125"/>
      <c r="F377" s="118" t="s">
        <v>5583</v>
      </c>
      <c r="G377" s="126" t="str">
        <f t="shared" si="18"/>
        <v>ST-SS4-1</v>
      </c>
      <c r="H377" s="255">
        <v>1</v>
      </c>
      <c r="I377" s="361">
        <v>1</v>
      </c>
      <c r="J377" s="362" t="s">
        <v>307</v>
      </c>
      <c r="W377" s="129" t="s">
        <v>307</v>
      </c>
      <c r="X377" s="337" t="b">
        <f t="shared" si="19"/>
        <v>1</v>
      </c>
    </row>
    <row r="378" spans="1:24" s="337" customFormat="1" ht="12" customHeight="1" outlineLevel="1">
      <c r="A378" s="335"/>
      <c r="B378" s="118" t="s">
        <v>12</v>
      </c>
      <c r="C378" s="334" t="s">
        <v>5608</v>
      </c>
      <c r="D378" s="124" t="s">
        <v>5609</v>
      </c>
      <c r="E378" s="125"/>
      <c r="F378" s="118" t="s">
        <v>5583</v>
      </c>
      <c r="G378" s="126" t="str">
        <f t="shared" si="18"/>
        <v>ST-SS4-1</v>
      </c>
      <c r="H378" s="255">
        <v>1</v>
      </c>
      <c r="I378" s="361">
        <v>1</v>
      </c>
      <c r="J378" s="362" t="s">
        <v>310</v>
      </c>
      <c r="W378" s="129" t="s">
        <v>286</v>
      </c>
      <c r="X378" s="337" t="b">
        <f t="shared" si="19"/>
        <v>0</v>
      </c>
    </row>
    <row r="379" spans="1:24" s="337" customFormat="1" ht="12" customHeight="1" outlineLevel="1">
      <c r="A379" s="335"/>
      <c r="B379" s="118" t="s">
        <v>12</v>
      </c>
      <c r="C379" s="334" t="s">
        <v>5610</v>
      </c>
      <c r="D379" s="124" t="s">
        <v>5611</v>
      </c>
      <c r="E379" s="125"/>
      <c r="F379" s="118" t="s">
        <v>5583</v>
      </c>
      <c r="G379" s="126" t="str">
        <f t="shared" si="18"/>
        <v>ST-SS4-1</v>
      </c>
      <c r="H379" s="255">
        <v>1</v>
      </c>
      <c r="I379" s="361">
        <v>1</v>
      </c>
      <c r="J379" s="362" t="s">
        <v>286</v>
      </c>
      <c r="W379" s="129" t="s">
        <v>4876</v>
      </c>
      <c r="X379" s="337" t="b">
        <f t="shared" si="19"/>
        <v>0</v>
      </c>
    </row>
    <row r="380" spans="1:24" s="337" customFormat="1" ht="12" customHeight="1" outlineLevel="1">
      <c r="A380" s="335"/>
      <c r="B380" s="118" t="s">
        <v>12</v>
      </c>
      <c r="C380" s="334" t="s">
        <v>5612</v>
      </c>
      <c r="D380" s="124" t="s">
        <v>5613</v>
      </c>
      <c r="E380" s="125"/>
      <c r="F380" s="118" t="s">
        <v>5583</v>
      </c>
      <c r="G380" s="126" t="str">
        <f t="shared" si="18"/>
        <v>ST-SS4-1</v>
      </c>
      <c r="H380" s="255">
        <v>1</v>
      </c>
      <c r="I380" s="361">
        <v>1</v>
      </c>
      <c r="J380" s="362" t="s">
        <v>286</v>
      </c>
      <c r="W380" s="129" t="s">
        <v>4876</v>
      </c>
      <c r="X380" s="337" t="b">
        <f t="shared" si="19"/>
        <v>0</v>
      </c>
    </row>
    <row r="381" spans="1:24" s="337" customFormat="1" ht="12" customHeight="1" outlineLevel="1">
      <c r="A381" s="335"/>
      <c r="B381" s="118" t="s">
        <v>12</v>
      </c>
      <c r="C381" s="334" t="s">
        <v>5614</v>
      </c>
      <c r="D381" s="124" t="s">
        <v>5615</v>
      </c>
      <c r="E381" s="125"/>
      <c r="F381" s="118" t="s">
        <v>5583</v>
      </c>
      <c r="G381" s="126" t="str">
        <f t="shared" si="18"/>
        <v>ST-SS4-1</v>
      </c>
      <c r="H381" s="255">
        <v>1</v>
      </c>
      <c r="I381" s="361">
        <v>1</v>
      </c>
      <c r="J381" s="362" t="s">
        <v>286</v>
      </c>
      <c r="W381" s="129" t="s">
        <v>4876</v>
      </c>
      <c r="X381" s="337" t="b">
        <f t="shared" si="19"/>
        <v>0</v>
      </c>
    </row>
    <row r="382" spans="1:24" s="337" customFormat="1" ht="12" customHeight="1" outlineLevel="1">
      <c r="A382" s="335"/>
      <c r="B382" s="118" t="s">
        <v>12</v>
      </c>
      <c r="C382" s="334" t="s">
        <v>5616</v>
      </c>
      <c r="D382" s="124" t="s">
        <v>5617</v>
      </c>
      <c r="E382" s="125"/>
      <c r="F382" s="118" t="s">
        <v>5583</v>
      </c>
      <c r="G382" s="126" t="str">
        <f t="shared" si="18"/>
        <v>ST-SS4-1</v>
      </c>
      <c r="H382" s="255">
        <v>1</v>
      </c>
      <c r="I382" s="361">
        <v>1</v>
      </c>
      <c r="J382" s="362" t="s">
        <v>286</v>
      </c>
      <c r="W382" s="129" t="s">
        <v>4876</v>
      </c>
      <c r="X382" s="337" t="b">
        <f t="shared" si="19"/>
        <v>0</v>
      </c>
    </row>
    <row r="383" spans="1:24" s="337" customFormat="1" ht="12" customHeight="1" outlineLevel="1">
      <c r="A383" s="335"/>
      <c r="B383" s="118" t="s">
        <v>12</v>
      </c>
      <c r="C383" s="334" t="s">
        <v>5618</v>
      </c>
      <c r="D383" s="124" t="s">
        <v>5619</v>
      </c>
      <c r="E383" s="125"/>
      <c r="F383" s="118" t="s">
        <v>5583</v>
      </c>
      <c r="G383" s="126" t="str">
        <f t="shared" si="18"/>
        <v>ST-SS4-1</v>
      </c>
      <c r="H383" s="255">
        <v>1</v>
      </c>
      <c r="I383" s="361">
        <v>1</v>
      </c>
      <c r="J383" s="362" t="s">
        <v>286</v>
      </c>
      <c r="W383" s="129" t="s">
        <v>4876</v>
      </c>
      <c r="X383" s="337" t="b">
        <f t="shared" si="19"/>
        <v>0</v>
      </c>
    </row>
    <row r="384" spans="1:24" s="337" customFormat="1" ht="12" customHeight="1" outlineLevel="1">
      <c r="A384" s="335"/>
      <c r="B384" s="118" t="s">
        <v>12</v>
      </c>
      <c r="C384" s="334" t="s">
        <v>5620</v>
      </c>
      <c r="D384" s="124" t="s">
        <v>5621</v>
      </c>
      <c r="E384" s="125"/>
      <c r="F384" s="118" t="s">
        <v>5583</v>
      </c>
      <c r="G384" s="126" t="str">
        <f t="shared" si="18"/>
        <v>ST-SS4-1</v>
      </c>
      <c r="H384" s="255">
        <v>1</v>
      </c>
      <c r="I384" s="361">
        <v>1</v>
      </c>
      <c r="J384" s="362" t="s">
        <v>286</v>
      </c>
      <c r="W384" s="129" t="s">
        <v>4876</v>
      </c>
      <c r="X384" s="337" t="b">
        <f t="shared" si="19"/>
        <v>0</v>
      </c>
    </row>
    <row r="385" spans="1:24" s="337" customFormat="1" ht="12" customHeight="1" outlineLevel="1">
      <c r="A385" s="335"/>
      <c r="B385" s="118" t="s">
        <v>12</v>
      </c>
      <c r="C385" s="334" t="s">
        <v>5622</v>
      </c>
      <c r="D385" s="124" t="s">
        <v>5623</v>
      </c>
      <c r="E385" s="125"/>
      <c r="F385" s="118" t="s">
        <v>5583</v>
      </c>
      <c r="G385" s="126" t="str">
        <f t="shared" si="18"/>
        <v>ST-SS4-1</v>
      </c>
      <c r="H385" s="255">
        <v>1</v>
      </c>
      <c r="I385" s="361">
        <v>1</v>
      </c>
      <c r="J385" s="362" t="s">
        <v>286</v>
      </c>
      <c r="W385" s="129" t="s">
        <v>4876</v>
      </c>
      <c r="X385" s="337" t="b">
        <f t="shared" si="19"/>
        <v>0</v>
      </c>
    </row>
    <row r="386" spans="1:24" s="337" customFormat="1" ht="12" customHeight="1" outlineLevel="1">
      <c r="A386" s="335"/>
      <c r="B386" s="118" t="s">
        <v>12</v>
      </c>
      <c r="C386" s="334" t="s">
        <v>5624</v>
      </c>
      <c r="D386" s="124" t="s">
        <v>5625</v>
      </c>
      <c r="E386" s="125"/>
      <c r="F386" s="118" t="s">
        <v>5583</v>
      </c>
      <c r="G386" s="126" t="str">
        <f t="shared" si="18"/>
        <v>ST-SS4-1</v>
      </c>
      <c r="H386" s="255">
        <v>1</v>
      </c>
      <c r="I386" s="361">
        <v>1</v>
      </c>
      <c r="J386" s="362" t="s">
        <v>286</v>
      </c>
      <c r="W386" s="129" t="s">
        <v>4876</v>
      </c>
      <c r="X386" s="337" t="b">
        <f t="shared" si="19"/>
        <v>0</v>
      </c>
    </row>
    <row r="387" spans="1:24" s="337" customFormat="1" ht="12" customHeight="1" outlineLevel="1">
      <c r="A387" s="335"/>
      <c r="B387" s="118" t="s">
        <v>12</v>
      </c>
      <c r="C387" s="334" t="s">
        <v>5626</v>
      </c>
      <c r="D387" s="124" t="s">
        <v>5627</v>
      </c>
      <c r="E387" s="125"/>
      <c r="F387" s="118" t="s">
        <v>5583</v>
      </c>
      <c r="G387" s="126" t="str">
        <f t="shared" si="18"/>
        <v>ST-SS4-1</v>
      </c>
      <c r="H387" s="255">
        <v>1</v>
      </c>
      <c r="I387" s="361">
        <v>1</v>
      </c>
      <c r="J387" s="362" t="s">
        <v>286</v>
      </c>
      <c r="W387" s="129" t="s">
        <v>4876</v>
      </c>
      <c r="X387" s="337" t="b">
        <f t="shared" si="19"/>
        <v>0</v>
      </c>
    </row>
    <row r="388" spans="1:24" s="337" customFormat="1" ht="12" customHeight="1" outlineLevel="1">
      <c r="A388" s="335"/>
      <c r="B388" s="118" t="s">
        <v>12</v>
      </c>
      <c r="C388" s="334" t="s">
        <v>5628</v>
      </c>
      <c r="D388" s="124" t="s">
        <v>5629</v>
      </c>
      <c r="E388" s="125"/>
      <c r="F388" s="118" t="s">
        <v>5583</v>
      </c>
      <c r="G388" s="126" t="str">
        <f t="shared" si="18"/>
        <v>ST-SS4-1</v>
      </c>
      <c r="H388" s="255">
        <v>1</v>
      </c>
      <c r="I388" s="361">
        <v>1</v>
      </c>
      <c r="J388" s="362" t="s">
        <v>286</v>
      </c>
      <c r="W388" s="129" t="s">
        <v>4876</v>
      </c>
      <c r="X388" s="337" t="b">
        <f t="shared" si="19"/>
        <v>0</v>
      </c>
    </row>
    <row r="389" spans="1:24" s="337" customFormat="1" ht="12" customHeight="1" outlineLevel="1">
      <c r="A389" s="335"/>
      <c r="B389" s="118" t="s">
        <v>12</v>
      </c>
      <c r="C389" s="334" t="s">
        <v>5630</v>
      </c>
      <c r="D389" s="124" t="s">
        <v>5631</v>
      </c>
      <c r="E389" s="125"/>
      <c r="F389" s="118" t="s">
        <v>5583</v>
      </c>
      <c r="G389" s="126" t="str">
        <f t="shared" si="18"/>
        <v>ST-SS4-1</v>
      </c>
      <c r="H389" s="255">
        <v>1</v>
      </c>
      <c r="I389" s="361">
        <v>1</v>
      </c>
      <c r="J389" s="362" t="s">
        <v>286</v>
      </c>
      <c r="W389" s="129" t="s">
        <v>4876</v>
      </c>
      <c r="X389" s="337" t="b">
        <f t="shared" si="19"/>
        <v>0</v>
      </c>
    </row>
    <row r="390" spans="1:24" s="337" customFormat="1" ht="12" customHeight="1" outlineLevel="1">
      <c r="A390" s="335"/>
      <c r="B390" s="118" t="s">
        <v>12</v>
      </c>
      <c r="C390" s="334" t="s">
        <v>5632</v>
      </c>
      <c r="D390" s="124" t="s">
        <v>5633</v>
      </c>
      <c r="E390" s="125"/>
      <c r="F390" s="118" t="s">
        <v>5583</v>
      </c>
      <c r="G390" s="126" t="str">
        <f t="shared" si="18"/>
        <v>ST-SS4-1</v>
      </c>
      <c r="H390" s="255">
        <v>1</v>
      </c>
      <c r="I390" s="361">
        <v>1</v>
      </c>
      <c r="J390" s="362" t="s">
        <v>286</v>
      </c>
      <c r="W390" s="129" t="s">
        <v>4876</v>
      </c>
      <c r="X390" s="337" t="b">
        <f t="shared" si="19"/>
        <v>0</v>
      </c>
    </row>
    <row r="391" spans="1:24" s="337" customFormat="1" ht="12" customHeight="1" outlineLevel="1">
      <c r="A391" s="335"/>
      <c r="B391" s="118" t="s">
        <v>12</v>
      </c>
      <c r="C391" s="334" t="s">
        <v>5634</v>
      </c>
      <c r="D391" s="124" t="s">
        <v>5635</v>
      </c>
      <c r="E391" s="125"/>
      <c r="F391" s="118" t="s">
        <v>5583</v>
      </c>
      <c r="G391" s="126" t="str">
        <f t="shared" si="18"/>
        <v>ST-SS4-1</v>
      </c>
      <c r="H391" s="255">
        <v>1</v>
      </c>
      <c r="I391" s="361">
        <v>1</v>
      </c>
      <c r="J391" s="362" t="s">
        <v>286</v>
      </c>
      <c r="W391" s="129" t="s">
        <v>4876</v>
      </c>
      <c r="X391" s="337" t="b">
        <f t="shared" si="19"/>
        <v>0</v>
      </c>
    </row>
    <row r="392" spans="1:24" s="337" customFormat="1" ht="12" customHeight="1" outlineLevel="1">
      <c r="A392" s="335"/>
      <c r="B392" s="118" t="s">
        <v>12</v>
      </c>
      <c r="C392" s="334" t="s">
        <v>5636</v>
      </c>
      <c r="D392" s="124" t="s">
        <v>5637</v>
      </c>
      <c r="E392" s="125"/>
      <c r="F392" s="118" t="s">
        <v>5583</v>
      </c>
      <c r="G392" s="126" t="str">
        <f t="shared" si="18"/>
        <v>ST-SS4-1</v>
      </c>
      <c r="H392" s="255">
        <v>1</v>
      </c>
      <c r="I392" s="361">
        <v>1</v>
      </c>
      <c r="J392" s="362" t="s">
        <v>286</v>
      </c>
      <c r="W392" s="129" t="s">
        <v>4876</v>
      </c>
      <c r="X392" s="337" t="b">
        <f t="shared" si="19"/>
        <v>0</v>
      </c>
    </row>
    <row r="393" spans="1:24" s="337" customFormat="1" ht="12" customHeight="1" outlineLevel="1">
      <c r="A393" s="335"/>
      <c r="B393" s="118" t="s">
        <v>12</v>
      </c>
      <c r="C393" s="334" t="s">
        <v>5638</v>
      </c>
      <c r="D393" s="124" t="s">
        <v>5639</v>
      </c>
      <c r="E393" s="125"/>
      <c r="F393" s="118" t="s">
        <v>5583</v>
      </c>
      <c r="G393" s="126" t="str">
        <f t="shared" si="18"/>
        <v>ST-SS4-1</v>
      </c>
      <c r="H393" s="255">
        <v>1</v>
      </c>
      <c r="I393" s="361">
        <v>1</v>
      </c>
      <c r="J393" s="362" t="s">
        <v>286</v>
      </c>
      <c r="W393" s="129" t="s">
        <v>4876</v>
      </c>
      <c r="X393" s="337" t="b">
        <f t="shared" si="19"/>
        <v>0</v>
      </c>
    </row>
    <row r="394" spans="1:24" s="337" customFormat="1" ht="12" customHeight="1" outlineLevel="1">
      <c r="A394" s="335"/>
      <c r="B394" s="118" t="s">
        <v>12</v>
      </c>
      <c r="C394" s="334" t="s">
        <v>5640</v>
      </c>
      <c r="D394" s="124" t="s">
        <v>5641</v>
      </c>
      <c r="E394" s="125"/>
      <c r="F394" s="118" t="s">
        <v>5583</v>
      </c>
      <c r="G394" s="126" t="str">
        <f t="shared" si="18"/>
        <v>ST-SS4-1</v>
      </c>
      <c r="H394" s="255">
        <v>1</v>
      </c>
      <c r="I394" s="361">
        <v>1</v>
      </c>
      <c r="J394" s="362" t="s">
        <v>286</v>
      </c>
      <c r="W394" s="129" t="s">
        <v>4876</v>
      </c>
      <c r="X394" s="337" t="b">
        <f t="shared" si="19"/>
        <v>0</v>
      </c>
    </row>
    <row r="395" spans="1:24" s="337" customFormat="1" ht="12" customHeight="1" outlineLevel="1">
      <c r="A395" s="335"/>
      <c r="B395" s="118" t="s">
        <v>12</v>
      </c>
      <c r="C395" s="334" t="s">
        <v>5642</v>
      </c>
      <c r="D395" s="124" t="s">
        <v>5643</v>
      </c>
      <c r="E395" s="125"/>
      <c r="F395" s="118" t="s">
        <v>5583</v>
      </c>
      <c r="G395" s="126" t="str">
        <f t="shared" si="18"/>
        <v>ST-SS4-1</v>
      </c>
      <c r="H395" s="255">
        <v>1</v>
      </c>
      <c r="I395" s="361">
        <v>1</v>
      </c>
      <c r="J395" s="362" t="s">
        <v>286</v>
      </c>
      <c r="W395" s="129" t="s">
        <v>4876</v>
      </c>
      <c r="X395" s="337" t="b">
        <f t="shared" si="19"/>
        <v>0</v>
      </c>
    </row>
    <row r="396" spans="1:24" s="337" customFormat="1" ht="12" customHeight="1" outlineLevel="1">
      <c r="A396" s="335"/>
      <c r="B396" s="118" t="s">
        <v>12</v>
      </c>
      <c r="C396" s="334" t="s">
        <v>5644</v>
      </c>
      <c r="D396" s="124" t="s">
        <v>5645</v>
      </c>
      <c r="E396" s="125"/>
      <c r="F396" s="118" t="s">
        <v>5583</v>
      </c>
      <c r="G396" s="126" t="str">
        <f t="shared" si="18"/>
        <v>ST-SS4-1</v>
      </c>
      <c r="H396" s="255">
        <v>1</v>
      </c>
      <c r="I396" s="361">
        <v>1</v>
      </c>
      <c r="J396" s="362" t="s">
        <v>286</v>
      </c>
      <c r="W396" s="129" t="s">
        <v>4876</v>
      </c>
      <c r="X396" s="337" t="b">
        <f t="shared" si="19"/>
        <v>0</v>
      </c>
    </row>
    <row r="397" spans="1:24" s="337" customFormat="1" ht="12" customHeight="1" outlineLevel="1">
      <c r="A397" s="335"/>
      <c r="B397" s="118" t="s">
        <v>12</v>
      </c>
      <c r="C397" s="334" t="s">
        <v>5646</v>
      </c>
      <c r="D397" s="124" t="s">
        <v>5647</v>
      </c>
      <c r="E397" s="125"/>
      <c r="F397" s="118" t="s">
        <v>5583</v>
      </c>
      <c r="G397" s="126" t="str">
        <f t="shared" ref="G397:G428" si="20">CONCATENATE(B397,"-",F397,"-",H397)</f>
        <v>ST-SS4-1</v>
      </c>
      <c r="H397" s="255">
        <v>1</v>
      </c>
      <c r="I397" s="361">
        <v>1</v>
      </c>
      <c r="J397" s="362" t="s">
        <v>286</v>
      </c>
      <c r="W397" s="129" t="s">
        <v>4876</v>
      </c>
      <c r="X397" s="337" t="b">
        <f t="shared" si="19"/>
        <v>0</v>
      </c>
    </row>
    <row r="398" spans="1:24" s="337" customFormat="1" ht="12" customHeight="1" outlineLevel="1">
      <c r="A398" s="335"/>
      <c r="B398" s="118" t="s">
        <v>12</v>
      </c>
      <c r="C398" s="334" t="s">
        <v>5648</v>
      </c>
      <c r="D398" s="124" t="s">
        <v>5649</v>
      </c>
      <c r="E398" s="125"/>
      <c r="F398" s="118" t="s">
        <v>5583</v>
      </c>
      <c r="G398" s="126" t="str">
        <f t="shared" si="20"/>
        <v>ST-SS4-1</v>
      </c>
      <c r="H398" s="255">
        <v>1</v>
      </c>
      <c r="I398" s="361">
        <v>1</v>
      </c>
      <c r="J398" s="362" t="s">
        <v>286</v>
      </c>
      <c r="W398" s="129" t="s">
        <v>4876</v>
      </c>
      <c r="X398" s="337" t="b">
        <f t="shared" si="19"/>
        <v>0</v>
      </c>
    </row>
    <row r="399" spans="1:24" s="337" customFormat="1" ht="12" customHeight="1" outlineLevel="1">
      <c r="A399" s="335"/>
      <c r="B399" s="118" t="s">
        <v>12</v>
      </c>
      <c r="C399" s="334" t="s">
        <v>5650</v>
      </c>
      <c r="D399" s="124" t="s">
        <v>5651</v>
      </c>
      <c r="E399" s="125"/>
      <c r="F399" s="118" t="s">
        <v>5583</v>
      </c>
      <c r="G399" s="126" t="str">
        <f t="shared" si="20"/>
        <v>ST-SS4-1</v>
      </c>
      <c r="H399" s="255">
        <v>1</v>
      </c>
      <c r="I399" s="361">
        <v>1</v>
      </c>
      <c r="J399" s="362" t="s">
        <v>286</v>
      </c>
      <c r="W399" s="129" t="s">
        <v>4876</v>
      </c>
      <c r="X399" s="337" t="b">
        <f t="shared" si="19"/>
        <v>0</v>
      </c>
    </row>
    <row r="400" spans="1:24" s="337" customFormat="1" ht="12" customHeight="1" outlineLevel="1">
      <c r="A400" s="335"/>
      <c r="B400" s="118" t="s">
        <v>12</v>
      </c>
      <c r="C400" s="334" t="s">
        <v>5652</v>
      </c>
      <c r="D400" s="124" t="s">
        <v>5653</v>
      </c>
      <c r="E400" s="125"/>
      <c r="F400" s="118" t="s">
        <v>5583</v>
      </c>
      <c r="G400" s="126" t="str">
        <f t="shared" si="20"/>
        <v>ST-SS4-1</v>
      </c>
      <c r="H400" s="255">
        <v>1</v>
      </c>
      <c r="I400" s="361">
        <v>1</v>
      </c>
      <c r="J400" s="362" t="s">
        <v>286</v>
      </c>
      <c r="W400" s="129" t="s">
        <v>4876</v>
      </c>
      <c r="X400" s="337" t="b">
        <f t="shared" si="19"/>
        <v>0</v>
      </c>
    </row>
    <row r="401" spans="1:24" s="337" customFormat="1" ht="12" customHeight="1" outlineLevel="1">
      <c r="A401" s="335"/>
      <c r="B401" s="118" t="s">
        <v>12</v>
      </c>
      <c r="C401" s="334" t="s">
        <v>5654</v>
      </c>
      <c r="D401" s="124" t="s">
        <v>5655</v>
      </c>
      <c r="E401" s="125"/>
      <c r="F401" s="118" t="s">
        <v>5583</v>
      </c>
      <c r="G401" s="126" t="str">
        <f t="shared" si="20"/>
        <v>ST-SS4-2</v>
      </c>
      <c r="H401" s="255">
        <v>2</v>
      </c>
      <c r="I401" s="361">
        <v>1</v>
      </c>
      <c r="J401" s="362" t="s">
        <v>286</v>
      </c>
      <c r="W401" s="129" t="s">
        <v>4876</v>
      </c>
      <c r="X401" s="337" t="b">
        <f t="shared" si="19"/>
        <v>0</v>
      </c>
    </row>
    <row r="402" spans="1:24" s="337" customFormat="1" ht="12" customHeight="1" outlineLevel="1">
      <c r="A402" s="335"/>
      <c r="B402" s="118" t="s">
        <v>12</v>
      </c>
      <c r="C402" s="334" t="s">
        <v>5656</v>
      </c>
      <c r="D402" s="124" t="s">
        <v>5657</v>
      </c>
      <c r="E402" s="125"/>
      <c r="F402" s="118" t="s">
        <v>5583</v>
      </c>
      <c r="G402" s="126" t="str">
        <f t="shared" si="20"/>
        <v>ST-SS4-2</v>
      </c>
      <c r="H402" s="255">
        <v>2</v>
      </c>
      <c r="I402" s="361">
        <v>1</v>
      </c>
      <c r="J402" s="362" t="s">
        <v>286</v>
      </c>
      <c r="W402" s="129" t="s">
        <v>4876</v>
      </c>
      <c r="X402" s="337" t="b">
        <f t="shared" si="19"/>
        <v>0</v>
      </c>
    </row>
    <row r="403" spans="1:24" s="337" customFormat="1" ht="12" customHeight="1" outlineLevel="1">
      <c r="A403" s="335"/>
      <c r="B403" s="118" t="s">
        <v>12</v>
      </c>
      <c r="C403" s="334" t="s">
        <v>5658</v>
      </c>
      <c r="D403" s="124" t="s">
        <v>5659</v>
      </c>
      <c r="E403" s="125"/>
      <c r="F403" s="118" t="s">
        <v>5583</v>
      </c>
      <c r="G403" s="126" t="str">
        <f t="shared" si="20"/>
        <v>ST-SS4-2</v>
      </c>
      <c r="H403" s="255">
        <v>2</v>
      </c>
      <c r="I403" s="361">
        <v>1</v>
      </c>
      <c r="J403" s="362" t="s">
        <v>286</v>
      </c>
      <c r="W403" s="129" t="s">
        <v>4876</v>
      </c>
      <c r="X403" s="337" t="b">
        <f t="shared" si="19"/>
        <v>0</v>
      </c>
    </row>
    <row r="404" spans="1:24" s="337" customFormat="1" ht="12" customHeight="1" outlineLevel="1">
      <c r="A404" s="335"/>
      <c r="B404" s="118" t="s">
        <v>12</v>
      </c>
      <c r="C404" s="334" t="s">
        <v>5660</v>
      </c>
      <c r="D404" s="124" t="s">
        <v>5661</v>
      </c>
      <c r="E404" s="125"/>
      <c r="F404" s="118" t="s">
        <v>5583</v>
      </c>
      <c r="G404" s="126" t="str">
        <f t="shared" si="20"/>
        <v>ST-SS4-2</v>
      </c>
      <c r="H404" s="255">
        <v>2</v>
      </c>
      <c r="I404" s="361">
        <v>1</v>
      </c>
      <c r="J404" s="362" t="s">
        <v>286</v>
      </c>
      <c r="W404" s="129" t="s">
        <v>4876</v>
      </c>
      <c r="X404" s="337" t="b">
        <f t="shared" si="19"/>
        <v>0</v>
      </c>
    </row>
    <row r="405" spans="1:24" s="337" customFormat="1" ht="12" customHeight="1" outlineLevel="1">
      <c r="A405" s="335"/>
      <c r="B405" s="118" t="s">
        <v>12</v>
      </c>
      <c r="C405" s="334" t="s">
        <v>5662</v>
      </c>
      <c r="D405" s="124" t="s">
        <v>5663</v>
      </c>
      <c r="E405" s="125"/>
      <c r="F405" s="118" t="s">
        <v>5583</v>
      </c>
      <c r="G405" s="126" t="str">
        <f t="shared" si="20"/>
        <v>ST-SS4-2</v>
      </c>
      <c r="H405" s="255">
        <v>2</v>
      </c>
      <c r="I405" s="361">
        <v>1</v>
      </c>
      <c r="J405" s="362" t="s">
        <v>286</v>
      </c>
      <c r="W405" s="129" t="s">
        <v>4876</v>
      </c>
      <c r="X405" s="337" t="b">
        <f t="shared" si="19"/>
        <v>0</v>
      </c>
    </row>
    <row r="406" spans="1:24" s="337" customFormat="1" ht="12" customHeight="1" outlineLevel="1">
      <c r="A406" s="335"/>
      <c r="B406" s="118" t="s">
        <v>12</v>
      </c>
      <c r="C406" s="334" t="s">
        <v>5664</v>
      </c>
      <c r="D406" s="124" t="s">
        <v>5665</v>
      </c>
      <c r="E406" s="125"/>
      <c r="F406" s="118" t="s">
        <v>5583</v>
      </c>
      <c r="G406" s="126" t="str">
        <f t="shared" si="20"/>
        <v>ST-SS4-2</v>
      </c>
      <c r="H406" s="255">
        <v>2</v>
      </c>
      <c r="I406" s="361">
        <v>1</v>
      </c>
      <c r="J406" s="362" t="s">
        <v>286</v>
      </c>
      <c r="W406" s="129" t="s">
        <v>4876</v>
      </c>
      <c r="X406" s="337" t="b">
        <f t="shared" si="19"/>
        <v>0</v>
      </c>
    </row>
    <row r="407" spans="1:24" s="337" customFormat="1" ht="12" customHeight="1" outlineLevel="1">
      <c r="A407" s="335"/>
      <c r="B407" s="118" t="s">
        <v>12</v>
      </c>
      <c r="C407" s="334" t="s">
        <v>5666</v>
      </c>
      <c r="D407" s="124" t="s">
        <v>5667</v>
      </c>
      <c r="E407" s="125"/>
      <c r="F407" s="118" t="s">
        <v>5583</v>
      </c>
      <c r="G407" s="126" t="str">
        <f t="shared" si="20"/>
        <v>ST-SS4-2</v>
      </c>
      <c r="H407" s="255">
        <v>2</v>
      </c>
      <c r="I407" s="361">
        <v>1</v>
      </c>
      <c r="J407" s="362" t="s">
        <v>286</v>
      </c>
      <c r="W407" s="129" t="s">
        <v>4876</v>
      </c>
      <c r="X407" s="337" t="b">
        <f t="shared" si="19"/>
        <v>0</v>
      </c>
    </row>
    <row r="408" spans="1:24" s="337" customFormat="1" ht="12" customHeight="1" outlineLevel="1">
      <c r="A408" s="335"/>
      <c r="B408" s="118" t="s">
        <v>12</v>
      </c>
      <c r="C408" s="334" t="s">
        <v>5668</v>
      </c>
      <c r="D408" s="124" t="s">
        <v>5669</v>
      </c>
      <c r="E408" s="125"/>
      <c r="F408" s="118" t="s">
        <v>5583</v>
      </c>
      <c r="G408" s="126" t="str">
        <f t="shared" si="20"/>
        <v>ST-SS4-2</v>
      </c>
      <c r="H408" s="255">
        <v>2</v>
      </c>
      <c r="I408" s="361">
        <v>1</v>
      </c>
      <c r="J408" s="362" t="s">
        <v>286</v>
      </c>
      <c r="W408" s="129" t="s">
        <v>4876</v>
      </c>
      <c r="X408" s="337" t="b">
        <f t="shared" si="19"/>
        <v>0</v>
      </c>
    </row>
    <row r="409" spans="1:24" s="337" customFormat="1" ht="12" customHeight="1" outlineLevel="1">
      <c r="A409" s="335"/>
      <c r="B409" s="118" t="s">
        <v>12</v>
      </c>
      <c r="C409" s="334" t="s">
        <v>5670</v>
      </c>
      <c r="D409" s="124" t="s">
        <v>5671</v>
      </c>
      <c r="E409" s="125"/>
      <c r="F409" s="118" t="s">
        <v>5583</v>
      </c>
      <c r="G409" s="126" t="str">
        <f t="shared" si="20"/>
        <v>ST-SS4-2</v>
      </c>
      <c r="H409" s="255">
        <v>2</v>
      </c>
      <c r="I409" s="361">
        <v>1</v>
      </c>
      <c r="J409" s="362" t="s">
        <v>286</v>
      </c>
      <c r="W409" s="129" t="s">
        <v>4876</v>
      </c>
      <c r="X409" s="337" t="b">
        <f t="shared" si="19"/>
        <v>0</v>
      </c>
    </row>
    <row r="410" spans="1:24" s="337" customFormat="1" ht="12" customHeight="1" outlineLevel="1">
      <c r="A410" s="335"/>
      <c r="B410" s="118" t="s">
        <v>12</v>
      </c>
      <c r="C410" s="334" t="s">
        <v>5672</v>
      </c>
      <c r="D410" s="124" t="s">
        <v>5673</v>
      </c>
      <c r="E410" s="125"/>
      <c r="F410" s="118" t="s">
        <v>5583</v>
      </c>
      <c r="G410" s="126" t="str">
        <f t="shared" si="20"/>
        <v>ST-SS4-2</v>
      </c>
      <c r="H410" s="255">
        <v>2</v>
      </c>
      <c r="I410" s="361">
        <v>1</v>
      </c>
      <c r="J410" s="362" t="s">
        <v>286</v>
      </c>
      <c r="W410" s="129" t="s">
        <v>4876</v>
      </c>
      <c r="X410" s="337" t="b">
        <f t="shared" si="19"/>
        <v>0</v>
      </c>
    </row>
    <row r="411" spans="1:24" s="337" customFormat="1" ht="12" customHeight="1" outlineLevel="1">
      <c r="A411" s="335"/>
      <c r="B411" s="118" t="s">
        <v>12</v>
      </c>
      <c r="C411" s="334" t="s">
        <v>5674</v>
      </c>
      <c r="D411" s="124" t="s">
        <v>5675</v>
      </c>
      <c r="E411" s="125"/>
      <c r="F411" s="118" t="s">
        <v>5583</v>
      </c>
      <c r="G411" s="126" t="str">
        <f t="shared" si="20"/>
        <v>ST-SS4-2</v>
      </c>
      <c r="H411" s="255">
        <v>2</v>
      </c>
      <c r="I411" s="361">
        <v>1</v>
      </c>
      <c r="J411" s="362" t="s">
        <v>286</v>
      </c>
      <c r="W411" s="129" t="s">
        <v>4876</v>
      </c>
      <c r="X411" s="337" t="b">
        <f t="shared" si="19"/>
        <v>0</v>
      </c>
    </row>
    <row r="412" spans="1:24" s="337" customFormat="1" ht="12" customHeight="1" outlineLevel="1">
      <c r="A412" s="335"/>
      <c r="B412" s="118" t="s">
        <v>12</v>
      </c>
      <c r="C412" s="334" t="s">
        <v>5676</v>
      </c>
      <c r="D412" s="124" t="s">
        <v>5677</v>
      </c>
      <c r="E412" s="125"/>
      <c r="F412" s="118" t="s">
        <v>5583</v>
      </c>
      <c r="G412" s="126" t="str">
        <f t="shared" si="20"/>
        <v>ST-SS4-2</v>
      </c>
      <c r="H412" s="255">
        <v>2</v>
      </c>
      <c r="I412" s="361">
        <v>1</v>
      </c>
      <c r="J412" s="362" t="s">
        <v>286</v>
      </c>
      <c r="W412" s="129" t="s">
        <v>4876</v>
      </c>
      <c r="X412" s="337" t="b">
        <f t="shared" si="19"/>
        <v>0</v>
      </c>
    </row>
    <row r="413" spans="1:24" s="337" customFormat="1" ht="12" customHeight="1" outlineLevel="1">
      <c r="A413" s="335"/>
      <c r="B413" s="118" t="s">
        <v>12</v>
      </c>
      <c r="C413" s="334" t="s">
        <v>5678</v>
      </c>
      <c r="D413" s="124" t="s">
        <v>5679</v>
      </c>
      <c r="E413" s="125"/>
      <c r="F413" s="118" t="s">
        <v>5583</v>
      </c>
      <c r="G413" s="126" t="str">
        <f t="shared" si="20"/>
        <v>ST-SS4-2</v>
      </c>
      <c r="H413" s="255">
        <v>2</v>
      </c>
      <c r="I413" s="361">
        <v>1</v>
      </c>
      <c r="J413" s="362" t="s">
        <v>286</v>
      </c>
      <c r="W413" s="129" t="s">
        <v>4876</v>
      </c>
      <c r="X413" s="337" t="b">
        <f t="shared" si="19"/>
        <v>0</v>
      </c>
    </row>
    <row r="414" spans="1:24" s="337" customFormat="1" ht="12" customHeight="1" outlineLevel="1">
      <c r="A414" s="335"/>
      <c r="B414" s="118" t="s">
        <v>12</v>
      </c>
      <c r="C414" s="334" t="s">
        <v>5680</v>
      </c>
      <c r="D414" s="124" t="s">
        <v>5681</v>
      </c>
      <c r="E414" s="125"/>
      <c r="F414" s="118" t="s">
        <v>5583</v>
      </c>
      <c r="G414" s="126" t="str">
        <f t="shared" si="20"/>
        <v>ST-SS4-2</v>
      </c>
      <c r="H414" s="255">
        <v>2</v>
      </c>
      <c r="I414" s="361">
        <v>1</v>
      </c>
      <c r="J414" s="362" t="s">
        <v>286</v>
      </c>
      <c r="W414" s="129" t="s">
        <v>4876</v>
      </c>
      <c r="X414" s="337" t="b">
        <f t="shared" si="19"/>
        <v>0</v>
      </c>
    </row>
    <row r="415" spans="1:24" s="337" customFormat="1" ht="12" customHeight="1" outlineLevel="1">
      <c r="A415" s="335"/>
      <c r="B415" s="118" t="s">
        <v>12</v>
      </c>
      <c r="C415" s="334" t="s">
        <v>5682</v>
      </c>
      <c r="D415" s="124" t="s">
        <v>5683</v>
      </c>
      <c r="E415" s="125"/>
      <c r="F415" s="118" t="s">
        <v>5583</v>
      </c>
      <c r="G415" s="126" t="str">
        <f t="shared" si="20"/>
        <v>ST-SS4-2</v>
      </c>
      <c r="H415" s="255">
        <v>2</v>
      </c>
      <c r="I415" s="361">
        <v>1</v>
      </c>
      <c r="J415" s="362" t="s">
        <v>286</v>
      </c>
      <c r="W415" s="129" t="s">
        <v>4876</v>
      </c>
      <c r="X415" s="337" t="b">
        <f t="shared" si="19"/>
        <v>0</v>
      </c>
    </row>
    <row r="416" spans="1:24" s="337" customFormat="1" ht="12" customHeight="1" outlineLevel="1">
      <c r="A416" s="335"/>
      <c r="B416" s="118" t="s">
        <v>12</v>
      </c>
      <c r="C416" s="334" t="s">
        <v>5684</v>
      </c>
      <c r="D416" s="124" t="s">
        <v>5685</v>
      </c>
      <c r="E416" s="125"/>
      <c r="F416" s="118" t="s">
        <v>5583</v>
      </c>
      <c r="G416" s="126" t="str">
        <f t="shared" si="20"/>
        <v>ST-SS4-2</v>
      </c>
      <c r="H416" s="255">
        <v>2</v>
      </c>
      <c r="I416" s="361">
        <v>1</v>
      </c>
      <c r="J416" s="362" t="s">
        <v>286</v>
      </c>
      <c r="W416" s="129" t="s">
        <v>4876</v>
      </c>
      <c r="X416" s="337" t="b">
        <f t="shared" si="19"/>
        <v>0</v>
      </c>
    </row>
    <row r="417" spans="1:24" s="337" customFormat="1" ht="12" customHeight="1" outlineLevel="1">
      <c r="A417" s="335"/>
      <c r="B417" s="118" t="s">
        <v>12</v>
      </c>
      <c r="C417" s="334" t="s">
        <v>5686</v>
      </c>
      <c r="D417" s="124" t="s">
        <v>5687</v>
      </c>
      <c r="E417" s="125"/>
      <c r="F417" s="118" t="s">
        <v>5583</v>
      </c>
      <c r="G417" s="126" t="str">
        <f t="shared" si="20"/>
        <v>ST-SS4-2</v>
      </c>
      <c r="H417" s="255">
        <v>2</v>
      </c>
      <c r="I417" s="361">
        <v>1</v>
      </c>
      <c r="J417" s="362" t="s">
        <v>286</v>
      </c>
      <c r="W417" s="129" t="s">
        <v>4876</v>
      </c>
      <c r="X417" s="337" t="b">
        <f t="shared" si="19"/>
        <v>0</v>
      </c>
    </row>
    <row r="418" spans="1:24" s="337" customFormat="1" ht="12" customHeight="1" outlineLevel="1">
      <c r="A418" s="335"/>
      <c r="B418" s="118" t="s">
        <v>12</v>
      </c>
      <c r="C418" s="334" t="s">
        <v>5688</v>
      </c>
      <c r="D418" s="124" t="s">
        <v>5689</v>
      </c>
      <c r="E418" s="125"/>
      <c r="F418" s="118" t="s">
        <v>5583</v>
      </c>
      <c r="G418" s="126" t="str">
        <f t="shared" si="20"/>
        <v>ST-SS4-2</v>
      </c>
      <c r="H418" s="255">
        <v>2</v>
      </c>
      <c r="I418" s="361">
        <v>1</v>
      </c>
      <c r="J418" s="362" t="s">
        <v>286</v>
      </c>
      <c r="W418" s="129" t="s">
        <v>4876</v>
      </c>
      <c r="X418" s="337" t="b">
        <f t="shared" si="19"/>
        <v>0</v>
      </c>
    </row>
    <row r="419" spans="1:24" s="337" customFormat="1" ht="12" customHeight="1" outlineLevel="1">
      <c r="A419" s="335"/>
      <c r="B419" s="118" t="s">
        <v>12</v>
      </c>
      <c r="C419" s="334" t="s">
        <v>5690</v>
      </c>
      <c r="D419" s="124" t="s">
        <v>5691</v>
      </c>
      <c r="E419" s="125"/>
      <c r="F419" s="118" t="s">
        <v>5583</v>
      </c>
      <c r="G419" s="126" t="str">
        <f t="shared" si="20"/>
        <v>ST-SS4-2</v>
      </c>
      <c r="H419" s="255">
        <v>2</v>
      </c>
      <c r="I419" s="361">
        <v>1</v>
      </c>
      <c r="J419" s="362" t="s">
        <v>286</v>
      </c>
      <c r="W419" s="129" t="s">
        <v>4876</v>
      </c>
      <c r="X419" s="337" t="b">
        <f t="shared" si="19"/>
        <v>0</v>
      </c>
    </row>
    <row r="420" spans="1:24" s="337" customFormat="1" ht="12" customHeight="1" outlineLevel="1">
      <c r="A420" s="335"/>
      <c r="B420" s="118" t="s">
        <v>12</v>
      </c>
      <c r="C420" s="334" t="s">
        <v>5692</v>
      </c>
      <c r="D420" s="124" t="s">
        <v>5693</v>
      </c>
      <c r="E420" s="125"/>
      <c r="F420" s="118" t="s">
        <v>5583</v>
      </c>
      <c r="G420" s="126" t="str">
        <f t="shared" si="20"/>
        <v>ST-SS4-2</v>
      </c>
      <c r="H420" s="255">
        <v>2</v>
      </c>
      <c r="I420" s="361">
        <v>1</v>
      </c>
      <c r="J420" s="362" t="s">
        <v>286</v>
      </c>
      <c r="W420" s="129" t="s">
        <v>4876</v>
      </c>
      <c r="X420" s="337" t="b">
        <f t="shared" si="19"/>
        <v>0</v>
      </c>
    </row>
    <row r="421" spans="1:24" s="337" customFormat="1" ht="12" customHeight="1" outlineLevel="1">
      <c r="A421" s="335"/>
      <c r="B421" s="118" t="s">
        <v>12</v>
      </c>
      <c r="C421" s="334" t="s">
        <v>5694</v>
      </c>
      <c r="D421" s="124" t="s">
        <v>5695</v>
      </c>
      <c r="E421" s="125"/>
      <c r="F421" s="118" t="s">
        <v>5583</v>
      </c>
      <c r="G421" s="126" t="str">
        <f t="shared" si="20"/>
        <v>ST-SS4-2</v>
      </c>
      <c r="H421" s="255">
        <v>2</v>
      </c>
      <c r="I421" s="361">
        <v>1</v>
      </c>
      <c r="J421" s="362" t="s">
        <v>286</v>
      </c>
      <c r="W421" s="129" t="s">
        <v>4876</v>
      </c>
      <c r="X421" s="337" t="b">
        <f t="shared" si="19"/>
        <v>0</v>
      </c>
    </row>
    <row r="422" spans="1:24" s="337" customFormat="1" ht="12" customHeight="1" outlineLevel="1">
      <c r="A422" s="335"/>
      <c r="B422" s="118" t="s">
        <v>12</v>
      </c>
      <c r="C422" s="334" t="s">
        <v>5696</v>
      </c>
      <c r="D422" s="124" t="s">
        <v>5697</v>
      </c>
      <c r="E422" s="125"/>
      <c r="F422" s="118" t="s">
        <v>5583</v>
      </c>
      <c r="G422" s="126" t="str">
        <f t="shared" si="20"/>
        <v>ST-SS4-2</v>
      </c>
      <c r="H422" s="255">
        <v>2</v>
      </c>
      <c r="I422" s="361">
        <v>1</v>
      </c>
      <c r="J422" s="362" t="s">
        <v>286</v>
      </c>
      <c r="W422" s="129" t="s">
        <v>4876</v>
      </c>
      <c r="X422" s="337" t="b">
        <f t="shared" si="19"/>
        <v>0</v>
      </c>
    </row>
    <row r="423" spans="1:24" s="337" customFormat="1" ht="12" customHeight="1" outlineLevel="1">
      <c r="A423" s="335"/>
      <c r="B423" s="118" t="s">
        <v>12</v>
      </c>
      <c r="C423" s="334" t="s">
        <v>5698</v>
      </c>
      <c r="D423" s="124" t="s">
        <v>5699</v>
      </c>
      <c r="E423" s="125"/>
      <c r="F423" s="118" t="s">
        <v>5583</v>
      </c>
      <c r="G423" s="126" t="str">
        <f t="shared" si="20"/>
        <v>ST-SS4-2</v>
      </c>
      <c r="H423" s="255">
        <v>2</v>
      </c>
      <c r="I423" s="361">
        <v>1</v>
      </c>
      <c r="J423" s="362" t="s">
        <v>286</v>
      </c>
      <c r="W423" s="129" t="s">
        <v>4876</v>
      </c>
      <c r="X423" s="337" t="b">
        <f t="shared" si="19"/>
        <v>0</v>
      </c>
    </row>
    <row r="424" spans="1:24" s="337" customFormat="1" ht="12" customHeight="1" outlineLevel="1">
      <c r="A424" s="335"/>
      <c r="B424" s="118" t="s">
        <v>12</v>
      </c>
      <c r="C424" s="334" t="s">
        <v>5700</v>
      </c>
      <c r="D424" s="124" t="s">
        <v>5701</v>
      </c>
      <c r="E424" s="125"/>
      <c r="F424" s="118" t="s">
        <v>5583</v>
      </c>
      <c r="G424" s="126" t="str">
        <f t="shared" si="20"/>
        <v>ST-SS4-2</v>
      </c>
      <c r="H424" s="255">
        <v>2</v>
      </c>
      <c r="I424" s="361">
        <v>1</v>
      </c>
      <c r="J424" s="362" t="s">
        <v>286</v>
      </c>
      <c r="W424" s="129" t="s">
        <v>4876</v>
      </c>
      <c r="X424" s="337" t="b">
        <f t="shared" si="19"/>
        <v>0</v>
      </c>
    </row>
    <row r="425" spans="1:24" s="337" customFormat="1" ht="12" customHeight="1" outlineLevel="1">
      <c r="A425" s="335"/>
      <c r="B425" s="118" t="s">
        <v>12</v>
      </c>
      <c r="C425" s="334" t="s">
        <v>5702</v>
      </c>
      <c r="D425" s="124" t="s">
        <v>5703</v>
      </c>
      <c r="E425" s="125"/>
      <c r="F425" s="118" t="s">
        <v>5583</v>
      </c>
      <c r="G425" s="126" t="str">
        <f t="shared" si="20"/>
        <v>ST-SS4-2</v>
      </c>
      <c r="H425" s="255">
        <v>2</v>
      </c>
      <c r="I425" s="361">
        <v>1</v>
      </c>
      <c r="J425" s="362" t="s">
        <v>286</v>
      </c>
      <c r="W425" s="129" t="s">
        <v>4876</v>
      </c>
      <c r="X425" s="337" t="b">
        <f t="shared" si="19"/>
        <v>0</v>
      </c>
    </row>
    <row r="426" spans="1:24" s="337" customFormat="1" ht="12" customHeight="1" outlineLevel="1">
      <c r="A426" s="335"/>
      <c r="B426" s="118" t="s">
        <v>12</v>
      </c>
      <c r="C426" s="334" t="s">
        <v>5704</v>
      </c>
      <c r="D426" s="124" t="s">
        <v>5705</v>
      </c>
      <c r="E426" s="125"/>
      <c r="F426" s="118" t="s">
        <v>5583</v>
      </c>
      <c r="G426" s="126" t="str">
        <f t="shared" si="20"/>
        <v>ST-SS4-2</v>
      </c>
      <c r="H426" s="255">
        <v>2</v>
      </c>
      <c r="I426" s="361">
        <v>1</v>
      </c>
      <c r="J426" s="362" t="s">
        <v>286</v>
      </c>
      <c r="W426" s="129" t="s">
        <v>4876</v>
      </c>
      <c r="X426" s="337" t="b">
        <f t="shared" si="19"/>
        <v>0</v>
      </c>
    </row>
    <row r="427" spans="1:24" s="337" customFormat="1" ht="12" customHeight="1" outlineLevel="1">
      <c r="A427" s="335"/>
      <c r="B427" s="118" t="s">
        <v>12</v>
      </c>
      <c r="C427" s="334" t="s">
        <v>5706</v>
      </c>
      <c r="D427" s="124" t="s">
        <v>5707</v>
      </c>
      <c r="E427" s="125"/>
      <c r="F427" s="118" t="s">
        <v>5583</v>
      </c>
      <c r="G427" s="126" t="str">
        <f t="shared" si="20"/>
        <v>ST-SS4-2</v>
      </c>
      <c r="H427" s="255">
        <v>2</v>
      </c>
      <c r="I427" s="361">
        <v>1</v>
      </c>
      <c r="J427" s="362" t="s">
        <v>286</v>
      </c>
      <c r="W427" s="129" t="s">
        <v>4876</v>
      </c>
      <c r="X427" s="337" t="b">
        <f t="shared" si="19"/>
        <v>0</v>
      </c>
    </row>
    <row r="428" spans="1:24" s="337" customFormat="1" ht="12" customHeight="1" outlineLevel="1">
      <c r="A428" s="335"/>
      <c r="B428" s="118" t="s">
        <v>12</v>
      </c>
      <c r="C428" s="334" t="s">
        <v>5708</v>
      </c>
      <c r="D428" s="124" t="s">
        <v>5709</v>
      </c>
      <c r="E428" s="125"/>
      <c r="F428" s="118" t="s">
        <v>5583</v>
      </c>
      <c r="G428" s="126" t="str">
        <f t="shared" si="20"/>
        <v>ST-SS4-2</v>
      </c>
      <c r="H428" s="255">
        <v>2</v>
      </c>
      <c r="I428" s="361">
        <v>1</v>
      </c>
      <c r="J428" s="362" t="s">
        <v>286</v>
      </c>
      <c r="W428" s="129" t="s">
        <v>4876</v>
      </c>
      <c r="X428" s="337" t="b">
        <f t="shared" si="19"/>
        <v>0</v>
      </c>
    </row>
    <row r="429" spans="1:24" s="337" customFormat="1" ht="12" customHeight="1" outlineLevel="1">
      <c r="A429" s="335"/>
      <c r="B429" s="118" t="s">
        <v>12</v>
      </c>
      <c r="C429" s="334" t="s">
        <v>5710</v>
      </c>
      <c r="D429" s="124" t="s">
        <v>5711</v>
      </c>
      <c r="E429" s="125"/>
      <c r="F429" s="118" t="s">
        <v>5583</v>
      </c>
      <c r="G429" s="126" t="str">
        <f t="shared" ref="G429:G460" si="21">CONCATENATE(B429,"-",F429,"-",H429)</f>
        <v>ST-SS4-2</v>
      </c>
      <c r="H429" s="255">
        <v>2</v>
      </c>
      <c r="I429" s="361">
        <v>1</v>
      </c>
      <c r="J429" s="362" t="s">
        <v>286</v>
      </c>
      <c r="W429" s="129" t="s">
        <v>4876</v>
      </c>
      <c r="X429" s="337" t="b">
        <f t="shared" ref="X429:X492" si="22">W429=J429</f>
        <v>0</v>
      </c>
    </row>
    <row r="430" spans="1:24" s="337" customFormat="1" ht="12" customHeight="1" outlineLevel="1">
      <c r="A430" s="335"/>
      <c r="B430" s="118" t="s">
        <v>12</v>
      </c>
      <c r="C430" s="334" t="s">
        <v>5712</v>
      </c>
      <c r="D430" s="124" t="s">
        <v>5713</v>
      </c>
      <c r="E430" s="125"/>
      <c r="F430" s="118" t="s">
        <v>5583</v>
      </c>
      <c r="G430" s="126" t="str">
        <f t="shared" si="21"/>
        <v>ST-SS4-2</v>
      </c>
      <c r="H430" s="255">
        <v>2</v>
      </c>
      <c r="I430" s="361">
        <v>1</v>
      </c>
      <c r="J430" s="362" t="s">
        <v>286</v>
      </c>
      <c r="W430" s="129" t="s">
        <v>4876</v>
      </c>
      <c r="X430" s="337" t="b">
        <f t="shared" si="22"/>
        <v>0</v>
      </c>
    </row>
    <row r="431" spans="1:24" s="337" customFormat="1" ht="12" customHeight="1" outlineLevel="1">
      <c r="A431" s="335"/>
      <c r="B431" s="118" t="s">
        <v>12</v>
      </c>
      <c r="C431" s="334" t="s">
        <v>5714</v>
      </c>
      <c r="D431" s="124" t="s">
        <v>5715</v>
      </c>
      <c r="E431" s="125"/>
      <c r="F431" s="118" t="s">
        <v>5583</v>
      </c>
      <c r="G431" s="126" t="str">
        <f t="shared" si="21"/>
        <v>ST-SS4-2</v>
      </c>
      <c r="H431" s="255">
        <v>2</v>
      </c>
      <c r="I431" s="361">
        <v>1</v>
      </c>
      <c r="J431" s="362" t="s">
        <v>286</v>
      </c>
      <c r="W431" s="129" t="s">
        <v>4876</v>
      </c>
      <c r="X431" s="337" t="b">
        <f t="shared" si="22"/>
        <v>0</v>
      </c>
    </row>
    <row r="432" spans="1:24" s="337" customFormat="1" ht="12" customHeight="1" outlineLevel="1">
      <c r="A432" s="335"/>
      <c r="B432" s="118" t="s">
        <v>12</v>
      </c>
      <c r="C432" s="334" t="s">
        <v>5716</v>
      </c>
      <c r="D432" s="124" t="s">
        <v>5717</v>
      </c>
      <c r="E432" s="125"/>
      <c r="F432" s="118" t="s">
        <v>5583</v>
      </c>
      <c r="G432" s="126" t="str">
        <f t="shared" si="21"/>
        <v>ST-SS4-2</v>
      </c>
      <c r="H432" s="255">
        <v>2</v>
      </c>
      <c r="I432" s="361">
        <v>1</v>
      </c>
      <c r="J432" s="362" t="s">
        <v>286</v>
      </c>
      <c r="W432" s="129" t="s">
        <v>4876</v>
      </c>
      <c r="X432" s="337" t="b">
        <f t="shared" si="22"/>
        <v>0</v>
      </c>
    </row>
    <row r="433" spans="1:24" s="337" customFormat="1" ht="12" customHeight="1" outlineLevel="1">
      <c r="A433" s="335"/>
      <c r="B433" s="118" t="s">
        <v>12</v>
      </c>
      <c r="C433" s="334" t="s">
        <v>5718</v>
      </c>
      <c r="D433" s="124" t="s">
        <v>5719</v>
      </c>
      <c r="E433" s="125"/>
      <c r="F433" s="118" t="s">
        <v>5583</v>
      </c>
      <c r="G433" s="126" t="str">
        <f t="shared" si="21"/>
        <v>ST-SS4-2</v>
      </c>
      <c r="H433" s="255">
        <v>2</v>
      </c>
      <c r="I433" s="361">
        <v>1</v>
      </c>
      <c r="J433" s="362" t="s">
        <v>286</v>
      </c>
      <c r="W433" s="129" t="s">
        <v>4876</v>
      </c>
      <c r="X433" s="337" t="b">
        <f t="shared" si="22"/>
        <v>0</v>
      </c>
    </row>
    <row r="434" spans="1:24" s="337" customFormat="1" ht="12" customHeight="1" outlineLevel="1">
      <c r="A434" s="335"/>
      <c r="B434" s="118" t="s">
        <v>12</v>
      </c>
      <c r="C434" s="334" t="s">
        <v>5720</v>
      </c>
      <c r="D434" s="124" t="s">
        <v>5721</v>
      </c>
      <c r="E434" s="125"/>
      <c r="F434" s="118" t="s">
        <v>5583</v>
      </c>
      <c r="G434" s="126" t="str">
        <f t="shared" si="21"/>
        <v>ST-SS4-2</v>
      </c>
      <c r="H434" s="255">
        <v>2</v>
      </c>
      <c r="I434" s="361">
        <v>1</v>
      </c>
      <c r="J434" s="362" t="s">
        <v>286</v>
      </c>
      <c r="W434" s="129" t="s">
        <v>4876</v>
      </c>
      <c r="X434" s="337" t="b">
        <f t="shared" si="22"/>
        <v>0</v>
      </c>
    </row>
    <row r="435" spans="1:24" s="337" customFormat="1" ht="12" customHeight="1" outlineLevel="1">
      <c r="A435" s="335"/>
      <c r="B435" s="118" t="s">
        <v>12</v>
      </c>
      <c r="C435" s="334" t="s">
        <v>5722</v>
      </c>
      <c r="D435" s="124" t="s">
        <v>5723</v>
      </c>
      <c r="E435" s="125"/>
      <c r="F435" s="118" t="s">
        <v>5583</v>
      </c>
      <c r="G435" s="126" t="str">
        <f t="shared" si="21"/>
        <v>ST-SS4-2</v>
      </c>
      <c r="H435" s="255">
        <v>2</v>
      </c>
      <c r="I435" s="361">
        <v>1</v>
      </c>
      <c r="J435" s="362" t="s">
        <v>286</v>
      </c>
      <c r="W435" s="129" t="s">
        <v>4876</v>
      </c>
      <c r="X435" s="337" t="b">
        <f t="shared" si="22"/>
        <v>0</v>
      </c>
    </row>
    <row r="436" spans="1:24" s="337" customFormat="1" ht="12" customHeight="1" outlineLevel="1">
      <c r="A436" s="335"/>
      <c r="B436" s="118" t="s">
        <v>12</v>
      </c>
      <c r="C436" s="334" t="s">
        <v>5724</v>
      </c>
      <c r="D436" s="124" t="s">
        <v>5725</v>
      </c>
      <c r="E436" s="125"/>
      <c r="F436" s="118" t="s">
        <v>5583</v>
      </c>
      <c r="G436" s="126" t="str">
        <f t="shared" si="21"/>
        <v>ST-SS4-2</v>
      </c>
      <c r="H436" s="255">
        <v>2</v>
      </c>
      <c r="I436" s="361">
        <v>1</v>
      </c>
      <c r="J436" s="362" t="s">
        <v>286</v>
      </c>
      <c r="W436" s="129" t="s">
        <v>4876</v>
      </c>
      <c r="X436" s="337" t="b">
        <f t="shared" si="22"/>
        <v>0</v>
      </c>
    </row>
    <row r="437" spans="1:24" s="337" customFormat="1" ht="12" customHeight="1" outlineLevel="1">
      <c r="A437" s="335"/>
      <c r="B437" s="118" t="s">
        <v>12</v>
      </c>
      <c r="C437" s="334" t="s">
        <v>5726</v>
      </c>
      <c r="D437" s="124" t="s">
        <v>5727</v>
      </c>
      <c r="E437" s="125"/>
      <c r="F437" s="118" t="s">
        <v>5583</v>
      </c>
      <c r="G437" s="126" t="str">
        <f t="shared" si="21"/>
        <v>ST-SS4-2</v>
      </c>
      <c r="H437" s="255">
        <v>2</v>
      </c>
      <c r="I437" s="361">
        <v>1</v>
      </c>
      <c r="J437" s="362" t="s">
        <v>286</v>
      </c>
      <c r="W437" s="129" t="s">
        <v>4876</v>
      </c>
      <c r="X437" s="337" t="b">
        <f t="shared" si="22"/>
        <v>0</v>
      </c>
    </row>
    <row r="438" spans="1:24" s="337" customFormat="1" ht="12" customHeight="1" outlineLevel="1">
      <c r="A438" s="335"/>
      <c r="B438" s="118" t="s">
        <v>12</v>
      </c>
      <c r="C438" s="334" t="s">
        <v>5728</v>
      </c>
      <c r="D438" s="124" t="s">
        <v>5729</v>
      </c>
      <c r="E438" s="125"/>
      <c r="F438" s="118" t="s">
        <v>5583</v>
      </c>
      <c r="G438" s="126" t="str">
        <f t="shared" si="21"/>
        <v>ST-SS4-2</v>
      </c>
      <c r="H438" s="255">
        <v>2</v>
      </c>
      <c r="I438" s="361">
        <v>1</v>
      </c>
      <c r="J438" s="362" t="s">
        <v>286</v>
      </c>
      <c r="W438" s="129" t="s">
        <v>4876</v>
      </c>
      <c r="X438" s="337" t="b">
        <f t="shared" si="22"/>
        <v>0</v>
      </c>
    </row>
    <row r="439" spans="1:24" s="337" customFormat="1" ht="12" customHeight="1" outlineLevel="1">
      <c r="A439" s="335"/>
      <c r="B439" s="118" t="s">
        <v>12</v>
      </c>
      <c r="C439" s="334" t="s">
        <v>5730</v>
      </c>
      <c r="D439" s="124" t="s">
        <v>5731</v>
      </c>
      <c r="E439" s="125"/>
      <c r="F439" s="118" t="s">
        <v>5583</v>
      </c>
      <c r="G439" s="126" t="str">
        <f t="shared" si="21"/>
        <v>ST-SS4-2</v>
      </c>
      <c r="H439" s="255">
        <v>2</v>
      </c>
      <c r="I439" s="361">
        <v>1</v>
      </c>
      <c r="J439" s="362" t="s">
        <v>286</v>
      </c>
      <c r="W439" s="129" t="s">
        <v>4876</v>
      </c>
      <c r="X439" s="337" t="b">
        <f t="shared" si="22"/>
        <v>0</v>
      </c>
    </row>
    <row r="440" spans="1:24" s="337" customFormat="1" ht="12" customHeight="1" outlineLevel="1">
      <c r="A440" s="335"/>
      <c r="B440" s="118" t="s">
        <v>12</v>
      </c>
      <c r="C440" s="334" t="s">
        <v>5732</v>
      </c>
      <c r="D440" s="124" t="s">
        <v>5733</v>
      </c>
      <c r="E440" s="125"/>
      <c r="F440" s="118" t="s">
        <v>5583</v>
      </c>
      <c r="G440" s="126" t="str">
        <f t="shared" si="21"/>
        <v>ST-SS4-2</v>
      </c>
      <c r="H440" s="255">
        <v>2</v>
      </c>
      <c r="I440" s="361">
        <v>1</v>
      </c>
      <c r="J440" s="362" t="s">
        <v>286</v>
      </c>
      <c r="W440" s="129" t="s">
        <v>4876</v>
      </c>
      <c r="X440" s="337" t="b">
        <f t="shared" si="22"/>
        <v>0</v>
      </c>
    </row>
    <row r="441" spans="1:24" s="337" customFormat="1" ht="12" customHeight="1" outlineLevel="1">
      <c r="A441" s="335"/>
      <c r="B441" s="118" t="s">
        <v>12</v>
      </c>
      <c r="C441" s="334" t="s">
        <v>5734</v>
      </c>
      <c r="D441" s="124" t="s">
        <v>5735</v>
      </c>
      <c r="E441" s="125"/>
      <c r="F441" s="118" t="s">
        <v>5583</v>
      </c>
      <c r="G441" s="126" t="str">
        <f t="shared" si="21"/>
        <v>ST-SS4-2</v>
      </c>
      <c r="H441" s="255">
        <v>2</v>
      </c>
      <c r="I441" s="361">
        <v>1</v>
      </c>
      <c r="J441" s="362" t="s">
        <v>286</v>
      </c>
      <c r="W441" s="129" t="s">
        <v>4876</v>
      </c>
      <c r="X441" s="337" t="b">
        <f t="shared" si="22"/>
        <v>0</v>
      </c>
    </row>
    <row r="442" spans="1:24" s="337" customFormat="1" ht="12" customHeight="1" outlineLevel="1">
      <c r="A442" s="335"/>
      <c r="B442" s="118" t="s">
        <v>12</v>
      </c>
      <c r="C442" s="334" t="s">
        <v>5736</v>
      </c>
      <c r="D442" s="124" t="s">
        <v>5737</v>
      </c>
      <c r="E442" s="125"/>
      <c r="F442" s="118" t="s">
        <v>5583</v>
      </c>
      <c r="G442" s="126" t="str">
        <f t="shared" si="21"/>
        <v>ST-SS4-2</v>
      </c>
      <c r="H442" s="255">
        <v>2</v>
      </c>
      <c r="I442" s="361">
        <v>1</v>
      </c>
      <c r="J442" s="362" t="s">
        <v>286</v>
      </c>
      <c r="W442" s="129" t="s">
        <v>4876</v>
      </c>
      <c r="X442" s="337" t="b">
        <f t="shared" si="22"/>
        <v>0</v>
      </c>
    </row>
    <row r="443" spans="1:24" s="337" customFormat="1" ht="12" customHeight="1" outlineLevel="1">
      <c r="A443" s="335"/>
      <c r="B443" s="118" t="s">
        <v>12</v>
      </c>
      <c r="C443" s="334" t="s">
        <v>5738</v>
      </c>
      <c r="D443" s="124" t="s">
        <v>5739</v>
      </c>
      <c r="E443" s="125"/>
      <c r="F443" s="118" t="s">
        <v>5583</v>
      </c>
      <c r="G443" s="126" t="str">
        <f t="shared" si="21"/>
        <v>ST-SS4-2</v>
      </c>
      <c r="H443" s="255">
        <v>2</v>
      </c>
      <c r="I443" s="361">
        <v>1</v>
      </c>
      <c r="J443" s="362" t="s">
        <v>286</v>
      </c>
      <c r="W443" s="129" t="s">
        <v>4876</v>
      </c>
      <c r="X443" s="337" t="b">
        <f t="shared" si="22"/>
        <v>0</v>
      </c>
    </row>
    <row r="444" spans="1:24" s="337" customFormat="1" ht="12" customHeight="1" outlineLevel="1">
      <c r="A444" s="335"/>
      <c r="B444" s="118" t="s">
        <v>12</v>
      </c>
      <c r="C444" s="334" t="s">
        <v>5740</v>
      </c>
      <c r="D444" s="124" t="s">
        <v>5741</v>
      </c>
      <c r="E444" s="125"/>
      <c r="F444" s="118" t="s">
        <v>5583</v>
      </c>
      <c r="G444" s="126" t="str">
        <f t="shared" si="21"/>
        <v>ST-SS4-2</v>
      </c>
      <c r="H444" s="255">
        <v>2</v>
      </c>
      <c r="I444" s="361">
        <v>1</v>
      </c>
      <c r="J444" s="362" t="s">
        <v>286</v>
      </c>
      <c r="W444" s="129" t="s">
        <v>4876</v>
      </c>
      <c r="X444" s="337" t="b">
        <f t="shared" si="22"/>
        <v>0</v>
      </c>
    </row>
    <row r="445" spans="1:24" s="337" customFormat="1" ht="12" customHeight="1" outlineLevel="1">
      <c r="A445" s="335"/>
      <c r="B445" s="118" t="s">
        <v>12</v>
      </c>
      <c r="C445" s="334" t="s">
        <v>5742</v>
      </c>
      <c r="D445" s="124" t="s">
        <v>5743</v>
      </c>
      <c r="E445" s="125"/>
      <c r="F445" s="118" t="s">
        <v>5583</v>
      </c>
      <c r="G445" s="126" t="str">
        <f t="shared" si="21"/>
        <v>ST-SS4-2</v>
      </c>
      <c r="H445" s="255">
        <v>2</v>
      </c>
      <c r="I445" s="361">
        <v>1</v>
      </c>
      <c r="J445" s="362" t="s">
        <v>286</v>
      </c>
      <c r="W445" s="129" t="s">
        <v>4876</v>
      </c>
      <c r="X445" s="337" t="b">
        <f t="shared" si="22"/>
        <v>0</v>
      </c>
    </row>
    <row r="446" spans="1:24" s="337" customFormat="1" ht="12" customHeight="1" outlineLevel="1">
      <c r="A446" s="335"/>
      <c r="B446" s="118" t="s">
        <v>12</v>
      </c>
      <c r="C446" s="334" t="s">
        <v>5744</v>
      </c>
      <c r="D446" s="124" t="s">
        <v>5745</v>
      </c>
      <c r="E446" s="125"/>
      <c r="F446" s="118" t="s">
        <v>5583</v>
      </c>
      <c r="G446" s="126" t="str">
        <f t="shared" si="21"/>
        <v>ST-SS4-2</v>
      </c>
      <c r="H446" s="255">
        <v>2</v>
      </c>
      <c r="I446" s="361">
        <v>1</v>
      </c>
      <c r="J446" s="362" t="s">
        <v>286</v>
      </c>
      <c r="W446" s="129" t="s">
        <v>4876</v>
      </c>
      <c r="X446" s="337" t="b">
        <f t="shared" si="22"/>
        <v>0</v>
      </c>
    </row>
    <row r="447" spans="1:24" s="337" customFormat="1" ht="12" customHeight="1" outlineLevel="1">
      <c r="A447" s="335"/>
      <c r="B447" s="118" t="s">
        <v>12</v>
      </c>
      <c r="C447" s="334" t="s">
        <v>5746</v>
      </c>
      <c r="D447" s="124" t="s">
        <v>5747</v>
      </c>
      <c r="E447" s="125"/>
      <c r="F447" s="118" t="s">
        <v>5583</v>
      </c>
      <c r="G447" s="126" t="str">
        <f t="shared" si="21"/>
        <v>ST-SS4-2</v>
      </c>
      <c r="H447" s="255">
        <v>2</v>
      </c>
      <c r="I447" s="361">
        <v>1</v>
      </c>
      <c r="J447" s="362" t="s">
        <v>286</v>
      </c>
      <c r="W447" s="129" t="s">
        <v>4876</v>
      </c>
      <c r="X447" s="337" t="b">
        <f t="shared" si="22"/>
        <v>0</v>
      </c>
    </row>
    <row r="448" spans="1:24" s="337" customFormat="1" ht="12" customHeight="1" outlineLevel="1">
      <c r="A448" s="335"/>
      <c r="B448" s="118" t="s">
        <v>12</v>
      </c>
      <c r="C448" s="334" t="s">
        <v>5748</v>
      </c>
      <c r="D448" s="124" t="s">
        <v>5749</v>
      </c>
      <c r="E448" s="125"/>
      <c r="F448" s="118" t="s">
        <v>5583</v>
      </c>
      <c r="G448" s="126" t="str">
        <f t="shared" si="21"/>
        <v>ST-SS4-2</v>
      </c>
      <c r="H448" s="255">
        <v>2</v>
      </c>
      <c r="I448" s="361">
        <v>1</v>
      </c>
      <c r="J448" s="362" t="s">
        <v>286</v>
      </c>
      <c r="W448" s="129" t="s">
        <v>4876</v>
      </c>
      <c r="X448" s="337" t="b">
        <f t="shared" si="22"/>
        <v>0</v>
      </c>
    </row>
    <row r="449" spans="1:24" s="337" customFormat="1" ht="12" customHeight="1" outlineLevel="1">
      <c r="A449" s="335"/>
      <c r="B449" s="118" t="s">
        <v>12</v>
      </c>
      <c r="C449" s="334" t="s">
        <v>5750</v>
      </c>
      <c r="D449" s="124" t="s">
        <v>5751</v>
      </c>
      <c r="E449" s="125"/>
      <c r="F449" s="118" t="s">
        <v>5583</v>
      </c>
      <c r="G449" s="126" t="str">
        <f t="shared" si="21"/>
        <v>ST-SS4-2</v>
      </c>
      <c r="H449" s="255">
        <v>2</v>
      </c>
      <c r="I449" s="361">
        <v>1</v>
      </c>
      <c r="J449" s="362" t="s">
        <v>286</v>
      </c>
      <c r="W449" s="129" t="s">
        <v>4876</v>
      </c>
      <c r="X449" s="337" t="b">
        <f t="shared" si="22"/>
        <v>0</v>
      </c>
    </row>
    <row r="450" spans="1:24" s="337" customFormat="1" ht="12" customHeight="1" outlineLevel="1">
      <c r="A450" s="335"/>
      <c r="B450" s="118" t="s">
        <v>12</v>
      </c>
      <c r="C450" s="334" t="s">
        <v>5752</v>
      </c>
      <c r="D450" s="124" t="s">
        <v>5753</v>
      </c>
      <c r="E450" s="125"/>
      <c r="F450" s="118" t="s">
        <v>5583</v>
      </c>
      <c r="G450" s="126" t="str">
        <f t="shared" si="21"/>
        <v>ST-SS4-2</v>
      </c>
      <c r="H450" s="255">
        <v>2</v>
      </c>
      <c r="I450" s="361">
        <v>1</v>
      </c>
      <c r="J450" s="362" t="s">
        <v>286</v>
      </c>
      <c r="W450" s="129" t="s">
        <v>4876</v>
      </c>
      <c r="X450" s="337" t="b">
        <f t="shared" si="22"/>
        <v>0</v>
      </c>
    </row>
    <row r="451" spans="1:24" s="337" customFormat="1" ht="12" customHeight="1" outlineLevel="1">
      <c r="A451" s="335"/>
      <c r="B451" s="118" t="s">
        <v>12</v>
      </c>
      <c r="C451" s="334" t="s">
        <v>5754</v>
      </c>
      <c r="D451" s="124" t="s">
        <v>5755</v>
      </c>
      <c r="E451" s="125"/>
      <c r="F451" s="118" t="s">
        <v>5583</v>
      </c>
      <c r="G451" s="126" t="str">
        <f t="shared" si="21"/>
        <v>ST-SS4-2</v>
      </c>
      <c r="H451" s="255">
        <v>2</v>
      </c>
      <c r="I451" s="361">
        <v>1</v>
      </c>
      <c r="J451" s="362" t="s">
        <v>286</v>
      </c>
      <c r="W451" s="129" t="s">
        <v>4876</v>
      </c>
      <c r="X451" s="337" t="b">
        <f t="shared" si="22"/>
        <v>0</v>
      </c>
    </row>
    <row r="452" spans="1:24" s="337" customFormat="1" ht="12" customHeight="1" outlineLevel="1">
      <c r="A452" s="335"/>
      <c r="B452" s="118" t="s">
        <v>12</v>
      </c>
      <c r="C452" s="334" t="s">
        <v>5756</v>
      </c>
      <c r="D452" s="124" t="s">
        <v>5757</v>
      </c>
      <c r="E452" s="125"/>
      <c r="F452" s="118" t="s">
        <v>5583</v>
      </c>
      <c r="G452" s="126" t="str">
        <f t="shared" si="21"/>
        <v>ST-SS4-2</v>
      </c>
      <c r="H452" s="255">
        <v>2</v>
      </c>
      <c r="I452" s="361">
        <v>1</v>
      </c>
      <c r="J452" s="362" t="s">
        <v>286</v>
      </c>
      <c r="W452" s="129" t="s">
        <v>4876</v>
      </c>
      <c r="X452" s="337" t="b">
        <f t="shared" si="22"/>
        <v>0</v>
      </c>
    </row>
    <row r="453" spans="1:24" s="337" customFormat="1" ht="12" customHeight="1" outlineLevel="1">
      <c r="A453" s="335"/>
      <c r="B453" s="118" t="s">
        <v>12</v>
      </c>
      <c r="C453" s="334" t="s">
        <v>5758</v>
      </c>
      <c r="D453" s="124" t="s">
        <v>5759</v>
      </c>
      <c r="E453" s="125"/>
      <c r="F453" s="118" t="s">
        <v>5583</v>
      </c>
      <c r="G453" s="126" t="str">
        <f t="shared" si="21"/>
        <v>ST-SS4-2</v>
      </c>
      <c r="H453" s="255">
        <v>2</v>
      </c>
      <c r="I453" s="361">
        <v>1</v>
      </c>
      <c r="J453" s="362" t="s">
        <v>286</v>
      </c>
      <c r="W453" s="129" t="s">
        <v>4876</v>
      </c>
      <c r="X453" s="337" t="b">
        <f t="shared" si="22"/>
        <v>0</v>
      </c>
    </row>
    <row r="454" spans="1:24" s="337" customFormat="1" ht="12" customHeight="1" outlineLevel="1">
      <c r="A454" s="335"/>
      <c r="B454" s="118" t="s">
        <v>12</v>
      </c>
      <c r="C454" s="334" t="s">
        <v>5760</v>
      </c>
      <c r="D454" s="124" t="s">
        <v>5761</v>
      </c>
      <c r="E454" s="125"/>
      <c r="F454" s="118" t="s">
        <v>5583</v>
      </c>
      <c r="G454" s="126" t="str">
        <f t="shared" si="21"/>
        <v>ST-SS4-2</v>
      </c>
      <c r="H454" s="255">
        <v>2</v>
      </c>
      <c r="I454" s="361">
        <v>1</v>
      </c>
      <c r="J454" s="362" t="s">
        <v>286</v>
      </c>
      <c r="W454" s="129" t="s">
        <v>4876</v>
      </c>
      <c r="X454" s="337" t="b">
        <f t="shared" si="22"/>
        <v>0</v>
      </c>
    </row>
    <row r="455" spans="1:24" s="337" customFormat="1" ht="12" customHeight="1" outlineLevel="1">
      <c r="A455" s="335"/>
      <c r="B455" s="118" t="s">
        <v>12</v>
      </c>
      <c r="C455" s="334" t="s">
        <v>5762</v>
      </c>
      <c r="D455" s="124" t="s">
        <v>5763</v>
      </c>
      <c r="E455" s="125"/>
      <c r="F455" s="118" t="s">
        <v>5583</v>
      </c>
      <c r="G455" s="126" t="str">
        <f t="shared" si="21"/>
        <v>ST-SS4-2</v>
      </c>
      <c r="H455" s="255">
        <v>2</v>
      </c>
      <c r="I455" s="361">
        <v>1</v>
      </c>
      <c r="J455" s="362" t="s">
        <v>286</v>
      </c>
      <c r="W455" s="129" t="s">
        <v>4876</v>
      </c>
      <c r="X455" s="337" t="b">
        <f t="shared" si="22"/>
        <v>0</v>
      </c>
    </row>
    <row r="456" spans="1:24" s="337" customFormat="1" ht="12" customHeight="1" outlineLevel="1">
      <c r="A456" s="335"/>
      <c r="B456" s="118" t="s">
        <v>12</v>
      </c>
      <c r="C456" s="334" t="s">
        <v>5764</v>
      </c>
      <c r="D456" s="124" t="s">
        <v>5765</v>
      </c>
      <c r="E456" s="125"/>
      <c r="F456" s="118" t="s">
        <v>5583</v>
      </c>
      <c r="G456" s="126" t="str">
        <f t="shared" si="21"/>
        <v>ST-SS4-2</v>
      </c>
      <c r="H456" s="255">
        <v>2</v>
      </c>
      <c r="I456" s="361">
        <v>1</v>
      </c>
      <c r="J456" s="362" t="s">
        <v>286</v>
      </c>
      <c r="W456" s="129" t="s">
        <v>4876</v>
      </c>
      <c r="X456" s="337" t="b">
        <f t="shared" si="22"/>
        <v>0</v>
      </c>
    </row>
    <row r="457" spans="1:24" s="337" customFormat="1" ht="12" customHeight="1" outlineLevel="1">
      <c r="A457" s="335"/>
      <c r="B457" s="118" t="s">
        <v>12</v>
      </c>
      <c r="C457" s="334" t="s">
        <v>5766</v>
      </c>
      <c r="D457" s="124" t="s">
        <v>5767</v>
      </c>
      <c r="E457" s="125"/>
      <c r="F457" s="118" t="s">
        <v>5583</v>
      </c>
      <c r="G457" s="126" t="str">
        <f t="shared" si="21"/>
        <v>ST-SS4-2</v>
      </c>
      <c r="H457" s="255">
        <v>2</v>
      </c>
      <c r="I457" s="361">
        <v>1</v>
      </c>
      <c r="J457" s="362" t="s">
        <v>286</v>
      </c>
      <c r="W457" s="129" t="s">
        <v>4876</v>
      </c>
      <c r="X457" s="337" t="b">
        <f t="shared" si="22"/>
        <v>0</v>
      </c>
    </row>
    <row r="458" spans="1:24" s="337" customFormat="1" ht="12" customHeight="1" outlineLevel="1">
      <c r="A458" s="335"/>
      <c r="B458" s="118" t="s">
        <v>12</v>
      </c>
      <c r="C458" s="334" t="s">
        <v>5768</v>
      </c>
      <c r="D458" s="124" t="s">
        <v>5769</v>
      </c>
      <c r="E458" s="125"/>
      <c r="F458" s="118" t="s">
        <v>5583</v>
      </c>
      <c r="G458" s="126" t="str">
        <f t="shared" si="21"/>
        <v>ST-SS4-2</v>
      </c>
      <c r="H458" s="255">
        <v>2</v>
      </c>
      <c r="I458" s="361">
        <v>1</v>
      </c>
      <c r="J458" s="362" t="s">
        <v>286</v>
      </c>
      <c r="W458" s="129" t="s">
        <v>4876</v>
      </c>
      <c r="X458" s="337" t="b">
        <f t="shared" si="22"/>
        <v>0</v>
      </c>
    </row>
    <row r="459" spans="1:24" s="337" customFormat="1" ht="12" customHeight="1" outlineLevel="1">
      <c r="A459" s="335"/>
      <c r="B459" s="118" t="s">
        <v>12</v>
      </c>
      <c r="C459" s="334" t="s">
        <v>5770</v>
      </c>
      <c r="D459" s="124" t="s">
        <v>5771</v>
      </c>
      <c r="E459" s="125"/>
      <c r="F459" s="118" t="s">
        <v>5583</v>
      </c>
      <c r="G459" s="126" t="str">
        <f t="shared" si="21"/>
        <v>ST-SS4-2</v>
      </c>
      <c r="H459" s="255">
        <v>2</v>
      </c>
      <c r="I459" s="361">
        <v>1</v>
      </c>
      <c r="J459" s="362" t="s">
        <v>286</v>
      </c>
      <c r="W459" s="129" t="s">
        <v>4876</v>
      </c>
      <c r="X459" s="337" t="b">
        <f t="shared" si="22"/>
        <v>0</v>
      </c>
    </row>
    <row r="460" spans="1:24" s="337" customFormat="1" ht="12" customHeight="1" outlineLevel="1">
      <c r="A460" s="335"/>
      <c r="B460" s="118" t="s">
        <v>12</v>
      </c>
      <c r="C460" s="334" t="s">
        <v>5772</v>
      </c>
      <c r="D460" s="124" t="s">
        <v>5773</v>
      </c>
      <c r="E460" s="125"/>
      <c r="F460" s="118" t="s">
        <v>5583</v>
      </c>
      <c r="G460" s="126" t="str">
        <f t="shared" si="21"/>
        <v>ST-SS4-2</v>
      </c>
      <c r="H460" s="255">
        <v>2</v>
      </c>
      <c r="I460" s="361">
        <v>1</v>
      </c>
      <c r="J460" s="362" t="s">
        <v>286</v>
      </c>
      <c r="W460" s="129" t="s">
        <v>4876</v>
      </c>
      <c r="X460" s="337" t="b">
        <f t="shared" si="22"/>
        <v>0</v>
      </c>
    </row>
    <row r="461" spans="1:24" s="337" customFormat="1" ht="12" customHeight="1" outlineLevel="1">
      <c r="A461" s="335"/>
      <c r="B461" s="118" t="s">
        <v>12</v>
      </c>
      <c r="C461" s="334" t="s">
        <v>5774</v>
      </c>
      <c r="D461" s="124" t="s">
        <v>5775</v>
      </c>
      <c r="E461" s="125"/>
      <c r="F461" s="118" t="s">
        <v>5583</v>
      </c>
      <c r="G461" s="126" t="str">
        <f t="shared" ref="G461:G492" si="23">CONCATENATE(B461,"-",F461,"-",H461)</f>
        <v>ST-SS4-2</v>
      </c>
      <c r="H461" s="255">
        <v>2</v>
      </c>
      <c r="I461" s="361">
        <v>1</v>
      </c>
      <c r="J461" s="362" t="s">
        <v>286</v>
      </c>
      <c r="W461" s="129" t="s">
        <v>4876</v>
      </c>
      <c r="X461" s="337" t="b">
        <f t="shared" si="22"/>
        <v>0</v>
      </c>
    </row>
    <row r="462" spans="1:24" s="337" customFormat="1" ht="12" customHeight="1" outlineLevel="1">
      <c r="A462" s="335"/>
      <c r="B462" s="118" t="s">
        <v>12</v>
      </c>
      <c r="C462" s="334" t="s">
        <v>5776</v>
      </c>
      <c r="D462" s="124" t="s">
        <v>5777</v>
      </c>
      <c r="E462" s="125"/>
      <c r="F462" s="118" t="s">
        <v>5583</v>
      </c>
      <c r="G462" s="126" t="str">
        <f t="shared" si="23"/>
        <v>ST-SS4-2</v>
      </c>
      <c r="H462" s="255">
        <v>2</v>
      </c>
      <c r="I462" s="361">
        <v>1</v>
      </c>
      <c r="J462" s="362" t="s">
        <v>286</v>
      </c>
      <c r="W462" s="129" t="s">
        <v>4876</v>
      </c>
      <c r="X462" s="337" t="b">
        <f t="shared" si="22"/>
        <v>0</v>
      </c>
    </row>
    <row r="463" spans="1:24" s="337" customFormat="1" ht="12" customHeight="1" outlineLevel="1">
      <c r="A463" s="335"/>
      <c r="B463" s="118" t="s">
        <v>12</v>
      </c>
      <c r="C463" s="334" t="s">
        <v>5778</v>
      </c>
      <c r="D463" s="124" t="s">
        <v>5779</v>
      </c>
      <c r="E463" s="125"/>
      <c r="F463" s="118" t="s">
        <v>5583</v>
      </c>
      <c r="G463" s="126" t="str">
        <f t="shared" si="23"/>
        <v>ST-SS4-2</v>
      </c>
      <c r="H463" s="255">
        <v>2</v>
      </c>
      <c r="I463" s="361">
        <v>1</v>
      </c>
      <c r="J463" s="362" t="s">
        <v>286</v>
      </c>
      <c r="W463" s="129" t="s">
        <v>4876</v>
      </c>
      <c r="X463" s="337" t="b">
        <f t="shared" si="22"/>
        <v>0</v>
      </c>
    </row>
    <row r="464" spans="1:24" s="337" customFormat="1" ht="12" customHeight="1" outlineLevel="1">
      <c r="A464" s="335"/>
      <c r="B464" s="118" t="s">
        <v>12</v>
      </c>
      <c r="C464" s="334" t="s">
        <v>5780</v>
      </c>
      <c r="D464" s="124" t="s">
        <v>5781</v>
      </c>
      <c r="E464" s="125"/>
      <c r="F464" s="118" t="s">
        <v>5583</v>
      </c>
      <c r="G464" s="126" t="str">
        <f t="shared" si="23"/>
        <v>ST-SS4-2</v>
      </c>
      <c r="H464" s="255">
        <v>2</v>
      </c>
      <c r="I464" s="361">
        <v>1</v>
      </c>
      <c r="J464" s="362" t="s">
        <v>286</v>
      </c>
      <c r="W464" s="129" t="s">
        <v>4876</v>
      </c>
      <c r="X464" s="337" t="b">
        <f t="shared" si="22"/>
        <v>0</v>
      </c>
    </row>
    <row r="465" spans="1:24" s="337" customFormat="1" ht="12" customHeight="1" outlineLevel="1">
      <c r="A465" s="335"/>
      <c r="B465" s="118" t="s">
        <v>12</v>
      </c>
      <c r="C465" s="334" t="s">
        <v>5782</v>
      </c>
      <c r="D465" s="124" t="s">
        <v>5783</v>
      </c>
      <c r="E465" s="125"/>
      <c r="F465" s="118" t="s">
        <v>5583</v>
      </c>
      <c r="G465" s="126" t="str">
        <f t="shared" si="23"/>
        <v>ST-SS4-2</v>
      </c>
      <c r="H465" s="255">
        <v>2</v>
      </c>
      <c r="I465" s="361">
        <v>1</v>
      </c>
      <c r="J465" s="362" t="s">
        <v>286</v>
      </c>
      <c r="W465" s="129" t="s">
        <v>4876</v>
      </c>
      <c r="X465" s="337" t="b">
        <f t="shared" si="22"/>
        <v>0</v>
      </c>
    </row>
    <row r="466" spans="1:24" s="337" customFormat="1" ht="12" customHeight="1" outlineLevel="1">
      <c r="A466" s="335"/>
      <c r="B466" s="118" t="s">
        <v>12</v>
      </c>
      <c r="C466" s="334" t="s">
        <v>5784</v>
      </c>
      <c r="D466" s="124" t="s">
        <v>5785</v>
      </c>
      <c r="E466" s="125"/>
      <c r="F466" s="118" t="s">
        <v>5583</v>
      </c>
      <c r="G466" s="126" t="str">
        <f t="shared" si="23"/>
        <v>ST-SS4-2</v>
      </c>
      <c r="H466" s="255">
        <v>2</v>
      </c>
      <c r="I466" s="361">
        <v>1</v>
      </c>
      <c r="J466" s="362" t="s">
        <v>286</v>
      </c>
      <c r="W466" s="129" t="s">
        <v>4876</v>
      </c>
      <c r="X466" s="337" t="b">
        <f t="shared" si="22"/>
        <v>0</v>
      </c>
    </row>
    <row r="467" spans="1:24" s="337" customFormat="1" ht="12" customHeight="1" outlineLevel="1">
      <c r="A467" s="335"/>
      <c r="B467" s="118" t="s">
        <v>12</v>
      </c>
      <c r="C467" s="334" t="s">
        <v>5786</v>
      </c>
      <c r="D467" s="124" t="s">
        <v>5787</v>
      </c>
      <c r="E467" s="125"/>
      <c r="F467" s="118" t="s">
        <v>5583</v>
      </c>
      <c r="G467" s="126" t="str">
        <f t="shared" si="23"/>
        <v>ST-SS4-2</v>
      </c>
      <c r="H467" s="255">
        <v>2</v>
      </c>
      <c r="I467" s="361">
        <v>1</v>
      </c>
      <c r="J467" s="362" t="s">
        <v>286</v>
      </c>
      <c r="W467" s="129" t="s">
        <v>4876</v>
      </c>
      <c r="X467" s="337" t="b">
        <f t="shared" si="22"/>
        <v>0</v>
      </c>
    </row>
    <row r="468" spans="1:24" s="337" customFormat="1" ht="12" customHeight="1" outlineLevel="1">
      <c r="A468" s="335"/>
      <c r="B468" s="118" t="s">
        <v>12</v>
      </c>
      <c r="C468" s="334" t="s">
        <v>5788</v>
      </c>
      <c r="D468" s="124" t="s">
        <v>5789</v>
      </c>
      <c r="E468" s="125"/>
      <c r="F468" s="118" t="s">
        <v>5583</v>
      </c>
      <c r="G468" s="126" t="str">
        <f t="shared" si="23"/>
        <v>ST-SS4-2</v>
      </c>
      <c r="H468" s="255">
        <v>2</v>
      </c>
      <c r="I468" s="361">
        <v>1</v>
      </c>
      <c r="J468" s="362" t="s">
        <v>286</v>
      </c>
      <c r="W468" s="129" t="s">
        <v>4876</v>
      </c>
      <c r="X468" s="337" t="b">
        <f t="shared" si="22"/>
        <v>0</v>
      </c>
    </row>
    <row r="469" spans="1:24" s="337" customFormat="1" ht="12" customHeight="1" outlineLevel="1">
      <c r="A469" s="335"/>
      <c r="B469" s="118" t="s">
        <v>12</v>
      </c>
      <c r="C469" s="334" t="s">
        <v>5790</v>
      </c>
      <c r="D469" s="124" t="s">
        <v>5791</v>
      </c>
      <c r="E469" s="125"/>
      <c r="F469" s="118" t="s">
        <v>5583</v>
      </c>
      <c r="G469" s="126" t="str">
        <f t="shared" si="23"/>
        <v>ST-SS4-2</v>
      </c>
      <c r="H469" s="255">
        <v>2</v>
      </c>
      <c r="I469" s="361">
        <v>1</v>
      </c>
      <c r="J469" s="362" t="s">
        <v>286</v>
      </c>
      <c r="W469" s="129" t="s">
        <v>4876</v>
      </c>
      <c r="X469" s="337" t="b">
        <f t="shared" si="22"/>
        <v>0</v>
      </c>
    </row>
    <row r="470" spans="1:24" s="337" customFormat="1" ht="12" customHeight="1" outlineLevel="1">
      <c r="A470" s="335"/>
      <c r="B470" s="118" t="s">
        <v>12</v>
      </c>
      <c r="C470" s="334" t="s">
        <v>5792</v>
      </c>
      <c r="D470" s="124" t="s">
        <v>5793</v>
      </c>
      <c r="E470" s="125"/>
      <c r="F470" s="118" t="s">
        <v>5583</v>
      </c>
      <c r="G470" s="126" t="str">
        <f t="shared" si="23"/>
        <v>ST-SS4-2</v>
      </c>
      <c r="H470" s="255">
        <v>2</v>
      </c>
      <c r="I470" s="361">
        <v>1</v>
      </c>
      <c r="J470" s="362" t="s">
        <v>286</v>
      </c>
      <c r="W470" s="129" t="s">
        <v>4876</v>
      </c>
      <c r="X470" s="337" t="b">
        <f t="shared" si="22"/>
        <v>0</v>
      </c>
    </row>
    <row r="471" spans="1:24" s="337" customFormat="1" ht="12" customHeight="1" outlineLevel="1">
      <c r="A471" s="335"/>
      <c r="B471" s="118" t="s">
        <v>12</v>
      </c>
      <c r="C471" s="334" t="s">
        <v>5794</v>
      </c>
      <c r="D471" s="124" t="s">
        <v>5795</v>
      </c>
      <c r="E471" s="125"/>
      <c r="F471" s="118" t="s">
        <v>5583</v>
      </c>
      <c r="G471" s="126" t="str">
        <f t="shared" si="23"/>
        <v>ST-SS4-2</v>
      </c>
      <c r="H471" s="255">
        <v>2</v>
      </c>
      <c r="I471" s="361">
        <v>1</v>
      </c>
      <c r="J471" s="362" t="s">
        <v>286</v>
      </c>
      <c r="W471" s="129" t="s">
        <v>4876</v>
      </c>
      <c r="X471" s="337" t="b">
        <f t="shared" si="22"/>
        <v>0</v>
      </c>
    </row>
    <row r="472" spans="1:24" s="337" customFormat="1" ht="12" customHeight="1" outlineLevel="1">
      <c r="A472" s="335"/>
      <c r="B472" s="118" t="s">
        <v>12</v>
      </c>
      <c r="C472" s="334" t="s">
        <v>5796</v>
      </c>
      <c r="D472" s="124" t="s">
        <v>5797</v>
      </c>
      <c r="E472" s="125"/>
      <c r="F472" s="118" t="s">
        <v>5583</v>
      </c>
      <c r="G472" s="126" t="str">
        <f t="shared" si="23"/>
        <v>ST-SS4-2</v>
      </c>
      <c r="H472" s="255">
        <v>2</v>
      </c>
      <c r="I472" s="361">
        <v>1</v>
      </c>
      <c r="J472" s="362" t="s">
        <v>286</v>
      </c>
      <c r="W472" s="129" t="s">
        <v>4876</v>
      </c>
      <c r="X472" s="337" t="b">
        <f t="shared" si="22"/>
        <v>0</v>
      </c>
    </row>
    <row r="473" spans="1:24" s="337" customFormat="1" ht="12" customHeight="1" outlineLevel="1">
      <c r="A473" s="335"/>
      <c r="B473" s="118" t="s">
        <v>12</v>
      </c>
      <c r="C473" s="334" t="s">
        <v>5798</v>
      </c>
      <c r="D473" s="124" t="s">
        <v>5799</v>
      </c>
      <c r="E473" s="125"/>
      <c r="F473" s="118" t="s">
        <v>5583</v>
      </c>
      <c r="G473" s="126" t="str">
        <f t="shared" si="23"/>
        <v>ST-SS4-2</v>
      </c>
      <c r="H473" s="255">
        <v>2</v>
      </c>
      <c r="I473" s="361">
        <v>1</v>
      </c>
      <c r="J473" s="362" t="s">
        <v>286</v>
      </c>
      <c r="W473" s="129" t="s">
        <v>4876</v>
      </c>
      <c r="X473" s="337" t="b">
        <f t="shared" si="22"/>
        <v>0</v>
      </c>
    </row>
    <row r="474" spans="1:24" s="337" customFormat="1" ht="12" customHeight="1" outlineLevel="1">
      <c r="A474" s="335"/>
      <c r="B474" s="118" t="s">
        <v>12</v>
      </c>
      <c r="C474" s="334" t="s">
        <v>5800</v>
      </c>
      <c r="D474" s="124" t="s">
        <v>5801</v>
      </c>
      <c r="E474" s="125"/>
      <c r="F474" s="118" t="s">
        <v>5583</v>
      </c>
      <c r="G474" s="126" t="str">
        <f t="shared" si="23"/>
        <v>ST-SS4-2</v>
      </c>
      <c r="H474" s="255">
        <v>2</v>
      </c>
      <c r="I474" s="361">
        <v>1</v>
      </c>
      <c r="J474" s="362" t="s">
        <v>286</v>
      </c>
      <c r="W474" s="129" t="s">
        <v>4876</v>
      </c>
      <c r="X474" s="337" t="b">
        <f t="shared" si="22"/>
        <v>0</v>
      </c>
    </row>
    <row r="475" spans="1:24" s="337" customFormat="1" ht="12" customHeight="1" outlineLevel="1">
      <c r="A475" s="335"/>
      <c r="B475" s="118" t="s">
        <v>12</v>
      </c>
      <c r="C475" s="334" t="s">
        <v>5802</v>
      </c>
      <c r="D475" s="124" t="s">
        <v>5803</v>
      </c>
      <c r="E475" s="125"/>
      <c r="F475" s="118" t="s">
        <v>5583</v>
      </c>
      <c r="G475" s="126" t="str">
        <f t="shared" si="23"/>
        <v>ST-SS4-2</v>
      </c>
      <c r="H475" s="255">
        <v>2</v>
      </c>
      <c r="I475" s="361">
        <v>1</v>
      </c>
      <c r="J475" s="362" t="s">
        <v>286</v>
      </c>
      <c r="W475" s="129" t="s">
        <v>4876</v>
      </c>
      <c r="X475" s="337" t="b">
        <f t="shared" si="22"/>
        <v>0</v>
      </c>
    </row>
    <row r="476" spans="1:24" s="337" customFormat="1" ht="12" customHeight="1" outlineLevel="1">
      <c r="A476" s="335"/>
      <c r="B476" s="118" t="s">
        <v>12</v>
      </c>
      <c r="C476" s="334" t="s">
        <v>5804</v>
      </c>
      <c r="D476" s="124" t="s">
        <v>5805</v>
      </c>
      <c r="E476" s="125"/>
      <c r="F476" s="118" t="s">
        <v>5583</v>
      </c>
      <c r="G476" s="126" t="str">
        <f t="shared" si="23"/>
        <v>ST-SS4-2</v>
      </c>
      <c r="H476" s="255">
        <v>2</v>
      </c>
      <c r="I476" s="361">
        <v>1</v>
      </c>
      <c r="J476" s="362" t="s">
        <v>286</v>
      </c>
      <c r="W476" s="129" t="s">
        <v>4876</v>
      </c>
      <c r="X476" s="337" t="b">
        <f t="shared" si="22"/>
        <v>0</v>
      </c>
    </row>
    <row r="477" spans="1:24" s="337" customFormat="1" ht="12" customHeight="1" outlineLevel="1">
      <c r="A477" s="335"/>
      <c r="B477" s="118" t="s">
        <v>12</v>
      </c>
      <c r="C477" s="334" t="s">
        <v>5806</v>
      </c>
      <c r="D477" s="124" t="s">
        <v>5807</v>
      </c>
      <c r="E477" s="125"/>
      <c r="F477" s="118" t="s">
        <v>5583</v>
      </c>
      <c r="G477" s="126" t="str">
        <f t="shared" si="23"/>
        <v>ST-SS4-2</v>
      </c>
      <c r="H477" s="255">
        <v>2</v>
      </c>
      <c r="I477" s="361">
        <v>1</v>
      </c>
      <c r="J477" s="362" t="s">
        <v>286</v>
      </c>
      <c r="W477" s="129" t="s">
        <v>4876</v>
      </c>
      <c r="X477" s="337" t="b">
        <f t="shared" si="22"/>
        <v>0</v>
      </c>
    </row>
    <row r="478" spans="1:24" s="337" customFormat="1" ht="12" customHeight="1" outlineLevel="1">
      <c r="A478" s="335"/>
      <c r="B478" s="118" t="s">
        <v>12</v>
      </c>
      <c r="C478" s="334" t="s">
        <v>5808</v>
      </c>
      <c r="D478" s="124" t="s">
        <v>5809</v>
      </c>
      <c r="E478" s="125"/>
      <c r="F478" s="118" t="s">
        <v>5583</v>
      </c>
      <c r="G478" s="126" t="str">
        <f t="shared" si="23"/>
        <v>ST-SS4-2</v>
      </c>
      <c r="H478" s="255">
        <v>2</v>
      </c>
      <c r="I478" s="361">
        <v>1</v>
      </c>
      <c r="J478" s="362" t="s">
        <v>286</v>
      </c>
      <c r="W478" s="129" t="s">
        <v>4876</v>
      </c>
      <c r="X478" s="337" t="b">
        <f t="shared" si="22"/>
        <v>0</v>
      </c>
    </row>
    <row r="479" spans="1:24" s="337" customFormat="1" ht="12" customHeight="1" outlineLevel="1">
      <c r="A479" s="335"/>
      <c r="B479" s="118" t="s">
        <v>12</v>
      </c>
      <c r="C479" s="334" t="s">
        <v>5810</v>
      </c>
      <c r="D479" s="124" t="s">
        <v>5811</v>
      </c>
      <c r="E479" s="125"/>
      <c r="F479" s="118" t="s">
        <v>5583</v>
      </c>
      <c r="G479" s="126" t="str">
        <f t="shared" si="23"/>
        <v>ST-SS4-2</v>
      </c>
      <c r="H479" s="255">
        <v>2</v>
      </c>
      <c r="I479" s="361">
        <v>1</v>
      </c>
      <c r="J479" s="362" t="s">
        <v>286</v>
      </c>
      <c r="W479" s="129" t="s">
        <v>4876</v>
      </c>
      <c r="X479" s="337" t="b">
        <f t="shared" si="22"/>
        <v>0</v>
      </c>
    </row>
    <row r="480" spans="1:24" s="337" customFormat="1" ht="12" customHeight="1" outlineLevel="1">
      <c r="A480" s="335"/>
      <c r="B480" s="118" t="s">
        <v>12</v>
      </c>
      <c r="C480" s="334" t="s">
        <v>5812</v>
      </c>
      <c r="D480" s="124" t="s">
        <v>5813</v>
      </c>
      <c r="E480" s="125"/>
      <c r="F480" s="118" t="s">
        <v>5583</v>
      </c>
      <c r="G480" s="126" t="str">
        <f t="shared" si="23"/>
        <v>ST-SS4-2</v>
      </c>
      <c r="H480" s="255">
        <v>2</v>
      </c>
      <c r="I480" s="361">
        <v>1</v>
      </c>
      <c r="J480" s="362" t="s">
        <v>286</v>
      </c>
      <c r="W480" s="129" t="s">
        <v>4876</v>
      </c>
      <c r="X480" s="337" t="b">
        <f t="shared" si="22"/>
        <v>0</v>
      </c>
    </row>
    <row r="481" spans="1:24" s="337" customFormat="1" ht="12" customHeight="1" outlineLevel="1">
      <c r="A481" s="335"/>
      <c r="B481" s="118" t="s">
        <v>12</v>
      </c>
      <c r="C481" s="334" t="s">
        <v>5814</v>
      </c>
      <c r="D481" s="124" t="s">
        <v>5815</v>
      </c>
      <c r="E481" s="125"/>
      <c r="F481" s="118" t="s">
        <v>5583</v>
      </c>
      <c r="G481" s="126" t="str">
        <f t="shared" si="23"/>
        <v>ST-SS4-2</v>
      </c>
      <c r="H481" s="255">
        <v>2</v>
      </c>
      <c r="I481" s="361">
        <v>1</v>
      </c>
      <c r="J481" s="362" t="s">
        <v>286</v>
      </c>
      <c r="W481" s="129" t="s">
        <v>4876</v>
      </c>
      <c r="X481" s="337" t="b">
        <f t="shared" si="22"/>
        <v>0</v>
      </c>
    </row>
    <row r="482" spans="1:24" s="337" customFormat="1" ht="12" customHeight="1" outlineLevel="1">
      <c r="A482" s="335"/>
      <c r="B482" s="118" t="s">
        <v>12</v>
      </c>
      <c r="C482" s="334" t="s">
        <v>5816</v>
      </c>
      <c r="D482" s="124" t="s">
        <v>5817</v>
      </c>
      <c r="E482" s="125"/>
      <c r="F482" s="118" t="s">
        <v>5583</v>
      </c>
      <c r="G482" s="126" t="str">
        <f t="shared" si="23"/>
        <v>ST-SS4-2</v>
      </c>
      <c r="H482" s="255">
        <v>2</v>
      </c>
      <c r="I482" s="361">
        <v>1</v>
      </c>
      <c r="J482" s="362" t="s">
        <v>286</v>
      </c>
      <c r="W482" s="129" t="s">
        <v>4876</v>
      </c>
      <c r="X482" s="337" t="b">
        <f t="shared" si="22"/>
        <v>0</v>
      </c>
    </row>
    <row r="483" spans="1:24" s="337" customFormat="1" ht="12" customHeight="1" outlineLevel="1">
      <c r="A483" s="335"/>
      <c r="B483" s="118" t="s">
        <v>12</v>
      </c>
      <c r="C483" s="334" t="s">
        <v>5818</v>
      </c>
      <c r="D483" s="124" t="s">
        <v>5819</v>
      </c>
      <c r="E483" s="125"/>
      <c r="F483" s="118" t="s">
        <v>5583</v>
      </c>
      <c r="G483" s="126" t="str">
        <f t="shared" si="23"/>
        <v>ST-SS4-2</v>
      </c>
      <c r="H483" s="255">
        <v>2</v>
      </c>
      <c r="I483" s="361">
        <v>1</v>
      </c>
      <c r="J483" s="362" t="s">
        <v>286</v>
      </c>
      <c r="W483" s="129" t="s">
        <v>4876</v>
      </c>
      <c r="X483" s="337" t="b">
        <f t="shared" si="22"/>
        <v>0</v>
      </c>
    </row>
    <row r="484" spans="1:24" s="337" customFormat="1" ht="12" customHeight="1" outlineLevel="1">
      <c r="A484" s="335"/>
      <c r="B484" s="118" t="s">
        <v>12</v>
      </c>
      <c r="C484" s="334" t="s">
        <v>5820</v>
      </c>
      <c r="D484" s="124" t="s">
        <v>5821</v>
      </c>
      <c r="E484" s="125"/>
      <c r="F484" s="118" t="s">
        <v>5583</v>
      </c>
      <c r="G484" s="126" t="str">
        <f t="shared" si="23"/>
        <v>ST-SS4-2</v>
      </c>
      <c r="H484" s="255">
        <v>2</v>
      </c>
      <c r="I484" s="361">
        <v>1</v>
      </c>
      <c r="J484" s="362" t="s">
        <v>286</v>
      </c>
      <c r="W484" s="129" t="s">
        <v>4876</v>
      </c>
      <c r="X484" s="337" t="b">
        <f t="shared" si="22"/>
        <v>0</v>
      </c>
    </row>
    <row r="485" spans="1:24" s="337" customFormat="1" ht="12" customHeight="1" outlineLevel="1">
      <c r="A485" s="335"/>
      <c r="B485" s="118" t="s">
        <v>12</v>
      </c>
      <c r="C485" s="334" t="s">
        <v>5822</v>
      </c>
      <c r="D485" s="124" t="s">
        <v>5823</v>
      </c>
      <c r="E485" s="125"/>
      <c r="F485" s="118" t="s">
        <v>5583</v>
      </c>
      <c r="G485" s="126" t="str">
        <f t="shared" si="23"/>
        <v>ST-SS4-2</v>
      </c>
      <c r="H485" s="255">
        <v>2</v>
      </c>
      <c r="I485" s="361">
        <v>1</v>
      </c>
      <c r="J485" s="362" t="s">
        <v>286</v>
      </c>
      <c r="W485" s="129" t="s">
        <v>4876</v>
      </c>
      <c r="X485" s="337" t="b">
        <f t="shared" si="22"/>
        <v>0</v>
      </c>
    </row>
    <row r="486" spans="1:24" s="337" customFormat="1" ht="12" customHeight="1" outlineLevel="1">
      <c r="A486" s="335"/>
      <c r="B486" s="118" t="s">
        <v>12</v>
      </c>
      <c r="C486" s="334" t="s">
        <v>5824</v>
      </c>
      <c r="D486" s="124" t="s">
        <v>5825</v>
      </c>
      <c r="E486" s="125"/>
      <c r="F486" s="118" t="s">
        <v>5583</v>
      </c>
      <c r="G486" s="126" t="str">
        <f t="shared" si="23"/>
        <v>ST-SS4-2</v>
      </c>
      <c r="H486" s="255">
        <v>2</v>
      </c>
      <c r="I486" s="361">
        <v>1</v>
      </c>
      <c r="J486" s="362" t="s">
        <v>286</v>
      </c>
      <c r="W486" s="129" t="s">
        <v>4876</v>
      </c>
      <c r="X486" s="337" t="b">
        <f t="shared" si="22"/>
        <v>0</v>
      </c>
    </row>
    <row r="487" spans="1:24" s="337" customFormat="1" ht="12" customHeight="1" outlineLevel="1">
      <c r="A487" s="335"/>
      <c r="B487" s="118" t="s">
        <v>12</v>
      </c>
      <c r="C487" s="334" t="s">
        <v>5826</v>
      </c>
      <c r="D487" s="124" t="s">
        <v>5827</v>
      </c>
      <c r="E487" s="125"/>
      <c r="F487" s="118" t="s">
        <v>5583</v>
      </c>
      <c r="G487" s="126" t="str">
        <f t="shared" si="23"/>
        <v>ST-SS4-2</v>
      </c>
      <c r="H487" s="255">
        <v>2</v>
      </c>
      <c r="I487" s="361">
        <v>1</v>
      </c>
      <c r="J487" s="362" t="s">
        <v>286</v>
      </c>
      <c r="W487" s="129" t="s">
        <v>4876</v>
      </c>
      <c r="X487" s="337" t="b">
        <f t="shared" si="22"/>
        <v>0</v>
      </c>
    </row>
    <row r="488" spans="1:24" s="337" customFormat="1" ht="12" customHeight="1" outlineLevel="1">
      <c r="A488" s="335"/>
      <c r="B488" s="118" t="s">
        <v>12</v>
      </c>
      <c r="C488" s="334" t="s">
        <v>5828</v>
      </c>
      <c r="D488" s="124" t="s">
        <v>5829</v>
      </c>
      <c r="E488" s="125"/>
      <c r="F488" s="118" t="s">
        <v>5583</v>
      </c>
      <c r="G488" s="126" t="str">
        <f t="shared" si="23"/>
        <v>ST-SS4-2</v>
      </c>
      <c r="H488" s="255">
        <v>2</v>
      </c>
      <c r="I488" s="361">
        <v>1</v>
      </c>
      <c r="J488" s="362" t="s">
        <v>286</v>
      </c>
      <c r="W488" s="129" t="s">
        <v>4876</v>
      </c>
      <c r="X488" s="337" t="b">
        <f t="shared" si="22"/>
        <v>0</v>
      </c>
    </row>
    <row r="489" spans="1:24" s="337" customFormat="1" ht="12" customHeight="1" outlineLevel="1">
      <c r="A489" s="335"/>
      <c r="B489" s="118" t="s">
        <v>12</v>
      </c>
      <c r="C489" s="334" t="s">
        <v>5830</v>
      </c>
      <c r="D489" s="124" t="s">
        <v>5831</v>
      </c>
      <c r="E489" s="125"/>
      <c r="F489" s="118" t="s">
        <v>5583</v>
      </c>
      <c r="G489" s="126" t="str">
        <f t="shared" si="23"/>
        <v>ST-SS4-2</v>
      </c>
      <c r="H489" s="255">
        <v>2</v>
      </c>
      <c r="I489" s="361">
        <v>1</v>
      </c>
      <c r="J489" s="362" t="s">
        <v>286</v>
      </c>
      <c r="W489" s="129" t="s">
        <v>4876</v>
      </c>
      <c r="X489" s="337" t="b">
        <f t="shared" si="22"/>
        <v>0</v>
      </c>
    </row>
    <row r="490" spans="1:24" s="337" customFormat="1" ht="12" customHeight="1" outlineLevel="1">
      <c r="A490" s="335"/>
      <c r="B490" s="118" t="s">
        <v>12</v>
      </c>
      <c r="C490" s="334" t="s">
        <v>5832</v>
      </c>
      <c r="D490" s="124" t="s">
        <v>5833</v>
      </c>
      <c r="E490" s="125"/>
      <c r="F490" s="118" t="s">
        <v>5583</v>
      </c>
      <c r="G490" s="126" t="str">
        <f t="shared" si="23"/>
        <v>ST-SS4-2</v>
      </c>
      <c r="H490" s="255">
        <v>2</v>
      </c>
      <c r="I490" s="361">
        <v>1</v>
      </c>
      <c r="J490" s="362" t="s">
        <v>286</v>
      </c>
      <c r="W490" s="129" t="s">
        <v>4876</v>
      </c>
      <c r="X490" s="337" t="b">
        <f t="shared" si="22"/>
        <v>0</v>
      </c>
    </row>
    <row r="491" spans="1:24" s="337" customFormat="1" ht="12" customHeight="1" outlineLevel="1">
      <c r="A491" s="335"/>
      <c r="B491" s="118" t="s">
        <v>12</v>
      </c>
      <c r="C491" s="334" t="s">
        <v>5834</v>
      </c>
      <c r="D491" s="124" t="s">
        <v>5835</v>
      </c>
      <c r="E491" s="125"/>
      <c r="F491" s="118" t="s">
        <v>5583</v>
      </c>
      <c r="G491" s="126" t="str">
        <f t="shared" si="23"/>
        <v>ST-SS4-2</v>
      </c>
      <c r="H491" s="255">
        <v>2</v>
      </c>
      <c r="I491" s="361">
        <v>1</v>
      </c>
      <c r="J491" s="362" t="s">
        <v>286</v>
      </c>
      <c r="W491" s="129" t="s">
        <v>4876</v>
      </c>
      <c r="X491" s="337" t="b">
        <f t="shared" si="22"/>
        <v>0</v>
      </c>
    </row>
    <row r="492" spans="1:24" s="337" customFormat="1" ht="12" customHeight="1" outlineLevel="1">
      <c r="A492" s="335"/>
      <c r="B492" s="118" t="s">
        <v>12</v>
      </c>
      <c r="C492" s="334" t="s">
        <v>5836</v>
      </c>
      <c r="D492" s="124" t="s">
        <v>5837</v>
      </c>
      <c r="E492" s="125"/>
      <c r="F492" s="118" t="s">
        <v>5583</v>
      </c>
      <c r="G492" s="126" t="str">
        <f t="shared" si="23"/>
        <v>ST-SS4-2</v>
      </c>
      <c r="H492" s="255">
        <v>2</v>
      </c>
      <c r="I492" s="361">
        <v>1</v>
      </c>
      <c r="J492" s="362" t="s">
        <v>286</v>
      </c>
      <c r="W492" s="129" t="s">
        <v>4876</v>
      </c>
      <c r="X492" s="337" t="b">
        <f t="shared" si="22"/>
        <v>0</v>
      </c>
    </row>
    <row r="493" spans="1:24" s="337" customFormat="1" ht="12" customHeight="1" outlineLevel="1">
      <c r="A493" s="335"/>
      <c r="B493" s="118" t="s">
        <v>12</v>
      </c>
      <c r="C493" s="334" t="s">
        <v>5838</v>
      </c>
      <c r="D493" s="124" t="s">
        <v>5839</v>
      </c>
      <c r="E493" s="125"/>
      <c r="F493" s="118" t="s">
        <v>5583</v>
      </c>
      <c r="G493" s="126" t="str">
        <f t="shared" ref="G493:G518" si="24">CONCATENATE(B493,"-",F493,"-",H493)</f>
        <v>ST-SS4-2</v>
      </c>
      <c r="H493" s="255">
        <v>2</v>
      </c>
      <c r="I493" s="361">
        <v>1</v>
      </c>
      <c r="J493" s="362" t="s">
        <v>286</v>
      </c>
      <c r="W493" s="129" t="s">
        <v>4876</v>
      </c>
      <c r="X493" s="337" t="b">
        <f t="shared" ref="X493:X518" si="25">W493=J493</f>
        <v>0</v>
      </c>
    </row>
    <row r="494" spans="1:24" s="337" customFormat="1" ht="12" customHeight="1" outlineLevel="1">
      <c r="A494" s="335"/>
      <c r="B494" s="118" t="s">
        <v>12</v>
      </c>
      <c r="C494" s="334" t="s">
        <v>5840</v>
      </c>
      <c r="D494" s="124" t="s">
        <v>5841</v>
      </c>
      <c r="E494" s="125"/>
      <c r="F494" s="118" t="s">
        <v>5583</v>
      </c>
      <c r="G494" s="126" t="str">
        <f t="shared" si="24"/>
        <v>ST-SS4-2</v>
      </c>
      <c r="H494" s="255">
        <v>2</v>
      </c>
      <c r="I494" s="361">
        <v>1</v>
      </c>
      <c r="J494" s="362" t="s">
        <v>286</v>
      </c>
      <c r="W494" s="129" t="s">
        <v>4876</v>
      </c>
      <c r="X494" s="337" t="b">
        <f t="shared" si="25"/>
        <v>0</v>
      </c>
    </row>
    <row r="495" spans="1:24" s="337" customFormat="1" ht="12" customHeight="1" outlineLevel="1">
      <c r="A495" s="335"/>
      <c r="B495" s="118" t="s">
        <v>12</v>
      </c>
      <c r="C495" s="334" t="s">
        <v>5842</v>
      </c>
      <c r="D495" s="124" t="s">
        <v>5843</v>
      </c>
      <c r="E495" s="125"/>
      <c r="F495" s="118" t="s">
        <v>5583</v>
      </c>
      <c r="G495" s="126" t="str">
        <f t="shared" si="24"/>
        <v>ST-SS4-2</v>
      </c>
      <c r="H495" s="255">
        <v>2</v>
      </c>
      <c r="I495" s="361">
        <v>1</v>
      </c>
      <c r="J495" s="362" t="s">
        <v>286</v>
      </c>
      <c r="W495" s="129" t="s">
        <v>4876</v>
      </c>
      <c r="X495" s="337" t="b">
        <f t="shared" si="25"/>
        <v>0</v>
      </c>
    </row>
    <row r="496" spans="1:24" s="337" customFormat="1" ht="12" customHeight="1" outlineLevel="1">
      <c r="A496" s="335"/>
      <c r="B496" s="118" t="s">
        <v>12</v>
      </c>
      <c r="C496" s="334" t="s">
        <v>5844</v>
      </c>
      <c r="D496" s="124" t="s">
        <v>5845</v>
      </c>
      <c r="E496" s="125"/>
      <c r="F496" s="118" t="s">
        <v>5583</v>
      </c>
      <c r="G496" s="126" t="str">
        <f t="shared" si="24"/>
        <v>ST-SS4-2</v>
      </c>
      <c r="H496" s="255">
        <v>2</v>
      </c>
      <c r="I496" s="361">
        <v>1</v>
      </c>
      <c r="J496" s="362" t="s">
        <v>286</v>
      </c>
      <c r="W496" s="129" t="s">
        <v>4876</v>
      </c>
      <c r="X496" s="337" t="b">
        <f t="shared" si="25"/>
        <v>0</v>
      </c>
    </row>
    <row r="497" spans="1:24" s="337" customFormat="1" ht="12" customHeight="1" outlineLevel="1">
      <c r="A497" s="335"/>
      <c r="B497" s="118" t="s">
        <v>12</v>
      </c>
      <c r="C497" s="334" t="s">
        <v>5846</v>
      </c>
      <c r="D497" s="124" t="s">
        <v>5847</v>
      </c>
      <c r="E497" s="125"/>
      <c r="F497" s="118" t="s">
        <v>5583</v>
      </c>
      <c r="G497" s="126" t="str">
        <f t="shared" si="24"/>
        <v>ST-SS4-2</v>
      </c>
      <c r="H497" s="255">
        <v>2</v>
      </c>
      <c r="I497" s="361">
        <v>1</v>
      </c>
      <c r="J497" s="362" t="s">
        <v>286</v>
      </c>
      <c r="W497" s="129" t="s">
        <v>4876</v>
      </c>
      <c r="X497" s="337" t="b">
        <f t="shared" si="25"/>
        <v>0</v>
      </c>
    </row>
    <row r="498" spans="1:24" s="337" customFormat="1" ht="12" customHeight="1" outlineLevel="1">
      <c r="A498" s="335"/>
      <c r="B498" s="118" t="s">
        <v>12</v>
      </c>
      <c r="C498" s="334" t="s">
        <v>5848</v>
      </c>
      <c r="D498" s="124" t="s">
        <v>5849</v>
      </c>
      <c r="E498" s="125"/>
      <c r="F498" s="118" t="s">
        <v>5583</v>
      </c>
      <c r="G498" s="126" t="str">
        <f t="shared" si="24"/>
        <v>ST-SS4-2</v>
      </c>
      <c r="H498" s="255">
        <v>2</v>
      </c>
      <c r="I498" s="361">
        <v>1</v>
      </c>
      <c r="J498" s="362" t="s">
        <v>286</v>
      </c>
      <c r="W498" s="129" t="s">
        <v>4876</v>
      </c>
      <c r="X498" s="337" t="b">
        <f t="shared" si="25"/>
        <v>0</v>
      </c>
    </row>
    <row r="499" spans="1:24" s="337" customFormat="1" ht="12" customHeight="1" outlineLevel="1">
      <c r="A499" s="335"/>
      <c r="B499" s="118" t="s">
        <v>12</v>
      </c>
      <c r="C499" s="334" t="s">
        <v>5850</v>
      </c>
      <c r="D499" s="124" t="s">
        <v>5851</v>
      </c>
      <c r="E499" s="125"/>
      <c r="F499" s="118" t="s">
        <v>5583</v>
      </c>
      <c r="G499" s="126" t="str">
        <f t="shared" si="24"/>
        <v>ST-SS4-2</v>
      </c>
      <c r="H499" s="255">
        <v>2</v>
      </c>
      <c r="I499" s="361">
        <v>1</v>
      </c>
      <c r="J499" s="362" t="s">
        <v>286</v>
      </c>
      <c r="W499" s="129" t="s">
        <v>4876</v>
      </c>
      <c r="X499" s="337" t="b">
        <f t="shared" si="25"/>
        <v>0</v>
      </c>
    </row>
    <row r="500" spans="1:24" s="337" customFormat="1" ht="12" customHeight="1" outlineLevel="1">
      <c r="A500" s="335"/>
      <c r="B500" s="118" t="s">
        <v>12</v>
      </c>
      <c r="C500" s="334" t="s">
        <v>5852</v>
      </c>
      <c r="D500" s="124" t="s">
        <v>5853</v>
      </c>
      <c r="E500" s="125"/>
      <c r="F500" s="118" t="s">
        <v>5583</v>
      </c>
      <c r="G500" s="126" t="str">
        <f t="shared" si="24"/>
        <v>ST-SS4-2</v>
      </c>
      <c r="H500" s="255">
        <v>2</v>
      </c>
      <c r="I500" s="361">
        <v>1</v>
      </c>
      <c r="J500" s="362" t="s">
        <v>286</v>
      </c>
      <c r="W500" s="129" t="s">
        <v>4876</v>
      </c>
      <c r="X500" s="337" t="b">
        <f t="shared" si="25"/>
        <v>0</v>
      </c>
    </row>
    <row r="501" spans="1:24" s="337" customFormat="1" ht="12" customHeight="1" outlineLevel="1">
      <c r="A501" s="335"/>
      <c r="B501" s="118" t="s">
        <v>12</v>
      </c>
      <c r="C501" s="334" t="s">
        <v>5854</v>
      </c>
      <c r="D501" s="124" t="s">
        <v>5855</v>
      </c>
      <c r="E501" s="125"/>
      <c r="F501" s="118" t="s">
        <v>5583</v>
      </c>
      <c r="G501" s="126" t="str">
        <f t="shared" si="24"/>
        <v>ST-SS4-2</v>
      </c>
      <c r="H501" s="255">
        <v>2</v>
      </c>
      <c r="I501" s="361">
        <v>1</v>
      </c>
      <c r="J501" s="362" t="s">
        <v>286</v>
      </c>
      <c r="W501" s="129" t="s">
        <v>4876</v>
      </c>
      <c r="X501" s="337" t="b">
        <f t="shared" si="25"/>
        <v>0</v>
      </c>
    </row>
    <row r="502" spans="1:24" s="337" customFormat="1" ht="12" customHeight="1" outlineLevel="1">
      <c r="A502" s="335"/>
      <c r="B502" s="118" t="s">
        <v>12</v>
      </c>
      <c r="C502" s="334" t="s">
        <v>5856</v>
      </c>
      <c r="D502" s="124" t="s">
        <v>5857</v>
      </c>
      <c r="E502" s="125"/>
      <c r="F502" s="118" t="s">
        <v>5583</v>
      </c>
      <c r="G502" s="126" t="str">
        <f t="shared" si="24"/>
        <v>ST-SS4-2</v>
      </c>
      <c r="H502" s="255">
        <v>2</v>
      </c>
      <c r="I502" s="361">
        <v>1</v>
      </c>
      <c r="J502" s="362" t="s">
        <v>286</v>
      </c>
      <c r="W502" s="129" t="s">
        <v>4876</v>
      </c>
      <c r="X502" s="337" t="b">
        <f t="shared" si="25"/>
        <v>0</v>
      </c>
    </row>
    <row r="503" spans="1:24" s="337" customFormat="1" ht="12" customHeight="1" outlineLevel="1">
      <c r="A503" s="335"/>
      <c r="B503" s="118" t="s">
        <v>12</v>
      </c>
      <c r="C503" s="334" t="s">
        <v>5858</v>
      </c>
      <c r="D503" s="124" t="s">
        <v>5859</v>
      </c>
      <c r="E503" s="125"/>
      <c r="F503" s="118" t="s">
        <v>5583</v>
      </c>
      <c r="G503" s="126" t="str">
        <f t="shared" si="24"/>
        <v>ST-SS4-2</v>
      </c>
      <c r="H503" s="255">
        <v>2</v>
      </c>
      <c r="I503" s="361">
        <v>1</v>
      </c>
      <c r="J503" s="362" t="s">
        <v>286</v>
      </c>
      <c r="W503" s="129" t="s">
        <v>4876</v>
      </c>
      <c r="X503" s="337" t="b">
        <f t="shared" si="25"/>
        <v>0</v>
      </c>
    </row>
    <row r="504" spans="1:24" s="337" customFormat="1" ht="12" customHeight="1" outlineLevel="1">
      <c r="A504" s="335"/>
      <c r="B504" s="118" t="s">
        <v>12</v>
      </c>
      <c r="C504" s="334" t="s">
        <v>5860</v>
      </c>
      <c r="D504" s="124" t="s">
        <v>5861</v>
      </c>
      <c r="E504" s="125"/>
      <c r="F504" s="118" t="s">
        <v>5583</v>
      </c>
      <c r="G504" s="126" t="str">
        <f t="shared" si="24"/>
        <v>ST-SS4-2</v>
      </c>
      <c r="H504" s="255">
        <v>2</v>
      </c>
      <c r="I504" s="361">
        <v>1</v>
      </c>
      <c r="J504" s="362" t="s">
        <v>286</v>
      </c>
      <c r="W504" s="129" t="s">
        <v>4876</v>
      </c>
      <c r="X504" s="337" t="b">
        <f t="shared" si="25"/>
        <v>0</v>
      </c>
    </row>
    <row r="505" spans="1:24" s="337" customFormat="1" ht="12" customHeight="1" outlineLevel="1">
      <c r="A505" s="335"/>
      <c r="B505" s="118" t="s">
        <v>12</v>
      </c>
      <c r="C505" s="334" t="s">
        <v>5862</v>
      </c>
      <c r="D505" s="124" t="s">
        <v>5863</v>
      </c>
      <c r="E505" s="125"/>
      <c r="F505" s="118" t="s">
        <v>5583</v>
      </c>
      <c r="G505" s="126" t="str">
        <f t="shared" si="24"/>
        <v>ST-SS4-2</v>
      </c>
      <c r="H505" s="255">
        <v>2</v>
      </c>
      <c r="I505" s="361">
        <v>1</v>
      </c>
      <c r="J505" s="362" t="s">
        <v>286</v>
      </c>
      <c r="W505" s="129" t="s">
        <v>4876</v>
      </c>
      <c r="X505" s="337" t="b">
        <f t="shared" si="25"/>
        <v>0</v>
      </c>
    </row>
    <row r="506" spans="1:24" s="337" customFormat="1" ht="12" customHeight="1" outlineLevel="1">
      <c r="A506" s="335"/>
      <c r="B506" s="118" t="s">
        <v>12</v>
      </c>
      <c r="C506" s="334" t="s">
        <v>5864</v>
      </c>
      <c r="D506" s="124" t="s">
        <v>5865</v>
      </c>
      <c r="E506" s="125"/>
      <c r="F506" s="118" t="s">
        <v>5583</v>
      </c>
      <c r="G506" s="126" t="str">
        <f t="shared" si="24"/>
        <v>ST-SS4-2</v>
      </c>
      <c r="H506" s="255">
        <v>2</v>
      </c>
      <c r="I506" s="361">
        <v>1</v>
      </c>
      <c r="J506" s="362" t="s">
        <v>286</v>
      </c>
      <c r="W506" s="129" t="s">
        <v>4876</v>
      </c>
      <c r="X506" s="337" t="b">
        <f t="shared" si="25"/>
        <v>0</v>
      </c>
    </row>
    <row r="507" spans="1:24" s="337" customFormat="1" ht="12" customHeight="1" outlineLevel="1">
      <c r="A507" s="335"/>
      <c r="B507" s="118" t="s">
        <v>12</v>
      </c>
      <c r="C507" s="334" t="s">
        <v>5866</v>
      </c>
      <c r="D507" s="124" t="s">
        <v>5867</v>
      </c>
      <c r="E507" s="125"/>
      <c r="F507" s="118" t="s">
        <v>5583</v>
      </c>
      <c r="G507" s="126" t="str">
        <f t="shared" si="24"/>
        <v>ST-SS4-2</v>
      </c>
      <c r="H507" s="255">
        <v>2</v>
      </c>
      <c r="I507" s="361">
        <v>1</v>
      </c>
      <c r="J507" s="362" t="s">
        <v>286</v>
      </c>
      <c r="W507" s="129" t="s">
        <v>4876</v>
      </c>
      <c r="X507" s="337" t="b">
        <f t="shared" si="25"/>
        <v>0</v>
      </c>
    </row>
    <row r="508" spans="1:24" s="337" customFormat="1" ht="12" customHeight="1" outlineLevel="1">
      <c r="A508" s="335"/>
      <c r="B508" s="118" t="s">
        <v>12</v>
      </c>
      <c r="C508" s="334" t="s">
        <v>5868</v>
      </c>
      <c r="D508" s="124" t="s">
        <v>5869</v>
      </c>
      <c r="E508" s="125"/>
      <c r="F508" s="118" t="s">
        <v>5583</v>
      </c>
      <c r="G508" s="126" t="str">
        <f t="shared" si="24"/>
        <v>ST-SS4-2</v>
      </c>
      <c r="H508" s="255">
        <v>2</v>
      </c>
      <c r="I508" s="361">
        <v>1</v>
      </c>
      <c r="J508" s="362" t="s">
        <v>286</v>
      </c>
      <c r="W508" s="129" t="s">
        <v>4876</v>
      </c>
      <c r="X508" s="337" t="b">
        <f t="shared" si="25"/>
        <v>0</v>
      </c>
    </row>
    <row r="509" spans="1:24" s="337" customFormat="1" ht="12" customHeight="1" outlineLevel="1">
      <c r="A509" s="335"/>
      <c r="B509" s="118" t="s">
        <v>12</v>
      </c>
      <c r="C509" s="334" t="s">
        <v>5870</v>
      </c>
      <c r="D509" s="124" t="s">
        <v>5871</v>
      </c>
      <c r="E509" s="125"/>
      <c r="F509" s="118" t="s">
        <v>5583</v>
      </c>
      <c r="G509" s="126" t="str">
        <f t="shared" si="24"/>
        <v>ST-SS4-2</v>
      </c>
      <c r="H509" s="255">
        <v>2</v>
      </c>
      <c r="I509" s="361">
        <v>1</v>
      </c>
      <c r="J509" s="362" t="s">
        <v>286</v>
      </c>
      <c r="W509" s="129" t="s">
        <v>4876</v>
      </c>
      <c r="X509" s="337" t="b">
        <f t="shared" si="25"/>
        <v>0</v>
      </c>
    </row>
    <row r="510" spans="1:24" s="337" customFormat="1" ht="12" customHeight="1" outlineLevel="1">
      <c r="A510" s="335"/>
      <c r="B510" s="118" t="s">
        <v>12</v>
      </c>
      <c r="C510" s="334" t="s">
        <v>5872</v>
      </c>
      <c r="D510" s="124" t="s">
        <v>5873</v>
      </c>
      <c r="E510" s="125"/>
      <c r="F510" s="118" t="s">
        <v>5583</v>
      </c>
      <c r="G510" s="126" t="str">
        <f t="shared" si="24"/>
        <v>ST-SS4-2</v>
      </c>
      <c r="H510" s="255">
        <v>2</v>
      </c>
      <c r="I510" s="361">
        <v>1</v>
      </c>
      <c r="J510" s="362" t="s">
        <v>286</v>
      </c>
      <c r="W510" s="129" t="s">
        <v>4876</v>
      </c>
      <c r="X510" s="337" t="b">
        <f t="shared" si="25"/>
        <v>0</v>
      </c>
    </row>
    <row r="511" spans="1:24" s="337" customFormat="1" ht="12" customHeight="1" outlineLevel="1">
      <c r="A511" s="335"/>
      <c r="B511" s="118" t="s">
        <v>12</v>
      </c>
      <c r="C511" s="334" t="s">
        <v>5874</v>
      </c>
      <c r="D511" s="124" t="s">
        <v>5875</v>
      </c>
      <c r="E511" s="125"/>
      <c r="F511" s="118" t="s">
        <v>5583</v>
      </c>
      <c r="G511" s="126" t="str">
        <f t="shared" si="24"/>
        <v>ST-SS4-2</v>
      </c>
      <c r="H511" s="255">
        <v>2</v>
      </c>
      <c r="I511" s="361">
        <v>1</v>
      </c>
      <c r="J511" s="362" t="s">
        <v>286</v>
      </c>
      <c r="W511" s="129" t="s">
        <v>4876</v>
      </c>
      <c r="X511" s="337" t="b">
        <f t="shared" si="25"/>
        <v>0</v>
      </c>
    </row>
    <row r="512" spans="1:24" s="337" customFormat="1" ht="12" customHeight="1" outlineLevel="1">
      <c r="A512" s="335"/>
      <c r="B512" s="118" t="s">
        <v>12</v>
      </c>
      <c r="C512" s="334" t="s">
        <v>5876</v>
      </c>
      <c r="D512" s="124" t="s">
        <v>5877</v>
      </c>
      <c r="E512" s="125"/>
      <c r="F512" s="118" t="s">
        <v>5583</v>
      </c>
      <c r="G512" s="126" t="str">
        <f t="shared" si="24"/>
        <v>ST-SS4-2</v>
      </c>
      <c r="H512" s="255">
        <v>2</v>
      </c>
      <c r="I512" s="361">
        <v>1</v>
      </c>
      <c r="J512" s="362" t="s">
        <v>286</v>
      </c>
      <c r="W512" s="129" t="s">
        <v>4876</v>
      </c>
      <c r="X512" s="337" t="b">
        <f t="shared" si="25"/>
        <v>0</v>
      </c>
    </row>
    <row r="513" spans="1:24" s="337" customFormat="1" ht="12" customHeight="1" outlineLevel="1">
      <c r="A513" s="335"/>
      <c r="B513" s="118" t="s">
        <v>12</v>
      </c>
      <c r="C513" s="334" t="s">
        <v>5878</v>
      </c>
      <c r="D513" s="124" t="s">
        <v>5879</v>
      </c>
      <c r="E513" s="125"/>
      <c r="F513" s="118" t="s">
        <v>5583</v>
      </c>
      <c r="G513" s="126" t="str">
        <f t="shared" si="24"/>
        <v>ST-SS4-2</v>
      </c>
      <c r="H513" s="255">
        <v>2</v>
      </c>
      <c r="I513" s="361">
        <v>1</v>
      </c>
      <c r="J513" s="362" t="s">
        <v>286</v>
      </c>
      <c r="W513" s="129" t="s">
        <v>4876</v>
      </c>
      <c r="X513" s="337" t="b">
        <f t="shared" si="25"/>
        <v>0</v>
      </c>
    </row>
    <row r="514" spans="1:24" s="337" customFormat="1" ht="12" customHeight="1" outlineLevel="1">
      <c r="A514" s="335"/>
      <c r="B514" s="118" t="s">
        <v>12</v>
      </c>
      <c r="C514" s="334" t="s">
        <v>5880</v>
      </c>
      <c r="D514" s="124" t="s">
        <v>5881</v>
      </c>
      <c r="E514" s="125"/>
      <c r="F514" s="118" t="s">
        <v>5583</v>
      </c>
      <c r="G514" s="126" t="str">
        <f t="shared" si="24"/>
        <v>ST-SS4-2</v>
      </c>
      <c r="H514" s="255">
        <v>2</v>
      </c>
      <c r="I514" s="361">
        <v>1</v>
      </c>
      <c r="J514" s="362" t="s">
        <v>286</v>
      </c>
      <c r="W514" s="129" t="s">
        <v>4876</v>
      </c>
      <c r="X514" s="337" t="b">
        <f t="shared" si="25"/>
        <v>0</v>
      </c>
    </row>
    <row r="515" spans="1:24" s="337" customFormat="1" ht="12" customHeight="1" outlineLevel="1">
      <c r="A515" s="335"/>
      <c r="B515" s="118" t="s">
        <v>12</v>
      </c>
      <c r="C515" s="334" t="s">
        <v>5882</v>
      </c>
      <c r="D515" s="124" t="s">
        <v>5883</v>
      </c>
      <c r="E515" s="125"/>
      <c r="F515" s="118" t="s">
        <v>5583</v>
      </c>
      <c r="G515" s="126" t="str">
        <f t="shared" si="24"/>
        <v>ST-SS4-2</v>
      </c>
      <c r="H515" s="255">
        <v>2</v>
      </c>
      <c r="I515" s="361">
        <v>1</v>
      </c>
      <c r="J515" s="362" t="s">
        <v>286</v>
      </c>
      <c r="W515" s="129" t="s">
        <v>4876</v>
      </c>
      <c r="X515" s="337" t="b">
        <f t="shared" si="25"/>
        <v>0</v>
      </c>
    </row>
    <row r="516" spans="1:24" s="337" customFormat="1" ht="12" customHeight="1" outlineLevel="1">
      <c r="A516" s="335"/>
      <c r="B516" s="118" t="s">
        <v>12</v>
      </c>
      <c r="C516" s="334" t="s">
        <v>5884</v>
      </c>
      <c r="D516" s="124" t="s">
        <v>5885</v>
      </c>
      <c r="E516" s="125"/>
      <c r="F516" s="118" t="s">
        <v>5583</v>
      </c>
      <c r="G516" s="126" t="str">
        <f t="shared" si="24"/>
        <v>ST-SS4-2</v>
      </c>
      <c r="H516" s="255">
        <v>2</v>
      </c>
      <c r="I516" s="361">
        <v>1</v>
      </c>
      <c r="J516" s="362" t="s">
        <v>286</v>
      </c>
      <c r="W516" s="129" t="s">
        <v>4876</v>
      </c>
      <c r="X516" s="337" t="b">
        <f t="shared" si="25"/>
        <v>0</v>
      </c>
    </row>
    <row r="517" spans="1:24" s="337" customFormat="1" ht="12" customHeight="1" outlineLevel="1">
      <c r="A517" s="335"/>
      <c r="B517" s="118" t="s">
        <v>12</v>
      </c>
      <c r="C517" s="334" t="s">
        <v>5886</v>
      </c>
      <c r="D517" s="124" t="s">
        <v>5887</v>
      </c>
      <c r="E517" s="125"/>
      <c r="F517" s="118" t="s">
        <v>5583</v>
      </c>
      <c r="G517" s="126" t="str">
        <f t="shared" si="24"/>
        <v>ST-SS4-2</v>
      </c>
      <c r="H517" s="255">
        <v>2</v>
      </c>
      <c r="I517" s="361">
        <v>1</v>
      </c>
      <c r="J517" s="362" t="s">
        <v>286</v>
      </c>
      <c r="W517" s="129" t="s">
        <v>4876</v>
      </c>
      <c r="X517" s="337" t="b">
        <f t="shared" si="25"/>
        <v>0</v>
      </c>
    </row>
    <row r="518" spans="1:24" s="337" customFormat="1" ht="12" customHeight="1" outlineLevel="1">
      <c r="A518" s="335"/>
      <c r="B518" s="118" t="s">
        <v>12</v>
      </c>
      <c r="C518" s="334" t="s">
        <v>5888</v>
      </c>
      <c r="D518" s="124" t="s">
        <v>5889</v>
      </c>
      <c r="E518" s="125"/>
      <c r="F518" s="118" t="s">
        <v>5583</v>
      </c>
      <c r="G518" s="126" t="str">
        <f t="shared" si="24"/>
        <v>ST-SS4-2</v>
      </c>
      <c r="H518" s="255">
        <v>2</v>
      </c>
      <c r="I518" s="361">
        <v>1</v>
      </c>
      <c r="J518" s="362" t="s">
        <v>286</v>
      </c>
      <c r="W518" s="129" t="s">
        <v>4876</v>
      </c>
      <c r="X518" s="337" t="b">
        <f t="shared" si="25"/>
        <v>0</v>
      </c>
    </row>
    <row r="519" spans="1:24" s="360" customFormat="1" ht="12" customHeight="1" outlineLevel="1">
      <c r="A519" s="365"/>
      <c r="B519" s="118"/>
      <c r="C519" s="266" t="s">
        <v>5890</v>
      </c>
      <c r="D519" s="124"/>
      <c r="E519" s="125"/>
      <c r="F519" s="118"/>
      <c r="G519" s="126"/>
      <c r="H519" s="253"/>
      <c r="I519" s="361"/>
      <c r="J519" s="366"/>
    </row>
    <row r="520" spans="1:24" s="337" customFormat="1" ht="12" customHeight="1" outlineLevel="1">
      <c r="A520" s="335"/>
      <c r="B520" s="118" t="s">
        <v>12</v>
      </c>
      <c r="C520" s="334" t="s">
        <v>5183</v>
      </c>
      <c r="D520" s="124" t="s">
        <v>5184</v>
      </c>
      <c r="E520" s="125"/>
      <c r="F520" s="118" t="s">
        <v>5891</v>
      </c>
      <c r="G520" s="126" t="str">
        <f t="shared" ref="G520:G525" si="26">CONCATENATE(B520,"-",F520,"-",H520)</f>
        <v>ST-SS5-1</v>
      </c>
      <c r="H520" s="255">
        <v>1</v>
      </c>
      <c r="I520" s="361">
        <v>1</v>
      </c>
      <c r="J520" s="362" t="s">
        <v>286</v>
      </c>
      <c r="W520" s="129" t="s">
        <v>4876</v>
      </c>
      <c r="X520" s="337" t="b">
        <f t="shared" ref="X520:X525" si="27">W520=J520</f>
        <v>0</v>
      </c>
    </row>
    <row r="521" spans="1:24" s="337" customFormat="1" ht="12" customHeight="1" outlineLevel="1">
      <c r="A521" s="335"/>
      <c r="B521" s="118" t="s">
        <v>12</v>
      </c>
      <c r="C521" s="334" t="s">
        <v>5892</v>
      </c>
      <c r="D521" s="124" t="s">
        <v>5893</v>
      </c>
      <c r="E521" s="125"/>
      <c r="F521" s="118" t="s">
        <v>5891</v>
      </c>
      <c r="G521" s="126" t="str">
        <f t="shared" si="26"/>
        <v>ST-SS5-1</v>
      </c>
      <c r="H521" s="255">
        <v>1</v>
      </c>
      <c r="I521" s="361">
        <v>1</v>
      </c>
      <c r="J521" s="362" t="s">
        <v>286</v>
      </c>
      <c r="W521" s="129" t="s">
        <v>4876</v>
      </c>
      <c r="X521" s="337" t="b">
        <f t="shared" si="27"/>
        <v>0</v>
      </c>
    </row>
    <row r="522" spans="1:24" s="337" customFormat="1" ht="12" customHeight="1" outlineLevel="1">
      <c r="A522" s="335"/>
      <c r="B522" s="118" t="s">
        <v>12</v>
      </c>
      <c r="C522" s="334" t="s">
        <v>5894</v>
      </c>
      <c r="D522" s="124" t="s">
        <v>5895</v>
      </c>
      <c r="E522" s="125"/>
      <c r="F522" s="118" t="s">
        <v>5891</v>
      </c>
      <c r="G522" s="126" t="str">
        <f t="shared" si="26"/>
        <v>ST-SS5-1</v>
      </c>
      <c r="H522" s="255">
        <v>1</v>
      </c>
      <c r="I522" s="361">
        <v>1</v>
      </c>
      <c r="J522" s="362" t="s">
        <v>286</v>
      </c>
      <c r="W522" s="129" t="s">
        <v>4876</v>
      </c>
      <c r="X522" s="337" t="b">
        <f t="shared" si="27"/>
        <v>0</v>
      </c>
    </row>
    <row r="523" spans="1:24" s="337" customFormat="1" ht="12" customHeight="1" outlineLevel="1">
      <c r="A523" s="335"/>
      <c r="B523" s="118" t="s">
        <v>12</v>
      </c>
      <c r="C523" s="334" t="s">
        <v>5896</v>
      </c>
      <c r="D523" s="124" t="s">
        <v>5897</v>
      </c>
      <c r="E523" s="125"/>
      <c r="F523" s="118" t="s">
        <v>5891</v>
      </c>
      <c r="G523" s="126" t="str">
        <f t="shared" si="26"/>
        <v>ST-SS5-2</v>
      </c>
      <c r="H523" s="255">
        <v>2</v>
      </c>
      <c r="I523" s="361">
        <v>1</v>
      </c>
      <c r="J523" s="362" t="s">
        <v>286</v>
      </c>
      <c r="W523" s="129" t="s">
        <v>4876</v>
      </c>
      <c r="X523" s="337" t="b">
        <f t="shared" si="27"/>
        <v>0</v>
      </c>
    </row>
    <row r="524" spans="1:24" s="337" customFormat="1" ht="12" customHeight="1" outlineLevel="1">
      <c r="A524" s="335"/>
      <c r="B524" s="118" t="s">
        <v>12</v>
      </c>
      <c r="C524" s="334" t="s">
        <v>5898</v>
      </c>
      <c r="D524" s="124" t="s">
        <v>5899</v>
      </c>
      <c r="E524" s="125"/>
      <c r="F524" s="118" t="s">
        <v>5891</v>
      </c>
      <c r="G524" s="126" t="str">
        <f t="shared" si="26"/>
        <v>ST-SS5-2</v>
      </c>
      <c r="H524" s="255">
        <v>2</v>
      </c>
      <c r="I524" s="361">
        <v>1</v>
      </c>
      <c r="J524" s="362" t="s">
        <v>286</v>
      </c>
      <c r="W524" s="129" t="s">
        <v>4876</v>
      </c>
      <c r="X524" s="337" t="b">
        <f t="shared" si="27"/>
        <v>0</v>
      </c>
    </row>
    <row r="525" spans="1:24" s="337" customFormat="1" ht="12" customHeight="1" outlineLevel="1">
      <c r="A525" s="335"/>
      <c r="B525" s="118" t="s">
        <v>12</v>
      </c>
      <c r="C525" s="334" t="s">
        <v>5900</v>
      </c>
      <c r="D525" s="124" t="s">
        <v>5901</v>
      </c>
      <c r="E525" s="125"/>
      <c r="F525" s="118" t="s">
        <v>5891</v>
      </c>
      <c r="G525" s="126" t="str">
        <f t="shared" si="26"/>
        <v>ST-SS5-2</v>
      </c>
      <c r="H525" s="255">
        <v>2</v>
      </c>
      <c r="I525" s="361">
        <v>1</v>
      </c>
      <c r="J525" s="362" t="s">
        <v>286</v>
      </c>
      <c r="W525" s="129" t="s">
        <v>4876</v>
      </c>
      <c r="X525" s="337" t="b">
        <f t="shared" si="27"/>
        <v>0</v>
      </c>
    </row>
    <row r="526" spans="1:24" s="360" customFormat="1" ht="12" customHeight="1" outlineLevel="1">
      <c r="A526" s="365"/>
      <c r="B526" s="118"/>
      <c r="C526" s="266" t="s">
        <v>5902</v>
      </c>
      <c r="D526" s="124"/>
      <c r="E526" s="125"/>
      <c r="F526" s="118"/>
      <c r="G526" s="126"/>
      <c r="H526" s="253"/>
      <c r="I526" s="361"/>
      <c r="J526" s="366"/>
    </row>
    <row r="527" spans="1:24" s="337" customFormat="1" ht="12" customHeight="1" outlineLevel="1">
      <c r="A527" s="335"/>
      <c r="B527" s="118" t="s">
        <v>12</v>
      </c>
      <c r="C527" s="334" t="s">
        <v>5183</v>
      </c>
      <c r="D527" s="124" t="s">
        <v>5184</v>
      </c>
      <c r="E527" s="125"/>
      <c r="F527" s="118" t="s">
        <v>5903</v>
      </c>
      <c r="G527" s="126" t="str">
        <f t="shared" ref="G527:G532" si="28">CONCATENATE(B527,"-",F527,"-",H527)</f>
        <v>ST-SS6-1</v>
      </c>
      <c r="H527" s="255">
        <v>1</v>
      </c>
      <c r="I527" s="361">
        <v>1</v>
      </c>
      <c r="J527" s="362" t="s">
        <v>286</v>
      </c>
      <c r="W527" s="129" t="s">
        <v>4876</v>
      </c>
      <c r="X527" s="337" t="b">
        <f t="shared" ref="X527:X532" si="29">W527=J527</f>
        <v>0</v>
      </c>
    </row>
    <row r="528" spans="1:24" s="337" customFormat="1" ht="12" customHeight="1" outlineLevel="1">
      <c r="A528" s="335"/>
      <c r="B528" s="118" t="s">
        <v>12</v>
      </c>
      <c r="C528" s="334" t="s">
        <v>5892</v>
      </c>
      <c r="D528" s="124" t="s">
        <v>5893</v>
      </c>
      <c r="E528" s="125"/>
      <c r="F528" s="118" t="s">
        <v>5903</v>
      </c>
      <c r="G528" s="126" t="str">
        <f t="shared" si="28"/>
        <v>ST-SS6-1</v>
      </c>
      <c r="H528" s="255">
        <v>1</v>
      </c>
      <c r="I528" s="361">
        <v>1</v>
      </c>
      <c r="J528" s="362" t="s">
        <v>286</v>
      </c>
      <c r="W528" s="129" t="s">
        <v>4876</v>
      </c>
      <c r="X528" s="337" t="b">
        <f t="shared" si="29"/>
        <v>0</v>
      </c>
    </row>
    <row r="529" spans="1:24" s="337" customFormat="1" ht="12" customHeight="1" outlineLevel="1">
      <c r="A529" s="335"/>
      <c r="B529" s="118" t="s">
        <v>12</v>
      </c>
      <c r="C529" s="334" t="s">
        <v>5894</v>
      </c>
      <c r="D529" s="124" t="s">
        <v>5895</v>
      </c>
      <c r="E529" s="125"/>
      <c r="F529" s="118" t="s">
        <v>5903</v>
      </c>
      <c r="G529" s="126" t="str">
        <f t="shared" si="28"/>
        <v>ST-SS6-1</v>
      </c>
      <c r="H529" s="255">
        <v>1</v>
      </c>
      <c r="I529" s="361">
        <v>1</v>
      </c>
      <c r="J529" s="362" t="s">
        <v>286</v>
      </c>
      <c r="W529" s="129" t="s">
        <v>4876</v>
      </c>
      <c r="X529" s="337" t="b">
        <f t="shared" si="29"/>
        <v>0</v>
      </c>
    </row>
    <row r="530" spans="1:24" s="337" customFormat="1" ht="12" customHeight="1" outlineLevel="1">
      <c r="A530" s="335"/>
      <c r="B530" s="118" t="s">
        <v>12</v>
      </c>
      <c r="C530" s="334" t="s">
        <v>5896</v>
      </c>
      <c r="D530" s="124" t="s">
        <v>5897</v>
      </c>
      <c r="E530" s="125"/>
      <c r="F530" s="118" t="s">
        <v>5903</v>
      </c>
      <c r="G530" s="126" t="str">
        <f t="shared" si="28"/>
        <v>ST-SS6-2</v>
      </c>
      <c r="H530" s="255">
        <v>2</v>
      </c>
      <c r="I530" s="361">
        <v>1</v>
      </c>
      <c r="J530" s="362" t="s">
        <v>286</v>
      </c>
      <c r="W530" s="129" t="s">
        <v>4876</v>
      </c>
      <c r="X530" s="337" t="b">
        <f t="shared" si="29"/>
        <v>0</v>
      </c>
    </row>
    <row r="531" spans="1:24" s="337" customFormat="1" ht="12" customHeight="1" outlineLevel="1">
      <c r="A531" s="335"/>
      <c r="B531" s="118" t="s">
        <v>12</v>
      </c>
      <c r="C531" s="334" t="s">
        <v>5898</v>
      </c>
      <c r="D531" s="124" t="s">
        <v>5899</v>
      </c>
      <c r="E531" s="125"/>
      <c r="F531" s="118" t="s">
        <v>5903</v>
      </c>
      <c r="G531" s="126" t="str">
        <f t="shared" si="28"/>
        <v>ST-SS6-2</v>
      </c>
      <c r="H531" s="255">
        <v>2</v>
      </c>
      <c r="I531" s="361">
        <v>1</v>
      </c>
      <c r="J531" s="362" t="s">
        <v>286</v>
      </c>
      <c r="W531" s="129" t="s">
        <v>4876</v>
      </c>
      <c r="X531" s="337" t="b">
        <f t="shared" si="29"/>
        <v>0</v>
      </c>
    </row>
    <row r="532" spans="1:24" s="337" customFormat="1" ht="12" customHeight="1" outlineLevel="1">
      <c r="A532" s="335"/>
      <c r="B532" s="118" t="s">
        <v>12</v>
      </c>
      <c r="C532" s="334" t="s">
        <v>5900</v>
      </c>
      <c r="D532" s="124" t="s">
        <v>5901</v>
      </c>
      <c r="E532" s="125"/>
      <c r="F532" s="118" t="s">
        <v>5903</v>
      </c>
      <c r="G532" s="126" t="str">
        <f t="shared" si="28"/>
        <v>ST-SS6-2</v>
      </c>
      <c r="H532" s="255">
        <v>2</v>
      </c>
      <c r="I532" s="361">
        <v>1</v>
      </c>
      <c r="J532" s="362" t="s">
        <v>286</v>
      </c>
      <c r="W532" s="129" t="s">
        <v>4876</v>
      </c>
      <c r="X532" s="337" t="b">
        <f t="shared" si="29"/>
        <v>0</v>
      </c>
    </row>
    <row r="533" spans="1:24" s="360" customFormat="1" ht="12" customHeight="1" outlineLevel="1">
      <c r="A533" s="365"/>
      <c r="B533" s="118"/>
      <c r="C533" s="334" t="s">
        <v>5904</v>
      </c>
      <c r="D533" s="124"/>
      <c r="E533" s="125"/>
      <c r="F533" s="118"/>
      <c r="G533" s="126"/>
      <c r="H533" s="253"/>
      <c r="I533" s="361"/>
      <c r="J533" s="366"/>
    </row>
    <row r="534" spans="1:24" s="337" customFormat="1" ht="12" customHeight="1" outlineLevel="1">
      <c r="A534" s="335"/>
      <c r="B534" s="118" t="s">
        <v>12</v>
      </c>
      <c r="C534" s="334" t="s">
        <v>5183</v>
      </c>
      <c r="D534" s="124" t="s">
        <v>5184</v>
      </c>
      <c r="E534" s="125"/>
      <c r="F534" s="118" t="s">
        <v>5905</v>
      </c>
      <c r="G534" s="126" t="str">
        <f t="shared" ref="G534:G539" si="30">CONCATENATE(B534,"-",F534,"-",H534)</f>
        <v>ST-SS7-1</v>
      </c>
      <c r="H534" s="255">
        <v>1</v>
      </c>
      <c r="I534" s="361">
        <v>1</v>
      </c>
      <c r="J534" s="362" t="s">
        <v>286</v>
      </c>
      <c r="W534" s="129" t="s">
        <v>4876</v>
      </c>
      <c r="X534" s="337" t="b">
        <f t="shared" ref="X534:X539" si="31">W534=J534</f>
        <v>0</v>
      </c>
    </row>
    <row r="535" spans="1:24" s="337" customFormat="1" ht="12" customHeight="1" outlineLevel="1">
      <c r="A535" s="335"/>
      <c r="B535" s="118" t="s">
        <v>12</v>
      </c>
      <c r="C535" s="334" t="s">
        <v>5892</v>
      </c>
      <c r="D535" s="124" t="s">
        <v>5893</v>
      </c>
      <c r="E535" s="125"/>
      <c r="F535" s="118" t="s">
        <v>5905</v>
      </c>
      <c r="G535" s="126" t="str">
        <f t="shared" si="30"/>
        <v>ST-SS7-1</v>
      </c>
      <c r="H535" s="255">
        <v>1</v>
      </c>
      <c r="I535" s="361">
        <v>1</v>
      </c>
      <c r="J535" s="362" t="s">
        <v>286</v>
      </c>
      <c r="W535" s="129" t="s">
        <v>4876</v>
      </c>
      <c r="X535" s="337" t="b">
        <f t="shared" si="31"/>
        <v>0</v>
      </c>
    </row>
    <row r="536" spans="1:24" s="337" customFormat="1" ht="12" customHeight="1" outlineLevel="1">
      <c r="A536" s="335"/>
      <c r="B536" s="118" t="s">
        <v>12</v>
      </c>
      <c r="C536" s="334" t="s">
        <v>5894</v>
      </c>
      <c r="D536" s="124" t="s">
        <v>5895</v>
      </c>
      <c r="E536" s="125"/>
      <c r="F536" s="118" t="s">
        <v>5905</v>
      </c>
      <c r="G536" s="126" t="str">
        <f t="shared" si="30"/>
        <v>ST-SS7-1</v>
      </c>
      <c r="H536" s="255">
        <v>1</v>
      </c>
      <c r="I536" s="361">
        <v>1</v>
      </c>
      <c r="J536" s="362" t="s">
        <v>286</v>
      </c>
      <c r="W536" s="129" t="s">
        <v>4876</v>
      </c>
      <c r="X536" s="337" t="b">
        <f t="shared" si="31"/>
        <v>0</v>
      </c>
    </row>
    <row r="537" spans="1:24" s="337" customFormat="1" ht="12" customHeight="1" outlineLevel="1">
      <c r="A537" s="335"/>
      <c r="B537" s="118" t="s">
        <v>12</v>
      </c>
      <c r="C537" s="334" t="s">
        <v>5896</v>
      </c>
      <c r="D537" s="124" t="s">
        <v>5897</v>
      </c>
      <c r="E537" s="125"/>
      <c r="F537" s="118" t="s">
        <v>5905</v>
      </c>
      <c r="G537" s="126" t="str">
        <f t="shared" si="30"/>
        <v>ST-SS7-2</v>
      </c>
      <c r="H537" s="255">
        <v>2</v>
      </c>
      <c r="I537" s="361">
        <v>1</v>
      </c>
      <c r="J537" s="362" t="s">
        <v>286</v>
      </c>
      <c r="W537" s="129" t="s">
        <v>4876</v>
      </c>
      <c r="X537" s="337" t="b">
        <f t="shared" si="31"/>
        <v>0</v>
      </c>
    </row>
    <row r="538" spans="1:24" s="337" customFormat="1" ht="12" customHeight="1" outlineLevel="1">
      <c r="A538" s="335"/>
      <c r="B538" s="118" t="s">
        <v>12</v>
      </c>
      <c r="C538" s="334" t="s">
        <v>5898</v>
      </c>
      <c r="D538" s="124" t="s">
        <v>5899</v>
      </c>
      <c r="E538" s="125"/>
      <c r="F538" s="118" t="s">
        <v>5905</v>
      </c>
      <c r="G538" s="126" t="str">
        <f t="shared" si="30"/>
        <v>ST-SS7-2</v>
      </c>
      <c r="H538" s="255">
        <v>2</v>
      </c>
      <c r="I538" s="361">
        <v>1</v>
      </c>
      <c r="J538" s="362" t="s">
        <v>286</v>
      </c>
      <c r="W538" s="129" t="s">
        <v>4876</v>
      </c>
      <c r="X538" s="337" t="b">
        <f t="shared" si="31"/>
        <v>0</v>
      </c>
    </row>
    <row r="539" spans="1:24" s="337" customFormat="1" ht="12" customHeight="1" outlineLevel="1">
      <c r="A539" s="335"/>
      <c r="B539" s="118" t="s">
        <v>12</v>
      </c>
      <c r="C539" s="334" t="s">
        <v>5900</v>
      </c>
      <c r="D539" s="124" t="s">
        <v>5901</v>
      </c>
      <c r="E539" s="125"/>
      <c r="F539" s="118" t="s">
        <v>5905</v>
      </c>
      <c r="G539" s="126" t="str">
        <f t="shared" si="30"/>
        <v>ST-SS7-2</v>
      </c>
      <c r="H539" s="255">
        <v>2</v>
      </c>
      <c r="I539" s="361">
        <v>1</v>
      </c>
      <c r="J539" s="362" t="s">
        <v>286</v>
      </c>
      <c r="W539" s="129" t="s">
        <v>4876</v>
      </c>
      <c r="X539" s="337" t="b">
        <f t="shared" si="31"/>
        <v>0</v>
      </c>
    </row>
    <row r="540" spans="1:24" s="360" customFormat="1" ht="12" customHeight="1" outlineLevel="1">
      <c r="A540" s="365"/>
      <c r="B540" s="118"/>
      <c r="C540" s="334" t="s">
        <v>5906</v>
      </c>
      <c r="D540" s="124"/>
      <c r="E540" s="125"/>
      <c r="F540" s="118"/>
      <c r="G540" s="126"/>
      <c r="H540" s="253"/>
      <c r="I540" s="361"/>
      <c r="J540" s="366"/>
    </row>
    <row r="541" spans="1:24" s="337" customFormat="1" ht="12" customHeight="1" outlineLevel="1">
      <c r="A541" s="335"/>
      <c r="B541" s="118" t="s">
        <v>12</v>
      </c>
      <c r="C541" s="334" t="s">
        <v>5183</v>
      </c>
      <c r="D541" s="124" t="s">
        <v>5184</v>
      </c>
      <c r="E541" s="125"/>
      <c r="F541" s="118" t="s">
        <v>5907</v>
      </c>
      <c r="G541" s="126" t="str">
        <f t="shared" ref="G541:G546" si="32">CONCATENATE(B541,"-",F541,"-",H541)</f>
        <v>ST-SS8-1</v>
      </c>
      <c r="H541" s="255">
        <v>1</v>
      </c>
      <c r="I541" s="361">
        <v>1</v>
      </c>
      <c r="J541" s="362" t="s">
        <v>286</v>
      </c>
      <c r="W541" s="129" t="s">
        <v>4876</v>
      </c>
      <c r="X541" s="337" t="b">
        <f t="shared" ref="X541:X546" si="33">W541=J541</f>
        <v>0</v>
      </c>
    </row>
    <row r="542" spans="1:24" s="337" customFormat="1" ht="12" customHeight="1" outlineLevel="1">
      <c r="A542" s="335"/>
      <c r="B542" s="118" t="s">
        <v>12</v>
      </c>
      <c r="C542" s="334" t="s">
        <v>5892</v>
      </c>
      <c r="D542" s="124" t="s">
        <v>5893</v>
      </c>
      <c r="E542" s="125"/>
      <c r="F542" s="118" t="s">
        <v>5907</v>
      </c>
      <c r="G542" s="126" t="str">
        <f t="shared" si="32"/>
        <v>ST-SS8-1</v>
      </c>
      <c r="H542" s="255">
        <v>1</v>
      </c>
      <c r="I542" s="361">
        <v>1</v>
      </c>
      <c r="J542" s="362" t="s">
        <v>286</v>
      </c>
      <c r="W542" s="129" t="s">
        <v>4876</v>
      </c>
      <c r="X542" s="337" t="b">
        <f t="shared" si="33"/>
        <v>0</v>
      </c>
    </row>
    <row r="543" spans="1:24" s="337" customFormat="1" ht="12" customHeight="1" outlineLevel="1">
      <c r="A543" s="335"/>
      <c r="B543" s="118" t="s">
        <v>12</v>
      </c>
      <c r="C543" s="334" t="s">
        <v>5894</v>
      </c>
      <c r="D543" s="124" t="s">
        <v>5895</v>
      </c>
      <c r="E543" s="125"/>
      <c r="F543" s="118" t="s">
        <v>5907</v>
      </c>
      <c r="G543" s="126" t="str">
        <f t="shared" si="32"/>
        <v>ST-SS8-1</v>
      </c>
      <c r="H543" s="255">
        <v>1</v>
      </c>
      <c r="I543" s="361">
        <v>1</v>
      </c>
      <c r="J543" s="362" t="s">
        <v>286</v>
      </c>
      <c r="W543" s="129" t="s">
        <v>4876</v>
      </c>
      <c r="X543" s="337" t="b">
        <f t="shared" si="33"/>
        <v>0</v>
      </c>
    </row>
    <row r="544" spans="1:24" s="337" customFormat="1" ht="12" customHeight="1" outlineLevel="1">
      <c r="A544" s="335"/>
      <c r="B544" s="118" t="s">
        <v>12</v>
      </c>
      <c r="C544" s="334" t="s">
        <v>5896</v>
      </c>
      <c r="D544" s="124" t="s">
        <v>5897</v>
      </c>
      <c r="E544" s="125"/>
      <c r="F544" s="118" t="s">
        <v>5907</v>
      </c>
      <c r="G544" s="126" t="str">
        <f t="shared" si="32"/>
        <v>ST-SS8-2</v>
      </c>
      <c r="H544" s="255">
        <v>2</v>
      </c>
      <c r="I544" s="361">
        <v>1</v>
      </c>
      <c r="J544" s="362" t="s">
        <v>286</v>
      </c>
      <c r="W544" s="129" t="s">
        <v>4876</v>
      </c>
      <c r="X544" s="337" t="b">
        <f t="shared" si="33"/>
        <v>0</v>
      </c>
    </row>
    <row r="545" spans="1:24" s="337" customFormat="1" ht="12" customHeight="1" outlineLevel="1">
      <c r="A545" s="335"/>
      <c r="B545" s="118" t="s">
        <v>12</v>
      </c>
      <c r="C545" s="334" t="s">
        <v>5898</v>
      </c>
      <c r="D545" s="124" t="s">
        <v>5899</v>
      </c>
      <c r="E545" s="125"/>
      <c r="F545" s="118" t="s">
        <v>5907</v>
      </c>
      <c r="G545" s="126" t="str">
        <f t="shared" si="32"/>
        <v>ST-SS8-2</v>
      </c>
      <c r="H545" s="255">
        <v>2</v>
      </c>
      <c r="I545" s="361">
        <v>1</v>
      </c>
      <c r="J545" s="362" t="s">
        <v>286</v>
      </c>
      <c r="W545" s="129" t="s">
        <v>4876</v>
      </c>
      <c r="X545" s="337" t="b">
        <f t="shared" si="33"/>
        <v>0</v>
      </c>
    </row>
    <row r="546" spans="1:24" s="337" customFormat="1" ht="12" customHeight="1" outlineLevel="1">
      <c r="A546" s="335"/>
      <c r="B546" s="118" t="s">
        <v>12</v>
      </c>
      <c r="C546" s="334" t="s">
        <v>5900</v>
      </c>
      <c r="D546" s="124" t="s">
        <v>5901</v>
      </c>
      <c r="E546" s="125"/>
      <c r="F546" s="118" t="s">
        <v>5907</v>
      </c>
      <c r="G546" s="126" t="str">
        <f t="shared" si="32"/>
        <v>ST-SS8-2</v>
      </c>
      <c r="H546" s="255">
        <v>2</v>
      </c>
      <c r="I546" s="361">
        <v>1</v>
      </c>
      <c r="J546" s="362" t="s">
        <v>286</v>
      </c>
      <c r="W546" s="129" t="s">
        <v>4876</v>
      </c>
      <c r="X546" s="337" t="b">
        <f t="shared" si="33"/>
        <v>0</v>
      </c>
    </row>
    <row r="547" spans="1:24" s="360" customFormat="1" ht="12" customHeight="1" outlineLevel="1">
      <c r="A547" s="365"/>
      <c r="B547" s="118"/>
      <c r="C547" s="334" t="s">
        <v>5908</v>
      </c>
      <c r="D547" s="124"/>
      <c r="E547" s="125"/>
      <c r="F547" s="118"/>
      <c r="G547" s="126"/>
      <c r="H547" s="253"/>
      <c r="I547" s="361"/>
      <c r="J547" s="366"/>
    </row>
    <row r="548" spans="1:24" s="337" customFormat="1" ht="12" customHeight="1" outlineLevel="1">
      <c r="A548" s="335"/>
      <c r="B548" s="118" t="s">
        <v>12</v>
      </c>
      <c r="C548" s="334" t="s">
        <v>5183</v>
      </c>
      <c r="D548" s="124" t="s">
        <v>5184</v>
      </c>
      <c r="E548" s="125"/>
      <c r="F548" s="118" t="s">
        <v>5909</v>
      </c>
      <c r="G548" s="126" t="str">
        <f t="shared" ref="G548:G572" si="34">CONCATENATE(B548,"-",F548,"-",H548)</f>
        <v>ST-SS9-1</v>
      </c>
      <c r="H548" s="255">
        <v>1</v>
      </c>
      <c r="I548" s="361">
        <v>1</v>
      </c>
      <c r="J548" s="362" t="s">
        <v>286</v>
      </c>
      <c r="W548" s="129" t="s">
        <v>4876</v>
      </c>
      <c r="X548" s="337" t="b">
        <f t="shared" ref="X548:X572" si="35">W548=J548</f>
        <v>0</v>
      </c>
    </row>
    <row r="549" spans="1:24" s="337" customFormat="1" ht="12" customHeight="1" outlineLevel="1">
      <c r="A549" s="335"/>
      <c r="B549" s="118" t="s">
        <v>12</v>
      </c>
      <c r="C549" s="334" t="s">
        <v>5910</v>
      </c>
      <c r="D549" s="124" t="s">
        <v>5911</v>
      </c>
      <c r="E549" s="125"/>
      <c r="F549" s="118" t="s">
        <v>5909</v>
      </c>
      <c r="G549" s="126" t="str">
        <f t="shared" si="34"/>
        <v>ST-SS9-1</v>
      </c>
      <c r="H549" s="255">
        <v>1</v>
      </c>
      <c r="I549" s="361">
        <v>1</v>
      </c>
      <c r="J549" s="362" t="s">
        <v>325</v>
      </c>
      <c r="W549" s="129" t="s">
        <v>4876</v>
      </c>
      <c r="X549" s="337" t="b">
        <f t="shared" si="35"/>
        <v>0</v>
      </c>
    </row>
    <row r="550" spans="1:24" s="337" customFormat="1" ht="12" customHeight="1" outlineLevel="1">
      <c r="A550" s="335"/>
      <c r="B550" s="118" t="s">
        <v>12</v>
      </c>
      <c r="C550" s="334" t="s">
        <v>5912</v>
      </c>
      <c r="D550" s="124" t="s">
        <v>5913</v>
      </c>
      <c r="E550" s="125"/>
      <c r="F550" s="118" t="s">
        <v>5909</v>
      </c>
      <c r="G550" s="126" t="str">
        <f t="shared" si="34"/>
        <v>ST-SS9-1</v>
      </c>
      <c r="H550" s="255">
        <v>1</v>
      </c>
      <c r="I550" s="361">
        <v>1</v>
      </c>
      <c r="J550" s="362" t="s">
        <v>286</v>
      </c>
      <c r="W550" s="129" t="s">
        <v>4876</v>
      </c>
      <c r="X550" s="337" t="b">
        <f t="shared" si="35"/>
        <v>0</v>
      </c>
    </row>
    <row r="551" spans="1:24" s="337" customFormat="1" ht="12" customHeight="1" outlineLevel="1">
      <c r="A551" s="335"/>
      <c r="B551" s="118" t="s">
        <v>12</v>
      </c>
      <c r="C551" s="334" t="s">
        <v>5914</v>
      </c>
      <c r="D551" s="124" t="s">
        <v>5915</v>
      </c>
      <c r="E551" s="125"/>
      <c r="F551" s="118" t="s">
        <v>5909</v>
      </c>
      <c r="G551" s="126" t="str">
        <f t="shared" si="34"/>
        <v>ST-SS9-1</v>
      </c>
      <c r="H551" s="255">
        <v>1</v>
      </c>
      <c r="I551" s="361">
        <v>1</v>
      </c>
      <c r="J551" s="362" t="s">
        <v>310</v>
      </c>
      <c r="W551" s="129" t="s">
        <v>4876</v>
      </c>
      <c r="X551" s="337" t="b">
        <f t="shared" si="35"/>
        <v>0</v>
      </c>
    </row>
    <row r="552" spans="1:24" s="337" customFormat="1" ht="12" customHeight="1" outlineLevel="1">
      <c r="A552" s="335"/>
      <c r="B552" s="118" t="s">
        <v>12</v>
      </c>
      <c r="C552" s="334" t="s">
        <v>5916</v>
      </c>
      <c r="D552" s="124" t="s">
        <v>5917</v>
      </c>
      <c r="E552" s="125"/>
      <c r="F552" s="118" t="s">
        <v>5909</v>
      </c>
      <c r="G552" s="126" t="str">
        <f t="shared" si="34"/>
        <v>ST-SS9-1</v>
      </c>
      <c r="H552" s="255">
        <v>1</v>
      </c>
      <c r="I552" s="361">
        <v>1</v>
      </c>
      <c r="J552" s="362" t="s">
        <v>286</v>
      </c>
      <c r="W552" s="129" t="s">
        <v>4876</v>
      </c>
      <c r="X552" s="337" t="b">
        <f t="shared" si="35"/>
        <v>0</v>
      </c>
    </row>
    <row r="553" spans="1:24" s="337" customFormat="1" ht="12" customHeight="1" outlineLevel="1">
      <c r="A553" s="335"/>
      <c r="B553" s="118" t="s">
        <v>12</v>
      </c>
      <c r="C553" s="334" t="s">
        <v>5918</v>
      </c>
      <c r="D553" s="124" t="s">
        <v>5919</v>
      </c>
      <c r="E553" s="125"/>
      <c r="F553" s="118" t="s">
        <v>5909</v>
      </c>
      <c r="G553" s="126" t="str">
        <f t="shared" si="34"/>
        <v>ST-SS9-1</v>
      </c>
      <c r="H553" s="255">
        <v>1</v>
      </c>
      <c r="I553" s="361">
        <v>1</v>
      </c>
      <c r="J553" s="362" t="s">
        <v>286</v>
      </c>
      <c r="W553" s="129" t="s">
        <v>4876</v>
      </c>
      <c r="X553" s="337" t="b">
        <f t="shared" si="35"/>
        <v>0</v>
      </c>
    </row>
    <row r="554" spans="1:24" s="337" customFormat="1" ht="12" customHeight="1" outlineLevel="1">
      <c r="A554" s="335"/>
      <c r="B554" s="118" t="s">
        <v>12</v>
      </c>
      <c r="C554" s="334" t="s">
        <v>5920</v>
      </c>
      <c r="D554" s="124" t="s">
        <v>5921</v>
      </c>
      <c r="E554" s="125"/>
      <c r="F554" s="118" t="s">
        <v>5909</v>
      </c>
      <c r="G554" s="126" t="str">
        <f t="shared" si="34"/>
        <v>ST-SS9-1</v>
      </c>
      <c r="H554" s="255">
        <v>1</v>
      </c>
      <c r="I554" s="361">
        <v>1</v>
      </c>
      <c r="J554" s="362" t="s">
        <v>310</v>
      </c>
      <c r="W554" s="129" t="s">
        <v>4876</v>
      </c>
      <c r="X554" s="337" t="b">
        <f t="shared" si="35"/>
        <v>0</v>
      </c>
    </row>
    <row r="555" spans="1:24" s="337" customFormat="1" ht="12" customHeight="1" outlineLevel="1">
      <c r="A555" s="335"/>
      <c r="B555" s="118" t="s">
        <v>12</v>
      </c>
      <c r="C555" s="334" t="s">
        <v>5922</v>
      </c>
      <c r="D555" s="124" t="s">
        <v>5923</v>
      </c>
      <c r="E555" s="125"/>
      <c r="F555" s="118" t="s">
        <v>5909</v>
      </c>
      <c r="G555" s="126" t="str">
        <f t="shared" si="34"/>
        <v>ST-SS9-1</v>
      </c>
      <c r="H555" s="255">
        <v>1</v>
      </c>
      <c r="I555" s="361">
        <v>1</v>
      </c>
      <c r="J555" s="362" t="s">
        <v>286</v>
      </c>
      <c r="W555" s="129" t="s">
        <v>4876</v>
      </c>
      <c r="X555" s="337" t="b">
        <f t="shared" si="35"/>
        <v>0</v>
      </c>
    </row>
    <row r="556" spans="1:24" s="337" customFormat="1" ht="12" customHeight="1" outlineLevel="1">
      <c r="A556" s="335"/>
      <c r="B556" s="118" t="s">
        <v>12</v>
      </c>
      <c r="C556" s="334" t="s">
        <v>5924</v>
      </c>
      <c r="D556" s="124" t="s">
        <v>5925</v>
      </c>
      <c r="E556" s="125"/>
      <c r="F556" s="118" t="s">
        <v>5909</v>
      </c>
      <c r="G556" s="126" t="str">
        <f t="shared" si="34"/>
        <v>ST-SS9-1</v>
      </c>
      <c r="H556" s="255">
        <v>1</v>
      </c>
      <c r="I556" s="361">
        <v>1</v>
      </c>
      <c r="J556" s="362" t="s">
        <v>286</v>
      </c>
      <c r="W556" s="129" t="s">
        <v>4876</v>
      </c>
      <c r="X556" s="337" t="b">
        <f t="shared" si="35"/>
        <v>0</v>
      </c>
    </row>
    <row r="557" spans="1:24" s="337" customFormat="1" ht="12" customHeight="1" outlineLevel="1">
      <c r="A557" s="335"/>
      <c r="B557" s="118" t="s">
        <v>12</v>
      </c>
      <c r="C557" s="334" t="s">
        <v>5926</v>
      </c>
      <c r="D557" s="124" t="s">
        <v>5927</v>
      </c>
      <c r="E557" s="125"/>
      <c r="F557" s="118" t="s">
        <v>5909</v>
      </c>
      <c r="G557" s="126" t="str">
        <f t="shared" si="34"/>
        <v>ST-SS9-1</v>
      </c>
      <c r="H557" s="255">
        <v>1</v>
      </c>
      <c r="I557" s="361">
        <v>1</v>
      </c>
      <c r="J557" s="362" t="s">
        <v>286</v>
      </c>
      <c r="W557" s="129" t="s">
        <v>4876</v>
      </c>
      <c r="X557" s="337" t="b">
        <f t="shared" si="35"/>
        <v>0</v>
      </c>
    </row>
    <row r="558" spans="1:24" s="337" customFormat="1" ht="12" customHeight="1" outlineLevel="1">
      <c r="A558" s="335"/>
      <c r="B558" s="118" t="s">
        <v>12</v>
      </c>
      <c r="C558" s="334" t="s">
        <v>5928</v>
      </c>
      <c r="D558" s="124" t="s">
        <v>5929</v>
      </c>
      <c r="E558" s="125"/>
      <c r="F558" s="118" t="s">
        <v>5909</v>
      </c>
      <c r="G558" s="126" t="str">
        <f t="shared" si="34"/>
        <v>ST-SS9-1</v>
      </c>
      <c r="H558" s="255">
        <v>1</v>
      </c>
      <c r="I558" s="361">
        <v>1</v>
      </c>
      <c r="J558" s="362" t="s">
        <v>286</v>
      </c>
      <c r="W558" s="129" t="s">
        <v>4876</v>
      </c>
      <c r="X558" s="337" t="b">
        <f t="shared" si="35"/>
        <v>0</v>
      </c>
    </row>
    <row r="559" spans="1:24" s="337" customFormat="1" ht="12" customHeight="1" outlineLevel="1">
      <c r="A559" s="335"/>
      <c r="B559" s="118" t="s">
        <v>12</v>
      </c>
      <c r="C559" s="334" t="s">
        <v>5930</v>
      </c>
      <c r="D559" s="124" t="s">
        <v>5931</v>
      </c>
      <c r="E559" s="125"/>
      <c r="F559" s="118" t="s">
        <v>5909</v>
      </c>
      <c r="G559" s="126" t="str">
        <f t="shared" si="34"/>
        <v>ST-SS9-1</v>
      </c>
      <c r="H559" s="255">
        <v>1</v>
      </c>
      <c r="I559" s="361">
        <v>1</v>
      </c>
      <c r="J559" s="362" t="s">
        <v>286</v>
      </c>
      <c r="W559" s="129" t="s">
        <v>4876</v>
      </c>
      <c r="X559" s="337" t="b">
        <f t="shared" si="35"/>
        <v>0</v>
      </c>
    </row>
    <row r="560" spans="1:24" s="337" customFormat="1" ht="12" customHeight="1" outlineLevel="1">
      <c r="A560" s="335"/>
      <c r="B560" s="118" t="s">
        <v>12</v>
      </c>
      <c r="C560" s="334" t="s">
        <v>5932</v>
      </c>
      <c r="D560" s="124" t="s">
        <v>5933</v>
      </c>
      <c r="E560" s="125"/>
      <c r="F560" s="118" t="s">
        <v>5909</v>
      </c>
      <c r="G560" s="126" t="str">
        <f t="shared" si="34"/>
        <v>ST-SS9-1</v>
      </c>
      <c r="H560" s="255">
        <v>1</v>
      </c>
      <c r="I560" s="361">
        <v>1</v>
      </c>
      <c r="J560" s="362" t="s">
        <v>286</v>
      </c>
      <c r="W560" s="129" t="s">
        <v>4876</v>
      </c>
      <c r="X560" s="337" t="b">
        <f t="shared" si="35"/>
        <v>0</v>
      </c>
    </row>
    <row r="561" spans="1:24" s="337" customFormat="1" ht="12" customHeight="1" outlineLevel="1">
      <c r="A561" s="335"/>
      <c r="B561" s="118" t="s">
        <v>12</v>
      </c>
      <c r="C561" s="334" t="s">
        <v>5934</v>
      </c>
      <c r="D561" s="124" t="s">
        <v>5933</v>
      </c>
      <c r="E561" s="125"/>
      <c r="F561" s="118" t="s">
        <v>5909</v>
      </c>
      <c r="G561" s="126" t="str">
        <f t="shared" si="34"/>
        <v>ST-SS9-1</v>
      </c>
      <c r="H561" s="255">
        <v>1</v>
      </c>
      <c r="I561" s="361">
        <v>1</v>
      </c>
      <c r="J561" s="362" t="s">
        <v>286</v>
      </c>
      <c r="W561" s="129" t="s">
        <v>4876</v>
      </c>
      <c r="X561" s="337" t="b">
        <f t="shared" si="35"/>
        <v>0</v>
      </c>
    </row>
    <row r="562" spans="1:24" s="337" customFormat="1" ht="12" customHeight="1" outlineLevel="1">
      <c r="A562" s="335"/>
      <c r="B562" s="118" t="s">
        <v>12</v>
      </c>
      <c r="C562" s="334" t="s">
        <v>5935</v>
      </c>
      <c r="D562" s="124" t="s">
        <v>5936</v>
      </c>
      <c r="E562" s="125"/>
      <c r="F562" s="118" t="s">
        <v>5909</v>
      </c>
      <c r="G562" s="126" t="str">
        <f t="shared" si="34"/>
        <v>ST-SS9-1</v>
      </c>
      <c r="H562" s="255">
        <v>1</v>
      </c>
      <c r="I562" s="361">
        <v>1</v>
      </c>
      <c r="J562" s="362" t="s">
        <v>310</v>
      </c>
      <c r="W562" s="129" t="s">
        <v>4876</v>
      </c>
      <c r="X562" s="337" t="b">
        <f t="shared" si="35"/>
        <v>0</v>
      </c>
    </row>
    <row r="563" spans="1:24" s="337" customFormat="1" ht="12" customHeight="1" outlineLevel="1">
      <c r="A563" s="335"/>
      <c r="B563" s="118" t="s">
        <v>12</v>
      </c>
      <c r="C563" s="334" t="s">
        <v>5937</v>
      </c>
      <c r="D563" s="124" t="s">
        <v>5938</v>
      </c>
      <c r="E563" s="125"/>
      <c r="F563" s="118" t="s">
        <v>5909</v>
      </c>
      <c r="G563" s="126" t="str">
        <f t="shared" si="34"/>
        <v>ST-SS9-1</v>
      </c>
      <c r="H563" s="255">
        <v>1</v>
      </c>
      <c r="I563" s="361">
        <v>1</v>
      </c>
      <c r="J563" s="362" t="s">
        <v>286</v>
      </c>
      <c r="W563" s="129" t="s">
        <v>286</v>
      </c>
      <c r="X563" s="337" t="b">
        <f t="shared" si="35"/>
        <v>1</v>
      </c>
    </row>
    <row r="564" spans="1:24" s="337" customFormat="1" ht="12" customHeight="1" outlineLevel="1">
      <c r="A564" s="335"/>
      <c r="B564" s="118" t="s">
        <v>12</v>
      </c>
      <c r="C564" s="334" t="s">
        <v>5939</v>
      </c>
      <c r="D564" s="124" t="s">
        <v>5940</v>
      </c>
      <c r="E564" s="125"/>
      <c r="F564" s="118" t="s">
        <v>5909</v>
      </c>
      <c r="G564" s="126" t="str">
        <f t="shared" si="34"/>
        <v>ST-SS9-2</v>
      </c>
      <c r="H564" s="255">
        <v>2</v>
      </c>
      <c r="I564" s="361">
        <v>1</v>
      </c>
      <c r="J564" s="362" t="s">
        <v>286</v>
      </c>
      <c r="W564" s="129" t="s">
        <v>286</v>
      </c>
      <c r="X564" s="337" t="b">
        <f t="shared" si="35"/>
        <v>1</v>
      </c>
    </row>
    <row r="565" spans="1:24" s="337" customFormat="1" ht="12" customHeight="1" outlineLevel="1">
      <c r="A565" s="335"/>
      <c r="B565" s="118" t="s">
        <v>12</v>
      </c>
      <c r="C565" s="334" t="s">
        <v>5941</v>
      </c>
      <c r="D565" s="124" t="s">
        <v>5942</v>
      </c>
      <c r="E565" s="125"/>
      <c r="F565" s="118" t="s">
        <v>5909</v>
      </c>
      <c r="G565" s="126" t="str">
        <f t="shared" si="34"/>
        <v>ST-SS9-2</v>
      </c>
      <c r="H565" s="255">
        <v>2</v>
      </c>
      <c r="I565" s="361">
        <v>1</v>
      </c>
      <c r="J565" s="362" t="s">
        <v>286</v>
      </c>
      <c r="W565" s="129" t="s">
        <v>286</v>
      </c>
      <c r="X565" s="337" t="b">
        <f t="shared" si="35"/>
        <v>1</v>
      </c>
    </row>
    <row r="566" spans="1:24" s="337" customFormat="1" ht="12" customHeight="1" outlineLevel="1">
      <c r="A566" s="335"/>
      <c r="B566" s="118" t="s">
        <v>12</v>
      </c>
      <c r="C566" s="334" t="s">
        <v>5943</v>
      </c>
      <c r="D566" s="124" t="s">
        <v>5944</v>
      </c>
      <c r="E566" s="125"/>
      <c r="F566" s="118" t="s">
        <v>5909</v>
      </c>
      <c r="G566" s="126" t="str">
        <f t="shared" si="34"/>
        <v>ST-SS9-2</v>
      </c>
      <c r="H566" s="255">
        <v>2</v>
      </c>
      <c r="I566" s="361">
        <v>1</v>
      </c>
      <c r="J566" s="362" t="s">
        <v>286</v>
      </c>
      <c r="W566" s="129" t="s">
        <v>286</v>
      </c>
      <c r="X566" s="337" t="b">
        <f t="shared" si="35"/>
        <v>1</v>
      </c>
    </row>
    <row r="567" spans="1:24" s="337" customFormat="1" ht="12" customHeight="1" outlineLevel="1">
      <c r="A567" s="335"/>
      <c r="B567" s="118" t="s">
        <v>12</v>
      </c>
      <c r="C567" s="334" t="s">
        <v>5945</v>
      </c>
      <c r="D567" s="124" t="s">
        <v>5946</v>
      </c>
      <c r="E567" s="125"/>
      <c r="F567" s="118" t="s">
        <v>5909</v>
      </c>
      <c r="G567" s="126" t="str">
        <f t="shared" si="34"/>
        <v>ST-SS9-2</v>
      </c>
      <c r="H567" s="255">
        <v>2</v>
      </c>
      <c r="I567" s="361">
        <v>1</v>
      </c>
      <c r="J567" s="362" t="s">
        <v>286</v>
      </c>
      <c r="W567" s="129" t="s">
        <v>286</v>
      </c>
      <c r="X567" s="337" t="b">
        <f t="shared" si="35"/>
        <v>1</v>
      </c>
    </row>
    <row r="568" spans="1:24" s="337" customFormat="1" ht="12" customHeight="1" outlineLevel="1">
      <c r="A568" s="335"/>
      <c r="B568" s="118" t="s">
        <v>12</v>
      </c>
      <c r="C568" s="334" t="s">
        <v>5947</v>
      </c>
      <c r="D568" s="124" t="s">
        <v>5948</v>
      </c>
      <c r="E568" s="125"/>
      <c r="F568" s="118" t="s">
        <v>5909</v>
      </c>
      <c r="G568" s="126" t="str">
        <f t="shared" si="34"/>
        <v>ST-SS9-2</v>
      </c>
      <c r="H568" s="255">
        <v>2</v>
      </c>
      <c r="I568" s="361">
        <v>1</v>
      </c>
      <c r="J568" s="362" t="s">
        <v>286</v>
      </c>
      <c r="W568" s="129" t="s">
        <v>286</v>
      </c>
      <c r="X568" s="337" t="b">
        <f t="shared" si="35"/>
        <v>1</v>
      </c>
    </row>
    <row r="569" spans="1:24" s="337" customFormat="1" ht="12" customHeight="1" outlineLevel="1">
      <c r="A569" s="335"/>
      <c r="B569" s="118" t="s">
        <v>12</v>
      </c>
      <c r="C569" s="334" t="s">
        <v>5949</v>
      </c>
      <c r="D569" s="124" t="s">
        <v>5950</v>
      </c>
      <c r="E569" s="125"/>
      <c r="F569" s="118" t="s">
        <v>5909</v>
      </c>
      <c r="G569" s="126" t="str">
        <f t="shared" si="34"/>
        <v>ST-SS9-2</v>
      </c>
      <c r="H569" s="255">
        <v>2</v>
      </c>
      <c r="I569" s="361">
        <v>1</v>
      </c>
      <c r="J569" s="362" t="s">
        <v>286</v>
      </c>
      <c r="W569" s="129" t="s">
        <v>4876</v>
      </c>
      <c r="X569" s="337" t="b">
        <f t="shared" si="35"/>
        <v>0</v>
      </c>
    </row>
    <row r="570" spans="1:24" s="337" customFormat="1" ht="12" customHeight="1" outlineLevel="1">
      <c r="A570" s="335"/>
      <c r="B570" s="118" t="s">
        <v>12</v>
      </c>
      <c r="C570" s="334" t="s">
        <v>5951</v>
      </c>
      <c r="D570" s="124" t="s">
        <v>5952</v>
      </c>
      <c r="E570" s="125"/>
      <c r="F570" s="118" t="s">
        <v>5909</v>
      </c>
      <c r="G570" s="126" t="str">
        <f t="shared" si="34"/>
        <v>ST-SS9-2</v>
      </c>
      <c r="H570" s="255">
        <v>2</v>
      </c>
      <c r="I570" s="361">
        <v>1</v>
      </c>
      <c r="J570" s="362" t="s">
        <v>286</v>
      </c>
      <c r="W570" s="129" t="s">
        <v>286</v>
      </c>
      <c r="X570" s="337" t="b">
        <f t="shared" si="35"/>
        <v>1</v>
      </c>
    </row>
    <row r="571" spans="1:24" s="337" customFormat="1" ht="12" customHeight="1" outlineLevel="1">
      <c r="A571" s="335"/>
      <c r="B571" s="118" t="s">
        <v>12</v>
      </c>
      <c r="C571" s="334" t="s">
        <v>5953</v>
      </c>
      <c r="D571" s="124" t="s">
        <v>5954</v>
      </c>
      <c r="E571" s="125"/>
      <c r="F571" s="118" t="s">
        <v>5909</v>
      </c>
      <c r="G571" s="126" t="str">
        <f t="shared" si="34"/>
        <v>ST-SS9-2</v>
      </c>
      <c r="H571" s="255">
        <v>2</v>
      </c>
      <c r="I571" s="361">
        <v>1</v>
      </c>
      <c r="J571" s="362" t="s">
        <v>286</v>
      </c>
      <c r="W571" s="129" t="s">
        <v>286</v>
      </c>
      <c r="X571" s="337" t="b">
        <f t="shared" si="35"/>
        <v>1</v>
      </c>
    </row>
    <row r="572" spans="1:24" s="337" customFormat="1" ht="12" customHeight="1" outlineLevel="1">
      <c r="A572" s="335"/>
      <c r="B572" s="118" t="s">
        <v>12</v>
      </c>
      <c r="C572" s="334" t="s">
        <v>5955</v>
      </c>
      <c r="D572" s="124" t="s">
        <v>5956</v>
      </c>
      <c r="E572" s="125"/>
      <c r="F572" s="118" t="s">
        <v>5909</v>
      </c>
      <c r="G572" s="126" t="str">
        <f t="shared" si="34"/>
        <v>ST-SS9-2</v>
      </c>
      <c r="H572" s="255">
        <v>2</v>
      </c>
      <c r="I572" s="361">
        <v>1</v>
      </c>
      <c r="J572" s="362" t="s">
        <v>286</v>
      </c>
      <c r="W572" s="129" t="s">
        <v>286</v>
      </c>
      <c r="X572" s="337" t="b">
        <f t="shared" si="35"/>
        <v>1</v>
      </c>
    </row>
    <row r="573" spans="1:24" s="360" customFormat="1" ht="12" customHeight="1" outlineLevel="1">
      <c r="A573" s="365"/>
      <c r="B573" s="118"/>
      <c r="C573" s="334" t="s">
        <v>5957</v>
      </c>
      <c r="D573" s="124"/>
      <c r="E573" s="125"/>
      <c r="F573" s="118"/>
      <c r="G573" s="126"/>
      <c r="H573" s="253"/>
      <c r="I573" s="361"/>
      <c r="J573" s="362"/>
      <c r="K573" s="329"/>
      <c r="L573" s="129"/>
      <c r="M573" s="129"/>
      <c r="N573" s="129"/>
      <c r="O573" s="129"/>
      <c r="P573" s="364"/>
      <c r="Q573" s="364"/>
      <c r="R573" s="129"/>
      <c r="S573" s="129"/>
      <c r="T573" s="129"/>
      <c r="W573" s="129"/>
    </row>
    <row r="574" spans="1:24" s="337" customFormat="1" ht="12" customHeight="1" outlineLevel="1">
      <c r="A574" s="335"/>
      <c r="B574" s="118" t="s">
        <v>12</v>
      </c>
      <c r="C574" s="334" t="s">
        <v>5958</v>
      </c>
      <c r="D574" s="124" t="s">
        <v>5959</v>
      </c>
      <c r="E574" s="125"/>
      <c r="F574" s="118" t="s">
        <v>5960</v>
      </c>
      <c r="G574" s="126" t="str">
        <f t="shared" ref="G574:G584" si="36">CONCATENATE(B574,"-",F574,"-",H574)</f>
        <v>ST-S10-1</v>
      </c>
      <c r="H574" s="255">
        <v>1</v>
      </c>
      <c r="I574" s="361">
        <v>1</v>
      </c>
      <c r="J574" s="362" t="s">
        <v>310</v>
      </c>
      <c r="K574" s="361"/>
      <c r="L574" s="361"/>
      <c r="M574" s="129"/>
      <c r="N574" s="129"/>
      <c r="O574" s="129"/>
      <c r="P574" s="361"/>
      <c r="Q574" s="361"/>
      <c r="R574" s="367"/>
      <c r="S574" s="129"/>
      <c r="T574" s="129"/>
      <c r="W574" s="129" t="s">
        <v>4876</v>
      </c>
      <c r="X574" s="337" t="b">
        <f t="shared" ref="X574:X584" si="37">W574=J574</f>
        <v>0</v>
      </c>
    </row>
    <row r="575" spans="1:24" s="337" customFormat="1" ht="12" customHeight="1" outlineLevel="1">
      <c r="A575" s="335"/>
      <c r="B575" s="118" t="s">
        <v>12</v>
      </c>
      <c r="C575" s="334" t="s">
        <v>5961</v>
      </c>
      <c r="D575" s="124" t="s">
        <v>5962</v>
      </c>
      <c r="E575" s="125"/>
      <c r="F575" s="118" t="s">
        <v>5960</v>
      </c>
      <c r="G575" s="126" t="str">
        <f t="shared" si="36"/>
        <v>ST-S10-1</v>
      </c>
      <c r="H575" s="255">
        <v>1</v>
      </c>
      <c r="I575" s="361">
        <v>1</v>
      </c>
      <c r="J575" s="362" t="s">
        <v>286</v>
      </c>
      <c r="K575" s="361"/>
      <c r="L575" s="361"/>
      <c r="M575" s="129"/>
      <c r="N575" s="129"/>
      <c r="O575" s="129"/>
      <c r="P575" s="361"/>
      <c r="Q575" s="361"/>
      <c r="R575" s="367"/>
      <c r="S575" s="129"/>
      <c r="T575" s="129"/>
      <c r="W575" s="129" t="s">
        <v>4876</v>
      </c>
      <c r="X575" s="337" t="b">
        <f t="shared" si="37"/>
        <v>0</v>
      </c>
    </row>
    <row r="576" spans="1:24" s="337" customFormat="1" ht="12" customHeight="1" outlineLevel="1">
      <c r="A576" s="335"/>
      <c r="B576" s="118" t="s">
        <v>12</v>
      </c>
      <c r="C576" s="334" t="s">
        <v>5963</v>
      </c>
      <c r="D576" s="124" t="s">
        <v>5964</v>
      </c>
      <c r="E576" s="125"/>
      <c r="F576" s="118" t="s">
        <v>5960</v>
      </c>
      <c r="G576" s="126" t="str">
        <f t="shared" si="36"/>
        <v>ST-S10-1</v>
      </c>
      <c r="H576" s="255">
        <v>1</v>
      </c>
      <c r="I576" s="361">
        <v>1</v>
      </c>
      <c r="J576" s="362" t="s">
        <v>286</v>
      </c>
      <c r="K576" s="361"/>
      <c r="L576" s="361"/>
      <c r="M576" s="129"/>
      <c r="N576" s="129"/>
      <c r="O576" s="129"/>
      <c r="P576" s="361"/>
      <c r="Q576" s="361"/>
      <c r="R576" s="367"/>
      <c r="S576" s="129"/>
      <c r="T576" s="129"/>
      <c r="W576" s="129" t="s">
        <v>4876</v>
      </c>
      <c r="X576" s="337" t="b">
        <f t="shared" si="37"/>
        <v>0</v>
      </c>
    </row>
    <row r="577" spans="1:24" s="337" customFormat="1" ht="12" customHeight="1" outlineLevel="1">
      <c r="A577" s="335"/>
      <c r="B577" s="118" t="s">
        <v>12</v>
      </c>
      <c r="C577" s="334" t="s">
        <v>5965</v>
      </c>
      <c r="D577" s="124" t="s">
        <v>5966</v>
      </c>
      <c r="E577" s="125"/>
      <c r="F577" s="118" t="s">
        <v>5960</v>
      </c>
      <c r="G577" s="126" t="str">
        <f t="shared" si="36"/>
        <v>ST-S10-1</v>
      </c>
      <c r="H577" s="255">
        <v>1</v>
      </c>
      <c r="I577" s="361">
        <v>1</v>
      </c>
      <c r="J577" s="362" t="s">
        <v>286</v>
      </c>
      <c r="K577" s="361"/>
      <c r="L577" s="361"/>
      <c r="M577" s="129"/>
      <c r="N577" s="129"/>
      <c r="O577" s="129"/>
      <c r="P577" s="361"/>
      <c r="Q577" s="361"/>
      <c r="R577" s="367"/>
      <c r="S577" s="129"/>
      <c r="T577" s="129"/>
      <c r="W577" s="129" t="s">
        <v>286</v>
      </c>
      <c r="X577" s="337" t="b">
        <f t="shared" si="37"/>
        <v>1</v>
      </c>
    </row>
    <row r="578" spans="1:24" s="337" customFormat="1" ht="12" customHeight="1" outlineLevel="1">
      <c r="A578" s="335"/>
      <c r="B578" s="118" t="s">
        <v>12</v>
      </c>
      <c r="C578" s="334" t="s">
        <v>5967</v>
      </c>
      <c r="D578" s="124" t="s">
        <v>5936</v>
      </c>
      <c r="E578" s="125"/>
      <c r="F578" s="118" t="s">
        <v>5960</v>
      </c>
      <c r="G578" s="126" t="str">
        <f t="shared" si="36"/>
        <v>ST-S10-1</v>
      </c>
      <c r="H578" s="255">
        <v>1</v>
      </c>
      <c r="I578" s="361">
        <v>1</v>
      </c>
      <c r="J578" s="362" t="s">
        <v>310</v>
      </c>
      <c r="K578" s="361"/>
      <c r="L578" s="361"/>
      <c r="M578" s="129"/>
      <c r="N578" s="129"/>
      <c r="O578" s="129"/>
      <c r="P578" s="361"/>
      <c r="Q578" s="361"/>
      <c r="R578" s="367"/>
      <c r="S578" s="129"/>
      <c r="T578" s="129"/>
      <c r="W578" s="129" t="s">
        <v>4876</v>
      </c>
      <c r="X578" s="337" t="b">
        <f t="shared" si="37"/>
        <v>0</v>
      </c>
    </row>
    <row r="579" spans="1:24" s="337" customFormat="1" ht="12" customHeight="1" outlineLevel="1">
      <c r="A579" s="335"/>
      <c r="B579" s="118" t="s">
        <v>12</v>
      </c>
      <c r="C579" s="334" t="s">
        <v>5968</v>
      </c>
      <c r="D579" s="124" t="s">
        <v>5969</v>
      </c>
      <c r="E579" s="125"/>
      <c r="F579" s="118" t="s">
        <v>5960</v>
      </c>
      <c r="G579" s="126" t="str">
        <f t="shared" si="36"/>
        <v>ST-S10-1</v>
      </c>
      <c r="H579" s="255">
        <v>1</v>
      </c>
      <c r="I579" s="361">
        <v>1</v>
      </c>
      <c r="J579" s="362" t="s">
        <v>286</v>
      </c>
      <c r="K579" s="361"/>
      <c r="L579" s="361"/>
      <c r="M579" s="129"/>
      <c r="N579" s="129"/>
      <c r="O579" s="129"/>
      <c r="P579" s="361"/>
      <c r="Q579" s="361"/>
      <c r="R579" s="367"/>
      <c r="S579" s="129"/>
      <c r="T579" s="129"/>
      <c r="W579" s="129" t="s">
        <v>286</v>
      </c>
      <c r="X579" s="337" t="b">
        <f t="shared" si="37"/>
        <v>1</v>
      </c>
    </row>
    <row r="580" spans="1:24" s="337" customFormat="1" ht="12" customHeight="1" outlineLevel="1">
      <c r="A580" s="335"/>
      <c r="B580" s="118" t="s">
        <v>12</v>
      </c>
      <c r="C580" s="334" t="s">
        <v>5970</v>
      </c>
      <c r="D580" s="124" t="s">
        <v>5940</v>
      </c>
      <c r="E580" s="125"/>
      <c r="F580" s="118" t="s">
        <v>5960</v>
      </c>
      <c r="G580" s="126" t="str">
        <f t="shared" si="36"/>
        <v>ST-S10-1</v>
      </c>
      <c r="H580" s="255">
        <v>1</v>
      </c>
      <c r="I580" s="361">
        <v>1</v>
      </c>
      <c r="J580" s="362" t="s">
        <v>286</v>
      </c>
      <c r="K580" s="361"/>
      <c r="L580" s="361"/>
      <c r="M580" s="129"/>
      <c r="N580" s="129"/>
      <c r="O580" s="129"/>
      <c r="P580" s="361"/>
      <c r="Q580" s="361"/>
      <c r="R580" s="367"/>
      <c r="S580" s="129"/>
      <c r="T580" s="129"/>
      <c r="W580" s="129" t="s">
        <v>286</v>
      </c>
      <c r="X580" s="337" t="b">
        <f t="shared" si="37"/>
        <v>1</v>
      </c>
    </row>
    <row r="581" spans="1:24" s="337" customFormat="1" ht="12" customHeight="1" outlineLevel="1">
      <c r="A581" s="335"/>
      <c r="B581" s="118" t="s">
        <v>12</v>
      </c>
      <c r="C581" s="334" t="s">
        <v>5971</v>
      </c>
      <c r="D581" s="124" t="s">
        <v>5942</v>
      </c>
      <c r="E581" s="125"/>
      <c r="F581" s="118" t="s">
        <v>5960</v>
      </c>
      <c r="G581" s="126" t="str">
        <f t="shared" si="36"/>
        <v>ST-S10-1</v>
      </c>
      <c r="H581" s="255">
        <v>1</v>
      </c>
      <c r="I581" s="361">
        <v>1</v>
      </c>
      <c r="J581" s="362" t="s">
        <v>310</v>
      </c>
      <c r="K581" s="361"/>
      <c r="L581" s="361"/>
      <c r="M581" s="129"/>
      <c r="N581" s="129"/>
      <c r="O581" s="129"/>
      <c r="P581" s="361"/>
      <c r="Q581" s="361"/>
      <c r="R581" s="367"/>
      <c r="S581" s="129"/>
      <c r="T581" s="129"/>
      <c r="W581" s="129" t="s">
        <v>310</v>
      </c>
      <c r="X581" s="337" t="b">
        <f t="shared" si="37"/>
        <v>1</v>
      </c>
    </row>
    <row r="582" spans="1:24" s="337" customFormat="1" ht="12" customHeight="1" outlineLevel="1">
      <c r="A582" s="335"/>
      <c r="B582" s="118" t="s">
        <v>12</v>
      </c>
      <c r="C582" s="334" t="s">
        <v>5972</v>
      </c>
      <c r="D582" s="124" t="s">
        <v>5973</v>
      </c>
      <c r="E582" s="125"/>
      <c r="F582" s="118" t="s">
        <v>5960</v>
      </c>
      <c r="G582" s="126" t="str">
        <f t="shared" si="36"/>
        <v>ST-S10-2</v>
      </c>
      <c r="H582" s="255">
        <v>2</v>
      </c>
      <c r="I582" s="361">
        <v>1</v>
      </c>
      <c r="J582" s="368" t="s">
        <v>310</v>
      </c>
      <c r="K582" s="361"/>
      <c r="L582" s="361"/>
      <c r="M582" s="129"/>
      <c r="N582" s="129"/>
      <c r="O582" s="129"/>
      <c r="P582" s="364"/>
      <c r="Q582" s="367"/>
      <c r="R582" s="367"/>
      <c r="S582" s="129"/>
      <c r="T582" s="129"/>
      <c r="W582" s="129" t="s">
        <v>4876</v>
      </c>
      <c r="X582" s="337" t="b">
        <f t="shared" si="37"/>
        <v>0</v>
      </c>
    </row>
    <row r="583" spans="1:24" s="337" customFormat="1" ht="12" customHeight="1" outlineLevel="1">
      <c r="A583" s="335"/>
      <c r="B583" s="118" t="s">
        <v>12</v>
      </c>
      <c r="C583" s="334" t="s">
        <v>5974</v>
      </c>
      <c r="D583" s="124" t="s">
        <v>5975</v>
      </c>
      <c r="E583" s="125"/>
      <c r="F583" s="118" t="s">
        <v>5960</v>
      </c>
      <c r="G583" s="126" t="str">
        <f t="shared" si="36"/>
        <v>ST-S10-2</v>
      </c>
      <c r="H583" s="255">
        <v>2</v>
      </c>
      <c r="I583" s="361">
        <v>1</v>
      </c>
      <c r="J583" s="362" t="s">
        <v>310</v>
      </c>
      <c r="K583" s="369"/>
      <c r="L583" s="369"/>
      <c r="M583" s="129"/>
      <c r="N583" s="129"/>
      <c r="O583" s="129"/>
      <c r="P583" s="369"/>
      <c r="Q583" s="369"/>
      <c r="R583" s="129"/>
      <c r="S583" s="129"/>
      <c r="T583" s="129"/>
      <c r="W583" s="129" t="s">
        <v>4876</v>
      </c>
      <c r="X583" s="337" t="b">
        <f t="shared" si="37"/>
        <v>0</v>
      </c>
    </row>
    <row r="584" spans="1:24" s="337" customFormat="1" ht="12" customHeight="1" outlineLevel="1">
      <c r="A584" s="335"/>
      <c r="B584" s="118" t="s">
        <v>12</v>
      </c>
      <c r="C584" s="334" t="s">
        <v>5976</v>
      </c>
      <c r="D584" s="124" t="s">
        <v>5977</v>
      </c>
      <c r="E584" s="125"/>
      <c r="F584" s="118" t="s">
        <v>5960</v>
      </c>
      <c r="G584" s="126" t="str">
        <f t="shared" si="36"/>
        <v>ST-S10-2</v>
      </c>
      <c r="H584" s="255">
        <v>2</v>
      </c>
      <c r="I584" s="361">
        <v>1</v>
      </c>
      <c r="J584" s="362" t="s">
        <v>310</v>
      </c>
      <c r="K584" s="369"/>
      <c r="L584" s="369"/>
      <c r="M584" s="129"/>
      <c r="N584" s="129"/>
      <c r="O584" s="129"/>
      <c r="P584" s="369"/>
      <c r="Q584" s="369"/>
      <c r="R584" s="129"/>
      <c r="S584" s="129"/>
      <c r="T584" s="129"/>
      <c r="W584" s="129" t="s">
        <v>4876</v>
      </c>
      <c r="X584" s="337" t="b">
        <f t="shared" si="37"/>
        <v>0</v>
      </c>
    </row>
    <row r="585" spans="1:24" s="360" customFormat="1" ht="12" customHeight="1" outlineLevel="1">
      <c r="A585" s="365"/>
      <c r="B585" s="118"/>
      <c r="C585" s="334" t="s">
        <v>5978</v>
      </c>
      <c r="D585" s="124"/>
      <c r="E585" s="125"/>
      <c r="F585" s="118"/>
      <c r="G585" s="126"/>
      <c r="H585" s="253"/>
      <c r="I585" s="361"/>
      <c r="J585" s="362"/>
      <c r="K585" s="329"/>
      <c r="L585" s="129"/>
      <c r="M585" s="129"/>
      <c r="N585" s="129"/>
      <c r="O585" s="129"/>
      <c r="P585" s="364"/>
      <c r="Q585" s="364"/>
      <c r="R585" s="129"/>
      <c r="S585" s="129"/>
      <c r="T585" s="129"/>
      <c r="W585" s="129"/>
    </row>
    <row r="586" spans="1:24" s="337" customFormat="1" ht="12" customHeight="1" outlineLevel="1">
      <c r="A586" s="335"/>
      <c r="B586" s="118" t="s">
        <v>12</v>
      </c>
      <c r="C586" s="334" t="s">
        <v>5979</v>
      </c>
      <c r="D586" s="124" t="s">
        <v>5980</v>
      </c>
      <c r="E586" s="125"/>
      <c r="F586" s="118" t="s">
        <v>5981</v>
      </c>
      <c r="G586" s="126" t="str">
        <f t="shared" ref="G586:G596" si="38">CONCATENATE(B586,"-",F586,"-",H586)</f>
        <v>ST-S11-1</v>
      </c>
      <c r="H586" s="255">
        <v>1</v>
      </c>
      <c r="I586" s="361">
        <v>1</v>
      </c>
      <c r="J586" s="362" t="s">
        <v>310</v>
      </c>
      <c r="K586" s="361"/>
      <c r="L586" s="361"/>
      <c r="M586" s="129"/>
      <c r="N586" s="129"/>
      <c r="O586" s="129"/>
      <c r="P586" s="361"/>
      <c r="Q586" s="361"/>
      <c r="R586" s="367"/>
      <c r="S586" s="129"/>
      <c r="T586" s="129"/>
      <c r="W586" s="129" t="s">
        <v>286</v>
      </c>
      <c r="X586" s="337" t="b">
        <f t="shared" ref="X586:X596" si="39">W586=J586</f>
        <v>0</v>
      </c>
    </row>
    <row r="587" spans="1:24" s="337" customFormat="1" ht="12" customHeight="1" outlineLevel="1">
      <c r="A587" s="335"/>
      <c r="B587" s="118" t="s">
        <v>12</v>
      </c>
      <c r="C587" s="334" t="s">
        <v>5982</v>
      </c>
      <c r="D587" s="124" t="s">
        <v>5983</v>
      </c>
      <c r="E587" s="125"/>
      <c r="F587" s="118" t="s">
        <v>5981</v>
      </c>
      <c r="G587" s="126" t="str">
        <f t="shared" si="38"/>
        <v>ST-S11-1</v>
      </c>
      <c r="H587" s="255">
        <v>1</v>
      </c>
      <c r="I587" s="361">
        <v>1</v>
      </c>
      <c r="J587" s="362" t="s">
        <v>310</v>
      </c>
      <c r="K587" s="361"/>
      <c r="L587" s="361"/>
      <c r="M587" s="129"/>
      <c r="N587" s="129"/>
      <c r="O587" s="129"/>
      <c r="P587" s="361"/>
      <c r="Q587" s="361"/>
      <c r="R587" s="367"/>
      <c r="S587" s="129"/>
      <c r="T587" s="129"/>
      <c r="W587" s="129" t="s">
        <v>286</v>
      </c>
      <c r="X587" s="337" t="b">
        <f t="shared" si="39"/>
        <v>0</v>
      </c>
    </row>
    <row r="588" spans="1:24" s="337" customFormat="1" ht="12" customHeight="1" outlineLevel="1">
      <c r="A588" s="335"/>
      <c r="B588" s="118" t="s">
        <v>12</v>
      </c>
      <c r="C588" s="334" t="s">
        <v>5984</v>
      </c>
      <c r="D588" s="124" t="s">
        <v>5936</v>
      </c>
      <c r="E588" s="125"/>
      <c r="F588" s="118" t="s">
        <v>5981</v>
      </c>
      <c r="G588" s="126" t="str">
        <f t="shared" si="38"/>
        <v>ST-S11-1</v>
      </c>
      <c r="H588" s="255">
        <v>1</v>
      </c>
      <c r="I588" s="361">
        <v>1</v>
      </c>
      <c r="J588" s="362" t="s">
        <v>286</v>
      </c>
      <c r="K588" s="361"/>
      <c r="L588" s="361"/>
      <c r="M588" s="129"/>
      <c r="N588" s="129"/>
      <c r="O588" s="129"/>
      <c r="P588" s="361"/>
      <c r="Q588" s="361"/>
      <c r="R588" s="367"/>
      <c r="S588" s="129"/>
      <c r="T588" s="129"/>
      <c r="W588" s="129" t="s">
        <v>4876</v>
      </c>
      <c r="X588" s="337" t="b">
        <f t="shared" si="39"/>
        <v>0</v>
      </c>
    </row>
    <row r="589" spans="1:24" s="337" customFormat="1" ht="12" customHeight="1" outlineLevel="1">
      <c r="A589" s="335"/>
      <c r="B589" s="118" t="s">
        <v>12</v>
      </c>
      <c r="C589" s="334" t="s">
        <v>5985</v>
      </c>
      <c r="D589" s="124" t="s">
        <v>5986</v>
      </c>
      <c r="E589" s="125"/>
      <c r="F589" s="118" t="s">
        <v>5981</v>
      </c>
      <c r="G589" s="126" t="str">
        <f t="shared" si="38"/>
        <v>ST-S11-1</v>
      </c>
      <c r="H589" s="255">
        <v>1</v>
      </c>
      <c r="I589" s="361">
        <v>1</v>
      </c>
      <c r="J589" s="362" t="s">
        <v>286</v>
      </c>
      <c r="K589" s="361"/>
      <c r="L589" s="361"/>
      <c r="M589" s="129"/>
      <c r="N589" s="129"/>
      <c r="O589" s="129"/>
      <c r="P589" s="361"/>
      <c r="Q589" s="361"/>
      <c r="R589" s="367"/>
      <c r="S589" s="129"/>
      <c r="T589" s="129"/>
      <c r="W589" s="129" t="s">
        <v>4876</v>
      </c>
      <c r="X589" s="337" t="b">
        <f t="shared" si="39"/>
        <v>0</v>
      </c>
    </row>
    <row r="590" spans="1:24" s="337" customFormat="1" ht="12" customHeight="1" outlineLevel="1">
      <c r="A590" s="335"/>
      <c r="B590" s="118" t="s">
        <v>12</v>
      </c>
      <c r="C590" s="334" t="s">
        <v>5987</v>
      </c>
      <c r="D590" s="124" t="s">
        <v>5988</v>
      </c>
      <c r="E590" s="125"/>
      <c r="F590" s="118" t="s">
        <v>5981</v>
      </c>
      <c r="G590" s="126" t="str">
        <f t="shared" si="38"/>
        <v>ST-S11-1</v>
      </c>
      <c r="H590" s="255">
        <v>1</v>
      </c>
      <c r="I590" s="361">
        <v>1</v>
      </c>
      <c r="J590" s="362" t="s">
        <v>286</v>
      </c>
      <c r="K590" s="361"/>
      <c r="L590" s="361"/>
      <c r="M590" s="129"/>
      <c r="N590" s="129"/>
      <c r="O590" s="129"/>
      <c r="P590" s="361"/>
      <c r="Q590" s="361"/>
      <c r="R590" s="367"/>
      <c r="S590" s="129"/>
      <c r="T590" s="129"/>
      <c r="W590" s="129" t="s">
        <v>4876</v>
      </c>
      <c r="X590" s="337" t="b">
        <f t="shared" si="39"/>
        <v>0</v>
      </c>
    </row>
    <row r="591" spans="1:24" s="337" customFormat="1" ht="12" customHeight="1" outlineLevel="1">
      <c r="A591" s="335"/>
      <c r="B591" s="118" t="s">
        <v>12</v>
      </c>
      <c r="C591" s="334" t="s">
        <v>5989</v>
      </c>
      <c r="D591" s="124" t="s">
        <v>5990</v>
      </c>
      <c r="E591" s="125"/>
      <c r="F591" s="118" t="s">
        <v>5981</v>
      </c>
      <c r="G591" s="126" t="str">
        <f t="shared" si="38"/>
        <v>ST-S11-1</v>
      </c>
      <c r="H591" s="255">
        <v>1</v>
      </c>
      <c r="I591" s="361">
        <v>1</v>
      </c>
      <c r="J591" s="362" t="s">
        <v>286</v>
      </c>
      <c r="K591" s="361"/>
      <c r="L591" s="361"/>
      <c r="M591" s="129"/>
      <c r="N591" s="129"/>
      <c r="O591" s="129"/>
      <c r="P591" s="361"/>
      <c r="Q591" s="361"/>
      <c r="R591" s="367"/>
      <c r="S591" s="129"/>
      <c r="T591" s="129"/>
      <c r="W591" s="129" t="s">
        <v>4876</v>
      </c>
      <c r="X591" s="337" t="b">
        <f t="shared" si="39"/>
        <v>0</v>
      </c>
    </row>
    <row r="592" spans="1:24" s="337" customFormat="1" ht="12" customHeight="1" outlineLevel="1">
      <c r="A592" s="335"/>
      <c r="B592" s="118" t="s">
        <v>12</v>
      </c>
      <c r="C592" s="334" t="s">
        <v>5991</v>
      </c>
      <c r="D592" s="124" t="s">
        <v>5992</v>
      </c>
      <c r="E592" s="125"/>
      <c r="F592" s="118" t="s">
        <v>5981</v>
      </c>
      <c r="G592" s="126" t="str">
        <f t="shared" si="38"/>
        <v>ST-S11-1</v>
      </c>
      <c r="H592" s="255">
        <v>1</v>
      </c>
      <c r="I592" s="361">
        <v>1</v>
      </c>
      <c r="J592" s="362" t="s">
        <v>286</v>
      </c>
      <c r="K592" s="361"/>
      <c r="L592" s="361"/>
      <c r="M592" s="129"/>
      <c r="N592" s="129"/>
      <c r="O592" s="129"/>
      <c r="P592" s="361"/>
      <c r="Q592" s="361"/>
      <c r="R592" s="367"/>
      <c r="S592" s="129"/>
      <c r="T592" s="129"/>
      <c r="W592" s="129" t="s">
        <v>4876</v>
      </c>
      <c r="X592" s="337" t="b">
        <f t="shared" si="39"/>
        <v>0</v>
      </c>
    </row>
    <row r="593" spans="1:24" s="337" customFormat="1" ht="12" customHeight="1" outlineLevel="1">
      <c r="A593" s="335"/>
      <c r="B593" s="118" t="s">
        <v>12</v>
      </c>
      <c r="C593" s="334" t="s">
        <v>5993</v>
      </c>
      <c r="D593" s="124" t="s">
        <v>5994</v>
      </c>
      <c r="E593" s="125"/>
      <c r="F593" s="118" t="s">
        <v>5981</v>
      </c>
      <c r="G593" s="126" t="str">
        <f t="shared" si="38"/>
        <v>ST-S11-1</v>
      </c>
      <c r="H593" s="255">
        <v>1</v>
      </c>
      <c r="I593" s="361">
        <v>1</v>
      </c>
      <c r="J593" s="362" t="s">
        <v>286</v>
      </c>
      <c r="K593" s="361"/>
      <c r="L593" s="361"/>
      <c r="M593" s="129"/>
      <c r="N593" s="129"/>
      <c r="O593" s="129"/>
      <c r="P593" s="361"/>
      <c r="Q593" s="361"/>
      <c r="R593" s="367"/>
      <c r="S593" s="129"/>
      <c r="T593" s="129"/>
      <c r="W593" s="129" t="s">
        <v>4876</v>
      </c>
      <c r="X593" s="337" t="b">
        <f t="shared" si="39"/>
        <v>0</v>
      </c>
    </row>
    <row r="594" spans="1:24" s="337" customFormat="1" ht="12" customHeight="1" outlineLevel="1">
      <c r="A594" s="335"/>
      <c r="B594" s="118" t="s">
        <v>12</v>
      </c>
      <c r="C594" s="334" t="s">
        <v>5995</v>
      </c>
      <c r="D594" s="124" t="s">
        <v>5996</v>
      </c>
      <c r="E594" s="125"/>
      <c r="F594" s="118" t="s">
        <v>5981</v>
      </c>
      <c r="G594" s="126" t="str">
        <f t="shared" si="38"/>
        <v>ST-S11-2</v>
      </c>
      <c r="H594" s="255">
        <v>2</v>
      </c>
      <c r="I594" s="361">
        <v>1</v>
      </c>
      <c r="J594" s="368" t="s">
        <v>286</v>
      </c>
      <c r="K594" s="361"/>
      <c r="L594" s="361"/>
      <c r="M594" s="129"/>
      <c r="N594" s="129"/>
      <c r="O594" s="129"/>
      <c r="P594" s="364"/>
      <c r="Q594" s="367"/>
      <c r="R594" s="367"/>
      <c r="S594" s="129"/>
      <c r="T594" s="129"/>
      <c r="W594" s="129" t="s">
        <v>4876</v>
      </c>
      <c r="X594" s="337" t="b">
        <f t="shared" si="39"/>
        <v>0</v>
      </c>
    </row>
    <row r="595" spans="1:24" s="337" customFormat="1" ht="12" customHeight="1" outlineLevel="1">
      <c r="A595" s="335"/>
      <c r="B595" s="118" t="s">
        <v>12</v>
      </c>
      <c r="C595" s="334" t="s">
        <v>5997</v>
      </c>
      <c r="D595" s="124" t="s">
        <v>5998</v>
      </c>
      <c r="E595" s="125"/>
      <c r="F595" s="118" t="s">
        <v>5981</v>
      </c>
      <c r="G595" s="126" t="str">
        <f t="shared" si="38"/>
        <v>ST-S11-2</v>
      </c>
      <c r="H595" s="255">
        <v>2</v>
      </c>
      <c r="I595" s="361">
        <v>1</v>
      </c>
      <c r="J595" s="362" t="s">
        <v>286</v>
      </c>
      <c r="K595" s="369"/>
      <c r="L595" s="369"/>
      <c r="M595" s="129"/>
      <c r="N595" s="129"/>
      <c r="O595" s="129"/>
      <c r="P595" s="369"/>
      <c r="Q595" s="369"/>
      <c r="R595" s="129"/>
      <c r="S595" s="129"/>
      <c r="T595" s="129"/>
      <c r="W595" s="129" t="s">
        <v>4876</v>
      </c>
      <c r="X595" s="337" t="b">
        <f t="shared" si="39"/>
        <v>0</v>
      </c>
    </row>
    <row r="596" spans="1:24" s="337" customFormat="1" ht="12" customHeight="1" outlineLevel="1">
      <c r="A596" s="335"/>
      <c r="B596" s="118" t="s">
        <v>12</v>
      </c>
      <c r="C596" s="334" t="s">
        <v>5999</v>
      </c>
      <c r="D596" s="124" t="s">
        <v>6000</v>
      </c>
      <c r="E596" s="125"/>
      <c r="F596" s="118" t="s">
        <v>5981</v>
      </c>
      <c r="G596" s="126" t="str">
        <f t="shared" si="38"/>
        <v>ST-S11-2</v>
      </c>
      <c r="H596" s="255">
        <v>2</v>
      </c>
      <c r="I596" s="361">
        <v>1</v>
      </c>
      <c r="J596" s="362" t="s">
        <v>286</v>
      </c>
      <c r="K596" s="369"/>
      <c r="L596" s="369"/>
      <c r="M596" s="129"/>
      <c r="N596" s="129"/>
      <c r="O596" s="129"/>
      <c r="P596" s="369"/>
      <c r="Q596" s="369"/>
      <c r="R596" s="129"/>
      <c r="S596" s="129"/>
      <c r="T596" s="129"/>
      <c r="W596" s="129" t="s">
        <v>4876</v>
      </c>
      <c r="X596" s="337" t="b">
        <f t="shared" si="39"/>
        <v>0</v>
      </c>
    </row>
    <row r="597" spans="1:24" s="360" customFormat="1" ht="12" customHeight="1" outlineLevel="1">
      <c r="A597" s="365"/>
      <c r="B597" s="118"/>
      <c r="C597" s="334" t="s">
        <v>6001</v>
      </c>
      <c r="D597" s="124"/>
      <c r="E597" s="125"/>
      <c r="F597" s="118"/>
      <c r="G597" s="126"/>
      <c r="H597" s="253"/>
      <c r="I597" s="361"/>
      <c r="J597" s="362"/>
      <c r="K597" s="329"/>
      <c r="L597" s="129"/>
      <c r="M597" s="129"/>
      <c r="N597" s="129"/>
      <c r="O597" s="129"/>
      <c r="P597" s="364"/>
      <c r="Q597" s="364"/>
      <c r="R597" s="129"/>
      <c r="S597" s="129"/>
      <c r="T597" s="129"/>
      <c r="W597" s="129"/>
    </row>
    <row r="598" spans="1:24" s="337" customFormat="1" ht="12" customHeight="1" outlineLevel="1">
      <c r="A598" s="335"/>
      <c r="B598" s="118" t="s">
        <v>12</v>
      </c>
      <c r="C598" s="334" t="s">
        <v>5183</v>
      </c>
      <c r="D598" s="124" t="s">
        <v>5184</v>
      </c>
      <c r="E598" s="125"/>
      <c r="F598" s="118" t="s">
        <v>6002</v>
      </c>
      <c r="G598" s="126" t="str">
        <f t="shared" ref="G598:G609" si="40">CONCATENATE(B598,"-",F598,"-",H598)</f>
        <v>ST-S12-1</v>
      </c>
      <c r="H598" s="255">
        <v>1</v>
      </c>
      <c r="I598" s="361">
        <v>1</v>
      </c>
      <c r="J598" s="362" t="s">
        <v>286</v>
      </c>
      <c r="K598" s="361"/>
      <c r="L598" s="361"/>
      <c r="M598" s="129"/>
      <c r="N598" s="129"/>
      <c r="O598" s="129"/>
      <c r="P598" s="361"/>
      <c r="Q598" s="361"/>
      <c r="R598" s="367"/>
      <c r="S598" s="129"/>
      <c r="T598" s="129"/>
      <c r="W598" s="129" t="s">
        <v>4876</v>
      </c>
      <c r="X598" s="337" t="b">
        <f t="shared" ref="X598:X609" si="41">W598=J598</f>
        <v>0</v>
      </c>
    </row>
    <row r="599" spans="1:24" s="337" customFormat="1" ht="12" customHeight="1" outlineLevel="1">
      <c r="A599" s="335"/>
      <c r="B599" s="118" t="s">
        <v>12</v>
      </c>
      <c r="C599" s="334" t="s">
        <v>6003</v>
      </c>
      <c r="D599" s="124" t="s">
        <v>6004</v>
      </c>
      <c r="E599" s="125"/>
      <c r="F599" s="118" t="s">
        <v>6002</v>
      </c>
      <c r="G599" s="126" t="str">
        <f t="shared" si="40"/>
        <v>ST-S12-1</v>
      </c>
      <c r="H599" s="255">
        <v>1</v>
      </c>
      <c r="I599" s="361">
        <v>1</v>
      </c>
      <c r="J599" s="362" t="s">
        <v>286</v>
      </c>
      <c r="K599" s="361"/>
      <c r="L599" s="361"/>
      <c r="M599" s="129"/>
      <c r="N599" s="129"/>
      <c r="O599" s="129"/>
      <c r="P599" s="361"/>
      <c r="Q599" s="361"/>
      <c r="R599" s="367"/>
      <c r="S599" s="129"/>
      <c r="T599" s="129"/>
      <c r="W599" s="129" t="s">
        <v>286</v>
      </c>
      <c r="X599" s="337" t="b">
        <f t="shared" si="41"/>
        <v>1</v>
      </c>
    </row>
    <row r="600" spans="1:24" s="337" customFormat="1" ht="12" customHeight="1" outlineLevel="1">
      <c r="A600" s="335"/>
      <c r="B600" s="118" t="s">
        <v>12</v>
      </c>
      <c r="C600" s="334" t="s">
        <v>6005</v>
      </c>
      <c r="D600" s="124" t="s">
        <v>6006</v>
      </c>
      <c r="E600" s="125"/>
      <c r="F600" s="118" t="s">
        <v>6002</v>
      </c>
      <c r="G600" s="126" t="str">
        <f t="shared" si="40"/>
        <v>ST-S12-1</v>
      </c>
      <c r="H600" s="255">
        <v>1</v>
      </c>
      <c r="I600" s="361">
        <v>1</v>
      </c>
      <c r="J600" s="362" t="s">
        <v>286</v>
      </c>
      <c r="K600" s="361"/>
      <c r="L600" s="361"/>
      <c r="M600" s="129"/>
      <c r="N600" s="129"/>
      <c r="O600" s="129"/>
      <c r="P600" s="361"/>
      <c r="Q600" s="361"/>
      <c r="R600" s="367"/>
      <c r="S600" s="129"/>
      <c r="T600" s="129"/>
      <c r="W600" s="129" t="s">
        <v>286</v>
      </c>
      <c r="X600" s="337" t="b">
        <f t="shared" si="41"/>
        <v>1</v>
      </c>
    </row>
    <row r="601" spans="1:24" s="337" customFormat="1" ht="12" customHeight="1" outlineLevel="1">
      <c r="A601" s="335"/>
      <c r="B601" s="118" t="s">
        <v>12</v>
      </c>
      <c r="C601" s="334" t="s">
        <v>6007</v>
      </c>
      <c r="D601" s="124" t="s">
        <v>6008</v>
      </c>
      <c r="E601" s="125"/>
      <c r="F601" s="118" t="s">
        <v>6002</v>
      </c>
      <c r="G601" s="126" t="str">
        <f t="shared" si="40"/>
        <v>ST-S12-1</v>
      </c>
      <c r="H601" s="255">
        <v>1</v>
      </c>
      <c r="I601" s="361">
        <v>1</v>
      </c>
      <c r="J601" s="362" t="s">
        <v>286</v>
      </c>
      <c r="K601" s="361"/>
      <c r="L601" s="361"/>
      <c r="M601" s="129"/>
      <c r="N601" s="129"/>
      <c r="O601" s="129"/>
      <c r="P601" s="361"/>
      <c r="Q601" s="361"/>
      <c r="R601" s="367"/>
      <c r="S601" s="129"/>
      <c r="T601" s="129"/>
      <c r="W601" s="129" t="s">
        <v>4876</v>
      </c>
      <c r="X601" s="337" t="b">
        <f t="shared" si="41"/>
        <v>0</v>
      </c>
    </row>
    <row r="602" spans="1:24" s="337" customFormat="1" ht="12" customHeight="1" outlineLevel="1">
      <c r="A602" s="335"/>
      <c r="B602" s="118" t="s">
        <v>12</v>
      </c>
      <c r="C602" s="334" t="s">
        <v>6009</v>
      </c>
      <c r="D602" s="124" t="s">
        <v>5938</v>
      </c>
      <c r="E602" s="125"/>
      <c r="F602" s="118" t="s">
        <v>6002</v>
      </c>
      <c r="G602" s="126" t="str">
        <f t="shared" si="40"/>
        <v>ST-S12-2</v>
      </c>
      <c r="H602" s="255">
        <v>2</v>
      </c>
      <c r="I602" s="361">
        <v>1</v>
      </c>
      <c r="J602" s="362" t="s">
        <v>307</v>
      </c>
      <c r="K602" s="361"/>
      <c r="L602" s="361"/>
      <c r="M602" s="129"/>
      <c r="N602" s="129"/>
      <c r="O602" s="129"/>
      <c r="P602" s="361"/>
      <c r="Q602" s="361"/>
      <c r="R602" s="367"/>
      <c r="S602" s="129"/>
      <c r="T602" s="129"/>
      <c r="W602" s="129" t="s">
        <v>4876</v>
      </c>
      <c r="X602" s="337" t="b">
        <f t="shared" si="41"/>
        <v>0</v>
      </c>
    </row>
    <row r="603" spans="1:24" s="337" customFormat="1" ht="12" customHeight="1" outlineLevel="1">
      <c r="A603" s="335"/>
      <c r="B603" s="118" t="s">
        <v>12</v>
      </c>
      <c r="C603" s="334" t="s">
        <v>6010</v>
      </c>
      <c r="D603" s="124" t="s">
        <v>5940</v>
      </c>
      <c r="E603" s="125"/>
      <c r="F603" s="118" t="s">
        <v>6002</v>
      </c>
      <c r="G603" s="126" t="str">
        <f t="shared" si="40"/>
        <v>ST-S12-2</v>
      </c>
      <c r="H603" s="255">
        <v>2</v>
      </c>
      <c r="I603" s="361">
        <v>1</v>
      </c>
      <c r="J603" s="362" t="s">
        <v>286</v>
      </c>
      <c r="K603" s="361"/>
      <c r="L603" s="361"/>
      <c r="M603" s="129"/>
      <c r="N603" s="129"/>
      <c r="O603" s="129"/>
      <c r="P603" s="361"/>
      <c r="Q603" s="361"/>
      <c r="R603" s="367"/>
      <c r="S603" s="129"/>
      <c r="T603" s="129"/>
      <c r="W603" s="129" t="s">
        <v>4876</v>
      </c>
      <c r="X603" s="337" t="b">
        <f t="shared" si="41"/>
        <v>0</v>
      </c>
    </row>
    <row r="604" spans="1:24" s="337" customFormat="1" ht="12" customHeight="1" outlineLevel="1">
      <c r="A604" s="335"/>
      <c r="B604" s="118" t="s">
        <v>12</v>
      </c>
      <c r="C604" s="334" t="s">
        <v>6011</v>
      </c>
      <c r="D604" s="124" t="s">
        <v>6012</v>
      </c>
      <c r="E604" s="125"/>
      <c r="F604" s="118" t="s">
        <v>6002</v>
      </c>
      <c r="G604" s="126" t="str">
        <f t="shared" si="40"/>
        <v>ST-S12-2</v>
      </c>
      <c r="H604" s="255">
        <v>2</v>
      </c>
      <c r="I604" s="361">
        <v>1</v>
      </c>
      <c r="J604" s="362" t="s">
        <v>307</v>
      </c>
      <c r="K604" s="361"/>
      <c r="L604" s="361"/>
      <c r="M604" s="129"/>
      <c r="N604" s="129"/>
      <c r="O604" s="129"/>
      <c r="P604" s="361"/>
      <c r="Q604" s="361"/>
      <c r="R604" s="367"/>
      <c r="S604" s="129"/>
      <c r="T604" s="129"/>
      <c r="W604" s="129" t="s">
        <v>4876</v>
      </c>
      <c r="X604" s="337" t="b">
        <f t="shared" si="41"/>
        <v>0</v>
      </c>
    </row>
    <row r="605" spans="1:24" s="337" customFormat="1" ht="12" customHeight="1" outlineLevel="1">
      <c r="A605" s="335"/>
      <c r="B605" s="118" t="s">
        <v>12</v>
      </c>
      <c r="C605" s="334" t="s">
        <v>6013</v>
      </c>
      <c r="D605" s="124" t="s">
        <v>5936</v>
      </c>
      <c r="E605" s="125"/>
      <c r="F605" s="118" t="s">
        <v>6002</v>
      </c>
      <c r="G605" s="126" t="str">
        <f t="shared" si="40"/>
        <v>ST-S12-1</v>
      </c>
      <c r="H605" s="255">
        <v>1</v>
      </c>
      <c r="I605" s="361">
        <v>1</v>
      </c>
      <c r="J605" s="362" t="s">
        <v>286</v>
      </c>
      <c r="K605" s="361"/>
      <c r="L605" s="361"/>
      <c r="M605" s="129"/>
      <c r="N605" s="129"/>
      <c r="O605" s="129"/>
      <c r="P605" s="361"/>
      <c r="Q605" s="361"/>
      <c r="R605" s="367"/>
      <c r="S605" s="129"/>
      <c r="T605" s="129"/>
      <c r="W605" s="129" t="s">
        <v>286</v>
      </c>
      <c r="X605" s="337" t="b">
        <f t="shared" si="41"/>
        <v>1</v>
      </c>
    </row>
    <row r="606" spans="1:24" s="337" customFormat="1" ht="12" customHeight="1" outlineLevel="1">
      <c r="A606" s="335"/>
      <c r="B606" s="118" t="s">
        <v>12</v>
      </c>
      <c r="C606" s="334" t="s">
        <v>6014</v>
      </c>
      <c r="D606" s="124" t="s">
        <v>6015</v>
      </c>
      <c r="E606" s="125"/>
      <c r="F606" s="118" t="s">
        <v>6002</v>
      </c>
      <c r="G606" s="126" t="str">
        <f t="shared" si="40"/>
        <v>ST-S12-2</v>
      </c>
      <c r="H606" s="255">
        <v>2</v>
      </c>
      <c r="I606" s="361">
        <v>1</v>
      </c>
      <c r="J606" s="362" t="s">
        <v>286</v>
      </c>
      <c r="K606" s="361"/>
      <c r="L606" s="361"/>
      <c r="M606" s="129"/>
      <c r="N606" s="129"/>
      <c r="O606" s="129"/>
      <c r="P606" s="361"/>
      <c r="Q606" s="361"/>
      <c r="R606" s="367"/>
      <c r="S606" s="129"/>
      <c r="T606" s="129"/>
      <c r="W606" s="129" t="s">
        <v>4876</v>
      </c>
      <c r="X606" s="337" t="b">
        <f t="shared" si="41"/>
        <v>0</v>
      </c>
    </row>
    <row r="607" spans="1:24" s="337" customFormat="1" ht="12" customHeight="1" outlineLevel="1">
      <c r="A607" s="335"/>
      <c r="B607" s="118" t="s">
        <v>12</v>
      </c>
      <c r="C607" s="334" t="s">
        <v>6016</v>
      </c>
      <c r="D607" s="124" t="s">
        <v>6017</v>
      </c>
      <c r="E607" s="125"/>
      <c r="F607" s="118" t="s">
        <v>6002</v>
      </c>
      <c r="G607" s="126" t="str">
        <f t="shared" si="40"/>
        <v>ST-S12-2</v>
      </c>
      <c r="H607" s="255">
        <v>2</v>
      </c>
      <c r="I607" s="361">
        <v>1</v>
      </c>
      <c r="J607" s="362" t="s">
        <v>286</v>
      </c>
      <c r="K607" s="361"/>
      <c r="L607" s="361"/>
      <c r="M607" s="129"/>
      <c r="N607" s="129"/>
      <c r="O607" s="129"/>
      <c r="P607" s="361"/>
      <c r="Q607" s="361"/>
      <c r="R607" s="367"/>
      <c r="S607" s="129"/>
      <c r="T607" s="129"/>
      <c r="W607" s="129" t="s">
        <v>4876</v>
      </c>
      <c r="X607" s="337" t="b">
        <f t="shared" si="41"/>
        <v>0</v>
      </c>
    </row>
    <row r="608" spans="1:24" s="337" customFormat="1" ht="12" customHeight="1" outlineLevel="1">
      <c r="A608" s="335"/>
      <c r="B608" s="118" t="s">
        <v>12</v>
      </c>
      <c r="C608" s="334" t="s">
        <v>6018</v>
      </c>
      <c r="D608" s="124" t="s">
        <v>6019</v>
      </c>
      <c r="E608" s="125"/>
      <c r="F608" s="118" t="s">
        <v>6002</v>
      </c>
      <c r="G608" s="126" t="str">
        <f t="shared" si="40"/>
        <v>ST-S12-2</v>
      </c>
      <c r="H608" s="255">
        <v>2</v>
      </c>
      <c r="I608" s="361">
        <v>1</v>
      </c>
      <c r="J608" s="362" t="s">
        <v>286</v>
      </c>
      <c r="K608" s="361"/>
      <c r="L608" s="361"/>
      <c r="M608" s="129"/>
      <c r="N608" s="129"/>
      <c r="O608" s="129"/>
      <c r="P608" s="361"/>
      <c r="Q608" s="361"/>
      <c r="R608" s="367"/>
      <c r="S608" s="129"/>
      <c r="T608" s="129"/>
      <c r="W608" s="129" t="s">
        <v>4876</v>
      </c>
      <c r="X608" s="337" t="b">
        <f t="shared" si="41"/>
        <v>0</v>
      </c>
    </row>
    <row r="609" spans="1:24" s="337" customFormat="1" ht="12" customHeight="1" outlineLevel="1">
      <c r="A609" s="335"/>
      <c r="B609" s="118" t="s">
        <v>12</v>
      </c>
      <c r="C609" s="334" t="s">
        <v>6020</v>
      </c>
      <c r="D609" s="124" t="s">
        <v>6021</v>
      </c>
      <c r="E609" s="125"/>
      <c r="F609" s="118" t="s">
        <v>6002</v>
      </c>
      <c r="G609" s="126" t="str">
        <f t="shared" si="40"/>
        <v>ST-S12-2</v>
      </c>
      <c r="H609" s="255">
        <v>2</v>
      </c>
      <c r="I609" s="361">
        <v>1</v>
      </c>
      <c r="J609" s="362" t="s">
        <v>286</v>
      </c>
      <c r="K609" s="361"/>
      <c r="L609" s="361"/>
      <c r="M609" s="129"/>
      <c r="N609" s="129"/>
      <c r="O609" s="129"/>
      <c r="P609" s="361"/>
      <c r="Q609" s="361"/>
      <c r="R609" s="367"/>
      <c r="S609" s="129"/>
      <c r="T609" s="129"/>
      <c r="W609" s="129" t="s">
        <v>4876</v>
      </c>
      <c r="X609" s="337" t="b">
        <f t="shared" si="41"/>
        <v>0</v>
      </c>
    </row>
    <row r="610" spans="1:24" s="337" customFormat="1" ht="3" customHeight="1">
      <c r="A610" s="335"/>
      <c r="B610" s="118"/>
      <c r="C610" s="334"/>
      <c r="D610" s="124"/>
      <c r="E610" s="125"/>
      <c r="F610" s="118"/>
      <c r="G610" s="126"/>
      <c r="H610" s="255"/>
      <c r="I610" s="361"/>
      <c r="J610" s="362"/>
      <c r="K610" s="363"/>
      <c r="L610" s="129"/>
      <c r="M610" s="129"/>
      <c r="N610" s="129"/>
      <c r="O610" s="129"/>
      <c r="P610" s="364"/>
      <c r="Q610" s="364"/>
      <c r="R610" s="129"/>
      <c r="S610" s="129"/>
      <c r="T610" s="129"/>
      <c r="W610" s="129"/>
    </row>
    <row r="611" spans="1:24" s="360" customFormat="1" ht="12" customHeight="1">
      <c r="A611" s="110" t="s">
        <v>300</v>
      </c>
      <c r="B611" s="118"/>
      <c r="C611" s="334"/>
      <c r="D611" s="124"/>
      <c r="E611" s="125"/>
      <c r="F611" s="118"/>
      <c r="G611" s="126"/>
      <c r="H611" s="255"/>
      <c r="I611" s="62"/>
      <c r="J611" s="358"/>
      <c r="K611" s="62"/>
      <c r="L611" s="62"/>
      <c r="M611" s="62"/>
      <c r="N611" s="62"/>
      <c r="O611" s="62"/>
      <c r="P611" s="359"/>
      <c r="Q611" s="359"/>
      <c r="R611" s="359"/>
      <c r="S611" s="359"/>
      <c r="T611" s="359"/>
      <c r="W611" s="359"/>
    </row>
    <row r="612" spans="1:24" s="337" customFormat="1" ht="12" customHeight="1" outlineLevel="1">
      <c r="A612" s="335"/>
      <c r="B612" s="118" t="s">
        <v>12</v>
      </c>
      <c r="C612" s="334" t="s">
        <v>6022</v>
      </c>
      <c r="D612" s="124" t="s">
        <v>6023</v>
      </c>
      <c r="E612" s="125"/>
      <c r="F612" s="118" t="s">
        <v>303</v>
      </c>
      <c r="G612" s="126" t="s">
        <v>6024</v>
      </c>
      <c r="H612" s="255">
        <v>1</v>
      </c>
      <c r="I612" s="361">
        <v>1</v>
      </c>
      <c r="J612" s="336" t="s">
        <v>310</v>
      </c>
      <c r="W612" s="129" t="s">
        <v>307</v>
      </c>
      <c r="X612" s="337" t="b">
        <f t="shared" ref="X612:X675" si="42">W612=J612</f>
        <v>0</v>
      </c>
    </row>
    <row r="613" spans="1:24" s="337" customFormat="1" ht="12" customHeight="1" outlineLevel="1">
      <c r="A613" s="335"/>
      <c r="B613" s="118" t="s">
        <v>12</v>
      </c>
      <c r="C613" s="334" t="s">
        <v>6025</v>
      </c>
      <c r="D613" s="124" t="s">
        <v>6026</v>
      </c>
      <c r="E613" s="125"/>
      <c r="F613" s="118" t="s">
        <v>303</v>
      </c>
      <c r="G613" s="126" t="s">
        <v>6024</v>
      </c>
      <c r="H613" s="255">
        <v>1</v>
      </c>
      <c r="I613" s="361">
        <v>1</v>
      </c>
      <c r="J613" s="336" t="s">
        <v>743</v>
      </c>
      <c r="W613" s="129" t="s">
        <v>325</v>
      </c>
      <c r="X613" s="337" t="b">
        <f t="shared" si="42"/>
        <v>0</v>
      </c>
    </row>
    <row r="614" spans="1:24" s="337" customFormat="1" ht="12" customHeight="1" outlineLevel="1">
      <c r="A614" s="335"/>
      <c r="B614" s="118" t="s">
        <v>12</v>
      </c>
      <c r="C614" s="334" t="s">
        <v>6027</v>
      </c>
      <c r="D614" s="124" t="s">
        <v>6028</v>
      </c>
      <c r="E614" s="125"/>
      <c r="F614" s="118" t="s">
        <v>303</v>
      </c>
      <c r="G614" s="126" t="s">
        <v>6024</v>
      </c>
      <c r="H614" s="255">
        <v>1</v>
      </c>
      <c r="I614" s="361">
        <v>1</v>
      </c>
      <c r="J614" s="336" t="s">
        <v>325</v>
      </c>
      <c r="W614" s="129" t="s">
        <v>325</v>
      </c>
      <c r="X614" s="337" t="b">
        <f t="shared" si="42"/>
        <v>1</v>
      </c>
    </row>
    <row r="615" spans="1:24" s="337" customFormat="1" ht="12" customHeight="1" outlineLevel="1">
      <c r="A615" s="335"/>
      <c r="B615" s="118" t="s">
        <v>12</v>
      </c>
      <c r="C615" s="334" t="s">
        <v>6029</v>
      </c>
      <c r="D615" s="124" t="s">
        <v>6030</v>
      </c>
      <c r="E615" s="125"/>
      <c r="F615" s="118" t="s">
        <v>303</v>
      </c>
      <c r="G615" s="126" t="s">
        <v>6024</v>
      </c>
      <c r="H615" s="255">
        <v>1</v>
      </c>
      <c r="I615" s="361">
        <v>1</v>
      </c>
      <c r="J615" s="336" t="s">
        <v>325</v>
      </c>
      <c r="W615" s="129" t="s">
        <v>325</v>
      </c>
      <c r="X615" s="337" t="b">
        <f t="shared" si="42"/>
        <v>1</v>
      </c>
    </row>
    <row r="616" spans="1:24" s="337" customFormat="1" ht="12" customHeight="1" outlineLevel="1">
      <c r="A616" s="335"/>
      <c r="B616" s="118" t="s">
        <v>12</v>
      </c>
      <c r="C616" s="334" t="s">
        <v>6031</v>
      </c>
      <c r="D616" s="124" t="s">
        <v>6032</v>
      </c>
      <c r="E616" s="125"/>
      <c r="F616" s="118" t="s">
        <v>303</v>
      </c>
      <c r="G616" s="126" t="s">
        <v>6024</v>
      </c>
      <c r="H616" s="255">
        <v>1</v>
      </c>
      <c r="I616" s="361">
        <v>1</v>
      </c>
      <c r="J616" s="336" t="s">
        <v>325</v>
      </c>
      <c r="W616" s="129" t="s">
        <v>325</v>
      </c>
      <c r="X616" s="337" t="b">
        <f t="shared" si="42"/>
        <v>1</v>
      </c>
    </row>
    <row r="617" spans="1:24" s="337" customFormat="1" ht="12" customHeight="1" outlineLevel="1">
      <c r="A617" s="335"/>
      <c r="B617" s="118" t="s">
        <v>12</v>
      </c>
      <c r="C617" s="334" t="s">
        <v>6033</v>
      </c>
      <c r="D617" s="124" t="s">
        <v>6034</v>
      </c>
      <c r="E617" s="125"/>
      <c r="F617" s="118" t="s">
        <v>303</v>
      </c>
      <c r="G617" s="126" t="s">
        <v>6024</v>
      </c>
      <c r="H617" s="255">
        <v>1</v>
      </c>
      <c r="I617" s="361">
        <v>1</v>
      </c>
      <c r="J617" s="336" t="s">
        <v>325</v>
      </c>
      <c r="W617" s="129" t="s">
        <v>325</v>
      </c>
      <c r="X617" s="337" t="b">
        <f t="shared" si="42"/>
        <v>1</v>
      </c>
    </row>
    <row r="618" spans="1:24" s="337" customFormat="1" ht="12" customHeight="1" outlineLevel="1">
      <c r="A618" s="335"/>
      <c r="B618" s="118" t="s">
        <v>12</v>
      </c>
      <c r="C618" s="334" t="s">
        <v>6035</v>
      </c>
      <c r="D618" s="124" t="s">
        <v>6036</v>
      </c>
      <c r="E618" s="125"/>
      <c r="F618" s="118" t="s">
        <v>303</v>
      </c>
      <c r="G618" s="126" t="s">
        <v>6024</v>
      </c>
      <c r="H618" s="255">
        <v>1</v>
      </c>
      <c r="I618" s="361">
        <v>1</v>
      </c>
      <c r="J618" s="336" t="s">
        <v>307</v>
      </c>
      <c r="W618" s="129" t="s">
        <v>307</v>
      </c>
      <c r="X618" s="337" t="b">
        <f t="shared" si="42"/>
        <v>1</v>
      </c>
    </row>
    <row r="619" spans="1:24" s="337" customFormat="1" ht="12" customHeight="1" outlineLevel="1">
      <c r="A619" s="335"/>
      <c r="B619" s="118" t="s">
        <v>12</v>
      </c>
      <c r="C619" s="334" t="s">
        <v>6037</v>
      </c>
      <c r="D619" s="124" t="s">
        <v>6038</v>
      </c>
      <c r="E619" s="125"/>
      <c r="F619" s="118" t="s">
        <v>303</v>
      </c>
      <c r="G619" s="126" t="s">
        <v>6024</v>
      </c>
      <c r="H619" s="255">
        <v>1</v>
      </c>
      <c r="I619" s="361">
        <v>1</v>
      </c>
      <c r="J619" s="336" t="s">
        <v>307</v>
      </c>
      <c r="W619" s="129" t="s">
        <v>307</v>
      </c>
      <c r="X619" s="337" t="b">
        <f t="shared" si="42"/>
        <v>1</v>
      </c>
    </row>
    <row r="620" spans="1:24" s="337" customFormat="1" ht="12" customHeight="1" outlineLevel="1">
      <c r="A620" s="335"/>
      <c r="B620" s="118" t="s">
        <v>12</v>
      </c>
      <c r="C620" s="334" t="s">
        <v>6039</v>
      </c>
      <c r="D620" s="124" t="s">
        <v>6040</v>
      </c>
      <c r="E620" s="125"/>
      <c r="F620" s="118" t="s">
        <v>303</v>
      </c>
      <c r="G620" s="126" t="s">
        <v>6024</v>
      </c>
      <c r="H620" s="255">
        <v>1</v>
      </c>
      <c r="I620" s="361">
        <v>1</v>
      </c>
      <c r="J620" s="336" t="s">
        <v>307</v>
      </c>
      <c r="W620" s="129" t="s">
        <v>310</v>
      </c>
      <c r="X620" s="337" t="b">
        <f t="shared" si="42"/>
        <v>0</v>
      </c>
    </row>
    <row r="621" spans="1:24" s="337" customFormat="1" ht="12" customHeight="1" outlineLevel="1">
      <c r="A621" s="335"/>
      <c r="B621" s="118" t="s">
        <v>12</v>
      </c>
      <c r="C621" s="334" t="s">
        <v>6041</v>
      </c>
      <c r="D621" s="124" t="s">
        <v>6042</v>
      </c>
      <c r="E621" s="125"/>
      <c r="F621" s="118" t="s">
        <v>303</v>
      </c>
      <c r="G621" s="126" t="s">
        <v>6024</v>
      </c>
      <c r="H621" s="255">
        <v>1</v>
      </c>
      <c r="I621" s="361">
        <v>1</v>
      </c>
      <c r="J621" s="336" t="s">
        <v>307</v>
      </c>
      <c r="W621" s="129" t="s">
        <v>310</v>
      </c>
      <c r="X621" s="337" t="b">
        <f t="shared" si="42"/>
        <v>0</v>
      </c>
    </row>
    <row r="622" spans="1:24" s="337" customFormat="1" ht="12" customHeight="1" outlineLevel="1">
      <c r="A622" s="335"/>
      <c r="B622" s="118" t="s">
        <v>12</v>
      </c>
      <c r="C622" s="334" t="s">
        <v>6043</v>
      </c>
      <c r="D622" s="124" t="s">
        <v>6044</v>
      </c>
      <c r="E622" s="125"/>
      <c r="F622" s="118" t="s">
        <v>303</v>
      </c>
      <c r="G622" s="126" t="s">
        <v>6024</v>
      </c>
      <c r="H622" s="255">
        <v>1</v>
      </c>
      <c r="I622" s="361">
        <v>1</v>
      </c>
      <c r="J622" s="336" t="s">
        <v>325</v>
      </c>
      <c r="W622" s="129" t="s">
        <v>310</v>
      </c>
      <c r="X622" s="337" t="b">
        <f t="shared" si="42"/>
        <v>0</v>
      </c>
    </row>
    <row r="623" spans="1:24" s="337" customFormat="1" ht="12" customHeight="1" outlineLevel="1">
      <c r="A623" s="335"/>
      <c r="B623" s="118" t="s">
        <v>12</v>
      </c>
      <c r="C623" s="334" t="s">
        <v>6045</v>
      </c>
      <c r="D623" s="124" t="s">
        <v>6046</v>
      </c>
      <c r="E623" s="125"/>
      <c r="F623" s="118" t="s">
        <v>303</v>
      </c>
      <c r="G623" s="126" t="s">
        <v>6024</v>
      </c>
      <c r="H623" s="255">
        <v>1</v>
      </c>
      <c r="I623" s="361">
        <v>1</v>
      </c>
      <c r="J623" s="336" t="s">
        <v>743</v>
      </c>
      <c r="W623" s="129" t="s">
        <v>310</v>
      </c>
      <c r="X623" s="337" t="b">
        <f t="shared" si="42"/>
        <v>0</v>
      </c>
    </row>
    <row r="624" spans="1:24" s="337" customFormat="1" ht="12" customHeight="1" outlineLevel="1">
      <c r="A624" s="335"/>
      <c r="B624" s="118" t="s">
        <v>12</v>
      </c>
      <c r="C624" s="334" t="s">
        <v>6047</v>
      </c>
      <c r="D624" s="124" t="s">
        <v>6048</v>
      </c>
      <c r="E624" s="125"/>
      <c r="F624" s="118" t="s">
        <v>303</v>
      </c>
      <c r="G624" s="126" t="s">
        <v>6024</v>
      </c>
      <c r="H624" s="255">
        <v>1</v>
      </c>
      <c r="I624" s="361">
        <v>1</v>
      </c>
      <c r="J624" s="336" t="s">
        <v>743</v>
      </c>
      <c r="W624" s="129" t="s">
        <v>310</v>
      </c>
      <c r="X624" s="337" t="b">
        <f t="shared" si="42"/>
        <v>0</v>
      </c>
    </row>
    <row r="625" spans="1:24" s="337" customFormat="1" ht="12" customHeight="1" outlineLevel="1">
      <c r="A625" s="335"/>
      <c r="B625" s="118" t="s">
        <v>12</v>
      </c>
      <c r="C625" s="334" t="s">
        <v>6049</v>
      </c>
      <c r="D625" s="124" t="s">
        <v>6050</v>
      </c>
      <c r="E625" s="125"/>
      <c r="F625" s="118" t="s">
        <v>303</v>
      </c>
      <c r="G625" s="126" t="s">
        <v>6024</v>
      </c>
      <c r="H625" s="255">
        <v>1</v>
      </c>
      <c r="I625" s="361">
        <v>1</v>
      </c>
      <c r="J625" s="336" t="s">
        <v>307</v>
      </c>
      <c r="W625" s="129" t="s">
        <v>325</v>
      </c>
      <c r="X625" s="337" t="b">
        <f t="shared" si="42"/>
        <v>0</v>
      </c>
    </row>
    <row r="626" spans="1:24" s="337" customFormat="1" ht="12" customHeight="1" outlineLevel="1">
      <c r="A626" s="335"/>
      <c r="B626" s="118" t="s">
        <v>12</v>
      </c>
      <c r="C626" s="334" t="s">
        <v>6051</v>
      </c>
      <c r="D626" s="124" t="s">
        <v>6052</v>
      </c>
      <c r="E626" s="125"/>
      <c r="F626" s="118" t="s">
        <v>303</v>
      </c>
      <c r="G626" s="126" t="s">
        <v>6024</v>
      </c>
      <c r="H626" s="255">
        <v>1</v>
      </c>
      <c r="I626" s="361">
        <v>1</v>
      </c>
      <c r="J626" s="336" t="s">
        <v>307</v>
      </c>
      <c r="W626" s="129" t="s">
        <v>286</v>
      </c>
      <c r="X626" s="337" t="b">
        <f t="shared" si="42"/>
        <v>0</v>
      </c>
    </row>
    <row r="627" spans="1:24" s="337" customFormat="1" ht="12" customHeight="1" outlineLevel="1">
      <c r="A627" s="335"/>
      <c r="B627" s="118" t="s">
        <v>12</v>
      </c>
      <c r="C627" s="334" t="s">
        <v>6053</v>
      </c>
      <c r="D627" s="124" t="s">
        <v>6054</v>
      </c>
      <c r="E627" s="125"/>
      <c r="F627" s="118" t="s">
        <v>303</v>
      </c>
      <c r="G627" s="126" t="s">
        <v>6024</v>
      </c>
      <c r="H627" s="255">
        <v>1</v>
      </c>
      <c r="I627" s="361">
        <v>1</v>
      </c>
      <c r="J627" s="336" t="s">
        <v>325</v>
      </c>
      <c r="W627" s="129" t="s">
        <v>286</v>
      </c>
      <c r="X627" s="337" t="b">
        <f t="shared" si="42"/>
        <v>0</v>
      </c>
    </row>
    <row r="628" spans="1:24" s="337" customFormat="1" ht="12" customHeight="1" outlineLevel="1">
      <c r="A628" s="335"/>
      <c r="B628" s="118" t="s">
        <v>12</v>
      </c>
      <c r="C628" s="334" t="s">
        <v>6055</v>
      </c>
      <c r="D628" s="124" t="s">
        <v>6056</v>
      </c>
      <c r="E628" s="125"/>
      <c r="F628" s="118" t="s">
        <v>303</v>
      </c>
      <c r="G628" s="126" t="s">
        <v>6024</v>
      </c>
      <c r="H628" s="255">
        <v>1</v>
      </c>
      <c r="I628" s="361">
        <v>1</v>
      </c>
      <c r="J628" s="336" t="s">
        <v>286</v>
      </c>
      <c r="W628" s="129" t="s">
        <v>4876</v>
      </c>
      <c r="X628" s="337" t="b">
        <f t="shared" si="42"/>
        <v>0</v>
      </c>
    </row>
    <row r="629" spans="1:24" s="337" customFormat="1" ht="12" customHeight="1" outlineLevel="1">
      <c r="A629" s="335"/>
      <c r="B629" s="118" t="s">
        <v>12</v>
      </c>
      <c r="C629" s="334" t="s">
        <v>6057</v>
      </c>
      <c r="D629" s="124" t="s">
        <v>6058</v>
      </c>
      <c r="E629" s="125"/>
      <c r="F629" s="118" t="s">
        <v>303</v>
      </c>
      <c r="G629" s="126" t="s">
        <v>6024</v>
      </c>
      <c r="H629" s="255">
        <v>1</v>
      </c>
      <c r="I629" s="361">
        <v>1</v>
      </c>
      <c r="J629" s="336" t="s">
        <v>286</v>
      </c>
      <c r="W629" s="129" t="s">
        <v>310</v>
      </c>
      <c r="X629" s="337" t="b">
        <f t="shared" si="42"/>
        <v>0</v>
      </c>
    </row>
    <row r="630" spans="1:24" s="337" customFormat="1" ht="12" customHeight="1" outlineLevel="1">
      <c r="A630" s="335"/>
      <c r="B630" s="118" t="s">
        <v>12</v>
      </c>
      <c r="C630" s="334" t="s">
        <v>6059</v>
      </c>
      <c r="D630" s="124" t="s">
        <v>6060</v>
      </c>
      <c r="E630" s="125"/>
      <c r="F630" s="118" t="s">
        <v>303</v>
      </c>
      <c r="G630" s="126" t="s">
        <v>6024</v>
      </c>
      <c r="H630" s="255">
        <v>1</v>
      </c>
      <c r="I630" s="361">
        <v>1</v>
      </c>
      <c r="J630" s="336" t="s">
        <v>286</v>
      </c>
      <c r="W630" s="129" t="s">
        <v>307</v>
      </c>
      <c r="X630" s="337" t="b">
        <f t="shared" si="42"/>
        <v>0</v>
      </c>
    </row>
    <row r="631" spans="1:24" s="337" customFormat="1" ht="12" customHeight="1" outlineLevel="1">
      <c r="A631" s="335"/>
      <c r="B631" s="118" t="s">
        <v>12</v>
      </c>
      <c r="C631" s="334" t="s">
        <v>6061</v>
      </c>
      <c r="D631" s="124" t="s">
        <v>6062</v>
      </c>
      <c r="E631" s="125"/>
      <c r="F631" s="118" t="s">
        <v>303</v>
      </c>
      <c r="G631" s="126" t="s">
        <v>6024</v>
      </c>
      <c r="H631" s="255">
        <v>1</v>
      </c>
      <c r="I631" s="361">
        <v>1</v>
      </c>
      <c r="J631" s="336" t="s">
        <v>286</v>
      </c>
      <c r="W631" s="129" t="s">
        <v>4876</v>
      </c>
      <c r="X631" s="337" t="b">
        <f t="shared" si="42"/>
        <v>0</v>
      </c>
    </row>
    <row r="632" spans="1:24" s="337" customFormat="1" ht="12" customHeight="1" outlineLevel="1">
      <c r="A632" s="335"/>
      <c r="B632" s="118" t="s">
        <v>12</v>
      </c>
      <c r="C632" s="334" t="s">
        <v>6063</v>
      </c>
      <c r="D632" s="124" t="s">
        <v>6064</v>
      </c>
      <c r="E632" s="125"/>
      <c r="F632" s="118" t="s">
        <v>303</v>
      </c>
      <c r="G632" s="126" t="s">
        <v>6024</v>
      </c>
      <c r="H632" s="255">
        <v>1</v>
      </c>
      <c r="I632" s="361">
        <v>1</v>
      </c>
      <c r="J632" s="336" t="s">
        <v>286</v>
      </c>
      <c r="W632" s="129" t="s">
        <v>4876</v>
      </c>
      <c r="X632" s="337" t="b">
        <f t="shared" si="42"/>
        <v>0</v>
      </c>
    </row>
    <row r="633" spans="1:24" s="337" customFormat="1" ht="12" customHeight="1" outlineLevel="1">
      <c r="A633" s="335"/>
      <c r="B633" s="118" t="s">
        <v>12</v>
      </c>
      <c r="C633" s="334" t="s">
        <v>6065</v>
      </c>
      <c r="D633" s="124" t="s">
        <v>6066</v>
      </c>
      <c r="E633" s="125"/>
      <c r="F633" s="118" t="s">
        <v>303</v>
      </c>
      <c r="G633" s="126" t="s">
        <v>6024</v>
      </c>
      <c r="H633" s="255">
        <v>1</v>
      </c>
      <c r="I633" s="361">
        <v>1</v>
      </c>
      <c r="J633" s="336" t="s">
        <v>6067</v>
      </c>
      <c r="W633" s="129" t="s">
        <v>6068</v>
      </c>
      <c r="X633" s="337" t="b">
        <f t="shared" si="42"/>
        <v>0</v>
      </c>
    </row>
    <row r="634" spans="1:24" s="337" customFormat="1" ht="12" customHeight="1" outlineLevel="1">
      <c r="A634" s="335"/>
      <c r="B634" s="118" t="s">
        <v>12</v>
      </c>
      <c r="C634" s="334" t="s">
        <v>6069</v>
      </c>
      <c r="D634" s="124" t="s">
        <v>6070</v>
      </c>
      <c r="E634" s="125"/>
      <c r="F634" s="118" t="s">
        <v>303</v>
      </c>
      <c r="G634" s="126" t="s">
        <v>6024</v>
      </c>
      <c r="H634" s="255">
        <v>1</v>
      </c>
      <c r="I634" s="361">
        <v>1</v>
      </c>
      <c r="J634" s="336" t="s">
        <v>286</v>
      </c>
      <c r="W634" s="129" t="s">
        <v>4876</v>
      </c>
      <c r="X634" s="337" t="b">
        <f t="shared" si="42"/>
        <v>0</v>
      </c>
    </row>
    <row r="635" spans="1:24" s="337" customFormat="1" ht="12" customHeight="1" outlineLevel="1">
      <c r="A635" s="335"/>
      <c r="B635" s="118" t="s">
        <v>12</v>
      </c>
      <c r="C635" s="334" t="s">
        <v>6071</v>
      </c>
      <c r="D635" s="124" t="s">
        <v>6072</v>
      </c>
      <c r="E635" s="125"/>
      <c r="F635" s="118" t="s">
        <v>303</v>
      </c>
      <c r="G635" s="126" t="s">
        <v>6024</v>
      </c>
      <c r="H635" s="255">
        <v>1</v>
      </c>
      <c r="I635" s="361">
        <v>1</v>
      </c>
      <c r="J635" s="336" t="s">
        <v>286</v>
      </c>
      <c r="W635" s="129" t="s">
        <v>4876</v>
      </c>
      <c r="X635" s="337" t="b">
        <f t="shared" si="42"/>
        <v>0</v>
      </c>
    </row>
    <row r="636" spans="1:24" s="337" customFormat="1" ht="12" customHeight="1" outlineLevel="1">
      <c r="A636" s="335"/>
      <c r="B636" s="118" t="s">
        <v>12</v>
      </c>
      <c r="C636" s="334" t="s">
        <v>6073</v>
      </c>
      <c r="D636" s="124" t="s">
        <v>6074</v>
      </c>
      <c r="E636" s="125"/>
      <c r="F636" s="118" t="s">
        <v>303</v>
      </c>
      <c r="G636" s="126" t="s">
        <v>6024</v>
      </c>
      <c r="H636" s="255">
        <v>1</v>
      </c>
      <c r="I636" s="361">
        <v>1</v>
      </c>
      <c r="J636" s="336" t="s">
        <v>310</v>
      </c>
      <c r="W636" s="129" t="s">
        <v>310</v>
      </c>
      <c r="X636" s="337" t="b">
        <f t="shared" si="42"/>
        <v>1</v>
      </c>
    </row>
    <row r="637" spans="1:24" s="337" customFormat="1" ht="12" customHeight="1" outlineLevel="1">
      <c r="A637" s="335"/>
      <c r="B637" s="118" t="s">
        <v>12</v>
      </c>
      <c r="C637" s="334" t="s">
        <v>6075</v>
      </c>
      <c r="D637" s="124" t="s">
        <v>6076</v>
      </c>
      <c r="E637" s="125"/>
      <c r="F637" s="118" t="s">
        <v>303</v>
      </c>
      <c r="G637" s="126" t="s">
        <v>6024</v>
      </c>
      <c r="H637" s="255">
        <v>1</v>
      </c>
      <c r="I637" s="361">
        <v>1</v>
      </c>
      <c r="J637" s="336" t="s">
        <v>310</v>
      </c>
      <c r="W637" s="129" t="s">
        <v>307</v>
      </c>
      <c r="X637" s="337" t="b">
        <f t="shared" si="42"/>
        <v>0</v>
      </c>
    </row>
    <row r="638" spans="1:24" s="337" customFormat="1" ht="12" customHeight="1" outlineLevel="1">
      <c r="A638" s="335"/>
      <c r="B638" s="118" t="s">
        <v>12</v>
      </c>
      <c r="C638" s="334" t="s">
        <v>6077</v>
      </c>
      <c r="D638" s="124" t="s">
        <v>6078</v>
      </c>
      <c r="E638" s="125"/>
      <c r="F638" s="118" t="s">
        <v>303</v>
      </c>
      <c r="G638" s="126" t="s">
        <v>6024</v>
      </c>
      <c r="H638" s="255">
        <v>1</v>
      </c>
      <c r="I638" s="361">
        <v>1</v>
      </c>
      <c r="J638" s="336" t="s">
        <v>286</v>
      </c>
      <c r="W638" s="129" t="s">
        <v>286</v>
      </c>
      <c r="X638" s="337" t="b">
        <f t="shared" si="42"/>
        <v>1</v>
      </c>
    </row>
    <row r="639" spans="1:24" s="337" customFormat="1" ht="12" customHeight="1" outlineLevel="1">
      <c r="A639" s="335"/>
      <c r="B639" s="118" t="s">
        <v>12</v>
      </c>
      <c r="C639" s="334" t="s">
        <v>6079</v>
      </c>
      <c r="D639" s="124" t="s">
        <v>6080</v>
      </c>
      <c r="E639" s="125"/>
      <c r="F639" s="118" t="s">
        <v>303</v>
      </c>
      <c r="G639" s="126" t="s">
        <v>6024</v>
      </c>
      <c r="H639" s="255">
        <v>1</v>
      </c>
      <c r="I639" s="361">
        <v>1</v>
      </c>
      <c r="J639" s="336" t="s">
        <v>310</v>
      </c>
      <c r="W639" s="129" t="s">
        <v>310</v>
      </c>
      <c r="X639" s="337" t="b">
        <f t="shared" si="42"/>
        <v>1</v>
      </c>
    </row>
    <row r="640" spans="1:24" s="337" customFormat="1" ht="12" customHeight="1" outlineLevel="1">
      <c r="A640" s="335"/>
      <c r="B640" s="118" t="s">
        <v>12</v>
      </c>
      <c r="C640" s="334" t="s">
        <v>6081</v>
      </c>
      <c r="D640" s="124" t="s">
        <v>6082</v>
      </c>
      <c r="E640" s="125"/>
      <c r="F640" s="118" t="s">
        <v>303</v>
      </c>
      <c r="G640" s="126" t="s">
        <v>6024</v>
      </c>
      <c r="H640" s="255">
        <v>1</v>
      </c>
      <c r="I640" s="361">
        <v>1</v>
      </c>
      <c r="J640" s="336" t="s">
        <v>310</v>
      </c>
      <c r="W640" s="129" t="s">
        <v>310</v>
      </c>
      <c r="X640" s="337" t="b">
        <f t="shared" si="42"/>
        <v>1</v>
      </c>
    </row>
    <row r="641" spans="1:24" s="337" customFormat="1" ht="12" customHeight="1" outlineLevel="1">
      <c r="A641" s="335"/>
      <c r="B641" s="118" t="s">
        <v>12</v>
      </c>
      <c r="C641" s="334" t="s">
        <v>6083</v>
      </c>
      <c r="D641" s="124" t="s">
        <v>6084</v>
      </c>
      <c r="E641" s="125"/>
      <c r="F641" s="118" t="s">
        <v>303</v>
      </c>
      <c r="G641" s="126" t="s">
        <v>6024</v>
      </c>
      <c r="H641" s="255">
        <v>1</v>
      </c>
      <c r="I641" s="361">
        <v>1</v>
      </c>
      <c r="J641" s="336" t="s">
        <v>286</v>
      </c>
      <c r="W641" s="129" t="s">
        <v>286</v>
      </c>
      <c r="X641" s="337" t="b">
        <f t="shared" si="42"/>
        <v>1</v>
      </c>
    </row>
    <row r="642" spans="1:24" s="337" customFormat="1" ht="12" customHeight="1" outlineLevel="1">
      <c r="A642" s="335"/>
      <c r="B642" s="118" t="s">
        <v>12</v>
      </c>
      <c r="C642" s="334" t="s">
        <v>6085</v>
      </c>
      <c r="D642" s="124" t="s">
        <v>6086</v>
      </c>
      <c r="E642" s="125"/>
      <c r="F642" s="118" t="s">
        <v>303</v>
      </c>
      <c r="G642" s="126" t="s">
        <v>6024</v>
      </c>
      <c r="H642" s="255">
        <v>1</v>
      </c>
      <c r="I642" s="361">
        <v>1</v>
      </c>
      <c r="J642" s="336" t="s">
        <v>286</v>
      </c>
      <c r="W642" s="129" t="s">
        <v>4876</v>
      </c>
      <c r="X642" s="337" t="b">
        <f t="shared" si="42"/>
        <v>0</v>
      </c>
    </row>
    <row r="643" spans="1:24" s="337" customFormat="1" ht="12" customHeight="1" outlineLevel="1">
      <c r="A643" s="335"/>
      <c r="B643" s="118" t="s">
        <v>12</v>
      </c>
      <c r="C643" s="334" t="s">
        <v>6087</v>
      </c>
      <c r="D643" s="124" t="s">
        <v>6088</v>
      </c>
      <c r="E643" s="125"/>
      <c r="F643" s="118" t="s">
        <v>303</v>
      </c>
      <c r="G643" s="126" t="s">
        <v>6024</v>
      </c>
      <c r="H643" s="255">
        <v>1</v>
      </c>
      <c r="I643" s="361">
        <v>1</v>
      </c>
      <c r="J643" s="336" t="s">
        <v>286</v>
      </c>
      <c r="W643" s="129" t="s">
        <v>4876</v>
      </c>
      <c r="X643" s="337" t="b">
        <f t="shared" si="42"/>
        <v>0</v>
      </c>
    </row>
    <row r="644" spans="1:24" s="337" customFormat="1" ht="12" customHeight="1" outlineLevel="1">
      <c r="A644" s="335"/>
      <c r="B644" s="118" t="s">
        <v>12</v>
      </c>
      <c r="C644" s="334" t="s">
        <v>6089</v>
      </c>
      <c r="D644" s="124" t="s">
        <v>6090</v>
      </c>
      <c r="E644" s="125"/>
      <c r="F644" s="118" t="s">
        <v>303</v>
      </c>
      <c r="G644" s="126" t="s">
        <v>6024</v>
      </c>
      <c r="H644" s="255">
        <v>1</v>
      </c>
      <c r="I644" s="361">
        <v>1</v>
      </c>
      <c r="J644" s="336" t="s">
        <v>286</v>
      </c>
      <c r="W644" s="129" t="s">
        <v>4876</v>
      </c>
      <c r="X644" s="337" t="b">
        <f t="shared" si="42"/>
        <v>0</v>
      </c>
    </row>
    <row r="645" spans="1:24" s="337" customFormat="1" ht="12" customHeight="1" outlineLevel="1">
      <c r="A645" s="335"/>
      <c r="B645" s="118" t="s">
        <v>12</v>
      </c>
      <c r="C645" s="334" t="s">
        <v>6091</v>
      </c>
      <c r="D645" s="124" t="s">
        <v>6092</v>
      </c>
      <c r="E645" s="125"/>
      <c r="F645" s="118" t="s">
        <v>303</v>
      </c>
      <c r="G645" s="126" t="s">
        <v>6024</v>
      </c>
      <c r="H645" s="255">
        <v>1</v>
      </c>
      <c r="I645" s="361">
        <v>1</v>
      </c>
      <c r="J645" s="336" t="s">
        <v>286</v>
      </c>
      <c r="W645" s="129" t="s">
        <v>4876</v>
      </c>
      <c r="X645" s="337" t="b">
        <f t="shared" si="42"/>
        <v>0</v>
      </c>
    </row>
    <row r="646" spans="1:24" s="337" customFormat="1" ht="12" customHeight="1" outlineLevel="1">
      <c r="A646" s="335"/>
      <c r="B646" s="118" t="s">
        <v>12</v>
      </c>
      <c r="C646" s="334" t="s">
        <v>6093</v>
      </c>
      <c r="D646" s="124" t="s">
        <v>6094</v>
      </c>
      <c r="E646" s="125"/>
      <c r="F646" s="118" t="s">
        <v>303</v>
      </c>
      <c r="G646" s="126" t="s">
        <v>6024</v>
      </c>
      <c r="H646" s="255">
        <v>1</v>
      </c>
      <c r="I646" s="361">
        <v>1</v>
      </c>
      <c r="J646" s="336" t="s">
        <v>286</v>
      </c>
      <c r="W646" s="129" t="s">
        <v>4876</v>
      </c>
      <c r="X646" s="337" t="b">
        <f t="shared" si="42"/>
        <v>0</v>
      </c>
    </row>
    <row r="647" spans="1:24" s="337" customFormat="1" ht="12" customHeight="1" outlineLevel="1">
      <c r="A647" s="335"/>
      <c r="B647" s="118" t="s">
        <v>12</v>
      </c>
      <c r="C647" s="334" t="s">
        <v>6095</v>
      </c>
      <c r="D647" s="124" t="s">
        <v>6096</v>
      </c>
      <c r="E647" s="125"/>
      <c r="F647" s="118" t="s">
        <v>303</v>
      </c>
      <c r="G647" s="126" t="s">
        <v>6024</v>
      </c>
      <c r="H647" s="255">
        <v>1</v>
      </c>
      <c r="I647" s="361">
        <v>1</v>
      </c>
      <c r="J647" s="336" t="s">
        <v>286</v>
      </c>
      <c r="W647" s="129" t="s">
        <v>4876</v>
      </c>
      <c r="X647" s="337" t="b">
        <f t="shared" si="42"/>
        <v>0</v>
      </c>
    </row>
    <row r="648" spans="1:24" s="337" customFormat="1" ht="12" customHeight="1" outlineLevel="1">
      <c r="A648" s="335"/>
      <c r="B648" s="118" t="s">
        <v>12</v>
      </c>
      <c r="C648" s="334" t="s">
        <v>6097</v>
      </c>
      <c r="D648" s="124" t="s">
        <v>6098</v>
      </c>
      <c r="E648" s="125"/>
      <c r="F648" s="118" t="s">
        <v>303</v>
      </c>
      <c r="G648" s="126" t="s">
        <v>6024</v>
      </c>
      <c r="H648" s="255">
        <v>1</v>
      </c>
      <c r="I648" s="361">
        <v>1</v>
      </c>
      <c r="J648" s="336" t="s">
        <v>286</v>
      </c>
      <c r="W648" s="129" t="s">
        <v>4876</v>
      </c>
      <c r="X648" s="337" t="b">
        <f t="shared" si="42"/>
        <v>0</v>
      </c>
    </row>
    <row r="649" spans="1:24" s="337" customFormat="1" ht="12" customHeight="1" outlineLevel="1">
      <c r="A649" s="335"/>
      <c r="B649" s="118" t="s">
        <v>12</v>
      </c>
      <c r="C649" s="334" t="s">
        <v>6099</v>
      </c>
      <c r="D649" s="124" t="s">
        <v>6100</v>
      </c>
      <c r="E649" s="125"/>
      <c r="F649" s="118" t="s">
        <v>303</v>
      </c>
      <c r="G649" s="126" t="s">
        <v>6024</v>
      </c>
      <c r="H649" s="255">
        <v>1</v>
      </c>
      <c r="I649" s="361">
        <v>1</v>
      </c>
      <c r="J649" s="336" t="s">
        <v>286</v>
      </c>
      <c r="W649" s="129" t="s">
        <v>4876</v>
      </c>
      <c r="X649" s="337" t="b">
        <f t="shared" si="42"/>
        <v>0</v>
      </c>
    </row>
    <row r="650" spans="1:24" s="337" customFormat="1" ht="12" customHeight="1" outlineLevel="1">
      <c r="A650" s="335"/>
      <c r="B650" s="118" t="s">
        <v>12</v>
      </c>
      <c r="C650" s="334" t="s">
        <v>6101</v>
      </c>
      <c r="D650" s="124" t="s">
        <v>6102</v>
      </c>
      <c r="E650" s="125"/>
      <c r="F650" s="118" t="s">
        <v>303</v>
      </c>
      <c r="G650" s="126" t="s">
        <v>6024</v>
      </c>
      <c r="H650" s="255">
        <v>1</v>
      </c>
      <c r="I650" s="361">
        <v>1</v>
      </c>
      <c r="J650" s="336" t="s">
        <v>286</v>
      </c>
      <c r="W650" s="129" t="s">
        <v>4876</v>
      </c>
      <c r="X650" s="337" t="b">
        <f t="shared" si="42"/>
        <v>0</v>
      </c>
    </row>
    <row r="651" spans="1:24" s="337" customFormat="1" ht="12" customHeight="1" outlineLevel="1">
      <c r="A651" s="335"/>
      <c r="B651" s="118" t="s">
        <v>12</v>
      </c>
      <c r="C651" s="334" t="s">
        <v>6103</v>
      </c>
      <c r="D651" s="124" t="s">
        <v>6104</v>
      </c>
      <c r="E651" s="125"/>
      <c r="F651" s="118" t="s">
        <v>303</v>
      </c>
      <c r="G651" s="126" t="s">
        <v>6024</v>
      </c>
      <c r="H651" s="255">
        <v>1</v>
      </c>
      <c r="I651" s="361">
        <v>1</v>
      </c>
      <c r="J651" s="336" t="s">
        <v>286</v>
      </c>
      <c r="W651" s="129" t="s">
        <v>4876</v>
      </c>
      <c r="X651" s="337" t="b">
        <f t="shared" si="42"/>
        <v>0</v>
      </c>
    </row>
    <row r="652" spans="1:24" s="337" customFormat="1" ht="12" customHeight="1" outlineLevel="1">
      <c r="A652" s="335"/>
      <c r="B652" s="118" t="s">
        <v>12</v>
      </c>
      <c r="C652" s="334" t="s">
        <v>6105</v>
      </c>
      <c r="D652" s="124" t="s">
        <v>6106</v>
      </c>
      <c r="E652" s="125"/>
      <c r="F652" s="118" t="s">
        <v>303</v>
      </c>
      <c r="G652" s="126" t="s">
        <v>6024</v>
      </c>
      <c r="H652" s="255">
        <v>1</v>
      </c>
      <c r="I652" s="361">
        <v>1</v>
      </c>
      <c r="J652" s="336" t="s">
        <v>286</v>
      </c>
      <c r="W652" s="129" t="s">
        <v>4876</v>
      </c>
      <c r="X652" s="337" t="b">
        <f t="shared" si="42"/>
        <v>0</v>
      </c>
    </row>
    <row r="653" spans="1:24" s="337" customFormat="1" ht="12" customHeight="1" outlineLevel="1">
      <c r="A653" s="335"/>
      <c r="B653" s="118" t="s">
        <v>12</v>
      </c>
      <c r="C653" s="334" t="s">
        <v>6107</v>
      </c>
      <c r="D653" s="124" t="s">
        <v>6108</v>
      </c>
      <c r="E653" s="125"/>
      <c r="F653" s="118" t="s">
        <v>303</v>
      </c>
      <c r="G653" s="126" t="s">
        <v>6024</v>
      </c>
      <c r="H653" s="255">
        <v>1</v>
      </c>
      <c r="I653" s="361">
        <v>1</v>
      </c>
      <c r="J653" s="336" t="s">
        <v>286</v>
      </c>
      <c r="W653" s="129" t="s">
        <v>4876</v>
      </c>
      <c r="X653" s="337" t="b">
        <f t="shared" si="42"/>
        <v>0</v>
      </c>
    </row>
    <row r="654" spans="1:24" s="337" customFormat="1" ht="12" customHeight="1" outlineLevel="1">
      <c r="A654" s="335"/>
      <c r="B654" s="118" t="s">
        <v>12</v>
      </c>
      <c r="C654" s="334" t="s">
        <v>6109</v>
      </c>
      <c r="D654" s="124" t="s">
        <v>6110</v>
      </c>
      <c r="E654" s="125"/>
      <c r="F654" s="118" t="s">
        <v>303</v>
      </c>
      <c r="G654" s="126" t="s">
        <v>6024</v>
      </c>
      <c r="H654" s="255">
        <v>1</v>
      </c>
      <c r="I654" s="361">
        <v>1</v>
      </c>
      <c r="J654" s="336" t="s">
        <v>286</v>
      </c>
      <c r="W654" s="129" t="s">
        <v>4876</v>
      </c>
      <c r="X654" s="337" t="b">
        <f t="shared" si="42"/>
        <v>0</v>
      </c>
    </row>
    <row r="655" spans="1:24" s="337" customFormat="1" ht="12" customHeight="1" outlineLevel="1">
      <c r="A655" s="335"/>
      <c r="B655" s="118" t="s">
        <v>12</v>
      </c>
      <c r="C655" s="334" t="s">
        <v>6111</v>
      </c>
      <c r="D655" s="124" t="s">
        <v>6112</v>
      </c>
      <c r="E655" s="125"/>
      <c r="F655" s="118" t="s">
        <v>303</v>
      </c>
      <c r="G655" s="126" t="s">
        <v>6024</v>
      </c>
      <c r="H655" s="255">
        <v>1</v>
      </c>
      <c r="I655" s="361">
        <v>1</v>
      </c>
      <c r="J655" s="336" t="s">
        <v>286</v>
      </c>
      <c r="W655" s="129" t="s">
        <v>4876</v>
      </c>
      <c r="X655" s="337" t="b">
        <f t="shared" si="42"/>
        <v>0</v>
      </c>
    </row>
    <row r="656" spans="1:24" s="337" customFormat="1" ht="12" customHeight="1" outlineLevel="1">
      <c r="A656" s="335"/>
      <c r="B656" s="118" t="s">
        <v>12</v>
      </c>
      <c r="C656" s="334" t="s">
        <v>6113</v>
      </c>
      <c r="D656" s="124" t="s">
        <v>6114</v>
      </c>
      <c r="E656" s="125"/>
      <c r="F656" s="118" t="s">
        <v>303</v>
      </c>
      <c r="G656" s="126" t="s">
        <v>6024</v>
      </c>
      <c r="H656" s="255">
        <v>1</v>
      </c>
      <c r="I656" s="361">
        <v>1</v>
      </c>
      <c r="J656" s="336" t="s">
        <v>286</v>
      </c>
      <c r="W656" s="129" t="s">
        <v>4876</v>
      </c>
      <c r="X656" s="337" t="b">
        <f t="shared" si="42"/>
        <v>0</v>
      </c>
    </row>
    <row r="657" spans="1:24" s="337" customFormat="1" ht="12" customHeight="1" outlineLevel="1">
      <c r="A657" s="335"/>
      <c r="B657" s="118" t="s">
        <v>12</v>
      </c>
      <c r="C657" s="334" t="s">
        <v>6115</v>
      </c>
      <c r="D657" s="124" t="s">
        <v>6116</v>
      </c>
      <c r="E657" s="125"/>
      <c r="F657" s="118" t="s">
        <v>303</v>
      </c>
      <c r="G657" s="126" t="s">
        <v>6024</v>
      </c>
      <c r="H657" s="255">
        <v>1</v>
      </c>
      <c r="I657" s="361">
        <v>1</v>
      </c>
      <c r="J657" s="336" t="s">
        <v>286</v>
      </c>
      <c r="W657" s="129" t="s">
        <v>4876</v>
      </c>
      <c r="X657" s="337" t="b">
        <f t="shared" si="42"/>
        <v>0</v>
      </c>
    </row>
    <row r="658" spans="1:24" s="337" customFormat="1" ht="12" customHeight="1" outlineLevel="1">
      <c r="A658" s="335"/>
      <c r="B658" s="118" t="s">
        <v>12</v>
      </c>
      <c r="C658" s="334" t="s">
        <v>6117</v>
      </c>
      <c r="D658" s="124" t="s">
        <v>6118</v>
      </c>
      <c r="E658" s="125"/>
      <c r="F658" s="118" t="s">
        <v>303</v>
      </c>
      <c r="G658" s="126" t="s">
        <v>6024</v>
      </c>
      <c r="H658" s="255">
        <v>1</v>
      </c>
      <c r="I658" s="361">
        <v>1</v>
      </c>
      <c r="J658" s="336" t="s">
        <v>286</v>
      </c>
      <c r="W658" s="129" t="s">
        <v>4876</v>
      </c>
      <c r="X658" s="337" t="b">
        <f t="shared" si="42"/>
        <v>0</v>
      </c>
    </row>
    <row r="659" spans="1:24" s="337" customFormat="1" ht="12" customHeight="1" outlineLevel="1">
      <c r="A659" s="335"/>
      <c r="B659" s="118" t="s">
        <v>12</v>
      </c>
      <c r="C659" s="334" t="s">
        <v>6119</v>
      </c>
      <c r="D659" s="124" t="s">
        <v>6120</v>
      </c>
      <c r="E659" s="125"/>
      <c r="F659" s="118" t="s">
        <v>303</v>
      </c>
      <c r="G659" s="126" t="s">
        <v>6024</v>
      </c>
      <c r="H659" s="255">
        <v>1</v>
      </c>
      <c r="I659" s="361">
        <v>1</v>
      </c>
      <c r="J659" s="336" t="s">
        <v>286</v>
      </c>
      <c r="W659" s="129" t="s">
        <v>4876</v>
      </c>
      <c r="X659" s="337" t="b">
        <f t="shared" si="42"/>
        <v>0</v>
      </c>
    </row>
    <row r="660" spans="1:24" s="337" customFormat="1" ht="12" customHeight="1" outlineLevel="1">
      <c r="A660" s="335"/>
      <c r="B660" s="118" t="s">
        <v>12</v>
      </c>
      <c r="C660" s="334" t="s">
        <v>6121</v>
      </c>
      <c r="D660" s="124" t="s">
        <v>6122</v>
      </c>
      <c r="E660" s="125"/>
      <c r="F660" s="118" t="s">
        <v>303</v>
      </c>
      <c r="G660" s="126" t="s">
        <v>6024</v>
      </c>
      <c r="H660" s="255">
        <v>1</v>
      </c>
      <c r="I660" s="361">
        <v>1</v>
      </c>
      <c r="J660" s="336" t="s">
        <v>286</v>
      </c>
      <c r="W660" s="129" t="s">
        <v>4876</v>
      </c>
      <c r="X660" s="337" t="b">
        <f t="shared" si="42"/>
        <v>0</v>
      </c>
    </row>
    <row r="661" spans="1:24" s="337" customFormat="1" ht="12" customHeight="1" outlineLevel="1">
      <c r="A661" s="335"/>
      <c r="B661" s="118" t="s">
        <v>12</v>
      </c>
      <c r="C661" s="334" t="s">
        <v>6123</v>
      </c>
      <c r="D661" s="124" t="s">
        <v>6124</v>
      </c>
      <c r="E661" s="125"/>
      <c r="F661" s="118" t="s">
        <v>303</v>
      </c>
      <c r="G661" s="126" t="s">
        <v>6024</v>
      </c>
      <c r="H661" s="255">
        <v>1</v>
      </c>
      <c r="I661" s="361">
        <v>1</v>
      </c>
      <c r="J661" s="336" t="s">
        <v>286</v>
      </c>
      <c r="W661" s="129" t="s">
        <v>4876</v>
      </c>
      <c r="X661" s="337" t="b">
        <f t="shared" si="42"/>
        <v>0</v>
      </c>
    </row>
    <row r="662" spans="1:24" s="337" customFormat="1" ht="12" customHeight="1" outlineLevel="1">
      <c r="A662" s="335"/>
      <c r="B662" s="118" t="s">
        <v>12</v>
      </c>
      <c r="C662" s="334" t="s">
        <v>6125</v>
      </c>
      <c r="D662" s="124" t="s">
        <v>6126</v>
      </c>
      <c r="E662" s="125"/>
      <c r="F662" s="118" t="s">
        <v>303</v>
      </c>
      <c r="G662" s="126" t="s">
        <v>6024</v>
      </c>
      <c r="H662" s="255">
        <v>1</v>
      </c>
      <c r="I662" s="361">
        <v>1</v>
      </c>
      <c r="J662" s="336" t="s">
        <v>286</v>
      </c>
      <c r="W662" s="129" t="s">
        <v>4876</v>
      </c>
      <c r="X662" s="337" t="b">
        <f t="shared" si="42"/>
        <v>0</v>
      </c>
    </row>
    <row r="663" spans="1:24" s="337" customFormat="1" ht="12" customHeight="1" outlineLevel="1">
      <c r="A663" s="335"/>
      <c r="B663" s="118" t="s">
        <v>12</v>
      </c>
      <c r="C663" s="334" t="s">
        <v>6127</v>
      </c>
      <c r="D663" s="124" t="s">
        <v>6128</v>
      </c>
      <c r="E663" s="125"/>
      <c r="F663" s="118" t="s">
        <v>303</v>
      </c>
      <c r="G663" s="126" t="s">
        <v>6024</v>
      </c>
      <c r="H663" s="255">
        <v>1</v>
      </c>
      <c r="I663" s="361">
        <v>1</v>
      </c>
      <c r="J663" s="336" t="s">
        <v>286</v>
      </c>
      <c r="W663" s="129" t="s">
        <v>4876</v>
      </c>
      <c r="X663" s="337" t="b">
        <f t="shared" si="42"/>
        <v>0</v>
      </c>
    </row>
    <row r="664" spans="1:24" s="337" customFormat="1" ht="12" customHeight="1" outlineLevel="1">
      <c r="A664" s="335"/>
      <c r="B664" s="118" t="s">
        <v>12</v>
      </c>
      <c r="C664" s="334" t="s">
        <v>6129</v>
      </c>
      <c r="D664" s="124" t="s">
        <v>6130</v>
      </c>
      <c r="E664" s="125"/>
      <c r="F664" s="118" t="s">
        <v>303</v>
      </c>
      <c r="G664" s="126" t="s">
        <v>6024</v>
      </c>
      <c r="H664" s="255">
        <v>1</v>
      </c>
      <c r="I664" s="361">
        <v>1</v>
      </c>
      <c r="J664" s="336" t="s">
        <v>286</v>
      </c>
      <c r="W664" s="129" t="s">
        <v>4876</v>
      </c>
      <c r="X664" s="337" t="b">
        <f t="shared" si="42"/>
        <v>0</v>
      </c>
    </row>
    <row r="665" spans="1:24" s="337" customFormat="1" ht="12" customHeight="1" outlineLevel="1">
      <c r="A665" s="335"/>
      <c r="B665" s="118" t="s">
        <v>12</v>
      </c>
      <c r="C665" s="334" t="s">
        <v>6131</v>
      </c>
      <c r="D665" s="124" t="s">
        <v>6132</v>
      </c>
      <c r="E665" s="125"/>
      <c r="F665" s="118" t="s">
        <v>303</v>
      </c>
      <c r="G665" s="126" t="s">
        <v>6024</v>
      </c>
      <c r="H665" s="255">
        <v>1</v>
      </c>
      <c r="I665" s="361">
        <v>1</v>
      </c>
      <c r="J665" s="336" t="s">
        <v>286</v>
      </c>
      <c r="W665" s="129" t="s">
        <v>4876</v>
      </c>
      <c r="X665" s="337" t="b">
        <f t="shared" si="42"/>
        <v>0</v>
      </c>
    </row>
    <row r="666" spans="1:24" s="337" customFormat="1" ht="12" customHeight="1" outlineLevel="1">
      <c r="A666" s="335"/>
      <c r="B666" s="118" t="s">
        <v>12</v>
      </c>
      <c r="C666" s="334" t="s">
        <v>6133</v>
      </c>
      <c r="D666" s="124" t="s">
        <v>6134</v>
      </c>
      <c r="E666" s="125"/>
      <c r="F666" s="118" t="s">
        <v>303</v>
      </c>
      <c r="G666" s="126" t="s">
        <v>6024</v>
      </c>
      <c r="H666" s="255">
        <v>1</v>
      </c>
      <c r="I666" s="361">
        <v>1</v>
      </c>
      <c r="J666" s="336" t="s">
        <v>286</v>
      </c>
      <c r="W666" s="129" t="s">
        <v>4876</v>
      </c>
      <c r="X666" s="337" t="b">
        <f t="shared" si="42"/>
        <v>0</v>
      </c>
    </row>
    <row r="667" spans="1:24" s="337" customFormat="1" ht="12" customHeight="1" outlineLevel="1">
      <c r="A667" s="335"/>
      <c r="B667" s="118" t="s">
        <v>12</v>
      </c>
      <c r="C667" s="334" t="s">
        <v>6135</v>
      </c>
      <c r="D667" s="124" t="s">
        <v>6136</v>
      </c>
      <c r="E667" s="125"/>
      <c r="F667" s="118" t="s">
        <v>303</v>
      </c>
      <c r="G667" s="126" t="s">
        <v>6024</v>
      </c>
      <c r="H667" s="255">
        <v>1</v>
      </c>
      <c r="I667" s="361">
        <v>1</v>
      </c>
      <c r="J667" s="336" t="s">
        <v>286</v>
      </c>
      <c r="W667" s="129" t="s">
        <v>4876</v>
      </c>
      <c r="X667" s="337" t="b">
        <f t="shared" si="42"/>
        <v>0</v>
      </c>
    </row>
    <row r="668" spans="1:24" s="337" customFormat="1" ht="12" customHeight="1" outlineLevel="1">
      <c r="A668" s="335"/>
      <c r="B668" s="118" t="s">
        <v>12</v>
      </c>
      <c r="C668" s="334" t="s">
        <v>6137</v>
      </c>
      <c r="D668" s="124" t="s">
        <v>6138</v>
      </c>
      <c r="E668" s="125"/>
      <c r="F668" s="118" t="s">
        <v>303</v>
      </c>
      <c r="G668" s="126" t="s">
        <v>6024</v>
      </c>
      <c r="H668" s="255">
        <v>1</v>
      </c>
      <c r="I668" s="361">
        <v>1</v>
      </c>
      <c r="J668" s="336" t="s">
        <v>286</v>
      </c>
      <c r="W668" s="129" t="s">
        <v>4876</v>
      </c>
      <c r="X668" s="337" t="b">
        <f t="shared" si="42"/>
        <v>0</v>
      </c>
    </row>
    <row r="669" spans="1:24" s="337" customFormat="1" ht="12" customHeight="1" outlineLevel="1">
      <c r="A669" s="335"/>
      <c r="B669" s="118" t="s">
        <v>12</v>
      </c>
      <c r="C669" s="334" t="s">
        <v>6139</v>
      </c>
      <c r="D669" s="124" t="s">
        <v>6140</v>
      </c>
      <c r="E669" s="125"/>
      <c r="F669" s="118" t="s">
        <v>303</v>
      </c>
      <c r="G669" s="126" t="s">
        <v>6024</v>
      </c>
      <c r="H669" s="255">
        <v>1</v>
      </c>
      <c r="I669" s="361">
        <v>1</v>
      </c>
      <c r="J669" s="336" t="s">
        <v>286</v>
      </c>
      <c r="W669" s="129" t="s">
        <v>4876</v>
      </c>
      <c r="X669" s="337" t="b">
        <f t="shared" si="42"/>
        <v>0</v>
      </c>
    </row>
    <row r="670" spans="1:24" s="337" customFormat="1" ht="12" customHeight="1" outlineLevel="1">
      <c r="A670" s="335"/>
      <c r="B670" s="118" t="s">
        <v>12</v>
      </c>
      <c r="C670" s="334" t="s">
        <v>6141</v>
      </c>
      <c r="D670" s="124" t="s">
        <v>6142</v>
      </c>
      <c r="E670" s="125"/>
      <c r="F670" s="118" t="s">
        <v>303</v>
      </c>
      <c r="G670" s="126" t="s">
        <v>6024</v>
      </c>
      <c r="H670" s="255">
        <v>1</v>
      </c>
      <c r="I670" s="361">
        <v>1</v>
      </c>
      <c r="J670" s="336" t="s">
        <v>286</v>
      </c>
      <c r="W670" s="129" t="s">
        <v>4876</v>
      </c>
      <c r="X670" s="337" t="b">
        <f t="shared" si="42"/>
        <v>0</v>
      </c>
    </row>
    <row r="671" spans="1:24" s="337" customFormat="1" ht="12" customHeight="1" outlineLevel="1">
      <c r="A671" s="335"/>
      <c r="B671" s="118" t="s">
        <v>12</v>
      </c>
      <c r="C671" s="334" t="s">
        <v>6143</v>
      </c>
      <c r="D671" s="124" t="s">
        <v>6144</v>
      </c>
      <c r="E671" s="125"/>
      <c r="F671" s="118" t="s">
        <v>303</v>
      </c>
      <c r="G671" s="126" t="s">
        <v>6024</v>
      </c>
      <c r="H671" s="255">
        <v>1</v>
      </c>
      <c r="I671" s="361">
        <v>1</v>
      </c>
      <c r="J671" s="336" t="s">
        <v>307</v>
      </c>
      <c r="W671" s="129" t="s">
        <v>307</v>
      </c>
      <c r="X671" s="337" t="b">
        <f t="shared" si="42"/>
        <v>1</v>
      </c>
    </row>
    <row r="672" spans="1:24" s="337" customFormat="1" ht="12" customHeight="1" outlineLevel="1">
      <c r="A672" s="335"/>
      <c r="B672" s="118" t="s">
        <v>12</v>
      </c>
      <c r="C672" s="334" t="s">
        <v>6145</v>
      </c>
      <c r="D672" s="124" t="s">
        <v>6146</v>
      </c>
      <c r="E672" s="125"/>
      <c r="F672" s="118" t="s">
        <v>303</v>
      </c>
      <c r="G672" s="126" t="s">
        <v>6024</v>
      </c>
      <c r="H672" s="255">
        <v>1</v>
      </c>
      <c r="I672" s="361">
        <v>1</v>
      </c>
      <c r="J672" s="336" t="s">
        <v>6147</v>
      </c>
      <c r="W672" s="129" t="s">
        <v>6148</v>
      </c>
      <c r="X672" s="337" t="b">
        <f t="shared" si="42"/>
        <v>0</v>
      </c>
    </row>
    <row r="673" spans="1:24" s="337" customFormat="1" ht="12" customHeight="1" outlineLevel="1">
      <c r="A673" s="335"/>
      <c r="B673" s="118" t="s">
        <v>12</v>
      </c>
      <c r="C673" s="334" t="s">
        <v>6149</v>
      </c>
      <c r="D673" s="124" t="s">
        <v>6150</v>
      </c>
      <c r="E673" s="125"/>
      <c r="F673" s="118" t="s">
        <v>303</v>
      </c>
      <c r="G673" s="126" t="s">
        <v>6024</v>
      </c>
      <c r="H673" s="255">
        <v>1</v>
      </c>
      <c r="I673" s="361">
        <v>1</v>
      </c>
      <c r="J673" s="336" t="s">
        <v>325</v>
      </c>
      <c r="W673" s="129" t="s">
        <v>6148</v>
      </c>
      <c r="X673" s="337" t="b">
        <f t="shared" si="42"/>
        <v>0</v>
      </c>
    </row>
    <row r="674" spans="1:24" s="337" customFormat="1" ht="12" customHeight="1" outlineLevel="1">
      <c r="A674" s="335"/>
      <c r="B674" s="118" t="s">
        <v>12</v>
      </c>
      <c r="C674" s="334" t="s">
        <v>6151</v>
      </c>
      <c r="D674" s="124" t="s">
        <v>6152</v>
      </c>
      <c r="E674" s="125"/>
      <c r="F674" s="118" t="s">
        <v>303</v>
      </c>
      <c r="G674" s="126" t="s">
        <v>6024</v>
      </c>
      <c r="H674" s="255">
        <v>1</v>
      </c>
      <c r="I674" s="361">
        <v>1</v>
      </c>
      <c r="J674" s="336" t="s">
        <v>6147</v>
      </c>
      <c r="W674" s="129" t="s">
        <v>6147</v>
      </c>
      <c r="X674" s="337" t="b">
        <f t="shared" si="42"/>
        <v>1</v>
      </c>
    </row>
    <row r="675" spans="1:24" s="337" customFormat="1" ht="12" customHeight="1" outlineLevel="1">
      <c r="A675" s="335"/>
      <c r="B675" s="118" t="s">
        <v>12</v>
      </c>
      <c r="C675" s="334" t="s">
        <v>6153</v>
      </c>
      <c r="D675" s="124" t="s">
        <v>6154</v>
      </c>
      <c r="E675" s="125"/>
      <c r="F675" s="118" t="s">
        <v>303</v>
      </c>
      <c r="G675" s="126" t="s">
        <v>6024</v>
      </c>
      <c r="H675" s="255">
        <v>1</v>
      </c>
      <c r="I675" s="361">
        <v>1</v>
      </c>
      <c r="J675" s="336" t="s">
        <v>6148</v>
      </c>
      <c r="W675" s="129" t="s">
        <v>6148</v>
      </c>
      <c r="X675" s="337" t="b">
        <f t="shared" si="42"/>
        <v>1</v>
      </c>
    </row>
    <row r="676" spans="1:24" s="337" customFormat="1" ht="12" customHeight="1" outlineLevel="1">
      <c r="A676" s="335"/>
      <c r="B676" s="118" t="s">
        <v>12</v>
      </c>
      <c r="C676" s="334" t="s">
        <v>6155</v>
      </c>
      <c r="D676" s="124" t="s">
        <v>6156</v>
      </c>
      <c r="E676" s="125"/>
      <c r="F676" s="118" t="s">
        <v>303</v>
      </c>
      <c r="G676" s="126" t="s">
        <v>6024</v>
      </c>
      <c r="H676" s="255">
        <v>1</v>
      </c>
      <c r="I676" s="361">
        <v>1</v>
      </c>
      <c r="J676" s="336" t="s">
        <v>6148</v>
      </c>
      <c r="W676" s="129" t="s">
        <v>6148</v>
      </c>
      <c r="X676" s="337" t="b">
        <f t="shared" ref="X676:X739" si="43">W676=J676</f>
        <v>1</v>
      </c>
    </row>
    <row r="677" spans="1:24" s="337" customFormat="1" ht="12" customHeight="1" outlineLevel="1">
      <c r="A677" s="335"/>
      <c r="B677" s="118" t="s">
        <v>12</v>
      </c>
      <c r="C677" s="334" t="s">
        <v>6157</v>
      </c>
      <c r="D677" s="124" t="s">
        <v>6158</v>
      </c>
      <c r="E677" s="125"/>
      <c r="F677" s="118" t="s">
        <v>303</v>
      </c>
      <c r="G677" s="126" t="s">
        <v>6024</v>
      </c>
      <c r="H677" s="255">
        <v>1</v>
      </c>
      <c r="I677" s="361">
        <v>1</v>
      </c>
      <c r="J677" s="336" t="s">
        <v>6068</v>
      </c>
      <c r="W677" s="129" t="s">
        <v>6068</v>
      </c>
      <c r="X677" s="337" t="b">
        <f t="shared" si="43"/>
        <v>1</v>
      </c>
    </row>
    <row r="678" spans="1:24" s="337" customFormat="1" ht="12" customHeight="1" outlineLevel="1">
      <c r="A678" s="335"/>
      <c r="B678" s="118" t="s">
        <v>12</v>
      </c>
      <c r="C678" s="334" t="s">
        <v>6159</v>
      </c>
      <c r="D678" s="124" t="s">
        <v>6160</v>
      </c>
      <c r="E678" s="125"/>
      <c r="F678" s="118" t="s">
        <v>303</v>
      </c>
      <c r="G678" s="126" t="s">
        <v>6024</v>
      </c>
      <c r="H678" s="255">
        <v>1</v>
      </c>
      <c r="I678" s="361">
        <v>1</v>
      </c>
      <c r="J678" s="336" t="s">
        <v>325</v>
      </c>
      <c r="W678" s="129" t="s">
        <v>743</v>
      </c>
      <c r="X678" s="337" t="b">
        <f t="shared" si="43"/>
        <v>0</v>
      </c>
    </row>
    <row r="679" spans="1:24" s="337" customFormat="1" ht="12" customHeight="1" outlineLevel="1">
      <c r="A679" s="335"/>
      <c r="B679" s="118" t="s">
        <v>12</v>
      </c>
      <c r="C679" s="334" t="s">
        <v>6161</v>
      </c>
      <c r="D679" s="124" t="s">
        <v>6162</v>
      </c>
      <c r="E679" s="125"/>
      <c r="F679" s="118" t="s">
        <v>303</v>
      </c>
      <c r="G679" s="126" t="s">
        <v>6024</v>
      </c>
      <c r="H679" s="255">
        <v>1</v>
      </c>
      <c r="I679" s="361">
        <v>1</v>
      </c>
      <c r="J679" s="336" t="s">
        <v>6147</v>
      </c>
      <c r="W679" s="129" t="s">
        <v>6147</v>
      </c>
      <c r="X679" s="337" t="b">
        <f t="shared" si="43"/>
        <v>1</v>
      </c>
    </row>
    <row r="680" spans="1:24" s="337" customFormat="1" ht="12" customHeight="1" outlineLevel="1">
      <c r="A680" s="335"/>
      <c r="B680" s="118" t="s">
        <v>12</v>
      </c>
      <c r="C680" s="334" t="s">
        <v>6163</v>
      </c>
      <c r="D680" s="124" t="s">
        <v>6164</v>
      </c>
      <c r="E680" s="125"/>
      <c r="F680" s="118" t="s">
        <v>303</v>
      </c>
      <c r="G680" s="126" t="s">
        <v>6024</v>
      </c>
      <c r="H680" s="255">
        <v>1</v>
      </c>
      <c r="I680" s="361">
        <v>1</v>
      </c>
      <c r="J680" s="336" t="s">
        <v>6068</v>
      </c>
      <c r="W680" s="129" t="s">
        <v>6068</v>
      </c>
      <c r="X680" s="337" t="b">
        <f t="shared" si="43"/>
        <v>1</v>
      </c>
    </row>
    <row r="681" spans="1:24" s="337" customFormat="1" ht="12" customHeight="1" outlineLevel="1">
      <c r="A681" s="335"/>
      <c r="B681" s="118" t="s">
        <v>12</v>
      </c>
      <c r="C681" s="334" t="s">
        <v>6165</v>
      </c>
      <c r="D681" s="124" t="s">
        <v>6166</v>
      </c>
      <c r="E681" s="125"/>
      <c r="F681" s="118" t="s">
        <v>303</v>
      </c>
      <c r="G681" s="126" t="s">
        <v>6024</v>
      </c>
      <c r="H681" s="255">
        <v>1</v>
      </c>
      <c r="I681" s="361">
        <v>1</v>
      </c>
      <c r="J681" s="336" t="s">
        <v>6067</v>
      </c>
      <c r="W681" s="129" t="s">
        <v>6067</v>
      </c>
      <c r="X681" s="337" t="b">
        <f t="shared" si="43"/>
        <v>1</v>
      </c>
    </row>
    <row r="682" spans="1:24" s="337" customFormat="1" ht="12" customHeight="1" outlineLevel="1">
      <c r="A682" s="335"/>
      <c r="B682" s="118" t="s">
        <v>12</v>
      </c>
      <c r="C682" s="334" t="s">
        <v>6167</v>
      </c>
      <c r="D682" s="124" t="s">
        <v>6168</v>
      </c>
      <c r="E682" s="125"/>
      <c r="F682" s="118" t="s">
        <v>303</v>
      </c>
      <c r="G682" s="126" t="s">
        <v>6024</v>
      </c>
      <c r="H682" s="255">
        <v>1</v>
      </c>
      <c r="I682" s="361">
        <v>1</v>
      </c>
      <c r="J682" s="336" t="s">
        <v>6067</v>
      </c>
      <c r="W682" s="129" t="s">
        <v>6067</v>
      </c>
      <c r="X682" s="337" t="b">
        <f t="shared" si="43"/>
        <v>1</v>
      </c>
    </row>
    <row r="683" spans="1:24" s="337" customFormat="1" ht="12" customHeight="1" outlineLevel="1">
      <c r="A683" s="335"/>
      <c r="B683" s="118" t="s">
        <v>12</v>
      </c>
      <c r="C683" s="334" t="s">
        <v>6169</v>
      </c>
      <c r="D683" s="124" t="s">
        <v>6170</v>
      </c>
      <c r="E683" s="125"/>
      <c r="F683" s="118" t="s">
        <v>303</v>
      </c>
      <c r="G683" s="126" t="s">
        <v>6024</v>
      </c>
      <c r="H683" s="255">
        <v>1</v>
      </c>
      <c r="I683" s="361">
        <v>1</v>
      </c>
      <c r="J683" s="336" t="s">
        <v>743</v>
      </c>
      <c r="W683" s="129" t="s">
        <v>6148</v>
      </c>
      <c r="X683" s="337" t="b">
        <f t="shared" si="43"/>
        <v>0</v>
      </c>
    </row>
    <row r="684" spans="1:24" s="337" customFormat="1" ht="12" customHeight="1" outlineLevel="1">
      <c r="A684" s="335"/>
      <c r="B684" s="118" t="s">
        <v>12</v>
      </c>
      <c r="C684" s="334" t="s">
        <v>6171</v>
      </c>
      <c r="D684" s="124" t="s">
        <v>6172</v>
      </c>
      <c r="E684" s="125"/>
      <c r="F684" s="118" t="s">
        <v>303</v>
      </c>
      <c r="G684" s="126" t="s">
        <v>6024</v>
      </c>
      <c r="H684" s="255">
        <v>1</v>
      </c>
      <c r="I684" s="361">
        <v>1</v>
      </c>
      <c r="J684" s="336" t="s">
        <v>6147</v>
      </c>
      <c r="W684" s="129" t="s">
        <v>6147</v>
      </c>
      <c r="X684" s="337" t="b">
        <f t="shared" si="43"/>
        <v>1</v>
      </c>
    </row>
    <row r="685" spans="1:24" s="337" customFormat="1" ht="12" customHeight="1" outlineLevel="1">
      <c r="A685" s="335"/>
      <c r="B685" s="118" t="s">
        <v>12</v>
      </c>
      <c r="C685" s="334" t="s">
        <v>6173</v>
      </c>
      <c r="D685" s="124" t="s">
        <v>6174</v>
      </c>
      <c r="E685" s="125"/>
      <c r="F685" s="118" t="s">
        <v>303</v>
      </c>
      <c r="G685" s="126" t="s">
        <v>6024</v>
      </c>
      <c r="H685" s="255">
        <v>1</v>
      </c>
      <c r="I685" s="361">
        <v>1</v>
      </c>
      <c r="J685" s="336" t="s">
        <v>6148</v>
      </c>
      <c r="W685" s="129" t="s">
        <v>6147</v>
      </c>
      <c r="X685" s="337" t="b">
        <f t="shared" si="43"/>
        <v>0</v>
      </c>
    </row>
    <row r="686" spans="1:24" s="337" customFormat="1" ht="12" customHeight="1" outlineLevel="1">
      <c r="A686" s="335"/>
      <c r="B686" s="118" t="s">
        <v>12</v>
      </c>
      <c r="C686" s="334" t="s">
        <v>6175</v>
      </c>
      <c r="D686" s="124" t="s">
        <v>6176</v>
      </c>
      <c r="E686" s="125"/>
      <c r="F686" s="118" t="s">
        <v>303</v>
      </c>
      <c r="G686" s="126" t="s">
        <v>6024</v>
      </c>
      <c r="H686" s="255">
        <v>1</v>
      </c>
      <c r="I686" s="361">
        <v>1</v>
      </c>
      <c r="J686" s="336" t="s">
        <v>6147</v>
      </c>
      <c r="W686" s="129" t="s">
        <v>6147</v>
      </c>
      <c r="X686" s="337" t="b">
        <f t="shared" si="43"/>
        <v>1</v>
      </c>
    </row>
    <row r="687" spans="1:24" s="337" customFormat="1" ht="12" customHeight="1" outlineLevel="1">
      <c r="A687" s="335"/>
      <c r="B687" s="118" t="s">
        <v>12</v>
      </c>
      <c r="C687" s="334" t="s">
        <v>6177</v>
      </c>
      <c r="D687" s="124" t="s">
        <v>6178</v>
      </c>
      <c r="E687" s="125"/>
      <c r="F687" s="118" t="s">
        <v>303</v>
      </c>
      <c r="G687" s="126" t="s">
        <v>6024</v>
      </c>
      <c r="H687" s="255">
        <v>1</v>
      </c>
      <c r="I687" s="361">
        <v>1</v>
      </c>
      <c r="J687" s="336" t="s">
        <v>6147</v>
      </c>
      <c r="W687" s="129" t="s">
        <v>6067</v>
      </c>
      <c r="X687" s="337" t="b">
        <f t="shared" si="43"/>
        <v>0</v>
      </c>
    </row>
    <row r="688" spans="1:24" s="337" customFormat="1" ht="12" customHeight="1" outlineLevel="1">
      <c r="A688" s="335"/>
      <c r="B688" s="118" t="s">
        <v>12</v>
      </c>
      <c r="C688" s="334" t="s">
        <v>6179</v>
      </c>
      <c r="D688" s="124" t="s">
        <v>6180</v>
      </c>
      <c r="E688" s="125"/>
      <c r="F688" s="118" t="s">
        <v>303</v>
      </c>
      <c r="G688" s="126" t="s">
        <v>6024</v>
      </c>
      <c r="H688" s="255">
        <v>1</v>
      </c>
      <c r="I688" s="361">
        <v>1</v>
      </c>
      <c r="J688" s="336" t="s">
        <v>6068</v>
      </c>
      <c r="W688" s="129" t="s">
        <v>6068</v>
      </c>
      <c r="X688" s="337" t="b">
        <f t="shared" si="43"/>
        <v>1</v>
      </c>
    </row>
    <row r="689" spans="1:24" s="337" customFormat="1" ht="12" customHeight="1" outlineLevel="1">
      <c r="A689" s="335"/>
      <c r="B689" s="118" t="s">
        <v>12</v>
      </c>
      <c r="C689" s="334" t="s">
        <v>6181</v>
      </c>
      <c r="D689" s="124" t="s">
        <v>6182</v>
      </c>
      <c r="E689" s="125"/>
      <c r="F689" s="118" t="s">
        <v>303</v>
      </c>
      <c r="G689" s="126" t="s">
        <v>6024</v>
      </c>
      <c r="H689" s="255">
        <v>1</v>
      </c>
      <c r="I689" s="361">
        <v>1</v>
      </c>
      <c r="J689" s="336" t="s">
        <v>6067</v>
      </c>
      <c r="W689" s="129" t="s">
        <v>6068</v>
      </c>
      <c r="X689" s="337" t="b">
        <f t="shared" si="43"/>
        <v>0</v>
      </c>
    </row>
    <row r="690" spans="1:24" s="337" customFormat="1" ht="12" customHeight="1" outlineLevel="1">
      <c r="A690" s="335"/>
      <c r="B690" s="118" t="s">
        <v>12</v>
      </c>
      <c r="C690" s="334" t="s">
        <v>6183</v>
      </c>
      <c r="D690" s="124" t="s">
        <v>6184</v>
      </c>
      <c r="E690" s="125"/>
      <c r="F690" s="118" t="s">
        <v>303</v>
      </c>
      <c r="G690" s="126" t="s">
        <v>6024</v>
      </c>
      <c r="H690" s="255">
        <v>1</v>
      </c>
      <c r="I690" s="361">
        <v>1</v>
      </c>
      <c r="J690" s="336" t="s">
        <v>6185</v>
      </c>
      <c r="W690" s="129" t="s">
        <v>6068</v>
      </c>
      <c r="X690" s="337" t="b">
        <f t="shared" si="43"/>
        <v>0</v>
      </c>
    </row>
    <row r="691" spans="1:24" s="337" customFormat="1" ht="12" customHeight="1" outlineLevel="1">
      <c r="A691" s="335"/>
      <c r="B691" s="118" t="s">
        <v>12</v>
      </c>
      <c r="C691" s="334" t="s">
        <v>6186</v>
      </c>
      <c r="D691" s="124" t="s">
        <v>6187</v>
      </c>
      <c r="E691" s="125"/>
      <c r="F691" s="118" t="s">
        <v>303</v>
      </c>
      <c r="G691" s="126" t="s">
        <v>6024</v>
      </c>
      <c r="H691" s="255">
        <v>1</v>
      </c>
      <c r="I691" s="361">
        <v>1</v>
      </c>
      <c r="J691" s="336" t="s">
        <v>307</v>
      </c>
      <c r="W691" s="129" t="s">
        <v>743</v>
      </c>
      <c r="X691" s="337" t="b">
        <f t="shared" si="43"/>
        <v>0</v>
      </c>
    </row>
    <row r="692" spans="1:24" s="337" customFormat="1" ht="12" customHeight="1" outlineLevel="1">
      <c r="A692" s="335"/>
      <c r="B692" s="118" t="s">
        <v>12</v>
      </c>
      <c r="C692" s="334" t="s">
        <v>6188</v>
      </c>
      <c r="D692" s="124" t="s">
        <v>6189</v>
      </c>
      <c r="E692" s="125"/>
      <c r="F692" s="118" t="s">
        <v>303</v>
      </c>
      <c r="G692" s="126" t="s">
        <v>6024</v>
      </c>
      <c r="H692" s="255">
        <v>1</v>
      </c>
      <c r="I692" s="361">
        <v>1</v>
      </c>
      <c r="J692" s="336" t="s">
        <v>307</v>
      </c>
      <c r="W692" s="129" t="s">
        <v>325</v>
      </c>
      <c r="X692" s="337" t="b">
        <f t="shared" si="43"/>
        <v>0</v>
      </c>
    </row>
    <row r="693" spans="1:24" s="337" customFormat="1" ht="12" customHeight="1" outlineLevel="1">
      <c r="A693" s="335"/>
      <c r="B693" s="118" t="s">
        <v>12</v>
      </c>
      <c r="C693" s="334" t="s">
        <v>6190</v>
      </c>
      <c r="D693" s="124" t="s">
        <v>6191</v>
      </c>
      <c r="E693" s="125"/>
      <c r="F693" s="118" t="s">
        <v>303</v>
      </c>
      <c r="G693" s="126" t="s">
        <v>6024</v>
      </c>
      <c r="H693" s="255">
        <v>1</v>
      </c>
      <c r="I693" s="361">
        <v>1</v>
      </c>
      <c r="J693" s="336" t="s">
        <v>325</v>
      </c>
      <c r="W693" s="129" t="s">
        <v>6148</v>
      </c>
      <c r="X693" s="337" t="b">
        <f t="shared" si="43"/>
        <v>0</v>
      </c>
    </row>
    <row r="694" spans="1:24" s="337" customFormat="1" ht="12" customHeight="1" outlineLevel="1">
      <c r="A694" s="335"/>
      <c r="B694" s="118" t="s">
        <v>12</v>
      </c>
      <c r="C694" s="334" t="s">
        <v>6192</v>
      </c>
      <c r="D694" s="124" t="s">
        <v>6193</v>
      </c>
      <c r="E694" s="125"/>
      <c r="F694" s="118" t="s">
        <v>303</v>
      </c>
      <c r="G694" s="126" t="s">
        <v>6024</v>
      </c>
      <c r="H694" s="255">
        <v>1</v>
      </c>
      <c r="I694" s="361">
        <v>1</v>
      </c>
      <c r="J694" s="336" t="s">
        <v>325</v>
      </c>
      <c r="W694" s="129" t="s">
        <v>743</v>
      </c>
      <c r="X694" s="337" t="b">
        <f t="shared" si="43"/>
        <v>0</v>
      </c>
    </row>
    <row r="695" spans="1:24" s="337" customFormat="1" ht="12" customHeight="1" outlineLevel="1">
      <c r="A695" s="335"/>
      <c r="B695" s="118" t="s">
        <v>12</v>
      </c>
      <c r="C695" s="334" t="s">
        <v>6194</v>
      </c>
      <c r="D695" s="124" t="s">
        <v>6195</v>
      </c>
      <c r="E695" s="125"/>
      <c r="F695" s="118" t="s">
        <v>303</v>
      </c>
      <c r="G695" s="126" t="s">
        <v>6024</v>
      </c>
      <c r="H695" s="255">
        <v>1</v>
      </c>
      <c r="I695" s="361">
        <v>1</v>
      </c>
      <c r="J695" s="336" t="s">
        <v>6067</v>
      </c>
      <c r="W695" s="129" t="s">
        <v>6147</v>
      </c>
      <c r="X695" s="337" t="b">
        <f t="shared" si="43"/>
        <v>0</v>
      </c>
    </row>
    <row r="696" spans="1:24" s="337" customFormat="1" ht="12" customHeight="1" outlineLevel="1">
      <c r="A696" s="335"/>
      <c r="B696" s="118" t="s">
        <v>12</v>
      </c>
      <c r="C696" s="334" t="s">
        <v>6196</v>
      </c>
      <c r="D696" s="124" t="s">
        <v>6197</v>
      </c>
      <c r="E696" s="125"/>
      <c r="F696" s="118" t="s">
        <v>303</v>
      </c>
      <c r="G696" s="126" t="s">
        <v>6024</v>
      </c>
      <c r="H696" s="255">
        <v>1</v>
      </c>
      <c r="I696" s="361">
        <v>1</v>
      </c>
      <c r="J696" s="336" t="s">
        <v>6067</v>
      </c>
      <c r="W696" s="129" t="s">
        <v>6067</v>
      </c>
      <c r="X696" s="337" t="b">
        <f t="shared" si="43"/>
        <v>1</v>
      </c>
    </row>
    <row r="697" spans="1:24" s="337" customFormat="1" ht="12" customHeight="1" outlineLevel="1">
      <c r="A697" s="335"/>
      <c r="B697" s="118" t="s">
        <v>12</v>
      </c>
      <c r="C697" s="334" t="s">
        <v>6198</v>
      </c>
      <c r="D697" s="124" t="s">
        <v>6199</v>
      </c>
      <c r="E697" s="125"/>
      <c r="F697" s="118" t="s">
        <v>303</v>
      </c>
      <c r="G697" s="126" t="s">
        <v>6024</v>
      </c>
      <c r="H697" s="255">
        <v>1</v>
      </c>
      <c r="I697" s="361">
        <v>1</v>
      </c>
      <c r="J697" s="336" t="s">
        <v>307</v>
      </c>
      <c r="W697" s="129" t="s">
        <v>743</v>
      </c>
      <c r="X697" s="337" t="b">
        <f t="shared" si="43"/>
        <v>0</v>
      </c>
    </row>
    <row r="698" spans="1:24" s="337" customFormat="1" ht="12" customHeight="1" outlineLevel="1">
      <c r="A698" s="335"/>
      <c r="B698" s="118" t="s">
        <v>12</v>
      </c>
      <c r="C698" s="334" t="s">
        <v>6200</v>
      </c>
      <c r="D698" s="124" t="s">
        <v>6201</v>
      </c>
      <c r="E698" s="125"/>
      <c r="F698" s="118" t="s">
        <v>303</v>
      </c>
      <c r="G698" s="126" t="s">
        <v>6024</v>
      </c>
      <c r="H698" s="255">
        <v>1</v>
      </c>
      <c r="I698" s="361">
        <v>1</v>
      </c>
      <c r="J698" s="336" t="s">
        <v>307</v>
      </c>
      <c r="W698" s="129" t="s">
        <v>743</v>
      </c>
      <c r="X698" s="337" t="b">
        <f t="shared" si="43"/>
        <v>0</v>
      </c>
    </row>
    <row r="699" spans="1:24" s="337" customFormat="1" ht="12" customHeight="1" outlineLevel="1">
      <c r="A699" s="335"/>
      <c r="B699" s="118" t="s">
        <v>12</v>
      </c>
      <c r="C699" s="334" t="s">
        <v>6202</v>
      </c>
      <c r="D699" s="124" t="s">
        <v>6203</v>
      </c>
      <c r="E699" s="125"/>
      <c r="F699" s="118" t="s">
        <v>303</v>
      </c>
      <c r="G699" s="126" t="s">
        <v>6024</v>
      </c>
      <c r="H699" s="255">
        <v>1</v>
      </c>
      <c r="I699" s="361">
        <v>1</v>
      </c>
      <c r="J699" s="336" t="s">
        <v>325</v>
      </c>
      <c r="W699" s="129" t="s">
        <v>743</v>
      </c>
      <c r="X699" s="337" t="b">
        <f t="shared" si="43"/>
        <v>0</v>
      </c>
    </row>
    <row r="700" spans="1:24" s="337" customFormat="1" ht="12" customHeight="1" outlineLevel="1">
      <c r="A700" s="335"/>
      <c r="B700" s="118" t="s">
        <v>12</v>
      </c>
      <c r="C700" s="334" t="s">
        <v>6204</v>
      </c>
      <c r="D700" s="124" t="s">
        <v>6205</v>
      </c>
      <c r="E700" s="125"/>
      <c r="F700" s="118" t="s">
        <v>303</v>
      </c>
      <c r="G700" s="126" t="s">
        <v>6024</v>
      </c>
      <c r="H700" s="255">
        <v>1</v>
      </c>
      <c r="I700" s="361">
        <v>1</v>
      </c>
      <c r="J700" s="336" t="s">
        <v>6068</v>
      </c>
      <c r="W700" s="129" t="s">
        <v>6067</v>
      </c>
      <c r="X700" s="337" t="b">
        <f t="shared" si="43"/>
        <v>0</v>
      </c>
    </row>
    <row r="701" spans="1:24" s="337" customFormat="1" ht="12" customHeight="1" outlineLevel="1">
      <c r="A701" s="335"/>
      <c r="B701" s="118" t="s">
        <v>12</v>
      </c>
      <c r="C701" s="334" t="s">
        <v>6206</v>
      </c>
      <c r="D701" s="124" t="s">
        <v>6207</v>
      </c>
      <c r="E701" s="125"/>
      <c r="F701" s="118" t="s">
        <v>303</v>
      </c>
      <c r="G701" s="126" t="s">
        <v>6024</v>
      </c>
      <c r="H701" s="255">
        <v>1</v>
      </c>
      <c r="I701" s="361">
        <v>1</v>
      </c>
      <c r="J701" s="336" t="s">
        <v>6067</v>
      </c>
      <c r="W701" s="129" t="s">
        <v>6067</v>
      </c>
      <c r="X701" s="337" t="b">
        <f t="shared" si="43"/>
        <v>1</v>
      </c>
    </row>
    <row r="702" spans="1:24" s="337" customFormat="1" ht="12" customHeight="1" outlineLevel="1">
      <c r="A702" s="335"/>
      <c r="B702" s="118" t="s">
        <v>12</v>
      </c>
      <c r="C702" s="334" t="s">
        <v>6208</v>
      </c>
      <c r="D702" s="124" t="s">
        <v>6209</v>
      </c>
      <c r="E702" s="125"/>
      <c r="F702" s="118" t="s">
        <v>303</v>
      </c>
      <c r="G702" s="126" t="s">
        <v>6024</v>
      </c>
      <c r="H702" s="255">
        <v>1</v>
      </c>
      <c r="I702" s="361">
        <v>1</v>
      </c>
      <c r="J702" s="336" t="s">
        <v>310</v>
      </c>
      <c r="W702" s="129" t="s">
        <v>307</v>
      </c>
      <c r="X702" s="337" t="b">
        <f t="shared" si="43"/>
        <v>0</v>
      </c>
    </row>
    <row r="703" spans="1:24" s="337" customFormat="1" ht="12" customHeight="1" outlineLevel="1">
      <c r="A703" s="335"/>
      <c r="B703" s="118" t="s">
        <v>12</v>
      </c>
      <c r="C703" s="334" t="s">
        <v>6210</v>
      </c>
      <c r="D703" s="124" t="s">
        <v>6211</v>
      </c>
      <c r="E703" s="125"/>
      <c r="F703" s="118" t="s">
        <v>303</v>
      </c>
      <c r="G703" s="126" t="s">
        <v>6024</v>
      </c>
      <c r="H703" s="255">
        <v>1</v>
      </c>
      <c r="I703" s="361">
        <v>1</v>
      </c>
      <c r="J703" s="336" t="s">
        <v>310</v>
      </c>
      <c r="W703" s="129" t="s">
        <v>307</v>
      </c>
      <c r="X703" s="337" t="b">
        <f t="shared" si="43"/>
        <v>0</v>
      </c>
    </row>
    <row r="704" spans="1:24" s="337" customFormat="1" ht="12" customHeight="1" outlineLevel="1">
      <c r="A704" s="335"/>
      <c r="B704" s="118" t="s">
        <v>12</v>
      </c>
      <c r="C704" s="334" t="s">
        <v>6212</v>
      </c>
      <c r="D704" s="124" t="s">
        <v>6213</v>
      </c>
      <c r="E704" s="125"/>
      <c r="F704" s="118" t="s">
        <v>303</v>
      </c>
      <c r="G704" s="126" t="s">
        <v>6024</v>
      </c>
      <c r="H704" s="255">
        <v>1</v>
      </c>
      <c r="I704" s="361">
        <v>1</v>
      </c>
      <c r="J704" s="336" t="s">
        <v>310</v>
      </c>
      <c r="W704" s="129" t="s">
        <v>307</v>
      </c>
      <c r="X704" s="337" t="b">
        <f t="shared" si="43"/>
        <v>0</v>
      </c>
    </row>
    <row r="705" spans="1:24" s="337" customFormat="1" ht="12" customHeight="1" outlineLevel="1">
      <c r="A705" s="335"/>
      <c r="B705" s="118" t="s">
        <v>12</v>
      </c>
      <c r="C705" s="334" t="s">
        <v>6214</v>
      </c>
      <c r="D705" s="124" t="s">
        <v>6215</v>
      </c>
      <c r="E705" s="125"/>
      <c r="F705" s="118" t="s">
        <v>303</v>
      </c>
      <c r="G705" s="126" t="s">
        <v>6024</v>
      </c>
      <c r="H705" s="255">
        <v>1</v>
      </c>
      <c r="I705" s="361">
        <v>1</v>
      </c>
      <c r="J705" s="336" t="s">
        <v>310</v>
      </c>
      <c r="W705" s="129" t="s">
        <v>310</v>
      </c>
      <c r="X705" s="337" t="b">
        <f t="shared" si="43"/>
        <v>1</v>
      </c>
    </row>
    <row r="706" spans="1:24" s="337" customFormat="1" ht="12" customHeight="1" outlineLevel="1">
      <c r="A706" s="335"/>
      <c r="B706" s="118" t="s">
        <v>12</v>
      </c>
      <c r="C706" s="334" t="s">
        <v>6216</v>
      </c>
      <c r="D706" s="124" t="s">
        <v>6217</v>
      </c>
      <c r="E706" s="125"/>
      <c r="F706" s="118" t="s">
        <v>303</v>
      </c>
      <c r="G706" s="126" t="s">
        <v>6024</v>
      </c>
      <c r="H706" s="255">
        <v>1</v>
      </c>
      <c r="I706" s="361">
        <v>1</v>
      </c>
      <c r="J706" s="336" t="s">
        <v>325</v>
      </c>
      <c r="W706" s="129" t="s">
        <v>325</v>
      </c>
      <c r="X706" s="337" t="b">
        <f t="shared" si="43"/>
        <v>1</v>
      </c>
    </row>
    <row r="707" spans="1:24" s="337" customFormat="1" ht="12" customHeight="1" outlineLevel="1">
      <c r="A707" s="335"/>
      <c r="B707" s="118" t="s">
        <v>12</v>
      </c>
      <c r="C707" s="334" t="s">
        <v>6218</v>
      </c>
      <c r="D707" s="124" t="s">
        <v>6219</v>
      </c>
      <c r="E707" s="125"/>
      <c r="F707" s="118" t="s">
        <v>303</v>
      </c>
      <c r="G707" s="126" t="s">
        <v>6024</v>
      </c>
      <c r="H707" s="255">
        <v>1</v>
      </c>
      <c r="I707" s="361">
        <v>1</v>
      </c>
      <c r="J707" s="336" t="s">
        <v>307</v>
      </c>
      <c r="W707" s="129" t="s">
        <v>307</v>
      </c>
      <c r="X707" s="337" t="b">
        <f t="shared" si="43"/>
        <v>1</v>
      </c>
    </row>
    <row r="708" spans="1:24" s="337" customFormat="1" ht="12" customHeight="1" outlineLevel="1">
      <c r="A708" s="335"/>
      <c r="B708" s="118" t="s">
        <v>12</v>
      </c>
      <c r="C708" s="334" t="s">
        <v>6220</v>
      </c>
      <c r="D708" s="124" t="s">
        <v>6221</v>
      </c>
      <c r="E708" s="125"/>
      <c r="F708" s="118" t="s">
        <v>303</v>
      </c>
      <c r="G708" s="126" t="s">
        <v>6024</v>
      </c>
      <c r="H708" s="255">
        <v>1</v>
      </c>
      <c r="I708" s="361">
        <v>1</v>
      </c>
      <c r="J708" s="336" t="s">
        <v>307</v>
      </c>
      <c r="W708" s="129" t="s">
        <v>307</v>
      </c>
      <c r="X708" s="337" t="b">
        <f t="shared" si="43"/>
        <v>1</v>
      </c>
    </row>
    <row r="709" spans="1:24" s="337" customFormat="1" ht="12" customHeight="1" outlineLevel="1">
      <c r="A709" s="335"/>
      <c r="B709" s="118" t="s">
        <v>12</v>
      </c>
      <c r="C709" s="334" t="s">
        <v>6222</v>
      </c>
      <c r="D709" s="124" t="s">
        <v>6223</v>
      </c>
      <c r="E709" s="125"/>
      <c r="F709" s="118" t="s">
        <v>303</v>
      </c>
      <c r="G709" s="126" t="s">
        <v>6024</v>
      </c>
      <c r="H709" s="255">
        <v>1</v>
      </c>
      <c r="I709" s="361">
        <v>1</v>
      </c>
      <c r="J709" s="336" t="s">
        <v>310</v>
      </c>
      <c r="W709" s="129" t="s">
        <v>310</v>
      </c>
      <c r="X709" s="337" t="b">
        <f t="shared" si="43"/>
        <v>1</v>
      </c>
    </row>
    <row r="710" spans="1:24" s="337" customFormat="1" ht="12" customHeight="1" outlineLevel="1">
      <c r="A710" s="335"/>
      <c r="B710" s="118" t="s">
        <v>12</v>
      </c>
      <c r="C710" s="334" t="s">
        <v>6224</v>
      </c>
      <c r="D710" s="124" t="s">
        <v>6225</v>
      </c>
      <c r="E710" s="125"/>
      <c r="F710" s="118" t="s">
        <v>303</v>
      </c>
      <c r="G710" s="126" t="s">
        <v>6024</v>
      </c>
      <c r="H710" s="255">
        <v>1</v>
      </c>
      <c r="I710" s="361">
        <v>1</v>
      </c>
      <c r="J710" s="336" t="s">
        <v>310</v>
      </c>
      <c r="W710" s="129" t="s">
        <v>310</v>
      </c>
      <c r="X710" s="337" t="b">
        <f t="shared" si="43"/>
        <v>1</v>
      </c>
    </row>
    <row r="711" spans="1:24" s="337" customFormat="1" ht="12" customHeight="1" outlineLevel="1">
      <c r="A711" s="335"/>
      <c r="B711" s="118" t="s">
        <v>12</v>
      </c>
      <c r="C711" s="334" t="s">
        <v>6226</v>
      </c>
      <c r="D711" s="124" t="s">
        <v>6227</v>
      </c>
      <c r="E711" s="125"/>
      <c r="F711" s="118" t="s">
        <v>303</v>
      </c>
      <c r="G711" s="126" t="s">
        <v>6024</v>
      </c>
      <c r="H711" s="255">
        <v>1</v>
      </c>
      <c r="I711" s="361">
        <v>1</v>
      </c>
      <c r="J711" s="336" t="s">
        <v>310</v>
      </c>
      <c r="W711" s="129" t="s">
        <v>310</v>
      </c>
      <c r="X711" s="337" t="b">
        <f t="shared" si="43"/>
        <v>1</v>
      </c>
    </row>
    <row r="712" spans="1:24" s="337" customFormat="1" ht="12" customHeight="1" outlineLevel="1">
      <c r="A712" s="335"/>
      <c r="B712" s="118" t="s">
        <v>12</v>
      </c>
      <c r="C712" s="334" t="s">
        <v>6228</v>
      </c>
      <c r="D712" s="124" t="s">
        <v>6229</v>
      </c>
      <c r="E712" s="125"/>
      <c r="F712" s="118" t="s">
        <v>303</v>
      </c>
      <c r="G712" s="126" t="s">
        <v>6024</v>
      </c>
      <c r="H712" s="255">
        <v>1</v>
      </c>
      <c r="I712" s="361">
        <v>1</v>
      </c>
      <c r="J712" s="336" t="s">
        <v>310</v>
      </c>
      <c r="W712" s="129" t="s">
        <v>310</v>
      </c>
      <c r="X712" s="337" t="b">
        <f t="shared" si="43"/>
        <v>1</v>
      </c>
    </row>
    <row r="713" spans="1:24" s="337" customFormat="1" ht="12" customHeight="1" outlineLevel="1">
      <c r="A713" s="335"/>
      <c r="B713" s="118" t="s">
        <v>12</v>
      </c>
      <c r="C713" s="334" t="s">
        <v>6230</v>
      </c>
      <c r="D713" s="124" t="s">
        <v>6231</v>
      </c>
      <c r="E713" s="125"/>
      <c r="F713" s="118" t="s">
        <v>303</v>
      </c>
      <c r="G713" s="126" t="s">
        <v>6024</v>
      </c>
      <c r="H713" s="255">
        <v>1</v>
      </c>
      <c r="I713" s="361">
        <v>1</v>
      </c>
      <c r="J713" s="336" t="s">
        <v>307</v>
      </c>
      <c r="W713" s="129" t="s">
        <v>325</v>
      </c>
      <c r="X713" s="337" t="b">
        <f t="shared" si="43"/>
        <v>0</v>
      </c>
    </row>
    <row r="714" spans="1:24" s="337" customFormat="1" ht="12" customHeight="1" outlineLevel="1">
      <c r="A714" s="335"/>
      <c r="B714" s="118" t="s">
        <v>12</v>
      </c>
      <c r="C714" s="334" t="s">
        <v>6232</v>
      </c>
      <c r="D714" s="124" t="s">
        <v>6233</v>
      </c>
      <c r="E714" s="125"/>
      <c r="F714" s="118" t="s">
        <v>303</v>
      </c>
      <c r="G714" s="126" t="s">
        <v>6024</v>
      </c>
      <c r="H714" s="255">
        <v>1</v>
      </c>
      <c r="I714" s="361">
        <v>1</v>
      </c>
      <c r="J714" s="336" t="s">
        <v>310</v>
      </c>
      <c r="W714" s="129" t="s">
        <v>310</v>
      </c>
      <c r="X714" s="337" t="b">
        <f t="shared" si="43"/>
        <v>1</v>
      </c>
    </row>
    <row r="715" spans="1:24" s="337" customFormat="1" ht="12" customHeight="1" outlineLevel="1">
      <c r="A715" s="335"/>
      <c r="B715" s="118" t="s">
        <v>12</v>
      </c>
      <c r="C715" s="334" t="s">
        <v>6234</v>
      </c>
      <c r="D715" s="124" t="s">
        <v>6235</v>
      </c>
      <c r="E715" s="125"/>
      <c r="F715" s="118" t="s">
        <v>303</v>
      </c>
      <c r="G715" s="126" t="s">
        <v>6024</v>
      </c>
      <c r="H715" s="255">
        <v>1</v>
      </c>
      <c r="I715" s="361">
        <v>1</v>
      </c>
      <c r="J715" s="336" t="s">
        <v>286</v>
      </c>
      <c r="W715" s="129" t="s">
        <v>310</v>
      </c>
      <c r="X715" s="337" t="b">
        <f t="shared" si="43"/>
        <v>0</v>
      </c>
    </row>
    <row r="716" spans="1:24" s="337" customFormat="1" ht="12" customHeight="1" outlineLevel="1">
      <c r="A716" s="335"/>
      <c r="B716" s="118" t="s">
        <v>12</v>
      </c>
      <c r="C716" s="334" t="s">
        <v>6236</v>
      </c>
      <c r="D716" s="124" t="s">
        <v>6237</v>
      </c>
      <c r="E716" s="125"/>
      <c r="F716" s="118" t="s">
        <v>303</v>
      </c>
      <c r="G716" s="126" t="s">
        <v>6024</v>
      </c>
      <c r="H716" s="255">
        <v>1</v>
      </c>
      <c r="I716" s="361">
        <v>1</v>
      </c>
      <c r="J716" s="336" t="s">
        <v>310</v>
      </c>
      <c r="W716" s="129" t="s">
        <v>310</v>
      </c>
      <c r="X716" s="337" t="b">
        <f t="shared" si="43"/>
        <v>1</v>
      </c>
    </row>
    <row r="717" spans="1:24" s="337" customFormat="1" ht="12" customHeight="1" outlineLevel="1">
      <c r="A717" s="335"/>
      <c r="B717" s="118" t="s">
        <v>12</v>
      </c>
      <c r="C717" s="334" t="s">
        <v>6238</v>
      </c>
      <c r="D717" s="124" t="s">
        <v>6239</v>
      </c>
      <c r="E717" s="125"/>
      <c r="F717" s="118" t="s">
        <v>303</v>
      </c>
      <c r="G717" s="126" t="s">
        <v>6024</v>
      </c>
      <c r="H717" s="255">
        <v>1</v>
      </c>
      <c r="I717" s="361">
        <v>1</v>
      </c>
      <c r="J717" s="336" t="s">
        <v>310</v>
      </c>
      <c r="W717" s="129" t="s">
        <v>310</v>
      </c>
      <c r="X717" s="337" t="b">
        <f t="shared" si="43"/>
        <v>1</v>
      </c>
    </row>
    <row r="718" spans="1:24" s="337" customFormat="1" ht="12" customHeight="1" outlineLevel="1">
      <c r="A718" s="335"/>
      <c r="B718" s="118" t="s">
        <v>12</v>
      </c>
      <c r="C718" s="334" t="s">
        <v>6240</v>
      </c>
      <c r="D718" s="124" t="s">
        <v>6241</v>
      </c>
      <c r="E718" s="125"/>
      <c r="F718" s="118" t="s">
        <v>303</v>
      </c>
      <c r="G718" s="126" t="s">
        <v>6024</v>
      </c>
      <c r="H718" s="255">
        <v>1</v>
      </c>
      <c r="I718" s="361">
        <v>1</v>
      </c>
      <c r="J718" s="336" t="s">
        <v>286</v>
      </c>
      <c r="W718" s="129" t="s">
        <v>310</v>
      </c>
      <c r="X718" s="337" t="b">
        <f t="shared" si="43"/>
        <v>0</v>
      </c>
    </row>
    <row r="719" spans="1:24" s="337" customFormat="1" ht="12" customHeight="1" outlineLevel="1">
      <c r="A719" s="335"/>
      <c r="B719" s="118" t="s">
        <v>12</v>
      </c>
      <c r="C719" s="334" t="s">
        <v>6242</v>
      </c>
      <c r="D719" s="124" t="s">
        <v>6243</v>
      </c>
      <c r="E719" s="125"/>
      <c r="F719" s="118" t="s">
        <v>303</v>
      </c>
      <c r="G719" s="126" t="s">
        <v>6024</v>
      </c>
      <c r="H719" s="255">
        <v>1</v>
      </c>
      <c r="I719" s="361">
        <v>1</v>
      </c>
      <c r="J719" s="336" t="s">
        <v>310</v>
      </c>
      <c r="W719" s="129" t="s">
        <v>286</v>
      </c>
      <c r="X719" s="337" t="b">
        <f t="shared" si="43"/>
        <v>0</v>
      </c>
    </row>
    <row r="720" spans="1:24" s="337" customFormat="1" ht="12" customHeight="1" outlineLevel="1">
      <c r="A720" s="335"/>
      <c r="B720" s="118" t="s">
        <v>12</v>
      </c>
      <c r="C720" s="334" t="s">
        <v>6244</v>
      </c>
      <c r="D720" s="124" t="s">
        <v>6245</v>
      </c>
      <c r="E720" s="125"/>
      <c r="F720" s="118" t="s">
        <v>303</v>
      </c>
      <c r="G720" s="126" t="s">
        <v>6024</v>
      </c>
      <c r="H720" s="255">
        <v>1</v>
      </c>
      <c r="I720" s="361">
        <v>1</v>
      </c>
      <c r="J720" s="336" t="s">
        <v>310</v>
      </c>
      <c r="W720" s="129" t="s">
        <v>310</v>
      </c>
      <c r="X720" s="337" t="b">
        <f t="shared" si="43"/>
        <v>1</v>
      </c>
    </row>
    <row r="721" spans="1:24" s="337" customFormat="1" ht="12" customHeight="1" outlineLevel="1">
      <c r="A721" s="335"/>
      <c r="B721" s="118" t="s">
        <v>12</v>
      </c>
      <c r="C721" s="334" t="s">
        <v>6246</v>
      </c>
      <c r="D721" s="124" t="s">
        <v>6247</v>
      </c>
      <c r="E721" s="125"/>
      <c r="F721" s="118" t="s">
        <v>303</v>
      </c>
      <c r="G721" s="126" t="s">
        <v>6024</v>
      </c>
      <c r="H721" s="255">
        <v>1</v>
      </c>
      <c r="I721" s="361">
        <v>1</v>
      </c>
      <c r="J721" s="336" t="s">
        <v>286</v>
      </c>
      <c r="W721" s="129" t="s">
        <v>4876</v>
      </c>
      <c r="X721" s="337" t="b">
        <f t="shared" si="43"/>
        <v>0</v>
      </c>
    </row>
    <row r="722" spans="1:24" s="337" customFormat="1" ht="12" customHeight="1" outlineLevel="1">
      <c r="A722" s="335"/>
      <c r="B722" s="118" t="s">
        <v>12</v>
      </c>
      <c r="C722" s="334" t="s">
        <v>6248</v>
      </c>
      <c r="D722" s="124" t="s">
        <v>6249</v>
      </c>
      <c r="E722" s="125"/>
      <c r="F722" s="118" t="s">
        <v>303</v>
      </c>
      <c r="G722" s="126" t="s">
        <v>6024</v>
      </c>
      <c r="H722" s="255">
        <v>1</v>
      </c>
      <c r="I722" s="361">
        <v>1</v>
      </c>
      <c r="J722" s="336" t="s">
        <v>307</v>
      </c>
      <c r="W722" s="129" t="s">
        <v>286</v>
      </c>
      <c r="X722" s="337" t="b">
        <f t="shared" si="43"/>
        <v>0</v>
      </c>
    </row>
    <row r="723" spans="1:24" s="337" customFormat="1" ht="12" customHeight="1" outlineLevel="1">
      <c r="A723" s="335"/>
      <c r="B723" s="118" t="s">
        <v>12</v>
      </c>
      <c r="C723" s="334" t="s">
        <v>6250</v>
      </c>
      <c r="D723" s="124" t="s">
        <v>6251</v>
      </c>
      <c r="E723" s="125"/>
      <c r="F723" s="118" t="s">
        <v>303</v>
      </c>
      <c r="G723" s="126" t="s">
        <v>6024</v>
      </c>
      <c r="H723" s="255">
        <v>1</v>
      </c>
      <c r="I723" s="361">
        <v>1</v>
      </c>
      <c r="J723" s="336" t="s">
        <v>286</v>
      </c>
      <c r="W723" s="129" t="s">
        <v>286</v>
      </c>
      <c r="X723" s="337" t="b">
        <f t="shared" si="43"/>
        <v>1</v>
      </c>
    </row>
    <row r="724" spans="1:24" s="337" customFormat="1" ht="12" customHeight="1" outlineLevel="1">
      <c r="A724" s="335"/>
      <c r="B724" s="118" t="s">
        <v>12</v>
      </c>
      <c r="C724" s="334" t="s">
        <v>6252</v>
      </c>
      <c r="D724" s="124" t="s">
        <v>6253</v>
      </c>
      <c r="E724" s="125"/>
      <c r="F724" s="118" t="s">
        <v>303</v>
      </c>
      <c r="G724" s="126" t="s">
        <v>6024</v>
      </c>
      <c r="H724" s="255">
        <v>1</v>
      </c>
      <c r="I724" s="361">
        <v>1</v>
      </c>
      <c r="J724" s="336" t="s">
        <v>310</v>
      </c>
      <c r="W724" s="129" t="s">
        <v>310</v>
      </c>
      <c r="X724" s="337" t="b">
        <f t="shared" si="43"/>
        <v>1</v>
      </c>
    </row>
    <row r="725" spans="1:24" s="337" customFormat="1" ht="12" customHeight="1" outlineLevel="1">
      <c r="A725" s="335"/>
      <c r="B725" s="118" t="s">
        <v>12</v>
      </c>
      <c r="C725" s="334" t="s">
        <v>6254</v>
      </c>
      <c r="D725" s="124" t="s">
        <v>6255</v>
      </c>
      <c r="E725" s="125"/>
      <c r="F725" s="118" t="s">
        <v>303</v>
      </c>
      <c r="G725" s="126" t="s">
        <v>6024</v>
      </c>
      <c r="H725" s="255">
        <v>1</v>
      </c>
      <c r="I725" s="361">
        <v>1</v>
      </c>
      <c r="J725" s="336" t="s">
        <v>310</v>
      </c>
      <c r="W725" s="129" t="s">
        <v>310</v>
      </c>
      <c r="X725" s="337" t="b">
        <f t="shared" si="43"/>
        <v>1</v>
      </c>
    </row>
    <row r="726" spans="1:24" s="337" customFormat="1" ht="12" customHeight="1" outlineLevel="1">
      <c r="A726" s="335"/>
      <c r="B726" s="118" t="s">
        <v>12</v>
      </c>
      <c r="C726" s="334" t="s">
        <v>6256</v>
      </c>
      <c r="D726" s="124" t="s">
        <v>6257</v>
      </c>
      <c r="E726" s="125"/>
      <c r="F726" s="118" t="s">
        <v>303</v>
      </c>
      <c r="G726" s="126" t="s">
        <v>6024</v>
      </c>
      <c r="H726" s="255">
        <v>1</v>
      </c>
      <c r="I726" s="361">
        <v>1</v>
      </c>
      <c r="J726" s="336" t="s">
        <v>310</v>
      </c>
      <c r="W726" s="129" t="s">
        <v>307</v>
      </c>
      <c r="X726" s="337" t="b">
        <f t="shared" si="43"/>
        <v>0</v>
      </c>
    </row>
    <row r="727" spans="1:24" s="337" customFormat="1" ht="12" customHeight="1" outlineLevel="1">
      <c r="A727" s="335"/>
      <c r="B727" s="118" t="s">
        <v>12</v>
      </c>
      <c r="C727" s="334" t="s">
        <v>6258</v>
      </c>
      <c r="D727" s="124" t="s">
        <v>6259</v>
      </c>
      <c r="E727" s="125"/>
      <c r="F727" s="118" t="s">
        <v>303</v>
      </c>
      <c r="G727" s="126" t="s">
        <v>6024</v>
      </c>
      <c r="H727" s="255">
        <v>1</v>
      </c>
      <c r="I727" s="361">
        <v>1</v>
      </c>
      <c r="J727" s="336" t="s">
        <v>307</v>
      </c>
      <c r="W727" s="129" t="s">
        <v>286</v>
      </c>
      <c r="X727" s="337" t="b">
        <f t="shared" si="43"/>
        <v>0</v>
      </c>
    </row>
    <row r="728" spans="1:24" s="337" customFormat="1" ht="12" customHeight="1" outlineLevel="1">
      <c r="A728" s="335"/>
      <c r="B728" s="118" t="s">
        <v>12</v>
      </c>
      <c r="C728" s="334" t="s">
        <v>6260</v>
      </c>
      <c r="D728" s="124" t="s">
        <v>6261</v>
      </c>
      <c r="E728" s="125"/>
      <c r="F728" s="118" t="s">
        <v>303</v>
      </c>
      <c r="G728" s="126" t="s">
        <v>6024</v>
      </c>
      <c r="H728" s="255">
        <v>1</v>
      </c>
      <c r="I728" s="361">
        <v>1</v>
      </c>
      <c r="J728" s="336" t="s">
        <v>310</v>
      </c>
      <c r="W728" s="129" t="s">
        <v>286</v>
      </c>
      <c r="X728" s="337" t="b">
        <f t="shared" si="43"/>
        <v>0</v>
      </c>
    </row>
    <row r="729" spans="1:24" s="337" customFormat="1" ht="12" customHeight="1" outlineLevel="1">
      <c r="A729" s="335"/>
      <c r="B729" s="118" t="s">
        <v>12</v>
      </c>
      <c r="C729" s="334" t="s">
        <v>6262</v>
      </c>
      <c r="D729" s="124" t="s">
        <v>6263</v>
      </c>
      <c r="E729" s="125"/>
      <c r="F729" s="118" t="s">
        <v>303</v>
      </c>
      <c r="G729" s="126" t="s">
        <v>6024</v>
      </c>
      <c r="H729" s="255">
        <v>1</v>
      </c>
      <c r="I729" s="361">
        <v>1</v>
      </c>
      <c r="J729" s="336" t="s">
        <v>310</v>
      </c>
      <c r="W729" s="129" t="s">
        <v>286</v>
      </c>
      <c r="X729" s="337" t="b">
        <f t="shared" si="43"/>
        <v>0</v>
      </c>
    </row>
    <row r="730" spans="1:24" s="337" customFormat="1" ht="12" customHeight="1" outlineLevel="1">
      <c r="A730" s="335"/>
      <c r="B730" s="118" t="s">
        <v>12</v>
      </c>
      <c r="C730" s="334" t="s">
        <v>6264</v>
      </c>
      <c r="D730" s="124" t="s">
        <v>6265</v>
      </c>
      <c r="E730" s="125"/>
      <c r="F730" s="118" t="s">
        <v>303</v>
      </c>
      <c r="G730" s="126" t="s">
        <v>6024</v>
      </c>
      <c r="H730" s="255">
        <v>1</v>
      </c>
      <c r="I730" s="361">
        <v>1</v>
      </c>
      <c r="J730" s="336" t="s">
        <v>307</v>
      </c>
      <c r="W730" s="129" t="s">
        <v>286</v>
      </c>
      <c r="X730" s="337" t="b">
        <f t="shared" si="43"/>
        <v>0</v>
      </c>
    </row>
    <row r="731" spans="1:24" s="337" customFormat="1" ht="12" customHeight="1" outlineLevel="1">
      <c r="A731" s="335"/>
      <c r="B731" s="118" t="s">
        <v>12</v>
      </c>
      <c r="C731" s="334" t="s">
        <v>6266</v>
      </c>
      <c r="D731" s="124" t="s">
        <v>6267</v>
      </c>
      <c r="E731" s="125"/>
      <c r="F731" s="118" t="s">
        <v>303</v>
      </c>
      <c r="G731" s="126" t="s">
        <v>6024</v>
      </c>
      <c r="H731" s="255">
        <v>1</v>
      </c>
      <c r="I731" s="361">
        <v>1</v>
      </c>
      <c r="J731" s="336" t="s">
        <v>310</v>
      </c>
      <c r="W731" s="129" t="s">
        <v>286</v>
      </c>
      <c r="X731" s="337" t="b">
        <f t="shared" si="43"/>
        <v>0</v>
      </c>
    </row>
    <row r="732" spans="1:24" s="337" customFormat="1" ht="12" customHeight="1" outlineLevel="1">
      <c r="A732" s="335"/>
      <c r="B732" s="118" t="s">
        <v>12</v>
      </c>
      <c r="C732" s="334" t="s">
        <v>6268</v>
      </c>
      <c r="D732" s="124" t="s">
        <v>6269</v>
      </c>
      <c r="E732" s="125"/>
      <c r="F732" s="118" t="s">
        <v>303</v>
      </c>
      <c r="G732" s="126" t="s">
        <v>6024</v>
      </c>
      <c r="H732" s="255">
        <v>1</v>
      </c>
      <c r="I732" s="361">
        <v>1</v>
      </c>
      <c r="J732" s="336" t="s">
        <v>286</v>
      </c>
      <c r="W732" s="129" t="s">
        <v>286</v>
      </c>
      <c r="X732" s="337" t="b">
        <f t="shared" si="43"/>
        <v>1</v>
      </c>
    </row>
    <row r="733" spans="1:24" s="337" customFormat="1" ht="12" customHeight="1" outlineLevel="1">
      <c r="A733" s="335"/>
      <c r="B733" s="118" t="s">
        <v>12</v>
      </c>
      <c r="C733" s="334" t="s">
        <v>6270</v>
      </c>
      <c r="D733" s="124" t="s">
        <v>6271</v>
      </c>
      <c r="E733" s="125"/>
      <c r="F733" s="118" t="s">
        <v>303</v>
      </c>
      <c r="G733" s="126" t="s">
        <v>6024</v>
      </c>
      <c r="H733" s="255">
        <v>1</v>
      </c>
      <c r="I733" s="361">
        <v>1</v>
      </c>
      <c r="J733" s="336" t="s">
        <v>286</v>
      </c>
      <c r="W733" s="129" t="s">
        <v>4876</v>
      </c>
      <c r="X733" s="337" t="b">
        <f t="shared" si="43"/>
        <v>0</v>
      </c>
    </row>
    <row r="734" spans="1:24" s="337" customFormat="1" ht="12" customHeight="1" outlineLevel="1">
      <c r="A734" s="335"/>
      <c r="B734" s="118" t="s">
        <v>12</v>
      </c>
      <c r="C734" s="334" t="s">
        <v>6272</v>
      </c>
      <c r="D734" s="124" t="s">
        <v>6273</v>
      </c>
      <c r="E734" s="125"/>
      <c r="F734" s="118" t="s">
        <v>303</v>
      </c>
      <c r="G734" s="126" t="s">
        <v>6024</v>
      </c>
      <c r="H734" s="255">
        <v>1</v>
      </c>
      <c r="I734" s="361">
        <v>1</v>
      </c>
      <c r="J734" s="336" t="s">
        <v>286</v>
      </c>
      <c r="W734" s="129" t="s">
        <v>286</v>
      </c>
      <c r="X734" s="337" t="b">
        <f t="shared" si="43"/>
        <v>1</v>
      </c>
    </row>
    <row r="735" spans="1:24" s="337" customFormat="1" ht="12" customHeight="1" outlineLevel="1">
      <c r="A735" s="335"/>
      <c r="B735" s="118" t="s">
        <v>12</v>
      </c>
      <c r="C735" s="334" t="s">
        <v>6274</v>
      </c>
      <c r="D735" s="124" t="s">
        <v>6275</v>
      </c>
      <c r="E735" s="125"/>
      <c r="F735" s="118" t="s">
        <v>303</v>
      </c>
      <c r="G735" s="126" t="s">
        <v>6024</v>
      </c>
      <c r="H735" s="255">
        <v>1</v>
      </c>
      <c r="I735" s="361">
        <v>1</v>
      </c>
      <c r="J735" s="336" t="s">
        <v>310</v>
      </c>
      <c r="W735" s="129" t="s">
        <v>310</v>
      </c>
      <c r="X735" s="337" t="b">
        <f t="shared" si="43"/>
        <v>1</v>
      </c>
    </row>
    <row r="736" spans="1:24" s="337" customFormat="1" ht="12" customHeight="1" outlineLevel="1">
      <c r="A736" s="335"/>
      <c r="B736" s="118" t="s">
        <v>12</v>
      </c>
      <c r="C736" s="334" t="s">
        <v>6276</v>
      </c>
      <c r="D736" s="124" t="s">
        <v>6277</v>
      </c>
      <c r="E736" s="125"/>
      <c r="F736" s="118" t="s">
        <v>303</v>
      </c>
      <c r="G736" s="126" t="s">
        <v>6024</v>
      </c>
      <c r="H736" s="255">
        <v>1</v>
      </c>
      <c r="I736" s="361">
        <v>1</v>
      </c>
      <c r="J736" s="336" t="s">
        <v>286</v>
      </c>
      <c r="W736" s="129" t="s">
        <v>286</v>
      </c>
      <c r="X736" s="337" t="b">
        <f t="shared" si="43"/>
        <v>1</v>
      </c>
    </row>
    <row r="737" spans="1:24" s="337" customFormat="1" ht="12" customHeight="1" outlineLevel="1">
      <c r="A737" s="335"/>
      <c r="B737" s="118" t="s">
        <v>12</v>
      </c>
      <c r="C737" s="334" t="s">
        <v>6278</v>
      </c>
      <c r="D737" s="124" t="s">
        <v>6279</v>
      </c>
      <c r="E737" s="125"/>
      <c r="F737" s="118" t="s">
        <v>303</v>
      </c>
      <c r="G737" s="126" t="s">
        <v>6024</v>
      </c>
      <c r="H737" s="255">
        <v>1</v>
      </c>
      <c r="I737" s="361">
        <v>1</v>
      </c>
      <c r="J737" s="336" t="s">
        <v>286</v>
      </c>
      <c r="W737" s="129" t="s">
        <v>286</v>
      </c>
      <c r="X737" s="337" t="b">
        <f t="shared" si="43"/>
        <v>1</v>
      </c>
    </row>
    <row r="738" spans="1:24" s="337" customFormat="1" ht="12" customHeight="1" outlineLevel="1">
      <c r="A738" s="335"/>
      <c r="B738" s="118" t="s">
        <v>12</v>
      </c>
      <c r="C738" s="334" t="s">
        <v>6280</v>
      </c>
      <c r="D738" s="124" t="s">
        <v>4897</v>
      </c>
      <c r="E738" s="125"/>
      <c r="F738" s="118" t="s">
        <v>303</v>
      </c>
      <c r="G738" s="126" t="s">
        <v>6024</v>
      </c>
      <c r="H738" s="255">
        <v>1</v>
      </c>
      <c r="I738" s="361">
        <v>1</v>
      </c>
      <c r="J738" s="336" t="s">
        <v>286</v>
      </c>
      <c r="W738" s="129" t="s">
        <v>286</v>
      </c>
      <c r="X738" s="337" t="b">
        <f t="shared" si="43"/>
        <v>1</v>
      </c>
    </row>
    <row r="739" spans="1:24" s="337" customFormat="1" ht="12" customHeight="1" outlineLevel="1">
      <c r="A739" s="335"/>
      <c r="B739" s="118" t="s">
        <v>12</v>
      </c>
      <c r="C739" s="334" t="s">
        <v>6281</v>
      </c>
      <c r="D739" s="124" t="s">
        <v>6282</v>
      </c>
      <c r="E739" s="125"/>
      <c r="F739" s="118" t="s">
        <v>303</v>
      </c>
      <c r="G739" s="126" t="s">
        <v>6024</v>
      </c>
      <c r="H739" s="255">
        <v>1</v>
      </c>
      <c r="I739" s="361">
        <v>1</v>
      </c>
      <c r="J739" s="336" t="s">
        <v>310</v>
      </c>
      <c r="W739" s="129" t="s">
        <v>310</v>
      </c>
      <c r="X739" s="337" t="b">
        <f t="shared" si="43"/>
        <v>1</v>
      </c>
    </row>
    <row r="740" spans="1:24" s="337" customFormat="1" ht="12" customHeight="1" outlineLevel="1">
      <c r="A740" s="335"/>
      <c r="B740" s="118" t="s">
        <v>12</v>
      </c>
      <c r="C740" s="334" t="s">
        <v>6283</v>
      </c>
      <c r="D740" s="124" t="s">
        <v>6284</v>
      </c>
      <c r="E740" s="125"/>
      <c r="F740" s="118" t="s">
        <v>303</v>
      </c>
      <c r="G740" s="126" t="s">
        <v>6024</v>
      </c>
      <c r="H740" s="255">
        <v>1</v>
      </c>
      <c r="I740" s="361">
        <v>1</v>
      </c>
      <c r="J740" s="336" t="s">
        <v>310</v>
      </c>
      <c r="W740" s="129" t="s">
        <v>310</v>
      </c>
      <c r="X740" s="337" t="b">
        <f t="shared" ref="X740:X803" si="44">W740=J740</f>
        <v>1</v>
      </c>
    </row>
    <row r="741" spans="1:24" s="337" customFormat="1" ht="12" customHeight="1" outlineLevel="1">
      <c r="A741" s="335"/>
      <c r="B741" s="118" t="s">
        <v>12</v>
      </c>
      <c r="C741" s="334" t="s">
        <v>6285</v>
      </c>
      <c r="D741" s="124" t="s">
        <v>6286</v>
      </c>
      <c r="E741" s="125"/>
      <c r="F741" s="118" t="s">
        <v>303</v>
      </c>
      <c r="G741" s="126" t="s">
        <v>6024</v>
      </c>
      <c r="H741" s="255">
        <v>1</v>
      </c>
      <c r="I741" s="361">
        <v>1</v>
      </c>
      <c r="J741" s="336" t="s">
        <v>286</v>
      </c>
      <c r="W741" s="129" t="s">
        <v>286</v>
      </c>
      <c r="X741" s="337" t="b">
        <f t="shared" si="44"/>
        <v>1</v>
      </c>
    </row>
    <row r="742" spans="1:24" s="337" customFormat="1" ht="12" customHeight="1" outlineLevel="1">
      <c r="A742" s="335"/>
      <c r="B742" s="118" t="s">
        <v>12</v>
      </c>
      <c r="C742" s="334" t="s">
        <v>6287</v>
      </c>
      <c r="D742" s="124" t="s">
        <v>6288</v>
      </c>
      <c r="E742" s="125"/>
      <c r="F742" s="118" t="s">
        <v>303</v>
      </c>
      <c r="G742" s="126" t="s">
        <v>6024</v>
      </c>
      <c r="H742" s="255">
        <v>1</v>
      </c>
      <c r="I742" s="361">
        <v>1</v>
      </c>
      <c r="J742" s="336" t="s">
        <v>286</v>
      </c>
      <c r="W742" s="129" t="s">
        <v>286</v>
      </c>
      <c r="X742" s="337" t="b">
        <f t="shared" si="44"/>
        <v>1</v>
      </c>
    </row>
    <row r="743" spans="1:24" s="337" customFormat="1" ht="12" customHeight="1" outlineLevel="1">
      <c r="A743" s="335"/>
      <c r="B743" s="118" t="s">
        <v>12</v>
      </c>
      <c r="C743" s="334" t="s">
        <v>6289</v>
      </c>
      <c r="D743" s="124" t="s">
        <v>6290</v>
      </c>
      <c r="E743" s="125"/>
      <c r="F743" s="118" t="s">
        <v>303</v>
      </c>
      <c r="G743" s="126" t="s">
        <v>6024</v>
      </c>
      <c r="H743" s="255">
        <v>1</v>
      </c>
      <c r="I743" s="361">
        <v>1</v>
      </c>
      <c r="J743" s="336" t="s">
        <v>286</v>
      </c>
      <c r="W743" s="129" t="s">
        <v>286</v>
      </c>
      <c r="X743" s="337" t="b">
        <f t="shared" si="44"/>
        <v>1</v>
      </c>
    </row>
    <row r="744" spans="1:24" s="337" customFormat="1" ht="12" customHeight="1" outlineLevel="1">
      <c r="A744" s="335"/>
      <c r="B744" s="118" t="s">
        <v>12</v>
      </c>
      <c r="C744" s="334" t="s">
        <v>6291</v>
      </c>
      <c r="D744" s="124" t="s">
        <v>6292</v>
      </c>
      <c r="E744" s="125"/>
      <c r="F744" s="118" t="s">
        <v>303</v>
      </c>
      <c r="G744" s="126" t="s">
        <v>6024</v>
      </c>
      <c r="H744" s="255">
        <v>1</v>
      </c>
      <c r="I744" s="361">
        <v>1</v>
      </c>
      <c r="J744" s="336" t="s">
        <v>286</v>
      </c>
      <c r="W744" s="129" t="s">
        <v>286</v>
      </c>
      <c r="X744" s="337" t="b">
        <f t="shared" si="44"/>
        <v>1</v>
      </c>
    </row>
    <row r="745" spans="1:24" s="337" customFormat="1" ht="12" customHeight="1" outlineLevel="1">
      <c r="A745" s="335"/>
      <c r="B745" s="118" t="s">
        <v>12</v>
      </c>
      <c r="C745" s="334" t="s">
        <v>6293</v>
      </c>
      <c r="D745" s="124" t="s">
        <v>6294</v>
      </c>
      <c r="E745" s="125"/>
      <c r="F745" s="118" t="s">
        <v>303</v>
      </c>
      <c r="G745" s="126" t="s">
        <v>6024</v>
      </c>
      <c r="H745" s="255">
        <v>1</v>
      </c>
      <c r="I745" s="361">
        <v>1</v>
      </c>
      <c r="J745" s="336" t="s">
        <v>286</v>
      </c>
      <c r="W745" s="129" t="s">
        <v>286</v>
      </c>
      <c r="X745" s="337" t="b">
        <f t="shared" si="44"/>
        <v>1</v>
      </c>
    </row>
    <row r="746" spans="1:24" s="337" customFormat="1" ht="12" customHeight="1" outlineLevel="1">
      <c r="A746" s="335"/>
      <c r="B746" s="118" t="s">
        <v>12</v>
      </c>
      <c r="C746" s="334" t="s">
        <v>6295</v>
      </c>
      <c r="D746" s="124" t="s">
        <v>6296</v>
      </c>
      <c r="E746" s="125"/>
      <c r="F746" s="118" t="s">
        <v>303</v>
      </c>
      <c r="G746" s="126" t="s">
        <v>6297</v>
      </c>
      <c r="H746" s="255">
        <v>2</v>
      </c>
      <c r="I746" s="361">
        <v>1</v>
      </c>
      <c r="J746" s="336" t="s">
        <v>6185</v>
      </c>
      <c r="W746" s="129" t="s">
        <v>307</v>
      </c>
      <c r="X746" s="337" t="b">
        <f t="shared" si="44"/>
        <v>0</v>
      </c>
    </row>
    <row r="747" spans="1:24" s="337" customFormat="1" ht="12" customHeight="1" outlineLevel="1">
      <c r="A747" s="335"/>
      <c r="B747" s="118" t="s">
        <v>12</v>
      </c>
      <c r="C747" s="334" t="s">
        <v>6298</v>
      </c>
      <c r="D747" s="124" t="s">
        <v>6299</v>
      </c>
      <c r="E747" s="125"/>
      <c r="F747" s="118" t="s">
        <v>303</v>
      </c>
      <c r="G747" s="126" t="s">
        <v>6297</v>
      </c>
      <c r="H747" s="255">
        <v>2</v>
      </c>
      <c r="I747" s="361">
        <v>1</v>
      </c>
      <c r="J747" s="336" t="s">
        <v>325</v>
      </c>
      <c r="W747" s="129" t="s">
        <v>307</v>
      </c>
      <c r="X747" s="337" t="b">
        <f t="shared" si="44"/>
        <v>0</v>
      </c>
    </row>
    <row r="748" spans="1:24" s="337" customFormat="1" ht="12" customHeight="1" outlineLevel="1">
      <c r="A748" s="335"/>
      <c r="B748" s="118" t="s">
        <v>12</v>
      </c>
      <c r="C748" s="334" t="s">
        <v>6300</v>
      </c>
      <c r="D748" s="124" t="s">
        <v>6301</v>
      </c>
      <c r="E748" s="125"/>
      <c r="F748" s="118" t="s">
        <v>303</v>
      </c>
      <c r="G748" s="126" t="s">
        <v>6297</v>
      </c>
      <c r="H748" s="255">
        <v>2</v>
      </c>
      <c r="I748" s="361">
        <v>1</v>
      </c>
      <c r="J748" s="336" t="s">
        <v>310</v>
      </c>
      <c r="W748" s="129" t="s">
        <v>4876</v>
      </c>
      <c r="X748" s="337" t="b">
        <f t="shared" si="44"/>
        <v>0</v>
      </c>
    </row>
    <row r="749" spans="1:24" s="337" customFormat="1" ht="12" customHeight="1" outlineLevel="1">
      <c r="A749" s="335"/>
      <c r="B749" s="118" t="s">
        <v>12</v>
      </c>
      <c r="C749" s="334" t="s">
        <v>6302</v>
      </c>
      <c r="D749" s="124" t="s">
        <v>6303</v>
      </c>
      <c r="E749" s="125"/>
      <c r="F749" s="118" t="s">
        <v>303</v>
      </c>
      <c r="G749" s="126" t="s">
        <v>6297</v>
      </c>
      <c r="H749" s="255">
        <v>2</v>
      </c>
      <c r="I749" s="361">
        <v>1</v>
      </c>
      <c r="J749" s="336" t="s">
        <v>286</v>
      </c>
      <c r="W749" s="129" t="s">
        <v>286</v>
      </c>
      <c r="X749" s="337" t="b">
        <f t="shared" si="44"/>
        <v>1</v>
      </c>
    </row>
    <row r="750" spans="1:24" s="337" customFormat="1" ht="12" customHeight="1" outlineLevel="1">
      <c r="A750" s="335"/>
      <c r="B750" s="118" t="s">
        <v>12</v>
      </c>
      <c r="C750" s="334" t="s">
        <v>6304</v>
      </c>
      <c r="D750" s="124" t="s">
        <v>6305</v>
      </c>
      <c r="E750" s="125"/>
      <c r="F750" s="118" t="s">
        <v>303</v>
      </c>
      <c r="G750" s="126" t="s">
        <v>6297</v>
      </c>
      <c r="H750" s="255">
        <v>2</v>
      </c>
      <c r="I750" s="361">
        <v>1</v>
      </c>
      <c r="J750" s="336" t="s">
        <v>286</v>
      </c>
      <c r="W750" s="129" t="s">
        <v>4876</v>
      </c>
      <c r="X750" s="337" t="b">
        <f t="shared" si="44"/>
        <v>0</v>
      </c>
    </row>
    <row r="751" spans="1:24" s="337" customFormat="1" ht="12" customHeight="1" outlineLevel="1">
      <c r="A751" s="335"/>
      <c r="B751" s="118" t="s">
        <v>12</v>
      </c>
      <c r="C751" s="334" t="s">
        <v>6306</v>
      </c>
      <c r="D751" s="124" t="s">
        <v>6307</v>
      </c>
      <c r="E751" s="125"/>
      <c r="F751" s="118" t="s">
        <v>303</v>
      </c>
      <c r="G751" s="126" t="s">
        <v>6297</v>
      </c>
      <c r="H751" s="255">
        <v>2</v>
      </c>
      <c r="I751" s="361">
        <v>1</v>
      </c>
      <c r="J751" s="336" t="s">
        <v>286</v>
      </c>
      <c r="W751" s="129" t="s">
        <v>4876</v>
      </c>
      <c r="X751" s="337" t="b">
        <f t="shared" si="44"/>
        <v>0</v>
      </c>
    </row>
    <row r="752" spans="1:24" s="337" customFormat="1" ht="12" customHeight="1" outlineLevel="1">
      <c r="A752" s="335"/>
      <c r="B752" s="118" t="s">
        <v>12</v>
      </c>
      <c r="C752" s="334" t="s">
        <v>6308</v>
      </c>
      <c r="D752" s="124" t="s">
        <v>6309</v>
      </c>
      <c r="E752" s="125"/>
      <c r="F752" s="118" t="s">
        <v>303</v>
      </c>
      <c r="G752" s="126" t="s">
        <v>6297</v>
      </c>
      <c r="H752" s="255">
        <v>2</v>
      </c>
      <c r="I752" s="361">
        <v>1</v>
      </c>
      <c r="J752" s="336" t="s">
        <v>307</v>
      </c>
      <c r="W752" s="129" t="s">
        <v>310</v>
      </c>
      <c r="X752" s="337" t="b">
        <f t="shared" si="44"/>
        <v>0</v>
      </c>
    </row>
    <row r="753" spans="1:24" s="337" customFormat="1" ht="12" customHeight="1" outlineLevel="1">
      <c r="A753" s="335"/>
      <c r="B753" s="118" t="s">
        <v>12</v>
      </c>
      <c r="C753" s="334" t="s">
        <v>6310</v>
      </c>
      <c r="D753" s="124" t="s">
        <v>6311</v>
      </c>
      <c r="E753" s="125"/>
      <c r="F753" s="118" t="s">
        <v>303</v>
      </c>
      <c r="G753" s="126" t="s">
        <v>6297</v>
      </c>
      <c r="H753" s="255">
        <v>2</v>
      </c>
      <c r="I753" s="361">
        <v>1</v>
      </c>
      <c r="J753" s="336" t="s">
        <v>307</v>
      </c>
      <c r="W753" s="129" t="s">
        <v>4876</v>
      </c>
      <c r="X753" s="337" t="b">
        <f t="shared" si="44"/>
        <v>0</v>
      </c>
    </row>
    <row r="754" spans="1:24" s="337" customFormat="1" ht="12" customHeight="1" outlineLevel="1">
      <c r="A754" s="335"/>
      <c r="B754" s="118" t="s">
        <v>12</v>
      </c>
      <c r="C754" s="334" t="s">
        <v>6312</v>
      </c>
      <c r="D754" s="124" t="s">
        <v>6313</v>
      </c>
      <c r="E754" s="125"/>
      <c r="F754" s="118" t="s">
        <v>303</v>
      </c>
      <c r="G754" s="126" t="s">
        <v>6297</v>
      </c>
      <c r="H754" s="255">
        <v>2</v>
      </c>
      <c r="I754" s="361">
        <v>1</v>
      </c>
      <c r="J754" s="336" t="s">
        <v>310</v>
      </c>
      <c r="W754" s="129" t="s">
        <v>286</v>
      </c>
      <c r="X754" s="337" t="b">
        <f t="shared" si="44"/>
        <v>0</v>
      </c>
    </row>
    <row r="755" spans="1:24" s="337" customFormat="1" ht="12" customHeight="1" outlineLevel="1">
      <c r="A755" s="335"/>
      <c r="B755" s="118" t="s">
        <v>12</v>
      </c>
      <c r="C755" s="334" t="s">
        <v>6314</v>
      </c>
      <c r="D755" s="124" t="s">
        <v>6315</v>
      </c>
      <c r="E755" s="125"/>
      <c r="F755" s="118" t="s">
        <v>303</v>
      </c>
      <c r="G755" s="126" t="s">
        <v>6297</v>
      </c>
      <c r="H755" s="255">
        <v>2</v>
      </c>
      <c r="I755" s="361">
        <v>1</v>
      </c>
      <c r="J755" s="336" t="s">
        <v>310</v>
      </c>
      <c r="W755" s="129" t="s">
        <v>286</v>
      </c>
      <c r="X755" s="337" t="b">
        <f t="shared" si="44"/>
        <v>0</v>
      </c>
    </row>
    <row r="756" spans="1:24" s="337" customFormat="1" ht="12" customHeight="1" outlineLevel="1">
      <c r="A756" s="335"/>
      <c r="B756" s="118" t="s">
        <v>12</v>
      </c>
      <c r="C756" s="334" t="s">
        <v>6316</v>
      </c>
      <c r="D756" s="124" t="s">
        <v>6317</v>
      </c>
      <c r="E756" s="125"/>
      <c r="F756" s="118" t="s">
        <v>303</v>
      </c>
      <c r="G756" s="126" t="s">
        <v>6297</v>
      </c>
      <c r="H756" s="255">
        <v>2</v>
      </c>
      <c r="I756" s="361">
        <v>1</v>
      </c>
      <c r="J756" s="336" t="s">
        <v>310</v>
      </c>
      <c r="W756" s="129" t="s">
        <v>310</v>
      </c>
      <c r="X756" s="337" t="b">
        <f t="shared" si="44"/>
        <v>1</v>
      </c>
    </row>
    <row r="757" spans="1:24" s="337" customFormat="1" ht="12" customHeight="1" outlineLevel="1">
      <c r="A757" s="335"/>
      <c r="B757" s="118" t="s">
        <v>12</v>
      </c>
      <c r="C757" s="334" t="s">
        <v>6318</v>
      </c>
      <c r="D757" s="124" t="s">
        <v>6319</v>
      </c>
      <c r="E757" s="125"/>
      <c r="F757" s="118" t="s">
        <v>303</v>
      </c>
      <c r="G757" s="126" t="s">
        <v>6297</v>
      </c>
      <c r="H757" s="255">
        <v>2</v>
      </c>
      <c r="I757" s="361">
        <v>1</v>
      </c>
      <c r="J757" s="336" t="s">
        <v>307</v>
      </c>
      <c r="W757" s="129" t="s">
        <v>286</v>
      </c>
      <c r="X757" s="337" t="b">
        <f t="shared" si="44"/>
        <v>0</v>
      </c>
    </row>
    <row r="758" spans="1:24" s="337" customFormat="1" ht="12" customHeight="1" outlineLevel="1">
      <c r="A758" s="335"/>
      <c r="B758" s="118" t="s">
        <v>12</v>
      </c>
      <c r="C758" s="334" t="s">
        <v>6320</v>
      </c>
      <c r="D758" s="124" t="s">
        <v>6321</v>
      </c>
      <c r="E758" s="125"/>
      <c r="F758" s="118" t="s">
        <v>303</v>
      </c>
      <c r="G758" s="126" t="s">
        <v>6297</v>
      </c>
      <c r="H758" s="255">
        <v>2</v>
      </c>
      <c r="I758" s="361">
        <v>1</v>
      </c>
      <c r="J758" s="336" t="s">
        <v>307</v>
      </c>
      <c r="W758" s="129" t="s">
        <v>286</v>
      </c>
      <c r="X758" s="337" t="b">
        <f t="shared" si="44"/>
        <v>0</v>
      </c>
    </row>
    <row r="759" spans="1:24" s="337" customFormat="1" ht="12" customHeight="1" outlineLevel="1">
      <c r="A759" s="335"/>
      <c r="B759" s="118" t="s">
        <v>12</v>
      </c>
      <c r="C759" s="334" t="s">
        <v>6322</v>
      </c>
      <c r="D759" s="124" t="s">
        <v>6323</v>
      </c>
      <c r="E759" s="125"/>
      <c r="F759" s="118" t="s">
        <v>303</v>
      </c>
      <c r="G759" s="126" t="s">
        <v>6297</v>
      </c>
      <c r="H759" s="255">
        <v>2</v>
      </c>
      <c r="I759" s="361">
        <v>1</v>
      </c>
      <c r="J759" s="336" t="s">
        <v>307</v>
      </c>
      <c r="W759" s="129" t="s">
        <v>286</v>
      </c>
      <c r="X759" s="337" t="b">
        <f t="shared" si="44"/>
        <v>0</v>
      </c>
    </row>
    <row r="760" spans="1:24" s="337" customFormat="1" ht="12" customHeight="1" outlineLevel="1">
      <c r="A760" s="335"/>
      <c r="B760" s="118" t="s">
        <v>12</v>
      </c>
      <c r="C760" s="334" t="s">
        <v>6324</v>
      </c>
      <c r="D760" s="124" t="s">
        <v>6325</v>
      </c>
      <c r="E760" s="125"/>
      <c r="F760" s="118" t="s">
        <v>303</v>
      </c>
      <c r="G760" s="126" t="s">
        <v>6297</v>
      </c>
      <c r="H760" s="255">
        <v>2</v>
      </c>
      <c r="I760" s="361">
        <v>1</v>
      </c>
      <c r="J760" s="336" t="s">
        <v>310</v>
      </c>
      <c r="W760" s="129" t="s">
        <v>286</v>
      </c>
      <c r="X760" s="337" t="b">
        <f t="shared" si="44"/>
        <v>0</v>
      </c>
    </row>
    <row r="761" spans="1:24" s="337" customFormat="1" ht="12" customHeight="1" outlineLevel="1">
      <c r="A761" s="335"/>
      <c r="B761" s="118" t="s">
        <v>12</v>
      </c>
      <c r="C761" s="334" t="s">
        <v>6326</v>
      </c>
      <c r="D761" s="124" t="s">
        <v>6327</v>
      </c>
      <c r="E761" s="125"/>
      <c r="F761" s="118" t="s">
        <v>303</v>
      </c>
      <c r="G761" s="126" t="s">
        <v>6297</v>
      </c>
      <c r="H761" s="255">
        <v>2</v>
      </c>
      <c r="I761" s="361">
        <v>1</v>
      </c>
      <c r="J761" s="336" t="s">
        <v>307</v>
      </c>
      <c r="W761" s="129" t="s">
        <v>286</v>
      </c>
      <c r="X761" s="337" t="b">
        <f t="shared" si="44"/>
        <v>0</v>
      </c>
    </row>
    <row r="762" spans="1:24" s="337" customFormat="1" ht="12" customHeight="1" outlineLevel="1">
      <c r="A762" s="335"/>
      <c r="B762" s="118" t="s">
        <v>12</v>
      </c>
      <c r="C762" s="334" t="s">
        <v>6328</v>
      </c>
      <c r="D762" s="124" t="s">
        <v>6329</v>
      </c>
      <c r="E762" s="125"/>
      <c r="F762" s="118" t="s">
        <v>303</v>
      </c>
      <c r="G762" s="126" t="s">
        <v>6297</v>
      </c>
      <c r="H762" s="255">
        <v>2</v>
      </c>
      <c r="I762" s="361">
        <v>1</v>
      </c>
      <c r="J762" s="336" t="s">
        <v>310</v>
      </c>
      <c r="W762" s="129" t="s">
        <v>286</v>
      </c>
      <c r="X762" s="337" t="b">
        <f t="shared" si="44"/>
        <v>0</v>
      </c>
    </row>
    <row r="763" spans="1:24" s="337" customFormat="1" ht="12" customHeight="1" outlineLevel="1">
      <c r="A763" s="335"/>
      <c r="B763" s="118" t="s">
        <v>12</v>
      </c>
      <c r="C763" s="334" t="s">
        <v>6330</v>
      </c>
      <c r="D763" s="124" t="s">
        <v>6331</v>
      </c>
      <c r="E763" s="125"/>
      <c r="F763" s="118" t="s">
        <v>303</v>
      </c>
      <c r="G763" s="126" t="s">
        <v>6297</v>
      </c>
      <c r="H763" s="255">
        <v>2</v>
      </c>
      <c r="I763" s="361">
        <v>1</v>
      </c>
      <c r="J763" s="336" t="s">
        <v>307</v>
      </c>
      <c r="W763" s="129" t="s">
        <v>286</v>
      </c>
      <c r="X763" s="337" t="b">
        <f t="shared" si="44"/>
        <v>0</v>
      </c>
    </row>
    <row r="764" spans="1:24" s="337" customFormat="1" ht="12" customHeight="1" outlineLevel="1">
      <c r="A764" s="335"/>
      <c r="B764" s="118" t="s">
        <v>12</v>
      </c>
      <c r="C764" s="334" t="s">
        <v>6332</v>
      </c>
      <c r="D764" s="124" t="s">
        <v>6333</v>
      </c>
      <c r="E764" s="125"/>
      <c r="F764" s="118" t="s">
        <v>303</v>
      </c>
      <c r="G764" s="126" t="s">
        <v>6297</v>
      </c>
      <c r="H764" s="255">
        <v>2</v>
      </c>
      <c r="I764" s="361">
        <v>1</v>
      </c>
      <c r="J764" s="336" t="s">
        <v>310</v>
      </c>
      <c r="W764" s="129" t="s">
        <v>286</v>
      </c>
      <c r="X764" s="337" t="b">
        <f t="shared" si="44"/>
        <v>0</v>
      </c>
    </row>
    <row r="765" spans="1:24" s="337" customFormat="1" ht="12" customHeight="1" outlineLevel="1">
      <c r="A765" s="335"/>
      <c r="B765" s="118" t="s">
        <v>12</v>
      </c>
      <c r="C765" s="334" t="s">
        <v>6334</v>
      </c>
      <c r="D765" s="124" t="s">
        <v>6335</v>
      </c>
      <c r="E765" s="125"/>
      <c r="F765" s="118" t="s">
        <v>303</v>
      </c>
      <c r="G765" s="126" t="s">
        <v>6297</v>
      </c>
      <c r="H765" s="255">
        <v>2</v>
      </c>
      <c r="I765" s="361">
        <v>1</v>
      </c>
      <c r="J765" s="336" t="s">
        <v>310</v>
      </c>
      <c r="W765" s="129" t="s">
        <v>286</v>
      </c>
      <c r="X765" s="337" t="b">
        <f t="shared" si="44"/>
        <v>0</v>
      </c>
    </row>
    <row r="766" spans="1:24" s="337" customFormat="1" ht="12" customHeight="1" outlineLevel="1">
      <c r="A766" s="335"/>
      <c r="B766" s="118" t="s">
        <v>12</v>
      </c>
      <c r="C766" s="334" t="s">
        <v>6336</v>
      </c>
      <c r="D766" s="124" t="s">
        <v>6337</v>
      </c>
      <c r="E766" s="125"/>
      <c r="F766" s="118" t="s">
        <v>303</v>
      </c>
      <c r="G766" s="126" t="s">
        <v>6297</v>
      </c>
      <c r="H766" s="255">
        <v>2</v>
      </c>
      <c r="I766" s="361">
        <v>1</v>
      </c>
      <c r="J766" s="336" t="s">
        <v>310</v>
      </c>
      <c r="W766" s="129" t="s">
        <v>286</v>
      </c>
      <c r="X766" s="337" t="b">
        <f t="shared" si="44"/>
        <v>0</v>
      </c>
    </row>
    <row r="767" spans="1:24" s="337" customFormat="1" ht="12" customHeight="1" outlineLevel="1">
      <c r="A767" s="335"/>
      <c r="B767" s="118" t="s">
        <v>12</v>
      </c>
      <c r="C767" s="334" t="s">
        <v>6338</v>
      </c>
      <c r="D767" s="124" t="s">
        <v>6339</v>
      </c>
      <c r="E767" s="125"/>
      <c r="F767" s="118" t="s">
        <v>303</v>
      </c>
      <c r="G767" s="126" t="s">
        <v>6297</v>
      </c>
      <c r="H767" s="255">
        <v>2</v>
      </c>
      <c r="I767" s="361">
        <v>1</v>
      </c>
      <c r="J767" s="336" t="s">
        <v>307</v>
      </c>
      <c r="W767" s="129" t="s">
        <v>310</v>
      </c>
      <c r="X767" s="337" t="b">
        <f t="shared" si="44"/>
        <v>0</v>
      </c>
    </row>
    <row r="768" spans="1:24" s="337" customFormat="1" ht="12" customHeight="1" outlineLevel="1">
      <c r="A768" s="335"/>
      <c r="B768" s="118" t="s">
        <v>12</v>
      </c>
      <c r="C768" s="334" t="s">
        <v>6340</v>
      </c>
      <c r="D768" s="124" t="s">
        <v>6341</v>
      </c>
      <c r="E768" s="125"/>
      <c r="F768" s="118" t="s">
        <v>303</v>
      </c>
      <c r="G768" s="126" t="s">
        <v>6297</v>
      </c>
      <c r="H768" s="255">
        <v>2</v>
      </c>
      <c r="I768" s="361">
        <v>1</v>
      </c>
      <c r="J768" s="336" t="s">
        <v>307</v>
      </c>
      <c r="W768" s="129" t="s">
        <v>286</v>
      </c>
      <c r="X768" s="337" t="b">
        <f t="shared" si="44"/>
        <v>0</v>
      </c>
    </row>
    <row r="769" spans="1:24" s="337" customFormat="1" ht="12" customHeight="1" outlineLevel="1">
      <c r="A769" s="335"/>
      <c r="B769" s="118" t="s">
        <v>12</v>
      </c>
      <c r="C769" s="334" t="s">
        <v>6342</v>
      </c>
      <c r="D769" s="124" t="s">
        <v>6343</v>
      </c>
      <c r="E769" s="125"/>
      <c r="F769" s="118" t="s">
        <v>303</v>
      </c>
      <c r="G769" s="126" t="s">
        <v>6297</v>
      </c>
      <c r="H769" s="255">
        <v>2</v>
      </c>
      <c r="I769" s="361">
        <v>1</v>
      </c>
      <c r="J769" s="336" t="s">
        <v>310</v>
      </c>
      <c r="W769" s="129" t="s">
        <v>286</v>
      </c>
      <c r="X769" s="337" t="b">
        <f t="shared" si="44"/>
        <v>0</v>
      </c>
    </row>
    <row r="770" spans="1:24" s="337" customFormat="1" ht="12" customHeight="1" outlineLevel="1">
      <c r="A770" s="335"/>
      <c r="B770" s="118" t="s">
        <v>12</v>
      </c>
      <c r="C770" s="334" t="s">
        <v>6344</v>
      </c>
      <c r="D770" s="124" t="s">
        <v>6345</v>
      </c>
      <c r="E770" s="125"/>
      <c r="F770" s="118" t="s">
        <v>303</v>
      </c>
      <c r="G770" s="126" t="s">
        <v>6297</v>
      </c>
      <c r="H770" s="255">
        <v>2</v>
      </c>
      <c r="I770" s="361">
        <v>1</v>
      </c>
      <c r="J770" s="336" t="s">
        <v>307</v>
      </c>
      <c r="W770" s="129" t="s">
        <v>310</v>
      </c>
      <c r="X770" s="337" t="b">
        <f t="shared" si="44"/>
        <v>0</v>
      </c>
    </row>
    <row r="771" spans="1:24" s="337" customFormat="1" ht="12" customHeight="1" outlineLevel="1">
      <c r="A771" s="335"/>
      <c r="B771" s="118" t="s">
        <v>12</v>
      </c>
      <c r="C771" s="334" t="s">
        <v>6346</v>
      </c>
      <c r="D771" s="124" t="s">
        <v>6347</v>
      </c>
      <c r="E771" s="125"/>
      <c r="F771" s="118" t="s">
        <v>303</v>
      </c>
      <c r="G771" s="126" t="s">
        <v>6297</v>
      </c>
      <c r="H771" s="255">
        <v>2</v>
      </c>
      <c r="I771" s="361">
        <v>1</v>
      </c>
      <c r="J771" s="336" t="s">
        <v>310</v>
      </c>
      <c r="W771" s="129" t="s">
        <v>310</v>
      </c>
      <c r="X771" s="337" t="b">
        <f t="shared" si="44"/>
        <v>1</v>
      </c>
    </row>
    <row r="772" spans="1:24" s="337" customFormat="1" ht="12" customHeight="1" outlineLevel="1">
      <c r="A772" s="335"/>
      <c r="B772" s="118" t="s">
        <v>12</v>
      </c>
      <c r="C772" s="334" t="s">
        <v>6348</v>
      </c>
      <c r="D772" s="124" t="s">
        <v>6349</v>
      </c>
      <c r="E772" s="125"/>
      <c r="F772" s="118" t="s">
        <v>303</v>
      </c>
      <c r="G772" s="126" t="s">
        <v>6297</v>
      </c>
      <c r="H772" s="255">
        <v>2</v>
      </c>
      <c r="I772" s="361">
        <v>1</v>
      </c>
      <c r="J772" s="336" t="s">
        <v>307</v>
      </c>
      <c r="W772" s="129" t="s">
        <v>310</v>
      </c>
      <c r="X772" s="337" t="b">
        <f t="shared" si="44"/>
        <v>0</v>
      </c>
    </row>
    <row r="773" spans="1:24" s="337" customFormat="1" ht="12" customHeight="1" outlineLevel="1">
      <c r="A773" s="335"/>
      <c r="B773" s="118" t="s">
        <v>12</v>
      </c>
      <c r="C773" s="334" t="s">
        <v>6350</v>
      </c>
      <c r="D773" s="124" t="s">
        <v>6351</v>
      </c>
      <c r="E773" s="125"/>
      <c r="F773" s="118" t="s">
        <v>303</v>
      </c>
      <c r="G773" s="126" t="s">
        <v>6297</v>
      </c>
      <c r="H773" s="255">
        <v>2</v>
      </c>
      <c r="I773" s="361">
        <v>1</v>
      </c>
      <c r="J773" s="336" t="s">
        <v>310</v>
      </c>
      <c r="W773" s="129" t="s">
        <v>310</v>
      </c>
      <c r="X773" s="337" t="b">
        <f t="shared" si="44"/>
        <v>1</v>
      </c>
    </row>
    <row r="774" spans="1:24" s="337" customFormat="1" ht="12" customHeight="1" outlineLevel="1">
      <c r="A774" s="335"/>
      <c r="B774" s="118" t="s">
        <v>12</v>
      </c>
      <c r="C774" s="334" t="s">
        <v>6352</v>
      </c>
      <c r="D774" s="124" t="s">
        <v>6353</v>
      </c>
      <c r="E774" s="125"/>
      <c r="F774" s="118" t="s">
        <v>303</v>
      </c>
      <c r="G774" s="126" t="s">
        <v>6297</v>
      </c>
      <c r="H774" s="255">
        <v>2</v>
      </c>
      <c r="I774" s="361">
        <v>1</v>
      </c>
      <c r="J774" s="336" t="s">
        <v>310</v>
      </c>
      <c r="W774" s="129" t="s">
        <v>310</v>
      </c>
      <c r="X774" s="337" t="b">
        <f t="shared" si="44"/>
        <v>1</v>
      </c>
    </row>
    <row r="775" spans="1:24" s="337" customFormat="1" ht="12" customHeight="1" outlineLevel="1">
      <c r="A775" s="335"/>
      <c r="B775" s="118" t="s">
        <v>12</v>
      </c>
      <c r="C775" s="334" t="s">
        <v>6354</v>
      </c>
      <c r="D775" s="124" t="s">
        <v>6355</v>
      </c>
      <c r="E775" s="125"/>
      <c r="F775" s="118" t="s">
        <v>303</v>
      </c>
      <c r="G775" s="126" t="s">
        <v>6297</v>
      </c>
      <c r="H775" s="255">
        <v>2</v>
      </c>
      <c r="I775" s="361">
        <v>1</v>
      </c>
      <c r="J775" s="336" t="s">
        <v>325</v>
      </c>
      <c r="W775" s="129" t="s">
        <v>310</v>
      </c>
      <c r="X775" s="337" t="b">
        <f t="shared" si="44"/>
        <v>0</v>
      </c>
    </row>
    <row r="776" spans="1:24" s="337" customFormat="1" ht="12" customHeight="1" outlineLevel="1">
      <c r="A776" s="335"/>
      <c r="B776" s="118" t="s">
        <v>12</v>
      </c>
      <c r="C776" s="334" t="s">
        <v>6356</v>
      </c>
      <c r="D776" s="124" t="s">
        <v>6357</v>
      </c>
      <c r="E776" s="125"/>
      <c r="F776" s="118" t="s">
        <v>303</v>
      </c>
      <c r="G776" s="126" t="s">
        <v>6297</v>
      </c>
      <c r="H776" s="255">
        <v>2</v>
      </c>
      <c r="I776" s="361">
        <v>1</v>
      </c>
      <c r="J776" s="336" t="s">
        <v>310</v>
      </c>
      <c r="W776" s="129" t="s">
        <v>310</v>
      </c>
      <c r="X776" s="337" t="b">
        <f t="shared" si="44"/>
        <v>1</v>
      </c>
    </row>
    <row r="777" spans="1:24" s="337" customFormat="1" ht="12" customHeight="1" outlineLevel="1">
      <c r="A777" s="335"/>
      <c r="B777" s="118" t="s">
        <v>12</v>
      </c>
      <c r="C777" s="334" t="s">
        <v>6356</v>
      </c>
      <c r="D777" s="124" t="s">
        <v>6358</v>
      </c>
      <c r="E777" s="125"/>
      <c r="F777" s="118" t="s">
        <v>303</v>
      </c>
      <c r="G777" s="126" t="s">
        <v>6297</v>
      </c>
      <c r="H777" s="255">
        <v>2</v>
      </c>
      <c r="I777" s="361">
        <v>1</v>
      </c>
      <c r="J777" s="336" t="s">
        <v>286</v>
      </c>
      <c r="W777" s="129" t="s">
        <v>310</v>
      </c>
      <c r="X777" s="337" t="b">
        <f t="shared" si="44"/>
        <v>0</v>
      </c>
    </row>
    <row r="778" spans="1:24" s="337" customFormat="1" ht="12" customHeight="1" outlineLevel="1">
      <c r="A778" s="335"/>
      <c r="B778" s="118" t="s">
        <v>12</v>
      </c>
      <c r="C778" s="334" t="s">
        <v>6359</v>
      </c>
      <c r="D778" s="124" t="s">
        <v>6360</v>
      </c>
      <c r="E778" s="125"/>
      <c r="F778" s="118" t="s">
        <v>303</v>
      </c>
      <c r="G778" s="126" t="s">
        <v>6297</v>
      </c>
      <c r="H778" s="255">
        <v>2</v>
      </c>
      <c r="I778" s="361">
        <v>1</v>
      </c>
      <c r="J778" s="336" t="s">
        <v>286</v>
      </c>
      <c r="W778" s="129" t="s">
        <v>4876</v>
      </c>
      <c r="X778" s="337" t="b">
        <f t="shared" si="44"/>
        <v>0</v>
      </c>
    </row>
    <row r="779" spans="1:24" s="337" customFormat="1" ht="12" customHeight="1" outlineLevel="1">
      <c r="A779" s="335"/>
      <c r="B779" s="118" t="s">
        <v>12</v>
      </c>
      <c r="C779" s="334" t="s">
        <v>6361</v>
      </c>
      <c r="D779" s="124" t="s">
        <v>6362</v>
      </c>
      <c r="E779" s="125"/>
      <c r="F779" s="118" t="s">
        <v>303</v>
      </c>
      <c r="G779" s="126" t="s">
        <v>6297</v>
      </c>
      <c r="H779" s="255">
        <v>2</v>
      </c>
      <c r="I779" s="361">
        <v>1</v>
      </c>
      <c r="J779" s="336" t="s">
        <v>286</v>
      </c>
      <c r="W779" s="129" t="s">
        <v>4876</v>
      </c>
      <c r="X779" s="337" t="b">
        <f t="shared" si="44"/>
        <v>0</v>
      </c>
    </row>
    <row r="780" spans="1:24" s="337" customFormat="1" ht="12" customHeight="1" outlineLevel="1">
      <c r="A780" s="335"/>
      <c r="B780" s="118" t="s">
        <v>12</v>
      </c>
      <c r="C780" s="334" t="s">
        <v>6363</v>
      </c>
      <c r="D780" s="124" t="s">
        <v>6364</v>
      </c>
      <c r="E780" s="125"/>
      <c r="F780" s="118" t="s">
        <v>303</v>
      </c>
      <c r="G780" s="126" t="s">
        <v>6297</v>
      </c>
      <c r="H780" s="255">
        <v>2</v>
      </c>
      <c r="I780" s="361">
        <v>1</v>
      </c>
      <c r="J780" s="336" t="s">
        <v>286</v>
      </c>
      <c r="W780" s="129" t="s">
        <v>4876</v>
      </c>
      <c r="X780" s="337" t="b">
        <f t="shared" si="44"/>
        <v>0</v>
      </c>
    </row>
    <row r="781" spans="1:24" s="337" customFormat="1" ht="12" customHeight="1" outlineLevel="1">
      <c r="A781" s="335"/>
      <c r="B781" s="118" t="s">
        <v>12</v>
      </c>
      <c r="C781" s="334" t="s">
        <v>6365</v>
      </c>
      <c r="D781" s="124" t="s">
        <v>6366</v>
      </c>
      <c r="E781" s="125"/>
      <c r="F781" s="118" t="s">
        <v>303</v>
      </c>
      <c r="G781" s="126" t="s">
        <v>6297</v>
      </c>
      <c r="H781" s="255">
        <v>2</v>
      </c>
      <c r="I781" s="361">
        <v>1</v>
      </c>
      <c r="J781" s="336" t="s">
        <v>286</v>
      </c>
      <c r="W781" s="129" t="s">
        <v>4876</v>
      </c>
      <c r="X781" s="337" t="b">
        <f t="shared" si="44"/>
        <v>0</v>
      </c>
    </row>
    <row r="782" spans="1:24" s="337" customFormat="1" ht="12" customHeight="1" outlineLevel="1">
      <c r="A782" s="335"/>
      <c r="B782" s="118" t="s">
        <v>12</v>
      </c>
      <c r="C782" s="334" t="s">
        <v>6367</v>
      </c>
      <c r="D782" s="124" t="s">
        <v>6368</v>
      </c>
      <c r="E782" s="125"/>
      <c r="F782" s="118" t="s">
        <v>303</v>
      </c>
      <c r="G782" s="126" t="s">
        <v>6297</v>
      </c>
      <c r="H782" s="255">
        <v>2</v>
      </c>
      <c r="I782" s="361">
        <v>1</v>
      </c>
      <c r="J782" s="336" t="s">
        <v>286</v>
      </c>
      <c r="W782" s="129" t="s">
        <v>4876</v>
      </c>
      <c r="X782" s="337" t="b">
        <f t="shared" si="44"/>
        <v>0</v>
      </c>
    </row>
    <row r="783" spans="1:24" s="337" customFormat="1" ht="12" customHeight="1" outlineLevel="1">
      <c r="A783" s="335"/>
      <c r="B783" s="118" t="s">
        <v>12</v>
      </c>
      <c r="C783" s="334" t="s">
        <v>6369</v>
      </c>
      <c r="D783" s="124" t="s">
        <v>6370</v>
      </c>
      <c r="E783" s="125"/>
      <c r="F783" s="118" t="s">
        <v>303</v>
      </c>
      <c r="G783" s="126" t="s">
        <v>6297</v>
      </c>
      <c r="H783" s="255">
        <v>2</v>
      </c>
      <c r="I783" s="361">
        <v>1</v>
      </c>
      <c r="J783" s="336" t="s">
        <v>286</v>
      </c>
      <c r="W783" s="129" t="s">
        <v>4876</v>
      </c>
      <c r="X783" s="337" t="b">
        <f t="shared" si="44"/>
        <v>0</v>
      </c>
    </row>
    <row r="784" spans="1:24" s="337" customFormat="1" ht="12" customHeight="1" outlineLevel="1">
      <c r="A784" s="335"/>
      <c r="B784" s="118" t="s">
        <v>12</v>
      </c>
      <c r="C784" s="334" t="s">
        <v>6371</v>
      </c>
      <c r="D784" s="124" t="s">
        <v>6364</v>
      </c>
      <c r="E784" s="125"/>
      <c r="F784" s="118" t="s">
        <v>303</v>
      </c>
      <c r="G784" s="126" t="s">
        <v>6297</v>
      </c>
      <c r="H784" s="255">
        <v>2</v>
      </c>
      <c r="I784" s="361">
        <v>1</v>
      </c>
      <c r="J784" s="336" t="s">
        <v>286</v>
      </c>
      <c r="W784" s="129" t="s">
        <v>4876</v>
      </c>
      <c r="X784" s="337" t="b">
        <f t="shared" si="44"/>
        <v>0</v>
      </c>
    </row>
    <row r="785" spans="1:24" s="337" customFormat="1" ht="12" customHeight="1" outlineLevel="1">
      <c r="A785" s="335"/>
      <c r="B785" s="118" t="s">
        <v>12</v>
      </c>
      <c r="C785" s="334" t="s">
        <v>6372</v>
      </c>
      <c r="D785" s="124" t="s">
        <v>6366</v>
      </c>
      <c r="E785" s="125"/>
      <c r="F785" s="118" t="s">
        <v>303</v>
      </c>
      <c r="G785" s="126" t="s">
        <v>6297</v>
      </c>
      <c r="H785" s="255">
        <v>2</v>
      </c>
      <c r="I785" s="361">
        <v>1</v>
      </c>
      <c r="J785" s="336" t="s">
        <v>286</v>
      </c>
      <c r="W785" s="129" t="s">
        <v>4876</v>
      </c>
      <c r="X785" s="337" t="b">
        <f t="shared" si="44"/>
        <v>0</v>
      </c>
    </row>
    <row r="786" spans="1:24" s="337" customFormat="1" ht="12" customHeight="1" outlineLevel="1">
      <c r="A786" s="335"/>
      <c r="B786" s="118" t="s">
        <v>12</v>
      </c>
      <c r="C786" s="334" t="s">
        <v>6373</v>
      </c>
      <c r="D786" s="124" t="s">
        <v>6368</v>
      </c>
      <c r="E786" s="125"/>
      <c r="F786" s="118" t="s">
        <v>303</v>
      </c>
      <c r="G786" s="126" t="s">
        <v>6297</v>
      </c>
      <c r="H786" s="255">
        <v>2</v>
      </c>
      <c r="I786" s="361">
        <v>1</v>
      </c>
      <c r="J786" s="336" t="s">
        <v>286</v>
      </c>
      <c r="W786" s="129" t="s">
        <v>4876</v>
      </c>
      <c r="X786" s="337" t="b">
        <f t="shared" si="44"/>
        <v>0</v>
      </c>
    </row>
    <row r="787" spans="1:24" s="337" customFormat="1" ht="12" customHeight="1" outlineLevel="1">
      <c r="A787" s="335"/>
      <c r="B787" s="118" t="s">
        <v>12</v>
      </c>
      <c r="C787" s="334" t="s">
        <v>6374</v>
      </c>
      <c r="D787" s="124" t="s">
        <v>6370</v>
      </c>
      <c r="E787" s="125"/>
      <c r="F787" s="118" t="s">
        <v>303</v>
      </c>
      <c r="G787" s="126" t="s">
        <v>6297</v>
      </c>
      <c r="H787" s="255">
        <v>2</v>
      </c>
      <c r="I787" s="361">
        <v>1</v>
      </c>
      <c r="J787" s="336" t="s">
        <v>286</v>
      </c>
      <c r="W787" s="129" t="s">
        <v>4876</v>
      </c>
      <c r="X787" s="337" t="b">
        <f t="shared" si="44"/>
        <v>0</v>
      </c>
    </row>
    <row r="788" spans="1:24" s="337" customFormat="1" ht="12" customHeight="1" outlineLevel="1">
      <c r="A788" s="335"/>
      <c r="B788" s="118" t="s">
        <v>12</v>
      </c>
      <c r="C788" s="334" t="s">
        <v>6375</v>
      </c>
      <c r="D788" s="124" t="s">
        <v>6376</v>
      </c>
      <c r="E788" s="125"/>
      <c r="F788" s="118" t="s">
        <v>303</v>
      </c>
      <c r="G788" s="126" t="s">
        <v>6297</v>
      </c>
      <c r="H788" s="255">
        <v>2</v>
      </c>
      <c r="I788" s="361">
        <v>1</v>
      </c>
      <c r="J788" s="336" t="s">
        <v>286</v>
      </c>
      <c r="W788" s="129" t="s">
        <v>4876</v>
      </c>
      <c r="X788" s="337" t="b">
        <f t="shared" si="44"/>
        <v>0</v>
      </c>
    </row>
    <row r="789" spans="1:24" s="337" customFormat="1" ht="12" customHeight="1" outlineLevel="1">
      <c r="A789" s="335"/>
      <c r="B789" s="118" t="s">
        <v>12</v>
      </c>
      <c r="C789" s="334" t="s">
        <v>6377</v>
      </c>
      <c r="D789" s="124" t="s">
        <v>6378</v>
      </c>
      <c r="E789" s="125"/>
      <c r="F789" s="118" t="s">
        <v>303</v>
      </c>
      <c r="G789" s="126" t="s">
        <v>6297</v>
      </c>
      <c r="H789" s="255">
        <v>2</v>
      </c>
      <c r="I789" s="361">
        <v>1</v>
      </c>
      <c r="J789" s="336" t="s">
        <v>286</v>
      </c>
      <c r="W789" s="129" t="s">
        <v>4876</v>
      </c>
      <c r="X789" s="337" t="b">
        <f t="shared" si="44"/>
        <v>0</v>
      </c>
    </row>
    <row r="790" spans="1:24" s="337" customFormat="1" ht="12" customHeight="1" outlineLevel="1">
      <c r="A790" s="335"/>
      <c r="B790" s="118" t="s">
        <v>12</v>
      </c>
      <c r="C790" s="334" t="s">
        <v>6379</v>
      </c>
      <c r="D790" s="124" t="s">
        <v>6380</v>
      </c>
      <c r="E790" s="125"/>
      <c r="F790" s="118" t="s">
        <v>303</v>
      </c>
      <c r="G790" s="126" t="s">
        <v>6297</v>
      </c>
      <c r="H790" s="255">
        <v>2</v>
      </c>
      <c r="I790" s="361">
        <v>1</v>
      </c>
      <c r="J790" s="336" t="s">
        <v>286</v>
      </c>
      <c r="W790" s="129" t="s">
        <v>4876</v>
      </c>
      <c r="X790" s="337" t="b">
        <f t="shared" si="44"/>
        <v>0</v>
      </c>
    </row>
    <row r="791" spans="1:24" s="337" customFormat="1" ht="12" customHeight="1" outlineLevel="1">
      <c r="A791" s="335"/>
      <c r="B791" s="118" t="s">
        <v>12</v>
      </c>
      <c r="C791" s="334" t="s">
        <v>6381</v>
      </c>
      <c r="D791" s="124" t="s">
        <v>6382</v>
      </c>
      <c r="E791" s="125"/>
      <c r="F791" s="118" t="s">
        <v>303</v>
      </c>
      <c r="G791" s="126" t="s">
        <v>6297</v>
      </c>
      <c r="H791" s="255">
        <v>2</v>
      </c>
      <c r="I791" s="361">
        <v>1</v>
      </c>
      <c r="J791" s="336" t="s">
        <v>286</v>
      </c>
      <c r="W791" s="129" t="s">
        <v>4876</v>
      </c>
      <c r="X791" s="337" t="b">
        <f t="shared" si="44"/>
        <v>0</v>
      </c>
    </row>
    <row r="792" spans="1:24" s="337" customFormat="1" ht="12" customHeight="1" outlineLevel="1">
      <c r="A792" s="335"/>
      <c r="B792" s="118" t="s">
        <v>12</v>
      </c>
      <c r="C792" s="334" t="s">
        <v>6383</v>
      </c>
      <c r="D792" s="124" t="s">
        <v>6384</v>
      </c>
      <c r="E792" s="125"/>
      <c r="F792" s="118" t="s">
        <v>303</v>
      </c>
      <c r="G792" s="126" t="s">
        <v>6297</v>
      </c>
      <c r="H792" s="255">
        <v>2</v>
      </c>
      <c r="I792" s="361">
        <v>1</v>
      </c>
      <c r="J792" s="336" t="s">
        <v>286</v>
      </c>
      <c r="W792" s="129" t="s">
        <v>4876</v>
      </c>
      <c r="X792" s="337" t="b">
        <f t="shared" si="44"/>
        <v>0</v>
      </c>
    </row>
    <row r="793" spans="1:24" s="337" customFormat="1" ht="12" customHeight="1" outlineLevel="1">
      <c r="A793" s="335"/>
      <c r="B793" s="118" t="s">
        <v>12</v>
      </c>
      <c r="C793" s="334" t="s">
        <v>6385</v>
      </c>
      <c r="D793" s="124" t="s">
        <v>6386</v>
      </c>
      <c r="E793" s="125"/>
      <c r="F793" s="118" t="s">
        <v>303</v>
      </c>
      <c r="G793" s="126" t="s">
        <v>6297</v>
      </c>
      <c r="H793" s="255">
        <v>2</v>
      </c>
      <c r="I793" s="361">
        <v>1</v>
      </c>
      <c r="J793" s="336" t="s">
        <v>286</v>
      </c>
      <c r="W793" s="129" t="s">
        <v>4876</v>
      </c>
      <c r="X793" s="337" t="b">
        <f t="shared" si="44"/>
        <v>0</v>
      </c>
    </row>
    <row r="794" spans="1:24" s="337" customFormat="1" ht="12" customHeight="1" outlineLevel="1">
      <c r="A794" s="335"/>
      <c r="B794" s="118" t="s">
        <v>12</v>
      </c>
      <c r="C794" s="334" t="s">
        <v>6387</v>
      </c>
      <c r="D794" s="124" t="s">
        <v>6388</v>
      </c>
      <c r="E794" s="125"/>
      <c r="F794" s="118" t="s">
        <v>303</v>
      </c>
      <c r="G794" s="126" t="s">
        <v>6297</v>
      </c>
      <c r="H794" s="255">
        <v>2</v>
      </c>
      <c r="I794" s="361">
        <v>1</v>
      </c>
      <c r="J794" s="336" t="s">
        <v>286</v>
      </c>
      <c r="W794" s="129" t="s">
        <v>4876</v>
      </c>
      <c r="X794" s="337" t="b">
        <f t="shared" si="44"/>
        <v>0</v>
      </c>
    </row>
    <row r="795" spans="1:24" s="337" customFormat="1" ht="12" customHeight="1" outlineLevel="1">
      <c r="A795" s="335"/>
      <c r="B795" s="118" t="s">
        <v>12</v>
      </c>
      <c r="C795" s="334" t="s">
        <v>6389</v>
      </c>
      <c r="D795" s="124" t="s">
        <v>6390</v>
      </c>
      <c r="E795" s="125"/>
      <c r="F795" s="118" t="s">
        <v>303</v>
      </c>
      <c r="G795" s="126" t="s">
        <v>6297</v>
      </c>
      <c r="H795" s="255">
        <v>2</v>
      </c>
      <c r="I795" s="361">
        <v>1</v>
      </c>
      <c r="J795" s="336" t="s">
        <v>286</v>
      </c>
      <c r="W795" s="129" t="s">
        <v>4876</v>
      </c>
      <c r="X795" s="337" t="b">
        <f t="shared" si="44"/>
        <v>0</v>
      </c>
    </row>
    <row r="796" spans="1:24" s="337" customFormat="1" ht="12" customHeight="1" outlineLevel="1">
      <c r="A796" s="335"/>
      <c r="B796" s="118" t="s">
        <v>12</v>
      </c>
      <c r="C796" s="334" t="s">
        <v>6391</v>
      </c>
      <c r="D796" s="124" t="s">
        <v>6392</v>
      </c>
      <c r="E796" s="125"/>
      <c r="F796" s="118" t="s">
        <v>303</v>
      </c>
      <c r="G796" s="126" t="s">
        <v>6297</v>
      </c>
      <c r="H796" s="255">
        <v>2</v>
      </c>
      <c r="I796" s="361">
        <v>1</v>
      </c>
      <c r="J796" s="336" t="s">
        <v>286</v>
      </c>
      <c r="W796" s="129" t="s">
        <v>4876</v>
      </c>
      <c r="X796" s="337" t="b">
        <f t="shared" si="44"/>
        <v>0</v>
      </c>
    </row>
    <row r="797" spans="1:24" s="337" customFormat="1" ht="12" customHeight="1" outlineLevel="1">
      <c r="A797" s="335"/>
      <c r="B797" s="118" t="s">
        <v>12</v>
      </c>
      <c r="C797" s="334" t="s">
        <v>6393</v>
      </c>
      <c r="D797" s="124" t="s">
        <v>6394</v>
      </c>
      <c r="E797" s="125"/>
      <c r="F797" s="118" t="s">
        <v>303</v>
      </c>
      <c r="G797" s="126" t="s">
        <v>6297</v>
      </c>
      <c r="H797" s="255">
        <v>2</v>
      </c>
      <c r="I797" s="361">
        <v>1</v>
      </c>
      <c r="J797" s="336" t="s">
        <v>286</v>
      </c>
      <c r="W797" s="129" t="s">
        <v>4876</v>
      </c>
      <c r="X797" s="337" t="b">
        <f t="shared" si="44"/>
        <v>0</v>
      </c>
    </row>
    <row r="798" spans="1:24" s="337" customFormat="1" ht="12" customHeight="1" outlineLevel="1">
      <c r="A798" s="335"/>
      <c r="B798" s="118" t="s">
        <v>12</v>
      </c>
      <c r="C798" s="334" t="s">
        <v>6395</v>
      </c>
      <c r="D798" s="124" t="s">
        <v>6396</v>
      </c>
      <c r="E798" s="125"/>
      <c r="F798" s="118" t="s">
        <v>303</v>
      </c>
      <c r="G798" s="126" t="s">
        <v>6297</v>
      </c>
      <c r="H798" s="255">
        <v>2</v>
      </c>
      <c r="I798" s="361">
        <v>1</v>
      </c>
      <c r="J798" s="336" t="s">
        <v>286</v>
      </c>
      <c r="W798" s="129" t="s">
        <v>4876</v>
      </c>
      <c r="X798" s="337" t="b">
        <f t="shared" si="44"/>
        <v>0</v>
      </c>
    </row>
    <row r="799" spans="1:24" s="337" customFormat="1" ht="12" customHeight="1" outlineLevel="1">
      <c r="A799" s="335"/>
      <c r="B799" s="118" t="s">
        <v>12</v>
      </c>
      <c r="C799" s="334" t="s">
        <v>6397</v>
      </c>
      <c r="D799" s="124" t="s">
        <v>6398</v>
      </c>
      <c r="E799" s="125"/>
      <c r="F799" s="118" t="s">
        <v>303</v>
      </c>
      <c r="G799" s="126" t="s">
        <v>6297</v>
      </c>
      <c r="H799" s="255">
        <v>2</v>
      </c>
      <c r="I799" s="361">
        <v>1</v>
      </c>
      <c r="J799" s="336" t="s">
        <v>286</v>
      </c>
      <c r="W799" s="129" t="s">
        <v>4876</v>
      </c>
      <c r="X799" s="337" t="b">
        <f t="shared" si="44"/>
        <v>0</v>
      </c>
    </row>
    <row r="800" spans="1:24" s="337" customFormat="1" ht="12" customHeight="1" outlineLevel="1">
      <c r="A800" s="335"/>
      <c r="B800" s="118" t="s">
        <v>12</v>
      </c>
      <c r="C800" s="334" t="s">
        <v>6399</v>
      </c>
      <c r="D800" s="124" t="s">
        <v>6400</v>
      </c>
      <c r="E800" s="125"/>
      <c r="F800" s="118" t="s">
        <v>303</v>
      </c>
      <c r="G800" s="126" t="s">
        <v>6297</v>
      </c>
      <c r="H800" s="255">
        <v>2</v>
      </c>
      <c r="I800" s="361">
        <v>1</v>
      </c>
      <c r="J800" s="336" t="s">
        <v>286</v>
      </c>
      <c r="W800" s="129" t="s">
        <v>4876</v>
      </c>
      <c r="X800" s="337" t="b">
        <f t="shared" si="44"/>
        <v>0</v>
      </c>
    </row>
    <row r="801" spans="1:24" s="337" customFormat="1" ht="12" customHeight="1" outlineLevel="1">
      <c r="A801" s="335"/>
      <c r="B801" s="118" t="s">
        <v>12</v>
      </c>
      <c r="C801" s="334" t="s">
        <v>6401</v>
      </c>
      <c r="D801" s="124" t="s">
        <v>6402</v>
      </c>
      <c r="E801" s="125"/>
      <c r="F801" s="118" t="s">
        <v>303</v>
      </c>
      <c r="G801" s="126" t="s">
        <v>6297</v>
      </c>
      <c r="H801" s="255">
        <v>2</v>
      </c>
      <c r="I801" s="361">
        <v>1</v>
      </c>
      <c r="J801" s="336" t="s">
        <v>286</v>
      </c>
      <c r="W801" s="129" t="s">
        <v>4876</v>
      </c>
      <c r="X801" s="337" t="b">
        <f t="shared" si="44"/>
        <v>0</v>
      </c>
    </row>
    <row r="802" spans="1:24" s="337" customFormat="1" ht="12" customHeight="1" outlineLevel="1">
      <c r="A802" s="335"/>
      <c r="B802" s="118" t="s">
        <v>12</v>
      </c>
      <c r="C802" s="334" t="s">
        <v>6403</v>
      </c>
      <c r="D802" s="124" t="s">
        <v>6404</v>
      </c>
      <c r="E802" s="125"/>
      <c r="F802" s="118" t="s">
        <v>303</v>
      </c>
      <c r="G802" s="126" t="s">
        <v>6297</v>
      </c>
      <c r="H802" s="255">
        <v>2</v>
      </c>
      <c r="I802" s="361">
        <v>1</v>
      </c>
      <c r="J802" s="336" t="s">
        <v>325</v>
      </c>
      <c r="W802" s="129" t="s">
        <v>310</v>
      </c>
      <c r="X802" s="337" t="b">
        <f t="shared" si="44"/>
        <v>0</v>
      </c>
    </row>
    <row r="803" spans="1:24" s="337" customFormat="1" ht="12" customHeight="1" outlineLevel="1">
      <c r="A803" s="335"/>
      <c r="B803" s="118" t="s">
        <v>12</v>
      </c>
      <c r="C803" s="334" t="s">
        <v>6405</v>
      </c>
      <c r="D803" s="124" t="s">
        <v>6406</v>
      </c>
      <c r="E803" s="125"/>
      <c r="F803" s="118" t="s">
        <v>303</v>
      </c>
      <c r="G803" s="126" t="s">
        <v>6297</v>
      </c>
      <c r="H803" s="255">
        <v>2</v>
      </c>
      <c r="I803" s="361">
        <v>1</v>
      </c>
      <c r="J803" s="336" t="s">
        <v>310</v>
      </c>
      <c r="W803" s="129" t="s">
        <v>310</v>
      </c>
      <c r="X803" s="337" t="b">
        <f t="shared" si="44"/>
        <v>1</v>
      </c>
    </row>
    <row r="804" spans="1:24" s="337" customFormat="1" ht="12" customHeight="1" outlineLevel="1">
      <c r="A804" s="335"/>
      <c r="B804" s="118" t="s">
        <v>12</v>
      </c>
      <c r="C804" s="334" t="s">
        <v>6407</v>
      </c>
      <c r="D804" s="124" t="s">
        <v>6408</v>
      </c>
      <c r="E804" s="125"/>
      <c r="F804" s="118" t="s">
        <v>303</v>
      </c>
      <c r="G804" s="126" t="s">
        <v>6297</v>
      </c>
      <c r="H804" s="255">
        <v>2</v>
      </c>
      <c r="I804" s="361">
        <v>1</v>
      </c>
      <c r="J804" s="336" t="s">
        <v>310</v>
      </c>
      <c r="W804" s="129" t="s">
        <v>310</v>
      </c>
      <c r="X804" s="337" t="b">
        <f t="shared" ref="X804:X867" si="45">W804=J804</f>
        <v>1</v>
      </c>
    </row>
    <row r="805" spans="1:24" s="337" customFormat="1" ht="12" customHeight="1" outlineLevel="1">
      <c r="A805" s="335"/>
      <c r="B805" s="118" t="s">
        <v>12</v>
      </c>
      <c r="C805" s="334" t="s">
        <v>6409</v>
      </c>
      <c r="D805" s="124" t="s">
        <v>6410</v>
      </c>
      <c r="E805" s="125"/>
      <c r="F805" s="118" t="s">
        <v>303</v>
      </c>
      <c r="G805" s="126" t="s">
        <v>6297</v>
      </c>
      <c r="H805" s="255">
        <v>2</v>
      </c>
      <c r="I805" s="361">
        <v>1</v>
      </c>
      <c r="J805" s="336" t="s">
        <v>310</v>
      </c>
      <c r="W805" s="129" t="s">
        <v>310</v>
      </c>
      <c r="X805" s="337" t="b">
        <f t="shared" si="45"/>
        <v>1</v>
      </c>
    </row>
    <row r="806" spans="1:24" s="337" customFormat="1" ht="12" customHeight="1" outlineLevel="1">
      <c r="A806" s="335"/>
      <c r="B806" s="118" t="s">
        <v>12</v>
      </c>
      <c r="C806" s="334" t="s">
        <v>6411</v>
      </c>
      <c r="D806" s="124" t="s">
        <v>6412</v>
      </c>
      <c r="E806" s="125"/>
      <c r="F806" s="118" t="s">
        <v>303</v>
      </c>
      <c r="G806" s="126" t="s">
        <v>6297</v>
      </c>
      <c r="H806" s="255">
        <v>2</v>
      </c>
      <c r="I806" s="361">
        <v>1</v>
      </c>
      <c r="J806" s="336" t="s">
        <v>310</v>
      </c>
      <c r="W806" s="129" t="s">
        <v>310</v>
      </c>
      <c r="X806" s="337" t="b">
        <f t="shared" si="45"/>
        <v>1</v>
      </c>
    </row>
    <row r="807" spans="1:24" s="337" customFormat="1" ht="12" customHeight="1" outlineLevel="1">
      <c r="A807" s="335"/>
      <c r="B807" s="118" t="s">
        <v>12</v>
      </c>
      <c r="C807" s="334" t="s">
        <v>6413</v>
      </c>
      <c r="D807" s="124" t="s">
        <v>6414</v>
      </c>
      <c r="E807" s="125"/>
      <c r="F807" s="118" t="s">
        <v>303</v>
      </c>
      <c r="G807" s="126" t="s">
        <v>6297</v>
      </c>
      <c r="H807" s="255">
        <v>2</v>
      </c>
      <c r="I807" s="361">
        <v>1</v>
      </c>
      <c r="J807" s="336" t="s">
        <v>310</v>
      </c>
      <c r="W807" s="129" t="s">
        <v>310</v>
      </c>
      <c r="X807" s="337" t="b">
        <f t="shared" si="45"/>
        <v>1</v>
      </c>
    </row>
    <row r="808" spans="1:24" s="337" customFormat="1" ht="12" customHeight="1" outlineLevel="1">
      <c r="A808" s="335"/>
      <c r="B808" s="118" t="s">
        <v>12</v>
      </c>
      <c r="C808" s="334" t="s">
        <v>6415</v>
      </c>
      <c r="D808" s="124" t="s">
        <v>6416</v>
      </c>
      <c r="E808" s="125"/>
      <c r="F808" s="118" t="s">
        <v>303</v>
      </c>
      <c r="G808" s="126" t="s">
        <v>6297</v>
      </c>
      <c r="H808" s="255">
        <v>2</v>
      </c>
      <c r="I808" s="361">
        <v>1</v>
      </c>
      <c r="J808" s="336" t="s">
        <v>310</v>
      </c>
      <c r="W808" s="129" t="s">
        <v>310</v>
      </c>
      <c r="X808" s="337" t="b">
        <f t="shared" si="45"/>
        <v>1</v>
      </c>
    </row>
    <row r="809" spans="1:24" s="337" customFormat="1" ht="12" customHeight="1" outlineLevel="1">
      <c r="A809" s="335"/>
      <c r="B809" s="118" t="s">
        <v>12</v>
      </c>
      <c r="C809" s="334" t="s">
        <v>6417</v>
      </c>
      <c r="D809" s="124" t="s">
        <v>6418</v>
      </c>
      <c r="E809" s="125"/>
      <c r="F809" s="118" t="s">
        <v>303</v>
      </c>
      <c r="G809" s="126" t="s">
        <v>6297</v>
      </c>
      <c r="H809" s="255">
        <v>2</v>
      </c>
      <c r="I809" s="361">
        <v>1</v>
      </c>
      <c r="J809" s="336" t="s">
        <v>310</v>
      </c>
      <c r="W809" s="129" t="s">
        <v>310</v>
      </c>
      <c r="X809" s="337" t="b">
        <f t="shared" si="45"/>
        <v>1</v>
      </c>
    </row>
    <row r="810" spans="1:24" s="337" customFormat="1" ht="12" customHeight="1" outlineLevel="1">
      <c r="A810" s="335"/>
      <c r="B810" s="118" t="s">
        <v>12</v>
      </c>
      <c r="C810" s="334" t="s">
        <v>6419</v>
      </c>
      <c r="D810" s="124" t="s">
        <v>6420</v>
      </c>
      <c r="E810" s="125"/>
      <c r="F810" s="118" t="s">
        <v>303</v>
      </c>
      <c r="G810" s="126" t="s">
        <v>6297</v>
      </c>
      <c r="H810" s="255">
        <v>2</v>
      </c>
      <c r="I810" s="361">
        <v>1</v>
      </c>
      <c r="J810" s="336" t="s">
        <v>325</v>
      </c>
      <c r="W810" s="129" t="s">
        <v>307</v>
      </c>
      <c r="X810" s="337" t="b">
        <f t="shared" si="45"/>
        <v>0</v>
      </c>
    </row>
    <row r="811" spans="1:24" s="337" customFormat="1" ht="12" customHeight="1" outlineLevel="1">
      <c r="A811" s="335"/>
      <c r="B811" s="118" t="s">
        <v>12</v>
      </c>
      <c r="C811" s="334" t="s">
        <v>6421</v>
      </c>
      <c r="D811" s="124" t="s">
        <v>6422</v>
      </c>
      <c r="E811" s="125"/>
      <c r="F811" s="118" t="s">
        <v>303</v>
      </c>
      <c r="G811" s="126" t="s">
        <v>6297</v>
      </c>
      <c r="H811" s="255">
        <v>2</v>
      </c>
      <c r="I811" s="361">
        <v>1</v>
      </c>
      <c r="J811" s="336" t="s">
        <v>310</v>
      </c>
      <c r="W811" s="129" t="s">
        <v>310</v>
      </c>
      <c r="X811" s="337" t="b">
        <f t="shared" si="45"/>
        <v>1</v>
      </c>
    </row>
    <row r="812" spans="1:24" s="337" customFormat="1" ht="12" customHeight="1" outlineLevel="1">
      <c r="A812" s="335"/>
      <c r="B812" s="118" t="s">
        <v>12</v>
      </c>
      <c r="C812" s="334" t="s">
        <v>6423</v>
      </c>
      <c r="D812" s="124" t="s">
        <v>6424</v>
      </c>
      <c r="E812" s="125"/>
      <c r="F812" s="118" t="s">
        <v>303</v>
      </c>
      <c r="G812" s="126" t="s">
        <v>6297</v>
      </c>
      <c r="H812" s="255">
        <v>2</v>
      </c>
      <c r="I812" s="361">
        <v>1</v>
      </c>
      <c r="J812" s="336" t="s">
        <v>307</v>
      </c>
      <c r="W812" s="129" t="s">
        <v>307</v>
      </c>
      <c r="X812" s="337" t="b">
        <f t="shared" si="45"/>
        <v>1</v>
      </c>
    </row>
    <row r="813" spans="1:24" s="337" customFormat="1" ht="12" customHeight="1" outlineLevel="1">
      <c r="A813" s="335"/>
      <c r="B813" s="118" t="s">
        <v>12</v>
      </c>
      <c r="C813" s="334" t="s">
        <v>6425</v>
      </c>
      <c r="D813" s="124" t="s">
        <v>6426</v>
      </c>
      <c r="E813" s="125"/>
      <c r="F813" s="118" t="s">
        <v>303</v>
      </c>
      <c r="G813" s="126" t="s">
        <v>6297</v>
      </c>
      <c r="H813" s="255">
        <v>2</v>
      </c>
      <c r="I813" s="361">
        <v>1</v>
      </c>
      <c r="J813" s="336" t="s">
        <v>310</v>
      </c>
      <c r="W813" s="129" t="s">
        <v>286</v>
      </c>
      <c r="X813" s="337" t="b">
        <f t="shared" si="45"/>
        <v>0</v>
      </c>
    </row>
    <row r="814" spans="1:24" s="337" customFormat="1" ht="12" customHeight="1" outlineLevel="1">
      <c r="A814" s="335"/>
      <c r="B814" s="118" t="s">
        <v>12</v>
      </c>
      <c r="C814" s="334" t="s">
        <v>6427</v>
      </c>
      <c r="D814" s="124" t="s">
        <v>6428</v>
      </c>
      <c r="E814" s="125"/>
      <c r="F814" s="118" t="s">
        <v>303</v>
      </c>
      <c r="G814" s="126" t="s">
        <v>6297</v>
      </c>
      <c r="H814" s="255">
        <v>2</v>
      </c>
      <c r="I814" s="361">
        <v>1</v>
      </c>
      <c r="J814" s="336" t="s">
        <v>286</v>
      </c>
      <c r="W814" s="129" t="s">
        <v>286</v>
      </c>
      <c r="X814" s="337" t="b">
        <f t="shared" si="45"/>
        <v>1</v>
      </c>
    </row>
    <row r="815" spans="1:24" s="337" customFormat="1" ht="12" customHeight="1" outlineLevel="1">
      <c r="A815" s="335"/>
      <c r="B815" s="118" t="s">
        <v>12</v>
      </c>
      <c r="C815" s="334" t="s">
        <v>6429</v>
      </c>
      <c r="D815" s="124" t="s">
        <v>6430</v>
      </c>
      <c r="E815" s="125"/>
      <c r="F815" s="118" t="s">
        <v>303</v>
      </c>
      <c r="G815" s="126" t="s">
        <v>6297</v>
      </c>
      <c r="H815" s="255">
        <v>2</v>
      </c>
      <c r="I815" s="361">
        <v>1</v>
      </c>
      <c r="J815" s="336" t="s">
        <v>286</v>
      </c>
      <c r="W815" s="129" t="s">
        <v>286</v>
      </c>
      <c r="X815" s="337" t="b">
        <f t="shared" si="45"/>
        <v>1</v>
      </c>
    </row>
    <row r="816" spans="1:24" s="337" customFormat="1" ht="12" customHeight="1" outlineLevel="1">
      <c r="A816" s="335"/>
      <c r="B816" s="118" t="s">
        <v>12</v>
      </c>
      <c r="C816" s="334" t="s">
        <v>6431</v>
      </c>
      <c r="D816" s="124" t="s">
        <v>6432</v>
      </c>
      <c r="E816" s="125"/>
      <c r="F816" s="118" t="s">
        <v>303</v>
      </c>
      <c r="G816" s="126" t="s">
        <v>6297</v>
      </c>
      <c r="H816" s="255">
        <v>2</v>
      </c>
      <c r="I816" s="361">
        <v>1</v>
      </c>
      <c r="J816" s="336" t="s">
        <v>286</v>
      </c>
      <c r="W816" s="129" t="s">
        <v>286</v>
      </c>
      <c r="X816" s="337" t="b">
        <f t="shared" si="45"/>
        <v>1</v>
      </c>
    </row>
    <row r="817" spans="1:24" s="337" customFormat="1" ht="12" customHeight="1" outlineLevel="1">
      <c r="A817" s="335"/>
      <c r="B817" s="118" t="s">
        <v>12</v>
      </c>
      <c r="C817" s="334" t="s">
        <v>6433</v>
      </c>
      <c r="D817" s="124" t="s">
        <v>6434</v>
      </c>
      <c r="E817" s="125"/>
      <c r="F817" s="118" t="s">
        <v>303</v>
      </c>
      <c r="G817" s="126" t="s">
        <v>6297</v>
      </c>
      <c r="H817" s="255">
        <v>2</v>
      </c>
      <c r="I817" s="361">
        <v>1</v>
      </c>
      <c r="J817" s="336" t="s">
        <v>286</v>
      </c>
      <c r="W817" s="129" t="s">
        <v>286</v>
      </c>
      <c r="X817" s="337" t="b">
        <f t="shared" si="45"/>
        <v>1</v>
      </c>
    </row>
    <row r="818" spans="1:24" s="337" customFormat="1" ht="12" customHeight="1" outlineLevel="1">
      <c r="A818" s="335"/>
      <c r="B818" s="118" t="s">
        <v>12</v>
      </c>
      <c r="C818" s="334" t="s">
        <v>6435</v>
      </c>
      <c r="D818" s="124" t="s">
        <v>6436</v>
      </c>
      <c r="E818" s="125"/>
      <c r="F818" s="118" t="s">
        <v>303</v>
      </c>
      <c r="G818" s="126" t="s">
        <v>6297</v>
      </c>
      <c r="H818" s="255">
        <v>2</v>
      </c>
      <c r="I818" s="361">
        <v>1</v>
      </c>
      <c r="J818" s="336" t="s">
        <v>286</v>
      </c>
      <c r="W818" s="129" t="s">
        <v>286</v>
      </c>
      <c r="X818" s="337" t="b">
        <f t="shared" si="45"/>
        <v>1</v>
      </c>
    </row>
    <row r="819" spans="1:24" s="337" customFormat="1" ht="12" customHeight="1" outlineLevel="1">
      <c r="A819" s="335"/>
      <c r="B819" s="118" t="s">
        <v>12</v>
      </c>
      <c r="C819" s="334" t="s">
        <v>6437</v>
      </c>
      <c r="D819" s="124" t="s">
        <v>6438</v>
      </c>
      <c r="E819" s="125"/>
      <c r="F819" s="118" t="s">
        <v>303</v>
      </c>
      <c r="G819" s="126" t="s">
        <v>6297</v>
      </c>
      <c r="H819" s="255">
        <v>2</v>
      </c>
      <c r="I819" s="361">
        <v>1</v>
      </c>
      <c r="J819" s="336" t="s">
        <v>286</v>
      </c>
      <c r="W819" s="129" t="s">
        <v>286</v>
      </c>
      <c r="X819" s="337" t="b">
        <f t="shared" si="45"/>
        <v>1</v>
      </c>
    </row>
    <row r="820" spans="1:24" s="337" customFormat="1" ht="12" customHeight="1" outlineLevel="1">
      <c r="A820" s="335"/>
      <c r="B820" s="118" t="s">
        <v>12</v>
      </c>
      <c r="C820" s="334" t="s">
        <v>6439</v>
      </c>
      <c r="D820" s="124" t="s">
        <v>6440</v>
      </c>
      <c r="E820" s="125"/>
      <c r="F820" s="118" t="s">
        <v>303</v>
      </c>
      <c r="G820" s="126" t="s">
        <v>6297</v>
      </c>
      <c r="H820" s="255">
        <v>2</v>
      </c>
      <c r="I820" s="361">
        <v>1</v>
      </c>
      <c r="J820" s="336" t="s">
        <v>286</v>
      </c>
      <c r="W820" s="129" t="s">
        <v>286</v>
      </c>
      <c r="X820" s="337" t="b">
        <f t="shared" si="45"/>
        <v>1</v>
      </c>
    </row>
    <row r="821" spans="1:24" s="337" customFormat="1" ht="12" customHeight="1" outlineLevel="1">
      <c r="A821" s="335"/>
      <c r="B821" s="118" t="s">
        <v>12</v>
      </c>
      <c r="C821" s="334" t="s">
        <v>6441</v>
      </c>
      <c r="D821" s="124" t="s">
        <v>6442</v>
      </c>
      <c r="E821" s="125"/>
      <c r="F821" s="118" t="s">
        <v>303</v>
      </c>
      <c r="G821" s="126" t="s">
        <v>6297</v>
      </c>
      <c r="H821" s="255">
        <v>2</v>
      </c>
      <c r="I821" s="361">
        <v>1</v>
      </c>
      <c r="J821" s="336" t="s">
        <v>286</v>
      </c>
      <c r="W821" s="129" t="s">
        <v>286</v>
      </c>
      <c r="X821" s="337" t="b">
        <f t="shared" si="45"/>
        <v>1</v>
      </c>
    </row>
    <row r="822" spans="1:24" s="337" customFormat="1" ht="12" customHeight="1" outlineLevel="1">
      <c r="A822" s="335"/>
      <c r="B822" s="118" t="s">
        <v>12</v>
      </c>
      <c r="C822" s="334" t="s">
        <v>6443</v>
      </c>
      <c r="D822" s="124" t="s">
        <v>6444</v>
      </c>
      <c r="E822" s="125"/>
      <c r="F822" s="118" t="s">
        <v>303</v>
      </c>
      <c r="G822" s="126" t="s">
        <v>6297</v>
      </c>
      <c r="H822" s="255">
        <v>2</v>
      </c>
      <c r="I822" s="361">
        <v>1</v>
      </c>
      <c r="J822" s="336" t="s">
        <v>286</v>
      </c>
      <c r="W822" s="129" t="s">
        <v>286</v>
      </c>
      <c r="X822" s="337" t="b">
        <f t="shared" si="45"/>
        <v>1</v>
      </c>
    </row>
    <row r="823" spans="1:24" s="337" customFormat="1" ht="12" customHeight="1" outlineLevel="1">
      <c r="A823" s="335"/>
      <c r="B823" s="118" t="s">
        <v>12</v>
      </c>
      <c r="C823" s="334" t="s">
        <v>6445</v>
      </c>
      <c r="D823" s="124" t="s">
        <v>6446</v>
      </c>
      <c r="E823" s="125"/>
      <c r="F823" s="118" t="s">
        <v>303</v>
      </c>
      <c r="G823" s="126" t="s">
        <v>6297</v>
      </c>
      <c r="H823" s="255">
        <v>2</v>
      </c>
      <c r="I823" s="361">
        <v>1</v>
      </c>
      <c r="J823" s="336" t="s">
        <v>286</v>
      </c>
      <c r="W823" s="129" t="s">
        <v>286</v>
      </c>
      <c r="X823" s="337" t="b">
        <f t="shared" si="45"/>
        <v>1</v>
      </c>
    </row>
    <row r="824" spans="1:24" s="337" customFormat="1" ht="12" customHeight="1" outlineLevel="1">
      <c r="A824" s="335"/>
      <c r="B824" s="118" t="s">
        <v>12</v>
      </c>
      <c r="C824" s="334" t="s">
        <v>6447</v>
      </c>
      <c r="D824" s="124" t="s">
        <v>6448</v>
      </c>
      <c r="E824" s="125"/>
      <c r="F824" s="118" t="s">
        <v>303</v>
      </c>
      <c r="G824" s="126" t="s">
        <v>6297</v>
      </c>
      <c r="H824" s="255">
        <v>2</v>
      </c>
      <c r="I824" s="361">
        <v>1</v>
      </c>
      <c r="J824" s="336" t="s">
        <v>286</v>
      </c>
      <c r="W824" s="129" t="s">
        <v>286</v>
      </c>
      <c r="X824" s="337" t="b">
        <f t="shared" si="45"/>
        <v>1</v>
      </c>
    </row>
    <row r="825" spans="1:24" s="337" customFormat="1" ht="12" customHeight="1" outlineLevel="1">
      <c r="A825" s="335"/>
      <c r="B825" s="118" t="s">
        <v>12</v>
      </c>
      <c r="C825" s="334" t="s">
        <v>6449</v>
      </c>
      <c r="D825" s="124" t="s">
        <v>6450</v>
      </c>
      <c r="E825" s="125"/>
      <c r="F825" s="118" t="s">
        <v>303</v>
      </c>
      <c r="G825" s="126" t="s">
        <v>6297</v>
      </c>
      <c r="H825" s="255">
        <v>2</v>
      </c>
      <c r="I825" s="361">
        <v>1</v>
      </c>
      <c r="J825" s="336" t="s">
        <v>286</v>
      </c>
      <c r="W825" s="129" t="s">
        <v>286</v>
      </c>
      <c r="X825" s="337" t="b">
        <f t="shared" si="45"/>
        <v>1</v>
      </c>
    </row>
    <row r="826" spans="1:24" s="337" customFormat="1" ht="12" customHeight="1" outlineLevel="1">
      <c r="A826" s="335"/>
      <c r="B826" s="118" t="s">
        <v>12</v>
      </c>
      <c r="C826" s="334" t="s">
        <v>6451</v>
      </c>
      <c r="D826" s="124" t="s">
        <v>6452</v>
      </c>
      <c r="E826" s="125"/>
      <c r="F826" s="118" t="s">
        <v>303</v>
      </c>
      <c r="G826" s="126" t="s">
        <v>6297</v>
      </c>
      <c r="H826" s="255">
        <v>2</v>
      </c>
      <c r="I826" s="361">
        <v>1</v>
      </c>
      <c r="J826" s="336" t="s">
        <v>286</v>
      </c>
      <c r="W826" s="129" t="s">
        <v>286</v>
      </c>
      <c r="X826" s="337" t="b">
        <f t="shared" si="45"/>
        <v>1</v>
      </c>
    </row>
    <row r="827" spans="1:24" s="337" customFormat="1" ht="12" customHeight="1" outlineLevel="1">
      <c r="A827" s="335"/>
      <c r="B827" s="118" t="s">
        <v>12</v>
      </c>
      <c r="C827" s="334" t="s">
        <v>6453</v>
      </c>
      <c r="D827" s="124" t="s">
        <v>6454</v>
      </c>
      <c r="E827" s="125"/>
      <c r="F827" s="118" t="s">
        <v>303</v>
      </c>
      <c r="G827" s="126" t="s">
        <v>6297</v>
      </c>
      <c r="H827" s="255">
        <v>2</v>
      </c>
      <c r="I827" s="361">
        <v>1</v>
      </c>
      <c r="J827" s="336" t="s">
        <v>286</v>
      </c>
      <c r="W827" s="129" t="s">
        <v>286</v>
      </c>
      <c r="X827" s="337" t="b">
        <f t="shared" si="45"/>
        <v>1</v>
      </c>
    </row>
    <row r="828" spans="1:24" s="337" customFormat="1" ht="12" customHeight="1" outlineLevel="1">
      <c r="A828" s="335"/>
      <c r="B828" s="118" t="s">
        <v>12</v>
      </c>
      <c r="C828" s="334" t="s">
        <v>6455</v>
      </c>
      <c r="D828" s="124" t="s">
        <v>6456</v>
      </c>
      <c r="E828" s="125"/>
      <c r="F828" s="118" t="s">
        <v>303</v>
      </c>
      <c r="G828" s="126" t="s">
        <v>6297</v>
      </c>
      <c r="H828" s="255">
        <v>2</v>
      </c>
      <c r="I828" s="361">
        <v>1</v>
      </c>
      <c r="J828" s="336" t="s">
        <v>286</v>
      </c>
      <c r="W828" s="129" t="s">
        <v>286</v>
      </c>
      <c r="X828" s="337" t="b">
        <f t="shared" si="45"/>
        <v>1</v>
      </c>
    </row>
    <row r="829" spans="1:24" s="337" customFormat="1" ht="12" customHeight="1" outlineLevel="1">
      <c r="A829" s="335"/>
      <c r="B829" s="118" t="s">
        <v>12</v>
      </c>
      <c r="C829" s="334" t="s">
        <v>6457</v>
      </c>
      <c r="D829" s="124" t="s">
        <v>6458</v>
      </c>
      <c r="E829" s="125"/>
      <c r="F829" s="118" t="s">
        <v>303</v>
      </c>
      <c r="G829" s="126" t="s">
        <v>6297</v>
      </c>
      <c r="H829" s="255">
        <v>2</v>
      </c>
      <c r="I829" s="361">
        <v>1</v>
      </c>
      <c r="J829" s="336" t="s">
        <v>310</v>
      </c>
      <c r="W829" s="129" t="s">
        <v>4876</v>
      </c>
      <c r="X829" s="337" t="b">
        <f t="shared" si="45"/>
        <v>0</v>
      </c>
    </row>
    <row r="830" spans="1:24" s="337" customFormat="1" ht="12" customHeight="1" outlineLevel="1">
      <c r="A830" s="335"/>
      <c r="B830" s="118" t="s">
        <v>12</v>
      </c>
      <c r="C830" s="334" t="s">
        <v>6459</v>
      </c>
      <c r="D830" s="124" t="s">
        <v>6460</v>
      </c>
      <c r="E830" s="125"/>
      <c r="F830" s="118" t="s">
        <v>303</v>
      </c>
      <c r="G830" s="126" t="s">
        <v>6461</v>
      </c>
      <c r="H830" s="255">
        <v>4</v>
      </c>
      <c r="I830" s="361">
        <v>1</v>
      </c>
      <c r="J830" s="336" t="s">
        <v>307</v>
      </c>
      <c r="W830" s="129" t="s">
        <v>4876</v>
      </c>
      <c r="X830" s="337" t="b">
        <f t="shared" si="45"/>
        <v>0</v>
      </c>
    </row>
    <row r="831" spans="1:24" s="337" customFormat="1" ht="12" customHeight="1" outlineLevel="1">
      <c r="A831" s="335"/>
      <c r="B831" s="118" t="s">
        <v>12</v>
      </c>
      <c r="C831" s="334" t="s">
        <v>6462</v>
      </c>
      <c r="D831" s="124" t="s">
        <v>6463</v>
      </c>
      <c r="E831" s="125"/>
      <c r="F831" s="118" t="s">
        <v>303</v>
      </c>
      <c r="G831" s="126" t="s">
        <v>6461</v>
      </c>
      <c r="H831" s="255">
        <v>4</v>
      </c>
      <c r="I831" s="361">
        <v>1</v>
      </c>
      <c r="J831" s="336" t="s">
        <v>307</v>
      </c>
      <c r="W831" s="129" t="s">
        <v>4876</v>
      </c>
      <c r="X831" s="337" t="b">
        <f t="shared" si="45"/>
        <v>0</v>
      </c>
    </row>
    <row r="832" spans="1:24" s="337" customFormat="1" ht="12" customHeight="1" outlineLevel="1">
      <c r="A832" s="335"/>
      <c r="B832" s="118" t="s">
        <v>12</v>
      </c>
      <c r="C832" s="334" t="s">
        <v>6464</v>
      </c>
      <c r="D832" s="124" t="s">
        <v>6465</v>
      </c>
      <c r="E832" s="125"/>
      <c r="F832" s="118" t="s">
        <v>303</v>
      </c>
      <c r="G832" s="126" t="s">
        <v>6461</v>
      </c>
      <c r="H832" s="255">
        <v>4</v>
      </c>
      <c r="I832" s="361">
        <v>1</v>
      </c>
      <c r="J832" s="336" t="s">
        <v>310</v>
      </c>
      <c r="W832" s="129" t="s">
        <v>4876</v>
      </c>
      <c r="X832" s="337" t="b">
        <f t="shared" si="45"/>
        <v>0</v>
      </c>
    </row>
    <row r="833" spans="1:24" s="337" customFormat="1" ht="12" customHeight="1" outlineLevel="1">
      <c r="A833" s="335"/>
      <c r="B833" s="118" t="s">
        <v>12</v>
      </c>
      <c r="C833" s="334" t="s">
        <v>6466</v>
      </c>
      <c r="D833" s="124" t="s">
        <v>6467</v>
      </c>
      <c r="E833" s="125"/>
      <c r="F833" s="118" t="s">
        <v>303</v>
      </c>
      <c r="G833" s="126" t="s">
        <v>6297</v>
      </c>
      <c r="H833" s="255">
        <v>2</v>
      </c>
      <c r="I833" s="361">
        <v>1</v>
      </c>
      <c r="J833" s="336" t="s">
        <v>286</v>
      </c>
      <c r="W833" s="129" t="s">
        <v>4876</v>
      </c>
      <c r="X833" s="337" t="b">
        <f t="shared" si="45"/>
        <v>0</v>
      </c>
    </row>
    <row r="834" spans="1:24" s="337" customFormat="1" ht="12" customHeight="1" outlineLevel="1">
      <c r="A834" s="335"/>
      <c r="B834" s="118" t="s">
        <v>12</v>
      </c>
      <c r="C834" s="334" t="s">
        <v>6468</v>
      </c>
      <c r="D834" s="124" t="s">
        <v>6469</v>
      </c>
      <c r="E834" s="125"/>
      <c r="F834" s="118" t="s">
        <v>303</v>
      </c>
      <c r="G834" s="126" t="s">
        <v>6461</v>
      </c>
      <c r="H834" s="255">
        <v>4</v>
      </c>
      <c r="I834" s="361">
        <v>1</v>
      </c>
      <c r="J834" s="336" t="s">
        <v>286</v>
      </c>
      <c r="W834" s="129" t="s">
        <v>310</v>
      </c>
      <c r="X834" s="337" t="b">
        <f t="shared" si="45"/>
        <v>0</v>
      </c>
    </row>
    <row r="835" spans="1:24" s="337" customFormat="1" ht="12" customHeight="1" outlineLevel="1">
      <c r="A835" s="335"/>
      <c r="B835" s="118" t="s">
        <v>12</v>
      </c>
      <c r="C835" s="334" t="s">
        <v>6470</v>
      </c>
      <c r="D835" s="124" t="s">
        <v>6471</v>
      </c>
      <c r="E835" s="125"/>
      <c r="F835" s="118" t="s">
        <v>303</v>
      </c>
      <c r="G835" s="126" t="s">
        <v>6461</v>
      </c>
      <c r="H835" s="255">
        <v>4</v>
      </c>
      <c r="I835" s="361">
        <v>1</v>
      </c>
      <c r="J835" s="336" t="s">
        <v>286</v>
      </c>
      <c r="W835" s="129" t="s">
        <v>4876</v>
      </c>
      <c r="X835" s="337" t="b">
        <f t="shared" si="45"/>
        <v>0</v>
      </c>
    </row>
    <row r="836" spans="1:24" s="337" customFormat="1" ht="12" customHeight="1" outlineLevel="1">
      <c r="A836" s="335"/>
      <c r="B836" s="118" t="s">
        <v>12</v>
      </c>
      <c r="C836" s="334" t="s">
        <v>6472</v>
      </c>
      <c r="D836" s="124" t="s">
        <v>6473</v>
      </c>
      <c r="E836" s="125"/>
      <c r="F836" s="118" t="s">
        <v>303</v>
      </c>
      <c r="G836" s="126" t="s">
        <v>6461</v>
      </c>
      <c r="H836" s="255">
        <v>4</v>
      </c>
      <c r="I836" s="361">
        <v>1</v>
      </c>
      <c r="J836" s="336" t="s">
        <v>286</v>
      </c>
      <c r="W836" s="129" t="s">
        <v>4876</v>
      </c>
      <c r="X836" s="337" t="b">
        <f t="shared" si="45"/>
        <v>0</v>
      </c>
    </row>
    <row r="837" spans="1:24" s="337" customFormat="1" ht="12" customHeight="1" outlineLevel="1">
      <c r="A837" s="335"/>
      <c r="B837" s="118" t="s">
        <v>12</v>
      </c>
      <c r="C837" s="334" t="s">
        <v>6474</v>
      </c>
      <c r="D837" s="124" t="s">
        <v>6475</v>
      </c>
      <c r="E837" s="125"/>
      <c r="F837" s="118" t="s">
        <v>303</v>
      </c>
      <c r="G837" s="126" t="s">
        <v>6461</v>
      </c>
      <c r="H837" s="255">
        <v>4</v>
      </c>
      <c r="I837" s="361">
        <v>1</v>
      </c>
      <c r="J837" s="336" t="s">
        <v>286</v>
      </c>
      <c r="W837" s="129" t="s">
        <v>4876</v>
      </c>
      <c r="X837" s="337" t="b">
        <f t="shared" si="45"/>
        <v>0</v>
      </c>
    </row>
    <row r="838" spans="1:24" s="337" customFormat="1" ht="12" customHeight="1" outlineLevel="1">
      <c r="A838" s="335"/>
      <c r="B838" s="118" t="s">
        <v>12</v>
      </c>
      <c r="C838" s="334" t="s">
        <v>6476</v>
      </c>
      <c r="D838" s="124" t="s">
        <v>6477</v>
      </c>
      <c r="E838" s="125"/>
      <c r="F838" s="118" t="s">
        <v>303</v>
      </c>
      <c r="G838" s="126" t="s">
        <v>6461</v>
      </c>
      <c r="H838" s="255">
        <v>4</v>
      </c>
      <c r="I838" s="361">
        <v>1</v>
      </c>
      <c r="J838" s="336" t="s">
        <v>307</v>
      </c>
      <c r="W838" s="129" t="s">
        <v>286</v>
      </c>
      <c r="X838" s="337" t="b">
        <f t="shared" si="45"/>
        <v>0</v>
      </c>
    </row>
    <row r="839" spans="1:24" s="337" customFormat="1" ht="12" customHeight="1" outlineLevel="1">
      <c r="A839" s="335"/>
      <c r="B839" s="118" t="s">
        <v>12</v>
      </c>
      <c r="C839" s="334" t="s">
        <v>6478</v>
      </c>
      <c r="D839" s="124" t="s">
        <v>6479</v>
      </c>
      <c r="E839" s="125"/>
      <c r="F839" s="118" t="s">
        <v>303</v>
      </c>
      <c r="G839" s="126" t="s">
        <v>6461</v>
      </c>
      <c r="H839" s="255">
        <v>4</v>
      </c>
      <c r="I839" s="361">
        <v>1</v>
      </c>
      <c r="J839" s="336" t="s">
        <v>310</v>
      </c>
      <c r="W839" s="129" t="s">
        <v>310</v>
      </c>
      <c r="X839" s="337" t="b">
        <f t="shared" si="45"/>
        <v>1</v>
      </c>
    </row>
    <row r="840" spans="1:24" s="337" customFormat="1" ht="12" customHeight="1" outlineLevel="1">
      <c r="A840" s="335"/>
      <c r="B840" s="118" t="s">
        <v>12</v>
      </c>
      <c r="C840" s="334" t="s">
        <v>6480</v>
      </c>
      <c r="D840" s="124" t="s">
        <v>6481</v>
      </c>
      <c r="E840" s="125"/>
      <c r="F840" s="118" t="s">
        <v>303</v>
      </c>
      <c r="G840" s="126" t="s">
        <v>6461</v>
      </c>
      <c r="H840" s="255">
        <v>4</v>
      </c>
      <c r="I840" s="361">
        <v>1</v>
      </c>
      <c r="J840" s="336" t="s">
        <v>325</v>
      </c>
      <c r="W840" s="129" t="s">
        <v>286</v>
      </c>
      <c r="X840" s="337" t="b">
        <f t="shared" si="45"/>
        <v>0</v>
      </c>
    </row>
    <row r="841" spans="1:24" s="337" customFormat="1" ht="12" customHeight="1" outlineLevel="1">
      <c r="A841" s="335"/>
      <c r="B841" s="118" t="s">
        <v>12</v>
      </c>
      <c r="C841" s="334" t="s">
        <v>6482</v>
      </c>
      <c r="D841" s="124" t="s">
        <v>6483</v>
      </c>
      <c r="E841" s="125"/>
      <c r="F841" s="118" t="s">
        <v>303</v>
      </c>
      <c r="G841" s="126" t="s">
        <v>6461</v>
      </c>
      <c r="H841" s="255">
        <v>4</v>
      </c>
      <c r="I841" s="361">
        <v>1</v>
      </c>
      <c r="J841" s="336" t="s">
        <v>286</v>
      </c>
      <c r="W841" s="129" t="s">
        <v>286</v>
      </c>
      <c r="X841" s="337" t="b">
        <f t="shared" si="45"/>
        <v>1</v>
      </c>
    </row>
    <row r="842" spans="1:24" s="337" customFormat="1" ht="12" customHeight="1" outlineLevel="1">
      <c r="A842" s="335"/>
      <c r="B842" s="118" t="s">
        <v>12</v>
      </c>
      <c r="C842" s="334" t="s">
        <v>6484</v>
      </c>
      <c r="D842" s="124" t="s">
        <v>6485</v>
      </c>
      <c r="E842" s="125"/>
      <c r="F842" s="118" t="s">
        <v>303</v>
      </c>
      <c r="G842" s="126" t="s">
        <v>6297</v>
      </c>
      <c r="H842" s="255">
        <v>2</v>
      </c>
      <c r="I842" s="361">
        <v>1</v>
      </c>
      <c r="J842" s="336" t="s">
        <v>286</v>
      </c>
      <c r="W842" s="129" t="s">
        <v>286</v>
      </c>
      <c r="X842" s="337" t="b">
        <f t="shared" si="45"/>
        <v>1</v>
      </c>
    </row>
    <row r="843" spans="1:24" s="337" customFormat="1" ht="12" customHeight="1" outlineLevel="1">
      <c r="A843" s="335"/>
      <c r="B843" s="118" t="s">
        <v>12</v>
      </c>
      <c r="C843" s="334" t="s">
        <v>6486</v>
      </c>
      <c r="D843" s="124" t="s">
        <v>6487</v>
      </c>
      <c r="E843" s="125"/>
      <c r="F843" s="118" t="s">
        <v>303</v>
      </c>
      <c r="G843" s="126" t="s">
        <v>6297</v>
      </c>
      <c r="H843" s="255">
        <v>2</v>
      </c>
      <c r="I843" s="361">
        <v>1</v>
      </c>
      <c r="J843" s="336" t="s">
        <v>286</v>
      </c>
      <c r="W843" s="129" t="s">
        <v>286</v>
      </c>
      <c r="X843" s="337" t="b">
        <f t="shared" si="45"/>
        <v>1</v>
      </c>
    </row>
    <row r="844" spans="1:24" s="337" customFormat="1" ht="12" customHeight="1" outlineLevel="1">
      <c r="A844" s="335"/>
      <c r="B844" s="118" t="s">
        <v>12</v>
      </c>
      <c r="C844" s="334" t="s">
        <v>6488</v>
      </c>
      <c r="D844" s="124" t="s">
        <v>6489</v>
      </c>
      <c r="E844" s="125"/>
      <c r="F844" s="118" t="s">
        <v>303</v>
      </c>
      <c r="G844" s="126" t="s">
        <v>6297</v>
      </c>
      <c r="H844" s="255">
        <v>2</v>
      </c>
      <c r="I844" s="361">
        <v>1</v>
      </c>
      <c r="J844" s="336" t="s">
        <v>286</v>
      </c>
      <c r="W844" s="129" t="s">
        <v>286</v>
      </c>
      <c r="X844" s="337" t="b">
        <f t="shared" si="45"/>
        <v>1</v>
      </c>
    </row>
    <row r="845" spans="1:24" s="337" customFormat="1" ht="12" customHeight="1" outlineLevel="1">
      <c r="A845" s="335"/>
      <c r="B845" s="118" t="s">
        <v>12</v>
      </c>
      <c r="C845" s="334" t="s">
        <v>6490</v>
      </c>
      <c r="D845" s="124" t="s">
        <v>6491</v>
      </c>
      <c r="E845" s="125"/>
      <c r="F845" s="118" t="s">
        <v>303</v>
      </c>
      <c r="G845" s="126" t="s">
        <v>6297</v>
      </c>
      <c r="H845" s="255">
        <v>2</v>
      </c>
      <c r="I845" s="361">
        <v>1</v>
      </c>
      <c r="J845" s="336" t="s">
        <v>286</v>
      </c>
      <c r="W845" s="129" t="s">
        <v>286</v>
      </c>
      <c r="X845" s="337" t="b">
        <f t="shared" si="45"/>
        <v>1</v>
      </c>
    </row>
    <row r="846" spans="1:24" s="337" customFormat="1" ht="12" customHeight="1" outlineLevel="1">
      <c r="A846" s="335"/>
      <c r="B846" s="118" t="s">
        <v>12</v>
      </c>
      <c r="C846" s="334" t="s">
        <v>6492</v>
      </c>
      <c r="D846" s="124" t="s">
        <v>6493</v>
      </c>
      <c r="E846" s="125"/>
      <c r="F846" s="118" t="s">
        <v>303</v>
      </c>
      <c r="G846" s="126" t="s">
        <v>6297</v>
      </c>
      <c r="H846" s="255">
        <v>2</v>
      </c>
      <c r="I846" s="361">
        <v>1</v>
      </c>
      <c r="J846" s="336" t="s">
        <v>286</v>
      </c>
      <c r="W846" s="129" t="s">
        <v>286</v>
      </c>
      <c r="X846" s="337" t="b">
        <f t="shared" si="45"/>
        <v>1</v>
      </c>
    </row>
    <row r="847" spans="1:24" s="337" customFormat="1" ht="12" customHeight="1" outlineLevel="1">
      <c r="A847" s="335"/>
      <c r="B847" s="118" t="s">
        <v>12</v>
      </c>
      <c r="C847" s="334" t="s">
        <v>6494</v>
      </c>
      <c r="D847" s="124" t="s">
        <v>6495</v>
      </c>
      <c r="E847" s="125"/>
      <c r="F847" s="118" t="s">
        <v>303</v>
      </c>
      <c r="G847" s="126" t="s">
        <v>6297</v>
      </c>
      <c r="H847" s="255">
        <v>2</v>
      </c>
      <c r="I847" s="361">
        <v>1</v>
      </c>
      <c r="J847" s="336" t="s">
        <v>286</v>
      </c>
      <c r="W847" s="129" t="s">
        <v>286</v>
      </c>
      <c r="X847" s="337" t="b">
        <f t="shared" si="45"/>
        <v>1</v>
      </c>
    </row>
    <row r="848" spans="1:24" s="337" customFormat="1" ht="12" customHeight="1" outlineLevel="1">
      <c r="A848" s="335"/>
      <c r="B848" s="118" t="s">
        <v>12</v>
      </c>
      <c r="C848" s="334" t="s">
        <v>6496</v>
      </c>
      <c r="D848" s="124" t="s">
        <v>6497</v>
      </c>
      <c r="E848" s="125"/>
      <c r="F848" s="118" t="s">
        <v>303</v>
      </c>
      <c r="G848" s="126" t="s">
        <v>6297</v>
      </c>
      <c r="H848" s="255">
        <v>2</v>
      </c>
      <c r="I848" s="361">
        <v>1</v>
      </c>
      <c r="J848" s="336" t="s">
        <v>286</v>
      </c>
      <c r="W848" s="129" t="s">
        <v>4876</v>
      </c>
      <c r="X848" s="337" t="b">
        <f t="shared" si="45"/>
        <v>0</v>
      </c>
    </row>
    <row r="849" spans="1:24" s="337" customFormat="1" ht="12" customHeight="1" outlineLevel="1">
      <c r="A849" s="335"/>
      <c r="B849" s="118" t="s">
        <v>12</v>
      </c>
      <c r="C849" s="334" t="s">
        <v>6498</v>
      </c>
      <c r="D849" s="124" t="s">
        <v>6499</v>
      </c>
      <c r="E849" s="125"/>
      <c r="F849" s="118" t="s">
        <v>303</v>
      </c>
      <c r="G849" s="126" t="s">
        <v>6297</v>
      </c>
      <c r="H849" s="255">
        <v>2</v>
      </c>
      <c r="I849" s="361">
        <v>1</v>
      </c>
      <c r="J849" s="336" t="s">
        <v>286</v>
      </c>
      <c r="W849" s="129" t="s">
        <v>286</v>
      </c>
      <c r="X849" s="337" t="b">
        <f t="shared" si="45"/>
        <v>1</v>
      </c>
    </row>
    <row r="850" spans="1:24" s="337" customFormat="1" ht="12" customHeight="1" outlineLevel="1">
      <c r="A850" s="335"/>
      <c r="B850" s="118" t="s">
        <v>12</v>
      </c>
      <c r="C850" s="334" t="s">
        <v>6500</v>
      </c>
      <c r="D850" s="124" t="s">
        <v>6501</v>
      </c>
      <c r="E850" s="125"/>
      <c r="F850" s="118" t="s">
        <v>303</v>
      </c>
      <c r="G850" s="126" t="s">
        <v>6297</v>
      </c>
      <c r="H850" s="255">
        <v>2</v>
      </c>
      <c r="I850" s="361">
        <v>1</v>
      </c>
      <c r="J850" s="336" t="s">
        <v>286</v>
      </c>
      <c r="W850" s="129" t="s">
        <v>286</v>
      </c>
      <c r="X850" s="337" t="b">
        <f t="shared" si="45"/>
        <v>1</v>
      </c>
    </row>
    <row r="851" spans="1:24" s="337" customFormat="1" ht="12" customHeight="1" outlineLevel="1">
      <c r="A851" s="335"/>
      <c r="B851" s="118" t="s">
        <v>12</v>
      </c>
      <c r="C851" s="334" t="s">
        <v>6502</v>
      </c>
      <c r="D851" s="124" t="s">
        <v>6503</v>
      </c>
      <c r="E851" s="125"/>
      <c r="F851" s="118" t="s">
        <v>303</v>
      </c>
      <c r="G851" s="126" t="s">
        <v>6297</v>
      </c>
      <c r="H851" s="255">
        <v>2</v>
      </c>
      <c r="I851" s="361">
        <v>1</v>
      </c>
      <c r="J851" s="336" t="s">
        <v>286</v>
      </c>
      <c r="W851" s="129" t="s">
        <v>286</v>
      </c>
      <c r="X851" s="337" t="b">
        <f t="shared" si="45"/>
        <v>1</v>
      </c>
    </row>
    <row r="852" spans="1:24" s="337" customFormat="1" ht="12" customHeight="1" outlineLevel="1">
      <c r="A852" s="335"/>
      <c r="B852" s="118" t="s">
        <v>12</v>
      </c>
      <c r="C852" s="334" t="s">
        <v>6504</v>
      </c>
      <c r="D852" s="124" t="s">
        <v>6505</v>
      </c>
      <c r="E852" s="125"/>
      <c r="F852" s="118" t="s">
        <v>303</v>
      </c>
      <c r="G852" s="126" t="s">
        <v>6297</v>
      </c>
      <c r="H852" s="255">
        <v>2</v>
      </c>
      <c r="I852" s="361">
        <v>1</v>
      </c>
      <c r="J852" s="336" t="s">
        <v>286</v>
      </c>
      <c r="W852" s="129" t="s">
        <v>286</v>
      </c>
      <c r="X852" s="337" t="b">
        <f t="shared" si="45"/>
        <v>1</v>
      </c>
    </row>
    <row r="853" spans="1:24" s="337" customFormat="1" ht="12" customHeight="1" outlineLevel="1">
      <c r="A853" s="335"/>
      <c r="B853" s="118" t="s">
        <v>12</v>
      </c>
      <c r="C853" s="334" t="s">
        <v>6506</v>
      </c>
      <c r="D853" s="124" t="s">
        <v>6507</v>
      </c>
      <c r="E853" s="125"/>
      <c r="F853" s="118" t="s">
        <v>303</v>
      </c>
      <c r="G853" s="126" t="s">
        <v>6297</v>
      </c>
      <c r="H853" s="255">
        <v>2</v>
      </c>
      <c r="I853" s="361">
        <v>1</v>
      </c>
      <c r="J853" s="336" t="s">
        <v>286</v>
      </c>
      <c r="W853" s="129" t="s">
        <v>286</v>
      </c>
      <c r="X853" s="337" t="b">
        <f t="shared" si="45"/>
        <v>1</v>
      </c>
    </row>
    <row r="854" spans="1:24" s="337" customFormat="1" ht="12" customHeight="1" outlineLevel="1">
      <c r="A854" s="335"/>
      <c r="B854" s="118" t="s">
        <v>12</v>
      </c>
      <c r="C854" s="334" t="s">
        <v>6508</v>
      </c>
      <c r="D854" s="124" t="s">
        <v>6509</v>
      </c>
      <c r="E854" s="125"/>
      <c r="F854" s="118" t="s">
        <v>303</v>
      </c>
      <c r="G854" s="126" t="s">
        <v>6297</v>
      </c>
      <c r="H854" s="255">
        <v>2</v>
      </c>
      <c r="I854" s="361">
        <v>1</v>
      </c>
      <c r="J854" s="336" t="s">
        <v>286</v>
      </c>
      <c r="W854" s="129" t="s">
        <v>286</v>
      </c>
      <c r="X854" s="337" t="b">
        <f t="shared" si="45"/>
        <v>1</v>
      </c>
    </row>
    <row r="855" spans="1:24" s="337" customFormat="1" ht="12" customHeight="1" outlineLevel="1">
      <c r="A855" s="335"/>
      <c r="B855" s="118" t="s">
        <v>12</v>
      </c>
      <c r="C855" s="334" t="s">
        <v>6510</v>
      </c>
      <c r="D855" s="124" t="s">
        <v>6511</v>
      </c>
      <c r="E855" s="125"/>
      <c r="F855" s="118" t="s">
        <v>303</v>
      </c>
      <c r="G855" s="126" t="s">
        <v>6297</v>
      </c>
      <c r="H855" s="255">
        <v>2</v>
      </c>
      <c r="I855" s="361">
        <v>1</v>
      </c>
      <c r="J855" s="336" t="s">
        <v>286</v>
      </c>
      <c r="W855" s="129" t="s">
        <v>286</v>
      </c>
      <c r="X855" s="337" t="b">
        <f t="shared" si="45"/>
        <v>1</v>
      </c>
    </row>
    <row r="856" spans="1:24" s="337" customFormat="1" ht="12" customHeight="1" outlineLevel="1">
      <c r="A856" s="335"/>
      <c r="B856" s="118" t="s">
        <v>12</v>
      </c>
      <c r="C856" s="334" t="s">
        <v>6512</v>
      </c>
      <c r="D856" s="124" t="s">
        <v>6513</v>
      </c>
      <c r="E856" s="125"/>
      <c r="F856" s="118" t="s">
        <v>303</v>
      </c>
      <c r="G856" s="126" t="s">
        <v>6297</v>
      </c>
      <c r="H856" s="255">
        <v>2</v>
      </c>
      <c r="I856" s="361">
        <v>1</v>
      </c>
      <c r="J856" s="336" t="s">
        <v>286</v>
      </c>
      <c r="W856" s="129" t="s">
        <v>286</v>
      </c>
      <c r="X856" s="337" t="b">
        <f t="shared" si="45"/>
        <v>1</v>
      </c>
    </row>
    <row r="857" spans="1:24" s="337" customFormat="1" ht="12" customHeight="1" outlineLevel="1">
      <c r="A857" s="335"/>
      <c r="B857" s="118" t="s">
        <v>12</v>
      </c>
      <c r="C857" s="334" t="s">
        <v>6514</v>
      </c>
      <c r="D857" s="124" t="s">
        <v>6515</v>
      </c>
      <c r="E857" s="125"/>
      <c r="F857" s="118" t="s">
        <v>303</v>
      </c>
      <c r="G857" s="126" t="s">
        <v>6297</v>
      </c>
      <c r="H857" s="255">
        <v>2</v>
      </c>
      <c r="I857" s="361">
        <v>1</v>
      </c>
      <c r="J857" s="336" t="s">
        <v>286</v>
      </c>
      <c r="W857" s="129" t="s">
        <v>286</v>
      </c>
      <c r="X857" s="337" t="b">
        <f t="shared" si="45"/>
        <v>1</v>
      </c>
    </row>
    <row r="858" spans="1:24" s="337" customFormat="1" ht="12" customHeight="1" outlineLevel="1">
      <c r="A858" s="335"/>
      <c r="B858" s="118" t="s">
        <v>12</v>
      </c>
      <c r="C858" s="334" t="s">
        <v>6516</v>
      </c>
      <c r="D858" s="124" t="s">
        <v>6517</v>
      </c>
      <c r="E858" s="125"/>
      <c r="F858" s="118" t="s">
        <v>303</v>
      </c>
      <c r="G858" s="126" t="s">
        <v>6297</v>
      </c>
      <c r="H858" s="255">
        <v>2</v>
      </c>
      <c r="I858" s="361">
        <v>1</v>
      </c>
      <c r="J858" s="336" t="s">
        <v>286</v>
      </c>
      <c r="W858" s="129" t="s">
        <v>286</v>
      </c>
      <c r="X858" s="337" t="b">
        <f t="shared" si="45"/>
        <v>1</v>
      </c>
    </row>
    <row r="859" spans="1:24" s="337" customFormat="1" ht="12" customHeight="1" outlineLevel="1">
      <c r="A859" s="335"/>
      <c r="B859" s="118" t="s">
        <v>12</v>
      </c>
      <c r="C859" s="334" t="s">
        <v>6518</v>
      </c>
      <c r="D859" s="124" t="s">
        <v>6519</v>
      </c>
      <c r="E859" s="125"/>
      <c r="F859" s="118" t="s">
        <v>303</v>
      </c>
      <c r="G859" s="126" t="s">
        <v>6520</v>
      </c>
      <c r="H859" s="255">
        <v>5</v>
      </c>
      <c r="I859" s="361">
        <v>1</v>
      </c>
      <c r="J859" s="336" t="s">
        <v>325</v>
      </c>
      <c r="W859" s="129" t="s">
        <v>307</v>
      </c>
      <c r="X859" s="337" t="b">
        <f t="shared" si="45"/>
        <v>0</v>
      </c>
    </row>
    <row r="860" spans="1:24" s="337" customFormat="1" ht="12" customHeight="1" outlineLevel="1">
      <c r="A860" s="335"/>
      <c r="B860" s="118" t="s">
        <v>12</v>
      </c>
      <c r="C860" s="334" t="s">
        <v>6521</v>
      </c>
      <c r="D860" s="124" t="s">
        <v>6522</v>
      </c>
      <c r="E860" s="125"/>
      <c r="F860" s="118" t="s">
        <v>303</v>
      </c>
      <c r="G860" s="126" t="s">
        <v>6520</v>
      </c>
      <c r="H860" s="255">
        <v>5</v>
      </c>
      <c r="I860" s="361">
        <v>1</v>
      </c>
      <c r="J860" s="336" t="s">
        <v>286</v>
      </c>
      <c r="W860" s="129" t="s">
        <v>286</v>
      </c>
      <c r="X860" s="337" t="b">
        <f t="shared" si="45"/>
        <v>1</v>
      </c>
    </row>
    <row r="861" spans="1:24" s="337" customFormat="1" ht="12" customHeight="1" outlineLevel="1">
      <c r="A861" s="335"/>
      <c r="B861" s="118" t="s">
        <v>12</v>
      </c>
      <c r="C861" s="334" t="s">
        <v>6523</v>
      </c>
      <c r="D861" s="124" t="s">
        <v>6524</v>
      </c>
      <c r="E861" s="125"/>
      <c r="F861" s="118" t="s">
        <v>303</v>
      </c>
      <c r="G861" s="126" t="s">
        <v>6520</v>
      </c>
      <c r="H861" s="255">
        <v>5</v>
      </c>
      <c r="I861" s="361">
        <v>1</v>
      </c>
      <c r="J861" s="336" t="s">
        <v>286</v>
      </c>
      <c r="W861" s="129" t="s">
        <v>4876</v>
      </c>
      <c r="X861" s="337" t="b">
        <f t="shared" si="45"/>
        <v>0</v>
      </c>
    </row>
    <row r="862" spans="1:24" s="337" customFormat="1" ht="12" customHeight="1" outlineLevel="1">
      <c r="A862" s="335"/>
      <c r="B862" s="118" t="s">
        <v>12</v>
      </c>
      <c r="C862" s="334" t="s">
        <v>6525</v>
      </c>
      <c r="D862" s="124" t="s">
        <v>6526</v>
      </c>
      <c r="E862" s="125"/>
      <c r="F862" s="118" t="s">
        <v>303</v>
      </c>
      <c r="G862" s="126" t="s">
        <v>6520</v>
      </c>
      <c r="H862" s="255">
        <v>5</v>
      </c>
      <c r="I862" s="361">
        <v>1</v>
      </c>
      <c r="J862" s="336" t="s">
        <v>286</v>
      </c>
      <c r="W862" s="129" t="s">
        <v>4876</v>
      </c>
      <c r="X862" s="337" t="b">
        <f t="shared" si="45"/>
        <v>0</v>
      </c>
    </row>
    <row r="863" spans="1:24" s="337" customFormat="1" ht="12" customHeight="1" outlineLevel="1">
      <c r="A863" s="335"/>
      <c r="B863" s="118" t="s">
        <v>12</v>
      </c>
      <c r="C863" s="334" t="s">
        <v>6527</v>
      </c>
      <c r="D863" s="124" t="s">
        <v>6528</v>
      </c>
      <c r="E863" s="125"/>
      <c r="F863" s="118" t="s">
        <v>303</v>
      </c>
      <c r="G863" s="126" t="s">
        <v>6520</v>
      </c>
      <c r="H863" s="255">
        <v>5</v>
      </c>
      <c r="I863" s="361">
        <v>1</v>
      </c>
      <c r="J863" s="336" t="s">
        <v>310</v>
      </c>
      <c r="W863" s="129" t="s">
        <v>286</v>
      </c>
      <c r="X863" s="337" t="b">
        <f t="shared" si="45"/>
        <v>0</v>
      </c>
    </row>
    <row r="864" spans="1:24" s="337" customFormat="1" ht="12" customHeight="1" outlineLevel="1">
      <c r="A864" s="335"/>
      <c r="B864" s="118" t="s">
        <v>12</v>
      </c>
      <c r="C864" s="334" t="s">
        <v>6529</v>
      </c>
      <c r="D864" s="124" t="s">
        <v>6530</v>
      </c>
      <c r="E864" s="125"/>
      <c r="F864" s="118" t="s">
        <v>303</v>
      </c>
      <c r="G864" s="126" t="s">
        <v>6520</v>
      </c>
      <c r="H864" s="255">
        <v>5</v>
      </c>
      <c r="I864" s="361">
        <v>1</v>
      </c>
      <c r="J864" s="336" t="s">
        <v>310</v>
      </c>
      <c r="W864" s="129" t="s">
        <v>310</v>
      </c>
      <c r="X864" s="337" t="b">
        <f t="shared" si="45"/>
        <v>1</v>
      </c>
    </row>
    <row r="865" spans="1:24" s="337" customFormat="1" ht="12" customHeight="1" outlineLevel="1">
      <c r="A865" s="335"/>
      <c r="B865" s="118" t="s">
        <v>12</v>
      </c>
      <c r="C865" s="334" t="s">
        <v>6531</v>
      </c>
      <c r="D865" s="124" t="s">
        <v>6532</v>
      </c>
      <c r="E865" s="125"/>
      <c r="F865" s="118" t="s">
        <v>303</v>
      </c>
      <c r="G865" s="126" t="s">
        <v>6520</v>
      </c>
      <c r="H865" s="255">
        <v>5</v>
      </c>
      <c r="I865" s="361">
        <v>1</v>
      </c>
      <c r="J865" s="336" t="s">
        <v>310</v>
      </c>
      <c r="W865" s="129" t="s">
        <v>310</v>
      </c>
      <c r="X865" s="337" t="b">
        <f t="shared" si="45"/>
        <v>1</v>
      </c>
    </row>
    <row r="866" spans="1:24" s="337" customFormat="1" ht="12" customHeight="1" outlineLevel="1">
      <c r="A866" s="335"/>
      <c r="B866" s="118" t="s">
        <v>12</v>
      </c>
      <c r="C866" s="334" t="s">
        <v>6533</v>
      </c>
      <c r="D866" s="124" t="s">
        <v>6534</v>
      </c>
      <c r="E866" s="125"/>
      <c r="F866" s="118" t="s">
        <v>303</v>
      </c>
      <c r="G866" s="126" t="s">
        <v>6520</v>
      </c>
      <c r="H866" s="255">
        <v>5</v>
      </c>
      <c r="I866" s="361">
        <v>1</v>
      </c>
      <c r="J866" s="336" t="s">
        <v>310</v>
      </c>
      <c r="W866" s="129" t="s">
        <v>310</v>
      </c>
      <c r="X866" s="337" t="b">
        <f t="shared" si="45"/>
        <v>1</v>
      </c>
    </row>
    <row r="867" spans="1:24" s="337" customFormat="1" ht="12" customHeight="1" outlineLevel="1">
      <c r="A867" s="335"/>
      <c r="B867" s="118" t="s">
        <v>12</v>
      </c>
      <c r="C867" s="334" t="s">
        <v>6535</v>
      </c>
      <c r="D867" s="124" t="s">
        <v>6536</v>
      </c>
      <c r="E867" s="125"/>
      <c r="F867" s="118" t="s">
        <v>303</v>
      </c>
      <c r="G867" s="126" t="s">
        <v>6520</v>
      </c>
      <c r="H867" s="255">
        <v>5</v>
      </c>
      <c r="I867" s="361">
        <v>1</v>
      </c>
      <c r="J867" s="336" t="s">
        <v>325</v>
      </c>
      <c r="W867" s="129" t="s">
        <v>286</v>
      </c>
      <c r="X867" s="337" t="b">
        <f t="shared" si="45"/>
        <v>0</v>
      </c>
    </row>
    <row r="868" spans="1:24" s="337" customFormat="1" ht="12" customHeight="1" outlineLevel="1">
      <c r="A868" s="335"/>
      <c r="B868" s="118" t="s">
        <v>12</v>
      </c>
      <c r="C868" s="334" t="s">
        <v>6537</v>
      </c>
      <c r="D868" s="124" t="s">
        <v>6538</v>
      </c>
      <c r="E868" s="125"/>
      <c r="F868" s="118" t="s">
        <v>303</v>
      </c>
      <c r="G868" s="126" t="s">
        <v>6520</v>
      </c>
      <c r="H868" s="255">
        <v>5</v>
      </c>
      <c r="I868" s="361">
        <v>1</v>
      </c>
      <c r="J868" s="336" t="s">
        <v>307</v>
      </c>
      <c r="W868" s="129" t="s">
        <v>307</v>
      </c>
      <c r="X868" s="337" t="b">
        <f t="shared" ref="X868:X931" si="46">W868=J868</f>
        <v>1</v>
      </c>
    </row>
    <row r="869" spans="1:24" s="337" customFormat="1" ht="12" customHeight="1" outlineLevel="1">
      <c r="A869" s="335"/>
      <c r="B869" s="118" t="s">
        <v>12</v>
      </c>
      <c r="C869" s="334" t="s">
        <v>6539</v>
      </c>
      <c r="D869" s="124" t="s">
        <v>6540</v>
      </c>
      <c r="E869" s="125"/>
      <c r="F869" s="118" t="s">
        <v>303</v>
      </c>
      <c r="G869" s="126" t="s">
        <v>6520</v>
      </c>
      <c r="H869" s="255">
        <v>5</v>
      </c>
      <c r="I869" s="361">
        <v>1</v>
      </c>
      <c r="J869" s="336" t="s">
        <v>310</v>
      </c>
      <c r="W869" s="129" t="s">
        <v>310</v>
      </c>
      <c r="X869" s="337" t="b">
        <f t="shared" si="46"/>
        <v>1</v>
      </c>
    </row>
    <row r="870" spans="1:24" s="337" customFormat="1" ht="12" customHeight="1" outlineLevel="1">
      <c r="A870" s="335"/>
      <c r="B870" s="118" t="s">
        <v>12</v>
      </c>
      <c r="C870" s="334" t="s">
        <v>6541</v>
      </c>
      <c r="D870" s="124" t="s">
        <v>6542</v>
      </c>
      <c r="E870" s="125"/>
      <c r="F870" s="118" t="s">
        <v>303</v>
      </c>
      <c r="G870" s="126" t="s">
        <v>6520</v>
      </c>
      <c r="H870" s="255">
        <v>5</v>
      </c>
      <c r="I870" s="361">
        <v>1</v>
      </c>
      <c r="J870" s="336" t="s">
        <v>310</v>
      </c>
      <c r="W870" s="129" t="s">
        <v>310</v>
      </c>
      <c r="X870" s="337" t="b">
        <f t="shared" si="46"/>
        <v>1</v>
      </c>
    </row>
    <row r="871" spans="1:24" s="337" customFormat="1" ht="12" customHeight="1" outlineLevel="1">
      <c r="A871" s="335"/>
      <c r="B871" s="118" t="s">
        <v>12</v>
      </c>
      <c r="C871" s="334" t="s">
        <v>6543</v>
      </c>
      <c r="D871" s="124" t="s">
        <v>6544</v>
      </c>
      <c r="E871" s="125"/>
      <c r="F871" s="118" t="s">
        <v>303</v>
      </c>
      <c r="G871" s="126" t="s">
        <v>6520</v>
      </c>
      <c r="H871" s="255">
        <v>5</v>
      </c>
      <c r="I871" s="361">
        <v>1</v>
      </c>
      <c r="J871" s="336" t="s">
        <v>310</v>
      </c>
      <c r="W871" s="129" t="s">
        <v>310</v>
      </c>
      <c r="X871" s="337" t="b">
        <f t="shared" si="46"/>
        <v>1</v>
      </c>
    </row>
    <row r="872" spans="1:24" s="337" customFormat="1" ht="12" customHeight="1" outlineLevel="1">
      <c r="A872" s="335"/>
      <c r="B872" s="118" t="s">
        <v>12</v>
      </c>
      <c r="C872" s="334" t="s">
        <v>6545</v>
      </c>
      <c r="D872" s="124" t="s">
        <v>6546</v>
      </c>
      <c r="E872" s="125"/>
      <c r="F872" s="118" t="s">
        <v>303</v>
      </c>
      <c r="G872" s="126" t="s">
        <v>6520</v>
      </c>
      <c r="H872" s="255">
        <v>5</v>
      </c>
      <c r="I872" s="361">
        <v>1</v>
      </c>
      <c r="J872" s="336" t="s">
        <v>307</v>
      </c>
      <c r="W872" s="129" t="s">
        <v>307</v>
      </c>
      <c r="X872" s="337" t="b">
        <f t="shared" si="46"/>
        <v>1</v>
      </c>
    </row>
    <row r="873" spans="1:24" s="337" customFormat="1" ht="12" customHeight="1" outlineLevel="1">
      <c r="A873" s="335"/>
      <c r="B873" s="118" t="s">
        <v>12</v>
      </c>
      <c r="C873" s="334" t="s">
        <v>6547</v>
      </c>
      <c r="D873" s="124" t="s">
        <v>6548</v>
      </c>
      <c r="E873" s="125"/>
      <c r="F873" s="118" t="s">
        <v>303</v>
      </c>
      <c r="G873" s="126" t="s">
        <v>6520</v>
      </c>
      <c r="H873" s="255">
        <v>5</v>
      </c>
      <c r="I873" s="361">
        <v>1</v>
      </c>
      <c r="J873" s="336" t="s">
        <v>310</v>
      </c>
      <c r="W873" s="129" t="s">
        <v>310</v>
      </c>
      <c r="X873" s="337" t="b">
        <f t="shared" si="46"/>
        <v>1</v>
      </c>
    </row>
    <row r="874" spans="1:24" s="337" customFormat="1" ht="12" customHeight="1" outlineLevel="1">
      <c r="A874" s="335"/>
      <c r="B874" s="118" t="s">
        <v>12</v>
      </c>
      <c r="C874" s="334" t="s">
        <v>6549</v>
      </c>
      <c r="D874" s="124" t="s">
        <v>6550</v>
      </c>
      <c r="E874" s="125"/>
      <c r="F874" s="118" t="s">
        <v>303</v>
      </c>
      <c r="G874" s="126" t="s">
        <v>6520</v>
      </c>
      <c r="H874" s="255">
        <v>5</v>
      </c>
      <c r="I874" s="361">
        <v>1</v>
      </c>
      <c r="J874" s="336" t="s">
        <v>310</v>
      </c>
      <c r="W874" s="129" t="s">
        <v>310</v>
      </c>
      <c r="X874" s="337" t="b">
        <f t="shared" si="46"/>
        <v>1</v>
      </c>
    </row>
    <row r="875" spans="1:24" s="337" customFormat="1" ht="12" customHeight="1" outlineLevel="1">
      <c r="A875" s="335"/>
      <c r="B875" s="118" t="s">
        <v>12</v>
      </c>
      <c r="C875" s="334" t="s">
        <v>6551</v>
      </c>
      <c r="D875" s="124" t="s">
        <v>6552</v>
      </c>
      <c r="E875" s="125"/>
      <c r="F875" s="118" t="s">
        <v>303</v>
      </c>
      <c r="G875" s="126" t="s">
        <v>6520</v>
      </c>
      <c r="H875" s="255">
        <v>5</v>
      </c>
      <c r="I875" s="361">
        <v>1</v>
      </c>
      <c r="J875" s="336" t="s">
        <v>310</v>
      </c>
      <c r="W875" s="129" t="s">
        <v>310</v>
      </c>
      <c r="X875" s="337" t="b">
        <f t="shared" si="46"/>
        <v>1</v>
      </c>
    </row>
    <row r="876" spans="1:24" s="337" customFormat="1" ht="12" customHeight="1" outlineLevel="1">
      <c r="A876" s="335"/>
      <c r="B876" s="118" t="s">
        <v>12</v>
      </c>
      <c r="C876" s="334" t="s">
        <v>6553</v>
      </c>
      <c r="D876" s="124" t="s">
        <v>6554</v>
      </c>
      <c r="E876" s="125"/>
      <c r="F876" s="118" t="s">
        <v>303</v>
      </c>
      <c r="G876" s="126" t="s">
        <v>6520</v>
      </c>
      <c r="H876" s="255">
        <v>5</v>
      </c>
      <c r="I876" s="361">
        <v>1</v>
      </c>
      <c r="J876" s="336" t="s">
        <v>307</v>
      </c>
      <c r="W876" s="129" t="s">
        <v>310</v>
      </c>
      <c r="X876" s="337" t="b">
        <f t="shared" si="46"/>
        <v>0</v>
      </c>
    </row>
    <row r="877" spans="1:24" s="337" customFormat="1" ht="12" customHeight="1" outlineLevel="1">
      <c r="A877" s="335"/>
      <c r="B877" s="118" t="s">
        <v>12</v>
      </c>
      <c r="C877" s="334" t="s">
        <v>6555</v>
      </c>
      <c r="D877" s="124" t="s">
        <v>6556</v>
      </c>
      <c r="E877" s="125"/>
      <c r="F877" s="118" t="s">
        <v>303</v>
      </c>
      <c r="G877" s="126" t="s">
        <v>6520</v>
      </c>
      <c r="H877" s="255">
        <v>5</v>
      </c>
      <c r="I877" s="361">
        <v>1</v>
      </c>
      <c r="J877" s="336" t="s">
        <v>310</v>
      </c>
      <c r="W877" s="129" t="s">
        <v>310</v>
      </c>
      <c r="X877" s="337" t="b">
        <f t="shared" si="46"/>
        <v>1</v>
      </c>
    </row>
    <row r="878" spans="1:24" s="337" customFormat="1" ht="12" customHeight="1" outlineLevel="1">
      <c r="A878" s="335"/>
      <c r="B878" s="118" t="s">
        <v>12</v>
      </c>
      <c r="C878" s="334" t="s">
        <v>6557</v>
      </c>
      <c r="D878" s="124" t="s">
        <v>6558</v>
      </c>
      <c r="E878" s="125"/>
      <c r="F878" s="118" t="s">
        <v>303</v>
      </c>
      <c r="G878" s="126" t="s">
        <v>6520</v>
      </c>
      <c r="H878" s="255">
        <v>5</v>
      </c>
      <c r="I878" s="361">
        <v>1</v>
      </c>
      <c r="J878" s="336" t="s">
        <v>286</v>
      </c>
      <c r="W878" s="129" t="s">
        <v>286</v>
      </c>
      <c r="X878" s="337" t="b">
        <f t="shared" si="46"/>
        <v>1</v>
      </c>
    </row>
    <row r="879" spans="1:24" s="337" customFormat="1" ht="12" customHeight="1" outlineLevel="1">
      <c r="A879" s="335"/>
      <c r="B879" s="118" t="s">
        <v>12</v>
      </c>
      <c r="C879" s="334" t="s">
        <v>6559</v>
      </c>
      <c r="D879" s="124" t="s">
        <v>6560</v>
      </c>
      <c r="E879" s="125"/>
      <c r="F879" s="118" t="s">
        <v>303</v>
      </c>
      <c r="G879" s="126" t="s">
        <v>6520</v>
      </c>
      <c r="H879" s="255">
        <v>5</v>
      </c>
      <c r="I879" s="361">
        <v>1</v>
      </c>
      <c r="J879" s="336" t="s">
        <v>286</v>
      </c>
      <c r="W879" s="129" t="s">
        <v>286</v>
      </c>
      <c r="X879" s="337" t="b">
        <f t="shared" si="46"/>
        <v>1</v>
      </c>
    </row>
    <row r="880" spans="1:24" s="337" customFormat="1" ht="12" customHeight="1" outlineLevel="1">
      <c r="A880" s="335"/>
      <c r="B880" s="118" t="s">
        <v>12</v>
      </c>
      <c r="C880" s="334" t="s">
        <v>6561</v>
      </c>
      <c r="D880" s="124" t="s">
        <v>6562</v>
      </c>
      <c r="E880" s="125"/>
      <c r="F880" s="118" t="s">
        <v>303</v>
      </c>
      <c r="G880" s="126" t="s">
        <v>6520</v>
      </c>
      <c r="H880" s="255">
        <v>5</v>
      </c>
      <c r="I880" s="361">
        <v>1</v>
      </c>
      <c r="J880" s="336" t="s">
        <v>286</v>
      </c>
      <c r="W880" s="129" t="s">
        <v>286</v>
      </c>
      <c r="X880" s="337" t="b">
        <f t="shared" si="46"/>
        <v>1</v>
      </c>
    </row>
    <row r="881" spans="1:24" s="337" customFormat="1" ht="12" customHeight="1" outlineLevel="1">
      <c r="A881" s="335"/>
      <c r="B881" s="118" t="s">
        <v>12</v>
      </c>
      <c r="C881" s="334" t="s">
        <v>6563</v>
      </c>
      <c r="D881" s="124" t="s">
        <v>6564</v>
      </c>
      <c r="E881" s="125"/>
      <c r="F881" s="118" t="s">
        <v>303</v>
      </c>
      <c r="G881" s="126" t="s">
        <v>6520</v>
      </c>
      <c r="H881" s="255">
        <v>5</v>
      </c>
      <c r="I881" s="361">
        <v>1</v>
      </c>
      <c r="J881" s="336" t="s">
        <v>286</v>
      </c>
      <c r="W881" s="129" t="s">
        <v>286</v>
      </c>
      <c r="X881" s="337" t="b">
        <f t="shared" si="46"/>
        <v>1</v>
      </c>
    </row>
    <row r="882" spans="1:24" s="337" customFormat="1" ht="12" customHeight="1" outlineLevel="1">
      <c r="A882" s="335"/>
      <c r="B882" s="118" t="s">
        <v>12</v>
      </c>
      <c r="C882" s="334" t="s">
        <v>6565</v>
      </c>
      <c r="D882" s="124" t="s">
        <v>6566</v>
      </c>
      <c r="E882" s="125"/>
      <c r="F882" s="118" t="s">
        <v>303</v>
      </c>
      <c r="G882" s="126" t="s">
        <v>6520</v>
      </c>
      <c r="H882" s="255">
        <v>5</v>
      </c>
      <c r="I882" s="361">
        <v>1</v>
      </c>
      <c r="J882" s="336" t="s">
        <v>286</v>
      </c>
      <c r="W882" s="129" t="s">
        <v>286</v>
      </c>
      <c r="X882" s="337" t="b">
        <f t="shared" si="46"/>
        <v>1</v>
      </c>
    </row>
    <row r="883" spans="1:24" s="337" customFormat="1" ht="12" customHeight="1" outlineLevel="1">
      <c r="A883" s="335"/>
      <c r="B883" s="118" t="s">
        <v>12</v>
      </c>
      <c r="C883" s="334" t="s">
        <v>6567</v>
      </c>
      <c r="D883" s="124" t="s">
        <v>6568</v>
      </c>
      <c r="E883" s="125"/>
      <c r="F883" s="118" t="s">
        <v>303</v>
      </c>
      <c r="G883" s="126" t="s">
        <v>6520</v>
      </c>
      <c r="H883" s="255">
        <v>5</v>
      </c>
      <c r="I883" s="361">
        <v>1</v>
      </c>
      <c r="J883" s="336" t="s">
        <v>286</v>
      </c>
      <c r="W883" s="129" t="s">
        <v>286</v>
      </c>
      <c r="X883" s="337" t="b">
        <f t="shared" si="46"/>
        <v>1</v>
      </c>
    </row>
    <row r="884" spans="1:24" s="337" customFormat="1" ht="12" customHeight="1" outlineLevel="1">
      <c r="A884" s="335"/>
      <c r="B884" s="118" t="s">
        <v>12</v>
      </c>
      <c r="C884" s="334" t="s">
        <v>6569</v>
      </c>
      <c r="D884" s="124" t="s">
        <v>6570</v>
      </c>
      <c r="E884" s="125"/>
      <c r="F884" s="118" t="s">
        <v>303</v>
      </c>
      <c r="G884" s="126" t="s">
        <v>6520</v>
      </c>
      <c r="H884" s="255">
        <v>5</v>
      </c>
      <c r="I884" s="361">
        <v>1</v>
      </c>
      <c r="J884" s="336" t="s">
        <v>286</v>
      </c>
      <c r="W884" s="129" t="s">
        <v>286</v>
      </c>
      <c r="X884" s="337" t="b">
        <f t="shared" si="46"/>
        <v>1</v>
      </c>
    </row>
    <row r="885" spans="1:24" s="337" customFormat="1" ht="12" customHeight="1" outlineLevel="1">
      <c r="A885" s="335"/>
      <c r="B885" s="118" t="s">
        <v>12</v>
      </c>
      <c r="C885" s="334" t="s">
        <v>6571</v>
      </c>
      <c r="D885" s="124" t="s">
        <v>6572</v>
      </c>
      <c r="E885" s="125"/>
      <c r="F885" s="118" t="s">
        <v>303</v>
      </c>
      <c r="G885" s="126" t="s">
        <v>6520</v>
      </c>
      <c r="H885" s="255">
        <v>5</v>
      </c>
      <c r="I885" s="361">
        <v>1</v>
      </c>
      <c r="J885" s="336" t="s">
        <v>286</v>
      </c>
      <c r="W885" s="129" t="s">
        <v>286</v>
      </c>
      <c r="X885" s="337" t="b">
        <f t="shared" si="46"/>
        <v>1</v>
      </c>
    </row>
    <row r="886" spans="1:24" s="337" customFormat="1" ht="12" customHeight="1" outlineLevel="1">
      <c r="A886" s="335"/>
      <c r="B886" s="118" t="s">
        <v>12</v>
      </c>
      <c r="C886" s="334" t="s">
        <v>6573</v>
      </c>
      <c r="D886" s="124" t="s">
        <v>6574</v>
      </c>
      <c r="E886" s="125"/>
      <c r="F886" s="118" t="s">
        <v>303</v>
      </c>
      <c r="G886" s="126" t="s">
        <v>6520</v>
      </c>
      <c r="H886" s="255">
        <v>5</v>
      </c>
      <c r="I886" s="361">
        <v>1</v>
      </c>
      <c r="J886" s="336" t="s">
        <v>310</v>
      </c>
      <c r="W886" s="129" t="s">
        <v>286</v>
      </c>
      <c r="X886" s="337" t="b">
        <f t="shared" si="46"/>
        <v>0</v>
      </c>
    </row>
    <row r="887" spans="1:24" s="337" customFormat="1" ht="12" customHeight="1" outlineLevel="1">
      <c r="A887" s="335"/>
      <c r="B887" s="118" t="s">
        <v>12</v>
      </c>
      <c r="C887" s="334" t="s">
        <v>6575</v>
      </c>
      <c r="D887" s="124" t="s">
        <v>6576</v>
      </c>
      <c r="E887" s="125"/>
      <c r="F887" s="118" t="s">
        <v>303</v>
      </c>
      <c r="G887" s="126" t="s">
        <v>6520</v>
      </c>
      <c r="H887" s="255">
        <v>5</v>
      </c>
      <c r="I887" s="361">
        <v>1</v>
      </c>
      <c r="J887" s="336" t="s">
        <v>310</v>
      </c>
      <c r="W887" s="129" t="s">
        <v>286</v>
      </c>
      <c r="X887" s="337" t="b">
        <f t="shared" si="46"/>
        <v>0</v>
      </c>
    </row>
    <row r="888" spans="1:24" s="337" customFormat="1" ht="12" customHeight="1" outlineLevel="1">
      <c r="A888" s="335"/>
      <c r="B888" s="118" t="s">
        <v>12</v>
      </c>
      <c r="C888" s="334" t="s">
        <v>6577</v>
      </c>
      <c r="D888" s="124" t="s">
        <v>6578</v>
      </c>
      <c r="E888" s="125"/>
      <c r="F888" s="118" t="s">
        <v>303</v>
      </c>
      <c r="G888" s="126" t="s">
        <v>6520</v>
      </c>
      <c r="H888" s="255">
        <v>5</v>
      </c>
      <c r="I888" s="361">
        <v>1</v>
      </c>
      <c r="J888" s="336" t="s">
        <v>286</v>
      </c>
      <c r="W888" s="129" t="s">
        <v>286</v>
      </c>
      <c r="X888" s="337" t="b">
        <f t="shared" si="46"/>
        <v>1</v>
      </c>
    </row>
    <row r="889" spans="1:24" s="337" customFormat="1" ht="12" customHeight="1" outlineLevel="1">
      <c r="A889" s="335"/>
      <c r="B889" s="118" t="s">
        <v>12</v>
      </c>
      <c r="C889" s="334" t="s">
        <v>6579</v>
      </c>
      <c r="D889" s="124" t="s">
        <v>6580</v>
      </c>
      <c r="E889" s="125"/>
      <c r="F889" s="118" t="s">
        <v>303</v>
      </c>
      <c r="G889" s="126" t="s">
        <v>6520</v>
      </c>
      <c r="H889" s="255">
        <v>5</v>
      </c>
      <c r="I889" s="361">
        <v>1</v>
      </c>
      <c r="J889" s="336" t="s">
        <v>286</v>
      </c>
      <c r="W889" s="129" t="s">
        <v>286</v>
      </c>
      <c r="X889" s="337" t="b">
        <f t="shared" si="46"/>
        <v>1</v>
      </c>
    </row>
    <row r="890" spans="1:24" s="337" customFormat="1" ht="12" customHeight="1" outlineLevel="1">
      <c r="A890" s="335"/>
      <c r="B890" s="118" t="s">
        <v>12</v>
      </c>
      <c r="C890" s="334" t="s">
        <v>6581</v>
      </c>
      <c r="D890" s="124" t="s">
        <v>6582</v>
      </c>
      <c r="E890" s="125"/>
      <c r="F890" s="118" t="s">
        <v>303</v>
      </c>
      <c r="G890" s="126" t="s">
        <v>6520</v>
      </c>
      <c r="H890" s="255">
        <v>5</v>
      </c>
      <c r="I890" s="361">
        <v>1</v>
      </c>
      <c r="J890" s="336" t="s">
        <v>286</v>
      </c>
      <c r="W890" s="129" t="s">
        <v>286</v>
      </c>
      <c r="X890" s="337" t="b">
        <f t="shared" si="46"/>
        <v>1</v>
      </c>
    </row>
    <row r="891" spans="1:24" s="337" customFormat="1" ht="12" customHeight="1" outlineLevel="1">
      <c r="A891" s="335"/>
      <c r="B891" s="118" t="s">
        <v>12</v>
      </c>
      <c r="C891" s="334" t="s">
        <v>6583</v>
      </c>
      <c r="D891" s="124" t="s">
        <v>6584</v>
      </c>
      <c r="E891" s="125"/>
      <c r="F891" s="118" t="s">
        <v>303</v>
      </c>
      <c r="G891" s="126" t="s">
        <v>6520</v>
      </c>
      <c r="H891" s="255">
        <v>5</v>
      </c>
      <c r="I891" s="361">
        <v>1</v>
      </c>
      <c r="J891" s="336" t="s">
        <v>286</v>
      </c>
      <c r="W891" s="129" t="s">
        <v>286</v>
      </c>
      <c r="X891" s="337" t="b">
        <f t="shared" si="46"/>
        <v>1</v>
      </c>
    </row>
    <row r="892" spans="1:24" s="337" customFormat="1" ht="12" customHeight="1" outlineLevel="1">
      <c r="A892" s="335"/>
      <c r="B892" s="118" t="s">
        <v>12</v>
      </c>
      <c r="C892" s="334" t="s">
        <v>6585</v>
      </c>
      <c r="D892" s="124" t="s">
        <v>6586</v>
      </c>
      <c r="E892" s="125"/>
      <c r="F892" s="118" t="s">
        <v>303</v>
      </c>
      <c r="G892" s="126" t="s">
        <v>6520</v>
      </c>
      <c r="H892" s="255">
        <v>5</v>
      </c>
      <c r="I892" s="361">
        <v>1</v>
      </c>
      <c r="J892" s="336" t="s">
        <v>286</v>
      </c>
      <c r="W892" s="129" t="s">
        <v>286</v>
      </c>
      <c r="X892" s="337" t="b">
        <f t="shared" si="46"/>
        <v>1</v>
      </c>
    </row>
    <row r="893" spans="1:24" s="337" customFormat="1" ht="12" customHeight="1" outlineLevel="1">
      <c r="A893" s="335"/>
      <c r="B893" s="118" t="s">
        <v>12</v>
      </c>
      <c r="C893" s="334" t="s">
        <v>6587</v>
      </c>
      <c r="D893" s="124" t="s">
        <v>6588</v>
      </c>
      <c r="E893" s="125"/>
      <c r="F893" s="118" t="s">
        <v>303</v>
      </c>
      <c r="G893" s="126" t="s">
        <v>6520</v>
      </c>
      <c r="H893" s="255">
        <v>5</v>
      </c>
      <c r="I893" s="361">
        <v>1</v>
      </c>
      <c r="J893" s="336" t="s">
        <v>310</v>
      </c>
      <c r="W893" s="129" t="s">
        <v>286</v>
      </c>
      <c r="X893" s="337" t="b">
        <f t="shared" si="46"/>
        <v>0</v>
      </c>
    </row>
    <row r="894" spans="1:24" s="337" customFormat="1" ht="12" customHeight="1" outlineLevel="1">
      <c r="A894" s="335"/>
      <c r="B894" s="118" t="s">
        <v>12</v>
      </c>
      <c r="C894" s="334" t="s">
        <v>6589</v>
      </c>
      <c r="D894" s="124" t="s">
        <v>6590</v>
      </c>
      <c r="E894" s="125"/>
      <c r="F894" s="118" t="s">
        <v>303</v>
      </c>
      <c r="G894" s="126" t="s">
        <v>6520</v>
      </c>
      <c r="H894" s="255">
        <v>5</v>
      </c>
      <c r="I894" s="361">
        <v>1</v>
      </c>
      <c r="J894" s="336" t="s">
        <v>286</v>
      </c>
      <c r="W894" s="129" t="s">
        <v>286</v>
      </c>
      <c r="X894" s="337" t="b">
        <f t="shared" si="46"/>
        <v>1</v>
      </c>
    </row>
    <row r="895" spans="1:24" s="337" customFormat="1" ht="12" customHeight="1" outlineLevel="1">
      <c r="A895" s="335"/>
      <c r="B895" s="118" t="s">
        <v>12</v>
      </c>
      <c r="C895" s="334" t="s">
        <v>6591</v>
      </c>
      <c r="D895" s="124" t="s">
        <v>6592</v>
      </c>
      <c r="E895" s="125"/>
      <c r="F895" s="118" t="s">
        <v>303</v>
      </c>
      <c r="G895" s="126" t="s">
        <v>6520</v>
      </c>
      <c r="H895" s="255">
        <v>5</v>
      </c>
      <c r="I895" s="361">
        <v>1</v>
      </c>
      <c r="J895" s="336" t="s">
        <v>310</v>
      </c>
      <c r="W895" s="129" t="s">
        <v>286</v>
      </c>
      <c r="X895" s="337" t="b">
        <f t="shared" si="46"/>
        <v>0</v>
      </c>
    </row>
    <row r="896" spans="1:24" s="337" customFormat="1" ht="12" customHeight="1" outlineLevel="1">
      <c r="A896" s="335"/>
      <c r="B896" s="118" t="s">
        <v>12</v>
      </c>
      <c r="C896" s="334" t="s">
        <v>6593</v>
      </c>
      <c r="D896" s="124" t="s">
        <v>6594</v>
      </c>
      <c r="E896" s="125"/>
      <c r="F896" s="118" t="s">
        <v>303</v>
      </c>
      <c r="G896" s="126" t="s">
        <v>6520</v>
      </c>
      <c r="H896" s="255">
        <v>5</v>
      </c>
      <c r="I896" s="361">
        <v>1</v>
      </c>
      <c r="J896" s="336" t="s">
        <v>310</v>
      </c>
      <c r="W896" s="129" t="s">
        <v>286</v>
      </c>
      <c r="X896" s="337" t="b">
        <f t="shared" si="46"/>
        <v>0</v>
      </c>
    </row>
    <row r="897" spans="1:24" s="337" customFormat="1" ht="12" customHeight="1" outlineLevel="1">
      <c r="A897" s="335"/>
      <c r="B897" s="118" t="s">
        <v>12</v>
      </c>
      <c r="C897" s="334" t="s">
        <v>6595</v>
      </c>
      <c r="D897" s="124" t="s">
        <v>6596</v>
      </c>
      <c r="E897" s="125"/>
      <c r="F897" s="118" t="s">
        <v>303</v>
      </c>
      <c r="G897" s="126" t="s">
        <v>6520</v>
      </c>
      <c r="H897" s="255">
        <v>5</v>
      </c>
      <c r="I897" s="361">
        <v>1</v>
      </c>
      <c r="J897" s="336" t="s">
        <v>310</v>
      </c>
      <c r="W897" s="129" t="s">
        <v>286</v>
      </c>
      <c r="X897" s="337" t="b">
        <f t="shared" si="46"/>
        <v>0</v>
      </c>
    </row>
    <row r="898" spans="1:24" s="337" customFormat="1" ht="12" customHeight="1" outlineLevel="1">
      <c r="A898" s="335"/>
      <c r="B898" s="118" t="s">
        <v>12</v>
      </c>
      <c r="C898" s="334" t="s">
        <v>6597</v>
      </c>
      <c r="D898" s="124" t="s">
        <v>6598</v>
      </c>
      <c r="E898" s="125"/>
      <c r="F898" s="118" t="s">
        <v>303</v>
      </c>
      <c r="G898" s="126" t="s">
        <v>6520</v>
      </c>
      <c r="H898" s="255">
        <v>5</v>
      </c>
      <c r="I898" s="361">
        <v>1</v>
      </c>
      <c r="J898" s="336" t="s">
        <v>286</v>
      </c>
      <c r="W898" s="129" t="s">
        <v>286</v>
      </c>
      <c r="X898" s="337" t="b">
        <f t="shared" si="46"/>
        <v>1</v>
      </c>
    </row>
    <row r="899" spans="1:24" s="337" customFormat="1" ht="12" customHeight="1" outlineLevel="1">
      <c r="A899" s="335"/>
      <c r="B899" s="118" t="s">
        <v>12</v>
      </c>
      <c r="C899" s="334" t="s">
        <v>6599</v>
      </c>
      <c r="D899" s="124" t="s">
        <v>6600</v>
      </c>
      <c r="E899" s="125"/>
      <c r="F899" s="118" t="s">
        <v>303</v>
      </c>
      <c r="G899" s="126" t="s">
        <v>6520</v>
      </c>
      <c r="H899" s="255">
        <v>5</v>
      </c>
      <c r="I899" s="361">
        <v>1</v>
      </c>
      <c r="J899" s="336" t="s">
        <v>286</v>
      </c>
      <c r="W899" s="129" t="s">
        <v>286</v>
      </c>
      <c r="X899" s="337" t="b">
        <f t="shared" si="46"/>
        <v>1</v>
      </c>
    </row>
    <row r="900" spans="1:24" s="337" customFormat="1" ht="12" customHeight="1" outlineLevel="1">
      <c r="A900" s="335"/>
      <c r="B900" s="118" t="s">
        <v>12</v>
      </c>
      <c r="C900" s="334" t="s">
        <v>6601</v>
      </c>
      <c r="D900" s="124" t="s">
        <v>6602</v>
      </c>
      <c r="E900" s="125"/>
      <c r="F900" s="118" t="s">
        <v>303</v>
      </c>
      <c r="G900" s="126" t="s">
        <v>6520</v>
      </c>
      <c r="H900" s="255">
        <v>5</v>
      </c>
      <c r="I900" s="361">
        <v>1</v>
      </c>
      <c r="J900" s="336" t="s">
        <v>286</v>
      </c>
      <c r="W900" s="129" t="s">
        <v>286</v>
      </c>
      <c r="X900" s="337" t="b">
        <f t="shared" si="46"/>
        <v>1</v>
      </c>
    </row>
    <row r="901" spans="1:24" s="337" customFormat="1" ht="12" customHeight="1" outlineLevel="1">
      <c r="A901" s="335"/>
      <c r="B901" s="118" t="s">
        <v>12</v>
      </c>
      <c r="C901" s="334" t="s">
        <v>6603</v>
      </c>
      <c r="D901" s="124" t="s">
        <v>6604</v>
      </c>
      <c r="E901" s="125"/>
      <c r="F901" s="118" t="s">
        <v>303</v>
      </c>
      <c r="G901" s="126" t="s">
        <v>6520</v>
      </c>
      <c r="H901" s="255">
        <v>5</v>
      </c>
      <c r="I901" s="361">
        <v>1</v>
      </c>
      <c r="J901" s="336" t="s">
        <v>310</v>
      </c>
      <c r="W901" s="129" t="s">
        <v>286</v>
      </c>
      <c r="X901" s="337" t="b">
        <f t="shared" si="46"/>
        <v>0</v>
      </c>
    </row>
    <row r="902" spans="1:24" s="337" customFormat="1" ht="12" customHeight="1" outlineLevel="1">
      <c r="A902" s="335"/>
      <c r="B902" s="118" t="s">
        <v>12</v>
      </c>
      <c r="C902" s="334" t="s">
        <v>6605</v>
      </c>
      <c r="D902" s="124" t="s">
        <v>6606</v>
      </c>
      <c r="E902" s="125"/>
      <c r="F902" s="118" t="s">
        <v>303</v>
      </c>
      <c r="G902" s="126" t="s">
        <v>6520</v>
      </c>
      <c r="H902" s="255">
        <v>5</v>
      </c>
      <c r="I902" s="361">
        <v>1</v>
      </c>
      <c r="J902" s="336" t="s">
        <v>310</v>
      </c>
      <c r="W902" s="129" t="s">
        <v>286</v>
      </c>
      <c r="X902" s="337" t="b">
        <f t="shared" si="46"/>
        <v>0</v>
      </c>
    </row>
    <row r="903" spans="1:24" s="337" customFormat="1" ht="12" customHeight="1" outlineLevel="1">
      <c r="A903" s="335"/>
      <c r="B903" s="118" t="s">
        <v>12</v>
      </c>
      <c r="C903" s="334" t="s">
        <v>6607</v>
      </c>
      <c r="D903" s="124" t="s">
        <v>6608</v>
      </c>
      <c r="E903" s="125"/>
      <c r="F903" s="118" t="s">
        <v>303</v>
      </c>
      <c r="G903" s="126" t="s">
        <v>6520</v>
      </c>
      <c r="H903" s="255">
        <v>5</v>
      </c>
      <c r="I903" s="361">
        <v>1</v>
      </c>
      <c r="J903" s="336" t="s">
        <v>286</v>
      </c>
      <c r="W903" s="129" t="s">
        <v>286</v>
      </c>
      <c r="X903" s="337" t="b">
        <f t="shared" si="46"/>
        <v>1</v>
      </c>
    </row>
    <row r="904" spans="1:24" s="337" customFormat="1" ht="12" customHeight="1" outlineLevel="1">
      <c r="A904" s="335"/>
      <c r="B904" s="118" t="s">
        <v>12</v>
      </c>
      <c r="C904" s="334" t="s">
        <v>6609</v>
      </c>
      <c r="D904" s="124" t="s">
        <v>6610</v>
      </c>
      <c r="E904" s="125"/>
      <c r="F904" s="118" t="s">
        <v>303</v>
      </c>
      <c r="G904" s="126" t="s">
        <v>6520</v>
      </c>
      <c r="H904" s="255">
        <v>5</v>
      </c>
      <c r="I904" s="361">
        <v>1</v>
      </c>
      <c r="J904" s="336" t="s">
        <v>286</v>
      </c>
      <c r="W904" s="129" t="s">
        <v>286</v>
      </c>
      <c r="X904" s="337" t="b">
        <f t="shared" si="46"/>
        <v>1</v>
      </c>
    </row>
    <row r="905" spans="1:24" s="337" customFormat="1" ht="12" customHeight="1" outlineLevel="1">
      <c r="A905" s="335"/>
      <c r="B905" s="118" t="s">
        <v>12</v>
      </c>
      <c r="C905" s="334" t="s">
        <v>6611</v>
      </c>
      <c r="D905" s="124" t="s">
        <v>6612</v>
      </c>
      <c r="E905" s="125"/>
      <c r="F905" s="118" t="s">
        <v>303</v>
      </c>
      <c r="G905" s="126" t="s">
        <v>6520</v>
      </c>
      <c r="H905" s="255">
        <v>5</v>
      </c>
      <c r="I905" s="361">
        <v>1</v>
      </c>
      <c r="J905" s="336" t="s">
        <v>286</v>
      </c>
      <c r="W905" s="129" t="s">
        <v>286</v>
      </c>
      <c r="X905" s="337" t="b">
        <f t="shared" si="46"/>
        <v>1</v>
      </c>
    </row>
    <row r="906" spans="1:24" s="337" customFormat="1" ht="12" customHeight="1" outlineLevel="1">
      <c r="A906" s="335"/>
      <c r="B906" s="118" t="s">
        <v>12</v>
      </c>
      <c r="C906" s="334" t="s">
        <v>6613</v>
      </c>
      <c r="D906" s="124" t="s">
        <v>6614</v>
      </c>
      <c r="E906" s="125"/>
      <c r="F906" s="118" t="s">
        <v>303</v>
      </c>
      <c r="G906" s="126" t="s">
        <v>6520</v>
      </c>
      <c r="H906" s="255">
        <v>5</v>
      </c>
      <c r="I906" s="361">
        <v>1</v>
      </c>
      <c r="J906" s="336" t="s">
        <v>286</v>
      </c>
      <c r="W906" s="129" t="s">
        <v>286</v>
      </c>
      <c r="X906" s="337" t="b">
        <f t="shared" si="46"/>
        <v>1</v>
      </c>
    </row>
    <row r="907" spans="1:24" s="337" customFormat="1" ht="12" customHeight="1" outlineLevel="1">
      <c r="A907" s="335"/>
      <c r="B907" s="118" t="s">
        <v>12</v>
      </c>
      <c r="C907" s="334" t="s">
        <v>6615</v>
      </c>
      <c r="D907" s="124" t="s">
        <v>6616</v>
      </c>
      <c r="E907" s="125"/>
      <c r="F907" s="118" t="s">
        <v>303</v>
      </c>
      <c r="G907" s="126" t="s">
        <v>6520</v>
      </c>
      <c r="H907" s="255">
        <v>5</v>
      </c>
      <c r="I907" s="361">
        <v>1</v>
      </c>
      <c r="J907" s="336" t="s">
        <v>310</v>
      </c>
      <c r="W907" s="129" t="s">
        <v>286</v>
      </c>
      <c r="X907" s="337" t="b">
        <f t="shared" si="46"/>
        <v>0</v>
      </c>
    </row>
    <row r="908" spans="1:24" s="337" customFormat="1" ht="12" customHeight="1" outlineLevel="1">
      <c r="A908" s="335"/>
      <c r="B908" s="118" t="s">
        <v>12</v>
      </c>
      <c r="C908" s="334" t="s">
        <v>6617</v>
      </c>
      <c r="D908" s="124" t="s">
        <v>6618</v>
      </c>
      <c r="E908" s="125"/>
      <c r="F908" s="118" t="s">
        <v>303</v>
      </c>
      <c r="G908" s="126" t="s">
        <v>6520</v>
      </c>
      <c r="H908" s="255">
        <v>5</v>
      </c>
      <c r="I908" s="361">
        <v>1</v>
      </c>
      <c r="J908" s="336" t="s">
        <v>310</v>
      </c>
      <c r="W908" s="129" t="s">
        <v>286</v>
      </c>
      <c r="X908" s="337" t="b">
        <f t="shared" si="46"/>
        <v>0</v>
      </c>
    </row>
    <row r="909" spans="1:24" s="337" customFormat="1" ht="12" customHeight="1" outlineLevel="1">
      <c r="A909" s="335"/>
      <c r="B909" s="118" t="s">
        <v>12</v>
      </c>
      <c r="C909" s="334" t="s">
        <v>6619</v>
      </c>
      <c r="D909" s="124" t="s">
        <v>6620</v>
      </c>
      <c r="E909" s="125"/>
      <c r="F909" s="118" t="s">
        <v>303</v>
      </c>
      <c r="G909" s="126" t="s">
        <v>6520</v>
      </c>
      <c r="H909" s="255">
        <v>5</v>
      </c>
      <c r="I909" s="361">
        <v>1</v>
      </c>
      <c r="J909" s="336" t="s">
        <v>286</v>
      </c>
      <c r="W909" s="129" t="s">
        <v>286</v>
      </c>
      <c r="X909" s="337" t="b">
        <f t="shared" si="46"/>
        <v>1</v>
      </c>
    </row>
    <row r="910" spans="1:24" s="337" customFormat="1" ht="12" customHeight="1" outlineLevel="1">
      <c r="A910" s="335"/>
      <c r="B910" s="118" t="s">
        <v>12</v>
      </c>
      <c r="C910" s="334" t="s">
        <v>6621</v>
      </c>
      <c r="D910" s="124" t="s">
        <v>6622</v>
      </c>
      <c r="E910" s="125"/>
      <c r="F910" s="118" t="s">
        <v>303</v>
      </c>
      <c r="G910" s="126" t="s">
        <v>6520</v>
      </c>
      <c r="H910" s="255">
        <v>5</v>
      </c>
      <c r="I910" s="361">
        <v>1</v>
      </c>
      <c r="J910" s="336" t="s">
        <v>286</v>
      </c>
      <c r="W910" s="129" t="s">
        <v>286</v>
      </c>
      <c r="X910" s="337" t="b">
        <f t="shared" si="46"/>
        <v>1</v>
      </c>
    </row>
    <row r="911" spans="1:24" s="337" customFormat="1" ht="12" customHeight="1" outlineLevel="1">
      <c r="A911" s="335"/>
      <c r="B911" s="118" t="s">
        <v>12</v>
      </c>
      <c r="C911" s="334" t="s">
        <v>6623</v>
      </c>
      <c r="D911" s="124" t="s">
        <v>6624</v>
      </c>
      <c r="E911" s="125"/>
      <c r="F911" s="118" t="s">
        <v>303</v>
      </c>
      <c r="G911" s="126" t="s">
        <v>6520</v>
      </c>
      <c r="H911" s="255">
        <v>5</v>
      </c>
      <c r="I911" s="361">
        <v>1</v>
      </c>
      <c r="J911" s="336" t="s">
        <v>286</v>
      </c>
      <c r="W911" s="129" t="s">
        <v>286</v>
      </c>
      <c r="X911" s="337" t="b">
        <f t="shared" si="46"/>
        <v>1</v>
      </c>
    </row>
    <row r="912" spans="1:24" s="337" customFormat="1" ht="12" customHeight="1" outlineLevel="1">
      <c r="A912" s="335"/>
      <c r="B912" s="118" t="s">
        <v>12</v>
      </c>
      <c r="C912" s="334" t="s">
        <v>6625</v>
      </c>
      <c r="D912" s="124" t="s">
        <v>6626</v>
      </c>
      <c r="E912" s="125"/>
      <c r="F912" s="118" t="s">
        <v>303</v>
      </c>
      <c r="G912" s="126" t="s">
        <v>6520</v>
      </c>
      <c r="H912" s="255">
        <v>5</v>
      </c>
      <c r="I912" s="361">
        <v>1</v>
      </c>
      <c r="J912" s="336" t="s">
        <v>286</v>
      </c>
      <c r="W912" s="129" t="s">
        <v>286</v>
      </c>
      <c r="X912" s="337" t="b">
        <f t="shared" si="46"/>
        <v>1</v>
      </c>
    </row>
    <row r="913" spans="1:24" s="337" customFormat="1" ht="12" customHeight="1" outlineLevel="1">
      <c r="A913" s="335"/>
      <c r="B913" s="118" t="s">
        <v>12</v>
      </c>
      <c r="C913" s="334" t="s">
        <v>6627</v>
      </c>
      <c r="D913" s="124" t="s">
        <v>6628</v>
      </c>
      <c r="E913" s="125"/>
      <c r="F913" s="118" t="s">
        <v>303</v>
      </c>
      <c r="G913" s="126" t="s">
        <v>6520</v>
      </c>
      <c r="H913" s="255">
        <v>5</v>
      </c>
      <c r="I913" s="361">
        <v>1</v>
      </c>
      <c r="J913" s="336" t="s">
        <v>286</v>
      </c>
      <c r="W913" s="129" t="s">
        <v>286</v>
      </c>
      <c r="X913" s="337" t="b">
        <f t="shared" si="46"/>
        <v>1</v>
      </c>
    </row>
    <row r="914" spans="1:24" s="337" customFormat="1" ht="12" customHeight="1" outlineLevel="1">
      <c r="A914" s="335"/>
      <c r="B914" s="118" t="s">
        <v>12</v>
      </c>
      <c r="C914" s="334" t="s">
        <v>6629</v>
      </c>
      <c r="D914" s="124" t="s">
        <v>6630</v>
      </c>
      <c r="E914" s="125"/>
      <c r="F914" s="118" t="s">
        <v>303</v>
      </c>
      <c r="G914" s="126" t="s">
        <v>6520</v>
      </c>
      <c r="H914" s="255">
        <v>5</v>
      </c>
      <c r="I914" s="361">
        <v>1</v>
      </c>
      <c r="J914" s="336" t="s">
        <v>286</v>
      </c>
      <c r="W914" s="129" t="s">
        <v>286</v>
      </c>
      <c r="X914" s="337" t="b">
        <f t="shared" si="46"/>
        <v>1</v>
      </c>
    </row>
    <row r="915" spans="1:24" s="337" customFormat="1" ht="12" customHeight="1" outlineLevel="1">
      <c r="A915" s="335"/>
      <c r="B915" s="118" t="s">
        <v>12</v>
      </c>
      <c r="C915" s="334" t="s">
        <v>6631</v>
      </c>
      <c r="D915" s="124" t="s">
        <v>6632</v>
      </c>
      <c r="E915" s="125"/>
      <c r="F915" s="118" t="s">
        <v>303</v>
      </c>
      <c r="G915" s="126" t="s">
        <v>6520</v>
      </c>
      <c r="H915" s="255">
        <v>5</v>
      </c>
      <c r="I915" s="361">
        <v>1</v>
      </c>
      <c r="J915" s="336" t="s">
        <v>286</v>
      </c>
      <c r="W915" s="129" t="s">
        <v>286</v>
      </c>
      <c r="X915" s="337" t="b">
        <f t="shared" si="46"/>
        <v>1</v>
      </c>
    </row>
    <row r="916" spans="1:24" s="337" customFormat="1" ht="12" customHeight="1" outlineLevel="1">
      <c r="A916" s="335"/>
      <c r="B916" s="118" t="s">
        <v>12</v>
      </c>
      <c r="C916" s="334" t="s">
        <v>6633</v>
      </c>
      <c r="D916" s="124" t="s">
        <v>6634</v>
      </c>
      <c r="E916" s="125"/>
      <c r="F916" s="118" t="s">
        <v>303</v>
      </c>
      <c r="G916" s="126" t="s">
        <v>6520</v>
      </c>
      <c r="H916" s="255">
        <v>5</v>
      </c>
      <c r="I916" s="361">
        <v>1</v>
      </c>
      <c r="J916" s="336" t="s">
        <v>310</v>
      </c>
      <c r="W916" s="129" t="s">
        <v>286</v>
      </c>
      <c r="X916" s="337" t="b">
        <f t="shared" si="46"/>
        <v>0</v>
      </c>
    </row>
    <row r="917" spans="1:24" s="337" customFormat="1" ht="12" customHeight="1" outlineLevel="1">
      <c r="A917" s="335"/>
      <c r="B917" s="118" t="s">
        <v>12</v>
      </c>
      <c r="C917" s="334" t="s">
        <v>6635</v>
      </c>
      <c r="D917" s="124" t="s">
        <v>6636</v>
      </c>
      <c r="E917" s="125"/>
      <c r="F917" s="118" t="s">
        <v>303</v>
      </c>
      <c r="G917" s="126" t="s">
        <v>6520</v>
      </c>
      <c r="H917" s="255">
        <v>5</v>
      </c>
      <c r="I917" s="361">
        <v>1</v>
      </c>
      <c r="J917" s="336" t="s">
        <v>310</v>
      </c>
      <c r="W917" s="129" t="s">
        <v>286</v>
      </c>
      <c r="X917" s="337" t="b">
        <f t="shared" si="46"/>
        <v>0</v>
      </c>
    </row>
    <row r="918" spans="1:24" s="337" customFormat="1" ht="12" customHeight="1" outlineLevel="1">
      <c r="A918" s="335"/>
      <c r="B918" s="118" t="s">
        <v>12</v>
      </c>
      <c r="C918" s="334" t="s">
        <v>6637</v>
      </c>
      <c r="D918" s="124" t="s">
        <v>6638</v>
      </c>
      <c r="E918" s="125"/>
      <c r="F918" s="118" t="s">
        <v>303</v>
      </c>
      <c r="G918" s="126" t="s">
        <v>6520</v>
      </c>
      <c r="H918" s="255">
        <v>5</v>
      </c>
      <c r="I918" s="361">
        <v>1</v>
      </c>
      <c r="J918" s="336" t="s">
        <v>286</v>
      </c>
      <c r="W918" s="129" t="s">
        <v>286</v>
      </c>
      <c r="X918" s="337" t="b">
        <f t="shared" si="46"/>
        <v>1</v>
      </c>
    </row>
    <row r="919" spans="1:24" s="337" customFormat="1" ht="12" customHeight="1" outlineLevel="1">
      <c r="A919" s="335"/>
      <c r="B919" s="118" t="s">
        <v>12</v>
      </c>
      <c r="C919" s="334" t="s">
        <v>6639</v>
      </c>
      <c r="D919" s="124" t="s">
        <v>6640</v>
      </c>
      <c r="E919" s="125"/>
      <c r="F919" s="118" t="s">
        <v>303</v>
      </c>
      <c r="G919" s="126" t="s">
        <v>6520</v>
      </c>
      <c r="H919" s="255">
        <v>5</v>
      </c>
      <c r="I919" s="361">
        <v>1</v>
      </c>
      <c r="J919" s="336" t="s">
        <v>286</v>
      </c>
      <c r="W919" s="129" t="s">
        <v>286</v>
      </c>
      <c r="X919" s="337" t="b">
        <f t="shared" si="46"/>
        <v>1</v>
      </c>
    </row>
    <row r="920" spans="1:24" s="337" customFormat="1" ht="12" customHeight="1" outlineLevel="1">
      <c r="A920" s="335"/>
      <c r="B920" s="118" t="s">
        <v>12</v>
      </c>
      <c r="C920" s="334" t="s">
        <v>6641</v>
      </c>
      <c r="D920" s="124" t="s">
        <v>6642</v>
      </c>
      <c r="E920" s="125"/>
      <c r="F920" s="118" t="s">
        <v>303</v>
      </c>
      <c r="G920" s="126" t="s">
        <v>6520</v>
      </c>
      <c r="H920" s="255">
        <v>5</v>
      </c>
      <c r="I920" s="361">
        <v>1</v>
      </c>
      <c r="J920" s="336" t="s">
        <v>286</v>
      </c>
      <c r="W920" s="129" t="s">
        <v>286</v>
      </c>
      <c r="X920" s="337" t="b">
        <f t="shared" si="46"/>
        <v>1</v>
      </c>
    </row>
    <row r="921" spans="1:24" s="337" customFormat="1" ht="12" customHeight="1" outlineLevel="1">
      <c r="A921" s="335"/>
      <c r="B921" s="118" t="s">
        <v>12</v>
      </c>
      <c r="C921" s="334" t="s">
        <v>6643</v>
      </c>
      <c r="D921" s="124" t="s">
        <v>6644</v>
      </c>
      <c r="E921" s="125"/>
      <c r="F921" s="118" t="s">
        <v>303</v>
      </c>
      <c r="G921" s="126" t="s">
        <v>6520</v>
      </c>
      <c r="H921" s="255">
        <v>5</v>
      </c>
      <c r="I921" s="361">
        <v>1</v>
      </c>
      <c r="J921" s="336" t="s">
        <v>286</v>
      </c>
      <c r="W921" s="129" t="s">
        <v>286</v>
      </c>
      <c r="X921" s="337" t="b">
        <f t="shared" si="46"/>
        <v>1</v>
      </c>
    </row>
    <row r="922" spans="1:24" s="337" customFormat="1" ht="12" customHeight="1" outlineLevel="1">
      <c r="A922" s="335"/>
      <c r="B922" s="118" t="s">
        <v>12</v>
      </c>
      <c r="C922" s="334" t="s">
        <v>6645</v>
      </c>
      <c r="D922" s="124" t="s">
        <v>6646</v>
      </c>
      <c r="E922" s="125"/>
      <c r="F922" s="118" t="s">
        <v>303</v>
      </c>
      <c r="G922" s="126" t="s">
        <v>6520</v>
      </c>
      <c r="H922" s="255">
        <v>5</v>
      </c>
      <c r="I922" s="361">
        <v>1</v>
      </c>
      <c r="J922" s="336" t="s">
        <v>286</v>
      </c>
      <c r="W922" s="129" t="s">
        <v>286</v>
      </c>
      <c r="X922" s="337" t="b">
        <f t="shared" si="46"/>
        <v>1</v>
      </c>
    </row>
    <row r="923" spans="1:24" s="337" customFormat="1" ht="12" customHeight="1" outlineLevel="1">
      <c r="A923" s="335"/>
      <c r="B923" s="118" t="s">
        <v>12</v>
      </c>
      <c r="C923" s="334" t="s">
        <v>6647</v>
      </c>
      <c r="D923" s="124" t="s">
        <v>6648</v>
      </c>
      <c r="E923" s="125"/>
      <c r="F923" s="118" t="s">
        <v>303</v>
      </c>
      <c r="G923" s="126" t="s">
        <v>6520</v>
      </c>
      <c r="H923" s="255">
        <v>5</v>
      </c>
      <c r="I923" s="361">
        <v>1</v>
      </c>
      <c r="J923" s="336" t="s">
        <v>286</v>
      </c>
      <c r="W923" s="129" t="s">
        <v>286</v>
      </c>
      <c r="X923" s="337" t="b">
        <f t="shared" si="46"/>
        <v>1</v>
      </c>
    </row>
    <row r="924" spans="1:24" s="337" customFormat="1" ht="12" customHeight="1" outlineLevel="1">
      <c r="A924" s="335"/>
      <c r="B924" s="118" t="s">
        <v>12</v>
      </c>
      <c r="C924" s="334" t="s">
        <v>6649</v>
      </c>
      <c r="D924" s="124" t="s">
        <v>6650</v>
      </c>
      <c r="E924" s="125"/>
      <c r="F924" s="118" t="s">
        <v>303</v>
      </c>
      <c r="G924" s="126" t="s">
        <v>6520</v>
      </c>
      <c r="H924" s="255">
        <v>5</v>
      </c>
      <c r="I924" s="361">
        <v>1</v>
      </c>
      <c r="J924" s="336" t="s">
        <v>286</v>
      </c>
      <c r="W924" s="129" t="s">
        <v>286</v>
      </c>
      <c r="X924" s="337" t="b">
        <f t="shared" si="46"/>
        <v>1</v>
      </c>
    </row>
    <row r="925" spans="1:24" s="337" customFormat="1" ht="12" customHeight="1" outlineLevel="1">
      <c r="A925" s="335"/>
      <c r="B925" s="118" t="s">
        <v>12</v>
      </c>
      <c r="C925" s="334" t="s">
        <v>6651</v>
      </c>
      <c r="D925" s="124" t="s">
        <v>6652</v>
      </c>
      <c r="E925" s="125"/>
      <c r="F925" s="118" t="s">
        <v>303</v>
      </c>
      <c r="G925" s="126" t="s">
        <v>6520</v>
      </c>
      <c r="H925" s="255">
        <v>5</v>
      </c>
      <c r="I925" s="361">
        <v>1</v>
      </c>
      <c r="J925" s="336" t="s">
        <v>286</v>
      </c>
      <c r="W925" s="129" t="s">
        <v>286</v>
      </c>
      <c r="X925" s="337" t="b">
        <f t="shared" si="46"/>
        <v>1</v>
      </c>
    </row>
    <row r="926" spans="1:24" s="337" customFormat="1" ht="12" customHeight="1" outlineLevel="1">
      <c r="A926" s="335"/>
      <c r="B926" s="118" t="s">
        <v>12</v>
      </c>
      <c r="C926" s="334" t="s">
        <v>6653</v>
      </c>
      <c r="D926" s="124" t="s">
        <v>6654</v>
      </c>
      <c r="E926" s="125"/>
      <c r="F926" s="118" t="s">
        <v>303</v>
      </c>
      <c r="G926" s="126" t="s">
        <v>6520</v>
      </c>
      <c r="H926" s="255">
        <v>5</v>
      </c>
      <c r="I926" s="361">
        <v>1</v>
      </c>
      <c r="J926" s="336" t="s">
        <v>286</v>
      </c>
      <c r="W926" s="129" t="s">
        <v>286</v>
      </c>
      <c r="X926" s="337" t="b">
        <f t="shared" si="46"/>
        <v>1</v>
      </c>
    </row>
    <row r="927" spans="1:24" s="337" customFormat="1" ht="12" customHeight="1" outlineLevel="1">
      <c r="A927" s="335"/>
      <c r="B927" s="118" t="s">
        <v>12</v>
      </c>
      <c r="C927" s="334" t="s">
        <v>6655</v>
      </c>
      <c r="D927" s="124" t="s">
        <v>6656</v>
      </c>
      <c r="E927" s="125"/>
      <c r="F927" s="118" t="s">
        <v>303</v>
      </c>
      <c r="G927" s="126" t="s">
        <v>6520</v>
      </c>
      <c r="H927" s="255">
        <v>5</v>
      </c>
      <c r="I927" s="361">
        <v>1</v>
      </c>
      <c r="J927" s="336" t="s">
        <v>286</v>
      </c>
      <c r="W927" s="129" t="s">
        <v>286</v>
      </c>
      <c r="X927" s="337" t="b">
        <f t="shared" si="46"/>
        <v>1</v>
      </c>
    </row>
    <row r="928" spans="1:24" s="337" customFormat="1" ht="12" customHeight="1" outlineLevel="1">
      <c r="A928" s="335"/>
      <c r="B928" s="118" t="s">
        <v>12</v>
      </c>
      <c r="C928" s="334" t="s">
        <v>6657</v>
      </c>
      <c r="D928" s="124" t="s">
        <v>6658</v>
      </c>
      <c r="E928" s="125"/>
      <c r="F928" s="118" t="s">
        <v>303</v>
      </c>
      <c r="G928" s="126" t="s">
        <v>6520</v>
      </c>
      <c r="H928" s="255">
        <v>5</v>
      </c>
      <c r="I928" s="361">
        <v>1</v>
      </c>
      <c r="J928" s="336" t="s">
        <v>286</v>
      </c>
      <c r="W928" s="129" t="s">
        <v>286</v>
      </c>
      <c r="X928" s="337" t="b">
        <f t="shared" si="46"/>
        <v>1</v>
      </c>
    </row>
    <row r="929" spans="1:24" s="337" customFormat="1" ht="12" customHeight="1" outlineLevel="1">
      <c r="A929" s="335"/>
      <c r="B929" s="118" t="s">
        <v>12</v>
      </c>
      <c r="C929" s="334" t="s">
        <v>6659</v>
      </c>
      <c r="D929" s="124" t="s">
        <v>6660</v>
      </c>
      <c r="E929" s="125"/>
      <c r="F929" s="118" t="s">
        <v>303</v>
      </c>
      <c r="G929" s="126" t="s">
        <v>6520</v>
      </c>
      <c r="H929" s="255">
        <v>5</v>
      </c>
      <c r="I929" s="361">
        <v>1</v>
      </c>
      <c r="J929" s="336" t="s">
        <v>286</v>
      </c>
      <c r="W929" s="129" t="s">
        <v>286</v>
      </c>
      <c r="X929" s="337" t="b">
        <f t="shared" si="46"/>
        <v>1</v>
      </c>
    </row>
    <row r="930" spans="1:24" s="337" customFormat="1" ht="12" customHeight="1" outlineLevel="1">
      <c r="A930" s="335"/>
      <c r="B930" s="118" t="s">
        <v>12</v>
      </c>
      <c r="C930" s="334" t="s">
        <v>6661</v>
      </c>
      <c r="D930" s="124" t="s">
        <v>6662</v>
      </c>
      <c r="E930" s="125"/>
      <c r="F930" s="118" t="s">
        <v>303</v>
      </c>
      <c r="G930" s="126" t="s">
        <v>6520</v>
      </c>
      <c r="H930" s="255">
        <v>5</v>
      </c>
      <c r="I930" s="361">
        <v>1</v>
      </c>
      <c r="J930" s="336" t="s">
        <v>286</v>
      </c>
      <c r="W930" s="129" t="s">
        <v>286</v>
      </c>
      <c r="X930" s="337" t="b">
        <f t="shared" si="46"/>
        <v>1</v>
      </c>
    </row>
    <row r="931" spans="1:24" s="337" customFormat="1" ht="12" customHeight="1" outlineLevel="1">
      <c r="A931" s="335"/>
      <c r="B931" s="118" t="s">
        <v>12</v>
      </c>
      <c r="C931" s="334" t="s">
        <v>6663</v>
      </c>
      <c r="D931" s="124" t="s">
        <v>6664</v>
      </c>
      <c r="E931" s="125"/>
      <c r="F931" s="118" t="s">
        <v>303</v>
      </c>
      <c r="G931" s="126" t="s">
        <v>6520</v>
      </c>
      <c r="H931" s="255">
        <v>5</v>
      </c>
      <c r="I931" s="361">
        <v>1</v>
      </c>
      <c r="J931" s="336" t="s">
        <v>286</v>
      </c>
      <c r="W931" s="129" t="s">
        <v>286</v>
      </c>
      <c r="X931" s="337" t="b">
        <f t="shared" si="46"/>
        <v>1</v>
      </c>
    </row>
    <row r="932" spans="1:24" s="337" customFormat="1" ht="12" customHeight="1" outlineLevel="1">
      <c r="A932" s="335"/>
      <c r="B932" s="118" t="s">
        <v>12</v>
      </c>
      <c r="C932" s="334" t="s">
        <v>6665</v>
      </c>
      <c r="D932" s="124" t="s">
        <v>6666</v>
      </c>
      <c r="E932" s="125"/>
      <c r="F932" s="118" t="s">
        <v>303</v>
      </c>
      <c r="G932" s="126" t="s">
        <v>6520</v>
      </c>
      <c r="H932" s="255">
        <v>5</v>
      </c>
      <c r="I932" s="361">
        <v>1</v>
      </c>
      <c r="J932" s="336" t="s">
        <v>286</v>
      </c>
      <c r="W932" s="129" t="s">
        <v>286</v>
      </c>
      <c r="X932" s="337" t="b">
        <f t="shared" ref="X932:X995" si="47">W932=J932</f>
        <v>1</v>
      </c>
    </row>
    <row r="933" spans="1:24" s="337" customFormat="1" ht="12" customHeight="1" outlineLevel="1">
      <c r="A933" s="335"/>
      <c r="B933" s="118" t="s">
        <v>12</v>
      </c>
      <c r="C933" s="334" t="s">
        <v>6667</v>
      </c>
      <c r="D933" s="124" t="s">
        <v>6668</v>
      </c>
      <c r="E933" s="125"/>
      <c r="F933" s="118" t="s">
        <v>303</v>
      </c>
      <c r="G933" s="126" t="s">
        <v>6520</v>
      </c>
      <c r="H933" s="255">
        <v>5</v>
      </c>
      <c r="I933" s="361">
        <v>1</v>
      </c>
      <c r="J933" s="336" t="s">
        <v>286</v>
      </c>
      <c r="W933" s="129" t="s">
        <v>286</v>
      </c>
      <c r="X933" s="337" t="b">
        <f t="shared" si="47"/>
        <v>1</v>
      </c>
    </row>
    <row r="934" spans="1:24" s="337" customFormat="1" ht="12" customHeight="1" outlineLevel="1">
      <c r="A934" s="335"/>
      <c r="B934" s="118" t="s">
        <v>12</v>
      </c>
      <c r="C934" s="334" t="s">
        <v>6669</v>
      </c>
      <c r="D934" s="124" t="s">
        <v>6670</v>
      </c>
      <c r="E934" s="125"/>
      <c r="F934" s="118" t="s">
        <v>303</v>
      </c>
      <c r="G934" s="126" t="s">
        <v>6520</v>
      </c>
      <c r="H934" s="255">
        <v>5</v>
      </c>
      <c r="I934" s="361">
        <v>1</v>
      </c>
      <c r="J934" s="336" t="s">
        <v>286</v>
      </c>
      <c r="W934" s="129" t="s">
        <v>286</v>
      </c>
      <c r="X934" s="337" t="b">
        <f t="shared" si="47"/>
        <v>1</v>
      </c>
    </row>
    <row r="935" spans="1:24" s="337" customFormat="1" ht="12" customHeight="1" outlineLevel="1">
      <c r="A935" s="335"/>
      <c r="B935" s="118" t="s">
        <v>12</v>
      </c>
      <c r="C935" s="334" t="s">
        <v>6671</v>
      </c>
      <c r="D935" s="124" t="s">
        <v>6672</v>
      </c>
      <c r="E935" s="125"/>
      <c r="F935" s="118" t="s">
        <v>303</v>
      </c>
      <c r="G935" s="126" t="s">
        <v>6520</v>
      </c>
      <c r="H935" s="255">
        <v>5</v>
      </c>
      <c r="I935" s="361">
        <v>1</v>
      </c>
      <c r="J935" s="336" t="s">
        <v>286</v>
      </c>
      <c r="W935" s="129" t="s">
        <v>286</v>
      </c>
      <c r="X935" s="337" t="b">
        <f t="shared" si="47"/>
        <v>1</v>
      </c>
    </row>
    <row r="936" spans="1:24" s="337" customFormat="1" ht="12" customHeight="1" outlineLevel="1">
      <c r="A936" s="335"/>
      <c r="B936" s="118" t="s">
        <v>12</v>
      </c>
      <c r="C936" s="334" t="s">
        <v>6673</v>
      </c>
      <c r="D936" s="124" t="s">
        <v>6674</v>
      </c>
      <c r="E936" s="125"/>
      <c r="F936" s="118" t="s">
        <v>303</v>
      </c>
      <c r="G936" s="126" t="s">
        <v>6520</v>
      </c>
      <c r="H936" s="255">
        <v>5</v>
      </c>
      <c r="I936" s="361">
        <v>1</v>
      </c>
      <c r="J936" s="336" t="s">
        <v>286</v>
      </c>
      <c r="W936" s="129" t="s">
        <v>286</v>
      </c>
      <c r="X936" s="337" t="b">
        <f t="shared" si="47"/>
        <v>1</v>
      </c>
    </row>
    <row r="937" spans="1:24" s="337" customFormat="1" ht="12" customHeight="1" outlineLevel="1">
      <c r="A937" s="335"/>
      <c r="B937" s="118" t="s">
        <v>12</v>
      </c>
      <c r="C937" s="334" t="s">
        <v>6675</v>
      </c>
      <c r="D937" s="124" t="s">
        <v>6676</v>
      </c>
      <c r="E937" s="125"/>
      <c r="F937" s="118" t="s">
        <v>303</v>
      </c>
      <c r="G937" s="126" t="s">
        <v>6520</v>
      </c>
      <c r="H937" s="255">
        <v>5</v>
      </c>
      <c r="I937" s="361">
        <v>1</v>
      </c>
      <c r="J937" s="336" t="s">
        <v>286</v>
      </c>
      <c r="W937" s="129" t="s">
        <v>286</v>
      </c>
      <c r="X937" s="337" t="b">
        <f t="shared" si="47"/>
        <v>1</v>
      </c>
    </row>
    <row r="938" spans="1:24" s="337" customFormat="1" ht="12" customHeight="1" outlineLevel="1">
      <c r="A938" s="335"/>
      <c r="B938" s="118" t="s">
        <v>12</v>
      </c>
      <c r="C938" s="334" t="s">
        <v>6677</v>
      </c>
      <c r="D938" s="124" t="s">
        <v>6678</v>
      </c>
      <c r="E938" s="125"/>
      <c r="F938" s="118" t="s">
        <v>303</v>
      </c>
      <c r="G938" s="126" t="s">
        <v>6520</v>
      </c>
      <c r="H938" s="255">
        <v>5</v>
      </c>
      <c r="I938" s="361">
        <v>1</v>
      </c>
      <c r="J938" s="336" t="s">
        <v>286</v>
      </c>
      <c r="W938" s="129" t="s">
        <v>286</v>
      </c>
      <c r="X938" s="337" t="b">
        <f t="shared" si="47"/>
        <v>1</v>
      </c>
    </row>
    <row r="939" spans="1:24" s="337" customFormat="1" ht="12" customHeight="1" outlineLevel="1">
      <c r="A939" s="335"/>
      <c r="B939" s="118" t="s">
        <v>12</v>
      </c>
      <c r="C939" s="334" t="s">
        <v>6679</v>
      </c>
      <c r="D939" s="124" t="s">
        <v>6680</v>
      </c>
      <c r="E939" s="125"/>
      <c r="F939" s="118" t="s">
        <v>303</v>
      </c>
      <c r="G939" s="126" t="s">
        <v>6520</v>
      </c>
      <c r="H939" s="255">
        <v>5</v>
      </c>
      <c r="I939" s="361">
        <v>1</v>
      </c>
      <c r="J939" s="336" t="s">
        <v>286</v>
      </c>
      <c r="W939" s="129" t="s">
        <v>286</v>
      </c>
      <c r="X939" s="337" t="b">
        <f t="shared" si="47"/>
        <v>1</v>
      </c>
    </row>
    <row r="940" spans="1:24" s="337" customFormat="1" ht="12" customHeight="1" outlineLevel="1">
      <c r="A940" s="335"/>
      <c r="B940" s="118" t="s">
        <v>12</v>
      </c>
      <c r="C940" s="334" t="s">
        <v>6681</v>
      </c>
      <c r="D940" s="124" t="s">
        <v>6682</v>
      </c>
      <c r="E940" s="125"/>
      <c r="F940" s="118" t="s">
        <v>303</v>
      </c>
      <c r="G940" s="126" t="s">
        <v>6520</v>
      </c>
      <c r="H940" s="255">
        <v>5</v>
      </c>
      <c r="I940" s="361">
        <v>1</v>
      </c>
      <c r="J940" s="336" t="s">
        <v>286</v>
      </c>
      <c r="W940" s="129" t="s">
        <v>286</v>
      </c>
      <c r="X940" s="337" t="b">
        <f t="shared" si="47"/>
        <v>1</v>
      </c>
    </row>
    <row r="941" spans="1:24" s="337" customFormat="1" ht="12" customHeight="1" outlineLevel="1">
      <c r="A941" s="335"/>
      <c r="B941" s="118" t="s">
        <v>12</v>
      </c>
      <c r="C941" s="334" t="s">
        <v>6683</v>
      </c>
      <c r="D941" s="124" t="s">
        <v>6684</v>
      </c>
      <c r="E941" s="125"/>
      <c r="F941" s="118" t="s">
        <v>303</v>
      </c>
      <c r="G941" s="126" t="s">
        <v>6520</v>
      </c>
      <c r="H941" s="255">
        <v>5</v>
      </c>
      <c r="I941" s="361">
        <v>1</v>
      </c>
      <c r="J941" s="336" t="s">
        <v>286</v>
      </c>
      <c r="W941" s="129" t="s">
        <v>286</v>
      </c>
      <c r="X941" s="337" t="b">
        <f t="shared" si="47"/>
        <v>1</v>
      </c>
    </row>
    <row r="942" spans="1:24" s="337" customFormat="1" ht="12" customHeight="1" outlineLevel="1">
      <c r="A942" s="335"/>
      <c r="B942" s="118" t="s">
        <v>12</v>
      </c>
      <c r="C942" s="334" t="s">
        <v>6685</v>
      </c>
      <c r="D942" s="124" t="s">
        <v>6686</v>
      </c>
      <c r="E942" s="125"/>
      <c r="F942" s="118" t="s">
        <v>303</v>
      </c>
      <c r="G942" s="126" t="s">
        <v>6520</v>
      </c>
      <c r="H942" s="255">
        <v>5</v>
      </c>
      <c r="I942" s="361">
        <v>1</v>
      </c>
      <c r="J942" s="336" t="s">
        <v>286</v>
      </c>
      <c r="W942" s="129" t="s">
        <v>286</v>
      </c>
      <c r="X942" s="337" t="b">
        <f t="shared" si="47"/>
        <v>1</v>
      </c>
    </row>
    <row r="943" spans="1:24" s="337" customFormat="1" ht="12" customHeight="1" outlineLevel="1">
      <c r="A943" s="335"/>
      <c r="B943" s="118" t="s">
        <v>12</v>
      </c>
      <c r="C943" s="334" t="s">
        <v>6687</v>
      </c>
      <c r="D943" s="124" t="s">
        <v>6688</v>
      </c>
      <c r="E943" s="125"/>
      <c r="F943" s="118" t="s">
        <v>303</v>
      </c>
      <c r="G943" s="126" t="s">
        <v>6520</v>
      </c>
      <c r="H943" s="255">
        <v>5</v>
      </c>
      <c r="I943" s="361">
        <v>1</v>
      </c>
      <c r="J943" s="336" t="s">
        <v>286</v>
      </c>
      <c r="W943" s="129" t="s">
        <v>286</v>
      </c>
      <c r="X943" s="337" t="b">
        <f t="shared" si="47"/>
        <v>1</v>
      </c>
    </row>
    <row r="944" spans="1:24" s="337" customFormat="1" ht="12" customHeight="1" outlineLevel="1">
      <c r="A944" s="335"/>
      <c r="B944" s="118" t="s">
        <v>12</v>
      </c>
      <c r="C944" s="334" t="s">
        <v>6689</v>
      </c>
      <c r="D944" s="124" t="s">
        <v>6690</v>
      </c>
      <c r="E944" s="125"/>
      <c r="F944" s="118" t="s">
        <v>303</v>
      </c>
      <c r="G944" s="126" t="s">
        <v>6520</v>
      </c>
      <c r="H944" s="255">
        <v>5</v>
      </c>
      <c r="I944" s="361">
        <v>1</v>
      </c>
      <c r="J944" s="336" t="s">
        <v>286</v>
      </c>
      <c r="W944" s="129" t="s">
        <v>286</v>
      </c>
      <c r="X944" s="337" t="b">
        <f t="shared" si="47"/>
        <v>1</v>
      </c>
    </row>
    <row r="945" spans="1:24" s="337" customFormat="1" ht="12" customHeight="1" outlineLevel="1">
      <c r="A945" s="335"/>
      <c r="B945" s="118" t="s">
        <v>12</v>
      </c>
      <c r="C945" s="334" t="s">
        <v>6691</v>
      </c>
      <c r="D945" s="124" t="s">
        <v>6692</v>
      </c>
      <c r="E945" s="125"/>
      <c r="F945" s="118" t="s">
        <v>303</v>
      </c>
      <c r="G945" s="126" t="s">
        <v>6520</v>
      </c>
      <c r="H945" s="255">
        <v>5</v>
      </c>
      <c r="I945" s="361">
        <v>1</v>
      </c>
      <c r="J945" s="336" t="s">
        <v>286</v>
      </c>
      <c r="W945" s="129" t="s">
        <v>286</v>
      </c>
      <c r="X945" s="337" t="b">
        <f t="shared" si="47"/>
        <v>1</v>
      </c>
    </row>
    <row r="946" spans="1:24" s="337" customFormat="1" ht="12" customHeight="1" outlineLevel="1">
      <c r="A946" s="335"/>
      <c r="B946" s="118" t="s">
        <v>12</v>
      </c>
      <c r="C946" s="334" t="s">
        <v>6693</v>
      </c>
      <c r="D946" s="124" t="s">
        <v>6694</v>
      </c>
      <c r="E946" s="125"/>
      <c r="F946" s="118" t="s">
        <v>303</v>
      </c>
      <c r="G946" s="126" t="s">
        <v>6520</v>
      </c>
      <c r="H946" s="255">
        <v>5</v>
      </c>
      <c r="I946" s="361">
        <v>1</v>
      </c>
      <c r="J946" s="336" t="s">
        <v>286</v>
      </c>
      <c r="W946" s="129" t="s">
        <v>286</v>
      </c>
      <c r="X946" s="337" t="b">
        <f t="shared" si="47"/>
        <v>1</v>
      </c>
    </row>
    <row r="947" spans="1:24" s="337" customFormat="1" ht="12" customHeight="1" outlineLevel="1">
      <c r="A947" s="335"/>
      <c r="B947" s="118" t="s">
        <v>12</v>
      </c>
      <c r="C947" s="334" t="s">
        <v>6695</v>
      </c>
      <c r="D947" s="124" t="s">
        <v>6696</v>
      </c>
      <c r="E947" s="125"/>
      <c r="F947" s="118" t="s">
        <v>303</v>
      </c>
      <c r="G947" s="126" t="s">
        <v>6520</v>
      </c>
      <c r="H947" s="255">
        <v>5</v>
      </c>
      <c r="I947" s="361">
        <v>1</v>
      </c>
      <c r="J947" s="336" t="s">
        <v>286</v>
      </c>
      <c r="W947" s="129" t="s">
        <v>286</v>
      </c>
      <c r="X947" s="337" t="b">
        <f t="shared" si="47"/>
        <v>1</v>
      </c>
    </row>
    <row r="948" spans="1:24" s="337" customFormat="1" ht="12" customHeight="1" outlineLevel="1">
      <c r="A948" s="335"/>
      <c r="B948" s="118" t="s">
        <v>12</v>
      </c>
      <c r="C948" s="334" t="s">
        <v>6697</v>
      </c>
      <c r="D948" s="124" t="s">
        <v>6698</v>
      </c>
      <c r="E948" s="125"/>
      <c r="F948" s="118" t="s">
        <v>303</v>
      </c>
      <c r="G948" s="126" t="s">
        <v>6520</v>
      </c>
      <c r="H948" s="255">
        <v>5</v>
      </c>
      <c r="I948" s="361">
        <v>1</v>
      </c>
      <c r="J948" s="336" t="s">
        <v>286</v>
      </c>
      <c r="W948" s="129" t="s">
        <v>286</v>
      </c>
      <c r="X948" s="337" t="b">
        <f t="shared" si="47"/>
        <v>1</v>
      </c>
    </row>
    <row r="949" spans="1:24" s="337" customFormat="1" ht="12" customHeight="1" outlineLevel="1">
      <c r="A949" s="335"/>
      <c r="B949" s="118" t="s">
        <v>12</v>
      </c>
      <c r="C949" s="334" t="s">
        <v>6699</v>
      </c>
      <c r="D949" s="124" t="s">
        <v>6700</v>
      </c>
      <c r="E949" s="125"/>
      <c r="F949" s="118" t="s">
        <v>303</v>
      </c>
      <c r="G949" s="126" t="s">
        <v>6520</v>
      </c>
      <c r="H949" s="255">
        <v>5</v>
      </c>
      <c r="I949" s="361">
        <v>1</v>
      </c>
      <c r="J949" s="336" t="s">
        <v>286</v>
      </c>
      <c r="W949" s="129" t="s">
        <v>286</v>
      </c>
      <c r="X949" s="337" t="b">
        <f t="shared" si="47"/>
        <v>1</v>
      </c>
    </row>
    <row r="950" spans="1:24" s="337" customFormat="1" ht="12" customHeight="1" outlineLevel="1">
      <c r="A950" s="335"/>
      <c r="B950" s="118" t="s">
        <v>12</v>
      </c>
      <c r="C950" s="334" t="s">
        <v>6701</v>
      </c>
      <c r="D950" s="124" t="s">
        <v>6702</v>
      </c>
      <c r="E950" s="125"/>
      <c r="F950" s="118" t="s">
        <v>303</v>
      </c>
      <c r="G950" s="126" t="s">
        <v>6520</v>
      </c>
      <c r="H950" s="255">
        <v>5</v>
      </c>
      <c r="I950" s="361">
        <v>1</v>
      </c>
      <c r="J950" s="336" t="s">
        <v>286</v>
      </c>
      <c r="W950" s="129" t="s">
        <v>286</v>
      </c>
      <c r="X950" s="337" t="b">
        <f t="shared" si="47"/>
        <v>1</v>
      </c>
    </row>
    <row r="951" spans="1:24" s="337" customFormat="1" ht="12" customHeight="1" outlineLevel="1">
      <c r="A951" s="335"/>
      <c r="B951" s="118" t="s">
        <v>12</v>
      </c>
      <c r="C951" s="334" t="s">
        <v>6703</v>
      </c>
      <c r="D951" s="124" t="s">
        <v>6704</v>
      </c>
      <c r="E951" s="125"/>
      <c r="F951" s="118" t="s">
        <v>303</v>
      </c>
      <c r="G951" s="126" t="s">
        <v>6520</v>
      </c>
      <c r="H951" s="255">
        <v>5</v>
      </c>
      <c r="I951" s="361">
        <v>1</v>
      </c>
      <c r="J951" s="336" t="s">
        <v>286</v>
      </c>
      <c r="W951" s="129" t="s">
        <v>286</v>
      </c>
      <c r="X951" s="337" t="b">
        <f t="shared" si="47"/>
        <v>1</v>
      </c>
    </row>
    <row r="952" spans="1:24" s="337" customFormat="1" ht="12" customHeight="1" outlineLevel="1">
      <c r="A952" s="335"/>
      <c r="B952" s="118" t="s">
        <v>12</v>
      </c>
      <c r="C952" s="334" t="s">
        <v>6705</v>
      </c>
      <c r="D952" s="124" t="s">
        <v>6634</v>
      </c>
      <c r="E952" s="125"/>
      <c r="F952" s="118" t="s">
        <v>303</v>
      </c>
      <c r="G952" s="126" t="s">
        <v>6520</v>
      </c>
      <c r="H952" s="255">
        <v>5</v>
      </c>
      <c r="I952" s="361">
        <v>1</v>
      </c>
      <c r="J952" s="336" t="s">
        <v>286</v>
      </c>
      <c r="W952" s="129" t="s">
        <v>286</v>
      </c>
      <c r="X952" s="337" t="b">
        <f t="shared" si="47"/>
        <v>1</v>
      </c>
    </row>
    <row r="953" spans="1:24" s="337" customFormat="1" ht="12" customHeight="1" outlineLevel="1">
      <c r="A953" s="335"/>
      <c r="B953" s="118" t="s">
        <v>12</v>
      </c>
      <c r="C953" s="334" t="s">
        <v>6706</v>
      </c>
      <c r="D953" s="124" t="s">
        <v>6707</v>
      </c>
      <c r="E953" s="125"/>
      <c r="F953" s="118" t="s">
        <v>303</v>
      </c>
      <c r="G953" s="126" t="s">
        <v>6520</v>
      </c>
      <c r="H953" s="255">
        <v>5</v>
      </c>
      <c r="I953" s="361">
        <v>1</v>
      </c>
      <c r="J953" s="336" t="s">
        <v>286</v>
      </c>
      <c r="W953" s="129" t="s">
        <v>286</v>
      </c>
      <c r="X953" s="337" t="b">
        <f t="shared" si="47"/>
        <v>1</v>
      </c>
    </row>
    <row r="954" spans="1:24" s="337" customFormat="1" ht="12" customHeight="1" outlineLevel="1">
      <c r="A954" s="335"/>
      <c r="B954" s="118" t="s">
        <v>12</v>
      </c>
      <c r="C954" s="334" t="s">
        <v>6708</v>
      </c>
      <c r="D954" s="124" t="s">
        <v>6709</v>
      </c>
      <c r="E954" s="125"/>
      <c r="F954" s="118" t="s">
        <v>303</v>
      </c>
      <c r="G954" s="126" t="s">
        <v>6520</v>
      </c>
      <c r="H954" s="255">
        <v>5</v>
      </c>
      <c r="I954" s="361">
        <v>1</v>
      </c>
      <c r="J954" s="336" t="s">
        <v>286</v>
      </c>
      <c r="W954" s="129" t="s">
        <v>286</v>
      </c>
      <c r="X954" s="337" t="b">
        <f t="shared" si="47"/>
        <v>1</v>
      </c>
    </row>
    <row r="955" spans="1:24" s="337" customFormat="1" ht="12" customHeight="1" outlineLevel="1">
      <c r="A955" s="335"/>
      <c r="B955" s="118" t="s">
        <v>12</v>
      </c>
      <c r="C955" s="334" t="s">
        <v>6710</v>
      </c>
      <c r="D955" s="124" t="s">
        <v>6711</v>
      </c>
      <c r="E955" s="125"/>
      <c r="F955" s="118" t="s">
        <v>303</v>
      </c>
      <c r="G955" s="126" t="s">
        <v>6520</v>
      </c>
      <c r="H955" s="255">
        <v>5</v>
      </c>
      <c r="I955" s="361">
        <v>1</v>
      </c>
      <c r="J955" s="336" t="s">
        <v>286</v>
      </c>
      <c r="W955" s="129" t="s">
        <v>286</v>
      </c>
      <c r="X955" s="337" t="b">
        <f t="shared" si="47"/>
        <v>1</v>
      </c>
    </row>
    <row r="956" spans="1:24" s="337" customFormat="1" ht="12" customHeight="1" outlineLevel="1">
      <c r="A956" s="335"/>
      <c r="B956" s="118" t="s">
        <v>12</v>
      </c>
      <c r="C956" s="334" t="s">
        <v>6712</v>
      </c>
      <c r="D956" s="124" t="s">
        <v>6713</v>
      </c>
      <c r="E956" s="125"/>
      <c r="F956" s="118" t="s">
        <v>303</v>
      </c>
      <c r="G956" s="126" t="s">
        <v>6520</v>
      </c>
      <c r="H956" s="255">
        <v>5</v>
      </c>
      <c r="I956" s="361">
        <v>1</v>
      </c>
      <c r="J956" s="336" t="s">
        <v>286</v>
      </c>
      <c r="W956" s="129" t="s">
        <v>286</v>
      </c>
      <c r="X956" s="337" t="b">
        <f t="shared" si="47"/>
        <v>1</v>
      </c>
    </row>
    <row r="957" spans="1:24" s="337" customFormat="1" ht="12" customHeight="1" outlineLevel="1">
      <c r="A957" s="335"/>
      <c r="B957" s="118" t="s">
        <v>12</v>
      </c>
      <c r="C957" s="334" t="s">
        <v>6714</v>
      </c>
      <c r="D957" s="124" t="s">
        <v>6715</v>
      </c>
      <c r="E957" s="125"/>
      <c r="F957" s="118" t="s">
        <v>303</v>
      </c>
      <c r="G957" s="126" t="s">
        <v>6520</v>
      </c>
      <c r="H957" s="255">
        <v>5</v>
      </c>
      <c r="I957" s="361">
        <v>1</v>
      </c>
      <c r="J957" s="336" t="s">
        <v>286</v>
      </c>
      <c r="W957" s="129" t="s">
        <v>286</v>
      </c>
      <c r="X957" s="337" t="b">
        <f t="shared" si="47"/>
        <v>1</v>
      </c>
    </row>
    <row r="958" spans="1:24" s="337" customFormat="1" ht="12" customHeight="1" outlineLevel="1">
      <c r="A958" s="335"/>
      <c r="B958" s="118" t="s">
        <v>12</v>
      </c>
      <c r="C958" s="334" t="s">
        <v>6716</v>
      </c>
      <c r="D958" s="124" t="s">
        <v>6717</v>
      </c>
      <c r="E958" s="125"/>
      <c r="F958" s="118" t="s">
        <v>303</v>
      </c>
      <c r="G958" s="126" t="s">
        <v>6520</v>
      </c>
      <c r="H958" s="255">
        <v>5</v>
      </c>
      <c r="I958" s="361">
        <v>1</v>
      </c>
      <c r="J958" s="336" t="s">
        <v>286</v>
      </c>
      <c r="W958" s="129" t="s">
        <v>286</v>
      </c>
      <c r="X958" s="337" t="b">
        <f t="shared" si="47"/>
        <v>1</v>
      </c>
    </row>
    <row r="959" spans="1:24" s="337" customFormat="1" ht="12" customHeight="1" outlineLevel="1">
      <c r="A959" s="335"/>
      <c r="B959" s="118" t="s">
        <v>12</v>
      </c>
      <c r="C959" s="334" t="s">
        <v>6718</v>
      </c>
      <c r="D959" s="124" t="s">
        <v>6719</v>
      </c>
      <c r="E959" s="125"/>
      <c r="F959" s="118" t="s">
        <v>303</v>
      </c>
      <c r="G959" s="126" t="s">
        <v>6520</v>
      </c>
      <c r="H959" s="255">
        <v>5</v>
      </c>
      <c r="I959" s="361">
        <v>1</v>
      </c>
      <c r="J959" s="336" t="s">
        <v>286</v>
      </c>
      <c r="W959" s="129" t="s">
        <v>286</v>
      </c>
      <c r="X959" s="337" t="b">
        <f t="shared" si="47"/>
        <v>1</v>
      </c>
    </row>
    <row r="960" spans="1:24" s="337" customFormat="1" ht="12" customHeight="1" outlineLevel="1">
      <c r="A960" s="335"/>
      <c r="B960" s="118" t="s">
        <v>12</v>
      </c>
      <c r="C960" s="334" t="s">
        <v>6720</v>
      </c>
      <c r="D960" s="124" t="s">
        <v>6721</v>
      </c>
      <c r="E960" s="125"/>
      <c r="F960" s="118" t="s">
        <v>303</v>
      </c>
      <c r="G960" s="126" t="s">
        <v>6520</v>
      </c>
      <c r="H960" s="255">
        <v>5</v>
      </c>
      <c r="I960" s="361">
        <v>1</v>
      </c>
      <c r="J960" s="336" t="s">
        <v>286</v>
      </c>
      <c r="W960" s="129" t="s">
        <v>286</v>
      </c>
      <c r="X960" s="337" t="b">
        <f t="shared" si="47"/>
        <v>1</v>
      </c>
    </row>
    <row r="961" spans="1:24" s="337" customFormat="1" ht="12" customHeight="1" outlineLevel="1">
      <c r="A961" s="335"/>
      <c r="B961" s="118" t="s">
        <v>12</v>
      </c>
      <c r="C961" s="334" t="s">
        <v>6722</v>
      </c>
      <c r="D961" s="124" t="s">
        <v>6723</v>
      </c>
      <c r="E961" s="125"/>
      <c r="F961" s="118" t="s">
        <v>303</v>
      </c>
      <c r="G961" s="126" t="s">
        <v>6520</v>
      </c>
      <c r="H961" s="255">
        <v>5</v>
      </c>
      <c r="I961" s="361">
        <v>1</v>
      </c>
      <c r="J961" s="336" t="s">
        <v>286</v>
      </c>
      <c r="W961" s="129" t="s">
        <v>286</v>
      </c>
      <c r="X961" s="337" t="b">
        <f t="shared" si="47"/>
        <v>1</v>
      </c>
    </row>
    <row r="962" spans="1:24" s="337" customFormat="1" ht="12" customHeight="1" outlineLevel="1">
      <c r="A962" s="335"/>
      <c r="B962" s="118" t="s">
        <v>12</v>
      </c>
      <c r="C962" s="334" t="s">
        <v>6724</v>
      </c>
      <c r="D962" s="124" t="s">
        <v>6725</v>
      </c>
      <c r="E962" s="125"/>
      <c r="F962" s="118" t="s">
        <v>303</v>
      </c>
      <c r="G962" s="126" t="s">
        <v>6520</v>
      </c>
      <c r="H962" s="255">
        <v>5</v>
      </c>
      <c r="I962" s="361">
        <v>1</v>
      </c>
      <c r="J962" s="336" t="s">
        <v>286</v>
      </c>
      <c r="W962" s="129" t="s">
        <v>286</v>
      </c>
      <c r="X962" s="337" t="b">
        <f t="shared" si="47"/>
        <v>1</v>
      </c>
    </row>
    <row r="963" spans="1:24" s="337" customFormat="1" ht="12" customHeight="1" outlineLevel="1">
      <c r="A963" s="335"/>
      <c r="B963" s="118" t="s">
        <v>12</v>
      </c>
      <c r="C963" s="334" t="s">
        <v>6726</v>
      </c>
      <c r="D963" s="124" t="s">
        <v>6727</v>
      </c>
      <c r="E963" s="125"/>
      <c r="F963" s="118" t="s">
        <v>303</v>
      </c>
      <c r="G963" s="126" t="s">
        <v>6520</v>
      </c>
      <c r="H963" s="255">
        <v>5</v>
      </c>
      <c r="I963" s="361">
        <v>1</v>
      </c>
      <c r="J963" s="336" t="s">
        <v>286</v>
      </c>
      <c r="W963" s="129" t="s">
        <v>286</v>
      </c>
      <c r="X963" s="337" t="b">
        <f t="shared" si="47"/>
        <v>1</v>
      </c>
    </row>
    <row r="964" spans="1:24" s="337" customFormat="1" ht="12" customHeight="1" outlineLevel="1">
      <c r="A964" s="335"/>
      <c r="B964" s="118" t="s">
        <v>12</v>
      </c>
      <c r="C964" s="334" t="s">
        <v>6728</v>
      </c>
      <c r="D964" s="124" t="s">
        <v>6729</v>
      </c>
      <c r="E964" s="125"/>
      <c r="F964" s="118" t="s">
        <v>303</v>
      </c>
      <c r="G964" s="126" t="s">
        <v>6520</v>
      </c>
      <c r="H964" s="255">
        <v>5</v>
      </c>
      <c r="I964" s="361">
        <v>1</v>
      </c>
      <c r="J964" s="336" t="s">
        <v>286</v>
      </c>
      <c r="W964" s="129" t="s">
        <v>286</v>
      </c>
      <c r="X964" s="337" t="b">
        <f t="shared" si="47"/>
        <v>1</v>
      </c>
    </row>
    <row r="965" spans="1:24" s="337" customFormat="1" ht="12" customHeight="1" outlineLevel="1">
      <c r="A965" s="335"/>
      <c r="B965" s="118" t="s">
        <v>12</v>
      </c>
      <c r="C965" s="334" t="s">
        <v>6730</v>
      </c>
      <c r="D965" s="124" t="s">
        <v>6731</v>
      </c>
      <c r="E965" s="125"/>
      <c r="F965" s="118" t="s">
        <v>303</v>
      </c>
      <c r="G965" s="126" t="s">
        <v>6520</v>
      </c>
      <c r="H965" s="255">
        <v>5</v>
      </c>
      <c r="I965" s="361">
        <v>1</v>
      </c>
      <c r="J965" s="336" t="s">
        <v>286</v>
      </c>
      <c r="W965" s="129" t="s">
        <v>286</v>
      </c>
      <c r="X965" s="337" t="b">
        <f t="shared" si="47"/>
        <v>1</v>
      </c>
    </row>
    <row r="966" spans="1:24" s="337" customFormat="1" ht="12" customHeight="1" outlineLevel="1">
      <c r="A966" s="335"/>
      <c r="B966" s="118" t="s">
        <v>12</v>
      </c>
      <c r="C966" s="334" t="s">
        <v>6732</v>
      </c>
      <c r="D966" s="124" t="s">
        <v>6733</v>
      </c>
      <c r="E966" s="125"/>
      <c r="F966" s="118" t="s">
        <v>303</v>
      </c>
      <c r="G966" s="126" t="s">
        <v>6520</v>
      </c>
      <c r="H966" s="255">
        <v>5</v>
      </c>
      <c r="I966" s="361">
        <v>1</v>
      </c>
      <c r="J966" s="336" t="s">
        <v>310</v>
      </c>
      <c r="W966" s="129" t="s">
        <v>286</v>
      </c>
      <c r="X966" s="337" t="b">
        <f t="shared" si="47"/>
        <v>0</v>
      </c>
    </row>
    <row r="967" spans="1:24" s="337" customFormat="1" ht="12" customHeight="1" outlineLevel="1">
      <c r="A967" s="335"/>
      <c r="B967" s="118" t="s">
        <v>12</v>
      </c>
      <c r="C967" s="334" t="s">
        <v>6734</v>
      </c>
      <c r="D967" s="124" t="s">
        <v>6735</v>
      </c>
      <c r="E967" s="125"/>
      <c r="F967" s="118" t="s">
        <v>303</v>
      </c>
      <c r="G967" s="126" t="s">
        <v>6520</v>
      </c>
      <c r="H967" s="255">
        <v>5</v>
      </c>
      <c r="I967" s="361">
        <v>1</v>
      </c>
      <c r="J967" s="336" t="s">
        <v>286</v>
      </c>
      <c r="W967" s="129" t="s">
        <v>286</v>
      </c>
      <c r="X967" s="337" t="b">
        <f t="shared" si="47"/>
        <v>1</v>
      </c>
    </row>
    <row r="968" spans="1:24" s="337" customFormat="1" ht="12" customHeight="1" outlineLevel="1">
      <c r="A968" s="335"/>
      <c r="B968" s="118" t="s">
        <v>12</v>
      </c>
      <c r="C968" s="334" t="s">
        <v>6736</v>
      </c>
      <c r="D968" s="124" t="s">
        <v>6737</v>
      </c>
      <c r="E968" s="125"/>
      <c r="F968" s="118" t="s">
        <v>303</v>
      </c>
      <c r="G968" s="126" t="s">
        <v>6520</v>
      </c>
      <c r="H968" s="255">
        <v>5</v>
      </c>
      <c r="I968" s="361">
        <v>1</v>
      </c>
      <c r="J968" s="336" t="s">
        <v>286</v>
      </c>
      <c r="W968" s="129" t="s">
        <v>286</v>
      </c>
      <c r="X968" s="337" t="b">
        <f t="shared" si="47"/>
        <v>1</v>
      </c>
    </row>
    <row r="969" spans="1:24" s="337" customFormat="1" ht="12" customHeight="1" outlineLevel="1">
      <c r="A969" s="335"/>
      <c r="B969" s="118" t="s">
        <v>12</v>
      </c>
      <c r="C969" s="334" t="s">
        <v>6738</v>
      </c>
      <c r="D969" s="124" t="s">
        <v>6739</v>
      </c>
      <c r="E969" s="125"/>
      <c r="F969" s="118" t="s">
        <v>303</v>
      </c>
      <c r="G969" s="126" t="s">
        <v>6520</v>
      </c>
      <c r="H969" s="255">
        <v>5</v>
      </c>
      <c r="I969" s="361">
        <v>1</v>
      </c>
      <c r="J969" s="336" t="s">
        <v>286</v>
      </c>
      <c r="W969" s="129" t="s">
        <v>286</v>
      </c>
      <c r="X969" s="337" t="b">
        <f t="shared" si="47"/>
        <v>1</v>
      </c>
    </row>
    <row r="970" spans="1:24" s="337" customFormat="1" ht="12" customHeight="1" outlineLevel="1">
      <c r="A970" s="335"/>
      <c r="B970" s="118" t="s">
        <v>12</v>
      </c>
      <c r="C970" s="334" t="s">
        <v>6740</v>
      </c>
      <c r="D970" s="124" t="s">
        <v>6741</v>
      </c>
      <c r="E970" s="125"/>
      <c r="F970" s="118" t="s">
        <v>303</v>
      </c>
      <c r="G970" s="126" t="s">
        <v>6520</v>
      </c>
      <c r="H970" s="255">
        <v>5</v>
      </c>
      <c r="I970" s="361">
        <v>1</v>
      </c>
      <c r="J970" s="336" t="s">
        <v>286</v>
      </c>
      <c r="W970" s="129" t="s">
        <v>286</v>
      </c>
      <c r="X970" s="337" t="b">
        <f t="shared" si="47"/>
        <v>1</v>
      </c>
    </row>
    <row r="971" spans="1:24" s="337" customFormat="1" ht="12" customHeight="1" outlineLevel="1">
      <c r="A971" s="335"/>
      <c r="B971" s="118" t="s">
        <v>12</v>
      </c>
      <c r="C971" s="334" t="s">
        <v>6742</v>
      </c>
      <c r="D971" s="124" t="s">
        <v>6743</v>
      </c>
      <c r="E971" s="125"/>
      <c r="F971" s="118" t="s">
        <v>303</v>
      </c>
      <c r="G971" s="126" t="s">
        <v>6520</v>
      </c>
      <c r="H971" s="255">
        <v>5</v>
      </c>
      <c r="I971" s="361">
        <v>1</v>
      </c>
      <c r="J971" s="336" t="s">
        <v>286</v>
      </c>
      <c r="W971" s="129" t="s">
        <v>286</v>
      </c>
      <c r="X971" s="337" t="b">
        <f t="shared" si="47"/>
        <v>1</v>
      </c>
    </row>
    <row r="972" spans="1:24" s="337" customFormat="1" ht="12" customHeight="1" outlineLevel="1">
      <c r="A972" s="335"/>
      <c r="B972" s="118" t="s">
        <v>12</v>
      </c>
      <c r="C972" s="334" t="s">
        <v>6744</v>
      </c>
      <c r="D972" s="124" t="s">
        <v>6745</v>
      </c>
      <c r="E972" s="125"/>
      <c r="F972" s="118" t="s">
        <v>303</v>
      </c>
      <c r="G972" s="126" t="s">
        <v>6520</v>
      </c>
      <c r="H972" s="255">
        <v>5</v>
      </c>
      <c r="I972" s="361">
        <v>1</v>
      </c>
      <c r="J972" s="336" t="s">
        <v>286</v>
      </c>
      <c r="W972" s="129" t="s">
        <v>286</v>
      </c>
      <c r="X972" s="337" t="b">
        <f t="shared" si="47"/>
        <v>1</v>
      </c>
    </row>
    <row r="973" spans="1:24" s="337" customFormat="1" ht="12" customHeight="1" outlineLevel="1">
      <c r="A973" s="335"/>
      <c r="B973" s="118" t="s">
        <v>12</v>
      </c>
      <c r="C973" s="334" t="s">
        <v>6746</v>
      </c>
      <c r="D973" s="124" t="s">
        <v>6747</v>
      </c>
      <c r="E973" s="125"/>
      <c r="F973" s="118" t="s">
        <v>303</v>
      </c>
      <c r="G973" s="126" t="s">
        <v>6520</v>
      </c>
      <c r="H973" s="255">
        <v>5</v>
      </c>
      <c r="I973" s="361">
        <v>1</v>
      </c>
      <c r="J973" s="336" t="s">
        <v>286</v>
      </c>
      <c r="W973" s="129" t="s">
        <v>286</v>
      </c>
      <c r="X973" s="337" t="b">
        <f t="shared" si="47"/>
        <v>1</v>
      </c>
    </row>
    <row r="974" spans="1:24" s="337" customFormat="1" ht="12" customHeight="1" outlineLevel="1">
      <c r="A974" s="335"/>
      <c r="B974" s="118" t="s">
        <v>12</v>
      </c>
      <c r="C974" s="334" t="s">
        <v>6748</v>
      </c>
      <c r="D974" s="124" t="s">
        <v>6749</v>
      </c>
      <c r="E974" s="125"/>
      <c r="F974" s="118" t="s">
        <v>303</v>
      </c>
      <c r="G974" s="126" t="s">
        <v>6520</v>
      </c>
      <c r="H974" s="255">
        <v>5</v>
      </c>
      <c r="I974" s="361">
        <v>1</v>
      </c>
      <c r="J974" s="336" t="s">
        <v>286</v>
      </c>
      <c r="W974" s="129" t="s">
        <v>286</v>
      </c>
      <c r="X974" s="337" t="b">
        <f t="shared" si="47"/>
        <v>1</v>
      </c>
    </row>
    <row r="975" spans="1:24" s="337" customFormat="1" ht="12" customHeight="1" outlineLevel="1">
      <c r="A975" s="335"/>
      <c r="B975" s="118" t="s">
        <v>12</v>
      </c>
      <c r="C975" s="334" t="s">
        <v>6750</v>
      </c>
      <c r="D975" s="124" t="s">
        <v>6751</v>
      </c>
      <c r="E975" s="125"/>
      <c r="F975" s="118" t="s">
        <v>303</v>
      </c>
      <c r="G975" s="126" t="s">
        <v>6520</v>
      </c>
      <c r="H975" s="255">
        <v>5</v>
      </c>
      <c r="I975" s="361">
        <v>1</v>
      </c>
      <c r="J975" s="336" t="s">
        <v>286</v>
      </c>
      <c r="W975" s="129" t="s">
        <v>286</v>
      </c>
      <c r="X975" s="337" t="b">
        <f t="shared" si="47"/>
        <v>1</v>
      </c>
    </row>
    <row r="976" spans="1:24" s="337" customFormat="1" ht="12" customHeight="1" outlineLevel="1">
      <c r="A976" s="335"/>
      <c r="B976" s="118" t="s">
        <v>12</v>
      </c>
      <c r="C976" s="334" t="s">
        <v>6752</v>
      </c>
      <c r="D976" s="124" t="s">
        <v>6753</v>
      </c>
      <c r="E976" s="125"/>
      <c r="F976" s="118" t="s">
        <v>303</v>
      </c>
      <c r="G976" s="126" t="s">
        <v>6520</v>
      </c>
      <c r="H976" s="255">
        <v>5</v>
      </c>
      <c r="I976" s="361">
        <v>1</v>
      </c>
      <c r="J976" s="336" t="s">
        <v>286</v>
      </c>
      <c r="W976" s="129" t="s">
        <v>286</v>
      </c>
      <c r="X976" s="337" t="b">
        <f t="shared" si="47"/>
        <v>1</v>
      </c>
    </row>
    <row r="977" spans="1:24" s="337" customFormat="1" ht="12" customHeight="1" outlineLevel="1">
      <c r="A977" s="335"/>
      <c r="B977" s="118" t="s">
        <v>12</v>
      </c>
      <c r="C977" s="334" t="s">
        <v>6754</v>
      </c>
      <c r="D977" s="124" t="s">
        <v>6755</v>
      </c>
      <c r="E977" s="125"/>
      <c r="F977" s="118" t="s">
        <v>303</v>
      </c>
      <c r="G977" s="126" t="s">
        <v>6520</v>
      </c>
      <c r="H977" s="255">
        <v>5</v>
      </c>
      <c r="I977" s="361">
        <v>1</v>
      </c>
      <c r="J977" s="336" t="s">
        <v>286</v>
      </c>
      <c r="W977" s="129" t="s">
        <v>286</v>
      </c>
      <c r="X977" s="337" t="b">
        <f t="shared" si="47"/>
        <v>1</v>
      </c>
    </row>
    <row r="978" spans="1:24" s="337" customFormat="1" ht="12" customHeight="1" outlineLevel="1">
      <c r="A978" s="335"/>
      <c r="B978" s="118" t="s">
        <v>12</v>
      </c>
      <c r="C978" s="334" t="s">
        <v>6756</v>
      </c>
      <c r="D978" s="124" t="s">
        <v>6757</v>
      </c>
      <c r="E978" s="125"/>
      <c r="F978" s="118" t="s">
        <v>303</v>
      </c>
      <c r="G978" s="126" t="s">
        <v>6520</v>
      </c>
      <c r="H978" s="255">
        <v>5</v>
      </c>
      <c r="I978" s="361">
        <v>1</v>
      </c>
      <c r="J978" s="336" t="s">
        <v>286</v>
      </c>
      <c r="W978" s="129" t="s">
        <v>286</v>
      </c>
      <c r="X978" s="337" t="b">
        <f t="shared" si="47"/>
        <v>1</v>
      </c>
    </row>
    <row r="979" spans="1:24" s="337" customFormat="1" ht="12" customHeight="1" outlineLevel="1">
      <c r="A979" s="335"/>
      <c r="B979" s="118" t="s">
        <v>12</v>
      </c>
      <c r="C979" s="334" t="s">
        <v>6758</v>
      </c>
      <c r="D979" s="124" t="s">
        <v>6759</v>
      </c>
      <c r="E979" s="125"/>
      <c r="F979" s="118" t="s">
        <v>303</v>
      </c>
      <c r="G979" s="126" t="s">
        <v>6520</v>
      </c>
      <c r="H979" s="255">
        <v>5</v>
      </c>
      <c r="I979" s="361">
        <v>1</v>
      </c>
      <c r="J979" s="336" t="s">
        <v>286</v>
      </c>
      <c r="W979" s="129" t="s">
        <v>286</v>
      </c>
      <c r="X979" s="337" t="b">
        <f t="shared" si="47"/>
        <v>1</v>
      </c>
    </row>
    <row r="980" spans="1:24" s="337" customFormat="1" ht="12" customHeight="1" outlineLevel="1">
      <c r="A980" s="335"/>
      <c r="B980" s="118" t="s">
        <v>12</v>
      </c>
      <c r="C980" s="334" t="s">
        <v>6760</v>
      </c>
      <c r="D980" s="124" t="s">
        <v>6761</v>
      </c>
      <c r="E980" s="125"/>
      <c r="F980" s="118" t="s">
        <v>303</v>
      </c>
      <c r="G980" s="126" t="s">
        <v>6520</v>
      </c>
      <c r="H980" s="255">
        <v>5</v>
      </c>
      <c r="I980" s="361">
        <v>1</v>
      </c>
      <c r="J980" s="336" t="s">
        <v>286</v>
      </c>
      <c r="W980" s="129" t="s">
        <v>286</v>
      </c>
      <c r="X980" s="337" t="b">
        <f t="shared" si="47"/>
        <v>1</v>
      </c>
    </row>
    <row r="981" spans="1:24" s="337" customFormat="1" ht="12" customHeight="1" outlineLevel="1">
      <c r="A981" s="335"/>
      <c r="B981" s="118" t="s">
        <v>12</v>
      </c>
      <c r="C981" s="334" t="s">
        <v>6762</v>
      </c>
      <c r="D981" s="124" t="s">
        <v>6763</v>
      </c>
      <c r="E981" s="125"/>
      <c r="F981" s="118" t="s">
        <v>303</v>
      </c>
      <c r="G981" s="126" t="s">
        <v>6520</v>
      </c>
      <c r="H981" s="255">
        <v>5</v>
      </c>
      <c r="I981" s="361">
        <v>1</v>
      </c>
      <c r="J981" s="336" t="s">
        <v>286</v>
      </c>
      <c r="W981" s="129" t="s">
        <v>286</v>
      </c>
      <c r="X981" s="337" t="b">
        <f t="shared" si="47"/>
        <v>1</v>
      </c>
    </row>
    <row r="982" spans="1:24" s="337" customFormat="1" ht="12" customHeight="1" outlineLevel="1">
      <c r="A982" s="335"/>
      <c r="B982" s="118" t="s">
        <v>12</v>
      </c>
      <c r="C982" s="334" t="s">
        <v>6764</v>
      </c>
      <c r="D982" s="124" t="s">
        <v>6765</v>
      </c>
      <c r="E982" s="125"/>
      <c r="F982" s="118" t="s">
        <v>303</v>
      </c>
      <c r="G982" s="126" t="s">
        <v>6520</v>
      </c>
      <c r="H982" s="255">
        <v>5</v>
      </c>
      <c r="I982" s="361">
        <v>1</v>
      </c>
      <c r="J982" s="336" t="s">
        <v>286</v>
      </c>
      <c r="W982" s="129" t="s">
        <v>286</v>
      </c>
      <c r="X982" s="337" t="b">
        <f t="shared" si="47"/>
        <v>1</v>
      </c>
    </row>
    <row r="983" spans="1:24" s="337" customFormat="1" ht="12" customHeight="1" outlineLevel="1">
      <c r="A983" s="335"/>
      <c r="B983" s="118" t="s">
        <v>12</v>
      </c>
      <c r="C983" s="334" t="s">
        <v>6766</v>
      </c>
      <c r="D983" s="124" t="s">
        <v>6767</v>
      </c>
      <c r="E983" s="125"/>
      <c r="F983" s="118" t="s">
        <v>303</v>
      </c>
      <c r="G983" s="126" t="s">
        <v>6520</v>
      </c>
      <c r="H983" s="255">
        <v>5</v>
      </c>
      <c r="I983" s="361">
        <v>1</v>
      </c>
      <c r="J983" s="336" t="s">
        <v>286</v>
      </c>
      <c r="W983" s="129" t="s">
        <v>286</v>
      </c>
      <c r="X983" s="337" t="b">
        <f t="shared" si="47"/>
        <v>1</v>
      </c>
    </row>
    <row r="984" spans="1:24" s="337" customFormat="1" ht="12" customHeight="1" outlineLevel="1">
      <c r="A984" s="335"/>
      <c r="B984" s="118" t="s">
        <v>12</v>
      </c>
      <c r="C984" s="334" t="s">
        <v>6768</v>
      </c>
      <c r="D984" s="124" t="s">
        <v>6769</v>
      </c>
      <c r="E984" s="125"/>
      <c r="F984" s="118" t="s">
        <v>303</v>
      </c>
      <c r="G984" s="126" t="s">
        <v>6520</v>
      </c>
      <c r="H984" s="255">
        <v>5</v>
      </c>
      <c r="I984" s="361">
        <v>1</v>
      </c>
      <c r="J984" s="336" t="s">
        <v>286</v>
      </c>
      <c r="W984" s="129" t="s">
        <v>286</v>
      </c>
      <c r="X984" s="337" t="b">
        <f t="shared" si="47"/>
        <v>1</v>
      </c>
    </row>
    <row r="985" spans="1:24" s="337" customFormat="1" ht="12" customHeight="1" outlineLevel="1">
      <c r="A985" s="335"/>
      <c r="B985" s="118" t="s">
        <v>12</v>
      </c>
      <c r="C985" s="334" t="s">
        <v>6770</v>
      </c>
      <c r="D985" s="124" t="s">
        <v>6771</v>
      </c>
      <c r="E985" s="125"/>
      <c r="F985" s="118" t="s">
        <v>303</v>
      </c>
      <c r="G985" s="126" t="s">
        <v>6520</v>
      </c>
      <c r="H985" s="255">
        <v>5</v>
      </c>
      <c r="I985" s="361">
        <v>1</v>
      </c>
      <c r="J985" s="336" t="s">
        <v>286</v>
      </c>
      <c r="W985" s="129" t="s">
        <v>286</v>
      </c>
      <c r="X985" s="337" t="b">
        <f t="shared" si="47"/>
        <v>1</v>
      </c>
    </row>
    <row r="986" spans="1:24" s="337" customFormat="1" ht="12" customHeight="1" outlineLevel="1">
      <c r="A986" s="335"/>
      <c r="B986" s="118" t="s">
        <v>12</v>
      </c>
      <c r="C986" s="334" t="s">
        <v>6772</v>
      </c>
      <c r="D986" s="124" t="s">
        <v>6773</v>
      </c>
      <c r="E986" s="125"/>
      <c r="F986" s="118" t="s">
        <v>303</v>
      </c>
      <c r="G986" s="126" t="s">
        <v>6520</v>
      </c>
      <c r="H986" s="255">
        <v>5</v>
      </c>
      <c r="I986" s="361">
        <v>1</v>
      </c>
      <c r="J986" s="336" t="s">
        <v>286</v>
      </c>
      <c r="W986" s="129" t="s">
        <v>286</v>
      </c>
      <c r="X986" s="337" t="b">
        <f t="shared" si="47"/>
        <v>1</v>
      </c>
    </row>
    <row r="987" spans="1:24" s="337" customFormat="1" ht="12" customHeight="1" outlineLevel="1">
      <c r="A987" s="335"/>
      <c r="B987" s="118" t="s">
        <v>12</v>
      </c>
      <c r="C987" s="334" t="s">
        <v>6774</v>
      </c>
      <c r="D987" s="124" t="s">
        <v>6775</v>
      </c>
      <c r="E987" s="125"/>
      <c r="F987" s="118" t="s">
        <v>303</v>
      </c>
      <c r="G987" s="126" t="s">
        <v>6520</v>
      </c>
      <c r="H987" s="255">
        <v>5</v>
      </c>
      <c r="I987" s="361">
        <v>1</v>
      </c>
      <c r="J987" s="336" t="s">
        <v>286</v>
      </c>
      <c r="W987" s="129" t="s">
        <v>286</v>
      </c>
      <c r="X987" s="337" t="b">
        <f t="shared" si="47"/>
        <v>1</v>
      </c>
    </row>
    <row r="988" spans="1:24" s="337" customFormat="1" ht="12" customHeight="1" outlineLevel="1">
      <c r="A988" s="335"/>
      <c r="B988" s="118" t="s">
        <v>12</v>
      </c>
      <c r="C988" s="334" t="s">
        <v>6776</v>
      </c>
      <c r="D988" s="124" t="s">
        <v>6777</v>
      </c>
      <c r="E988" s="125"/>
      <c r="F988" s="118" t="s">
        <v>303</v>
      </c>
      <c r="G988" s="126" t="s">
        <v>6520</v>
      </c>
      <c r="H988" s="255">
        <v>5</v>
      </c>
      <c r="I988" s="361">
        <v>1</v>
      </c>
      <c r="J988" s="336" t="s">
        <v>307</v>
      </c>
      <c r="W988" s="129" t="s">
        <v>4876</v>
      </c>
      <c r="X988" s="337" t="b">
        <f t="shared" si="47"/>
        <v>0</v>
      </c>
    </row>
    <row r="989" spans="1:24" s="337" customFormat="1" ht="12" customHeight="1" outlineLevel="1">
      <c r="A989" s="335"/>
      <c r="B989" s="118" t="s">
        <v>12</v>
      </c>
      <c r="C989" s="334" t="s">
        <v>6778</v>
      </c>
      <c r="D989" s="124" t="s">
        <v>6779</v>
      </c>
      <c r="E989" s="125"/>
      <c r="F989" s="118" t="s">
        <v>303</v>
      </c>
      <c r="G989" s="126" t="s">
        <v>6520</v>
      </c>
      <c r="H989" s="255">
        <v>5</v>
      </c>
      <c r="I989" s="361">
        <v>1</v>
      </c>
      <c r="J989" s="336" t="s">
        <v>307</v>
      </c>
      <c r="W989" s="129" t="s">
        <v>4876</v>
      </c>
      <c r="X989" s="337" t="b">
        <f t="shared" si="47"/>
        <v>0</v>
      </c>
    </row>
    <row r="990" spans="1:24" s="337" customFormat="1" ht="12" customHeight="1" outlineLevel="1">
      <c r="A990" s="335"/>
      <c r="B990" s="118" t="s">
        <v>12</v>
      </c>
      <c r="C990" s="334" t="s">
        <v>6780</v>
      </c>
      <c r="D990" s="124" t="s">
        <v>6781</v>
      </c>
      <c r="E990" s="125"/>
      <c r="F990" s="118" t="s">
        <v>303</v>
      </c>
      <c r="G990" s="126" t="s">
        <v>6520</v>
      </c>
      <c r="H990" s="255">
        <v>5</v>
      </c>
      <c r="I990" s="361">
        <v>1</v>
      </c>
      <c r="J990" s="336" t="s">
        <v>307</v>
      </c>
      <c r="W990" s="129" t="s">
        <v>4876</v>
      </c>
      <c r="X990" s="337" t="b">
        <f t="shared" si="47"/>
        <v>0</v>
      </c>
    </row>
    <row r="991" spans="1:24" s="337" customFormat="1" ht="12" customHeight="1" outlineLevel="1">
      <c r="A991" s="335"/>
      <c r="B991" s="118" t="s">
        <v>12</v>
      </c>
      <c r="C991" s="334" t="s">
        <v>6782</v>
      </c>
      <c r="D991" s="124" t="s">
        <v>6783</v>
      </c>
      <c r="E991" s="125"/>
      <c r="F991" s="118" t="s">
        <v>303</v>
      </c>
      <c r="G991" s="126" t="s">
        <v>6520</v>
      </c>
      <c r="H991" s="255">
        <v>5</v>
      </c>
      <c r="I991" s="361">
        <v>1</v>
      </c>
      <c r="J991" s="336" t="s">
        <v>307</v>
      </c>
      <c r="W991" s="129" t="s">
        <v>4876</v>
      </c>
      <c r="X991" s="337" t="b">
        <f t="shared" si="47"/>
        <v>0</v>
      </c>
    </row>
    <row r="992" spans="1:24" s="337" customFormat="1" ht="12" customHeight="1" outlineLevel="1">
      <c r="A992" s="335"/>
      <c r="B992" s="118" t="s">
        <v>12</v>
      </c>
      <c r="C992" s="334" t="s">
        <v>6784</v>
      </c>
      <c r="D992" s="124" t="s">
        <v>6785</v>
      </c>
      <c r="E992" s="125"/>
      <c r="F992" s="118" t="s">
        <v>303</v>
      </c>
      <c r="G992" s="126" t="s">
        <v>6520</v>
      </c>
      <c r="H992" s="255">
        <v>5</v>
      </c>
      <c r="I992" s="361">
        <v>1</v>
      </c>
      <c r="J992" s="336" t="s">
        <v>286</v>
      </c>
      <c r="W992" s="129" t="s">
        <v>4876</v>
      </c>
      <c r="X992" s="337" t="b">
        <f t="shared" si="47"/>
        <v>0</v>
      </c>
    </row>
    <row r="993" spans="1:24" s="337" customFormat="1" ht="12" customHeight="1" outlineLevel="1">
      <c r="A993" s="335"/>
      <c r="B993" s="118" t="s">
        <v>12</v>
      </c>
      <c r="C993" s="334" t="s">
        <v>6786</v>
      </c>
      <c r="D993" s="124" t="s">
        <v>6787</v>
      </c>
      <c r="E993" s="125"/>
      <c r="F993" s="118" t="s">
        <v>303</v>
      </c>
      <c r="G993" s="126" t="s">
        <v>6520</v>
      </c>
      <c r="H993" s="255">
        <v>5</v>
      </c>
      <c r="I993" s="361">
        <v>1</v>
      </c>
      <c r="J993" s="336" t="s">
        <v>286</v>
      </c>
      <c r="W993" s="129" t="s">
        <v>4876</v>
      </c>
      <c r="X993" s="337" t="b">
        <f t="shared" si="47"/>
        <v>0</v>
      </c>
    </row>
    <row r="994" spans="1:24" s="337" customFormat="1" ht="12" customHeight="1" outlineLevel="1">
      <c r="A994" s="335"/>
      <c r="B994" s="118" t="s">
        <v>12</v>
      </c>
      <c r="C994" s="334" t="s">
        <v>6788</v>
      </c>
      <c r="D994" s="124" t="s">
        <v>6789</v>
      </c>
      <c r="E994" s="125"/>
      <c r="F994" s="118" t="s">
        <v>303</v>
      </c>
      <c r="G994" s="126" t="s">
        <v>6520</v>
      </c>
      <c r="H994" s="255">
        <v>5</v>
      </c>
      <c r="I994" s="361">
        <v>1</v>
      </c>
      <c r="J994" s="336" t="s">
        <v>286</v>
      </c>
      <c r="W994" s="129" t="s">
        <v>4876</v>
      </c>
      <c r="X994" s="337" t="b">
        <f t="shared" si="47"/>
        <v>0</v>
      </c>
    </row>
    <row r="995" spans="1:24" s="337" customFormat="1" ht="12" customHeight="1" outlineLevel="1">
      <c r="A995" s="335"/>
      <c r="B995" s="118" t="s">
        <v>12</v>
      </c>
      <c r="C995" s="334" t="s">
        <v>6790</v>
      </c>
      <c r="D995" s="124" t="s">
        <v>6791</v>
      </c>
      <c r="E995" s="125"/>
      <c r="F995" s="118" t="s">
        <v>303</v>
      </c>
      <c r="G995" s="126" t="s">
        <v>6520</v>
      </c>
      <c r="H995" s="255">
        <v>5</v>
      </c>
      <c r="I995" s="361">
        <v>1</v>
      </c>
      <c r="J995" s="336" t="s">
        <v>286</v>
      </c>
      <c r="W995" s="129" t="s">
        <v>4876</v>
      </c>
      <c r="X995" s="337" t="b">
        <f t="shared" si="47"/>
        <v>0</v>
      </c>
    </row>
    <row r="996" spans="1:24" s="337" customFormat="1" ht="12" customHeight="1" outlineLevel="1">
      <c r="A996" s="335"/>
      <c r="B996" s="118" t="s">
        <v>12</v>
      </c>
      <c r="C996" s="334" t="s">
        <v>6792</v>
      </c>
      <c r="D996" s="124" t="s">
        <v>6793</v>
      </c>
      <c r="E996" s="125"/>
      <c r="F996" s="118" t="s">
        <v>303</v>
      </c>
      <c r="G996" s="126" t="s">
        <v>6520</v>
      </c>
      <c r="H996" s="255">
        <v>5</v>
      </c>
      <c r="I996" s="361">
        <v>1</v>
      </c>
      <c r="J996" s="336" t="s">
        <v>286</v>
      </c>
      <c r="W996" s="129" t="s">
        <v>4876</v>
      </c>
      <c r="X996" s="337" t="b">
        <f t="shared" ref="X996:X1059" si="48">W996=J996</f>
        <v>0</v>
      </c>
    </row>
    <row r="997" spans="1:24" s="337" customFormat="1" ht="12" customHeight="1" outlineLevel="1">
      <c r="A997" s="335"/>
      <c r="B997" s="118" t="s">
        <v>12</v>
      </c>
      <c r="C997" s="334" t="s">
        <v>6794</v>
      </c>
      <c r="D997" s="124" t="s">
        <v>6795</v>
      </c>
      <c r="E997" s="125"/>
      <c r="F997" s="118" t="s">
        <v>303</v>
      </c>
      <c r="G997" s="126" t="s">
        <v>6520</v>
      </c>
      <c r="H997" s="255">
        <v>5</v>
      </c>
      <c r="I997" s="361">
        <v>1</v>
      </c>
      <c r="J997" s="336" t="s">
        <v>286</v>
      </c>
      <c r="W997" s="129" t="s">
        <v>4876</v>
      </c>
      <c r="X997" s="337" t="b">
        <f t="shared" si="48"/>
        <v>0</v>
      </c>
    </row>
    <row r="998" spans="1:24" s="337" customFormat="1" ht="12" customHeight="1" outlineLevel="1">
      <c r="A998" s="335"/>
      <c r="B998" s="118" t="s">
        <v>12</v>
      </c>
      <c r="C998" s="334" t="s">
        <v>6796</v>
      </c>
      <c r="D998" s="124" t="s">
        <v>6797</v>
      </c>
      <c r="E998" s="125"/>
      <c r="F998" s="118" t="s">
        <v>303</v>
      </c>
      <c r="G998" s="126" t="s">
        <v>6520</v>
      </c>
      <c r="H998" s="255">
        <v>5</v>
      </c>
      <c r="I998" s="361">
        <v>1</v>
      </c>
      <c r="J998" s="336" t="s">
        <v>286</v>
      </c>
      <c r="W998" s="129" t="s">
        <v>4876</v>
      </c>
      <c r="X998" s="337" t="b">
        <f t="shared" si="48"/>
        <v>0</v>
      </c>
    </row>
    <row r="999" spans="1:24" s="337" customFormat="1" ht="12" customHeight="1" outlineLevel="1">
      <c r="A999" s="335"/>
      <c r="B999" s="118" t="s">
        <v>12</v>
      </c>
      <c r="C999" s="334" t="s">
        <v>6798</v>
      </c>
      <c r="D999" s="124" t="s">
        <v>6799</v>
      </c>
      <c r="E999" s="125"/>
      <c r="F999" s="118" t="s">
        <v>303</v>
      </c>
      <c r="G999" s="126" t="s">
        <v>6520</v>
      </c>
      <c r="H999" s="255">
        <v>5</v>
      </c>
      <c r="I999" s="361">
        <v>1</v>
      </c>
      <c r="J999" s="336" t="s">
        <v>286</v>
      </c>
      <c r="W999" s="129" t="s">
        <v>4876</v>
      </c>
      <c r="X999" s="337" t="b">
        <f t="shared" si="48"/>
        <v>0</v>
      </c>
    </row>
    <row r="1000" spans="1:24" s="337" customFormat="1" ht="12" customHeight="1" outlineLevel="1">
      <c r="A1000" s="335"/>
      <c r="B1000" s="118" t="s">
        <v>12</v>
      </c>
      <c r="C1000" s="334" t="s">
        <v>6800</v>
      </c>
      <c r="D1000" s="124" t="s">
        <v>6801</v>
      </c>
      <c r="E1000" s="125"/>
      <c r="F1000" s="118" t="s">
        <v>303</v>
      </c>
      <c r="G1000" s="126" t="s">
        <v>6520</v>
      </c>
      <c r="H1000" s="255">
        <v>5</v>
      </c>
      <c r="I1000" s="361">
        <v>1</v>
      </c>
      <c r="J1000" s="336" t="s">
        <v>286</v>
      </c>
      <c r="W1000" s="129" t="s">
        <v>4876</v>
      </c>
      <c r="X1000" s="337" t="b">
        <f t="shared" si="48"/>
        <v>0</v>
      </c>
    </row>
    <row r="1001" spans="1:24" s="337" customFormat="1" ht="12" customHeight="1" outlineLevel="1">
      <c r="A1001" s="335"/>
      <c r="B1001" s="118" t="s">
        <v>12</v>
      </c>
      <c r="C1001" s="334" t="s">
        <v>6802</v>
      </c>
      <c r="D1001" s="124" t="s">
        <v>6803</v>
      </c>
      <c r="E1001" s="125"/>
      <c r="F1001" s="118" t="s">
        <v>303</v>
      </c>
      <c r="G1001" s="126" t="s">
        <v>6520</v>
      </c>
      <c r="H1001" s="255">
        <v>5</v>
      </c>
      <c r="I1001" s="361">
        <v>1</v>
      </c>
      <c r="J1001" s="336" t="s">
        <v>286</v>
      </c>
      <c r="W1001" s="129" t="s">
        <v>4876</v>
      </c>
      <c r="X1001" s="337" t="b">
        <f t="shared" si="48"/>
        <v>0</v>
      </c>
    </row>
    <row r="1002" spans="1:24" s="337" customFormat="1" ht="12" customHeight="1" outlineLevel="1">
      <c r="A1002" s="335"/>
      <c r="B1002" s="118" t="s">
        <v>12</v>
      </c>
      <c r="C1002" s="334" t="s">
        <v>6804</v>
      </c>
      <c r="D1002" s="124" t="s">
        <v>6805</v>
      </c>
      <c r="E1002" s="125"/>
      <c r="F1002" s="118" t="s">
        <v>303</v>
      </c>
      <c r="G1002" s="126" t="s">
        <v>6520</v>
      </c>
      <c r="H1002" s="255">
        <v>5</v>
      </c>
      <c r="I1002" s="361">
        <v>1</v>
      </c>
      <c r="J1002" s="336" t="s">
        <v>286</v>
      </c>
      <c r="W1002" s="129" t="s">
        <v>4876</v>
      </c>
      <c r="X1002" s="337" t="b">
        <f t="shared" si="48"/>
        <v>0</v>
      </c>
    </row>
    <row r="1003" spans="1:24" s="337" customFormat="1" ht="12" customHeight="1" outlineLevel="1">
      <c r="A1003" s="335"/>
      <c r="B1003" s="118" t="s">
        <v>12</v>
      </c>
      <c r="C1003" s="334" t="s">
        <v>6806</v>
      </c>
      <c r="D1003" s="124" t="s">
        <v>6807</v>
      </c>
      <c r="E1003" s="125"/>
      <c r="F1003" s="118" t="s">
        <v>303</v>
      </c>
      <c r="G1003" s="126" t="s">
        <v>6520</v>
      </c>
      <c r="H1003" s="255">
        <v>5</v>
      </c>
      <c r="I1003" s="361">
        <v>1</v>
      </c>
      <c r="J1003" s="336" t="s">
        <v>286</v>
      </c>
      <c r="W1003" s="129" t="s">
        <v>4876</v>
      </c>
      <c r="X1003" s="337" t="b">
        <f t="shared" si="48"/>
        <v>0</v>
      </c>
    </row>
    <row r="1004" spans="1:24" s="337" customFormat="1" ht="12" customHeight="1" outlineLevel="1">
      <c r="A1004" s="335"/>
      <c r="B1004" s="118" t="s">
        <v>12</v>
      </c>
      <c r="C1004" s="334" t="s">
        <v>6808</v>
      </c>
      <c r="D1004" s="124" t="s">
        <v>6809</v>
      </c>
      <c r="E1004" s="125"/>
      <c r="F1004" s="118" t="s">
        <v>303</v>
      </c>
      <c r="G1004" s="126" t="s">
        <v>6520</v>
      </c>
      <c r="H1004" s="255">
        <v>5</v>
      </c>
      <c r="I1004" s="361">
        <v>1</v>
      </c>
      <c r="J1004" s="336" t="s">
        <v>286</v>
      </c>
      <c r="W1004" s="129" t="s">
        <v>4876</v>
      </c>
      <c r="X1004" s="337" t="b">
        <f t="shared" si="48"/>
        <v>0</v>
      </c>
    </row>
    <row r="1005" spans="1:24" s="337" customFormat="1" ht="12" customHeight="1" outlineLevel="1">
      <c r="A1005" s="335"/>
      <c r="B1005" s="118" t="s">
        <v>12</v>
      </c>
      <c r="C1005" s="334" t="s">
        <v>6810</v>
      </c>
      <c r="D1005" s="124" t="s">
        <v>6811</v>
      </c>
      <c r="E1005" s="125"/>
      <c r="F1005" s="118" t="s">
        <v>303</v>
      </c>
      <c r="G1005" s="126" t="s">
        <v>6520</v>
      </c>
      <c r="H1005" s="255">
        <v>5</v>
      </c>
      <c r="I1005" s="361">
        <v>1</v>
      </c>
      <c r="J1005" s="336" t="s">
        <v>286</v>
      </c>
      <c r="W1005" s="129" t="s">
        <v>4876</v>
      </c>
      <c r="X1005" s="337" t="b">
        <f t="shared" si="48"/>
        <v>0</v>
      </c>
    </row>
    <row r="1006" spans="1:24" s="337" customFormat="1" ht="12" customHeight="1" outlineLevel="1">
      <c r="A1006" s="335"/>
      <c r="B1006" s="118" t="s">
        <v>12</v>
      </c>
      <c r="C1006" s="334" t="s">
        <v>6812</v>
      </c>
      <c r="D1006" s="124" t="s">
        <v>6813</v>
      </c>
      <c r="E1006" s="125"/>
      <c r="F1006" s="118" t="s">
        <v>303</v>
      </c>
      <c r="G1006" s="126" t="s">
        <v>6520</v>
      </c>
      <c r="H1006" s="255">
        <v>5</v>
      </c>
      <c r="I1006" s="361">
        <v>1</v>
      </c>
      <c r="J1006" s="336" t="s">
        <v>286</v>
      </c>
      <c r="W1006" s="129" t="s">
        <v>4876</v>
      </c>
      <c r="X1006" s="337" t="b">
        <f t="shared" si="48"/>
        <v>0</v>
      </c>
    </row>
    <row r="1007" spans="1:24" s="337" customFormat="1" ht="12" customHeight="1" outlineLevel="1">
      <c r="A1007" s="335"/>
      <c r="B1007" s="118" t="s">
        <v>12</v>
      </c>
      <c r="C1007" s="334" t="s">
        <v>6814</v>
      </c>
      <c r="D1007" s="124" t="s">
        <v>6815</v>
      </c>
      <c r="E1007" s="125"/>
      <c r="F1007" s="118" t="s">
        <v>303</v>
      </c>
      <c r="G1007" s="126" t="s">
        <v>6520</v>
      </c>
      <c r="H1007" s="255">
        <v>5</v>
      </c>
      <c r="I1007" s="361">
        <v>1</v>
      </c>
      <c r="J1007" s="336" t="s">
        <v>286</v>
      </c>
      <c r="W1007" s="129" t="s">
        <v>286</v>
      </c>
      <c r="X1007" s="337" t="b">
        <f t="shared" si="48"/>
        <v>1</v>
      </c>
    </row>
    <row r="1008" spans="1:24" s="337" customFormat="1" ht="12" customHeight="1" outlineLevel="1">
      <c r="A1008" s="335"/>
      <c r="B1008" s="118" t="s">
        <v>12</v>
      </c>
      <c r="C1008" s="334" t="s">
        <v>6816</v>
      </c>
      <c r="D1008" s="124" t="s">
        <v>6817</v>
      </c>
      <c r="E1008" s="125"/>
      <c r="F1008" s="118" t="s">
        <v>303</v>
      </c>
      <c r="G1008" s="126" t="s">
        <v>6520</v>
      </c>
      <c r="H1008" s="255">
        <v>5</v>
      </c>
      <c r="I1008" s="361">
        <v>1</v>
      </c>
      <c r="J1008" s="336" t="s">
        <v>286</v>
      </c>
      <c r="W1008" s="129" t="s">
        <v>286</v>
      </c>
      <c r="X1008" s="337" t="b">
        <f t="shared" si="48"/>
        <v>1</v>
      </c>
    </row>
    <row r="1009" spans="1:24" s="337" customFormat="1" ht="12" customHeight="1" outlineLevel="1">
      <c r="A1009" s="335"/>
      <c r="B1009" s="118" t="s">
        <v>12</v>
      </c>
      <c r="C1009" s="334" t="s">
        <v>6818</v>
      </c>
      <c r="D1009" s="124" t="s">
        <v>6819</v>
      </c>
      <c r="E1009" s="125"/>
      <c r="F1009" s="118" t="s">
        <v>303</v>
      </c>
      <c r="G1009" s="126" t="s">
        <v>6520</v>
      </c>
      <c r="H1009" s="255">
        <v>5</v>
      </c>
      <c r="I1009" s="361">
        <v>1</v>
      </c>
      <c r="J1009" s="336" t="s">
        <v>286</v>
      </c>
      <c r="W1009" s="129" t="s">
        <v>286</v>
      </c>
      <c r="X1009" s="337" t="b">
        <f t="shared" si="48"/>
        <v>1</v>
      </c>
    </row>
    <row r="1010" spans="1:24" s="337" customFormat="1" ht="12" customHeight="1" outlineLevel="1">
      <c r="A1010" s="335"/>
      <c r="B1010" s="118" t="s">
        <v>12</v>
      </c>
      <c r="C1010" s="334" t="s">
        <v>6820</v>
      </c>
      <c r="D1010" s="124" t="s">
        <v>6821</v>
      </c>
      <c r="E1010" s="125"/>
      <c r="F1010" s="118" t="s">
        <v>303</v>
      </c>
      <c r="G1010" s="126" t="s">
        <v>6520</v>
      </c>
      <c r="H1010" s="255">
        <v>5</v>
      </c>
      <c r="I1010" s="361">
        <v>1</v>
      </c>
      <c r="J1010" s="336" t="s">
        <v>286</v>
      </c>
      <c r="W1010" s="129" t="s">
        <v>286</v>
      </c>
      <c r="X1010" s="337" t="b">
        <f t="shared" si="48"/>
        <v>1</v>
      </c>
    </row>
    <row r="1011" spans="1:24" s="337" customFormat="1" ht="12" customHeight="1" outlineLevel="1">
      <c r="A1011" s="335"/>
      <c r="B1011" s="118" t="s">
        <v>12</v>
      </c>
      <c r="C1011" s="334" t="s">
        <v>6822</v>
      </c>
      <c r="D1011" s="124" t="s">
        <v>6823</v>
      </c>
      <c r="E1011" s="125"/>
      <c r="F1011" s="118" t="s">
        <v>303</v>
      </c>
      <c r="G1011" s="126" t="s">
        <v>6520</v>
      </c>
      <c r="H1011" s="255">
        <v>5</v>
      </c>
      <c r="I1011" s="361">
        <v>1</v>
      </c>
      <c r="J1011" s="336" t="s">
        <v>286</v>
      </c>
      <c r="W1011" s="129" t="s">
        <v>286</v>
      </c>
      <c r="X1011" s="337" t="b">
        <f t="shared" si="48"/>
        <v>1</v>
      </c>
    </row>
    <row r="1012" spans="1:24" s="337" customFormat="1" ht="12" customHeight="1" outlineLevel="1">
      <c r="A1012" s="335"/>
      <c r="B1012" s="118" t="s">
        <v>12</v>
      </c>
      <c r="C1012" s="334" t="s">
        <v>6824</v>
      </c>
      <c r="D1012" s="124" t="s">
        <v>6825</v>
      </c>
      <c r="E1012" s="125"/>
      <c r="F1012" s="118" t="s">
        <v>303</v>
      </c>
      <c r="G1012" s="126" t="s">
        <v>6520</v>
      </c>
      <c r="H1012" s="255">
        <v>5</v>
      </c>
      <c r="I1012" s="361">
        <v>1</v>
      </c>
      <c r="J1012" s="336" t="s">
        <v>286</v>
      </c>
      <c r="W1012" s="129" t="s">
        <v>286</v>
      </c>
      <c r="X1012" s="337" t="b">
        <f t="shared" si="48"/>
        <v>1</v>
      </c>
    </row>
    <row r="1013" spans="1:24" s="337" customFormat="1" ht="12" customHeight="1" outlineLevel="1">
      <c r="A1013" s="335"/>
      <c r="B1013" s="118" t="s">
        <v>12</v>
      </c>
      <c r="C1013" s="334" t="s">
        <v>6826</v>
      </c>
      <c r="D1013" s="124" t="s">
        <v>6827</v>
      </c>
      <c r="E1013" s="125"/>
      <c r="F1013" s="118" t="s">
        <v>303</v>
      </c>
      <c r="G1013" s="126" t="s">
        <v>6520</v>
      </c>
      <c r="H1013" s="255">
        <v>5</v>
      </c>
      <c r="I1013" s="361">
        <v>1</v>
      </c>
      <c r="J1013" s="336" t="s">
        <v>286</v>
      </c>
      <c r="W1013" s="129" t="s">
        <v>286</v>
      </c>
      <c r="X1013" s="337" t="b">
        <f t="shared" si="48"/>
        <v>1</v>
      </c>
    </row>
    <row r="1014" spans="1:24" s="337" customFormat="1" ht="12" customHeight="1" outlineLevel="1">
      <c r="A1014" s="335"/>
      <c r="B1014" s="118" t="s">
        <v>12</v>
      </c>
      <c r="C1014" s="334" t="s">
        <v>6828</v>
      </c>
      <c r="D1014" s="124" t="s">
        <v>6829</v>
      </c>
      <c r="E1014" s="125"/>
      <c r="F1014" s="118" t="s">
        <v>303</v>
      </c>
      <c r="G1014" s="126" t="s">
        <v>6520</v>
      </c>
      <c r="H1014" s="255">
        <v>5</v>
      </c>
      <c r="I1014" s="361">
        <v>1</v>
      </c>
      <c r="J1014" s="336" t="s">
        <v>286</v>
      </c>
      <c r="W1014" s="129" t="s">
        <v>286</v>
      </c>
      <c r="X1014" s="337" t="b">
        <f t="shared" si="48"/>
        <v>1</v>
      </c>
    </row>
    <row r="1015" spans="1:24" s="337" customFormat="1" ht="12" customHeight="1" outlineLevel="1">
      <c r="A1015" s="335"/>
      <c r="B1015" s="118" t="s">
        <v>12</v>
      </c>
      <c r="C1015" s="334" t="s">
        <v>6830</v>
      </c>
      <c r="D1015" s="124" t="s">
        <v>6831</v>
      </c>
      <c r="E1015" s="125"/>
      <c r="F1015" s="118" t="s">
        <v>303</v>
      </c>
      <c r="G1015" s="126" t="s">
        <v>6520</v>
      </c>
      <c r="H1015" s="255">
        <v>5</v>
      </c>
      <c r="I1015" s="361">
        <v>1</v>
      </c>
      <c r="J1015" s="336" t="s">
        <v>286</v>
      </c>
      <c r="W1015" s="129" t="s">
        <v>286</v>
      </c>
      <c r="X1015" s="337" t="b">
        <f t="shared" si="48"/>
        <v>1</v>
      </c>
    </row>
    <row r="1016" spans="1:24" s="337" customFormat="1" ht="12" customHeight="1" outlineLevel="1">
      <c r="A1016" s="335"/>
      <c r="B1016" s="118" t="s">
        <v>12</v>
      </c>
      <c r="C1016" s="334" t="s">
        <v>6832</v>
      </c>
      <c r="D1016" s="124" t="s">
        <v>6833</v>
      </c>
      <c r="E1016" s="125"/>
      <c r="F1016" s="118" t="s">
        <v>303</v>
      </c>
      <c r="G1016" s="126" t="s">
        <v>6520</v>
      </c>
      <c r="H1016" s="255">
        <v>5</v>
      </c>
      <c r="I1016" s="361">
        <v>1</v>
      </c>
      <c r="J1016" s="336" t="s">
        <v>286</v>
      </c>
      <c r="W1016" s="129" t="s">
        <v>286</v>
      </c>
      <c r="X1016" s="337" t="b">
        <f t="shared" si="48"/>
        <v>1</v>
      </c>
    </row>
    <row r="1017" spans="1:24" s="337" customFormat="1" ht="12" customHeight="1" outlineLevel="1">
      <c r="A1017" s="335"/>
      <c r="B1017" s="118" t="s">
        <v>12</v>
      </c>
      <c r="C1017" s="334" t="s">
        <v>6834</v>
      </c>
      <c r="D1017" s="124" t="s">
        <v>6835</v>
      </c>
      <c r="E1017" s="125"/>
      <c r="F1017" s="118" t="s">
        <v>303</v>
      </c>
      <c r="G1017" s="126" t="s">
        <v>6520</v>
      </c>
      <c r="H1017" s="255">
        <v>5</v>
      </c>
      <c r="I1017" s="361">
        <v>1</v>
      </c>
      <c r="J1017" s="336" t="s">
        <v>286</v>
      </c>
      <c r="W1017" s="129" t="s">
        <v>286</v>
      </c>
      <c r="X1017" s="337" t="b">
        <f t="shared" si="48"/>
        <v>1</v>
      </c>
    </row>
    <row r="1018" spans="1:24" s="337" customFormat="1" ht="12" customHeight="1" outlineLevel="1">
      <c r="A1018" s="335"/>
      <c r="B1018" s="118" t="s">
        <v>12</v>
      </c>
      <c r="C1018" s="334" t="s">
        <v>6836</v>
      </c>
      <c r="D1018" s="124" t="s">
        <v>6837</v>
      </c>
      <c r="E1018" s="125"/>
      <c r="F1018" s="118" t="s">
        <v>303</v>
      </c>
      <c r="G1018" s="126" t="s">
        <v>6520</v>
      </c>
      <c r="H1018" s="255">
        <v>5</v>
      </c>
      <c r="I1018" s="361">
        <v>1</v>
      </c>
      <c r="J1018" s="336" t="s">
        <v>286</v>
      </c>
      <c r="W1018" s="129" t="s">
        <v>286</v>
      </c>
      <c r="X1018" s="337" t="b">
        <f t="shared" si="48"/>
        <v>1</v>
      </c>
    </row>
    <row r="1019" spans="1:24" s="337" customFormat="1" ht="12" customHeight="1" outlineLevel="1">
      <c r="A1019" s="335"/>
      <c r="B1019" s="118" t="s">
        <v>12</v>
      </c>
      <c r="C1019" s="334" t="s">
        <v>6838</v>
      </c>
      <c r="D1019" s="124" t="s">
        <v>6839</v>
      </c>
      <c r="E1019" s="125"/>
      <c r="F1019" s="118" t="s">
        <v>303</v>
      </c>
      <c r="G1019" s="126" t="s">
        <v>6520</v>
      </c>
      <c r="H1019" s="255">
        <v>5</v>
      </c>
      <c r="I1019" s="361">
        <v>1</v>
      </c>
      <c r="J1019" s="336" t="s">
        <v>286</v>
      </c>
      <c r="W1019" s="129" t="s">
        <v>286</v>
      </c>
      <c r="X1019" s="337" t="b">
        <f t="shared" si="48"/>
        <v>1</v>
      </c>
    </row>
    <row r="1020" spans="1:24" s="337" customFormat="1" ht="12" customHeight="1" outlineLevel="1">
      <c r="A1020" s="335"/>
      <c r="B1020" s="118" t="s">
        <v>12</v>
      </c>
      <c r="C1020" s="334" t="s">
        <v>6840</v>
      </c>
      <c r="D1020" s="124" t="s">
        <v>6841</v>
      </c>
      <c r="E1020" s="125"/>
      <c r="F1020" s="118" t="s">
        <v>303</v>
      </c>
      <c r="G1020" s="126" t="s">
        <v>6520</v>
      </c>
      <c r="H1020" s="255">
        <v>5</v>
      </c>
      <c r="I1020" s="361">
        <v>1</v>
      </c>
      <c r="J1020" s="336" t="s">
        <v>286</v>
      </c>
      <c r="W1020" s="129" t="s">
        <v>286</v>
      </c>
      <c r="X1020" s="337" t="b">
        <f t="shared" si="48"/>
        <v>1</v>
      </c>
    </row>
    <row r="1021" spans="1:24" s="337" customFormat="1" ht="12" customHeight="1" outlineLevel="1">
      <c r="A1021" s="335"/>
      <c r="B1021" s="118" t="s">
        <v>12</v>
      </c>
      <c r="C1021" s="334" t="s">
        <v>6842</v>
      </c>
      <c r="D1021" s="124" t="s">
        <v>6843</v>
      </c>
      <c r="E1021" s="125"/>
      <c r="F1021" s="118" t="s">
        <v>303</v>
      </c>
      <c r="G1021" s="126" t="s">
        <v>6520</v>
      </c>
      <c r="H1021" s="255">
        <v>5</v>
      </c>
      <c r="I1021" s="361">
        <v>1</v>
      </c>
      <c r="J1021" s="336" t="s">
        <v>286</v>
      </c>
      <c r="W1021" s="129" t="s">
        <v>286</v>
      </c>
      <c r="X1021" s="337" t="b">
        <f t="shared" si="48"/>
        <v>1</v>
      </c>
    </row>
    <row r="1022" spans="1:24" s="337" customFormat="1" ht="12" customHeight="1" outlineLevel="1">
      <c r="A1022" s="335"/>
      <c r="B1022" s="118" t="s">
        <v>12</v>
      </c>
      <c r="C1022" s="334" t="s">
        <v>6844</v>
      </c>
      <c r="D1022" s="124" t="s">
        <v>6845</v>
      </c>
      <c r="E1022" s="125"/>
      <c r="F1022" s="118" t="s">
        <v>303</v>
      </c>
      <c r="G1022" s="126" t="s">
        <v>6520</v>
      </c>
      <c r="H1022" s="255">
        <v>5</v>
      </c>
      <c r="I1022" s="361">
        <v>1</v>
      </c>
      <c r="J1022" s="336" t="s">
        <v>286</v>
      </c>
      <c r="W1022" s="129" t="s">
        <v>286</v>
      </c>
      <c r="X1022" s="337" t="b">
        <f t="shared" si="48"/>
        <v>1</v>
      </c>
    </row>
    <row r="1023" spans="1:24" s="337" customFormat="1" ht="12" customHeight="1" outlineLevel="1">
      <c r="A1023" s="335"/>
      <c r="B1023" s="118" t="s">
        <v>12</v>
      </c>
      <c r="C1023" s="334" t="s">
        <v>6846</v>
      </c>
      <c r="D1023" s="124" t="s">
        <v>6847</v>
      </c>
      <c r="E1023" s="125"/>
      <c r="F1023" s="118" t="s">
        <v>303</v>
      </c>
      <c r="G1023" s="126" t="s">
        <v>6520</v>
      </c>
      <c r="H1023" s="255">
        <v>5</v>
      </c>
      <c r="I1023" s="361">
        <v>1</v>
      </c>
      <c r="J1023" s="336" t="s">
        <v>286</v>
      </c>
      <c r="W1023" s="129" t="s">
        <v>286</v>
      </c>
      <c r="X1023" s="337" t="b">
        <f t="shared" si="48"/>
        <v>1</v>
      </c>
    </row>
    <row r="1024" spans="1:24" s="337" customFormat="1" ht="12" customHeight="1" outlineLevel="1">
      <c r="A1024" s="335"/>
      <c r="B1024" s="118" t="s">
        <v>12</v>
      </c>
      <c r="C1024" s="334" t="s">
        <v>6848</v>
      </c>
      <c r="D1024" s="124" t="s">
        <v>6849</v>
      </c>
      <c r="E1024" s="125"/>
      <c r="F1024" s="118" t="s">
        <v>303</v>
      </c>
      <c r="G1024" s="126" t="s">
        <v>6850</v>
      </c>
      <c r="H1024" s="255">
        <v>6</v>
      </c>
      <c r="I1024" s="361">
        <v>1</v>
      </c>
      <c r="J1024" s="336" t="s">
        <v>743</v>
      </c>
      <c r="W1024" s="129" t="s">
        <v>325</v>
      </c>
      <c r="X1024" s="337" t="b">
        <f t="shared" si="48"/>
        <v>0</v>
      </c>
    </row>
    <row r="1025" spans="1:24" s="337" customFormat="1" ht="12" customHeight="1" outlineLevel="1">
      <c r="A1025" s="335"/>
      <c r="B1025" s="118" t="s">
        <v>12</v>
      </c>
      <c r="C1025" s="334" t="s">
        <v>6851</v>
      </c>
      <c r="D1025" s="124" t="s">
        <v>6852</v>
      </c>
      <c r="E1025" s="125"/>
      <c r="F1025" s="118" t="s">
        <v>303</v>
      </c>
      <c r="G1025" s="126" t="s">
        <v>6850</v>
      </c>
      <c r="H1025" s="255">
        <v>6</v>
      </c>
      <c r="I1025" s="361">
        <v>1</v>
      </c>
      <c r="J1025" s="336" t="s">
        <v>286</v>
      </c>
      <c r="W1025" s="129" t="s">
        <v>286</v>
      </c>
      <c r="X1025" s="337" t="b">
        <f t="shared" si="48"/>
        <v>1</v>
      </c>
    </row>
    <row r="1026" spans="1:24" s="337" customFormat="1" ht="12" customHeight="1" outlineLevel="1">
      <c r="A1026" s="335"/>
      <c r="B1026" s="118" t="s">
        <v>12</v>
      </c>
      <c r="C1026" s="334" t="s">
        <v>6853</v>
      </c>
      <c r="D1026" s="124" t="s">
        <v>6854</v>
      </c>
      <c r="E1026" s="125"/>
      <c r="F1026" s="118" t="s">
        <v>303</v>
      </c>
      <c r="G1026" s="126" t="s">
        <v>6850</v>
      </c>
      <c r="H1026" s="255">
        <v>6</v>
      </c>
      <c r="I1026" s="361">
        <v>1</v>
      </c>
      <c r="J1026" s="336" t="s">
        <v>286</v>
      </c>
      <c r="W1026" s="129" t="s">
        <v>286</v>
      </c>
      <c r="X1026" s="337" t="b">
        <f t="shared" si="48"/>
        <v>1</v>
      </c>
    </row>
    <row r="1027" spans="1:24" s="337" customFormat="1" ht="12" customHeight="1" outlineLevel="1">
      <c r="A1027" s="335"/>
      <c r="B1027" s="118" t="s">
        <v>12</v>
      </c>
      <c r="C1027" s="334" t="s">
        <v>6855</v>
      </c>
      <c r="D1027" s="124" t="s">
        <v>6856</v>
      </c>
      <c r="E1027" s="125"/>
      <c r="F1027" s="118" t="s">
        <v>303</v>
      </c>
      <c r="G1027" s="126" t="s">
        <v>6850</v>
      </c>
      <c r="H1027" s="255">
        <v>6</v>
      </c>
      <c r="I1027" s="361">
        <v>1</v>
      </c>
      <c r="J1027" s="336" t="s">
        <v>307</v>
      </c>
      <c r="W1027" s="129" t="s">
        <v>286</v>
      </c>
      <c r="X1027" s="337" t="b">
        <f t="shared" si="48"/>
        <v>0</v>
      </c>
    </row>
    <row r="1028" spans="1:24" s="337" customFormat="1" ht="12" customHeight="1" outlineLevel="1">
      <c r="A1028" s="335"/>
      <c r="B1028" s="118" t="s">
        <v>12</v>
      </c>
      <c r="C1028" s="334" t="s">
        <v>6857</v>
      </c>
      <c r="D1028" s="124" t="s">
        <v>6858</v>
      </c>
      <c r="E1028" s="125"/>
      <c r="F1028" s="118" t="s">
        <v>303</v>
      </c>
      <c r="G1028" s="126" t="s">
        <v>6850</v>
      </c>
      <c r="H1028" s="255">
        <v>6</v>
      </c>
      <c r="I1028" s="361">
        <v>1</v>
      </c>
      <c r="J1028" s="336" t="s">
        <v>307</v>
      </c>
      <c r="W1028" s="129" t="s">
        <v>307</v>
      </c>
      <c r="X1028" s="337" t="b">
        <f t="shared" si="48"/>
        <v>1</v>
      </c>
    </row>
    <row r="1029" spans="1:24" s="337" customFormat="1" ht="12" customHeight="1" outlineLevel="1">
      <c r="A1029" s="335"/>
      <c r="B1029" s="118" t="s">
        <v>12</v>
      </c>
      <c r="C1029" s="334" t="s">
        <v>6859</v>
      </c>
      <c r="D1029" s="124" t="s">
        <v>6860</v>
      </c>
      <c r="E1029" s="125"/>
      <c r="F1029" s="118" t="s">
        <v>303</v>
      </c>
      <c r="G1029" s="126" t="s">
        <v>6850</v>
      </c>
      <c r="H1029" s="255">
        <v>6</v>
      </c>
      <c r="I1029" s="361">
        <v>1</v>
      </c>
      <c r="J1029" s="336" t="s">
        <v>307</v>
      </c>
      <c r="W1029" s="129" t="s">
        <v>310</v>
      </c>
      <c r="X1029" s="337" t="b">
        <f t="shared" si="48"/>
        <v>0</v>
      </c>
    </row>
    <row r="1030" spans="1:24" s="337" customFormat="1" ht="12" customHeight="1" outlineLevel="1">
      <c r="A1030" s="335"/>
      <c r="B1030" s="118" t="s">
        <v>12</v>
      </c>
      <c r="C1030" s="334" t="s">
        <v>6861</v>
      </c>
      <c r="D1030" s="124" t="s">
        <v>6862</v>
      </c>
      <c r="E1030" s="125"/>
      <c r="F1030" s="118" t="s">
        <v>303</v>
      </c>
      <c r="G1030" s="126" t="s">
        <v>6850</v>
      </c>
      <c r="H1030" s="255">
        <v>6</v>
      </c>
      <c r="I1030" s="361">
        <v>1</v>
      </c>
      <c r="J1030" s="336" t="s">
        <v>307</v>
      </c>
      <c r="W1030" s="129" t="s">
        <v>310</v>
      </c>
      <c r="X1030" s="337" t="b">
        <f t="shared" si="48"/>
        <v>0</v>
      </c>
    </row>
    <row r="1031" spans="1:24" s="337" customFormat="1" ht="12" customHeight="1" outlineLevel="1">
      <c r="A1031" s="335"/>
      <c r="B1031" s="118" t="s">
        <v>12</v>
      </c>
      <c r="C1031" s="334" t="s">
        <v>6863</v>
      </c>
      <c r="D1031" s="124" t="s">
        <v>6864</v>
      </c>
      <c r="E1031" s="125"/>
      <c r="F1031" s="118" t="s">
        <v>303</v>
      </c>
      <c r="G1031" s="126" t="s">
        <v>6850</v>
      </c>
      <c r="H1031" s="255">
        <v>6</v>
      </c>
      <c r="I1031" s="361">
        <v>1</v>
      </c>
      <c r="J1031" s="336" t="s">
        <v>307</v>
      </c>
      <c r="W1031" s="129" t="s">
        <v>286</v>
      </c>
      <c r="X1031" s="337" t="b">
        <f t="shared" si="48"/>
        <v>0</v>
      </c>
    </row>
    <row r="1032" spans="1:24" s="337" customFormat="1" ht="12" customHeight="1" outlineLevel="1">
      <c r="A1032" s="335"/>
      <c r="B1032" s="118" t="s">
        <v>12</v>
      </c>
      <c r="C1032" s="334" t="s">
        <v>6865</v>
      </c>
      <c r="D1032" s="124" t="s">
        <v>6866</v>
      </c>
      <c r="E1032" s="125"/>
      <c r="F1032" s="118" t="s">
        <v>303</v>
      </c>
      <c r="G1032" s="126" t="s">
        <v>6850</v>
      </c>
      <c r="H1032" s="255">
        <v>6</v>
      </c>
      <c r="I1032" s="361">
        <v>1</v>
      </c>
      <c r="J1032" s="336" t="s">
        <v>310</v>
      </c>
      <c r="W1032" s="129" t="s">
        <v>310</v>
      </c>
      <c r="X1032" s="337" t="b">
        <f t="shared" si="48"/>
        <v>1</v>
      </c>
    </row>
    <row r="1033" spans="1:24" s="337" customFormat="1" ht="12" customHeight="1" outlineLevel="1">
      <c r="A1033" s="335"/>
      <c r="B1033" s="118" t="s">
        <v>12</v>
      </c>
      <c r="C1033" s="334" t="s">
        <v>6867</v>
      </c>
      <c r="D1033" s="124" t="s">
        <v>6868</v>
      </c>
      <c r="E1033" s="125"/>
      <c r="F1033" s="118" t="s">
        <v>303</v>
      </c>
      <c r="G1033" s="126" t="s">
        <v>6850</v>
      </c>
      <c r="H1033" s="255">
        <v>6</v>
      </c>
      <c r="I1033" s="361">
        <v>1</v>
      </c>
      <c r="J1033" s="336" t="s">
        <v>310</v>
      </c>
      <c r="W1033" s="129" t="s">
        <v>310</v>
      </c>
      <c r="X1033" s="337" t="b">
        <f t="shared" si="48"/>
        <v>1</v>
      </c>
    </row>
    <row r="1034" spans="1:24" s="337" customFormat="1" ht="12" customHeight="1" outlineLevel="1">
      <c r="A1034" s="335"/>
      <c r="B1034" s="118" t="s">
        <v>12</v>
      </c>
      <c r="C1034" s="334" t="s">
        <v>6869</v>
      </c>
      <c r="D1034" s="124" t="s">
        <v>6870</v>
      </c>
      <c r="E1034" s="125"/>
      <c r="F1034" s="118" t="s">
        <v>303</v>
      </c>
      <c r="G1034" s="126" t="s">
        <v>6850</v>
      </c>
      <c r="H1034" s="255">
        <v>6</v>
      </c>
      <c r="I1034" s="361">
        <v>1</v>
      </c>
      <c r="J1034" s="336" t="s">
        <v>307</v>
      </c>
      <c r="W1034" s="129" t="s">
        <v>307</v>
      </c>
      <c r="X1034" s="337" t="b">
        <f t="shared" si="48"/>
        <v>1</v>
      </c>
    </row>
    <row r="1035" spans="1:24" s="337" customFormat="1" ht="12" customHeight="1" outlineLevel="1">
      <c r="A1035" s="335"/>
      <c r="B1035" s="118" t="s">
        <v>12</v>
      </c>
      <c r="C1035" s="334" t="s">
        <v>6871</v>
      </c>
      <c r="D1035" s="124" t="s">
        <v>6872</v>
      </c>
      <c r="E1035" s="125"/>
      <c r="F1035" s="118" t="s">
        <v>303</v>
      </c>
      <c r="G1035" s="126" t="s">
        <v>6850</v>
      </c>
      <c r="H1035" s="255">
        <v>6</v>
      </c>
      <c r="I1035" s="361">
        <v>1</v>
      </c>
      <c r="J1035" s="336" t="s">
        <v>310</v>
      </c>
      <c r="W1035" s="129" t="s">
        <v>310</v>
      </c>
      <c r="X1035" s="337" t="b">
        <f t="shared" si="48"/>
        <v>1</v>
      </c>
    </row>
    <row r="1036" spans="1:24" s="337" customFormat="1" ht="12" customHeight="1" outlineLevel="1">
      <c r="A1036" s="335"/>
      <c r="B1036" s="118" t="s">
        <v>12</v>
      </c>
      <c r="C1036" s="334" t="s">
        <v>6873</v>
      </c>
      <c r="D1036" s="124" t="s">
        <v>6874</v>
      </c>
      <c r="E1036" s="125"/>
      <c r="F1036" s="118" t="s">
        <v>303</v>
      </c>
      <c r="G1036" s="126" t="s">
        <v>6850</v>
      </c>
      <c r="H1036" s="255">
        <v>6</v>
      </c>
      <c r="I1036" s="361">
        <v>1</v>
      </c>
      <c r="J1036" s="336" t="s">
        <v>310</v>
      </c>
      <c r="W1036" s="129" t="s">
        <v>310</v>
      </c>
      <c r="X1036" s="337" t="b">
        <f t="shared" si="48"/>
        <v>1</v>
      </c>
    </row>
    <row r="1037" spans="1:24" s="337" customFormat="1" ht="12" customHeight="1" outlineLevel="1">
      <c r="A1037" s="335"/>
      <c r="B1037" s="118" t="s">
        <v>12</v>
      </c>
      <c r="C1037" s="334" t="s">
        <v>6875</v>
      </c>
      <c r="D1037" s="124" t="s">
        <v>6876</v>
      </c>
      <c r="E1037" s="125"/>
      <c r="F1037" s="118" t="s">
        <v>303</v>
      </c>
      <c r="G1037" s="126" t="s">
        <v>6850</v>
      </c>
      <c r="H1037" s="255">
        <v>6</v>
      </c>
      <c r="I1037" s="361">
        <v>1</v>
      </c>
      <c r="J1037" s="336" t="s">
        <v>310</v>
      </c>
      <c r="W1037" s="129" t="s">
        <v>310</v>
      </c>
      <c r="X1037" s="337" t="b">
        <f t="shared" si="48"/>
        <v>1</v>
      </c>
    </row>
    <row r="1038" spans="1:24" s="337" customFormat="1" ht="12" customHeight="1" outlineLevel="1">
      <c r="A1038" s="335"/>
      <c r="B1038" s="118" t="s">
        <v>12</v>
      </c>
      <c r="C1038" s="334" t="s">
        <v>6877</v>
      </c>
      <c r="D1038" s="124" t="s">
        <v>6878</v>
      </c>
      <c r="E1038" s="125"/>
      <c r="F1038" s="118" t="s">
        <v>303</v>
      </c>
      <c r="G1038" s="126" t="s">
        <v>6850</v>
      </c>
      <c r="H1038" s="255">
        <v>6</v>
      </c>
      <c r="I1038" s="361">
        <v>1</v>
      </c>
      <c r="J1038" s="336" t="s">
        <v>310</v>
      </c>
      <c r="W1038" s="129" t="s">
        <v>310</v>
      </c>
      <c r="X1038" s="337" t="b">
        <f t="shared" si="48"/>
        <v>1</v>
      </c>
    </row>
    <row r="1039" spans="1:24" s="337" customFormat="1" ht="12" customHeight="1" outlineLevel="1">
      <c r="A1039" s="335"/>
      <c r="B1039" s="118" t="s">
        <v>12</v>
      </c>
      <c r="C1039" s="334" t="s">
        <v>6879</v>
      </c>
      <c r="D1039" s="124" t="s">
        <v>6880</v>
      </c>
      <c r="E1039" s="125"/>
      <c r="F1039" s="118" t="s">
        <v>303</v>
      </c>
      <c r="G1039" s="126" t="s">
        <v>6850</v>
      </c>
      <c r="H1039" s="255">
        <v>6</v>
      </c>
      <c r="I1039" s="361">
        <v>1</v>
      </c>
      <c r="J1039" s="336" t="s">
        <v>286</v>
      </c>
      <c r="W1039" s="129" t="s">
        <v>286</v>
      </c>
      <c r="X1039" s="337" t="b">
        <f t="shared" si="48"/>
        <v>1</v>
      </c>
    </row>
    <row r="1040" spans="1:24" s="337" customFormat="1" ht="12" customHeight="1" outlineLevel="1">
      <c r="A1040" s="335"/>
      <c r="B1040" s="118" t="s">
        <v>12</v>
      </c>
      <c r="C1040" s="334" t="s">
        <v>6881</v>
      </c>
      <c r="D1040" s="124" t="s">
        <v>6882</v>
      </c>
      <c r="E1040" s="125"/>
      <c r="F1040" s="118" t="s">
        <v>303</v>
      </c>
      <c r="G1040" s="126" t="s">
        <v>6850</v>
      </c>
      <c r="H1040" s="255">
        <v>6</v>
      </c>
      <c r="I1040" s="361">
        <v>1</v>
      </c>
      <c r="J1040" s="336" t="s">
        <v>286</v>
      </c>
      <c r="W1040" s="129" t="s">
        <v>286</v>
      </c>
      <c r="X1040" s="337" t="b">
        <f t="shared" si="48"/>
        <v>1</v>
      </c>
    </row>
    <row r="1041" spans="1:24" s="337" customFormat="1" ht="12" customHeight="1" outlineLevel="1">
      <c r="A1041" s="335"/>
      <c r="B1041" s="118" t="s">
        <v>12</v>
      </c>
      <c r="C1041" s="334" t="s">
        <v>6883</v>
      </c>
      <c r="D1041" s="124" t="s">
        <v>6884</v>
      </c>
      <c r="E1041" s="125"/>
      <c r="F1041" s="118" t="s">
        <v>303</v>
      </c>
      <c r="G1041" s="126" t="s">
        <v>6850</v>
      </c>
      <c r="H1041" s="255">
        <v>6</v>
      </c>
      <c r="I1041" s="361">
        <v>1</v>
      </c>
      <c r="J1041" s="336" t="s">
        <v>286</v>
      </c>
      <c r="W1041" s="129" t="s">
        <v>286</v>
      </c>
      <c r="X1041" s="337" t="b">
        <f t="shared" si="48"/>
        <v>1</v>
      </c>
    </row>
    <row r="1042" spans="1:24" s="337" customFormat="1" ht="12" customHeight="1" outlineLevel="1">
      <c r="A1042" s="335"/>
      <c r="B1042" s="118" t="s">
        <v>12</v>
      </c>
      <c r="C1042" s="334" t="s">
        <v>6885</v>
      </c>
      <c r="D1042" s="124" t="s">
        <v>6886</v>
      </c>
      <c r="E1042" s="125"/>
      <c r="F1042" s="118" t="s">
        <v>303</v>
      </c>
      <c r="G1042" s="126" t="s">
        <v>6850</v>
      </c>
      <c r="H1042" s="255">
        <v>6</v>
      </c>
      <c r="I1042" s="361">
        <v>1</v>
      </c>
      <c r="J1042" s="336" t="s">
        <v>286</v>
      </c>
      <c r="W1042" s="129" t="s">
        <v>286</v>
      </c>
      <c r="X1042" s="337" t="b">
        <f t="shared" si="48"/>
        <v>1</v>
      </c>
    </row>
    <row r="1043" spans="1:24" s="337" customFormat="1" ht="12" customHeight="1" outlineLevel="1">
      <c r="A1043" s="335"/>
      <c r="B1043" s="118" t="s">
        <v>12</v>
      </c>
      <c r="C1043" s="334" t="s">
        <v>6887</v>
      </c>
      <c r="D1043" s="124" t="s">
        <v>6888</v>
      </c>
      <c r="E1043" s="125"/>
      <c r="F1043" s="118" t="s">
        <v>303</v>
      </c>
      <c r="G1043" s="126" t="s">
        <v>6850</v>
      </c>
      <c r="H1043" s="255">
        <v>6</v>
      </c>
      <c r="I1043" s="361">
        <v>1</v>
      </c>
      <c r="J1043" s="336" t="s">
        <v>286</v>
      </c>
      <c r="W1043" s="129" t="s">
        <v>286</v>
      </c>
      <c r="X1043" s="337" t="b">
        <f t="shared" si="48"/>
        <v>1</v>
      </c>
    </row>
    <row r="1044" spans="1:24" s="337" customFormat="1" ht="12" customHeight="1" outlineLevel="1">
      <c r="A1044" s="335"/>
      <c r="B1044" s="118" t="s">
        <v>12</v>
      </c>
      <c r="C1044" s="334" t="s">
        <v>6889</v>
      </c>
      <c r="D1044" s="124" t="s">
        <v>6890</v>
      </c>
      <c r="E1044" s="125"/>
      <c r="F1044" s="118" t="s">
        <v>303</v>
      </c>
      <c r="G1044" s="126" t="s">
        <v>6850</v>
      </c>
      <c r="H1044" s="255">
        <v>6</v>
      </c>
      <c r="I1044" s="361">
        <v>1</v>
      </c>
      <c r="J1044" s="336" t="s">
        <v>286</v>
      </c>
      <c r="W1044" s="129" t="s">
        <v>286</v>
      </c>
      <c r="X1044" s="337" t="b">
        <f t="shared" si="48"/>
        <v>1</v>
      </c>
    </row>
    <row r="1045" spans="1:24" s="337" customFormat="1" ht="12" customHeight="1" outlineLevel="1">
      <c r="A1045" s="335"/>
      <c r="B1045" s="118" t="s">
        <v>12</v>
      </c>
      <c r="C1045" s="334" t="s">
        <v>6891</v>
      </c>
      <c r="D1045" s="124" t="s">
        <v>6892</v>
      </c>
      <c r="E1045" s="125"/>
      <c r="F1045" s="118" t="s">
        <v>303</v>
      </c>
      <c r="G1045" s="126" t="s">
        <v>6850</v>
      </c>
      <c r="H1045" s="255">
        <v>6</v>
      </c>
      <c r="I1045" s="361">
        <v>1</v>
      </c>
      <c r="J1045" s="336" t="s">
        <v>286</v>
      </c>
      <c r="W1045" s="129" t="s">
        <v>286</v>
      </c>
      <c r="X1045" s="337" t="b">
        <f t="shared" si="48"/>
        <v>1</v>
      </c>
    </row>
    <row r="1046" spans="1:24" s="337" customFormat="1" ht="12" customHeight="1" outlineLevel="1">
      <c r="A1046" s="335"/>
      <c r="B1046" s="118" t="s">
        <v>12</v>
      </c>
      <c r="C1046" s="334" t="s">
        <v>6893</v>
      </c>
      <c r="D1046" s="124" t="s">
        <v>6894</v>
      </c>
      <c r="E1046" s="125"/>
      <c r="F1046" s="118" t="s">
        <v>303</v>
      </c>
      <c r="G1046" s="126" t="s">
        <v>6850</v>
      </c>
      <c r="H1046" s="255">
        <v>6</v>
      </c>
      <c r="I1046" s="361">
        <v>1</v>
      </c>
      <c r="J1046" s="336" t="s">
        <v>286</v>
      </c>
      <c r="W1046" s="129" t="s">
        <v>286</v>
      </c>
      <c r="X1046" s="337" t="b">
        <f t="shared" si="48"/>
        <v>1</v>
      </c>
    </row>
    <row r="1047" spans="1:24" s="337" customFormat="1" ht="12" customHeight="1" outlineLevel="1">
      <c r="A1047" s="335"/>
      <c r="B1047" s="118" t="s">
        <v>12</v>
      </c>
      <c r="C1047" s="334" t="s">
        <v>6895</v>
      </c>
      <c r="D1047" s="124" t="s">
        <v>6896</v>
      </c>
      <c r="E1047" s="125"/>
      <c r="F1047" s="118" t="s">
        <v>303</v>
      </c>
      <c r="G1047" s="126" t="s">
        <v>6850</v>
      </c>
      <c r="H1047" s="255">
        <v>6</v>
      </c>
      <c r="I1047" s="361">
        <v>1</v>
      </c>
      <c r="J1047" s="336" t="s">
        <v>286</v>
      </c>
      <c r="W1047" s="129" t="s">
        <v>286</v>
      </c>
      <c r="X1047" s="337" t="b">
        <f t="shared" si="48"/>
        <v>1</v>
      </c>
    </row>
    <row r="1048" spans="1:24" s="337" customFormat="1" ht="12" customHeight="1" outlineLevel="1">
      <c r="A1048" s="335"/>
      <c r="B1048" s="118" t="s">
        <v>12</v>
      </c>
      <c r="C1048" s="334" t="s">
        <v>6897</v>
      </c>
      <c r="D1048" s="124" t="s">
        <v>6898</v>
      </c>
      <c r="E1048" s="125"/>
      <c r="F1048" s="118" t="s">
        <v>303</v>
      </c>
      <c r="G1048" s="126" t="s">
        <v>6850</v>
      </c>
      <c r="H1048" s="255">
        <v>6</v>
      </c>
      <c r="I1048" s="361">
        <v>1</v>
      </c>
      <c r="J1048" s="336" t="s">
        <v>286</v>
      </c>
      <c r="W1048" s="129" t="s">
        <v>286</v>
      </c>
      <c r="X1048" s="337" t="b">
        <f t="shared" si="48"/>
        <v>1</v>
      </c>
    </row>
    <row r="1049" spans="1:24" s="337" customFormat="1" ht="12" customHeight="1" outlineLevel="1">
      <c r="A1049" s="335"/>
      <c r="B1049" s="118" t="s">
        <v>12</v>
      </c>
      <c r="C1049" s="334" t="s">
        <v>6899</v>
      </c>
      <c r="D1049" s="124" t="s">
        <v>6900</v>
      </c>
      <c r="E1049" s="125"/>
      <c r="F1049" s="118" t="s">
        <v>303</v>
      </c>
      <c r="G1049" s="126" t="s">
        <v>6850</v>
      </c>
      <c r="H1049" s="255">
        <v>6</v>
      </c>
      <c r="I1049" s="361">
        <v>1</v>
      </c>
      <c r="J1049" s="336" t="s">
        <v>286</v>
      </c>
      <c r="W1049" s="129" t="s">
        <v>286</v>
      </c>
      <c r="X1049" s="337" t="b">
        <f t="shared" si="48"/>
        <v>1</v>
      </c>
    </row>
    <row r="1050" spans="1:24" s="337" customFormat="1" ht="12" customHeight="1" outlineLevel="1">
      <c r="A1050" s="335"/>
      <c r="B1050" s="118" t="s">
        <v>12</v>
      </c>
      <c r="C1050" s="334" t="s">
        <v>6901</v>
      </c>
      <c r="D1050" s="124" t="s">
        <v>6902</v>
      </c>
      <c r="E1050" s="125"/>
      <c r="F1050" s="118" t="s">
        <v>303</v>
      </c>
      <c r="G1050" s="126" t="s">
        <v>6850</v>
      </c>
      <c r="H1050" s="255">
        <v>6</v>
      </c>
      <c r="I1050" s="361">
        <v>1</v>
      </c>
      <c r="J1050" s="336" t="s">
        <v>286</v>
      </c>
      <c r="W1050" s="129" t="s">
        <v>286</v>
      </c>
      <c r="X1050" s="337" t="b">
        <f t="shared" si="48"/>
        <v>1</v>
      </c>
    </row>
    <row r="1051" spans="1:24" s="337" customFormat="1" ht="12" customHeight="1" outlineLevel="1">
      <c r="A1051" s="335"/>
      <c r="B1051" s="118" t="s">
        <v>12</v>
      </c>
      <c r="C1051" s="334" t="s">
        <v>6903</v>
      </c>
      <c r="D1051" s="124" t="s">
        <v>6904</v>
      </c>
      <c r="E1051" s="125"/>
      <c r="F1051" s="118" t="s">
        <v>303</v>
      </c>
      <c r="G1051" s="126" t="s">
        <v>6850</v>
      </c>
      <c r="H1051" s="255">
        <v>6</v>
      </c>
      <c r="I1051" s="361">
        <v>1</v>
      </c>
      <c r="J1051" s="336" t="s">
        <v>286</v>
      </c>
      <c r="W1051" s="129" t="s">
        <v>286</v>
      </c>
      <c r="X1051" s="337" t="b">
        <f t="shared" si="48"/>
        <v>1</v>
      </c>
    </row>
    <row r="1052" spans="1:24" s="337" customFormat="1" ht="12" customHeight="1" outlineLevel="1">
      <c r="A1052" s="335"/>
      <c r="B1052" s="118" t="s">
        <v>12</v>
      </c>
      <c r="C1052" s="334" t="s">
        <v>6905</v>
      </c>
      <c r="D1052" s="124" t="s">
        <v>6906</v>
      </c>
      <c r="E1052" s="125"/>
      <c r="F1052" s="118" t="s">
        <v>303</v>
      </c>
      <c r="G1052" s="126" t="s">
        <v>6850</v>
      </c>
      <c r="H1052" s="255">
        <v>6</v>
      </c>
      <c r="I1052" s="361">
        <v>1</v>
      </c>
      <c r="J1052" s="336" t="s">
        <v>286</v>
      </c>
      <c r="W1052" s="129" t="s">
        <v>286</v>
      </c>
      <c r="X1052" s="337" t="b">
        <f t="shared" si="48"/>
        <v>1</v>
      </c>
    </row>
    <row r="1053" spans="1:24" s="337" customFormat="1" ht="12" customHeight="1" outlineLevel="1">
      <c r="A1053" s="335"/>
      <c r="B1053" s="118" t="s">
        <v>12</v>
      </c>
      <c r="C1053" s="334" t="s">
        <v>6907</v>
      </c>
      <c r="D1053" s="124" t="s">
        <v>6908</v>
      </c>
      <c r="E1053" s="125"/>
      <c r="F1053" s="118" t="s">
        <v>303</v>
      </c>
      <c r="G1053" s="126" t="s">
        <v>6850</v>
      </c>
      <c r="H1053" s="255">
        <v>6</v>
      </c>
      <c r="I1053" s="361">
        <v>1</v>
      </c>
      <c r="J1053" s="336" t="s">
        <v>286</v>
      </c>
      <c r="W1053" s="129" t="s">
        <v>286</v>
      </c>
      <c r="X1053" s="337" t="b">
        <f t="shared" si="48"/>
        <v>1</v>
      </c>
    </row>
    <row r="1054" spans="1:24" s="337" customFormat="1" ht="12" customHeight="1" outlineLevel="1">
      <c r="A1054" s="335"/>
      <c r="B1054" s="118" t="s">
        <v>12</v>
      </c>
      <c r="C1054" s="334" t="s">
        <v>6909</v>
      </c>
      <c r="D1054" s="124" t="s">
        <v>6910</v>
      </c>
      <c r="E1054" s="125"/>
      <c r="F1054" s="118" t="s">
        <v>303</v>
      </c>
      <c r="G1054" s="126" t="s">
        <v>6850</v>
      </c>
      <c r="H1054" s="255">
        <v>6</v>
      </c>
      <c r="I1054" s="361">
        <v>1</v>
      </c>
      <c r="J1054" s="336" t="s">
        <v>310</v>
      </c>
      <c r="W1054" s="129" t="s">
        <v>286</v>
      </c>
      <c r="X1054" s="337" t="b">
        <f t="shared" si="48"/>
        <v>0</v>
      </c>
    </row>
    <row r="1055" spans="1:24" s="337" customFormat="1" ht="12" customHeight="1" outlineLevel="1">
      <c r="A1055" s="335"/>
      <c r="B1055" s="118" t="s">
        <v>12</v>
      </c>
      <c r="C1055" s="334" t="s">
        <v>6911</v>
      </c>
      <c r="D1055" s="124" t="s">
        <v>6912</v>
      </c>
      <c r="E1055" s="125"/>
      <c r="F1055" s="118" t="s">
        <v>303</v>
      </c>
      <c r="G1055" s="126" t="s">
        <v>6850</v>
      </c>
      <c r="H1055" s="255">
        <v>6</v>
      </c>
      <c r="I1055" s="361">
        <v>1</v>
      </c>
      <c r="J1055" s="336" t="s">
        <v>286</v>
      </c>
      <c r="W1055" s="129" t="s">
        <v>286</v>
      </c>
      <c r="X1055" s="337" t="b">
        <f t="shared" si="48"/>
        <v>1</v>
      </c>
    </row>
    <row r="1056" spans="1:24" s="337" customFormat="1" ht="12" customHeight="1" outlineLevel="1">
      <c r="A1056" s="335"/>
      <c r="B1056" s="118" t="s">
        <v>12</v>
      </c>
      <c r="C1056" s="334" t="s">
        <v>6913</v>
      </c>
      <c r="D1056" s="124" t="s">
        <v>6914</v>
      </c>
      <c r="E1056" s="125"/>
      <c r="F1056" s="118" t="s">
        <v>303</v>
      </c>
      <c r="G1056" s="126" t="s">
        <v>6850</v>
      </c>
      <c r="H1056" s="255">
        <v>6</v>
      </c>
      <c r="I1056" s="361">
        <v>1</v>
      </c>
      <c r="J1056" s="336" t="s">
        <v>286</v>
      </c>
      <c r="W1056" s="129" t="s">
        <v>286</v>
      </c>
      <c r="X1056" s="337" t="b">
        <f t="shared" si="48"/>
        <v>1</v>
      </c>
    </row>
    <row r="1057" spans="1:24" s="337" customFormat="1" ht="12" customHeight="1" outlineLevel="1">
      <c r="A1057" s="335"/>
      <c r="B1057" s="118" t="s">
        <v>12</v>
      </c>
      <c r="C1057" s="334" t="s">
        <v>6915</v>
      </c>
      <c r="D1057" s="124" t="s">
        <v>6916</v>
      </c>
      <c r="E1057" s="125"/>
      <c r="F1057" s="118" t="s">
        <v>303</v>
      </c>
      <c r="G1057" s="126" t="s">
        <v>6850</v>
      </c>
      <c r="H1057" s="255">
        <v>6</v>
      </c>
      <c r="I1057" s="361">
        <v>1</v>
      </c>
      <c r="J1057" s="336" t="s">
        <v>286</v>
      </c>
      <c r="W1057" s="129" t="s">
        <v>286</v>
      </c>
      <c r="X1057" s="337" t="b">
        <f t="shared" si="48"/>
        <v>1</v>
      </c>
    </row>
    <row r="1058" spans="1:24" s="337" customFormat="1" ht="12" customHeight="1" outlineLevel="1">
      <c r="A1058" s="335"/>
      <c r="B1058" s="118" t="s">
        <v>12</v>
      </c>
      <c r="C1058" s="334" t="s">
        <v>6917</v>
      </c>
      <c r="D1058" s="124" t="s">
        <v>6918</v>
      </c>
      <c r="E1058" s="125"/>
      <c r="F1058" s="118" t="s">
        <v>303</v>
      </c>
      <c r="G1058" s="126" t="s">
        <v>6850</v>
      </c>
      <c r="H1058" s="255">
        <v>6</v>
      </c>
      <c r="I1058" s="361">
        <v>1</v>
      </c>
      <c r="J1058" s="336" t="s">
        <v>310</v>
      </c>
      <c r="W1058" s="129" t="s">
        <v>4876</v>
      </c>
      <c r="X1058" s="337" t="b">
        <f t="shared" si="48"/>
        <v>0</v>
      </c>
    </row>
    <row r="1059" spans="1:24" s="337" customFormat="1" ht="12" customHeight="1" outlineLevel="1">
      <c r="A1059" s="335"/>
      <c r="B1059" s="118" t="s">
        <v>12</v>
      </c>
      <c r="C1059" s="334" t="s">
        <v>6919</v>
      </c>
      <c r="D1059" s="124" t="s">
        <v>6920</v>
      </c>
      <c r="E1059" s="125"/>
      <c r="F1059" s="118" t="s">
        <v>303</v>
      </c>
      <c r="G1059" s="126" t="s">
        <v>6850</v>
      </c>
      <c r="H1059" s="255">
        <v>6</v>
      </c>
      <c r="I1059" s="361">
        <v>1</v>
      </c>
      <c r="J1059" s="336" t="s">
        <v>310</v>
      </c>
      <c r="W1059" s="129" t="s">
        <v>4876</v>
      </c>
      <c r="X1059" s="337" t="b">
        <f t="shared" si="48"/>
        <v>0</v>
      </c>
    </row>
    <row r="1060" spans="1:24" s="337" customFormat="1" ht="12" customHeight="1" outlineLevel="1">
      <c r="A1060" s="335"/>
      <c r="B1060" s="118" t="s">
        <v>12</v>
      </c>
      <c r="C1060" s="334" t="s">
        <v>6921</v>
      </c>
      <c r="D1060" s="124" t="s">
        <v>6922</v>
      </c>
      <c r="E1060" s="125"/>
      <c r="F1060" s="118" t="s">
        <v>303</v>
      </c>
      <c r="G1060" s="126" t="s">
        <v>6850</v>
      </c>
      <c r="H1060" s="255">
        <v>6</v>
      </c>
      <c r="I1060" s="361">
        <v>1</v>
      </c>
      <c r="J1060" s="336" t="s">
        <v>310</v>
      </c>
      <c r="W1060" s="129" t="s">
        <v>4876</v>
      </c>
      <c r="X1060" s="337" t="b">
        <f t="shared" ref="X1060:X1123" si="49">W1060=J1060</f>
        <v>0</v>
      </c>
    </row>
    <row r="1061" spans="1:24" s="337" customFormat="1" ht="12" customHeight="1" outlineLevel="1">
      <c r="A1061" s="335"/>
      <c r="B1061" s="118" t="s">
        <v>12</v>
      </c>
      <c r="C1061" s="334" t="s">
        <v>6923</v>
      </c>
      <c r="D1061" s="124" t="s">
        <v>6924</v>
      </c>
      <c r="E1061" s="125"/>
      <c r="F1061" s="118" t="s">
        <v>303</v>
      </c>
      <c r="G1061" s="126" t="s">
        <v>6850</v>
      </c>
      <c r="H1061" s="255">
        <v>6</v>
      </c>
      <c r="I1061" s="361">
        <v>1</v>
      </c>
      <c r="J1061" s="336" t="s">
        <v>310</v>
      </c>
      <c r="W1061" s="129" t="s">
        <v>4876</v>
      </c>
      <c r="X1061" s="337" t="b">
        <f t="shared" si="49"/>
        <v>0</v>
      </c>
    </row>
    <row r="1062" spans="1:24" s="337" customFormat="1" ht="12" customHeight="1" outlineLevel="1">
      <c r="A1062" s="335"/>
      <c r="B1062" s="118" t="s">
        <v>12</v>
      </c>
      <c r="C1062" s="334" t="s">
        <v>6925</v>
      </c>
      <c r="D1062" s="124" t="s">
        <v>6926</v>
      </c>
      <c r="E1062" s="125"/>
      <c r="F1062" s="118" t="s">
        <v>303</v>
      </c>
      <c r="G1062" s="126" t="s">
        <v>6850</v>
      </c>
      <c r="H1062" s="255">
        <v>6</v>
      </c>
      <c r="I1062" s="361">
        <v>1</v>
      </c>
      <c r="J1062" s="336" t="s">
        <v>310</v>
      </c>
      <c r="W1062" s="129" t="s">
        <v>4876</v>
      </c>
      <c r="X1062" s="337" t="b">
        <f t="shared" si="49"/>
        <v>0</v>
      </c>
    </row>
    <row r="1063" spans="1:24" s="337" customFormat="1" ht="12" customHeight="1" outlineLevel="1">
      <c r="A1063" s="335"/>
      <c r="B1063" s="118" t="s">
        <v>12</v>
      </c>
      <c r="C1063" s="334" t="s">
        <v>6927</v>
      </c>
      <c r="D1063" s="124" t="s">
        <v>6928</v>
      </c>
      <c r="E1063" s="125"/>
      <c r="F1063" s="118" t="s">
        <v>303</v>
      </c>
      <c r="G1063" s="126" t="s">
        <v>6850</v>
      </c>
      <c r="H1063" s="255">
        <v>6</v>
      </c>
      <c r="I1063" s="361">
        <v>1</v>
      </c>
      <c r="J1063" s="336" t="s">
        <v>286</v>
      </c>
      <c r="W1063" s="129" t="s">
        <v>4876</v>
      </c>
      <c r="X1063" s="337" t="b">
        <f t="shared" si="49"/>
        <v>0</v>
      </c>
    </row>
    <row r="1064" spans="1:24" s="337" customFormat="1" ht="12" customHeight="1" outlineLevel="1">
      <c r="A1064" s="335"/>
      <c r="B1064" s="118" t="s">
        <v>12</v>
      </c>
      <c r="C1064" s="334" t="s">
        <v>6929</v>
      </c>
      <c r="D1064" s="124" t="s">
        <v>6930</v>
      </c>
      <c r="E1064" s="125"/>
      <c r="F1064" s="118" t="s">
        <v>303</v>
      </c>
      <c r="G1064" s="126" t="s">
        <v>6850</v>
      </c>
      <c r="H1064" s="255">
        <v>6</v>
      </c>
      <c r="I1064" s="361">
        <v>1</v>
      </c>
      <c r="J1064" s="336" t="s">
        <v>286</v>
      </c>
      <c r="W1064" s="129" t="s">
        <v>4876</v>
      </c>
      <c r="X1064" s="337" t="b">
        <f t="shared" si="49"/>
        <v>0</v>
      </c>
    </row>
    <row r="1065" spans="1:24" s="337" customFormat="1" ht="12" customHeight="1" outlineLevel="1">
      <c r="A1065" s="335"/>
      <c r="B1065" s="118" t="s">
        <v>12</v>
      </c>
      <c r="C1065" s="334" t="s">
        <v>6931</v>
      </c>
      <c r="D1065" s="124" t="s">
        <v>6932</v>
      </c>
      <c r="E1065" s="125"/>
      <c r="F1065" s="118" t="s">
        <v>303</v>
      </c>
      <c r="G1065" s="126" t="s">
        <v>6850</v>
      </c>
      <c r="H1065" s="255">
        <v>6</v>
      </c>
      <c r="I1065" s="361">
        <v>1</v>
      </c>
      <c r="J1065" s="336" t="s">
        <v>286</v>
      </c>
      <c r="W1065" s="129" t="s">
        <v>4876</v>
      </c>
      <c r="X1065" s="337" t="b">
        <f t="shared" si="49"/>
        <v>0</v>
      </c>
    </row>
    <row r="1066" spans="1:24" s="337" customFormat="1" ht="12" customHeight="1" outlineLevel="1">
      <c r="A1066" s="335"/>
      <c r="B1066" s="118" t="s">
        <v>12</v>
      </c>
      <c r="C1066" s="334" t="s">
        <v>6933</v>
      </c>
      <c r="D1066" s="124" t="s">
        <v>6934</v>
      </c>
      <c r="E1066" s="125"/>
      <c r="F1066" s="118" t="s">
        <v>303</v>
      </c>
      <c r="G1066" s="126" t="s">
        <v>6850</v>
      </c>
      <c r="H1066" s="255">
        <v>6</v>
      </c>
      <c r="I1066" s="361">
        <v>1</v>
      </c>
      <c r="J1066" s="336" t="s">
        <v>286</v>
      </c>
      <c r="W1066" s="129" t="s">
        <v>4876</v>
      </c>
      <c r="X1066" s="337" t="b">
        <f t="shared" si="49"/>
        <v>0</v>
      </c>
    </row>
    <row r="1067" spans="1:24" s="337" customFormat="1" ht="12" customHeight="1" outlineLevel="1">
      <c r="A1067" s="335"/>
      <c r="B1067" s="118" t="s">
        <v>12</v>
      </c>
      <c r="C1067" s="334" t="s">
        <v>6935</v>
      </c>
      <c r="D1067" s="124" t="s">
        <v>6936</v>
      </c>
      <c r="E1067" s="125"/>
      <c r="F1067" s="118" t="s">
        <v>303</v>
      </c>
      <c r="G1067" s="126" t="s">
        <v>6850</v>
      </c>
      <c r="H1067" s="255">
        <v>6</v>
      </c>
      <c r="I1067" s="361">
        <v>1</v>
      </c>
      <c r="J1067" s="336" t="s">
        <v>286</v>
      </c>
      <c r="W1067" s="129" t="s">
        <v>4876</v>
      </c>
      <c r="X1067" s="337" t="b">
        <f t="shared" si="49"/>
        <v>0</v>
      </c>
    </row>
    <row r="1068" spans="1:24" s="337" customFormat="1" ht="12" customHeight="1" outlineLevel="1">
      <c r="A1068" s="335"/>
      <c r="B1068" s="118" t="s">
        <v>12</v>
      </c>
      <c r="C1068" s="334" t="s">
        <v>6937</v>
      </c>
      <c r="D1068" s="124" t="s">
        <v>6938</v>
      </c>
      <c r="E1068" s="125"/>
      <c r="F1068" s="118" t="s">
        <v>303</v>
      </c>
      <c r="G1068" s="126" t="s">
        <v>6850</v>
      </c>
      <c r="H1068" s="255">
        <v>6</v>
      </c>
      <c r="I1068" s="361">
        <v>1</v>
      </c>
      <c r="J1068" s="336" t="s">
        <v>286</v>
      </c>
      <c r="W1068" s="129" t="s">
        <v>4876</v>
      </c>
      <c r="X1068" s="337" t="b">
        <f t="shared" si="49"/>
        <v>0</v>
      </c>
    </row>
    <row r="1069" spans="1:24" s="337" customFormat="1" ht="12" customHeight="1" outlineLevel="1">
      <c r="A1069" s="335"/>
      <c r="B1069" s="118" t="s">
        <v>12</v>
      </c>
      <c r="C1069" s="334" t="s">
        <v>6939</v>
      </c>
      <c r="D1069" s="124" t="s">
        <v>6940</v>
      </c>
      <c r="E1069" s="125"/>
      <c r="F1069" s="118" t="s">
        <v>303</v>
      </c>
      <c r="G1069" s="126" t="s">
        <v>6850</v>
      </c>
      <c r="H1069" s="255">
        <v>6</v>
      </c>
      <c r="I1069" s="361">
        <v>1</v>
      </c>
      <c r="J1069" s="336" t="s">
        <v>286</v>
      </c>
      <c r="W1069" s="129" t="s">
        <v>286</v>
      </c>
      <c r="X1069" s="337" t="b">
        <f t="shared" si="49"/>
        <v>1</v>
      </c>
    </row>
    <row r="1070" spans="1:24" s="337" customFormat="1" ht="12" customHeight="1" outlineLevel="1">
      <c r="A1070" s="335"/>
      <c r="B1070" s="118" t="s">
        <v>12</v>
      </c>
      <c r="C1070" s="334" t="s">
        <v>6941</v>
      </c>
      <c r="D1070" s="124" t="s">
        <v>6942</v>
      </c>
      <c r="E1070" s="125"/>
      <c r="F1070" s="118" t="s">
        <v>303</v>
      </c>
      <c r="G1070" s="126" t="s">
        <v>6850</v>
      </c>
      <c r="H1070" s="255">
        <v>6</v>
      </c>
      <c r="I1070" s="361">
        <v>1</v>
      </c>
      <c r="J1070" s="336" t="s">
        <v>286</v>
      </c>
      <c r="W1070" s="129" t="s">
        <v>286</v>
      </c>
      <c r="X1070" s="337" t="b">
        <f t="shared" si="49"/>
        <v>1</v>
      </c>
    </row>
    <row r="1071" spans="1:24" s="337" customFormat="1" ht="12" customHeight="1" outlineLevel="1">
      <c r="A1071" s="335"/>
      <c r="B1071" s="118" t="s">
        <v>12</v>
      </c>
      <c r="C1071" s="334" t="s">
        <v>6943</v>
      </c>
      <c r="D1071" s="124" t="s">
        <v>6944</v>
      </c>
      <c r="E1071" s="125"/>
      <c r="F1071" s="118" t="s">
        <v>303</v>
      </c>
      <c r="G1071" s="126" t="s">
        <v>6850</v>
      </c>
      <c r="H1071" s="255">
        <v>6</v>
      </c>
      <c r="I1071" s="361">
        <v>1</v>
      </c>
      <c r="J1071" s="336" t="s">
        <v>286</v>
      </c>
      <c r="W1071" s="129" t="s">
        <v>286</v>
      </c>
      <c r="X1071" s="337" t="b">
        <f t="shared" si="49"/>
        <v>1</v>
      </c>
    </row>
    <row r="1072" spans="1:24" s="337" customFormat="1" ht="12" customHeight="1" outlineLevel="1">
      <c r="A1072" s="335"/>
      <c r="B1072" s="118" t="s">
        <v>12</v>
      </c>
      <c r="C1072" s="334" t="s">
        <v>6945</v>
      </c>
      <c r="D1072" s="124" t="s">
        <v>6946</v>
      </c>
      <c r="E1072" s="125"/>
      <c r="F1072" s="118" t="s">
        <v>303</v>
      </c>
      <c r="G1072" s="126" t="s">
        <v>6850</v>
      </c>
      <c r="H1072" s="255">
        <v>6</v>
      </c>
      <c r="I1072" s="361">
        <v>1</v>
      </c>
      <c r="J1072" s="336" t="s">
        <v>286</v>
      </c>
      <c r="W1072" s="129" t="s">
        <v>4876</v>
      </c>
      <c r="X1072" s="337" t="b">
        <f t="shared" si="49"/>
        <v>0</v>
      </c>
    </row>
    <row r="1073" spans="1:24" s="337" customFormat="1" ht="12" customHeight="1" outlineLevel="1">
      <c r="A1073" s="335"/>
      <c r="B1073" s="118" t="s">
        <v>12</v>
      </c>
      <c r="C1073" s="334" t="s">
        <v>6947</v>
      </c>
      <c r="D1073" s="124" t="s">
        <v>6948</v>
      </c>
      <c r="E1073" s="125"/>
      <c r="F1073" s="118" t="s">
        <v>303</v>
      </c>
      <c r="G1073" s="126" t="s">
        <v>6850</v>
      </c>
      <c r="H1073" s="255">
        <v>6</v>
      </c>
      <c r="I1073" s="361">
        <v>1</v>
      </c>
      <c r="J1073" s="336" t="s">
        <v>286</v>
      </c>
      <c r="W1073" s="129" t="s">
        <v>4876</v>
      </c>
      <c r="X1073" s="337" t="b">
        <f t="shared" si="49"/>
        <v>0</v>
      </c>
    </row>
    <row r="1074" spans="1:24" s="337" customFormat="1" ht="12" customHeight="1" outlineLevel="1">
      <c r="A1074" s="335"/>
      <c r="B1074" s="118" t="s">
        <v>12</v>
      </c>
      <c r="C1074" s="334" t="s">
        <v>6949</v>
      </c>
      <c r="D1074" s="124" t="s">
        <v>6950</v>
      </c>
      <c r="E1074" s="125"/>
      <c r="F1074" s="118" t="s">
        <v>303</v>
      </c>
      <c r="G1074" s="126" t="s">
        <v>6850</v>
      </c>
      <c r="H1074" s="255">
        <v>6</v>
      </c>
      <c r="I1074" s="361">
        <v>1</v>
      </c>
      <c r="J1074" s="336" t="s">
        <v>286</v>
      </c>
      <c r="W1074" s="129" t="s">
        <v>286</v>
      </c>
      <c r="X1074" s="337" t="b">
        <f t="shared" si="49"/>
        <v>1</v>
      </c>
    </row>
    <row r="1075" spans="1:24" s="337" customFormat="1" ht="12" customHeight="1" outlineLevel="1">
      <c r="A1075" s="335"/>
      <c r="B1075" s="118" t="s">
        <v>12</v>
      </c>
      <c r="C1075" s="334" t="s">
        <v>6951</v>
      </c>
      <c r="D1075" s="124" t="s">
        <v>6952</v>
      </c>
      <c r="E1075" s="125"/>
      <c r="F1075" s="118" t="s">
        <v>303</v>
      </c>
      <c r="G1075" s="126" t="s">
        <v>6953</v>
      </c>
      <c r="H1075" s="255">
        <v>8</v>
      </c>
      <c r="I1075" s="361">
        <v>1</v>
      </c>
      <c r="J1075" s="336" t="s">
        <v>307</v>
      </c>
      <c r="W1075" s="129" t="s">
        <v>286</v>
      </c>
      <c r="X1075" s="337" t="b">
        <f t="shared" si="49"/>
        <v>0</v>
      </c>
    </row>
    <row r="1076" spans="1:24" s="337" customFormat="1" ht="12" customHeight="1" outlineLevel="1">
      <c r="A1076" s="335"/>
      <c r="B1076" s="118" t="s">
        <v>12</v>
      </c>
      <c r="C1076" s="334" t="s">
        <v>6954</v>
      </c>
      <c r="D1076" s="124" t="s">
        <v>6955</v>
      </c>
      <c r="E1076" s="125"/>
      <c r="F1076" s="118" t="s">
        <v>303</v>
      </c>
      <c r="G1076" s="126" t="s">
        <v>6953</v>
      </c>
      <c r="H1076" s="255">
        <v>8</v>
      </c>
      <c r="I1076" s="361">
        <v>1</v>
      </c>
      <c r="J1076" s="336" t="s">
        <v>325</v>
      </c>
      <c r="W1076" s="129" t="s">
        <v>286</v>
      </c>
      <c r="X1076" s="337" t="b">
        <f t="shared" si="49"/>
        <v>0</v>
      </c>
    </row>
    <row r="1077" spans="1:24" s="337" customFormat="1" ht="12" customHeight="1" outlineLevel="1">
      <c r="A1077" s="335"/>
      <c r="B1077" s="118" t="s">
        <v>12</v>
      </c>
      <c r="C1077" s="334" t="s">
        <v>6956</v>
      </c>
      <c r="D1077" s="124" t="s">
        <v>6957</v>
      </c>
      <c r="E1077" s="125"/>
      <c r="F1077" s="118" t="s">
        <v>303</v>
      </c>
      <c r="G1077" s="126" t="s">
        <v>6953</v>
      </c>
      <c r="H1077" s="255">
        <v>8</v>
      </c>
      <c r="I1077" s="361">
        <v>1</v>
      </c>
      <c r="J1077" s="336" t="s">
        <v>307</v>
      </c>
      <c r="W1077" s="129" t="s">
        <v>310</v>
      </c>
      <c r="X1077" s="337" t="b">
        <f t="shared" si="49"/>
        <v>0</v>
      </c>
    </row>
    <row r="1078" spans="1:24" s="337" customFormat="1" ht="12" customHeight="1" outlineLevel="1">
      <c r="A1078" s="335"/>
      <c r="B1078" s="118" t="s">
        <v>12</v>
      </c>
      <c r="C1078" s="334" t="s">
        <v>6958</v>
      </c>
      <c r="D1078" s="124" t="s">
        <v>6959</v>
      </c>
      <c r="E1078" s="125"/>
      <c r="F1078" s="118" t="s">
        <v>303</v>
      </c>
      <c r="G1078" s="126" t="s">
        <v>6953</v>
      </c>
      <c r="H1078" s="255">
        <v>8</v>
      </c>
      <c r="I1078" s="361">
        <v>1</v>
      </c>
      <c r="J1078" s="336" t="s">
        <v>286</v>
      </c>
      <c r="W1078" s="129" t="s">
        <v>286</v>
      </c>
      <c r="X1078" s="337" t="b">
        <f t="shared" si="49"/>
        <v>1</v>
      </c>
    </row>
    <row r="1079" spans="1:24" s="337" customFormat="1" ht="12" customHeight="1" outlineLevel="1">
      <c r="A1079" s="335"/>
      <c r="B1079" s="118" t="s">
        <v>12</v>
      </c>
      <c r="C1079" s="334" t="s">
        <v>6960</v>
      </c>
      <c r="D1079" s="124" t="s">
        <v>6961</v>
      </c>
      <c r="E1079" s="125"/>
      <c r="F1079" s="118" t="s">
        <v>303</v>
      </c>
      <c r="G1079" s="126" t="s">
        <v>6953</v>
      </c>
      <c r="H1079" s="255">
        <v>8</v>
      </c>
      <c r="I1079" s="361">
        <v>1</v>
      </c>
      <c r="J1079" s="336" t="s">
        <v>286</v>
      </c>
      <c r="W1079" s="129" t="s">
        <v>286</v>
      </c>
      <c r="X1079" s="337" t="b">
        <f t="shared" si="49"/>
        <v>1</v>
      </c>
    </row>
    <row r="1080" spans="1:24" s="337" customFormat="1" ht="12" customHeight="1" outlineLevel="1">
      <c r="A1080" s="335"/>
      <c r="B1080" s="118" t="s">
        <v>12</v>
      </c>
      <c r="C1080" s="334" t="s">
        <v>6962</v>
      </c>
      <c r="D1080" s="124" t="s">
        <v>6963</v>
      </c>
      <c r="E1080" s="125"/>
      <c r="F1080" s="118" t="s">
        <v>303</v>
      </c>
      <c r="G1080" s="126" t="s">
        <v>6953</v>
      </c>
      <c r="H1080" s="255">
        <v>8</v>
      </c>
      <c r="I1080" s="361">
        <v>1</v>
      </c>
      <c r="J1080" s="336" t="s">
        <v>286</v>
      </c>
      <c r="W1080" s="129" t="s">
        <v>286</v>
      </c>
      <c r="X1080" s="337" t="b">
        <f t="shared" si="49"/>
        <v>1</v>
      </c>
    </row>
    <row r="1081" spans="1:24" s="337" customFormat="1" ht="12" customHeight="1" outlineLevel="1">
      <c r="A1081" s="335"/>
      <c r="B1081" s="118" t="s">
        <v>12</v>
      </c>
      <c r="C1081" s="334" t="s">
        <v>6964</v>
      </c>
      <c r="D1081" s="124" t="s">
        <v>6965</v>
      </c>
      <c r="E1081" s="125"/>
      <c r="F1081" s="118" t="s">
        <v>303</v>
      </c>
      <c r="G1081" s="126" t="s">
        <v>6953</v>
      </c>
      <c r="H1081" s="255">
        <v>8</v>
      </c>
      <c r="I1081" s="361">
        <v>1</v>
      </c>
      <c r="J1081" s="336" t="s">
        <v>286</v>
      </c>
      <c r="W1081" s="129" t="s">
        <v>286</v>
      </c>
      <c r="X1081" s="337" t="b">
        <f t="shared" si="49"/>
        <v>1</v>
      </c>
    </row>
    <row r="1082" spans="1:24" s="337" customFormat="1" ht="12" customHeight="1" outlineLevel="1">
      <c r="A1082" s="335"/>
      <c r="B1082" s="118" t="s">
        <v>12</v>
      </c>
      <c r="C1082" s="334" t="s">
        <v>6966</v>
      </c>
      <c r="D1082" s="124" t="s">
        <v>6967</v>
      </c>
      <c r="E1082" s="125"/>
      <c r="F1082" s="118" t="s">
        <v>303</v>
      </c>
      <c r="G1082" s="126" t="s">
        <v>6953</v>
      </c>
      <c r="H1082" s="255">
        <v>8</v>
      </c>
      <c r="I1082" s="361">
        <v>1</v>
      </c>
      <c r="J1082" s="336" t="s">
        <v>286</v>
      </c>
      <c r="W1082" s="129" t="s">
        <v>286</v>
      </c>
      <c r="X1082" s="337" t="b">
        <f t="shared" si="49"/>
        <v>1</v>
      </c>
    </row>
    <row r="1083" spans="1:24" s="337" customFormat="1" ht="12" customHeight="1" outlineLevel="1">
      <c r="A1083" s="335"/>
      <c r="B1083" s="118" t="s">
        <v>12</v>
      </c>
      <c r="C1083" s="334" t="s">
        <v>6968</v>
      </c>
      <c r="D1083" s="124" t="s">
        <v>6969</v>
      </c>
      <c r="E1083" s="125"/>
      <c r="F1083" s="118" t="s">
        <v>303</v>
      </c>
      <c r="G1083" s="126" t="s">
        <v>6953</v>
      </c>
      <c r="H1083" s="255">
        <v>8</v>
      </c>
      <c r="I1083" s="361">
        <v>1</v>
      </c>
      <c r="J1083" s="336" t="s">
        <v>286</v>
      </c>
      <c r="W1083" s="129" t="s">
        <v>286</v>
      </c>
      <c r="X1083" s="337" t="b">
        <f t="shared" si="49"/>
        <v>1</v>
      </c>
    </row>
    <row r="1084" spans="1:24" s="337" customFormat="1" ht="12" customHeight="1" outlineLevel="1">
      <c r="A1084" s="335"/>
      <c r="B1084" s="118" t="s">
        <v>12</v>
      </c>
      <c r="C1084" s="334" t="s">
        <v>6970</v>
      </c>
      <c r="D1084" s="124" t="s">
        <v>6971</v>
      </c>
      <c r="E1084" s="125"/>
      <c r="F1084" s="118" t="s">
        <v>303</v>
      </c>
      <c r="G1084" s="126" t="s">
        <v>6953</v>
      </c>
      <c r="H1084" s="255">
        <v>8</v>
      </c>
      <c r="I1084" s="361">
        <v>1</v>
      </c>
      <c r="J1084" s="336" t="s">
        <v>286</v>
      </c>
      <c r="W1084" s="129" t="s">
        <v>286</v>
      </c>
      <c r="X1084" s="337" t="b">
        <f t="shared" si="49"/>
        <v>1</v>
      </c>
    </row>
    <row r="1085" spans="1:24" s="337" customFormat="1" ht="12" customHeight="1" outlineLevel="1">
      <c r="A1085" s="335"/>
      <c r="B1085" s="118" t="s">
        <v>12</v>
      </c>
      <c r="C1085" s="334" t="s">
        <v>6972</v>
      </c>
      <c r="D1085" s="124" t="s">
        <v>6973</v>
      </c>
      <c r="E1085" s="125"/>
      <c r="F1085" s="118" t="s">
        <v>303</v>
      </c>
      <c r="G1085" s="126" t="s">
        <v>6953</v>
      </c>
      <c r="H1085" s="255">
        <v>8</v>
      </c>
      <c r="I1085" s="361">
        <v>1</v>
      </c>
      <c r="J1085" s="336" t="s">
        <v>286</v>
      </c>
      <c r="W1085" s="129" t="s">
        <v>286</v>
      </c>
      <c r="X1085" s="337" t="b">
        <f t="shared" si="49"/>
        <v>1</v>
      </c>
    </row>
    <row r="1086" spans="1:24" s="337" customFormat="1" ht="12" customHeight="1" outlineLevel="1">
      <c r="A1086" s="335"/>
      <c r="B1086" s="118" t="s">
        <v>12</v>
      </c>
      <c r="C1086" s="334" t="s">
        <v>6974</v>
      </c>
      <c r="D1086" s="124" t="s">
        <v>6975</v>
      </c>
      <c r="E1086" s="125"/>
      <c r="F1086" s="118" t="s">
        <v>303</v>
      </c>
      <c r="G1086" s="126" t="s">
        <v>6953</v>
      </c>
      <c r="H1086" s="255">
        <v>8</v>
      </c>
      <c r="I1086" s="361">
        <v>1</v>
      </c>
      <c r="J1086" s="336" t="s">
        <v>310</v>
      </c>
      <c r="W1086" s="129" t="s">
        <v>286</v>
      </c>
      <c r="X1086" s="337" t="b">
        <f t="shared" si="49"/>
        <v>0</v>
      </c>
    </row>
    <row r="1087" spans="1:24" s="337" customFormat="1" ht="12" customHeight="1" outlineLevel="1">
      <c r="A1087" s="335"/>
      <c r="B1087" s="118" t="s">
        <v>12</v>
      </c>
      <c r="C1087" s="334" t="s">
        <v>6976</v>
      </c>
      <c r="D1087" s="124" t="s">
        <v>6977</v>
      </c>
      <c r="E1087" s="125"/>
      <c r="F1087" s="118" t="s">
        <v>303</v>
      </c>
      <c r="G1087" s="126" t="s">
        <v>6953</v>
      </c>
      <c r="H1087" s="255">
        <v>8</v>
      </c>
      <c r="I1087" s="361">
        <v>1</v>
      </c>
      <c r="J1087" s="336" t="s">
        <v>310</v>
      </c>
      <c r="W1087" s="129" t="s">
        <v>286</v>
      </c>
      <c r="X1087" s="337" t="b">
        <f t="shared" si="49"/>
        <v>0</v>
      </c>
    </row>
    <row r="1088" spans="1:24" s="337" customFormat="1" ht="12" customHeight="1" outlineLevel="1">
      <c r="A1088" s="335"/>
      <c r="B1088" s="118" t="s">
        <v>12</v>
      </c>
      <c r="C1088" s="334" t="s">
        <v>6978</v>
      </c>
      <c r="D1088" s="124" t="s">
        <v>6979</v>
      </c>
      <c r="E1088" s="125"/>
      <c r="F1088" s="118" t="s">
        <v>303</v>
      </c>
      <c r="G1088" s="126" t="s">
        <v>6953</v>
      </c>
      <c r="H1088" s="255">
        <v>8</v>
      </c>
      <c r="I1088" s="361">
        <v>1</v>
      </c>
      <c r="J1088" s="336" t="s">
        <v>286</v>
      </c>
      <c r="W1088" s="129" t="s">
        <v>286</v>
      </c>
      <c r="X1088" s="337" t="b">
        <f t="shared" si="49"/>
        <v>1</v>
      </c>
    </row>
    <row r="1089" spans="1:24" s="337" customFormat="1" ht="12" customHeight="1" outlineLevel="1">
      <c r="A1089" s="335"/>
      <c r="B1089" s="118" t="s">
        <v>12</v>
      </c>
      <c r="C1089" s="334" t="s">
        <v>6980</v>
      </c>
      <c r="D1089" s="124" t="s">
        <v>6981</v>
      </c>
      <c r="E1089" s="125"/>
      <c r="F1089" s="118" t="s">
        <v>303</v>
      </c>
      <c r="G1089" s="126" t="s">
        <v>6953</v>
      </c>
      <c r="H1089" s="255">
        <v>8</v>
      </c>
      <c r="I1089" s="361">
        <v>1</v>
      </c>
      <c r="J1089" s="336" t="s">
        <v>310</v>
      </c>
      <c r="W1089" s="129" t="s">
        <v>286</v>
      </c>
      <c r="X1089" s="337" t="b">
        <f t="shared" si="49"/>
        <v>0</v>
      </c>
    </row>
    <row r="1090" spans="1:24" s="337" customFormat="1" ht="12" customHeight="1" outlineLevel="1">
      <c r="A1090" s="335"/>
      <c r="B1090" s="118" t="s">
        <v>12</v>
      </c>
      <c r="C1090" s="334" t="s">
        <v>6982</v>
      </c>
      <c r="D1090" s="124" t="s">
        <v>6983</v>
      </c>
      <c r="E1090" s="125"/>
      <c r="F1090" s="118" t="s">
        <v>303</v>
      </c>
      <c r="G1090" s="126" t="s">
        <v>6953</v>
      </c>
      <c r="H1090" s="255">
        <v>8</v>
      </c>
      <c r="I1090" s="361">
        <v>1</v>
      </c>
      <c r="J1090" s="336" t="s">
        <v>286</v>
      </c>
      <c r="W1090" s="129" t="s">
        <v>286</v>
      </c>
      <c r="X1090" s="337" t="b">
        <f t="shared" si="49"/>
        <v>1</v>
      </c>
    </row>
    <row r="1091" spans="1:24" s="337" customFormat="1" ht="12" customHeight="1" outlineLevel="1">
      <c r="A1091" s="335"/>
      <c r="B1091" s="118" t="s">
        <v>12</v>
      </c>
      <c r="C1091" s="334" t="s">
        <v>6984</v>
      </c>
      <c r="D1091" s="124" t="s">
        <v>6985</v>
      </c>
      <c r="E1091" s="125"/>
      <c r="F1091" s="118" t="s">
        <v>303</v>
      </c>
      <c r="G1091" s="126" t="s">
        <v>6953</v>
      </c>
      <c r="H1091" s="255">
        <v>8</v>
      </c>
      <c r="I1091" s="361">
        <v>1</v>
      </c>
      <c r="J1091" s="336" t="s">
        <v>286</v>
      </c>
      <c r="W1091" s="129" t="s">
        <v>286</v>
      </c>
      <c r="X1091" s="337" t="b">
        <f t="shared" si="49"/>
        <v>1</v>
      </c>
    </row>
    <row r="1092" spans="1:24" s="337" customFormat="1" ht="12" customHeight="1" outlineLevel="1">
      <c r="A1092" s="335"/>
      <c r="B1092" s="118" t="s">
        <v>12</v>
      </c>
      <c r="C1092" s="334" t="s">
        <v>6986</v>
      </c>
      <c r="D1092" s="124" t="s">
        <v>6987</v>
      </c>
      <c r="E1092" s="125"/>
      <c r="F1092" s="118" t="s">
        <v>303</v>
      </c>
      <c r="G1092" s="126" t="s">
        <v>6953</v>
      </c>
      <c r="H1092" s="255">
        <v>8</v>
      </c>
      <c r="I1092" s="361">
        <v>1</v>
      </c>
      <c r="J1092" s="336" t="s">
        <v>286</v>
      </c>
      <c r="W1092" s="129" t="s">
        <v>286</v>
      </c>
      <c r="X1092" s="337" t="b">
        <f t="shared" si="49"/>
        <v>1</v>
      </c>
    </row>
    <row r="1093" spans="1:24" s="337" customFormat="1" ht="12" customHeight="1" outlineLevel="1">
      <c r="A1093" s="335"/>
      <c r="B1093" s="118" t="s">
        <v>12</v>
      </c>
      <c r="C1093" s="334" t="s">
        <v>6988</v>
      </c>
      <c r="D1093" s="124" t="s">
        <v>6989</v>
      </c>
      <c r="E1093" s="125"/>
      <c r="F1093" s="118" t="s">
        <v>303</v>
      </c>
      <c r="G1093" s="126" t="s">
        <v>6953</v>
      </c>
      <c r="H1093" s="255">
        <v>8</v>
      </c>
      <c r="I1093" s="361">
        <v>1</v>
      </c>
      <c r="J1093" s="336" t="s">
        <v>286</v>
      </c>
      <c r="W1093" s="129" t="s">
        <v>286</v>
      </c>
      <c r="X1093" s="337" t="b">
        <f t="shared" si="49"/>
        <v>1</v>
      </c>
    </row>
    <row r="1094" spans="1:24" s="337" customFormat="1" ht="12" customHeight="1" outlineLevel="1">
      <c r="A1094" s="335"/>
      <c r="B1094" s="118" t="s">
        <v>12</v>
      </c>
      <c r="C1094" s="334" t="s">
        <v>6990</v>
      </c>
      <c r="D1094" s="124" t="s">
        <v>6991</v>
      </c>
      <c r="E1094" s="125"/>
      <c r="F1094" s="118" t="s">
        <v>303</v>
      </c>
      <c r="G1094" s="126" t="s">
        <v>6953</v>
      </c>
      <c r="H1094" s="255">
        <v>8</v>
      </c>
      <c r="I1094" s="361">
        <v>1</v>
      </c>
      <c r="J1094" s="336" t="s">
        <v>286</v>
      </c>
      <c r="W1094" s="129" t="s">
        <v>286</v>
      </c>
      <c r="X1094" s="337" t="b">
        <f t="shared" si="49"/>
        <v>1</v>
      </c>
    </row>
    <row r="1095" spans="1:24" s="337" customFormat="1" ht="12" customHeight="1" outlineLevel="1">
      <c r="A1095" s="335"/>
      <c r="B1095" s="118" t="s">
        <v>12</v>
      </c>
      <c r="C1095" s="334" t="s">
        <v>6992</v>
      </c>
      <c r="D1095" s="124" t="s">
        <v>6993</v>
      </c>
      <c r="E1095" s="125"/>
      <c r="F1095" s="118" t="s">
        <v>303</v>
      </c>
      <c r="G1095" s="126" t="s">
        <v>6953</v>
      </c>
      <c r="H1095" s="255">
        <v>8</v>
      </c>
      <c r="I1095" s="361">
        <v>1</v>
      </c>
      <c r="J1095" s="336" t="s">
        <v>286</v>
      </c>
      <c r="W1095" s="129" t="s">
        <v>286</v>
      </c>
      <c r="X1095" s="337" t="b">
        <f t="shared" si="49"/>
        <v>1</v>
      </c>
    </row>
    <row r="1096" spans="1:24" s="337" customFormat="1" ht="12" customHeight="1" outlineLevel="1">
      <c r="A1096" s="335"/>
      <c r="B1096" s="118" t="s">
        <v>12</v>
      </c>
      <c r="C1096" s="334" t="s">
        <v>6994</v>
      </c>
      <c r="D1096" s="124" t="s">
        <v>6995</v>
      </c>
      <c r="E1096" s="125"/>
      <c r="F1096" s="118" t="s">
        <v>303</v>
      </c>
      <c r="G1096" s="126" t="s">
        <v>6953</v>
      </c>
      <c r="H1096" s="255">
        <v>8</v>
      </c>
      <c r="I1096" s="361">
        <v>1</v>
      </c>
      <c r="J1096" s="336" t="s">
        <v>310</v>
      </c>
      <c r="W1096" s="129" t="s">
        <v>286</v>
      </c>
      <c r="X1096" s="337" t="b">
        <f t="shared" si="49"/>
        <v>0</v>
      </c>
    </row>
    <row r="1097" spans="1:24" s="337" customFormat="1" ht="12" customHeight="1" outlineLevel="1">
      <c r="A1097" s="335"/>
      <c r="B1097" s="118" t="s">
        <v>12</v>
      </c>
      <c r="C1097" s="334" t="s">
        <v>6996</v>
      </c>
      <c r="D1097" s="124" t="s">
        <v>6997</v>
      </c>
      <c r="E1097" s="125"/>
      <c r="F1097" s="118" t="s">
        <v>303</v>
      </c>
      <c r="G1097" s="126" t="s">
        <v>6953</v>
      </c>
      <c r="H1097" s="255">
        <v>8</v>
      </c>
      <c r="I1097" s="361">
        <v>1</v>
      </c>
      <c r="J1097" s="336" t="s">
        <v>310</v>
      </c>
      <c r="W1097" s="129" t="s">
        <v>286</v>
      </c>
      <c r="X1097" s="337" t="b">
        <f t="shared" si="49"/>
        <v>0</v>
      </c>
    </row>
    <row r="1098" spans="1:24" s="337" customFormat="1" ht="12" customHeight="1" outlineLevel="1">
      <c r="A1098" s="335"/>
      <c r="B1098" s="118" t="s">
        <v>12</v>
      </c>
      <c r="C1098" s="334" t="s">
        <v>6998</v>
      </c>
      <c r="D1098" s="124" t="s">
        <v>6999</v>
      </c>
      <c r="E1098" s="125"/>
      <c r="F1098" s="118" t="s">
        <v>303</v>
      </c>
      <c r="G1098" s="126" t="s">
        <v>6953</v>
      </c>
      <c r="H1098" s="255">
        <v>8</v>
      </c>
      <c r="I1098" s="361">
        <v>1</v>
      </c>
      <c r="J1098" s="336" t="s">
        <v>286</v>
      </c>
      <c r="W1098" s="129" t="s">
        <v>286</v>
      </c>
      <c r="X1098" s="337" t="b">
        <f t="shared" si="49"/>
        <v>1</v>
      </c>
    </row>
    <row r="1099" spans="1:24" s="337" customFormat="1" ht="12" customHeight="1" outlineLevel="1">
      <c r="A1099" s="335"/>
      <c r="B1099" s="118" t="s">
        <v>12</v>
      </c>
      <c r="C1099" s="334" t="s">
        <v>7000</v>
      </c>
      <c r="D1099" s="124" t="s">
        <v>7001</v>
      </c>
      <c r="E1099" s="125"/>
      <c r="F1099" s="118" t="s">
        <v>303</v>
      </c>
      <c r="G1099" s="126" t="s">
        <v>6953</v>
      </c>
      <c r="H1099" s="255">
        <v>8</v>
      </c>
      <c r="I1099" s="361">
        <v>1</v>
      </c>
      <c r="J1099" s="336" t="s">
        <v>286</v>
      </c>
      <c r="W1099" s="129" t="s">
        <v>286</v>
      </c>
      <c r="X1099" s="337" t="b">
        <f t="shared" si="49"/>
        <v>1</v>
      </c>
    </row>
    <row r="1100" spans="1:24" s="337" customFormat="1" ht="12" customHeight="1" outlineLevel="1">
      <c r="A1100" s="335"/>
      <c r="B1100" s="118" t="s">
        <v>12</v>
      </c>
      <c r="C1100" s="334" t="s">
        <v>7002</v>
      </c>
      <c r="D1100" s="124" t="s">
        <v>7003</v>
      </c>
      <c r="E1100" s="125"/>
      <c r="F1100" s="118" t="s">
        <v>303</v>
      </c>
      <c r="G1100" s="126" t="s">
        <v>6953</v>
      </c>
      <c r="H1100" s="255">
        <v>8</v>
      </c>
      <c r="I1100" s="361">
        <v>1</v>
      </c>
      <c r="J1100" s="336" t="s">
        <v>286</v>
      </c>
      <c r="W1100" s="129" t="s">
        <v>286</v>
      </c>
      <c r="X1100" s="337" t="b">
        <f t="shared" si="49"/>
        <v>1</v>
      </c>
    </row>
    <row r="1101" spans="1:24" s="337" customFormat="1" ht="12" customHeight="1" outlineLevel="1">
      <c r="A1101" s="335"/>
      <c r="B1101" s="118" t="s">
        <v>12</v>
      </c>
      <c r="C1101" s="334" t="s">
        <v>7004</v>
      </c>
      <c r="D1101" s="124" t="s">
        <v>7005</v>
      </c>
      <c r="E1101" s="125"/>
      <c r="F1101" s="118" t="s">
        <v>303</v>
      </c>
      <c r="G1101" s="126" t="s">
        <v>6953</v>
      </c>
      <c r="H1101" s="255">
        <v>8</v>
      </c>
      <c r="I1101" s="361">
        <v>1</v>
      </c>
      <c r="J1101" s="336" t="s">
        <v>310</v>
      </c>
      <c r="W1101" s="129" t="s">
        <v>286</v>
      </c>
      <c r="X1101" s="337" t="b">
        <f t="shared" si="49"/>
        <v>0</v>
      </c>
    </row>
    <row r="1102" spans="1:24" s="337" customFormat="1" ht="12" customHeight="1" outlineLevel="1">
      <c r="A1102" s="335"/>
      <c r="B1102" s="118" t="s">
        <v>12</v>
      </c>
      <c r="C1102" s="334" t="s">
        <v>7006</v>
      </c>
      <c r="D1102" s="124" t="s">
        <v>7007</v>
      </c>
      <c r="E1102" s="125"/>
      <c r="F1102" s="118" t="s">
        <v>303</v>
      </c>
      <c r="G1102" s="126" t="s">
        <v>6953</v>
      </c>
      <c r="H1102" s="255">
        <v>8</v>
      </c>
      <c r="I1102" s="361">
        <v>1</v>
      </c>
      <c r="J1102" s="336" t="s">
        <v>286</v>
      </c>
      <c r="W1102" s="129" t="s">
        <v>286</v>
      </c>
      <c r="X1102" s="337" t="b">
        <f t="shared" si="49"/>
        <v>1</v>
      </c>
    </row>
    <row r="1103" spans="1:24" s="337" customFormat="1" ht="12" customHeight="1" outlineLevel="1">
      <c r="A1103" s="335"/>
      <c r="B1103" s="118" t="s">
        <v>12</v>
      </c>
      <c r="C1103" s="334" t="s">
        <v>7008</v>
      </c>
      <c r="D1103" s="124" t="s">
        <v>7009</v>
      </c>
      <c r="E1103" s="125"/>
      <c r="F1103" s="118" t="s">
        <v>303</v>
      </c>
      <c r="G1103" s="126" t="s">
        <v>6953</v>
      </c>
      <c r="H1103" s="255">
        <v>8</v>
      </c>
      <c r="I1103" s="361">
        <v>1</v>
      </c>
      <c r="J1103" s="336" t="s">
        <v>286</v>
      </c>
      <c r="W1103" s="129" t="s">
        <v>286</v>
      </c>
      <c r="X1103" s="337" t="b">
        <f t="shared" si="49"/>
        <v>1</v>
      </c>
    </row>
    <row r="1104" spans="1:24" s="337" customFormat="1" ht="12" customHeight="1" outlineLevel="1">
      <c r="A1104" s="335"/>
      <c r="B1104" s="118" t="s">
        <v>12</v>
      </c>
      <c r="C1104" s="334" t="s">
        <v>7010</v>
      </c>
      <c r="D1104" s="124" t="s">
        <v>7011</v>
      </c>
      <c r="E1104" s="125"/>
      <c r="F1104" s="118" t="s">
        <v>303</v>
      </c>
      <c r="G1104" s="126" t="s">
        <v>6953</v>
      </c>
      <c r="H1104" s="255">
        <v>8</v>
      </c>
      <c r="I1104" s="361">
        <v>1</v>
      </c>
      <c r="J1104" s="336" t="s">
        <v>310</v>
      </c>
      <c r="W1104" s="129" t="s">
        <v>286</v>
      </c>
      <c r="X1104" s="337" t="b">
        <f t="shared" si="49"/>
        <v>0</v>
      </c>
    </row>
    <row r="1105" spans="1:24" s="337" customFormat="1" ht="12" customHeight="1" outlineLevel="1">
      <c r="A1105" s="335"/>
      <c r="B1105" s="118" t="s">
        <v>12</v>
      </c>
      <c r="C1105" s="334" t="s">
        <v>7012</v>
      </c>
      <c r="D1105" s="124" t="s">
        <v>7013</v>
      </c>
      <c r="E1105" s="125"/>
      <c r="F1105" s="118" t="s">
        <v>303</v>
      </c>
      <c r="G1105" s="126" t="s">
        <v>6953</v>
      </c>
      <c r="H1105" s="255">
        <v>8</v>
      </c>
      <c r="I1105" s="361">
        <v>1</v>
      </c>
      <c r="J1105" s="336" t="s">
        <v>286</v>
      </c>
      <c r="W1105" s="129" t="s">
        <v>286</v>
      </c>
      <c r="X1105" s="337" t="b">
        <f t="shared" si="49"/>
        <v>1</v>
      </c>
    </row>
    <row r="1106" spans="1:24" s="337" customFormat="1" ht="12" customHeight="1" outlineLevel="1">
      <c r="A1106" s="335"/>
      <c r="B1106" s="118" t="s">
        <v>12</v>
      </c>
      <c r="C1106" s="334" t="s">
        <v>7014</v>
      </c>
      <c r="D1106" s="124" t="s">
        <v>7015</v>
      </c>
      <c r="E1106" s="125"/>
      <c r="F1106" s="118" t="s">
        <v>303</v>
      </c>
      <c r="G1106" s="126" t="s">
        <v>6953</v>
      </c>
      <c r="H1106" s="255">
        <v>8</v>
      </c>
      <c r="I1106" s="361">
        <v>1</v>
      </c>
      <c r="J1106" s="336" t="s">
        <v>286</v>
      </c>
      <c r="W1106" s="129" t="s">
        <v>286</v>
      </c>
      <c r="X1106" s="337" t="b">
        <f t="shared" si="49"/>
        <v>1</v>
      </c>
    </row>
    <row r="1107" spans="1:24" s="337" customFormat="1" ht="12" customHeight="1" outlineLevel="1">
      <c r="A1107" s="335"/>
      <c r="B1107" s="118" t="s">
        <v>12</v>
      </c>
      <c r="C1107" s="334" t="s">
        <v>7016</v>
      </c>
      <c r="D1107" s="124" t="s">
        <v>7017</v>
      </c>
      <c r="E1107" s="125"/>
      <c r="F1107" s="118" t="s">
        <v>303</v>
      </c>
      <c r="G1107" s="126" t="s">
        <v>6953</v>
      </c>
      <c r="H1107" s="255">
        <v>8</v>
      </c>
      <c r="I1107" s="361">
        <v>1</v>
      </c>
      <c r="J1107" s="336" t="s">
        <v>310</v>
      </c>
      <c r="W1107" s="129" t="s">
        <v>286</v>
      </c>
      <c r="X1107" s="337" t="b">
        <f t="shared" si="49"/>
        <v>0</v>
      </c>
    </row>
    <row r="1108" spans="1:24" s="337" customFormat="1" ht="12" customHeight="1" outlineLevel="1">
      <c r="A1108" s="335"/>
      <c r="B1108" s="118" t="s">
        <v>12</v>
      </c>
      <c r="C1108" s="334" t="s">
        <v>7018</v>
      </c>
      <c r="D1108" s="124" t="s">
        <v>7019</v>
      </c>
      <c r="E1108" s="125"/>
      <c r="F1108" s="118" t="s">
        <v>303</v>
      </c>
      <c r="G1108" s="126" t="s">
        <v>6953</v>
      </c>
      <c r="H1108" s="255">
        <v>8</v>
      </c>
      <c r="I1108" s="361">
        <v>1</v>
      </c>
      <c r="J1108" s="336" t="s">
        <v>286</v>
      </c>
      <c r="W1108" s="129" t="s">
        <v>286</v>
      </c>
      <c r="X1108" s="337" t="b">
        <f t="shared" si="49"/>
        <v>1</v>
      </c>
    </row>
    <row r="1109" spans="1:24" s="337" customFormat="1" ht="12" customHeight="1" outlineLevel="1">
      <c r="A1109" s="335"/>
      <c r="B1109" s="118" t="s">
        <v>12</v>
      </c>
      <c r="C1109" s="334" t="s">
        <v>7020</v>
      </c>
      <c r="D1109" s="124" t="s">
        <v>7021</v>
      </c>
      <c r="E1109" s="125"/>
      <c r="F1109" s="118" t="s">
        <v>303</v>
      </c>
      <c r="G1109" s="126" t="s">
        <v>6953</v>
      </c>
      <c r="H1109" s="255">
        <v>8</v>
      </c>
      <c r="I1109" s="361">
        <v>1</v>
      </c>
      <c r="J1109" s="336" t="s">
        <v>286</v>
      </c>
      <c r="W1109" s="129" t="s">
        <v>286</v>
      </c>
      <c r="X1109" s="337" t="b">
        <f t="shared" si="49"/>
        <v>1</v>
      </c>
    </row>
    <row r="1110" spans="1:24" s="337" customFormat="1" ht="12" customHeight="1" outlineLevel="1">
      <c r="A1110" s="335"/>
      <c r="B1110" s="118" t="s">
        <v>12</v>
      </c>
      <c r="C1110" s="334" t="s">
        <v>7022</v>
      </c>
      <c r="D1110" s="124" t="s">
        <v>7023</v>
      </c>
      <c r="E1110" s="125"/>
      <c r="F1110" s="118" t="s">
        <v>303</v>
      </c>
      <c r="G1110" s="126" t="s">
        <v>6953</v>
      </c>
      <c r="H1110" s="255">
        <v>8</v>
      </c>
      <c r="I1110" s="361">
        <v>1</v>
      </c>
      <c r="J1110" s="336" t="s">
        <v>310</v>
      </c>
      <c r="W1110" s="129" t="s">
        <v>286</v>
      </c>
      <c r="X1110" s="337" t="b">
        <f t="shared" si="49"/>
        <v>0</v>
      </c>
    </row>
    <row r="1111" spans="1:24" s="337" customFormat="1" ht="12" customHeight="1" outlineLevel="1">
      <c r="A1111" s="335"/>
      <c r="B1111" s="118" t="s">
        <v>12</v>
      </c>
      <c r="C1111" s="334" t="s">
        <v>7024</v>
      </c>
      <c r="D1111" s="124" t="s">
        <v>7025</v>
      </c>
      <c r="E1111" s="125"/>
      <c r="F1111" s="118" t="s">
        <v>303</v>
      </c>
      <c r="G1111" s="126" t="s">
        <v>6953</v>
      </c>
      <c r="H1111" s="255">
        <v>8</v>
      </c>
      <c r="I1111" s="361">
        <v>1</v>
      </c>
      <c r="J1111" s="336" t="s">
        <v>286</v>
      </c>
      <c r="W1111" s="129" t="s">
        <v>286</v>
      </c>
      <c r="X1111" s="337" t="b">
        <f t="shared" si="49"/>
        <v>1</v>
      </c>
    </row>
    <row r="1112" spans="1:24" s="337" customFormat="1" ht="12" customHeight="1" outlineLevel="1">
      <c r="A1112" s="335"/>
      <c r="B1112" s="118" t="s">
        <v>12</v>
      </c>
      <c r="C1112" s="334" t="s">
        <v>7026</v>
      </c>
      <c r="D1112" s="124" t="s">
        <v>7027</v>
      </c>
      <c r="E1112" s="125"/>
      <c r="F1112" s="118" t="s">
        <v>303</v>
      </c>
      <c r="G1112" s="126" t="s">
        <v>6953</v>
      </c>
      <c r="H1112" s="255">
        <v>8</v>
      </c>
      <c r="I1112" s="361">
        <v>1</v>
      </c>
      <c r="J1112" s="336" t="s">
        <v>286</v>
      </c>
      <c r="W1112" s="129" t="s">
        <v>286</v>
      </c>
      <c r="X1112" s="337" t="b">
        <f t="shared" si="49"/>
        <v>1</v>
      </c>
    </row>
    <row r="1113" spans="1:24" s="337" customFormat="1" ht="12" customHeight="1" outlineLevel="1">
      <c r="A1113" s="335"/>
      <c r="B1113" s="118" t="s">
        <v>12</v>
      </c>
      <c r="C1113" s="334" t="s">
        <v>7028</v>
      </c>
      <c r="D1113" s="124" t="s">
        <v>7029</v>
      </c>
      <c r="E1113" s="125"/>
      <c r="F1113" s="118" t="s">
        <v>303</v>
      </c>
      <c r="G1113" s="126" t="s">
        <v>6953</v>
      </c>
      <c r="H1113" s="255">
        <v>8</v>
      </c>
      <c r="I1113" s="361">
        <v>1</v>
      </c>
      <c r="J1113" s="336" t="s">
        <v>286</v>
      </c>
      <c r="W1113" s="129" t="s">
        <v>286</v>
      </c>
      <c r="X1113" s="337" t="b">
        <f t="shared" si="49"/>
        <v>1</v>
      </c>
    </row>
    <row r="1114" spans="1:24" s="337" customFormat="1" ht="12" customHeight="1" outlineLevel="1">
      <c r="A1114" s="335"/>
      <c r="B1114" s="118" t="s">
        <v>12</v>
      </c>
      <c r="C1114" s="334" t="s">
        <v>7030</v>
      </c>
      <c r="D1114" s="124" t="s">
        <v>7031</v>
      </c>
      <c r="E1114" s="125"/>
      <c r="F1114" s="118" t="s">
        <v>303</v>
      </c>
      <c r="G1114" s="126" t="s">
        <v>6953</v>
      </c>
      <c r="H1114" s="255">
        <v>8</v>
      </c>
      <c r="I1114" s="361">
        <v>1</v>
      </c>
      <c r="J1114" s="336" t="s">
        <v>286</v>
      </c>
      <c r="W1114" s="129" t="s">
        <v>286</v>
      </c>
      <c r="X1114" s="337" t="b">
        <f t="shared" si="49"/>
        <v>1</v>
      </c>
    </row>
    <row r="1115" spans="1:24" s="337" customFormat="1" ht="12" customHeight="1" outlineLevel="1">
      <c r="A1115" s="335"/>
      <c r="B1115" s="118" t="s">
        <v>12</v>
      </c>
      <c r="C1115" s="334" t="s">
        <v>7032</v>
      </c>
      <c r="D1115" s="124" t="s">
        <v>7033</v>
      </c>
      <c r="E1115" s="125"/>
      <c r="F1115" s="118" t="s">
        <v>303</v>
      </c>
      <c r="G1115" s="126" t="s">
        <v>6953</v>
      </c>
      <c r="H1115" s="255">
        <v>8</v>
      </c>
      <c r="I1115" s="361">
        <v>1</v>
      </c>
      <c r="J1115" s="336" t="s">
        <v>286</v>
      </c>
      <c r="W1115" s="129" t="s">
        <v>286</v>
      </c>
      <c r="X1115" s="337" t="b">
        <f t="shared" si="49"/>
        <v>1</v>
      </c>
    </row>
    <row r="1116" spans="1:24" s="337" customFormat="1" ht="12" customHeight="1" outlineLevel="1">
      <c r="A1116" s="335"/>
      <c r="B1116" s="118" t="s">
        <v>12</v>
      </c>
      <c r="C1116" s="334" t="s">
        <v>7034</v>
      </c>
      <c r="D1116" s="124" t="s">
        <v>7035</v>
      </c>
      <c r="E1116" s="125"/>
      <c r="F1116" s="118" t="s">
        <v>303</v>
      </c>
      <c r="G1116" s="126" t="s">
        <v>6953</v>
      </c>
      <c r="H1116" s="255">
        <v>8</v>
      </c>
      <c r="I1116" s="361">
        <v>1</v>
      </c>
      <c r="J1116" s="336" t="s">
        <v>286</v>
      </c>
      <c r="W1116" s="129" t="s">
        <v>286</v>
      </c>
      <c r="X1116" s="337" t="b">
        <f t="shared" si="49"/>
        <v>1</v>
      </c>
    </row>
    <row r="1117" spans="1:24" s="337" customFormat="1" ht="12" customHeight="1" outlineLevel="1">
      <c r="A1117" s="335"/>
      <c r="B1117" s="118" t="s">
        <v>12</v>
      </c>
      <c r="C1117" s="334" t="s">
        <v>7036</v>
      </c>
      <c r="D1117" s="124" t="s">
        <v>7037</v>
      </c>
      <c r="E1117" s="125"/>
      <c r="F1117" s="118" t="s">
        <v>303</v>
      </c>
      <c r="G1117" s="126" t="s">
        <v>6953</v>
      </c>
      <c r="H1117" s="255">
        <v>8</v>
      </c>
      <c r="I1117" s="361">
        <v>1</v>
      </c>
      <c r="J1117" s="336" t="s">
        <v>286</v>
      </c>
      <c r="W1117" s="129" t="s">
        <v>286</v>
      </c>
      <c r="X1117" s="337" t="b">
        <f t="shared" si="49"/>
        <v>1</v>
      </c>
    </row>
    <row r="1118" spans="1:24" s="337" customFormat="1" ht="12" customHeight="1" outlineLevel="1">
      <c r="A1118" s="335"/>
      <c r="B1118" s="118" t="s">
        <v>12</v>
      </c>
      <c r="C1118" s="334" t="s">
        <v>7038</v>
      </c>
      <c r="D1118" s="124" t="s">
        <v>7039</v>
      </c>
      <c r="E1118" s="125"/>
      <c r="F1118" s="118" t="s">
        <v>303</v>
      </c>
      <c r="G1118" s="126" t="s">
        <v>6953</v>
      </c>
      <c r="H1118" s="255">
        <v>8</v>
      </c>
      <c r="I1118" s="361">
        <v>1</v>
      </c>
      <c r="J1118" s="336" t="s">
        <v>286</v>
      </c>
      <c r="W1118" s="129" t="s">
        <v>286</v>
      </c>
      <c r="X1118" s="337" t="b">
        <f t="shared" si="49"/>
        <v>1</v>
      </c>
    </row>
    <row r="1119" spans="1:24" s="337" customFormat="1" ht="12" customHeight="1" outlineLevel="1">
      <c r="A1119" s="335"/>
      <c r="B1119" s="118" t="s">
        <v>12</v>
      </c>
      <c r="C1119" s="334" t="s">
        <v>7040</v>
      </c>
      <c r="D1119" s="124" t="s">
        <v>7041</v>
      </c>
      <c r="E1119" s="125"/>
      <c r="F1119" s="118" t="s">
        <v>303</v>
      </c>
      <c r="G1119" s="126" t="s">
        <v>6953</v>
      </c>
      <c r="H1119" s="255">
        <v>8</v>
      </c>
      <c r="I1119" s="361">
        <v>1</v>
      </c>
      <c r="J1119" s="336" t="s">
        <v>286</v>
      </c>
      <c r="W1119" s="129" t="s">
        <v>286</v>
      </c>
      <c r="X1119" s="337" t="b">
        <f t="shared" si="49"/>
        <v>1</v>
      </c>
    </row>
    <row r="1120" spans="1:24" s="337" customFormat="1" ht="12" customHeight="1" outlineLevel="1">
      <c r="A1120" s="335"/>
      <c r="B1120" s="118" t="s">
        <v>12</v>
      </c>
      <c r="C1120" s="334" t="s">
        <v>7042</v>
      </c>
      <c r="D1120" s="124" t="s">
        <v>7043</v>
      </c>
      <c r="E1120" s="125"/>
      <c r="F1120" s="118" t="s">
        <v>303</v>
      </c>
      <c r="G1120" s="126" t="s">
        <v>6953</v>
      </c>
      <c r="H1120" s="255">
        <v>8</v>
      </c>
      <c r="I1120" s="361">
        <v>1</v>
      </c>
      <c r="J1120" s="336" t="s">
        <v>310</v>
      </c>
      <c r="W1120" s="129" t="s">
        <v>286</v>
      </c>
      <c r="X1120" s="337" t="b">
        <f t="shared" si="49"/>
        <v>0</v>
      </c>
    </row>
    <row r="1121" spans="1:24" s="337" customFormat="1" ht="12" customHeight="1" outlineLevel="1">
      <c r="A1121" s="335"/>
      <c r="B1121" s="118" t="s">
        <v>12</v>
      </c>
      <c r="C1121" s="334" t="s">
        <v>7044</v>
      </c>
      <c r="D1121" s="124" t="s">
        <v>7045</v>
      </c>
      <c r="E1121" s="125"/>
      <c r="F1121" s="118" t="s">
        <v>303</v>
      </c>
      <c r="G1121" s="126" t="s">
        <v>6953</v>
      </c>
      <c r="H1121" s="255">
        <v>8</v>
      </c>
      <c r="I1121" s="361">
        <v>1</v>
      </c>
      <c r="J1121" s="336" t="s">
        <v>310</v>
      </c>
      <c r="W1121" s="129" t="s">
        <v>4876</v>
      </c>
      <c r="X1121" s="337" t="b">
        <f t="shared" si="49"/>
        <v>0</v>
      </c>
    </row>
    <row r="1122" spans="1:24" s="337" customFormat="1" ht="12" customHeight="1" outlineLevel="1">
      <c r="A1122" s="335"/>
      <c r="B1122" s="118" t="s">
        <v>12</v>
      </c>
      <c r="C1122" s="334" t="s">
        <v>7046</v>
      </c>
      <c r="D1122" s="124" t="s">
        <v>7047</v>
      </c>
      <c r="E1122" s="125"/>
      <c r="F1122" s="118" t="s">
        <v>303</v>
      </c>
      <c r="G1122" s="126" t="s">
        <v>6953</v>
      </c>
      <c r="H1122" s="255">
        <v>8</v>
      </c>
      <c r="I1122" s="361">
        <v>1</v>
      </c>
      <c r="J1122" s="336" t="s">
        <v>310</v>
      </c>
      <c r="W1122" s="129" t="s">
        <v>4876</v>
      </c>
      <c r="X1122" s="337" t="b">
        <f t="shared" si="49"/>
        <v>0</v>
      </c>
    </row>
    <row r="1123" spans="1:24" s="337" customFormat="1" ht="12" customHeight="1" outlineLevel="1">
      <c r="A1123" s="335"/>
      <c r="B1123" s="118" t="s">
        <v>12</v>
      </c>
      <c r="C1123" s="334" t="s">
        <v>7048</v>
      </c>
      <c r="D1123" s="124" t="s">
        <v>7049</v>
      </c>
      <c r="E1123" s="125"/>
      <c r="F1123" s="118" t="s">
        <v>303</v>
      </c>
      <c r="G1123" s="126" t="s">
        <v>6953</v>
      </c>
      <c r="H1123" s="255">
        <v>8</v>
      </c>
      <c r="I1123" s="361">
        <v>1</v>
      </c>
      <c r="J1123" s="336" t="s">
        <v>310</v>
      </c>
      <c r="W1123" s="129" t="s">
        <v>4876</v>
      </c>
      <c r="X1123" s="337" t="b">
        <f t="shared" si="49"/>
        <v>0</v>
      </c>
    </row>
    <row r="1124" spans="1:24" s="337" customFormat="1" ht="12" customHeight="1" outlineLevel="1">
      <c r="A1124" s="335"/>
      <c r="B1124" s="118" t="s">
        <v>12</v>
      </c>
      <c r="C1124" s="334" t="s">
        <v>7050</v>
      </c>
      <c r="D1124" s="124" t="s">
        <v>7051</v>
      </c>
      <c r="E1124" s="125"/>
      <c r="F1124" s="118" t="s">
        <v>303</v>
      </c>
      <c r="G1124" s="126" t="s">
        <v>6953</v>
      </c>
      <c r="H1124" s="255">
        <v>8</v>
      </c>
      <c r="I1124" s="361">
        <v>1</v>
      </c>
      <c r="J1124" s="336" t="s">
        <v>310</v>
      </c>
      <c r="W1124" s="129" t="s">
        <v>4876</v>
      </c>
      <c r="X1124" s="337" t="b">
        <f t="shared" ref="X1124:X1143" si="50">W1124=J1124</f>
        <v>0</v>
      </c>
    </row>
    <row r="1125" spans="1:24" s="337" customFormat="1" ht="12" customHeight="1" outlineLevel="1">
      <c r="A1125" s="335"/>
      <c r="B1125" s="118" t="s">
        <v>12</v>
      </c>
      <c r="C1125" s="334" t="s">
        <v>7052</v>
      </c>
      <c r="D1125" s="124" t="s">
        <v>7053</v>
      </c>
      <c r="E1125" s="125"/>
      <c r="F1125" s="118" t="s">
        <v>303</v>
      </c>
      <c r="G1125" s="126" t="s">
        <v>6953</v>
      </c>
      <c r="H1125" s="255">
        <v>8</v>
      </c>
      <c r="I1125" s="361">
        <v>1</v>
      </c>
      <c r="J1125" s="336" t="s">
        <v>286</v>
      </c>
      <c r="W1125" s="129" t="s">
        <v>286</v>
      </c>
      <c r="X1125" s="337" t="b">
        <f t="shared" si="50"/>
        <v>1</v>
      </c>
    </row>
    <row r="1126" spans="1:24" s="337" customFormat="1" ht="12" customHeight="1" outlineLevel="1">
      <c r="A1126" s="335"/>
      <c r="B1126" s="118" t="s">
        <v>12</v>
      </c>
      <c r="C1126" s="334" t="s">
        <v>7054</v>
      </c>
      <c r="D1126" s="124" t="s">
        <v>7055</v>
      </c>
      <c r="E1126" s="125"/>
      <c r="F1126" s="118" t="s">
        <v>303</v>
      </c>
      <c r="G1126" s="126" t="s">
        <v>7056</v>
      </c>
      <c r="H1126" s="255">
        <v>9</v>
      </c>
      <c r="I1126" s="361">
        <v>1</v>
      </c>
      <c r="J1126" s="336" t="s">
        <v>286</v>
      </c>
      <c r="W1126" s="129" t="s">
        <v>286</v>
      </c>
      <c r="X1126" s="337" t="b">
        <f t="shared" si="50"/>
        <v>1</v>
      </c>
    </row>
    <row r="1127" spans="1:24" s="337" customFormat="1" ht="12" customHeight="1" outlineLevel="1">
      <c r="A1127" s="335"/>
      <c r="B1127" s="118" t="s">
        <v>12</v>
      </c>
      <c r="C1127" s="334" t="s">
        <v>7057</v>
      </c>
      <c r="D1127" s="124" t="s">
        <v>7058</v>
      </c>
      <c r="E1127" s="125"/>
      <c r="F1127" s="118" t="s">
        <v>303</v>
      </c>
      <c r="G1127" s="126" t="s">
        <v>7056</v>
      </c>
      <c r="H1127" s="255">
        <v>9</v>
      </c>
      <c r="I1127" s="361">
        <v>1</v>
      </c>
      <c r="J1127" s="336" t="s">
        <v>286</v>
      </c>
      <c r="W1127" s="129" t="s">
        <v>286</v>
      </c>
      <c r="X1127" s="337" t="b">
        <f t="shared" si="50"/>
        <v>1</v>
      </c>
    </row>
    <row r="1128" spans="1:24" s="337" customFormat="1" ht="12" customHeight="1" outlineLevel="1">
      <c r="A1128" s="335"/>
      <c r="B1128" s="118" t="s">
        <v>12</v>
      </c>
      <c r="C1128" s="334" t="s">
        <v>7059</v>
      </c>
      <c r="D1128" s="124" t="s">
        <v>7060</v>
      </c>
      <c r="E1128" s="125"/>
      <c r="F1128" s="118" t="s">
        <v>303</v>
      </c>
      <c r="G1128" s="126" t="s">
        <v>7056</v>
      </c>
      <c r="H1128" s="255">
        <v>9</v>
      </c>
      <c r="I1128" s="361">
        <v>1</v>
      </c>
      <c r="J1128" s="336" t="s">
        <v>307</v>
      </c>
      <c r="W1128" s="129" t="s">
        <v>286</v>
      </c>
      <c r="X1128" s="337" t="b">
        <f t="shared" si="50"/>
        <v>0</v>
      </c>
    </row>
    <row r="1129" spans="1:24" s="337" customFormat="1" ht="12" customHeight="1" outlineLevel="1">
      <c r="A1129" s="335"/>
      <c r="B1129" s="118" t="s">
        <v>12</v>
      </c>
      <c r="C1129" s="334" t="s">
        <v>7061</v>
      </c>
      <c r="D1129" s="124" t="s">
        <v>7062</v>
      </c>
      <c r="E1129" s="125"/>
      <c r="F1129" s="118" t="s">
        <v>303</v>
      </c>
      <c r="G1129" s="126" t="s">
        <v>7056</v>
      </c>
      <c r="H1129" s="255">
        <v>9</v>
      </c>
      <c r="I1129" s="361">
        <v>1</v>
      </c>
      <c r="J1129" s="336" t="s">
        <v>310</v>
      </c>
      <c r="W1129" s="129" t="s">
        <v>286</v>
      </c>
      <c r="X1129" s="337" t="b">
        <f t="shared" si="50"/>
        <v>0</v>
      </c>
    </row>
    <row r="1130" spans="1:24" s="337" customFormat="1" ht="12" customHeight="1" outlineLevel="1">
      <c r="A1130" s="335"/>
      <c r="B1130" s="118" t="s">
        <v>12</v>
      </c>
      <c r="C1130" s="334" t="s">
        <v>7063</v>
      </c>
      <c r="D1130" s="124" t="s">
        <v>7064</v>
      </c>
      <c r="E1130" s="125"/>
      <c r="F1130" s="118" t="s">
        <v>303</v>
      </c>
      <c r="G1130" s="126" t="s">
        <v>7056</v>
      </c>
      <c r="H1130" s="255">
        <v>9</v>
      </c>
      <c r="I1130" s="361">
        <v>1</v>
      </c>
      <c r="J1130" s="336" t="s">
        <v>286</v>
      </c>
      <c r="W1130" s="129" t="s">
        <v>310</v>
      </c>
      <c r="X1130" s="337" t="b">
        <f t="shared" si="50"/>
        <v>0</v>
      </c>
    </row>
    <row r="1131" spans="1:24" s="337" customFormat="1" ht="12" customHeight="1" outlineLevel="1">
      <c r="A1131" s="335"/>
      <c r="B1131" s="118" t="s">
        <v>12</v>
      </c>
      <c r="C1131" s="334" t="s">
        <v>7065</v>
      </c>
      <c r="D1131" s="124" t="s">
        <v>7066</v>
      </c>
      <c r="E1131" s="125"/>
      <c r="F1131" s="118" t="s">
        <v>303</v>
      </c>
      <c r="G1131" s="126" t="s">
        <v>7056</v>
      </c>
      <c r="H1131" s="255">
        <v>9</v>
      </c>
      <c r="I1131" s="361">
        <v>1</v>
      </c>
      <c r="J1131" s="336" t="s">
        <v>286</v>
      </c>
      <c r="W1131" s="129" t="s">
        <v>286</v>
      </c>
      <c r="X1131" s="337" t="b">
        <f t="shared" si="50"/>
        <v>1</v>
      </c>
    </row>
    <row r="1132" spans="1:24" s="337" customFormat="1" ht="12" customHeight="1" outlineLevel="1">
      <c r="A1132" s="335"/>
      <c r="B1132" s="118" t="s">
        <v>12</v>
      </c>
      <c r="C1132" s="334" t="s">
        <v>7067</v>
      </c>
      <c r="D1132" s="124" t="s">
        <v>7068</v>
      </c>
      <c r="E1132" s="125"/>
      <c r="F1132" s="118" t="s">
        <v>303</v>
      </c>
      <c r="G1132" s="126" t="s">
        <v>7056</v>
      </c>
      <c r="H1132" s="255">
        <v>9</v>
      </c>
      <c r="I1132" s="361">
        <v>1</v>
      </c>
      <c r="J1132" s="336" t="s">
        <v>286</v>
      </c>
      <c r="W1132" s="129" t="s">
        <v>286</v>
      </c>
      <c r="X1132" s="337" t="b">
        <f t="shared" si="50"/>
        <v>1</v>
      </c>
    </row>
    <row r="1133" spans="1:24" s="337" customFormat="1" ht="12" customHeight="1" outlineLevel="1">
      <c r="A1133" s="335"/>
      <c r="B1133" s="118" t="s">
        <v>12</v>
      </c>
      <c r="C1133" s="334" t="s">
        <v>7069</v>
      </c>
      <c r="D1133" s="124" t="s">
        <v>7070</v>
      </c>
      <c r="E1133" s="125"/>
      <c r="F1133" s="118" t="s">
        <v>303</v>
      </c>
      <c r="G1133" s="126" t="s">
        <v>7056</v>
      </c>
      <c r="H1133" s="255">
        <v>9</v>
      </c>
      <c r="I1133" s="361">
        <v>1</v>
      </c>
      <c r="J1133" s="336" t="s">
        <v>286</v>
      </c>
      <c r="W1133" s="129" t="s">
        <v>286</v>
      </c>
      <c r="X1133" s="337" t="b">
        <f t="shared" si="50"/>
        <v>1</v>
      </c>
    </row>
    <row r="1134" spans="1:24" s="337" customFormat="1" ht="12" customHeight="1" outlineLevel="1">
      <c r="A1134" s="335"/>
      <c r="B1134" s="118" t="s">
        <v>12</v>
      </c>
      <c r="C1134" s="334" t="s">
        <v>7071</v>
      </c>
      <c r="D1134" s="124" t="s">
        <v>7072</v>
      </c>
      <c r="E1134" s="125"/>
      <c r="F1134" s="118" t="s">
        <v>303</v>
      </c>
      <c r="G1134" s="126" t="s">
        <v>7056</v>
      </c>
      <c r="H1134" s="255">
        <v>9</v>
      </c>
      <c r="I1134" s="361">
        <v>1</v>
      </c>
      <c r="J1134" s="336" t="s">
        <v>286</v>
      </c>
      <c r="W1134" s="129" t="s">
        <v>286</v>
      </c>
      <c r="X1134" s="337" t="b">
        <f t="shared" si="50"/>
        <v>1</v>
      </c>
    </row>
    <row r="1135" spans="1:24" s="337" customFormat="1" ht="12" customHeight="1" outlineLevel="1">
      <c r="A1135" s="335"/>
      <c r="B1135" s="118" t="s">
        <v>12</v>
      </c>
      <c r="C1135" s="334" t="s">
        <v>7073</v>
      </c>
      <c r="D1135" s="124" t="s">
        <v>7074</v>
      </c>
      <c r="E1135" s="125"/>
      <c r="F1135" s="118" t="s">
        <v>303</v>
      </c>
      <c r="G1135" s="126" t="s">
        <v>7056</v>
      </c>
      <c r="H1135" s="255">
        <v>9</v>
      </c>
      <c r="I1135" s="361">
        <v>1</v>
      </c>
      <c r="J1135" s="336" t="s">
        <v>286</v>
      </c>
      <c r="W1135" s="129" t="s">
        <v>286</v>
      </c>
      <c r="X1135" s="337" t="b">
        <f t="shared" si="50"/>
        <v>1</v>
      </c>
    </row>
    <row r="1136" spans="1:24" s="337" customFormat="1" ht="12" customHeight="1" outlineLevel="1">
      <c r="A1136" s="335"/>
      <c r="B1136" s="118" t="s">
        <v>12</v>
      </c>
      <c r="C1136" s="334" t="s">
        <v>7075</v>
      </c>
      <c r="D1136" s="124" t="s">
        <v>7076</v>
      </c>
      <c r="E1136" s="125"/>
      <c r="F1136" s="118" t="s">
        <v>303</v>
      </c>
      <c r="G1136" s="126" t="s">
        <v>7056</v>
      </c>
      <c r="H1136" s="255">
        <v>9</v>
      </c>
      <c r="I1136" s="361">
        <v>1</v>
      </c>
      <c r="J1136" s="336" t="s">
        <v>286</v>
      </c>
      <c r="W1136" s="129" t="s">
        <v>4876</v>
      </c>
      <c r="X1136" s="337" t="b">
        <f t="shared" si="50"/>
        <v>0</v>
      </c>
    </row>
    <row r="1137" spans="1:24" s="337" customFormat="1" ht="12" customHeight="1" outlineLevel="1">
      <c r="A1137" s="335"/>
      <c r="B1137" s="118" t="s">
        <v>12</v>
      </c>
      <c r="C1137" s="334" t="s">
        <v>7077</v>
      </c>
      <c r="D1137" s="124" t="s">
        <v>7078</v>
      </c>
      <c r="E1137" s="125"/>
      <c r="F1137" s="118" t="s">
        <v>303</v>
      </c>
      <c r="G1137" s="126" t="s">
        <v>7056</v>
      </c>
      <c r="H1137" s="255">
        <v>9</v>
      </c>
      <c r="I1137" s="361">
        <v>1</v>
      </c>
      <c r="J1137" s="336" t="s">
        <v>325</v>
      </c>
      <c r="W1137" s="129" t="s">
        <v>286</v>
      </c>
      <c r="X1137" s="337" t="b">
        <f t="shared" si="50"/>
        <v>0</v>
      </c>
    </row>
    <row r="1138" spans="1:24" s="337" customFormat="1" ht="12" customHeight="1" outlineLevel="1">
      <c r="A1138" s="335"/>
      <c r="B1138" s="118" t="s">
        <v>12</v>
      </c>
      <c r="C1138" s="334" t="s">
        <v>7079</v>
      </c>
      <c r="D1138" s="124" t="s">
        <v>7080</v>
      </c>
      <c r="E1138" s="125"/>
      <c r="F1138" s="118" t="s">
        <v>303</v>
      </c>
      <c r="G1138" s="126" t="s">
        <v>7056</v>
      </c>
      <c r="H1138" s="255">
        <v>9</v>
      </c>
      <c r="I1138" s="361">
        <v>1</v>
      </c>
      <c r="J1138" s="336" t="s">
        <v>286</v>
      </c>
      <c r="W1138" s="129" t="s">
        <v>4876</v>
      </c>
      <c r="X1138" s="337" t="b">
        <f t="shared" si="50"/>
        <v>0</v>
      </c>
    </row>
    <row r="1139" spans="1:24" s="337" customFormat="1" ht="12" customHeight="1" outlineLevel="1">
      <c r="A1139" s="335"/>
      <c r="B1139" s="118" t="s">
        <v>12</v>
      </c>
      <c r="C1139" s="334" t="s">
        <v>7081</v>
      </c>
      <c r="D1139" s="124" t="s">
        <v>7082</v>
      </c>
      <c r="E1139" s="125"/>
      <c r="F1139" s="118" t="s">
        <v>303</v>
      </c>
      <c r="G1139" s="126" t="s">
        <v>7056</v>
      </c>
      <c r="H1139" s="255">
        <v>9</v>
      </c>
      <c r="I1139" s="361">
        <v>1</v>
      </c>
      <c r="J1139" s="336" t="s">
        <v>286</v>
      </c>
      <c r="W1139" s="129" t="s">
        <v>4876</v>
      </c>
      <c r="X1139" s="337" t="b">
        <f t="shared" si="50"/>
        <v>0</v>
      </c>
    </row>
    <row r="1140" spans="1:24" s="337" customFormat="1" ht="12" customHeight="1" outlineLevel="1">
      <c r="A1140" s="335"/>
      <c r="B1140" s="118" t="s">
        <v>12</v>
      </c>
      <c r="C1140" s="334" t="s">
        <v>7083</v>
      </c>
      <c r="D1140" s="124" t="s">
        <v>7084</v>
      </c>
      <c r="E1140" s="125"/>
      <c r="F1140" s="118" t="s">
        <v>303</v>
      </c>
      <c r="G1140" s="126" t="s">
        <v>7056</v>
      </c>
      <c r="H1140" s="255">
        <v>9</v>
      </c>
      <c r="I1140" s="361">
        <v>1</v>
      </c>
      <c r="J1140" s="336" t="s">
        <v>286</v>
      </c>
      <c r="W1140" s="129" t="s">
        <v>4876</v>
      </c>
      <c r="X1140" s="337" t="b">
        <f t="shared" si="50"/>
        <v>0</v>
      </c>
    </row>
    <row r="1141" spans="1:24" s="337" customFormat="1" ht="12" customHeight="1" outlineLevel="1">
      <c r="A1141" s="335"/>
      <c r="B1141" s="118" t="s">
        <v>12</v>
      </c>
      <c r="C1141" s="334" t="s">
        <v>7085</v>
      </c>
      <c r="D1141" s="124" t="s">
        <v>7086</v>
      </c>
      <c r="E1141" s="125"/>
      <c r="F1141" s="118" t="s">
        <v>303</v>
      </c>
      <c r="G1141" s="126" t="s">
        <v>7056</v>
      </c>
      <c r="H1141" s="255">
        <v>9</v>
      </c>
      <c r="I1141" s="361">
        <v>1</v>
      </c>
      <c r="J1141" s="336" t="s">
        <v>310</v>
      </c>
      <c r="W1141" s="129" t="s">
        <v>286</v>
      </c>
      <c r="X1141" s="337" t="b">
        <f t="shared" si="50"/>
        <v>0</v>
      </c>
    </row>
    <row r="1142" spans="1:24" s="337" customFormat="1" ht="12" customHeight="1" outlineLevel="1">
      <c r="A1142" s="335"/>
      <c r="B1142" s="118" t="s">
        <v>12</v>
      </c>
      <c r="C1142" s="334" t="s">
        <v>7087</v>
      </c>
      <c r="D1142" s="124" t="s">
        <v>7088</v>
      </c>
      <c r="E1142" s="125"/>
      <c r="F1142" s="118" t="s">
        <v>303</v>
      </c>
      <c r="G1142" s="126" t="s">
        <v>7056</v>
      </c>
      <c r="H1142" s="255">
        <v>9</v>
      </c>
      <c r="I1142" s="361">
        <v>1</v>
      </c>
      <c r="J1142" s="336" t="s">
        <v>310</v>
      </c>
      <c r="W1142" s="129" t="s">
        <v>286</v>
      </c>
      <c r="X1142" s="337" t="b">
        <f t="shared" si="50"/>
        <v>0</v>
      </c>
    </row>
    <row r="1143" spans="1:24" s="337" customFormat="1" ht="12" customHeight="1" outlineLevel="1">
      <c r="A1143" s="335"/>
      <c r="B1143" s="118" t="s">
        <v>12</v>
      </c>
      <c r="C1143" s="334" t="s">
        <v>7089</v>
      </c>
      <c r="D1143" s="124" t="s">
        <v>7090</v>
      </c>
      <c r="E1143" s="125"/>
      <c r="F1143" s="118" t="s">
        <v>303</v>
      </c>
      <c r="G1143" s="126" t="s">
        <v>7056</v>
      </c>
      <c r="H1143" s="255">
        <v>9</v>
      </c>
      <c r="I1143" s="361">
        <v>1</v>
      </c>
      <c r="J1143" s="336" t="s">
        <v>310</v>
      </c>
      <c r="W1143" s="129" t="s">
        <v>286</v>
      </c>
      <c r="X1143" s="337" t="b">
        <f t="shared" si="50"/>
        <v>0</v>
      </c>
    </row>
    <row r="1144" spans="1:24" ht="3" customHeight="1">
      <c r="A1144" s="370"/>
      <c r="B1144" s="118"/>
      <c r="C1144" s="334"/>
      <c r="D1144" s="124"/>
      <c r="E1144" s="125"/>
      <c r="F1144" s="118"/>
      <c r="G1144" s="126"/>
      <c r="H1144" s="255"/>
      <c r="K1144" s="363"/>
      <c r="L1144" s="129"/>
      <c r="M1144" s="129"/>
      <c r="N1144" s="129"/>
      <c r="O1144" s="129"/>
      <c r="P1144" s="372"/>
      <c r="Q1144" s="372"/>
      <c r="R1144" s="129"/>
      <c r="S1144" s="129"/>
      <c r="T1144" s="129"/>
      <c r="W1144" s="129"/>
    </row>
    <row r="1145" spans="1:24" s="360" customFormat="1" ht="12" customHeight="1">
      <c r="A1145" s="110" t="s">
        <v>430</v>
      </c>
      <c r="B1145" s="118"/>
      <c r="C1145" s="334"/>
      <c r="D1145" s="124"/>
      <c r="E1145" s="125"/>
      <c r="F1145" s="118"/>
      <c r="G1145" s="126"/>
      <c r="H1145" s="255"/>
      <c r="I1145" s="62"/>
      <c r="J1145" s="358"/>
      <c r="K1145" s="62"/>
      <c r="L1145" s="62"/>
      <c r="M1145" s="62"/>
      <c r="N1145" s="62"/>
      <c r="O1145" s="62"/>
      <c r="P1145" s="359"/>
      <c r="Q1145" s="359"/>
      <c r="R1145" s="359"/>
      <c r="S1145" s="359"/>
      <c r="T1145" s="359"/>
      <c r="W1145" s="359"/>
    </row>
    <row r="1146" spans="1:24" s="337" customFormat="1" ht="12" customHeight="1" outlineLevel="1">
      <c r="A1146" s="335"/>
      <c r="B1146" s="118" t="s">
        <v>12</v>
      </c>
      <c r="C1146" s="334" t="s">
        <v>7091</v>
      </c>
      <c r="D1146" s="124" t="s">
        <v>7092</v>
      </c>
      <c r="E1146" s="125"/>
      <c r="F1146" s="118" t="s">
        <v>433</v>
      </c>
      <c r="G1146" s="126" t="s">
        <v>7093</v>
      </c>
      <c r="H1146" s="255">
        <v>1</v>
      </c>
      <c r="I1146" s="361">
        <v>1</v>
      </c>
      <c r="J1146" s="362" t="s">
        <v>286</v>
      </c>
      <c r="K1146" s="363"/>
      <c r="L1146" s="129"/>
      <c r="M1146" s="129"/>
      <c r="N1146" s="129"/>
      <c r="O1146" s="129"/>
      <c r="P1146" s="364"/>
      <c r="Q1146" s="364"/>
      <c r="R1146" s="129"/>
      <c r="S1146" s="129"/>
      <c r="T1146" s="129"/>
      <c r="W1146" s="129" t="s">
        <v>286</v>
      </c>
      <c r="X1146" s="337" t="b">
        <f t="shared" ref="X1146:X1209" si="51">W1146=J1146</f>
        <v>1</v>
      </c>
    </row>
    <row r="1147" spans="1:24" s="337" customFormat="1" ht="12" customHeight="1" outlineLevel="1">
      <c r="A1147" s="335"/>
      <c r="B1147" s="118" t="s">
        <v>12</v>
      </c>
      <c r="C1147" s="334" t="s">
        <v>7094</v>
      </c>
      <c r="D1147" s="124" t="s">
        <v>7095</v>
      </c>
      <c r="E1147" s="125"/>
      <c r="F1147" s="118" t="s">
        <v>433</v>
      </c>
      <c r="G1147" s="126" t="s">
        <v>7093</v>
      </c>
      <c r="H1147" s="255">
        <v>1</v>
      </c>
      <c r="I1147" s="361">
        <v>1</v>
      </c>
      <c r="J1147" s="362" t="s">
        <v>286</v>
      </c>
      <c r="K1147" s="363"/>
      <c r="L1147" s="129"/>
      <c r="M1147" s="129"/>
      <c r="N1147" s="129"/>
      <c r="O1147" s="129"/>
      <c r="P1147" s="364"/>
      <c r="Q1147" s="364"/>
      <c r="R1147" s="129"/>
      <c r="S1147" s="129"/>
      <c r="T1147" s="129"/>
      <c r="W1147" s="129" t="s">
        <v>286</v>
      </c>
      <c r="X1147" s="337" t="b">
        <f t="shared" si="51"/>
        <v>1</v>
      </c>
    </row>
    <row r="1148" spans="1:24" s="337" customFormat="1" ht="12" customHeight="1" outlineLevel="1">
      <c r="A1148" s="335"/>
      <c r="B1148" s="118" t="s">
        <v>12</v>
      </c>
      <c r="C1148" s="334" t="s">
        <v>7096</v>
      </c>
      <c r="D1148" s="124" t="s">
        <v>7097</v>
      </c>
      <c r="E1148" s="125"/>
      <c r="F1148" s="118" t="s">
        <v>433</v>
      </c>
      <c r="G1148" s="126" t="s">
        <v>7093</v>
      </c>
      <c r="H1148" s="255">
        <v>1</v>
      </c>
      <c r="I1148" s="361">
        <v>1</v>
      </c>
      <c r="J1148" s="362" t="s">
        <v>286</v>
      </c>
      <c r="K1148" s="363"/>
      <c r="L1148" s="129"/>
      <c r="M1148" s="129"/>
      <c r="N1148" s="129"/>
      <c r="O1148" s="129"/>
      <c r="P1148" s="364"/>
      <c r="Q1148" s="364"/>
      <c r="R1148" s="129"/>
      <c r="S1148" s="129"/>
      <c r="T1148" s="129"/>
      <c r="W1148" s="129" t="s">
        <v>4876</v>
      </c>
      <c r="X1148" s="337" t="b">
        <f t="shared" si="51"/>
        <v>0</v>
      </c>
    </row>
    <row r="1149" spans="1:24" s="337" customFormat="1" ht="12" customHeight="1" outlineLevel="1">
      <c r="A1149" s="335"/>
      <c r="B1149" s="118" t="s">
        <v>12</v>
      </c>
      <c r="C1149" s="334" t="s">
        <v>7098</v>
      </c>
      <c r="D1149" s="124" t="s">
        <v>7099</v>
      </c>
      <c r="E1149" s="125"/>
      <c r="F1149" s="118" t="s">
        <v>433</v>
      </c>
      <c r="G1149" s="126" t="s">
        <v>7093</v>
      </c>
      <c r="H1149" s="255">
        <v>1</v>
      </c>
      <c r="I1149" s="361">
        <v>1</v>
      </c>
      <c r="J1149" s="362" t="s">
        <v>286</v>
      </c>
      <c r="K1149" s="363"/>
      <c r="L1149" s="129"/>
      <c r="M1149" s="129"/>
      <c r="N1149" s="129"/>
      <c r="O1149" s="129"/>
      <c r="P1149" s="364"/>
      <c r="Q1149" s="364"/>
      <c r="R1149" s="129"/>
      <c r="S1149" s="129"/>
      <c r="T1149" s="129"/>
      <c r="W1149" s="129" t="s">
        <v>4876</v>
      </c>
      <c r="X1149" s="337" t="b">
        <f t="shared" si="51"/>
        <v>0</v>
      </c>
    </row>
    <row r="1150" spans="1:24" s="337" customFormat="1" ht="12" customHeight="1" outlineLevel="1">
      <c r="A1150" s="335"/>
      <c r="B1150" s="118" t="s">
        <v>12</v>
      </c>
      <c r="C1150" s="334" t="s">
        <v>7100</v>
      </c>
      <c r="D1150" s="124" t="s">
        <v>7101</v>
      </c>
      <c r="E1150" s="125"/>
      <c r="F1150" s="118" t="s">
        <v>433</v>
      </c>
      <c r="G1150" s="126" t="s">
        <v>7093</v>
      </c>
      <c r="H1150" s="255">
        <v>1</v>
      </c>
      <c r="I1150" s="361">
        <v>1</v>
      </c>
      <c r="J1150" s="362" t="s">
        <v>310</v>
      </c>
      <c r="K1150" s="363"/>
      <c r="L1150" s="129"/>
      <c r="M1150" s="129"/>
      <c r="N1150" s="129"/>
      <c r="O1150" s="129"/>
      <c r="P1150" s="364"/>
      <c r="Q1150" s="364"/>
      <c r="R1150" s="129"/>
      <c r="S1150" s="129"/>
      <c r="T1150" s="129"/>
      <c r="W1150" s="129" t="s">
        <v>7102</v>
      </c>
      <c r="X1150" s="337" t="b">
        <f t="shared" si="51"/>
        <v>0</v>
      </c>
    </row>
    <row r="1151" spans="1:24" s="337" customFormat="1" ht="12" customHeight="1" outlineLevel="1">
      <c r="A1151" s="335"/>
      <c r="B1151" s="118" t="s">
        <v>12</v>
      </c>
      <c r="C1151" s="334" t="s">
        <v>7103</v>
      </c>
      <c r="D1151" s="124" t="s">
        <v>7104</v>
      </c>
      <c r="E1151" s="125"/>
      <c r="F1151" s="118" t="s">
        <v>433</v>
      </c>
      <c r="G1151" s="126" t="s">
        <v>7093</v>
      </c>
      <c r="H1151" s="255">
        <v>1</v>
      </c>
      <c r="I1151" s="361">
        <v>1</v>
      </c>
      <c r="J1151" s="362" t="s">
        <v>307</v>
      </c>
      <c r="K1151" s="363"/>
      <c r="L1151" s="129"/>
      <c r="M1151" s="129"/>
      <c r="N1151" s="129"/>
      <c r="O1151" s="129"/>
      <c r="P1151" s="364"/>
      <c r="Q1151" s="364"/>
      <c r="R1151" s="129"/>
      <c r="S1151" s="129"/>
      <c r="T1151" s="129"/>
      <c r="W1151" s="129" t="s">
        <v>4876</v>
      </c>
      <c r="X1151" s="337" t="b">
        <f t="shared" si="51"/>
        <v>0</v>
      </c>
    </row>
    <row r="1152" spans="1:24" s="337" customFormat="1" ht="12" customHeight="1" outlineLevel="1">
      <c r="A1152" s="335"/>
      <c r="B1152" s="118" t="s">
        <v>12</v>
      </c>
      <c r="C1152" s="334" t="s">
        <v>7105</v>
      </c>
      <c r="D1152" s="124" t="s">
        <v>7106</v>
      </c>
      <c r="E1152" s="125"/>
      <c r="F1152" s="118" t="s">
        <v>433</v>
      </c>
      <c r="G1152" s="126" t="s">
        <v>7093</v>
      </c>
      <c r="H1152" s="255">
        <v>1</v>
      </c>
      <c r="I1152" s="361">
        <v>1</v>
      </c>
      <c r="J1152" s="362" t="s">
        <v>307</v>
      </c>
      <c r="K1152" s="363"/>
      <c r="L1152" s="129"/>
      <c r="M1152" s="129"/>
      <c r="N1152" s="129"/>
      <c r="O1152" s="129"/>
      <c r="P1152" s="364"/>
      <c r="Q1152" s="364"/>
      <c r="R1152" s="129"/>
      <c r="S1152" s="129"/>
      <c r="T1152" s="129"/>
      <c r="W1152" s="129" t="s">
        <v>4876</v>
      </c>
      <c r="X1152" s="337" t="b">
        <f t="shared" si="51"/>
        <v>0</v>
      </c>
    </row>
    <row r="1153" spans="1:24" s="337" customFormat="1" ht="12" customHeight="1" outlineLevel="1">
      <c r="A1153" s="335"/>
      <c r="B1153" s="118" t="s">
        <v>12</v>
      </c>
      <c r="C1153" s="334" t="s">
        <v>7107</v>
      </c>
      <c r="D1153" s="124" t="s">
        <v>7108</v>
      </c>
      <c r="E1153" s="125"/>
      <c r="F1153" s="118" t="s">
        <v>433</v>
      </c>
      <c r="G1153" s="126" t="s">
        <v>7093</v>
      </c>
      <c r="H1153" s="255">
        <v>1</v>
      </c>
      <c r="I1153" s="361">
        <v>1</v>
      </c>
      <c r="J1153" s="362" t="s">
        <v>307</v>
      </c>
      <c r="K1153" s="363"/>
      <c r="L1153" s="129"/>
      <c r="M1153" s="129"/>
      <c r="N1153" s="129"/>
      <c r="O1153" s="129"/>
      <c r="P1153" s="364"/>
      <c r="Q1153" s="364"/>
      <c r="R1153" s="129"/>
      <c r="S1153" s="129"/>
      <c r="T1153" s="129"/>
      <c r="W1153" s="129" t="s">
        <v>4876</v>
      </c>
      <c r="X1153" s="337" t="b">
        <f t="shared" si="51"/>
        <v>0</v>
      </c>
    </row>
    <row r="1154" spans="1:24" s="337" customFormat="1" ht="12" customHeight="1" outlineLevel="1">
      <c r="A1154" s="335"/>
      <c r="B1154" s="118" t="s">
        <v>12</v>
      </c>
      <c r="C1154" s="334" t="s">
        <v>7109</v>
      </c>
      <c r="D1154" s="124" t="s">
        <v>7110</v>
      </c>
      <c r="E1154" s="125"/>
      <c r="F1154" s="118" t="s">
        <v>433</v>
      </c>
      <c r="G1154" s="126" t="s">
        <v>7093</v>
      </c>
      <c r="H1154" s="255">
        <v>1</v>
      </c>
      <c r="I1154" s="361">
        <v>1</v>
      </c>
      <c r="J1154" s="362" t="s">
        <v>307</v>
      </c>
      <c r="K1154" s="363"/>
      <c r="L1154" s="129"/>
      <c r="M1154" s="129"/>
      <c r="N1154" s="129"/>
      <c r="O1154" s="129"/>
      <c r="P1154" s="364"/>
      <c r="Q1154" s="364"/>
      <c r="R1154" s="129"/>
      <c r="S1154" s="129"/>
      <c r="T1154" s="129"/>
      <c r="W1154" s="129" t="s">
        <v>4876</v>
      </c>
      <c r="X1154" s="337" t="b">
        <f t="shared" si="51"/>
        <v>0</v>
      </c>
    </row>
    <row r="1155" spans="1:24" s="337" customFormat="1" ht="12" customHeight="1" outlineLevel="1">
      <c r="A1155" s="335"/>
      <c r="B1155" s="118" t="s">
        <v>12</v>
      </c>
      <c r="C1155" s="334" t="s">
        <v>7111</v>
      </c>
      <c r="D1155" s="124" t="s">
        <v>7112</v>
      </c>
      <c r="E1155" s="125"/>
      <c r="F1155" s="118" t="s">
        <v>433</v>
      </c>
      <c r="G1155" s="126" t="s">
        <v>7093</v>
      </c>
      <c r="H1155" s="255">
        <v>1</v>
      </c>
      <c r="I1155" s="361">
        <v>1</v>
      </c>
      <c r="J1155" s="362" t="s">
        <v>307</v>
      </c>
      <c r="K1155" s="363"/>
      <c r="L1155" s="129"/>
      <c r="M1155" s="129"/>
      <c r="N1155" s="129"/>
      <c r="O1155" s="129"/>
      <c r="P1155" s="364"/>
      <c r="Q1155" s="364"/>
      <c r="R1155" s="129"/>
      <c r="S1155" s="129"/>
      <c r="T1155" s="129"/>
      <c r="W1155" s="129" t="s">
        <v>4876</v>
      </c>
      <c r="X1155" s="337" t="b">
        <f t="shared" si="51"/>
        <v>0</v>
      </c>
    </row>
    <row r="1156" spans="1:24" s="337" customFormat="1" ht="12" customHeight="1" outlineLevel="1">
      <c r="A1156" s="335"/>
      <c r="B1156" s="118" t="s">
        <v>12</v>
      </c>
      <c r="C1156" s="334" t="s">
        <v>7113</v>
      </c>
      <c r="D1156" s="124" t="s">
        <v>7114</v>
      </c>
      <c r="E1156" s="125"/>
      <c r="F1156" s="118" t="s">
        <v>433</v>
      </c>
      <c r="G1156" s="126" t="s">
        <v>7093</v>
      </c>
      <c r="H1156" s="255">
        <v>1</v>
      </c>
      <c r="I1156" s="361">
        <v>1</v>
      </c>
      <c r="J1156" s="362" t="s">
        <v>325</v>
      </c>
      <c r="K1156" s="363"/>
      <c r="L1156" s="129"/>
      <c r="M1156" s="129"/>
      <c r="N1156" s="129"/>
      <c r="O1156" s="129"/>
      <c r="P1156" s="364"/>
      <c r="Q1156" s="364"/>
      <c r="R1156" s="129"/>
      <c r="S1156" s="129"/>
      <c r="T1156" s="129"/>
      <c r="W1156" s="129" t="s">
        <v>4876</v>
      </c>
      <c r="X1156" s="337" t="b">
        <f t="shared" si="51"/>
        <v>0</v>
      </c>
    </row>
    <row r="1157" spans="1:24" s="337" customFormat="1" ht="12" customHeight="1" outlineLevel="1">
      <c r="A1157" s="335"/>
      <c r="B1157" s="118" t="s">
        <v>12</v>
      </c>
      <c r="C1157" s="334" t="s">
        <v>7115</v>
      </c>
      <c r="D1157" s="124" t="s">
        <v>7116</v>
      </c>
      <c r="E1157" s="125"/>
      <c r="F1157" s="118" t="s">
        <v>433</v>
      </c>
      <c r="G1157" s="126" t="s">
        <v>7093</v>
      </c>
      <c r="H1157" s="255">
        <v>1</v>
      </c>
      <c r="I1157" s="361">
        <v>1</v>
      </c>
      <c r="J1157" s="362" t="s">
        <v>307</v>
      </c>
      <c r="K1157" s="363"/>
      <c r="L1157" s="129"/>
      <c r="M1157" s="129"/>
      <c r="N1157" s="129"/>
      <c r="O1157" s="129"/>
      <c r="P1157" s="364"/>
      <c r="Q1157" s="364"/>
      <c r="R1157" s="129"/>
      <c r="S1157" s="129"/>
      <c r="T1157" s="129"/>
      <c r="W1157" s="129" t="s">
        <v>4876</v>
      </c>
      <c r="X1157" s="337" t="b">
        <f t="shared" si="51"/>
        <v>0</v>
      </c>
    </row>
    <row r="1158" spans="1:24" s="337" customFormat="1" ht="12" customHeight="1" outlineLevel="1">
      <c r="A1158" s="335"/>
      <c r="B1158" s="118" t="s">
        <v>12</v>
      </c>
      <c r="C1158" s="334" t="s">
        <v>7117</v>
      </c>
      <c r="D1158" s="124" t="s">
        <v>7118</v>
      </c>
      <c r="E1158" s="125"/>
      <c r="F1158" s="118" t="s">
        <v>433</v>
      </c>
      <c r="G1158" s="126" t="s">
        <v>7093</v>
      </c>
      <c r="H1158" s="255">
        <v>1</v>
      </c>
      <c r="I1158" s="361">
        <v>1</v>
      </c>
      <c r="J1158" s="362" t="s">
        <v>307</v>
      </c>
      <c r="K1158" s="363"/>
      <c r="L1158" s="129"/>
      <c r="M1158" s="129"/>
      <c r="N1158" s="129"/>
      <c r="O1158" s="129"/>
      <c r="P1158" s="364"/>
      <c r="Q1158" s="364"/>
      <c r="R1158" s="129"/>
      <c r="S1158" s="129"/>
      <c r="T1158" s="129"/>
      <c r="W1158" s="129" t="s">
        <v>4876</v>
      </c>
      <c r="X1158" s="337" t="b">
        <f t="shared" si="51"/>
        <v>0</v>
      </c>
    </row>
    <row r="1159" spans="1:24" s="337" customFormat="1" ht="12" customHeight="1" outlineLevel="1">
      <c r="A1159" s="335"/>
      <c r="B1159" s="118" t="s">
        <v>12</v>
      </c>
      <c r="C1159" s="334" t="s">
        <v>7119</v>
      </c>
      <c r="D1159" s="124" t="s">
        <v>7120</v>
      </c>
      <c r="E1159" s="125"/>
      <c r="F1159" s="118" t="s">
        <v>433</v>
      </c>
      <c r="G1159" s="126" t="s">
        <v>7093</v>
      </c>
      <c r="H1159" s="255">
        <v>1</v>
      </c>
      <c r="I1159" s="361">
        <v>1</v>
      </c>
      <c r="J1159" s="362" t="s">
        <v>307</v>
      </c>
      <c r="K1159" s="363"/>
      <c r="L1159" s="129"/>
      <c r="M1159" s="129"/>
      <c r="N1159" s="129"/>
      <c r="O1159" s="129"/>
      <c r="P1159" s="364"/>
      <c r="Q1159" s="364"/>
      <c r="R1159" s="129"/>
      <c r="S1159" s="129"/>
      <c r="T1159" s="129"/>
      <c r="W1159" s="129" t="s">
        <v>4876</v>
      </c>
      <c r="X1159" s="337" t="b">
        <f t="shared" si="51"/>
        <v>0</v>
      </c>
    </row>
    <row r="1160" spans="1:24" s="337" customFormat="1" ht="12" customHeight="1" outlineLevel="1">
      <c r="A1160" s="335"/>
      <c r="B1160" s="118" t="s">
        <v>12</v>
      </c>
      <c r="C1160" s="334" t="s">
        <v>7121</v>
      </c>
      <c r="D1160" s="124" t="s">
        <v>7122</v>
      </c>
      <c r="E1160" s="125"/>
      <c r="F1160" s="118" t="s">
        <v>433</v>
      </c>
      <c r="G1160" s="126" t="s">
        <v>7093</v>
      </c>
      <c r="H1160" s="255">
        <v>1</v>
      </c>
      <c r="I1160" s="361">
        <v>1</v>
      </c>
      <c r="J1160" s="362" t="s">
        <v>310</v>
      </c>
      <c r="K1160" s="363"/>
      <c r="L1160" s="129"/>
      <c r="M1160" s="129"/>
      <c r="N1160" s="129"/>
      <c r="O1160" s="129"/>
      <c r="P1160" s="364"/>
      <c r="Q1160" s="364"/>
      <c r="R1160" s="129"/>
      <c r="S1160" s="129"/>
      <c r="T1160" s="129"/>
      <c r="W1160" s="129" t="s">
        <v>4876</v>
      </c>
      <c r="X1160" s="337" t="b">
        <f t="shared" si="51"/>
        <v>0</v>
      </c>
    </row>
    <row r="1161" spans="1:24" s="337" customFormat="1" ht="12" customHeight="1" outlineLevel="1">
      <c r="A1161" s="335"/>
      <c r="B1161" s="118" t="s">
        <v>12</v>
      </c>
      <c r="C1161" s="334" t="s">
        <v>7123</v>
      </c>
      <c r="D1161" s="124" t="s">
        <v>7124</v>
      </c>
      <c r="E1161" s="125"/>
      <c r="F1161" s="118" t="s">
        <v>433</v>
      </c>
      <c r="G1161" s="126" t="s">
        <v>7093</v>
      </c>
      <c r="H1161" s="255">
        <v>1</v>
      </c>
      <c r="I1161" s="361">
        <v>1</v>
      </c>
      <c r="J1161" s="362" t="s">
        <v>310</v>
      </c>
      <c r="K1161" s="363"/>
      <c r="L1161" s="129"/>
      <c r="M1161" s="129"/>
      <c r="N1161" s="129"/>
      <c r="O1161" s="129"/>
      <c r="P1161" s="364"/>
      <c r="Q1161" s="364"/>
      <c r="R1161" s="129"/>
      <c r="S1161" s="129"/>
      <c r="T1161" s="129"/>
      <c r="W1161" s="129" t="s">
        <v>4876</v>
      </c>
      <c r="X1161" s="337" t="b">
        <f t="shared" si="51"/>
        <v>0</v>
      </c>
    </row>
    <row r="1162" spans="1:24" s="337" customFormat="1" ht="12" customHeight="1" outlineLevel="1">
      <c r="A1162" s="335"/>
      <c r="B1162" s="118" t="s">
        <v>12</v>
      </c>
      <c r="C1162" s="334" t="s">
        <v>7125</v>
      </c>
      <c r="D1162" s="124" t="s">
        <v>7126</v>
      </c>
      <c r="E1162" s="125"/>
      <c r="F1162" s="118" t="s">
        <v>433</v>
      </c>
      <c r="G1162" s="126" t="s">
        <v>7093</v>
      </c>
      <c r="H1162" s="255">
        <v>1</v>
      </c>
      <c r="I1162" s="361">
        <v>1</v>
      </c>
      <c r="J1162" s="362" t="s">
        <v>325</v>
      </c>
      <c r="K1162" s="363"/>
      <c r="L1162" s="129"/>
      <c r="M1162" s="129"/>
      <c r="N1162" s="129"/>
      <c r="O1162" s="129"/>
      <c r="P1162" s="364"/>
      <c r="Q1162" s="364"/>
      <c r="R1162" s="129"/>
      <c r="S1162" s="129"/>
      <c r="T1162" s="129"/>
      <c r="W1162" s="129" t="s">
        <v>4876</v>
      </c>
      <c r="X1162" s="337" t="b">
        <f t="shared" si="51"/>
        <v>0</v>
      </c>
    </row>
    <row r="1163" spans="1:24" s="337" customFormat="1" ht="12" customHeight="1" outlineLevel="1">
      <c r="A1163" s="335"/>
      <c r="B1163" s="118" t="s">
        <v>12</v>
      </c>
      <c r="C1163" s="334" t="s">
        <v>7127</v>
      </c>
      <c r="D1163" s="124" t="s">
        <v>7128</v>
      </c>
      <c r="E1163" s="125"/>
      <c r="F1163" s="118" t="s">
        <v>433</v>
      </c>
      <c r="G1163" s="126" t="s">
        <v>7093</v>
      </c>
      <c r="H1163" s="255">
        <v>1</v>
      </c>
      <c r="I1163" s="361">
        <v>1</v>
      </c>
      <c r="J1163" s="362" t="s">
        <v>743</v>
      </c>
      <c r="K1163" s="363"/>
      <c r="L1163" s="129"/>
      <c r="M1163" s="129"/>
      <c r="N1163" s="129"/>
      <c r="O1163" s="129"/>
      <c r="P1163" s="364"/>
      <c r="Q1163" s="364"/>
      <c r="R1163" s="129"/>
      <c r="S1163" s="129"/>
      <c r="T1163" s="129"/>
      <c r="W1163" s="129" t="s">
        <v>4876</v>
      </c>
      <c r="X1163" s="337" t="b">
        <f t="shared" si="51"/>
        <v>0</v>
      </c>
    </row>
    <row r="1164" spans="1:24" s="337" customFormat="1" ht="12" customHeight="1" outlineLevel="1">
      <c r="A1164" s="335"/>
      <c r="B1164" s="118" t="s">
        <v>12</v>
      </c>
      <c r="C1164" s="334" t="s">
        <v>7129</v>
      </c>
      <c r="D1164" s="124" t="s">
        <v>7130</v>
      </c>
      <c r="E1164" s="125"/>
      <c r="F1164" s="118" t="s">
        <v>433</v>
      </c>
      <c r="G1164" s="126" t="s">
        <v>7093</v>
      </c>
      <c r="H1164" s="255">
        <v>1</v>
      </c>
      <c r="I1164" s="361">
        <v>1</v>
      </c>
      <c r="J1164" s="362" t="s">
        <v>307</v>
      </c>
      <c r="K1164" s="363"/>
      <c r="L1164" s="129"/>
      <c r="M1164" s="129"/>
      <c r="N1164" s="129"/>
      <c r="O1164" s="129"/>
      <c r="P1164" s="364"/>
      <c r="Q1164" s="364"/>
      <c r="R1164" s="129"/>
      <c r="S1164" s="129"/>
      <c r="T1164" s="129"/>
      <c r="W1164" s="129" t="s">
        <v>4876</v>
      </c>
      <c r="X1164" s="337" t="b">
        <f t="shared" si="51"/>
        <v>0</v>
      </c>
    </row>
    <row r="1165" spans="1:24" s="337" customFormat="1" ht="12" customHeight="1" outlineLevel="1">
      <c r="A1165" s="335"/>
      <c r="B1165" s="118" t="s">
        <v>12</v>
      </c>
      <c r="C1165" s="334" t="s">
        <v>7131</v>
      </c>
      <c r="D1165" s="124" t="s">
        <v>7132</v>
      </c>
      <c r="E1165" s="125"/>
      <c r="F1165" s="118" t="s">
        <v>433</v>
      </c>
      <c r="G1165" s="126" t="s">
        <v>7093</v>
      </c>
      <c r="H1165" s="255">
        <v>1</v>
      </c>
      <c r="I1165" s="361">
        <v>1</v>
      </c>
      <c r="J1165" s="362" t="s">
        <v>743</v>
      </c>
      <c r="K1165" s="363"/>
      <c r="L1165" s="129"/>
      <c r="M1165" s="129"/>
      <c r="N1165" s="129"/>
      <c r="O1165" s="129"/>
      <c r="P1165" s="364"/>
      <c r="Q1165" s="364"/>
      <c r="R1165" s="129"/>
      <c r="S1165" s="129"/>
      <c r="T1165" s="129"/>
      <c r="W1165" s="129" t="s">
        <v>4876</v>
      </c>
      <c r="X1165" s="337" t="b">
        <f t="shared" si="51"/>
        <v>0</v>
      </c>
    </row>
    <row r="1166" spans="1:24" s="337" customFormat="1" ht="12" customHeight="1" outlineLevel="1">
      <c r="A1166" s="335"/>
      <c r="B1166" s="118" t="s">
        <v>12</v>
      </c>
      <c r="C1166" s="334" t="s">
        <v>7133</v>
      </c>
      <c r="D1166" s="124" t="s">
        <v>7134</v>
      </c>
      <c r="E1166" s="125"/>
      <c r="F1166" s="118" t="s">
        <v>433</v>
      </c>
      <c r="G1166" s="126" t="s">
        <v>7093</v>
      </c>
      <c r="H1166" s="255">
        <v>1</v>
      </c>
      <c r="I1166" s="361">
        <v>1</v>
      </c>
      <c r="J1166" s="362" t="s">
        <v>307</v>
      </c>
      <c r="K1166" s="363"/>
      <c r="L1166" s="129"/>
      <c r="M1166" s="129"/>
      <c r="N1166" s="129"/>
      <c r="O1166" s="129"/>
      <c r="P1166" s="364"/>
      <c r="Q1166" s="364"/>
      <c r="R1166" s="129"/>
      <c r="S1166" s="129"/>
      <c r="T1166" s="129"/>
      <c r="W1166" s="129" t="s">
        <v>4876</v>
      </c>
      <c r="X1166" s="337" t="b">
        <f t="shared" si="51"/>
        <v>0</v>
      </c>
    </row>
    <row r="1167" spans="1:24" s="337" customFormat="1" ht="12" customHeight="1" outlineLevel="1">
      <c r="A1167" s="335"/>
      <c r="B1167" s="118" t="s">
        <v>12</v>
      </c>
      <c r="C1167" s="334" t="s">
        <v>7135</v>
      </c>
      <c r="D1167" s="124" t="s">
        <v>7136</v>
      </c>
      <c r="E1167" s="125"/>
      <c r="F1167" s="118" t="s">
        <v>433</v>
      </c>
      <c r="G1167" s="126" t="s">
        <v>7093</v>
      </c>
      <c r="H1167" s="255">
        <v>1</v>
      </c>
      <c r="I1167" s="361">
        <v>1</v>
      </c>
      <c r="J1167" s="362" t="s">
        <v>307</v>
      </c>
      <c r="K1167" s="363"/>
      <c r="L1167" s="129"/>
      <c r="M1167" s="129"/>
      <c r="N1167" s="129"/>
      <c r="O1167" s="129"/>
      <c r="P1167" s="364"/>
      <c r="Q1167" s="364"/>
      <c r="R1167" s="129"/>
      <c r="S1167" s="129"/>
      <c r="T1167" s="129"/>
      <c r="W1167" s="129" t="s">
        <v>4876</v>
      </c>
      <c r="X1167" s="337" t="b">
        <f t="shared" si="51"/>
        <v>0</v>
      </c>
    </row>
    <row r="1168" spans="1:24" s="337" customFormat="1" ht="12" customHeight="1" outlineLevel="1">
      <c r="A1168" s="335"/>
      <c r="B1168" s="118" t="s">
        <v>12</v>
      </c>
      <c r="C1168" s="334" t="s">
        <v>7137</v>
      </c>
      <c r="D1168" s="124" t="s">
        <v>7138</v>
      </c>
      <c r="E1168" s="125"/>
      <c r="F1168" s="118" t="s">
        <v>433</v>
      </c>
      <c r="G1168" s="126" t="s">
        <v>7093</v>
      </c>
      <c r="H1168" s="255">
        <v>1</v>
      </c>
      <c r="I1168" s="361">
        <v>1</v>
      </c>
      <c r="J1168" s="362" t="s">
        <v>307</v>
      </c>
      <c r="K1168" s="363"/>
      <c r="L1168" s="129"/>
      <c r="M1168" s="129"/>
      <c r="N1168" s="129"/>
      <c r="O1168" s="129"/>
      <c r="P1168" s="364"/>
      <c r="Q1168" s="364"/>
      <c r="R1168" s="129"/>
      <c r="S1168" s="129"/>
      <c r="T1168" s="129"/>
      <c r="W1168" s="129" t="s">
        <v>4876</v>
      </c>
      <c r="X1168" s="337" t="b">
        <f t="shared" si="51"/>
        <v>0</v>
      </c>
    </row>
    <row r="1169" spans="1:24" s="337" customFormat="1" ht="12" customHeight="1" outlineLevel="1">
      <c r="A1169" s="335"/>
      <c r="B1169" s="118" t="s">
        <v>12</v>
      </c>
      <c r="C1169" s="334" t="s">
        <v>7139</v>
      </c>
      <c r="D1169" s="124" t="s">
        <v>7140</v>
      </c>
      <c r="E1169" s="125"/>
      <c r="F1169" s="118" t="s">
        <v>433</v>
      </c>
      <c r="G1169" s="126" t="s">
        <v>7093</v>
      </c>
      <c r="H1169" s="255">
        <v>1</v>
      </c>
      <c r="I1169" s="361">
        <v>1</v>
      </c>
      <c r="J1169" s="362" t="s">
        <v>307</v>
      </c>
      <c r="K1169" s="363"/>
      <c r="L1169" s="129"/>
      <c r="M1169" s="129"/>
      <c r="N1169" s="129"/>
      <c r="O1169" s="129"/>
      <c r="P1169" s="364"/>
      <c r="Q1169" s="364"/>
      <c r="R1169" s="129"/>
      <c r="S1169" s="129"/>
      <c r="T1169" s="129"/>
      <c r="W1169" s="129" t="s">
        <v>4876</v>
      </c>
      <c r="X1169" s="337" t="b">
        <f t="shared" si="51"/>
        <v>0</v>
      </c>
    </row>
    <row r="1170" spans="1:24" s="337" customFormat="1" ht="12" customHeight="1" outlineLevel="1">
      <c r="A1170" s="335"/>
      <c r="B1170" s="118" t="s">
        <v>12</v>
      </c>
      <c r="C1170" s="334" t="s">
        <v>7141</v>
      </c>
      <c r="D1170" s="124" t="s">
        <v>7142</v>
      </c>
      <c r="E1170" s="125"/>
      <c r="F1170" s="118" t="s">
        <v>433</v>
      </c>
      <c r="G1170" s="126" t="s">
        <v>7093</v>
      </c>
      <c r="H1170" s="255">
        <v>1</v>
      </c>
      <c r="I1170" s="361">
        <v>1</v>
      </c>
      <c r="J1170" s="362" t="s">
        <v>325</v>
      </c>
      <c r="K1170" s="363"/>
      <c r="L1170" s="129"/>
      <c r="M1170" s="129"/>
      <c r="N1170" s="129"/>
      <c r="O1170" s="129"/>
      <c r="P1170" s="364"/>
      <c r="Q1170" s="364"/>
      <c r="R1170" s="129"/>
      <c r="S1170" s="129"/>
      <c r="T1170" s="129"/>
      <c r="W1170" s="129" t="s">
        <v>286</v>
      </c>
      <c r="X1170" s="337" t="b">
        <f t="shared" si="51"/>
        <v>0</v>
      </c>
    </row>
    <row r="1171" spans="1:24" s="337" customFormat="1" ht="12" customHeight="1" outlineLevel="1">
      <c r="A1171" s="335"/>
      <c r="B1171" s="118" t="s">
        <v>12</v>
      </c>
      <c r="C1171" s="334" t="s">
        <v>7143</v>
      </c>
      <c r="D1171" s="124" t="s">
        <v>7144</v>
      </c>
      <c r="E1171" s="125"/>
      <c r="F1171" s="118" t="s">
        <v>433</v>
      </c>
      <c r="G1171" s="126" t="s">
        <v>7093</v>
      </c>
      <c r="H1171" s="255">
        <v>1</v>
      </c>
      <c r="I1171" s="361">
        <v>1</v>
      </c>
      <c r="J1171" s="362" t="s">
        <v>286</v>
      </c>
      <c r="K1171" s="363"/>
      <c r="L1171" s="129"/>
      <c r="M1171" s="129"/>
      <c r="N1171" s="129"/>
      <c r="O1171" s="129"/>
      <c r="P1171" s="364"/>
      <c r="Q1171" s="364"/>
      <c r="R1171" s="129"/>
      <c r="S1171" s="129"/>
      <c r="T1171" s="129"/>
      <c r="W1171" s="129" t="s">
        <v>286</v>
      </c>
      <c r="X1171" s="337" t="b">
        <f t="shared" si="51"/>
        <v>1</v>
      </c>
    </row>
    <row r="1172" spans="1:24" s="337" customFormat="1" ht="12" customHeight="1" outlineLevel="1">
      <c r="A1172" s="335"/>
      <c r="B1172" s="118" t="s">
        <v>12</v>
      </c>
      <c r="C1172" s="334" t="s">
        <v>7145</v>
      </c>
      <c r="D1172" s="124" t="s">
        <v>7146</v>
      </c>
      <c r="E1172" s="125"/>
      <c r="F1172" s="118" t="s">
        <v>433</v>
      </c>
      <c r="G1172" s="126" t="s">
        <v>7093</v>
      </c>
      <c r="H1172" s="255">
        <v>1</v>
      </c>
      <c r="I1172" s="361">
        <v>1</v>
      </c>
      <c r="J1172" s="362" t="s">
        <v>286</v>
      </c>
      <c r="K1172" s="363"/>
      <c r="L1172" s="129"/>
      <c r="M1172" s="129"/>
      <c r="N1172" s="129"/>
      <c r="O1172" s="129"/>
      <c r="P1172" s="364"/>
      <c r="Q1172" s="364"/>
      <c r="R1172" s="129"/>
      <c r="S1172" s="129"/>
      <c r="T1172" s="129"/>
      <c r="W1172" s="129" t="s">
        <v>310</v>
      </c>
      <c r="X1172" s="337" t="b">
        <f t="shared" si="51"/>
        <v>0</v>
      </c>
    </row>
    <row r="1173" spans="1:24" s="337" customFormat="1" ht="12" customHeight="1" outlineLevel="1">
      <c r="A1173" s="335"/>
      <c r="B1173" s="118" t="s">
        <v>12</v>
      </c>
      <c r="C1173" s="334" t="s">
        <v>7147</v>
      </c>
      <c r="D1173" s="124" t="s">
        <v>7148</v>
      </c>
      <c r="E1173" s="125"/>
      <c r="F1173" s="118" t="s">
        <v>433</v>
      </c>
      <c r="G1173" s="126" t="s">
        <v>7093</v>
      </c>
      <c r="H1173" s="255">
        <v>1</v>
      </c>
      <c r="I1173" s="361">
        <v>1</v>
      </c>
      <c r="J1173" s="362" t="s">
        <v>310</v>
      </c>
      <c r="K1173" s="363"/>
      <c r="L1173" s="129"/>
      <c r="M1173" s="129"/>
      <c r="N1173" s="129"/>
      <c r="O1173" s="129"/>
      <c r="P1173" s="364"/>
      <c r="Q1173" s="364"/>
      <c r="R1173" s="129"/>
      <c r="S1173" s="129"/>
      <c r="T1173" s="129"/>
      <c r="W1173" s="129" t="s">
        <v>4876</v>
      </c>
      <c r="X1173" s="337" t="b">
        <f t="shared" si="51"/>
        <v>0</v>
      </c>
    </row>
    <row r="1174" spans="1:24" s="337" customFormat="1" ht="12" customHeight="1" outlineLevel="1">
      <c r="A1174" s="335"/>
      <c r="B1174" s="118" t="s">
        <v>12</v>
      </c>
      <c r="C1174" s="334" t="s">
        <v>7149</v>
      </c>
      <c r="D1174" s="124" t="s">
        <v>7150</v>
      </c>
      <c r="E1174" s="125"/>
      <c r="F1174" s="118" t="s">
        <v>433</v>
      </c>
      <c r="G1174" s="126" t="s">
        <v>7093</v>
      </c>
      <c r="H1174" s="255">
        <v>1</v>
      </c>
      <c r="I1174" s="361">
        <v>1</v>
      </c>
      <c r="J1174" s="362" t="s">
        <v>6147</v>
      </c>
      <c r="K1174" s="363"/>
      <c r="L1174" s="129"/>
      <c r="M1174" s="129"/>
      <c r="N1174" s="129"/>
      <c r="O1174" s="129"/>
      <c r="P1174" s="364"/>
      <c r="Q1174" s="364"/>
      <c r="R1174" s="129"/>
      <c r="S1174" s="129"/>
      <c r="T1174" s="129"/>
      <c r="W1174" s="129" t="s">
        <v>4876</v>
      </c>
      <c r="X1174" s="337" t="b">
        <f t="shared" si="51"/>
        <v>0</v>
      </c>
    </row>
    <row r="1175" spans="1:24" s="337" customFormat="1" ht="12" customHeight="1" outlineLevel="1">
      <c r="A1175" s="335"/>
      <c r="B1175" s="118" t="s">
        <v>12</v>
      </c>
      <c r="C1175" s="334" t="s">
        <v>7151</v>
      </c>
      <c r="D1175" s="124" t="s">
        <v>7152</v>
      </c>
      <c r="E1175" s="125"/>
      <c r="F1175" s="118" t="s">
        <v>433</v>
      </c>
      <c r="G1175" s="126" t="s">
        <v>7093</v>
      </c>
      <c r="H1175" s="255">
        <v>1</v>
      </c>
      <c r="I1175" s="361">
        <v>1</v>
      </c>
      <c r="J1175" s="362" t="s">
        <v>310</v>
      </c>
      <c r="K1175" s="363"/>
      <c r="L1175" s="129"/>
      <c r="M1175" s="129"/>
      <c r="N1175" s="129"/>
      <c r="O1175" s="129"/>
      <c r="P1175" s="364"/>
      <c r="Q1175" s="364"/>
      <c r="R1175" s="129"/>
      <c r="S1175" s="129"/>
      <c r="T1175" s="129"/>
      <c r="W1175" s="129" t="s">
        <v>4876</v>
      </c>
      <c r="X1175" s="337" t="b">
        <f t="shared" si="51"/>
        <v>0</v>
      </c>
    </row>
    <row r="1176" spans="1:24" s="337" customFormat="1" ht="12" customHeight="1" outlineLevel="1">
      <c r="A1176" s="335"/>
      <c r="B1176" s="118" t="s">
        <v>12</v>
      </c>
      <c r="C1176" s="334" t="s">
        <v>7153</v>
      </c>
      <c r="D1176" s="124" t="s">
        <v>7154</v>
      </c>
      <c r="E1176" s="125"/>
      <c r="F1176" s="118" t="s">
        <v>433</v>
      </c>
      <c r="G1176" s="126" t="s">
        <v>7093</v>
      </c>
      <c r="H1176" s="255">
        <v>1</v>
      </c>
      <c r="I1176" s="361">
        <v>1</v>
      </c>
      <c r="J1176" s="362" t="s">
        <v>310</v>
      </c>
      <c r="K1176" s="363"/>
      <c r="L1176" s="129"/>
      <c r="M1176" s="129"/>
      <c r="N1176" s="129"/>
      <c r="O1176" s="129"/>
      <c r="P1176" s="364"/>
      <c r="Q1176" s="364"/>
      <c r="R1176" s="129"/>
      <c r="S1176" s="129"/>
      <c r="T1176" s="129"/>
      <c r="W1176" s="129" t="s">
        <v>4876</v>
      </c>
      <c r="X1176" s="337" t="b">
        <f t="shared" si="51"/>
        <v>0</v>
      </c>
    </row>
    <row r="1177" spans="1:24" s="337" customFormat="1" ht="12" customHeight="1" outlineLevel="1">
      <c r="A1177" s="335"/>
      <c r="B1177" s="118" t="s">
        <v>12</v>
      </c>
      <c r="C1177" s="334" t="s">
        <v>7155</v>
      </c>
      <c r="D1177" s="124" t="s">
        <v>7156</v>
      </c>
      <c r="E1177" s="125"/>
      <c r="F1177" s="118" t="s">
        <v>433</v>
      </c>
      <c r="G1177" s="126" t="s">
        <v>7093</v>
      </c>
      <c r="H1177" s="255">
        <v>1</v>
      </c>
      <c r="I1177" s="361">
        <v>1</v>
      </c>
      <c r="J1177" s="362" t="s">
        <v>310</v>
      </c>
      <c r="K1177" s="363"/>
      <c r="L1177" s="129"/>
      <c r="M1177" s="129"/>
      <c r="N1177" s="129"/>
      <c r="O1177" s="129"/>
      <c r="P1177" s="364"/>
      <c r="Q1177" s="364"/>
      <c r="R1177" s="129"/>
      <c r="S1177" s="129"/>
      <c r="T1177" s="129"/>
      <c r="W1177" s="129" t="s">
        <v>4876</v>
      </c>
      <c r="X1177" s="337" t="b">
        <f t="shared" si="51"/>
        <v>0</v>
      </c>
    </row>
    <row r="1178" spans="1:24" s="337" customFormat="1" ht="12" customHeight="1" outlineLevel="1">
      <c r="A1178" s="335"/>
      <c r="B1178" s="118" t="s">
        <v>12</v>
      </c>
      <c r="C1178" s="334" t="s">
        <v>7157</v>
      </c>
      <c r="D1178" s="124" t="s">
        <v>7158</v>
      </c>
      <c r="E1178" s="125"/>
      <c r="F1178" s="118" t="s">
        <v>433</v>
      </c>
      <c r="G1178" s="126" t="s">
        <v>7093</v>
      </c>
      <c r="H1178" s="255">
        <v>1</v>
      </c>
      <c r="I1178" s="361">
        <v>1</v>
      </c>
      <c r="J1178" s="362" t="s">
        <v>310</v>
      </c>
      <c r="K1178" s="363"/>
      <c r="L1178" s="129"/>
      <c r="M1178" s="129"/>
      <c r="N1178" s="129"/>
      <c r="O1178" s="129"/>
      <c r="P1178" s="364"/>
      <c r="Q1178" s="364"/>
      <c r="R1178" s="129"/>
      <c r="S1178" s="129"/>
      <c r="T1178" s="129"/>
      <c r="W1178" s="129" t="s">
        <v>4876</v>
      </c>
      <c r="X1178" s="337" t="b">
        <f t="shared" si="51"/>
        <v>0</v>
      </c>
    </row>
    <row r="1179" spans="1:24" s="337" customFormat="1" ht="12" customHeight="1" outlineLevel="1">
      <c r="A1179" s="335"/>
      <c r="B1179" s="118" t="s">
        <v>12</v>
      </c>
      <c r="C1179" s="334" t="s">
        <v>7159</v>
      </c>
      <c r="D1179" s="124" t="s">
        <v>7160</v>
      </c>
      <c r="E1179" s="125"/>
      <c r="F1179" s="118" t="s">
        <v>433</v>
      </c>
      <c r="G1179" s="126" t="s">
        <v>7093</v>
      </c>
      <c r="H1179" s="255">
        <v>1</v>
      </c>
      <c r="I1179" s="361">
        <v>1</v>
      </c>
      <c r="J1179" s="362" t="s">
        <v>286</v>
      </c>
      <c r="K1179" s="363"/>
      <c r="L1179" s="129"/>
      <c r="M1179" s="129"/>
      <c r="N1179" s="129"/>
      <c r="O1179" s="129"/>
      <c r="P1179" s="364"/>
      <c r="Q1179" s="364"/>
      <c r="R1179" s="129"/>
      <c r="S1179" s="129"/>
      <c r="T1179" s="129"/>
      <c r="W1179" s="129" t="s">
        <v>4876</v>
      </c>
      <c r="X1179" s="337" t="b">
        <f t="shared" si="51"/>
        <v>0</v>
      </c>
    </row>
    <row r="1180" spans="1:24" s="337" customFormat="1" ht="12" customHeight="1" outlineLevel="1">
      <c r="A1180" s="335"/>
      <c r="B1180" s="118" t="s">
        <v>12</v>
      </c>
      <c r="C1180" s="334" t="s">
        <v>7161</v>
      </c>
      <c r="D1180" s="124" t="s">
        <v>7162</v>
      </c>
      <c r="E1180" s="125"/>
      <c r="F1180" s="118" t="s">
        <v>433</v>
      </c>
      <c r="G1180" s="126" t="s">
        <v>7093</v>
      </c>
      <c r="H1180" s="255">
        <v>1</v>
      </c>
      <c r="I1180" s="361">
        <v>1</v>
      </c>
      <c r="J1180" s="362" t="s">
        <v>286</v>
      </c>
      <c r="K1180" s="363"/>
      <c r="L1180" s="129"/>
      <c r="M1180" s="129"/>
      <c r="N1180" s="129"/>
      <c r="O1180" s="129"/>
      <c r="P1180" s="364"/>
      <c r="Q1180" s="364"/>
      <c r="R1180" s="129"/>
      <c r="S1180" s="129"/>
      <c r="T1180" s="129"/>
      <c r="W1180" s="129" t="s">
        <v>4876</v>
      </c>
      <c r="X1180" s="337" t="b">
        <f t="shared" si="51"/>
        <v>0</v>
      </c>
    </row>
    <row r="1181" spans="1:24" s="337" customFormat="1" ht="12" customHeight="1" outlineLevel="1">
      <c r="A1181" s="335"/>
      <c r="B1181" s="118" t="s">
        <v>12</v>
      </c>
      <c r="C1181" s="334" t="s">
        <v>7163</v>
      </c>
      <c r="D1181" s="124" t="s">
        <v>7164</v>
      </c>
      <c r="E1181" s="125"/>
      <c r="F1181" s="118" t="s">
        <v>433</v>
      </c>
      <c r="G1181" s="126" t="s">
        <v>7093</v>
      </c>
      <c r="H1181" s="255">
        <v>1</v>
      </c>
      <c r="I1181" s="361">
        <v>1</v>
      </c>
      <c r="J1181" s="362" t="s">
        <v>6067</v>
      </c>
      <c r="K1181" s="363"/>
      <c r="L1181" s="129"/>
      <c r="M1181" s="129"/>
      <c r="N1181" s="129"/>
      <c r="O1181" s="129"/>
      <c r="P1181" s="364"/>
      <c r="Q1181" s="364"/>
      <c r="R1181" s="129"/>
      <c r="S1181" s="129"/>
      <c r="T1181" s="129"/>
      <c r="W1181" s="129" t="s">
        <v>4876</v>
      </c>
      <c r="X1181" s="337" t="b">
        <f t="shared" si="51"/>
        <v>0</v>
      </c>
    </row>
    <row r="1182" spans="1:24" s="337" customFormat="1" ht="12" customHeight="1" outlineLevel="1">
      <c r="A1182" s="335"/>
      <c r="B1182" s="118" t="s">
        <v>12</v>
      </c>
      <c r="C1182" s="334" t="s">
        <v>7165</v>
      </c>
      <c r="D1182" s="124" t="s">
        <v>7166</v>
      </c>
      <c r="E1182" s="125"/>
      <c r="F1182" s="118" t="s">
        <v>433</v>
      </c>
      <c r="G1182" s="126" t="s">
        <v>7093</v>
      </c>
      <c r="H1182" s="255">
        <v>1</v>
      </c>
      <c r="I1182" s="361">
        <v>1</v>
      </c>
      <c r="J1182" s="362" t="s">
        <v>6067</v>
      </c>
      <c r="K1182" s="363"/>
      <c r="L1182" s="129"/>
      <c r="M1182" s="129"/>
      <c r="N1182" s="129"/>
      <c r="O1182" s="129"/>
      <c r="P1182" s="364"/>
      <c r="Q1182" s="364"/>
      <c r="R1182" s="129"/>
      <c r="S1182" s="129"/>
      <c r="T1182" s="129"/>
      <c r="W1182" s="129" t="s">
        <v>4876</v>
      </c>
      <c r="X1182" s="337" t="b">
        <f t="shared" si="51"/>
        <v>0</v>
      </c>
    </row>
    <row r="1183" spans="1:24" s="337" customFormat="1" ht="12" customHeight="1" outlineLevel="1">
      <c r="A1183" s="335"/>
      <c r="B1183" s="118" t="s">
        <v>12</v>
      </c>
      <c r="C1183" s="334" t="s">
        <v>7167</v>
      </c>
      <c r="D1183" s="124" t="s">
        <v>7168</v>
      </c>
      <c r="E1183" s="125"/>
      <c r="F1183" s="118" t="s">
        <v>433</v>
      </c>
      <c r="G1183" s="126" t="s">
        <v>7093</v>
      </c>
      <c r="H1183" s="255">
        <v>1</v>
      </c>
      <c r="I1183" s="361">
        <v>1</v>
      </c>
      <c r="J1183" s="362" t="s">
        <v>6067</v>
      </c>
      <c r="K1183" s="363"/>
      <c r="L1183" s="129"/>
      <c r="M1183" s="129"/>
      <c r="N1183" s="129"/>
      <c r="O1183" s="129"/>
      <c r="P1183" s="364"/>
      <c r="Q1183" s="364"/>
      <c r="R1183" s="129"/>
      <c r="S1183" s="129"/>
      <c r="T1183" s="129"/>
      <c r="W1183" s="129" t="s">
        <v>4876</v>
      </c>
      <c r="X1183" s="337" t="b">
        <f t="shared" si="51"/>
        <v>0</v>
      </c>
    </row>
    <row r="1184" spans="1:24" s="337" customFormat="1" ht="12" customHeight="1" outlineLevel="1">
      <c r="A1184" s="335"/>
      <c r="B1184" s="118" t="s">
        <v>12</v>
      </c>
      <c r="C1184" s="334" t="s">
        <v>7169</v>
      </c>
      <c r="D1184" s="124" t="s">
        <v>7170</v>
      </c>
      <c r="E1184" s="125"/>
      <c r="F1184" s="118" t="s">
        <v>433</v>
      </c>
      <c r="G1184" s="126" t="s">
        <v>7093</v>
      </c>
      <c r="H1184" s="255">
        <v>1</v>
      </c>
      <c r="I1184" s="361">
        <v>1</v>
      </c>
      <c r="J1184" s="362" t="s">
        <v>6147</v>
      </c>
      <c r="K1184" s="363"/>
      <c r="L1184" s="129"/>
      <c r="M1184" s="129"/>
      <c r="N1184" s="129"/>
      <c r="O1184" s="129"/>
      <c r="P1184" s="364"/>
      <c r="Q1184" s="364"/>
      <c r="R1184" s="129"/>
      <c r="S1184" s="129"/>
      <c r="T1184" s="129"/>
      <c r="W1184" s="129" t="s">
        <v>4876</v>
      </c>
      <c r="X1184" s="337" t="b">
        <f t="shared" si="51"/>
        <v>0</v>
      </c>
    </row>
    <row r="1185" spans="1:24" s="337" customFormat="1" ht="12" customHeight="1" outlineLevel="1">
      <c r="A1185" s="335"/>
      <c r="B1185" s="118" t="s">
        <v>12</v>
      </c>
      <c r="C1185" s="334" t="s">
        <v>7171</v>
      </c>
      <c r="D1185" s="124" t="s">
        <v>7172</v>
      </c>
      <c r="E1185" s="125"/>
      <c r="F1185" s="118" t="s">
        <v>433</v>
      </c>
      <c r="G1185" s="126" t="s">
        <v>7093</v>
      </c>
      <c r="H1185" s="255">
        <v>1</v>
      </c>
      <c r="I1185" s="361">
        <v>1</v>
      </c>
      <c r="J1185" s="362" t="s">
        <v>6068</v>
      </c>
      <c r="K1185" s="363"/>
      <c r="L1185" s="129"/>
      <c r="M1185" s="129"/>
      <c r="N1185" s="129"/>
      <c r="O1185" s="129"/>
      <c r="P1185" s="364"/>
      <c r="Q1185" s="364"/>
      <c r="R1185" s="129"/>
      <c r="S1185" s="129"/>
      <c r="T1185" s="129"/>
      <c r="W1185" s="129" t="s">
        <v>4876</v>
      </c>
      <c r="X1185" s="337" t="b">
        <f t="shared" si="51"/>
        <v>0</v>
      </c>
    </row>
    <row r="1186" spans="1:24" s="337" customFormat="1" ht="12" customHeight="1" outlineLevel="1">
      <c r="A1186" s="335"/>
      <c r="B1186" s="118" t="s">
        <v>12</v>
      </c>
      <c r="C1186" s="334" t="s">
        <v>7173</v>
      </c>
      <c r="D1186" s="124" t="s">
        <v>7174</v>
      </c>
      <c r="E1186" s="125"/>
      <c r="F1186" s="118" t="s">
        <v>433</v>
      </c>
      <c r="G1186" s="126" t="s">
        <v>7093</v>
      </c>
      <c r="H1186" s="255">
        <v>1</v>
      </c>
      <c r="I1186" s="361">
        <v>1</v>
      </c>
      <c r="J1186" s="362" t="s">
        <v>6067</v>
      </c>
      <c r="K1186" s="363"/>
      <c r="L1186" s="129"/>
      <c r="M1186" s="129"/>
      <c r="N1186" s="129"/>
      <c r="O1186" s="129"/>
      <c r="P1186" s="364"/>
      <c r="Q1186" s="364"/>
      <c r="R1186" s="129"/>
      <c r="S1186" s="129"/>
      <c r="T1186" s="129"/>
      <c r="W1186" s="129" t="s">
        <v>4876</v>
      </c>
      <c r="X1186" s="337" t="b">
        <f t="shared" si="51"/>
        <v>0</v>
      </c>
    </row>
    <row r="1187" spans="1:24" s="337" customFormat="1" ht="12" customHeight="1" outlineLevel="1">
      <c r="A1187" s="335"/>
      <c r="B1187" s="118" t="s">
        <v>12</v>
      </c>
      <c r="C1187" s="334" t="s">
        <v>7175</v>
      </c>
      <c r="D1187" s="124" t="s">
        <v>7176</v>
      </c>
      <c r="E1187" s="125"/>
      <c r="F1187" s="118" t="s">
        <v>433</v>
      </c>
      <c r="G1187" s="126" t="s">
        <v>7093</v>
      </c>
      <c r="H1187" s="255">
        <v>1</v>
      </c>
      <c r="I1187" s="361">
        <v>1</v>
      </c>
      <c r="J1187" s="362" t="s">
        <v>743</v>
      </c>
      <c r="K1187" s="363"/>
      <c r="L1187" s="129"/>
      <c r="M1187" s="129"/>
      <c r="N1187" s="129"/>
      <c r="O1187" s="129"/>
      <c r="P1187" s="364"/>
      <c r="Q1187" s="364"/>
      <c r="R1187" s="129"/>
      <c r="S1187" s="129"/>
      <c r="T1187" s="129"/>
      <c r="W1187" s="129" t="s">
        <v>4876</v>
      </c>
      <c r="X1187" s="337" t="b">
        <f t="shared" si="51"/>
        <v>0</v>
      </c>
    </row>
    <row r="1188" spans="1:24" s="337" customFormat="1" ht="12" customHeight="1" outlineLevel="1">
      <c r="A1188" s="335"/>
      <c r="B1188" s="118" t="s">
        <v>12</v>
      </c>
      <c r="C1188" s="334" t="s">
        <v>7177</v>
      </c>
      <c r="D1188" s="124" t="s">
        <v>7178</v>
      </c>
      <c r="E1188" s="125"/>
      <c r="F1188" s="118" t="s">
        <v>433</v>
      </c>
      <c r="G1188" s="126" t="s">
        <v>7093</v>
      </c>
      <c r="H1188" s="255">
        <v>1</v>
      </c>
      <c r="I1188" s="361">
        <v>1</v>
      </c>
      <c r="J1188" s="362" t="s">
        <v>6148</v>
      </c>
      <c r="K1188" s="363"/>
      <c r="L1188" s="129"/>
      <c r="M1188" s="129"/>
      <c r="N1188" s="129"/>
      <c r="O1188" s="129"/>
      <c r="P1188" s="364"/>
      <c r="Q1188" s="364"/>
      <c r="R1188" s="129"/>
      <c r="S1188" s="129"/>
      <c r="T1188" s="129"/>
      <c r="W1188" s="129" t="s">
        <v>4876</v>
      </c>
      <c r="X1188" s="337" t="b">
        <f t="shared" si="51"/>
        <v>0</v>
      </c>
    </row>
    <row r="1189" spans="1:24" s="337" customFormat="1" ht="12" customHeight="1" outlineLevel="1">
      <c r="A1189" s="335"/>
      <c r="B1189" s="118" t="s">
        <v>12</v>
      </c>
      <c r="C1189" s="334" t="s">
        <v>7179</v>
      </c>
      <c r="D1189" s="124" t="s">
        <v>7180</v>
      </c>
      <c r="E1189" s="125"/>
      <c r="F1189" s="118" t="s">
        <v>433</v>
      </c>
      <c r="G1189" s="126" t="s">
        <v>7093</v>
      </c>
      <c r="H1189" s="255">
        <v>1</v>
      </c>
      <c r="I1189" s="361">
        <v>1</v>
      </c>
      <c r="J1189" s="362" t="s">
        <v>6067</v>
      </c>
      <c r="K1189" s="363"/>
      <c r="L1189" s="129"/>
      <c r="M1189" s="129"/>
      <c r="N1189" s="129"/>
      <c r="O1189" s="129"/>
      <c r="P1189" s="364"/>
      <c r="Q1189" s="364"/>
      <c r="R1189" s="129"/>
      <c r="S1189" s="129"/>
      <c r="T1189" s="129"/>
      <c r="W1189" s="129" t="s">
        <v>4876</v>
      </c>
      <c r="X1189" s="337" t="b">
        <f t="shared" si="51"/>
        <v>0</v>
      </c>
    </row>
    <row r="1190" spans="1:24" s="337" customFormat="1" ht="12" customHeight="1" outlineLevel="1">
      <c r="A1190" s="335"/>
      <c r="B1190" s="118" t="s">
        <v>12</v>
      </c>
      <c r="C1190" s="334" t="s">
        <v>7181</v>
      </c>
      <c r="D1190" s="124" t="s">
        <v>7182</v>
      </c>
      <c r="E1190" s="125"/>
      <c r="F1190" s="118" t="s">
        <v>433</v>
      </c>
      <c r="G1190" s="126" t="s">
        <v>7093</v>
      </c>
      <c r="H1190" s="255">
        <v>1</v>
      </c>
      <c r="I1190" s="361">
        <v>1</v>
      </c>
      <c r="J1190" s="362" t="s">
        <v>6147</v>
      </c>
      <c r="K1190" s="363"/>
      <c r="L1190" s="129"/>
      <c r="M1190" s="129"/>
      <c r="N1190" s="129"/>
      <c r="O1190" s="129"/>
      <c r="P1190" s="364"/>
      <c r="Q1190" s="364"/>
      <c r="R1190" s="129"/>
      <c r="S1190" s="129"/>
      <c r="T1190" s="129"/>
      <c r="W1190" s="129" t="s">
        <v>4876</v>
      </c>
      <c r="X1190" s="337" t="b">
        <f t="shared" si="51"/>
        <v>0</v>
      </c>
    </row>
    <row r="1191" spans="1:24" s="337" customFormat="1" ht="12" customHeight="1" outlineLevel="1">
      <c r="A1191" s="335"/>
      <c r="B1191" s="118" t="s">
        <v>12</v>
      </c>
      <c r="C1191" s="334" t="s">
        <v>7183</v>
      </c>
      <c r="D1191" s="124" t="s">
        <v>7184</v>
      </c>
      <c r="E1191" s="125"/>
      <c r="F1191" s="118" t="s">
        <v>433</v>
      </c>
      <c r="G1191" s="126" t="s">
        <v>7093</v>
      </c>
      <c r="H1191" s="255">
        <v>1</v>
      </c>
      <c r="I1191" s="361">
        <v>1</v>
      </c>
      <c r="J1191" s="362" t="s">
        <v>6067</v>
      </c>
      <c r="K1191" s="363"/>
      <c r="L1191" s="129"/>
      <c r="M1191" s="129"/>
      <c r="N1191" s="129"/>
      <c r="O1191" s="129"/>
      <c r="P1191" s="364"/>
      <c r="Q1191" s="364"/>
      <c r="R1191" s="129"/>
      <c r="S1191" s="129"/>
      <c r="T1191" s="129"/>
      <c r="W1191" s="129" t="s">
        <v>4876</v>
      </c>
      <c r="X1191" s="337" t="b">
        <f t="shared" si="51"/>
        <v>0</v>
      </c>
    </row>
    <row r="1192" spans="1:24" s="337" customFormat="1" ht="12" customHeight="1" outlineLevel="1">
      <c r="A1192" s="335"/>
      <c r="B1192" s="118" t="s">
        <v>12</v>
      </c>
      <c r="C1192" s="334" t="s">
        <v>7185</v>
      </c>
      <c r="D1192" s="124" t="s">
        <v>7186</v>
      </c>
      <c r="E1192" s="125"/>
      <c r="F1192" s="118" t="s">
        <v>433</v>
      </c>
      <c r="G1192" s="126" t="s">
        <v>7093</v>
      </c>
      <c r="H1192" s="255">
        <v>1</v>
      </c>
      <c r="I1192" s="361">
        <v>1</v>
      </c>
      <c r="J1192" s="362" t="s">
        <v>6147</v>
      </c>
      <c r="K1192" s="363"/>
      <c r="L1192" s="129"/>
      <c r="M1192" s="129"/>
      <c r="N1192" s="129"/>
      <c r="O1192" s="129"/>
      <c r="P1192" s="364"/>
      <c r="Q1192" s="364"/>
      <c r="R1192" s="129"/>
      <c r="S1192" s="129"/>
      <c r="T1192" s="129"/>
      <c r="W1192" s="129" t="s">
        <v>4876</v>
      </c>
      <c r="X1192" s="337" t="b">
        <f t="shared" si="51"/>
        <v>0</v>
      </c>
    </row>
    <row r="1193" spans="1:24" s="337" customFormat="1" ht="12" customHeight="1" outlineLevel="1">
      <c r="A1193" s="335"/>
      <c r="B1193" s="118" t="s">
        <v>12</v>
      </c>
      <c r="C1193" s="334" t="s">
        <v>7187</v>
      </c>
      <c r="D1193" s="124" t="s">
        <v>7188</v>
      </c>
      <c r="E1193" s="125"/>
      <c r="F1193" s="118" t="s">
        <v>433</v>
      </c>
      <c r="G1193" s="126" t="s">
        <v>7093</v>
      </c>
      <c r="H1193" s="255">
        <v>1</v>
      </c>
      <c r="I1193" s="361">
        <v>1</v>
      </c>
      <c r="J1193" s="362" t="s">
        <v>6068</v>
      </c>
      <c r="K1193" s="363"/>
      <c r="L1193" s="129"/>
      <c r="M1193" s="129"/>
      <c r="N1193" s="129"/>
      <c r="O1193" s="129"/>
      <c r="P1193" s="364"/>
      <c r="Q1193" s="364"/>
      <c r="R1193" s="129"/>
      <c r="S1193" s="129"/>
      <c r="T1193" s="129"/>
      <c r="W1193" s="129" t="s">
        <v>4876</v>
      </c>
      <c r="X1193" s="337" t="b">
        <f t="shared" si="51"/>
        <v>0</v>
      </c>
    </row>
    <row r="1194" spans="1:24" s="337" customFormat="1" ht="12" customHeight="1" outlineLevel="1">
      <c r="A1194" s="335"/>
      <c r="B1194" s="118" t="s">
        <v>12</v>
      </c>
      <c r="C1194" s="334" t="s">
        <v>7189</v>
      </c>
      <c r="D1194" s="124" t="s">
        <v>7190</v>
      </c>
      <c r="E1194" s="125"/>
      <c r="F1194" s="118" t="s">
        <v>433</v>
      </c>
      <c r="G1194" s="126" t="s">
        <v>7093</v>
      </c>
      <c r="H1194" s="255">
        <v>1</v>
      </c>
      <c r="I1194" s="361">
        <v>1</v>
      </c>
      <c r="J1194" s="362" t="s">
        <v>6068</v>
      </c>
      <c r="K1194" s="363"/>
      <c r="L1194" s="129"/>
      <c r="M1194" s="129"/>
      <c r="N1194" s="129"/>
      <c r="O1194" s="129"/>
      <c r="P1194" s="364"/>
      <c r="Q1194" s="364"/>
      <c r="R1194" s="129"/>
      <c r="S1194" s="129"/>
      <c r="T1194" s="129"/>
      <c r="W1194" s="129" t="s">
        <v>4876</v>
      </c>
      <c r="X1194" s="337" t="b">
        <f t="shared" si="51"/>
        <v>0</v>
      </c>
    </row>
    <row r="1195" spans="1:24" s="337" customFormat="1" ht="12" customHeight="1" outlineLevel="1">
      <c r="A1195" s="335"/>
      <c r="B1195" s="118" t="s">
        <v>12</v>
      </c>
      <c r="C1195" s="334" t="s">
        <v>7191</v>
      </c>
      <c r="D1195" s="124" t="s">
        <v>7192</v>
      </c>
      <c r="E1195" s="125"/>
      <c r="F1195" s="118" t="s">
        <v>433</v>
      </c>
      <c r="G1195" s="126" t="s">
        <v>7093</v>
      </c>
      <c r="H1195" s="255">
        <v>1</v>
      </c>
      <c r="I1195" s="361">
        <v>1</v>
      </c>
      <c r="J1195" s="362" t="s">
        <v>6147</v>
      </c>
      <c r="K1195" s="363"/>
      <c r="L1195" s="129"/>
      <c r="M1195" s="129"/>
      <c r="N1195" s="129"/>
      <c r="O1195" s="129"/>
      <c r="P1195" s="364"/>
      <c r="Q1195" s="364"/>
      <c r="R1195" s="129"/>
      <c r="S1195" s="129"/>
      <c r="T1195" s="129"/>
      <c r="W1195" s="129" t="s">
        <v>4876</v>
      </c>
      <c r="X1195" s="337" t="b">
        <f t="shared" si="51"/>
        <v>0</v>
      </c>
    </row>
    <row r="1196" spans="1:24" s="337" customFormat="1" ht="12" customHeight="1" outlineLevel="1">
      <c r="A1196" s="335"/>
      <c r="B1196" s="118" t="s">
        <v>12</v>
      </c>
      <c r="C1196" s="334" t="s">
        <v>7193</v>
      </c>
      <c r="D1196" s="124" t="s">
        <v>7194</v>
      </c>
      <c r="E1196" s="125"/>
      <c r="F1196" s="118" t="s">
        <v>433</v>
      </c>
      <c r="G1196" s="126" t="s">
        <v>7093</v>
      </c>
      <c r="H1196" s="255">
        <v>1</v>
      </c>
      <c r="I1196" s="361">
        <v>1</v>
      </c>
      <c r="J1196" s="362" t="s">
        <v>6147</v>
      </c>
      <c r="K1196" s="363"/>
      <c r="L1196" s="129"/>
      <c r="M1196" s="129"/>
      <c r="N1196" s="129"/>
      <c r="O1196" s="129"/>
      <c r="P1196" s="364"/>
      <c r="Q1196" s="364"/>
      <c r="R1196" s="129"/>
      <c r="S1196" s="129"/>
      <c r="T1196" s="129"/>
      <c r="W1196" s="129" t="s">
        <v>4876</v>
      </c>
      <c r="X1196" s="337" t="b">
        <f t="shared" si="51"/>
        <v>0</v>
      </c>
    </row>
    <row r="1197" spans="1:24" s="337" customFormat="1" ht="12" customHeight="1" outlineLevel="1">
      <c r="A1197" s="335"/>
      <c r="B1197" s="118" t="s">
        <v>12</v>
      </c>
      <c r="C1197" s="334" t="s">
        <v>7195</v>
      </c>
      <c r="D1197" s="124" t="s">
        <v>7196</v>
      </c>
      <c r="E1197" s="125"/>
      <c r="F1197" s="118" t="s">
        <v>433</v>
      </c>
      <c r="G1197" s="126" t="s">
        <v>7093</v>
      </c>
      <c r="H1197" s="255">
        <v>1</v>
      </c>
      <c r="I1197" s="361">
        <v>1</v>
      </c>
      <c r="J1197" s="362" t="s">
        <v>6147</v>
      </c>
      <c r="K1197" s="363"/>
      <c r="L1197" s="129"/>
      <c r="M1197" s="129"/>
      <c r="N1197" s="129"/>
      <c r="O1197" s="129"/>
      <c r="P1197" s="364"/>
      <c r="Q1197" s="364"/>
      <c r="R1197" s="129"/>
      <c r="S1197" s="129"/>
      <c r="T1197" s="129"/>
      <c r="W1197" s="129" t="s">
        <v>4876</v>
      </c>
      <c r="X1197" s="337" t="b">
        <f t="shared" si="51"/>
        <v>0</v>
      </c>
    </row>
    <row r="1198" spans="1:24" s="337" customFormat="1" ht="12" customHeight="1" outlineLevel="1">
      <c r="A1198" s="335"/>
      <c r="B1198" s="118" t="s">
        <v>12</v>
      </c>
      <c r="C1198" s="334" t="s">
        <v>7197</v>
      </c>
      <c r="D1198" s="124" t="s">
        <v>7198</v>
      </c>
      <c r="E1198" s="125"/>
      <c r="F1198" s="118" t="s">
        <v>433</v>
      </c>
      <c r="G1198" s="126" t="s">
        <v>7093</v>
      </c>
      <c r="H1198" s="255">
        <v>1</v>
      </c>
      <c r="I1198" s="361">
        <v>1</v>
      </c>
      <c r="J1198" s="362" t="s">
        <v>6067</v>
      </c>
      <c r="K1198" s="363"/>
      <c r="L1198" s="129"/>
      <c r="M1198" s="129"/>
      <c r="N1198" s="129"/>
      <c r="O1198" s="129"/>
      <c r="P1198" s="364"/>
      <c r="Q1198" s="364"/>
      <c r="R1198" s="129"/>
      <c r="S1198" s="129"/>
      <c r="T1198" s="129"/>
      <c r="W1198" s="129" t="s">
        <v>4876</v>
      </c>
      <c r="X1198" s="337" t="b">
        <f t="shared" si="51"/>
        <v>0</v>
      </c>
    </row>
    <row r="1199" spans="1:24" s="337" customFormat="1" ht="12" customHeight="1" outlineLevel="1">
      <c r="A1199" s="335"/>
      <c r="B1199" s="118" t="s">
        <v>12</v>
      </c>
      <c r="C1199" s="334" t="s">
        <v>7199</v>
      </c>
      <c r="D1199" s="124" t="s">
        <v>7200</v>
      </c>
      <c r="E1199" s="125"/>
      <c r="F1199" s="118" t="s">
        <v>433</v>
      </c>
      <c r="G1199" s="126" t="s">
        <v>7093</v>
      </c>
      <c r="H1199" s="255">
        <v>1</v>
      </c>
      <c r="I1199" s="361">
        <v>1</v>
      </c>
      <c r="J1199" s="362" t="s">
        <v>6067</v>
      </c>
      <c r="K1199" s="363"/>
      <c r="L1199" s="129"/>
      <c r="M1199" s="129"/>
      <c r="N1199" s="129"/>
      <c r="O1199" s="129"/>
      <c r="P1199" s="364"/>
      <c r="Q1199" s="364"/>
      <c r="R1199" s="129"/>
      <c r="S1199" s="129"/>
      <c r="T1199" s="129"/>
      <c r="W1199" s="129" t="s">
        <v>4876</v>
      </c>
      <c r="X1199" s="337" t="b">
        <f t="shared" si="51"/>
        <v>0</v>
      </c>
    </row>
    <row r="1200" spans="1:24" s="337" customFormat="1" ht="12" customHeight="1" outlineLevel="1">
      <c r="A1200" s="335"/>
      <c r="B1200" s="118" t="s">
        <v>12</v>
      </c>
      <c r="C1200" s="334" t="s">
        <v>7201</v>
      </c>
      <c r="D1200" s="124" t="s">
        <v>7202</v>
      </c>
      <c r="E1200" s="125"/>
      <c r="F1200" s="118" t="s">
        <v>433</v>
      </c>
      <c r="G1200" s="126" t="s">
        <v>7093</v>
      </c>
      <c r="H1200" s="255">
        <v>1</v>
      </c>
      <c r="I1200" s="361">
        <v>1</v>
      </c>
      <c r="J1200" s="362" t="s">
        <v>6147</v>
      </c>
      <c r="K1200" s="363"/>
      <c r="L1200" s="129"/>
      <c r="M1200" s="129"/>
      <c r="N1200" s="129"/>
      <c r="O1200" s="129"/>
      <c r="P1200" s="364"/>
      <c r="Q1200" s="364"/>
      <c r="R1200" s="129"/>
      <c r="S1200" s="129"/>
      <c r="T1200" s="129"/>
      <c r="W1200" s="129" t="s">
        <v>4876</v>
      </c>
      <c r="X1200" s="337" t="b">
        <f t="shared" si="51"/>
        <v>0</v>
      </c>
    </row>
    <row r="1201" spans="1:24" s="337" customFormat="1" ht="12" customHeight="1" outlineLevel="1">
      <c r="A1201" s="335"/>
      <c r="B1201" s="118" t="s">
        <v>12</v>
      </c>
      <c r="C1201" s="334" t="s">
        <v>7203</v>
      </c>
      <c r="D1201" s="124" t="s">
        <v>7204</v>
      </c>
      <c r="E1201" s="125"/>
      <c r="F1201" s="118" t="s">
        <v>433</v>
      </c>
      <c r="G1201" s="126" t="s">
        <v>7093</v>
      </c>
      <c r="H1201" s="255">
        <v>1</v>
      </c>
      <c r="I1201" s="361">
        <v>1</v>
      </c>
      <c r="J1201" s="362" t="s">
        <v>6067</v>
      </c>
      <c r="K1201" s="363"/>
      <c r="L1201" s="129"/>
      <c r="M1201" s="129"/>
      <c r="N1201" s="129"/>
      <c r="O1201" s="129"/>
      <c r="P1201" s="364"/>
      <c r="Q1201" s="364"/>
      <c r="R1201" s="129"/>
      <c r="S1201" s="129"/>
      <c r="T1201" s="129"/>
      <c r="W1201" s="129" t="s">
        <v>4876</v>
      </c>
      <c r="X1201" s="337" t="b">
        <f t="shared" si="51"/>
        <v>0</v>
      </c>
    </row>
    <row r="1202" spans="1:24" s="337" customFormat="1" ht="12" customHeight="1" outlineLevel="1">
      <c r="A1202" s="335"/>
      <c r="B1202" s="118" t="s">
        <v>12</v>
      </c>
      <c r="C1202" s="334" t="s">
        <v>7205</v>
      </c>
      <c r="D1202" s="124" t="s">
        <v>7206</v>
      </c>
      <c r="E1202" s="125"/>
      <c r="F1202" s="118" t="s">
        <v>433</v>
      </c>
      <c r="G1202" s="126" t="s">
        <v>7093</v>
      </c>
      <c r="H1202" s="255">
        <v>1</v>
      </c>
      <c r="I1202" s="361">
        <v>1</v>
      </c>
      <c r="J1202" s="362" t="s">
        <v>6147</v>
      </c>
      <c r="K1202" s="363"/>
      <c r="L1202" s="129"/>
      <c r="M1202" s="129"/>
      <c r="N1202" s="129"/>
      <c r="O1202" s="129"/>
      <c r="P1202" s="364"/>
      <c r="Q1202" s="364"/>
      <c r="R1202" s="129"/>
      <c r="S1202" s="129"/>
      <c r="T1202" s="129"/>
      <c r="W1202" s="129" t="s">
        <v>4876</v>
      </c>
      <c r="X1202" s="337" t="b">
        <f t="shared" si="51"/>
        <v>0</v>
      </c>
    </row>
    <row r="1203" spans="1:24" s="337" customFormat="1" ht="12" customHeight="1" outlineLevel="1">
      <c r="A1203" s="335"/>
      <c r="B1203" s="118" t="s">
        <v>12</v>
      </c>
      <c r="C1203" s="334" t="s">
        <v>7207</v>
      </c>
      <c r="D1203" s="124" t="s">
        <v>7208</v>
      </c>
      <c r="E1203" s="125"/>
      <c r="F1203" s="118" t="s">
        <v>433</v>
      </c>
      <c r="G1203" s="126" t="s">
        <v>7093</v>
      </c>
      <c r="H1203" s="255">
        <v>1</v>
      </c>
      <c r="I1203" s="361">
        <v>1</v>
      </c>
      <c r="J1203" s="362" t="s">
        <v>325</v>
      </c>
      <c r="K1203" s="363"/>
      <c r="L1203" s="129"/>
      <c r="M1203" s="129"/>
      <c r="N1203" s="129"/>
      <c r="O1203" s="129"/>
      <c r="P1203" s="364"/>
      <c r="Q1203" s="364"/>
      <c r="R1203" s="129"/>
      <c r="S1203" s="129"/>
      <c r="T1203" s="129"/>
      <c r="W1203" s="129" t="s">
        <v>4876</v>
      </c>
      <c r="X1203" s="337" t="b">
        <f t="shared" si="51"/>
        <v>0</v>
      </c>
    </row>
    <row r="1204" spans="1:24" s="337" customFormat="1" ht="12" customHeight="1" outlineLevel="1">
      <c r="A1204" s="335"/>
      <c r="B1204" s="118" t="s">
        <v>12</v>
      </c>
      <c r="C1204" s="334" t="s">
        <v>7209</v>
      </c>
      <c r="D1204" s="124" t="s">
        <v>7210</v>
      </c>
      <c r="E1204" s="125"/>
      <c r="F1204" s="118" t="s">
        <v>433</v>
      </c>
      <c r="G1204" s="126" t="s">
        <v>7093</v>
      </c>
      <c r="H1204" s="255">
        <v>1</v>
      </c>
      <c r="I1204" s="361">
        <v>1</v>
      </c>
      <c r="J1204" s="362" t="s">
        <v>307</v>
      </c>
      <c r="K1204" s="363"/>
      <c r="L1204" s="129"/>
      <c r="M1204" s="129"/>
      <c r="N1204" s="129"/>
      <c r="O1204" s="129"/>
      <c r="P1204" s="364"/>
      <c r="Q1204" s="364"/>
      <c r="R1204" s="129"/>
      <c r="S1204" s="129"/>
      <c r="T1204" s="129"/>
      <c r="W1204" s="129" t="s">
        <v>4876</v>
      </c>
      <c r="X1204" s="337" t="b">
        <f t="shared" si="51"/>
        <v>0</v>
      </c>
    </row>
    <row r="1205" spans="1:24" s="337" customFormat="1" ht="12" customHeight="1" outlineLevel="1">
      <c r="A1205" s="335"/>
      <c r="B1205" s="118" t="s">
        <v>12</v>
      </c>
      <c r="C1205" s="334" t="s">
        <v>7211</v>
      </c>
      <c r="D1205" s="124" t="s">
        <v>7212</v>
      </c>
      <c r="E1205" s="125"/>
      <c r="F1205" s="118" t="s">
        <v>433</v>
      </c>
      <c r="G1205" s="126" t="s">
        <v>7093</v>
      </c>
      <c r="H1205" s="255">
        <v>1</v>
      </c>
      <c r="I1205" s="361">
        <v>1</v>
      </c>
      <c r="J1205" s="362" t="s">
        <v>6147</v>
      </c>
      <c r="K1205" s="363"/>
      <c r="L1205" s="129"/>
      <c r="M1205" s="129"/>
      <c r="N1205" s="129"/>
      <c r="O1205" s="129"/>
      <c r="P1205" s="364"/>
      <c r="Q1205" s="364"/>
      <c r="R1205" s="129"/>
      <c r="S1205" s="129"/>
      <c r="T1205" s="129"/>
      <c r="W1205" s="129" t="s">
        <v>4876</v>
      </c>
      <c r="X1205" s="337" t="b">
        <f t="shared" si="51"/>
        <v>0</v>
      </c>
    </row>
    <row r="1206" spans="1:24" s="337" customFormat="1" ht="12" customHeight="1" outlineLevel="1">
      <c r="A1206" s="335"/>
      <c r="B1206" s="118" t="s">
        <v>12</v>
      </c>
      <c r="C1206" s="334" t="s">
        <v>7213</v>
      </c>
      <c r="D1206" s="124" t="s">
        <v>7214</v>
      </c>
      <c r="E1206" s="125"/>
      <c r="F1206" s="118" t="s">
        <v>433</v>
      </c>
      <c r="G1206" s="126" t="s">
        <v>7093</v>
      </c>
      <c r="H1206" s="255">
        <v>1</v>
      </c>
      <c r="I1206" s="361">
        <v>1</v>
      </c>
      <c r="J1206" s="362" t="s">
        <v>6148</v>
      </c>
      <c r="K1206" s="363"/>
      <c r="L1206" s="129"/>
      <c r="M1206" s="129"/>
      <c r="N1206" s="129"/>
      <c r="O1206" s="129"/>
      <c r="P1206" s="364"/>
      <c r="Q1206" s="364"/>
      <c r="R1206" s="129"/>
      <c r="S1206" s="129"/>
      <c r="T1206" s="129"/>
      <c r="W1206" s="129" t="s">
        <v>4876</v>
      </c>
      <c r="X1206" s="337" t="b">
        <f t="shared" si="51"/>
        <v>0</v>
      </c>
    </row>
    <row r="1207" spans="1:24" s="337" customFormat="1" ht="12" customHeight="1" outlineLevel="1">
      <c r="A1207" s="335"/>
      <c r="B1207" s="118" t="s">
        <v>12</v>
      </c>
      <c r="C1207" s="334" t="s">
        <v>7215</v>
      </c>
      <c r="D1207" s="124" t="s">
        <v>7216</v>
      </c>
      <c r="E1207" s="125"/>
      <c r="F1207" s="118" t="s">
        <v>433</v>
      </c>
      <c r="G1207" s="126" t="s">
        <v>7093</v>
      </c>
      <c r="H1207" s="255">
        <v>1</v>
      </c>
      <c r="I1207" s="361">
        <v>1</v>
      </c>
      <c r="J1207" s="362" t="s">
        <v>307</v>
      </c>
      <c r="K1207" s="363"/>
      <c r="L1207" s="129"/>
      <c r="M1207" s="129"/>
      <c r="N1207" s="129"/>
      <c r="O1207" s="129"/>
      <c r="P1207" s="364"/>
      <c r="Q1207" s="364"/>
      <c r="R1207" s="129"/>
      <c r="S1207" s="129"/>
      <c r="T1207" s="129"/>
      <c r="W1207" s="129" t="s">
        <v>4876</v>
      </c>
      <c r="X1207" s="337" t="b">
        <f t="shared" si="51"/>
        <v>0</v>
      </c>
    </row>
    <row r="1208" spans="1:24" s="337" customFormat="1" ht="12" customHeight="1" outlineLevel="1">
      <c r="A1208" s="335"/>
      <c r="B1208" s="118" t="s">
        <v>12</v>
      </c>
      <c r="C1208" s="334" t="s">
        <v>7217</v>
      </c>
      <c r="D1208" s="124" t="s">
        <v>7218</v>
      </c>
      <c r="E1208" s="125"/>
      <c r="F1208" s="118" t="s">
        <v>433</v>
      </c>
      <c r="G1208" s="126" t="s">
        <v>7093</v>
      </c>
      <c r="H1208" s="255">
        <v>1</v>
      </c>
      <c r="I1208" s="361">
        <v>1</v>
      </c>
      <c r="J1208" s="362" t="s">
        <v>307</v>
      </c>
      <c r="K1208" s="363"/>
      <c r="L1208" s="129"/>
      <c r="M1208" s="129"/>
      <c r="N1208" s="129"/>
      <c r="O1208" s="129"/>
      <c r="P1208" s="364"/>
      <c r="Q1208" s="364"/>
      <c r="R1208" s="129"/>
      <c r="S1208" s="129"/>
      <c r="T1208" s="129"/>
      <c r="W1208" s="129" t="s">
        <v>4876</v>
      </c>
      <c r="X1208" s="337" t="b">
        <f t="shared" si="51"/>
        <v>0</v>
      </c>
    </row>
    <row r="1209" spans="1:24" s="337" customFormat="1" ht="12" customHeight="1" outlineLevel="1">
      <c r="A1209" s="335"/>
      <c r="B1209" s="118" t="s">
        <v>12</v>
      </c>
      <c r="C1209" s="334" t="s">
        <v>7219</v>
      </c>
      <c r="D1209" s="124" t="s">
        <v>7220</v>
      </c>
      <c r="E1209" s="125"/>
      <c r="F1209" s="118" t="s">
        <v>433</v>
      </c>
      <c r="G1209" s="126" t="s">
        <v>7093</v>
      </c>
      <c r="H1209" s="255">
        <v>1</v>
      </c>
      <c r="I1209" s="361">
        <v>1</v>
      </c>
      <c r="J1209" s="362" t="s">
        <v>307</v>
      </c>
      <c r="K1209" s="363"/>
      <c r="L1209" s="129"/>
      <c r="M1209" s="129"/>
      <c r="N1209" s="129"/>
      <c r="O1209" s="129"/>
      <c r="P1209" s="364"/>
      <c r="Q1209" s="364"/>
      <c r="R1209" s="129"/>
      <c r="S1209" s="129"/>
      <c r="T1209" s="129"/>
      <c r="W1209" s="129" t="s">
        <v>4876</v>
      </c>
      <c r="X1209" s="337" t="b">
        <f t="shared" si="51"/>
        <v>0</v>
      </c>
    </row>
    <row r="1210" spans="1:24" s="337" customFormat="1" ht="12" customHeight="1" outlineLevel="1">
      <c r="A1210" s="335"/>
      <c r="B1210" s="118" t="s">
        <v>12</v>
      </c>
      <c r="C1210" s="334" t="s">
        <v>7221</v>
      </c>
      <c r="D1210" s="124" t="s">
        <v>7222</v>
      </c>
      <c r="E1210" s="125"/>
      <c r="F1210" s="118" t="s">
        <v>433</v>
      </c>
      <c r="G1210" s="126" t="s">
        <v>7093</v>
      </c>
      <c r="H1210" s="255">
        <v>1</v>
      </c>
      <c r="I1210" s="361">
        <v>1</v>
      </c>
      <c r="J1210" s="362" t="s">
        <v>6147</v>
      </c>
      <c r="K1210" s="363"/>
      <c r="L1210" s="129"/>
      <c r="M1210" s="129"/>
      <c r="N1210" s="129"/>
      <c r="O1210" s="129"/>
      <c r="P1210" s="364"/>
      <c r="Q1210" s="364"/>
      <c r="R1210" s="129"/>
      <c r="S1210" s="129"/>
      <c r="T1210" s="129"/>
      <c r="W1210" s="129" t="s">
        <v>4876</v>
      </c>
      <c r="X1210" s="337" t="b">
        <f t="shared" ref="X1210:X1273" si="52">W1210=J1210</f>
        <v>0</v>
      </c>
    </row>
    <row r="1211" spans="1:24" s="337" customFormat="1" ht="12" customHeight="1" outlineLevel="1">
      <c r="A1211" s="335"/>
      <c r="B1211" s="118" t="s">
        <v>12</v>
      </c>
      <c r="C1211" s="334" t="s">
        <v>7223</v>
      </c>
      <c r="D1211" s="124" t="s">
        <v>7224</v>
      </c>
      <c r="E1211" s="125"/>
      <c r="F1211" s="118" t="s">
        <v>433</v>
      </c>
      <c r="G1211" s="126" t="s">
        <v>7093</v>
      </c>
      <c r="H1211" s="255">
        <v>1</v>
      </c>
      <c r="I1211" s="361">
        <v>1</v>
      </c>
      <c r="J1211" s="362" t="s">
        <v>6147</v>
      </c>
      <c r="K1211" s="363"/>
      <c r="L1211" s="129"/>
      <c r="M1211" s="129"/>
      <c r="N1211" s="129"/>
      <c r="O1211" s="129"/>
      <c r="P1211" s="364"/>
      <c r="Q1211" s="364"/>
      <c r="R1211" s="129"/>
      <c r="S1211" s="129"/>
      <c r="T1211" s="129"/>
      <c r="W1211" s="129" t="s">
        <v>4876</v>
      </c>
      <c r="X1211" s="337" t="b">
        <f t="shared" si="52"/>
        <v>0</v>
      </c>
    </row>
    <row r="1212" spans="1:24" s="337" customFormat="1" ht="12" customHeight="1" outlineLevel="1">
      <c r="A1212" s="335"/>
      <c r="B1212" s="118" t="s">
        <v>12</v>
      </c>
      <c r="C1212" s="334" t="s">
        <v>7225</v>
      </c>
      <c r="D1212" s="124" t="s">
        <v>7226</v>
      </c>
      <c r="E1212" s="125"/>
      <c r="F1212" s="118" t="s">
        <v>433</v>
      </c>
      <c r="G1212" s="126" t="s">
        <v>7093</v>
      </c>
      <c r="H1212" s="255">
        <v>1</v>
      </c>
      <c r="I1212" s="361">
        <v>1</v>
      </c>
      <c r="J1212" s="362" t="s">
        <v>6147</v>
      </c>
      <c r="K1212" s="363"/>
      <c r="L1212" s="129"/>
      <c r="M1212" s="129"/>
      <c r="N1212" s="129"/>
      <c r="O1212" s="129"/>
      <c r="P1212" s="364"/>
      <c r="Q1212" s="364"/>
      <c r="R1212" s="129"/>
      <c r="S1212" s="129"/>
      <c r="T1212" s="129"/>
      <c r="W1212" s="129" t="s">
        <v>4876</v>
      </c>
      <c r="X1212" s="337" t="b">
        <f t="shared" si="52"/>
        <v>0</v>
      </c>
    </row>
    <row r="1213" spans="1:24" s="337" customFormat="1" ht="12" customHeight="1" outlineLevel="1">
      <c r="A1213" s="335"/>
      <c r="B1213" s="118" t="s">
        <v>12</v>
      </c>
      <c r="C1213" s="334" t="s">
        <v>7227</v>
      </c>
      <c r="D1213" s="124" t="s">
        <v>7228</v>
      </c>
      <c r="E1213" s="125"/>
      <c r="F1213" s="118" t="s">
        <v>433</v>
      </c>
      <c r="G1213" s="126" t="s">
        <v>7093</v>
      </c>
      <c r="H1213" s="255">
        <v>1</v>
      </c>
      <c r="I1213" s="361">
        <v>1</v>
      </c>
      <c r="J1213" s="362" t="s">
        <v>310</v>
      </c>
      <c r="K1213" s="363"/>
      <c r="L1213" s="129"/>
      <c r="M1213" s="129"/>
      <c r="N1213" s="129"/>
      <c r="O1213" s="129"/>
      <c r="P1213" s="364"/>
      <c r="Q1213" s="364"/>
      <c r="R1213" s="129"/>
      <c r="S1213" s="129"/>
      <c r="T1213" s="129"/>
      <c r="W1213" s="129" t="s">
        <v>4876</v>
      </c>
      <c r="X1213" s="337" t="b">
        <f t="shared" si="52"/>
        <v>0</v>
      </c>
    </row>
    <row r="1214" spans="1:24" s="337" customFormat="1" ht="12" customHeight="1" outlineLevel="1">
      <c r="A1214" s="335"/>
      <c r="B1214" s="118" t="s">
        <v>12</v>
      </c>
      <c r="C1214" s="334" t="s">
        <v>7229</v>
      </c>
      <c r="D1214" s="124" t="s">
        <v>7230</v>
      </c>
      <c r="E1214" s="125"/>
      <c r="F1214" s="118" t="s">
        <v>433</v>
      </c>
      <c r="G1214" s="126" t="s">
        <v>7093</v>
      </c>
      <c r="H1214" s="255">
        <v>1</v>
      </c>
      <c r="I1214" s="361">
        <v>1</v>
      </c>
      <c r="J1214" s="362" t="s">
        <v>6148</v>
      </c>
      <c r="K1214" s="363"/>
      <c r="L1214" s="129"/>
      <c r="M1214" s="129"/>
      <c r="N1214" s="129"/>
      <c r="O1214" s="129"/>
      <c r="P1214" s="364"/>
      <c r="Q1214" s="364"/>
      <c r="R1214" s="129"/>
      <c r="S1214" s="129"/>
      <c r="T1214" s="129"/>
      <c r="W1214" s="129" t="s">
        <v>4876</v>
      </c>
      <c r="X1214" s="337" t="b">
        <f t="shared" si="52"/>
        <v>0</v>
      </c>
    </row>
    <row r="1215" spans="1:24" s="337" customFormat="1" ht="12" customHeight="1" outlineLevel="1">
      <c r="A1215" s="335"/>
      <c r="B1215" s="118" t="s">
        <v>12</v>
      </c>
      <c r="C1215" s="334" t="s">
        <v>7231</v>
      </c>
      <c r="D1215" s="124" t="s">
        <v>7232</v>
      </c>
      <c r="E1215" s="125"/>
      <c r="F1215" s="118" t="s">
        <v>433</v>
      </c>
      <c r="G1215" s="126" t="s">
        <v>7093</v>
      </c>
      <c r="H1215" s="255">
        <v>1</v>
      </c>
      <c r="I1215" s="361">
        <v>1</v>
      </c>
      <c r="J1215" s="362" t="s">
        <v>6148</v>
      </c>
      <c r="K1215" s="363"/>
      <c r="L1215" s="129"/>
      <c r="M1215" s="129"/>
      <c r="N1215" s="129"/>
      <c r="O1215" s="129"/>
      <c r="P1215" s="364"/>
      <c r="Q1215" s="364"/>
      <c r="R1215" s="129"/>
      <c r="S1215" s="129"/>
      <c r="T1215" s="129"/>
      <c r="W1215" s="129" t="s">
        <v>4876</v>
      </c>
      <c r="X1215" s="337" t="b">
        <f t="shared" si="52"/>
        <v>0</v>
      </c>
    </row>
    <row r="1216" spans="1:24" s="337" customFormat="1" ht="12" customHeight="1" outlineLevel="1">
      <c r="A1216" s="335"/>
      <c r="B1216" s="118" t="s">
        <v>12</v>
      </c>
      <c r="C1216" s="334" t="s">
        <v>7233</v>
      </c>
      <c r="D1216" s="124" t="s">
        <v>7234</v>
      </c>
      <c r="E1216" s="125"/>
      <c r="F1216" s="118" t="s">
        <v>433</v>
      </c>
      <c r="G1216" s="126" t="s">
        <v>7093</v>
      </c>
      <c r="H1216" s="255">
        <v>1</v>
      </c>
      <c r="I1216" s="361">
        <v>1</v>
      </c>
      <c r="J1216" s="362" t="s">
        <v>743</v>
      </c>
      <c r="K1216" s="363"/>
      <c r="L1216" s="129"/>
      <c r="M1216" s="129"/>
      <c r="N1216" s="129"/>
      <c r="O1216" s="129"/>
      <c r="P1216" s="364"/>
      <c r="Q1216" s="364"/>
      <c r="R1216" s="129"/>
      <c r="S1216" s="129"/>
      <c r="T1216" s="129"/>
      <c r="W1216" s="129" t="s">
        <v>4876</v>
      </c>
      <c r="X1216" s="337" t="b">
        <f t="shared" si="52"/>
        <v>0</v>
      </c>
    </row>
    <row r="1217" spans="1:24" s="337" customFormat="1" ht="12" customHeight="1" outlineLevel="1">
      <c r="A1217" s="335"/>
      <c r="B1217" s="118" t="s">
        <v>12</v>
      </c>
      <c r="C1217" s="334" t="s">
        <v>7235</v>
      </c>
      <c r="D1217" s="124" t="s">
        <v>7236</v>
      </c>
      <c r="E1217" s="125"/>
      <c r="F1217" s="118" t="s">
        <v>433</v>
      </c>
      <c r="G1217" s="126" t="s">
        <v>7093</v>
      </c>
      <c r="H1217" s="255">
        <v>1</v>
      </c>
      <c r="I1217" s="361">
        <v>1</v>
      </c>
      <c r="J1217" s="362" t="s">
        <v>325</v>
      </c>
      <c r="K1217" s="363"/>
      <c r="L1217" s="129"/>
      <c r="M1217" s="129"/>
      <c r="N1217" s="129"/>
      <c r="O1217" s="129"/>
      <c r="P1217" s="364"/>
      <c r="Q1217" s="364"/>
      <c r="R1217" s="129"/>
      <c r="S1217" s="129"/>
      <c r="T1217" s="129"/>
      <c r="W1217" s="129" t="s">
        <v>4876</v>
      </c>
      <c r="X1217" s="337" t="b">
        <f t="shared" si="52"/>
        <v>0</v>
      </c>
    </row>
    <row r="1218" spans="1:24" s="337" customFormat="1" ht="12" customHeight="1" outlineLevel="1">
      <c r="A1218" s="335"/>
      <c r="B1218" s="118" t="s">
        <v>12</v>
      </c>
      <c r="C1218" s="334" t="s">
        <v>7237</v>
      </c>
      <c r="D1218" s="124" t="s">
        <v>7238</v>
      </c>
      <c r="E1218" s="125"/>
      <c r="F1218" s="118" t="s">
        <v>433</v>
      </c>
      <c r="G1218" s="126" t="s">
        <v>7093</v>
      </c>
      <c r="H1218" s="255">
        <v>1</v>
      </c>
      <c r="I1218" s="361">
        <v>1</v>
      </c>
      <c r="J1218" s="362" t="s">
        <v>6148</v>
      </c>
      <c r="K1218" s="363"/>
      <c r="L1218" s="129"/>
      <c r="M1218" s="129"/>
      <c r="N1218" s="129"/>
      <c r="O1218" s="129"/>
      <c r="P1218" s="364"/>
      <c r="Q1218" s="364"/>
      <c r="R1218" s="129"/>
      <c r="S1218" s="129"/>
      <c r="T1218" s="129"/>
      <c r="W1218" s="129" t="s">
        <v>4876</v>
      </c>
      <c r="X1218" s="337" t="b">
        <f t="shared" si="52"/>
        <v>0</v>
      </c>
    </row>
    <row r="1219" spans="1:24" s="337" customFormat="1" ht="12" customHeight="1" outlineLevel="1">
      <c r="A1219" s="335"/>
      <c r="B1219" s="118" t="s">
        <v>12</v>
      </c>
      <c r="C1219" s="334" t="s">
        <v>7239</v>
      </c>
      <c r="D1219" s="124" t="s">
        <v>7240</v>
      </c>
      <c r="E1219" s="125"/>
      <c r="F1219" s="118" t="s">
        <v>433</v>
      </c>
      <c r="G1219" s="126" t="s">
        <v>7093</v>
      </c>
      <c r="H1219" s="255">
        <v>1</v>
      </c>
      <c r="I1219" s="361">
        <v>1</v>
      </c>
      <c r="J1219" s="362" t="s">
        <v>325</v>
      </c>
      <c r="K1219" s="363"/>
      <c r="L1219" s="129"/>
      <c r="M1219" s="129"/>
      <c r="N1219" s="129"/>
      <c r="O1219" s="129"/>
      <c r="P1219" s="364"/>
      <c r="Q1219" s="364"/>
      <c r="R1219" s="129"/>
      <c r="S1219" s="129"/>
      <c r="T1219" s="129"/>
      <c r="W1219" s="129" t="s">
        <v>4876</v>
      </c>
      <c r="X1219" s="337" t="b">
        <f t="shared" si="52"/>
        <v>0</v>
      </c>
    </row>
    <row r="1220" spans="1:24" s="337" customFormat="1" ht="12" customHeight="1" outlineLevel="1">
      <c r="A1220" s="335"/>
      <c r="B1220" s="118" t="s">
        <v>12</v>
      </c>
      <c r="C1220" s="334" t="s">
        <v>7241</v>
      </c>
      <c r="D1220" s="124" t="s">
        <v>7242</v>
      </c>
      <c r="E1220" s="125"/>
      <c r="F1220" s="118" t="s">
        <v>433</v>
      </c>
      <c r="G1220" s="126" t="s">
        <v>7093</v>
      </c>
      <c r="H1220" s="255">
        <v>1</v>
      </c>
      <c r="I1220" s="361">
        <v>1</v>
      </c>
      <c r="J1220" s="362" t="s">
        <v>6148</v>
      </c>
      <c r="K1220" s="363"/>
      <c r="L1220" s="129"/>
      <c r="M1220" s="129"/>
      <c r="N1220" s="129"/>
      <c r="O1220" s="129"/>
      <c r="P1220" s="364"/>
      <c r="Q1220" s="364"/>
      <c r="R1220" s="129"/>
      <c r="S1220" s="129"/>
      <c r="T1220" s="129"/>
      <c r="W1220" s="129" t="s">
        <v>4876</v>
      </c>
      <c r="X1220" s="337" t="b">
        <f t="shared" si="52"/>
        <v>0</v>
      </c>
    </row>
    <row r="1221" spans="1:24" s="337" customFormat="1" ht="12" customHeight="1" outlineLevel="1">
      <c r="A1221" s="335"/>
      <c r="B1221" s="118" t="s">
        <v>12</v>
      </c>
      <c r="C1221" s="334" t="s">
        <v>7243</v>
      </c>
      <c r="D1221" s="124" t="s">
        <v>7244</v>
      </c>
      <c r="E1221" s="125"/>
      <c r="F1221" s="118" t="s">
        <v>433</v>
      </c>
      <c r="G1221" s="126" t="s">
        <v>7093</v>
      </c>
      <c r="H1221" s="255">
        <v>1</v>
      </c>
      <c r="I1221" s="361">
        <v>1</v>
      </c>
      <c r="J1221" s="362" t="s">
        <v>286</v>
      </c>
      <c r="K1221" s="363"/>
      <c r="L1221" s="129"/>
      <c r="M1221" s="129"/>
      <c r="N1221" s="129"/>
      <c r="O1221" s="129"/>
      <c r="P1221" s="364"/>
      <c r="Q1221" s="364"/>
      <c r="R1221" s="129"/>
      <c r="S1221" s="129"/>
      <c r="T1221" s="129"/>
      <c r="W1221" s="129" t="s">
        <v>4876</v>
      </c>
      <c r="X1221" s="337" t="b">
        <f t="shared" si="52"/>
        <v>0</v>
      </c>
    </row>
    <row r="1222" spans="1:24" s="337" customFormat="1" ht="12" customHeight="1" outlineLevel="1">
      <c r="A1222" s="335"/>
      <c r="B1222" s="118" t="s">
        <v>12</v>
      </c>
      <c r="C1222" s="334" t="s">
        <v>7245</v>
      </c>
      <c r="D1222" s="124" t="s">
        <v>7246</v>
      </c>
      <c r="E1222" s="125"/>
      <c r="F1222" s="118" t="s">
        <v>433</v>
      </c>
      <c r="G1222" s="126" t="s">
        <v>7093</v>
      </c>
      <c r="H1222" s="255">
        <v>1</v>
      </c>
      <c r="I1222" s="361">
        <v>1</v>
      </c>
      <c r="J1222" s="362" t="s">
        <v>307</v>
      </c>
      <c r="K1222" s="363"/>
      <c r="L1222" s="129"/>
      <c r="M1222" s="129"/>
      <c r="N1222" s="129"/>
      <c r="O1222" s="129"/>
      <c r="P1222" s="364"/>
      <c r="Q1222" s="364"/>
      <c r="R1222" s="129"/>
      <c r="S1222" s="129"/>
      <c r="T1222" s="129"/>
      <c r="W1222" s="129" t="s">
        <v>4876</v>
      </c>
      <c r="X1222" s="337" t="b">
        <f t="shared" si="52"/>
        <v>0</v>
      </c>
    </row>
    <row r="1223" spans="1:24" s="337" customFormat="1" ht="12" customHeight="1" outlineLevel="1">
      <c r="A1223" s="335"/>
      <c r="B1223" s="118" t="s">
        <v>12</v>
      </c>
      <c r="C1223" s="334" t="s">
        <v>7247</v>
      </c>
      <c r="D1223" s="124" t="s">
        <v>7248</v>
      </c>
      <c r="E1223" s="125"/>
      <c r="F1223" s="118" t="s">
        <v>433</v>
      </c>
      <c r="G1223" s="126" t="s">
        <v>7093</v>
      </c>
      <c r="H1223" s="255">
        <v>1</v>
      </c>
      <c r="I1223" s="361">
        <v>1</v>
      </c>
      <c r="J1223" s="362" t="s">
        <v>307</v>
      </c>
      <c r="K1223" s="363"/>
      <c r="L1223" s="129"/>
      <c r="M1223" s="129"/>
      <c r="N1223" s="129"/>
      <c r="O1223" s="129"/>
      <c r="P1223" s="364"/>
      <c r="Q1223" s="364"/>
      <c r="R1223" s="129"/>
      <c r="S1223" s="129"/>
      <c r="T1223" s="129"/>
      <c r="W1223" s="129" t="s">
        <v>4876</v>
      </c>
      <c r="X1223" s="337" t="b">
        <f t="shared" si="52"/>
        <v>0</v>
      </c>
    </row>
    <row r="1224" spans="1:24" s="337" customFormat="1" ht="12" customHeight="1" outlineLevel="1">
      <c r="A1224" s="335"/>
      <c r="B1224" s="118" t="s">
        <v>12</v>
      </c>
      <c r="C1224" s="334" t="s">
        <v>7249</v>
      </c>
      <c r="D1224" s="124" t="s">
        <v>7250</v>
      </c>
      <c r="E1224" s="125"/>
      <c r="F1224" s="118" t="s">
        <v>433</v>
      </c>
      <c r="G1224" s="126" t="s">
        <v>7093</v>
      </c>
      <c r="H1224" s="255">
        <v>1</v>
      </c>
      <c r="I1224" s="361">
        <v>1</v>
      </c>
      <c r="J1224" s="362" t="s">
        <v>310</v>
      </c>
      <c r="K1224" s="363"/>
      <c r="L1224" s="129"/>
      <c r="M1224" s="129"/>
      <c r="N1224" s="129"/>
      <c r="O1224" s="129"/>
      <c r="P1224" s="364"/>
      <c r="Q1224" s="364"/>
      <c r="R1224" s="129"/>
      <c r="S1224" s="129"/>
      <c r="T1224" s="129"/>
      <c r="W1224" s="129" t="s">
        <v>310</v>
      </c>
      <c r="X1224" s="337" t="b">
        <f t="shared" si="52"/>
        <v>1</v>
      </c>
    </row>
    <row r="1225" spans="1:24" s="337" customFormat="1" ht="12" customHeight="1" outlineLevel="1">
      <c r="A1225" s="335"/>
      <c r="B1225" s="118" t="s">
        <v>12</v>
      </c>
      <c r="C1225" s="334" t="s">
        <v>7251</v>
      </c>
      <c r="D1225" s="124" t="s">
        <v>7252</v>
      </c>
      <c r="E1225" s="125"/>
      <c r="F1225" s="118" t="s">
        <v>433</v>
      </c>
      <c r="G1225" s="126" t="s">
        <v>7093</v>
      </c>
      <c r="H1225" s="255">
        <v>1</v>
      </c>
      <c r="I1225" s="361">
        <v>1</v>
      </c>
      <c r="J1225" s="362" t="s">
        <v>743</v>
      </c>
      <c r="K1225" s="363"/>
      <c r="L1225" s="129"/>
      <c r="M1225" s="129"/>
      <c r="N1225" s="129"/>
      <c r="O1225" s="129"/>
      <c r="P1225" s="364"/>
      <c r="Q1225" s="364"/>
      <c r="R1225" s="129"/>
      <c r="S1225" s="129"/>
      <c r="T1225" s="129"/>
      <c r="W1225" s="129" t="s">
        <v>4876</v>
      </c>
      <c r="X1225" s="337" t="b">
        <f t="shared" si="52"/>
        <v>0</v>
      </c>
    </row>
    <row r="1226" spans="1:24" s="337" customFormat="1" ht="12" customHeight="1" outlineLevel="1">
      <c r="A1226" s="335"/>
      <c r="B1226" s="118" t="s">
        <v>12</v>
      </c>
      <c r="C1226" s="334" t="s">
        <v>7253</v>
      </c>
      <c r="D1226" s="124" t="s">
        <v>7254</v>
      </c>
      <c r="E1226" s="125"/>
      <c r="F1226" s="118" t="s">
        <v>433</v>
      </c>
      <c r="G1226" s="126" t="s">
        <v>7093</v>
      </c>
      <c r="H1226" s="255">
        <v>1</v>
      </c>
      <c r="I1226" s="361">
        <v>1</v>
      </c>
      <c r="J1226" s="362" t="s">
        <v>743</v>
      </c>
      <c r="K1226" s="363"/>
      <c r="L1226" s="129"/>
      <c r="M1226" s="129"/>
      <c r="N1226" s="129"/>
      <c r="O1226" s="129"/>
      <c r="P1226" s="364"/>
      <c r="Q1226" s="364"/>
      <c r="R1226" s="129"/>
      <c r="S1226" s="129"/>
      <c r="T1226" s="129"/>
      <c r="W1226" s="129" t="s">
        <v>4876</v>
      </c>
      <c r="X1226" s="337" t="b">
        <f t="shared" si="52"/>
        <v>0</v>
      </c>
    </row>
    <row r="1227" spans="1:24" s="337" customFormat="1" ht="12" customHeight="1" outlineLevel="1">
      <c r="A1227" s="335"/>
      <c r="B1227" s="118" t="s">
        <v>12</v>
      </c>
      <c r="C1227" s="334" t="s">
        <v>7255</v>
      </c>
      <c r="D1227" s="124" t="s">
        <v>7256</v>
      </c>
      <c r="E1227" s="125"/>
      <c r="F1227" s="118" t="s">
        <v>433</v>
      </c>
      <c r="G1227" s="126" t="s">
        <v>7093</v>
      </c>
      <c r="H1227" s="255">
        <v>1</v>
      </c>
      <c r="I1227" s="361">
        <v>1</v>
      </c>
      <c r="J1227" s="362" t="s">
        <v>310</v>
      </c>
      <c r="K1227" s="363"/>
      <c r="L1227" s="129"/>
      <c r="M1227" s="129"/>
      <c r="N1227" s="129"/>
      <c r="O1227" s="129"/>
      <c r="P1227" s="364"/>
      <c r="Q1227" s="364"/>
      <c r="R1227" s="129"/>
      <c r="S1227" s="129"/>
      <c r="T1227" s="129"/>
      <c r="W1227" s="129" t="s">
        <v>4876</v>
      </c>
      <c r="X1227" s="337" t="b">
        <f t="shared" si="52"/>
        <v>0</v>
      </c>
    </row>
    <row r="1228" spans="1:24" s="337" customFormat="1" ht="12" customHeight="1" outlineLevel="1">
      <c r="A1228" s="335"/>
      <c r="B1228" s="118" t="s">
        <v>12</v>
      </c>
      <c r="C1228" s="334" t="s">
        <v>7257</v>
      </c>
      <c r="D1228" s="124" t="s">
        <v>7258</v>
      </c>
      <c r="E1228" s="125"/>
      <c r="F1228" s="118" t="s">
        <v>433</v>
      </c>
      <c r="G1228" s="126" t="s">
        <v>7093</v>
      </c>
      <c r="H1228" s="255">
        <v>1</v>
      </c>
      <c r="I1228" s="361">
        <v>1</v>
      </c>
      <c r="J1228" s="362" t="s">
        <v>310</v>
      </c>
      <c r="K1228" s="363"/>
      <c r="L1228" s="129"/>
      <c r="M1228" s="129"/>
      <c r="N1228" s="129"/>
      <c r="O1228" s="129"/>
      <c r="P1228" s="364"/>
      <c r="Q1228" s="364"/>
      <c r="R1228" s="129"/>
      <c r="S1228" s="129"/>
      <c r="T1228" s="129"/>
      <c r="W1228" s="129" t="s">
        <v>4876</v>
      </c>
      <c r="X1228" s="337" t="b">
        <f t="shared" si="52"/>
        <v>0</v>
      </c>
    </row>
    <row r="1229" spans="1:24" s="337" customFormat="1" ht="12" customHeight="1" outlineLevel="1">
      <c r="A1229" s="335"/>
      <c r="B1229" s="118" t="s">
        <v>12</v>
      </c>
      <c r="C1229" s="334" t="s">
        <v>7259</v>
      </c>
      <c r="D1229" s="124" t="s">
        <v>7260</v>
      </c>
      <c r="E1229" s="125"/>
      <c r="F1229" s="118" t="s">
        <v>433</v>
      </c>
      <c r="G1229" s="126" t="s">
        <v>7093</v>
      </c>
      <c r="H1229" s="255">
        <v>1</v>
      </c>
      <c r="I1229" s="361">
        <v>1</v>
      </c>
      <c r="J1229" s="362" t="s">
        <v>310</v>
      </c>
      <c r="K1229" s="363"/>
      <c r="L1229" s="129"/>
      <c r="M1229" s="129"/>
      <c r="N1229" s="129"/>
      <c r="O1229" s="129"/>
      <c r="P1229" s="364"/>
      <c r="Q1229" s="364"/>
      <c r="R1229" s="129"/>
      <c r="S1229" s="129"/>
      <c r="T1229" s="129"/>
      <c r="W1229" s="129" t="s">
        <v>4876</v>
      </c>
      <c r="X1229" s="337" t="b">
        <f t="shared" si="52"/>
        <v>0</v>
      </c>
    </row>
    <row r="1230" spans="1:24" s="337" customFormat="1" ht="12" customHeight="1" outlineLevel="1">
      <c r="A1230" s="335"/>
      <c r="B1230" s="118" t="s">
        <v>12</v>
      </c>
      <c r="C1230" s="334" t="s">
        <v>7261</v>
      </c>
      <c r="D1230" s="124" t="s">
        <v>7262</v>
      </c>
      <c r="E1230" s="125"/>
      <c r="F1230" s="118" t="s">
        <v>433</v>
      </c>
      <c r="G1230" s="126" t="s">
        <v>7093</v>
      </c>
      <c r="H1230" s="255">
        <v>1</v>
      </c>
      <c r="I1230" s="361">
        <v>1</v>
      </c>
      <c r="J1230" s="362" t="s">
        <v>310</v>
      </c>
      <c r="K1230" s="363"/>
      <c r="L1230" s="129"/>
      <c r="M1230" s="129"/>
      <c r="N1230" s="129"/>
      <c r="O1230" s="129"/>
      <c r="P1230" s="364"/>
      <c r="Q1230" s="364"/>
      <c r="R1230" s="129"/>
      <c r="S1230" s="129"/>
      <c r="T1230" s="129"/>
      <c r="W1230" s="129" t="s">
        <v>4876</v>
      </c>
      <c r="X1230" s="337" t="b">
        <f t="shared" si="52"/>
        <v>0</v>
      </c>
    </row>
    <row r="1231" spans="1:24" s="337" customFormat="1" ht="12" customHeight="1" outlineLevel="1">
      <c r="A1231" s="335"/>
      <c r="B1231" s="118" t="s">
        <v>12</v>
      </c>
      <c r="C1231" s="334" t="s">
        <v>7263</v>
      </c>
      <c r="D1231" s="124" t="s">
        <v>7264</v>
      </c>
      <c r="E1231" s="125"/>
      <c r="F1231" s="118" t="s">
        <v>433</v>
      </c>
      <c r="G1231" s="126" t="s">
        <v>7093</v>
      </c>
      <c r="H1231" s="255">
        <v>1</v>
      </c>
      <c r="I1231" s="361">
        <v>1</v>
      </c>
      <c r="J1231" s="362" t="s">
        <v>286</v>
      </c>
      <c r="K1231" s="363"/>
      <c r="L1231" s="129"/>
      <c r="M1231" s="129"/>
      <c r="N1231" s="129"/>
      <c r="O1231" s="129"/>
      <c r="P1231" s="364"/>
      <c r="Q1231" s="364"/>
      <c r="R1231" s="129"/>
      <c r="S1231" s="129"/>
      <c r="T1231" s="129"/>
      <c r="W1231" s="129" t="s">
        <v>4876</v>
      </c>
      <c r="X1231" s="337" t="b">
        <f t="shared" si="52"/>
        <v>0</v>
      </c>
    </row>
    <row r="1232" spans="1:24" s="337" customFormat="1" ht="12" customHeight="1" outlineLevel="1">
      <c r="A1232" s="335"/>
      <c r="B1232" s="118" t="s">
        <v>12</v>
      </c>
      <c r="C1232" s="334" t="s">
        <v>7265</v>
      </c>
      <c r="D1232" s="124" t="s">
        <v>7266</v>
      </c>
      <c r="E1232" s="125"/>
      <c r="F1232" s="118" t="s">
        <v>433</v>
      </c>
      <c r="G1232" s="126" t="s">
        <v>7093</v>
      </c>
      <c r="H1232" s="255">
        <v>1</v>
      </c>
      <c r="I1232" s="361">
        <v>1</v>
      </c>
      <c r="J1232" s="362" t="s">
        <v>310</v>
      </c>
      <c r="K1232" s="363"/>
      <c r="L1232" s="129"/>
      <c r="M1232" s="129"/>
      <c r="N1232" s="129"/>
      <c r="O1232" s="129"/>
      <c r="P1232" s="364"/>
      <c r="Q1232" s="364"/>
      <c r="R1232" s="129"/>
      <c r="S1232" s="129"/>
      <c r="T1232" s="129"/>
      <c r="W1232" s="129" t="s">
        <v>4876</v>
      </c>
      <c r="X1232" s="337" t="b">
        <f t="shared" si="52"/>
        <v>0</v>
      </c>
    </row>
    <row r="1233" spans="1:24" s="337" customFormat="1" ht="12" customHeight="1" outlineLevel="1">
      <c r="A1233" s="335"/>
      <c r="B1233" s="118" t="s">
        <v>12</v>
      </c>
      <c r="C1233" s="334" t="s">
        <v>7267</v>
      </c>
      <c r="D1233" s="124" t="s">
        <v>7268</v>
      </c>
      <c r="E1233" s="125"/>
      <c r="F1233" s="118" t="s">
        <v>433</v>
      </c>
      <c r="G1233" s="126" t="s">
        <v>7093</v>
      </c>
      <c r="H1233" s="255">
        <v>1</v>
      </c>
      <c r="I1233" s="361">
        <v>1</v>
      </c>
      <c r="J1233" s="362" t="s">
        <v>307</v>
      </c>
      <c r="K1233" s="363"/>
      <c r="L1233" s="129"/>
      <c r="M1233" s="129"/>
      <c r="N1233" s="129"/>
      <c r="O1233" s="129"/>
      <c r="P1233" s="364"/>
      <c r="Q1233" s="364"/>
      <c r="R1233" s="129"/>
      <c r="S1233" s="129"/>
      <c r="T1233" s="129"/>
      <c r="W1233" s="129" t="s">
        <v>4876</v>
      </c>
      <c r="X1233" s="337" t="b">
        <f t="shared" si="52"/>
        <v>0</v>
      </c>
    </row>
    <row r="1234" spans="1:24" s="337" customFormat="1" ht="12" customHeight="1" outlineLevel="1">
      <c r="A1234" s="335"/>
      <c r="B1234" s="118" t="s">
        <v>12</v>
      </c>
      <c r="C1234" s="334" t="s">
        <v>7269</v>
      </c>
      <c r="D1234" s="124" t="s">
        <v>7270</v>
      </c>
      <c r="E1234" s="125"/>
      <c r="F1234" s="118" t="s">
        <v>433</v>
      </c>
      <c r="G1234" s="126" t="s">
        <v>7093</v>
      </c>
      <c r="H1234" s="255">
        <v>1</v>
      </c>
      <c r="I1234" s="361">
        <v>1</v>
      </c>
      <c r="J1234" s="362" t="s">
        <v>307</v>
      </c>
      <c r="K1234" s="363"/>
      <c r="L1234" s="129"/>
      <c r="M1234" s="129"/>
      <c r="N1234" s="129"/>
      <c r="O1234" s="129"/>
      <c r="P1234" s="364"/>
      <c r="Q1234" s="364"/>
      <c r="R1234" s="129"/>
      <c r="S1234" s="129"/>
      <c r="T1234" s="129"/>
      <c r="W1234" s="129" t="s">
        <v>286</v>
      </c>
      <c r="X1234" s="337" t="b">
        <f t="shared" si="52"/>
        <v>0</v>
      </c>
    </row>
    <row r="1235" spans="1:24" s="337" customFormat="1" ht="12" customHeight="1" outlineLevel="1">
      <c r="A1235" s="335"/>
      <c r="B1235" s="118" t="s">
        <v>12</v>
      </c>
      <c r="C1235" s="334" t="s">
        <v>7271</v>
      </c>
      <c r="D1235" s="124" t="s">
        <v>7272</v>
      </c>
      <c r="E1235" s="125"/>
      <c r="F1235" s="118" t="s">
        <v>433</v>
      </c>
      <c r="G1235" s="126" t="s">
        <v>7093</v>
      </c>
      <c r="H1235" s="255">
        <v>1</v>
      </c>
      <c r="I1235" s="361">
        <v>1</v>
      </c>
      <c r="J1235" s="362" t="s">
        <v>286</v>
      </c>
      <c r="K1235" s="363"/>
      <c r="L1235" s="129"/>
      <c r="M1235" s="129"/>
      <c r="N1235" s="129"/>
      <c r="O1235" s="129"/>
      <c r="P1235" s="364"/>
      <c r="Q1235" s="364"/>
      <c r="R1235" s="129"/>
      <c r="S1235" s="129"/>
      <c r="T1235" s="129"/>
      <c r="W1235" s="129" t="s">
        <v>286</v>
      </c>
      <c r="X1235" s="337" t="b">
        <f t="shared" si="52"/>
        <v>1</v>
      </c>
    </row>
    <row r="1236" spans="1:24" s="337" customFormat="1" ht="12" customHeight="1" outlineLevel="1">
      <c r="A1236" s="335"/>
      <c r="B1236" s="118" t="s">
        <v>12</v>
      </c>
      <c r="C1236" s="334" t="s">
        <v>7273</v>
      </c>
      <c r="D1236" s="124" t="s">
        <v>6296</v>
      </c>
      <c r="E1236" s="125"/>
      <c r="F1236" s="118" t="s">
        <v>433</v>
      </c>
      <c r="G1236" s="126" t="s">
        <v>7093</v>
      </c>
      <c r="H1236" s="255">
        <v>1</v>
      </c>
      <c r="I1236" s="361">
        <v>1</v>
      </c>
      <c r="J1236" s="362" t="s">
        <v>6148</v>
      </c>
      <c r="K1236" s="363"/>
      <c r="L1236" s="129"/>
      <c r="M1236" s="129"/>
      <c r="N1236" s="129"/>
      <c r="O1236" s="129"/>
      <c r="P1236" s="364"/>
      <c r="Q1236" s="364"/>
      <c r="R1236" s="129"/>
      <c r="S1236" s="129"/>
      <c r="T1236" s="129"/>
      <c r="W1236" s="129" t="s">
        <v>286</v>
      </c>
      <c r="X1236" s="337" t="b">
        <f t="shared" si="52"/>
        <v>0</v>
      </c>
    </row>
    <row r="1237" spans="1:24" s="337" customFormat="1" ht="12" customHeight="1" outlineLevel="1">
      <c r="A1237" s="335"/>
      <c r="B1237" s="118" t="s">
        <v>12</v>
      </c>
      <c r="C1237" s="334" t="s">
        <v>7274</v>
      </c>
      <c r="D1237" s="124" t="s">
        <v>7275</v>
      </c>
      <c r="E1237" s="125"/>
      <c r="F1237" s="118" t="s">
        <v>433</v>
      </c>
      <c r="G1237" s="126" t="s">
        <v>7093</v>
      </c>
      <c r="H1237" s="255">
        <v>1</v>
      </c>
      <c r="I1237" s="361">
        <v>1</v>
      </c>
      <c r="J1237" s="362" t="s">
        <v>286</v>
      </c>
      <c r="K1237" s="363"/>
      <c r="L1237" s="129"/>
      <c r="M1237" s="129"/>
      <c r="N1237" s="129"/>
      <c r="O1237" s="129"/>
      <c r="P1237" s="364"/>
      <c r="Q1237" s="364"/>
      <c r="R1237" s="129"/>
      <c r="S1237" s="129"/>
      <c r="T1237" s="129"/>
      <c r="W1237" s="129" t="s">
        <v>286</v>
      </c>
      <c r="X1237" s="337" t="b">
        <f t="shared" si="52"/>
        <v>1</v>
      </c>
    </row>
    <row r="1238" spans="1:24" s="337" customFormat="1" ht="12" customHeight="1" outlineLevel="1">
      <c r="A1238" s="335"/>
      <c r="B1238" s="118" t="s">
        <v>12</v>
      </c>
      <c r="C1238" s="334" t="s">
        <v>7276</v>
      </c>
      <c r="D1238" s="124" t="s">
        <v>7277</v>
      </c>
      <c r="E1238" s="125"/>
      <c r="F1238" s="118" t="s">
        <v>433</v>
      </c>
      <c r="G1238" s="126" t="s">
        <v>7093</v>
      </c>
      <c r="H1238" s="255">
        <v>1</v>
      </c>
      <c r="I1238" s="361">
        <v>1</v>
      </c>
      <c r="J1238" s="362" t="s">
        <v>310</v>
      </c>
      <c r="K1238" s="363"/>
      <c r="L1238" s="129"/>
      <c r="M1238" s="129"/>
      <c r="N1238" s="129"/>
      <c r="O1238" s="129"/>
      <c r="P1238" s="364"/>
      <c r="Q1238" s="364"/>
      <c r="R1238" s="129"/>
      <c r="S1238" s="129"/>
      <c r="T1238" s="129"/>
      <c r="W1238" s="129" t="s">
        <v>307</v>
      </c>
      <c r="X1238" s="337" t="b">
        <f t="shared" si="52"/>
        <v>0</v>
      </c>
    </row>
    <row r="1239" spans="1:24" s="337" customFormat="1" ht="12" customHeight="1" outlineLevel="1">
      <c r="A1239" s="335"/>
      <c r="B1239" s="118" t="s">
        <v>12</v>
      </c>
      <c r="C1239" s="334" t="s">
        <v>7278</v>
      </c>
      <c r="D1239" s="124" t="s">
        <v>7279</v>
      </c>
      <c r="E1239" s="125"/>
      <c r="F1239" s="118" t="s">
        <v>433</v>
      </c>
      <c r="G1239" s="126" t="s">
        <v>7093</v>
      </c>
      <c r="H1239" s="255">
        <v>1</v>
      </c>
      <c r="I1239" s="361">
        <v>1</v>
      </c>
      <c r="J1239" s="362" t="s">
        <v>286</v>
      </c>
      <c r="K1239" s="363"/>
      <c r="L1239" s="129"/>
      <c r="M1239" s="129"/>
      <c r="N1239" s="129"/>
      <c r="O1239" s="129"/>
      <c r="P1239" s="364"/>
      <c r="Q1239" s="364"/>
      <c r="R1239" s="129"/>
      <c r="S1239" s="129"/>
      <c r="T1239" s="129"/>
      <c r="W1239" s="129" t="s">
        <v>310</v>
      </c>
      <c r="X1239" s="337" t="b">
        <f t="shared" si="52"/>
        <v>0</v>
      </c>
    </row>
    <row r="1240" spans="1:24" s="337" customFormat="1" ht="12" customHeight="1" outlineLevel="1">
      <c r="A1240" s="335"/>
      <c r="B1240" s="118" t="s">
        <v>12</v>
      </c>
      <c r="C1240" s="334" t="s">
        <v>7280</v>
      </c>
      <c r="D1240" s="124" t="s">
        <v>7281</v>
      </c>
      <c r="E1240" s="125"/>
      <c r="F1240" s="118" t="s">
        <v>433</v>
      </c>
      <c r="G1240" s="126" t="s">
        <v>7093</v>
      </c>
      <c r="H1240" s="255">
        <v>1</v>
      </c>
      <c r="I1240" s="361">
        <v>1</v>
      </c>
      <c r="J1240" s="362" t="s">
        <v>286</v>
      </c>
      <c r="K1240" s="363"/>
      <c r="L1240" s="129"/>
      <c r="M1240" s="129"/>
      <c r="N1240" s="129"/>
      <c r="O1240" s="129"/>
      <c r="P1240" s="364"/>
      <c r="Q1240" s="364"/>
      <c r="R1240" s="129"/>
      <c r="S1240" s="129"/>
      <c r="T1240" s="129"/>
      <c r="W1240" s="129" t="s">
        <v>310</v>
      </c>
      <c r="X1240" s="337" t="b">
        <f t="shared" si="52"/>
        <v>0</v>
      </c>
    </row>
    <row r="1241" spans="1:24" s="337" customFormat="1" ht="12" customHeight="1" outlineLevel="1">
      <c r="A1241" s="335"/>
      <c r="B1241" s="118" t="s">
        <v>12</v>
      </c>
      <c r="C1241" s="334" t="s">
        <v>7282</v>
      </c>
      <c r="D1241" s="124" t="s">
        <v>7283</v>
      </c>
      <c r="E1241" s="125"/>
      <c r="F1241" s="118" t="s">
        <v>433</v>
      </c>
      <c r="G1241" s="126" t="s">
        <v>7093</v>
      </c>
      <c r="H1241" s="255">
        <v>1</v>
      </c>
      <c r="I1241" s="361">
        <v>1</v>
      </c>
      <c r="J1241" s="362" t="s">
        <v>286</v>
      </c>
      <c r="K1241" s="363"/>
      <c r="L1241" s="129"/>
      <c r="M1241" s="129"/>
      <c r="N1241" s="129"/>
      <c r="O1241" s="129"/>
      <c r="P1241" s="364"/>
      <c r="Q1241" s="364"/>
      <c r="R1241" s="129"/>
      <c r="S1241" s="129"/>
      <c r="T1241" s="129"/>
      <c r="W1241" s="129" t="s">
        <v>310</v>
      </c>
      <c r="X1241" s="337" t="b">
        <f t="shared" si="52"/>
        <v>0</v>
      </c>
    </row>
    <row r="1242" spans="1:24" s="337" customFormat="1" ht="12" customHeight="1" outlineLevel="1">
      <c r="A1242" s="335"/>
      <c r="B1242" s="118" t="s">
        <v>12</v>
      </c>
      <c r="C1242" s="334" t="s">
        <v>7284</v>
      </c>
      <c r="D1242" s="124" t="s">
        <v>7285</v>
      </c>
      <c r="E1242" s="125"/>
      <c r="F1242" s="118" t="s">
        <v>433</v>
      </c>
      <c r="G1242" s="126" t="s">
        <v>7093</v>
      </c>
      <c r="H1242" s="255">
        <v>1</v>
      </c>
      <c r="I1242" s="361">
        <v>1</v>
      </c>
      <c r="J1242" s="362" t="s">
        <v>286</v>
      </c>
      <c r="K1242" s="363"/>
      <c r="L1242" s="129"/>
      <c r="M1242" s="129"/>
      <c r="N1242" s="129"/>
      <c r="O1242" s="129"/>
      <c r="P1242" s="364"/>
      <c r="Q1242" s="364"/>
      <c r="R1242" s="129"/>
      <c r="S1242" s="129"/>
      <c r="T1242" s="129"/>
      <c r="W1242" s="129" t="s">
        <v>310</v>
      </c>
      <c r="X1242" s="337" t="b">
        <f t="shared" si="52"/>
        <v>0</v>
      </c>
    </row>
    <row r="1243" spans="1:24" s="337" customFormat="1" ht="12" customHeight="1" outlineLevel="1">
      <c r="A1243" s="335"/>
      <c r="B1243" s="118" t="s">
        <v>12</v>
      </c>
      <c r="C1243" s="334" t="s">
        <v>7286</v>
      </c>
      <c r="D1243" s="124" t="s">
        <v>7287</v>
      </c>
      <c r="E1243" s="125"/>
      <c r="F1243" s="118" t="s">
        <v>433</v>
      </c>
      <c r="G1243" s="126" t="s">
        <v>7093</v>
      </c>
      <c r="H1243" s="255">
        <v>1</v>
      </c>
      <c r="I1243" s="361">
        <v>1</v>
      </c>
      <c r="J1243" s="362" t="s">
        <v>286</v>
      </c>
      <c r="K1243" s="363"/>
      <c r="L1243" s="129"/>
      <c r="M1243" s="129"/>
      <c r="N1243" s="129"/>
      <c r="O1243" s="129"/>
      <c r="P1243" s="364"/>
      <c r="Q1243" s="364"/>
      <c r="R1243" s="129"/>
      <c r="S1243" s="129"/>
      <c r="T1243" s="129"/>
      <c r="W1243" s="129" t="s">
        <v>310</v>
      </c>
      <c r="X1243" s="337" t="b">
        <f t="shared" si="52"/>
        <v>0</v>
      </c>
    </row>
    <row r="1244" spans="1:24" s="337" customFormat="1" ht="12" customHeight="1" outlineLevel="1">
      <c r="A1244" s="335"/>
      <c r="B1244" s="118" t="s">
        <v>12</v>
      </c>
      <c r="C1244" s="334" t="s">
        <v>7288</v>
      </c>
      <c r="D1244" s="124" t="s">
        <v>7289</v>
      </c>
      <c r="E1244" s="125"/>
      <c r="F1244" s="118" t="s">
        <v>433</v>
      </c>
      <c r="G1244" s="126" t="s">
        <v>7093</v>
      </c>
      <c r="H1244" s="255">
        <v>1</v>
      </c>
      <c r="I1244" s="361">
        <v>1</v>
      </c>
      <c r="J1244" s="362" t="s">
        <v>310</v>
      </c>
      <c r="K1244" s="363"/>
      <c r="L1244" s="129"/>
      <c r="M1244" s="129"/>
      <c r="N1244" s="129"/>
      <c r="O1244" s="129"/>
      <c r="P1244" s="364"/>
      <c r="Q1244" s="364"/>
      <c r="R1244" s="129"/>
      <c r="S1244" s="129"/>
      <c r="T1244" s="129"/>
      <c r="W1244" s="129" t="s">
        <v>325</v>
      </c>
      <c r="X1244" s="337" t="b">
        <f t="shared" si="52"/>
        <v>0</v>
      </c>
    </row>
    <row r="1245" spans="1:24" s="337" customFormat="1" ht="12" customHeight="1" outlineLevel="1">
      <c r="A1245" s="335"/>
      <c r="B1245" s="118" t="s">
        <v>12</v>
      </c>
      <c r="C1245" s="334" t="s">
        <v>7290</v>
      </c>
      <c r="D1245" s="124" t="s">
        <v>7291</v>
      </c>
      <c r="E1245" s="125"/>
      <c r="F1245" s="118" t="s">
        <v>433</v>
      </c>
      <c r="G1245" s="126" t="s">
        <v>7093</v>
      </c>
      <c r="H1245" s="255">
        <v>1</v>
      </c>
      <c r="I1245" s="361">
        <v>1</v>
      </c>
      <c r="J1245" s="362" t="s">
        <v>286</v>
      </c>
      <c r="K1245" s="363"/>
      <c r="L1245" s="129"/>
      <c r="M1245" s="129"/>
      <c r="N1245" s="129"/>
      <c r="O1245" s="129"/>
      <c r="P1245" s="364"/>
      <c r="Q1245" s="364"/>
      <c r="R1245" s="129"/>
      <c r="S1245" s="129"/>
      <c r="T1245" s="129"/>
      <c r="W1245" s="129" t="s">
        <v>310</v>
      </c>
      <c r="X1245" s="337" t="b">
        <f t="shared" si="52"/>
        <v>0</v>
      </c>
    </row>
    <row r="1246" spans="1:24" s="337" customFormat="1" ht="12" customHeight="1" outlineLevel="1">
      <c r="A1246" s="335"/>
      <c r="B1246" s="118" t="s">
        <v>12</v>
      </c>
      <c r="C1246" s="334" t="s">
        <v>7292</v>
      </c>
      <c r="D1246" s="124" t="s">
        <v>7293</v>
      </c>
      <c r="E1246" s="125"/>
      <c r="F1246" s="118" t="s">
        <v>433</v>
      </c>
      <c r="G1246" s="126" t="s">
        <v>7093</v>
      </c>
      <c r="H1246" s="255">
        <v>1</v>
      </c>
      <c r="I1246" s="361">
        <v>1</v>
      </c>
      <c r="J1246" s="362" t="s">
        <v>286</v>
      </c>
      <c r="K1246" s="363"/>
      <c r="L1246" s="129"/>
      <c r="M1246" s="129"/>
      <c r="N1246" s="129"/>
      <c r="O1246" s="129"/>
      <c r="P1246" s="364"/>
      <c r="Q1246" s="364"/>
      <c r="R1246" s="129"/>
      <c r="S1246" s="129"/>
      <c r="T1246" s="129"/>
      <c r="W1246" s="129" t="s">
        <v>310</v>
      </c>
      <c r="X1246" s="337" t="b">
        <f t="shared" si="52"/>
        <v>0</v>
      </c>
    </row>
    <row r="1247" spans="1:24" s="337" customFormat="1" ht="12" customHeight="1" outlineLevel="1">
      <c r="A1247" s="335"/>
      <c r="B1247" s="118" t="s">
        <v>12</v>
      </c>
      <c r="C1247" s="334" t="s">
        <v>7294</v>
      </c>
      <c r="D1247" s="124" t="s">
        <v>7295</v>
      </c>
      <c r="E1247" s="125"/>
      <c r="F1247" s="118" t="s">
        <v>433</v>
      </c>
      <c r="G1247" s="126" t="s">
        <v>7093</v>
      </c>
      <c r="H1247" s="255">
        <v>1</v>
      </c>
      <c r="I1247" s="361">
        <v>1</v>
      </c>
      <c r="J1247" s="362" t="s">
        <v>286</v>
      </c>
      <c r="K1247" s="363"/>
      <c r="L1247" s="129"/>
      <c r="M1247" s="129"/>
      <c r="N1247" s="129"/>
      <c r="O1247" s="129"/>
      <c r="P1247" s="364"/>
      <c r="Q1247" s="364"/>
      <c r="R1247" s="129"/>
      <c r="S1247" s="129"/>
      <c r="T1247" s="129"/>
      <c r="W1247" s="129" t="s">
        <v>310</v>
      </c>
      <c r="X1247" s="337" t="b">
        <f t="shared" si="52"/>
        <v>0</v>
      </c>
    </row>
    <row r="1248" spans="1:24" s="337" customFormat="1" ht="12" customHeight="1" outlineLevel="1">
      <c r="A1248" s="335"/>
      <c r="B1248" s="118" t="s">
        <v>12</v>
      </c>
      <c r="C1248" s="334" t="s">
        <v>7296</v>
      </c>
      <c r="D1248" s="124" t="s">
        <v>7297</v>
      </c>
      <c r="E1248" s="125"/>
      <c r="F1248" s="118" t="s">
        <v>433</v>
      </c>
      <c r="G1248" s="126" t="s">
        <v>7093</v>
      </c>
      <c r="H1248" s="255">
        <v>1</v>
      </c>
      <c r="I1248" s="361">
        <v>1</v>
      </c>
      <c r="J1248" s="362" t="s">
        <v>286</v>
      </c>
      <c r="K1248" s="363"/>
      <c r="L1248" s="129"/>
      <c r="M1248" s="129"/>
      <c r="N1248" s="129"/>
      <c r="O1248" s="129"/>
      <c r="P1248" s="364"/>
      <c r="Q1248" s="364"/>
      <c r="R1248" s="129"/>
      <c r="S1248" s="129"/>
      <c r="T1248" s="129"/>
      <c r="W1248" s="129" t="s">
        <v>286</v>
      </c>
      <c r="X1248" s="337" t="b">
        <f t="shared" si="52"/>
        <v>1</v>
      </c>
    </row>
    <row r="1249" spans="1:24" s="337" customFormat="1" ht="12" customHeight="1" outlineLevel="1">
      <c r="A1249" s="335"/>
      <c r="B1249" s="118" t="s">
        <v>12</v>
      </c>
      <c r="C1249" s="334" t="s">
        <v>7298</v>
      </c>
      <c r="D1249" s="124" t="s">
        <v>7299</v>
      </c>
      <c r="E1249" s="125"/>
      <c r="F1249" s="118" t="s">
        <v>433</v>
      </c>
      <c r="G1249" s="126" t="s">
        <v>7093</v>
      </c>
      <c r="H1249" s="255">
        <v>1</v>
      </c>
      <c r="I1249" s="361">
        <v>1</v>
      </c>
      <c r="J1249" s="362" t="s">
        <v>286</v>
      </c>
      <c r="K1249" s="363"/>
      <c r="L1249" s="129"/>
      <c r="M1249" s="129"/>
      <c r="N1249" s="129"/>
      <c r="O1249" s="129"/>
      <c r="P1249" s="364"/>
      <c r="Q1249" s="364"/>
      <c r="R1249" s="129"/>
      <c r="S1249" s="129"/>
      <c r="T1249" s="129"/>
      <c r="W1249" s="129" t="s">
        <v>310</v>
      </c>
      <c r="X1249" s="337" t="b">
        <f t="shared" si="52"/>
        <v>0</v>
      </c>
    </row>
    <row r="1250" spans="1:24" s="337" customFormat="1" ht="12" customHeight="1" outlineLevel="1">
      <c r="A1250" s="335"/>
      <c r="B1250" s="118" t="s">
        <v>12</v>
      </c>
      <c r="C1250" s="334" t="s">
        <v>7300</v>
      </c>
      <c r="D1250" s="124" t="s">
        <v>7301</v>
      </c>
      <c r="E1250" s="125"/>
      <c r="F1250" s="118" t="s">
        <v>433</v>
      </c>
      <c r="G1250" s="126" t="s">
        <v>7093</v>
      </c>
      <c r="H1250" s="255">
        <v>1</v>
      </c>
      <c r="I1250" s="361">
        <v>1</v>
      </c>
      <c r="J1250" s="362" t="s">
        <v>286</v>
      </c>
      <c r="K1250" s="363"/>
      <c r="L1250" s="129"/>
      <c r="M1250" s="129"/>
      <c r="N1250" s="129"/>
      <c r="O1250" s="129"/>
      <c r="P1250" s="364"/>
      <c r="Q1250" s="364"/>
      <c r="R1250" s="129"/>
      <c r="S1250" s="129"/>
      <c r="T1250" s="129"/>
      <c r="W1250" s="129" t="s">
        <v>286</v>
      </c>
      <c r="X1250" s="337" t="b">
        <f t="shared" si="52"/>
        <v>1</v>
      </c>
    </row>
    <row r="1251" spans="1:24" s="337" customFormat="1" ht="12" customHeight="1" outlineLevel="1">
      <c r="A1251" s="335"/>
      <c r="B1251" s="118" t="s">
        <v>12</v>
      </c>
      <c r="C1251" s="334" t="s">
        <v>7302</v>
      </c>
      <c r="D1251" s="124" t="s">
        <v>7303</v>
      </c>
      <c r="E1251" s="125"/>
      <c r="F1251" s="118" t="s">
        <v>433</v>
      </c>
      <c r="G1251" s="126" t="s">
        <v>7093</v>
      </c>
      <c r="H1251" s="255">
        <v>1</v>
      </c>
      <c r="I1251" s="361">
        <v>1</v>
      </c>
      <c r="J1251" s="362" t="s">
        <v>286</v>
      </c>
      <c r="K1251" s="363"/>
      <c r="L1251" s="129"/>
      <c r="M1251" s="129"/>
      <c r="N1251" s="129"/>
      <c r="O1251" s="129"/>
      <c r="P1251" s="364"/>
      <c r="Q1251" s="364"/>
      <c r="R1251" s="129"/>
      <c r="S1251" s="129"/>
      <c r="T1251" s="129"/>
      <c r="W1251" s="129" t="s">
        <v>286</v>
      </c>
      <c r="X1251" s="337" t="b">
        <f t="shared" si="52"/>
        <v>1</v>
      </c>
    </row>
    <row r="1252" spans="1:24" s="337" customFormat="1" ht="12" customHeight="1" outlineLevel="1">
      <c r="A1252" s="335"/>
      <c r="B1252" s="118" t="s">
        <v>12</v>
      </c>
      <c r="C1252" s="334" t="s">
        <v>7304</v>
      </c>
      <c r="D1252" s="124" t="s">
        <v>7305</v>
      </c>
      <c r="E1252" s="125"/>
      <c r="F1252" s="118" t="s">
        <v>433</v>
      </c>
      <c r="G1252" s="126" t="s">
        <v>7093</v>
      </c>
      <c r="H1252" s="255">
        <v>1</v>
      </c>
      <c r="I1252" s="361">
        <v>1</v>
      </c>
      <c r="J1252" s="362" t="s">
        <v>286</v>
      </c>
      <c r="K1252" s="363"/>
      <c r="L1252" s="129"/>
      <c r="M1252" s="129"/>
      <c r="N1252" s="129"/>
      <c r="O1252" s="129"/>
      <c r="P1252" s="364"/>
      <c r="Q1252" s="364"/>
      <c r="R1252" s="129"/>
      <c r="S1252" s="129"/>
      <c r="T1252" s="129"/>
      <c r="W1252" s="129" t="s">
        <v>286</v>
      </c>
      <c r="X1252" s="337" t="b">
        <f t="shared" si="52"/>
        <v>1</v>
      </c>
    </row>
    <row r="1253" spans="1:24" s="337" customFormat="1" ht="12" customHeight="1" outlineLevel="1">
      <c r="A1253" s="335"/>
      <c r="B1253" s="118" t="s">
        <v>12</v>
      </c>
      <c r="C1253" s="334" t="s">
        <v>7306</v>
      </c>
      <c r="D1253" s="124" t="s">
        <v>7307</v>
      </c>
      <c r="E1253" s="125"/>
      <c r="F1253" s="118" t="s">
        <v>433</v>
      </c>
      <c r="G1253" s="126" t="s">
        <v>7308</v>
      </c>
      <c r="H1253" s="255">
        <v>2</v>
      </c>
      <c r="I1253" s="361">
        <v>1</v>
      </c>
      <c r="J1253" s="362" t="s">
        <v>307</v>
      </c>
      <c r="K1253" s="363"/>
      <c r="L1253" s="129"/>
      <c r="M1253" s="129"/>
      <c r="N1253" s="129"/>
      <c r="O1253" s="129"/>
      <c r="P1253" s="364"/>
      <c r="Q1253" s="364"/>
      <c r="R1253" s="129"/>
      <c r="S1253" s="129"/>
      <c r="T1253" s="129"/>
      <c r="W1253" s="129" t="s">
        <v>310</v>
      </c>
      <c r="X1253" s="337" t="b">
        <f t="shared" si="52"/>
        <v>0</v>
      </c>
    </row>
    <row r="1254" spans="1:24" s="337" customFormat="1" ht="12" customHeight="1" outlineLevel="1">
      <c r="A1254" s="335"/>
      <c r="B1254" s="118" t="s">
        <v>12</v>
      </c>
      <c r="C1254" s="334" t="s">
        <v>7309</v>
      </c>
      <c r="D1254" s="124" t="s">
        <v>7310</v>
      </c>
      <c r="E1254" s="125"/>
      <c r="F1254" s="118" t="s">
        <v>433</v>
      </c>
      <c r="G1254" s="126" t="s">
        <v>7308</v>
      </c>
      <c r="H1254" s="255">
        <v>2</v>
      </c>
      <c r="I1254" s="361">
        <v>1</v>
      </c>
      <c r="J1254" s="362" t="s">
        <v>286</v>
      </c>
      <c r="K1254" s="363"/>
      <c r="L1254" s="129"/>
      <c r="M1254" s="129"/>
      <c r="N1254" s="129"/>
      <c r="O1254" s="129"/>
      <c r="P1254" s="364"/>
      <c r="Q1254" s="364"/>
      <c r="R1254" s="129"/>
      <c r="S1254" s="129"/>
      <c r="T1254" s="129"/>
      <c r="W1254" s="129" t="s">
        <v>4876</v>
      </c>
      <c r="X1254" s="337" t="b">
        <f t="shared" si="52"/>
        <v>0</v>
      </c>
    </row>
    <row r="1255" spans="1:24" s="337" customFormat="1" ht="12" customHeight="1" outlineLevel="1">
      <c r="A1255" s="335"/>
      <c r="B1255" s="118" t="s">
        <v>12</v>
      </c>
      <c r="C1255" s="334" t="s">
        <v>7311</v>
      </c>
      <c r="D1255" s="124" t="s">
        <v>7312</v>
      </c>
      <c r="E1255" s="125"/>
      <c r="F1255" s="118" t="s">
        <v>433</v>
      </c>
      <c r="G1255" s="126" t="s">
        <v>7308</v>
      </c>
      <c r="H1255" s="255">
        <v>2</v>
      </c>
      <c r="I1255" s="361">
        <v>1</v>
      </c>
      <c r="J1255" s="362" t="s">
        <v>310</v>
      </c>
      <c r="K1255" s="363"/>
      <c r="L1255" s="129"/>
      <c r="M1255" s="129"/>
      <c r="N1255" s="129"/>
      <c r="O1255" s="129"/>
      <c r="P1255" s="364"/>
      <c r="Q1255" s="364"/>
      <c r="R1255" s="129"/>
      <c r="S1255" s="129"/>
      <c r="T1255" s="129"/>
      <c r="W1255" s="129" t="s">
        <v>4876</v>
      </c>
      <c r="X1255" s="337" t="b">
        <f t="shared" si="52"/>
        <v>0</v>
      </c>
    </row>
    <row r="1256" spans="1:24" s="337" customFormat="1" ht="12" customHeight="1" outlineLevel="1">
      <c r="A1256" s="335"/>
      <c r="B1256" s="118" t="s">
        <v>12</v>
      </c>
      <c r="C1256" s="334" t="s">
        <v>7313</v>
      </c>
      <c r="D1256" s="124" t="s">
        <v>7314</v>
      </c>
      <c r="E1256" s="125"/>
      <c r="F1256" s="118" t="s">
        <v>433</v>
      </c>
      <c r="G1256" s="126" t="s">
        <v>7308</v>
      </c>
      <c r="H1256" s="255">
        <v>2</v>
      </c>
      <c r="I1256" s="361">
        <v>1</v>
      </c>
      <c r="J1256" s="362" t="s">
        <v>310</v>
      </c>
      <c r="K1256" s="363"/>
      <c r="L1256" s="129"/>
      <c r="M1256" s="129"/>
      <c r="N1256" s="129"/>
      <c r="O1256" s="129"/>
      <c r="P1256" s="364"/>
      <c r="Q1256" s="364"/>
      <c r="R1256" s="129"/>
      <c r="S1256" s="129"/>
      <c r="T1256" s="129"/>
      <c r="W1256" s="129" t="s">
        <v>4876</v>
      </c>
      <c r="X1256" s="337" t="b">
        <f t="shared" si="52"/>
        <v>0</v>
      </c>
    </row>
    <row r="1257" spans="1:24" s="337" customFormat="1" ht="12" customHeight="1" outlineLevel="1">
      <c r="A1257" s="335"/>
      <c r="B1257" s="118" t="s">
        <v>12</v>
      </c>
      <c r="C1257" s="334" t="s">
        <v>7315</v>
      </c>
      <c r="D1257" s="124" t="s">
        <v>7316</v>
      </c>
      <c r="E1257" s="125"/>
      <c r="F1257" s="118" t="s">
        <v>433</v>
      </c>
      <c r="G1257" s="126" t="s">
        <v>7308</v>
      </c>
      <c r="H1257" s="255">
        <v>2</v>
      </c>
      <c r="I1257" s="361">
        <v>1</v>
      </c>
      <c r="J1257" s="362" t="s">
        <v>310</v>
      </c>
      <c r="K1257" s="363"/>
      <c r="L1257" s="129"/>
      <c r="M1257" s="129"/>
      <c r="N1257" s="129"/>
      <c r="O1257" s="129"/>
      <c r="P1257" s="364"/>
      <c r="Q1257" s="364"/>
      <c r="R1257" s="129"/>
      <c r="S1257" s="129"/>
      <c r="T1257" s="129"/>
      <c r="W1257" s="129" t="s">
        <v>4876</v>
      </c>
      <c r="X1257" s="337" t="b">
        <f t="shared" si="52"/>
        <v>0</v>
      </c>
    </row>
    <row r="1258" spans="1:24" s="337" customFormat="1" ht="12" customHeight="1" outlineLevel="1">
      <c r="A1258" s="335"/>
      <c r="B1258" s="118" t="s">
        <v>12</v>
      </c>
      <c r="C1258" s="334" t="s">
        <v>7317</v>
      </c>
      <c r="D1258" s="124" t="s">
        <v>7318</v>
      </c>
      <c r="E1258" s="125"/>
      <c r="F1258" s="118" t="s">
        <v>433</v>
      </c>
      <c r="G1258" s="126" t="s">
        <v>7308</v>
      </c>
      <c r="H1258" s="255">
        <v>2</v>
      </c>
      <c r="I1258" s="361">
        <v>1</v>
      </c>
      <c r="J1258" s="362" t="s">
        <v>286</v>
      </c>
      <c r="K1258" s="363"/>
      <c r="L1258" s="129"/>
      <c r="M1258" s="129"/>
      <c r="N1258" s="129"/>
      <c r="O1258" s="129"/>
      <c r="P1258" s="364"/>
      <c r="Q1258" s="364"/>
      <c r="R1258" s="129"/>
      <c r="S1258" s="129"/>
      <c r="T1258" s="129"/>
      <c r="W1258" s="129" t="s">
        <v>4876</v>
      </c>
      <c r="X1258" s="337" t="b">
        <f t="shared" si="52"/>
        <v>0</v>
      </c>
    </row>
    <row r="1259" spans="1:24" s="337" customFormat="1" ht="12" customHeight="1" outlineLevel="1">
      <c r="A1259" s="335"/>
      <c r="B1259" s="118" t="s">
        <v>12</v>
      </c>
      <c r="C1259" s="334" t="s">
        <v>7319</v>
      </c>
      <c r="D1259" s="124" t="s">
        <v>7320</v>
      </c>
      <c r="E1259" s="125"/>
      <c r="F1259" s="118" t="s">
        <v>433</v>
      </c>
      <c r="G1259" s="126" t="s">
        <v>7308</v>
      </c>
      <c r="H1259" s="255">
        <v>2</v>
      </c>
      <c r="I1259" s="361">
        <v>1</v>
      </c>
      <c r="J1259" s="362" t="s">
        <v>286</v>
      </c>
      <c r="K1259" s="363"/>
      <c r="L1259" s="129"/>
      <c r="M1259" s="129"/>
      <c r="N1259" s="129"/>
      <c r="O1259" s="129"/>
      <c r="P1259" s="364"/>
      <c r="Q1259" s="364"/>
      <c r="R1259" s="129"/>
      <c r="S1259" s="129"/>
      <c r="T1259" s="129"/>
      <c r="W1259" s="129" t="s">
        <v>286</v>
      </c>
      <c r="X1259" s="337" t="b">
        <f t="shared" si="52"/>
        <v>1</v>
      </c>
    </row>
    <row r="1260" spans="1:24" s="337" customFormat="1" ht="12" customHeight="1" outlineLevel="1">
      <c r="A1260" s="335"/>
      <c r="B1260" s="118" t="s">
        <v>12</v>
      </c>
      <c r="C1260" s="334" t="s">
        <v>7321</v>
      </c>
      <c r="D1260" s="124" t="s">
        <v>7322</v>
      </c>
      <c r="E1260" s="125"/>
      <c r="F1260" s="118" t="s">
        <v>433</v>
      </c>
      <c r="G1260" s="126" t="s">
        <v>7308</v>
      </c>
      <c r="H1260" s="255">
        <v>2</v>
      </c>
      <c r="I1260" s="361">
        <v>1</v>
      </c>
      <c r="J1260" s="362" t="s">
        <v>286</v>
      </c>
      <c r="K1260" s="363"/>
      <c r="L1260" s="129"/>
      <c r="M1260" s="129"/>
      <c r="N1260" s="129"/>
      <c r="O1260" s="129"/>
      <c r="P1260" s="364"/>
      <c r="Q1260" s="364"/>
      <c r="R1260" s="129"/>
      <c r="S1260" s="129"/>
      <c r="T1260" s="129"/>
      <c r="W1260" s="129" t="s">
        <v>286</v>
      </c>
      <c r="X1260" s="337" t="b">
        <f t="shared" si="52"/>
        <v>1</v>
      </c>
    </row>
    <row r="1261" spans="1:24" s="337" customFormat="1" ht="12" customHeight="1" outlineLevel="1">
      <c r="A1261" s="335"/>
      <c r="B1261" s="118" t="s">
        <v>12</v>
      </c>
      <c r="C1261" s="334" t="s">
        <v>7323</v>
      </c>
      <c r="D1261" s="124" t="s">
        <v>7324</v>
      </c>
      <c r="E1261" s="125"/>
      <c r="F1261" s="118" t="s">
        <v>433</v>
      </c>
      <c r="G1261" s="126" t="s">
        <v>7308</v>
      </c>
      <c r="H1261" s="255">
        <v>2</v>
      </c>
      <c r="I1261" s="361">
        <v>1</v>
      </c>
      <c r="J1261" s="362" t="s">
        <v>286</v>
      </c>
      <c r="K1261" s="363"/>
      <c r="L1261" s="129"/>
      <c r="M1261" s="129"/>
      <c r="N1261" s="129"/>
      <c r="O1261" s="129"/>
      <c r="P1261" s="364"/>
      <c r="Q1261" s="364"/>
      <c r="R1261" s="129"/>
      <c r="S1261" s="129"/>
      <c r="T1261" s="129"/>
      <c r="W1261" s="129" t="s">
        <v>286</v>
      </c>
      <c r="X1261" s="337" t="b">
        <f t="shared" si="52"/>
        <v>1</v>
      </c>
    </row>
    <row r="1262" spans="1:24" s="337" customFormat="1" ht="12" customHeight="1" outlineLevel="1">
      <c r="A1262" s="335"/>
      <c r="B1262" s="118" t="s">
        <v>12</v>
      </c>
      <c r="C1262" s="334" t="s">
        <v>7325</v>
      </c>
      <c r="D1262" s="124" t="s">
        <v>7326</v>
      </c>
      <c r="E1262" s="125"/>
      <c r="F1262" s="118" t="s">
        <v>433</v>
      </c>
      <c r="G1262" s="126" t="s">
        <v>7308</v>
      </c>
      <c r="H1262" s="255">
        <v>2</v>
      </c>
      <c r="I1262" s="361">
        <v>1</v>
      </c>
      <c r="J1262" s="362" t="s">
        <v>286</v>
      </c>
      <c r="K1262" s="363"/>
      <c r="L1262" s="129"/>
      <c r="M1262" s="129"/>
      <c r="N1262" s="129"/>
      <c r="O1262" s="129"/>
      <c r="P1262" s="364"/>
      <c r="Q1262" s="364"/>
      <c r="R1262" s="129"/>
      <c r="S1262" s="129"/>
      <c r="T1262" s="129"/>
      <c r="W1262" s="129" t="s">
        <v>286</v>
      </c>
      <c r="X1262" s="337" t="b">
        <f t="shared" si="52"/>
        <v>1</v>
      </c>
    </row>
    <row r="1263" spans="1:24" s="337" customFormat="1" ht="12" customHeight="1" outlineLevel="1">
      <c r="A1263" s="335"/>
      <c r="B1263" s="118" t="s">
        <v>12</v>
      </c>
      <c r="C1263" s="334" t="s">
        <v>7327</v>
      </c>
      <c r="D1263" s="124" t="s">
        <v>7328</v>
      </c>
      <c r="E1263" s="125"/>
      <c r="F1263" s="118" t="s">
        <v>433</v>
      </c>
      <c r="G1263" s="126" t="s">
        <v>7308</v>
      </c>
      <c r="H1263" s="255">
        <v>2</v>
      </c>
      <c r="I1263" s="361">
        <v>1</v>
      </c>
      <c r="J1263" s="362" t="s">
        <v>286</v>
      </c>
      <c r="K1263" s="363"/>
      <c r="L1263" s="129"/>
      <c r="M1263" s="129"/>
      <c r="N1263" s="129"/>
      <c r="O1263" s="129"/>
      <c r="P1263" s="364"/>
      <c r="Q1263" s="364"/>
      <c r="R1263" s="129"/>
      <c r="S1263" s="129"/>
      <c r="T1263" s="129"/>
      <c r="W1263" s="129" t="s">
        <v>286</v>
      </c>
      <c r="X1263" s="337" t="b">
        <f t="shared" si="52"/>
        <v>1</v>
      </c>
    </row>
    <row r="1264" spans="1:24" s="337" customFormat="1" ht="12" customHeight="1" outlineLevel="1">
      <c r="A1264" s="335"/>
      <c r="B1264" s="118" t="s">
        <v>12</v>
      </c>
      <c r="C1264" s="334" t="s">
        <v>7329</v>
      </c>
      <c r="D1264" s="124" t="s">
        <v>7330</v>
      </c>
      <c r="E1264" s="125"/>
      <c r="F1264" s="118" t="s">
        <v>433</v>
      </c>
      <c r="G1264" s="126" t="s">
        <v>7331</v>
      </c>
      <c r="H1264" s="255">
        <v>4</v>
      </c>
      <c r="I1264" s="361">
        <v>1</v>
      </c>
      <c r="J1264" s="362" t="s">
        <v>286</v>
      </c>
      <c r="K1264" s="363"/>
      <c r="L1264" s="129"/>
      <c r="M1264" s="129"/>
      <c r="N1264" s="129"/>
      <c r="O1264" s="129"/>
      <c r="P1264" s="364"/>
      <c r="Q1264" s="364"/>
      <c r="R1264" s="129"/>
      <c r="S1264" s="129"/>
      <c r="T1264" s="129"/>
      <c r="W1264" s="129" t="s">
        <v>286</v>
      </c>
      <c r="X1264" s="337" t="b">
        <f t="shared" si="52"/>
        <v>1</v>
      </c>
    </row>
    <row r="1265" spans="1:24" s="337" customFormat="1" ht="12" customHeight="1" outlineLevel="1">
      <c r="A1265" s="335"/>
      <c r="B1265" s="118" t="s">
        <v>12</v>
      </c>
      <c r="C1265" s="334" t="s">
        <v>7332</v>
      </c>
      <c r="D1265" s="124" t="s">
        <v>7333</v>
      </c>
      <c r="E1265" s="125"/>
      <c r="F1265" s="118" t="s">
        <v>433</v>
      </c>
      <c r="G1265" s="126" t="s">
        <v>7334</v>
      </c>
      <c r="H1265" s="255">
        <v>5</v>
      </c>
      <c r="I1265" s="361">
        <v>1</v>
      </c>
      <c r="J1265" s="362" t="s">
        <v>310</v>
      </c>
      <c r="K1265" s="363"/>
      <c r="L1265" s="129"/>
      <c r="M1265" s="129"/>
      <c r="N1265" s="129"/>
      <c r="O1265" s="129"/>
      <c r="P1265" s="364"/>
      <c r="Q1265" s="364"/>
      <c r="R1265" s="129"/>
      <c r="S1265" s="129"/>
      <c r="T1265" s="129"/>
      <c r="W1265" s="129" t="s">
        <v>310</v>
      </c>
      <c r="X1265" s="337" t="b">
        <f t="shared" si="52"/>
        <v>1</v>
      </c>
    </row>
    <row r="1266" spans="1:24" s="337" customFormat="1" ht="12" customHeight="1" outlineLevel="1">
      <c r="A1266" s="335"/>
      <c r="B1266" s="118" t="s">
        <v>12</v>
      </c>
      <c r="C1266" s="334" t="s">
        <v>7335</v>
      </c>
      <c r="D1266" s="124" t="s">
        <v>7336</v>
      </c>
      <c r="E1266" s="125"/>
      <c r="F1266" s="118" t="s">
        <v>433</v>
      </c>
      <c r="G1266" s="126" t="s">
        <v>7334</v>
      </c>
      <c r="H1266" s="255">
        <v>5</v>
      </c>
      <c r="I1266" s="361">
        <v>1</v>
      </c>
      <c r="J1266" s="362" t="s">
        <v>6147</v>
      </c>
      <c r="K1266" s="363"/>
      <c r="L1266" s="129"/>
      <c r="M1266" s="129"/>
      <c r="N1266" s="129"/>
      <c r="O1266" s="129"/>
      <c r="P1266" s="364"/>
      <c r="Q1266" s="364"/>
      <c r="R1266" s="129"/>
      <c r="S1266" s="129"/>
      <c r="T1266" s="129"/>
      <c r="W1266" s="129" t="s">
        <v>307</v>
      </c>
      <c r="X1266" s="337" t="b">
        <f t="shared" si="52"/>
        <v>0</v>
      </c>
    </row>
    <row r="1267" spans="1:24" s="337" customFormat="1" ht="12" customHeight="1" outlineLevel="1">
      <c r="A1267" s="335"/>
      <c r="B1267" s="118" t="s">
        <v>12</v>
      </c>
      <c r="C1267" s="334" t="s">
        <v>7337</v>
      </c>
      <c r="D1267" s="124" t="s">
        <v>7338</v>
      </c>
      <c r="E1267" s="125"/>
      <c r="F1267" s="118" t="s">
        <v>433</v>
      </c>
      <c r="G1267" s="126" t="s">
        <v>7334</v>
      </c>
      <c r="H1267" s="255">
        <v>5</v>
      </c>
      <c r="I1267" s="361">
        <v>1</v>
      </c>
      <c r="J1267" s="362" t="s">
        <v>310</v>
      </c>
      <c r="K1267" s="363"/>
      <c r="L1267" s="129"/>
      <c r="M1267" s="129"/>
      <c r="N1267" s="129"/>
      <c r="O1267" s="129"/>
      <c r="P1267" s="364"/>
      <c r="Q1267" s="364"/>
      <c r="R1267" s="129"/>
      <c r="S1267" s="129"/>
      <c r="T1267" s="129"/>
      <c r="W1267" s="129" t="s">
        <v>310</v>
      </c>
      <c r="X1267" s="337" t="b">
        <f t="shared" si="52"/>
        <v>1</v>
      </c>
    </row>
    <row r="1268" spans="1:24" s="337" customFormat="1" ht="12" customHeight="1" outlineLevel="1">
      <c r="A1268" s="335"/>
      <c r="B1268" s="118" t="s">
        <v>12</v>
      </c>
      <c r="C1268" s="334" t="s">
        <v>7339</v>
      </c>
      <c r="D1268" s="124" t="s">
        <v>7340</v>
      </c>
      <c r="E1268" s="125"/>
      <c r="F1268" s="118" t="s">
        <v>433</v>
      </c>
      <c r="G1268" s="126" t="s">
        <v>7334</v>
      </c>
      <c r="H1268" s="255">
        <v>5</v>
      </c>
      <c r="I1268" s="361">
        <v>1</v>
      </c>
      <c r="J1268" s="362" t="s">
        <v>6147</v>
      </c>
      <c r="K1268" s="363"/>
      <c r="L1268" s="129"/>
      <c r="M1268" s="129"/>
      <c r="N1268" s="129"/>
      <c r="O1268" s="129"/>
      <c r="P1268" s="364"/>
      <c r="Q1268" s="364"/>
      <c r="R1268" s="129"/>
      <c r="S1268" s="129"/>
      <c r="T1268" s="129"/>
      <c r="W1268" s="129" t="s">
        <v>286</v>
      </c>
      <c r="X1268" s="337" t="b">
        <f t="shared" si="52"/>
        <v>0</v>
      </c>
    </row>
    <row r="1269" spans="1:24" s="337" customFormat="1" ht="12" customHeight="1" outlineLevel="1">
      <c r="A1269" s="335"/>
      <c r="B1269" s="118" t="s">
        <v>12</v>
      </c>
      <c r="C1269" s="334" t="s">
        <v>7341</v>
      </c>
      <c r="D1269" s="124" t="s">
        <v>7342</v>
      </c>
      <c r="E1269" s="125"/>
      <c r="F1269" s="118" t="s">
        <v>433</v>
      </c>
      <c r="G1269" s="126" t="s">
        <v>7334</v>
      </c>
      <c r="H1269" s="255">
        <v>5</v>
      </c>
      <c r="I1269" s="361">
        <v>1</v>
      </c>
      <c r="J1269" s="362" t="s">
        <v>310</v>
      </c>
      <c r="K1269" s="363"/>
      <c r="L1269" s="129"/>
      <c r="M1269" s="129"/>
      <c r="N1269" s="129"/>
      <c r="O1269" s="129"/>
      <c r="P1269" s="364"/>
      <c r="Q1269" s="364"/>
      <c r="R1269" s="129"/>
      <c r="S1269" s="129"/>
      <c r="T1269" s="129"/>
      <c r="W1269" s="129" t="s">
        <v>286</v>
      </c>
      <c r="X1269" s="337" t="b">
        <f t="shared" si="52"/>
        <v>0</v>
      </c>
    </row>
    <row r="1270" spans="1:24" s="337" customFormat="1" ht="12" customHeight="1" outlineLevel="1">
      <c r="A1270" s="335"/>
      <c r="B1270" s="118" t="s">
        <v>12</v>
      </c>
      <c r="C1270" s="334" t="s">
        <v>7343</v>
      </c>
      <c r="D1270" s="124" t="s">
        <v>7344</v>
      </c>
      <c r="E1270" s="125"/>
      <c r="F1270" s="118" t="s">
        <v>433</v>
      </c>
      <c r="G1270" s="126" t="s">
        <v>7334</v>
      </c>
      <c r="H1270" s="255">
        <v>5</v>
      </c>
      <c r="I1270" s="361">
        <v>1</v>
      </c>
      <c r="J1270" s="362" t="s">
        <v>310</v>
      </c>
      <c r="K1270" s="363"/>
      <c r="L1270" s="129"/>
      <c r="M1270" s="129"/>
      <c r="N1270" s="129"/>
      <c r="O1270" s="129"/>
      <c r="P1270" s="364"/>
      <c r="Q1270" s="364"/>
      <c r="R1270" s="129"/>
      <c r="S1270" s="129"/>
      <c r="T1270" s="129"/>
      <c r="W1270" s="129" t="s">
        <v>286</v>
      </c>
      <c r="X1270" s="337" t="b">
        <f t="shared" si="52"/>
        <v>0</v>
      </c>
    </row>
    <row r="1271" spans="1:24" s="337" customFormat="1" ht="12" customHeight="1" outlineLevel="1">
      <c r="A1271" s="335"/>
      <c r="B1271" s="118" t="s">
        <v>12</v>
      </c>
      <c r="C1271" s="334" t="s">
        <v>7345</v>
      </c>
      <c r="D1271" s="124" t="s">
        <v>7346</v>
      </c>
      <c r="E1271" s="125"/>
      <c r="F1271" s="118" t="s">
        <v>433</v>
      </c>
      <c r="G1271" s="126" t="s">
        <v>7334</v>
      </c>
      <c r="H1271" s="255">
        <v>5</v>
      </c>
      <c r="I1271" s="361">
        <v>1</v>
      </c>
      <c r="J1271" s="362" t="s">
        <v>743</v>
      </c>
      <c r="K1271" s="363"/>
      <c r="L1271" s="129"/>
      <c r="M1271" s="129"/>
      <c r="N1271" s="129"/>
      <c r="O1271" s="129"/>
      <c r="P1271" s="364"/>
      <c r="Q1271" s="364"/>
      <c r="R1271" s="129"/>
      <c r="S1271" s="129"/>
      <c r="T1271" s="129"/>
      <c r="W1271" s="129" t="s">
        <v>310</v>
      </c>
      <c r="X1271" s="337" t="b">
        <f t="shared" si="52"/>
        <v>0</v>
      </c>
    </row>
    <row r="1272" spans="1:24" s="337" customFormat="1" ht="12" customHeight="1" outlineLevel="1">
      <c r="A1272" s="335"/>
      <c r="B1272" s="118" t="s">
        <v>12</v>
      </c>
      <c r="C1272" s="334" t="s">
        <v>7347</v>
      </c>
      <c r="D1272" s="124" t="s">
        <v>7348</v>
      </c>
      <c r="E1272" s="125"/>
      <c r="F1272" s="118" t="s">
        <v>433</v>
      </c>
      <c r="G1272" s="126" t="s">
        <v>7334</v>
      </c>
      <c r="H1272" s="255">
        <v>5</v>
      </c>
      <c r="I1272" s="361">
        <v>1</v>
      </c>
      <c r="J1272" s="362" t="s">
        <v>310</v>
      </c>
      <c r="K1272" s="363"/>
      <c r="L1272" s="129"/>
      <c r="M1272" s="129"/>
      <c r="N1272" s="129"/>
      <c r="O1272" s="129"/>
      <c r="P1272" s="364"/>
      <c r="Q1272" s="364"/>
      <c r="R1272" s="129"/>
      <c r="S1272" s="129"/>
      <c r="T1272" s="129"/>
      <c r="W1272" s="129" t="s">
        <v>310</v>
      </c>
      <c r="X1272" s="337" t="b">
        <f t="shared" si="52"/>
        <v>1</v>
      </c>
    </row>
    <row r="1273" spans="1:24" s="337" customFormat="1" ht="12" customHeight="1" outlineLevel="1">
      <c r="A1273" s="335"/>
      <c r="B1273" s="118" t="s">
        <v>12</v>
      </c>
      <c r="C1273" s="334" t="s">
        <v>7349</v>
      </c>
      <c r="D1273" s="124" t="s">
        <v>7350</v>
      </c>
      <c r="E1273" s="125"/>
      <c r="F1273" s="118" t="s">
        <v>433</v>
      </c>
      <c r="G1273" s="126" t="s">
        <v>7334</v>
      </c>
      <c r="H1273" s="255">
        <v>5</v>
      </c>
      <c r="I1273" s="361">
        <v>1</v>
      </c>
      <c r="J1273" s="362" t="s">
        <v>743</v>
      </c>
      <c r="K1273" s="363"/>
      <c r="L1273" s="129"/>
      <c r="M1273" s="129"/>
      <c r="N1273" s="129"/>
      <c r="O1273" s="129"/>
      <c r="P1273" s="364"/>
      <c r="Q1273" s="364"/>
      <c r="R1273" s="129"/>
      <c r="S1273" s="129"/>
      <c r="T1273" s="129"/>
      <c r="W1273" s="129" t="s">
        <v>310</v>
      </c>
      <c r="X1273" s="337" t="b">
        <f t="shared" si="52"/>
        <v>0</v>
      </c>
    </row>
    <row r="1274" spans="1:24" s="337" customFormat="1" ht="12" customHeight="1" outlineLevel="1">
      <c r="A1274" s="335"/>
      <c r="B1274" s="118" t="s">
        <v>12</v>
      </c>
      <c r="C1274" s="334" t="s">
        <v>7351</v>
      </c>
      <c r="D1274" s="124" t="s">
        <v>7352</v>
      </c>
      <c r="E1274" s="125"/>
      <c r="F1274" s="118" t="s">
        <v>433</v>
      </c>
      <c r="G1274" s="126" t="s">
        <v>7334</v>
      </c>
      <c r="H1274" s="255">
        <v>5</v>
      </c>
      <c r="I1274" s="361">
        <v>1</v>
      </c>
      <c r="J1274" s="362" t="s">
        <v>310</v>
      </c>
      <c r="K1274" s="363"/>
      <c r="L1274" s="129"/>
      <c r="M1274" s="129"/>
      <c r="N1274" s="129"/>
      <c r="O1274" s="129"/>
      <c r="P1274" s="364"/>
      <c r="Q1274" s="364"/>
      <c r="R1274" s="129"/>
      <c r="S1274" s="129"/>
      <c r="T1274" s="129"/>
      <c r="W1274" s="129" t="s">
        <v>310</v>
      </c>
      <c r="X1274" s="337" t="b">
        <f t="shared" ref="X1274:X1337" si="53">W1274=J1274</f>
        <v>1</v>
      </c>
    </row>
    <row r="1275" spans="1:24" s="337" customFormat="1" ht="12" customHeight="1" outlineLevel="1">
      <c r="A1275" s="335"/>
      <c r="B1275" s="118" t="s">
        <v>12</v>
      </c>
      <c r="C1275" s="334" t="s">
        <v>7353</v>
      </c>
      <c r="D1275" s="124" t="s">
        <v>7354</v>
      </c>
      <c r="E1275" s="125"/>
      <c r="F1275" s="118" t="s">
        <v>433</v>
      </c>
      <c r="G1275" s="126" t="s">
        <v>7334</v>
      </c>
      <c r="H1275" s="255">
        <v>5</v>
      </c>
      <c r="I1275" s="361">
        <v>1</v>
      </c>
      <c r="J1275" s="362" t="s">
        <v>310</v>
      </c>
      <c r="K1275" s="363"/>
      <c r="L1275" s="129"/>
      <c r="M1275" s="129"/>
      <c r="N1275" s="129"/>
      <c r="O1275" s="129"/>
      <c r="P1275" s="364"/>
      <c r="Q1275" s="364"/>
      <c r="R1275" s="129"/>
      <c r="S1275" s="129"/>
      <c r="T1275" s="129"/>
      <c r="W1275" s="129" t="s">
        <v>310</v>
      </c>
      <c r="X1275" s="337" t="b">
        <f t="shared" si="53"/>
        <v>1</v>
      </c>
    </row>
    <row r="1276" spans="1:24" s="337" customFormat="1" ht="12" customHeight="1" outlineLevel="1">
      <c r="A1276" s="335"/>
      <c r="B1276" s="118" t="s">
        <v>12</v>
      </c>
      <c r="C1276" s="334" t="s">
        <v>7355</v>
      </c>
      <c r="D1276" s="124" t="s">
        <v>7356</v>
      </c>
      <c r="E1276" s="125"/>
      <c r="F1276" s="118" t="s">
        <v>433</v>
      </c>
      <c r="G1276" s="126" t="s">
        <v>7334</v>
      </c>
      <c r="H1276" s="255">
        <v>5</v>
      </c>
      <c r="I1276" s="361">
        <v>1</v>
      </c>
      <c r="J1276" s="362" t="s">
        <v>286</v>
      </c>
      <c r="K1276" s="363"/>
      <c r="L1276" s="129"/>
      <c r="M1276" s="129"/>
      <c r="N1276" s="129"/>
      <c r="O1276" s="129"/>
      <c r="P1276" s="364"/>
      <c r="Q1276" s="364"/>
      <c r="R1276" s="129"/>
      <c r="S1276" s="129"/>
      <c r="T1276" s="129"/>
      <c r="W1276" s="129" t="s">
        <v>286</v>
      </c>
      <c r="X1276" s="337" t="b">
        <f t="shared" si="53"/>
        <v>1</v>
      </c>
    </row>
    <row r="1277" spans="1:24" s="337" customFormat="1" ht="12" customHeight="1" outlineLevel="1">
      <c r="A1277" s="335"/>
      <c r="B1277" s="118" t="s">
        <v>12</v>
      </c>
      <c r="C1277" s="334" t="s">
        <v>7357</v>
      </c>
      <c r="D1277" s="124" t="s">
        <v>7358</v>
      </c>
      <c r="E1277" s="125"/>
      <c r="F1277" s="118" t="s">
        <v>433</v>
      </c>
      <c r="G1277" s="126" t="s">
        <v>7334</v>
      </c>
      <c r="H1277" s="255">
        <v>5</v>
      </c>
      <c r="I1277" s="361">
        <v>1</v>
      </c>
      <c r="J1277" s="362" t="s">
        <v>286</v>
      </c>
      <c r="K1277" s="363"/>
      <c r="L1277" s="129"/>
      <c r="M1277" s="129"/>
      <c r="N1277" s="129"/>
      <c r="O1277" s="129"/>
      <c r="P1277" s="364"/>
      <c r="Q1277" s="364"/>
      <c r="R1277" s="129"/>
      <c r="S1277" s="129"/>
      <c r="T1277" s="129"/>
      <c r="W1277" s="129" t="s">
        <v>286</v>
      </c>
      <c r="X1277" s="337" t="b">
        <f t="shared" si="53"/>
        <v>1</v>
      </c>
    </row>
    <row r="1278" spans="1:24" s="337" customFormat="1" ht="12" customHeight="1" outlineLevel="1">
      <c r="A1278" s="335"/>
      <c r="B1278" s="118" t="s">
        <v>12</v>
      </c>
      <c r="C1278" s="334" t="s">
        <v>7359</v>
      </c>
      <c r="D1278" s="124" t="s">
        <v>7360</v>
      </c>
      <c r="E1278" s="125"/>
      <c r="F1278" s="118" t="s">
        <v>433</v>
      </c>
      <c r="G1278" s="126" t="s">
        <v>7334</v>
      </c>
      <c r="H1278" s="255">
        <v>5</v>
      </c>
      <c r="I1278" s="361">
        <v>1</v>
      </c>
      <c r="J1278" s="362" t="s">
        <v>310</v>
      </c>
      <c r="K1278" s="363"/>
      <c r="L1278" s="129"/>
      <c r="M1278" s="129"/>
      <c r="N1278" s="129"/>
      <c r="O1278" s="129"/>
      <c r="P1278" s="364"/>
      <c r="Q1278" s="364"/>
      <c r="R1278" s="129"/>
      <c r="S1278" s="129"/>
      <c r="T1278" s="129"/>
      <c r="W1278" s="129" t="s">
        <v>286</v>
      </c>
      <c r="X1278" s="337" t="b">
        <f t="shared" si="53"/>
        <v>0</v>
      </c>
    </row>
    <row r="1279" spans="1:24" s="337" customFormat="1" ht="12" customHeight="1" outlineLevel="1">
      <c r="A1279" s="335"/>
      <c r="B1279" s="118" t="s">
        <v>12</v>
      </c>
      <c r="C1279" s="334" t="s">
        <v>7361</v>
      </c>
      <c r="D1279" s="124" t="s">
        <v>7362</v>
      </c>
      <c r="E1279" s="125"/>
      <c r="F1279" s="118" t="s">
        <v>433</v>
      </c>
      <c r="G1279" s="126" t="s">
        <v>7334</v>
      </c>
      <c r="H1279" s="255">
        <v>5</v>
      </c>
      <c r="I1279" s="361">
        <v>1</v>
      </c>
      <c r="J1279" s="362" t="s">
        <v>310</v>
      </c>
      <c r="K1279" s="363"/>
      <c r="L1279" s="129"/>
      <c r="M1279" s="129"/>
      <c r="N1279" s="129"/>
      <c r="O1279" s="129"/>
      <c r="P1279" s="364"/>
      <c r="Q1279" s="364"/>
      <c r="R1279" s="129"/>
      <c r="S1279" s="129"/>
      <c r="T1279" s="129"/>
      <c r="W1279" s="129" t="s">
        <v>286</v>
      </c>
      <c r="X1279" s="337" t="b">
        <f t="shared" si="53"/>
        <v>0</v>
      </c>
    </row>
    <row r="1280" spans="1:24" s="337" customFormat="1" ht="12" customHeight="1" outlineLevel="1">
      <c r="A1280" s="335"/>
      <c r="B1280" s="118" t="s">
        <v>12</v>
      </c>
      <c r="C1280" s="334" t="s">
        <v>7363</v>
      </c>
      <c r="D1280" s="124" t="s">
        <v>7364</v>
      </c>
      <c r="E1280" s="125"/>
      <c r="F1280" s="118" t="s">
        <v>433</v>
      </c>
      <c r="G1280" s="126" t="s">
        <v>7334</v>
      </c>
      <c r="H1280" s="255">
        <v>5</v>
      </c>
      <c r="I1280" s="361">
        <v>1</v>
      </c>
      <c r="J1280" s="362" t="s">
        <v>307</v>
      </c>
      <c r="K1280" s="363"/>
      <c r="L1280" s="129"/>
      <c r="M1280" s="129"/>
      <c r="N1280" s="129"/>
      <c r="O1280" s="129"/>
      <c r="P1280" s="364"/>
      <c r="Q1280" s="364"/>
      <c r="R1280" s="129"/>
      <c r="S1280" s="129"/>
      <c r="T1280" s="129"/>
      <c r="W1280" s="129" t="s">
        <v>310</v>
      </c>
      <c r="X1280" s="337" t="b">
        <f t="shared" si="53"/>
        <v>0</v>
      </c>
    </row>
    <row r="1281" spans="1:24" s="337" customFormat="1" ht="12" customHeight="1" outlineLevel="1">
      <c r="A1281" s="335"/>
      <c r="B1281" s="118" t="s">
        <v>12</v>
      </c>
      <c r="C1281" s="334" t="s">
        <v>7365</v>
      </c>
      <c r="D1281" s="124" t="s">
        <v>7366</v>
      </c>
      <c r="E1281" s="125"/>
      <c r="F1281" s="118" t="s">
        <v>433</v>
      </c>
      <c r="G1281" s="126" t="s">
        <v>7334</v>
      </c>
      <c r="H1281" s="255">
        <v>5</v>
      </c>
      <c r="I1281" s="361">
        <v>1</v>
      </c>
      <c r="J1281" s="362" t="s">
        <v>310</v>
      </c>
      <c r="K1281" s="363"/>
      <c r="L1281" s="129"/>
      <c r="M1281" s="129"/>
      <c r="N1281" s="129"/>
      <c r="O1281" s="129"/>
      <c r="P1281" s="364"/>
      <c r="Q1281" s="364"/>
      <c r="R1281" s="129"/>
      <c r="S1281" s="129"/>
      <c r="T1281" s="129"/>
      <c r="W1281" s="129" t="s">
        <v>286</v>
      </c>
      <c r="X1281" s="337" t="b">
        <f t="shared" si="53"/>
        <v>0</v>
      </c>
    </row>
    <row r="1282" spans="1:24" s="337" customFormat="1" ht="12" customHeight="1" outlineLevel="1">
      <c r="A1282" s="335"/>
      <c r="B1282" s="118" t="s">
        <v>12</v>
      </c>
      <c r="C1282" s="334" t="s">
        <v>7367</v>
      </c>
      <c r="D1282" s="124" t="s">
        <v>7368</v>
      </c>
      <c r="E1282" s="125"/>
      <c r="F1282" s="118" t="s">
        <v>433</v>
      </c>
      <c r="G1282" s="126" t="s">
        <v>7334</v>
      </c>
      <c r="H1282" s="255">
        <v>5</v>
      </c>
      <c r="I1282" s="361">
        <v>1</v>
      </c>
      <c r="J1282" s="362" t="s">
        <v>307</v>
      </c>
      <c r="K1282" s="363"/>
      <c r="L1282" s="129"/>
      <c r="M1282" s="129"/>
      <c r="N1282" s="129"/>
      <c r="O1282" s="129"/>
      <c r="P1282" s="364"/>
      <c r="Q1282" s="364"/>
      <c r="R1282" s="129"/>
      <c r="S1282" s="129"/>
      <c r="T1282" s="129"/>
      <c r="W1282" s="129" t="s">
        <v>310</v>
      </c>
      <c r="X1282" s="337" t="b">
        <f t="shared" si="53"/>
        <v>0</v>
      </c>
    </row>
    <row r="1283" spans="1:24" s="337" customFormat="1" ht="12" customHeight="1" outlineLevel="1">
      <c r="A1283" s="335"/>
      <c r="B1283" s="118" t="s">
        <v>12</v>
      </c>
      <c r="C1283" s="334" t="s">
        <v>7369</v>
      </c>
      <c r="D1283" s="124" t="s">
        <v>7370</v>
      </c>
      <c r="E1283" s="125"/>
      <c r="F1283" s="118" t="s">
        <v>433</v>
      </c>
      <c r="G1283" s="126" t="s">
        <v>7334</v>
      </c>
      <c r="H1283" s="255">
        <v>5</v>
      </c>
      <c r="I1283" s="361">
        <v>1</v>
      </c>
      <c r="J1283" s="362" t="s">
        <v>286</v>
      </c>
      <c r="K1283" s="363"/>
      <c r="L1283" s="129"/>
      <c r="M1283" s="129"/>
      <c r="N1283" s="129"/>
      <c r="O1283" s="129"/>
      <c r="P1283" s="364"/>
      <c r="Q1283" s="364"/>
      <c r="R1283" s="129"/>
      <c r="S1283" s="129"/>
      <c r="T1283" s="129"/>
      <c r="W1283" s="129" t="s">
        <v>286</v>
      </c>
      <c r="X1283" s="337" t="b">
        <f t="shared" si="53"/>
        <v>1</v>
      </c>
    </row>
    <row r="1284" spans="1:24" s="337" customFormat="1" ht="12" customHeight="1" outlineLevel="1">
      <c r="A1284" s="335"/>
      <c r="B1284" s="118" t="s">
        <v>12</v>
      </c>
      <c r="C1284" s="334" t="s">
        <v>7371</v>
      </c>
      <c r="D1284" s="124" t="s">
        <v>7372</v>
      </c>
      <c r="E1284" s="125"/>
      <c r="F1284" s="118" t="s">
        <v>433</v>
      </c>
      <c r="G1284" s="126" t="s">
        <v>7334</v>
      </c>
      <c r="H1284" s="255">
        <v>5</v>
      </c>
      <c r="I1284" s="361">
        <v>1</v>
      </c>
      <c r="J1284" s="362" t="s">
        <v>310</v>
      </c>
      <c r="K1284" s="363"/>
      <c r="L1284" s="129"/>
      <c r="M1284" s="129"/>
      <c r="N1284" s="129"/>
      <c r="O1284" s="129"/>
      <c r="P1284" s="364"/>
      <c r="Q1284" s="364"/>
      <c r="R1284" s="129"/>
      <c r="S1284" s="129"/>
      <c r="T1284" s="129"/>
      <c r="W1284" s="129" t="s">
        <v>286</v>
      </c>
      <c r="X1284" s="337" t="b">
        <f t="shared" si="53"/>
        <v>0</v>
      </c>
    </row>
    <row r="1285" spans="1:24" s="337" customFormat="1" ht="12" customHeight="1" outlineLevel="1">
      <c r="A1285" s="335"/>
      <c r="B1285" s="118" t="s">
        <v>12</v>
      </c>
      <c r="C1285" s="334" t="s">
        <v>7373</v>
      </c>
      <c r="D1285" s="124" t="s">
        <v>7374</v>
      </c>
      <c r="E1285" s="125"/>
      <c r="F1285" s="118" t="s">
        <v>433</v>
      </c>
      <c r="G1285" s="126" t="s">
        <v>7334</v>
      </c>
      <c r="H1285" s="255">
        <v>5</v>
      </c>
      <c r="I1285" s="361">
        <v>1</v>
      </c>
      <c r="J1285" s="362" t="s">
        <v>286</v>
      </c>
      <c r="K1285" s="363"/>
      <c r="L1285" s="129"/>
      <c r="M1285" s="129"/>
      <c r="N1285" s="129"/>
      <c r="O1285" s="129"/>
      <c r="P1285" s="364"/>
      <c r="Q1285" s="364"/>
      <c r="R1285" s="129"/>
      <c r="S1285" s="129"/>
      <c r="T1285" s="129"/>
      <c r="W1285" s="129" t="s">
        <v>4876</v>
      </c>
      <c r="X1285" s="337" t="b">
        <f t="shared" si="53"/>
        <v>0</v>
      </c>
    </row>
    <row r="1286" spans="1:24" s="337" customFormat="1" ht="12" customHeight="1" outlineLevel="1">
      <c r="A1286" s="335"/>
      <c r="B1286" s="118" t="s">
        <v>12</v>
      </c>
      <c r="C1286" s="334" t="s">
        <v>7375</v>
      </c>
      <c r="D1286" s="124" t="s">
        <v>7376</v>
      </c>
      <c r="E1286" s="125"/>
      <c r="F1286" s="118" t="s">
        <v>433</v>
      </c>
      <c r="G1286" s="126" t="s">
        <v>7334</v>
      </c>
      <c r="H1286" s="255">
        <v>5</v>
      </c>
      <c r="I1286" s="361">
        <v>1</v>
      </c>
      <c r="J1286" s="362" t="s">
        <v>310</v>
      </c>
      <c r="K1286" s="363"/>
      <c r="L1286" s="129"/>
      <c r="M1286" s="129"/>
      <c r="N1286" s="129"/>
      <c r="O1286" s="129"/>
      <c r="P1286" s="364"/>
      <c r="Q1286" s="364"/>
      <c r="R1286" s="129"/>
      <c r="S1286" s="129"/>
      <c r="T1286" s="129"/>
      <c r="W1286" s="129" t="s">
        <v>310</v>
      </c>
      <c r="X1286" s="337" t="b">
        <f t="shared" si="53"/>
        <v>1</v>
      </c>
    </row>
    <row r="1287" spans="1:24" s="337" customFormat="1" ht="12" customHeight="1" outlineLevel="1">
      <c r="A1287" s="335"/>
      <c r="B1287" s="118" t="s">
        <v>12</v>
      </c>
      <c r="C1287" s="334" t="s">
        <v>7377</v>
      </c>
      <c r="D1287" s="124" t="s">
        <v>7378</v>
      </c>
      <c r="E1287" s="125"/>
      <c r="F1287" s="118" t="s">
        <v>433</v>
      </c>
      <c r="G1287" s="126" t="s">
        <v>7334</v>
      </c>
      <c r="H1287" s="255">
        <v>5</v>
      </c>
      <c r="I1287" s="361">
        <v>1</v>
      </c>
      <c r="J1287" s="362" t="s">
        <v>307</v>
      </c>
      <c r="K1287" s="363"/>
      <c r="L1287" s="129"/>
      <c r="M1287" s="129"/>
      <c r="N1287" s="129"/>
      <c r="O1287" s="129"/>
      <c r="P1287" s="364"/>
      <c r="Q1287" s="364"/>
      <c r="R1287" s="129"/>
      <c r="S1287" s="129"/>
      <c r="T1287" s="129"/>
      <c r="W1287" s="129" t="s">
        <v>307</v>
      </c>
      <c r="X1287" s="337" t="b">
        <f t="shared" si="53"/>
        <v>1</v>
      </c>
    </row>
    <row r="1288" spans="1:24" s="337" customFormat="1" ht="12" customHeight="1" outlineLevel="1">
      <c r="A1288" s="335"/>
      <c r="B1288" s="118" t="s">
        <v>12</v>
      </c>
      <c r="C1288" s="334" t="s">
        <v>7379</v>
      </c>
      <c r="D1288" s="124" t="s">
        <v>7380</v>
      </c>
      <c r="E1288" s="125"/>
      <c r="F1288" s="118" t="s">
        <v>433</v>
      </c>
      <c r="G1288" s="126" t="s">
        <v>7334</v>
      </c>
      <c r="H1288" s="255">
        <v>5</v>
      </c>
      <c r="I1288" s="361">
        <v>1</v>
      </c>
      <c r="J1288" s="362" t="s">
        <v>307</v>
      </c>
      <c r="K1288" s="363"/>
      <c r="L1288" s="129"/>
      <c r="M1288" s="129"/>
      <c r="N1288" s="129"/>
      <c r="O1288" s="129"/>
      <c r="P1288" s="364"/>
      <c r="Q1288" s="364"/>
      <c r="R1288" s="129"/>
      <c r="S1288" s="129"/>
      <c r="T1288" s="129"/>
      <c r="W1288" s="129" t="s">
        <v>310</v>
      </c>
      <c r="X1288" s="337" t="b">
        <f t="shared" si="53"/>
        <v>0</v>
      </c>
    </row>
    <row r="1289" spans="1:24" s="337" customFormat="1" ht="12" customHeight="1" outlineLevel="1">
      <c r="A1289" s="335"/>
      <c r="B1289" s="118" t="s">
        <v>12</v>
      </c>
      <c r="C1289" s="334" t="s">
        <v>7381</v>
      </c>
      <c r="D1289" s="124" t="s">
        <v>7382</v>
      </c>
      <c r="E1289" s="125"/>
      <c r="F1289" s="118" t="s">
        <v>433</v>
      </c>
      <c r="G1289" s="126" t="s">
        <v>7334</v>
      </c>
      <c r="H1289" s="255">
        <v>5</v>
      </c>
      <c r="I1289" s="361">
        <v>1</v>
      </c>
      <c r="J1289" s="362" t="s">
        <v>310</v>
      </c>
      <c r="K1289" s="363"/>
      <c r="L1289" s="129"/>
      <c r="M1289" s="129"/>
      <c r="N1289" s="129"/>
      <c r="O1289" s="129"/>
      <c r="P1289" s="364"/>
      <c r="Q1289" s="364"/>
      <c r="R1289" s="129"/>
      <c r="S1289" s="129"/>
      <c r="T1289" s="129"/>
      <c r="W1289" s="129" t="s">
        <v>310</v>
      </c>
      <c r="X1289" s="337" t="b">
        <f t="shared" si="53"/>
        <v>1</v>
      </c>
    </row>
    <row r="1290" spans="1:24" s="337" customFormat="1" ht="12" customHeight="1" outlineLevel="1">
      <c r="A1290" s="335"/>
      <c r="B1290" s="118" t="s">
        <v>12</v>
      </c>
      <c r="C1290" s="334" t="s">
        <v>7383</v>
      </c>
      <c r="D1290" s="124" t="s">
        <v>7384</v>
      </c>
      <c r="E1290" s="125"/>
      <c r="F1290" s="118" t="s">
        <v>433</v>
      </c>
      <c r="G1290" s="126" t="s">
        <v>7334</v>
      </c>
      <c r="H1290" s="255">
        <v>5</v>
      </c>
      <c r="I1290" s="361">
        <v>1</v>
      </c>
      <c r="J1290" s="362" t="s">
        <v>307</v>
      </c>
      <c r="K1290" s="363"/>
      <c r="L1290" s="129"/>
      <c r="M1290" s="129"/>
      <c r="N1290" s="129"/>
      <c r="O1290" s="129"/>
      <c r="P1290" s="364"/>
      <c r="Q1290" s="364"/>
      <c r="R1290" s="129"/>
      <c r="S1290" s="129"/>
      <c r="T1290" s="129"/>
      <c r="W1290" s="129" t="s">
        <v>307</v>
      </c>
      <c r="X1290" s="337" t="b">
        <f t="shared" si="53"/>
        <v>1</v>
      </c>
    </row>
    <row r="1291" spans="1:24" s="337" customFormat="1" ht="12" customHeight="1" outlineLevel="1">
      <c r="A1291" s="335"/>
      <c r="B1291" s="118" t="s">
        <v>12</v>
      </c>
      <c r="C1291" s="334" t="s">
        <v>7385</v>
      </c>
      <c r="D1291" s="124" t="s">
        <v>7386</v>
      </c>
      <c r="E1291" s="125"/>
      <c r="F1291" s="118" t="s">
        <v>433</v>
      </c>
      <c r="G1291" s="126" t="s">
        <v>7334</v>
      </c>
      <c r="H1291" s="255">
        <v>5</v>
      </c>
      <c r="I1291" s="361">
        <v>1</v>
      </c>
      <c r="J1291" s="362" t="s">
        <v>307</v>
      </c>
      <c r="K1291" s="363"/>
      <c r="L1291" s="129"/>
      <c r="M1291" s="129"/>
      <c r="N1291" s="129"/>
      <c r="O1291" s="129"/>
      <c r="P1291" s="364"/>
      <c r="Q1291" s="364"/>
      <c r="R1291" s="129"/>
      <c r="S1291" s="129"/>
      <c r="T1291" s="129"/>
      <c r="W1291" s="129" t="s">
        <v>307</v>
      </c>
      <c r="X1291" s="337" t="b">
        <f t="shared" si="53"/>
        <v>1</v>
      </c>
    </row>
    <row r="1292" spans="1:24" s="337" customFormat="1" ht="12" customHeight="1" outlineLevel="1">
      <c r="A1292" s="335"/>
      <c r="B1292" s="118" t="s">
        <v>12</v>
      </c>
      <c r="C1292" s="334" t="s">
        <v>7387</v>
      </c>
      <c r="D1292" s="124" t="s">
        <v>7388</v>
      </c>
      <c r="E1292" s="125"/>
      <c r="F1292" s="118" t="s">
        <v>433</v>
      </c>
      <c r="G1292" s="126" t="s">
        <v>7334</v>
      </c>
      <c r="H1292" s="255">
        <v>5</v>
      </c>
      <c r="I1292" s="361">
        <v>1</v>
      </c>
      <c r="J1292" s="362" t="s">
        <v>310</v>
      </c>
      <c r="K1292" s="363"/>
      <c r="L1292" s="129"/>
      <c r="M1292" s="129"/>
      <c r="N1292" s="129"/>
      <c r="O1292" s="129"/>
      <c r="P1292" s="364"/>
      <c r="Q1292" s="364"/>
      <c r="R1292" s="129"/>
      <c r="S1292" s="129"/>
      <c r="T1292" s="129"/>
      <c r="W1292" s="129" t="s">
        <v>286</v>
      </c>
      <c r="X1292" s="337" t="b">
        <f t="shared" si="53"/>
        <v>0</v>
      </c>
    </row>
    <row r="1293" spans="1:24" s="337" customFormat="1" ht="12" customHeight="1" outlineLevel="1">
      <c r="A1293" s="335"/>
      <c r="B1293" s="118" t="s">
        <v>12</v>
      </c>
      <c r="C1293" s="334" t="s">
        <v>7389</v>
      </c>
      <c r="D1293" s="124" t="s">
        <v>7390</v>
      </c>
      <c r="E1293" s="125"/>
      <c r="F1293" s="118" t="s">
        <v>433</v>
      </c>
      <c r="G1293" s="126" t="s">
        <v>7334</v>
      </c>
      <c r="H1293" s="255">
        <v>5</v>
      </c>
      <c r="I1293" s="361">
        <v>1</v>
      </c>
      <c r="J1293" s="362" t="s">
        <v>307</v>
      </c>
      <c r="K1293" s="363"/>
      <c r="L1293" s="129"/>
      <c r="M1293" s="129"/>
      <c r="N1293" s="129"/>
      <c r="O1293" s="129"/>
      <c r="P1293" s="364"/>
      <c r="Q1293" s="364"/>
      <c r="R1293" s="129"/>
      <c r="S1293" s="129"/>
      <c r="T1293" s="129"/>
      <c r="W1293" s="129" t="s">
        <v>307</v>
      </c>
      <c r="X1293" s="337" t="b">
        <f t="shared" si="53"/>
        <v>1</v>
      </c>
    </row>
    <row r="1294" spans="1:24" s="337" customFormat="1" ht="12" customHeight="1" outlineLevel="1">
      <c r="A1294" s="335"/>
      <c r="B1294" s="118" t="s">
        <v>12</v>
      </c>
      <c r="C1294" s="334" t="s">
        <v>7391</v>
      </c>
      <c r="D1294" s="124" t="s">
        <v>7392</v>
      </c>
      <c r="E1294" s="125"/>
      <c r="F1294" s="118" t="s">
        <v>433</v>
      </c>
      <c r="G1294" s="126" t="s">
        <v>7334</v>
      </c>
      <c r="H1294" s="255">
        <v>5</v>
      </c>
      <c r="I1294" s="361">
        <v>1</v>
      </c>
      <c r="J1294" s="362" t="s">
        <v>307</v>
      </c>
      <c r="K1294" s="363"/>
      <c r="L1294" s="129"/>
      <c r="M1294" s="129"/>
      <c r="N1294" s="129"/>
      <c r="O1294" s="129"/>
      <c r="P1294" s="364"/>
      <c r="Q1294" s="364"/>
      <c r="R1294" s="129"/>
      <c r="S1294" s="129"/>
      <c r="T1294" s="129"/>
      <c r="W1294" s="129" t="s">
        <v>307</v>
      </c>
      <c r="X1294" s="337" t="b">
        <f t="shared" si="53"/>
        <v>1</v>
      </c>
    </row>
    <row r="1295" spans="1:24" s="337" customFormat="1" ht="12" customHeight="1" outlineLevel="1">
      <c r="A1295" s="335"/>
      <c r="B1295" s="118" t="s">
        <v>12</v>
      </c>
      <c r="C1295" s="334" t="s">
        <v>7393</v>
      </c>
      <c r="D1295" s="124" t="s">
        <v>7394</v>
      </c>
      <c r="E1295" s="125"/>
      <c r="F1295" s="118" t="s">
        <v>433</v>
      </c>
      <c r="G1295" s="126" t="s">
        <v>7334</v>
      </c>
      <c r="H1295" s="255">
        <v>5</v>
      </c>
      <c r="I1295" s="361">
        <v>1</v>
      </c>
      <c r="J1295" s="362" t="s">
        <v>286</v>
      </c>
      <c r="K1295" s="363"/>
      <c r="L1295" s="129"/>
      <c r="M1295" s="129"/>
      <c r="N1295" s="129"/>
      <c r="O1295" s="129"/>
      <c r="P1295" s="364"/>
      <c r="Q1295" s="364"/>
      <c r="R1295" s="129"/>
      <c r="S1295" s="129"/>
      <c r="T1295" s="129"/>
      <c r="W1295" s="129" t="s">
        <v>286</v>
      </c>
      <c r="X1295" s="337" t="b">
        <f t="shared" si="53"/>
        <v>1</v>
      </c>
    </row>
    <row r="1296" spans="1:24" s="337" customFormat="1" ht="12" customHeight="1" outlineLevel="1">
      <c r="A1296" s="335"/>
      <c r="B1296" s="118" t="s">
        <v>12</v>
      </c>
      <c r="C1296" s="334" t="s">
        <v>7395</v>
      </c>
      <c r="D1296" s="124" t="s">
        <v>7396</v>
      </c>
      <c r="E1296" s="125"/>
      <c r="F1296" s="118" t="s">
        <v>433</v>
      </c>
      <c r="G1296" s="126" t="s">
        <v>7334</v>
      </c>
      <c r="H1296" s="255">
        <v>5</v>
      </c>
      <c r="I1296" s="361">
        <v>1</v>
      </c>
      <c r="J1296" s="362" t="s">
        <v>307</v>
      </c>
      <c r="K1296" s="363"/>
      <c r="L1296" s="129"/>
      <c r="M1296" s="129"/>
      <c r="N1296" s="129"/>
      <c r="O1296" s="129"/>
      <c r="P1296" s="364"/>
      <c r="Q1296" s="364"/>
      <c r="R1296" s="129"/>
      <c r="S1296" s="129"/>
      <c r="T1296" s="129"/>
      <c r="W1296" s="129" t="s">
        <v>307</v>
      </c>
      <c r="X1296" s="337" t="b">
        <f t="shared" si="53"/>
        <v>1</v>
      </c>
    </row>
    <row r="1297" spans="1:24" s="337" customFormat="1" ht="12" customHeight="1" outlineLevel="1">
      <c r="A1297" s="335"/>
      <c r="B1297" s="118" t="s">
        <v>12</v>
      </c>
      <c r="C1297" s="334" t="s">
        <v>7397</v>
      </c>
      <c r="D1297" s="124" t="s">
        <v>7398</v>
      </c>
      <c r="E1297" s="125"/>
      <c r="F1297" s="118" t="s">
        <v>433</v>
      </c>
      <c r="G1297" s="126" t="s">
        <v>7334</v>
      </c>
      <c r="H1297" s="255">
        <v>5</v>
      </c>
      <c r="I1297" s="361">
        <v>1</v>
      </c>
      <c r="J1297" s="362" t="s">
        <v>325</v>
      </c>
      <c r="K1297" s="363"/>
      <c r="L1297" s="129"/>
      <c r="M1297" s="129"/>
      <c r="N1297" s="129"/>
      <c r="O1297" s="129"/>
      <c r="P1297" s="364"/>
      <c r="Q1297" s="364"/>
      <c r="R1297" s="129"/>
      <c r="S1297" s="129"/>
      <c r="T1297" s="129"/>
      <c r="W1297" s="129" t="s">
        <v>325</v>
      </c>
      <c r="X1297" s="337" t="b">
        <f t="shared" si="53"/>
        <v>1</v>
      </c>
    </row>
    <row r="1298" spans="1:24" s="337" customFormat="1" ht="12" customHeight="1" outlineLevel="1">
      <c r="A1298" s="335"/>
      <c r="B1298" s="118" t="s">
        <v>12</v>
      </c>
      <c r="C1298" s="334" t="s">
        <v>7399</v>
      </c>
      <c r="D1298" s="124" t="s">
        <v>7400</v>
      </c>
      <c r="E1298" s="125"/>
      <c r="F1298" s="118" t="s">
        <v>433</v>
      </c>
      <c r="G1298" s="126" t="s">
        <v>7334</v>
      </c>
      <c r="H1298" s="255">
        <v>5</v>
      </c>
      <c r="I1298" s="361">
        <v>1</v>
      </c>
      <c r="J1298" s="362" t="s">
        <v>307</v>
      </c>
      <c r="K1298" s="363"/>
      <c r="L1298" s="129"/>
      <c r="M1298" s="129"/>
      <c r="N1298" s="129"/>
      <c r="O1298" s="129"/>
      <c r="P1298" s="364"/>
      <c r="Q1298" s="364"/>
      <c r="R1298" s="129"/>
      <c r="S1298" s="129"/>
      <c r="T1298" s="129"/>
      <c r="W1298" s="129" t="s">
        <v>307</v>
      </c>
      <c r="X1298" s="337" t="b">
        <f t="shared" si="53"/>
        <v>1</v>
      </c>
    </row>
    <row r="1299" spans="1:24" s="337" customFormat="1" ht="12" customHeight="1" outlineLevel="1">
      <c r="A1299" s="335"/>
      <c r="B1299" s="118" t="s">
        <v>12</v>
      </c>
      <c r="C1299" s="334" t="s">
        <v>7401</v>
      </c>
      <c r="D1299" s="124" t="s">
        <v>7402</v>
      </c>
      <c r="E1299" s="125"/>
      <c r="F1299" s="118" t="s">
        <v>433</v>
      </c>
      <c r="G1299" s="126" t="s">
        <v>7334</v>
      </c>
      <c r="H1299" s="255">
        <v>5</v>
      </c>
      <c r="I1299" s="361">
        <v>1</v>
      </c>
      <c r="J1299" s="362" t="s">
        <v>307</v>
      </c>
      <c r="K1299" s="363"/>
      <c r="L1299" s="129"/>
      <c r="M1299" s="129"/>
      <c r="N1299" s="129"/>
      <c r="O1299" s="129"/>
      <c r="P1299" s="364"/>
      <c r="Q1299" s="364"/>
      <c r="R1299" s="129"/>
      <c r="S1299" s="129"/>
      <c r="T1299" s="129"/>
      <c r="W1299" s="129" t="s">
        <v>307</v>
      </c>
      <c r="X1299" s="337" t="b">
        <f t="shared" si="53"/>
        <v>1</v>
      </c>
    </row>
    <row r="1300" spans="1:24" s="337" customFormat="1" ht="12" customHeight="1" outlineLevel="1">
      <c r="A1300" s="335"/>
      <c r="B1300" s="118" t="s">
        <v>12</v>
      </c>
      <c r="C1300" s="334" t="s">
        <v>7403</v>
      </c>
      <c r="D1300" s="124" t="s">
        <v>7404</v>
      </c>
      <c r="E1300" s="125"/>
      <c r="F1300" s="118" t="s">
        <v>433</v>
      </c>
      <c r="G1300" s="126" t="s">
        <v>7334</v>
      </c>
      <c r="H1300" s="255">
        <v>5</v>
      </c>
      <c r="I1300" s="361">
        <v>1</v>
      </c>
      <c r="J1300" s="362" t="s">
        <v>307</v>
      </c>
      <c r="K1300" s="363"/>
      <c r="L1300" s="129"/>
      <c r="M1300" s="129"/>
      <c r="N1300" s="129"/>
      <c r="O1300" s="129"/>
      <c r="P1300" s="364"/>
      <c r="Q1300" s="364"/>
      <c r="R1300" s="129"/>
      <c r="S1300" s="129"/>
      <c r="T1300" s="129"/>
      <c r="W1300" s="129" t="s">
        <v>307</v>
      </c>
      <c r="X1300" s="337" t="b">
        <f t="shared" si="53"/>
        <v>1</v>
      </c>
    </row>
    <row r="1301" spans="1:24" s="337" customFormat="1" ht="12" customHeight="1" outlineLevel="1">
      <c r="A1301" s="335"/>
      <c r="B1301" s="118" t="s">
        <v>12</v>
      </c>
      <c r="C1301" s="334" t="s">
        <v>7405</v>
      </c>
      <c r="D1301" s="124" t="s">
        <v>7406</v>
      </c>
      <c r="E1301" s="125"/>
      <c r="F1301" s="118" t="s">
        <v>433</v>
      </c>
      <c r="G1301" s="126" t="s">
        <v>7334</v>
      </c>
      <c r="H1301" s="255">
        <v>5</v>
      </c>
      <c r="I1301" s="361">
        <v>1</v>
      </c>
      <c r="J1301" s="362" t="s">
        <v>307</v>
      </c>
      <c r="K1301" s="363"/>
      <c r="L1301" s="129"/>
      <c r="M1301" s="129"/>
      <c r="N1301" s="129"/>
      <c r="O1301" s="129"/>
      <c r="P1301" s="364"/>
      <c r="Q1301" s="364"/>
      <c r="R1301" s="129"/>
      <c r="S1301" s="129"/>
      <c r="T1301" s="129"/>
      <c r="W1301" s="129" t="s">
        <v>307</v>
      </c>
      <c r="X1301" s="337" t="b">
        <f t="shared" si="53"/>
        <v>1</v>
      </c>
    </row>
    <row r="1302" spans="1:24" s="337" customFormat="1" ht="12" customHeight="1" outlineLevel="1">
      <c r="A1302" s="335"/>
      <c r="B1302" s="118" t="s">
        <v>12</v>
      </c>
      <c r="C1302" s="334" t="s">
        <v>7407</v>
      </c>
      <c r="D1302" s="124" t="s">
        <v>7408</v>
      </c>
      <c r="E1302" s="125"/>
      <c r="F1302" s="118" t="s">
        <v>433</v>
      </c>
      <c r="G1302" s="126" t="s">
        <v>7334</v>
      </c>
      <c r="H1302" s="255">
        <v>5</v>
      </c>
      <c r="I1302" s="361">
        <v>1</v>
      </c>
      <c r="J1302" s="362" t="s">
        <v>325</v>
      </c>
      <c r="K1302" s="363"/>
      <c r="L1302" s="129"/>
      <c r="M1302" s="129"/>
      <c r="N1302" s="129"/>
      <c r="O1302" s="129"/>
      <c r="P1302" s="364"/>
      <c r="Q1302" s="364"/>
      <c r="R1302" s="129"/>
      <c r="S1302" s="129"/>
      <c r="T1302" s="129"/>
      <c r="W1302" s="129" t="s">
        <v>325</v>
      </c>
      <c r="X1302" s="337" t="b">
        <f t="shared" si="53"/>
        <v>1</v>
      </c>
    </row>
    <row r="1303" spans="1:24" s="337" customFormat="1" ht="12" customHeight="1" outlineLevel="1">
      <c r="A1303" s="335"/>
      <c r="B1303" s="118" t="s">
        <v>12</v>
      </c>
      <c r="C1303" s="334" t="s">
        <v>7409</v>
      </c>
      <c r="D1303" s="124" t="s">
        <v>7410</v>
      </c>
      <c r="E1303" s="125"/>
      <c r="F1303" s="118" t="s">
        <v>433</v>
      </c>
      <c r="G1303" s="126" t="s">
        <v>7334</v>
      </c>
      <c r="H1303" s="255">
        <v>5</v>
      </c>
      <c r="I1303" s="361">
        <v>1</v>
      </c>
      <c r="J1303" s="362" t="s">
        <v>307</v>
      </c>
      <c r="K1303" s="363"/>
      <c r="L1303" s="129"/>
      <c r="M1303" s="129"/>
      <c r="N1303" s="129"/>
      <c r="O1303" s="129"/>
      <c r="P1303" s="364"/>
      <c r="Q1303" s="364"/>
      <c r="R1303" s="129"/>
      <c r="S1303" s="129"/>
      <c r="T1303" s="129"/>
      <c r="W1303" s="129" t="s">
        <v>310</v>
      </c>
      <c r="X1303" s="337" t="b">
        <f t="shared" si="53"/>
        <v>0</v>
      </c>
    </row>
    <row r="1304" spans="1:24" s="337" customFormat="1" ht="12" customHeight="1" outlineLevel="1">
      <c r="A1304" s="335"/>
      <c r="B1304" s="118" t="s">
        <v>12</v>
      </c>
      <c r="C1304" s="334" t="s">
        <v>7411</v>
      </c>
      <c r="D1304" s="124" t="s">
        <v>7412</v>
      </c>
      <c r="E1304" s="125"/>
      <c r="F1304" s="118" t="s">
        <v>433</v>
      </c>
      <c r="G1304" s="126" t="s">
        <v>7334</v>
      </c>
      <c r="H1304" s="255">
        <v>5</v>
      </c>
      <c r="I1304" s="361">
        <v>1</v>
      </c>
      <c r="J1304" s="362" t="s">
        <v>310</v>
      </c>
      <c r="K1304" s="363"/>
      <c r="L1304" s="129"/>
      <c r="M1304" s="129"/>
      <c r="N1304" s="129"/>
      <c r="O1304" s="129"/>
      <c r="P1304" s="364"/>
      <c r="Q1304" s="364"/>
      <c r="R1304" s="129"/>
      <c r="S1304" s="129"/>
      <c r="T1304" s="129"/>
      <c r="W1304" s="129" t="s">
        <v>310</v>
      </c>
      <c r="X1304" s="337" t="b">
        <f t="shared" si="53"/>
        <v>1</v>
      </c>
    </row>
    <row r="1305" spans="1:24" s="337" customFormat="1" ht="12" customHeight="1" outlineLevel="1">
      <c r="A1305" s="335"/>
      <c r="B1305" s="118" t="s">
        <v>12</v>
      </c>
      <c r="C1305" s="334" t="s">
        <v>7413</v>
      </c>
      <c r="D1305" s="124" t="s">
        <v>7414</v>
      </c>
      <c r="E1305" s="125"/>
      <c r="F1305" s="118" t="s">
        <v>433</v>
      </c>
      <c r="G1305" s="126" t="s">
        <v>7334</v>
      </c>
      <c r="H1305" s="255">
        <v>5</v>
      </c>
      <c r="I1305" s="361">
        <v>1</v>
      </c>
      <c r="J1305" s="362" t="s">
        <v>310</v>
      </c>
      <c r="K1305" s="363"/>
      <c r="L1305" s="129"/>
      <c r="M1305" s="129"/>
      <c r="N1305" s="129"/>
      <c r="O1305" s="129"/>
      <c r="P1305" s="364"/>
      <c r="Q1305" s="364"/>
      <c r="R1305" s="129"/>
      <c r="S1305" s="129"/>
      <c r="T1305" s="129"/>
      <c r="W1305" s="129" t="s">
        <v>310</v>
      </c>
      <c r="X1305" s="337" t="b">
        <f t="shared" si="53"/>
        <v>1</v>
      </c>
    </row>
    <row r="1306" spans="1:24" s="337" customFormat="1" ht="12" customHeight="1" outlineLevel="1">
      <c r="A1306" s="335"/>
      <c r="B1306" s="118" t="s">
        <v>12</v>
      </c>
      <c r="C1306" s="334" t="s">
        <v>7415</v>
      </c>
      <c r="D1306" s="124" t="s">
        <v>7416</v>
      </c>
      <c r="E1306" s="125"/>
      <c r="F1306" s="118" t="s">
        <v>433</v>
      </c>
      <c r="G1306" s="126" t="s">
        <v>7334</v>
      </c>
      <c r="H1306" s="255">
        <v>5</v>
      </c>
      <c r="I1306" s="361">
        <v>1</v>
      </c>
      <c r="J1306" s="362" t="s">
        <v>310</v>
      </c>
      <c r="K1306" s="363"/>
      <c r="L1306" s="129"/>
      <c r="M1306" s="129"/>
      <c r="N1306" s="129"/>
      <c r="O1306" s="129"/>
      <c r="P1306" s="364"/>
      <c r="Q1306" s="364"/>
      <c r="R1306" s="129"/>
      <c r="S1306" s="129"/>
      <c r="T1306" s="129"/>
      <c r="W1306" s="129" t="s">
        <v>310</v>
      </c>
      <c r="X1306" s="337" t="b">
        <f t="shared" si="53"/>
        <v>1</v>
      </c>
    </row>
    <row r="1307" spans="1:24" s="337" customFormat="1" ht="12" customHeight="1" outlineLevel="1">
      <c r="A1307" s="335"/>
      <c r="B1307" s="118" t="s">
        <v>12</v>
      </c>
      <c r="C1307" s="334" t="s">
        <v>7417</v>
      </c>
      <c r="D1307" s="124" t="s">
        <v>7418</v>
      </c>
      <c r="E1307" s="125"/>
      <c r="F1307" s="118" t="s">
        <v>433</v>
      </c>
      <c r="G1307" s="126" t="s">
        <v>7334</v>
      </c>
      <c r="H1307" s="255">
        <v>5</v>
      </c>
      <c r="I1307" s="361">
        <v>1</v>
      </c>
      <c r="J1307" s="362" t="s">
        <v>325</v>
      </c>
      <c r="K1307" s="363"/>
      <c r="L1307" s="129"/>
      <c r="M1307" s="129"/>
      <c r="N1307" s="129"/>
      <c r="O1307" s="129"/>
      <c r="P1307" s="364"/>
      <c r="Q1307" s="364"/>
      <c r="R1307" s="129"/>
      <c r="S1307" s="129"/>
      <c r="T1307" s="129"/>
      <c r="W1307" s="129" t="s">
        <v>325</v>
      </c>
      <c r="X1307" s="337" t="b">
        <f t="shared" si="53"/>
        <v>1</v>
      </c>
    </row>
    <row r="1308" spans="1:24" s="337" customFormat="1" ht="12" customHeight="1" outlineLevel="1">
      <c r="A1308" s="335"/>
      <c r="B1308" s="118" t="s">
        <v>12</v>
      </c>
      <c r="C1308" s="334" t="s">
        <v>7419</v>
      </c>
      <c r="D1308" s="124" t="s">
        <v>7420</v>
      </c>
      <c r="E1308" s="125"/>
      <c r="F1308" s="118" t="s">
        <v>433</v>
      </c>
      <c r="G1308" s="126" t="s">
        <v>7334</v>
      </c>
      <c r="H1308" s="255">
        <v>5</v>
      </c>
      <c r="I1308" s="361">
        <v>1</v>
      </c>
      <c r="J1308" s="362" t="s">
        <v>310</v>
      </c>
      <c r="K1308" s="363"/>
      <c r="L1308" s="129"/>
      <c r="M1308" s="129"/>
      <c r="N1308" s="129"/>
      <c r="O1308" s="129"/>
      <c r="P1308" s="364"/>
      <c r="Q1308" s="364"/>
      <c r="R1308" s="129"/>
      <c r="S1308" s="129"/>
      <c r="T1308" s="129"/>
      <c r="W1308" s="129" t="s">
        <v>310</v>
      </c>
      <c r="X1308" s="337" t="b">
        <f t="shared" si="53"/>
        <v>1</v>
      </c>
    </row>
    <row r="1309" spans="1:24" s="337" customFormat="1" ht="12" customHeight="1" outlineLevel="1">
      <c r="A1309" s="335"/>
      <c r="B1309" s="118" t="s">
        <v>12</v>
      </c>
      <c r="C1309" s="334" t="s">
        <v>7421</v>
      </c>
      <c r="D1309" s="124" t="s">
        <v>7422</v>
      </c>
      <c r="E1309" s="125"/>
      <c r="F1309" s="118" t="s">
        <v>433</v>
      </c>
      <c r="G1309" s="126" t="s">
        <v>7334</v>
      </c>
      <c r="H1309" s="255">
        <v>5</v>
      </c>
      <c r="I1309" s="361">
        <v>1</v>
      </c>
      <c r="J1309" s="362" t="s">
        <v>310</v>
      </c>
      <c r="K1309" s="363"/>
      <c r="L1309" s="129"/>
      <c r="M1309" s="129"/>
      <c r="N1309" s="129"/>
      <c r="O1309" s="129"/>
      <c r="P1309" s="364"/>
      <c r="Q1309" s="364"/>
      <c r="R1309" s="129"/>
      <c r="S1309" s="129"/>
      <c r="T1309" s="129"/>
      <c r="W1309" s="129" t="s">
        <v>310</v>
      </c>
      <c r="X1309" s="337" t="b">
        <f t="shared" si="53"/>
        <v>1</v>
      </c>
    </row>
    <row r="1310" spans="1:24" s="337" customFormat="1" ht="12" customHeight="1" outlineLevel="1">
      <c r="A1310" s="335"/>
      <c r="B1310" s="118" t="s">
        <v>12</v>
      </c>
      <c r="C1310" s="334" t="s">
        <v>7423</v>
      </c>
      <c r="D1310" s="124" t="s">
        <v>7424</v>
      </c>
      <c r="E1310" s="125"/>
      <c r="F1310" s="118" t="s">
        <v>433</v>
      </c>
      <c r="G1310" s="126" t="s">
        <v>7334</v>
      </c>
      <c r="H1310" s="255">
        <v>5</v>
      </c>
      <c r="I1310" s="361">
        <v>1</v>
      </c>
      <c r="J1310" s="362" t="s">
        <v>307</v>
      </c>
      <c r="K1310" s="363"/>
      <c r="L1310" s="129"/>
      <c r="M1310" s="129"/>
      <c r="N1310" s="129"/>
      <c r="O1310" s="129"/>
      <c r="P1310" s="364"/>
      <c r="Q1310" s="364"/>
      <c r="R1310" s="129"/>
      <c r="S1310" s="129"/>
      <c r="T1310" s="129"/>
      <c r="W1310" s="129" t="s">
        <v>307</v>
      </c>
      <c r="X1310" s="337" t="b">
        <f t="shared" si="53"/>
        <v>1</v>
      </c>
    </row>
    <row r="1311" spans="1:24" s="337" customFormat="1" ht="12" customHeight="1" outlineLevel="1">
      <c r="A1311" s="335"/>
      <c r="B1311" s="118" t="s">
        <v>12</v>
      </c>
      <c r="C1311" s="334" t="s">
        <v>7425</v>
      </c>
      <c r="D1311" s="124" t="s">
        <v>7426</v>
      </c>
      <c r="E1311" s="125"/>
      <c r="F1311" s="118" t="s">
        <v>433</v>
      </c>
      <c r="G1311" s="126" t="s">
        <v>7334</v>
      </c>
      <c r="H1311" s="255">
        <v>5</v>
      </c>
      <c r="I1311" s="361">
        <v>1</v>
      </c>
      <c r="J1311" s="362" t="s">
        <v>286</v>
      </c>
      <c r="K1311" s="363"/>
      <c r="L1311" s="129"/>
      <c r="M1311" s="129"/>
      <c r="N1311" s="129"/>
      <c r="O1311" s="129"/>
      <c r="P1311" s="364"/>
      <c r="Q1311" s="364"/>
      <c r="R1311" s="129"/>
      <c r="S1311" s="129"/>
      <c r="T1311" s="129"/>
      <c r="W1311" s="129" t="s">
        <v>286</v>
      </c>
      <c r="X1311" s="337" t="b">
        <f t="shared" si="53"/>
        <v>1</v>
      </c>
    </row>
    <row r="1312" spans="1:24" s="337" customFormat="1" ht="12" customHeight="1" outlineLevel="1">
      <c r="A1312" s="335"/>
      <c r="B1312" s="118" t="s">
        <v>12</v>
      </c>
      <c r="C1312" s="334" t="s">
        <v>7427</v>
      </c>
      <c r="D1312" s="124" t="s">
        <v>7428</v>
      </c>
      <c r="E1312" s="125"/>
      <c r="F1312" s="118" t="s">
        <v>433</v>
      </c>
      <c r="G1312" s="126" t="s">
        <v>7334</v>
      </c>
      <c r="H1312" s="255">
        <v>5</v>
      </c>
      <c r="I1312" s="361">
        <v>1</v>
      </c>
      <c r="J1312" s="362" t="s">
        <v>286</v>
      </c>
      <c r="K1312" s="363"/>
      <c r="L1312" s="129"/>
      <c r="M1312" s="129"/>
      <c r="N1312" s="129"/>
      <c r="O1312" s="129"/>
      <c r="P1312" s="364"/>
      <c r="Q1312" s="364"/>
      <c r="R1312" s="129"/>
      <c r="S1312" s="129"/>
      <c r="T1312" s="129"/>
      <c r="W1312" s="129" t="s">
        <v>286</v>
      </c>
      <c r="X1312" s="337" t="b">
        <f t="shared" si="53"/>
        <v>1</v>
      </c>
    </row>
    <row r="1313" spans="1:24" s="337" customFormat="1" ht="12" customHeight="1" outlineLevel="1">
      <c r="A1313" s="335"/>
      <c r="B1313" s="118" t="s">
        <v>12</v>
      </c>
      <c r="C1313" s="334" t="s">
        <v>7429</v>
      </c>
      <c r="D1313" s="124" t="s">
        <v>7430</v>
      </c>
      <c r="E1313" s="125"/>
      <c r="F1313" s="118" t="s">
        <v>433</v>
      </c>
      <c r="G1313" s="126" t="s">
        <v>7334</v>
      </c>
      <c r="H1313" s="255">
        <v>5</v>
      </c>
      <c r="I1313" s="361">
        <v>1</v>
      </c>
      <c r="J1313" s="362" t="s">
        <v>310</v>
      </c>
      <c r="K1313" s="363"/>
      <c r="L1313" s="129"/>
      <c r="M1313" s="129"/>
      <c r="N1313" s="129"/>
      <c r="O1313" s="129"/>
      <c r="P1313" s="364"/>
      <c r="Q1313" s="364"/>
      <c r="R1313" s="129"/>
      <c r="S1313" s="129"/>
      <c r="T1313" s="129"/>
      <c r="W1313" s="129" t="s">
        <v>310</v>
      </c>
      <c r="X1313" s="337" t="b">
        <f t="shared" si="53"/>
        <v>1</v>
      </c>
    </row>
    <row r="1314" spans="1:24" s="337" customFormat="1" ht="12" customHeight="1" outlineLevel="1">
      <c r="A1314" s="335"/>
      <c r="B1314" s="118" t="s">
        <v>12</v>
      </c>
      <c r="C1314" s="334" t="s">
        <v>7431</v>
      </c>
      <c r="D1314" s="124" t="s">
        <v>7432</v>
      </c>
      <c r="E1314" s="125"/>
      <c r="F1314" s="118" t="s">
        <v>433</v>
      </c>
      <c r="G1314" s="126" t="s">
        <v>7334</v>
      </c>
      <c r="H1314" s="255">
        <v>5</v>
      </c>
      <c r="I1314" s="361">
        <v>1</v>
      </c>
      <c r="J1314" s="362" t="s">
        <v>310</v>
      </c>
      <c r="K1314" s="363"/>
      <c r="L1314" s="129"/>
      <c r="M1314" s="129"/>
      <c r="N1314" s="129"/>
      <c r="O1314" s="129"/>
      <c r="P1314" s="364"/>
      <c r="Q1314" s="364"/>
      <c r="R1314" s="129"/>
      <c r="S1314" s="129"/>
      <c r="T1314" s="129"/>
      <c r="W1314" s="129" t="s">
        <v>310</v>
      </c>
      <c r="X1314" s="337" t="b">
        <f t="shared" si="53"/>
        <v>1</v>
      </c>
    </row>
    <row r="1315" spans="1:24" s="337" customFormat="1" ht="12" customHeight="1" outlineLevel="1">
      <c r="A1315" s="335"/>
      <c r="B1315" s="118" t="s">
        <v>12</v>
      </c>
      <c r="C1315" s="334" t="s">
        <v>7433</v>
      </c>
      <c r="D1315" s="124" t="s">
        <v>7434</v>
      </c>
      <c r="E1315" s="125"/>
      <c r="F1315" s="118" t="s">
        <v>433</v>
      </c>
      <c r="G1315" s="126" t="s">
        <v>7334</v>
      </c>
      <c r="H1315" s="255">
        <v>5</v>
      </c>
      <c r="I1315" s="361">
        <v>1</v>
      </c>
      <c r="J1315" s="362" t="s">
        <v>286</v>
      </c>
      <c r="K1315" s="363"/>
      <c r="L1315" s="129"/>
      <c r="M1315" s="129"/>
      <c r="N1315" s="129"/>
      <c r="O1315" s="129"/>
      <c r="P1315" s="364"/>
      <c r="Q1315" s="364"/>
      <c r="R1315" s="129"/>
      <c r="S1315" s="129"/>
      <c r="T1315" s="129"/>
      <c r="W1315" s="129" t="s">
        <v>286</v>
      </c>
      <c r="X1315" s="337" t="b">
        <f t="shared" si="53"/>
        <v>1</v>
      </c>
    </row>
    <row r="1316" spans="1:24" s="337" customFormat="1" ht="12" customHeight="1" outlineLevel="1">
      <c r="A1316" s="335"/>
      <c r="B1316" s="118" t="s">
        <v>12</v>
      </c>
      <c r="C1316" s="334" t="s">
        <v>7435</v>
      </c>
      <c r="D1316" s="124" t="s">
        <v>7436</v>
      </c>
      <c r="E1316" s="125"/>
      <c r="F1316" s="118" t="s">
        <v>433</v>
      </c>
      <c r="G1316" s="126" t="s">
        <v>7334</v>
      </c>
      <c r="H1316" s="255">
        <v>5</v>
      </c>
      <c r="I1316" s="361">
        <v>1</v>
      </c>
      <c r="J1316" s="362" t="s">
        <v>286</v>
      </c>
      <c r="K1316" s="363"/>
      <c r="L1316" s="129"/>
      <c r="M1316" s="129"/>
      <c r="N1316" s="129"/>
      <c r="O1316" s="129"/>
      <c r="P1316" s="364"/>
      <c r="Q1316" s="364"/>
      <c r="R1316" s="129"/>
      <c r="S1316" s="129"/>
      <c r="T1316" s="129"/>
      <c r="W1316" s="129" t="s">
        <v>286</v>
      </c>
      <c r="X1316" s="337" t="b">
        <f t="shared" si="53"/>
        <v>1</v>
      </c>
    </row>
    <row r="1317" spans="1:24" s="337" customFormat="1" ht="12" customHeight="1" outlineLevel="1">
      <c r="A1317" s="335"/>
      <c r="B1317" s="118" t="s">
        <v>12</v>
      </c>
      <c r="C1317" s="334" t="s">
        <v>7437</v>
      </c>
      <c r="D1317" s="124" t="s">
        <v>7438</v>
      </c>
      <c r="E1317" s="125"/>
      <c r="F1317" s="118" t="s">
        <v>433</v>
      </c>
      <c r="G1317" s="126" t="s">
        <v>7334</v>
      </c>
      <c r="H1317" s="255">
        <v>5</v>
      </c>
      <c r="I1317" s="361">
        <v>1</v>
      </c>
      <c r="J1317" s="362" t="s">
        <v>286</v>
      </c>
      <c r="K1317" s="363"/>
      <c r="L1317" s="129"/>
      <c r="M1317" s="129"/>
      <c r="N1317" s="129"/>
      <c r="O1317" s="129"/>
      <c r="P1317" s="364"/>
      <c r="Q1317" s="364"/>
      <c r="R1317" s="129"/>
      <c r="S1317" s="129"/>
      <c r="T1317" s="129"/>
      <c r="W1317" s="129" t="s">
        <v>286</v>
      </c>
      <c r="X1317" s="337" t="b">
        <f t="shared" si="53"/>
        <v>1</v>
      </c>
    </row>
    <row r="1318" spans="1:24" s="337" customFormat="1" ht="12" customHeight="1" outlineLevel="1">
      <c r="A1318" s="335"/>
      <c r="B1318" s="118" t="s">
        <v>12</v>
      </c>
      <c r="C1318" s="334" t="s">
        <v>7439</v>
      </c>
      <c r="D1318" s="124" t="s">
        <v>7440</v>
      </c>
      <c r="E1318" s="125"/>
      <c r="F1318" s="118" t="s">
        <v>433</v>
      </c>
      <c r="G1318" s="126" t="s">
        <v>7334</v>
      </c>
      <c r="H1318" s="255">
        <v>5</v>
      </c>
      <c r="I1318" s="361">
        <v>1</v>
      </c>
      <c r="J1318" s="362" t="s">
        <v>286</v>
      </c>
      <c r="K1318" s="363"/>
      <c r="L1318" s="129"/>
      <c r="M1318" s="129"/>
      <c r="N1318" s="129"/>
      <c r="O1318" s="129"/>
      <c r="P1318" s="364"/>
      <c r="Q1318" s="364"/>
      <c r="R1318" s="129"/>
      <c r="S1318" s="129"/>
      <c r="T1318" s="129"/>
      <c r="W1318" s="129" t="s">
        <v>286</v>
      </c>
      <c r="X1318" s="337" t="b">
        <f t="shared" si="53"/>
        <v>1</v>
      </c>
    </row>
    <row r="1319" spans="1:24" s="337" customFormat="1" ht="12" customHeight="1" outlineLevel="1">
      <c r="A1319" s="335"/>
      <c r="B1319" s="118" t="s">
        <v>12</v>
      </c>
      <c r="C1319" s="334" t="s">
        <v>7441</v>
      </c>
      <c r="D1319" s="124" t="s">
        <v>7442</v>
      </c>
      <c r="E1319" s="125"/>
      <c r="F1319" s="118" t="s">
        <v>433</v>
      </c>
      <c r="G1319" s="126" t="s">
        <v>7334</v>
      </c>
      <c r="H1319" s="255">
        <v>5</v>
      </c>
      <c r="I1319" s="361">
        <v>1</v>
      </c>
      <c r="J1319" s="362" t="s">
        <v>310</v>
      </c>
      <c r="K1319" s="363"/>
      <c r="L1319" s="129"/>
      <c r="M1319" s="129"/>
      <c r="N1319" s="129"/>
      <c r="O1319" s="129"/>
      <c r="P1319" s="364"/>
      <c r="Q1319" s="364"/>
      <c r="R1319" s="129"/>
      <c r="S1319" s="129"/>
      <c r="T1319" s="129"/>
      <c r="W1319" s="129" t="s">
        <v>310</v>
      </c>
      <c r="X1319" s="337" t="b">
        <f t="shared" si="53"/>
        <v>1</v>
      </c>
    </row>
    <row r="1320" spans="1:24" s="337" customFormat="1" ht="12" customHeight="1" outlineLevel="1">
      <c r="A1320" s="335"/>
      <c r="B1320" s="118" t="s">
        <v>12</v>
      </c>
      <c r="C1320" s="334" t="s">
        <v>7443</v>
      </c>
      <c r="D1320" s="124" t="s">
        <v>7444</v>
      </c>
      <c r="E1320" s="125"/>
      <c r="F1320" s="118" t="s">
        <v>433</v>
      </c>
      <c r="G1320" s="126" t="s">
        <v>7334</v>
      </c>
      <c r="H1320" s="255">
        <v>5</v>
      </c>
      <c r="I1320" s="361">
        <v>1</v>
      </c>
      <c r="J1320" s="362" t="s">
        <v>310</v>
      </c>
      <c r="K1320" s="363"/>
      <c r="L1320" s="129"/>
      <c r="M1320" s="129"/>
      <c r="N1320" s="129"/>
      <c r="O1320" s="129"/>
      <c r="P1320" s="364"/>
      <c r="Q1320" s="364"/>
      <c r="R1320" s="129"/>
      <c r="S1320" s="129"/>
      <c r="T1320" s="129"/>
      <c r="W1320" s="129" t="s">
        <v>310</v>
      </c>
      <c r="X1320" s="337" t="b">
        <f t="shared" si="53"/>
        <v>1</v>
      </c>
    </row>
    <row r="1321" spans="1:24" s="337" customFormat="1" ht="12" customHeight="1" outlineLevel="1">
      <c r="A1321" s="335"/>
      <c r="B1321" s="118" t="s">
        <v>12</v>
      </c>
      <c r="C1321" s="334" t="s">
        <v>7445</v>
      </c>
      <c r="D1321" s="124" t="s">
        <v>7446</v>
      </c>
      <c r="E1321" s="125"/>
      <c r="F1321" s="118" t="s">
        <v>433</v>
      </c>
      <c r="G1321" s="126" t="s">
        <v>7334</v>
      </c>
      <c r="H1321" s="255">
        <v>5</v>
      </c>
      <c r="I1321" s="361">
        <v>1</v>
      </c>
      <c r="J1321" s="362" t="s">
        <v>286</v>
      </c>
      <c r="K1321" s="363"/>
      <c r="L1321" s="129"/>
      <c r="M1321" s="129"/>
      <c r="N1321" s="129"/>
      <c r="O1321" s="129"/>
      <c r="P1321" s="364"/>
      <c r="Q1321" s="364"/>
      <c r="R1321" s="129"/>
      <c r="S1321" s="129"/>
      <c r="T1321" s="129"/>
      <c r="W1321" s="129" t="s">
        <v>286</v>
      </c>
      <c r="X1321" s="337" t="b">
        <f t="shared" si="53"/>
        <v>1</v>
      </c>
    </row>
    <row r="1322" spans="1:24" s="337" customFormat="1" ht="12" customHeight="1" outlineLevel="1">
      <c r="A1322" s="335"/>
      <c r="B1322" s="118" t="s">
        <v>12</v>
      </c>
      <c r="C1322" s="334" t="s">
        <v>7447</v>
      </c>
      <c r="D1322" s="124" t="s">
        <v>7448</v>
      </c>
      <c r="E1322" s="125"/>
      <c r="F1322" s="118" t="s">
        <v>433</v>
      </c>
      <c r="G1322" s="126" t="s">
        <v>7334</v>
      </c>
      <c r="H1322" s="255">
        <v>5</v>
      </c>
      <c r="I1322" s="361">
        <v>1</v>
      </c>
      <c r="J1322" s="362" t="s">
        <v>286</v>
      </c>
      <c r="K1322" s="363"/>
      <c r="L1322" s="129"/>
      <c r="M1322" s="129"/>
      <c r="N1322" s="129"/>
      <c r="O1322" s="129"/>
      <c r="P1322" s="364"/>
      <c r="Q1322" s="364"/>
      <c r="R1322" s="129"/>
      <c r="S1322" s="129"/>
      <c r="T1322" s="129"/>
      <c r="W1322" s="129" t="s">
        <v>286</v>
      </c>
      <c r="X1322" s="337" t="b">
        <f t="shared" si="53"/>
        <v>1</v>
      </c>
    </row>
    <row r="1323" spans="1:24" s="337" customFormat="1" ht="12" customHeight="1" outlineLevel="1">
      <c r="A1323" s="335"/>
      <c r="B1323" s="118" t="s">
        <v>12</v>
      </c>
      <c r="C1323" s="334" t="s">
        <v>7449</v>
      </c>
      <c r="D1323" s="124" t="s">
        <v>7450</v>
      </c>
      <c r="E1323" s="125"/>
      <c r="F1323" s="118" t="s">
        <v>433</v>
      </c>
      <c r="G1323" s="126" t="s">
        <v>7334</v>
      </c>
      <c r="H1323" s="255">
        <v>5</v>
      </c>
      <c r="I1323" s="361">
        <v>1</v>
      </c>
      <c r="J1323" s="362" t="s">
        <v>286</v>
      </c>
      <c r="K1323" s="363"/>
      <c r="L1323" s="129"/>
      <c r="M1323" s="129"/>
      <c r="N1323" s="129"/>
      <c r="O1323" s="129"/>
      <c r="P1323" s="364"/>
      <c r="Q1323" s="364"/>
      <c r="R1323" s="129"/>
      <c r="S1323" s="129"/>
      <c r="T1323" s="129"/>
      <c r="W1323" s="129" t="s">
        <v>286</v>
      </c>
      <c r="X1323" s="337" t="b">
        <f t="shared" si="53"/>
        <v>1</v>
      </c>
    </row>
    <row r="1324" spans="1:24" s="337" customFormat="1" ht="12" customHeight="1" outlineLevel="1">
      <c r="A1324" s="335"/>
      <c r="B1324" s="118" t="s">
        <v>12</v>
      </c>
      <c r="C1324" s="334" t="s">
        <v>7451</v>
      </c>
      <c r="D1324" s="124" t="s">
        <v>7452</v>
      </c>
      <c r="E1324" s="125"/>
      <c r="F1324" s="118" t="s">
        <v>433</v>
      </c>
      <c r="G1324" s="126" t="s">
        <v>7334</v>
      </c>
      <c r="H1324" s="255">
        <v>5</v>
      </c>
      <c r="I1324" s="361">
        <v>1</v>
      </c>
      <c r="J1324" s="362" t="s">
        <v>286</v>
      </c>
      <c r="K1324" s="363"/>
      <c r="L1324" s="129"/>
      <c r="M1324" s="129"/>
      <c r="N1324" s="129"/>
      <c r="O1324" s="129"/>
      <c r="P1324" s="364"/>
      <c r="Q1324" s="364"/>
      <c r="R1324" s="129"/>
      <c r="S1324" s="129"/>
      <c r="T1324" s="129"/>
      <c r="W1324" s="129" t="s">
        <v>286</v>
      </c>
      <c r="X1324" s="337" t="b">
        <f t="shared" si="53"/>
        <v>1</v>
      </c>
    </row>
    <row r="1325" spans="1:24" s="337" customFormat="1" ht="12" customHeight="1" outlineLevel="1">
      <c r="A1325" s="335"/>
      <c r="B1325" s="118" t="s">
        <v>12</v>
      </c>
      <c r="C1325" s="334" t="s">
        <v>7453</v>
      </c>
      <c r="D1325" s="124" t="s">
        <v>7454</v>
      </c>
      <c r="E1325" s="125"/>
      <c r="F1325" s="118" t="s">
        <v>433</v>
      </c>
      <c r="G1325" s="126" t="s">
        <v>7334</v>
      </c>
      <c r="H1325" s="255">
        <v>5</v>
      </c>
      <c r="I1325" s="361">
        <v>1</v>
      </c>
      <c r="J1325" s="362" t="s">
        <v>286</v>
      </c>
      <c r="K1325" s="363"/>
      <c r="L1325" s="129"/>
      <c r="M1325" s="129"/>
      <c r="N1325" s="129"/>
      <c r="O1325" s="129"/>
      <c r="P1325" s="364"/>
      <c r="Q1325" s="364"/>
      <c r="R1325" s="129"/>
      <c r="S1325" s="129"/>
      <c r="T1325" s="129"/>
      <c r="W1325" s="129" t="s">
        <v>286</v>
      </c>
      <c r="X1325" s="337" t="b">
        <f t="shared" si="53"/>
        <v>1</v>
      </c>
    </row>
    <row r="1326" spans="1:24" s="337" customFormat="1" ht="12" customHeight="1" outlineLevel="1">
      <c r="A1326" s="335"/>
      <c r="B1326" s="118" t="s">
        <v>12</v>
      </c>
      <c r="C1326" s="334" t="s">
        <v>7455</v>
      </c>
      <c r="D1326" s="124" t="s">
        <v>7456</v>
      </c>
      <c r="E1326" s="125"/>
      <c r="F1326" s="118" t="s">
        <v>433</v>
      </c>
      <c r="G1326" s="126" t="s">
        <v>7334</v>
      </c>
      <c r="H1326" s="255">
        <v>5</v>
      </c>
      <c r="I1326" s="361">
        <v>1</v>
      </c>
      <c r="J1326" s="362" t="s">
        <v>286</v>
      </c>
      <c r="K1326" s="363"/>
      <c r="L1326" s="129"/>
      <c r="M1326" s="129"/>
      <c r="N1326" s="129"/>
      <c r="O1326" s="129"/>
      <c r="P1326" s="364"/>
      <c r="Q1326" s="364"/>
      <c r="R1326" s="129"/>
      <c r="S1326" s="129"/>
      <c r="T1326" s="129"/>
      <c r="W1326" s="129" t="s">
        <v>286</v>
      </c>
      <c r="X1326" s="337" t="b">
        <f t="shared" si="53"/>
        <v>1</v>
      </c>
    </row>
    <row r="1327" spans="1:24" s="337" customFormat="1" ht="12" customHeight="1" outlineLevel="1">
      <c r="A1327" s="335"/>
      <c r="B1327" s="118" t="s">
        <v>12</v>
      </c>
      <c r="C1327" s="334" t="s">
        <v>7457</v>
      </c>
      <c r="D1327" s="124" t="s">
        <v>7458</v>
      </c>
      <c r="E1327" s="125"/>
      <c r="F1327" s="118" t="s">
        <v>433</v>
      </c>
      <c r="G1327" s="126" t="s">
        <v>7334</v>
      </c>
      <c r="H1327" s="255">
        <v>5</v>
      </c>
      <c r="I1327" s="361">
        <v>1</v>
      </c>
      <c r="J1327" s="362" t="s">
        <v>286</v>
      </c>
      <c r="K1327" s="363"/>
      <c r="L1327" s="129"/>
      <c r="M1327" s="129"/>
      <c r="N1327" s="129"/>
      <c r="O1327" s="129"/>
      <c r="P1327" s="364"/>
      <c r="Q1327" s="364"/>
      <c r="R1327" s="129"/>
      <c r="S1327" s="129"/>
      <c r="T1327" s="129"/>
      <c r="W1327" s="129" t="s">
        <v>286</v>
      </c>
      <c r="X1327" s="337" t="b">
        <f t="shared" si="53"/>
        <v>1</v>
      </c>
    </row>
    <row r="1328" spans="1:24" s="337" customFormat="1" ht="12" customHeight="1" outlineLevel="1">
      <c r="A1328" s="335"/>
      <c r="B1328" s="118" t="s">
        <v>12</v>
      </c>
      <c r="C1328" s="334" t="s">
        <v>7459</v>
      </c>
      <c r="D1328" s="124" t="s">
        <v>7460</v>
      </c>
      <c r="E1328" s="125"/>
      <c r="F1328" s="118" t="s">
        <v>433</v>
      </c>
      <c r="G1328" s="126" t="s">
        <v>7334</v>
      </c>
      <c r="H1328" s="255">
        <v>5</v>
      </c>
      <c r="I1328" s="361">
        <v>1</v>
      </c>
      <c r="J1328" s="362" t="s">
        <v>286</v>
      </c>
      <c r="K1328" s="363"/>
      <c r="L1328" s="129"/>
      <c r="M1328" s="129"/>
      <c r="N1328" s="129"/>
      <c r="O1328" s="129"/>
      <c r="P1328" s="364"/>
      <c r="Q1328" s="364"/>
      <c r="R1328" s="129"/>
      <c r="S1328" s="129"/>
      <c r="T1328" s="129"/>
      <c r="W1328" s="129" t="s">
        <v>286</v>
      </c>
      <c r="X1328" s="337" t="b">
        <f t="shared" si="53"/>
        <v>1</v>
      </c>
    </row>
    <row r="1329" spans="1:24" s="337" customFormat="1" ht="12" customHeight="1" outlineLevel="1">
      <c r="A1329" s="335"/>
      <c r="B1329" s="118" t="s">
        <v>12</v>
      </c>
      <c r="C1329" s="334" t="s">
        <v>7461</v>
      </c>
      <c r="D1329" s="124" t="s">
        <v>7462</v>
      </c>
      <c r="E1329" s="125"/>
      <c r="F1329" s="118" t="s">
        <v>433</v>
      </c>
      <c r="G1329" s="126" t="s">
        <v>7334</v>
      </c>
      <c r="H1329" s="255">
        <v>5</v>
      </c>
      <c r="I1329" s="361">
        <v>1</v>
      </c>
      <c r="J1329" s="362" t="s">
        <v>310</v>
      </c>
      <c r="K1329" s="363"/>
      <c r="L1329" s="129"/>
      <c r="M1329" s="129"/>
      <c r="N1329" s="129"/>
      <c r="O1329" s="129"/>
      <c r="P1329" s="364"/>
      <c r="Q1329" s="364"/>
      <c r="R1329" s="129"/>
      <c r="S1329" s="129"/>
      <c r="T1329" s="129"/>
      <c r="W1329" s="129" t="s">
        <v>286</v>
      </c>
      <c r="X1329" s="337" t="b">
        <f t="shared" si="53"/>
        <v>0</v>
      </c>
    </row>
    <row r="1330" spans="1:24" s="337" customFormat="1" ht="12" customHeight="1" outlineLevel="1">
      <c r="A1330" s="335"/>
      <c r="B1330" s="118" t="s">
        <v>12</v>
      </c>
      <c r="C1330" s="334" t="s">
        <v>7463</v>
      </c>
      <c r="D1330" s="124" t="s">
        <v>7464</v>
      </c>
      <c r="E1330" s="125"/>
      <c r="F1330" s="118" t="s">
        <v>433</v>
      </c>
      <c r="G1330" s="126" t="s">
        <v>7334</v>
      </c>
      <c r="H1330" s="255">
        <v>5</v>
      </c>
      <c r="I1330" s="361">
        <v>1</v>
      </c>
      <c r="J1330" s="362" t="s">
        <v>310</v>
      </c>
      <c r="K1330" s="363"/>
      <c r="L1330" s="129"/>
      <c r="M1330" s="129"/>
      <c r="N1330" s="129"/>
      <c r="O1330" s="129"/>
      <c r="P1330" s="364"/>
      <c r="Q1330" s="364"/>
      <c r="R1330" s="129"/>
      <c r="S1330" s="129"/>
      <c r="T1330" s="129"/>
      <c r="W1330" s="129" t="s">
        <v>307</v>
      </c>
      <c r="X1330" s="337" t="b">
        <f t="shared" si="53"/>
        <v>0</v>
      </c>
    </row>
    <row r="1331" spans="1:24" s="337" customFormat="1" ht="12" customHeight="1" outlineLevel="1">
      <c r="A1331" s="335"/>
      <c r="B1331" s="118" t="s">
        <v>12</v>
      </c>
      <c r="C1331" s="334" t="s">
        <v>7465</v>
      </c>
      <c r="D1331" s="124" t="s">
        <v>7466</v>
      </c>
      <c r="E1331" s="125"/>
      <c r="F1331" s="118" t="s">
        <v>433</v>
      </c>
      <c r="G1331" s="126" t="s">
        <v>7334</v>
      </c>
      <c r="H1331" s="255">
        <v>5</v>
      </c>
      <c r="I1331" s="361">
        <v>1</v>
      </c>
      <c r="J1331" s="362" t="s">
        <v>310</v>
      </c>
      <c r="K1331" s="363"/>
      <c r="L1331" s="129"/>
      <c r="M1331" s="129"/>
      <c r="N1331" s="129"/>
      <c r="O1331" s="129"/>
      <c r="P1331" s="364"/>
      <c r="Q1331" s="364"/>
      <c r="R1331" s="129"/>
      <c r="S1331" s="129"/>
      <c r="T1331" s="129"/>
      <c r="W1331" s="129" t="s">
        <v>307</v>
      </c>
      <c r="X1331" s="337" t="b">
        <f t="shared" si="53"/>
        <v>0</v>
      </c>
    </row>
    <row r="1332" spans="1:24" s="337" customFormat="1" ht="12" customHeight="1" outlineLevel="1">
      <c r="A1332" s="335"/>
      <c r="B1332" s="118" t="s">
        <v>12</v>
      </c>
      <c r="C1332" s="334" t="s">
        <v>7467</v>
      </c>
      <c r="D1332" s="124" t="s">
        <v>7468</v>
      </c>
      <c r="E1332" s="125"/>
      <c r="F1332" s="118" t="s">
        <v>433</v>
      </c>
      <c r="G1332" s="126" t="s">
        <v>7334</v>
      </c>
      <c r="H1332" s="255">
        <v>5</v>
      </c>
      <c r="I1332" s="361">
        <v>1</v>
      </c>
      <c r="J1332" s="362" t="s">
        <v>310</v>
      </c>
      <c r="K1332" s="363"/>
      <c r="L1332" s="129"/>
      <c r="M1332" s="129"/>
      <c r="N1332" s="129"/>
      <c r="O1332" s="129"/>
      <c r="P1332" s="364"/>
      <c r="Q1332" s="364"/>
      <c r="R1332" s="129"/>
      <c r="S1332" s="129"/>
      <c r="T1332" s="129"/>
      <c r="W1332" s="129" t="s">
        <v>307</v>
      </c>
      <c r="X1332" s="337" t="b">
        <f t="shared" si="53"/>
        <v>0</v>
      </c>
    </row>
    <row r="1333" spans="1:24" s="337" customFormat="1" ht="12" customHeight="1" outlineLevel="1">
      <c r="A1333" s="335"/>
      <c r="B1333" s="118" t="s">
        <v>12</v>
      </c>
      <c r="C1333" s="334" t="s">
        <v>7469</v>
      </c>
      <c r="D1333" s="124" t="s">
        <v>7470</v>
      </c>
      <c r="E1333" s="125"/>
      <c r="F1333" s="118" t="s">
        <v>433</v>
      </c>
      <c r="G1333" s="126" t="s">
        <v>7334</v>
      </c>
      <c r="H1333" s="255">
        <v>5</v>
      </c>
      <c r="I1333" s="361">
        <v>1</v>
      </c>
      <c r="J1333" s="362" t="s">
        <v>310</v>
      </c>
      <c r="K1333" s="363"/>
      <c r="L1333" s="129"/>
      <c r="M1333" s="129"/>
      <c r="N1333" s="129"/>
      <c r="O1333" s="129"/>
      <c r="P1333" s="364"/>
      <c r="Q1333" s="364"/>
      <c r="R1333" s="129"/>
      <c r="S1333" s="129"/>
      <c r="T1333" s="129"/>
      <c r="W1333" s="129" t="s">
        <v>307</v>
      </c>
      <c r="X1333" s="337" t="b">
        <f t="shared" si="53"/>
        <v>0</v>
      </c>
    </row>
    <row r="1334" spans="1:24" s="337" customFormat="1" ht="12" customHeight="1" outlineLevel="1">
      <c r="A1334" s="335"/>
      <c r="B1334" s="118" t="s">
        <v>12</v>
      </c>
      <c r="C1334" s="334" t="s">
        <v>7471</v>
      </c>
      <c r="D1334" s="124" t="s">
        <v>7472</v>
      </c>
      <c r="E1334" s="125"/>
      <c r="F1334" s="118" t="s">
        <v>433</v>
      </c>
      <c r="G1334" s="126" t="s">
        <v>7334</v>
      </c>
      <c r="H1334" s="255">
        <v>5</v>
      </c>
      <c r="I1334" s="361">
        <v>1</v>
      </c>
      <c r="J1334" s="362" t="s">
        <v>310</v>
      </c>
      <c r="K1334" s="363"/>
      <c r="L1334" s="129"/>
      <c r="M1334" s="129"/>
      <c r="N1334" s="129"/>
      <c r="O1334" s="129"/>
      <c r="P1334" s="364"/>
      <c r="Q1334" s="364"/>
      <c r="R1334" s="129"/>
      <c r="S1334" s="129"/>
      <c r="T1334" s="129"/>
      <c r="W1334" s="129" t="s">
        <v>307</v>
      </c>
      <c r="X1334" s="337" t="b">
        <f t="shared" si="53"/>
        <v>0</v>
      </c>
    </row>
    <row r="1335" spans="1:24" s="337" customFormat="1" ht="12" customHeight="1" outlineLevel="1">
      <c r="A1335" s="335"/>
      <c r="B1335" s="118" t="s">
        <v>12</v>
      </c>
      <c r="C1335" s="334" t="s">
        <v>7473</v>
      </c>
      <c r="D1335" s="124" t="s">
        <v>7474</v>
      </c>
      <c r="E1335" s="125"/>
      <c r="F1335" s="118" t="s">
        <v>433</v>
      </c>
      <c r="G1335" s="126" t="s">
        <v>7334</v>
      </c>
      <c r="H1335" s="255">
        <v>5</v>
      </c>
      <c r="I1335" s="361">
        <v>1</v>
      </c>
      <c r="J1335" s="362" t="s">
        <v>310</v>
      </c>
      <c r="K1335" s="363"/>
      <c r="L1335" s="129"/>
      <c r="M1335" s="129"/>
      <c r="N1335" s="129"/>
      <c r="O1335" s="129"/>
      <c r="P1335" s="364"/>
      <c r="Q1335" s="364"/>
      <c r="R1335" s="129"/>
      <c r="S1335" s="129"/>
      <c r="T1335" s="129"/>
      <c r="W1335" s="129" t="s">
        <v>307</v>
      </c>
      <c r="X1335" s="337" t="b">
        <f t="shared" si="53"/>
        <v>0</v>
      </c>
    </row>
    <row r="1336" spans="1:24" s="337" customFormat="1" ht="12" customHeight="1" outlineLevel="1">
      <c r="A1336" s="335"/>
      <c r="B1336" s="118" t="s">
        <v>12</v>
      </c>
      <c r="C1336" s="334" t="s">
        <v>7475</v>
      </c>
      <c r="D1336" s="124" t="s">
        <v>7476</v>
      </c>
      <c r="E1336" s="125"/>
      <c r="F1336" s="118" t="s">
        <v>433</v>
      </c>
      <c r="G1336" s="126" t="s">
        <v>7334</v>
      </c>
      <c r="H1336" s="255">
        <v>5</v>
      </c>
      <c r="I1336" s="361">
        <v>1</v>
      </c>
      <c r="J1336" s="362" t="s">
        <v>307</v>
      </c>
      <c r="K1336" s="363"/>
      <c r="L1336" s="129"/>
      <c r="M1336" s="129"/>
      <c r="N1336" s="129"/>
      <c r="O1336" s="129"/>
      <c r="P1336" s="364"/>
      <c r="Q1336" s="364"/>
      <c r="R1336" s="129"/>
      <c r="S1336" s="129"/>
      <c r="T1336" s="129"/>
      <c r="W1336" s="129" t="s">
        <v>307</v>
      </c>
      <c r="X1336" s="337" t="b">
        <f t="shared" si="53"/>
        <v>1</v>
      </c>
    </row>
    <row r="1337" spans="1:24" s="337" customFormat="1" ht="12" customHeight="1" outlineLevel="1">
      <c r="A1337" s="335"/>
      <c r="B1337" s="118" t="s">
        <v>12</v>
      </c>
      <c r="C1337" s="334" t="s">
        <v>7477</v>
      </c>
      <c r="D1337" s="124" t="s">
        <v>7478</v>
      </c>
      <c r="E1337" s="125"/>
      <c r="F1337" s="118" t="s">
        <v>433</v>
      </c>
      <c r="G1337" s="126" t="s">
        <v>7334</v>
      </c>
      <c r="H1337" s="255">
        <v>5</v>
      </c>
      <c r="I1337" s="361">
        <v>1</v>
      </c>
      <c r="J1337" s="362" t="s">
        <v>286</v>
      </c>
      <c r="K1337" s="363"/>
      <c r="L1337" s="129"/>
      <c r="M1337" s="129"/>
      <c r="N1337" s="129"/>
      <c r="O1337" s="129"/>
      <c r="P1337" s="364"/>
      <c r="Q1337" s="364"/>
      <c r="R1337" s="129"/>
      <c r="S1337" s="129"/>
      <c r="T1337" s="129"/>
      <c r="W1337" s="129" t="s">
        <v>286</v>
      </c>
      <c r="X1337" s="337" t="b">
        <f t="shared" si="53"/>
        <v>1</v>
      </c>
    </row>
    <row r="1338" spans="1:24" s="337" customFormat="1" ht="12" customHeight="1" outlineLevel="1">
      <c r="A1338" s="335"/>
      <c r="B1338" s="118" t="s">
        <v>12</v>
      </c>
      <c r="C1338" s="334" t="s">
        <v>7479</v>
      </c>
      <c r="D1338" s="124" t="s">
        <v>7480</v>
      </c>
      <c r="E1338" s="125"/>
      <c r="F1338" s="118" t="s">
        <v>433</v>
      </c>
      <c r="G1338" s="126" t="s">
        <v>7334</v>
      </c>
      <c r="H1338" s="255">
        <v>5</v>
      </c>
      <c r="I1338" s="361">
        <v>1</v>
      </c>
      <c r="J1338" s="362" t="s">
        <v>286</v>
      </c>
      <c r="K1338" s="363"/>
      <c r="L1338" s="129"/>
      <c r="M1338" s="129"/>
      <c r="N1338" s="129"/>
      <c r="O1338" s="129"/>
      <c r="P1338" s="364"/>
      <c r="Q1338" s="364"/>
      <c r="R1338" s="129"/>
      <c r="S1338" s="129"/>
      <c r="T1338" s="129"/>
      <c r="W1338" s="129" t="s">
        <v>286</v>
      </c>
      <c r="X1338" s="337" t="b">
        <f t="shared" ref="X1338:X1401" si="54">W1338=J1338</f>
        <v>1</v>
      </c>
    </row>
    <row r="1339" spans="1:24" s="337" customFormat="1" ht="12" customHeight="1" outlineLevel="1">
      <c r="A1339" s="335"/>
      <c r="B1339" s="118" t="s">
        <v>12</v>
      </c>
      <c r="C1339" s="334" t="s">
        <v>7481</v>
      </c>
      <c r="D1339" s="124" t="s">
        <v>7482</v>
      </c>
      <c r="E1339" s="125"/>
      <c r="F1339" s="118" t="s">
        <v>433</v>
      </c>
      <c r="G1339" s="126" t="s">
        <v>7334</v>
      </c>
      <c r="H1339" s="255">
        <v>5</v>
      </c>
      <c r="I1339" s="361">
        <v>1</v>
      </c>
      <c r="J1339" s="362" t="s">
        <v>286</v>
      </c>
      <c r="K1339" s="363"/>
      <c r="L1339" s="129"/>
      <c r="M1339" s="129"/>
      <c r="N1339" s="129"/>
      <c r="O1339" s="129"/>
      <c r="P1339" s="364"/>
      <c r="Q1339" s="364"/>
      <c r="R1339" s="129"/>
      <c r="S1339" s="129"/>
      <c r="T1339" s="129"/>
      <c r="W1339" s="129" t="s">
        <v>286</v>
      </c>
      <c r="X1339" s="337" t="b">
        <f t="shared" si="54"/>
        <v>1</v>
      </c>
    </row>
    <row r="1340" spans="1:24" s="337" customFormat="1" ht="12" customHeight="1" outlineLevel="1">
      <c r="A1340" s="335"/>
      <c r="B1340" s="118" t="s">
        <v>12</v>
      </c>
      <c r="C1340" s="334" t="s">
        <v>7483</v>
      </c>
      <c r="D1340" s="124" t="s">
        <v>7484</v>
      </c>
      <c r="E1340" s="125"/>
      <c r="F1340" s="118" t="s">
        <v>433</v>
      </c>
      <c r="G1340" s="126" t="s">
        <v>7334</v>
      </c>
      <c r="H1340" s="255">
        <v>5</v>
      </c>
      <c r="I1340" s="361">
        <v>1</v>
      </c>
      <c r="J1340" s="362" t="s">
        <v>286</v>
      </c>
      <c r="K1340" s="363"/>
      <c r="L1340" s="129"/>
      <c r="M1340" s="129"/>
      <c r="N1340" s="129"/>
      <c r="O1340" s="129"/>
      <c r="P1340" s="364"/>
      <c r="Q1340" s="364"/>
      <c r="R1340" s="129"/>
      <c r="S1340" s="129"/>
      <c r="T1340" s="129"/>
      <c r="W1340" s="129" t="s">
        <v>286</v>
      </c>
      <c r="X1340" s="337" t="b">
        <f t="shared" si="54"/>
        <v>1</v>
      </c>
    </row>
    <row r="1341" spans="1:24" s="337" customFormat="1" ht="12" customHeight="1" outlineLevel="1">
      <c r="A1341" s="335"/>
      <c r="B1341" s="118" t="s">
        <v>12</v>
      </c>
      <c r="C1341" s="334" t="s">
        <v>7485</v>
      </c>
      <c r="D1341" s="124" t="s">
        <v>7486</v>
      </c>
      <c r="E1341" s="125"/>
      <c r="F1341" s="118" t="s">
        <v>433</v>
      </c>
      <c r="G1341" s="126" t="s">
        <v>7334</v>
      </c>
      <c r="H1341" s="255">
        <v>5</v>
      </c>
      <c r="I1341" s="361">
        <v>1</v>
      </c>
      <c r="J1341" s="362" t="s">
        <v>286</v>
      </c>
      <c r="K1341" s="363"/>
      <c r="L1341" s="129"/>
      <c r="M1341" s="129"/>
      <c r="N1341" s="129"/>
      <c r="O1341" s="129"/>
      <c r="P1341" s="364"/>
      <c r="Q1341" s="364"/>
      <c r="R1341" s="129"/>
      <c r="S1341" s="129"/>
      <c r="T1341" s="129"/>
      <c r="W1341" s="129" t="s">
        <v>286</v>
      </c>
      <c r="X1341" s="337" t="b">
        <f t="shared" si="54"/>
        <v>1</v>
      </c>
    </row>
    <row r="1342" spans="1:24" s="337" customFormat="1" ht="12" customHeight="1" outlineLevel="1">
      <c r="A1342" s="335"/>
      <c r="B1342" s="118" t="s">
        <v>12</v>
      </c>
      <c r="C1342" s="334" t="s">
        <v>7487</v>
      </c>
      <c r="D1342" s="124" t="s">
        <v>7488</v>
      </c>
      <c r="E1342" s="125"/>
      <c r="F1342" s="118" t="s">
        <v>433</v>
      </c>
      <c r="G1342" s="126" t="s">
        <v>7334</v>
      </c>
      <c r="H1342" s="255">
        <v>5</v>
      </c>
      <c r="I1342" s="361">
        <v>1</v>
      </c>
      <c r="J1342" s="362" t="s">
        <v>310</v>
      </c>
      <c r="K1342" s="363"/>
      <c r="L1342" s="129"/>
      <c r="M1342" s="129"/>
      <c r="N1342" s="129"/>
      <c r="O1342" s="129"/>
      <c r="P1342" s="364"/>
      <c r="Q1342" s="364"/>
      <c r="R1342" s="129"/>
      <c r="S1342" s="129"/>
      <c r="T1342" s="129"/>
      <c r="W1342" s="129" t="s">
        <v>310</v>
      </c>
      <c r="X1342" s="337" t="b">
        <f t="shared" si="54"/>
        <v>1</v>
      </c>
    </row>
    <row r="1343" spans="1:24" s="337" customFormat="1" ht="12" customHeight="1" outlineLevel="1">
      <c r="A1343" s="335"/>
      <c r="B1343" s="118" t="s">
        <v>12</v>
      </c>
      <c r="C1343" s="334" t="s">
        <v>7489</v>
      </c>
      <c r="D1343" s="124" t="s">
        <v>7490</v>
      </c>
      <c r="E1343" s="125"/>
      <c r="F1343" s="118" t="s">
        <v>433</v>
      </c>
      <c r="G1343" s="126" t="s">
        <v>7334</v>
      </c>
      <c r="H1343" s="255">
        <v>5</v>
      </c>
      <c r="I1343" s="361">
        <v>1</v>
      </c>
      <c r="J1343" s="362" t="s">
        <v>310</v>
      </c>
      <c r="K1343" s="363"/>
      <c r="L1343" s="129"/>
      <c r="M1343" s="129"/>
      <c r="N1343" s="129"/>
      <c r="O1343" s="129"/>
      <c r="P1343" s="364"/>
      <c r="Q1343" s="364"/>
      <c r="R1343" s="129"/>
      <c r="S1343" s="129"/>
      <c r="T1343" s="129"/>
      <c r="W1343" s="129" t="s">
        <v>310</v>
      </c>
      <c r="X1343" s="337" t="b">
        <f t="shared" si="54"/>
        <v>1</v>
      </c>
    </row>
    <row r="1344" spans="1:24" s="337" customFormat="1" ht="12" customHeight="1" outlineLevel="1">
      <c r="A1344" s="335"/>
      <c r="B1344" s="118" t="s">
        <v>12</v>
      </c>
      <c r="C1344" s="334" t="s">
        <v>7491</v>
      </c>
      <c r="D1344" s="124" t="s">
        <v>7492</v>
      </c>
      <c r="E1344" s="125"/>
      <c r="F1344" s="118" t="s">
        <v>433</v>
      </c>
      <c r="G1344" s="126" t="s">
        <v>7334</v>
      </c>
      <c r="H1344" s="255">
        <v>5</v>
      </c>
      <c r="I1344" s="361">
        <v>1</v>
      </c>
      <c r="J1344" s="362" t="s">
        <v>310</v>
      </c>
      <c r="K1344" s="363"/>
      <c r="L1344" s="129"/>
      <c r="M1344" s="129"/>
      <c r="N1344" s="129"/>
      <c r="O1344" s="129"/>
      <c r="P1344" s="364"/>
      <c r="Q1344" s="364"/>
      <c r="R1344" s="129"/>
      <c r="S1344" s="129"/>
      <c r="T1344" s="129"/>
      <c r="W1344" s="129" t="s">
        <v>310</v>
      </c>
      <c r="X1344" s="337" t="b">
        <f t="shared" si="54"/>
        <v>1</v>
      </c>
    </row>
    <row r="1345" spans="1:24" s="337" customFormat="1" ht="12" customHeight="1" outlineLevel="1">
      <c r="A1345" s="335"/>
      <c r="B1345" s="118" t="s">
        <v>12</v>
      </c>
      <c r="C1345" s="334" t="s">
        <v>7493</v>
      </c>
      <c r="D1345" s="124" t="s">
        <v>7494</v>
      </c>
      <c r="E1345" s="125"/>
      <c r="F1345" s="118" t="s">
        <v>433</v>
      </c>
      <c r="G1345" s="126" t="s">
        <v>7334</v>
      </c>
      <c r="H1345" s="255">
        <v>5</v>
      </c>
      <c r="I1345" s="361">
        <v>1</v>
      </c>
      <c r="J1345" s="362" t="s">
        <v>310</v>
      </c>
      <c r="K1345" s="363"/>
      <c r="L1345" s="129"/>
      <c r="M1345" s="129"/>
      <c r="N1345" s="129"/>
      <c r="O1345" s="129"/>
      <c r="P1345" s="364"/>
      <c r="Q1345" s="364"/>
      <c r="R1345" s="129"/>
      <c r="S1345" s="129"/>
      <c r="T1345" s="129"/>
      <c r="W1345" s="129" t="s">
        <v>310</v>
      </c>
      <c r="X1345" s="337" t="b">
        <f t="shared" si="54"/>
        <v>1</v>
      </c>
    </row>
    <row r="1346" spans="1:24" s="337" customFormat="1" ht="12" customHeight="1" outlineLevel="1">
      <c r="A1346" s="335"/>
      <c r="B1346" s="118" t="s">
        <v>12</v>
      </c>
      <c r="C1346" s="334" t="s">
        <v>7495</v>
      </c>
      <c r="D1346" s="124" t="s">
        <v>7496</v>
      </c>
      <c r="E1346" s="125"/>
      <c r="F1346" s="118" t="s">
        <v>433</v>
      </c>
      <c r="G1346" s="126" t="s">
        <v>7334</v>
      </c>
      <c r="H1346" s="255">
        <v>5</v>
      </c>
      <c r="I1346" s="361">
        <v>1</v>
      </c>
      <c r="J1346" s="362" t="s">
        <v>310</v>
      </c>
      <c r="K1346" s="363"/>
      <c r="L1346" s="129"/>
      <c r="M1346" s="129"/>
      <c r="N1346" s="129"/>
      <c r="O1346" s="129"/>
      <c r="P1346" s="364"/>
      <c r="Q1346" s="364"/>
      <c r="R1346" s="129"/>
      <c r="S1346" s="129"/>
      <c r="T1346" s="129"/>
      <c r="W1346" s="129" t="s">
        <v>310</v>
      </c>
      <c r="X1346" s="337" t="b">
        <f t="shared" si="54"/>
        <v>1</v>
      </c>
    </row>
    <row r="1347" spans="1:24" s="337" customFormat="1" ht="12" customHeight="1" outlineLevel="1">
      <c r="A1347" s="335"/>
      <c r="B1347" s="118" t="s">
        <v>12</v>
      </c>
      <c r="C1347" s="334" t="s">
        <v>7497</v>
      </c>
      <c r="D1347" s="124" t="s">
        <v>7498</v>
      </c>
      <c r="E1347" s="125"/>
      <c r="F1347" s="118" t="s">
        <v>433</v>
      </c>
      <c r="G1347" s="126" t="s">
        <v>7334</v>
      </c>
      <c r="H1347" s="255">
        <v>5</v>
      </c>
      <c r="I1347" s="361">
        <v>1</v>
      </c>
      <c r="J1347" s="362" t="s">
        <v>310</v>
      </c>
      <c r="K1347" s="363"/>
      <c r="L1347" s="129"/>
      <c r="M1347" s="129"/>
      <c r="N1347" s="129"/>
      <c r="O1347" s="129"/>
      <c r="P1347" s="364"/>
      <c r="Q1347" s="364"/>
      <c r="R1347" s="129"/>
      <c r="S1347" s="129"/>
      <c r="T1347" s="129"/>
      <c r="W1347" s="129" t="s">
        <v>310</v>
      </c>
      <c r="X1347" s="337" t="b">
        <f t="shared" si="54"/>
        <v>1</v>
      </c>
    </row>
    <row r="1348" spans="1:24" s="337" customFormat="1" ht="12" customHeight="1" outlineLevel="1">
      <c r="A1348" s="335"/>
      <c r="B1348" s="118" t="s">
        <v>12</v>
      </c>
      <c r="C1348" s="334" t="s">
        <v>7499</v>
      </c>
      <c r="D1348" s="124" t="s">
        <v>7500</v>
      </c>
      <c r="E1348" s="125"/>
      <c r="F1348" s="118" t="s">
        <v>433</v>
      </c>
      <c r="G1348" s="126" t="s">
        <v>7334</v>
      </c>
      <c r="H1348" s="255">
        <v>5</v>
      </c>
      <c r="I1348" s="361">
        <v>1</v>
      </c>
      <c r="J1348" s="362" t="s">
        <v>307</v>
      </c>
      <c r="K1348" s="363"/>
      <c r="L1348" s="129"/>
      <c r="M1348" s="129"/>
      <c r="N1348" s="129"/>
      <c r="O1348" s="129"/>
      <c r="P1348" s="364"/>
      <c r="Q1348" s="364"/>
      <c r="R1348" s="129"/>
      <c r="S1348" s="129"/>
      <c r="T1348" s="129"/>
      <c r="W1348" s="129" t="s">
        <v>310</v>
      </c>
      <c r="X1348" s="337" t="b">
        <f t="shared" si="54"/>
        <v>0</v>
      </c>
    </row>
    <row r="1349" spans="1:24" s="337" customFormat="1" ht="12" customHeight="1" outlineLevel="1">
      <c r="A1349" s="335"/>
      <c r="B1349" s="118" t="s">
        <v>12</v>
      </c>
      <c r="C1349" s="334" t="s">
        <v>7501</v>
      </c>
      <c r="D1349" s="124" t="s">
        <v>7502</v>
      </c>
      <c r="E1349" s="125"/>
      <c r="F1349" s="118" t="s">
        <v>433</v>
      </c>
      <c r="G1349" s="126" t="s">
        <v>7334</v>
      </c>
      <c r="H1349" s="255">
        <v>5</v>
      </c>
      <c r="I1349" s="361">
        <v>1</v>
      </c>
      <c r="J1349" s="362" t="s">
        <v>310</v>
      </c>
      <c r="K1349" s="363"/>
      <c r="L1349" s="129"/>
      <c r="M1349" s="129"/>
      <c r="N1349" s="129"/>
      <c r="O1349" s="129"/>
      <c r="P1349" s="364"/>
      <c r="Q1349" s="364"/>
      <c r="R1349" s="129"/>
      <c r="S1349" s="129"/>
      <c r="T1349" s="129"/>
      <c r="W1349" s="129" t="s">
        <v>310</v>
      </c>
      <c r="X1349" s="337" t="b">
        <f t="shared" si="54"/>
        <v>1</v>
      </c>
    </row>
    <row r="1350" spans="1:24" s="337" customFormat="1" ht="12" customHeight="1" outlineLevel="1">
      <c r="A1350" s="335"/>
      <c r="B1350" s="118" t="s">
        <v>12</v>
      </c>
      <c r="C1350" s="334" t="s">
        <v>7503</v>
      </c>
      <c r="D1350" s="124" t="s">
        <v>7504</v>
      </c>
      <c r="E1350" s="125"/>
      <c r="F1350" s="118" t="s">
        <v>433</v>
      </c>
      <c r="G1350" s="126" t="s">
        <v>7334</v>
      </c>
      <c r="H1350" s="255">
        <v>5</v>
      </c>
      <c r="I1350" s="361">
        <v>1</v>
      </c>
      <c r="J1350" s="362" t="s">
        <v>310</v>
      </c>
      <c r="K1350" s="363"/>
      <c r="L1350" s="129"/>
      <c r="M1350" s="129"/>
      <c r="N1350" s="129"/>
      <c r="O1350" s="129"/>
      <c r="P1350" s="364"/>
      <c r="Q1350" s="364"/>
      <c r="R1350" s="129"/>
      <c r="S1350" s="129"/>
      <c r="T1350" s="129"/>
      <c r="W1350" s="129" t="s">
        <v>310</v>
      </c>
      <c r="X1350" s="337" t="b">
        <f t="shared" si="54"/>
        <v>1</v>
      </c>
    </row>
    <row r="1351" spans="1:24" s="337" customFormat="1" ht="12" customHeight="1" outlineLevel="1">
      <c r="A1351" s="335"/>
      <c r="B1351" s="118" t="s">
        <v>12</v>
      </c>
      <c r="C1351" s="334" t="s">
        <v>7505</v>
      </c>
      <c r="D1351" s="124" t="s">
        <v>7506</v>
      </c>
      <c r="E1351" s="125"/>
      <c r="F1351" s="118" t="s">
        <v>433</v>
      </c>
      <c r="G1351" s="126" t="s">
        <v>7334</v>
      </c>
      <c r="H1351" s="255">
        <v>5</v>
      </c>
      <c r="I1351" s="361">
        <v>1</v>
      </c>
      <c r="J1351" s="362" t="s">
        <v>310</v>
      </c>
      <c r="K1351" s="363"/>
      <c r="L1351" s="129"/>
      <c r="M1351" s="129"/>
      <c r="N1351" s="129"/>
      <c r="O1351" s="129"/>
      <c r="P1351" s="364"/>
      <c r="Q1351" s="364"/>
      <c r="R1351" s="129"/>
      <c r="S1351" s="129"/>
      <c r="T1351" s="129"/>
      <c r="W1351" s="129" t="s">
        <v>310</v>
      </c>
      <c r="X1351" s="337" t="b">
        <f t="shared" si="54"/>
        <v>1</v>
      </c>
    </row>
    <row r="1352" spans="1:24" s="337" customFormat="1" ht="12" customHeight="1" outlineLevel="1">
      <c r="A1352" s="335"/>
      <c r="B1352" s="118" t="s">
        <v>12</v>
      </c>
      <c r="C1352" s="334" t="s">
        <v>7507</v>
      </c>
      <c r="D1352" s="124" t="s">
        <v>7508</v>
      </c>
      <c r="E1352" s="125"/>
      <c r="F1352" s="118" t="s">
        <v>433</v>
      </c>
      <c r="G1352" s="126" t="s">
        <v>7334</v>
      </c>
      <c r="H1352" s="255">
        <v>5</v>
      </c>
      <c r="I1352" s="361">
        <v>1</v>
      </c>
      <c r="J1352" s="362" t="s">
        <v>310</v>
      </c>
      <c r="K1352" s="363"/>
      <c r="L1352" s="129"/>
      <c r="M1352" s="129"/>
      <c r="N1352" s="129"/>
      <c r="O1352" s="129"/>
      <c r="P1352" s="364"/>
      <c r="Q1352" s="364"/>
      <c r="R1352" s="129"/>
      <c r="S1352" s="129"/>
      <c r="T1352" s="129"/>
      <c r="W1352" s="129" t="s">
        <v>286</v>
      </c>
      <c r="X1352" s="337" t="b">
        <f t="shared" si="54"/>
        <v>0</v>
      </c>
    </row>
    <row r="1353" spans="1:24" s="337" customFormat="1" ht="12" customHeight="1" outlineLevel="1">
      <c r="A1353" s="335"/>
      <c r="B1353" s="118" t="s">
        <v>12</v>
      </c>
      <c r="C1353" s="334" t="s">
        <v>7509</v>
      </c>
      <c r="D1353" s="124" t="s">
        <v>7510</v>
      </c>
      <c r="E1353" s="125"/>
      <c r="F1353" s="118" t="s">
        <v>433</v>
      </c>
      <c r="G1353" s="126" t="s">
        <v>7334</v>
      </c>
      <c r="H1353" s="255">
        <v>5</v>
      </c>
      <c r="I1353" s="361">
        <v>1</v>
      </c>
      <c r="J1353" s="362" t="s">
        <v>310</v>
      </c>
      <c r="K1353" s="363"/>
      <c r="L1353" s="129"/>
      <c r="M1353" s="129"/>
      <c r="N1353" s="129"/>
      <c r="O1353" s="129"/>
      <c r="P1353" s="364"/>
      <c r="Q1353" s="364"/>
      <c r="R1353" s="129"/>
      <c r="S1353" s="129"/>
      <c r="T1353" s="129"/>
      <c r="W1353" s="129" t="s">
        <v>310</v>
      </c>
      <c r="X1353" s="337" t="b">
        <f t="shared" si="54"/>
        <v>1</v>
      </c>
    </row>
    <row r="1354" spans="1:24" s="337" customFormat="1" ht="12" customHeight="1" outlineLevel="1">
      <c r="A1354" s="335"/>
      <c r="B1354" s="118" t="s">
        <v>12</v>
      </c>
      <c r="C1354" s="334" t="s">
        <v>7511</v>
      </c>
      <c r="D1354" s="124" t="s">
        <v>7512</v>
      </c>
      <c r="E1354" s="125"/>
      <c r="F1354" s="118" t="s">
        <v>433</v>
      </c>
      <c r="G1354" s="126" t="s">
        <v>7334</v>
      </c>
      <c r="H1354" s="255">
        <v>5</v>
      </c>
      <c r="I1354" s="361">
        <v>1</v>
      </c>
      <c r="J1354" s="362" t="s">
        <v>286</v>
      </c>
      <c r="K1354" s="363"/>
      <c r="L1354" s="129"/>
      <c r="M1354" s="129"/>
      <c r="N1354" s="129"/>
      <c r="O1354" s="129"/>
      <c r="P1354" s="364"/>
      <c r="Q1354" s="364"/>
      <c r="R1354" s="129"/>
      <c r="S1354" s="129"/>
      <c r="T1354" s="129"/>
      <c r="W1354" s="129" t="s">
        <v>286</v>
      </c>
      <c r="X1354" s="337" t="b">
        <f t="shared" si="54"/>
        <v>1</v>
      </c>
    </row>
    <row r="1355" spans="1:24" s="337" customFormat="1" ht="12" customHeight="1" outlineLevel="1">
      <c r="A1355" s="335"/>
      <c r="B1355" s="118" t="s">
        <v>12</v>
      </c>
      <c r="C1355" s="334" t="s">
        <v>7513</v>
      </c>
      <c r="D1355" s="124" t="s">
        <v>7514</v>
      </c>
      <c r="E1355" s="125"/>
      <c r="F1355" s="118" t="s">
        <v>433</v>
      </c>
      <c r="G1355" s="126" t="s">
        <v>7334</v>
      </c>
      <c r="H1355" s="255">
        <v>5</v>
      </c>
      <c r="I1355" s="361">
        <v>1</v>
      </c>
      <c r="J1355" s="362" t="s">
        <v>286</v>
      </c>
      <c r="K1355" s="363"/>
      <c r="L1355" s="129"/>
      <c r="M1355" s="129"/>
      <c r="N1355" s="129"/>
      <c r="O1355" s="129"/>
      <c r="P1355" s="364"/>
      <c r="Q1355" s="364"/>
      <c r="R1355" s="129"/>
      <c r="S1355" s="129"/>
      <c r="T1355" s="129"/>
      <c r="W1355" s="129" t="s">
        <v>286</v>
      </c>
      <c r="X1355" s="337" t="b">
        <f t="shared" si="54"/>
        <v>1</v>
      </c>
    </row>
    <row r="1356" spans="1:24" s="337" customFormat="1" ht="12" customHeight="1" outlineLevel="1">
      <c r="A1356" s="335"/>
      <c r="B1356" s="118" t="s">
        <v>12</v>
      </c>
      <c r="C1356" s="334" t="s">
        <v>7515</v>
      </c>
      <c r="D1356" s="124" t="s">
        <v>7516</v>
      </c>
      <c r="E1356" s="125"/>
      <c r="F1356" s="118" t="s">
        <v>433</v>
      </c>
      <c r="G1356" s="126" t="s">
        <v>7334</v>
      </c>
      <c r="H1356" s="255">
        <v>5</v>
      </c>
      <c r="I1356" s="361">
        <v>1</v>
      </c>
      <c r="J1356" s="362" t="s">
        <v>310</v>
      </c>
      <c r="K1356" s="363"/>
      <c r="L1356" s="129"/>
      <c r="M1356" s="129"/>
      <c r="N1356" s="129"/>
      <c r="O1356" s="129"/>
      <c r="P1356" s="364"/>
      <c r="Q1356" s="364"/>
      <c r="R1356" s="129"/>
      <c r="S1356" s="129"/>
      <c r="T1356" s="129"/>
      <c r="W1356" s="129" t="s">
        <v>310</v>
      </c>
      <c r="X1356" s="337" t="b">
        <f t="shared" si="54"/>
        <v>1</v>
      </c>
    </row>
    <row r="1357" spans="1:24" s="337" customFormat="1" ht="12" customHeight="1" outlineLevel="1">
      <c r="A1357" s="335"/>
      <c r="B1357" s="118" t="s">
        <v>12</v>
      </c>
      <c r="C1357" s="334" t="s">
        <v>7517</v>
      </c>
      <c r="D1357" s="124" t="s">
        <v>7518</v>
      </c>
      <c r="E1357" s="125"/>
      <c r="F1357" s="118" t="s">
        <v>433</v>
      </c>
      <c r="G1357" s="126" t="s">
        <v>7334</v>
      </c>
      <c r="H1357" s="255">
        <v>5</v>
      </c>
      <c r="I1357" s="361">
        <v>1</v>
      </c>
      <c r="J1357" s="362" t="s">
        <v>310</v>
      </c>
      <c r="K1357" s="363"/>
      <c r="L1357" s="129"/>
      <c r="M1357" s="129"/>
      <c r="N1357" s="129"/>
      <c r="O1357" s="129"/>
      <c r="P1357" s="364"/>
      <c r="Q1357" s="364"/>
      <c r="R1357" s="129"/>
      <c r="S1357" s="129"/>
      <c r="T1357" s="129"/>
      <c r="W1357" s="129" t="s">
        <v>310</v>
      </c>
      <c r="X1357" s="337" t="b">
        <f t="shared" si="54"/>
        <v>1</v>
      </c>
    </row>
    <row r="1358" spans="1:24" s="337" customFormat="1" ht="12" customHeight="1" outlineLevel="1">
      <c r="A1358" s="335"/>
      <c r="B1358" s="118" t="s">
        <v>12</v>
      </c>
      <c r="C1358" s="334" t="s">
        <v>7519</v>
      </c>
      <c r="D1358" s="124" t="s">
        <v>7520</v>
      </c>
      <c r="E1358" s="125"/>
      <c r="F1358" s="118" t="s">
        <v>433</v>
      </c>
      <c r="G1358" s="126" t="s">
        <v>7334</v>
      </c>
      <c r="H1358" s="255">
        <v>5</v>
      </c>
      <c r="I1358" s="361">
        <v>1</v>
      </c>
      <c r="J1358" s="362" t="s">
        <v>310</v>
      </c>
      <c r="K1358" s="363"/>
      <c r="L1358" s="129"/>
      <c r="M1358" s="129"/>
      <c r="N1358" s="129"/>
      <c r="O1358" s="129"/>
      <c r="P1358" s="364"/>
      <c r="Q1358" s="364"/>
      <c r="R1358" s="129"/>
      <c r="S1358" s="129"/>
      <c r="T1358" s="129"/>
      <c r="W1358" s="129" t="s">
        <v>310</v>
      </c>
      <c r="X1358" s="337" t="b">
        <f t="shared" si="54"/>
        <v>1</v>
      </c>
    </row>
    <row r="1359" spans="1:24" s="337" customFormat="1" ht="12" customHeight="1" outlineLevel="1">
      <c r="A1359" s="335"/>
      <c r="B1359" s="118" t="s">
        <v>12</v>
      </c>
      <c r="C1359" s="334" t="s">
        <v>7521</v>
      </c>
      <c r="D1359" s="124" t="s">
        <v>7522</v>
      </c>
      <c r="E1359" s="125"/>
      <c r="F1359" s="118" t="s">
        <v>433</v>
      </c>
      <c r="G1359" s="126" t="s">
        <v>7334</v>
      </c>
      <c r="H1359" s="255">
        <v>5</v>
      </c>
      <c r="I1359" s="361">
        <v>1</v>
      </c>
      <c r="J1359" s="362" t="s">
        <v>310</v>
      </c>
      <c r="K1359" s="363"/>
      <c r="L1359" s="129"/>
      <c r="M1359" s="129"/>
      <c r="N1359" s="129"/>
      <c r="O1359" s="129"/>
      <c r="P1359" s="364"/>
      <c r="Q1359" s="364"/>
      <c r="R1359" s="129"/>
      <c r="S1359" s="129"/>
      <c r="T1359" s="129"/>
      <c r="W1359" s="129" t="s">
        <v>310</v>
      </c>
      <c r="X1359" s="337" t="b">
        <f t="shared" si="54"/>
        <v>1</v>
      </c>
    </row>
    <row r="1360" spans="1:24" s="337" customFormat="1" ht="12" customHeight="1" outlineLevel="1">
      <c r="A1360" s="335"/>
      <c r="B1360" s="118" t="s">
        <v>12</v>
      </c>
      <c r="C1360" s="334" t="s">
        <v>7523</v>
      </c>
      <c r="D1360" s="124" t="s">
        <v>7524</v>
      </c>
      <c r="E1360" s="125"/>
      <c r="F1360" s="118" t="s">
        <v>433</v>
      </c>
      <c r="G1360" s="126" t="s">
        <v>7334</v>
      </c>
      <c r="H1360" s="255">
        <v>5</v>
      </c>
      <c r="I1360" s="361">
        <v>1</v>
      </c>
      <c r="J1360" s="362" t="s">
        <v>310</v>
      </c>
      <c r="K1360" s="363"/>
      <c r="L1360" s="129"/>
      <c r="M1360" s="129"/>
      <c r="N1360" s="129"/>
      <c r="O1360" s="129"/>
      <c r="P1360" s="364"/>
      <c r="Q1360" s="364"/>
      <c r="R1360" s="129"/>
      <c r="S1360" s="129"/>
      <c r="T1360" s="129"/>
      <c r="W1360" s="129" t="s">
        <v>310</v>
      </c>
      <c r="X1360" s="337" t="b">
        <f t="shared" si="54"/>
        <v>1</v>
      </c>
    </row>
    <row r="1361" spans="1:24" s="337" customFormat="1" ht="12" customHeight="1" outlineLevel="1">
      <c r="A1361" s="335"/>
      <c r="B1361" s="118" t="s">
        <v>12</v>
      </c>
      <c r="C1361" s="334" t="s">
        <v>7525</v>
      </c>
      <c r="D1361" s="124" t="s">
        <v>7526</v>
      </c>
      <c r="E1361" s="125"/>
      <c r="F1361" s="118" t="s">
        <v>433</v>
      </c>
      <c r="G1361" s="126" t="s">
        <v>7334</v>
      </c>
      <c r="H1361" s="255">
        <v>5</v>
      </c>
      <c r="I1361" s="361">
        <v>1</v>
      </c>
      <c r="J1361" s="362" t="s">
        <v>310</v>
      </c>
      <c r="K1361" s="363"/>
      <c r="L1361" s="129"/>
      <c r="M1361" s="129"/>
      <c r="N1361" s="129"/>
      <c r="O1361" s="129"/>
      <c r="P1361" s="364"/>
      <c r="Q1361" s="364"/>
      <c r="R1361" s="129"/>
      <c r="S1361" s="129"/>
      <c r="T1361" s="129"/>
      <c r="W1361" s="129" t="s">
        <v>310</v>
      </c>
      <c r="X1361" s="337" t="b">
        <f t="shared" si="54"/>
        <v>1</v>
      </c>
    </row>
    <row r="1362" spans="1:24" s="337" customFormat="1" ht="12" customHeight="1" outlineLevel="1">
      <c r="A1362" s="335"/>
      <c r="B1362" s="118" t="s">
        <v>12</v>
      </c>
      <c r="C1362" s="334" t="s">
        <v>7527</v>
      </c>
      <c r="D1362" s="124" t="s">
        <v>7528</v>
      </c>
      <c r="E1362" s="125"/>
      <c r="F1362" s="118" t="s">
        <v>433</v>
      </c>
      <c r="G1362" s="126" t="s">
        <v>7334</v>
      </c>
      <c r="H1362" s="255">
        <v>5</v>
      </c>
      <c r="I1362" s="361">
        <v>1</v>
      </c>
      <c r="J1362" s="362" t="s">
        <v>307</v>
      </c>
      <c r="K1362" s="363"/>
      <c r="L1362" s="129"/>
      <c r="M1362" s="129"/>
      <c r="N1362" s="129"/>
      <c r="O1362" s="129"/>
      <c r="P1362" s="364"/>
      <c r="Q1362" s="364"/>
      <c r="R1362" s="129"/>
      <c r="S1362" s="129"/>
      <c r="T1362" s="129"/>
      <c r="W1362" s="129" t="s">
        <v>310</v>
      </c>
      <c r="X1362" s="337" t="b">
        <f t="shared" si="54"/>
        <v>0</v>
      </c>
    </row>
    <row r="1363" spans="1:24" s="337" customFormat="1" ht="12" customHeight="1" outlineLevel="1">
      <c r="A1363" s="335"/>
      <c r="B1363" s="118" t="s">
        <v>12</v>
      </c>
      <c r="C1363" s="334" t="s">
        <v>7529</v>
      </c>
      <c r="D1363" s="124" t="s">
        <v>7530</v>
      </c>
      <c r="E1363" s="125"/>
      <c r="F1363" s="118" t="s">
        <v>433</v>
      </c>
      <c r="G1363" s="126" t="s">
        <v>7334</v>
      </c>
      <c r="H1363" s="255">
        <v>5</v>
      </c>
      <c r="I1363" s="361">
        <v>1</v>
      </c>
      <c r="J1363" s="362" t="s">
        <v>310</v>
      </c>
      <c r="K1363" s="363"/>
      <c r="L1363" s="129"/>
      <c r="M1363" s="129"/>
      <c r="N1363" s="129"/>
      <c r="O1363" s="129"/>
      <c r="P1363" s="364"/>
      <c r="Q1363" s="364"/>
      <c r="R1363" s="129"/>
      <c r="S1363" s="129"/>
      <c r="T1363" s="129"/>
      <c r="W1363" s="129" t="s">
        <v>310</v>
      </c>
      <c r="X1363" s="337" t="b">
        <f t="shared" si="54"/>
        <v>1</v>
      </c>
    </row>
    <row r="1364" spans="1:24" s="337" customFormat="1" ht="12" customHeight="1" outlineLevel="1">
      <c r="A1364" s="335"/>
      <c r="B1364" s="118" t="s">
        <v>12</v>
      </c>
      <c r="C1364" s="334" t="s">
        <v>7531</v>
      </c>
      <c r="D1364" s="124" t="s">
        <v>7532</v>
      </c>
      <c r="E1364" s="125"/>
      <c r="F1364" s="118" t="s">
        <v>433</v>
      </c>
      <c r="G1364" s="126" t="s">
        <v>7334</v>
      </c>
      <c r="H1364" s="255">
        <v>5</v>
      </c>
      <c r="I1364" s="361">
        <v>1</v>
      </c>
      <c r="J1364" s="362" t="s">
        <v>307</v>
      </c>
      <c r="K1364" s="363"/>
      <c r="L1364" s="129"/>
      <c r="M1364" s="129"/>
      <c r="N1364" s="129"/>
      <c r="O1364" s="129"/>
      <c r="P1364" s="364"/>
      <c r="Q1364" s="364"/>
      <c r="R1364" s="129"/>
      <c r="S1364" s="129"/>
      <c r="T1364" s="129"/>
      <c r="W1364" s="129" t="s">
        <v>310</v>
      </c>
      <c r="X1364" s="337" t="b">
        <f t="shared" si="54"/>
        <v>0</v>
      </c>
    </row>
    <row r="1365" spans="1:24" s="337" customFormat="1" ht="12" customHeight="1" outlineLevel="1">
      <c r="A1365" s="335"/>
      <c r="B1365" s="118" t="s">
        <v>12</v>
      </c>
      <c r="C1365" s="334" t="s">
        <v>7533</v>
      </c>
      <c r="D1365" s="124" t="s">
        <v>7534</v>
      </c>
      <c r="E1365" s="125"/>
      <c r="F1365" s="118" t="s">
        <v>433</v>
      </c>
      <c r="G1365" s="126" t="s">
        <v>7334</v>
      </c>
      <c r="H1365" s="255">
        <v>5</v>
      </c>
      <c r="I1365" s="361">
        <v>1</v>
      </c>
      <c r="J1365" s="362" t="s">
        <v>286</v>
      </c>
      <c r="K1365" s="363"/>
      <c r="L1365" s="129"/>
      <c r="M1365" s="129"/>
      <c r="N1365" s="129"/>
      <c r="O1365" s="129"/>
      <c r="P1365" s="364"/>
      <c r="Q1365" s="364"/>
      <c r="R1365" s="129"/>
      <c r="S1365" s="129"/>
      <c r="T1365" s="129"/>
      <c r="W1365" s="129" t="s">
        <v>286</v>
      </c>
      <c r="X1365" s="337" t="b">
        <f t="shared" si="54"/>
        <v>1</v>
      </c>
    </row>
    <row r="1366" spans="1:24" s="337" customFormat="1" ht="12" customHeight="1" outlineLevel="1">
      <c r="A1366" s="335"/>
      <c r="B1366" s="118" t="s">
        <v>12</v>
      </c>
      <c r="C1366" s="334" t="s">
        <v>7535</v>
      </c>
      <c r="D1366" s="124" t="s">
        <v>7536</v>
      </c>
      <c r="E1366" s="125"/>
      <c r="F1366" s="118" t="s">
        <v>433</v>
      </c>
      <c r="G1366" s="126" t="s">
        <v>7334</v>
      </c>
      <c r="H1366" s="255">
        <v>5</v>
      </c>
      <c r="I1366" s="361">
        <v>1</v>
      </c>
      <c r="J1366" s="362" t="s">
        <v>286</v>
      </c>
      <c r="K1366" s="363"/>
      <c r="L1366" s="129"/>
      <c r="M1366" s="129"/>
      <c r="N1366" s="129"/>
      <c r="O1366" s="129"/>
      <c r="P1366" s="364"/>
      <c r="Q1366" s="364"/>
      <c r="R1366" s="129"/>
      <c r="S1366" s="129"/>
      <c r="T1366" s="129"/>
      <c r="W1366" s="129" t="s">
        <v>286</v>
      </c>
      <c r="X1366" s="337" t="b">
        <f t="shared" si="54"/>
        <v>1</v>
      </c>
    </row>
    <row r="1367" spans="1:24" s="337" customFormat="1" ht="12" customHeight="1" outlineLevel="1">
      <c r="A1367" s="335"/>
      <c r="B1367" s="118" t="s">
        <v>12</v>
      </c>
      <c r="C1367" s="334" t="s">
        <v>7537</v>
      </c>
      <c r="D1367" s="124" t="s">
        <v>7538</v>
      </c>
      <c r="E1367" s="125"/>
      <c r="F1367" s="118" t="s">
        <v>433</v>
      </c>
      <c r="G1367" s="126" t="s">
        <v>7334</v>
      </c>
      <c r="H1367" s="255">
        <v>5</v>
      </c>
      <c r="I1367" s="361">
        <v>1</v>
      </c>
      <c r="J1367" s="362" t="s">
        <v>310</v>
      </c>
      <c r="K1367" s="363"/>
      <c r="L1367" s="129"/>
      <c r="M1367" s="129"/>
      <c r="N1367" s="129"/>
      <c r="O1367" s="129"/>
      <c r="P1367" s="364"/>
      <c r="Q1367" s="364"/>
      <c r="R1367" s="129"/>
      <c r="S1367" s="129"/>
      <c r="T1367" s="129"/>
      <c r="W1367" s="129" t="s">
        <v>286</v>
      </c>
      <c r="X1367" s="337" t="b">
        <f t="shared" si="54"/>
        <v>0</v>
      </c>
    </row>
    <row r="1368" spans="1:24" s="337" customFormat="1" ht="12" customHeight="1" outlineLevel="1">
      <c r="A1368" s="335"/>
      <c r="B1368" s="118" t="s">
        <v>12</v>
      </c>
      <c r="C1368" s="334" t="s">
        <v>7539</v>
      </c>
      <c r="D1368" s="124" t="s">
        <v>7540</v>
      </c>
      <c r="E1368" s="125"/>
      <c r="F1368" s="118" t="s">
        <v>433</v>
      </c>
      <c r="G1368" s="126" t="s">
        <v>7334</v>
      </c>
      <c r="H1368" s="255">
        <v>5</v>
      </c>
      <c r="I1368" s="361">
        <v>1</v>
      </c>
      <c r="J1368" s="362" t="s">
        <v>310</v>
      </c>
      <c r="K1368" s="363"/>
      <c r="L1368" s="129"/>
      <c r="M1368" s="129"/>
      <c r="N1368" s="129"/>
      <c r="O1368" s="129"/>
      <c r="P1368" s="364"/>
      <c r="Q1368" s="364"/>
      <c r="R1368" s="129"/>
      <c r="S1368" s="129"/>
      <c r="T1368" s="129"/>
      <c r="W1368" s="129" t="s">
        <v>286</v>
      </c>
      <c r="X1368" s="337" t="b">
        <f t="shared" si="54"/>
        <v>0</v>
      </c>
    </row>
    <row r="1369" spans="1:24" s="337" customFormat="1" ht="12" customHeight="1" outlineLevel="1">
      <c r="A1369" s="335"/>
      <c r="B1369" s="118" t="s">
        <v>12</v>
      </c>
      <c r="C1369" s="334" t="s">
        <v>7541</v>
      </c>
      <c r="D1369" s="124" t="s">
        <v>7542</v>
      </c>
      <c r="E1369" s="125"/>
      <c r="F1369" s="118" t="s">
        <v>433</v>
      </c>
      <c r="G1369" s="126" t="s">
        <v>7334</v>
      </c>
      <c r="H1369" s="255">
        <v>5</v>
      </c>
      <c r="I1369" s="361">
        <v>1</v>
      </c>
      <c r="J1369" s="362" t="s">
        <v>286</v>
      </c>
      <c r="K1369" s="363"/>
      <c r="L1369" s="129"/>
      <c r="M1369" s="129"/>
      <c r="N1369" s="129"/>
      <c r="O1369" s="129"/>
      <c r="P1369" s="364"/>
      <c r="Q1369" s="364"/>
      <c r="R1369" s="129"/>
      <c r="S1369" s="129"/>
      <c r="T1369" s="129"/>
      <c r="W1369" s="129" t="s">
        <v>286</v>
      </c>
      <c r="X1369" s="337" t="b">
        <f t="shared" si="54"/>
        <v>1</v>
      </c>
    </row>
    <row r="1370" spans="1:24" s="337" customFormat="1" ht="12" customHeight="1" outlineLevel="1">
      <c r="A1370" s="335"/>
      <c r="B1370" s="118" t="s">
        <v>12</v>
      </c>
      <c r="C1370" s="334" t="s">
        <v>7543</v>
      </c>
      <c r="D1370" s="124" t="s">
        <v>7544</v>
      </c>
      <c r="E1370" s="125"/>
      <c r="F1370" s="118" t="s">
        <v>433</v>
      </c>
      <c r="G1370" s="126" t="s">
        <v>7334</v>
      </c>
      <c r="H1370" s="255">
        <v>5</v>
      </c>
      <c r="I1370" s="361">
        <v>1</v>
      </c>
      <c r="J1370" s="362" t="s">
        <v>286</v>
      </c>
      <c r="K1370" s="363"/>
      <c r="L1370" s="129"/>
      <c r="M1370" s="129"/>
      <c r="N1370" s="129"/>
      <c r="O1370" s="129"/>
      <c r="P1370" s="364"/>
      <c r="Q1370" s="364"/>
      <c r="R1370" s="129"/>
      <c r="S1370" s="129"/>
      <c r="T1370" s="129"/>
      <c r="W1370" s="129" t="s">
        <v>286</v>
      </c>
      <c r="X1370" s="337" t="b">
        <f t="shared" si="54"/>
        <v>1</v>
      </c>
    </row>
    <row r="1371" spans="1:24" s="337" customFormat="1" ht="12" customHeight="1" outlineLevel="1">
      <c r="A1371" s="335"/>
      <c r="B1371" s="118" t="s">
        <v>12</v>
      </c>
      <c r="C1371" s="334" t="s">
        <v>7545</v>
      </c>
      <c r="D1371" s="124" t="s">
        <v>7546</v>
      </c>
      <c r="E1371" s="125"/>
      <c r="F1371" s="118" t="s">
        <v>433</v>
      </c>
      <c r="G1371" s="126" t="s">
        <v>7334</v>
      </c>
      <c r="H1371" s="255">
        <v>5</v>
      </c>
      <c r="I1371" s="361">
        <v>1</v>
      </c>
      <c r="J1371" s="362" t="s">
        <v>286</v>
      </c>
      <c r="K1371" s="363"/>
      <c r="L1371" s="129"/>
      <c r="M1371" s="129"/>
      <c r="N1371" s="129"/>
      <c r="O1371" s="129"/>
      <c r="P1371" s="364"/>
      <c r="Q1371" s="364"/>
      <c r="R1371" s="129"/>
      <c r="S1371" s="129"/>
      <c r="T1371" s="129"/>
      <c r="W1371" s="129" t="s">
        <v>286</v>
      </c>
      <c r="X1371" s="337" t="b">
        <f t="shared" si="54"/>
        <v>1</v>
      </c>
    </row>
    <row r="1372" spans="1:24" s="337" customFormat="1" ht="12" customHeight="1" outlineLevel="1">
      <c r="A1372" s="335"/>
      <c r="B1372" s="118" t="s">
        <v>12</v>
      </c>
      <c r="C1372" s="334" t="s">
        <v>7547</v>
      </c>
      <c r="D1372" s="124" t="s">
        <v>7548</v>
      </c>
      <c r="E1372" s="125"/>
      <c r="F1372" s="118" t="s">
        <v>433</v>
      </c>
      <c r="G1372" s="126" t="s">
        <v>7334</v>
      </c>
      <c r="H1372" s="255">
        <v>5</v>
      </c>
      <c r="I1372" s="361">
        <v>1</v>
      </c>
      <c r="J1372" s="362" t="s">
        <v>286</v>
      </c>
      <c r="K1372" s="363"/>
      <c r="L1372" s="129"/>
      <c r="M1372" s="129"/>
      <c r="N1372" s="129"/>
      <c r="O1372" s="129"/>
      <c r="P1372" s="364"/>
      <c r="Q1372" s="364"/>
      <c r="R1372" s="129"/>
      <c r="S1372" s="129"/>
      <c r="T1372" s="129"/>
      <c r="W1372" s="129" t="s">
        <v>286</v>
      </c>
      <c r="X1372" s="337" t="b">
        <f t="shared" si="54"/>
        <v>1</v>
      </c>
    </row>
    <row r="1373" spans="1:24" s="337" customFormat="1" ht="12" customHeight="1" outlineLevel="1">
      <c r="A1373" s="335"/>
      <c r="B1373" s="118" t="s">
        <v>12</v>
      </c>
      <c r="C1373" s="334" t="s">
        <v>7549</v>
      </c>
      <c r="D1373" s="124" t="s">
        <v>7550</v>
      </c>
      <c r="E1373" s="125"/>
      <c r="F1373" s="118" t="s">
        <v>433</v>
      </c>
      <c r="G1373" s="126" t="s">
        <v>7334</v>
      </c>
      <c r="H1373" s="255">
        <v>5</v>
      </c>
      <c r="I1373" s="361">
        <v>1</v>
      </c>
      <c r="J1373" s="362" t="s">
        <v>286</v>
      </c>
      <c r="K1373" s="363"/>
      <c r="L1373" s="129"/>
      <c r="M1373" s="129"/>
      <c r="N1373" s="129"/>
      <c r="O1373" s="129"/>
      <c r="P1373" s="364"/>
      <c r="Q1373" s="364"/>
      <c r="R1373" s="129"/>
      <c r="S1373" s="129"/>
      <c r="T1373" s="129"/>
      <c r="W1373" s="129" t="s">
        <v>286</v>
      </c>
      <c r="X1373" s="337" t="b">
        <f t="shared" si="54"/>
        <v>1</v>
      </c>
    </row>
    <row r="1374" spans="1:24" s="337" customFormat="1" ht="12" customHeight="1" outlineLevel="1">
      <c r="A1374" s="335"/>
      <c r="B1374" s="118" t="s">
        <v>12</v>
      </c>
      <c r="C1374" s="334" t="s">
        <v>7551</v>
      </c>
      <c r="D1374" s="124" t="s">
        <v>7552</v>
      </c>
      <c r="E1374" s="125"/>
      <c r="F1374" s="118" t="s">
        <v>433</v>
      </c>
      <c r="G1374" s="126" t="s">
        <v>7334</v>
      </c>
      <c r="H1374" s="255">
        <v>5</v>
      </c>
      <c r="I1374" s="361">
        <v>1</v>
      </c>
      <c r="J1374" s="362" t="s">
        <v>286</v>
      </c>
      <c r="K1374" s="363"/>
      <c r="L1374" s="129"/>
      <c r="M1374" s="129"/>
      <c r="N1374" s="129"/>
      <c r="O1374" s="129"/>
      <c r="P1374" s="364"/>
      <c r="Q1374" s="364"/>
      <c r="R1374" s="129"/>
      <c r="S1374" s="129"/>
      <c r="T1374" s="129"/>
      <c r="W1374" s="129" t="s">
        <v>286</v>
      </c>
      <c r="X1374" s="337" t="b">
        <f t="shared" si="54"/>
        <v>1</v>
      </c>
    </row>
    <row r="1375" spans="1:24" s="337" customFormat="1" ht="12" customHeight="1" outlineLevel="1">
      <c r="A1375" s="335"/>
      <c r="B1375" s="118" t="s">
        <v>12</v>
      </c>
      <c r="C1375" s="334" t="s">
        <v>7553</v>
      </c>
      <c r="D1375" s="124" t="s">
        <v>7554</v>
      </c>
      <c r="E1375" s="125"/>
      <c r="F1375" s="118" t="s">
        <v>433</v>
      </c>
      <c r="G1375" s="126" t="s">
        <v>7334</v>
      </c>
      <c r="H1375" s="255">
        <v>5</v>
      </c>
      <c r="I1375" s="361">
        <v>1</v>
      </c>
      <c r="J1375" s="362" t="s">
        <v>286</v>
      </c>
      <c r="K1375" s="363"/>
      <c r="L1375" s="129"/>
      <c r="M1375" s="129"/>
      <c r="N1375" s="129"/>
      <c r="O1375" s="129"/>
      <c r="P1375" s="364"/>
      <c r="Q1375" s="364"/>
      <c r="R1375" s="129"/>
      <c r="S1375" s="129"/>
      <c r="T1375" s="129"/>
      <c r="W1375" s="129" t="s">
        <v>286</v>
      </c>
      <c r="X1375" s="337" t="b">
        <f t="shared" si="54"/>
        <v>1</v>
      </c>
    </row>
    <row r="1376" spans="1:24" s="337" customFormat="1" ht="12" customHeight="1" outlineLevel="1">
      <c r="A1376" s="335"/>
      <c r="B1376" s="118" t="s">
        <v>12</v>
      </c>
      <c r="C1376" s="334" t="s">
        <v>7555</v>
      </c>
      <c r="D1376" s="124" t="s">
        <v>7556</v>
      </c>
      <c r="E1376" s="125"/>
      <c r="F1376" s="118" t="s">
        <v>433</v>
      </c>
      <c r="G1376" s="126" t="s">
        <v>7334</v>
      </c>
      <c r="H1376" s="255">
        <v>5</v>
      </c>
      <c r="I1376" s="361">
        <v>1</v>
      </c>
      <c r="J1376" s="362" t="s">
        <v>286</v>
      </c>
      <c r="K1376" s="363"/>
      <c r="L1376" s="129"/>
      <c r="M1376" s="129"/>
      <c r="N1376" s="129"/>
      <c r="O1376" s="129"/>
      <c r="P1376" s="364"/>
      <c r="Q1376" s="364"/>
      <c r="R1376" s="129"/>
      <c r="S1376" s="129"/>
      <c r="T1376" s="129"/>
      <c r="W1376" s="129" t="s">
        <v>286</v>
      </c>
      <c r="X1376" s="337" t="b">
        <f t="shared" si="54"/>
        <v>1</v>
      </c>
    </row>
    <row r="1377" spans="1:24" s="337" customFormat="1" ht="12" customHeight="1" outlineLevel="1">
      <c r="A1377" s="335"/>
      <c r="B1377" s="118" t="s">
        <v>12</v>
      </c>
      <c r="C1377" s="334" t="s">
        <v>7557</v>
      </c>
      <c r="D1377" s="124" t="s">
        <v>7558</v>
      </c>
      <c r="E1377" s="125"/>
      <c r="F1377" s="118" t="s">
        <v>433</v>
      </c>
      <c r="G1377" s="126" t="s">
        <v>7334</v>
      </c>
      <c r="H1377" s="255">
        <v>5</v>
      </c>
      <c r="I1377" s="361">
        <v>1</v>
      </c>
      <c r="J1377" s="362" t="s">
        <v>310</v>
      </c>
      <c r="K1377" s="363"/>
      <c r="L1377" s="129"/>
      <c r="M1377" s="129"/>
      <c r="N1377" s="129"/>
      <c r="O1377" s="129"/>
      <c r="P1377" s="364"/>
      <c r="Q1377" s="364"/>
      <c r="R1377" s="129"/>
      <c r="S1377" s="129"/>
      <c r="T1377" s="129"/>
      <c r="W1377" s="129" t="s">
        <v>286</v>
      </c>
      <c r="X1377" s="337" t="b">
        <f t="shared" si="54"/>
        <v>0</v>
      </c>
    </row>
    <row r="1378" spans="1:24" s="337" customFormat="1" ht="12" customHeight="1" outlineLevel="1">
      <c r="A1378" s="335"/>
      <c r="B1378" s="118" t="s">
        <v>12</v>
      </c>
      <c r="C1378" s="334" t="s">
        <v>7559</v>
      </c>
      <c r="D1378" s="124" t="s">
        <v>7560</v>
      </c>
      <c r="E1378" s="125"/>
      <c r="F1378" s="118" t="s">
        <v>433</v>
      </c>
      <c r="G1378" s="126" t="s">
        <v>7334</v>
      </c>
      <c r="H1378" s="255">
        <v>5</v>
      </c>
      <c r="I1378" s="361">
        <v>1</v>
      </c>
      <c r="J1378" s="362" t="s">
        <v>286</v>
      </c>
      <c r="K1378" s="363"/>
      <c r="L1378" s="129"/>
      <c r="M1378" s="129"/>
      <c r="N1378" s="129"/>
      <c r="O1378" s="129"/>
      <c r="P1378" s="364"/>
      <c r="Q1378" s="364"/>
      <c r="R1378" s="129"/>
      <c r="S1378" s="129"/>
      <c r="T1378" s="129"/>
      <c r="W1378" s="129" t="s">
        <v>286</v>
      </c>
      <c r="X1378" s="337" t="b">
        <f t="shared" si="54"/>
        <v>1</v>
      </c>
    </row>
    <row r="1379" spans="1:24" s="337" customFormat="1" ht="12" customHeight="1" outlineLevel="1">
      <c r="A1379" s="335"/>
      <c r="B1379" s="118" t="s">
        <v>12</v>
      </c>
      <c r="C1379" s="334" t="s">
        <v>7561</v>
      </c>
      <c r="D1379" s="124" t="s">
        <v>7562</v>
      </c>
      <c r="E1379" s="125"/>
      <c r="F1379" s="118" t="s">
        <v>433</v>
      </c>
      <c r="G1379" s="126" t="s">
        <v>7334</v>
      </c>
      <c r="H1379" s="255">
        <v>5</v>
      </c>
      <c r="I1379" s="361">
        <v>1</v>
      </c>
      <c r="J1379" s="362" t="s">
        <v>286</v>
      </c>
      <c r="K1379" s="363"/>
      <c r="L1379" s="129"/>
      <c r="M1379" s="129"/>
      <c r="N1379" s="129"/>
      <c r="O1379" s="129"/>
      <c r="P1379" s="364"/>
      <c r="Q1379" s="364"/>
      <c r="R1379" s="129"/>
      <c r="S1379" s="129"/>
      <c r="T1379" s="129"/>
      <c r="W1379" s="129" t="s">
        <v>286</v>
      </c>
      <c r="X1379" s="337" t="b">
        <f t="shared" si="54"/>
        <v>1</v>
      </c>
    </row>
    <row r="1380" spans="1:24" s="337" customFormat="1" ht="12" customHeight="1" outlineLevel="1">
      <c r="A1380" s="335"/>
      <c r="B1380" s="118" t="s">
        <v>12</v>
      </c>
      <c r="C1380" s="334" t="s">
        <v>7563</v>
      </c>
      <c r="D1380" s="124" t="s">
        <v>7564</v>
      </c>
      <c r="E1380" s="125"/>
      <c r="F1380" s="118" t="s">
        <v>433</v>
      </c>
      <c r="G1380" s="126" t="s">
        <v>7334</v>
      </c>
      <c r="H1380" s="255">
        <v>5</v>
      </c>
      <c r="I1380" s="361">
        <v>1</v>
      </c>
      <c r="J1380" s="362" t="s">
        <v>286</v>
      </c>
      <c r="K1380" s="363"/>
      <c r="L1380" s="129"/>
      <c r="M1380" s="129"/>
      <c r="N1380" s="129"/>
      <c r="O1380" s="129"/>
      <c r="P1380" s="364"/>
      <c r="Q1380" s="364"/>
      <c r="R1380" s="129"/>
      <c r="S1380" s="129"/>
      <c r="T1380" s="129"/>
      <c r="W1380" s="129" t="s">
        <v>286</v>
      </c>
      <c r="X1380" s="337" t="b">
        <f t="shared" si="54"/>
        <v>1</v>
      </c>
    </row>
    <row r="1381" spans="1:24" s="337" customFormat="1" ht="12" customHeight="1" outlineLevel="1">
      <c r="A1381" s="335"/>
      <c r="B1381" s="118" t="s">
        <v>12</v>
      </c>
      <c r="C1381" s="334" t="s">
        <v>7565</v>
      </c>
      <c r="D1381" s="124" t="s">
        <v>7566</v>
      </c>
      <c r="E1381" s="125"/>
      <c r="F1381" s="118" t="s">
        <v>433</v>
      </c>
      <c r="G1381" s="126" t="s">
        <v>7334</v>
      </c>
      <c r="H1381" s="255">
        <v>5</v>
      </c>
      <c r="I1381" s="361">
        <v>1</v>
      </c>
      <c r="J1381" s="362" t="s">
        <v>286</v>
      </c>
      <c r="K1381" s="363"/>
      <c r="L1381" s="129"/>
      <c r="M1381" s="129"/>
      <c r="N1381" s="129"/>
      <c r="O1381" s="129"/>
      <c r="P1381" s="364"/>
      <c r="Q1381" s="364"/>
      <c r="R1381" s="129"/>
      <c r="S1381" s="129"/>
      <c r="T1381" s="129"/>
      <c r="W1381" s="129" t="s">
        <v>286</v>
      </c>
      <c r="X1381" s="337" t="b">
        <f t="shared" si="54"/>
        <v>1</v>
      </c>
    </row>
    <row r="1382" spans="1:24" s="337" customFormat="1" ht="12" customHeight="1" outlineLevel="1">
      <c r="A1382" s="335"/>
      <c r="B1382" s="118" t="s">
        <v>12</v>
      </c>
      <c r="C1382" s="334" t="s">
        <v>7567</v>
      </c>
      <c r="D1382" s="124" t="s">
        <v>7568</v>
      </c>
      <c r="E1382" s="125"/>
      <c r="F1382" s="118" t="s">
        <v>433</v>
      </c>
      <c r="G1382" s="126" t="s">
        <v>7334</v>
      </c>
      <c r="H1382" s="255">
        <v>5</v>
      </c>
      <c r="I1382" s="361">
        <v>1</v>
      </c>
      <c r="J1382" s="362" t="s">
        <v>286</v>
      </c>
      <c r="K1382" s="363"/>
      <c r="L1382" s="129"/>
      <c r="M1382" s="129"/>
      <c r="N1382" s="129"/>
      <c r="O1382" s="129"/>
      <c r="P1382" s="364"/>
      <c r="Q1382" s="364"/>
      <c r="R1382" s="129"/>
      <c r="S1382" s="129"/>
      <c r="T1382" s="129"/>
      <c r="W1382" s="129" t="s">
        <v>286</v>
      </c>
      <c r="X1382" s="337" t="b">
        <f t="shared" si="54"/>
        <v>1</v>
      </c>
    </row>
    <row r="1383" spans="1:24" s="337" customFormat="1" ht="12" customHeight="1" outlineLevel="1">
      <c r="A1383" s="335"/>
      <c r="B1383" s="118" t="s">
        <v>12</v>
      </c>
      <c r="C1383" s="334" t="s">
        <v>7569</v>
      </c>
      <c r="D1383" s="124" t="s">
        <v>7570</v>
      </c>
      <c r="E1383" s="125"/>
      <c r="F1383" s="118" t="s">
        <v>433</v>
      </c>
      <c r="G1383" s="126" t="s">
        <v>7334</v>
      </c>
      <c r="H1383" s="255">
        <v>5</v>
      </c>
      <c r="I1383" s="361">
        <v>1</v>
      </c>
      <c r="J1383" s="362" t="s">
        <v>286</v>
      </c>
      <c r="K1383" s="363"/>
      <c r="L1383" s="129"/>
      <c r="M1383" s="129"/>
      <c r="N1383" s="129"/>
      <c r="O1383" s="129"/>
      <c r="P1383" s="364"/>
      <c r="Q1383" s="364"/>
      <c r="R1383" s="129"/>
      <c r="S1383" s="129"/>
      <c r="T1383" s="129"/>
      <c r="W1383" s="129" t="s">
        <v>286</v>
      </c>
      <c r="X1383" s="337" t="b">
        <f t="shared" si="54"/>
        <v>1</v>
      </c>
    </row>
    <row r="1384" spans="1:24" s="337" customFormat="1" ht="12" customHeight="1" outlineLevel="1">
      <c r="A1384" s="335"/>
      <c r="B1384" s="118" t="s">
        <v>12</v>
      </c>
      <c r="C1384" s="334" t="s">
        <v>7571</v>
      </c>
      <c r="D1384" s="124" t="s">
        <v>7572</v>
      </c>
      <c r="E1384" s="125"/>
      <c r="F1384" s="118" t="s">
        <v>433</v>
      </c>
      <c r="G1384" s="126" t="s">
        <v>7334</v>
      </c>
      <c r="H1384" s="255">
        <v>5</v>
      </c>
      <c r="I1384" s="361">
        <v>1</v>
      </c>
      <c r="J1384" s="362" t="s">
        <v>286</v>
      </c>
      <c r="K1384" s="363"/>
      <c r="L1384" s="129"/>
      <c r="M1384" s="129"/>
      <c r="N1384" s="129"/>
      <c r="O1384" s="129"/>
      <c r="P1384" s="364"/>
      <c r="Q1384" s="364"/>
      <c r="R1384" s="129"/>
      <c r="S1384" s="129"/>
      <c r="T1384" s="129"/>
      <c r="W1384" s="129" t="s">
        <v>286</v>
      </c>
      <c r="X1384" s="337" t="b">
        <f t="shared" si="54"/>
        <v>1</v>
      </c>
    </row>
    <row r="1385" spans="1:24" s="337" customFormat="1" ht="12" customHeight="1" outlineLevel="1">
      <c r="A1385" s="335"/>
      <c r="B1385" s="118" t="s">
        <v>12</v>
      </c>
      <c r="C1385" s="334" t="s">
        <v>7573</v>
      </c>
      <c r="D1385" s="124" t="s">
        <v>7574</v>
      </c>
      <c r="E1385" s="125"/>
      <c r="F1385" s="118" t="s">
        <v>433</v>
      </c>
      <c r="G1385" s="126" t="s">
        <v>7334</v>
      </c>
      <c r="H1385" s="255">
        <v>5</v>
      </c>
      <c r="I1385" s="361">
        <v>1</v>
      </c>
      <c r="J1385" s="362" t="s">
        <v>286</v>
      </c>
      <c r="K1385" s="363"/>
      <c r="L1385" s="129"/>
      <c r="M1385" s="129"/>
      <c r="N1385" s="129"/>
      <c r="O1385" s="129"/>
      <c r="P1385" s="364"/>
      <c r="Q1385" s="364"/>
      <c r="R1385" s="129"/>
      <c r="S1385" s="129"/>
      <c r="T1385" s="129"/>
      <c r="W1385" s="129" t="s">
        <v>286</v>
      </c>
      <c r="X1385" s="337" t="b">
        <f t="shared" si="54"/>
        <v>1</v>
      </c>
    </row>
    <row r="1386" spans="1:24" s="337" customFormat="1" ht="12" customHeight="1" outlineLevel="1">
      <c r="A1386" s="335"/>
      <c r="B1386" s="118" t="s">
        <v>12</v>
      </c>
      <c r="C1386" s="334" t="s">
        <v>7575</v>
      </c>
      <c r="D1386" s="124" t="s">
        <v>7576</v>
      </c>
      <c r="E1386" s="125"/>
      <c r="F1386" s="118" t="s">
        <v>433</v>
      </c>
      <c r="G1386" s="126" t="s">
        <v>7334</v>
      </c>
      <c r="H1386" s="255">
        <v>5</v>
      </c>
      <c r="I1386" s="361">
        <v>1</v>
      </c>
      <c r="J1386" s="362" t="s">
        <v>286</v>
      </c>
      <c r="K1386" s="363"/>
      <c r="L1386" s="129"/>
      <c r="M1386" s="129"/>
      <c r="N1386" s="129"/>
      <c r="O1386" s="129"/>
      <c r="P1386" s="364"/>
      <c r="Q1386" s="364"/>
      <c r="R1386" s="129"/>
      <c r="S1386" s="129"/>
      <c r="T1386" s="129"/>
      <c r="W1386" s="129" t="s">
        <v>286</v>
      </c>
      <c r="X1386" s="337" t="b">
        <f t="shared" si="54"/>
        <v>1</v>
      </c>
    </row>
    <row r="1387" spans="1:24" s="337" customFormat="1" ht="12" customHeight="1" outlineLevel="1">
      <c r="A1387" s="335"/>
      <c r="B1387" s="118" t="s">
        <v>12</v>
      </c>
      <c r="C1387" s="334" t="s">
        <v>7577</v>
      </c>
      <c r="D1387" s="124" t="s">
        <v>7578</v>
      </c>
      <c r="E1387" s="125"/>
      <c r="F1387" s="118" t="s">
        <v>433</v>
      </c>
      <c r="G1387" s="126" t="s">
        <v>7334</v>
      </c>
      <c r="H1387" s="255">
        <v>5</v>
      </c>
      <c r="I1387" s="361">
        <v>1</v>
      </c>
      <c r="J1387" s="362" t="s">
        <v>286</v>
      </c>
      <c r="K1387" s="363"/>
      <c r="L1387" s="129"/>
      <c r="M1387" s="129"/>
      <c r="N1387" s="129"/>
      <c r="O1387" s="129"/>
      <c r="P1387" s="364"/>
      <c r="Q1387" s="364"/>
      <c r="R1387" s="129"/>
      <c r="S1387" s="129"/>
      <c r="T1387" s="129"/>
      <c r="W1387" s="129" t="s">
        <v>286</v>
      </c>
      <c r="X1387" s="337" t="b">
        <f t="shared" si="54"/>
        <v>1</v>
      </c>
    </row>
    <row r="1388" spans="1:24" s="337" customFormat="1" ht="12" customHeight="1" outlineLevel="1">
      <c r="A1388" s="335"/>
      <c r="B1388" s="118" t="s">
        <v>12</v>
      </c>
      <c r="C1388" s="334" t="s">
        <v>7579</v>
      </c>
      <c r="D1388" s="124" t="s">
        <v>7580</v>
      </c>
      <c r="E1388" s="125"/>
      <c r="F1388" s="118" t="s">
        <v>433</v>
      </c>
      <c r="G1388" s="126" t="s">
        <v>7334</v>
      </c>
      <c r="H1388" s="255">
        <v>5</v>
      </c>
      <c r="I1388" s="361">
        <v>1</v>
      </c>
      <c r="J1388" s="362" t="s">
        <v>286</v>
      </c>
      <c r="K1388" s="363"/>
      <c r="L1388" s="129"/>
      <c r="M1388" s="129"/>
      <c r="N1388" s="129"/>
      <c r="O1388" s="129"/>
      <c r="P1388" s="364"/>
      <c r="Q1388" s="364"/>
      <c r="R1388" s="129"/>
      <c r="S1388" s="129"/>
      <c r="T1388" s="129"/>
      <c r="W1388" s="129" t="s">
        <v>286</v>
      </c>
      <c r="X1388" s="337" t="b">
        <f t="shared" si="54"/>
        <v>1</v>
      </c>
    </row>
    <row r="1389" spans="1:24" s="337" customFormat="1" ht="12" customHeight="1" outlineLevel="1">
      <c r="A1389" s="335"/>
      <c r="B1389" s="118" t="s">
        <v>12</v>
      </c>
      <c r="C1389" s="334" t="s">
        <v>7581</v>
      </c>
      <c r="D1389" s="124" t="s">
        <v>7582</v>
      </c>
      <c r="E1389" s="125"/>
      <c r="F1389" s="118" t="s">
        <v>433</v>
      </c>
      <c r="G1389" s="126" t="s">
        <v>7334</v>
      </c>
      <c r="H1389" s="255">
        <v>5</v>
      </c>
      <c r="I1389" s="361">
        <v>1</v>
      </c>
      <c r="J1389" s="362" t="s">
        <v>286</v>
      </c>
      <c r="K1389" s="363"/>
      <c r="L1389" s="129"/>
      <c r="M1389" s="129"/>
      <c r="N1389" s="129"/>
      <c r="O1389" s="129"/>
      <c r="P1389" s="364"/>
      <c r="Q1389" s="364"/>
      <c r="R1389" s="129"/>
      <c r="S1389" s="129"/>
      <c r="T1389" s="129"/>
      <c r="W1389" s="129" t="s">
        <v>286</v>
      </c>
      <c r="X1389" s="337" t="b">
        <f t="shared" si="54"/>
        <v>1</v>
      </c>
    </row>
    <row r="1390" spans="1:24" s="337" customFormat="1" ht="12" customHeight="1" outlineLevel="1">
      <c r="A1390" s="335"/>
      <c r="B1390" s="118" t="s">
        <v>12</v>
      </c>
      <c r="C1390" s="334" t="s">
        <v>7583</v>
      </c>
      <c r="D1390" s="124" t="s">
        <v>7584</v>
      </c>
      <c r="E1390" s="125"/>
      <c r="F1390" s="118" t="s">
        <v>433</v>
      </c>
      <c r="G1390" s="126" t="s">
        <v>7334</v>
      </c>
      <c r="H1390" s="255">
        <v>5</v>
      </c>
      <c r="I1390" s="361">
        <v>1</v>
      </c>
      <c r="J1390" s="362" t="s">
        <v>286</v>
      </c>
      <c r="K1390" s="363"/>
      <c r="L1390" s="129"/>
      <c r="M1390" s="129"/>
      <c r="N1390" s="129"/>
      <c r="O1390" s="129"/>
      <c r="P1390" s="364"/>
      <c r="Q1390" s="364"/>
      <c r="R1390" s="129"/>
      <c r="S1390" s="129"/>
      <c r="T1390" s="129"/>
      <c r="W1390" s="129" t="s">
        <v>286</v>
      </c>
      <c r="X1390" s="337" t="b">
        <f t="shared" si="54"/>
        <v>1</v>
      </c>
    </row>
    <row r="1391" spans="1:24" s="337" customFormat="1" ht="12" customHeight="1" outlineLevel="1">
      <c r="A1391" s="335"/>
      <c r="B1391" s="118" t="s">
        <v>12</v>
      </c>
      <c r="C1391" s="334" t="s">
        <v>7585</v>
      </c>
      <c r="D1391" s="124" t="s">
        <v>7586</v>
      </c>
      <c r="E1391" s="125"/>
      <c r="F1391" s="118" t="s">
        <v>433</v>
      </c>
      <c r="G1391" s="126" t="s">
        <v>7334</v>
      </c>
      <c r="H1391" s="255">
        <v>5</v>
      </c>
      <c r="I1391" s="361">
        <v>1</v>
      </c>
      <c r="J1391" s="362" t="s">
        <v>286</v>
      </c>
      <c r="K1391" s="363"/>
      <c r="L1391" s="129"/>
      <c r="M1391" s="129"/>
      <c r="N1391" s="129"/>
      <c r="O1391" s="129"/>
      <c r="P1391" s="364"/>
      <c r="Q1391" s="364"/>
      <c r="R1391" s="129"/>
      <c r="S1391" s="129"/>
      <c r="T1391" s="129"/>
      <c r="W1391" s="129" t="s">
        <v>286</v>
      </c>
      <c r="X1391" s="337" t="b">
        <f t="shared" si="54"/>
        <v>1</v>
      </c>
    </row>
    <row r="1392" spans="1:24" s="337" customFormat="1" ht="12" customHeight="1" outlineLevel="1">
      <c r="A1392" s="335"/>
      <c r="B1392" s="118" t="s">
        <v>12</v>
      </c>
      <c r="C1392" s="334" t="s">
        <v>7587</v>
      </c>
      <c r="D1392" s="124" t="s">
        <v>7588</v>
      </c>
      <c r="E1392" s="125"/>
      <c r="F1392" s="118" t="s">
        <v>433</v>
      </c>
      <c r="G1392" s="126" t="s">
        <v>7334</v>
      </c>
      <c r="H1392" s="255">
        <v>5</v>
      </c>
      <c r="I1392" s="361">
        <v>1</v>
      </c>
      <c r="J1392" s="362" t="s">
        <v>286</v>
      </c>
      <c r="K1392" s="363"/>
      <c r="L1392" s="129"/>
      <c r="M1392" s="129"/>
      <c r="N1392" s="129"/>
      <c r="O1392" s="129"/>
      <c r="P1392" s="364"/>
      <c r="Q1392" s="364"/>
      <c r="R1392" s="129"/>
      <c r="S1392" s="129"/>
      <c r="T1392" s="129"/>
      <c r="W1392" s="129" t="s">
        <v>286</v>
      </c>
      <c r="X1392" s="337" t="b">
        <f t="shared" si="54"/>
        <v>1</v>
      </c>
    </row>
    <row r="1393" spans="1:24" s="337" customFormat="1" ht="12" customHeight="1" outlineLevel="1">
      <c r="A1393" s="335"/>
      <c r="B1393" s="118" t="s">
        <v>12</v>
      </c>
      <c r="C1393" s="334" t="s">
        <v>7589</v>
      </c>
      <c r="D1393" s="124" t="s">
        <v>7590</v>
      </c>
      <c r="E1393" s="125"/>
      <c r="F1393" s="118" t="s">
        <v>433</v>
      </c>
      <c r="G1393" s="126" t="s">
        <v>7334</v>
      </c>
      <c r="H1393" s="255">
        <v>5</v>
      </c>
      <c r="I1393" s="361">
        <v>1</v>
      </c>
      <c r="J1393" s="362" t="s">
        <v>286</v>
      </c>
      <c r="K1393" s="363"/>
      <c r="L1393" s="129"/>
      <c r="M1393" s="129"/>
      <c r="N1393" s="129"/>
      <c r="O1393" s="129"/>
      <c r="P1393" s="364"/>
      <c r="Q1393" s="364"/>
      <c r="R1393" s="129"/>
      <c r="S1393" s="129"/>
      <c r="T1393" s="129"/>
      <c r="W1393" s="129" t="s">
        <v>286</v>
      </c>
      <c r="X1393" s="337" t="b">
        <f t="shared" si="54"/>
        <v>1</v>
      </c>
    </row>
    <row r="1394" spans="1:24" s="337" customFormat="1" ht="12" customHeight="1" outlineLevel="1">
      <c r="A1394" s="335"/>
      <c r="B1394" s="118" t="s">
        <v>12</v>
      </c>
      <c r="C1394" s="334" t="s">
        <v>7591</v>
      </c>
      <c r="D1394" s="124" t="s">
        <v>7592</v>
      </c>
      <c r="E1394" s="125"/>
      <c r="F1394" s="118" t="s">
        <v>433</v>
      </c>
      <c r="G1394" s="126" t="s">
        <v>7334</v>
      </c>
      <c r="H1394" s="255">
        <v>5</v>
      </c>
      <c r="I1394" s="361">
        <v>1</v>
      </c>
      <c r="J1394" s="362" t="s">
        <v>286</v>
      </c>
      <c r="K1394" s="363"/>
      <c r="L1394" s="129"/>
      <c r="M1394" s="129"/>
      <c r="N1394" s="129"/>
      <c r="O1394" s="129"/>
      <c r="P1394" s="364"/>
      <c r="Q1394" s="364"/>
      <c r="R1394" s="129"/>
      <c r="S1394" s="129"/>
      <c r="T1394" s="129"/>
      <c r="W1394" s="129" t="s">
        <v>286</v>
      </c>
      <c r="X1394" s="337" t="b">
        <f t="shared" si="54"/>
        <v>1</v>
      </c>
    </row>
    <row r="1395" spans="1:24" s="337" customFormat="1" ht="12" customHeight="1" outlineLevel="1">
      <c r="A1395" s="335"/>
      <c r="B1395" s="118" t="s">
        <v>12</v>
      </c>
      <c r="C1395" s="334" t="s">
        <v>7593</v>
      </c>
      <c r="D1395" s="124" t="s">
        <v>7594</v>
      </c>
      <c r="E1395" s="125"/>
      <c r="F1395" s="118" t="s">
        <v>433</v>
      </c>
      <c r="G1395" s="126" t="s">
        <v>7334</v>
      </c>
      <c r="H1395" s="255">
        <v>5</v>
      </c>
      <c r="I1395" s="361">
        <v>1</v>
      </c>
      <c r="J1395" s="362" t="s">
        <v>286</v>
      </c>
      <c r="K1395" s="363"/>
      <c r="L1395" s="129"/>
      <c r="M1395" s="129"/>
      <c r="N1395" s="129"/>
      <c r="O1395" s="129"/>
      <c r="P1395" s="364"/>
      <c r="Q1395" s="364"/>
      <c r="R1395" s="129"/>
      <c r="S1395" s="129"/>
      <c r="T1395" s="129"/>
      <c r="W1395" s="129" t="s">
        <v>286</v>
      </c>
      <c r="X1395" s="337" t="b">
        <f t="shared" si="54"/>
        <v>1</v>
      </c>
    </row>
    <row r="1396" spans="1:24" s="337" customFormat="1" ht="12" customHeight="1" outlineLevel="1">
      <c r="A1396" s="335"/>
      <c r="B1396" s="118" t="s">
        <v>12</v>
      </c>
      <c r="C1396" s="334" t="s">
        <v>7595</v>
      </c>
      <c r="D1396" s="124" t="s">
        <v>7596</v>
      </c>
      <c r="E1396" s="125"/>
      <c r="F1396" s="118" t="s">
        <v>433</v>
      </c>
      <c r="G1396" s="126" t="s">
        <v>7334</v>
      </c>
      <c r="H1396" s="255">
        <v>5</v>
      </c>
      <c r="I1396" s="361">
        <v>1</v>
      </c>
      <c r="J1396" s="362" t="s">
        <v>286</v>
      </c>
      <c r="K1396" s="363"/>
      <c r="L1396" s="129"/>
      <c r="M1396" s="129"/>
      <c r="N1396" s="129"/>
      <c r="O1396" s="129"/>
      <c r="P1396" s="364"/>
      <c r="Q1396" s="364"/>
      <c r="R1396" s="129"/>
      <c r="S1396" s="129"/>
      <c r="T1396" s="129"/>
      <c r="W1396" s="129" t="s">
        <v>286</v>
      </c>
      <c r="X1396" s="337" t="b">
        <f t="shared" si="54"/>
        <v>1</v>
      </c>
    </row>
    <row r="1397" spans="1:24" s="337" customFormat="1" ht="12" customHeight="1" outlineLevel="1">
      <c r="A1397" s="335"/>
      <c r="B1397" s="118" t="s">
        <v>12</v>
      </c>
      <c r="C1397" s="334" t="s">
        <v>7597</v>
      </c>
      <c r="D1397" s="124" t="s">
        <v>7598</v>
      </c>
      <c r="E1397" s="125"/>
      <c r="F1397" s="118" t="s">
        <v>433</v>
      </c>
      <c r="G1397" s="126" t="s">
        <v>7334</v>
      </c>
      <c r="H1397" s="255">
        <v>5</v>
      </c>
      <c r="I1397" s="361">
        <v>1</v>
      </c>
      <c r="J1397" s="362" t="s">
        <v>286</v>
      </c>
      <c r="K1397" s="363"/>
      <c r="L1397" s="129"/>
      <c r="M1397" s="129"/>
      <c r="N1397" s="129"/>
      <c r="O1397" s="129"/>
      <c r="P1397" s="364"/>
      <c r="Q1397" s="364"/>
      <c r="R1397" s="129"/>
      <c r="S1397" s="129"/>
      <c r="T1397" s="129"/>
      <c r="W1397" s="129" t="s">
        <v>286</v>
      </c>
      <c r="X1397" s="337" t="b">
        <f t="shared" si="54"/>
        <v>1</v>
      </c>
    </row>
    <row r="1398" spans="1:24" s="337" customFormat="1" ht="12" customHeight="1" outlineLevel="1">
      <c r="A1398" s="335"/>
      <c r="B1398" s="118" t="s">
        <v>12</v>
      </c>
      <c r="C1398" s="334" t="s">
        <v>7599</v>
      </c>
      <c r="D1398" s="124" t="s">
        <v>7600</v>
      </c>
      <c r="E1398" s="125"/>
      <c r="F1398" s="118" t="s">
        <v>433</v>
      </c>
      <c r="G1398" s="126" t="s">
        <v>7334</v>
      </c>
      <c r="H1398" s="255">
        <v>5</v>
      </c>
      <c r="I1398" s="361">
        <v>1</v>
      </c>
      <c r="J1398" s="362" t="s">
        <v>310</v>
      </c>
      <c r="K1398" s="363"/>
      <c r="L1398" s="129"/>
      <c r="M1398" s="129"/>
      <c r="N1398" s="129"/>
      <c r="O1398" s="129"/>
      <c r="P1398" s="364"/>
      <c r="Q1398" s="364"/>
      <c r="R1398" s="129"/>
      <c r="S1398" s="129"/>
      <c r="T1398" s="129"/>
      <c r="W1398" s="129" t="s">
        <v>307</v>
      </c>
      <c r="X1398" s="337" t="b">
        <f t="shared" si="54"/>
        <v>0</v>
      </c>
    </row>
    <row r="1399" spans="1:24" s="337" customFormat="1" ht="12" customHeight="1" outlineLevel="1">
      <c r="A1399" s="335"/>
      <c r="B1399" s="118" t="s">
        <v>12</v>
      </c>
      <c r="C1399" s="334" t="s">
        <v>7601</v>
      </c>
      <c r="D1399" s="124" t="s">
        <v>7602</v>
      </c>
      <c r="E1399" s="125"/>
      <c r="F1399" s="118" t="s">
        <v>433</v>
      </c>
      <c r="G1399" s="126" t="s">
        <v>7334</v>
      </c>
      <c r="H1399" s="255">
        <v>5</v>
      </c>
      <c r="I1399" s="361">
        <v>1</v>
      </c>
      <c r="J1399" s="362" t="s">
        <v>286</v>
      </c>
      <c r="K1399" s="363"/>
      <c r="L1399" s="129"/>
      <c r="M1399" s="129"/>
      <c r="N1399" s="129"/>
      <c r="O1399" s="129"/>
      <c r="P1399" s="364"/>
      <c r="Q1399" s="364"/>
      <c r="R1399" s="129"/>
      <c r="S1399" s="129"/>
      <c r="T1399" s="129"/>
      <c r="W1399" s="129" t="s">
        <v>310</v>
      </c>
      <c r="X1399" s="337" t="b">
        <f t="shared" si="54"/>
        <v>0</v>
      </c>
    </row>
    <row r="1400" spans="1:24" s="337" customFormat="1" ht="12" customHeight="1" outlineLevel="1">
      <c r="A1400" s="335"/>
      <c r="B1400" s="118" t="s">
        <v>12</v>
      </c>
      <c r="C1400" s="334" t="s">
        <v>7603</v>
      </c>
      <c r="D1400" s="124" t="s">
        <v>7604</v>
      </c>
      <c r="E1400" s="125"/>
      <c r="F1400" s="118" t="s">
        <v>433</v>
      </c>
      <c r="G1400" s="126" t="s">
        <v>7334</v>
      </c>
      <c r="H1400" s="255">
        <v>5</v>
      </c>
      <c r="I1400" s="361">
        <v>1</v>
      </c>
      <c r="J1400" s="362" t="s">
        <v>286</v>
      </c>
      <c r="K1400" s="363"/>
      <c r="L1400" s="129"/>
      <c r="M1400" s="129"/>
      <c r="N1400" s="129"/>
      <c r="O1400" s="129"/>
      <c r="P1400" s="364"/>
      <c r="Q1400" s="364"/>
      <c r="R1400" s="129"/>
      <c r="S1400" s="129"/>
      <c r="T1400" s="129"/>
      <c r="W1400" s="129" t="s">
        <v>286</v>
      </c>
      <c r="X1400" s="337" t="b">
        <f t="shared" si="54"/>
        <v>1</v>
      </c>
    </row>
    <row r="1401" spans="1:24" s="337" customFormat="1" ht="12" customHeight="1" outlineLevel="1">
      <c r="A1401" s="335"/>
      <c r="B1401" s="118" t="s">
        <v>12</v>
      </c>
      <c r="C1401" s="334" t="s">
        <v>7605</v>
      </c>
      <c r="D1401" s="124" t="s">
        <v>7606</v>
      </c>
      <c r="E1401" s="125"/>
      <c r="F1401" s="118" t="s">
        <v>433</v>
      </c>
      <c r="G1401" s="126" t="s">
        <v>7334</v>
      </c>
      <c r="H1401" s="255">
        <v>5</v>
      </c>
      <c r="I1401" s="361">
        <v>1</v>
      </c>
      <c r="J1401" s="362" t="s">
        <v>286</v>
      </c>
      <c r="K1401" s="363"/>
      <c r="L1401" s="129"/>
      <c r="M1401" s="129"/>
      <c r="N1401" s="129"/>
      <c r="O1401" s="129"/>
      <c r="P1401" s="364"/>
      <c r="Q1401" s="364"/>
      <c r="R1401" s="129"/>
      <c r="S1401" s="129"/>
      <c r="T1401" s="129"/>
      <c r="W1401" s="129" t="s">
        <v>286</v>
      </c>
      <c r="X1401" s="337" t="b">
        <f t="shared" si="54"/>
        <v>1</v>
      </c>
    </row>
    <row r="1402" spans="1:24" s="337" customFormat="1" ht="12" customHeight="1" outlineLevel="1">
      <c r="A1402" s="335"/>
      <c r="B1402" s="118" t="s">
        <v>12</v>
      </c>
      <c r="C1402" s="334" t="s">
        <v>7607</v>
      </c>
      <c r="D1402" s="124" t="s">
        <v>7608</v>
      </c>
      <c r="E1402" s="125"/>
      <c r="F1402" s="118" t="s">
        <v>433</v>
      </c>
      <c r="G1402" s="126" t="s">
        <v>7334</v>
      </c>
      <c r="H1402" s="255">
        <v>5</v>
      </c>
      <c r="I1402" s="361">
        <v>1</v>
      </c>
      <c r="J1402" s="362" t="s">
        <v>286</v>
      </c>
      <c r="K1402" s="363"/>
      <c r="L1402" s="129"/>
      <c r="M1402" s="129"/>
      <c r="N1402" s="129"/>
      <c r="O1402" s="129"/>
      <c r="P1402" s="364"/>
      <c r="Q1402" s="364"/>
      <c r="R1402" s="129"/>
      <c r="S1402" s="129"/>
      <c r="T1402" s="129"/>
      <c r="W1402" s="129" t="s">
        <v>286</v>
      </c>
      <c r="X1402" s="337" t="b">
        <f t="shared" ref="X1402:X1465" si="55">W1402=J1402</f>
        <v>1</v>
      </c>
    </row>
    <row r="1403" spans="1:24" s="337" customFormat="1" ht="12" customHeight="1" outlineLevel="1">
      <c r="A1403" s="335"/>
      <c r="B1403" s="118" t="s">
        <v>12</v>
      </c>
      <c r="C1403" s="334" t="s">
        <v>7609</v>
      </c>
      <c r="D1403" s="124" t="s">
        <v>7610</v>
      </c>
      <c r="E1403" s="125"/>
      <c r="F1403" s="118" t="s">
        <v>433</v>
      </c>
      <c r="G1403" s="126" t="s">
        <v>7334</v>
      </c>
      <c r="H1403" s="255">
        <v>5</v>
      </c>
      <c r="I1403" s="361">
        <v>1</v>
      </c>
      <c r="J1403" s="362" t="s">
        <v>286</v>
      </c>
      <c r="K1403" s="363"/>
      <c r="L1403" s="129"/>
      <c r="M1403" s="129"/>
      <c r="N1403" s="129"/>
      <c r="O1403" s="129"/>
      <c r="P1403" s="364"/>
      <c r="Q1403" s="364"/>
      <c r="R1403" s="129"/>
      <c r="S1403" s="129"/>
      <c r="T1403" s="129"/>
      <c r="W1403" s="129" t="s">
        <v>286</v>
      </c>
      <c r="X1403" s="337" t="b">
        <f t="shared" si="55"/>
        <v>1</v>
      </c>
    </row>
    <row r="1404" spans="1:24" s="337" customFormat="1" ht="12" customHeight="1" outlineLevel="1">
      <c r="A1404" s="335"/>
      <c r="B1404" s="118" t="s">
        <v>12</v>
      </c>
      <c r="C1404" s="334" t="s">
        <v>7611</v>
      </c>
      <c r="D1404" s="124" t="s">
        <v>7612</v>
      </c>
      <c r="E1404" s="125"/>
      <c r="F1404" s="118" t="s">
        <v>433</v>
      </c>
      <c r="G1404" s="126" t="s">
        <v>7334</v>
      </c>
      <c r="H1404" s="255">
        <v>5</v>
      </c>
      <c r="I1404" s="361">
        <v>1</v>
      </c>
      <c r="J1404" s="362" t="s">
        <v>286</v>
      </c>
      <c r="K1404" s="363"/>
      <c r="L1404" s="129"/>
      <c r="M1404" s="129"/>
      <c r="N1404" s="129"/>
      <c r="O1404" s="129"/>
      <c r="P1404" s="364"/>
      <c r="Q1404" s="364"/>
      <c r="R1404" s="129"/>
      <c r="S1404" s="129"/>
      <c r="T1404" s="129"/>
      <c r="W1404" s="129" t="s">
        <v>286</v>
      </c>
      <c r="X1404" s="337" t="b">
        <f t="shared" si="55"/>
        <v>1</v>
      </c>
    </row>
    <row r="1405" spans="1:24" s="337" customFormat="1" ht="12" customHeight="1" outlineLevel="1">
      <c r="A1405" s="335"/>
      <c r="B1405" s="118" t="s">
        <v>12</v>
      </c>
      <c r="C1405" s="334" t="s">
        <v>7613</v>
      </c>
      <c r="D1405" s="124" t="s">
        <v>7614</v>
      </c>
      <c r="E1405" s="125"/>
      <c r="F1405" s="118" t="s">
        <v>433</v>
      </c>
      <c r="G1405" s="126" t="s">
        <v>7334</v>
      </c>
      <c r="H1405" s="255">
        <v>5</v>
      </c>
      <c r="I1405" s="361">
        <v>1</v>
      </c>
      <c r="J1405" s="362" t="s">
        <v>286</v>
      </c>
      <c r="K1405" s="363"/>
      <c r="L1405" s="129"/>
      <c r="M1405" s="129"/>
      <c r="N1405" s="129"/>
      <c r="O1405" s="129"/>
      <c r="P1405" s="364"/>
      <c r="Q1405" s="364"/>
      <c r="R1405" s="129"/>
      <c r="S1405" s="129"/>
      <c r="T1405" s="129"/>
      <c r="W1405" s="129" t="s">
        <v>286</v>
      </c>
      <c r="X1405" s="337" t="b">
        <f t="shared" si="55"/>
        <v>1</v>
      </c>
    </row>
    <row r="1406" spans="1:24" s="337" customFormat="1" ht="12" customHeight="1" outlineLevel="1">
      <c r="A1406" s="335"/>
      <c r="B1406" s="118" t="s">
        <v>12</v>
      </c>
      <c r="C1406" s="334" t="s">
        <v>7615</v>
      </c>
      <c r="D1406" s="124" t="s">
        <v>6592</v>
      </c>
      <c r="E1406" s="125"/>
      <c r="F1406" s="118" t="s">
        <v>433</v>
      </c>
      <c r="G1406" s="126" t="s">
        <v>7334</v>
      </c>
      <c r="H1406" s="255">
        <v>5</v>
      </c>
      <c r="I1406" s="361">
        <v>1</v>
      </c>
      <c r="J1406" s="362" t="s">
        <v>286</v>
      </c>
      <c r="K1406" s="363"/>
      <c r="L1406" s="129"/>
      <c r="M1406" s="129"/>
      <c r="N1406" s="129"/>
      <c r="O1406" s="129"/>
      <c r="P1406" s="364"/>
      <c r="Q1406" s="364"/>
      <c r="R1406" s="129"/>
      <c r="S1406" s="129"/>
      <c r="T1406" s="129"/>
      <c r="W1406" s="129" t="s">
        <v>286</v>
      </c>
      <c r="X1406" s="337" t="b">
        <f t="shared" si="55"/>
        <v>1</v>
      </c>
    </row>
    <row r="1407" spans="1:24" s="337" customFormat="1" ht="12" customHeight="1" outlineLevel="1">
      <c r="A1407" s="335"/>
      <c r="B1407" s="118" t="s">
        <v>12</v>
      </c>
      <c r="C1407" s="334" t="s">
        <v>7616</v>
      </c>
      <c r="D1407" s="124" t="s">
        <v>6594</v>
      </c>
      <c r="E1407" s="125"/>
      <c r="F1407" s="118" t="s">
        <v>433</v>
      </c>
      <c r="G1407" s="126" t="s">
        <v>7334</v>
      </c>
      <c r="H1407" s="255">
        <v>5</v>
      </c>
      <c r="I1407" s="361">
        <v>1</v>
      </c>
      <c r="J1407" s="362" t="s">
        <v>286</v>
      </c>
      <c r="K1407" s="363"/>
      <c r="L1407" s="129"/>
      <c r="M1407" s="129"/>
      <c r="N1407" s="129"/>
      <c r="O1407" s="129"/>
      <c r="P1407" s="364"/>
      <c r="Q1407" s="364"/>
      <c r="R1407" s="129"/>
      <c r="S1407" s="129"/>
      <c r="T1407" s="129"/>
      <c r="W1407" s="129" t="s">
        <v>286</v>
      </c>
      <c r="X1407" s="337" t="b">
        <f t="shared" si="55"/>
        <v>1</v>
      </c>
    </row>
    <row r="1408" spans="1:24" s="337" customFormat="1" ht="12" customHeight="1" outlineLevel="1">
      <c r="A1408" s="335"/>
      <c r="B1408" s="118" t="s">
        <v>12</v>
      </c>
      <c r="C1408" s="334" t="s">
        <v>7617</v>
      </c>
      <c r="D1408" s="124" t="s">
        <v>6596</v>
      </c>
      <c r="E1408" s="125"/>
      <c r="F1408" s="118" t="s">
        <v>433</v>
      </c>
      <c r="G1408" s="126" t="s">
        <v>7334</v>
      </c>
      <c r="H1408" s="255">
        <v>5</v>
      </c>
      <c r="I1408" s="361">
        <v>1</v>
      </c>
      <c r="J1408" s="362" t="s">
        <v>286</v>
      </c>
      <c r="K1408" s="363"/>
      <c r="L1408" s="129"/>
      <c r="M1408" s="129"/>
      <c r="N1408" s="129"/>
      <c r="O1408" s="129"/>
      <c r="P1408" s="364"/>
      <c r="Q1408" s="364"/>
      <c r="R1408" s="129"/>
      <c r="S1408" s="129"/>
      <c r="T1408" s="129"/>
      <c r="W1408" s="129" t="s">
        <v>286</v>
      </c>
      <c r="X1408" s="337" t="b">
        <f t="shared" si="55"/>
        <v>1</v>
      </c>
    </row>
    <row r="1409" spans="1:24" s="337" customFormat="1" ht="12" customHeight="1" outlineLevel="1">
      <c r="A1409" s="335"/>
      <c r="B1409" s="118" t="s">
        <v>12</v>
      </c>
      <c r="C1409" s="334" t="s">
        <v>7618</v>
      </c>
      <c r="D1409" s="124" t="s">
        <v>6598</v>
      </c>
      <c r="E1409" s="125"/>
      <c r="F1409" s="118" t="s">
        <v>433</v>
      </c>
      <c r="G1409" s="126" t="s">
        <v>7334</v>
      </c>
      <c r="H1409" s="255">
        <v>5</v>
      </c>
      <c r="I1409" s="361">
        <v>1</v>
      </c>
      <c r="J1409" s="362" t="s">
        <v>286</v>
      </c>
      <c r="K1409" s="363"/>
      <c r="L1409" s="129"/>
      <c r="M1409" s="129"/>
      <c r="N1409" s="129"/>
      <c r="O1409" s="129"/>
      <c r="P1409" s="364"/>
      <c r="Q1409" s="364"/>
      <c r="R1409" s="129"/>
      <c r="S1409" s="129"/>
      <c r="T1409" s="129"/>
      <c r="W1409" s="129" t="s">
        <v>286</v>
      </c>
      <c r="X1409" s="337" t="b">
        <f t="shared" si="55"/>
        <v>1</v>
      </c>
    </row>
    <row r="1410" spans="1:24" s="337" customFormat="1" ht="12" customHeight="1" outlineLevel="1">
      <c r="A1410" s="335"/>
      <c r="B1410" s="118" t="s">
        <v>12</v>
      </c>
      <c r="C1410" s="334" t="s">
        <v>7619</v>
      </c>
      <c r="D1410" s="124" t="s">
        <v>7620</v>
      </c>
      <c r="E1410" s="125"/>
      <c r="F1410" s="118" t="s">
        <v>433</v>
      </c>
      <c r="G1410" s="126" t="s">
        <v>7334</v>
      </c>
      <c r="H1410" s="255">
        <v>5</v>
      </c>
      <c r="I1410" s="361">
        <v>1</v>
      </c>
      <c r="J1410" s="362" t="s">
        <v>286</v>
      </c>
      <c r="K1410" s="363"/>
      <c r="L1410" s="129"/>
      <c r="M1410" s="129"/>
      <c r="N1410" s="129"/>
      <c r="O1410" s="129"/>
      <c r="P1410" s="364"/>
      <c r="Q1410" s="364"/>
      <c r="R1410" s="129"/>
      <c r="S1410" s="129"/>
      <c r="T1410" s="129"/>
      <c r="W1410" s="129" t="s">
        <v>286</v>
      </c>
      <c r="X1410" s="337" t="b">
        <f t="shared" si="55"/>
        <v>1</v>
      </c>
    </row>
    <row r="1411" spans="1:24" s="337" customFormat="1" ht="12" customHeight="1" outlineLevel="1">
      <c r="A1411" s="335"/>
      <c r="B1411" s="118" t="s">
        <v>12</v>
      </c>
      <c r="C1411" s="334" t="s">
        <v>7621</v>
      </c>
      <c r="D1411" s="124" t="s">
        <v>7622</v>
      </c>
      <c r="E1411" s="125"/>
      <c r="F1411" s="118" t="s">
        <v>433</v>
      </c>
      <c r="G1411" s="126" t="s">
        <v>7334</v>
      </c>
      <c r="H1411" s="255">
        <v>5</v>
      </c>
      <c r="I1411" s="361">
        <v>1</v>
      </c>
      <c r="J1411" s="362" t="s">
        <v>286</v>
      </c>
      <c r="K1411" s="363"/>
      <c r="L1411" s="129"/>
      <c r="M1411" s="129"/>
      <c r="N1411" s="129"/>
      <c r="O1411" s="129"/>
      <c r="P1411" s="364"/>
      <c r="Q1411" s="364"/>
      <c r="R1411" s="129"/>
      <c r="S1411" s="129"/>
      <c r="T1411" s="129"/>
      <c r="W1411" s="129" t="s">
        <v>4876</v>
      </c>
      <c r="X1411" s="337" t="b">
        <f t="shared" si="55"/>
        <v>0</v>
      </c>
    </row>
    <row r="1412" spans="1:24" s="337" customFormat="1" ht="12" customHeight="1" outlineLevel="1">
      <c r="A1412" s="335"/>
      <c r="B1412" s="118" t="s">
        <v>12</v>
      </c>
      <c r="C1412" s="334" t="s">
        <v>7623</v>
      </c>
      <c r="D1412" s="124" t="s">
        <v>7624</v>
      </c>
      <c r="E1412" s="125"/>
      <c r="F1412" s="118" t="s">
        <v>433</v>
      </c>
      <c r="G1412" s="126" t="s">
        <v>7334</v>
      </c>
      <c r="H1412" s="255">
        <v>5</v>
      </c>
      <c r="I1412" s="361">
        <v>1</v>
      </c>
      <c r="J1412" s="362" t="s">
        <v>286</v>
      </c>
      <c r="K1412" s="363"/>
      <c r="L1412" s="129"/>
      <c r="M1412" s="129"/>
      <c r="N1412" s="129"/>
      <c r="O1412" s="129"/>
      <c r="P1412" s="364"/>
      <c r="Q1412" s="364"/>
      <c r="R1412" s="129"/>
      <c r="S1412" s="129"/>
      <c r="T1412" s="129"/>
      <c r="W1412" s="129" t="s">
        <v>286</v>
      </c>
      <c r="X1412" s="337" t="b">
        <f t="shared" si="55"/>
        <v>1</v>
      </c>
    </row>
    <row r="1413" spans="1:24" s="337" customFormat="1" ht="12" customHeight="1" outlineLevel="1">
      <c r="A1413" s="335"/>
      <c r="B1413" s="118" t="s">
        <v>12</v>
      </c>
      <c r="C1413" s="334" t="s">
        <v>7625</v>
      </c>
      <c r="D1413" s="124" t="s">
        <v>7626</v>
      </c>
      <c r="E1413" s="125"/>
      <c r="F1413" s="118" t="s">
        <v>433</v>
      </c>
      <c r="G1413" s="126" t="s">
        <v>7334</v>
      </c>
      <c r="H1413" s="255">
        <v>5</v>
      </c>
      <c r="I1413" s="361">
        <v>1</v>
      </c>
      <c r="J1413" s="362" t="s">
        <v>286</v>
      </c>
      <c r="K1413" s="363"/>
      <c r="L1413" s="129"/>
      <c r="M1413" s="129"/>
      <c r="N1413" s="129"/>
      <c r="O1413" s="129"/>
      <c r="P1413" s="364"/>
      <c r="Q1413" s="364"/>
      <c r="R1413" s="129"/>
      <c r="S1413" s="129"/>
      <c r="T1413" s="129"/>
      <c r="W1413" s="129" t="s">
        <v>286</v>
      </c>
      <c r="X1413" s="337" t="b">
        <f t="shared" si="55"/>
        <v>1</v>
      </c>
    </row>
    <row r="1414" spans="1:24" s="337" customFormat="1" ht="12" customHeight="1" outlineLevel="1">
      <c r="A1414" s="335"/>
      <c r="B1414" s="118" t="s">
        <v>12</v>
      </c>
      <c r="C1414" s="334" t="s">
        <v>7627</v>
      </c>
      <c r="D1414" s="124" t="s">
        <v>7628</v>
      </c>
      <c r="E1414" s="125"/>
      <c r="F1414" s="118" t="s">
        <v>433</v>
      </c>
      <c r="G1414" s="126" t="s">
        <v>7334</v>
      </c>
      <c r="H1414" s="255">
        <v>5</v>
      </c>
      <c r="I1414" s="361">
        <v>1</v>
      </c>
      <c r="J1414" s="362" t="s">
        <v>310</v>
      </c>
      <c r="K1414" s="363"/>
      <c r="L1414" s="129"/>
      <c r="M1414" s="129"/>
      <c r="N1414" s="129"/>
      <c r="O1414" s="129"/>
      <c r="P1414" s="364"/>
      <c r="Q1414" s="364"/>
      <c r="R1414" s="129"/>
      <c r="S1414" s="129"/>
      <c r="T1414" s="129"/>
      <c r="W1414" s="129" t="s">
        <v>286</v>
      </c>
      <c r="X1414" s="337" t="b">
        <f t="shared" si="55"/>
        <v>0</v>
      </c>
    </row>
    <row r="1415" spans="1:24" s="337" customFormat="1" ht="12" customHeight="1" outlineLevel="1">
      <c r="A1415" s="335"/>
      <c r="B1415" s="118" t="s">
        <v>12</v>
      </c>
      <c r="C1415" s="334" t="s">
        <v>7629</v>
      </c>
      <c r="D1415" s="124" t="s">
        <v>7630</v>
      </c>
      <c r="E1415" s="125"/>
      <c r="F1415" s="118" t="s">
        <v>433</v>
      </c>
      <c r="G1415" s="126" t="s">
        <v>7334</v>
      </c>
      <c r="H1415" s="255">
        <v>5</v>
      </c>
      <c r="I1415" s="361">
        <v>1</v>
      </c>
      <c r="J1415" s="362" t="s">
        <v>286</v>
      </c>
      <c r="K1415" s="363"/>
      <c r="L1415" s="129"/>
      <c r="M1415" s="129"/>
      <c r="N1415" s="129"/>
      <c r="O1415" s="129"/>
      <c r="P1415" s="364"/>
      <c r="Q1415" s="364"/>
      <c r="R1415" s="129"/>
      <c r="S1415" s="129"/>
      <c r="T1415" s="129"/>
      <c r="W1415" s="129" t="s">
        <v>286</v>
      </c>
      <c r="X1415" s="337" t="b">
        <f t="shared" si="55"/>
        <v>1</v>
      </c>
    </row>
    <row r="1416" spans="1:24" s="337" customFormat="1" ht="12" customHeight="1" outlineLevel="1">
      <c r="A1416" s="335"/>
      <c r="B1416" s="118" t="s">
        <v>12</v>
      </c>
      <c r="C1416" s="334" t="s">
        <v>7631</v>
      </c>
      <c r="D1416" s="124" t="s">
        <v>7632</v>
      </c>
      <c r="E1416" s="125"/>
      <c r="F1416" s="118" t="s">
        <v>433</v>
      </c>
      <c r="G1416" s="126" t="s">
        <v>7334</v>
      </c>
      <c r="H1416" s="255">
        <v>5</v>
      </c>
      <c r="I1416" s="361">
        <v>1</v>
      </c>
      <c r="J1416" s="362" t="s">
        <v>310</v>
      </c>
      <c r="K1416" s="363"/>
      <c r="L1416" s="129"/>
      <c r="M1416" s="129"/>
      <c r="N1416" s="129"/>
      <c r="O1416" s="129"/>
      <c r="P1416" s="364"/>
      <c r="Q1416" s="364"/>
      <c r="R1416" s="129"/>
      <c r="S1416" s="129"/>
      <c r="T1416" s="129"/>
      <c r="W1416" s="129" t="s">
        <v>286</v>
      </c>
      <c r="X1416" s="337" t="b">
        <f t="shared" si="55"/>
        <v>0</v>
      </c>
    </row>
    <row r="1417" spans="1:24" s="337" customFormat="1" ht="12" customHeight="1" outlineLevel="1">
      <c r="A1417" s="335"/>
      <c r="B1417" s="118" t="s">
        <v>12</v>
      </c>
      <c r="C1417" s="334" t="s">
        <v>7633</v>
      </c>
      <c r="D1417" s="124" t="s">
        <v>7634</v>
      </c>
      <c r="E1417" s="125"/>
      <c r="F1417" s="118" t="s">
        <v>433</v>
      </c>
      <c r="G1417" s="126" t="s">
        <v>7334</v>
      </c>
      <c r="H1417" s="255">
        <v>5</v>
      </c>
      <c r="I1417" s="361">
        <v>1</v>
      </c>
      <c r="J1417" s="362" t="s">
        <v>310</v>
      </c>
      <c r="K1417" s="363"/>
      <c r="L1417" s="129"/>
      <c r="M1417" s="129"/>
      <c r="N1417" s="129"/>
      <c r="O1417" s="129"/>
      <c r="P1417" s="364"/>
      <c r="Q1417" s="364"/>
      <c r="R1417" s="129"/>
      <c r="S1417" s="129"/>
      <c r="T1417" s="129"/>
      <c r="W1417" s="129" t="s">
        <v>286</v>
      </c>
      <c r="X1417" s="337" t="b">
        <f t="shared" si="55"/>
        <v>0</v>
      </c>
    </row>
    <row r="1418" spans="1:24" s="337" customFormat="1" ht="12" customHeight="1" outlineLevel="1">
      <c r="A1418" s="335"/>
      <c r="B1418" s="118" t="s">
        <v>12</v>
      </c>
      <c r="C1418" s="334" t="s">
        <v>7635</v>
      </c>
      <c r="D1418" s="124" t="s">
        <v>7636</v>
      </c>
      <c r="E1418" s="125"/>
      <c r="F1418" s="118" t="s">
        <v>433</v>
      </c>
      <c r="G1418" s="126" t="s">
        <v>7334</v>
      </c>
      <c r="H1418" s="255">
        <v>5</v>
      </c>
      <c r="I1418" s="361">
        <v>1</v>
      </c>
      <c r="J1418" s="362" t="s">
        <v>286</v>
      </c>
      <c r="K1418" s="363"/>
      <c r="L1418" s="129"/>
      <c r="M1418" s="129"/>
      <c r="N1418" s="129"/>
      <c r="O1418" s="129"/>
      <c r="P1418" s="364"/>
      <c r="Q1418" s="364"/>
      <c r="R1418" s="129"/>
      <c r="S1418" s="129"/>
      <c r="T1418" s="129"/>
      <c r="W1418" s="129" t="s">
        <v>286</v>
      </c>
      <c r="X1418" s="337" t="b">
        <f t="shared" si="55"/>
        <v>1</v>
      </c>
    </row>
    <row r="1419" spans="1:24" s="337" customFormat="1" ht="12" customHeight="1" outlineLevel="1">
      <c r="A1419" s="335"/>
      <c r="B1419" s="118" t="s">
        <v>12</v>
      </c>
      <c r="C1419" s="334" t="s">
        <v>7637</v>
      </c>
      <c r="D1419" s="124" t="s">
        <v>7638</v>
      </c>
      <c r="E1419" s="125"/>
      <c r="F1419" s="118" t="s">
        <v>433</v>
      </c>
      <c r="G1419" s="126" t="s">
        <v>7334</v>
      </c>
      <c r="H1419" s="255">
        <v>5</v>
      </c>
      <c r="I1419" s="361">
        <v>1</v>
      </c>
      <c r="J1419" s="362" t="s">
        <v>286</v>
      </c>
      <c r="K1419" s="363"/>
      <c r="L1419" s="129"/>
      <c r="M1419" s="129"/>
      <c r="N1419" s="129"/>
      <c r="O1419" s="129"/>
      <c r="P1419" s="364"/>
      <c r="Q1419" s="364"/>
      <c r="R1419" s="129"/>
      <c r="S1419" s="129"/>
      <c r="T1419" s="129"/>
      <c r="W1419" s="129" t="s">
        <v>286</v>
      </c>
      <c r="X1419" s="337" t="b">
        <f t="shared" si="55"/>
        <v>1</v>
      </c>
    </row>
    <row r="1420" spans="1:24" s="337" customFormat="1" ht="12" customHeight="1" outlineLevel="1">
      <c r="A1420" s="335"/>
      <c r="B1420" s="118" t="s">
        <v>12</v>
      </c>
      <c r="C1420" s="334" t="s">
        <v>7639</v>
      </c>
      <c r="D1420" s="124" t="s">
        <v>7640</v>
      </c>
      <c r="E1420" s="125"/>
      <c r="F1420" s="118" t="s">
        <v>433</v>
      </c>
      <c r="G1420" s="126" t="s">
        <v>7334</v>
      </c>
      <c r="H1420" s="255">
        <v>5</v>
      </c>
      <c r="I1420" s="361">
        <v>1</v>
      </c>
      <c r="J1420" s="362" t="s">
        <v>310</v>
      </c>
      <c r="K1420" s="363"/>
      <c r="L1420" s="129"/>
      <c r="M1420" s="129"/>
      <c r="N1420" s="129"/>
      <c r="O1420" s="129"/>
      <c r="P1420" s="364"/>
      <c r="Q1420" s="364"/>
      <c r="R1420" s="129"/>
      <c r="S1420" s="129"/>
      <c r="T1420" s="129"/>
      <c r="W1420" s="129" t="s">
        <v>286</v>
      </c>
      <c r="X1420" s="337" t="b">
        <f t="shared" si="55"/>
        <v>0</v>
      </c>
    </row>
    <row r="1421" spans="1:24" s="337" customFormat="1" ht="12" customHeight="1" outlineLevel="1">
      <c r="A1421" s="335"/>
      <c r="B1421" s="118" t="s">
        <v>12</v>
      </c>
      <c r="C1421" s="334" t="s">
        <v>7641</v>
      </c>
      <c r="D1421" s="124" t="s">
        <v>7642</v>
      </c>
      <c r="E1421" s="125"/>
      <c r="F1421" s="118" t="s">
        <v>433</v>
      </c>
      <c r="G1421" s="126" t="s">
        <v>7334</v>
      </c>
      <c r="H1421" s="255">
        <v>5</v>
      </c>
      <c r="I1421" s="361">
        <v>1</v>
      </c>
      <c r="J1421" s="362" t="s">
        <v>307</v>
      </c>
      <c r="K1421" s="363"/>
      <c r="L1421" s="129"/>
      <c r="M1421" s="129"/>
      <c r="N1421" s="129"/>
      <c r="O1421" s="129"/>
      <c r="P1421" s="364"/>
      <c r="Q1421" s="364"/>
      <c r="R1421" s="129"/>
      <c r="S1421" s="129"/>
      <c r="T1421" s="129"/>
      <c r="W1421" s="129" t="s">
        <v>310</v>
      </c>
      <c r="X1421" s="337" t="b">
        <f t="shared" si="55"/>
        <v>0</v>
      </c>
    </row>
    <row r="1422" spans="1:24" s="337" customFormat="1" ht="12" customHeight="1" outlineLevel="1">
      <c r="A1422" s="335"/>
      <c r="B1422" s="118" t="s">
        <v>12</v>
      </c>
      <c r="C1422" s="334" t="s">
        <v>7643</v>
      </c>
      <c r="D1422" s="124" t="s">
        <v>7644</v>
      </c>
      <c r="E1422" s="125"/>
      <c r="F1422" s="118" t="s">
        <v>433</v>
      </c>
      <c r="G1422" s="126" t="s">
        <v>7334</v>
      </c>
      <c r="H1422" s="255">
        <v>5</v>
      </c>
      <c r="I1422" s="361">
        <v>1</v>
      </c>
      <c r="J1422" s="362" t="s">
        <v>286</v>
      </c>
      <c r="K1422" s="363"/>
      <c r="L1422" s="129"/>
      <c r="M1422" s="129"/>
      <c r="N1422" s="129"/>
      <c r="O1422" s="129"/>
      <c r="P1422" s="364"/>
      <c r="Q1422" s="364"/>
      <c r="R1422" s="129"/>
      <c r="S1422" s="129"/>
      <c r="T1422" s="129"/>
      <c r="W1422" s="129" t="s">
        <v>286</v>
      </c>
      <c r="X1422" s="337" t="b">
        <f t="shared" si="55"/>
        <v>1</v>
      </c>
    </row>
    <row r="1423" spans="1:24" s="337" customFormat="1" ht="12" customHeight="1" outlineLevel="1">
      <c r="A1423" s="335"/>
      <c r="B1423" s="118" t="s">
        <v>12</v>
      </c>
      <c r="C1423" s="334" t="s">
        <v>7645</v>
      </c>
      <c r="D1423" s="124" t="s">
        <v>7646</v>
      </c>
      <c r="E1423" s="125"/>
      <c r="F1423" s="118" t="s">
        <v>433</v>
      </c>
      <c r="G1423" s="126" t="s">
        <v>7334</v>
      </c>
      <c r="H1423" s="255">
        <v>5</v>
      </c>
      <c r="I1423" s="361">
        <v>1</v>
      </c>
      <c r="J1423" s="362" t="s">
        <v>286</v>
      </c>
      <c r="K1423" s="363"/>
      <c r="L1423" s="129"/>
      <c r="M1423" s="129"/>
      <c r="N1423" s="129"/>
      <c r="O1423" s="129"/>
      <c r="P1423" s="364"/>
      <c r="Q1423" s="364"/>
      <c r="R1423" s="129"/>
      <c r="S1423" s="129"/>
      <c r="T1423" s="129"/>
      <c r="W1423" s="129" t="s">
        <v>286</v>
      </c>
      <c r="X1423" s="337" t="b">
        <f t="shared" si="55"/>
        <v>1</v>
      </c>
    </row>
    <row r="1424" spans="1:24" s="337" customFormat="1" ht="12" customHeight="1" outlineLevel="1">
      <c r="A1424" s="335"/>
      <c r="B1424" s="118" t="s">
        <v>12</v>
      </c>
      <c r="C1424" s="334" t="s">
        <v>7647</v>
      </c>
      <c r="D1424" s="124" t="s">
        <v>7648</v>
      </c>
      <c r="E1424" s="125"/>
      <c r="F1424" s="118" t="s">
        <v>433</v>
      </c>
      <c r="G1424" s="126" t="s">
        <v>7334</v>
      </c>
      <c r="H1424" s="255">
        <v>5</v>
      </c>
      <c r="I1424" s="361">
        <v>1</v>
      </c>
      <c r="J1424" s="362" t="s">
        <v>286</v>
      </c>
      <c r="K1424" s="363"/>
      <c r="L1424" s="129"/>
      <c r="M1424" s="129"/>
      <c r="N1424" s="129"/>
      <c r="O1424" s="129"/>
      <c r="P1424" s="364"/>
      <c r="Q1424" s="364"/>
      <c r="R1424" s="129"/>
      <c r="S1424" s="129"/>
      <c r="T1424" s="129"/>
      <c r="W1424" s="129" t="s">
        <v>286</v>
      </c>
      <c r="X1424" s="337" t="b">
        <f t="shared" si="55"/>
        <v>1</v>
      </c>
    </row>
    <row r="1425" spans="1:24" s="337" customFormat="1" ht="12" customHeight="1" outlineLevel="1">
      <c r="A1425" s="335"/>
      <c r="B1425" s="118" t="s">
        <v>12</v>
      </c>
      <c r="C1425" s="334" t="s">
        <v>7649</v>
      </c>
      <c r="D1425" s="124" t="s">
        <v>7650</v>
      </c>
      <c r="E1425" s="125"/>
      <c r="F1425" s="118" t="s">
        <v>433</v>
      </c>
      <c r="G1425" s="126" t="s">
        <v>7334</v>
      </c>
      <c r="H1425" s="255">
        <v>5</v>
      </c>
      <c r="I1425" s="361">
        <v>1</v>
      </c>
      <c r="J1425" s="362" t="s">
        <v>286</v>
      </c>
      <c r="K1425" s="363"/>
      <c r="L1425" s="129"/>
      <c r="M1425" s="129"/>
      <c r="N1425" s="129"/>
      <c r="O1425" s="129"/>
      <c r="P1425" s="364"/>
      <c r="Q1425" s="364"/>
      <c r="R1425" s="129"/>
      <c r="S1425" s="129"/>
      <c r="T1425" s="129"/>
      <c r="W1425" s="129" t="s">
        <v>286</v>
      </c>
      <c r="X1425" s="337" t="b">
        <f t="shared" si="55"/>
        <v>1</v>
      </c>
    </row>
    <row r="1426" spans="1:24" s="337" customFormat="1" ht="12" customHeight="1" outlineLevel="1">
      <c r="A1426" s="335"/>
      <c r="B1426" s="118" t="s">
        <v>12</v>
      </c>
      <c r="C1426" s="334" t="s">
        <v>7651</v>
      </c>
      <c r="D1426" s="124" t="s">
        <v>7652</v>
      </c>
      <c r="E1426" s="125"/>
      <c r="F1426" s="118" t="s">
        <v>433</v>
      </c>
      <c r="G1426" s="126" t="s">
        <v>7334</v>
      </c>
      <c r="H1426" s="255">
        <v>5</v>
      </c>
      <c r="I1426" s="361">
        <v>1</v>
      </c>
      <c r="J1426" s="362" t="s">
        <v>286</v>
      </c>
      <c r="K1426" s="363"/>
      <c r="L1426" s="129"/>
      <c r="M1426" s="129"/>
      <c r="N1426" s="129"/>
      <c r="O1426" s="129"/>
      <c r="P1426" s="364"/>
      <c r="Q1426" s="364"/>
      <c r="R1426" s="129"/>
      <c r="S1426" s="129"/>
      <c r="T1426" s="129"/>
      <c r="W1426" s="129" t="s">
        <v>286</v>
      </c>
      <c r="X1426" s="337" t="b">
        <f t="shared" si="55"/>
        <v>1</v>
      </c>
    </row>
    <row r="1427" spans="1:24" s="337" customFormat="1" ht="12" customHeight="1" outlineLevel="1">
      <c r="A1427" s="335"/>
      <c r="B1427" s="118" t="s">
        <v>12</v>
      </c>
      <c r="C1427" s="334" t="s">
        <v>7653</v>
      </c>
      <c r="D1427" s="124" t="s">
        <v>7654</v>
      </c>
      <c r="E1427" s="125"/>
      <c r="F1427" s="118" t="s">
        <v>433</v>
      </c>
      <c r="G1427" s="126" t="s">
        <v>7334</v>
      </c>
      <c r="H1427" s="255">
        <v>5</v>
      </c>
      <c r="I1427" s="361">
        <v>1</v>
      </c>
      <c r="J1427" s="362" t="s">
        <v>286</v>
      </c>
      <c r="K1427" s="363"/>
      <c r="L1427" s="129"/>
      <c r="M1427" s="129"/>
      <c r="N1427" s="129"/>
      <c r="O1427" s="129"/>
      <c r="P1427" s="364"/>
      <c r="Q1427" s="364"/>
      <c r="R1427" s="129"/>
      <c r="S1427" s="129"/>
      <c r="T1427" s="129"/>
      <c r="W1427" s="129" t="s">
        <v>286</v>
      </c>
      <c r="X1427" s="337" t="b">
        <f t="shared" si="55"/>
        <v>1</v>
      </c>
    </row>
    <row r="1428" spans="1:24" s="337" customFormat="1" ht="12" customHeight="1" outlineLevel="1">
      <c r="A1428" s="335"/>
      <c r="B1428" s="118" t="s">
        <v>12</v>
      </c>
      <c r="C1428" s="334" t="s">
        <v>7655</v>
      </c>
      <c r="D1428" s="124" t="s">
        <v>7656</v>
      </c>
      <c r="E1428" s="125"/>
      <c r="F1428" s="118" t="s">
        <v>433</v>
      </c>
      <c r="G1428" s="126" t="s">
        <v>7334</v>
      </c>
      <c r="H1428" s="255">
        <v>5</v>
      </c>
      <c r="I1428" s="361">
        <v>1</v>
      </c>
      <c r="J1428" s="362" t="s">
        <v>286</v>
      </c>
      <c r="K1428" s="363"/>
      <c r="L1428" s="129"/>
      <c r="M1428" s="129"/>
      <c r="N1428" s="129"/>
      <c r="O1428" s="129"/>
      <c r="P1428" s="364"/>
      <c r="Q1428" s="364"/>
      <c r="R1428" s="129"/>
      <c r="S1428" s="129"/>
      <c r="T1428" s="129"/>
      <c r="W1428" s="129" t="s">
        <v>286</v>
      </c>
      <c r="X1428" s="337" t="b">
        <f t="shared" si="55"/>
        <v>1</v>
      </c>
    </row>
    <row r="1429" spans="1:24" s="337" customFormat="1" ht="12" customHeight="1" outlineLevel="1">
      <c r="A1429" s="335"/>
      <c r="B1429" s="118" t="s">
        <v>12</v>
      </c>
      <c r="C1429" s="334" t="s">
        <v>7657</v>
      </c>
      <c r="D1429" s="124" t="s">
        <v>7658</v>
      </c>
      <c r="E1429" s="125"/>
      <c r="F1429" s="118" t="s">
        <v>433</v>
      </c>
      <c r="G1429" s="126" t="s">
        <v>7334</v>
      </c>
      <c r="H1429" s="255">
        <v>5</v>
      </c>
      <c r="I1429" s="361">
        <v>1</v>
      </c>
      <c r="J1429" s="362" t="s">
        <v>286</v>
      </c>
      <c r="K1429" s="363"/>
      <c r="L1429" s="129"/>
      <c r="M1429" s="129"/>
      <c r="N1429" s="129"/>
      <c r="O1429" s="129"/>
      <c r="P1429" s="364"/>
      <c r="Q1429" s="364"/>
      <c r="R1429" s="129"/>
      <c r="S1429" s="129"/>
      <c r="T1429" s="129"/>
      <c r="W1429" s="129" t="s">
        <v>286</v>
      </c>
      <c r="X1429" s="337" t="b">
        <f t="shared" si="55"/>
        <v>1</v>
      </c>
    </row>
    <row r="1430" spans="1:24" s="337" customFormat="1" ht="12" customHeight="1" outlineLevel="1">
      <c r="A1430" s="335"/>
      <c r="B1430" s="118" t="s">
        <v>12</v>
      </c>
      <c r="C1430" s="334" t="s">
        <v>7659</v>
      </c>
      <c r="D1430" s="124" t="s">
        <v>7660</v>
      </c>
      <c r="E1430" s="125"/>
      <c r="F1430" s="118" t="s">
        <v>433</v>
      </c>
      <c r="G1430" s="126" t="s">
        <v>7334</v>
      </c>
      <c r="H1430" s="255">
        <v>5</v>
      </c>
      <c r="I1430" s="361">
        <v>1</v>
      </c>
      <c r="J1430" s="362" t="s">
        <v>286</v>
      </c>
      <c r="K1430" s="363"/>
      <c r="L1430" s="129"/>
      <c r="M1430" s="129"/>
      <c r="N1430" s="129"/>
      <c r="O1430" s="129"/>
      <c r="P1430" s="364"/>
      <c r="Q1430" s="364"/>
      <c r="R1430" s="129"/>
      <c r="S1430" s="129"/>
      <c r="T1430" s="129"/>
      <c r="W1430" s="129" t="s">
        <v>286</v>
      </c>
      <c r="X1430" s="337" t="b">
        <f t="shared" si="55"/>
        <v>1</v>
      </c>
    </row>
    <row r="1431" spans="1:24" s="337" customFormat="1" ht="12" customHeight="1" outlineLevel="1">
      <c r="A1431" s="335"/>
      <c r="B1431" s="118" t="s">
        <v>12</v>
      </c>
      <c r="C1431" s="334" t="s">
        <v>7661</v>
      </c>
      <c r="D1431" s="124" t="s">
        <v>7662</v>
      </c>
      <c r="E1431" s="125"/>
      <c r="F1431" s="118" t="s">
        <v>433</v>
      </c>
      <c r="G1431" s="126" t="s">
        <v>7334</v>
      </c>
      <c r="H1431" s="255">
        <v>5</v>
      </c>
      <c r="I1431" s="361">
        <v>1</v>
      </c>
      <c r="J1431" s="362" t="s">
        <v>286</v>
      </c>
      <c r="K1431" s="363"/>
      <c r="L1431" s="129"/>
      <c r="M1431" s="129"/>
      <c r="N1431" s="129"/>
      <c r="O1431" s="129"/>
      <c r="P1431" s="364"/>
      <c r="Q1431" s="364"/>
      <c r="R1431" s="129"/>
      <c r="S1431" s="129"/>
      <c r="T1431" s="129"/>
      <c r="W1431" s="129" t="s">
        <v>286</v>
      </c>
      <c r="X1431" s="337" t="b">
        <f t="shared" si="55"/>
        <v>1</v>
      </c>
    </row>
    <row r="1432" spans="1:24" s="337" customFormat="1" ht="12" customHeight="1" outlineLevel="1">
      <c r="A1432" s="335"/>
      <c r="B1432" s="118" t="s">
        <v>12</v>
      </c>
      <c r="C1432" s="334" t="s">
        <v>7663</v>
      </c>
      <c r="D1432" s="124" t="s">
        <v>7664</v>
      </c>
      <c r="E1432" s="125"/>
      <c r="F1432" s="118" t="s">
        <v>433</v>
      </c>
      <c r="G1432" s="126" t="s">
        <v>7334</v>
      </c>
      <c r="H1432" s="255">
        <v>5</v>
      </c>
      <c r="I1432" s="361">
        <v>1</v>
      </c>
      <c r="J1432" s="362" t="s">
        <v>286</v>
      </c>
      <c r="K1432" s="363"/>
      <c r="L1432" s="129"/>
      <c r="M1432" s="129"/>
      <c r="N1432" s="129"/>
      <c r="O1432" s="129"/>
      <c r="P1432" s="364"/>
      <c r="Q1432" s="364"/>
      <c r="R1432" s="129"/>
      <c r="S1432" s="129"/>
      <c r="T1432" s="129"/>
      <c r="W1432" s="129" t="s">
        <v>286</v>
      </c>
      <c r="X1432" s="337" t="b">
        <f t="shared" si="55"/>
        <v>1</v>
      </c>
    </row>
    <row r="1433" spans="1:24" s="337" customFormat="1" ht="12" customHeight="1" outlineLevel="1">
      <c r="A1433" s="335"/>
      <c r="B1433" s="118" t="s">
        <v>12</v>
      </c>
      <c r="C1433" s="334" t="s">
        <v>7665</v>
      </c>
      <c r="D1433" s="124" t="s">
        <v>7666</v>
      </c>
      <c r="E1433" s="125"/>
      <c r="F1433" s="118" t="s">
        <v>433</v>
      </c>
      <c r="G1433" s="126" t="s">
        <v>7334</v>
      </c>
      <c r="H1433" s="255">
        <v>5</v>
      </c>
      <c r="I1433" s="361">
        <v>1</v>
      </c>
      <c r="J1433" s="362" t="s">
        <v>286</v>
      </c>
      <c r="K1433" s="363"/>
      <c r="L1433" s="129"/>
      <c r="M1433" s="129"/>
      <c r="N1433" s="129"/>
      <c r="O1433" s="129"/>
      <c r="P1433" s="364"/>
      <c r="Q1433" s="364"/>
      <c r="R1433" s="129"/>
      <c r="S1433" s="129"/>
      <c r="T1433" s="129"/>
      <c r="W1433" s="129" t="s">
        <v>286</v>
      </c>
      <c r="X1433" s="337" t="b">
        <f t="shared" si="55"/>
        <v>1</v>
      </c>
    </row>
    <row r="1434" spans="1:24" s="337" customFormat="1" ht="12" customHeight="1" outlineLevel="1">
      <c r="A1434" s="335"/>
      <c r="B1434" s="118" t="s">
        <v>12</v>
      </c>
      <c r="C1434" s="334" t="s">
        <v>7667</v>
      </c>
      <c r="D1434" s="124" t="s">
        <v>7668</v>
      </c>
      <c r="E1434" s="125"/>
      <c r="F1434" s="118" t="s">
        <v>433</v>
      </c>
      <c r="G1434" s="126" t="s">
        <v>7334</v>
      </c>
      <c r="H1434" s="255">
        <v>5</v>
      </c>
      <c r="I1434" s="361">
        <v>1</v>
      </c>
      <c r="J1434" s="362" t="s">
        <v>286</v>
      </c>
      <c r="K1434" s="363"/>
      <c r="L1434" s="129"/>
      <c r="M1434" s="129"/>
      <c r="N1434" s="129"/>
      <c r="O1434" s="129"/>
      <c r="P1434" s="364"/>
      <c r="Q1434" s="364"/>
      <c r="R1434" s="129"/>
      <c r="S1434" s="129"/>
      <c r="T1434" s="129"/>
      <c r="W1434" s="129" t="s">
        <v>286</v>
      </c>
      <c r="X1434" s="337" t="b">
        <f t="shared" si="55"/>
        <v>1</v>
      </c>
    </row>
    <row r="1435" spans="1:24" s="337" customFormat="1" ht="12" customHeight="1" outlineLevel="1">
      <c r="A1435" s="335"/>
      <c r="B1435" s="118" t="s">
        <v>12</v>
      </c>
      <c r="C1435" s="334" t="s">
        <v>7669</v>
      </c>
      <c r="D1435" s="124" t="s">
        <v>7670</v>
      </c>
      <c r="E1435" s="125"/>
      <c r="F1435" s="118" t="s">
        <v>433</v>
      </c>
      <c r="G1435" s="126" t="s">
        <v>7334</v>
      </c>
      <c r="H1435" s="255">
        <v>5</v>
      </c>
      <c r="I1435" s="361">
        <v>1</v>
      </c>
      <c r="J1435" s="362" t="s">
        <v>286</v>
      </c>
      <c r="K1435" s="363"/>
      <c r="L1435" s="129"/>
      <c r="M1435" s="129"/>
      <c r="N1435" s="129"/>
      <c r="O1435" s="129"/>
      <c r="P1435" s="364"/>
      <c r="Q1435" s="364"/>
      <c r="R1435" s="129"/>
      <c r="S1435" s="129"/>
      <c r="T1435" s="129"/>
      <c r="W1435" s="129" t="s">
        <v>286</v>
      </c>
      <c r="X1435" s="337" t="b">
        <f t="shared" si="55"/>
        <v>1</v>
      </c>
    </row>
    <row r="1436" spans="1:24" s="337" customFormat="1" ht="12" customHeight="1" outlineLevel="1">
      <c r="A1436" s="335"/>
      <c r="B1436" s="118" t="s">
        <v>12</v>
      </c>
      <c r="C1436" s="334" t="s">
        <v>7671</v>
      </c>
      <c r="D1436" s="124" t="s">
        <v>7672</v>
      </c>
      <c r="E1436" s="125"/>
      <c r="F1436" s="118" t="s">
        <v>433</v>
      </c>
      <c r="G1436" s="126" t="s">
        <v>7334</v>
      </c>
      <c r="H1436" s="255">
        <v>5</v>
      </c>
      <c r="I1436" s="361">
        <v>1</v>
      </c>
      <c r="J1436" s="362" t="s">
        <v>286</v>
      </c>
      <c r="K1436" s="363"/>
      <c r="L1436" s="129"/>
      <c r="M1436" s="129"/>
      <c r="N1436" s="129"/>
      <c r="O1436" s="129"/>
      <c r="P1436" s="364"/>
      <c r="Q1436" s="364"/>
      <c r="R1436" s="129"/>
      <c r="S1436" s="129"/>
      <c r="T1436" s="129"/>
      <c r="W1436" s="129" t="s">
        <v>286</v>
      </c>
      <c r="X1436" s="337" t="b">
        <f t="shared" si="55"/>
        <v>1</v>
      </c>
    </row>
    <row r="1437" spans="1:24" s="337" customFormat="1" ht="12" customHeight="1" outlineLevel="1">
      <c r="A1437" s="335"/>
      <c r="B1437" s="118" t="s">
        <v>12</v>
      </c>
      <c r="C1437" s="334" t="s">
        <v>7673</v>
      </c>
      <c r="D1437" s="124" t="s">
        <v>7674</v>
      </c>
      <c r="E1437" s="125"/>
      <c r="F1437" s="118" t="s">
        <v>433</v>
      </c>
      <c r="G1437" s="126" t="s">
        <v>7334</v>
      </c>
      <c r="H1437" s="255">
        <v>5</v>
      </c>
      <c r="I1437" s="361">
        <v>1</v>
      </c>
      <c r="J1437" s="362" t="s">
        <v>286</v>
      </c>
      <c r="K1437" s="363"/>
      <c r="L1437" s="129"/>
      <c r="M1437" s="129"/>
      <c r="N1437" s="129"/>
      <c r="O1437" s="129"/>
      <c r="P1437" s="364"/>
      <c r="Q1437" s="364"/>
      <c r="R1437" s="129"/>
      <c r="S1437" s="129"/>
      <c r="T1437" s="129"/>
      <c r="W1437" s="129" t="s">
        <v>286</v>
      </c>
      <c r="X1437" s="337" t="b">
        <f t="shared" si="55"/>
        <v>1</v>
      </c>
    </row>
    <row r="1438" spans="1:24" s="337" customFormat="1" ht="12" customHeight="1" outlineLevel="1">
      <c r="A1438" s="335"/>
      <c r="B1438" s="118" t="s">
        <v>12</v>
      </c>
      <c r="C1438" s="334" t="s">
        <v>7675</v>
      </c>
      <c r="D1438" s="124" t="s">
        <v>7676</v>
      </c>
      <c r="E1438" s="125"/>
      <c r="F1438" s="118" t="s">
        <v>433</v>
      </c>
      <c r="G1438" s="126" t="s">
        <v>7334</v>
      </c>
      <c r="H1438" s="255">
        <v>5</v>
      </c>
      <c r="I1438" s="361">
        <v>1</v>
      </c>
      <c r="J1438" s="362" t="s">
        <v>286</v>
      </c>
      <c r="K1438" s="363"/>
      <c r="L1438" s="129"/>
      <c r="M1438" s="129"/>
      <c r="N1438" s="129"/>
      <c r="O1438" s="129"/>
      <c r="P1438" s="364"/>
      <c r="Q1438" s="364"/>
      <c r="R1438" s="129"/>
      <c r="S1438" s="129"/>
      <c r="T1438" s="129"/>
      <c r="W1438" s="129" t="s">
        <v>286</v>
      </c>
      <c r="X1438" s="337" t="b">
        <f t="shared" si="55"/>
        <v>1</v>
      </c>
    </row>
    <row r="1439" spans="1:24" s="337" customFormat="1" ht="12" customHeight="1" outlineLevel="1">
      <c r="A1439" s="335"/>
      <c r="B1439" s="118" t="s">
        <v>12</v>
      </c>
      <c r="C1439" s="334" t="s">
        <v>7677</v>
      </c>
      <c r="D1439" s="124" t="s">
        <v>7678</v>
      </c>
      <c r="E1439" s="125"/>
      <c r="F1439" s="118" t="s">
        <v>433</v>
      </c>
      <c r="G1439" s="126" t="s">
        <v>7334</v>
      </c>
      <c r="H1439" s="255">
        <v>5</v>
      </c>
      <c r="I1439" s="361">
        <v>1</v>
      </c>
      <c r="J1439" s="362" t="s">
        <v>286</v>
      </c>
      <c r="K1439" s="363"/>
      <c r="L1439" s="129"/>
      <c r="M1439" s="129"/>
      <c r="N1439" s="129"/>
      <c r="O1439" s="129"/>
      <c r="P1439" s="364"/>
      <c r="Q1439" s="364"/>
      <c r="R1439" s="129"/>
      <c r="S1439" s="129"/>
      <c r="T1439" s="129"/>
      <c r="W1439" s="129" t="s">
        <v>286</v>
      </c>
      <c r="X1439" s="337" t="b">
        <f t="shared" si="55"/>
        <v>1</v>
      </c>
    </row>
    <row r="1440" spans="1:24" s="337" customFormat="1" ht="12" customHeight="1" outlineLevel="1">
      <c r="A1440" s="335"/>
      <c r="B1440" s="118" t="s">
        <v>12</v>
      </c>
      <c r="C1440" s="334" t="s">
        <v>7679</v>
      </c>
      <c r="D1440" s="124" t="s">
        <v>7680</v>
      </c>
      <c r="E1440" s="125"/>
      <c r="F1440" s="118" t="s">
        <v>433</v>
      </c>
      <c r="G1440" s="126" t="s">
        <v>7334</v>
      </c>
      <c r="H1440" s="255">
        <v>5</v>
      </c>
      <c r="I1440" s="361">
        <v>1</v>
      </c>
      <c r="J1440" s="362" t="s">
        <v>286</v>
      </c>
      <c r="K1440" s="363"/>
      <c r="L1440" s="129"/>
      <c r="M1440" s="129"/>
      <c r="N1440" s="129"/>
      <c r="O1440" s="129"/>
      <c r="P1440" s="364"/>
      <c r="Q1440" s="364"/>
      <c r="R1440" s="129"/>
      <c r="S1440" s="129"/>
      <c r="T1440" s="129"/>
      <c r="W1440" s="129" t="s">
        <v>286</v>
      </c>
      <c r="X1440" s="337" t="b">
        <f t="shared" si="55"/>
        <v>1</v>
      </c>
    </row>
    <row r="1441" spans="1:24" s="337" customFormat="1" ht="12" customHeight="1" outlineLevel="1">
      <c r="A1441" s="335"/>
      <c r="B1441" s="118" t="s">
        <v>12</v>
      </c>
      <c r="C1441" s="334" t="s">
        <v>7681</v>
      </c>
      <c r="D1441" s="124" t="s">
        <v>7682</v>
      </c>
      <c r="E1441" s="125"/>
      <c r="F1441" s="118" t="s">
        <v>433</v>
      </c>
      <c r="G1441" s="126" t="s">
        <v>7334</v>
      </c>
      <c r="H1441" s="255">
        <v>5</v>
      </c>
      <c r="I1441" s="361">
        <v>1</v>
      </c>
      <c r="J1441" s="362" t="s">
        <v>286</v>
      </c>
      <c r="K1441" s="363"/>
      <c r="L1441" s="129"/>
      <c r="M1441" s="129"/>
      <c r="N1441" s="129"/>
      <c r="O1441" s="129"/>
      <c r="P1441" s="364"/>
      <c r="Q1441" s="364"/>
      <c r="R1441" s="129"/>
      <c r="S1441" s="129"/>
      <c r="T1441" s="129"/>
      <c r="W1441" s="129" t="s">
        <v>286</v>
      </c>
      <c r="X1441" s="337" t="b">
        <f t="shared" si="55"/>
        <v>1</v>
      </c>
    </row>
    <row r="1442" spans="1:24" s="337" customFormat="1" ht="12" customHeight="1" outlineLevel="1">
      <c r="A1442" s="335"/>
      <c r="B1442" s="118" t="s">
        <v>12</v>
      </c>
      <c r="C1442" s="334" t="s">
        <v>7683</v>
      </c>
      <c r="D1442" s="124" t="s">
        <v>7684</v>
      </c>
      <c r="E1442" s="125"/>
      <c r="F1442" s="118" t="s">
        <v>433</v>
      </c>
      <c r="G1442" s="126" t="s">
        <v>7334</v>
      </c>
      <c r="H1442" s="255">
        <v>5</v>
      </c>
      <c r="I1442" s="361">
        <v>1</v>
      </c>
      <c r="J1442" s="362" t="s">
        <v>286</v>
      </c>
      <c r="K1442" s="363"/>
      <c r="L1442" s="129"/>
      <c r="M1442" s="129"/>
      <c r="N1442" s="129"/>
      <c r="O1442" s="129"/>
      <c r="P1442" s="364"/>
      <c r="Q1442" s="364"/>
      <c r="R1442" s="129"/>
      <c r="S1442" s="129"/>
      <c r="T1442" s="129"/>
      <c r="W1442" s="129" t="s">
        <v>286</v>
      </c>
      <c r="X1442" s="337" t="b">
        <f t="shared" si="55"/>
        <v>1</v>
      </c>
    </row>
    <row r="1443" spans="1:24" s="337" customFormat="1" ht="12" customHeight="1" outlineLevel="1">
      <c r="A1443" s="335"/>
      <c r="B1443" s="118" t="s">
        <v>12</v>
      </c>
      <c r="C1443" s="334" t="s">
        <v>7685</v>
      </c>
      <c r="D1443" s="124" t="s">
        <v>7686</v>
      </c>
      <c r="E1443" s="125"/>
      <c r="F1443" s="118" t="s">
        <v>433</v>
      </c>
      <c r="G1443" s="126" t="s">
        <v>7334</v>
      </c>
      <c r="H1443" s="255">
        <v>5</v>
      </c>
      <c r="I1443" s="361">
        <v>1</v>
      </c>
      <c r="J1443" s="362" t="s">
        <v>286</v>
      </c>
      <c r="K1443" s="363"/>
      <c r="L1443" s="129"/>
      <c r="M1443" s="129"/>
      <c r="N1443" s="129"/>
      <c r="O1443" s="129"/>
      <c r="P1443" s="364"/>
      <c r="Q1443" s="364"/>
      <c r="R1443" s="129"/>
      <c r="S1443" s="129"/>
      <c r="T1443" s="129"/>
      <c r="W1443" s="129" t="s">
        <v>286</v>
      </c>
      <c r="X1443" s="337" t="b">
        <f t="shared" si="55"/>
        <v>1</v>
      </c>
    </row>
    <row r="1444" spans="1:24" s="337" customFormat="1" ht="12" customHeight="1" outlineLevel="1">
      <c r="A1444" s="335"/>
      <c r="B1444" s="118" t="s">
        <v>12</v>
      </c>
      <c r="C1444" s="334" t="s">
        <v>7687</v>
      </c>
      <c r="D1444" s="124" t="s">
        <v>7688</v>
      </c>
      <c r="E1444" s="125"/>
      <c r="F1444" s="118" t="s">
        <v>433</v>
      </c>
      <c r="G1444" s="126" t="s">
        <v>7334</v>
      </c>
      <c r="H1444" s="255">
        <v>5</v>
      </c>
      <c r="I1444" s="361">
        <v>1</v>
      </c>
      <c r="J1444" s="362" t="s">
        <v>286</v>
      </c>
      <c r="K1444" s="363"/>
      <c r="L1444" s="129"/>
      <c r="M1444" s="129"/>
      <c r="N1444" s="129"/>
      <c r="O1444" s="129"/>
      <c r="P1444" s="364"/>
      <c r="Q1444" s="364"/>
      <c r="R1444" s="129"/>
      <c r="S1444" s="129"/>
      <c r="T1444" s="129"/>
      <c r="W1444" s="129" t="s">
        <v>286</v>
      </c>
      <c r="X1444" s="337" t="b">
        <f t="shared" si="55"/>
        <v>1</v>
      </c>
    </row>
    <row r="1445" spans="1:24" s="337" customFormat="1" ht="12" customHeight="1" outlineLevel="1">
      <c r="A1445" s="335"/>
      <c r="B1445" s="118" t="s">
        <v>12</v>
      </c>
      <c r="C1445" s="334" t="s">
        <v>7689</v>
      </c>
      <c r="D1445" s="124" t="s">
        <v>7690</v>
      </c>
      <c r="E1445" s="125"/>
      <c r="F1445" s="118" t="s">
        <v>433</v>
      </c>
      <c r="G1445" s="126" t="s">
        <v>7334</v>
      </c>
      <c r="H1445" s="255">
        <v>5</v>
      </c>
      <c r="I1445" s="361">
        <v>1</v>
      </c>
      <c r="J1445" s="362" t="s">
        <v>286</v>
      </c>
      <c r="K1445" s="363"/>
      <c r="L1445" s="129"/>
      <c r="M1445" s="129"/>
      <c r="N1445" s="129"/>
      <c r="O1445" s="129"/>
      <c r="P1445" s="364"/>
      <c r="Q1445" s="364"/>
      <c r="R1445" s="129"/>
      <c r="S1445" s="129"/>
      <c r="T1445" s="129"/>
      <c r="W1445" s="129" t="s">
        <v>286</v>
      </c>
      <c r="X1445" s="337" t="b">
        <f t="shared" si="55"/>
        <v>1</v>
      </c>
    </row>
    <row r="1446" spans="1:24" s="337" customFormat="1" ht="12" customHeight="1" outlineLevel="1">
      <c r="A1446" s="335"/>
      <c r="B1446" s="118" t="s">
        <v>12</v>
      </c>
      <c r="C1446" s="334" t="s">
        <v>7691</v>
      </c>
      <c r="D1446" s="124" t="s">
        <v>7692</v>
      </c>
      <c r="E1446" s="125"/>
      <c r="F1446" s="118" t="s">
        <v>433</v>
      </c>
      <c r="G1446" s="126" t="s">
        <v>7334</v>
      </c>
      <c r="H1446" s="255">
        <v>5</v>
      </c>
      <c r="I1446" s="361">
        <v>1</v>
      </c>
      <c r="J1446" s="362" t="s">
        <v>286</v>
      </c>
      <c r="K1446" s="363"/>
      <c r="L1446" s="129"/>
      <c r="M1446" s="129"/>
      <c r="N1446" s="129"/>
      <c r="O1446" s="129"/>
      <c r="P1446" s="364"/>
      <c r="Q1446" s="364"/>
      <c r="R1446" s="129"/>
      <c r="S1446" s="129"/>
      <c r="T1446" s="129"/>
      <c r="W1446" s="129" t="s">
        <v>286</v>
      </c>
      <c r="X1446" s="337" t="b">
        <f t="shared" si="55"/>
        <v>1</v>
      </c>
    </row>
    <row r="1447" spans="1:24" s="337" customFormat="1" ht="12" customHeight="1" outlineLevel="1">
      <c r="A1447" s="335"/>
      <c r="B1447" s="118" t="s">
        <v>12</v>
      </c>
      <c r="C1447" s="334" t="s">
        <v>7693</v>
      </c>
      <c r="D1447" s="124" t="s">
        <v>7694</v>
      </c>
      <c r="E1447" s="125"/>
      <c r="F1447" s="118" t="s">
        <v>433</v>
      </c>
      <c r="G1447" s="126" t="s">
        <v>7334</v>
      </c>
      <c r="H1447" s="255">
        <v>5</v>
      </c>
      <c r="I1447" s="361">
        <v>1</v>
      </c>
      <c r="J1447" s="362" t="s">
        <v>286</v>
      </c>
      <c r="K1447" s="363"/>
      <c r="L1447" s="129"/>
      <c r="M1447" s="129"/>
      <c r="N1447" s="129"/>
      <c r="O1447" s="129"/>
      <c r="P1447" s="364"/>
      <c r="Q1447" s="364"/>
      <c r="R1447" s="129"/>
      <c r="S1447" s="129"/>
      <c r="T1447" s="129"/>
      <c r="W1447" s="129" t="s">
        <v>286</v>
      </c>
      <c r="X1447" s="337" t="b">
        <f t="shared" si="55"/>
        <v>1</v>
      </c>
    </row>
    <row r="1448" spans="1:24" s="337" customFormat="1" ht="12" customHeight="1" outlineLevel="1">
      <c r="A1448" s="335"/>
      <c r="B1448" s="118" t="s">
        <v>12</v>
      </c>
      <c r="C1448" s="334" t="s">
        <v>7695</v>
      </c>
      <c r="D1448" s="124" t="s">
        <v>7696</v>
      </c>
      <c r="E1448" s="125"/>
      <c r="F1448" s="118" t="s">
        <v>433</v>
      </c>
      <c r="G1448" s="126" t="s">
        <v>7334</v>
      </c>
      <c r="H1448" s="255">
        <v>5</v>
      </c>
      <c r="I1448" s="361">
        <v>1</v>
      </c>
      <c r="J1448" s="362" t="s">
        <v>286</v>
      </c>
      <c r="K1448" s="363"/>
      <c r="L1448" s="129"/>
      <c r="M1448" s="129"/>
      <c r="N1448" s="129"/>
      <c r="O1448" s="129"/>
      <c r="P1448" s="364"/>
      <c r="Q1448" s="364"/>
      <c r="R1448" s="129"/>
      <c r="S1448" s="129"/>
      <c r="T1448" s="129"/>
      <c r="W1448" s="129" t="s">
        <v>286</v>
      </c>
      <c r="X1448" s="337" t="b">
        <f t="shared" si="55"/>
        <v>1</v>
      </c>
    </row>
    <row r="1449" spans="1:24" s="337" customFormat="1" ht="12" customHeight="1" outlineLevel="1">
      <c r="A1449" s="335"/>
      <c r="B1449" s="118" t="s">
        <v>12</v>
      </c>
      <c r="C1449" s="334" t="s">
        <v>7697</v>
      </c>
      <c r="D1449" s="124" t="s">
        <v>7698</v>
      </c>
      <c r="E1449" s="125"/>
      <c r="F1449" s="118" t="s">
        <v>433</v>
      </c>
      <c r="G1449" s="126" t="s">
        <v>7334</v>
      </c>
      <c r="H1449" s="255">
        <v>5</v>
      </c>
      <c r="I1449" s="361">
        <v>1</v>
      </c>
      <c r="J1449" s="362" t="s">
        <v>286</v>
      </c>
      <c r="K1449" s="363"/>
      <c r="L1449" s="129"/>
      <c r="M1449" s="129"/>
      <c r="N1449" s="129"/>
      <c r="O1449" s="129"/>
      <c r="P1449" s="364"/>
      <c r="Q1449" s="364"/>
      <c r="R1449" s="129"/>
      <c r="S1449" s="129"/>
      <c r="T1449" s="129"/>
      <c r="W1449" s="129" t="s">
        <v>286</v>
      </c>
      <c r="X1449" s="337" t="b">
        <f t="shared" si="55"/>
        <v>1</v>
      </c>
    </row>
    <row r="1450" spans="1:24" s="337" customFormat="1" ht="12" customHeight="1" outlineLevel="1">
      <c r="A1450" s="335"/>
      <c r="B1450" s="118" t="s">
        <v>12</v>
      </c>
      <c r="C1450" s="334" t="s">
        <v>7699</v>
      </c>
      <c r="D1450" s="124" t="s">
        <v>7700</v>
      </c>
      <c r="E1450" s="125"/>
      <c r="F1450" s="118" t="s">
        <v>433</v>
      </c>
      <c r="G1450" s="126" t="s">
        <v>7334</v>
      </c>
      <c r="H1450" s="255">
        <v>5</v>
      </c>
      <c r="I1450" s="361">
        <v>1</v>
      </c>
      <c r="J1450" s="362" t="s">
        <v>286</v>
      </c>
      <c r="K1450" s="363"/>
      <c r="L1450" s="129"/>
      <c r="M1450" s="129"/>
      <c r="N1450" s="129"/>
      <c r="O1450" s="129"/>
      <c r="P1450" s="364"/>
      <c r="Q1450" s="364"/>
      <c r="R1450" s="129"/>
      <c r="S1450" s="129"/>
      <c r="T1450" s="129"/>
      <c r="W1450" s="129" t="s">
        <v>286</v>
      </c>
      <c r="X1450" s="337" t="b">
        <f t="shared" si="55"/>
        <v>1</v>
      </c>
    </row>
    <row r="1451" spans="1:24" s="337" customFormat="1" ht="12" customHeight="1" outlineLevel="1">
      <c r="A1451" s="335"/>
      <c r="B1451" s="118" t="s">
        <v>12</v>
      </c>
      <c r="C1451" s="334" t="s">
        <v>7701</v>
      </c>
      <c r="D1451" s="124" t="s">
        <v>7702</v>
      </c>
      <c r="E1451" s="125"/>
      <c r="F1451" s="118" t="s">
        <v>433</v>
      </c>
      <c r="G1451" s="126" t="s">
        <v>7334</v>
      </c>
      <c r="H1451" s="255">
        <v>5</v>
      </c>
      <c r="I1451" s="361">
        <v>1</v>
      </c>
      <c r="J1451" s="362" t="s">
        <v>286</v>
      </c>
      <c r="K1451" s="363"/>
      <c r="L1451" s="129"/>
      <c r="M1451" s="129"/>
      <c r="N1451" s="129"/>
      <c r="O1451" s="129"/>
      <c r="P1451" s="364"/>
      <c r="Q1451" s="364"/>
      <c r="R1451" s="129"/>
      <c r="S1451" s="129"/>
      <c r="T1451" s="129"/>
      <c r="W1451" s="129" t="s">
        <v>286</v>
      </c>
      <c r="X1451" s="337" t="b">
        <f t="shared" si="55"/>
        <v>1</v>
      </c>
    </row>
    <row r="1452" spans="1:24" s="337" customFormat="1" ht="12" customHeight="1" outlineLevel="1">
      <c r="A1452" s="335"/>
      <c r="B1452" s="118" t="s">
        <v>12</v>
      </c>
      <c r="C1452" s="334" t="s">
        <v>7703</v>
      </c>
      <c r="D1452" s="124" t="s">
        <v>7704</v>
      </c>
      <c r="E1452" s="125"/>
      <c r="F1452" s="118" t="s">
        <v>433</v>
      </c>
      <c r="G1452" s="126" t="s">
        <v>7334</v>
      </c>
      <c r="H1452" s="255">
        <v>5</v>
      </c>
      <c r="I1452" s="361">
        <v>1</v>
      </c>
      <c r="J1452" s="362" t="s">
        <v>286</v>
      </c>
      <c r="K1452" s="363"/>
      <c r="L1452" s="129"/>
      <c r="M1452" s="129"/>
      <c r="N1452" s="129"/>
      <c r="O1452" s="129"/>
      <c r="P1452" s="364"/>
      <c r="Q1452" s="364"/>
      <c r="R1452" s="129"/>
      <c r="S1452" s="129"/>
      <c r="T1452" s="129"/>
      <c r="W1452" s="129" t="s">
        <v>286</v>
      </c>
      <c r="X1452" s="337" t="b">
        <f t="shared" si="55"/>
        <v>1</v>
      </c>
    </row>
    <row r="1453" spans="1:24" s="337" customFormat="1" ht="12" customHeight="1" outlineLevel="1">
      <c r="A1453" s="335"/>
      <c r="B1453" s="118" t="s">
        <v>12</v>
      </c>
      <c r="C1453" s="334" t="s">
        <v>7705</v>
      </c>
      <c r="D1453" s="124" t="s">
        <v>7706</v>
      </c>
      <c r="E1453" s="125"/>
      <c r="F1453" s="118" t="s">
        <v>433</v>
      </c>
      <c r="G1453" s="126" t="s">
        <v>7334</v>
      </c>
      <c r="H1453" s="255">
        <v>5</v>
      </c>
      <c r="I1453" s="361">
        <v>1</v>
      </c>
      <c r="J1453" s="362" t="s">
        <v>286</v>
      </c>
      <c r="K1453" s="363"/>
      <c r="L1453" s="129"/>
      <c r="M1453" s="129"/>
      <c r="N1453" s="129"/>
      <c r="O1453" s="129"/>
      <c r="P1453" s="364"/>
      <c r="Q1453" s="364"/>
      <c r="R1453" s="129"/>
      <c r="S1453" s="129"/>
      <c r="T1453" s="129"/>
      <c r="W1453" s="129" t="s">
        <v>286</v>
      </c>
      <c r="X1453" s="337" t="b">
        <f t="shared" si="55"/>
        <v>1</v>
      </c>
    </row>
    <row r="1454" spans="1:24" s="337" customFormat="1" ht="12" customHeight="1" outlineLevel="1">
      <c r="A1454" s="335"/>
      <c r="B1454" s="118" t="s">
        <v>12</v>
      </c>
      <c r="C1454" s="334" t="s">
        <v>7707</v>
      </c>
      <c r="D1454" s="124" t="s">
        <v>7708</v>
      </c>
      <c r="E1454" s="125"/>
      <c r="F1454" s="118" t="s">
        <v>433</v>
      </c>
      <c r="G1454" s="126" t="s">
        <v>7334</v>
      </c>
      <c r="H1454" s="255">
        <v>5</v>
      </c>
      <c r="I1454" s="361">
        <v>1</v>
      </c>
      <c r="J1454" s="362" t="s">
        <v>286</v>
      </c>
      <c r="K1454" s="363"/>
      <c r="L1454" s="129"/>
      <c r="M1454" s="129"/>
      <c r="N1454" s="129"/>
      <c r="O1454" s="129"/>
      <c r="P1454" s="364"/>
      <c r="Q1454" s="364"/>
      <c r="R1454" s="129"/>
      <c r="S1454" s="129"/>
      <c r="T1454" s="129"/>
      <c r="W1454" s="129" t="s">
        <v>286</v>
      </c>
      <c r="X1454" s="337" t="b">
        <f t="shared" si="55"/>
        <v>1</v>
      </c>
    </row>
    <row r="1455" spans="1:24" s="337" customFormat="1" ht="12" customHeight="1" outlineLevel="1">
      <c r="A1455" s="335"/>
      <c r="B1455" s="118" t="s">
        <v>12</v>
      </c>
      <c r="C1455" s="334" t="s">
        <v>7709</v>
      </c>
      <c r="D1455" s="124" t="s">
        <v>7710</v>
      </c>
      <c r="E1455" s="125"/>
      <c r="F1455" s="118" t="s">
        <v>433</v>
      </c>
      <c r="G1455" s="126" t="s">
        <v>7334</v>
      </c>
      <c r="H1455" s="255">
        <v>5</v>
      </c>
      <c r="I1455" s="361">
        <v>1</v>
      </c>
      <c r="J1455" s="362" t="s">
        <v>286</v>
      </c>
      <c r="K1455" s="363"/>
      <c r="L1455" s="129"/>
      <c r="M1455" s="129"/>
      <c r="N1455" s="129"/>
      <c r="O1455" s="129"/>
      <c r="P1455" s="364"/>
      <c r="Q1455" s="364"/>
      <c r="R1455" s="129"/>
      <c r="S1455" s="129"/>
      <c r="T1455" s="129"/>
      <c r="W1455" s="129" t="s">
        <v>286</v>
      </c>
      <c r="X1455" s="337" t="b">
        <f t="shared" si="55"/>
        <v>1</v>
      </c>
    </row>
    <row r="1456" spans="1:24" s="337" customFormat="1" ht="12" customHeight="1" outlineLevel="1">
      <c r="A1456" s="335"/>
      <c r="B1456" s="118" t="s">
        <v>12</v>
      </c>
      <c r="C1456" s="334" t="s">
        <v>7711</v>
      </c>
      <c r="D1456" s="124" t="s">
        <v>7712</v>
      </c>
      <c r="E1456" s="125"/>
      <c r="F1456" s="118" t="s">
        <v>433</v>
      </c>
      <c r="G1456" s="126" t="s">
        <v>7334</v>
      </c>
      <c r="H1456" s="255">
        <v>5</v>
      </c>
      <c r="I1456" s="361">
        <v>1</v>
      </c>
      <c r="J1456" s="362" t="s">
        <v>286</v>
      </c>
      <c r="K1456" s="363"/>
      <c r="L1456" s="129"/>
      <c r="M1456" s="129"/>
      <c r="N1456" s="129"/>
      <c r="O1456" s="129"/>
      <c r="P1456" s="364"/>
      <c r="Q1456" s="364"/>
      <c r="R1456" s="129"/>
      <c r="S1456" s="129"/>
      <c r="T1456" s="129"/>
      <c r="W1456" s="129" t="s">
        <v>286</v>
      </c>
      <c r="X1456" s="337" t="b">
        <f t="shared" si="55"/>
        <v>1</v>
      </c>
    </row>
    <row r="1457" spans="1:24" s="337" customFormat="1" ht="12" customHeight="1" outlineLevel="1">
      <c r="A1457" s="335"/>
      <c r="B1457" s="118" t="s">
        <v>12</v>
      </c>
      <c r="C1457" s="334" t="s">
        <v>7713</v>
      </c>
      <c r="D1457" s="124" t="s">
        <v>7714</v>
      </c>
      <c r="E1457" s="125"/>
      <c r="F1457" s="118" t="s">
        <v>433</v>
      </c>
      <c r="G1457" s="126" t="s">
        <v>7334</v>
      </c>
      <c r="H1457" s="255">
        <v>5</v>
      </c>
      <c r="I1457" s="361">
        <v>1</v>
      </c>
      <c r="J1457" s="362" t="s">
        <v>286</v>
      </c>
      <c r="K1457" s="363"/>
      <c r="L1457" s="129"/>
      <c r="M1457" s="129"/>
      <c r="N1457" s="129"/>
      <c r="O1457" s="129"/>
      <c r="P1457" s="364"/>
      <c r="Q1457" s="364"/>
      <c r="R1457" s="129"/>
      <c r="S1457" s="129"/>
      <c r="T1457" s="129"/>
      <c r="W1457" s="129" t="s">
        <v>286</v>
      </c>
      <c r="X1457" s="337" t="b">
        <f t="shared" si="55"/>
        <v>1</v>
      </c>
    </row>
    <row r="1458" spans="1:24" s="337" customFormat="1" ht="12" customHeight="1" outlineLevel="1">
      <c r="A1458" s="335"/>
      <c r="B1458" s="118" t="s">
        <v>12</v>
      </c>
      <c r="C1458" s="334" t="s">
        <v>7715</v>
      </c>
      <c r="D1458" s="124" t="s">
        <v>7716</v>
      </c>
      <c r="E1458" s="125"/>
      <c r="F1458" s="118" t="s">
        <v>433</v>
      </c>
      <c r="G1458" s="126" t="s">
        <v>7334</v>
      </c>
      <c r="H1458" s="255">
        <v>5</v>
      </c>
      <c r="I1458" s="361">
        <v>1</v>
      </c>
      <c r="J1458" s="362" t="s">
        <v>286</v>
      </c>
      <c r="K1458" s="363"/>
      <c r="L1458" s="129"/>
      <c r="M1458" s="129"/>
      <c r="N1458" s="129"/>
      <c r="O1458" s="129"/>
      <c r="P1458" s="364"/>
      <c r="Q1458" s="364"/>
      <c r="R1458" s="129"/>
      <c r="S1458" s="129"/>
      <c r="T1458" s="129"/>
      <c r="W1458" s="129" t="s">
        <v>286</v>
      </c>
      <c r="X1458" s="337" t="b">
        <f t="shared" si="55"/>
        <v>1</v>
      </c>
    </row>
    <row r="1459" spans="1:24" s="337" customFormat="1" ht="12" customHeight="1" outlineLevel="1">
      <c r="A1459" s="335"/>
      <c r="B1459" s="118" t="s">
        <v>12</v>
      </c>
      <c r="C1459" s="334" t="s">
        <v>7717</v>
      </c>
      <c r="D1459" s="124" t="s">
        <v>7718</v>
      </c>
      <c r="E1459" s="125"/>
      <c r="F1459" s="118" t="s">
        <v>433</v>
      </c>
      <c r="G1459" s="126" t="s">
        <v>7334</v>
      </c>
      <c r="H1459" s="255">
        <v>5</v>
      </c>
      <c r="I1459" s="361">
        <v>1</v>
      </c>
      <c r="J1459" s="362" t="s">
        <v>286</v>
      </c>
      <c r="K1459" s="363"/>
      <c r="L1459" s="129"/>
      <c r="M1459" s="129"/>
      <c r="N1459" s="129"/>
      <c r="O1459" s="129"/>
      <c r="P1459" s="364"/>
      <c r="Q1459" s="364"/>
      <c r="R1459" s="129"/>
      <c r="S1459" s="129"/>
      <c r="T1459" s="129"/>
      <c r="W1459" s="129" t="s">
        <v>286</v>
      </c>
      <c r="X1459" s="337" t="b">
        <f t="shared" si="55"/>
        <v>1</v>
      </c>
    </row>
    <row r="1460" spans="1:24" s="337" customFormat="1" ht="12" customHeight="1" outlineLevel="1">
      <c r="A1460" s="335"/>
      <c r="B1460" s="118" t="s">
        <v>12</v>
      </c>
      <c r="C1460" s="334" t="s">
        <v>7719</v>
      </c>
      <c r="D1460" s="124" t="s">
        <v>7720</v>
      </c>
      <c r="E1460" s="125"/>
      <c r="F1460" s="118" t="s">
        <v>433</v>
      </c>
      <c r="G1460" s="126" t="s">
        <v>7334</v>
      </c>
      <c r="H1460" s="255">
        <v>5</v>
      </c>
      <c r="I1460" s="361">
        <v>1</v>
      </c>
      <c r="J1460" s="362" t="s">
        <v>286</v>
      </c>
      <c r="K1460" s="363"/>
      <c r="L1460" s="129"/>
      <c r="M1460" s="129"/>
      <c r="N1460" s="129"/>
      <c r="O1460" s="129"/>
      <c r="P1460" s="364"/>
      <c r="Q1460" s="364"/>
      <c r="R1460" s="129"/>
      <c r="S1460" s="129"/>
      <c r="T1460" s="129"/>
      <c r="W1460" s="129" t="s">
        <v>286</v>
      </c>
      <c r="X1460" s="337" t="b">
        <f t="shared" si="55"/>
        <v>1</v>
      </c>
    </row>
    <row r="1461" spans="1:24" s="337" customFormat="1" ht="12" customHeight="1" outlineLevel="1">
      <c r="A1461" s="335"/>
      <c r="B1461" s="118" t="s">
        <v>12</v>
      </c>
      <c r="C1461" s="334" t="s">
        <v>7721</v>
      </c>
      <c r="D1461" s="124" t="s">
        <v>7722</v>
      </c>
      <c r="E1461" s="125"/>
      <c r="F1461" s="118" t="s">
        <v>433</v>
      </c>
      <c r="G1461" s="126" t="s">
        <v>7334</v>
      </c>
      <c r="H1461" s="255">
        <v>5</v>
      </c>
      <c r="I1461" s="361">
        <v>1</v>
      </c>
      <c r="J1461" s="362" t="s">
        <v>286</v>
      </c>
      <c r="K1461" s="363"/>
      <c r="L1461" s="129"/>
      <c r="M1461" s="129"/>
      <c r="N1461" s="129"/>
      <c r="O1461" s="129"/>
      <c r="P1461" s="364"/>
      <c r="Q1461" s="364"/>
      <c r="R1461" s="129"/>
      <c r="S1461" s="129"/>
      <c r="T1461" s="129"/>
      <c r="W1461" s="129" t="s">
        <v>286</v>
      </c>
      <c r="X1461" s="337" t="b">
        <f t="shared" si="55"/>
        <v>1</v>
      </c>
    </row>
    <row r="1462" spans="1:24" s="337" customFormat="1" ht="12" customHeight="1" outlineLevel="1">
      <c r="A1462" s="335"/>
      <c r="B1462" s="118" t="s">
        <v>12</v>
      </c>
      <c r="C1462" s="334" t="s">
        <v>7723</v>
      </c>
      <c r="D1462" s="124" t="s">
        <v>7724</v>
      </c>
      <c r="E1462" s="125"/>
      <c r="F1462" s="118" t="s">
        <v>433</v>
      </c>
      <c r="G1462" s="126" t="s">
        <v>7334</v>
      </c>
      <c r="H1462" s="255">
        <v>5</v>
      </c>
      <c r="I1462" s="361">
        <v>1</v>
      </c>
      <c r="J1462" s="362" t="s">
        <v>286</v>
      </c>
      <c r="K1462" s="363"/>
      <c r="L1462" s="129"/>
      <c r="M1462" s="129"/>
      <c r="N1462" s="129"/>
      <c r="O1462" s="129"/>
      <c r="P1462" s="364"/>
      <c r="Q1462" s="364"/>
      <c r="R1462" s="129"/>
      <c r="S1462" s="129"/>
      <c r="T1462" s="129"/>
      <c r="W1462" s="129" t="s">
        <v>286</v>
      </c>
      <c r="X1462" s="337" t="b">
        <f t="shared" si="55"/>
        <v>1</v>
      </c>
    </row>
    <row r="1463" spans="1:24" s="337" customFormat="1" ht="12" customHeight="1" outlineLevel="1">
      <c r="A1463" s="335"/>
      <c r="B1463" s="118" t="s">
        <v>12</v>
      </c>
      <c r="C1463" s="334" t="s">
        <v>7725</v>
      </c>
      <c r="D1463" s="124" t="s">
        <v>7726</v>
      </c>
      <c r="E1463" s="125"/>
      <c r="F1463" s="118" t="s">
        <v>433</v>
      </c>
      <c r="G1463" s="126" t="s">
        <v>7334</v>
      </c>
      <c r="H1463" s="255">
        <v>5</v>
      </c>
      <c r="I1463" s="361">
        <v>1</v>
      </c>
      <c r="J1463" s="362" t="s">
        <v>286</v>
      </c>
      <c r="K1463" s="363"/>
      <c r="L1463" s="129"/>
      <c r="M1463" s="129"/>
      <c r="N1463" s="129"/>
      <c r="O1463" s="129"/>
      <c r="P1463" s="364"/>
      <c r="Q1463" s="364"/>
      <c r="R1463" s="129"/>
      <c r="S1463" s="129"/>
      <c r="T1463" s="129"/>
      <c r="W1463" s="129" t="s">
        <v>286</v>
      </c>
      <c r="X1463" s="337" t="b">
        <f t="shared" si="55"/>
        <v>1</v>
      </c>
    </row>
    <row r="1464" spans="1:24" s="337" customFormat="1" ht="12" customHeight="1" outlineLevel="1">
      <c r="A1464" s="335"/>
      <c r="B1464" s="118" t="s">
        <v>12</v>
      </c>
      <c r="C1464" s="334" t="s">
        <v>7727</v>
      </c>
      <c r="D1464" s="124" t="s">
        <v>7728</v>
      </c>
      <c r="E1464" s="125"/>
      <c r="F1464" s="118" t="s">
        <v>433</v>
      </c>
      <c r="G1464" s="126" t="s">
        <v>7334</v>
      </c>
      <c r="H1464" s="255">
        <v>5</v>
      </c>
      <c r="I1464" s="361">
        <v>1</v>
      </c>
      <c r="J1464" s="362" t="s">
        <v>286</v>
      </c>
      <c r="K1464" s="363"/>
      <c r="L1464" s="129"/>
      <c r="M1464" s="129"/>
      <c r="N1464" s="129"/>
      <c r="O1464" s="129"/>
      <c r="P1464" s="364"/>
      <c r="Q1464" s="364"/>
      <c r="R1464" s="129"/>
      <c r="S1464" s="129"/>
      <c r="T1464" s="129"/>
      <c r="W1464" s="129" t="s">
        <v>286</v>
      </c>
      <c r="X1464" s="337" t="b">
        <f t="shared" si="55"/>
        <v>1</v>
      </c>
    </row>
    <row r="1465" spans="1:24" s="337" customFormat="1" ht="12" customHeight="1" outlineLevel="1">
      <c r="A1465" s="335"/>
      <c r="B1465" s="118" t="s">
        <v>12</v>
      </c>
      <c r="C1465" s="334" t="s">
        <v>7729</v>
      </c>
      <c r="D1465" s="124" t="s">
        <v>7730</v>
      </c>
      <c r="E1465" s="125"/>
      <c r="F1465" s="118" t="s">
        <v>433</v>
      </c>
      <c r="G1465" s="126" t="s">
        <v>7334</v>
      </c>
      <c r="H1465" s="255">
        <v>5</v>
      </c>
      <c r="I1465" s="361">
        <v>1</v>
      </c>
      <c r="J1465" s="362" t="s">
        <v>286</v>
      </c>
      <c r="K1465" s="363"/>
      <c r="L1465" s="129"/>
      <c r="M1465" s="129"/>
      <c r="N1465" s="129"/>
      <c r="O1465" s="129"/>
      <c r="P1465" s="364"/>
      <c r="Q1465" s="364"/>
      <c r="R1465" s="129"/>
      <c r="S1465" s="129"/>
      <c r="T1465" s="129"/>
      <c r="W1465" s="129" t="s">
        <v>286</v>
      </c>
      <c r="X1465" s="337" t="b">
        <f t="shared" si="55"/>
        <v>1</v>
      </c>
    </row>
    <row r="1466" spans="1:24" s="337" customFormat="1" ht="12" customHeight="1" outlineLevel="1">
      <c r="A1466" s="335"/>
      <c r="B1466" s="118" t="s">
        <v>12</v>
      </c>
      <c r="C1466" s="334" t="s">
        <v>7731</v>
      </c>
      <c r="D1466" s="124" t="s">
        <v>7732</v>
      </c>
      <c r="E1466" s="125"/>
      <c r="F1466" s="118" t="s">
        <v>433</v>
      </c>
      <c r="G1466" s="126" t="s">
        <v>7334</v>
      </c>
      <c r="H1466" s="255">
        <v>5</v>
      </c>
      <c r="I1466" s="361">
        <v>1</v>
      </c>
      <c r="J1466" s="362" t="s">
        <v>286</v>
      </c>
      <c r="K1466" s="363"/>
      <c r="L1466" s="129"/>
      <c r="M1466" s="129"/>
      <c r="N1466" s="129"/>
      <c r="O1466" s="129"/>
      <c r="P1466" s="364"/>
      <c r="Q1466" s="364"/>
      <c r="R1466" s="129"/>
      <c r="S1466" s="129"/>
      <c r="T1466" s="129"/>
      <c r="W1466" s="129" t="s">
        <v>286</v>
      </c>
      <c r="X1466" s="337" t="b">
        <f t="shared" ref="X1466:X1529" si="56">W1466=J1466</f>
        <v>1</v>
      </c>
    </row>
    <row r="1467" spans="1:24" s="337" customFormat="1" ht="12" customHeight="1" outlineLevel="1">
      <c r="A1467" s="335"/>
      <c r="B1467" s="118" t="s">
        <v>12</v>
      </c>
      <c r="C1467" s="334" t="s">
        <v>7733</v>
      </c>
      <c r="D1467" s="124" t="s">
        <v>7734</v>
      </c>
      <c r="E1467" s="125"/>
      <c r="F1467" s="118" t="s">
        <v>433</v>
      </c>
      <c r="G1467" s="126" t="s">
        <v>7334</v>
      </c>
      <c r="H1467" s="255">
        <v>5</v>
      </c>
      <c r="I1467" s="361">
        <v>1</v>
      </c>
      <c r="J1467" s="362" t="s">
        <v>286</v>
      </c>
      <c r="K1467" s="363"/>
      <c r="L1467" s="129"/>
      <c r="M1467" s="129"/>
      <c r="N1467" s="129"/>
      <c r="O1467" s="129"/>
      <c r="P1467" s="364"/>
      <c r="Q1467" s="364"/>
      <c r="R1467" s="129"/>
      <c r="S1467" s="129"/>
      <c r="T1467" s="129"/>
      <c r="W1467" s="129" t="s">
        <v>286</v>
      </c>
      <c r="X1467" s="337" t="b">
        <f t="shared" si="56"/>
        <v>1</v>
      </c>
    </row>
    <row r="1468" spans="1:24" s="337" customFormat="1" ht="12" customHeight="1" outlineLevel="1">
      <c r="A1468" s="335"/>
      <c r="B1468" s="118" t="s">
        <v>12</v>
      </c>
      <c r="C1468" s="334" t="s">
        <v>7735</v>
      </c>
      <c r="D1468" s="124" t="s">
        <v>7736</v>
      </c>
      <c r="E1468" s="125"/>
      <c r="F1468" s="118" t="s">
        <v>433</v>
      </c>
      <c r="G1468" s="126" t="s">
        <v>7334</v>
      </c>
      <c r="H1468" s="255">
        <v>5</v>
      </c>
      <c r="I1468" s="361">
        <v>1</v>
      </c>
      <c r="J1468" s="362" t="s">
        <v>286</v>
      </c>
      <c r="K1468" s="363"/>
      <c r="L1468" s="129"/>
      <c r="M1468" s="129"/>
      <c r="N1468" s="129"/>
      <c r="O1468" s="129"/>
      <c r="P1468" s="364"/>
      <c r="Q1468" s="364"/>
      <c r="R1468" s="129"/>
      <c r="S1468" s="129"/>
      <c r="T1468" s="129"/>
      <c r="W1468" s="129" t="s">
        <v>286</v>
      </c>
      <c r="X1468" s="337" t="b">
        <f t="shared" si="56"/>
        <v>1</v>
      </c>
    </row>
    <row r="1469" spans="1:24" s="337" customFormat="1" ht="12" customHeight="1" outlineLevel="1">
      <c r="A1469" s="335"/>
      <c r="B1469" s="118" t="s">
        <v>12</v>
      </c>
      <c r="C1469" s="334" t="s">
        <v>7737</v>
      </c>
      <c r="D1469" s="124" t="s">
        <v>7738</v>
      </c>
      <c r="E1469" s="125"/>
      <c r="F1469" s="118" t="s">
        <v>433</v>
      </c>
      <c r="G1469" s="126" t="s">
        <v>7334</v>
      </c>
      <c r="H1469" s="255">
        <v>5</v>
      </c>
      <c r="I1469" s="361">
        <v>1</v>
      </c>
      <c r="J1469" s="362" t="s">
        <v>286</v>
      </c>
      <c r="K1469" s="363"/>
      <c r="L1469" s="129"/>
      <c r="M1469" s="129"/>
      <c r="N1469" s="129"/>
      <c r="O1469" s="129"/>
      <c r="P1469" s="364"/>
      <c r="Q1469" s="364"/>
      <c r="R1469" s="129"/>
      <c r="S1469" s="129"/>
      <c r="T1469" s="129"/>
      <c r="W1469" s="129" t="s">
        <v>286</v>
      </c>
      <c r="X1469" s="337" t="b">
        <f t="shared" si="56"/>
        <v>1</v>
      </c>
    </row>
    <row r="1470" spans="1:24" s="337" customFormat="1" ht="12" customHeight="1" outlineLevel="1">
      <c r="A1470" s="335"/>
      <c r="B1470" s="118" t="s">
        <v>12</v>
      </c>
      <c r="C1470" s="334" t="s">
        <v>7739</v>
      </c>
      <c r="D1470" s="124" t="s">
        <v>7740</v>
      </c>
      <c r="E1470" s="125"/>
      <c r="F1470" s="118" t="s">
        <v>433</v>
      </c>
      <c r="G1470" s="126" t="s">
        <v>7334</v>
      </c>
      <c r="H1470" s="255">
        <v>5</v>
      </c>
      <c r="I1470" s="361">
        <v>1</v>
      </c>
      <c r="J1470" s="362" t="s">
        <v>286</v>
      </c>
      <c r="K1470" s="363"/>
      <c r="L1470" s="129"/>
      <c r="M1470" s="129"/>
      <c r="N1470" s="129"/>
      <c r="O1470" s="129"/>
      <c r="P1470" s="364"/>
      <c r="Q1470" s="364"/>
      <c r="R1470" s="129"/>
      <c r="S1470" s="129"/>
      <c r="T1470" s="129"/>
      <c r="W1470" s="129" t="s">
        <v>286</v>
      </c>
      <c r="X1470" s="337" t="b">
        <f t="shared" si="56"/>
        <v>1</v>
      </c>
    </row>
    <row r="1471" spans="1:24" s="337" customFormat="1" ht="12" customHeight="1" outlineLevel="1">
      <c r="A1471" s="335"/>
      <c r="B1471" s="118" t="s">
        <v>12</v>
      </c>
      <c r="C1471" s="334" t="s">
        <v>7741</v>
      </c>
      <c r="D1471" s="124" t="s">
        <v>7742</v>
      </c>
      <c r="E1471" s="125"/>
      <c r="F1471" s="118" t="s">
        <v>433</v>
      </c>
      <c r="G1471" s="126" t="s">
        <v>7334</v>
      </c>
      <c r="H1471" s="255">
        <v>5</v>
      </c>
      <c r="I1471" s="361">
        <v>1</v>
      </c>
      <c r="J1471" s="362" t="s">
        <v>286</v>
      </c>
      <c r="K1471" s="363"/>
      <c r="L1471" s="129"/>
      <c r="M1471" s="129"/>
      <c r="N1471" s="129"/>
      <c r="O1471" s="129"/>
      <c r="P1471" s="364"/>
      <c r="Q1471" s="364"/>
      <c r="R1471" s="129"/>
      <c r="S1471" s="129"/>
      <c r="T1471" s="129"/>
      <c r="W1471" s="129" t="s">
        <v>286</v>
      </c>
      <c r="X1471" s="337" t="b">
        <f t="shared" si="56"/>
        <v>1</v>
      </c>
    </row>
    <row r="1472" spans="1:24" s="337" customFormat="1" ht="12" customHeight="1" outlineLevel="1">
      <c r="A1472" s="335"/>
      <c r="B1472" s="118" t="s">
        <v>12</v>
      </c>
      <c r="C1472" s="334" t="s">
        <v>7743</v>
      </c>
      <c r="D1472" s="124" t="s">
        <v>7744</v>
      </c>
      <c r="E1472" s="125"/>
      <c r="F1472" s="118" t="s">
        <v>433</v>
      </c>
      <c r="G1472" s="126" t="s">
        <v>7334</v>
      </c>
      <c r="H1472" s="255">
        <v>5</v>
      </c>
      <c r="I1472" s="361">
        <v>1</v>
      </c>
      <c r="J1472" s="362" t="s">
        <v>286</v>
      </c>
      <c r="K1472" s="363"/>
      <c r="L1472" s="129"/>
      <c r="M1472" s="129"/>
      <c r="N1472" s="129"/>
      <c r="O1472" s="129"/>
      <c r="P1472" s="364"/>
      <c r="Q1472" s="364"/>
      <c r="R1472" s="129"/>
      <c r="S1472" s="129"/>
      <c r="T1472" s="129"/>
      <c r="W1472" s="129" t="s">
        <v>286</v>
      </c>
      <c r="X1472" s="337" t="b">
        <f t="shared" si="56"/>
        <v>1</v>
      </c>
    </row>
    <row r="1473" spans="1:24" s="337" customFormat="1" ht="12" customHeight="1" outlineLevel="1">
      <c r="A1473" s="335"/>
      <c r="B1473" s="118" t="s">
        <v>12</v>
      </c>
      <c r="C1473" s="334" t="s">
        <v>7745</v>
      </c>
      <c r="D1473" s="124" t="s">
        <v>7724</v>
      </c>
      <c r="E1473" s="125"/>
      <c r="F1473" s="118" t="s">
        <v>433</v>
      </c>
      <c r="G1473" s="126" t="s">
        <v>7334</v>
      </c>
      <c r="H1473" s="255">
        <v>5</v>
      </c>
      <c r="I1473" s="361">
        <v>1</v>
      </c>
      <c r="J1473" s="362" t="s">
        <v>286</v>
      </c>
      <c r="K1473" s="363"/>
      <c r="L1473" s="129"/>
      <c r="M1473" s="129"/>
      <c r="N1473" s="129"/>
      <c r="O1473" s="129"/>
      <c r="P1473" s="364"/>
      <c r="Q1473" s="364"/>
      <c r="R1473" s="129"/>
      <c r="S1473" s="129"/>
      <c r="T1473" s="129"/>
      <c r="W1473" s="129" t="s">
        <v>286</v>
      </c>
      <c r="X1473" s="337" t="b">
        <f t="shared" si="56"/>
        <v>1</v>
      </c>
    </row>
    <row r="1474" spans="1:24" s="337" customFormat="1" ht="12" customHeight="1" outlineLevel="1">
      <c r="A1474" s="335"/>
      <c r="B1474" s="118" t="s">
        <v>12</v>
      </c>
      <c r="C1474" s="334" t="s">
        <v>7746</v>
      </c>
      <c r="D1474" s="124" t="s">
        <v>7726</v>
      </c>
      <c r="E1474" s="125"/>
      <c r="F1474" s="118" t="s">
        <v>433</v>
      </c>
      <c r="G1474" s="126" t="s">
        <v>7334</v>
      </c>
      <c r="H1474" s="255">
        <v>5</v>
      </c>
      <c r="I1474" s="361">
        <v>1</v>
      </c>
      <c r="J1474" s="362" t="s">
        <v>286</v>
      </c>
      <c r="K1474" s="363"/>
      <c r="L1474" s="129"/>
      <c r="M1474" s="129"/>
      <c r="N1474" s="129"/>
      <c r="O1474" s="129"/>
      <c r="P1474" s="364"/>
      <c r="Q1474" s="364"/>
      <c r="R1474" s="129"/>
      <c r="S1474" s="129"/>
      <c r="T1474" s="129"/>
      <c r="W1474" s="129" t="s">
        <v>286</v>
      </c>
      <c r="X1474" s="337" t="b">
        <f t="shared" si="56"/>
        <v>1</v>
      </c>
    </row>
    <row r="1475" spans="1:24" s="337" customFormat="1" ht="12" customHeight="1" outlineLevel="1">
      <c r="A1475" s="335"/>
      <c r="B1475" s="118" t="s">
        <v>12</v>
      </c>
      <c r="C1475" s="334" t="s">
        <v>7747</v>
      </c>
      <c r="D1475" s="124" t="s">
        <v>7748</v>
      </c>
      <c r="E1475" s="125"/>
      <c r="F1475" s="118" t="s">
        <v>433</v>
      </c>
      <c r="G1475" s="126" t="s">
        <v>7334</v>
      </c>
      <c r="H1475" s="255">
        <v>5</v>
      </c>
      <c r="I1475" s="361">
        <v>1</v>
      </c>
      <c r="J1475" s="362" t="s">
        <v>286</v>
      </c>
      <c r="K1475" s="363"/>
      <c r="L1475" s="129"/>
      <c r="M1475" s="129"/>
      <c r="N1475" s="129"/>
      <c r="O1475" s="129"/>
      <c r="P1475" s="364"/>
      <c r="Q1475" s="364"/>
      <c r="R1475" s="129"/>
      <c r="S1475" s="129"/>
      <c r="T1475" s="129"/>
      <c r="W1475" s="129" t="s">
        <v>286</v>
      </c>
      <c r="X1475" s="337" t="b">
        <f t="shared" si="56"/>
        <v>1</v>
      </c>
    </row>
    <row r="1476" spans="1:24" s="337" customFormat="1" ht="12" customHeight="1" outlineLevel="1">
      <c r="A1476" s="335"/>
      <c r="B1476" s="118" t="s">
        <v>12</v>
      </c>
      <c r="C1476" s="334" t="s">
        <v>7749</v>
      </c>
      <c r="D1476" s="124" t="s">
        <v>7750</v>
      </c>
      <c r="E1476" s="125"/>
      <c r="F1476" s="118" t="s">
        <v>433</v>
      </c>
      <c r="G1476" s="126" t="s">
        <v>7334</v>
      </c>
      <c r="H1476" s="255">
        <v>5</v>
      </c>
      <c r="I1476" s="361">
        <v>1</v>
      </c>
      <c r="J1476" s="362" t="s">
        <v>286</v>
      </c>
      <c r="K1476" s="363"/>
      <c r="L1476" s="129"/>
      <c r="M1476" s="129"/>
      <c r="N1476" s="129"/>
      <c r="O1476" s="129"/>
      <c r="P1476" s="364"/>
      <c r="Q1476" s="364"/>
      <c r="R1476" s="129"/>
      <c r="S1476" s="129"/>
      <c r="T1476" s="129"/>
      <c r="W1476" s="129" t="s">
        <v>286</v>
      </c>
      <c r="X1476" s="337" t="b">
        <f t="shared" si="56"/>
        <v>1</v>
      </c>
    </row>
    <row r="1477" spans="1:24" s="337" customFormat="1" ht="12" customHeight="1" outlineLevel="1">
      <c r="A1477" s="335"/>
      <c r="B1477" s="118" t="s">
        <v>12</v>
      </c>
      <c r="C1477" s="334" t="s">
        <v>7751</v>
      </c>
      <c r="D1477" s="124" t="s">
        <v>7752</v>
      </c>
      <c r="E1477" s="125"/>
      <c r="F1477" s="118" t="s">
        <v>433</v>
      </c>
      <c r="G1477" s="126" t="s">
        <v>7334</v>
      </c>
      <c r="H1477" s="255">
        <v>5</v>
      </c>
      <c r="I1477" s="361">
        <v>1</v>
      </c>
      <c r="J1477" s="362" t="s">
        <v>286</v>
      </c>
      <c r="K1477" s="363"/>
      <c r="L1477" s="129"/>
      <c r="M1477" s="129"/>
      <c r="N1477" s="129"/>
      <c r="O1477" s="129"/>
      <c r="P1477" s="364"/>
      <c r="Q1477" s="364"/>
      <c r="R1477" s="129"/>
      <c r="S1477" s="129"/>
      <c r="T1477" s="129"/>
      <c r="W1477" s="129" t="s">
        <v>286</v>
      </c>
      <c r="X1477" s="337" t="b">
        <f t="shared" si="56"/>
        <v>1</v>
      </c>
    </row>
    <row r="1478" spans="1:24" s="337" customFormat="1" ht="12" customHeight="1" outlineLevel="1">
      <c r="A1478" s="335"/>
      <c r="B1478" s="118" t="s">
        <v>12</v>
      </c>
      <c r="C1478" s="334" t="s">
        <v>7753</v>
      </c>
      <c r="D1478" s="124" t="s">
        <v>7754</v>
      </c>
      <c r="E1478" s="125"/>
      <c r="F1478" s="118" t="s">
        <v>433</v>
      </c>
      <c r="G1478" s="126" t="s">
        <v>7334</v>
      </c>
      <c r="H1478" s="255">
        <v>5</v>
      </c>
      <c r="I1478" s="361">
        <v>1</v>
      </c>
      <c r="J1478" s="362" t="s">
        <v>286</v>
      </c>
      <c r="K1478" s="363"/>
      <c r="L1478" s="129"/>
      <c r="M1478" s="129"/>
      <c r="N1478" s="129"/>
      <c r="O1478" s="129"/>
      <c r="P1478" s="364"/>
      <c r="Q1478" s="364"/>
      <c r="R1478" s="129"/>
      <c r="S1478" s="129"/>
      <c r="T1478" s="129"/>
      <c r="W1478" s="129" t="s">
        <v>286</v>
      </c>
      <c r="X1478" s="337" t="b">
        <f t="shared" si="56"/>
        <v>1</v>
      </c>
    </row>
    <row r="1479" spans="1:24" s="337" customFormat="1" ht="12" customHeight="1" outlineLevel="1">
      <c r="A1479" s="335"/>
      <c r="B1479" s="118" t="s">
        <v>12</v>
      </c>
      <c r="C1479" s="334" t="s">
        <v>7755</v>
      </c>
      <c r="D1479" s="124" t="s">
        <v>7756</v>
      </c>
      <c r="E1479" s="125"/>
      <c r="F1479" s="118" t="s">
        <v>433</v>
      </c>
      <c r="G1479" s="126" t="s">
        <v>7334</v>
      </c>
      <c r="H1479" s="255">
        <v>5</v>
      </c>
      <c r="I1479" s="361">
        <v>1</v>
      </c>
      <c r="J1479" s="362" t="s">
        <v>286</v>
      </c>
      <c r="K1479" s="363"/>
      <c r="L1479" s="129"/>
      <c r="M1479" s="129"/>
      <c r="N1479" s="129"/>
      <c r="O1479" s="129"/>
      <c r="P1479" s="364"/>
      <c r="Q1479" s="364"/>
      <c r="R1479" s="129"/>
      <c r="S1479" s="129"/>
      <c r="T1479" s="129"/>
      <c r="W1479" s="129" t="s">
        <v>286</v>
      </c>
      <c r="X1479" s="337" t="b">
        <f t="shared" si="56"/>
        <v>1</v>
      </c>
    </row>
    <row r="1480" spans="1:24" s="337" customFormat="1" ht="12" customHeight="1" outlineLevel="1">
      <c r="A1480" s="335"/>
      <c r="B1480" s="118" t="s">
        <v>12</v>
      </c>
      <c r="C1480" s="334" t="s">
        <v>7757</v>
      </c>
      <c r="D1480" s="124" t="s">
        <v>7758</v>
      </c>
      <c r="E1480" s="125"/>
      <c r="F1480" s="118" t="s">
        <v>433</v>
      </c>
      <c r="G1480" s="126" t="s">
        <v>7334</v>
      </c>
      <c r="H1480" s="255">
        <v>5</v>
      </c>
      <c r="I1480" s="361">
        <v>1</v>
      </c>
      <c r="J1480" s="362" t="s">
        <v>286</v>
      </c>
      <c r="K1480" s="363"/>
      <c r="L1480" s="129"/>
      <c r="M1480" s="129"/>
      <c r="N1480" s="129"/>
      <c r="O1480" s="129"/>
      <c r="P1480" s="364"/>
      <c r="Q1480" s="364"/>
      <c r="R1480" s="129"/>
      <c r="S1480" s="129"/>
      <c r="T1480" s="129"/>
      <c r="W1480" s="129" t="s">
        <v>286</v>
      </c>
      <c r="X1480" s="337" t="b">
        <f t="shared" si="56"/>
        <v>1</v>
      </c>
    </row>
    <row r="1481" spans="1:24" s="337" customFormat="1" ht="12" customHeight="1" outlineLevel="1">
      <c r="A1481" s="335"/>
      <c r="B1481" s="118" t="s">
        <v>12</v>
      </c>
      <c r="C1481" s="334" t="s">
        <v>7759</v>
      </c>
      <c r="D1481" s="124" t="s">
        <v>7760</v>
      </c>
      <c r="E1481" s="125"/>
      <c r="F1481" s="118" t="s">
        <v>433</v>
      </c>
      <c r="G1481" s="126" t="s">
        <v>7334</v>
      </c>
      <c r="H1481" s="255">
        <v>5</v>
      </c>
      <c r="I1481" s="361">
        <v>1</v>
      </c>
      <c r="J1481" s="362" t="s">
        <v>286</v>
      </c>
      <c r="K1481" s="363"/>
      <c r="L1481" s="129"/>
      <c r="M1481" s="129"/>
      <c r="N1481" s="129"/>
      <c r="O1481" s="129"/>
      <c r="P1481" s="364"/>
      <c r="Q1481" s="364"/>
      <c r="R1481" s="129"/>
      <c r="S1481" s="129"/>
      <c r="T1481" s="129"/>
      <c r="W1481" s="129" t="s">
        <v>286</v>
      </c>
      <c r="X1481" s="337" t="b">
        <f t="shared" si="56"/>
        <v>1</v>
      </c>
    </row>
    <row r="1482" spans="1:24" s="337" customFormat="1" ht="12" customHeight="1" outlineLevel="1">
      <c r="A1482" s="335"/>
      <c r="B1482" s="118" t="s">
        <v>12</v>
      </c>
      <c r="C1482" s="334" t="s">
        <v>7761</v>
      </c>
      <c r="D1482" s="124" t="s">
        <v>7762</v>
      </c>
      <c r="E1482" s="125"/>
      <c r="F1482" s="118" t="s">
        <v>433</v>
      </c>
      <c r="G1482" s="126" t="s">
        <v>7334</v>
      </c>
      <c r="H1482" s="255">
        <v>5</v>
      </c>
      <c r="I1482" s="361">
        <v>1</v>
      </c>
      <c r="J1482" s="362" t="s">
        <v>286</v>
      </c>
      <c r="K1482" s="363"/>
      <c r="L1482" s="129"/>
      <c r="M1482" s="129"/>
      <c r="N1482" s="129"/>
      <c r="O1482" s="129"/>
      <c r="P1482" s="364"/>
      <c r="Q1482" s="364"/>
      <c r="R1482" s="129"/>
      <c r="S1482" s="129"/>
      <c r="T1482" s="129"/>
      <c r="W1482" s="129" t="s">
        <v>286</v>
      </c>
      <c r="X1482" s="337" t="b">
        <f t="shared" si="56"/>
        <v>1</v>
      </c>
    </row>
    <row r="1483" spans="1:24" s="337" customFormat="1" ht="12" customHeight="1" outlineLevel="1">
      <c r="A1483" s="335"/>
      <c r="B1483" s="118" t="s">
        <v>12</v>
      </c>
      <c r="C1483" s="334" t="s">
        <v>7763</v>
      </c>
      <c r="D1483" s="124" t="s">
        <v>7764</v>
      </c>
      <c r="E1483" s="125"/>
      <c r="F1483" s="118" t="s">
        <v>433</v>
      </c>
      <c r="G1483" s="126" t="s">
        <v>7334</v>
      </c>
      <c r="H1483" s="255">
        <v>5</v>
      </c>
      <c r="I1483" s="361">
        <v>1</v>
      </c>
      <c r="J1483" s="362" t="s">
        <v>286</v>
      </c>
      <c r="K1483" s="363"/>
      <c r="L1483" s="129"/>
      <c r="M1483" s="129"/>
      <c r="N1483" s="129"/>
      <c r="O1483" s="129"/>
      <c r="P1483" s="364"/>
      <c r="Q1483" s="364"/>
      <c r="R1483" s="129"/>
      <c r="S1483" s="129"/>
      <c r="T1483" s="129"/>
      <c r="W1483" s="129" t="s">
        <v>286</v>
      </c>
      <c r="X1483" s="337" t="b">
        <f t="shared" si="56"/>
        <v>1</v>
      </c>
    </row>
    <row r="1484" spans="1:24" s="337" customFormat="1" ht="12" customHeight="1" outlineLevel="1">
      <c r="A1484" s="335"/>
      <c r="B1484" s="118" t="s">
        <v>12</v>
      </c>
      <c r="C1484" s="334" t="s">
        <v>7765</v>
      </c>
      <c r="D1484" s="124" t="s">
        <v>7766</v>
      </c>
      <c r="E1484" s="125"/>
      <c r="F1484" s="118" t="s">
        <v>433</v>
      </c>
      <c r="G1484" s="126" t="s">
        <v>7334</v>
      </c>
      <c r="H1484" s="255">
        <v>5</v>
      </c>
      <c r="I1484" s="361">
        <v>1</v>
      </c>
      <c r="J1484" s="362" t="s">
        <v>286</v>
      </c>
      <c r="K1484" s="363"/>
      <c r="L1484" s="129"/>
      <c r="M1484" s="129"/>
      <c r="N1484" s="129"/>
      <c r="O1484" s="129"/>
      <c r="P1484" s="364"/>
      <c r="Q1484" s="364"/>
      <c r="R1484" s="129"/>
      <c r="S1484" s="129"/>
      <c r="T1484" s="129"/>
      <c r="W1484" s="129" t="s">
        <v>286</v>
      </c>
      <c r="X1484" s="337" t="b">
        <f t="shared" si="56"/>
        <v>1</v>
      </c>
    </row>
    <row r="1485" spans="1:24" s="337" customFormat="1" ht="12" customHeight="1" outlineLevel="1">
      <c r="A1485" s="335"/>
      <c r="B1485" s="118" t="s">
        <v>12</v>
      </c>
      <c r="C1485" s="334" t="s">
        <v>7767</v>
      </c>
      <c r="D1485" s="124" t="s">
        <v>7768</v>
      </c>
      <c r="E1485" s="125"/>
      <c r="F1485" s="118" t="s">
        <v>433</v>
      </c>
      <c r="G1485" s="126" t="s">
        <v>7334</v>
      </c>
      <c r="H1485" s="255">
        <v>5</v>
      </c>
      <c r="I1485" s="361">
        <v>1</v>
      </c>
      <c r="J1485" s="362" t="s">
        <v>286</v>
      </c>
      <c r="K1485" s="363"/>
      <c r="L1485" s="129"/>
      <c r="M1485" s="129"/>
      <c r="N1485" s="129"/>
      <c r="O1485" s="129"/>
      <c r="P1485" s="364"/>
      <c r="Q1485" s="364"/>
      <c r="R1485" s="129"/>
      <c r="S1485" s="129"/>
      <c r="T1485" s="129"/>
      <c r="W1485" s="129" t="s">
        <v>286</v>
      </c>
      <c r="X1485" s="337" t="b">
        <f t="shared" si="56"/>
        <v>1</v>
      </c>
    </row>
    <row r="1486" spans="1:24" s="337" customFormat="1" ht="12" customHeight="1" outlineLevel="1">
      <c r="A1486" s="335"/>
      <c r="B1486" s="118" t="s">
        <v>12</v>
      </c>
      <c r="C1486" s="334" t="s">
        <v>7769</v>
      </c>
      <c r="D1486" s="124" t="s">
        <v>7770</v>
      </c>
      <c r="E1486" s="125"/>
      <c r="F1486" s="118" t="s">
        <v>433</v>
      </c>
      <c r="G1486" s="126" t="s">
        <v>7334</v>
      </c>
      <c r="H1486" s="255">
        <v>5</v>
      </c>
      <c r="I1486" s="361">
        <v>1</v>
      </c>
      <c r="J1486" s="362" t="s">
        <v>286</v>
      </c>
      <c r="K1486" s="363"/>
      <c r="L1486" s="129"/>
      <c r="M1486" s="129"/>
      <c r="N1486" s="129"/>
      <c r="O1486" s="129"/>
      <c r="P1486" s="364"/>
      <c r="Q1486" s="364"/>
      <c r="R1486" s="129"/>
      <c r="S1486" s="129"/>
      <c r="T1486" s="129"/>
      <c r="W1486" s="129" t="s">
        <v>286</v>
      </c>
      <c r="X1486" s="337" t="b">
        <f t="shared" si="56"/>
        <v>1</v>
      </c>
    </row>
    <row r="1487" spans="1:24" s="337" customFormat="1" ht="12" customHeight="1" outlineLevel="1">
      <c r="A1487" s="335"/>
      <c r="B1487" s="118" t="s">
        <v>12</v>
      </c>
      <c r="C1487" s="334" t="s">
        <v>7771</v>
      </c>
      <c r="D1487" s="124" t="s">
        <v>7772</v>
      </c>
      <c r="E1487" s="125"/>
      <c r="F1487" s="118" t="s">
        <v>433</v>
      </c>
      <c r="G1487" s="126" t="s">
        <v>7334</v>
      </c>
      <c r="H1487" s="255">
        <v>5</v>
      </c>
      <c r="I1487" s="361">
        <v>1</v>
      </c>
      <c r="J1487" s="362" t="s">
        <v>286</v>
      </c>
      <c r="K1487" s="363"/>
      <c r="L1487" s="129"/>
      <c r="M1487" s="129"/>
      <c r="N1487" s="129"/>
      <c r="O1487" s="129"/>
      <c r="P1487" s="364"/>
      <c r="Q1487" s="364"/>
      <c r="R1487" s="129"/>
      <c r="S1487" s="129"/>
      <c r="T1487" s="129"/>
      <c r="W1487" s="129" t="s">
        <v>286</v>
      </c>
      <c r="X1487" s="337" t="b">
        <f t="shared" si="56"/>
        <v>1</v>
      </c>
    </row>
    <row r="1488" spans="1:24" s="337" customFormat="1" ht="12" customHeight="1" outlineLevel="1">
      <c r="A1488" s="335"/>
      <c r="B1488" s="118" t="s">
        <v>12</v>
      </c>
      <c r="C1488" s="334" t="s">
        <v>7773</v>
      </c>
      <c r="D1488" s="124" t="s">
        <v>7774</v>
      </c>
      <c r="E1488" s="125"/>
      <c r="F1488" s="118" t="s">
        <v>433</v>
      </c>
      <c r="G1488" s="126" t="s">
        <v>7334</v>
      </c>
      <c r="H1488" s="255">
        <v>5</v>
      </c>
      <c r="I1488" s="361">
        <v>1</v>
      </c>
      <c r="J1488" s="362" t="s">
        <v>286</v>
      </c>
      <c r="K1488" s="363"/>
      <c r="L1488" s="129"/>
      <c r="M1488" s="129"/>
      <c r="N1488" s="129"/>
      <c r="O1488" s="129"/>
      <c r="P1488" s="364"/>
      <c r="Q1488" s="364"/>
      <c r="R1488" s="129"/>
      <c r="S1488" s="129"/>
      <c r="T1488" s="129"/>
      <c r="W1488" s="129" t="s">
        <v>286</v>
      </c>
      <c r="X1488" s="337" t="b">
        <f t="shared" si="56"/>
        <v>1</v>
      </c>
    </row>
    <row r="1489" spans="1:24" s="337" customFormat="1" ht="12" customHeight="1" outlineLevel="1">
      <c r="A1489" s="335"/>
      <c r="B1489" s="118" t="s">
        <v>12</v>
      </c>
      <c r="C1489" s="334" t="s">
        <v>7775</v>
      </c>
      <c r="D1489" s="124" t="s">
        <v>7776</v>
      </c>
      <c r="E1489" s="125"/>
      <c r="F1489" s="118" t="s">
        <v>433</v>
      </c>
      <c r="G1489" s="126" t="s">
        <v>7334</v>
      </c>
      <c r="H1489" s="255">
        <v>5</v>
      </c>
      <c r="I1489" s="361">
        <v>1</v>
      </c>
      <c r="J1489" s="362" t="s">
        <v>286</v>
      </c>
      <c r="K1489" s="363"/>
      <c r="L1489" s="129"/>
      <c r="M1489" s="129"/>
      <c r="N1489" s="129"/>
      <c r="O1489" s="129"/>
      <c r="P1489" s="364"/>
      <c r="Q1489" s="364"/>
      <c r="R1489" s="129"/>
      <c r="S1489" s="129"/>
      <c r="T1489" s="129"/>
      <c r="W1489" s="129" t="s">
        <v>286</v>
      </c>
      <c r="X1489" s="337" t="b">
        <f t="shared" si="56"/>
        <v>1</v>
      </c>
    </row>
    <row r="1490" spans="1:24" s="337" customFormat="1" ht="12" customHeight="1" outlineLevel="1">
      <c r="A1490" s="335"/>
      <c r="B1490" s="118" t="s">
        <v>12</v>
      </c>
      <c r="C1490" s="334" t="s">
        <v>7777</v>
      </c>
      <c r="D1490" s="124" t="s">
        <v>7778</v>
      </c>
      <c r="E1490" s="125"/>
      <c r="F1490" s="118" t="s">
        <v>433</v>
      </c>
      <c r="G1490" s="126" t="s">
        <v>7334</v>
      </c>
      <c r="H1490" s="255">
        <v>5</v>
      </c>
      <c r="I1490" s="361">
        <v>1</v>
      </c>
      <c r="J1490" s="362" t="s">
        <v>286</v>
      </c>
      <c r="K1490" s="363"/>
      <c r="L1490" s="129"/>
      <c r="M1490" s="129"/>
      <c r="N1490" s="129"/>
      <c r="O1490" s="129"/>
      <c r="P1490" s="364"/>
      <c r="Q1490" s="364"/>
      <c r="R1490" s="129"/>
      <c r="S1490" s="129"/>
      <c r="T1490" s="129"/>
      <c r="W1490" s="129" t="s">
        <v>286</v>
      </c>
      <c r="X1490" s="337" t="b">
        <f t="shared" si="56"/>
        <v>1</v>
      </c>
    </row>
    <row r="1491" spans="1:24" s="337" customFormat="1" ht="12" customHeight="1" outlineLevel="1">
      <c r="A1491" s="335"/>
      <c r="B1491" s="118" t="s">
        <v>12</v>
      </c>
      <c r="C1491" s="334" t="s">
        <v>7779</v>
      </c>
      <c r="D1491" s="124" t="s">
        <v>7780</v>
      </c>
      <c r="E1491" s="125"/>
      <c r="F1491" s="118" t="s">
        <v>433</v>
      </c>
      <c r="G1491" s="126" t="s">
        <v>7334</v>
      </c>
      <c r="H1491" s="255">
        <v>5</v>
      </c>
      <c r="I1491" s="361">
        <v>1</v>
      </c>
      <c r="J1491" s="362" t="s">
        <v>286</v>
      </c>
      <c r="K1491" s="363"/>
      <c r="L1491" s="129"/>
      <c r="M1491" s="129"/>
      <c r="N1491" s="129"/>
      <c r="O1491" s="129"/>
      <c r="P1491" s="364"/>
      <c r="Q1491" s="364"/>
      <c r="R1491" s="129"/>
      <c r="S1491" s="129"/>
      <c r="T1491" s="129"/>
      <c r="W1491" s="129" t="s">
        <v>286</v>
      </c>
      <c r="X1491" s="337" t="b">
        <f t="shared" si="56"/>
        <v>1</v>
      </c>
    </row>
    <row r="1492" spans="1:24" s="337" customFormat="1" ht="12" customHeight="1" outlineLevel="1">
      <c r="A1492" s="335"/>
      <c r="B1492" s="118" t="s">
        <v>12</v>
      </c>
      <c r="C1492" s="334" t="s">
        <v>7781</v>
      </c>
      <c r="D1492" s="124" t="s">
        <v>7782</v>
      </c>
      <c r="E1492" s="125"/>
      <c r="F1492" s="118" t="s">
        <v>433</v>
      </c>
      <c r="G1492" s="126" t="s">
        <v>7334</v>
      </c>
      <c r="H1492" s="255">
        <v>5</v>
      </c>
      <c r="I1492" s="361">
        <v>1</v>
      </c>
      <c r="J1492" s="362" t="s">
        <v>286</v>
      </c>
      <c r="K1492" s="363"/>
      <c r="L1492" s="129"/>
      <c r="M1492" s="129"/>
      <c r="N1492" s="129"/>
      <c r="O1492" s="129"/>
      <c r="P1492" s="364"/>
      <c r="Q1492" s="364"/>
      <c r="R1492" s="129"/>
      <c r="S1492" s="129"/>
      <c r="T1492" s="129"/>
      <c r="W1492" s="129" t="s">
        <v>286</v>
      </c>
      <c r="X1492" s="337" t="b">
        <f t="shared" si="56"/>
        <v>1</v>
      </c>
    </row>
    <row r="1493" spans="1:24" s="337" customFormat="1" ht="12" customHeight="1" outlineLevel="1">
      <c r="A1493" s="335"/>
      <c r="B1493" s="118" t="s">
        <v>12</v>
      </c>
      <c r="C1493" s="334" t="s">
        <v>7783</v>
      </c>
      <c r="D1493" s="124" t="s">
        <v>7784</v>
      </c>
      <c r="E1493" s="125"/>
      <c r="F1493" s="118" t="s">
        <v>433</v>
      </c>
      <c r="G1493" s="126" t="s">
        <v>7334</v>
      </c>
      <c r="H1493" s="255">
        <v>5</v>
      </c>
      <c r="I1493" s="361">
        <v>1</v>
      </c>
      <c r="J1493" s="362" t="s">
        <v>286</v>
      </c>
      <c r="K1493" s="363"/>
      <c r="L1493" s="129"/>
      <c r="M1493" s="129"/>
      <c r="N1493" s="129"/>
      <c r="O1493" s="129"/>
      <c r="P1493" s="364"/>
      <c r="Q1493" s="364"/>
      <c r="R1493" s="129"/>
      <c r="S1493" s="129"/>
      <c r="T1493" s="129"/>
      <c r="W1493" s="129" t="s">
        <v>286</v>
      </c>
      <c r="X1493" s="337" t="b">
        <f t="shared" si="56"/>
        <v>1</v>
      </c>
    </row>
    <row r="1494" spans="1:24" s="337" customFormat="1" ht="12" customHeight="1" outlineLevel="1">
      <c r="A1494" s="335"/>
      <c r="B1494" s="118" t="s">
        <v>12</v>
      </c>
      <c r="C1494" s="334" t="s">
        <v>7785</v>
      </c>
      <c r="D1494" s="124" t="s">
        <v>7786</v>
      </c>
      <c r="E1494" s="125"/>
      <c r="F1494" s="118" t="s">
        <v>433</v>
      </c>
      <c r="G1494" s="126" t="s">
        <v>7334</v>
      </c>
      <c r="H1494" s="255">
        <v>5</v>
      </c>
      <c r="I1494" s="361">
        <v>1</v>
      </c>
      <c r="J1494" s="362" t="s">
        <v>286</v>
      </c>
      <c r="K1494" s="363"/>
      <c r="L1494" s="129"/>
      <c r="M1494" s="129"/>
      <c r="N1494" s="129"/>
      <c r="O1494" s="129"/>
      <c r="P1494" s="364"/>
      <c r="Q1494" s="364"/>
      <c r="R1494" s="129"/>
      <c r="S1494" s="129"/>
      <c r="T1494" s="129"/>
      <c r="W1494" s="129" t="s">
        <v>310</v>
      </c>
      <c r="X1494" s="337" t="b">
        <f t="shared" si="56"/>
        <v>0</v>
      </c>
    </row>
    <row r="1495" spans="1:24" s="337" customFormat="1" ht="12" customHeight="1" outlineLevel="1">
      <c r="A1495" s="335"/>
      <c r="B1495" s="118" t="s">
        <v>12</v>
      </c>
      <c r="C1495" s="334" t="s">
        <v>7787</v>
      </c>
      <c r="D1495" s="124" t="s">
        <v>7788</v>
      </c>
      <c r="E1495" s="125"/>
      <c r="F1495" s="118" t="s">
        <v>433</v>
      </c>
      <c r="G1495" s="126" t="s">
        <v>7334</v>
      </c>
      <c r="H1495" s="255">
        <v>5</v>
      </c>
      <c r="I1495" s="361">
        <v>1</v>
      </c>
      <c r="J1495" s="362" t="s">
        <v>310</v>
      </c>
      <c r="K1495" s="363"/>
      <c r="L1495" s="129"/>
      <c r="M1495" s="129"/>
      <c r="N1495" s="129"/>
      <c r="O1495" s="129"/>
      <c r="P1495" s="364"/>
      <c r="Q1495" s="364"/>
      <c r="R1495" s="129"/>
      <c r="S1495" s="129"/>
      <c r="T1495" s="129"/>
      <c r="W1495" s="129" t="s">
        <v>4876</v>
      </c>
      <c r="X1495" s="337" t="b">
        <f t="shared" si="56"/>
        <v>0</v>
      </c>
    </row>
    <row r="1496" spans="1:24" s="337" customFormat="1" ht="12" customHeight="1" outlineLevel="1">
      <c r="A1496" s="335"/>
      <c r="B1496" s="118" t="s">
        <v>12</v>
      </c>
      <c r="C1496" s="334" t="s">
        <v>7789</v>
      </c>
      <c r="D1496" s="124" t="s">
        <v>7790</v>
      </c>
      <c r="E1496" s="125"/>
      <c r="F1496" s="118" t="s">
        <v>433</v>
      </c>
      <c r="G1496" s="126" t="s">
        <v>7334</v>
      </c>
      <c r="H1496" s="255">
        <v>5</v>
      </c>
      <c r="I1496" s="361">
        <v>1</v>
      </c>
      <c r="J1496" s="362" t="s">
        <v>310</v>
      </c>
      <c r="K1496" s="363"/>
      <c r="L1496" s="129"/>
      <c r="M1496" s="129"/>
      <c r="N1496" s="129"/>
      <c r="O1496" s="129"/>
      <c r="P1496" s="364"/>
      <c r="Q1496" s="364"/>
      <c r="R1496" s="129"/>
      <c r="S1496" s="129"/>
      <c r="T1496" s="129"/>
      <c r="W1496" s="129" t="s">
        <v>4876</v>
      </c>
      <c r="X1496" s="337" t="b">
        <f t="shared" si="56"/>
        <v>0</v>
      </c>
    </row>
    <row r="1497" spans="1:24" s="337" customFormat="1" ht="12" customHeight="1" outlineLevel="1">
      <c r="A1497" s="335"/>
      <c r="B1497" s="118" t="s">
        <v>12</v>
      </c>
      <c r="C1497" s="334" t="s">
        <v>7791</v>
      </c>
      <c r="D1497" s="124" t="s">
        <v>7792</v>
      </c>
      <c r="E1497" s="125"/>
      <c r="F1497" s="118" t="s">
        <v>433</v>
      </c>
      <c r="G1497" s="126" t="s">
        <v>7334</v>
      </c>
      <c r="H1497" s="255">
        <v>5</v>
      </c>
      <c r="I1497" s="361">
        <v>1</v>
      </c>
      <c r="J1497" s="362" t="s">
        <v>310</v>
      </c>
      <c r="K1497" s="363"/>
      <c r="L1497" s="129"/>
      <c r="M1497" s="129"/>
      <c r="N1497" s="129"/>
      <c r="O1497" s="129"/>
      <c r="P1497" s="364"/>
      <c r="Q1497" s="364"/>
      <c r="R1497" s="129"/>
      <c r="S1497" s="129"/>
      <c r="T1497" s="129"/>
      <c r="W1497" s="129" t="s">
        <v>4876</v>
      </c>
      <c r="X1497" s="337" t="b">
        <f t="shared" si="56"/>
        <v>0</v>
      </c>
    </row>
    <row r="1498" spans="1:24" s="337" customFormat="1" ht="12" customHeight="1" outlineLevel="1">
      <c r="A1498" s="335"/>
      <c r="B1498" s="118" t="s">
        <v>12</v>
      </c>
      <c r="C1498" s="334" t="s">
        <v>7793</v>
      </c>
      <c r="D1498" s="124" t="s">
        <v>7794</v>
      </c>
      <c r="E1498" s="125"/>
      <c r="F1498" s="118" t="s">
        <v>433</v>
      </c>
      <c r="G1498" s="126" t="s">
        <v>7334</v>
      </c>
      <c r="H1498" s="255">
        <v>5</v>
      </c>
      <c r="I1498" s="361">
        <v>1</v>
      </c>
      <c r="J1498" s="362" t="s">
        <v>310</v>
      </c>
      <c r="K1498" s="363"/>
      <c r="L1498" s="129"/>
      <c r="M1498" s="129"/>
      <c r="N1498" s="129"/>
      <c r="O1498" s="129"/>
      <c r="P1498" s="364"/>
      <c r="Q1498" s="364"/>
      <c r="R1498" s="129"/>
      <c r="S1498" s="129"/>
      <c r="T1498" s="129"/>
      <c r="W1498" s="129" t="s">
        <v>4876</v>
      </c>
      <c r="X1498" s="337" t="b">
        <f t="shared" si="56"/>
        <v>0</v>
      </c>
    </row>
    <row r="1499" spans="1:24" s="337" customFormat="1" ht="12" customHeight="1" outlineLevel="1">
      <c r="A1499" s="335"/>
      <c r="B1499" s="118" t="s">
        <v>12</v>
      </c>
      <c r="C1499" s="334" t="s">
        <v>7795</v>
      </c>
      <c r="D1499" s="124" t="s">
        <v>7796</v>
      </c>
      <c r="E1499" s="125"/>
      <c r="F1499" s="118" t="s">
        <v>433</v>
      </c>
      <c r="G1499" s="126" t="s">
        <v>7334</v>
      </c>
      <c r="H1499" s="255">
        <v>5</v>
      </c>
      <c r="I1499" s="361">
        <v>1</v>
      </c>
      <c r="J1499" s="362" t="s">
        <v>286</v>
      </c>
      <c r="K1499" s="363"/>
      <c r="L1499" s="129"/>
      <c r="M1499" s="129"/>
      <c r="N1499" s="129"/>
      <c r="O1499" s="129"/>
      <c r="P1499" s="364"/>
      <c r="Q1499" s="364"/>
      <c r="R1499" s="129"/>
      <c r="S1499" s="129"/>
      <c r="T1499" s="129"/>
      <c r="W1499" s="129" t="s">
        <v>4876</v>
      </c>
      <c r="X1499" s="337" t="b">
        <f t="shared" si="56"/>
        <v>0</v>
      </c>
    </row>
    <row r="1500" spans="1:24" s="337" customFormat="1" ht="12" customHeight="1" outlineLevel="1">
      <c r="A1500" s="335"/>
      <c r="B1500" s="118" t="s">
        <v>12</v>
      </c>
      <c r="C1500" s="334" t="s">
        <v>7797</v>
      </c>
      <c r="D1500" s="124" t="s">
        <v>7798</v>
      </c>
      <c r="E1500" s="125"/>
      <c r="F1500" s="118" t="s">
        <v>433</v>
      </c>
      <c r="G1500" s="126" t="s">
        <v>7334</v>
      </c>
      <c r="H1500" s="255">
        <v>5</v>
      </c>
      <c r="I1500" s="361">
        <v>1</v>
      </c>
      <c r="J1500" s="362" t="s">
        <v>286</v>
      </c>
      <c r="K1500" s="363"/>
      <c r="L1500" s="129"/>
      <c r="M1500" s="129"/>
      <c r="N1500" s="129"/>
      <c r="O1500" s="129"/>
      <c r="P1500" s="364"/>
      <c r="Q1500" s="364"/>
      <c r="R1500" s="129"/>
      <c r="S1500" s="129"/>
      <c r="T1500" s="129"/>
      <c r="W1500" s="129" t="s">
        <v>4876</v>
      </c>
      <c r="X1500" s="337" t="b">
        <f t="shared" si="56"/>
        <v>0</v>
      </c>
    </row>
    <row r="1501" spans="1:24" s="337" customFormat="1" ht="12" customHeight="1" outlineLevel="1">
      <c r="A1501" s="335"/>
      <c r="B1501" s="118" t="s">
        <v>12</v>
      </c>
      <c r="C1501" s="334" t="s">
        <v>7799</v>
      </c>
      <c r="D1501" s="124" t="s">
        <v>7800</v>
      </c>
      <c r="E1501" s="125"/>
      <c r="F1501" s="118" t="s">
        <v>433</v>
      </c>
      <c r="G1501" s="126" t="s">
        <v>7334</v>
      </c>
      <c r="H1501" s="255">
        <v>5</v>
      </c>
      <c r="I1501" s="361">
        <v>1</v>
      </c>
      <c r="J1501" s="362" t="s">
        <v>286</v>
      </c>
      <c r="K1501" s="363"/>
      <c r="L1501" s="129"/>
      <c r="M1501" s="129"/>
      <c r="N1501" s="129"/>
      <c r="O1501" s="129"/>
      <c r="P1501" s="364"/>
      <c r="Q1501" s="364"/>
      <c r="R1501" s="129"/>
      <c r="S1501" s="129"/>
      <c r="T1501" s="129"/>
      <c r="W1501" s="129" t="s">
        <v>4876</v>
      </c>
      <c r="X1501" s="337" t="b">
        <f t="shared" si="56"/>
        <v>0</v>
      </c>
    </row>
    <row r="1502" spans="1:24" s="337" customFormat="1" ht="12" customHeight="1" outlineLevel="1">
      <c r="A1502" s="335"/>
      <c r="B1502" s="118" t="s">
        <v>12</v>
      </c>
      <c r="C1502" s="334" t="s">
        <v>7801</v>
      </c>
      <c r="D1502" s="124" t="s">
        <v>7802</v>
      </c>
      <c r="E1502" s="125"/>
      <c r="F1502" s="118" t="s">
        <v>433</v>
      </c>
      <c r="G1502" s="126" t="s">
        <v>7334</v>
      </c>
      <c r="H1502" s="255">
        <v>5</v>
      </c>
      <c r="I1502" s="361">
        <v>1</v>
      </c>
      <c r="J1502" s="362" t="s">
        <v>286</v>
      </c>
      <c r="K1502" s="363"/>
      <c r="L1502" s="129"/>
      <c r="M1502" s="129"/>
      <c r="N1502" s="129"/>
      <c r="O1502" s="129"/>
      <c r="P1502" s="364"/>
      <c r="Q1502" s="364"/>
      <c r="R1502" s="129"/>
      <c r="S1502" s="129"/>
      <c r="T1502" s="129"/>
      <c r="W1502" s="129" t="s">
        <v>4876</v>
      </c>
      <c r="X1502" s="337" t="b">
        <f t="shared" si="56"/>
        <v>0</v>
      </c>
    </row>
    <row r="1503" spans="1:24" s="337" customFormat="1" ht="12" customHeight="1" outlineLevel="1">
      <c r="A1503" s="335"/>
      <c r="B1503" s="118" t="s">
        <v>12</v>
      </c>
      <c r="C1503" s="334" t="s">
        <v>7803</v>
      </c>
      <c r="D1503" s="124" t="s">
        <v>7804</v>
      </c>
      <c r="E1503" s="125"/>
      <c r="F1503" s="118" t="s">
        <v>433</v>
      </c>
      <c r="G1503" s="126" t="s">
        <v>7334</v>
      </c>
      <c r="H1503" s="255">
        <v>5</v>
      </c>
      <c r="I1503" s="361">
        <v>1</v>
      </c>
      <c r="J1503" s="362" t="s">
        <v>286</v>
      </c>
      <c r="K1503" s="363"/>
      <c r="L1503" s="129"/>
      <c r="M1503" s="129"/>
      <c r="N1503" s="129"/>
      <c r="O1503" s="129"/>
      <c r="P1503" s="364"/>
      <c r="Q1503" s="364"/>
      <c r="R1503" s="129"/>
      <c r="S1503" s="129"/>
      <c r="T1503" s="129"/>
      <c r="W1503" s="129" t="s">
        <v>4876</v>
      </c>
      <c r="X1503" s="337" t="b">
        <f t="shared" si="56"/>
        <v>0</v>
      </c>
    </row>
    <row r="1504" spans="1:24" s="337" customFormat="1" ht="12" customHeight="1" outlineLevel="1">
      <c r="A1504" s="335"/>
      <c r="B1504" s="118" t="s">
        <v>12</v>
      </c>
      <c r="C1504" s="334" t="s">
        <v>7805</v>
      </c>
      <c r="D1504" s="124" t="s">
        <v>7806</v>
      </c>
      <c r="E1504" s="125"/>
      <c r="F1504" s="118" t="s">
        <v>433</v>
      </c>
      <c r="G1504" s="126" t="s">
        <v>7334</v>
      </c>
      <c r="H1504" s="255">
        <v>5</v>
      </c>
      <c r="I1504" s="361">
        <v>1</v>
      </c>
      <c r="J1504" s="362" t="s">
        <v>286</v>
      </c>
      <c r="K1504" s="363"/>
      <c r="L1504" s="129"/>
      <c r="M1504" s="129"/>
      <c r="N1504" s="129"/>
      <c r="O1504" s="129"/>
      <c r="P1504" s="364"/>
      <c r="Q1504" s="364"/>
      <c r="R1504" s="129"/>
      <c r="S1504" s="129"/>
      <c r="T1504" s="129"/>
      <c r="W1504" s="129" t="s">
        <v>4876</v>
      </c>
      <c r="X1504" s="337" t="b">
        <f t="shared" si="56"/>
        <v>0</v>
      </c>
    </row>
    <row r="1505" spans="1:24" s="337" customFormat="1" ht="12" customHeight="1" outlineLevel="1">
      <c r="A1505" s="335"/>
      <c r="B1505" s="118" t="s">
        <v>12</v>
      </c>
      <c r="C1505" s="334" t="s">
        <v>7807</v>
      </c>
      <c r="D1505" s="124" t="s">
        <v>7808</v>
      </c>
      <c r="E1505" s="125"/>
      <c r="F1505" s="118" t="s">
        <v>433</v>
      </c>
      <c r="G1505" s="126" t="s">
        <v>7334</v>
      </c>
      <c r="H1505" s="255">
        <v>5</v>
      </c>
      <c r="I1505" s="361">
        <v>1</v>
      </c>
      <c r="J1505" s="362" t="s">
        <v>325</v>
      </c>
      <c r="K1505" s="363"/>
      <c r="L1505" s="129"/>
      <c r="M1505" s="129"/>
      <c r="N1505" s="129"/>
      <c r="O1505" s="129"/>
      <c r="P1505" s="364"/>
      <c r="Q1505" s="364"/>
      <c r="R1505" s="129"/>
      <c r="S1505" s="129"/>
      <c r="T1505" s="129"/>
      <c r="W1505" s="129" t="s">
        <v>286</v>
      </c>
      <c r="X1505" s="337" t="b">
        <f t="shared" si="56"/>
        <v>0</v>
      </c>
    </row>
    <row r="1506" spans="1:24" s="337" customFormat="1" ht="12" customHeight="1" outlineLevel="1">
      <c r="A1506" s="335"/>
      <c r="B1506" s="118" t="s">
        <v>12</v>
      </c>
      <c r="C1506" s="334" t="s">
        <v>7809</v>
      </c>
      <c r="D1506" s="124" t="s">
        <v>7810</v>
      </c>
      <c r="E1506" s="125"/>
      <c r="F1506" s="118" t="s">
        <v>433</v>
      </c>
      <c r="G1506" s="126" t="s">
        <v>7334</v>
      </c>
      <c r="H1506" s="255">
        <v>5</v>
      </c>
      <c r="I1506" s="361">
        <v>1</v>
      </c>
      <c r="J1506" s="362" t="s">
        <v>307</v>
      </c>
      <c r="K1506" s="363"/>
      <c r="L1506" s="129"/>
      <c r="M1506" s="129"/>
      <c r="N1506" s="129"/>
      <c r="O1506" s="129"/>
      <c r="P1506" s="364"/>
      <c r="Q1506" s="364"/>
      <c r="R1506" s="129"/>
      <c r="S1506" s="129"/>
      <c r="T1506" s="129"/>
      <c r="W1506" s="129" t="s">
        <v>286</v>
      </c>
      <c r="X1506" s="337" t="b">
        <f t="shared" si="56"/>
        <v>0</v>
      </c>
    </row>
    <row r="1507" spans="1:24" s="337" customFormat="1" ht="12" customHeight="1" outlineLevel="1">
      <c r="A1507" s="335"/>
      <c r="B1507" s="118" t="s">
        <v>12</v>
      </c>
      <c r="C1507" s="334" t="s">
        <v>7811</v>
      </c>
      <c r="D1507" s="124" t="s">
        <v>7812</v>
      </c>
      <c r="E1507" s="125"/>
      <c r="F1507" s="118" t="s">
        <v>433</v>
      </c>
      <c r="G1507" s="126" t="s">
        <v>7334</v>
      </c>
      <c r="H1507" s="255">
        <v>5</v>
      </c>
      <c r="I1507" s="361">
        <v>1</v>
      </c>
      <c r="J1507" s="362" t="s">
        <v>307</v>
      </c>
      <c r="K1507" s="363"/>
      <c r="L1507" s="129"/>
      <c r="M1507" s="129"/>
      <c r="N1507" s="129"/>
      <c r="O1507" s="129"/>
      <c r="P1507" s="364"/>
      <c r="Q1507" s="364"/>
      <c r="R1507" s="129"/>
      <c r="S1507" s="129"/>
      <c r="T1507" s="129"/>
      <c r="W1507" s="129" t="s">
        <v>286</v>
      </c>
      <c r="X1507" s="337" t="b">
        <f t="shared" si="56"/>
        <v>0</v>
      </c>
    </row>
    <row r="1508" spans="1:24" s="337" customFormat="1" ht="12" customHeight="1" outlineLevel="1">
      <c r="A1508" s="335"/>
      <c r="B1508" s="118" t="s">
        <v>12</v>
      </c>
      <c r="C1508" s="334" t="s">
        <v>7813</v>
      </c>
      <c r="D1508" s="124" t="s">
        <v>7814</v>
      </c>
      <c r="E1508" s="125"/>
      <c r="F1508" s="118" t="s">
        <v>433</v>
      </c>
      <c r="G1508" s="126" t="s">
        <v>7334</v>
      </c>
      <c r="H1508" s="255">
        <v>5</v>
      </c>
      <c r="I1508" s="361">
        <v>1</v>
      </c>
      <c r="J1508" s="362" t="s">
        <v>310</v>
      </c>
      <c r="K1508" s="363"/>
      <c r="L1508" s="129"/>
      <c r="M1508" s="129"/>
      <c r="N1508" s="129"/>
      <c r="O1508" s="129"/>
      <c r="P1508" s="364"/>
      <c r="Q1508" s="364"/>
      <c r="R1508" s="129"/>
      <c r="S1508" s="129"/>
      <c r="T1508" s="129"/>
      <c r="W1508" s="129" t="s">
        <v>286</v>
      </c>
      <c r="X1508" s="337" t="b">
        <f t="shared" si="56"/>
        <v>0</v>
      </c>
    </row>
    <row r="1509" spans="1:24" s="337" customFormat="1" ht="12" customHeight="1" outlineLevel="1">
      <c r="A1509" s="335"/>
      <c r="B1509" s="118" t="s">
        <v>12</v>
      </c>
      <c r="C1509" s="334" t="s">
        <v>7815</v>
      </c>
      <c r="D1509" s="124" t="s">
        <v>7816</v>
      </c>
      <c r="E1509" s="125"/>
      <c r="F1509" s="118" t="s">
        <v>433</v>
      </c>
      <c r="G1509" s="126" t="s">
        <v>7334</v>
      </c>
      <c r="H1509" s="255">
        <v>5</v>
      </c>
      <c r="I1509" s="361">
        <v>1</v>
      </c>
      <c r="J1509" s="362" t="s">
        <v>310</v>
      </c>
      <c r="K1509" s="363"/>
      <c r="L1509" s="129"/>
      <c r="M1509" s="129"/>
      <c r="N1509" s="129"/>
      <c r="O1509" s="129"/>
      <c r="P1509" s="364"/>
      <c r="Q1509" s="364"/>
      <c r="R1509" s="129"/>
      <c r="S1509" s="129"/>
      <c r="T1509" s="129"/>
      <c r="W1509" s="129" t="s">
        <v>286</v>
      </c>
      <c r="X1509" s="337" t="b">
        <f t="shared" si="56"/>
        <v>0</v>
      </c>
    </row>
    <row r="1510" spans="1:24" s="337" customFormat="1" ht="12" customHeight="1" outlineLevel="1">
      <c r="A1510" s="335"/>
      <c r="B1510" s="118" t="s">
        <v>12</v>
      </c>
      <c r="C1510" s="334" t="s">
        <v>7817</v>
      </c>
      <c r="D1510" s="124" t="s">
        <v>7818</v>
      </c>
      <c r="E1510" s="125"/>
      <c r="F1510" s="118" t="s">
        <v>433</v>
      </c>
      <c r="G1510" s="126" t="s">
        <v>7334</v>
      </c>
      <c r="H1510" s="255">
        <v>5</v>
      </c>
      <c r="I1510" s="361">
        <v>1</v>
      </c>
      <c r="J1510" s="362" t="s">
        <v>286</v>
      </c>
      <c r="K1510" s="363"/>
      <c r="L1510" s="129"/>
      <c r="M1510" s="129"/>
      <c r="N1510" s="129"/>
      <c r="O1510" s="129"/>
      <c r="P1510" s="364"/>
      <c r="Q1510" s="364"/>
      <c r="R1510" s="129"/>
      <c r="S1510" s="129"/>
      <c r="T1510" s="129"/>
      <c r="W1510" s="129" t="s">
        <v>286</v>
      </c>
      <c r="X1510" s="337" t="b">
        <f t="shared" si="56"/>
        <v>1</v>
      </c>
    </row>
    <row r="1511" spans="1:24" s="337" customFormat="1" ht="12" customHeight="1" outlineLevel="1">
      <c r="A1511" s="335"/>
      <c r="B1511" s="118" t="s">
        <v>12</v>
      </c>
      <c r="C1511" s="334" t="s">
        <v>7819</v>
      </c>
      <c r="D1511" s="124" t="s">
        <v>7820</v>
      </c>
      <c r="E1511" s="125"/>
      <c r="F1511" s="118" t="s">
        <v>433</v>
      </c>
      <c r="G1511" s="126" t="s">
        <v>7334</v>
      </c>
      <c r="H1511" s="255">
        <v>5</v>
      </c>
      <c r="I1511" s="361">
        <v>1</v>
      </c>
      <c r="J1511" s="362" t="s">
        <v>286</v>
      </c>
      <c r="K1511" s="363"/>
      <c r="L1511" s="129"/>
      <c r="M1511" s="129"/>
      <c r="N1511" s="129"/>
      <c r="O1511" s="129"/>
      <c r="P1511" s="364"/>
      <c r="Q1511" s="364"/>
      <c r="R1511" s="129"/>
      <c r="S1511" s="129"/>
      <c r="T1511" s="129"/>
      <c r="W1511" s="129" t="s">
        <v>286</v>
      </c>
      <c r="X1511" s="337" t="b">
        <f t="shared" si="56"/>
        <v>1</v>
      </c>
    </row>
    <row r="1512" spans="1:24" s="337" customFormat="1" ht="12" customHeight="1" outlineLevel="1">
      <c r="A1512" s="335"/>
      <c r="B1512" s="118" t="s">
        <v>12</v>
      </c>
      <c r="C1512" s="334" t="s">
        <v>7821</v>
      </c>
      <c r="D1512" s="124" t="s">
        <v>7822</v>
      </c>
      <c r="E1512" s="125"/>
      <c r="F1512" s="118" t="s">
        <v>433</v>
      </c>
      <c r="G1512" s="126" t="s">
        <v>7334</v>
      </c>
      <c r="H1512" s="255">
        <v>5</v>
      </c>
      <c r="I1512" s="361">
        <v>1</v>
      </c>
      <c r="J1512" s="362" t="s">
        <v>286</v>
      </c>
      <c r="K1512" s="363"/>
      <c r="L1512" s="129"/>
      <c r="M1512" s="129"/>
      <c r="N1512" s="129"/>
      <c r="O1512" s="129"/>
      <c r="P1512" s="364"/>
      <c r="Q1512" s="364"/>
      <c r="R1512" s="129"/>
      <c r="S1512" s="129"/>
      <c r="T1512" s="129"/>
      <c r="W1512" s="129" t="s">
        <v>286</v>
      </c>
      <c r="X1512" s="337" t="b">
        <f t="shared" si="56"/>
        <v>1</v>
      </c>
    </row>
    <row r="1513" spans="1:24" s="337" customFormat="1" ht="12" customHeight="1" outlineLevel="1">
      <c r="A1513" s="335"/>
      <c r="B1513" s="118" t="s">
        <v>12</v>
      </c>
      <c r="C1513" s="334" t="s">
        <v>7823</v>
      </c>
      <c r="D1513" s="124" t="s">
        <v>7824</v>
      </c>
      <c r="E1513" s="125"/>
      <c r="F1513" s="118" t="s">
        <v>433</v>
      </c>
      <c r="G1513" s="126" t="s">
        <v>7334</v>
      </c>
      <c r="H1513" s="255">
        <v>5</v>
      </c>
      <c r="I1513" s="361">
        <v>1</v>
      </c>
      <c r="J1513" s="362" t="s">
        <v>286</v>
      </c>
      <c r="K1513" s="363"/>
      <c r="L1513" s="129"/>
      <c r="M1513" s="129"/>
      <c r="N1513" s="129"/>
      <c r="O1513" s="129"/>
      <c r="P1513" s="364"/>
      <c r="Q1513" s="364"/>
      <c r="R1513" s="129"/>
      <c r="S1513" s="129"/>
      <c r="T1513" s="129"/>
      <c r="W1513" s="129" t="s">
        <v>286</v>
      </c>
      <c r="X1513" s="337" t="b">
        <f t="shared" si="56"/>
        <v>1</v>
      </c>
    </row>
    <row r="1514" spans="1:24" s="337" customFormat="1" ht="12" customHeight="1" outlineLevel="1">
      <c r="A1514" s="335"/>
      <c r="B1514" s="118" t="s">
        <v>12</v>
      </c>
      <c r="C1514" s="334" t="s">
        <v>7825</v>
      </c>
      <c r="D1514" s="124" t="s">
        <v>7826</v>
      </c>
      <c r="E1514" s="125"/>
      <c r="F1514" s="118" t="s">
        <v>433</v>
      </c>
      <c r="G1514" s="126" t="s">
        <v>7334</v>
      </c>
      <c r="H1514" s="255">
        <v>5</v>
      </c>
      <c r="I1514" s="361">
        <v>1</v>
      </c>
      <c r="J1514" s="362" t="s">
        <v>307</v>
      </c>
      <c r="K1514" s="363"/>
      <c r="L1514" s="129"/>
      <c r="M1514" s="129"/>
      <c r="N1514" s="129"/>
      <c r="O1514" s="129"/>
      <c r="P1514" s="364"/>
      <c r="Q1514" s="364"/>
      <c r="R1514" s="129"/>
      <c r="S1514" s="129"/>
      <c r="T1514" s="129"/>
      <c r="W1514" s="129" t="s">
        <v>4876</v>
      </c>
      <c r="X1514" s="337" t="b">
        <f t="shared" si="56"/>
        <v>0</v>
      </c>
    </row>
    <row r="1515" spans="1:24" s="337" customFormat="1" ht="12" customHeight="1" outlineLevel="1">
      <c r="A1515" s="335"/>
      <c r="B1515" s="118" t="s">
        <v>12</v>
      </c>
      <c r="C1515" s="334" t="s">
        <v>7827</v>
      </c>
      <c r="D1515" s="124" t="s">
        <v>7828</v>
      </c>
      <c r="E1515" s="125"/>
      <c r="F1515" s="118" t="s">
        <v>433</v>
      </c>
      <c r="G1515" s="126" t="s">
        <v>7334</v>
      </c>
      <c r="H1515" s="255">
        <v>5</v>
      </c>
      <c r="I1515" s="361">
        <v>1</v>
      </c>
      <c r="J1515" s="362" t="s">
        <v>286</v>
      </c>
      <c r="K1515" s="363"/>
      <c r="L1515" s="129"/>
      <c r="M1515" s="129"/>
      <c r="N1515" s="129"/>
      <c r="O1515" s="129"/>
      <c r="P1515" s="364"/>
      <c r="Q1515" s="364"/>
      <c r="R1515" s="129"/>
      <c r="S1515" s="129"/>
      <c r="T1515" s="129"/>
      <c r="W1515" s="129" t="s">
        <v>4876</v>
      </c>
      <c r="X1515" s="337" t="b">
        <f t="shared" si="56"/>
        <v>0</v>
      </c>
    </row>
    <row r="1516" spans="1:24" s="337" customFormat="1" ht="12" customHeight="1" outlineLevel="1">
      <c r="A1516" s="335"/>
      <c r="B1516" s="118" t="s">
        <v>12</v>
      </c>
      <c r="C1516" s="334" t="s">
        <v>7829</v>
      </c>
      <c r="D1516" s="124" t="s">
        <v>7830</v>
      </c>
      <c r="E1516" s="125"/>
      <c r="F1516" s="118" t="s">
        <v>433</v>
      </c>
      <c r="G1516" s="126" t="s">
        <v>7334</v>
      </c>
      <c r="H1516" s="255">
        <v>5</v>
      </c>
      <c r="I1516" s="361">
        <v>1</v>
      </c>
      <c r="J1516" s="362" t="s">
        <v>286</v>
      </c>
      <c r="K1516" s="363"/>
      <c r="L1516" s="129"/>
      <c r="M1516" s="129"/>
      <c r="N1516" s="129"/>
      <c r="O1516" s="129"/>
      <c r="P1516" s="364"/>
      <c r="Q1516" s="364"/>
      <c r="R1516" s="129"/>
      <c r="S1516" s="129"/>
      <c r="T1516" s="129"/>
      <c r="W1516" s="129" t="s">
        <v>286</v>
      </c>
      <c r="X1516" s="337" t="b">
        <f t="shared" si="56"/>
        <v>1</v>
      </c>
    </row>
    <row r="1517" spans="1:24" s="337" customFormat="1" ht="12" customHeight="1" outlineLevel="1">
      <c r="A1517" s="335"/>
      <c r="B1517" s="118" t="s">
        <v>12</v>
      </c>
      <c r="C1517" s="334" t="s">
        <v>7831</v>
      </c>
      <c r="D1517" s="124" t="s">
        <v>7832</v>
      </c>
      <c r="E1517" s="125"/>
      <c r="F1517" s="118" t="s">
        <v>433</v>
      </c>
      <c r="G1517" s="126" t="s">
        <v>7334</v>
      </c>
      <c r="H1517" s="255">
        <v>5</v>
      </c>
      <c r="I1517" s="361">
        <v>1</v>
      </c>
      <c r="J1517" s="362" t="s">
        <v>286</v>
      </c>
      <c r="K1517" s="363"/>
      <c r="L1517" s="129"/>
      <c r="M1517" s="129"/>
      <c r="N1517" s="129"/>
      <c r="O1517" s="129"/>
      <c r="P1517" s="364"/>
      <c r="Q1517" s="364"/>
      <c r="R1517" s="129"/>
      <c r="S1517" s="129"/>
      <c r="T1517" s="129"/>
      <c r="W1517" s="129" t="s">
        <v>286</v>
      </c>
      <c r="X1517" s="337" t="b">
        <f t="shared" si="56"/>
        <v>1</v>
      </c>
    </row>
    <row r="1518" spans="1:24" s="337" customFormat="1" ht="12" customHeight="1" outlineLevel="1">
      <c r="A1518" s="335"/>
      <c r="B1518" s="118" t="s">
        <v>12</v>
      </c>
      <c r="C1518" s="334" t="s">
        <v>7833</v>
      </c>
      <c r="D1518" s="124" t="s">
        <v>7834</v>
      </c>
      <c r="E1518" s="125"/>
      <c r="F1518" s="118" t="s">
        <v>433</v>
      </c>
      <c r="G1518" s="126" t="s">
        <v>7334</v>
      </c>
      <c r="H1518" s="255">
        <v>5</v>
      </c>
      <c r="I1518" s="361">
        <v>1</v>
      </c>
      <c r="J1518" s="362" t="s">
        <v>286</v>
      </c>
      <c r="K1518" s="363"/>
      <c r="L1518" s="129"/>
      <c r="M1518" s="129"/>
      <c r="N1518" s="129"/>
      <c r="O1518" s="129"/>
      <c r="P1518" s="364"/>
      <c r="Q1518" s="364"/>
      <c r="R1518" s="129"/>
      <c r="S1518" s="129"/>
      <c r="T1518" s="129"/>
      <c r="W1518" s="129" t="s">
        <v>286</v>
      </c>
      <c r="X1518" s="337" t="b">
        <f t="shared" si="56"/>
        <v>1</v>
      </c>
    </row>
    <row r="1519" spans="1:24" s="337" customFormat="1" ht="12" customHeight="1" outlineLevel="1">
      <c r="A1519" s="335"/>
      <c r="B1519" s="118" t="s">
        <v>12</v>
      </c>
      <c r="C1519" s="334" t="s">
        <v>7835</v>
      </c>
      <c r="D1519" s="124" t="s">
        <v>7836</v>
      </c>
      <c r="E1519" s="125"/>
      <c r="F1519" s="118" t="s">
        <v>433</v>
      </c>
      <c r="G1519" s="126" t="s">
        <v>7334</v>
      </c>
      <c r="H1519" s="255">
        <v>5</v>
      </c>
      <c r="I1519" s="361">
        <v>1</v>
      </c>
      <c r="J1519" s="362" t="s">
        <v>286</v>
      </c>
      <c r="K1519" s="363"/>
      <c r="L1519" s="129"/>
      <c r="M1519" s="129"/>
      <c r="N1519" s="129"/>
      <c r="O1519" s="129"/>
      <c r="P1519" s="364"/>
      <c r="Q1519" s="364"/>
      <c r="R1519" s="129"/>
      <c r="S1519" s="129"/>
      <c r="T1519" s="129"/>
      <c r="W1519" s="129" t="s">
        <v>286</v>
      </c>
      <c r="X1519" s="337" t="b">
        <f t="shared" si="56"/>
        <v>1</v>
      </c>
    </row>
    <row r="1520" spans="1:24" s="337" customFormat="1" ht="12" customHeight="1" outlineLevel="1">
      <c r="A1520" s="335"/>
      <c r="B1520" s="118" t="s">
        <v>12</v>
      </c>
      <c r="C1520" s="334" t="s">
        <v>7837</v>
      </c>
      <c r="D1520" s="124" t="s">
        <v>7838</v>
      </c>
      <c r="E1520" s="125"/>
      <c r="F1520" s="118" t="s">
        <v>433</v>
      </c>
      <c r="G1520" s="126" t="s">
        <v>7334</v>
      </c>
      <c r="H1520" s="255">
        <v>5</v>
      </c>
      <c r="I1520" s="361">
        <v>1</v>
      </c>
      <c r="J1520" s="362" t="s">
        <v>286</v>
      </c>
      <c r="K1520" s="363"/>
      <c r="L1520" s="129"/>
      <c r="M1520" s="129"/>
      <c r="N1520" s="129"/>
      <c r="O1520" s="129"/>
      <c r="P1520" s="364"/>
      <c r="Q1520" s="364"/>
      <c r="R1520" s="129"/>
      <c r="S1520" s="129"/>
      <c r="T1520" s="129"/>
      <c r="W1520" s="129" t="s">
        <v>286</v>
      </c>
      <c r="X1520" s="337" t="b">
        <f t="shared" si="56"/>
        <v>1</v>
      </c>
    </row>
    <row r="1521" spans="1:24" s="337" customFormat="1" ht="12" customHeight="1" outlineLevel="1">
      <c r="A1521" s="335"/>
      <c r="B1521" s="118" t="s">
        <v>12</v>
      </c>
      <c r="C1521" s="334" t="s">
        <v>7839</v>
      </c>
      <c r="D1521" s="124" t="s">
        <v>7840</v>
      </c>
      <c r="E1521" s="125"/>
      <c r="F1521" s="118" t="s">
        <v>433</v>
      </c>
      <c r="G1521" s="126" t="s">
        <v>7334</v>
      </c>
      <c r="H1521" s="255">
        <v>5</v>
      </c>
      <c r="I1521" s="361">
        <v>1</v>
      </c>
      <c r="J1521" s="362" t="s">
        <v>310</v>
      </c>
      <c r="K1521" s="363"/>
      <c r="L1521" s="129"/>
      <c r="M1521" s="129"/>
      <c r="N1521" s="129"/>
      <c r="O1521" s="129"/>
      <c r="P1521" s="364"/>
      <c r="Q1521" s="364"/>
      <c r="R1521" s="129"/>
      <c r="S1521" s="129"/>
      <c r="T1521" s="129"/>
      <c r="W1521" s="129" t="s">
        <v>286</v>
      </c>
      <c r="X1521" s="337" t="b">
        <f t="shared" si="56"/>
        <v>0</v>
      </c>
    </row>
    <row r="1522" spans="1:24" s="337" customFormat="1" ht="12" customHeight="1" outlineLevel="1">
      <c r="A1522" s="335"/>
      <c r="B1522" s="118" t="s">
        <v>12</v>
      </c>
      <c r="C1522" s="334" t="s">
        <v>7841</v>
      </c>
      <c r="D1522" s="124" t="s">
        <v>7842</v>
      </c>
      <c r="E1522" s="125"/>
      <c r="F1522" s="118" t="s">
        <v>433</v>
      </c>
      <c r="G1522" s="126" t="s">
        <v>7334</v>
      </c>
      <c r="H1522" s="255">
        <v>5</v>
      </c>
      <c r="I1522" s="361">
        <v>1</v>
      </c>
      <c r="J1522" s="362" t="s">
        <v>310</v>
      </c>
      <c r="K1522" s="363"/>
      <c r="L1522" s="129"/>
      <c r="M1522" s="129"/>
      <c r="N1522" s="129"/>
      <c r="O1522" s="129"/>
      <c r="P1522" s="364"/>
      <c r="Q1522" s="364"/>
      <c r="R1522" s="129"/>
      <c r="S1522" s="129"/>
      <c r="T1522" s="129"/>
      <c r="W1522" s="129" t="s">
        <v>286</v>
      </c>
      <c r="X1522" s="337" t="b">
        <f t="shared" si="56"/>
        <v>0</v>
      </c>
    </row>
    <row r="1523" spans="1:24" s="337" customFormat="1" ht="12" customHeight="1" outlineLevel="1">
      <c r="A1523" s="335"/>
      <c r="B1523" s="118" t="s">
        <v>12</v>
      </c>
      <c r="C1523" s="334" t="s">
        <v>7843</v>
      </c>
      <c r="D1523" s="124" t="s">
        <v>7844</v>
      </c>
      <c r="E1523" s="125"/>
      <c r="F1523" s="118" t="s">
        <v>433</v>
      </c>
      <c r="G1523" s="126" t="s">
        <v>7334</v>
      </c>
      <c r="H1523" s="255">
        <v>5</v>
      </c>
      <c r="I1523" s="361">
        <v>1</v>
      </c>
      <c r="J1523" s="362" t="s">
        <v>286</v>
      </c>
      <c r="K1523" s="363"/>
      <c r="L1523" s="129"/>
      <c r="M1523" s="129"/>
      <c r="N1523" s="129"/>
      <c r="O1523" s="129"/>
      <c r="P1523" s="364"/>
      <c r="Q1523" s="364"/>
      <c r="R1523" s="129"/>
      <c r="S1523" s="129"/>
      <c r="T1523" s="129"/>
      <c r="W1523" s="129" t="s">
        <v>286</v>
      </c>
      <c r="X1523" s="337" t="b">
        <f t="shared" si="56"/>
        <v>1</v>
      </c>
    </row>
    <row r="1524" spans="1:24" s="337" customFormat="1" ht="12" customHeight="1" outlineLevel="1">
      <c r="A1524" s="335"/>
      <c r="B1524" s="118" t="s">
        <v>12</v>
      </c>
      <c r="C1524" s="334" t="s">
        <v>7845</v>
      </c>
      <c r="D1524" s="124" t="s">
        <v>7846</v>
      </c>
      <c r="E1524" s="125"/>
      <c r="F1524" s="118" t="s">
        <v>433</v>
      </c>
      <c r="G1524" s="126" t="s">
        <v>7334</v>
      </c>
      <c r="H1524" s="255">
        <v>5</v>
      </c>
      <c r="I1524" s="361">
        <v>1</v>
      </c>
      <c r="J1524" s="362" t="s">
        <v>286</v>
      </c>
      <c r="K1524" s="363"/>
      <c r="L1524" s="129"/>
      <c r="M1524" s="129"/>
      <c r="N1524" s="129"/>
      <c r="O1524" s="129"/>
      <c r="P1524" s="364"/>
      <c r="Q1524" s="364"/>
      <c r="R1524" s="129"/>
      <c r="S1524" s="129"/>
      <c r="T1524" s="129"/>
      <c r="W1524" s="129" t="s">
        <v>286</v>
      </c>
      <c r="X1524" s="337" t="b">
        <f t="shared" si="56"/>
        <v>1</v>
      </c>
    </row>
    <row r="1525" spans="1:24" s="337" customFormat="1" ht="12" customHeight="1" outlineLevel="1">
      <c r="A1525" s="335"/>
      <c r="B1525" s="118" t="s">
        <v>12</v>
      </c>
      <c r="C1525" s="334" t="s">
        <v>7847</v>
      </c>
      <c r="D1525" s="124" t="s">
        <v>7848</v>
      </c>
      <c r="E1525" s="125"/>
      <c r="F1525" s="118" t="s">
        <v>433</v>
      </c>
      <c r="G1525" s="126" t="s">
        <v>7334</v>
      </c>
      <c r="H1525" s="255">
        <v>5</v>
      </c>
      <c r="I1525" s="361">
        <v>1</v>
      </c>
      <c r="J1525" s="362" t="s">
        <v>286</v>
      </c>
      <c r="K1525" s="363"/>
      <c r="L1525" s="129"/>
      <c r="M1525" s="129"/>
      <c r="N1525" s="129"/>
      <c r="O1525" s="129"/>
      <c r="P1525" s="364"/>
      <c r="Q1525" s="364"/>
      <c r="R1525" s="129"/>
      <c r="S1525" s="129"/>
      <c r="T1525" s="129"/>
      <c r="W1525" s="129" t="s">
        <v>286</v>
      </c>
      <c r="X1525" s="337" t="b">
        <f t="shared" si="56"/>
        <v>1</v>
      </c>
    </row>
    <row r="1526" spans="1:24" s="337" customFormat="1" ht="12" customHeight="1" outlineLevel="1">
      <c r="A1526" s="335"/>
      <c r="B1526" s="118" t="s">
        <v>12</v>
      </c>
      <c r="C1526" s="334" t="s">
        <v>7849</v>
      </c>
      <c r="D1526" s="124" t="s">
        <v>7850</v>
      </c>
      <c r="E1526" s="125"/>
      <c r="F1526" s="118" t="s">
        <v>433</v>
      </c>
      <c r="G1526" s="126" t="s">
        <v>7334</v>
      </c>
      <c r="H1526" s="255">
        <v>5</v>
      </c>
      <c r="I1526" s="361">
        <v>1</v>
      </c>
      <c r="J1526" s="362" t="s">
        <v>286</v>
      </c>
      <c r="K1526" s="363"/>
      <c r="L1526" s="129"/>
      <c r="M1526" s="129"/>
      <c r="N1526" s="129"/>
      <c r="O1526" s="129"/>
      <c r="P1526" s="364"/>
      <c r="Q1526" s="364"/>
      <c r="R1526" s="129"/>
      <c r="S1526" s="129"/>
      <c r="T1526" s="129"/>
      <c r="W1526" s="129" t="s">
        <v>286</v>
      </c>
      <c r="X1526" s="337" t="b">
        <f t="shared" si="56"/>
        <v>1</v>
      </c>
    </row>
    <row r="1527" spans="1:24" s="337" customFormat="1" ht="12" customHeight="1" outlineLevel="1">
      <c r="A1527" s="335"/>
      <c r="B1527" s="118" t="s">
        <v>12</v>
      </c>
      <c r="C1527" s="334" t="s">
        <v>7851</v>
      </c>
      <c r="D1527" s="124" t="s">
        <v>7852</v>
      </c>
      <c r="E1527" s="125"/>
      <c r="F1527" s="118" t="s">
        <v>433</v>
      </c>
      <c r="G1527" s="126" t="s">
        <v>7334</v>
      </c>
      <c r="H1527" s="255">
        <v>5</v>
      </c>
      <c r="I1527" s="361">
        <v>1</v>
      </c>
      <c r="J1527" s="362" t="s">
        <v>286</v>
      </c>
      <c r="K1527" s="363"/>
      <c r="L1527" s="129"/>
      <c r="M1527" s="129"/>
      <c r="N1527" s="129"/>
      <c r="O1527" s="129"/>
      <c r="P1527" s="364"/>
      <c r="Q1527" s="364"/>
      <c r="R1527" s="129"/>
      <c r="S1527" s="129"/>
      <c r="T1527" s="129"/>
      <c r="W1527" s="129" t="s">
        <v>286</v>
      </c>
      <c r="X1527" s="337" t="b">
        <f t="shared" si="56"/>
        <v>1</v>
      </c>
    </row>
    <row r="1528" spans="1:24" s="337" customFormat="1" ht="12" customHeight="1" outlineLevel="1">
      <c r="A1528" s="335"/>
      <c r="B1528" s="118" t="s">
        <v>12</v>
      </c>
      <c r="C1528" s="334" t="s">
        <v>7853</v>
      </c>
      <c r="D1528" s="124" t="s">
        <v>7854</v>
      </c>
      <c r="E1528" s="125"/>
      <c r="F1528" s="118" t="s">
        <v>433</v>
      </c>
      <c r="G1528" s="126" t="s">
        <v>7334</v>
      </c>
      <c r="H1528" s="255">
        <v>5</v>
      </c>
      <c r="I1528" s="361">
        <v>1</v>
      </c>
      <c r="J1528" s="362" t="s">
        <v>286</v>
      </c>
      <c r="K1528" s="363"/>
      <c r="L1528" s="129"/>
      <c r="M1528" s="129"/>
      <c r="N1528" s="129"/>
      <c r="O1528" s="129"/>
      <c r="P1528" s="364"/>
      <c r="Q1528" s="364"/>
      <c r="R1528" s="129"/>
      <c r="S1528" s="129"/>
      <c r="T1528" s="129"/>
      <c r="W1528" s="129" t="s">
        <v>4876</v>
      </c>
      <c r="X1528" s="337" t="b">
        <f t="shared" si="56"/>
        <v>0</v>
      </c>
    </row>
    <row r="1529" spans="1:24" s="337" customFormat="1" ht="12" customHeight="1" outlineLevel="1">
      <c r="A1529" s="335"/>
      <c r="B1529" s="118" t="s">
        <v>12</v>
      </c>
      <c r="C1529" s="334" t="s">
        <v>7855</v>
      </c>
      <c r="D1529" s="124" t="s">
        <v>7856</v>
      </c>
      <c r="E1529" s="125"/>
      <c r="F1529" s="118" t="s">
        <v>433</v>
      </c>
      <c r="G1529" s="126" t="s">
        <v>7857</v>
      </c>
      <c r="H1529" s="255">
        <v>8</v>
      </c>
      <c r="I1529" s="361">
        <v>1</v>
      </c>
      <c r="J1529" s="362" t="s">
        <v>286</v>
      </c>
      <c r="K1529" s="363"/>
      <c r="L1529" s="129"/>
      <c r="M1529" s="129"/>
      <c r="N1529" s="129"/>
      <c r="O1529" s="129"/>
      <c r="P1529" s="364"/>
      <c r="Q1529" s="364"/>
      <c r="R1529" s="129"/>
      <c r="S1529" s="129"/>
      <c r="T1529" s="129"/>
      <c r="W1529" s="129" t="s">
        <v>286</v>
      </c>
      <c r="X1529" s="337" t="b">
        <f t="shared" si="56"/>
        <v>1</v>
      </c>
    </row>
    <row r="1530" spans="1:24" s="337" customFormat="1" ht="12" customHeight="1" outlineLevel="1">
      <c r="A1530" s="335"/>
      <c r="B1530" s="118" t="s">
        <v>12</v>
      </c>
      <c r="C1530" s="334" t="s">
        <v>7858</v>
      </c>
      <c r="D1530" s="124" t="s">
        <v>7856</v>
      </c>
      <c r="E1530" s="125"/>
      <c r="F1530" s="118" t="s">
        <v>433</v>
      </c>
      <c r="G1530" s="126" t="s">
        <v>7857</v>
      </c>
      <c r="H1530" s="255">
        <v>8</v>
      </c>
      <c r="I1530" s="361">
        <v>1</v>
      </c>
      <c r="J1530" s="362" t="s">
        <v>286</v>
      </c>
      <c r="K1530" s="363"/>
      <c r="L1530" s="129"/>
      <c r="M1530" s="129"/>
      <c r="N1530" s="129"/>
      <c r="O1530" s="129"/>
      <c r="P1530" s="364"/>
      <c r="Q1530" s="364"/>
      <c r="R1530" s="129"/>
      <c r="S1530" s="129"/>
      <c r="T1530" s="129"/>
      <c r="W1530" s="129" t="s">
        <v>286</v>
      </c>
      <c r="X1530" s="337" t="b">
        <f t="shared" ref="X1530:X1593" si="57">W1530=J1530</f>
        <v>1</v>
      </c>
    </row>
    <row r="1531" spans="1:24" s="337" customFormat="1" ht="12" customHeight="1" outlineLevel="1">
      <c r="A1531" s="335"/>
      <c r="B1531" s="118" t="s">
        <v>12</v>
      </c>
      <c r="C1531" s="334" t="s">
        <v>7859</v>
      </c>
      <c r="D1531" s="124" t="s">
        <v>7860</v>
      </c>
      <c r="E1531" s="125"/>
      <c r="F1531" s="118" t="s">
        <v>433</v>
      </c>
      <c r="G1531" s="126" t="s">
        <v>7861</v>
      </c>
      <c r="H1531" s="255">
        <v>6</v>
      </c>
      <c r="I1531" s="361">
        <v>1</v>
      </c>
      <c r="J1531" s="362" t="s">
        <v>307</v>
      </c>
      <c r="K1531" s="363"/>
      <c r="L1531" s="129"/>
      <c r="M1531" s="129"/>
      <c r="N1531" s="129"/>
      <c r="O1531" s="129"/>
      <c r="P1531" s="364"/>
      <c r="Q1531" s="364"/>
      <c r="R1531" s="129"/>
      <c r="S1531" s="129"/>
      <c r="T1531" s="129"/>
      <c r="W1531" s="129" t="s">
        <v>310</v>
      </c>
      <c r="X1531" s="337" t="b">
        <f t="shared" si="57"/>
        <v>0</v>
      </c>
    </row>
    <row r="1532" spans="1:24" s="337" customFormat="1" ht="12" customHeight="1" outlineLevel="1">
      <c r="A1532" s="335"/>
      <c r="B1532" s="118" t="s">
        <v>12</v>
      </c>
      <c r="C1532" s="334" t="s">
        <v>7862</v>
      </c>
      <c r="D1532" s="124" t="s">
        <v>7863</v>
      </c>
      <c r="E1532" s="125"/>
      <c r="F1532" s="118" t="s">
        <v>433</v>
      </c>
      <c r="G1532" s="126" t="s">
        <v>7861</v>
      </c>
      <c r="H1532" s="255">
        <v>6</v>
      </c>
      <c r="I1532" s="361">
        <v>1</v>
      </c>
      <c r="J1532" s="362" t="s">
        <v>310</v>
      </c>
      <c r="K1532" s="363"/>
      <c r="L1532" s="129"/>
      <c r="M1532" s="129"/>
      <c r="N1532" s="129"/>
      <c r="O1532" s="129"/>
      <c r="P1532" s="364"/>
      <c r="Q1532" s="364"/>
      <c r="R1532" s="129"/>
      <c r="S1532" s="129"/>
      <c r="T1532" s="129"/>
      <c r="W1532" s="129" t="s">
        <v>286</v>
      </c>
      <c r="X1532" s="337" t="b">
        <f t="shared" si="57"/>
        <v>0</v>
      </c>
    </row>
    <row r="1533" spans="1:24" s="337" customFormat="1" ht="12" customHeight="1" outlineLevel="1">
      <c r="A1533" s="335"/>
      <c r="B1533" s="118" t="s">
        <v>12</v>
      </c>
      <c r="C1533" s="334" t="s">
        <v>7864</v>
      </c>
      <c r="D1533" s="124" t="s">
        <v>7865</v>
      </c>
      <c r="E1533" s="125"/>
      <c r="F1533" s="118" t="s">
        <v>433</v>
      </c>
      <c r="G1533" s="126" t="s">
        <v>7861</v>
      </c>
      <c r="H1533" s="255">
        <v>6</v>
      </c>
      <c r="I1533" s="361">
        <v>1</v>
      </c>
      <c r="J1533" s="362" t="s">
        <v>6147</v>
      </c>
      <c r="K1533" s="363"/>
      <c r="L1533" s="129"/>
      <c r="M1533" s="129"/>
      <c r="N1533" s="129"/>
      <c r="O1533" s="129"/>
      <c r="P1533" s="364"/>
      <c r="Q1533" s="364"/>
      <c r="R1533" s="129"/>
      <c r="S1533" s="129"/>
      <c r="T1533" s="129"/>
      <c r="W1533" s="129" t="s">
        <v>286</v>
      </c>
      <c r="X1533" s="337" t="b">
        <f t="shared" si="57"/>
        <v>0</v>
      </c>
    </row>
    <row r="1534" spans="1:24" s="337" customFormat="1" ht="12" customHeight="1" outlineLevel="1">
      <c r="A1534" s="335"/>
      <c r="B1534" s="118" t="s">
        <v>12</v>
      </c>
      <c r="C1534" s="334" t="s">
        <v>7866</v>
      </c>
      <c r="D1534" s="124" t="s">
        <v>7867</v>
      </c>
      <c r="E1534" s="125"/>
      <c r="F1534" s="118" t="s">
        <v>433</v>
      </c>
      <c r="G1534" s="126" t="s">
        <v>7861</v>
      </c>
      <c r="H1534" s="255">
        <v>6</v>
      </c>
      <c r="I1534" s="361">
        <v>1</v>
      </c>
      <c r="J1534" s="362" t="s">
        <v>286</v>
      </c>
      <c r="K1534" s="363"/>
      <c r="L1534" s="129"/>
      <c r="M1534" s="129"/>
      <c r="N1534" s="129"/>
      <c r="O1534" s="129"/>
      <c r="P1534" s="364"/>
      <c r="Q1534" s="364"/>
      <c r="R1534" s="129"/>
      <c r="S1534" s="129"/>
      <c r="T1534" s="129"/>
      <c r="W1534" s="129" t="s">
        <v>286</v>
      </c>
      <c r="X1534" s="337" t="b">
        <f t="shared" si="57"/>
        <v>1</v>
      </c>
    </row>
    <row r="1535" spans="1:24" s="337" customFormat="1" ht="12" customHeight="1" outlineLevel="1">
      <c r="A1535" s="335"/>
      <c r="B1535" s="118" t="s">
        <v>12</v>
      </c>
      <c r="C1535" s="334" t="s">
        <v>7868</v>
      </c>
      <c r="D1535" s="124" t="s">
        <v>7869</v>
      </c>
      <c r="E1535" s="125"/>
      <c r="F1535" s="118" t="s">
        <v>433</v>
      </c>
      <c r="G1535" s="126" t="s">
        <v>7861</v>
      </c>
      <c r="H1535" s="255">
        <v>6</v>
      </c>
      <c r="I1535" s="361">
        <v>1</v>
      </c>
      <c r="J1535" s="362" t="s">
        <v>743</v>
      </c>
      <c r="K1535" s="363"/>
      <c r="L1535" s="129"/>
      <c r="M1535" s="129"/>
      <c r="N1535" s="129"/>
      <c r="O1535" s="129"/>
      <c r="P1535" s="364"/>
      <c r="Q1535" s="364"/>
      <c r="R1535" s="129"/>
      <c r="S1535" s="129"/>
      <c r="T1535" s="129"/>
      <c r="W1535" s="129" t="s">
        <v>286</v>
      </c>
      <c r="X1535" s="337" t="b">
        <f t="shared" si="57"/>
        <v>0</v>
      </c>
    </row>
    <row r="1536" spans="1:24" s="337" customFormat="1" ht="12" customHeight="1" outlineLevel="1">
      <c r="A1536" s="335"/>
      <c r="B1536" s="118" t="s">
        <v>12</v>
      </c>
      <c r="C1536" s="334" t="s">
        <v>7870</v>
      </c>
      <c r="D1536" s="124" t="s">
        <v>7871</v>
      </c>
      <c r="E1536" s="125"/>
      <c r="F1536" s="118" t="s">
        <v>433</v>
      </c>
      <c r="G1536" s="126" t="s">
        <v>7861</v>
      </c>
      <c r="H1536" s="255">
        <v>6</v>
      </c>
      <c r="I1536" s="361">
        <v>1</v>
      </c>
      <c r="J1536" s="362" t="s">
        <v>286</v>
      </c>
      <c r="K1536" s="363"/>
      <c r="L1536" s="129"/>
      <c r="M1536" s="129"/>
      <c r="N1536" s="129"/>
      <c r="O1536" s="129"/>
      <c r="P1536" s="364"/>
      <c r="Q1536" s="364"/>
      <c r="R1536" s="129"/>
      <c r="S1536" s="129"/>
      <c r="T1536" s="129"/>
      <c r="W1536" s="129" t="s">
        <v>286</v>
      </c>
      <c r="X1536" s="337" t="b">
        <f t="shared" si="57"/>
        <v>1</v>
      </c>
    </row>
    <row r="1537" spans="1:24" s="337" customFormat="1" ht="12" customHeight="1" outlineLevel="1">
      <c r="A1537" s="335"/>
      <c r="B1537" s="118" t="s">
        <v>12</v>
      </c>
      <c r="C1537" s="334" t="s">
        <v>7872</v>
      </c>
      <c r="D1537" s="124" t="s">
        <v>7873</v>
      </c>
      <c r="E1537" s="125"/>
      <c r="F1537" s="118" t="s">
        <v>433</v>
      </c>
      <c r="G1537" s="126" t="s">
        <v>7861</v>
      </c>
      <c r="H1537" s="255">
        <v>6</v>
      </c>
      <c r="I1537" s="361">
        <v>1</v>
      </c>
      <c r="J1537" s="362" t="s">
        <v>286</v>
      </c>
      <c r="K1537" s="363"/>
      <c r="L1537" s="129"/>
      <c r="M1537" s="129"/>
      <c r="N1537" s="129"/>
      <c r="O1537" s="129"/>
      <c r="P1537" s="364"/>
      <c r="Q1537" s="364"/>
      <c r="R1537" s="129"/>
      <c r="S1537" s="129"/>
      <c r="T1537" s="129"/>
      <c r="W1537" s="129" t="s">
        <v>4876</v>
      </c>
      <c r="X1537" s="337" t="b">
        <f t="shared" si="57"/>
        <v>0</v>
      </c>
    </row>
    <row r="1538" spans="1:24" s="337" customFormat="1" ht="12" customHeight="1" outlineLevel="1">
      <c r="A1538" s="335"/>
      <c r="B1538" s="118" t="s">
        <v>12</v>
      </c>
      <c r="C1538" s="334" t="s">
        <v>7874</v>
      </c>
      <c r="D1538" s="124" t="s">
        <v>7875</v>
      </c>
      <c r="E1538" s="125"/>
      <c r="F1538" s="118" t="s">
        <v>433</v>
      </c>
      <c r="G1538" s="126" t="s">
        <v>7861</v>
      </c>
      <c r="H1538" s="255">
        <v>6</v>
      </c>
      <c r="I1538" s="361">
        <v>1</v>
      </c>
      <c r="J1538" s="362" t="s">
        <v>310</v>
      </c>
      <c r="K1538" s="363"/>
      <c r="L1538" s="129"/>
      <c r="M1538" s="129"/>
      <c r="N1538" s="129"/>
      <c r="O1538" s="129"/>
      <c r="P1538" s="364"/>
      <c r="Q1538" s="364"/>
      <c r="R1538" s="129"/>
      <c r="S1538" s="129"/>
      <c r="T1538" s="129"/>
      <c r="W1538" s="129" t="s">
        <v>310</v>
      </c>
      <c r="X1538" s="337" t="b">
        <f t="shared" si="57"/>
        <v>1</v>
      </c>
    </row>
    <row r="1539" spans="1:24" s="337" customFormat="1" ht="12" customHeight="1" outlineLevel="1">
      <c r="A1539" s="335"/>
      <c r="B1539" s="118" t="s">
        <v>12</v>
      </c>
      <c r="C1539" s="334" t="s">
        <v>7876</v>
      </c>
      <c r="D1539" s="124" t="s">
        <v>7877</v>
      </c>
      <c r="E1539" s="125"/>
      <c r="F1539" s="118" t="s">
        <v>433</v>
      </c>
      <c r="G1539" s="126" t="s">
        <v>7861</v>
      </c>
      <c r="H1539" s="255">
        <v>6</v>
      </c>
      <c r="I1539" s="361">
        <v>1</v>
      </c>
      <c r="J1539" s="362" t="s">
        <v>286</v>
      </c>
      <c r="K1539" s="363"/>
      <c r="L1539" s="129"/>
      <c r="M1539" s="129"/>
      <c r="N1539" s="129"/>
      <c r="O1539" s="129"/>
      <c r="P1539" s="364"/>
      <c r="Q1539" s="364"/>
      <c r="R1539" s="129"/>
      <c r="S1539" s="129"/>
      <c r="T1539" s="129"/>
      <c r="W1539" s="129" t="s">
        <v>286</v>
      </c>
      <c r="X1539" s="337" t="b">
        <f t="shared" si="57"/>
        <v>1</v>
      </c>
    </row>
    <row r="1540" spans="1:24" s="337" customFormat="1" ht="12" customHeight="1" outlineLevel="1">
      <c r="A1540" s="335"/>
      <c r="B1540" s="118" t="s">
        <v>12</v>
      </c>
      <c r="C1540" s="334" t="s">
        <v>7878</v>
      </c>
      <c r="D1540" s="124" t="s">
        <v>7879</v>
      </c>
      <c r="E1540" s="125"/>
      <c r="F1540" s="118" t="s">
        <v>433</v>
      </c>
      <c r="G1540" s="126" t="s">
        <v>7861</v>
      </c>
      <c r="H1540" s="255">
        <v>6</v>
      </c>
      <c r="I1540" s="361">
        <v>1</v>
      </c>
      <c r="J1540" s="362" t="s">
        <v>286</v>
      </c>
      <c r="K1540" s="363"/>
      <c r="L1540" s="129"/>
      <c r="M1540" s="129"/>
      <c r="N1540" s="129"/>
      <c r="O1540" s="129"/>
      <c r="P1540" s="364"/>
      <c r="Q1540" s="364"/>
      <c r="R1540" s="129"/>
      <c r="S1540" s="129"/>
      <c r="T1540" s="129"/>
      <c r="W1540" s="129" t="s">
        <v>286</v>
      </c>
      <c r="X1540" s="337" t="b">
        <f t="shared" si="57"/>
        <v>1</v>
      </c>
    </row>
    <row r="1541" spans="1:24" s="337" customFormat="1" ht="12" customHeight="1" outlineLevel="1">
      <c r="A1541" s="335"/>
      <c r="B1541" s="118" t="s">
        <v>12</v>
      </c>
      <c r="C1541" s="334" t="s">
        <v>7880</v>
      </c>
      <c r="D1541" s="124" t="s">
        <v>7881</v>
      </c>
      <c r="E1541" s="125"/>
      <c r="F1541" s="118" t="s">
        <v>433</v>
      </c>
      <c r="G1541" s="126" t="s">
        <v>7857</v>
      </c>
      <c r="H1541" s="255">
        <v>8</v>
      </c>
      <c r="I1541" s="361">
        <v>1</v>
      </c>
      <c r="J1541" s="362" t="s">
        <v>286</v>
      </c>
      <c r="K1541" s="363"/>
      <c r="L1541" s="129"/>
      <c r="M1541" s="129"/>
      <c r="N1541" s="129"/>
      <c r="O1541" s="129"/>
      <c r="P1541" s="364"/>
      <c r="Q1541" s="364"/>
      <c r="R1541" s="129"/>
      <c r="S1541" s="129"/>
      <c r="T1541" s="129"/>
      <c r="W1541" s="129" t="s">
        <v>286</v>
      </c>
      <c r="X1541" s="337" t="b">
        <f t="shared" si="57"/>
        <v>1</v>
      </c>
    </row>
    <row r="1542" spans="1:24" s="337" customFormat="1" ht="12" customHeight="1" outlineLevel="1">
      <c r="A1542" s="335"/>
      <c r="B1542" s="118" t="s">
        <v>12</v>
      </c>
      <c r="C1542" s="334" t="s">
        <v>7882</v>
      </c>
      <c r="D1542" s="124" t="s">
        <v>7883</v>
      </c>
      <c r="E1542" s="125"/>
      <c r="F1542" s="118" t="s">
        <v>433</v>
      </c>
      <c r="G1542" s="126" t="s">
        <v>7861</v>
      </c>
      <c r="H1542" s="255">
        <v>6</v>
      </c>
      <c r="I1542" s="361">
        <v>1</v>
      </c>
      <c r="J1542" s="362" t="s">
        <v>310</v>
      </c>
      <c r="K1542" s="363"/>
      <c r="L1542" s="129"/>
      <c r="M1542" s="129"/>
      <c r="N1542" s="129"/>
      <c r="O1542" s="129"/>
      <c r="P1542" s="364"/>
      <c r="Q1542" s="364"/>
      <c r="R1542" s="129"/>
      <c r="S1542" s="129"/>
      <c r="T1542" s="129"/>
      <c r="W1542" s="129" t="s">
        <v>286</v>
      </c>
      <c r="X1542" s="337" t="b">
        <f t="shared" si="57"/>
        <v>0</v>
      </c>
    </row>
    <row r="1543" spans="1:24" s="337" customFormat="1" ht="12" customHeight="1" outlineLevel="1">
      <c r="A1543" s="335"/>
      <c r="B1543" s="118" t="s">
        <v>12</v>
      </c>
      <c r="C1543" s="334" t="s">
        <v>7884</v>
      </c>
      <c r="D1543" s="124" t="s">
        <v>7885</v>
      </c>
      <c r="E1543" s="125"/>
      <c r="F1543" s="118" t="s">
        <v>433</v>
      </c>
      <c r="G1543" s="126" t="s">
        <v>7861</v>
      </c>
      <c r="H1543" s="255">
        <v>6</v>
      </c>
      <c r="I1543" s="361">
        <v>1</v>
      </c>
      <c r="J1543" s="362" t="s">
        <v>310</v>
      </c>
      <c r="K1543" s="363"/>
      <c r="L1543" s="129"/>
      <c r="M1543" s="129"/>
      <c r="N1543" s="129"/>
      <c r="O1543" s="129"/>
      <c r="P1543" s="364"/>
      <c r="Q1543" s="364"/>
      <c r="R1543" s="129"/>
      <c r="S1543" s="129"/>
      <c r="T1543" s="129"/>
      <c r="W1543" s="129" t="s">
        <v>286</v>
      </c>
      <c r="X1543" s="337" t="b">
        <f t="shared" si="57"/>
        <v>0</v>
      </c>
    </row>
    <row r="1544" spans="1:24" s="337" customFormat="1" ht="12" customHeight="1" outlineLevel="1">
      <c r="A1544" s="335"/>
      <c r="B1544" s="118" t="s">
        <v>12</v>
      </c>
      <c r="C1544" s="334" t="s">
        <v>7886</v>
      </c>
      <c r="D1544" s="124" t="s">
        <v>7887</v>
      </c>
      <c r="E1544" s="125"/>
      <c r="F1544" s="118" t="s">
        <v>433</v>
      </c>
      <c r="G1544" s="126" t="s">
        <v>7861</v>
      </c>
      <c r="H1544" s="255">
        <v>6</v>
      </c>
      <c r="I1544" s="361">
        <v>1</v>
      </c>
      <c r="J1544" s="362" t="s">
        <v>310</v>
      </c>
      <c r="K1544" s="363"/>
      <c r="L1544" s="129"/>
      <c r="M1544" s="129"/>
      <c r="N1544" s="129"/>
      <c r="O1544" s="129"/>
      <c r="P1544" s="364"/>
      <c r="Q1544" s="364"/>
      <c r="R1544" s="129"/>
      <c r="S1544" s="129"/>
      <c r="T1544" s="129"/>
      <c r="W1544" s="129" t="s">
        <v>286</v>
      </c>
      <c r="X1544" s="337" t="b">
        <f t="shared" si="57"/>
        <v>0</v>
      </c>
    </row>
    <row r="1545" spans="1:24" s="337" customFormat="1" ht="12" customHeight="1" outlineLevel="1">
      <c r="A1545" s="335"/>
      <c r="B1545" s="118" t="s">
        <v>12</v>
      </c>
      <c r="C1545" s="334" t="s">
        <v>7888</v>
      </c>
      <c r="D1545" s="124" t="s">
        <v>7889</v>
      </c>
      <c r="E1545" s="125"/>
      <c r="F1545" s="118" t="s">
        <v>433</v>
      </c>
      <c r="G1545" s="126" t="s">
        <v>7861</v>
      </c>
      <c r="H1545" s="255">
        <v>6</v>
      </c>
      <c r="I1545" s="361">
        <v>1</v>
      </c>
      <c r="J1545" s="362" t="s">
        <v>310</v>
      </c>
      <c r="K1545" s="363"/>
      <c r="L1545" s="129"/>
      <c r="M1545" s="129"/>
      <c r="N1545" s="129"/>
      <c r="O1545" s="129"/>
      <c r="P1545" s="364"/>
      <c r="Q1545" s="364"/>
      <c r="R1545" s="129"/>
      <c r="S1545" s="129"/>
      <c r="T1545" s="129"/>
      <c r="W1545" s="129" t="s">
        <v>286</v>
      </c>
      <c r="X1545" s="337" t="b">
        <f t="shared" si="57"/>
        <v>0</v>
      </c>
    </row>
    <row r="1546" spans="1:24" s="337" customFormat="1" ht="12" customHeight="1" outlineLevel="1">
      <c r="A1546" s="335"/>
      <c r="B1546" s="118" t="s">
        <v>12</v>
      </c>
      <c r="C1546" s="334" t="s">
        <v>7890</v>
      </c>
      <c r="D1546" s="124" t="s">
        <v>7891</v>
      </c>
      <c r="E1546" s="125"/>
      <c r="F1546" s="118" t="s">
        <v>433</v>
      </c>
      <c r="G1546" s="126" t="s">
        <v>7861</v>
      </c>
      <c r="H1546" s="255">
        <v>6</v>
      </c>
      <c r="I1546" s="361">
        <v>1</v>
      </c>
      <c r="J1546" s="362" t="s">
        <v>310</v>
      </c>
      <c r="K1546" s="363"/>
      <c r="L1546" s="129"/>
      <c r="M1546" s="129"/>
      <c r="N1546" s="129"/>
      <c r="O1546" s="129"/>
      <c r="P1546" s="364"/>
      <c r="Q1546" s="364"/>
      <c r="R1546" s="129"/>
      <c r="S1546" s="129"/>
      <c r="T1546" s="129"/>
      <c r="W1546" s="129" t="s">
        <v>286</v>
      </c>
      <c r="X1546" s="337" t="b">
        <f t="shared" si="57"/>
        <v>0</v>
      </c>
    </row>
    <row r="1547" spans="1:24" s="337" customFormat="1" ht="12" customHeight="1" outlineLevel="1">
      <c r="A1547" s="335"/>
      <c r="B1547" s="118" t="s">
        <v>12</v>
      </c>
      <c r="C1547" s="334" t="s">
        <v>7892</v>
      </c>
      <c r="D1547" s="124" t="s">
        <v>6325</v>
      </c>
      <c r="E1547" s="125"/>
      <c r="F1547" s="118" t="s">
        <v>433</v>
      </c>
      <c r="G1547" s="126" t="s">
        <v>7861</v>
      </c>
      <c r="H1547" s="255">
        <v>6</v>
      </c>
      <c r="I1547" s="361">
        <v>1</v>
      </c>
      <c r="J1547" s="362" t="s">
        <v>307</v>
      </c>
      <c r="K1547" s="363"/>
      <c r="L1547" s="129"/>
      <c r="M1547" s="129"/>
      <c r="N1547" s="129"/>
      <c r="O1547" s="129"/>
      <c r="P1547" s="364"/>
      <c r="Q1547" s="364"/>
      <c r="R1547" s="129"/>
      <c r="S1547" s="129"/>
      <c r="T1547" s="129"/>
      <c r="W1547" s="129" t="s">
        <v>286</v>
      </c>
      <c r="X1547" s="337" t="b">
        <f t="shared" si="57"/>
        <v>0</v>
      </c>
    </row>
    <row r="1548" spans="1:24" s="337" customFormat="1" ht="12" customHeight="1" outlineLevel="1">
      <c r="A1548" s="335"/>
      <c r="B1548" s="118" t="s">
        <v>12</v>
      </c>
      <c r="C1548" s="334" t="s">
        <v>7893</v>
      </c>
      <c r="D1548" s="124" t="s">
        <v>7894</v>
      </c>
      <c r="E1548" s="125"/>
      <c r="F1548" s="118" t="s">
        <v>433</v>
      </c>
      <c r="G1548" s="126" t="s">
        <v>7861</v>
      </c>
      <c r="H1548" s="255">
        <v>6</v>
      </c>
      <c r="I1548" s="361">
        <v>1</v>
      </c>
      <c r="J1548" s="362" t="s">
        <v>310</v>
      </c>
      <c r="K1548" s="363"/>
      <c r="L1548" s="129"/>
      <c r="M1548" s="129"/>
      <c r="N1548" s="129"/>
      <c r="O1548" s="129"/>
      <c r="P1548" s="364"/>
      <c r="Q1548" s="364"/>
      <c r="R1548" s="129"/>
      <c r="S1548" s="129"/>
      <c r="T1548" s="129"/>
      <c r="W1548" s="129" t="s">
        <v>310</v>
      </c>
      <c r="X1548" s="337" t="b">
        <f t="shared" si="57"/>
        <v>1</v>
      </c>
    </row>
    <row r="1549" spans="1:24" s="337" customFormat="1" ht="12" customHeight="1" outlineLevel="1">
      <c r="A1549" s="335"/>
      <c r="B1549" s="118" t="s">
        <v>12</v>
      </c>
      <c r="C1549" s="334" t="s">
        <v>7895</v>
      </c>
      <c r="D1549" s="124" t="s">
        <v>7896</v>
      </c>
      <c r="E1549" s="125"/>
      <c r="F1549" s="118" t="s">
        <v>433</v>
      </c>
      <c r="G1549" s="126" t="s">
        <v>7861</v>
      </c>
      <c r="H1549" s="255">
        <v>6</v>
      </c>
      <c r="I1549" s="361">
        <v>1</v>
      </c>
      <c r="J1549" s="362" t="s">
        <v>310</v>
      </c>
      <c r="K1549" s="363"/>
      <c r="L1549" s="129"/>
      <c r="M1549" s="129"/>
      <c r="N1549" s="129"/>
      <c r="O1549" s="129"/>
      <c r="P1549" s="364"/>
      <c r="Q1549" s="364"/>
      <c r="R1549" s="129"/>
      <c r="S1549" s="129"/>
      <c r="T1549" s="129"/>
      <c r="W1549" s="129" t="s">
        <v>310</v>
      </c>
      <c r="X1549" s="337" t="b">
        <f t="shared" si="57"/>
        <v>1</v>
      </c>
    </row>
    <row r="1550" spans="1:24" s="337" customFormat="1" ht="12" customHeight="1" outlineLevel="1">
      <c r="A1550" s="335"/>
      <c r="B1550" s="118" t="s">
        <v>12</v>
      </c>
      <c r="C1550" s="334" t="s">
        <v>7897</v>
      </c>
      <c r="D1550" s="124" t="s">
        <v>7898</v>
      </c>
      <c r="E1550" s="125"/>
      <c r="F1550" s="118" t="s">
        <v>433</v>
      </c>
      <c r="G1550" s="126" t="s">
        <v>7861</v>
      </c>
      <c r="H1550" s="255">
        <v>6</v>
      </c>
      <c r="I1550" s="361">
        <v>1</v>
      </c>
      <c r="J1550" s="362" t="s">
        <v>286</v>
      </c>
      <c r="K1550" s="363"/>
      <c r="L1550" s="129"/>
      <c r="M1550" s="129"/>
      <c r="N1550" s="129"/>
      <c r="O1550" s="129"/>
      <c r="P1550" s="364"/>
      <c r="Q1550" s="364"/>
      <c r="R1550" s="129"/>
      <c r="S1550" s="129"/>
      <c r="T1550" s="129"/>
      <c r="W1550" s="129" t="s">
        <v>286</v>
      </c>
      <c r="X1550" s="337" t="b">
        <f t="shared" si="57"/>
        <v>1</v>
      </c>
    </row>
    <row r="1551" spans="1:24" s="337" customFormat="1" ht="12" customHeight="1" outlineLevel="1">
      <c r="A1551" s="335"/>
      <c r="B1551" s="118" t="s">
        <v>12</v>
      </c>
      <c r="C1551" s="334" t="s">
        <v>7899</v>
      </c>
      <c r="D1551" s="124" t="s">
        <v>7900</v>
      </c>
      <c r="E1551" s="125"/>
      <c r="F1551" s="118" t="s">
        <v>433</v>
      </c>
      <c r="G1551" s="126" t="s">
        <v>7861</v>
      </c>
      <c r="H1551" s="255">
        <v>6</v>
      </c>
      <c r="I1551" s="361">
        <v>1</v>
      </c>
      <c r="J1551" s="362" t="s">
        <v>307</v>
      </c>
      <c r="K1551" s="363"/>
      <c r="L1551" s="129"/>
      <c r="M1551" s="129"/>
      <c r="N1551" s="129"/>
      <c r="O1551" s="129"/>
      <c r="P1551" s="364"/>
      <c r="Q1551" s="364"/>
      <c r="R1551" s="129"/>
      <c r="S1551" s="129"/>
      <c r="T1551" s="129"/>
      <c r="W1551" s="129" t="s">
        <v>310</v>
      </c>
      <c r="X1551" s="337" t="b">
        <f t="shared" si="57"/>
        <v>0</v>
      </c>
    </row>
    <row r="1552" spans="1:24" s="337" customFormat="1" ht="12" customHeight="1" outlineLevel="1">
      <c r="A1552" s="335"/>
      <c r="B1552" s="118" t="s">
        <v>12</v>
      </c>
      <c r="C1552" s="334" t="s">
        <v>7901</v>
      </c>
      <c r="D1552" s="124" t="s">
        <v>7902</v>
      </c>
      <c r="E1552" s="125"/>
      <c r="F1552" s="118" t="s">
        <v>433</v>
      </c>
      <c r="G1552" s="126" t="s">
        <v>7861</v>
      </c>
      <c r="H1552" s="255">
        <v>6</v>
      </c>
      <c r="I1552" s="361">
        <v>1</v>
      </c>
      <c r="J1552" s="362" t="s">
        <v>307</v>
      </c>
      <c r="K1552" s="363"/>
      <c r="L1552" s="129"/>
      <c r="M1552" s="129"/>
      <c r="N1552" s="129"/>
      <c r="O1552" s="129"/>
      <c r="P1552" s="364"/>
      <c r="Q1552" s="364"/>
      <c r="R1552" s="129"/>
      <c r="S1552" s="129"/>
      <c r="T1552" s="129"/>
      <c r="W1552" s="129" t="s">
        <v>310</v>
      </c>
      <c r="X1552" s="337" t="b">
        <f t="shared" si="57"/>
        <v>0</v>
      </c>
    </row>
    <row r="1553" spans="1:24" s="337" customFormat="1" ht="12" customHeight="1" outlineLevel="1">
      <c r="A1553" s="335"/>
      <c r="B1553" s="118" t="s">
        <v>12</v>
      </c>
      <c r="C1553" s="334" t="s">
        <v>7903</v>
      </c>
      <c r="D1553" s="124" t="s">
        <v>7904</v>
      </c>
      <c r="E1553" s="125"/>
      <c r="F1553" s="118" t="s">
        <v>433</v>
      </c>
      <c r="G1553" s="126" t="s">
        <v>7861</v>
      </c>
      <c r="H1553" s="255">
        <v>6</v>
      </c>
      <c r="I1553" s="361">
        <v>1</v>
      </c>
      <c r="J1553" s="362" t="s">
        <v>325</v>
      </c>
      <c r="K1553" s="363"/>
      <c r="L1553" s="129"/>
      <c r="M1553" s="129"/>
      <c r="N1553" s="129"/>
      <c r="O1553" s="129"/>
      <c r="P1553" s="364"/>
      <c r="Q1553" s="364"/>
      <c r="R1553" s="129"/>
      <c r="S1553" s="129"/>
      <c r="T1553" s="129"/>
      <c r="W1553" s="129" t="s">
        <v>325</v>
      </c>
      <c r="X1553" s="337" t="b">
        <f t="shared" si="57"/>
        <v>1</v>
      </c>
    </row>
    <row r="1554" spans="1:24" s="337" customFormat="1" ht="12" customHeight="1" outlineLevel="1">
      <c r="A1554" s="335"/>
      <c r="B1554" s="118" t="s">
        <v>12</v>
      </c>
      <c r="C1554" s="334" t="s">
        <v>7905</v>
      </c>
      <c r="D1554" s="124" t="s">
        <v>7906</v>
      </c>
      <c r="E1554" s="125"/>
      <c r="F1554" s="118" t="s">
        <v>433</v>
      </c>
      <c r="G1554" s="126" t="s">
        <v>7861</v>
      </c>
      <c r="H1554" s="255">
        <v>6</v>
      </c>
      <c r="I1554" s="361">
        <v>1</v>
      </c>
      <c r="J1554" s="362" t="s">
        <v>307</v>
      </c>
      <c r="K1554" s="363"/>
      <c r="L1554" s="129"/>
      <c r="M1554" s="129"/>
      <c r="N1554" s="129"/>
      <c r="O1554" s="129"/>
      <c r="P1554" s="364"/>
      <c r="Q1554" s="364"/>
      <c r="R1554" s="129"/>
      <c r="S1554" s="129"/>
      <c r="T1554" s="129"/>
      <c r="W1554" s="129" t="s">
        <v>307</v>
      </c>
      <c r="X1554" s="337" t="b">
        <f t="shared" si="57"/>
        <v>1</v>
      </c>
    </row>
    <row r="1555" spans="1:24" s="337" customFormat="1" ht="12" customHeight="1" outlineLevel="1">
      <c r="A1555" s="335"/>
      <c r="B1555" s="118" t="s">
        <v>12</v>
      </c>
      <c r="C1555" s="334" t="s">
        <v>7907</v>
      </c>
      <c r="D1555" s="124" t="s">
        <v>7908</v>
      </c>
      <c r="E1555" s="125"/>
      <c r="F1555" s="118" t="s">
        <v>433</v>
      </c>
      <c r="G1555" s="126" t="s">
        <v>7861</v>
      </c>
      <c r="H1555" s="255">
        <v>6</v>
      </c>
      <c r="I1555" s="361">
        <v>1</v>
      </c>
      <c r="J1555" s="362" t="s">
        <v>307</v>
      </c>
      <c r="K1555" s="363"/>
      <c r="L1555" s="129"/>
      <c r="M1555" s="129"/>
      <c r="N1555" s="129"/>
      <c r="O1555" s="129"/>
      <c r="P1555" s="364"/>
      <c r="Q1555" s="364"/>
      <c r="R1555" s="129"/>
      <c r="S1555" s="129"/>
      <c r="T1555" s="129"/>
      <c r="W1555" s="129" t="s">
        <v>307</v>
      </c>
      <c r="X1555" s="337" t="b">
        <f t="shared" si="57"/>
        <v>1</v>
      </c>
    </row>
    <row r="1556" spans="1:24" s="337" customFormat="1" ht="12" customHeight="1" outlineLevel="1">
      <c r="A1556" s="335"/>
      <c r="B1556" s="118" t="s">
        <v>12</v>
      </c>
      <c r="C1556" s="334" t="s">
        <v>7909</v>
      </c>
      <c r="D1556" s="124" t="s">
        <v>7910</v>
      </c>
      <c r="E1556" s="125"/>
      <c r="F1556" s="118" t="s">
        <v>433</v>
      </c>
      <c r="G1556" s="126" t="s">
        <v>7861</v>
      </c>
      <c r="H1556" s="255">
        <v>6</v>
      </c>
      <c r="I1556" s="361">
        <v>1</v>
      </c>
      <c r="J1556" s="362" t="s">
        <v>307</v>
      </c>
      <c r="K1556" s="363"/>
      <c r="L1556" s="129"/>
      <c r="M1556" s="129"/>
      <c r="N1556" s="129"/>
      <c r="O1556" s="129"/>
      <c r="P1556" s="364"/>
      <c r="Q1556" s="364"/>
      <c r="R1556" s="129"/>
      <c r="S1556" s="129"/>
      <c r="T1556" s="129"/>
      <c r="W1556" s="129" t="s">
        <v>307</v>
      </c>
      <c r="X1556" s="337" t="b">
        <f t="shared" si="57"/>
        <v>1</v>
      </c>
    </row>
    <row r="1557" spans="1:24" s="337" customFormat="1" ht="12" customHeight="1" outlineLevel="1">
      <c r="A1557" s="335"/>
      <c r="B1557" s="118" t="s">
        <v>12</v>
      </c>
      <c r="C1557" s="334" t="s">
        <v>7911</v>
      </c>
      <c r="D1557" s="124" t="s">
        <v>7912</v>
      </c>
      <c r="E1557" s="125"/>
      <c r="F1557" s="118" t="s">
        <v>433</v>
      </c>
      <c r="G1557" s="126" t="s">
        <v>7861</v>
      </c>
      <c r="H1557" s="255">
        <v>6</v>
      </c>
      <c r="I1557" s="361">
        <v>1</v>
      </c>
      <c r="J1557" s="362" t="s">
        <v>307</v>
      </c>
      <c r="K1557" s="363"/>
      <c r="L1557" s="129"/>
      <c r="M1557" s="129"/>
      <c r="N1557" s="129"/>
      <c r="O1557" s="129"/>
      <c r="P1557" s="364"/>
      <c r="Q1557" s="364"/>
      <c r="R1557" s="129"/>
      <c r="S1557" s="129"/>
      <c r="T1557" s="129"/>
      <c r="W1557" s="129" t="s">
        <v>307</v>
      </c>
      <c r="X1557" s="337" t="b">
        <f t="shared" si="57"/>
        <v>1</v>
      </c>
    </row>
    <row r="1558" spans="1:24" s="337" customFormat="1" ht="12" customHeight="1" outlineLevel="1">
      <c r="A1558" s="335"/>
      <c r="B1558" s="118" t="s">
        <v>12</v>
      </c>
      <c r="C1558" s="334" t="s">
        <v>7913</v>
      </c>
      <c r="D1558" s="124" t="s">
        <v>7914</v>
      </c>
      <c r="E1558" s="125"/>
      <c r="F1558" s="118" t="s">
        <v>433</v>
      </c>
      <c r="G1558" s="126" t="s">
        <v>7861</v>
      </c>
      <c r="H1558" s="255">
        <v>6</v>
      </c>
      <c r="I1558" s="361">
        <v>1</v>
      </c>
      <c r="J1558" s="362" t="s">
        <v>307</v>
      </c>
      <c r="K1558" s="363"/>
      <c r="L1558" s="129"/>
      <c r="M1558" s="129"/>
      <c r="N1558" s="129"/>
      <c r="O1558" s="129"/>
      <c r="P1558" s="364"/>
      <c r="Q1558" s="364"/>
      <c r="R1558" s="129"/>
      <c r="S1558" s="129"/>
      <c r="T1558" s="129"/>
      <c r="W1558" s="129" t="s">
        <v>307</v>
      </c>
      <c r="X1558" s="337" t="b">
        <f t="shared" si="57"/>
        <v>1</v>
      </c>
    </row>
    <row r="1559" spans="1:24" s="337" customFormat="1" ht="12" customHeight="1" outlineLevel="1">
      <c r="A1559" s="335"/>
      <c r="B1559" s="118" t="s">
        <v>12</v>
      </c>
      <c r="C1559" s="334" t="s">
        <v>7915</v>
      </c>
      <c r="D1559" s="124" t="s">
        <v>7916</v>
      </c>
      <c r="E1559" s="125"/>
      <c r="F1559" s="118" t="s">
        <v>433</v>
      </c>
      <c r="G1559" s="126" t="s">
        <v>7861</v>
      </c>
      <c r="H1559" s="255">
        <v>6</v>
      </c>
      <c r="I1559" s="361">
        <v>1</v>
      </c>
      <c r="J1559" s="362" t="s">
        <v>307</v>
      </c>
      <c r="K1559" s="363"/>
      <c r="L1559" s="129"/>
      <c r="M1559" s="129"/>
      <c r="N1559" s="129"/>
      <c r="O1559" s="129"/>
      <c r="P1559" s="364"/>
      <c r="Q1559" s="364"/>
      <c r="R1559" s="129"/>
      <c r="S1559" s="129"/>
      <c r="T1559" s="129"/>
      <c r="W1559" s="129" t="s">
        <v>307</v>
      </c>
      <c r="X1559" s="337" t="b">
        <f t="shared" si="57"/>
        <v>1</v>
      </c>
    </row>
    <row r="1560" spans="1:24" s="337" customFormat="1" ht="12" customHeight="1" outlineLevel="1">
      <c r="A1560" s="335"/>
      <c r="B1560" s="118" t="s">
        <v>12</v>
      </c>
      <c r="C1560" s="334" t="s">
        <v>7917</v>
      </c>
      <c r="D1560" s="124" t="s">
        <v>7918</v>
      </c>
      <c r="E1560" s="125"/>
      <c r="F1560" s="118" t="s">
        <v>433</v>
      </c>
      <c r="G1560" s="126" t="s">
        <v>7861</v>
      </c>
      <c r="H1560" s="255">
        <v>6</v>
      </c>
      <c r="I1560" s="361">
        <v>1</v>
      </c>
      <c r="J1560" s="362" t="s">
        <v>307</v>
      </c>
      <c r="K1560" s="363"/>
      <c r="L1560" s="129"/>
      <c r="M1560" s="129"/>
      <c r="N1560" s="129"/>
      <c r="O1560" s="129"/>
      <c r="P1560" s="364"/>
      <c r="Q1560" s="364"/>
      <c r="R1560" s="129"/>
      <c r="S1560" s="129"/>
      <c r="T1560" s="129"/>
      <c r="W1560" s="129" t="s">
        <v>307</v>
      </c>
      <c r="X1560" s="337" t="b">
        <f t="shared" si="57"/>
        <v>1</v>
      </c>
    </row>
    <row r="1561" spans="1:24" s="337" customFormat="1" ht="12" customHeight="1" outlineLevel="1">
      <c r="A1561" s="335"/>
      <c r="B1561" s="118" t="s">
        <v>12</v>
      </c>
      <c r="C1561" s="334" t="s">
        <v>7919</v>
      </c>
      <c r="D1561" s="124" t="s">
        <v>7920</v>
      </c>
      <c r="E1561" s="125"/>
      <c r="F1561" s="118" t="s">
        <v>433</v>
      </c>
      <c r="G1561" s="126" t="s">
        <v>7861</v>
      </c>
      <c r="H1561" s="255">
        <v>6</v>
      </c>
      <c r="I1561" s="361">
        <v>1</v>
      </c>
      <c r="J1561" s="362" t="s">
        <v>286</v>
      </c>
      <c r="K1561" s="363"/>
      <c r="L1561" s="129"/>
      <c r="M1561" s="129"/>
      <c r="N1561" s="129"/>
      <c r="O1561" s="129"/>
      <c r="P1561" s="364"/>
      <c r="Q1561" s="364"/>
      <c r="R1561" s="129"/>
      <c r="S1561" s="129"/>
      <c r="T1561" s="129"/>
      <c r="W1561" s="129" t="s">
        <v>286</v>
      </c>
      <c r="X1561" s="337" t="b">
        <f t="shared" si="57"/>
        <v>1</v>
      </c>
    </row>
    <row r="1562" spans="1:24" s="337" customFormat="1" ht="12" customHeight="1" outlineLevel="1">
      <c r="A1562" s="335"/>
      <c r="B1562" s="118" t="s">
        <v>12</v>
      </c>
      <c r="C1562" s="334" t="s">
        <v>7921</v>
      </c>
      <c r="D1562" s="124" t="s">
        <v>7922</v>
      </c>
      <c r="E1562" s="125"/>
      <c r="F1562" s="118" t="s">
        <v>433</v>
      </c>
      <c r="G1562" s="126" t="s">
        <v>7861</v>
      </c>
      <c r="H1562" s="255">
        <v>6</v>
      </c>
      <c r="I1562" s="361">
        <v>1</v>
      </c>
      <c r="J1562" s="362" t="s">
        <v>286</v>
      </c>
      <c r="K1562" s="363"/>
      <c r="L1562" s="129"/>
      <c r="M1562" s="129"/>
      <c r="N1562" s="129"/>
      <c r="O1562" s="129"/>
      <c r="P1562" s="364"/>
      <c r="Q1562" s="364"/>
      <c r="R1562" s="129"/>
      <c r="S1562" s="129"/>
      <c r="T1562" s="129"/>
      <c r="W1562" s="129" t="s">
        <v>286</v>
      </c>
      <c r="X1562" s="337" t="b">
        <f t="shared" si="57"/>
        <v>1</v>
      </c>
    </row>
    <row r="1563" spans="1:24" s="337" customFormat="1" ht="12" customHeight="1" outlineLevel="1">
      <c r="A1563" s="335"/>
      <c r="B1563" s="118" t="s">
        <v>12</v>
      </c>
      <c r="C1563" s="334" t="s">
        <v>7923</v>
      </c>
      <c r="D1563" s="124" t="s">
        <v>7924</v>
      </c>
      <c r="E1563" s="125"/>
      <c r="F1563" s="118" t="s">
        <v>433</v>
      </c>
      <c r="G1563" s="126" t="s">
        <v>7861</v>
      </c>
      <c r="H1563" s="255">
        <v>6</v>
      </c>
      <c r="I1563" s="361">
        <v>1</v>
      </c>
      <c r="J1563" s="362" t="s">
        <v>310</v>
      </c>
      <c r="K1563" s="363"/>
      <c r="L1563" s="129"/>
      <c r="M1563" s="129"/>
      <c r="N1563" s="129"/>
      <c r="O1563" s="129"/>
      <c r="P1563" s="364"/>
      <c r="Q1563" s="364"/>
      <c r="R1563" s="129"/>
      <c r="S1563" s="129"/>
      <c r="T1563" s="129"/>
      <c r="W1563" s="129" t="s">
        <v>310</v>
      </c>
      <c r="X1563" s="337" t="b">
        <f t="shared" si="57"/>
        <v>1</v>
      </c>
    </row>
    <row r="1564" spans="1:24" s="337" customFormat="1" ht="12" customHeight="1" outlineLevel="1">
      <c r="A1564" s="335"/>
      <c r="B1564" s="118" t="s">
        <v>12</v>
      </c>
      <c r="C1564" s="334" t="s">
        <v>7925</v>
      </c>
      <c r="D1564" s="124" t="s">
        <v>7926</v>
      </c>
      <c r="E1564" s="125"/>
      <c r="F1564" s="118" t="s">
        <v>433</v>
      </c>
      <c r="G1564" s="126" t="s">
        <v>7861</v>
      </c>
      <c r="H1564" s="255">
        <v>6</v>
      </c>
      <c r="I1564" s="361">
        <v>1</v>
      </c>
      <c r="J1564" s="362" t="s">
        <v>286</v>
      </c>
      <c r="K1564" s="363"/>
      <c r="L1564" s="129"/>
      <c r="M1564" s="129"/>
      <c r="N1564" s="129"/>
      <c r="O1564" s="129"/>
      <c r="P1564" s="364"/>
      <c r="Q1564" s="364"/>
      <c r="R1564" s="129"/>
      <c r="S1564" s="129"/>
      <c r="T1564" s="129"/>
      <c r="W1564" s="129" t="s">
        <v>310</v>
      </c>
      <c r="X1564" s="337" t="b">
        <f t="shared" si="57"/>
        <v>0</v>
      </c>
    </row>
    <row r="1565" spans="1:24" s="337" customFormat="1" ht="12" customHeight="1" outlineLevel="1">
      <c r="A1565" s="335"/>
      <c r="B1565" s="118" t="s">
        <v>12</v>
      </c>
      <c r="C1565" s="334" t="s">
        <v>7927</v>
      </c>
      <c r="D1565" s="124" t="s">
        <v>7928</v>
      </c>
      <c r="E1565" s="125"/>
      <c r="F1565" s="118" t="s">
        <v>433</v>
      </c>
      <c r="G1565" s="126" t="s">
        <v>7861</v>
      </c>
      <c r="H1565" s="255">
        <v>6</v>
      </c>
      <c r="I1565" s="361">
        <v>1</v>
      </c>
      <c r="J1565" s="362" t="s">
        <v>286</v>
      </c>
      <c r="K1565" s="363"/>
      <c r="L1565" s="129"/>
      <c r="M1565" s="129"/>
      <c r="N1565" s="129"/>
      <c r="O1565" s="129"/>
      <c r="P1565" s="364"/>
      <c r="Q1565" s="364"/>
      <c r="R1565" s="129"/>
      <c r="S1565" s="129"/>
      <c r="T1565" s="129"/>
      <c r="W1565" s="129" t="s">
        <v>4876</v>
      </c>
      <c r="X1565" s="337" t="b">
        <f t="shared" si="57"/>
        <v>0</v>
      </c>
    </row>
    <row r="1566" spans="1:24" s="337" customFormat="1" ht="12" customHeight="1" outlineLevel="1">
      <c r="A1566" s="335"/>
      <c r="B1566" s="118" t="s">
        <v>12</v>
      </c>
      <c r="C1566" s="334" t="s">
        <v>7929</v>
      </c>
      <c r="D1566" s="124" t="s">
        <v>7930</v>
      </c>
      <c r="E1566" s="125"/>
      <c r="F1566" s="118" t="s">
        <v>433</v>
      </c>
      <c r="G1566" s="126" t="s">
        <v>7861</v>
      </c>
      <c r="H1566" s="255">
        <v>6</v>
      </c>
      <c r="I1566" s="361">
        <v>1</v>
      </c>
      <c r="J1566" s="362" t="s">
        <v>310</v>
      </c>
      <c r="K1566" s="363"/>
      <c r="L1566" s="129"/>
      <c r="M1566" s="129"/>
      <c r="N1566" s="129"/>
      <c r="O1566" s="129"/>
      <c r="P1566" s="364"/>
      <c r="Q1566" s="364"/>
      <c r="R1566" s="129"/>
      <c r="S1566" s="129"/>
      <c r="T1566" s="129"/>
      <c r="W1566" s="129" t="s">
        <v>310</v>
      </c>
      <c r="X1566" s="337" t="b">
        <f t="shared" si="57"/>
        <v>1</v>
      </c>
    </row>
    <row r="1567" spans="1:24" s="337" customFormat="1" ht="12" customHeight="1" outlineLevel="1">
      <c r="A1567" s="335"/>
      <c r="B1567" s="118" t="s">
        <v>12</v>
      </c>
      <c r="C1567" s="334" t="s">
        <v>7931</v>
      </c>
      <c r="D1567" s="124" t="s">
        <v>7932</v>
      </c>
      <c r="E1567" s="125"/>
      <c r="F1567" s="118" t="s">
        <v>433</v>
      </c>
      <c r="G1567" s="126" t="s">
        <v>7861</v>
      </c>
      <c r="H1567" s="255">
        <v>6</v>
      </c>
      <c r="I1567" s="361">
        <v>1</v>
      </c>
      <c r="J1567" s="362" t="s">
        <v>286</v>
      </c>
      <c r="K1567" s="363"/>
      <c r="L1567" s="129"/>
      <c r="M1567" s="129"/>
      <c r="N1567" s="129"/>
      <c r="O1567" s="129"/>
      <c r="P1567" s="364"/>
      <c r="Q1567" s="364"/>
      <c r="R1567" s="129"/>
      <c r="S1567" s="129"/>
      <c r="T1567" s="129"/>
      <c r="W1567" s="129" t="s">
        <v>286</v>
      </c>
      <c r="X1567" s="337" t="b">
        <f t="shared" si="57"/>
        <v>1</v>
      </c>
    </row>
    <row r="1568" spans="1:24" s="337" customFormat="1" ht="12" customHeight="1" outlineLevel="1">
      <c r="A1568" s="335"/>
      <c r="B1568" s="118" t="s">
        <v>12</v>
      </c>
      <c r="C1568" s="334" t="s">
        <v>7933</v>
      </c>
      <c r="D1568" s="124" t="s">
        <v>7934</v>
      </c>
      <c r="E1568" s="125"/>
      <c r="F1568" s="118" t="s">
        <v>433</v>
      </c>
      <c r="G1568" s="126" t="s">
        <v>7861</v>
      </c>
      <c r="H1568" s="255">
        <v>6</v>
      </c>
      <c r="I1568" s="361">
        <v>1</v>
      </c>
      <c r="J1568" s="362" t="s">
        <v>286</v>
      </c>
      <c r="K1568" s="363"/>
      <c r="L1568" s="129"/>
      <c r="M1568" s="129"/>
      <c r="N1568" s="129"/>
      <c r="O1568" s="129"/>
      <c r="P1568" s="364"/>
      <c r="Q1568" s="364"/>
      <c r="R1568" s="129"/>
      <c r="S1568" s="129"/>
      <c r="T1568" s="129"/>
      <c r="W1568" s="129" t="s">
        <v>286</v>
      </c>
      <c r="X1568" s="337" t="b">
        <f t="shared" si="57"/>
        <v>1</v>
      </c>
    </row>
    <row r="1569" spans="1:24" s="337" customFormat="1" ht="12" customHeight="1" outlineLevel="1">
      <c r="A1569" s="335"/>
      <c r="B1569" s="118" t="s">
        <v>12</v>
      </c>
      <c r="C1569" s="334" t="s">
        <v>7935</v>
      </c>
      <c r="D1569" s="124" t="s">
        <v>7936</v>
      </c>
      <c r="E1569" s="125"/>
      <c r="F1569" s="118" t="s">
        <v>433</v>
      </c>
      <c r="G1569" s="126" t="s">
        <v>7861</v>
      </c>
      <c r="H1569" s="255">
        <v>6</v>
      </c>
      <c r="I1569" s="361">
        <v>1</v>
      </c>
      <c r="J1569" s="362" t="s">
        <v>310</v>
      </c>
      <c r="K1569" s="363"/>
      <c r="L1569" s="129"/>
      <c r="M1569" s="129"/>
      <c r="N1569" s="129"/>
      <c r="O1569" s="129"/>
      <c r="P1569" s="364"/>
      <c r="Q1569" s="364"/>
      <c r="R1569" s="129"/>
      <c r="S1569" s="129"/>
      <c r="T1569" s="129"/>
      <c r="W1569" s="129" t="s">
        <v>310</v>
      </c>
      <c r="X1569" s="337" t="b">
        <f t="shared" si="57"/>
        <v>1</v>
      </c>
    </row>
    <row r="1570" spans="1:24" s="337" customFormat="1" ht="12" customHeight="1" outlineLevel="1">
      <c r="A1570" s="335"/>
      <c r="B1570" s="118" t="s">
        <v>12</v>
      </c>
      <c r="C1570" s="334" t="s">
        <v>7937</v>
      </c>
      <c r="D1570" s="124" t="s">
        <v>7938</v>
      </c>
      <c r="E1570" s="125"/>
      <c r="F1570" s="118" t="s">
        <v>433</v>
      </c>
      <c r="G1570" s="126" t="s">
        <v>7861</v>
      </c>
      <c r="H1570" s="255">
        <v>6</v>
      </c>
      <c r="I1570" s="361">
        <v>1</v>
      </c>
      <c r="J1570" s="362" t="s">
        <v>286</v>
      </c>
      <c r="K1570" s="363"/>
      <c r="L1570" s="129"/>
      <c r="M1570" s="129"/>
      <c r="N1570" s="129"/>
      <c r="O1570" s="129"/>
      <c r="P1570" s="364"/>
      <c r="Q1570" s="364"/>
      <c r="R1570" s="129"/>
      <c r="S1570" s="129"/>
      <c r="T1570" s="129"/>
      <c r="W1570" s="129" t="s">
        <v>286</v>
      </c>
      <c r="X1570" s="337" t="b">
        <f t="shared" si="57"/>
        <v>1</v>
      </c>
    </row>
    <row r="1571" spans="1:24" s="337" customFormat="1" ht="12" customHeight="1" outlineLevel="1">
      <c r="A1571" s="335"/>
      <c r="B1571" s="118" t="s">
        <v>12</v>
      </c>
      <c r="C1571" s="334" t="s">
        <v>7939</v>
      </c>
      <c r="D1571" s="124" t="s">
        <v>7940</v>
      </c>
      <c r="E1571" s="125"/>
      <c r="F1571" s="118" t="s">
        <v>433</v>
      </c>
      <c r="G1571" s="126" t="s">
        <v>7861</v>
      </c>
      <c r="H1571" s="255">
        <v>6</v>
      </c>
      <c r="I1571" s="361">
        <v>1</v>
      </c>
      <c r="J1571" s="362" t="s">
        <v>286</v>
      </c>
      <c r="K1571" s="363"/>
      <c r="L1571" s="129"/>
      <c r="M1571" s="129"/>
      <c r="N1571" s="129"/>
      <c r="O1571" s="129"/>
      <c r="P1571" s="364"/>
      <c r="Q1571" s="364"/>
      <c r="R1571" s="129"/>
      <c r="S1571" s="129"/>
      <c r="T1571" s="129"/>
      <c r="W1571" s="129" t="s">
        <v>286</v>
      </c>
      <c r="X1571" s="337" t="b">
        <f t="shared" si="57"/>
        <v>1</v>
      </c>
    </row>
    <row r="1572" spans="1:24" s="337" customFormat="1" ht="12" customHeight="1" outlineLevel="1">
      <c r="A1572" s="335"/>
      <c r="B1572" s="118" t="s">
        <v>12</v>
      </c>
      <c r="C1572" s="334" t="s">
        <v>7941</v>
      </c>
      <c r="D1572" s="124" t="s">
        <v>7942</v>
      </c>
      <c r="E1572" s="125"/>
      <c r="F1572" s="118" t="s">
        <v>433</v>
      </c>
      <c r="G1572" s="126" t="s">
        <v>7861</v>
      </c>
      <c r="H1572" s="255">
        <v>6</v>
      </c>
      <c r="I1572" s="361">
        <v>1</v>
      </c>
      <c r="J1572" s="362" t="s">
        <v>286</v>
      </c>
      <c r="K1572" s="363"/>
      <c r="L1572" s="129"/>
      <c r="M1572" s="129"/>
      <c r="N1572" s="129"/>
      <c r="O1572" s="129"/>
      <c r="P1572" s="364"/>
      <c r="Q1572" s="364"/>
      <c r="R1572" s="129"/>
      <c r="S1572" s="129"/>
      <c r="T1572" s="129"/>
      <c r="W1572" s="129" t="s">
        <v>286</v>
      </c>
      <c r="X1572" s="337" t="b">
        <f t="shared" si="57"/>
        <v>1</v>
      </c>
    </row>
    <row r="1573" spans="1:24" s="337" customFormat="1" ht="12" customHeight="1" outlineLevel="1">
      <c r="A1573" s="335"/>
      <c r="B1573" s="118" t="s">
        <v>12</v>
      </c>
      <c r="C1573" s="334" t="s">
        <v>7943</v>
      </c>
      <c r="D1573" s="124" t="s">
        <v>7944</v>
      </c>
      <c r="E1573" s="125"/>
      <c r="F1573" s="118" t="s">
        <v>433</v>
      </c>
      <c r="G1573" s="126" t="s">
        <v>7861</v>
      </c>
      <c r="H1573" s="255">
        <v>6</v>
      </c>
      <c r="I1573" s="361">
        <v>1</v>
      </c>
      <c r="J1573" s="362" t="s">
        <v>310</v>
      </c>
      <c r="K1573" s="363"/>
      <c r="L1573" s="129"/>
      <c r="M1573" s="129"/>
      <c r="N1573" s="129"/>
      <c r="O1573" s="129"/>
      <c r="P1573" s="364"/>
      <c r="Q1573" s="364"/>
      <c r="R1573" s="129"/>
      <c r="S1573" s="129"/>
      <c r="T1573" s="129"/>
      <c r="W1573" s="129" t="s">
        <v>286</v>
      </c>
      <c r="X1573" s="337" t="b">
        <f t="shared" si="57"/>
        <v>0</v>
      </c>
    </row>
    <row r="1574" spans="1:24" s="337" customFormat="1" ht="12" customHeight="1" outlineLevel="1">
      <c r="A1574" s="335"/>
      <c r="B1574" s="118" t="s">
        <v>12</v>
      </c>
      <c r="C1574" s="334" t="s">
        <v>7945</v>
      </c>
      <c r="D1574" s="124" t="s">
        <v>7946</v>
      </c>
      <c r="E1574" s="125"/>
      <c r="F1574" s="118" t="s">
        <v>433</v>
      </c>
      <c r="G1574" s="126" t="s">
        <v>7861</v>
      </c>
      <c r="H1574" s="255">
        <v>6</v>
      </c>
      <c r="I1574" s="361">
        <v>1</v>
      </c>
      <c r="J1574" s="362" t="s">
        <v>286</v>
      </c>
      <c r="K1574" s="363"/>
      <c r="L1574" s="129"/>
      <c r="M1574" s="129"/>
      <c r="N1574" s="129"/>
      <c r="O1574" s="129"/>
      <c r="P1574" s="364"/>
      <c r="Q1574" s="364"/>
      <c r="R1574" s="129"/>
      <c r="S1574" s="129"/>
      <c r="T1574" s="129"/>
      <c r="W1574" s="129" t="s">
        <v>286</v>
      </c>
      <c r="X1574" s="337" t="b">
        <f t="shared" si="57"/>
        <v>1</v>
      </c>
    </row>
    <row r="1575" spans="1:24" s="337" customFormat="1" ht="12" customHeight="1" outlineLevel="1">
      <c r="A1575" s="335"/>
      <c r="B1575" s="118" t="s">
        <v>12</v>
      </c>
      <c r="C1575" s="334" t="s">
        <v>7947</v>
      </c>
      <c r="D1575" s="124" t="s">
        <v>7948</v>
      </c>
      <c r="E1575" s="125"/>
      <c r="F1575" s="118" t="s">
        <v>433</v>
      </c>
      <c r="G1575" s="126" t="s">
        <v>7861</v>
      </c>
      <c r="H1575" s="255">
        <v>6</v>
      </c>
      <c r="I1575" s="361">
        <v>1</v>
      </c>
      <c r="J1575" s="362" t="s">
        <v>286</v>
      </c>
      <c r="K1575" s="363"/>
      <c r="L1575" s="129"/>
      <c r="M1575" s="129"/>
      <c r="N1575" s="129"/>
      <c r="O1575" s="129"/>
      <c r="P1575" s="364"/>
      <c r="Q1575" s="364"/>
      <c r="R1575" s="129"/>
      <c r="S1575" s="129"/>
      <c r="T1575" s="129"/>
      <c r="W1575" s="129" t="s">
        <v>286</v>
      </c>
      <c r="X1575" s="337" t="b">
        <f t="shared" si="57"/>
        <v>1</v>
      </c>
    </row>
    <row r="1576" spans="1:24" s="337" customFormat="1" ht="12" customHeight="1" outlineLevel="1">
      <c r="A1576" s="335"/>
      <c r="B1576" s="118" t="s">
        <v>12</v>
      </c>
      <c r="C1576" s="334" t="s">
        <v>7949</v>
      </c>
      <c r="D1576" s="124" t="s">
        <v>7950</v>
      </c>
      <c r="E1576" s="125"/>
      <c r="F1576" s="118" t="s">
        <v>433</v>
      </c>
      <c r="G1576" s="126" t="s">
        <v>7861</v>
      </c>
      <c r="H1576" s="255">
        <v>6</v>
      </c>
      <c r="I1576" s="361">
        <v>1</v>
      </c>
      <c r="J1576" s="362" t="s">
        <v>286</v>
      </c>
      <c r="K1576" s="363"/>
      <c r="L1576" s="129"/>
      <c r="M1576" s="129"/>
      <c r="N1576" s="129"/>
      <c r="O1576" s="129"/>
      <c r="P1576" s="364"/>
      <c r="Q1576" s="364"/>
      <c r="R1576" s="129"/>
      <c r="S1576" s="129"/>
      <c r="T1576" s="129"/>
      <c r="W1576" s="129" t="s">
        <v>286</v>
      </c>
      <c r="X1576" s="337" t="b">
        <f t="shared" si="57"/>
        <v>1</v>
      </c>
    </row>
    <row r="1577" spans="1:24" s="337" customFormat="1" ht="12" customHeight="1" outlineLevel="1">
      <c r="A1577" s="335"/>
      <c r="B1577" s="118" t="s">
        <v>12</v>
      </c>
      <c r="C1577" s="334" t="s">
        <v>7951</v>
      </c>
      <c r="D1577" s="124" t="s">
        <v>7952</v>
      </c>
      <c r="E1577" s="125"/>
      <c r="F1577" s="118" t="s">
        <v>433</v>
      </c>
      <c r="G1577" s="126" t="s">
        <v>7861</v>
      </c>
      <c r="H1577" s="255">
        <v>6</v>
      </c>
      <c r="I1577" s="361">
        <v>1</v>
      </c>
      <c r="J1577" s="362" t="s">
        <v>286</v>
      </c>
      <c r="K1577" s="363"/>
      <c r="L1577" s="129"/>
      <c r="M1577" s="129"/>
      <c r="N1577" s="129"/>
      <c r="O1577" s="129"/>
      <c r="P1577" s="364"/>
      <c r="Q1577" s="364"/>
      <c r="R1577" s="129"/>
      <c r="S1577" s="129"/>
      <c r="T1577" s="129"/>
      <c r="W1577" s="129" t="s">
        <v>286</v>
      </c>
      <c r="X1577" s="337" t="b">
        <f t="shared" si="57"/>
        <v>1</v>
      </c>
    </row>
    <row r="1578" spans="1:24" s="337" customFormat="1" ht="12" customHeight="1" outlineLevel="1">
      <c r="A1578" s="335"/>
      <c r="B1578" s="118" t="s">
        <v>12</v>
      </c>
      <c r="C1578" s="334" t="s">
        <v>7953</v>
      </c>
      <c r="D1578" s="124" t="s">
        <v>7954</v>
      </c>
      <c r="E1578" s="125"/>
      <c r="F1578" s="118" t="s">
        <v>433</v>
      </c>
      <c r="G1578" s="126" t="s">
        <v>7861</v>
      </c>
      <c r="H1578" s="255">
        <v>6</v>
      </c>
      <c r="I1578" s="361">
        <v>1</v>
      </c>
      <c r="J1578" s="362" t="s">
        <v>286</v>
      </c>
      <c r="K1578" s="363"/>
      <c r="L1578" s="129"/>
      <c r="M1578" s="129"/>
      <c r="N1578" s="129"/>
      <c r="O1578" s="129"/>
      <c r="P1578" s="364"/>
      <c r="Q1578" s="364"/>
      <c r="R1578" s="129"/>
      <c r="S1578" s="129"/>
      <c r="T1578" s="129"/>
      <c r="W1578" s="129" t="s">
        <v>4876</v>
      </c>
      <c r="X1578" s="337" t="b">
        <f t="shared" si="57"/>
        <v>0</v>
      </c>
    </row>
    <row r="1579" spans="1:24" s="337" customFormat="1" ht="12" customHeight="1" outlineLevel="1">
      <c r="A1579" s="335"/>
      <c r="B1579" s="118" t="s">
        <v>12</v>
      </c>
      <c r="C1579" s="334" t="s">
        <v>7955</v>
      </c>
      <c r="D1579" s="124" t="s">
        <v>7956</v>
      </c>
      <c r="E1579" s="125"/>
      <c r="F1579" s="118" t="s">
        <v>433</v>
      </c>
      <c r="G1579" s="126" t="s">
        <v>7861</v>
      </c>
      <c r="H1579" s="255">
        <v>6</v>
      </c>
      <c r="I1579" s="361">
        <v>1</v>
      </c>
      <c r="J1579" s="362" t="s">
        <v>286</v>
      </c>
      <c r="K1579" s="363"/>
      <c r="L1579" s="129"/>
      <c r="M1579" s="129"/>
      <c r="N1579" s="129"/>
      <c r="O1579" s="129"/>
      <c r="P1579" s="364"/>
      <c r="Q1579" s="364"/>
      <c r="R1579" s="129"/>
      <c r="S1579" s="129"/>
      <c r="T1579" s="129"/>
      <c r="W1579" s="129" t="s">
        <v>286</v>
      </c>
      <c r="X1579" s="337" t="b">
        <f t="shared" si="57"/>
        <v>1</v>
      </c>
    </row>
    <row r="1580" spans="1:24" s="337" customFormat="1" ht="12" customHeight="1" outlineLevel="1">
      <c r="A1580" s="335"/>
      <c r="B1580" s="118" t="s">
        <v>12</v>
      </c>
      <c r="C1580" s="334" t="s">
        <v>7957</v>
      </c>
      <c r="D1580" s="124" t="s">
        <v>7958</v>
      </c>
      <c r="E1580" s="125"/>
      <c r="F1580" s="118" t="s">
        <v>433</v>
      </c>
      <c r="G1580" s="126" t="s">
        <v>7861</v>
      </c>
      <c r="H1580" s="255">
        <v>6</v>
      </c>
      <c r="I1580" s="361">
        <v>1</v>
      </c>
      <c r="J1580" s="362" t="s">
        <v>286</v>
      </c>
      <c r="K1580" s="363"/>
      <c r="L1580" s="129"/>
      <c r="M1580" s="129"/>
      <c r="N1580" s="129"/>
      <c r="O1580" s="129"/>
      <c r="P1580" s="364"/>
      <c r="Q1580" s="364"/>
      <c r="R1580" s="129"/>
      <c r="S1580" s="129"/>
      <c r="T1580" s="129"/>
      <c r="W1580" s="129" t="s">
        <v>4876</v>
      </c>
      <c r="X1580" s="337" t="b">
        <f t="shared" si="57"/>
        <v>0</v>
      </c>
    </row>
    <row r="1581" spans="1:24" s="337" customFormat="1" ht="12" customHeight="1" outlineLevel="1">
      <c r="A1581" s="335"/>
      <c r="B1581" s="118" t="s">
        <v>12</v>
      </c>
      <c r="C1581" s="334" t="s">
        <v>7959</v>
      </c>
      <c r="D1581" s="124" t="s">
        <v>7960</v>
      </c>
      <c r="E1581" s="125"/>
      <c r="F1581" s="118" t="s">
        <v>433</v>
      </c>
      <c r="G1581" s="126" t="s">
        <v>7861</v>
      </c>
      <c r="H1581" s="255">
        <v>6</v>
      </c>
      <c r="I1581" s="361">
        <v>1</v>
      </c>
      <c r="J1581" s="362" t="s">
        <v>286</v>
      </c>
      <c r="K1581" s="363"/>
      <c r="L1581" s="129"/>
      <c r="M1581" s="129"/>
      <c r="N1581" s="129"/>
      <c r="O1581" s="129"/>
      <c r="P1581" s="364"/>
      <c r="Q1581" s="364"/>
      <c r="R1581" s="129"/>
      <c r="S1581" s="129"/>
      <c r="T1581" s="129"/>
      <c r="W1581" s="129" t="s">
        <v>286</v>
      </c>
      <c r="X1581" s="337" t="b">
        <f t="shared" si="57"/>
        <v>1</v>
      </c>
    </row>
    <row r="1582" spans="1:24" s="337" customFormat="1" ht="12" customHeight="1" outlineLevel="1">
      <c r="A1582" s="335"/>
      <c r="B1582" s="118" t="s">
        <v>12</v>
      </c>
      <c r="C1582" s="334" t="s">
        <v>7961</v>
      </c>
      <c r="D1582" s="124" t="s">
        <v>7962</v>
      </c>
      <c r="E1582" s="125"/>
      <c r="F1582" s="118" t="s">
        <v>433</v>
      </c>
      <c r="G1582" s="126" t="s">
        <v>7861</v>
      </c>
      <c r="H1582" s="255">
        <v>6</v>
      </c>
      <c r="I1582" s="361">
        <v>1</v>
      </c>
      <c r="J1582" s="362" t="s">
        <v>286</v>
      </c>
      <c r="K1582" s="363"/>
      <c r="L1582" s="129"/>
      <c r="M1582" s="129"/>
      <c r="N1582" s="129"/>
      <c r="O1582" s="129"/>
      <c r="P1582" s="364"/>
      <c r="Q1582" s="364"/>
      <c r="R1582" s="129"/>
      <c r="S1582" s="129"/>
      <c r="T1582" s="129"/>
      <c r="W1582" s="129" t="s">
        <v>286</v>
      </c>
      <c r="X1582" s="337" t="b">
        <f t="shared" si="57"/>
        <v>1</v>
      </c>
    </row>
    <row r="1583" spans="1:24" s="337" customFormat="1" ht="12" customHeight="1" outlineLevel="1">
      <c r="A1583" s="335"/>
      <c r="B1583" s="118" t="s">
        <v>12</v>
      </c>
      <c r="C1583" s="334" t="s">
        <v>7963</v>
      </c>
      <c r="D1583" s="124" t="s">
        <v>7964</v>
      </c>
      <c r="E1583" s="125"/>
      <c r="F1583" s="118" t="s">
        <v>433</v>
      </c>
      <c r="G1583" s="126" t="s">
        <v>7861</v>
      </c>
      <c r="H1583" s="255">
        <v>6</v>
      </c>
      <c r="I1583" s="361">
        <v>1</v>
      </c>
      <c r="J1583" s="362" t="s">
        <v>286</v>
      </c>
      <c r="K1583" s="363"/>
      <c r="L1583" s="129"/>
      <c r="M1583" s="129"/>
      <c r="N1583" s="129"/>
      <c r="O1583" s="129"/>
      <c r="P1583" s="364"/>
      <c r="Q1583" s="364"/>
      <c r="R1583" s="129"/>
      <c r="S1583" s="129"/>
      <c r="T1583" s="129"/>
      <c r="W1583" s="129" t="s">
        <v>286</v>
      </c>
      <c r="X1583" s="337" t="b">
        <f t="shared" si="57"/>
        <v>1</v>
      </c>
    </row>
    <row r="1584" spans="1:24" s="337" customFormat="1" ht="12" customHeight="1" outlineLevel="1">
      <c r="A1584" s="335"/>
      <c r="B1584" s="118" t="s">
        <v>12</v>
      </c>
      <c r="C1584" s="334" t="s">
        <v>7965</v>
      </c>
      <c r="D1584" s="124" t="s">
        <v>7966</v>
      </c>
      <c r="E1584" s="125"/>
      <c r="F1584" s="118" t="s">
        <v>433</v>
      </c>
      <c r="G1584" s="126" t="s">
        <v>7861</v>
      </c>
      <c r="H1584" s="255">
        <v>6</v>
      </c>
      <c r="I1584" s="361">
        <v>1</v>
      </c>
      <c r="J1584" s="362" t="s">
        <v>286</v>
      </c>
      <c r="K1584" s="363"/>
      <c r="L1584" s="129"/>
      <c r="M1584" s="129"/>
      <c r="N1584" s="129"/>
      <c r="O1584" s="129"/>
      <c r="P1584" s="364"/>
      <c r="Q1584" s="364"/>
      <c r="R1584" s="129"/>
      <c r="S1584" s="129"/>
      <c r="T1584" s="129"/>
      <c r="W1584" s="129" t="s">
        <v>286</v>
      </c>
      <c r="X1584" s="337" t="b">
        <f t="shared" si="57"/>
        <v>1</v>
      </c>
    </row>
    <row r="1585" spans="1:24" s="337" customFormat="1" ht="12" customHeight="1" outlineLevel="1">
      <c r="A1585" s="335"/>
      <c r="B1585" s="118" t="s">
        <v>12</v>
      </c>
      <c r="C1585" s="334" t="s">
        <v>7967</v>
      </c>
      <c r="D1585" s="124" t="s">
        <v>7968</v>
      </c>
      <c r="E1585" s="125"/>
      <c r="F1585" s="118" t="s">
        <v>433</v>
      </c>
      <c r="G1585" s="126" t="s">
        <v>7861</v>
      </c>
      <c r="H1585" s="255">
        <v>6</v>
      </c>
      <c r="I1585" s="361">
        <v>1</v>
      </c>
      <c r="J1585" s="362" t="s">
        <v>286</v>
      </c>
      <c r="K1585" s="363"/>
      <c r="L1585" s="129"/>
      <c r="M1585" s="129"/>
      <c r="N1585" s="129"/>
      <c r="O1585" s="129"/>
      <c r="P1585" s="364"/>
      <c r="Q1585" s="364"/>
      <c r="R1585" s="129"/>
      <c r="S1585" s="129"/>
      <c r="T1585" s="129"/>
      <c r="W1585" s="129" t="s">
        <v>286</v>
      </c>
      <c r="X1585" s="337" t="b">
        <f t="shared" si="57"/>
        <v>1</v>
      </c>
    </row>
    <row r="1586" spans="1:24" s="337" customFormat="1" ht="12" customHeight="1" outlineLevel="1">
      <c r="A1586" s="335"/>
      <c r="B1586" s="118" t="s">
        <v>12</v>
      </c>
      <c r="C1586" s="334" t="s">
        <v>7969</v>
      </c>
      <c r="D1586" s="124" t="s">
        <v>7970</v>
      </c>
      <c r="E1586" s="125"/>
      <c r="F1586" s="118" t="s">
        <v>433</v>
      </c>
      <c r="G1586" s="126" t="s">
        <v>7861</v>
      </c>
      <c r="H1586" s="255">
        <v>6</v>
      </c>
      <c r="I1586" s="361">
        <v>1</v>
      </c>
      <c r="J1586" s="362" t="s">
        <v>286</v>
      </c>
      <c r="K1586" s="363"/>
      <c r="L1586" s="129"/>
      <c r="M1586" s="129"/>
      <c r="N1586" s="129"/>
      <c r="O1586" s="129"/>
      <c r="P1586" s="364"/>
      <c r="Q1586" s="364"/>
      <c r="R1586" s="129"/>
      <c r="S1586" s="129"/>
      <c r="T1586" s="129"/>
      <c r="W1586" s="129" t="s">
        <v>286</v>
      </c>
      <c r="X1586" s="337" t="b">
        <f t="shared" si="57"/>
        <v>1</v>
      </c>
    </row>
    <row r="1587" spans="1:24" s="337" customFormat="1" ht="12" customHeight="1" outlineLevel="1">
      <c r="A1587" s="335"/>
      <c r="B1587" s="118" t="s">
        <v>12</v>
      </c>
      <c r="C1587" s="334" t="s">
        <v>7971</v>
      </c>
      <c r="D1587" s="124" t="s">
        <v>7972</v>
      </c>
      <c r="E1587" s="125"/>
      <c r="F1587" s="118" t="s">
        <v>433</v>
      </c>
      <c r="G1587" s="126" t="s">
        <v>7861</v>
      </c>
      <c r="H1587" s="255">
        <v>6</v>
      </c>
      <c r="I1587" s="361">
        <v>1</v>
      </c>
      <c r="J1587" s="362" t="s">
        <v>286</v>
      </c>
      <c r="K1587" s="363"/>
      <c r="L1587" s="129"/>
      <c r="M1587" s="129"/>
      <c r="N1587" s="129"/>
      <c r="O1587" s="129"/>
      <c r="P1587" s="364"/>
      <c r="Q1587" s="364"/>
      <c r="R1587" s="129"/>
      <c r="S1587" s="129"/>
      <c r="T1587" s="129"/>
      <c r="W1587" s="129" t="s">
        <v>286</v>
      </c>
      <c r="X1587" s="337" t="b">
        <f t="shared" si="57"/>
        <v>1</v>
      </c>
    </row>
    <row r="1588" spans="1:24" s="337" customFormat="1" ht="12" customHeight="1" outlineLevel="1">
      <c r="A1588" s="335"/>
      <c r="B1588" s="118" t="s">
        <v>12</v>
      </c>
      <c r="C1588" s="334" t="s">
        <v>7973</v>
      </c>
      <c r="D1588" s="124" t="s">
        <v>7974</v>
      </c>
      <c r="E1588" s="125"/>
      <c r="F1588" s="118" t="s">
        <v>433</v>
      </c>
      <c r="G1588" s="126" t="s">
        <v>7861</v>
      </c>
      <c r="H1588" s="255">
        <v>6</v>
      </c>
      <c r="I1588" s="361">
        <v>1</v>
      </c>
      <c r="J1588" s="362" t="s">
        <v>286</v>
      </c>
      <c r="K1588" s="363"/>
      <c r="L1588" s="129"/>
      <c r="M1588" s="129"/>
      <c r="N1588" s="129"/>
      <c r="O1588" s="129"/>
      <c r="P1588" s="364"/>
      <c r="Q1588" s="364"/>
      <c r="R1588" s="129"/>
      <c r="S1588" s="129"/>
      <c r="T1588" s="129"/>
      <c r="W1588" s="129" t="s">
        <v>286</v>
      </c>
      <c r="X1588" s="337" t="b">
        <f t="shared" si="57"/>
        <v>1</v>
      </c>
    </row>
    <row r="1589" spans="1:24" s="337" customFormat="1" ht="12" customHeight="1" outlineLevel="1">
      <c r="A1589" s="335"/>
      <c r="B1589" s="118" t="s">
        <v>12</v>
      </c>
      <c r="C1589" s="334" t="s">
        <v>7975</v>
      </c>
      <c r="D1589" s="124" t="s">
        <v>7976</v>
      </c>
      <c r="E1589" s="125"/>
      <c r="F1589" s="118" t="s">
        <v>433</v>
      </c>
      <c r="G1589" s="126" t="s">
        <v>7861</v>
      </c>
      <c r="H1589" s="255">
        <v>6</v>
      </c>
      <c r="I1589" s="361">
        <v>1</v>
      </c>
      <c r="J1589" s="362" t="s">
        <v>286</v>
      </c>
      <c r="K1589" s="363"/>
      <c r="L1589" s="129"/>
      <c r="M1589" s="129"/>
      <c r="N1589" s="129"/>
      <c r="O1589" s="129"/>
      <c r="P1589" s="364"/>
      <c r="Q1589" s="364"/>
      <c r="R1589" s="129"/>
      <c r="S1589" s="129"/>
      <c r="T1589" s="129"/>
      <c r="W1589" s="129" t="s">
        <v>286</v>
      </c>
      <c r="X1589" s="337" t="b">
        <f t="shared" si="57"/>
        <v>1</v>
      </c>
    </row>
    <row r="1590" spans="1:24" s="337" customFormat="1" ht="12" customHeight="1" outlineLevel="1">
      <c r="A1590" s="335"/>
      <c r="B1590" s="118" t="s">
        <v>12</v>
      </c>
      <c r="C1590" s="334" t="s">
        <v>7977</v>
      </c>
      <c r="D1590" s="124" t="s">
        <v>7978</v>
      </c>
      <c r="E1590" s="125"/>
      <c r="F1590" s="118" t="s">
        <v>433</v>
      </c>
      <c r="G1590" s="126" t="s">
        <v>7861</v>
      </c>
      <c r="H1590" s="255">
        <v>6</v>
      </c>
      <c r="I1590" s="361">
        <v>1</v>
      </c>
      <c r="J1590" s="362" t="s">
        <v>286</v>
      </c>
      <c r="K1590" s="363"/>
      <c r="L1590" s="129"/>
      <c r="M1590" s="129"/>
      <c r="N1590" s="129"/>
      <c r="O1590" s="129"/>
      <c r="P1590" s="364"/>
      <c r="Q1590" s="364"/>
      <c r="R1590" s="129"/>
      <c r="S1590" s="129"/>
      <c r="T1590" s="129"/>
      <c r="W1590" s="129" t="s">
        <v>286</v>
      </c>
      <c r="X1590" s="337" t="b">
        <f t="shared" si="57"/>
        <v>1</v>
      </c>
    </row>
    <row r="1591" spans="1:24" s="337" customFormat="1" ht="12" customHeight="1" outlineLevel="1">
      <c r="A1591" s="335"/>
      <c r="B1591" s="118" t="s">
        <v>12</v>
      </c>
      <c r="C1591" s="334" t="s">
        <v>7979</v>
      </c>
      <c r="D1591" s="124" t="s">
        <v>7980</v>
      </c>
      <c r="E1591" s="125"/>
      <c r="F1591" s="118" t="s">
        <v>433</v>
      </c>
      <c r="G1591" s="126" t="s">
        <v>7861</v>
      </c>
      <c r="H1591" s="255">
        <v>6</v>
      </c>
      <c r="I1591" s="361">
        <v>1</v>
      </c>
      <c r="J1591" s="362" t="s">
        <v>286</v>
      </c>
      <c r="K1591" s="363"/>
      <c r="L1591" s="129"/>
      <c r="M1591" s="129"/>
      <c r="N1591" s="129"/>
      <c r="O1591" s="129"/>
      <c r="P1591" s="364"/>
      <c r="Q1591" s="364"/>
      <c r="R1591" s="129"/>
      <c r="S1591" s="129"/>
      <c r="T1591" s="129"/>
      <c r="W1591" s="129" t="s">
        <v>286</v>
      </c>
      <c r="X1591" s="337" t="b">
        <f t="shared" si="57"/>
        <v>1</v>
      </c>
    </row>
    <row r="1592" spans="1:24" s="337" customFormat="1" ht="12" customHeight="1" outlineLevel="1">
      <c r="A1592" s="335"/>
      <c r="B1592" s="118" t="s">
        <v>12</v>
      </c>
      <c r="C1592" s="334" t="s">
        <v>7981</v>
      </c>
      <c r="D1592" s="124" t="s">
        <v>7982</v>
      </c>
      <c r="E1592" s="125"/>
      <c r="F1592" s="118" t="s">
        <v>433</v>
      </c>
      <c r="G1592" s="126" t="s">
        <v>7861</v>
      </c>
      <c r="H1592" s="255">
        <v>6</v>
      </c>
      <c r="I1592" s="361">
        <v>1</v>
      </c>
      <c r="J1592" s="362" t="s">
        <v>286</v>
      </c>
      <c r="K1592" s="363"/>
      <c r="L1592" s="129"/>
      <c r="M1592" s="129"/>
      <c r="N1592" s="129"/>
      <c r="O1592" s="129"/>
      <c r="P1592" s="364"/>
      <c r="Q1592" s="364"/>
      <c r="R1592" s="129"/>
      <c r="S1592" s="129"/>
      <c r="T1592" s="129"/>
      <c r="W1592" s="129" t="s">
        <v>286</v>
      </c>
      <c r="X1592" s="337" t="b">
        <f t="shared" si="57"/>
        <v>1</v>
      </c>
    </row>
    <row r="1593" spans="1:24" s="337" customFormat="1" ht="12" customHeight="1" outlineLevel="1">
      <c r="A1593" s="335"/>
      <c r="B1593" s="118" t="s">
        <v>12</v>
      </c>
      <c r="C1593" s="334" t="s">
        <v>7983</v>
      </c>
      <c r="D1593" s="124" t="s">
        <v>7984</v>
      </c>
      <c r="E1593" s="125"/>
      <c r="F1593" s="118" t="s">
        <v>433</v>
      </c>
      <c r="G1593" s="126" t="s">
        <v>7861</v>
      </c>
      <c r="H1593" s="255">
        <v>6</v>
      </c>
      <c r="I1593" s="361">
        <v>1</v>
      </c>
      <c r="J1593" s="362" t="s">
        <v>286</v>
      </c>
      <c r="K1593" s="363"/>
      <c r="L1593" s="129"/>
      <c r="M1593" s="129"/>
      <c r="N1593" s="129"/>
      <c r="O1593" s="129"/>
      <c r="P1593" s="364"/>
      <c r="Q1593" s="364"/>
      <c r="R1593" s="129"/>
      <c r="S1593" s="129"/>
      <c r="T1593" s="129"/>
      <c r="W1593" s="129" t="s">
        <v>286</v>
      </c>
      <c r="X1593" s="337" t="b">
        <f t="shared" si="57"/>
        <v>1</v>
      </c>
    </row>
    <row r="1594" spans="1:24" s="337" customFormat="1" ht="12" customHeight="1" outlineLevel="1">
      <c r="A1594" s="335"/>
      <c r="B1594" s="118" t="s">
        <v>12</v>
      </c>
      <c r="C1594" s="334" t="s">
        <v>7985</v>
      </c>
      <c r="D1594" s="124" t="s">
        <v>7986</v>
      </c>
      <c r="E1594" s="125"/>
      <c r="F1594" s="118" t="s">
        <v>433</v>
      </c>
      <c r="G1594" s="126" t="s">
        <v>7861</v>
      </c>
      <c r="H1594" s="255">
        <v>6</v>
      </c>
      <c r="I1594" s="361">
        <v>1</v>
      </c>
      <c r="J1594" s="362" t="s">
        <v>286</v>
      </c>
      <c r="K1594" s="363"/>
      <c r="L1594" s="129"/>
      <c r="M1594" s="129"/>
      <c r="N1594" s="129"/>
      <c r="O1594" s="129"/>
      <c r="P1594" s="364"/>
      <c r="Q1594" s="364"/>
      <c r="R1594" s="129"/>
      <c r="S1594" s="129"/>
      <c r="T1594" s="129"/>
      <c r="W1594" s="129" t="s">
        <v>286</v>
      </c>
      <c r="X1594" s="337" t="b">
        <f t="shared" ref="X1594:X1657" si="58">W1594=J1594</f>
        <v>1</v>
      </c>
    </row>
    <row r="1595" spans="1:24" s="337" customFormat="1" ht="12" customHeight="1" outlineLevel="1">
      <c r="A1595" s="335"/>
      <c r="B1595" s="118" t="s">
        <v>12</v>
      </c>
      <c r="C1595" s="334" t="s">
        <v>7987</v>
      </c>
      <c r="D1595" s="124" t="s">
        <v>7988</v>
      </c>
      <c r="E1595" s="125"/>
      <c r="F1595" s="118" t="s">
        <v>433</v>
      </c>
      <c r="G1595" s="126" t="s">
        <v>7861</v>
      </c>
      <c r="H1595" s="255">
        <v>6</v>
      </c>
      <c r="I1595" s="361">
        <v>1</v>
      </c>
      <c r="J1595" s="362" t="s">
        <v>286</v>
      </c>
      <c r="K1595" s="363"/>
      <c r="L1595" s="129"/>
      <c r="M1595" s="129"/>
      <c r="N1595" s="129"/>
      <c r="O1595" s="129"/>
      <c r="P1595" s="364"/>
      <c r="Q1595" s="364"/>
      <c r="R1595" s="129"/>
      <c r="S1595" s="129"/>
      <c r="T1595" s="129"/>
      <c r="W1595" s="129" t="s">
        <v>286</v>
      </c>
      <c r="X1595" s="337" t="b">
        <f t="shared" si="58"/>
        <v>1</v>
      </c>
    </row>
    <row r="1596" spans="1:24" s="337" customFormat="1" ht="12" customHeight="1" outlineLevel="1">
      <c r="A1596" s="335"/>
      <c r="B1596" s="118" t="s">
        <v>12</v>
      </c>
      <c r="C1596" s="334" t="s">
        <v>7989</v>
      </c>
      <c r="D1596" s="124" t="s">
        <v>7990</v>
      </c>
      <c r="E1596" s="125"/>
      <c r="F1596" s="118" t="s">
        <v>433</v>
      </c>
      <c r="G1596" s="126" t="s">
        <v>7861</v>
      </c>
      <c r="H1596" s="255">
        <v>6</v>
      </c>
      <c r="I1596" s="361">
        <v>1</v>
      </c>
      <c r="J1596" s="362" t="s">
        <v>286</v>
      </c>
      <c r="K1596" s="363"/>
      <c r="L1596" s="129"/>
      <c r="M1596" s="129"/>
      <c r="N1596" s="129"/>
      <c r="O1596" s="129"/>
      <c r="P1596" s="364"/>
      <c r="Q1596" s="364"/>
      <c r="R1596" s="129"/>
      <c r="S1596" s="129"/>
      <c r="T1596" s="129"/>
      <c r="W1596" s="129" t="s">
        <v>286</v>
      </c>
      <c r="X1596" s="337" t="b">
        <f t="shared" si="58"/>
        <v>1</v>
      </c>
    </row>
    <row r="1597" spans="1:24" s="337" customFormat="1" ht="12" customHeight="1" outlineLevel="1">
      <c r="A1597" s="335"/>
      <c r="B1597" s="118" t="s">
        <v>12</v>
      </c>
      <c r="C1597" s="334" t="s">
        <v>7991</v>
      </c>
      <c r="D1597" s="124" t="s">
        <v>7992</v>
      </c>
      <c r="E1597" s="125"/>
      <c r="F1597" s="118" t="s">
        <v>433</v>
      </c>
      <c r="G1597" s="126" t="s">
        <v>7861</v>
      </c>
      <c r="H1597" s="255">
        <v>6</v>
      </c>
      <c r="I1597" s="361">
        <v>1</v>
      </c>
      <c r="J1597" s="362" t="s">
        <v>310</v>
      </c>
      <c r="K1597" s="363"/>
      <c r="L1597" s="129"/>
      <c r="M1597" s="129"/>
      <c r="N1597" s="129"/>
      <c r="O1597" s="129"/>
      <c r="P1597" s="364"/>
      <c r="Q1597" s="364"/>
      <c r="R1597" s="129"/>
      <c r="S1597" s="129"/>
      <c r="T1597" s="129"/>
      <c r="W1597" s="129" t="s">
        <v>286</v>
      </c>
      <c r="X1597" s="337" t="b">
        <f t="shared" si="58"/>
        <v>0</v>
      </c>
    </row>
    <row r="1598" spans="1:24" s="337" customFormat="1" ht="12" customHeight="1" outlineLevel="1">
      <c r="A1598" s="335"/>
      <c r="B1598" s="118" t="s">
        <v>12</v>
      </c>
      <c r="C1598" s="334" t="s">
        <v>7993</v>
      </c>
      <c r="D1598" s="124" t="s">
        <v>7994</v>
      </c>
      <c r="E1598" s="125"/>
      <c r="F1598" s="118" t="s">
        <v>433</v>
      </c>
      <c r="G1598" s="126" t="s">
        <v>7861</v>
      </c>
      <c r="H1598" s="255">
        <v>6</v>
      </c>
      <c r="I1598" s="361">
        <v>1</v>
      </c>
      <c r="J1598" s="362" t="s">
        <v>286</v>
      </c>
      <c r="K1598" s="363"/>
      <c r="L1598" s="129"/>
      <c r="M1598" s="129"/>
      <c r="N1598" s="129"/>
      <c r="O1598" s="129"/>
      <c r="P1598" s="364"/>
      <c r="Q1598" s="364"/>
      <c r="R1598" s="129"/>
      <c r="S1598" s="129"/>
      <c r="T1598" s="129"/>
      <c r="W1598" s="129" t="s">
        <v>286</v>
      </c>
      <c r="X1598" s="337" t="b">
        <f t="shared" si="58"/>
        <v>1</v>
      </c>
    </row>
    <row r="1599" spans="1:24" s="337" customFormat="1" ht="12" customHeight="1" outlineLevel="1">
      <c r="A1599" s="335"/>
      <c r="B1599" s="118" t="s">
        <v>12</v>
      </c>
      <c r="C1599" s="334" t="s">
        <v>7995</v>
      </c>
      <c r="D1599" s="124" t="s">
        <v>7996</v>
      </c>
      <c r="E1599" s="125"/>
      <c r="F1599" s="118" t="s">
        <v>433</v>
      </c>
      <c r="G1599" s="126" t="s">
        <v>7861</v>
      </c>
      <c r="H1599" s="255">
        <v>6</v>
      </c>
      <c r="I1599" s="361">
        <v>1</v>
      </c>
      <c r="J1599" s="362" t="s">
        <v>286</v>
      </c>
      <c r="K1599" s="363"/>
      <c r="L1599" s="129"/>
      <c r="M1599" s="129"/>
      <c r="N1599" s="129"/>
      <c r="O1599" s="129"/>
      <c r="P1599" s="364"/>
      <c r="Q1599" s="364"/>
      <c r="R1599" s="129"/>
      <c r="S1599" s="129"/>
      <c r="T1599" s="129"/>
      <c r="W1599" s="129" t="s">
        <v>286</v>
      </c>
      <c r="X1599" s="337" t="b">
        <f t="shared" si="58"/>
        <v>1</v>
      </c>
    </row>
    <row r="1600" spans="1:24" s="337" customFormat="1" ht="12" customHeight="1" outlineLevel="1">
      <c r="A1600" s="335"/>
      <c r="B1600" s="118" t="s">
        <v>12</v>
      </c>
      <c r="C1600" s="334" t="s">
        <v>7997</v>
      </c>
      <c r="D1600" s="124" t="s">
        <v>7998</v>
      </c>
      <c r="E1600" s="125"/>
      <c r="F1600" s="118" t="s">
        <v>433</v>
      </c>
      <c r="G1600" s="126" t="s">
        <v>7861</v>
      </c>
      <c r="H1600" s="255">
        <v>6</v>
      </c>
      <c r="I1600" s="361">
        <v>1</v>
      </c>
      <c r="J1600" s="362" t="s">
        <v>286</v>
      </c>
      <c r="K1600" s="363"/>
      <c r="L1600" s="129"/>
      <c r="M1600" s="129"/>
      <c r="N1600" s="129"/>
      <c r="O1600" s="129"/>
      <c r="P1600" s="364"/>
      <c r="Q1600" s="364"/>
      <c r="R1600" s="129"/>
      <c r="S1600" s="129"/>
      <c r="T1600" s="129"/>
      <c r="W1600" s="129" t="s">
        <v>286</v>
      </c>
      <c r="X1600" s="337" t="b">
        <f t="shared" si="58"/>
        <v>1</v>
      </c>
    </row>
    <row r="1601" spans="1:24" s="337" customFormat="1" ht="12" customHeight="1" outlineLevel="1">
      <c r="A1601" s="335"/>
      <c r="B1601" s="118" t="s">
        <v>12</v>
      </c>
      <c r="C1601" s="334" t="s">
        <v>7999</v>
      </c>
      <c r="D1601" s="124" t="s">
        <v>8000</v>
      </c>
      <c r="E1601" s="125"/>
      <c r="F1601" s="118" t="s">
        <v>433</v>
      </c>
      <c r="G1601" s="126" t="s">
        <v>7861</v>
      </c>
      <c r="H1601" s="255">
        <v>6</v>
      </c>
      <c r="I1601" s="361">
        <v>1</v>
      </c>
      <c r="J1601" s="362" t="s">
        <v>310</v>
      </c>
      <c r="K1601" s="363"/>
      <c r="L1601" s="129"/>
      <c r="M1601" s="129"/>
      <c r="N1601" s="129"/>
      <c r="O1601" s="129"/>
      <c r="P1601" s="364"/>
      <c r="Q1601" s="364"/>
      <c r="R1601" s="129"/>
      <c r="S1601" s="129"/>
      <c r="T1601" s="129"/>
      <c r="W1601" s="129" t="s">
        <v>307</v>
      </c>
      <c r="X1601" s="337" t="b">
        <f t="shared" si="58"/>
        <v>0</v>
      </c>
    </row>
    <row r="1602" spans="1:24" s="337" customFormat="1" ht="12" customHeight="1" outlineLevel="1">
      <c r="A1602" s="335"/>
      <c r="B1602" s="118" t="s">
        <v>12</v>
      </c>
      <c r="C1602" s="334" t="s">
        <v>8001</v>
      </c>
      <c r="D1602" s="124" t="s">
        <v>8002</v>
      </c>
      <c r="E1602" s="125"/>
      <c r="F1602" s="118" t="s">
        <v>433</v>
      </c>
      <c r="G1602" s="126" t="s">
        <v>7861</v>
      </c>
      <c r="H1602" s="255">
        <v>6</v>
      </c>
      <c r="I1602" s="361">
        <v>1</v>
      </c>
      <c r="J1602" s="362" t="s">
        <v>310</v>
      </c>
      <c r="K1602" s="363"/>
      <c r="L1602" s="129"/>
      <c r="M1602" s="129"/>
      <c r="N1602" s="129"/>
      <c r="O1602" s="129"/>
      <c r="P1602" s="364"/>
      <c r="Q1602" s="364"/>
      <c r="R1602" s="129"/>
      <c r="S1602" s="129"/>
      <c r="T1602" s="129"/>
      <c r="W1602" s="129" t="s">
        <v>307</v>
      </c>
      <c r="X1602" s="337" t="b">
        <f t="shared" si="58"/>
        <v>0</v>
      </c>
    </row>
    <row r="1603" spans="1:24" s="337" customFormat="1" ht="12" customHeight="1" outlineLevel="1">
      <c r="A1603" s="335"/>
      <c r="B1603" s="118" t="s">
        <v>12</v>
      </c>
      <c r="C1603" s="334" t="s">
        <v>8003</v>
      </c>
      <c r="D1603" s="124" t="s">
        <v>8004</v>
      </c>
      <c r="E1603" s="125"/>
      <c r="F1603" s="118" t="s">
        <v>433</v>
      </c>
      <c r="G1603" s="126" t="s">
        <v>7861</v>
      </c>
      <c r="H1603" s="255">
        <v>6</v>
      </c>
      <c r="I1603" s="361">
        <v>1</v>
      </c>
      <c r="J1603" s="362" t="s">
        <v>310</v>
      </c>
      <c r="K1603" s="363"/>
      <c r="L1603" s="129"/>
      <c r="M1603" s="129"/>
      <c r="N1603" s="129"/>
      <c r="O1603" s="129"/>
      <c r="P1603" s="364"/>
      <c r="Q1603" s="364"/>
      <c r="R1603" s="129"/>
      <c r="S1603" s="129"/>
      <c r="T1603" s="129"/>
      <c r="W1603" s="129" t="s">
        <v>310</v>
      </c>
      <c r="X1603" s="337" t="b">
        <f t="shared" si="58"/>
        <v>1</v>
      </c>
    </row>
    <row r="1604" spans="1:24" s="337" customFormat="1" ht="12" customHeight="1" outlineLevel="1">
      <c r="A1604" s="335"/>
      <c r="B1604" s="118" t="s">
        <v>12</v>
      </c>
      <c r="C1604" s="334" t="s">
        <v>8005</v>
      </c>
      <c r="D1604" s="124" t="s">
        <v>8006</v>
      </c>
      <c r="E1604" s="125"/>
      <c r="F1604" s="118" t="s">
        <v>433</v>
      </c>
      <c r="G1604" s="126" t="s">
        <v>7861</v>
      </c>
      <c r="H1604" s="255">
        <v>6</v>
      </c>
      <c r="I1604" s="361">
        <v>1</v>
      </c>
      <c r="J1604" s="362" t="s">
        <v>310</v>
      </c>
      <c r="K1604" s="363"/>
      <c r="L1604" s="129"/>
      <c r="M1604" s="129"/>
      <c r="N1604" s="129"/>
      <c r="O1604" s="129"/>
      <c r="P1604" s="364"/>
      <c r="Q1604" s="364"/>
      <c r="R1604" s="129"/>
      <c r="S1604" s="129"/>
      <c r="T1604" s="129"/>
      <c r="W1604" s="129" t="s">
        <v>307</v>
      </c>
      <c r="X1604" s="337" t="b">
        <f t="shared" si="58"/>
        <v>0</v>
      </c>
    </row>
    <row r="1605" spans="1:24" s="337" customFormat="1" ht="12" customHeight="1" outlineLevel="1">
      <c r="A1605" s="335"/>
      <c r="B1605" s="118" t="s">
        <v>12</v>
      </c>
      <c r="C1605" s="334" t="s">
        <v>8007</v>
      </c>
      <c r="D1605" s="124" t="s">
        <v>8008</v>
      </c>
      <c r="E1605" s="125"/>
      <c r="F1605" s="118" t="s">
        <v>433</v>
      </c>
      <c r="G1605" s="126" t="s">
        <v>7861</v>
      </c>
      <c r="H1605" s="255">
        <v>6</v>
      </c>
      <c r="I1605" s="361">
        <v>1</v>
      </c>
      <c r="J1605" s="362" t="s">
        <v>310</v>
      </c>
      <c r="K1605" s="363"/>
      <c r="L1605" s="129"/>
      <c r="M1605" s="129"/>
      <c r="N1605" s="129"/>
      <c r="O1605" s="129"/>
      <c r="P1605" s="364"/>
      <c r="Q1605" s="364"/>
      <c r="R1605" s="129"/>
      <c r="S1605" s="129"/>
      <c r="T1605" s="129"/>
      <c r="W1605" s="129" t="s">
        <v>307</v>
      </c>
      <c r="X1605" s="337" t="b">
        <f t="shared" si="58"/>
        <v>0</v>
      </c>
    </row>
    <row r="1606" spans="1:24" s="337" customFormat="1" ht="12" customHeight="1" outlineLevel="1">
      <c r="A1606" s="335"/>
      <c r="B1606" s="118" t="s">
        <v>12</v>
      </c>
      <c r="C1606" s="334" t="s">
        <v>8009</v>
      </c>
      <c r="D1606" s="124" t="s">
        <v>8010</v>
      </c>
      <c r="E1606" s="125"/>
      <c r="F1606" s="118" t="s">
        <v>433</v>
      </c>
      <c r="G1606" s="126" t="s">
        <v>7861</v>
      </c>
      <c r="H1606" s="255">
        <v>6</v>
      </c>
      <c r="I1606" s="361">
        <v>1</v>
      </c>
      <c r="J1606" s="362" t="s">
        <v>310</v>
      </c>
      <c r="K1606" s="363"/>
      <c r="L1606" s="129"/>
      <c r="M1606" s="129"/>
      <c r="N1606" s="129"/>
      <c r="O1606" s="129"/>
      <c r="P1606" s="364"/>
      <c r="Q1606" s="364"/>
      <c r="R1606" s="129"/>
      <c r="S1606" s="129"/>
      <c r="T1606" s="129"/>
      <c r="W1606" s="129" t="s">
        <v>307</v>
      </c>
      <c r="X1606" s="337" t="b">
        <f t="shared" si="58"/>
        <v>0</v>
      </c>
    </row>
    <row r="1607" spans="1:24" s="337" customFormat="1" ht="12" customHeight="1" outlineLevel="1">
      <c r="A1607" s="335"/>
      <c r="B1607" s="118" t="s">
        <v>12</v>
      </c>
      <c r="C1607" s="334" t="s">
        <v>8011</v>
      </c>
      <c r="D1607" s="124" t="s">
        <v>8012</v>
      </c>
      <c r="E1607" s="125"/>
      <c r="F1607" s="118" t="s">
        <v>433</v>
      </c>
      <c r="G1607" s="126" t="s">
        <v>7861</v>
      </c>
      <c r="H1607" s="255">
        <v>6</v>
      </c>
      <c r="I1607" s="361">
        <v>1</v>
      </c>
      <c r="J1607" s="362" t="s">
        <v>310</v>
      </c>
      <c r="K1607" s="363"/>
      <c r="L1607" s="129"/>
      <c r="M1607" s="129"/>
      <c r="N1607" s="129"/>
      <c r="O1607" s="129"/>
      <c r="P1607" s="364"/>
      <c r="Q1607" s="364"/>
      <c r="R1607" s="129"/>
      <c r="S1607" s="129"/>
      <c r="T1607" s="129"/>
      <c r="W1607" s="129" t="s">
        <v>307</v>
      </c>
      <c r="X1607" s="337" t="b">
        <f t="shared" si="58"/>
        <v>0</v>
      </c>
    </row>
    <row r="1608" spans="1:24" s="337" customFormat="1" ht="12" customHeight="1" outlineLevel="1">
      <c r="A1608" s="335"/>
      <c r="B1608" s="118" t="s">
        <v>12</v>
      </c>
      <c r="C1608" s="334" t="s">
        <v>8013</v>
      </c>
      <c r="D1608" s="124" t="s">
        <v>8014</v>
      </c>
      <c r="E1608" s="125"/>
      <c r="F1608" s="118" t="s">
        <v>433</v>
      </c>
      <c r="G1608" s="126" t="s">
        <v>7861</v>
      </c>
      <c r="H1608" s="255">
        <v>6</v>
      </c>
      <c r="I1608" s="361">
        <v>1</v>
      </c>
      <c r="J1608" s="362" t="s">
        <v>310</v>
      </c>
      <c r="K1608" s="363"/>
      <c r="L1608" s="129"/>
      <c r="M1608" s="129"/>
      <c r="N1608" s="129"/>
      <c r="O1608" s="129"/>
      <c r="P1608" s="364"/>
      <c r="Q1608" s="364"/>
      <c r="R1608" s="129"/>
      <c r="S1608" s="129"/>
      <c r="T1608" s="129"/>
      <c r="W1608" s="129" t="s">
        <v>307</v>
      </c>
      <c r="X1608" s="337" t="b">
        <f t="shared" si="58"/>
        <v>0</v>
      </c>
    </row>
    <row r="1609" spans="1:24" s="337" customFormat="1" ht="12" customHeight="1" outlineLevel="1">
      <c r="A1609" s="335"/>
      <c r="B1609" s="118" t="s">
        <v>12</v>
      </c>
      <c r="C1609" s="334" t="s">
        <v>8015</v>
      </c>
      <c r="D1609" s="124" t="s">
        <v>8016</v>
      </c>
      <c r="E1609" s="125"/>
      <c r="F1609" s="118" t="s">
        <v>433</v>
      </c>
      <c r="G1609" s="126" t="s">
        <v>7861</v>
      </c>
      <c r="H1609" s="255">
        <v>6</v>
      </c>
      <c r="I1609" s="361">
        <v>1</v>
      </c>
      <c r="J1609" s="362" t="s">
        <v>310</v>
      </c>
      <c r="K1609" s="363"/>
      <c r="L1609" s="129"/>
      <c r="M1609" s="129"/>
      <c r="N1609" s="129"/>
      <c r="O1609" s="129"/>
      <c r="P1609" s="364"/>
      <c r="Q1609" s="364"/>
      <c r="R1609" s="129"/>
      <c r="S1609" s="129"/>
      <c r="T1609" s="129"/>
      <c r="W1609" s="129" t="s">
        <v>307</v>
      </c>
      <c r="X1609" s="337" t="b">
        <f t="shared" si="58"/>
        <v>0</v>
      </c>
    </row>
    <row r="1610" spans="1:24" s="337" customFormat="1" ht="12" customHeight="1" outlineLevel="1">
      <c r="A1610" s="335"/>
      <c r="B1610" s="118" t="s">
        <v>12</v>
      </c>
      <c r="C1610" s="334" t="s">
        <v>8017</v>
      </c>
      <c r="D1610" s="124" t="s">
        <v>8018</v>
      </c>
      <c r="E1610" s="125"/>
      <c r="F1610" s="118" t="s">
        <v>433</v>
      </c>
      <c r="G1610" s="126" t="s">
        <v>7861</v>
      </c>
      <c r="H1610" s="255">
        <v>6</v>
      </c>
      <c r="I1610" s="361">
        <v>1</v>
      </c>
      <c r="J1610" s="362" t="s">
        <v>310</v>
      </c>
      <c r="K1610" s="363"/>
      <c r="L1610" s="129"/>
      <c r="M1610" s="129"/>
      <c r="N1610" s="129"/>
      <c r="O1610" s="129"/>
      <c r="P1610" s="364"/>
      <c r="Q1610" s="364"/>
      <c r="R1610" s="129"/>
      <c r="S1610" s="129"/>
      <c r="T1610" s="129"/>
      <c r="W1610" s="129" t="s">
        <v>307</v>
      </c>
      <c r="X1610" s="337" t="b">
        <f t="shared" si="58"/>
        <v>0</v>
      </c>
    </row>
    <row r="1611" spans="1:24" s="337" customFormat="1" ht="12" customHeight="1" outlineLevel="1">
      <c r="A1611" s="335"/>
      <c r="B1611" s="118" t="s">
        <v>12</v>
      </c>
      <c r="C1611" s="334" t="s">
        <v>8019</v>
      </c>
      <c r="D1611" s="124" t="s">
        <v>8020</v>
      </c>
      <c r="E1611" s="125"/>
      <c r="F1611" s="118" t="s">
        <v>433</v>
      </c>
      <c r="G1611" s="126" t="s">
        <v>7861</v>
      </c>
      <c r="H1611" s="255">
        <v>6</v>
      </c>
      <c r="I1611" s="361">
        <v>1</v>
      </c>
      <c r="J1611" s="362" t="s">
        <v>286</v>
      </c>
      <c r="K1611" s="363"/>
      <c r="L1611" s="129"/>
      <c r="M1611" s="129"/>
      <c r="N1611" s="129"/>
      <c r="O1611" s="129"/>
      <c r="P1611" s="364"/>
      <c r="Q1611" s="364"/>
      <c r="R1611" s="129"/>
      <c r="S1611" s="129"/>
      <c r="T1611" s="129"/>
      <c r="W1611" s="129" t="s">
        <v>286</v>
      </c>
      <c r="X1611" s="337" t="b">
        <f t="shared" si="58"/>
        <v>1</v>
      </c>
    </row>
    <row r="1612" spans="1:24" s="337" customFormat="1" ht="12" customHeight="1" outlineLevel="1">
      <c r="A1612" s="335"/>
      <c r="B1612" s="118" t="s">
        <v>12</v>
      </c>
      <c r="C1612" s="334" t="s">
        <v>8021</v>
      </c>
      <c r="D1612" s="124" t="s">
        <v>8022</v>
      </c>
      <c r="E1612" s="125"/>
      <c r="F1612" s="118" t="s">
        <v>433</v>
      </c>
      <c r="G1612" s="126" t="s">
        <v>7861</v>
      </c>
      <c r="H1612" s="255">
        <v>6</v>
      </c>
      <c r="I1612" s="361">
        <v>1</v>
      </c>
      <c r="J1612" s="362" t="s">
        <v>286</v>
      </c>
      <c r="K1612" s="363"/>
      <c r="L1612" s="129"/>
      <c r="M1612" s="129"/>
      <c r="N1612" s="129"/>
      <c r="O1612" s="129"/>
      <c r="P1612" s="364"/>
      <c r="Q1612" s="364"/>
      <c r="R1612" s="129"/>
      <c r="S1612" s="129"/>
      <c r="T1612" s="129"/>
      <c r="W1612" s="129" t="s">
        <v>286</v>
      </c>
      <c r="X1612" s="337" t="b">
        <f t="shared" si="58"/>
        <v>1</v>
      </c>
    </row>
    <row r="1613" spans="1:24" s="337" customFormat="1" ht="12" customHeight="1" outlineLevel="1">
      <c r="A1613" s="335"/>
      <c r="B1613" s="118" t="s">
        <v>12</v>
      </c>
      <c r="C1613" s="334" t="s">
        <v>8023</v>
      </c>
      <c r="D1613" s="124" t="s">
        <v>8024</v>
      </c>
      <c r="E1613" s="125"/>
      <c r="F1613" s="118" t="s">
        <v>433</v>
      </c>
      <c r="G1613" s="126" t="s">
        <v>7861</v>
      </c>
      <c r="H1613" s="255">
        <v>6</v>
      </c>
      <c r="I1613" s="361">
        <v>1</v>
      </c>
      <c r="J1613" s="362" t="s">
        <v>310</v>
      </c>
      <c r="K1613" s="363"/>
      <c r="L1613" s="129"/>
      <c r="M1613" s="129"/>
      <c r="N1613" s="129"/>
      <c r="O1613" s="129"/>
      <c r="P1613" s="364"/>
      <c r="Q1613" s="364"/>
      <c r="R1613" s="129"/>
      <c r="S1613" s="129"/>
      <c r="T1613" s="129"/>
      <c r="W1613" s="129" t="s">
        <v>307</v>
      </c>
      <c r="X1613" s="337" t="b">
        <f t="shared" si="58"/>
        <v>0</v>
      </c>
    </row>
    <row r="1614" spans="1:24" s="337" customFormat="1" ht="12" customHeight="1" outlineLevel="1">
      <c r="A1614" s="335"/>
      <c r="B1614" s="118" t="s">
        <v>12</v>
      </c>
      <c r="C1614" s="334" t="s">
        <v>8025</v>
      </c>
      <c r="D1614" s="124" t="s">
        <v>8026</v>
      </c>
      <c r="E1614" s="125"/>
      <c r="F1614" s="118" t="s">
        <v>433</v>
      </c>
      <c r="G1614" s="126" t="s">
        <v>7861</v>
      </c>
      <c r="H1614" s="255">
        <v>6</v>
      </c>
      <c r="I1614" s="361">
        <v>1</v>
      </c>
      <c r="J1614" s="362" t="s">
        <v>286</v>
      </c>
      <c r="K1614" s="363"/>
      <c r="L1614" s="129"/>
      <c r="M1614" s="129"/>
      <c r="N1614" s="129"/>
      <c r="O1614" s="129"/>
      <c r="P1614" s="364"/>
      <c r="Q1614" s="364"/>
      <c r="R1614" s="129"/>
      <c r="S1614" s="129"/>
      <c r="T1614" s="129"/>
      <c r="W1614" s="129" t="s">
        <v>286</v>
      </c>
      <c r="X1614" s="337" t="b">
        <f t="shared" si="58"/>
        <v>1</v>
      </c>
    </row>
    <row r="1615" spans="1:24" s="337" customFormat="1" ht="12" customHeight="1" outlineLevel="1">
      <c r="A1615" s="335"/>
      <c r="B1615" s="118" t="s">
        <v>12</v>
      </c>
      <c r="C1615" s="334" t="s">
        <v>8027</v>
      </c>
      <c r="D1615" s="124" t="s">
        <v>8028</v>
      </c>
      <c r="E1615" s="125"/>
      <c r="F1615" s="118" t="s">
        <v>433</v>
      </c>
      <c r="G1615" s="126" t="s">
        <v>7861</v>
      </c>
      <c r="H1615" s="255">
        <v>6</v>
      </c>
      <c r="I1615" s="361">
        <v>1</v>
      </c>
      <c r="J1615" s="362" t="s">
        <v>310</v>
      </c>
      <c r="K1615" s="363"/>
      <c r="L1615" s="129"/>
      <c r="M1615" s="129"/>
      <c r="N1615" s="129"/>
      <c r="O1615" s="129"/>
      <c r="P1615" s="364"/>
      <c r="Q1615" s="364"/>
      <c r="R1615" s="129"/>
      <c r="S1615" s="129"/>
      <c r="T1615" s="129"/>
      <c r="W1615" s="129" t="s">
        <v>307</v>
      </c>
      <c r="X1615" s="337" t="b">
        <f t="shared" si="58"/>
        <v>0</v>
      </c>
    </row>
    <row r="1616" spans="1:24" s="337" customFormat="1" ht="12" customHeight="1" outlineLevel="1">
      <c r="A1616" s="335"/>
      <c r="B1616" s="118" t="s">
        <v>12</v>
      </c>
      <c r="C1616" s="334" t="s">
        <v>8029</v>
      </c>
      <c r="D1616" s="124" t="s">
        <v>8030</v>
      </c>
      <c r="E1616" s="125"/>
      <c r="F1616" s="118" t="s">
        <v>433</v>
      </c>
      <c r="G1616" s="126" t="s">
        <v>7861</v>
      </c>
      <c r="H1616" s="255">
        <v>6</v>
      </c>
      <c r="I1616" s="361">
        <v>1</v>
      </c>
      <c r="J1616" s="362" t="s">
        <v>310</v>
      </c>
      <c r="K1616" s="363"/>
      <c r="L1616" s="129"/>
      <c r="M1616" s="129"/>
      <c r="N1616" s="129"/>
      <c r="O1616" s="129"/>
      <c r="P1616" s="364"/>
      <c r="Q1616" s="364"/>
      <c r="R1616" s="129"/>
      <c r="S1616" s="129"/>
      <c r="T1616" s="129"/>
      <c r="W1616" s="129" t="s">
        <v>307</v>
      </c>
      <c r="X1616" s="337" t="b">
        <f t="shared" si="58"/>
        <v>0</v>
      </c>
    </row>
    <row r="1617" spans="1:24" s="337" customFormat="1" ht="12" customHeight="1" outlineLevel="1">
      <c r="A1617" s="335"/>
      <c r="B1617" s="118" t="s">
        <v>12</v>
      </c>
      <c r="C1617" s="334" t="s">
        <v>8031</v>
      </c>
      <c r="D1617" s="124" t="s">
        <v>8032</v>
      </c>
      <c r="E1617" s="125"/>
      <c r="F1617" s="118" t="s">
        <v>433</v>
      </c>
      <c r="G1617" s="126" t="s">
        <v>7861</v>
      </c>
      <c r="H1617" s="255">
        <v>6</v>
      </c>
      <c r="I1617" s="361">
        <v>1</v>
      </c>
      <c r="J1617" s="362" t="s">
        <v>310</v>
      </c>
      <c r="K1617" s="363"/>
      <c r="L1617" s="129"/>
      <c r="M1617" s="129"/>
      <c r="N1617" s="129"/>
      <c r="O1617" s="129"/>
      <c r="P1617" s="364"/>
      <c r="Q1617" s="364"/>
      <c r="R1617" s="129"/>
      <c r="S1617" s="129"/>
      <c r="T1617" s="129"/>
      <c r="W1617" s="129" t="s">
        <v>307</v>
      </c>
      <c r="X1617" s="337" t="b">
        <f t="shared" si="58"/>
        <v>0</v>
      </c>
    </row>
    <row r="1618" spans="1:24" s="337" customFormat="1" ht="12" customHeight="1" outlineLevel="1">
      <c r="A1618" s="335"/>
      <c r="B1618" s="118" t="s">
        <v>12</v>
      </c>
      <c r="C1618" s="334" t="s">
        <v>8033</v>
      </c>
      <c r="D1618" s="124" t="s">
        <v>8034</v>
      </c>
      <c r="E1618" s="125"/>
      <c r="F1618" s="118" t="s">
        <v>433</v>
      </c>
      <c r="G1618" s="126" t="s">
        <v>7861</v>
      </c>
      <c r="H1618" s="255">
        <v>6</v>
      </c>
      <c r="I1618" s="361">
        <v>1</v>
      </c>
      <c r="J1618" s="362" t="s">
        <v>310</v>
      </c>
      <c r="K1618" s="363"/>
      <c r="L1618" s="129"/>
      <c r="M1618" s="129"/>
      <c r="N1618" s="129"/>
      <c r="O1618" s="129"/>
      <c r="P1618" s="364"/>
      <c r="Q1618" s="364"/>
      <c r="R1618" s="129"/>
      <c r="S1618" s="129"/>
      <c r="T1618" s="129"/>
      <c r="W1618" s="129" t="s">
        <v>307</v>
      </c>
      <c r="X1618" s="337" t="b">
        <f t="shared" si="58"/>
        <v>0</v>
      </c>
    </row>
    <row r="1619" spans="1:24" s="337" customFormat="1" ht="12" customHeight="1" outlineLevel="1">
      <c r="A1619" s="335"/>
      <c r="B1619" s="118" t="s">
        <v>12</v>
      </c>
      <c r="C1619" s="334" t="s">
        <v>8035</v>
      </c>
      <c r="D1619" s="124" t="s">
        <v>8036</v>
      </c>
      <c r="E1619" s="125"/>
      <c r="F1619" s="118" t="s">
        <v>433</v>
      </c>
      <c r="G1619" s="126" t="s">
        <v>7861</v>
      </c>
      <c r="H1619" s="255">
        <v>6</v>
      </c>
      <c r="I1619" s="361">
        <v>1</v>
      </c>
      <c r="J1619" s="362" t="s">
        <v>310</v>
      </c>
      <c r="K1619" s="363"/>
      <c r="L1619" s="129"/>
      <c r="M1619" s="129"/>
      <c r="N1619" s="129"/>
      <c r="O1619" s="129"/>
      <c r="P1619" s="364"/>
      <c r="Q1619" s="364"/>
      <c r="R1619" s="129"/>
      <c r="S1619" s="129"/>
      <c r="T1619" s="129"/>
      <c r="W1619" s="129" t="s">
        <v>307</v>
      </c>
      <c r="X1619" s="337" t="b">
        <f t="shared" si="58"/>
        <v>0</v>
      </c>
    </row>
    <row r="1620" spans="1:24" s="337" customFormat="1" ht="12" customHeight="1" outlineLevel="1">
      <c r="A1620" s="335"/>
      <c r="B1620" s="118" t="s">
        <v>12</v>
      </c>
      <c r="C1620" s="334" t="s">
        <v>8037</v>
      </c>
      <c r="D1620" s="124" t="s">
        <v>8038</v>
      </c>
      <c r="E1620" s="125"/>
      <c r="F1620" s="118" t="s">
        <v>433</v>
      </c>
      <c r="G1620" s="126" t="s">
        <v>7861</v>
      </c>
      <c r="H1620" s="255">
        <v>6</v>
      </c>
      <c r="I1620" s="361">
        <v>1</v>
      </c>
      <c r="J1620" s="362" t="s">
        <v>310</v>
      </c>
      <c r="K1620" s="363"/>
      <c r="L1620" s="129"/>
      <c r="M1620" s="129"/>
      <c r="N1620" s="129"/>
      <c r="O1620" s="129"/>
      <c r="P1620" s="364"/>
      <c r="Q1620" s="364"/>
      <c r="R1620" s="129"/>
      <c r="S1620" s="129"/>
      <c r="T1620" s="129"/>
      <c r="W1620" s="129" t="s">
        <v>307</v>
      </c>
      <c r="X1620" s="337" t="b">
        <f t="shared" si="58"/>
        <v>0</v>
      </c>
    </row>
    <row r="1621" spans="1:24" s="337" customFormat="1" ht="12" customHeight="1" outlineLevel="1">
      <c r="A1621" s="335"/>
      <c r="B1621" s="118" t="s">
        <v>12</v>
      </c>
      <c r="C1621" s="334" t="s">
        <v>8039</v>
      </c>
      <c r="D1621" s="124" t="s">
        <v>8040</v>
      </c>
      <c r="E1621" s="125"/>
      <c r="F1621" s="118" t="s">
        <v>433</v>
      </c>
      <c r="G1621" s="126" t="s">
        <v>7861</v>
      </c>
      <c r="H1621" s="255">
        <v>6</v>
      </c>
      <c r="I1621" s="361">
        <v>1</v>
      </c>
      <c r="J1621" s="362" t="s">
        <v>310</v>
      </c>
      <c r="K1621" s="363"/>
      <c r="L1621" s="129"/>
      <c r="M1621" s="129"/>
      <c r="N1621" s="129"/>
      <c r="O1621" s="129"/>
      <c r="P1621" s="364"/>
      <c r="Q1621" s="364"/>
      <c r="R1621" s="129"/>
      <c r="S1621" s="129"/>
      <c r="T1621" s="129"/>
      <c r="W1621" s="129" t="s">
        <v>307</v>
      </c>
      <c r="X1621" s="337" t="b">
        <f t="shared" si="58"/>
        <v>0</v>
      </c>
    </row>
    <row r="1622" spans="1:24" s="337" customFormat="1" ht="12" customHeight="1" outlineLevel="1">
      <c r="A1622" s="335"/>
      <c r="B1622" s="118" t="s">
        <v>12</v>
      </c>
      <c r="C1622" s="334" t="s">
        <v>8041</v>
      </c>
      <c r="D1622" s="124" t="s">
        <v>8042</v>
      </c>
      <c r="E1622" s="125"/>
      <c r="F1622" s="118" t="s">
        <v>433</v>
      </c>
      <c r="G1622" s="126" t="s">
        <v>7861</v>
      </c>
      <c r="H1622" s="255">
        <v>6</v>
      </c>
      <c r="I1622" s="361">
        <v>1</v>
      </c>
      <c r="J1622" s="362" t="s">
        <v>310</v>
      </c>
      <c r="K1622" s="363"/>
      <c r="L1622" s="129"/>
      <c r="M1622" s="129"/>
      <c r="N1622" s="129"/>
      <c r="O1622" s="129"/>
      <c r="P1622" s="364"/>
      <c r="Q1622" s="364"/>
      <c r="R1622" s="129"/>
      <c r="S1622" s="129"/>
      <c r="T1622" s="129"/>
      <c r="W1622" s="129" t="s">
        <v>307</v>
      </c>
      <c r="X1622" s="337" t="b">
        <f t="shared" si="58"/>
        <v>0</v>
      </c>
    </row>
    <row r="1623" spans="1:24" s="337" customFormat="1" ht="12" customHeight="1" outlineLevel="1">
      <c r="A1623" s="335"/>
      <c r="B1623" s="118" t="s">
        <v>12</v>
      </c>
      <c r="C1623" s="334" t="s">
        <v>8043</v>
      </c>
      <c r="D1623" s="124" t="s">
        <v>8044</v>
      </c>
      <c r="E1623" s="125"/>
      <c r="F1623" s="118" t="s">
        <v>433</v>
      </c>
      <c r="G1623" s="126" t="s">
        <v>7861</v>
      </c>
      <c r="H1623" s="255">
        <v>6</v>
      </c>
      <c r="I1623" s="361">
        <v>1</v>
      </c>
      <c r="J1623" s="362" t="s">
        <v>310</v>
      </c>
      <c r="K1623" s="363"/>
      <c r="L1623" s="129"/>
      <c r="M1623" s="129"/>
      <c r="N1623" s="129"/>
      <c r="O1623" s="129"/>
      <c r="P1623" s="364"/>
      <c r="Q1623" s="364"/>
      <c r="R1623" s="129"/>
      <c r="S1623" s="129"/>
      <c r="T1623" s="129"/>
      <c r="W1623" s="129" t="s">
        <v>307</v>
      </c>
      <c r="X1623" s="337" t="b">
        <f t="shared" si="58"/>
        <v>0</v>
      </c>
    </row>
    <row r="1624" spans="1:24" s="337" customFormat="1" ht="12" customHeight="1" outlineLevel="1">
      <c r="A1624" s="335"/>
      <c r="B1624" s="118" t="s">
        <v>12</v>
      </c>
      <c r="C1624" s="334" t="s">
        <v>8045</v>
      </c>
      <c r="D1624" s="124" t="s">
        <v>8046</v>
      </c>
      <c r="E1624" s="125"/>
      <c r="F1624" s="118" t="s">
        <v>433</v>
      </c>
      <c r="G1624" s="126" t="s">
        <v>7861</v>
      </c>
      <c r="H1624" s="255">
        <v>6</v>
      </c>
      <c r="I1624" s="361">
        <v>1</v>
      </c>
      <c r="J1624" s="362" t="s">
        <v>310</v>
      </c>
      <c r="K1624" s="363"/>
      <c r="L1624" s="129"/>
      <c r="M1624" s="129"/>
      <c r="N1624" s="129"/>
      <c r="O1624" s="129"/>
      <c r="P1624" s="364"/>
      <c r="Q1624" s="364"/>
      <c r="R1624" s="129"/>
      <c r="S1624" s="129"/>
      <c r="T1624" s="129"/>
      <c r="W1624" s="129" t="s">
        <v>307</v>
      </c>
      <c r="X1624" s="337" t="b">
        <f t="shared" si="58"/>
        <v>0</v>
      </c>
    </row>
    <row r="1625" spans="1:24" s="337" customFormat="1" ht="12" customHeight="1" outlineLevel="1">
      <c r="A1625" s="335"/>
      <c r="B1625" s="118" t="s">
        <v>12</v>
      </c>
      <c r="C1625" s="334" t="s">
        <v>8047</v>
      </c>
      <c r="D1625" s="124" t="s">
        <v>8048</v>
      </c>
      <c r="E1625" s="125"/>
      <c r="F1625" s="118" t="s">
        <v>433</v>
      </c>
      <c r="G1625" s="126" t="s">
        <v>7861</v>
      </c>
      <c r="H1625" s="255">
        <v>6</v>
      </c>
      <c r="I1625" s="361">
        <v>1</v>
      </c>
      <c r="J1625" s="362" t="s">
        <v>286</v>
      </c>
      <c r="K1625" s="363"/>
      <c r="L1625" s="129"/>
      <c r="M1625" s="129"/>
      <c r="N1625" s="129"/>
      <c r="O1625" s="129"/>
      <c r="P1625" s="364"/>
      <c r="Q1625" s="364"/>
      <c r="R1625" s="129"/>
      <c r="S1625" s="129"/>
      <c r="T1625" s="129"/>
      <c r="W1625" s="129" t="s">
        <v>286</v>
      </c>
      <c r="X1625" s="337" t="b">
        <f t="shared" si="58"/>
        <v>1</v>
      </c>
    </row>
    <row r="1626" spans="1:24" s="337" customFormat="1" ht="12" customHeight="1" outlineLevel="1">
      <c r="A1626" s="335"/>
      <c r="B1626" s="118" t="s">
        <v>12</v>
      </c>
      <c r="C1626" s="334" t="s">
        <v>8049</v>
      </c>
      <c r="D1626" s="124" t="s">
        <v>8050</v>
      </c>
      <c r="E1626" s="125"/>
      <c r="F1626" s="118" t="s">
        <v>433</v>
      </c>
      <c r="G1626" s="126" t="s">
        <v>7861</v>
      </c>
      <c r="H1626" s="255">
        <v>6</v>
      </c>
      <c r="I1626" s="361">
        <v>1</v>
      </c>
      <c r="J1626" s="362" t="s">
        <v>310</v>
      </c>
      <c r="K1626" s="363"/>
      <c r="L1626" s="129"/>
      <c r="M1626" s="129"/>
      <c r="N1626" s="129"/>
      <c r="O1626" s="129"/>
      <c r="P1626" s="364"/>
      <c r="Q1626" s="364"/>
      <c r="R1626" s="129"/>
      <c r="S1626" s="129"/>
      <c r="T1626" s="129"/>
      <c r="W1626" s="129" t="s">
        <v>307</v>
      </c>
      <c r="X1626" s="337" t="b">
        <f t="shared" si="58"/>
        <v>0</v>
      </c>
    </row>
    <row r="1627" spans="1:24" s="337" customFormat="1" ht="12" customHeight="1" outlineLevel="1">
      <c r="A1627" s="335"/>
      <c r="B1627" s="118" t="s">
        <v>12</v>
      </c>
      <c r="C1627" s="334" t="s">
        <v>8051</v>
      </c>
      <c r="D1627" s="124" t="s">
        <v>8052</v>
      </c>
      <c r="E1627" s="125"/>
      <c r="F1627" s="118" t="s">
        <v>433</v>
      </c>
      <c r="G1627" s="126" t="s">
        <v>7861</v>
      </c>
      <c r="H1627" s="255">
        <v>6</v>
      </c>
      <c r="I1627" s="361">
        <v>1</v>
      </c>
      <c r="J1627" s="362" t="s">
        <v>286</v>
      </c>
      <c r="K1627" s="363"/>
      <c r="L1627" s="129"/>
      <c r="M1627" s="129"/>
      <c r="N1627" s="129"/>
      <c r="O1627" s="129"/>
      <c r="P1627" s="364"/>
      <c r="Q1627" s="364"/>
      <c r="R1627" s="129"/>
      <c r="S1627" s="129"/>
      <c r="T1627" s="129"/>
      <c r="W1627" s="129" t="s">
        <v>310</v>
      </c>
      <c r="X1627" s="337" t="b">
        <f t="shared" si="58"/>
        <v>0</v>
      </c>
    </row>
    <row r="1628" spans="1:24" s="337" customFormat="1" ht="12" customHeight="1" outlineLevel="1">
      <c r="A1628" s="335"/>
      <c r="B1628" s="118" t="s">
        <v>12</v>
      </c>
      <c r="C1628" s="334" t="s">
        <v>8053</v>
      </c>
      <c r="D1628" s="124" t="s">
        <v>8054</v>
      </c>
      <c r="E1628" s="125"/>
      <c r="F1628" s="118" t="s">
        <v>433</v>
      </c>
      <c r="G1628" s="126" t="s">
        <v>7861</v>
      </c>
      <c r="H1628" s="255">
        <v>6</v>
      </c>
      <c r="I1628" s="361">
        <v>1</v>
      </c>
      <c r="J1628" s="362" t="s">
        <v>286</v>
      </c>
      <c r="K1628" s="363"/>
      <c r="L1628" s="129"/>
      <c r="M1628" s="129"/>
      <c r="N1628" s="129"/>
      <c r="O1628" s="129"/>
      <c r="P1628" s="364"/>
      <c r="Q1628" s="364"/>
      <c r="R1628" s="129"/>
      <c r="S1628" s="129"/>
      <c r="T1628" s="129"/>
      <c r="W1628" s="129" t="s">
        <v>286</v>
      </c>
      <c r="X1628" s="337" t="b">
        <f t="shared" si="58"/>
        <v>1</v>
      </c>
    </row>
    <row r="1629" spans="1:24" s="337" customFormat="1" ht="12" customHeight="1" outlineLevel="1">
      <c r="A1629" s="335"/>
      <c r="B1629" s="118" t="s">
        <v>12</v>
      </c>
      <c r="C1629" s="334" t="s">
        <v>8055</v>
      </c>
      <c r="D1629" s="124" t="s">
        <v>8056</v>
      </c>
      <c r="E1629" s="125"/>
      <c r="F1629" s="118" t="s">
        <v>433</v>
      </c>
      <c r="G1629" s="126" t="s">
        <v>7861</v>
      </c>
      <c r="H1629" s="255">
        <v>6</v>
      </c>
      <c r="I1629" s="361">
        <v>1</v>
      </c>
      <c r="J1629" s="362" t="s">
        <v>286</v>
      </c>
      <c r="K1629" s="363"/>
      <c r="L1629" s="129"/>
      <c r="M1629" s="129"/>
      <c r="N1629" s="129"/>
      <c r="O1629" s="129"/>
      <c r="P1629" s="364"/>
      <c r="Q1629" s="364"/>
      <c r="R1629" s="129"/>
      <c r="S1629" s="129"/>
      <c r="T1629" s="129"/>
      <c r="W1629" s="129" t="s">
        <v>286</v>
      </c>
      <c r="X1629" s="337" t="b">
        <f t="shared" si="58"/>
        <v>1</v>
      </c>
    </row>
    <row r="1630" spans="1:24" s="337" customFormat="1" ht="12" customHeight="1" outlineLevel="1">
      <c r="A1630" s="335"/>
      <c r="B1630" s="118" t="s">
        <v>12</v>
      </c>
      <c r="C1630" s="334" t="s">
        <v>8057</v>
      </c>
      <c r="D1630" s="124" t="s">
        <v>8058</v>
      </c>
      <c r="E1630" s="125"/>
      <c r="F1630" s="118" t="s">
        <v>433</v>
      </c>
      <c r="G1630" s="126" t="s">
        <v>7861</v>
      </c>
      <c r="H1630" s="255">
        <v>6</v>
      </c>
      <c r="I1630" s="361">
        <v>1</v>
      </c>
      <c r="J1630" s="362" t="s">
        <v>286</v>
      </c>
      <c r="K1630" s="363"/>
      <c r="L1630" s="129"/>
      <c r="M1630" s="129"/>
      <c r="N1630" s="129"/>
      <c r="O1630" s="129"/>
      <c r="P1630" s="364"/>
      <c r="Q1630" s="364"/>
      <c r="R1630" s="129"/>
      <c r="S1630" s="129"/>
      <c r="T1630" s="129"/>
      <c r="W1630" s="129" t="s">
        <v>286</v>
      </c>
      <c r="X1630" s="337" t="b">
        <f t="shared" si="58"/>
        <v>1</v>
      </c>
    </row>
    <row r="1631" spans="1:24" s="337" customFormat="1" ht="12" customHeight="1" outlineLevel="1">
      <c r="A1631" s="335"/>
      <c r="B1631" s="118" t="s">
        <v>12</v>
      </c>
      <c r="C1631" s="334" t="s">
        <v>8059</v>
      </c>
      <c r="D1631" s="124" t="s">
        <v>8060</v>
      </c>
      <c r="E1631" s="125"/>
      <c r="F1631" s="118" t="s">
        <v>433</v>
      </c>
      <c r="G1631" s="126" t="s">
        <v>7861</v>
      </c>
      <c r="H1631" s="255">
        <v>6</v>
      </c>
      <c r="I1631" s="361">
        <v>1</v>
      </c>
      <c r="J1631" s="362" t="s">
        <v>286</v>
      </c>
      <c r="K1631" s="363"/>
      <c r="L1631" s="129"/>
      <c r="M1631" s="129"/>
      <c r="N1631" s="129"/>
      <c r="O1631" s="129"/>
      <c r="P1631" s="364"/>
      <c r="Q1631" s="364"/>
      <c r="R1631" s="129"/>
      <c r="S1631" s="129"/>
      <c r="T1631" s="129"/>
      <c r="W1631" s="129" t="s">
        <v>286</v>
      </c>
      <c r="X1631" s="337" t="b">
        <f t="shared" si="58"/>
        <v>1</v>
      </c>
    </row>
    <row r="1632" spans="1:24" s="337" customFormat="1" ht="12" customHeight="1" outlineLevel="1">
      <c r="A1632" s="335"/>
      <c r="B1632" s="118" t="s">
        <v>12</v>
      </c>
      <c r="C1632" s="334" t="s">
        <v>8061</v>
      </c>
      <c r="D1632" s="124" t="s">
        <v>8062</v>
      </c>
      <c r="E1632" s="125"/>
      <c r="F1632" s="118" t="s">
        <v>433</v>
      </c>
      <c r="G1632" s="126" t="s">
        <v>7861</v>
      </c>
      <c r="H1632" s="255">
        <v>6</v>
      </c>
      <c r="I1632" s="361">
        <v>1</v>
      </c>
      <c r="J1632" s="362" t="s">
        <v>286</v>
      </c>
      <c r="K1632" s="363"/>
      <c r="L1632" s="129"/>
      <c r="M1632" s="129"/>
      <c r="N1632" s="129"/>
      <c r="O1632" s="129"/>
      <c r="P1632" s="364"/>
      <c r="Q1632" s="364"/>
      <c r="R1632" s="129"/>
      <c r="S1632" s="129"/>
      <c r="T1632" s="129"/>
      <c r="W1632" s="129" t="s">
        <v>286</v>
      </c>
      <c r="X1632" s="337" t="b">
        <f t="shared" si="58"/>
        <v>1</v>
      </c>
    </row>
    <row r="1633" spans="1:24" s="337" customFormat="1" ht="12" customHeight="1" outlineLevel="1">
      <c r="A1633" s="335"/>
      <c r="B1633" s="118" t="s">
        <v>12</v>
      </c>
      <c r="C1633" s="334" t="s">
        <v>8063</v>
      </c>
      <c r="D1633" s="124" t="s">
        <v>8064</v>
      </c>
      <c r="E1633" s="125"/>
      <c r="F1633" s="118" t="s">
        <v>433</v>
      </c>
      <c r="G1633" s="126" t="s">
        <v>7861</v>
      </c>
      <c r="H1633" s="255">
        <v>6</v>
      </c>
      <c r="I1633" s="361">
        <v>1</v>
      </c>
      <c r="J1633" s="362" t="s">
        <v>286</v>
      </c>
      <c r="K1633" s="363"/>
      <c r="L1633" s="129"/>
      <c r="M1633" s="129"/>
      <c r="N1633" s="129"/>
      <c r="O1633" s="129"/>
      <c r="P1633" s="364"/>
      <c r="Q1633" s="364"/>
      <c r="R1633" s="129"/>
      <c r="S1633" s="129"/>
      <c r="T1633" s="129"/>
      <c r="W1633" s="129" t="s">
        <v>286</v>
      </c>
      <c r="X1633" s="337" t="b">
        <f t="shared" si="58"/>
        <v>1</v>
      </c>
    </row>
    <row r="1634" spans="1:24" s="337" customFormat="1" ht="12" customHeight="1" outlineLevel="1">
      <c r="A1634" s="335"/>
      <c r="B1634" s="118" t="s">
        <v>12</v>
      </c>
      <c r="C1634" s="334" t="s">
        <v>8065</v>
      </c>
      <c r="D1634" s="124" t="s">
        <v>8066</v>
      </c>
      <c r="E1634" s="125"/>
      <c r="F1634" s="118" t="s">
        <v>433</v>
      </c>
      <c r="G1634" s="126" t="s">
        <v>7861</v>
      </c>
      <c r="H1634" s="255">
        <v>6</v>
      </c>
      <c r="I1634" s="361">
        <v>1</v>
      </c>
      <c r="J1634" s="362" t="s">
        <v>286</v>
      </c>
      <c r="K1634" s="363"/>
      <c r="L1634" s="129"/>
      <c r="M1634" s="129"/>
      <c r="N1634" s="129"/>
      <c r="O1634" s="129"/>
      <c r="P1634" s="364"/>
      <c r="Q1634" s="364"/>
      <c r="R1634" s="129"/>
      <c r="S1634" s="129"/>
      <c r="T1634" s="129"/>
      <c r="W1634" s="129" t="s">
        <v>286</v>
      </c>
      <c r="X1634" s="337" t="b">
        <f t="shared" si="58"/>
        <v>1</v>
      </c>
    </row>
    <row r="1635" spans="1:24" s="337" customFormat="1" ht="12" customHeight="1" outlineLevel="1">
      <c r="A1635" s="335"/>
      <c r="B1635" s="118" t="s">
        <v>12</v>
      </c>
      <c r="C1635" s="334" t="s">
        <v>8067</v>
      </c>
      <c r="D1635" s="124" t="s">
        <v>8068</v>
      </c>
      <c r="E1635" s="125"/>
      <c r="F1635" s="118" t="s">
        <v>433</v>
      </c>
      <c r="G1635" s="126" t="s">
        <v>7861</v>
      </c>
      <c r="H1635" s="255">
        <v>6</v>
      </c>
      <c r="I1635" s="361">
        <v>1</v>
      </c>
      <c r="J1635" s="362" t="s">
        <v>286</v>
      </c>
      <c r="K1635" s="363"/>
      <c r="L1635" s="129"/>
      <c r="M1635" s="129"/>
      <c r="N1635" s="129"/>
      <c r="O1635" s="129"/>
      <c r="P1635" s="364"/>
      <c r="Q1635" s="364"/>
      <c r="R1635" s="129"/>
      <c r="S1635" s="129"/>
      <c r="T1635" s="129"/>
      <c r="W1635" s="129" t="s">
        <v>310</v>
      </c>
      <c r="X1635" s="337" t="b">
        <f t="shared" si="58"/>
        <v>0</v>
      </c>
    </row>
    <row r="1636" spans="1:24" s="337" customFormat="1" ht="12" customHeight="1" outlineLevel="1">
      <c r="A1636" s="335"/>
      <c r="B1636" s="118" t="s">
        <v>12</v>
      </c>
      <c r="C1636" s="334" t="s">
        <v>8069</v>
      </c>
      <c r="D1636" s="124" t="s">
        <v>8070</v>
      </c>
      <c r="E1636" s="125"/>
      <c r="F1636" s="118" t="s">
        <v>433</v>
      </c>
      <c r="G1636" s="126" t="s">
        <v>7861</v>
      </c>
      <c r="H1636" s="255">
        <v>6</v>
      </c>
      <c r="I1636" s="361">
        <v>1</v>
      </c>
      <c r="J1636" s="362" t="s">
        <v>286</v>
      </c>
      <c r="K1636" s="363"/>
      <c r="L1636" s="129"/>
      <c r="M1636" s="129"/>
      <c r="N1636" s="129"/>
      <c r="O1636" s="129"/>
      <c r="P1636" s="364"/>
      <c r="Q1636" s="364"/>
      <c r="R1636" s="129"/>
      <c r="S1636" s="129"/>
      <c r="T1636" s="129"/>
      <c r="W1636" s="129" t="s">
        <v>286</v>
      </c>
      <c r="X1636" s="337" t="b">
        <f t="shared" si="58"/>
        <v>1</v>
      </c>
    </row>
    <row r="1637" spans="1:24" s="337" customFormat="1" ht="12" customHeight="1" outlineLevel="1">
      <c r="A1637" s="335"/>
      <c r="B1637" s="118" t="s">
        <v>12</v>
      </c>
      <c r="C1637" s="334" t="s">
        <v>8071</v>
      </c>
      <c r="D1637" s="124" t="s">
        <v>8072</v>
      </c>
      <c r="E1637" s="125"/>
      <c r="F1637" s="118" t="s">
        <v>433</v>
      </c>
      <c r="G1637" s="126" t="s">
        <v>7861</v>
      </c>
      <c r="H1637" s="255">
        <v>6</v>
      </c>
      <c r="I1637" s="361">
        <v>1</v>
      </c>
      <c r="J1637" s="362" t="s">
        <v>286</v>
      </c>
      <c r="K1637" s="363"/>
      <c r="L1637" s="129"/>
      <c r="M1637" s="129"/>
      <c r="N1637" s="129"/>
      <c r="O1637" s="129"/>
      <c r="P1637" s="364"/>
      <c r="Q1637" s="364"/>
      <c r="R1637" s="129"/>
      <c r="S1637" s="129"/>
      <c r="T1637" s="129"/>
      <c r="W1637" s="129" t="s">
        <v>310</v>
      </c>
      <c r="X1637" s="337" t="b">
        <f t="shared" si="58"/>
        <v>0</v>
      </c>
    </row>
    <row r="1638" spans="1:24" s="337" customFormat="1" ht="12" customHeight="1" outlineLevel="1">
      <c r="A1638" s="335"/>
      <c r="B1638" s="118" t="s">
        <v>12</v>
      </c>
      <c r="C1638" s="334" t="s">
        <v>8073</v>
      </c>
      <c r="D1638" s="124" t="s">
        <v>8074</v>
      </c>
      <c r="E1638" s="125"/>
      <c r="F1638" s="118" t="s">
        <v>433</v>
      </c>
      <c r="G1638" s="126" t="s">
        <v>7861</v>
      </c>
      <c r="H1638" s="255">
        <v>6</v>
      </c>
      <c r="I1638" s="361">
        <v>1</v>
      </c>
      <c r="J1638" s="362" t="s">
        <v>286</v>
      </c>
      <c r="K1638" s="363"/>
      <c r="L1638" s="129"/>
      <c r="M1638" s="129"/>
      <c r="N1638" s="129"/>
      <c r="O1638" s="129"/>
      <c r="P1638" s="364"/>
      <c r="Q1638" s="364"/>
      <c r="R1638" s="129"/>
      <c r="S1638" s="129"/>
      <c r="T1638" s="129"/>
      <c r="W1638" s="129" t="s">
        <v>310</v>
      </c>
      <c r="X1638" s="337" t="b">
        <f t="shared" si="58"/>
        <v>0</v>
      </c>
    </row>
    <row r="1639" spans="1:24" s="337" customFormat="1" ht="12" customHeight="1" outlineLevel="1">
      <c r="A1639" s="335"/>
      <c r="B1639" s="118" t="s">
        <v>12</v>
      </c>
      <c r="C1639" s="334" t="s">
        <v>8075</v>
      </c>
      <c r="D1639" s="124" t="s">
        <v>8076</v>
      </c>
      <c r="E1639" s="125"/>
      <c r="F1639" s="118" t="s">
        <v>433</v>
      </c>
      <c r="G1639" s="126" t="s">
        <v>7861</v>
      </c>
      <c r="H1639" s="255">
        <v>6</v>
      </c>
      <c r="I1639" s="361">
        <v>1</v>
      </c>
      <c r="J1639" s="362" t="s">
        <v>286</v>
      </c>
      <c r="K1639" s="363"/>
      <c r="L1639" s="129"/>
      <c r="M1639" s="129"/>
      <c r="N1639" s="129"/>
      <c r="O1639" s="129"/>
      <c r="P1639" s="364"/>
      <c r="Q1639" s="364"/>
      <c r="R1639" s="129"/>
      <c r="S1639" s="129"/>
      <c r="T1639" s="129"/>
      <c r="W1639" s="129" t="s">
        <v>310</v>
      </c>
      <c r="X1639" s="337" t="b">
        <f t="shared" si="58"/>
        <v>0</v>
      </c>
    </row>
    <row r="1640" spans="1:24" s="337" customFormat="1" ht="12" customHeight="1" outlineLevel="1">
      <c r="A1640" s="335"/>
      <c r="B1640" s="118" t="s">
        <v>12</v>
      </c>
      <c r="C1640" s="334" t="s">
        <v>8077</v>
      </c>
      <c r="D1640" s="124" t="s">
        <v>8078</v>
      </c>
      <c r="E1640" s="125"/>
      <c r="F1640" s="118" t="s">
        <v>433</v>
      </c>
      <c r="G1640" s="126" t="s">
        <v>7861</v>
      </c>
      <c r="H1640" s="255">
        <v>6</v>
      </c>
      <c r="I1640" s="361">
        <v>1</v>
      </c>
      <c r="J1640" s="362" t="s">
        <v>286</v>
      </c>
      <c r="K1640" s="363"/>
      <c r="L1640" s="129"/>
      <c r="M1640" s="129"/>
      <c r="N1640" s="129"/>
      <c r="O1640" s="129"/>
      <c r="P1640" s="364"/>
      <c r="Q1640" s="364"/>
      <c r="R1640" s="129"/>
      <c r="S1640" s="129"/>
      <c r="T1640" s="129"/>
      <c r="W1640" s="129" t="s">
        <v>310</v>
      </c>
      <c r="X1640" s="337" t="b">
        <f t="shared" si="58"/>
        <v>0</v>
      </c>
    </row>
    <row r="1641" spans="1:24" s="337" customFormat="1" ht="12" customHeight="1" outlineLevel="1">
      <c r="A1641" s="335"/>
      <c r="B1641" s="118" t="s">
        <v>12</v>
      </c>
      <c r="C1641" s="334" t="s">
        <v>8079</v>
      </c>
      <c r="D1641" s="124" t="s">
        <v>8080</v>
      </c>
      <c r="E1641" s="125"/>
      <c r="F1641" s="118" t="s">
        <v>433</v>
      </c>
      <c r="G1641" s="126" t="s">
        <v>7861</v>
      </c>
      <c r="H1641" s="255">
        <v>6</v>
      </c>
      <c r="I1641" s="361">
        <v>1</v>
      </c>
      <c r="J1641" s="362" t="s">
        <v>286</v>
      </c>
      <c r="K1641" s="363"/>
      <c r="L1641" s="129"/>
      <c r="M1641" s="129"/>
      <c r="N1641" s="129"/>
      <c r="O1641" s="129"/>
      <c r="P1641" s="364"/>
      <c r="Q1641" s="364"/>
      <c r="R1641" s="129"/>
      <c r="S1641" s="129"/>
      <c r="T1641" s="129"/>
      <c r="W1641" s="129" t="s">
        <v>310</v>
      </c>
      <c r="X1641" s="337" t="b">
        <f t="shared" si="58"/>
        <v>0</v>
      </c>
    </row>
    <row r="1642" spans="1:24" s="337" customFormat="1" ht="12" customHeight="1" outlineLevel="1">
      <c r="A1642" s="335"/>
      <c r="B1642" s="118" t="s">
        <v>12</v>
      </c>
      <c r="C1642" s="334" t="s">
        <v>8081</v>
      </c>
      <c r="D1642" s="124" t="s">
        <v>8082</v>
      </c>
      <c r="E1642" s="125"/>
      <c r="F1642" s="118" t="s">
        <v>433</v>
      </c>
      <c r="G1642" s="126" t="s">
        <v>7861</v>
      </c>
      <c r="H1642" s="255">
        <v>6</v>
      </c>
      <c r="I1642" s="361">
        <v>1</v>
      </c>
      <c r="J1642" s="362" t="s">
        <v>310</v>
      </c>
      <c r="K1642" s="363"/>
      <c r="L1642" s="129"/>
      <c r="M1642" s="129"/>
      <c r="N1642" s="129"/>
      <c r="O1642" s="129"/>
      <c r="P1642" s="364"/>
      <c r="Q1642" s="364"/>
      <c r="R1642" s="129"/>
      <c r="S1642" s="129"/>
      <c r="T1642" s="129"/>
      <c r="W1642" s="129" t="s">
        <v>310</v>
      </c>
      <c r="X1642" s="337" t="b">
        <f t="shared" si="58"/>
        <v>1</v>
      </c>
    </row>
    <row r="1643" spans="1:24" s="337" customFormat="1" ht="12" customHeight="1" outlineLevel="1">
      <c r="A1643" s="335"/>
      <c r="B1643" s="118" t="s">
        <v>12</v>
      </c>
      <c r="C1643" s="334" t="s">
        <v>8083</v>
      </c>
      <c r="D1643" s="124" t="s">
        <v>8084</v>
      </c>
      <c r="E1643" s="125"/>
      <c r="F1643" s="118" t="s">
        <v>433</v>
      </c>
      <c r="G1643" s="126" t="s">
        <v>7861</v>
      </c>
      <c r="H1643" s="255">
        <v>6</v>
      </c>
      <c r="I1643" s="361">
        <v>1</v>
      </c>
      <c r="J1643" s="362" t="s">
        <v>310</v>
      </c>
      <c r="K1643" s="363"/>
      <c r="L1643" s="129"/>
      <c r="M1643" s="129"/>
      <c r="N1643" s="129"/>
      <c r="O1643" s="129"/>
      <c r="P1643" s="364"/>
      <c r="Q1643" s="364"/>
      <c r="R1643" s="129"/>
      <c r="S1643" s="129"/>
      <c r="T1643" s="129"/>
      <c r="W1643" s="129" t="s">
        <v>307</v>
      </c>
      <c r="X1643" s="337" t="b">
        <f t="shared" si="58"/>
        <v>0</v>
      </c>
    </row>
    <row r="1644" spans="1:24" s="337" customFormat="1" ht="12" customHeight="1" outlineLevel="1">
      <c r="A1644" s="335"/>
      <c r="B1644" s="118" t="s">
        <v>12</v>
      </c>
      <c r="C1644" s="334" t="s">
        <v>8085</v>
      </c>
      <c r="D1644" s="124" t="s">
        <v>8086</v>
      </c>
      <c r="E1644" s="125"/>
      <c r="F1644" s="118" t="s">
        <v>433</v>
      </c>
      <c r="G1644" s="126" t="s">
        <v>7861</v>
      </c>
      <c r="H1644" s="255">
        <v>6</v>
      </c>
      <c r="I1644" s="361">
        <v>1</v>
      </c>
      <c r="J1644" s="362" t="s">
        <v>286</v>
      </c>
      <c r="K1644" s="363"/>
      <c r="L1644" s="129"/>
      <c r="M1644" s="129"/>
      <c r="N1644" s="129"/>
      <c r="O1644" s="129"/>
      <c r="P1644" s="364"/>
      <c r="Q1644" s="364"/>
      <c r="R1644" s="129"/>
      <c r="S1644" s="129"/>
      <c r="T1644" s="129"/>
      <c r="W1644" s="129" t="s">
        <v>310</v>
      </c>
      <c r="X1644" s="337" t="b">
        <f t="shared" si="58"/>
        <v>0</v>
      </c>
    </row>
    <row r="1645" spans="1:24" s="337" customFormat="1" ht="12" customHeight="1" outlineLevel="1">
      <c r="A1645" s="335"/>
      <c r="B1645" s="118" t="s">
        <v>12</v>
      </c>
      <c r="C1645" s="334" t="s">
        <v>8087</v>
      </c>
      <c r="D1645" s="124" t="s">
        <v>8088</v>
      </c>
      <c r="E1645" s="125"/>
      <c r="F1645" s="118" t="s">
        <v>433</v>
      </c>
      <c r="G1645" s="126" t="s">
        <v>7861</v>
      </c>
      <c r="H1645" s="255">
        <v>6</v>
      </c>
      <c r="I1645" s="361">
        <v>1</v>
      </c>
      <c r="J1645" s="362" t="s">
        <v>286</v>
      </c>
      <c r="K1645" s="363"/>
      <c r="L1645" s="129"/>
      <c r="M1645" s="129"/>
      <c r="N1645" s="129"/>
      <c r="O1645" s="129"/>
      <c r="P1645" s="364"/>
      <c r="Q1645" s="364"/>
      <c r="R1645" s="129"/>
      <c r="S1645" s="129"/>
      <c r="T1645" s="129"/>
      <c r="W1645" s="129" t="s">
        <v>310</v>
      </c>
      <c r="X1645" s="337" t="b">
        <f t="shared" si="58"/>
        <v>0</v>
      </c>
    </row>
    <row r="1646" spans="1:24" s="337" customFormat="1" ht="12" customHeight="1" outlineLevel="1">
      <c r="A1646" s="335"/>
      <c r="B1646" s="118" t="s">
        <v>12</v>
      </c>
      <c r="C1646" s="334" t="s">
        <v>8089</v>
      </c>
      <c r="D1646" s="124" t="s">
        <v>8090</v>
      </c>
      <c r="E1646" s="125"/>
      <c r="F1646" s="118" t="s">
        <v>433</v>
      </c>
      <c r="G1646" s="126" t="s">
        <v>7861</v>
      </c>
      <c r="H1646" s="255">
        <v>6</v>
      </c>
      <c r="I1646" s="361">
        <v>1</v>
      </c>
      <c r="J1646" s="362" t="s">
        <v>286</v>
      </c>
      <c r="K1646" s="363"/>
      <c r="L1646" s="129"/>
      <c r="M1646" s="129"/>
      <c r="N1646" s="129"/>
      <c r="O1646" s="129"/>
      <c r="P1646" s="364"/>
      <c r="Q1646" s="364"/>
      <c r="R1646" s="129"/>
      <c r="S1646" s="129"/>
      <c r="T1646" s="129"/>
      <c r="W1646" s="129" t="s">
        <v>310</v>
      </c>
      <c r="X1646" s="337" t="b">
        <f t="shared" si="58"/>
        <v>0</v>
      </c>
    </row>
    <row r="1647" spans="1:24" s="337" customFormat="1" ht="12" customHeight="1" outlineLevel="1">
      <c r="A1647" s="335"/>
      <c r="B1647" s="118" t="s">
        <v>12</v>
      </c>
      <c r="C1647" s="334" t="s">
        <v>8091</v>
      </c>
      <c r="D1647" s="124" t="s">
        <v>8092</v>
      </c>
      <c r="E1647" s="125"/>
      <c r="F1647" s="118" t="s">
        <v>433</v>
      </c>
      <c r="G1647" s="126" t="s">
        <v>7861</v>
      </c>
      <c r="H1647" s="255">
        <v>6</v>
      </c>
      <c r="I1647" s="361">
        <v>1</v>
      </c>
      <c r="J1647" s="362" t="s">
        <v>286</v>
      </c>
      <c r="K1647" s="363"/>
      <c r="L1647" s="129"/>
      <c r="M1647" s="129"/>
      <c r="N1647" s="129"/>
      <c r="O1647" s="129"/>
      <c r="P1647" s="364"/>
      <c r="Q1647" s="364"/>
      <c r="R1647" s="129"/>
      <c r="S1647" s="129"/>
      <c r="T1647" s="129"/>
      <c r="W1647" s="129" t="s">
        <v>310</v>
      </c>
      <c r="X1647" s="337" t="b">
        <f t="shared" si="58"/>
        <v>0</v>
      </c>
    </row>
    <row r="1648" spans="1:24" s="337" customFormat="1" ht="12" customHeight="1" outlineLevel="1">
      <c r="A1648" s="335"/>
      <c r="B1648" s="118" t="s">
        <v>12</v>
      </c>
      <c r="C1648" s="334" t="s">
        <v>8093</v>
      </c>
      <c r="D1648" s="124" t="s">
        <v>8094</v>
      </c>
      <c r="E1648" s="125"/>
      <c r="F1648" s="118" t="s">
        <v>433</v>
      </c>
      <c r="G1648" s="126" t="s">
        <v>7861</v>
      </c>
      <c r="H1648" s="255">
        <v>6</v>
      </c>
      <c r="I1648" s="361">
        <v>1</v>
      </c>
      <c r="J1648" s="362" t="s">
        <v>286</v>
      </c>
      <c r="K1648" s="363"/>
      <c r="L1648" s="129"/>
      <c r="M1648" s="129"/>
      <c r="N1648" s="129"/>
      <c r="O1648" s="129"/>
      <c r="P1648" s="364"/>
      <c r="Q1648" s="364"/>
      <c r="R1648" s="129"/>
      <c r="S1648" s="129"/>
      <c r="T1648" s="129"/>
      <c r="W1648" s="129" t="s">
        <v>310</v>
      </c>
      <c r="X1648" s="337" t="b">
        <f t="shared" si="58"/>
        <v>0</v>
      </c>
    </row>
    <row r="1649" spans="1:24" s="337" customFormat="1" ht="12" customHeight="1" outlineLevel="1">
      <c r="A1649" s="335"/>
      <c r="B1649" s="118" t="s">
        <v>12</v>
      </c>
      <c r="C1649" s="334" t="s">
        <v>8095</v>
      </c>
      <c r="D1649" s="124" t="s">
        <v>8096</v>
      </c>
      <c r="E1649" s="125"/>
      <c r="F1649" s="118" t="s">
        <v>433</v>
      </c>
      <c r="G1649" s="126" t="s">
        <v>7861</v>
      </c>
      <c r="H1649" s="255">
        <v>6</v>
      </c>
      <c r="I1649" s="361">
        <v>1</v>
      </c>
      <c r="J1649" s="362" t="s">
        <v>286</v>
      </c>
      <c r="K1649" s="363"/>
      <c r="L1649" s="129"/>
      <c r="M1649" s="129"/>
      <c r="N1649" s="129"/>
      <c r="O1649" s="129"/>
      <c r="P1649" s="364"/>
      <c r="Q1649" s="364"/>
      <c r="R1649" s="129"/>
      <c r="S1649" s="129"/>
      <c r="T1649" s="129"/>
      <c r="W1649" s="129" t="s">
        <v>310</v>
      </c>
      <c r="X1649" s="337" t="b">
        <f t="shared" si="58"/>
        <v>0</v>
      </c>
    </row>
    <row r="1650" spans="1:24" s="337" customFormat="1" ht="12" customHeight="1" outlineLevel="1">
      <c r="A1650" s="335"/>
      <c r="B1650" s="118" t="s">
        <v>12</v>
      </c>
      <c r="C1650" s="334" t="s">
        <v>8097</v>
      </c>
      <c r="D1650" s="124" t="s">
        <v>8098</v>
      </c>
      <c r="E1650" s="125"/>
      <c r="F1650" s="118" t="s">
        <v>433</v>
      </c>
      <c r="G1650" s="126" t="s">
        <v>7861</v>
      </c>
      <c r="H1650" s="255">
        <v>6</v>
      </c>
      <c r="I1650" s="361">
        <v>1</v>
      </c>
      <c r="J1650" s="362" t="s">
        <v>286</v>
      </c>
      <c r="K1650" s="363"/>
      <c r="L1650" s="129"/>
      <c r="M1650" s="129"/>
      <c r="N1650" s="129"/>
      <c r="O1650" s="129"/>
      <c r="P1650" s="364"/>
      <c r="Q1650" s="364"/>
      <c r="R1650" s="129"/>
      <c r="S1650" s="129"/>
      <c r="T1650" s="129"/>
      <c r="W1650" s="129" t="s">
        <v>310</v>
      </c>
      <c r="X1650" s="337" t="b">
        <f t="shared" si="58"/>
        <v>0</v>
      </c>
    </row>
    <row r="1651" spans="1:24" s="337" customFormat="1" ht="12" customHeight="1" outlineLevel="1">
      <c r="A1651" s="335"/>
      <c r="B1651" s="118" t="s">
        <v>12</v>
      </c>
      <c r="C1651" s="334" t="s">
        <v>8099</v>
      </c>
      <c r="D1651" s="124" t="s">
        <v>8100</v>
      </c>
      <c r="E1651" s="125"/>
      <c r="F1651" s="118" t="s">
        <v>433</v>
      </c>
      <c r="G1651" s="126" t="s">
        <v>7861</v>
      </c>
      <c r="H1651" s="255">
        <v>6</v>
      </c>
      <c r="I1651" s="361">
        <v>1</v>
      </c>
      <c r="J1651" s="362" t="s">
        <v>286</v>
      </c>
      <c r="K1651" s="363"/>
      <c r="L1651" s="129"/>
      <c r="M1651" s="129"/>
      <c r="N1651" s="129"/>
      <c r="O1651" s="129"/>
      <c r="P1651" s="364"/>
      <c r="Q1651" s="364"/>
      <c r="R1651" s="129"/>
      <c r="S1651" s="129"/>
      <c r="T1651" s="129"/>
      <c r="W1651" s="129" t="s">
        <v>310</v>
      </c>
      <c r="X1651" s="337" t="b">
        <f t="shared" si="58"/>
        <v>0</v>
      </c>
    </row>
    <row r="1652" spans="1:24" s="337" customFormat="1" ht="12" customHeight="1" outlineLevel="1">
      <c r="A1652" s="335"/>
      <c r="B1652" s="118" t="s">
        <v>12</v>
      </c>
      <c r="C1652" s="334" t="s">
        <v>8101</v>
      </c>
      <c r="D1652" s="124" t="s">
        <v>8102</v>
      </c>
      <c r="E1652" s="125"/>
      <c r="F1652" s="118" t="s">
        <v>433</v>
      </c>
      <c r="G1652" s="126" t="s">
        <v>7861</v>
      </c>
      <c r="H1652" s="255">
        <v>6</v>
      </c>
      <c r="I1652" s="361">
        <v>1</v>
      </c>
      <c r="J1652" s="362" t="s">
        <v>286</v>
      </c>
      <c r="K1652" s="363"/>
      <c r="L1652" s="129"/>
      <c r="M1652" s="129"/>
      <c r="N1652" s="129"/>
      <c r="O1652" s="129"/>
      <c r="P1652" s="364"/>
      <c r="Q1652" s="364"/>
      <c r="R1652" s="129"/>
      <c r="S1652" s="129"/>
      <c r="T1652" s="129"/>
      <c r="W1652" s="129" t="s">
        <v>310</v>
      </c>
      <c r="X1652" s="337" t="b">
        <f t="shared" si="58"/>
        <v>0</v>
      </c>
    </row>
    <row r="1653" spans="1:24" s="337" customFormat="1" ht="12" customHeight="1" outlineLevel="1">
      <c r="A1653" s="335"/>
      <c r="B1653" s="118" t="s">
        <v>12</v>
      </c>
      <c r="C1653" s="334" t="s">
        <v>8103</v>
      </c>
      <c r="D1653" s="124" t="s">
        <v>8104</v>
      </c>
      <c r="E1653" s="125"/>
      <c r="F1653" s="118" t="s">
        <v>433</v>
      </c>
      <c r="G1653" s="126" t="s">
        <v>7861</v>
      </c>
      <c r="H1653" s="255">
        <v>6</v>
      </c>
      <c r="I1653" s="361">
        <v>1</v>
      </c>
      <c r="J1653" s="362" t="s">
        <v>286</v>
      </c>
      <c r="K1653" s="363"/>
      <c r="L1653" s="129"/>
      <c r="M1653" s="129"/>
      <c r="N1653" s="129"/>
      <c r="O1653" s="129"/>
      <c r="P1653" s="364"/>
      <c r="Q1653" s="364"/>
      <c r="R1653" s="129"/>
      <c r="S1653" s="129"/>
      <c r="T1653" s="129"/>
      <c r="W1653" s="129" t="s">
        <v>310</v>
      </c>
      <c r="X1653" s="337" t="b">
        <f t="shared" si="58"/>
        <v>0</v>
      </c>
    </row>
    <row r="1654" spans="1:24" s="337" customFormat="1" ht="12" customHeight="1" outlineLevel="1">
      <c r="A1654" s="335"/>
      <c r="B1654" s="118" t="s">
        <v>12</v>
      </c>
      <c r="C1654" s="334" t="s">
        <v>8105</v>
      </c>
      <c r="D1654" s="124" t="s">
        <v>8106</v>
      </c>
      <c r="E1654" s="125"/>
      <c r="F1654" s="118" t="s">
        <v>433</v>
      </c>
      <c r="G1654" s="126" t="s">
        <v>7861</v>
      </c>
      <c r="H1654" s="255">
        <v>6</v>
      </c>
      <c r="I1654" s="361">
        <v>1</v>
      </c>
      <c r="J1654" s="362" t="s">
        <v>286</v>
      </c>
      <c r="K1654" s="363"/>
      <c r="L1654" s="129"/>
      <c r="M1654" s="129"/>
      <c r="N1654" s="129"/>
      <c r="O1654" s="129"/>
      <c r="P1654" s="364"/>
      <c r="Q1654" s="364"/>
      <c r="R1654" s="129"/>
      <c r="S1654" s="129"/>
      <c r="T1654" s="129"/>
      <c r="W1654" s="129" t="s">
        <v>310</v>
      </c>
      <c r="X1654" s="337" t="b">
        <f t="shared" si="58"/>
        <v>0</v>
      </c>
    </row>
    <row r="1655" spans="1:24" s="337" customFormat="1" ht="12" customHeight="1" outlineLevel="1">
      <c r="A1655" s="335"/>
      <c r="B1655" s="118" t="s">
        <v>12</v>
      </c>
      <c r="C1655" s="334" t="s">
        <v>8107</v>
      </c>
      <c r="D1655" s="124" t="s">
        <v>8108</v>
      </c>
      <c r="E1655" s="125"/>
      <c r="F1655" s="118" t="s">
        <v>433</v>
      </c>
      <c r="G1655" s="126" t="s">
        <v>7861</v>
      </c>
      <c r="H1655" s="255">
        <v>6</v>
      </c>
      <c r="I1655" s="361">
        <v>1</v>
      </c>
      <c r="J1655" s="362" t="s">
        <v>286</v>
      </c>
      <c r="K1655" s="363"/>
      <c r="L1655" s="129"/>
      <c r="M1655" s="129"/>
      <c r="N1655" s="129"/>
      <c r="O1655" s="129"/>
      <c r="P1655" s="364"/>
      <c r="Q1655" s="364"/>
      <c r="R1655" s="129"/>
      <c r="S1655" s="129"/>
      <c r="T1655" s="129"/>
      <c r="W1655" s="129" t="s">
        <v>310</v>
      </c>
      <c r="X1655" s="337" t="b">
        <f t="shared" si="58"/>
        <v>0</v>
      </c>
    </row>
    <row r="1656" spans="1:24" s="337" customFormat="1" ht="12" customHeight="1" outlineLevel="1">
      <c r="A1656" s="335"/>
      <c r="B1656" s="118" t="s">
        <v>12</v>
      </c>
      <c r="C1656" s="334" t="s">
        <v>8109</v>
      </c>
      <c r="D1656" s="124" t="s">
        <v>8110</v>
      </c>
      <c r="E1656" s="125"/>
      <c r="F1656" s="118" t="s">
        <v>433</v>
      </c>
      <c r="G1656" s="126" t="s">
        <v>7861</v>
      </c>
      <c r="H1656" s="255">
        <v>6</v>
      </c>
      <c r="I1656" s="361">
        <v>1</v>
      </c>
      <c r="J1656" s="362" t="s">
        <v>286</v>
      </c>
      <c r="K1656" s="363"/>
      <c r="L1656" s="129"/>
      <c r="M1656" s="129"/>
      <c r="N1656" s="129"/>
      <c r="O1656" s="129"/>
      <c r="P1656" s="364"/>
      <c r="Q1656" s="364"/>
      <c r="R1656" s="129"/>
      <c r="S1656" s="129"/>
      <c r="T1656" s="129"/>
      <c r="W1656" s="129" t="s">
        <v>310</v>
      </c>
      <c r="X1656" s="337" t="b">
        <f t="shared" si="58"/>
        <v>0</v>
      </c>
    </row>
    <row r="1657" spans="1:24" s="337" customFormat="1" ht="12" customHeight="1" outlineLevel="1">
      <c r="A1657" s="335"/>
      <c r="B1657" s="118" t="s">
        <v>12</v>
      </c>
      <c r="C1657" s="334" t="s">
        <v>8111</v>
      </c>
      <c r="D1657" s="124" t="s">
        <v>8070</v>
      </c>
      <c r="E1657" s="125"/>
      <c r="F1657" s="118" t="s">
        <v>433</v>
      </c>
      <c r="G1657" s="126" t="s">
        <v>7861</v>
      </c>
      <c r="H1657" s="255">
        <v>6</v>
      </c>
      <c r="I1657" s="361">
        <v>1</v>
      </c>
      <c r="J1657" s="362" t="s">
        <v>286</v>
      </c>
      <c r="K1657" s="363"/>
      <c r="L1657" s="129"/>
      <c r="M1657" s="129"/>
      <c r="N1657" s="129"/>
      <c r="O1657" s="129"/>
      <c r="P1657" s="364"/>
      <c r="Q1657" s="364"/>
      <c r="R1657" s="129"/>
      <c r="S1657" s="129"/>
      <c r="T1657" s="129"/>
      <c r="W1657" s="129" t="s">
        <v>310</v>
      </c>
      <c r="X1657" s="337" t="b">
        <f t="shared" si="58"/>
        <v>0</v>
      </c>
    </row>
    <row r="1658" spans="1:24" s="337" customFormat="1" ht="12" customHeight="1" outlineLevel="1">
      <c r="A1658" s="335"/>
      <c r="B1658" s="118" t="s">
        <v>12</v>
      </c>
      <c r="C1658" s="334" t="s">
        <v>8112</v>
      </c>
      <c r="D1658" s="124" t="s">
        <v>8113</v>
      </c>
      <c r="E1658" s="125"/>
      <c r="F1658" s="118" t="s">
        <v>433</v>
      </c>
      <c r="G1658" s="126" t="s">
        <v>7861</v>
      </c>
      <c r="H1658" s="255">
        <v>6</v>
      </c>
      <c r="I1658" s="361">
        <v>1</v>
      </c>
      <c r="J1658" s="362" t="s">
        <v>286</v>
      </c>
      <c r="K1658" s="363"/>
      <c r="L1658" s="129"/>
      <c r="M1658" s="129"/>
      <c r="N1658" s="129"/>
      <c r="O1658" s="129"/>
      <c r="P1658" s="364"/>
      <c r="Q1658" s="364"/>
      <c r="R1658" s="129"/>
      <c r="S1658" s="129"/>
      <c r="T1658" s="129"/>
      <c r="W1658" s="129" t="s">
        <v>310</v>
      </c>
      <c r="X1658" s="337" t="b">
        <f t="shared" ref="X1658:X1721" si="59">W1658=J1658</f>
        <v>0</v>
      </c>
    </row>
    <row r="1659" spans="1:24" s="337" customFormat="1" ht="12" customHeight="1" outlineLevel="1">
      <c r="A1659" s="335"/>
      <c r="B1659" s="118" t="s">
        <v>12</v>
      </c>
      <c r="C1659" s="334" t="s">
        <v>8114</v>
      </c>
      <c r="D1659" s="124" t="s">
        <v>8115</v>
      </c>
      <c r="E1659" s="125"/>
      <c r="F1659" s="118" t="s">
        <v>433</v>
      </c>
      <c r="G1659" s="126" t="s">
        <v>7861</v>
      </c>
      <c r="H1659" s="255">
        <v>6</v>
      </c>
      <c r="I1659" s="361">
        <v>1</v>
      </c>
      <c r="J1659" s="362" t="s">
        <v>286</v>
      </c>
      <c r="K1659" s="363"/>
      <c r="L1659" s="129"/>
      <c r="M1659" s="129"/>
      <c r="N1659" s="129"/>
      <c r="O1659" s="129"/>
      <c r="P1659" s="364"/>
      <c r="Q1659" s="364"/>
      <c r="R1659" s="129"/>
      <c r="S1659" s="129"/>
      <c r="T1659" s="129"/>
      <c r="W1659" s="129" t="s">
        <v>310</v>
      </c>
      <c r="X1659" s="337" t="b">
        <f t="shared" si="59"/>
        <v>0</v>
      </c>
    </row>
    <row r="1660" spans="1:24" s="337" customFormat="1" ht="12" customHeight="1" outlineLevel="1">
      <c r="A1660" s="335"/>
      <c r="B1660" s="118" t="s">
        <v>12</v>
      </c>
      <c r="C1660" s="334" t="s">
        <v>8116</v>
      </c>
      <c r="D1660" s="124" t="s">
        <v>8117</v>
      </c>
      <c r="E1660" s="125"/>
      <c r="F1660" s="118" t="s">
        <v>433</v>
      </c>
      <c r="G1660" s="126" t="s">
        <v>7861</v>
      </c>
      <c r="H1660" s="255">
        <v>6</v>
      </c>
      <c r="I1660" s="361">
        <v>1</v>
      </c>
      <c r="J1660" s="362" t="s">
        <v>286</v>
      </c>
      <c r="K1660" s="363"/>
      <c r="L1660" s="129"/>
      <c r="M1660" s="129"/>
      <c r="N1660" s="129"/>
      <c r="O1660" s="129"/>
      <c r="P1660" s="364"/>
      <c r="Q1660" s="364"/>
      <c r="R1660" s="129"/>
      <c r="S1660" s="129"/>
      <c r="T1660" s="129"/>
      <c r="W1660" s="129" t="s">
        <v>310</v>
      </c>
      <c r="X1660" s="337" t="b">
        <f t="shared" si="59"/>
        <v>0</v>
      </c>
    </row>
    <row r="1661" spans="1:24" s="337" customFormat="1" ht="12" customHeight="1" outlineLevel="1">
      <c r="A1661" s="335"/>
      <c r="B1661" s="118" t="s">
        <v>12</v>
      </c>
      <c r="C1661" s="334" t="s">
        <v>8118</v>
      </c>
      <c r="D1661" s="124" t="s">
        <v>8119</v>
      </c>
      <c r="E1661" s="125"/>
      <c r="F1661" s="118" t="s">
        <v>433</v>
      </c>
      <c r="G1661" s="126" t="s">
        <v>7861</v>
      </c>
      <c r="H1661" s="255">
        <v>6</v>
      </c>
      <c r="I1661" s="361">
        <v>1</v>
      </c>
      <c r="J1661" s="362" t="s">
        <v>286</v>
      </c>
      <c r="K1661" s="363"/>
      <c r="L1661" s="129"/>
      <c r="M1661" s="129"/>
      <c r="N1661" s="129"/>
      <c r="O1661" s="129"/>
      <c r="P1661" s="364"/>
      <c r="Q1661" s="364"/>
      <c r="R1661" s="129"/>
      <c r="S1661" s="129"/>
      <c r="T1661" s="129"/>
      <c r="W1661" s="129" t="s">
        <v>310</v>
      </c>
      <c r="X1661" s="337" t="b">
        <f t="shared" si="59"/>
        <v>0</v>
      </c>
    </row>
    <row r="1662" spans="1:24" s="337" customFormat="1" ht="12" customHeight="1" outlineLevel="1">
      <c r="A1662" s="335"/>
      <c r="B1662" s="118" t="s">
        <v>12</v>
      </c>
      <c r="C1662" s="334" t="s">
        <v>8120</v>
      </c>
      <c r="D1662" s="124" t="s">
        <v>8121</v>
      </c>
      <c r="E1662" s="125"/>
      <c r="F1662" s="118" t="s">
        <v>433</v>
      </c>
      <c r="G1662" s="126" t="s">
        <v>7861</v>
      </c>
      <c r="H1662" s="255">
        <v>6</v>
      </c>
      <c r="I1662" s="361">
        <v>1</v>
      </c>
      <c r="J1662" s="362" t="s">
        <v>286</v>
      </c>
      <c r="K1662" s="363"/>
      <c r="L1662" s="129"/>
      <c r="M1662" s="129"/>
      <c r="N1662" s="129"/>
      <c r="O1662" s="129"/>
      <c r="P1662" s="364"/>
      <c r="Q1662" s="364"/>
      <c r="R1662" s="129"/>
      <c r="S1662" s="129"/>
      <c r="T1662" s="129"/>
      <c r="W1662" s="129" t="s">
        <v>310</v>
      </c>
      <c r="X1662" s="337" t="b">
        <f t="shared" si="59"/>
        <v>0</v>
      </c>
    </row>
    <row r="1663" spans="1:24" s="337" customFormat="1" ht="12" customHeight="1" outlineLevel="1">
      <c r="A1663" s="335"/>
      <c r="B1663" s="118" t="s">
        <v>12</v>
      </c>
      <c r="C1663" s="334" t="s">
        <v>8122</v>
      </c>
      <c r="D1663" s="124" t="s">
        <v>8123</v>
      </c>
      <c r="E1663" s="125"/>
      <c r="F1663" s="118" t="s">
        <v>433</v>
      </c>
      <c r="G1663" s="126" t="s">
        <v>7861</v>
      </c>
      <c r="H1663" s="255">
        <v>6</v>
      </c>
      <c r="I1663" s="361">
        <v>1</v>
      </c>
      <c r="J1663" s="362" t="s">
        <v>286</v>
      </c>
      <c r="K1663" s="363"/>
      <c r="L1663" s="129"/>
      <c r="M1663" s="129"/>
      <c r="N1663" s="129"/>
      <c r="O1663" s="129"/>
      <c r="P1663" s="364"/>
      <c r="Q1663" s="364"/>
      <c r="R1663" s="129"/>
      <c r="S1663" s="129"/>
      <c r="T1663" s="129"/>
      <c r="W1663" s="129" t="s">
        <v>286</v>
      </c>
      <c r="X1663" s="337" t="b">
        <f t="shared" si="59"/>
        <v>1</v>
      </c>
    </row>
    <row r="1664" spans="1:24" s="337" customFormat="1" ht="12" customHeight="1" outlineLevel="1">
      <c r="A1664" s="335"/>
      <c r="B1664" s="118" t="s">
        <v>12</v>
      </c>
      <c r="C1664" s="334" t="s">
        <v>8124</v>
      </c>
      <c r="D1664" s="124" t="s">
        <v>8125</v>
      </c>
      <c r="E1664" s="125"/>
      <c r="F1664" s="118" t="s">
        <v>433</v>
      </c>
      <c r="G1664" s="126" t="s">
        <v>7861</v>
      </c>
      <c r="H1664" s="255">
        <v>6</v>
      </c>
      <c r="I1664" s="361">
        <v>1</v>
      </c>
      <c r="J1664" s="362" t="s">
        <v>286</v>
      </c>
      <c r="K1664" s="363"/>
      <c r="L1664" s="129"/>
      <c r="M1664" s="129"/>
      <c r="N1664" s="129"/>
      <c r="O1664" s="129"/>
      <c r="P1664" s="364"/>
      <c r="Q1664" s="364"/>
      <c r="R1664" s="129"/>
      <c r="S1664" s="129"/>
      <c r="T1664" s="129"/>
      <c r="W1664" s="129" t="s">
        <v>286</v>
      </c>
      <c r="X1664" s="337" t="b">
        <f t="shared" si="59"/>
        <v>1</v>
      </c>
    </row>
    <row r="1665" spans="1:24" s="337" customFormat="1" ht="12" customHeight="1" outlineLevel="1">
      <c r="A1665" s="335"/>
      <c r="B1665" s="118" t="s">
        <v>12</v>
      </c>
      <c r="C1665" s="334" t="s">
        <v>8126</v>
      </c>
      <c r="D1665" s="124" t="s">
        <v>8127</v>
      </c>
      <c r="E1665" s="125"/>
      <c r="F1665" s="118" t="s">
        <v>433</v>
      </c>
      <c r="G1665" s="126" t="s">
        <v>7861</v>
      </c>
      <c r="H1665" s="255">
        <v>6</v>
      </c>
      <c r="I1665" s="361">
        <v>1</v>
      </c>
      <c r="J1665" s="362" t="s">
        <v>286</v>
      </c>
      <c r="K1665" s="363"/>
      <c r="L1665" s="129"/>
      <c r="M1665" s="129"/>
      <c r="N1665" s="129"/>
      <c r="O1665" s="129"/>
      <c r="P1665" s="364"/>
      <c r="Q1665" s="364"/>
      <c r="R1665" s="129"/>
      <c r="S1665" s="129"/>
      <c r="T1665" s="129"/>
      <c r="W1665" s="129" t="s">
        <v>286</v>
      </c>
      <c r="X1665" s="337" t="b">
        <f t="shared" si="59"/>
        <v>1</v>
      </c>
    </row>
    <row r="1666" spans="1:24" s="337" customFormat="1" ht="12" customHeight="1" outlineLevel="1">
      <c r="A1666" s="335"/>
      <c r="B1666" s="118" t="s">
        <v>12</v>
      </c>
      <c r="C1666" s="334" t="s">
        <v>8128</v>
      </c>
      <c r="D1666" s="124" t="s">
        <v>8129</v>
      </c>
      <c r="E1666" s="125"/>
      <c r="F1666" s="118" t="s">
        <v>433</v>
      </c>
      <c r="G1666" s="126" t="s">
        <v>7861</v>
      </c>
      <c r="H1666" s="255">
        <v>6</v>
      </c>
      <c r="I1666" s="361">
        <v>1</v>
      </c>
      <c r="J1666" s="362" t="s">
        <v>286</v>
      </c>
      <c r="K1666" s="363"/>
      <c r="L1666" s="129"/>
      <c r="M1666" s="129"/>
      <c r="N1666" s="129"/>
      <c r="O1666" s="129"/>
      <c r="P1666" s="364"/>
      <c r="Q1666" s="364"/>
      <c r="R1666" s="129"/>
      <c r="S1666" s="129"/>
      <c r="T1666" s="129"/>
      <c r="W1666" s="129" t="s">
        <v>286</v>
      </c>
      <c r="X1666" s="337" t="b">
        <f t="shared" si="59"/>
        <v>1</v>
      </c>
    </row>
    <row r="1667" spans="1:24" s="337" customFormat="1" ht="12" customHeight="1" outlineLevel="1">
      <c r="A1667" s="335"/>
      <c r="B1667" s="118" t="s">
        <v>12</v>
      </c>
      <c r="C1667" s="334" t="s">
        <v>8130</v>
      </c>
      <c r="D1667" s="124" t="s">
        <v>8131</v>
      </c>
      <c r="E1667" s="125"/>
      <c r="F1667" s="118" t="s">
        <v>433</v>
      </c>
      <c r="G1667" s="126" t="s">
        <v>7861</v>
      </c>
      <c r="H1667" s="255">
        <v>6</v>
      </c>
      <c r="I1667" s="361">
        <v>1</v>
      </c>
      <c r="J1667" s="362" t="s">
        <v>286</v>
      </c>
      <c r="K1667" s="363"/>
      <c r="L1667" s="129"/>
      <c r="M1667" s="129"/>
      <c r="N1667" s="129"/>
      <c r="O1667" s="129"/>
      <c r="P1667" s="364"/>
      <c r="Q1667" s="364"/>
      <c r="R1667" s="129"/>
      <c r="S1667" s="129"/>
      <c r="T1667" s="129"/>
      <c r="W1667" s="129" t="s">
        <v>286</v>
      </c>
      <c r="X1667" s="337" t="b">
        <f t="shared" si="59"/>
        <v>1</v>
      </c>
    </row>
    <row r="1668" spans="1:24" s="337" customFormat="1" ht="12" customHeight="1" outlineLevel="1">
      <c r="A1668" s="335"/>
      <c r="B1668" s="118" t="s">
        <v>12</v>
      </c>
      <c r="C1668" s="334" t="s">
        <v>8132</v>
      </c>
      <c r="D1668" s="124" t="s">
        <v>8133</v>
      </c>
      <c r="E1668" s="125"/>
      <c r="F1668" s="118" t="s">
        <v>433</v>
      </c>
      <c r="G1668" s="126" t="s">
        <v>7861</v>
      </c>
      <c r="H1668" s="255">
        <v>6</v>
      </c>
      <c r="I1668" s="361">
        <v>1</v>
      </c>
      <c r="J1668" s="362" t="s">
        <v>286</v>
      </c>
      <c r="K1668" s="363"/>
      <c r="L1668" s="129"/>
      <c r="M1668" s="129"/>
      <c r="N1668" s="129"/>
      <c r="O1668" s="129"/>
      <c r="P1668" s="364"/>
      <c r="Q1668" s="364"/>
      <c r="R1668" s="129"/>
      <c r="S1668" s="129"/>
      <c r="T1668" s="129"/>
      <c r="W1668" s="129" t="s">
        <v>286</v>
      </c>
      <c r="X1668" s="337" t="b">
        <f t="shared" si="59"/>
        <v>1</v>
      </c>
    </row>
    <row r="1669" spans="1:24" s="337" customFormat="1" ht="12" customHeight="1" outlineLevel="1">
      <c r="A1669" s="335"/>
      <c r="B1669" s="118" t="s">
        <v>12</v>
      </c>
      <c r="C1669" s="334" t="s">
        <v>8134</v>
      </c>
      <c r="D1669" s="124" t="s">
        <v>8135</v>
      </c>
      <c r="E1669" s="125"/>
      <c r="F1669" s="118" t="s">
        <v>433</v>
      </c>
      <c r="G1669" s="126" t="s">
        <v>7861</v>
      </c>
      <c r="H1669" s="255">
        <v>6</v>
      </c>
      <c r="I1669" s="361">
        <v>1</v>
      </c>
      <c r="J1669" s="362" t="s">
        <v>286</v>
      </c>
      <c r="K1669" s="363"/>
      <c r="L1669" s="129"/>
      <c r="M1669" s="129"/>
      <c r="N1669" s="129"/>
      <c r="O1669" s="129"/>
      <c r="P1669" s="364"/>
      <c r="Q1669" s="364"/>
      <c r="R1669" s="129"/>
      <c r="S1669" s="129"/>
      <c r="T1669" s="129"/>
      <c r="W1669" s="129" t="s">
        <v>286</v>
      </c>
      <c r="X1669" s="337" t="b">
        <f t="shared" si="59"/>
        <v>1</v>
      </c>
    </row>
    <row r="1670" spans="1:24" s="337" customFormat="1" ht="12" customHeight="1" outlineLevel="1">
      <c r="A1670" s="335"/>
      <c r="B1670" s="118" t="s">
        <v>12</v>
      </c>
      <c r="C1670" s="334" t="s">
        <v>8136</v>
      </c>
      <c r="D1670" s="124" t="s">
        <v>8137</v>
      </c>
      <c r="E1670" s="125"/>
      <c r="F1670" s="118" t="s">
        <v>433</v>
      </c>
      <c r="G1670" s="126" t="s">
        <v>7861</v>
      </c>
      <c r="H1670" s="255">
        <v>6</v>
      </c>
      <c r="I1670" s="361">
        <v>1</v>
      </c>
      <c r="J1670" s="362" t="s">
        <v>286</v>
      </c>
      <c r="K1670" s="363"/>
      <c r="L1670" s="129"/>
      <c r="M1670" s="129"/>
      <c r="N1670" s="129"/>
      <c r="O1670" s="129"/>
      <c r="P1670" s="364"/>
      <c r="Q1670" s="364"/>
      <c r="R1670" s="129"/>
      <c r="S1670" s="129"/>
      <c r="T1670" s="129"/>
      <c r="W1670" s="129" t="s">
        <v>286</v>
      </c>
      <c r="X1670" s="337" t="b">
        <f t="shared" si="59"/>
        <v>1</v>
      </c>
    </row>
    <row r="1671" spans="1:24" s="337" customFormat="1" ht="12" customHeight="1" outlineLevel="1">
      <c r="A1671" s="335"/>
      <c r="B1671" s="118" t="s">
        <v>12</v>
      </c>
      <c r="C1671" s="334" t="s">
        <v>8138</v>
      </c>
      <c r="D1671" s="124" t="s">
        <v>8139</v>
      </c>
      <c r="E1671" s="125"/>
      <c r="F1671" s="118" t="s">
        <v>433</v>
      </c>
      <c r="G1671" s="126" t="s">
        <v>7861</v>
      </c>
      <c r="H1671" s="255">
        <v>6</v>
      </c>
      <c r="I1671" s="361">
        <v>1</v>
      </c>
      <c r="J1671" s="362" t="s">
        <v>286</v>
      </c>
      <c r="K1671" s="363"/>
      <c r="L1671" s="129"/>
      <c r="M1671" s="129"/>
      <c r="N1671" s="129"/>
      <c r="O1671" s="129"/>
      <c r="P1671" s="364"/>
      <c r="Q1671" s="364"/>
      <c r="R1671" s="129"/>
      <c r="S1671" s="129"/>
      <c r="T1671" s="129"/>
      <c r="W1671" s="129" t="s">
        <v>286</v>
      </c>
      <c r="X1671" s="337" t="b">
        <f t="shared" si="59"/>
        <v>1</v>
      </c>
    </row>
    <row r="1672" spans="1:24" s="337" customFormat="1" ht="12" customHeight="1" outlineLevel="1">
      <c r="A1672" s="335"/>
      <c r="B1672" s="118" t="s">
        <v>12</v>
      </c>
      <c r="C1672" s="334" t="s">
        <v>8140</v>
      </c>
      <c r="D1672" s="124" t="s">
        <v>8141</v>
      </c>
      <c r="E1672" s="125"/>
      <c r="F1672" s="118" t="s">
        <v>433</v>
      </c>
      <c r="G1672" s="126" t="s">
        <v>7861</v>
      </c>
      <c r="H1672" s="255">
        <v>6</v>
      </c>
      <c r="I1672" s="361">
        <v>1</v>
      </c>
      <c r="J1672" s="362" t="s">
        <v>286</v>
      </c>
      <c r="K1672" s="363"/>
      <c r="L1672" s="129"/>
      <c r="M1672" s="129"/>
      <c r="N1672" s="129"/>
      <c r="O1672" s="129"/>
      <c r="P1672" s="364"/>
      <c r="Q1672" s="364"/>
      <c r="R1672" s="129"/>
      <c r="S1672" s="129"/>
      <c r="T1672" s="129"/>
      <c r="W1672" s="129" t="s">
        <v>286</v>
      </c>
      <c r="X1672" s="337" t="b">
        <f t="shared" si="59"/>
        <v>1</v>
      </c>
    </row>
    <row r="1673" spans="1:24" s="337" customFormat="1" ht="12" customHeight="1" outlineLevel="1">
      <c r="A1673" s="335"/>
      <c r="B1673" s="118" t="s">
        <v>12</v>
      </c>
      <c r="C1673" s="334" t="s">
        <v>8142</v>
      </c>
      <c r="D1673" s="124" t="s">
        <v>8143</v>
      </c>
      <c r="E1673" s="125"/>
      <c r="F1673" s="118" t="s">
        <v>433</v>
      </c>
      <c r="G1673" s="126" t="s">
        <v>7861</v>
      </c>
      <c r="H1673" s="255">
        <v>6</v>
      </c>
      <c r="I1673" s="361">
        <v>1</v>
      </c>
      <c r="J1673" s="362" t="s">
        <v>286</v>
      </c>
      <c r="K1673" s="363"/>
      <c r="L1673" s="129"/>
      <c r="M1673" s="129"/>
      <c r="N1673" s="129"/>
      <c r="O1673" s="129"/>
      <c r="P1673" s="364"/>
      <c r="Q1673" s="364"/>
      <c r="R1673" s="129"/>
      <c r="S1673" s="129"/>
      <c r="T1673" s="129"/>
      <c r="W1673" s="129" t="s">
        <v>286</v>
      </c>
      <c r="X1673" s="337" t="b">
        <f t="shared" si="59"/>
        <v>1</v>
      </c>
    </row>
    <row r="1674" spans="1:24" s="337" customFormat="1" ht="12" customHeight="1" outlineLevel="1">
      <c r="A1674" s="335"/>
      <c r="B1674" s="118" t="s">
        <v>12</v>
      </c>
      <c r="C1674" s="334" t="s">
        <v>8144</v>
      </c>
      <c r="D1674" s="124" t="s">
        <v>8145</v>
      </c>
      <c r="E1674" s="125"/>
      <c r="F1674" s="118" t="s">
        <v>433</v>
      </c>
      <c r="G1674" s="126" t="s">
        <v>7861</v>
      </c>
      <c r="H1674" s="255">
        <v>6</v>
      </c>
      <c r="I1674" s="361">
        <v>1</v>
      </c>
      <c r="J1674" s="362" t="s">
        <v>286</v>
      </c>
      <c r="K1674" s="363"/>
      <c r="L1674" s="129"/>
      <c r="M1674" s="129"/>
      <c r="N1674" s="129"/>
      <c r="O1674" s="129"/>
      <c r="P1674" s="364"/>
      <c r="Q1674" s="364"/>
      <c r="R1674" s="129"/>
      <c r="S1674" s="129"/>
      <c r="T1674" s="129"/>
      <c r="W1674" s="129" t="s">
        <v>286</v>
      </c>
      <c r="X1674" s="337" t="b">
        <f t="shared" si="59"/>
        <v>1</v>
      </c>
    </row>
    <row r="1675" spans="1:24" s="337" customFormat="1" ht="12" customHeight="1" outlineLevel="1">
      <c r="A1675" s="335"/>
      <c r="B1675" s="118" t="s">
        <v>12</v>
      </c>
      <c r="C1675" s="334" t="s">
        <v>8146</v>
      </c>
      <c r="D1675" s="124" t="s">
        <v>8147</v>
      </c>
      <c r="E1675" s="125"/>
      <c r="F1675" s="118" t="s">
        <v>433</v>
      </c>
      <c r="G1675" s="126" t="s">
        <v>7861</v>
      </c>
      <c r="H1675" s="255">
        <v>6</v>
      </c>
      <c r="I1675" s="361">
        <v>1</v>
      </c>
      <c r="J1675" s="362" t="s">
        <v>286</v>
      </c>
      <c r="K1675" s="363"/>
      <c r="L1675" s="129"/>
      <c r="M1675" s="129"/>
      <c r="N1675" s="129"/>
      <c r="O1675" s="129"/>
      <c r="P1675" s="364"/>
      <c r="Q1675" s="364"/>
      <c r="R1675" s="129"/>
      <c r="S1675" s="129"/>
      <c r="T1675" s="129"/>
      <c r="W1675" s="129" t="s">
        <v>4876</v>
      </c>
      <c r="X1675" s="337" t="b">
        <f t="shared" si="59"/>
        <v>0</v>
      </c>
    </row>
    <row r="1676" spans="1:24" s="337" customFormat="1" ht="12" customHeight="1" outlineLevel="1">
      <c r="A1676" s="335"/>
      <c r="B1676" s="118" t="s">
        <v>12</v>
      </c>
      <c r="C1676" s="334" t="s">
        <v>8148</v>
      </c>
      <c r="D1676" s="124" t="s">
        <v>8149</v>
      </c>
      <c r="E1676" s="125"/>
      <c r="F1676" s="118" t="s">
        <v>433</v>
      </c>
      <c r="G1676" s="126" t="s">
        <v>7861</v>
      </c>
      <c r="H1676" s="255">
        <v>6</v>
      </c>
      <c r="I1676" s="361">
        <v>1</v>
      </c>
      <c r="J1676" s="362" t="s">
        <v>286</v>
      </c>
      <c r="K1676" s="363"/>
      <c r="L1676" s="129"/>
      <c r="M1676" s="129"/>
      <c r="N1676" s="129"/>
      <c r="O1676" s="129"/>
      <c r="P1676" s="364"/>
      <c r="Q1676" s="364"/>
      <c r="R1676" s="129"/>
      <c r="S1676" s="129"/>
      <c r="T1676" s="129"/>
      <c r="W1676" s="129" t="s">
        <v>286</v>
      </c>
      <c r="X1676" s="337" t="b">
        <f t="shared" si="59"/>
        <v>1</v>
      </c>
    </row>
    <row r="1677" spans="1:24" s="337" customFormat="1" ht="12" customHeight="1" outlineLevel="1">
      <c r="A1677" s="335"/>
      <c r="B1677" s="118" t="s">
        <v>12</v>
      </c>
      <c r="C1677" s="334" t="s">
        <v>8150</v>
      </c>
      <c r="D1677" s="124" t="s">
        <v>8151</v>
      </c>
      <c r="E1677" s="125"/>
      <c r="F1677" s="118" t="s">
        <v>433</v>
      </c>
      <c r="G1677" s="126" t="s">
        <v>7861</v>
      </c>
      <c r="H1677" s="255">
        <v>6</v>
      </c>
      <c r="I1677" s="361">
        <v>1</v>
      </c>
      <c r="J1677" s="362" t="s">
        <v>286</v>
      </c>
      <c r="K1677" s="363"/>
      <c r="L1677" s="129"/>
      <c r="M1677" s="129"/>
      <c r="N1677" s="129"/>
      <c r="O1677" s="129"/>
      <c r="P1677" s="364"/>
      <c r="Q1677" s="364"/>
      <c r="R1677" s="129"/>
      <c r="S1677" s="129"/>
      <c r="T1677" s="129"/>
      <c r="W1677" s="129" t="s">
        <v>286</v>
      </c>
      <c r="X1677" s="337" t="b">
        <f t="shared" si="59"/>
        <v>1</v>
      </c>
    </row>
    <row r="1678" spans="1:24" s="337" customFormat="1" ht="12" customHeight="1" outlineLevel="1">
      <c r="A1678" s="335"/>
      <c r="B1678" s="118" t="s">
        <v>12</v>
      </c>
      <c r="C1678" s="334" t="s">
        <v>8152</v>
      </c>
      <c r="D1678" s="124" t="s">
        <v>8153</v>
      </c>
      <c r="E1678" s="125"/>
      <c r="F1678" s="118" t="s">
        <v>433</v>
      </c>
      <c r="G1678" s="126" t="s">
        <v>7861</v>
      </c>
      <c r="H1678" s="255">
        <v>6</v>
      </c>
      <c r="I1678" s="361">
        <v>1</v>
      </c>
      <c r="J1678" s="362" t="s">
        <v>286</v>
      </c>
      <c r="K1678" s="363"/>
      <c r="L1678" s="129"/>
      <c r="M1678" s="129"/>
      <c r="N1678" s="129"/>
      <c r="O1678" s="129"/>
      <c r="P1678" s="364"/>
      <c r="Q1678" s="364"/>
      <c r="R1678" s="129"/>
      <c r="S1678" s="129"/>
      <c r="T1678" s="129"/>
      <c r="W1678" s="129" t="s">
        <v>286</v>
      </c>
      <c r="X1678" s="337" t="b">
        <f t="shared" si="59"/>
        <v>1</v>
      </c>
    </row>
    <row r="1679" spans="1:24" s="337" customFormat="1" ht="12" customHeight="1" outlineLevel="1">
      <c r="A1679" s="335"/>
      <c r="B1679" s="118" t="s">
        <v>12</v>
      </c>
      <c r="C1679" s="334" t="s">
        <v>8154</v>
      </c>
      <c r="D1679" s="124" t="s">
        <v>6626</v>
      </c>
      <c r="E1679" s="125"/>
      <c r="F1679" s="118" t="s">
        <v>433</v>
      </c>
      <c r="G1679" s="126" t="s">
        <v>7861</v>
      </c>
      <c r="H1679" s="255">
        <v>6</v>
      </c>
      <c r="I1679" s="361">
        <v>1</v>
      </c>
      <c r="J1679" s="362" t="s">
        <v>286</v>
      </c>
      <c r="K1679" s="363"/>
      <c r="L1679" s="129"/>
      <c r="M1679" s="129"/>
      <c r="N1679" s="129"/>
      <c r="O1679" s="129"/>
      <c r="P1679" s="364"/>
      <c r="Q1679" s="364"/>
      <c r="R1679" s="129"/>
      <c r="S1679" s="129"/>
      <c r="T1679" s="129"/>
      <c r="W1679" s="129" t="s">
        <v>286</v>
      </c>
      <c r="X1679" s="337" t="b">
        <f t="shared" si="59"/>
        <v>1</v>
      </c>
    </row>
    <row r="1680" spans="1:24" s="337" customFormat="1" ht="12" customHeight="1" outlineLevel="1">
      <c r="A1680" s="335"/>
      <c r="B1680" s="118" t="s">
        <v>12</v>
      </c>
      <c r="C1680" s="334" t="s">
        <v>8155</v>
      </c>
      <c r="D1680" s="124" t="s">
        <v>8156</v>
      </c>
      <c r="E1680" s="125"/>
      <c r="F1680" s="118" t="s">
        <v>433</v>
      </c>
      <c r="G1680" s="126" t="s">
        <v>7861</v>
      </c>
      <c r="H1680" s="255">
        <v>6</v>
      </c>
      <c r="I1680" s="361">
        <v>1</v>
      </c>
      <c r="J1680" s="362" t="s">
        <v>286</v>
      </c>
      <c r="K1680" s="363"/>
      <c r="L1680" s="129"/>
      <c r="M1680" s="129"/>
      <c r="N1680" s="129"/>
      <c r="O1680" s="129"/>
      <c r="P1680" s="364"/>
      <c r="Q1680" s="364"/>
      <c r="R1680" s="129"/>
      <c r="S1680" s="129"/>
      <c r="T1680" s="129"/>
      <c r="W1680" s="129" t="s">
        <v>286</v>
      </c>
      <c r="X1680" s="337" t="b">
        <f t="shared" si="59"/>
        <v>1</v>
      </c>
    </row>
    <row r="1681" spans="1:24" s="337" customFormat="1" ht="12" customHeight="1" outlineLevel="1">
      <c r="A1681" s="335"/>
      <c r="B1681" s="118" t="s">
        <v>12</v>
      </c>
      <c r="C1681" s="334" t="s">
        <v>8157</v>
      </c>
      <c r="D1681" s="124" t="s">
        <v>8158</v>
      </c>
      <c r="E1681" s="125"/>
      <c r="F1681" s="118" t="s">
        <v>433</v>
      </c>
      <c r="G1681" s="126" t="s">
        <v>7861</v>
      </c>
      <c r="H1681" s="255">
        <v>6</v>
      </c>
      <c r="I1681" s="361">
        <v>1</v>
      </c>
      <c r="J1681" s="362" t="s">
        <v>286</v>
      </c>
      <c r="K1681" s="363"/>
      <c r="L1681" s="129"/>
      <c r="M1681" s="129"/>
      <c r="N1681" s="129"/>
      <c r="O1681" s="129"/>
      <c r="P1681" s="364"/>
      <c r="Q1681" s="364"/>
      <c r="R1681" s="129"/>
      <c r="S1681" s="129"/>
      <c r="T1681" s="129"/>
      <c r="W1681" s="129" t="s">
        <v>286</v>
      </c>
      <c r="X1681" s="337" t="b">
        <f t="shared" si="59"/>
        <v>1</v>
      </c>
    </row>
    <row r="1682" spans="1:24" s="337" customFormat="1" ht="12" customHeight="1" outlineLevel="1">
      <c r="A1682" s="335"/>
      <c r="B1682" s="118" t="s">
        <v>12</v>
      </c>
      <c r="C1682" s="334" t="s">
        <v>8159</v>
      </c>
      <c r="D1682" s="124" t="s">
        <v>8160</v>
      </c>
      <c r="E1682" s="125"/>
      <c r="F1682" s="118" t="s">
        <v>433</v>
      </c>
      <c r="G1682" s="126" t="s">
        <v>7861</v>
      </c>
      <c r="H1682" s="255">
        <v>6</v>
      </c>
      <c r="I1682" s="361">
        <v>1</v>
      </c>
      <c r="J1682" s="362" t="s">
        <v>286</v>
      </c>
      <c r="K1682" s="363"/>
      <c r="L1682" s="129"/>
      <c r="M1682" s="129"/>
      <c r="N1682" s="129"/>
      <c r="O1682" s="129"/>
      <c r="P1682" s="364"/>
      <c r="Q1682" s="364"/>
      <c r="R1682" s="129"/>
      <c r="S1682" s="129"/>
      <c r="T1682" s="129"/>
      <c r="W1682" s="129" t="s">
        <v>286</v>
      </c>
      <c r="X1682" s="337" t="b">
        <f t="shared" si="59"/>
        <v>1</v>
      </c>
    </row>
    <row r="1683" spans="1:24" s="337" customFormat="1" ht="12" customHeight="1" outlineLevel="1">
      <c r="A1683" s="335"/>
      <c r="B1683" s="118" t="s">
        <v>12</v>
      </c>
      <c r="C1683" s="334" t="s">
        <v>8161</v>
      </c>
      <c r="D1683" s="124" t="s">
        <v>7970</v>
      </c>
      <c r="E1683" s="125"/>
      <c r="F1683" s="118" t="s">
        <v>433</v>
      </c>
      <c r="G1683" s="126" t="s">
        <v>7861</v>
      </c>
      <c r="H1683" s="255">
        <v>6</v>
      </c>
      <c r="I1683" s="361">
        <v>1</v>
      </c>
      <c r="J1683" s="362" t="s">
        <v>286</v>
      </c>
      <c r="K1683" s="363"/>
      <c r="L1683" s="129"/>
      <c r="M1683" s="129"/>
      <c r="N1683" s="129"/>
      <c r="O1683" s="129"/>
      <c r="P1683" s="364"/>
      <c r="Q1683" s="364"/>
      <c r="R1683" s="129"/>
      <c r="S1683" s="129"/>
      <c r="T1683" s="129"/>
      <c r="W1683" s="129" t="s">
        <v>286</v>
      </c>
      <c r="X1683" s="337" t="b">
        <f t="shared" si="59"/>
        <v>1</v>
      </c>
    </row>
    <row r="1684" spans="1:24" s="337" customFormat="1" ht="12" customHeight="1" outlineLevel="1">
      <c r="A1684" s="335"/>
      <c r="B1684" s="118" t="s">
        <v>12</v>
      </c>
      <c r="C1684" s="334" t="s">
        <v>8162</v>
      </c>
      <c r="D1684" s="124" t="s">
        <v>8163</v>
      </c>
      <c r="E1684" s="125"/>
      <c r="F1684" s="118" t="s">
        <v>433</v>
      </c>
      <c r="G1684" s="126" t="s">
        <v>7861</v>
      </c>
      <c r="H1684" s="255">
        <v>6</v>
      </c>
      <c r="I1684" s="361">
        <v>1</v>
      </c>
      <c r="J1684" s="362" t="s">
        <v>286</v>
      </c>
      <c r="K1684" s="363"/>
      <c r="L1684" s="129"/>
      <c r="M1684" s="129"/>
      <c r="N1684" s="129"/>
      <c r="O1684" s="129"/>
      <c r="P1684" s="364"/>
      <c r="Q1684" s="364"/>
      <c r="R1684" s="129"/>
      <c r="S1684" s="129"/>
      <c r="T1684" s="129"/>
      <c r="W1684" s="129" t="s">
        <v>286</v>
      </c>
      <c r="X1684" s="337" t="b">
        <f t="shared" si="59"/>
        <v>1</v>
      </c>
    </row>
    <row r="1685" spans="1:24" s="337" customFormat="1" ht="12" customHeight="1" outlineLevel="1">
      <c r="A1685" s="335"/>
      <c r="B1685" s="118" t="s">
        <v>12</v>
      </c>
      <c r="C1685" s="334" t="s">
        <v>8164</v>
      </c>
      <c r="D1685" s="124" t="s">
        <v>8165</v>
      </c>
      <c r="E1685" s="125"/>
      <c r="F1685" s="118" t="s">
        <v>433</v>
      </c>
      <c r="G1685" s="126" t="s">
        <v>7861</v>
      </c>
      <c r="H1685" s="255">
        <v>6</v>
      </c>
      <c r="I1685" s="361">
        <v>1</v>
      </c>
      <c r="J1685" s="362" t="s">
        <v>286</v>
      </c>
      <c r="K1685" s="363"/>
      <c r="L1685" s="129"/>
      <c r="M1685" s="129"/>
      <c r="N1685" s="129"/>
      <c r="O1685" s="129"/>
      <c r="P1685" s="364"/>
      <c r="Q1685" s="364"/>
      <c r="R1685" s="129"/>
      <c r="S1685" s="129"/>
      <c r="T1685" s="129"/>
      <c r="W1685" s="129" t="s">
        <v>4876</v>
      </c>
      <c r="X1685" s="337" t="b">
        <f t="shared" si="59"/>
        <v>0</v>
      </c>
    </row>
    <row r="1686" spans="1:24" s="337" customFormat="1" ht="12" customHeight="1" outlineLevel="1">
      <c r="A1686" s="335"/>
      <c r="B1686" s="118" t="s">
        <v>12</v>
      </c>
      <c r="C1686" s="334" t="s">
        <v>8166</v>
      </c>
      <c r="D1686" s="124" t="s">
        <v>8167</v>
      </c>
      <c r="E1686" s="125"/>
      <c r="F1686" s="118" t="s">
        <v>433</v>
      </c>
      <c r="G1686" s="126" t="s">
        <v>7861</v>
      </c>
      <c r="H1686" s="255">
        <v>6</v>
      </c>
      <c r="I1686" s="361">
        <v>1</v>
      </c>
      <c r="J1686" s="362" t="s">
        <v>286</v>
      </c>
      <c r="K1686" s="363"/>
      <c r="L1686" s="129"/>
      <c r="M1686" s="129"/>
      <c r="N1686" s="129"/>
      <c r="O1686" s="129"/>
      <c r="P1686" s="364"/>
      <c r="Q1686" s="364"/>
      <c r="R1686" s="129"/>
      <c r="S1686" s="129"/>
      <c r="T1686" s="129"/>
      <c r="W1686" s="129" t="s">
        <v>286</v>
      </c>
      <c r="X1686" s="337" t="b">
        <f t="shared" si="59"/>
        <v>1</v>
      </c>
    </row>
    <row r="1687" spans="1:24" s="337" customFormat="1" ht="12" customHeight="1" outlineLevel="1">
      <c r="A1687" s="335"/>
      <c r="B1687" s="118" t="s">
        <v>12</v>
      </c>
      <c r="C1687" s="334" t="s">
        <v>8168</v>
      </c>
      <c r="D1687" s="124" t="s">
        <v>8169</v>
      </c>
      <c r="E1687" s="125"/>
      <c r="F1687" s="118" t="s">
        <v>433</v>
      </c>
      <c r="G1687" s="126" t="s">
        <v>7861</v>
      </c>
      <c r="H1687" s="255">
        <v>6</v>
      </c>
      <c r="I1687" s="361">
        <v>1</v>
      </c>
      <c r="J1687" s="362" t="s">
        <v>286</v>
      </c>
      <c r="K1687" s="363"/>
      <c r="L1687" s="129"/>
      <c r="M1687" s="129"/>
      <c r="N1687" s="129"/>
      <c r="O1687" s="129"/>
      <c r="P1687" s="364"/>
      <c r="Q1687" s="364"/>
      <c r="R1687" s="129"/>
      <c r="S1687" s="129"/>
      <c r="T1687" s="129"/>
      <c r="W1687" s="129" t="s">
        <v>286</v>
      </c>
      <c r="X1687" s="337" t="b">
        <f t="shared" si="59"/>
        <v>1</v>
      </c>
    </row>
    <row r="1688" spans="1:24" s="337" customFormat="1" ht="12" customHeight="1" outlineLevel="1">
      <c r="A1688" s="335"/>
      <c r="B1688" s="118" t="s">
        <v>12</v>
      </c>
      <c r="C1688" s="334" t="s">
        <v>8170</v>
      </c>
      <c r="D1688" s="124" t="s">
        <v>8171</v>
      </c>
      <c r="E1688" s="125"/>
      <c r="F1688" s="118" t="s">
        <v>433</v>
      </c>
      <c r="G1688" s="126" t="s">
        <v>7861</v>
      </c>
      <c r="H1688" s="255">
        <v>6</v>
      </c>
      <c r="I1688" s="361">
        <v>1</v>
      </c>
      <c r="J1688" s="362" t="s">
        <v>286</v>
      </c>
      <c r="K1688" s="363"/>
      <c r="L1688" s="129"/>
      <c r="M1688" s="129"/>
      <c r="N1688" s="129"/>
      <c r="O1688" s="129"/>
      <c r="P1688" s="364"/>
      <c r="Q1688" s="364"/>
      <c r="R1688" s="129"/>
      <c r="S1688" s="129"/>
      <c r="T1688" s="129"/>
      <c r="W1688" s="129" t="s">
        <v>286</v>
      </c>
      <c r="X1688" s="337" t="b">
        <f t="shared" si="59"/>
        <v>1</v>
      </c>
    </row>
    <row r="1689" spans="1:24" s="337" customFormat="1" ht="12" customHeight="1" outlineLevel="1">
      <c r="A1689" s="335"/>
      <c r="B1689" s="118" t="s">
        <v>12</v>
      </c>
      <c r="C1689" s="334" t="s">
        <v>8172</v>
      </c>
      <c r="D1689" s="124" t="s">
        <v>8173</v>
      </c>
      <c r="E1689" s="125"/>
      <c r="F1689" s="118" t="s">
        <v>433</v>
      </c>
      <c r="G1689" s="126" t="s">
        <v>7861</v>
      </c>
      <c r="H1689" s="255">
        <v>6</v>
      </c>
      <c r="I1689" s="361">
        <v>1</v>
      </c>
      <c r="J1689" s="362" t="s">
        <v>286</v>
      </c>
      <c r="K1689" s="363"/>
      <c r="L1689" s="129"/>
      <c r="M1689" s="129"/>
      <c r="N1689" s="129"/>
      <c r="O1689" s="129"/>
      <c r="P1689" s="364"/>
      <c r="Q1689" s="364"/>
      <c r="R1689" s="129"/>
      <c r="S1689" s="129"/>
      <c r="T1689" s="129"/>
      <c r="W1689" s="129" t="s">
        <v>286</v>
      </c>
      <c r="X1689" s="337" t="b">
        <f t="shared" si="59"/>
        <v>1</v>
      </c>
    </row>
    <row r="1690" spans="1:24" s="337" customFormat="1" ht="12" customHeight="1" outlineLevel="1">
      <c r="A1690" s="335"/>
      <c r="B1690" s="118" t="s">
        <v>12</v>
      </c>
      <c r="C1690" s="334" t="s">
        <v>8174</v>
      </c>
      <c r="D1690" s="124" t="s">
        <v>8175</v>
      </c>
      <c r="E1690" s="125"/>
      <c r="F1690" s="118" t="s">
        <v>433</v>
      </c>
      <c r="G1690" s="126" t="s">
        <v>7861</v>
      </c>
      <c r="H1690" s="255">
        <v>6</v>
      </c>
      <c r="I1690" s="361">
        <v>1</v>
      </c>
      <c r="J1690" s="362" t="s">
        <v>310</v>
      </c>
      <c r="K1690" s="363"/>
      <c r="L1690" s="129"/>
      <c r="M1690" s="129"/>
      <c r="N1690" s="129"/>
      <c r="O1690" s="129"/>
      <c r="P1690" s="364"/>
      <c r="Q1690" s="364"/>
      <c r="R1690" s="129"/>
      <c r="S1690" s="129"/>
      <c r="T1690" s="129"/>
      <c r="W1690" s="129" t="s">
        <v>286</v>
      </c>
      <c r="X1690" s="337" t="b">
        <f t="shared" si="59"/>
        <v>0</v>
      </c>
    </row>
    <row r="1691" spans="1:24" s="337" customFormat="1" ht="12" customHeight="1" outlineLevel="1">
      <c r="A1691" s="335"/>
      <c r="B1691" s="118" t="s">
        <v>12</v>
      </c>
      <c r="C1691" s="334" t="s">
        <v>8176</v>
      </c>
      <c r="D1691" s="124" t="s">
        <v>8177</v>
      </c>
      <c r="E1691" s="125"/>
      <c r="F1691" s="118" t="s">
        <v>433</v>
      </c>
      <c r="G1691" s="126" t="s">
        <v>7861</v>
      </c>
      <c r="H1691" s="255">
        <v>6</v>
      </c>
      <c r="I1691" s="361">
        <v>1</v>
      </c>
      <c r="J1691" s="362" t="s">
        <v>310</v>
      </c>
      <c r="K1691" s="363"/>
      <c r="L1691" s="129"/>
      <c r="M1691" s="129"/>
      <c r="N1691" s="129"/>
      <c r="O1691" s="129"/>
      <c r="P1691" s="364"/>
      <c r="Q1691" s="364"/>
      <c r="R1691" s="129"/>
      <c r="S1691" s="129"/>
      <c r="T1691" s="129"/>
      <c r="W1691" s="129" t="s">
        <v>286</v>
      </c>
      <c r="X1691" s="337" t="b">
        <f t="shared" si="59"/>
        <v>0</v>
      </c>
    </row>
    <row r="1692" spans="1:24" s="337" customFormat="1" ht="12" customHeight="1" outlineLevel="1">
      <c r="A1692" s="335"/>
      <c r="B1692" s="118" t="s">
        <v>12</v>
      </c>
      <c r="C1692" s="334" t="s">
        <v>8178</v>
      </c>
      <c r="D1692" s="124" t="s">
        <v>8179</v>
      </c>
      <c r="E1692" s="125"/>
      <c r="F1692" s="118" t="s">
        <v>433</v>
      </c>
      <c r="G1692" s="126" t="s">
        <v>7861</v>
      </c>
      <c r="H1692" s="255">
        <v>6</v>
      </c>
      <c r="I1692" s="361">
        <v>1</v>
      </c>
      <c r="J1692" s="362" t="s">
        <v>286</v>
      </c>
      <c r="K1692" s="363"/>
      <c r="L1692" s="129"/>
      <c r="M1692" s="129"/>
      <c r="N1692" s="129"/>
      <c r="O1692" s="129"/>
      <c r="P1692" s="364"/>
      <c r="Q1692" s="364"/>
      <c r="R1692" s="129"/>
      <c r="S1692" s="129"/>
      <c r="T1692" s="129"/>
      <c r="W1692" s="129" t="s">
        <v>286</v>
      </c>
      <c r="X1692" s="337" t="b">
        <f t="shared" si="59"/>
        <v>1</v>
      </c>
    </row>
    <row r="1693" spans="1:24" s="337" customFormat="1" ht="12" customHeight="1" outlineLevel="1">
      <c r="A1693" s="335"/>
      <c r="B1693" s="118" t="s">
        <v>12</v>
      </c>
      <c r="C1693" s="334" t="s">
        <v>8180</v>
      </c>
      <c r="D1693" s="124" t="s">
        <v>8181</v>
      </c>
      <c r="E1693" s="125"/>
      <c r="F1693" s="118" t="s">
        <v>433</v>
      </c>
      <c r="G1693" s="126" t="s">
        <v>7861</v>
      </c>
      <c r="H1693" s="255">
        <v>6</v>
      </c>
      <c r="I1693" s="361">
        <v>1</v>
      </c>
      <c r="J1693" s="362" t="s">
        <v>310</v>
      </c>
      <c r="K1693" s="363"/>
      <c r="L1693" s="129"/>
      <c r="M1693" s="129"/>
      <c r="N1693" s="129"/>
      <c r="O1693" s="129"/>
      <c r="P1693" s="364"/>
      <c r="Q1693" s="364"/>
      <c r="R1693" s="129"/>
      <c r="S1693" s="129"/>
      <c r="T1693" s="129"/>
      <c r="W1693" s="129" t="s">
        <v>286</v>
      </c>
      <c r="X1693" s="337" t="b">
        <f t="shared" si="59"/>
        <v>0</v>
      </c>
    </row>
    <row r="1694" spans="1:24" s="337" customFormat="1" ht="12" customHeight="1" outlineLevel="1">
      <c r="A1694" s="335"/>
      <c r="B1694" s="118" t="s">
        <v>12</v>
      </c>
      <c r="C1694" s="334" t="s">
        <v>8182</v>
      </c>
      <c r="D1694" s="124" t="s">
        <v>8183</v>
      </c>
      <c r="E1694" s="125"/>
      <c r="F1694" s="118" t="s">
        <v>433</v>
      </c>
      <c r="G1694" s="126" t="s">
        <v>7861</v>
      </c>
      <c r="H1694" s="255">
        <v>6</v>
      </c>
      <c r="I1694" s="361">
        <v>1</v>
      </c>
      <c r="J1694" s="362" t="s">
        <v>286</v>
      </c>
      <c r="K1694" s="363"/>
      <c r="L1694" s="129"/>
      <c r="M1694" s="129"/>
      <c r="N1694" s="129"/>
      <c r="O1694" s="129"/>
      <c r="P1694" s="364"/>
      <c r="Q1694" s="364"/>
      <c r="R1694" s="129"/>
      <c r="S1694" s="129"/>
      <c r="T1694" s="129"/>
      <c r="W1694" s="129" t="s">
        <v>286</v>
      </c>
      <c r="X1694" s="337" t="b">
        <f t="shared" si="59"/>
        <v>1</v>
      </c>
    </row>
    <row r="1695" spans="1:24" s="337" customFormat="1" ht="12" customHeight="1" outlineLevel="1">
      <c r="A1695" s="335"/>
      <c r="B1695" s="118" t="s">
        <v>12</v>
      </c>
      <c r="C1695" s="334" t="s">
        <v>8184</v>
      </c>
      <c r="D1695" s="124" t="s">
        <v>8185</v>
      </c>
      <c r="E1695" s="125"/>
      <c r="F1695" s="118" t="s">
        <v>433</v>
      </c>
      <c r="G1695" s="126" t="s">
        <v>7861</v>
      </c>
      <c r="H1695" s="255">
        <v>6</v>
      </c>
      <c r="I1695" s="361">
        <v>1</v>
      </c>
      <c r="J1695" s="362" t="s">
        <v>286</v>
      </c>
      <c r="K1695" s="363"/>
      <c r="L1695" s="129"/>
      <c r="M1695" s="129"/>
      <c r="N1695" s="129"/>
      <c r="O1695" s="129"/>
      <c r="P1695" s="364"/>
      <c r="Q1695" s="364"/>
      <c r="R1695" s="129"/>
      <c r="S1695" s="129"/>
      <c r="T1695" s="129"/>
      <c r="W1695" s="129" t="s">
        <v>286</v>
      </c>
      <c r="X1695" s="337" t="b">
        <f t="shared" si="59"/>
        <v>1</v>
      </c>
    </row>
    <row r="1696" spans="1:24" s="337" customFormat="1" ht="12" customHeight="1" outlineLevel="1">
      <c r="A1696" s="335"/>
      <c r="B1696" s="118" t="s">
        <v>12</v>
      </c>
      <c r="C1696" s="334" t="s">
        <v>8186</v>
      </c>
      <c r="D1696" s="124" t="s">
        <v>8187</v>
      </c>
      <c r="E1696" s="125"/>
      <c r="F1696" s="118" t="s">
        <v>433</v>
      </c>
      <c r="G1696" s="126" t="s">
        <v>7861</v>
      </c>
      <c r="H1696" s="255">
        <v>6</v>
      </c>
      <c r="I1696" s="361">
        <v>1</v>
      </c>
      <c r="J1696" s="362" t="s">
        <v>310</v>
      </c>
      <c r="K1696" s="363"/>
      <c r="L1696" s="129"/>
      <c r="M1696" s="129"/>
      <c r="N1696" s="129"/>
      <c r="O1696" s="129"/>
      <c r="P1696" s="364"/>
      <c r="Q1696" s="364"/>
      <c r="R1696" s="129"/>
      <c r="S1696" s="129"/>
      <c r="T1696" s="129"/>
      <c r="W1696" s="129" t="s">
        <v>286</v>
      </c>
      <c r="X1696" s="337" t="b">
        <f t="shared" si="59"/>
        <v>0</v>
      </c>
    </row>
    <row r="1697" spans="1:24" s="337" customFormat="1" ht="12" customHeight="1" outlineLevel="1">
      <c r="A1697" s="335"/>
      <c r="B1697" s="118" t="s">
        <v>12</v>
      </c>
      <c r="C1697" s="334" t="s">
        <v>8188</v>
      </c>
      <c r="D1697" s="124" t="s">
        <v>8189</v>
      </c>
      <c r="E1697" s="125"/>
      <c r="F1697" s="118" t="s">
        <v>433</v>
      </c>
      <c r="G1697" s="126" t="s">
        <v>7861</v>
      </c>
      <c r="H1697" s="255">
        <v>6</v>
      </c>
      <c r="I1697" s="361">
        <v>1</v>
      </c>
      <c r="J1697" s="362" t="s">
        <v>307</v>
      </c>
      <c r="K1697" s="363"/>
      <c r="L1697" s="129"/>
      <c r="M1697" s="129"/>
      <c r="N1697" s="129"/>
      <c r="O1697" s="129"/>
      <c r="P1697" s="364"/>
      <c r="Q1697" s="364"/>
      <c r="R1697" s="129"/>
      <c r="S1697" s="129"/>
      <c r="T1697" s="129"/>
      <c r="W1697" s="129" t="s">
        <v>286</v>
      </c>
      <c r="X1697" s="337" t="b">
        <f t="shared" si="59"/>
        <v>0</v>
      </c>
    </row>
    <row r="1698" spans="1:24" s="337" customFormat="1" ht="12" customHeight="1" outlineLevel="1">
      <c r="A1698" s="335"/>
      <c r="B1698" s="118" t="s">
        <v>12</v>
      </c>
      <c r="C1698" s="334" t="s">
        <v>8190</v>
      </c>
      <c r="D1698" s="124" t="s">
        <v>8191</v>
      </c>
      <c r="E1698" s="125"/>
      <c r="F1698" s="118" t="s">
        <v>433</v>
      </c>
      <c r="G1698" s="126" t="s">
        <v>7861</v>
      </c>
      <c r="H1698" s="255">
        <v>6</v>
      </c>
      <c r="I1698" s="361">
        <v>1</v>
      </c>
      <c r="J1698" s="362" t="s">
        <v>307</v>
      </c>
      <c r="K1698" s="363"/>
      <c r="L1698" s="129"/>
      <c r="M1698" s="129"/>
      <c r="N1698" s="129"/>
      <c r="O1698" s="129"/>
      <c r="P1698" s="364"/>
      <c r="Q1698" s="364"/>
      <c r="R1698" s="129"/>
      <c r="S1698" s="129"/>
      <c r="T1698" s="129"/>
      <c r="W1698" s="129" t="s">
        <v>310</v>
      </c>
      <c r="X1698" s="337" t="b">
        <f t="shared" si="59"/>
        <v>0</v>
      </c>
    </row>
    <row r="1699" spans="1:24" s="337" customFormat="1" ht="12" customHeight="1" outlineLevel="1">
      <c r="A1699" s="335"/>
      <c r="B1699" s="118" t="s">
        <v>12</v>
      </c>
      <c r="C1699" s="334" t="s">
        <v>8192</v>
      </c>
      <c r="D1699" s="124" t="s">
        <v>8193</v>
      </c>
      <c r="E1699" s="125"/>
      <c r="F1699" s="118" t="s">
        <v>433</v>
      </c>
      <c r="G1699" s="126" t="s">
        <v>7861</v>
      </c>
      <c r="H1699" s="255">
        <v>6</v>
      </c>
      <c r="I1699" s="361">
        <v>1</v>
      </c>
      <c r="J1699" s="362" t="s">
        <v>307</v>
      </c>
      <c r="K1699" s="363"/>
      <c r="L1699" s="129"/>
      <c r="M1699" s="129"/>
      <c r="N1699" s="129"/>
      <c r="O1699" s="129"/>
      <c r="P1699" s="364"/>
      <c r="Q1699" s="364"/>
      <c r="R1699" s="129"/>
      <c r="S1699" s="129"/>
      <c r="T1699" s="129"/>
      <c r="W1699" s="129" t="s">
        <v>310</v>
      </c>
      <c r="X1699" s="337" t="b">
        <f t="shared" si="59"/>
        <v>0</v>
      </c>
    </row>
    <row r="1700" spans="1:24" s="337" customFormat="1" ht="12" customHeight="1" outlineLevel="1">
      <c r="A1700" s="335"/>
      <c r="B1700" s="118" t="s">
        <v>12</v>
      </c>
      <c r="C1700" s="334" t="s">
        <v>8194</v>
      </c>
      <c r="D1700" s="124" t="s">
        <v>8195</v>
      </c>
      <c r="E1700" s="125"/>
      <c r="F1700" s="118" t="s">
        <v>433</v>
      </c>
      <c r="G1700" s="126" t="s">
        <v>7861</v>
      </c>
      <c r="H1700" s="255">
        <v>6</v>
      </c>
      <c r="I1700" s="361">
        <v>1</v>
      </c>
      <c r="J1700" s="362" t="s">
        <v>286</v>
      </c>
      <c r="K1700" s="363"/>
      <c r="L1700" s="129"/>
      <c r="M1700" s="129"/>
      <c r="N1700" s="129"/>
      <c r="O1700" s="129"/>
      <c r="P1700" s="364"/>
      <c r="Q1700" s="364"/>
      <c r="R1700" s="129"/>
      <c r="S1700" s="129"/>
      <c r="T1700" s="129"/>
      <c r="W1700" s="129" t="s">
        <v>286</v>
      </c>
      <c r="X1700" s="337" t="b">
        <f t="shared" si="59"/>
        <v>1</v>
      </c>
    </row>
    <row r="1701" spans="1:24" s="337" customFormat="1" ht="12" customHeight="1" outlineLevel="1">
      <c r="A1701" s="335"/>
      <c r="B1701" s="118" t="s">
        <v>12</v>
      </c>
      <c r="C1701" s="334" t="s">
        <v>8196</v>
      </c>
      <c r="D1701" s="124" t="s">
        <v>8197</v>
      </c>
      <c r="E1701" s="125"/>
      <c r="F1701" s="118" t="s">
        <v>433</v>
      </c>
      <c r="G1701" s="126" t="s">
        <v>7861</v>
      </c>
      <c r="H1701" s="255">
        <v>6</v>
      </c>
      <c r="I1701" s="361">
        <v>1</v>
      </c>
      <c r="J1701" s="362" t="s">
        <v>325</v>
      </c>
      <c r="K1701" s="363"/>
      <c r="L1701" s="129"/>
      <c r="M1701" s="129"/>
      <c r="N1701" s="129"/>
      <c r="O1701" s="129"/>
      <c r="P1701" s="364"/>
      <c r="Q1701" s="364"/>
      <c r="R1701" s="129"/>
      <c r="S1701" s="129"/>
      <c r="T1701" s="129"/>
      <c r="W1701" s="129" t="s">
        <v>307</v>
      </c>
      <c r="X1701" s="337" t="b">
        <f t="shared" si="59"/>
        <v>0</v>
      </c>
    </row>
    <row r="1702" spans="1:24" s="337" customFormat="1" ht="12" customHeight="1" outlineLevel="1">
      <c r="A1702" s="335"/>
      <c r="B1702" s="118" t="s">
        <v>12</v>
      </c>
      <c r="C1702" s="334" t="s">
        <v>8198</v>
      </c>
      <c r="D1702" s="124" t="s">
        <v>8199</v>
      </c>
      <c r="E1702" s="125"/>
      <c r="F1702" s="118" t="s">
        <v>433</v>
      </c>
      <c r="G1702" s="126" t="s">
        <v>7861</v>
      </c>
      <c r="H1702" s="255">
        <v>6</v>
      </c>
      <c r="I1702" s="361">
        <v>1</v>
      </c>
      <c r="J1702" s="362" t="s">
        <v>307</v>
      </c>
      <c r="K1702" s="363"/>
      <c r="L1702" s="129"/>
      <c r="M1702" s="129"/>
      <c r="N1702" s="129"/>
      <c r="O1702" s="129"/>
      <c r="P1702" s="364"/>
      <c r="Q1702" s="364"/>
      <c r="R1702" s="129"/>
      <c r="S1702" s="129"/>
      <c r="T1702" s="129"/>
      <c r="W1702" s="129" t="s">
        <v>310</v>
      </c>
      <c r="X1702" s="337" t="b">
        <f t="shared" si="59"/>
        <v>0</v>
      </c>
    </row>
    <row r="1703" spans="1:24" s="337" customFormat="1" ht="12" customHeight="1" outlineLevel="1">
      <c r="A1703" s="335"/>
      <c r="B1703" s="118" t="s">
        <v>12</v>
      </c>
      <c r="C1703" s="334" t="s">
        <v>8200</v>
      </c>
      <c r="D1703" s="124" t="s">
        <v>8201</v>
      </c>
      <c r="E1703" s="125"/>
      <c r="F1703" s="118" t="s">
        <v>433</v>
      </c>
      <c r="G1703" s="126" t="s">
        <v>7861</v>
      </c>
      <c r="H1703" s="255">
        <v>6</v>
      </c>
      <c r="I1703" s="361">
        <v>1</v>
      </c>
      <c r="J1703" s="362" t="s">
        <v>310</v>
      </c>
      <c r="K1703" s="363"/>
      <c r="L1703" s="129"/>
      <c r="M1703" s="129"/>
      <c r="N1703" s="129"/>
      <c r="O1703" s="129"/>
      <c r="P1703" s="364"/>
      <c r="Q1703" s="364"/>
      <c r="R1703" s="129"/>
      <c r="S1703" s="129"/>
      <c r="T1703" s="129"/>
      <c r="W1703" s="129" t="s">
        <v>286</v>
      </c>
      <c r="X1703" s="337" t="b">
        <f t="shared" si="59"/>
        <v>0</v>
      </c>
    </row>
    <row r="1704" spans="1:24" s="337" customFormat="1" ht="12" customHeight="1" outlineLevel="1">
      <c r="A1704" s="335"/>
      <c r="B1704" s="118" t="s">
        <v>12</v>
      </c>
      <c r="C1704" s="334" t="s">
        <v>8202</v>
      </c>
      <c r="D1704" s="124" t="s">
        <v>8203</v>
      </c>
      <c r="E1704" s="125"/>
      <c r="F1704" s="118" t="s">
        <v>433</v>
      </c>
      <c r="G1704" s="126" t="s">
        <v>7861</v>
      </c>
      <c r="H1704" s="255">
        <v>6</v>
      </c>
      <c r="I1704" s="361">
        <v>1</v>
      </c>
      <c r="J1704" s="362" t="s">
        <v>286</v>
      </c>
      <c r="K1704" s="363"/>
      <c r="L1704" s="129"/>
      <c r="M1704" s="129"/>
      <c r="N1704" s="129"/>
      <c r="O1704" s="129"/>
      <c r="P1704" s="364"/>
      <c r="Q1704" s="364"/>
      <c r="R1704" s="129"/>
      <c r="S1704" s="129"/>
      <c r="T1704" s="129"/>
      <c r="W1704" s="129" t="s">
        <v>286</v>
      </c>
      <c r="X1704" s="337" t="b">
        <f t="shared" si="59"/>
        <v>1</v>
      </c>
    </row>
    <row r="1705" spans="1:24" s="337" customFormat="1" ht="12" customHeight="1" outlineLevel="1">
      <c r="A1705" s="335"/>
      <c r="B1705" s="118" t="s">
        <v>12</v>
      </c>
      <c r="C1705" s="334" t="s">
        <v>8204</v>
      </c>
      <c r="D1705" s="124" t="s">
        <v>8205</v>
      </c>
      <c r="E1705" s="125"/>
      <c r="F1705" s="118" t="s">
        <v>433</v>
      </c>
      <c r="G1705" s="126" t="s">
        <v>7861</v>
      </c>
      <c r="H1705" s="255">
        <v>6</v>
      </c>
      <c r="I1705" s="361">
        <v>1</v>
      </c>
      <c r="J1705" s="362" t="s">
        <v>286</v>
      </c>
      <c r="K1705" s="363"/>
      <c r="L1705" s="129"/>
      <c r="M1705" s="129"/>
      <c r="N1705" s="129"/>
      <c r="O1705" s="129"/>
      <c r="P1705" s="364"/>
      <c r="Q1705" s="364"/>
      <c r="R1705" s="129"/>
      <c r="S1705" s="129"/>
      <c r="T1705" s="129"/>
      <c r="W1705" s="129" t="s">
        <v>286</v>
      </c>
      <c r="X1705" s="337" t="b">
        <f t="shared" si="59"/>
        <v>1</v>
      </c>
    </row>
    <row r="1706" spans="1:24" s="337" customFormat="1" ht="12" customHeight="1" outlineLevel="1">
      <c r="A1706" s="335"/>
      <c r="B1706" s="118" t="s">
        <v>12</v>
      </c>
      <c r="C1706" s="334" t="s">
        <v>8206</v>
      </c>
      <c r="D1706" s="124" t="s">
        <v>8207</v>
      </c>
      <c r="E1706" s="125"/>
      <c r="F1706" s="118" t="s">
        <v>433</v>
      </c>
      <c r="G1706" s="126" t="s">
        <v>7861</v>
      </c>
      <c r="H1706" s="255">
        <v>6</v>
      </c>
      <c r="I1706" s="361">
        <v>1</v>
      </c>
      <c r="J1706" s="362" t="s">
        <v>310</v>
      </c>
      <c r="K1706" s="363"/>
      <c r="L1706" s="129"/>
      <c r="M1706" s="129"/>
      <c r="N1706" s="129"/>
      <c r="O1706" s="129"/>
      <c r="P1706" s="364"/>
      <c r="Q1706" s="364"/>
      <c r="R1706" s="129"/>
      <c r="S1706" s="129"/>
      <c r="T1706" s="129"/>
      <c r="W1706" s="129" t="s">
        <v>310</v>
      </c>
      <c r="X1706" s="337" t="b">
        <f t="shared" si="59"/>
        <v>1</v>
      </c>
    </row>
    <row r="1707" spans="1:24" s="337" customFormat="1" ht="12" customHeight="1" outlineLevel="1">
      <c r="A1707" s="335"/>
      <c r="B1707" s="118" t="s">
        <v>12</v>
      </c>
      <c r="C1707" s="334" t="s">
        <v>8208</v>
      </c>
      <c r="D1707" s="124" t="s">
        <v>8209</v>
      </c>
      <c r="E1707" s="125"/>
      <c r="F1707" s="118" t="s">
        <v>433</v>
      </c>
      <c r="G1707" s="126" t="s">
        <v>7861</v>
      </c>
      <c r="H1707" s="255">
        <v>6</v>
      </c>
      <c r="I1707" s="361">
        <v>1</v>
      </c>
      <c r="J1707" s="362" t="s">
        <v>310</v>
      </c>
      <c r="K1707" s="363"/>
      <c r="L1707" s="129"/>
      <c r="M1707" s="129"/>
      <c r="N1707" s="129"/>
      <c r="O1707" s="129"/>
      <c r="P1707" s="364"/>
      <c r="Q1707" s="364"/>
      <c r="R1707" s="129"/>
      <c r="S1707" s="129"/>
      <c r="T1707" s="129"/>
      <c r="W1707" s="129" t="s">
        <v>286</v>
      </c>
      <c r="X1707" s="337" t="b">
        <f t="shared" si="59"/>
        <v>0</v>
      </c>
    </row>
    <row r="1708" spans="1:24" s="337" customFormat="1" ht="12" customHeight="1" outlineLevel="1">
      <c r="A1708" s="335"/>
      <c r="B1708" s="118" t="s">
        <v>12</v>
      </c>
      <c r="C1708" s="334" t="s">
        <v>8210</v>
      </c>
      <c r="D1708" s="124" t="s">
        <v>8211</v>
      </c>
      <c r="E1708" s="125"/>
      <c r="F1708" s="118" t="s">
        <v>433</v>
      </c>
      <c r="G1708" s="126" t="s">
        <v>7861</v>
      </c>
      <c r="H1708" s="255">
        <v>6</v>
      </c>
      <c r="I1708" s="361">
        <v>1</v>
      </c>
      <c r="J1708" s="362" t="s">
        <v>310</v>
      </c>
      <c r="K1708" s="363"/>
      <c r="L1708" s="129"/>
      <c r="M1708" s="129"/>
      <c r="N1708" s="129"/>
      <c r="O1708" s="129"/>
      <c r="P1708" s="364"/>
      <c r="Q1708" s="364"/>
      <c r="R1708" s="129"/>
      <c r="S1708" s="129"/>
      <c r="T1708" s="129"/>
      <c r="W1708" s="129" t="s">
        <v>286</v>
      </c>
      <c r="X1708" s="337" t="b">
        <f t="shared" si="59"/>
        <v>0</v>
      </c>
    </row>
    <row r="1709" spans="1:24" s="337" customFormat="1" ht="12" customHeight="1" outlineLevel="1">
      <c r="A1709" s="335"/>
      <c r="B1709" s="118" t="s">
        <v>12</v>
      </c>
      <c r="C1709" s="334" t="s">
        <v>8212</v>
      </c>
      <c r="D1709" s="124" t="s">
        <v>8213</v>
      </c>
      <c r="E1709" s="125"/>
      <c r="F1709" s="118" t="s">
        <v>433</v>
      </c>
      <c r="G1709" s="126" t="s">
        <v>7861</v>
      </c>
      <c r="H1709" s="255">
        <v>6</v>
      </c>
      <c r="I1709" s="361">
        <v>1</v>
      </c>
      <c r="J1709" s="362" t="s">
        <v>286</v>
      </c>
      <c r="K1709" s="363"/>
      <c r="L1709" s="129"/>
      <c r="M1709" s="129"/>
      <c r="N1709" s="129"/>
      <c r="O1709" s="129"/>
      <c r="P1709" s="364"/>
      <c r="Q1709" s="364"/>
      <c r="R1709" s="129"/>
      <c r="S1709" s="129"/>
      <c r="T1709" s="129"/>
      <c r="W1709" s="129" t="s">
        <v>286</v>
      </c>
      <c r="X1709" s="337" t="b">
        <f t="shared" si="59"/>
        <v>1</v>
      </c>
    </row>
    <row r="1710" spans="1:24" s="337" customFormat="1" ht="12" customHeight="1" outlineLevel="1">
      <c r="A1710" s="335"/>
      <c r="B1710" s="118" t="s">
        <v>12</v>
      </c>
      <c r="C1710" s="334" t="s">
        <v>8214</v>
      </c>
      <c r="D1710" s="124" t="s">
        <v>8215</v>
      </c>
      <c r="E1710" s="125"/>
      <c r="F1710" s="118" t="s">
        <v>433</v>
      </c>
      <c r="G1710" s="126" t="s">
        <v>7861</v>
      </c>
      <c r="H1710" s="255">
        <v>6</v>
      </c>
      <c r="I1710" s="361">
        <v>1</v>
      </c>
      <c r="J1710" s="362" t="s">
        <v>310</v>
      </c>
      <c r="K1710" s="363"/>
      <c r="L1710" s="129"/>
      <c r="M1710" s="129"/>
      <c r="N1710" s="129"/>
      <c r="O1710" s="129"/>
      <c r="P1710" s="364"/>
      <c r="Q1710" s="364"/>
      <c r="R1710" s="129"/>
      <c r="S1710" s="129"/>
      <c r="T1710" s="129"/>
      <c r="W1710" s="129" t="s">
        <v>286</v>
      </c>
      <c r="X1710" s="337" t="b">
        <f t="shared" si="59"/>
        <v>0</v>
      </c>
    </row>
    <row r="1711" spans="1:24" s="337" customFormat="1" ht="12" customHeight="1" outlineLevel="1">
      <c r="A1711" s="335"/>
      <c r="B1711" s="118" t="s">
        <v>12</v>
      </c>
      <c r="C1711" s="334" t="s">
        <v>8216</v>
      </c>
      <c r="D1711" s="124" t="s">
        <v>8217</v>
      </c>
      <c r="E1711" s="125"/>
      <c r="F1711" s="118" t="s">
        <v>433</v>
      </c>
      <c r="G1711" s="126" t="s">
        <v>7861</v>
      </c>
      <c r="H1711" s="255">
        <v>6</v>
      </c>
      <c r="I1711" s="361">
        <v>1</v>
      </c>
      <c r="J1711" s="362" t="s">
        <v>286</v>
      </c>
      <c r="K1711" s="363"/>
      <c r="L1711" s="129"/>
      <c r="M1711" s="129"/>
      <c r="N1711" s="129"/>
      <c r="O1711" s="129"/>
      <c r="P1711" s="364"/>
      <c r="Q1711" s="364"/>
      <c r="R1711" s="129"/>
      <c r="S1711" s="129"/>
      <c r="T1711" s="129"/>
      <c r="W1711" s="129" t="s">
        <v>286</v>
      </c>
      <c r="X1711" s="337" t="b">
        <f t="shared" si="59"/>
        <v>1</v>
      </c>
    </row>
    <row r="1712" spans="1:24" s="337" customFormat="1" ht="12" customHeight="1" outlineLevel="1">
      <c r="A1712" s="335"/>
      <c r="B1712" s="118" t="s">
        <v>12</v>
      </c>
      <c r="C1712" s="334" t="s">
        <v>8218</v>
      </c>
      <c r="D1712" s="124" t="s">
        <v>8219</v>
      </c>
      <c r="E1712" s="125"/>
      <c r="F1712" s="118" t="s">
        <v>433</v>
      </c>
      <c r="G1712" s="126" t="s">
        <v>7861</v>
      </c>
      <c r="H1712" s="255">
        <v>6</v>
      </c>
      <c r="I1712" s="361">
        <v>1</v>
      </c>
      <c r="J1712" s="362" t="s">
        <v>286</v>
      </c>
      <c r="K1712" s="363"/>
      <c r="L1712" s="129"/>
      <c r="M1712" s="129"/>
      <c r="N1712" s="129"/>
      <c r="O1712" s="129"/>
      <c r="P1712" s="364"/>
      <c r="Q1712" s="364"/>
      <c r="R1712" s="129"/>
      <c r="S1712" s="129"/>
      <c r="T1712" s="129"/>
      <c r="W1712" s="129" t="s">
        <v>286</v>
      </c>
      <c r="X1712" s="337" t="b">
        <f t="shared" si="59"/>
        <v>1</v>
      </c>
    </row>
    <row r="1713" spans="1:24" s="337" customFormat="1" ht="12" customHeight="1" outlineLevel="1">
      <c r="A1713" s="335"/>
      <c r="B1713" s="118" t="s">
        <v>12</v>
      </c>
      <c r="C1713" s="334" t="s">
        <v>8220</v>
      </c>
      <c r="D1713" s="124" t="s">
        <v>8221</v>
      </c>
      <c r="E1713" s="125"/>
      <c r="F1713" s="118" t="s">
        <v>433</v>
      </c>
      <c r="G1713" s="126" t="s">
        <v>7861</v>
      </c>
      <c r="H1713" s="255">
        <v>6</v>
      </c>
      <c r="I1713" s="361">
        <v>1</v>
      </c>
      <c r="J1713" s="362" t="s">
        <v>286</v>
      </c>
      <c r="K1713" s="363"/>
      <c r="L1713" s="129"/>
      <c r="M1713" s="129"/>
      <c r="N1713" s="129"/>
      <c r="O1713" s="129"/>
      <c r="P1713" s="364"/>
      <c r="Q1713" s="364"/>
      <c r="R1713" s="129"/>
      <c r="S1713" s="129"/>
      <c r="T1713" s="129"/>
      <c r="W1713" s="129" t="s">
        <v>286</v>
      </c>
      <c r="X1713" s="337" t="b">
        <f t="shared" si="59"/>
        <v>1</v>
      </c>
    </row>
    <row r="1714" spans="1:24" s="337" customFormat="1" ht="12" customHeight="1" outlineLevel="1">
      <c r="A1714" s="335"/>
      <c r="B1714" s="118" t="s">
        <v>12</v>
      </c>
      <c r="C1714" s="334" t="s">
        <v>8222</v>
      </c>
      <c r="D1714" s="124" t="s">
        <v>8223</v>
      </c>
      <c r="E1714" s="125"/>
      <c r="F1714" s="118" t="s">
        <v>433</v>
      </c>
      <c r="G1714" s="126" t="s">
        <v>7861</v>
      </c>
      <c r="H1714" s="255">
        <v>6</v>
      </c>
      <c r="I1714" s="361">
        <v>1</v>
      </c>
      <c r="J1714" s="362" t="s">
        <v>286</v>
      </c>
      <c r="K1714" s="363"/>
      <c r="L1714" s="129"/>
      <c r="M1714" s="129"/>
      <c r="N1714" s="129"/>
      <c r="O1714" s="129"/>
      <c r="P1714" s="364"/>
      <c r="Q1714" s="364"/>
      <c r="R1714" s="129"/>
      <c r="S1714" s="129"/>
      <c r="T1714" s="129"/>
      <c r="W1714" s="129" t="s">
        <v>286</v>
      </c>
      <c r="X1714" s="337" t="b">
        <f t="shared" si="59"/>
        <v>1</v>
      </c>
    </row>
    <row r="1715" spans="1:24" s="337" customFormat="1" ht="12" customHeight="1" outlineLevel="1">
      <c r="A1715" s="335"/>
      <c r="B1715" s="118" t="s">
        <v>12</v>
      </c>
      <c r="C1715" s="334" t="s">
        <v>8224</v>
      </c>
      <c r="D1715" s="124" t="s">
        <v>8225</v>
      </c>
      <c r="E1715" s="125"/>
      <c r="F1715" s="118" t="s">
        <v>433</v>
      </c>
      <c r="G1715" s="126" t="s">
        <v>7861</v>
      </c>
      <c r="H1715" s="255">
        <v>6</v>
      </c>
      <c r="I1715" s="361">
        <v>1</v>
      </c>
      <c r="J1715" s="362" t="s">
        <v>286</v>
      </c>
      <c r="K1715" s="363"/>
      <c r="L1715" s="129"/>
      <c r="M1715" s="129"/>
      <c r="N1715" s="129"/>
      <c r="O1715" s="129"/>
      <c r="P1715" s="364"/>
      <c r="Q1715" s="364"/>
      <c r="R1715" s="129"/>
      <c r="S1715" s="129"/>
      <c r="T1715" s="129"/>
      <c r="W1715" s="129" t="s">
        <v>286</v>
      </c>
      <c r="X1715" s="337" t="b">
        <f t="shared" si="59"/>
        <v>1</v>
      </c>
    </row>
    <row r="1716" spans="1:24" s="337" customFormat="1" ht="12" customHeight="1" outlineLevel="1">
      <c r="A1716" s="335"/>
      <c r="B1716" s="118" t="s">
        <v>12</v>
      </c>
      <c r="C1716" s="334" t="s">
        <v>8226</v>
      </c>
      <c r="D1716" s="124" t="s">
        <v>8227</v>
      </c>
      <c r="E1716" s="125"/>
      <c r="F1716" s="118" t="s">
        <v>433</v>
      </c>
      <c r="G1716" s="126" t="s">
        <v>7861</v>
      </c>
      <c r="H1716" s="255">
        <v>6</v>
      </c>
      <c r="I1716" s="361">
        <v>1</v>
      </c>
      <c r="J1716" s="362" t="s">
        <v>286</v>
      </c>
      <c r="K1716" s="363"/>
      <c r="L1716" s="129"/>
      <c r="M1716" s="129"/>
      <c r="N1716" s="129"/>
      <c r="O1716" s="129"/>
      <c r="P1716" s="364"/>
      <c r="Q1716" s="364"/>
      <c r="R1716" s="129"/>
      <c r="S1716" s="129"/>
      <c r="T1716" s="129"/>
      <c r="W1716" s="129" t="s">
        <v>286</v>
      </c>
      <c r="X1716" s="337" t="b">
        <f t="shared" si="59"/>
        <v>1</v>
      </c>
    </row>
    <row r="1717" spans="1:24" s="337" customFormat="1" ht="12" customHeight="1" outlineLevel="1">
      <c r="A1717" s="335"/>
      <c r="B1717" s="118" t="s">
        <v>12</v>
      </c>
      <c r="C1717" s="334" t="s">
        <v>8228</v>
      </c>
      <c r="D1717" s="124" t="s">
        <v>8229</v>
      </c>
      <c r="E1717" s="125"/>
      <c r="F1717" s="118" t="s">
        <v>433</v>
      </c>
      <c r="G1717" s="126" t="s">
        <v>7861</v>
      </c>
      <c r="H1717" s="255">
        <v>6</v>
      </c>
      <c r="I1717" s="361">
        <v>1</v>
      </c>
      <c r="J1717" s="362" t="s">
        <v>286</v>
      </c>
      <c r="K1717" s="363"/>
      <c r="L1717" s="129"/>
      <c r="M1717" s="129"/>
      <c r="N1717" s="129"/>
      <c r="O1717" s="129"/>
      <c r="P1717" s="364"/>
      <c r="Q1717" s="364"/>
      <c r="R1717" s="129"/>
      <c r="S1717" s="129"/>
      <c r="T1717" s="129"/>
      <c r="W1717" s="129" t="s">
        <v>286</v>
      </c>
      <c r="X1717" s="337" t="b">
        <f t="shared" si="59"/>
        <v>1</v>
      </c>
    </row>
    <row r="1718" spans="1:24" s="337" customFormat="1" ht="12" customHeight="1" outlineLevel="1">
      <c r="A1718" s="335"/>
      <c r="B1718" s="118" t="s">
        <v>12</v>
      </c>
      <c r="C1718" s="334" t="s">
        <v>8230</v>
      </c>
      <c r="D1718" s="124" t="s">
        <v>8231</v>
      </c>
      <c r="E1718" s="125"/>
      <c r="F1718" s="118" t="s">
        <v>433</v>
      </c>
      <c r="G1718" s="126" t="s">
        <v>7861</v>
      </c>
      <c r="H1718" s="255">
        <v>6</v>
      </c>
      <c r="I1718" s="361">
        <v>1</v>
      </c>
      <c r="J1718" s="362" t="s">
        <v>286</v>
      </c>
      <c r="K1718" s="363"/>
      <c r="L1718" s="129"/>
      <c r="M1718" s="129"/>
      <c r="N1718" s="129"/>
      <c r="O1718" s="129"/>
      <c r="P1718" s="364"/>
      <c r="Q1718" s="364"/>
      <c r="R1718" s="129"/>
      <c r="S1718" s="129"/>
      <c r="T1718" s="129"/>
      <c r="W1718" s="129" t="s">
        <v>286</v>
      </c>
      <c r="X1718" s="337" t="b">
        <f t="shared" si="59"/>
        <v>1</v>
      </c>
    </row>
    <row r="1719" spans="1:24" s="337" customFormat="1" ht="12" customHeight="1" outlineLevel="1">
      <c r="A1719" s="335"/>
      <c r="B1719" s="118" t="s">
        <v>12</v>
      </c>
      <c r="C1719" s="334" t="s">
        <v>8232</v>
      </c>
      <c r="D1719" s="124" t="s">
        <v>8233</v>
      </c>
      <c r="E1719" s="125"/>
      <c r="F1719" s="118" t="s">
        <v>433</v>
      </c>
      <c r="G1719" s="126" t="s">
        <v>7861</v>
      </c>
      <c r="H1719" s="255">
        <v>6</v>
      </c>
      <c r="I1719" s="361">
        <v>1</v>
      </c>
      <c r="J1719" s="362" t="s">
        <v>286</v>
      </c>
      <c r="K1719" s="363"/>
      <c r="L1719" s="129"/>
      <c r="M1719" s="129"/>
      <c r="N1719" s="129"/>
      <c r="O1719" s="129"/>
      <c r="P1719" s="364"/>
      <c r="Q1719" s="364"/>
      <c r="R1719" s="129"/>
      <c r="S1719" s="129"/>
      <c r="T1719" s="129"/>
      <c r="W1719" s="129" t="s">
        <v>286</v>
      </c>
      <c r="X1719" s="337" t="b">
        <f t="shared" si="59"/>
        <v>1</v>
      </c>
    </row>
    <row r="1720" spans="1:24" s="337" customFormat="1" ht="12" customHeight="1" outlineLevel="1">
      <c r="A1720" s="335"/>
      <c r="B1720" s="118" t="s">
        <v>12</v>
      </c>
      <c r="C1720" s="334" t="s">
        <v>8234</v>
      </c>
      <c r="D1720" s="124" t="s">
        <v>8235</v>
      </c>
      <c r="E1720" s="125"/>
      <c r="F1720" s="118" t="s">
        <v>433</v>
      </c>
      <c r="G1720" s="126" t="s">
        <v>7861</v>
      </c>
      <c r="H1720" s="255">
        <v>6</v>
      </c>
      <c r="I1720" s="361">
        <v>1</v>
      </c>
      <c r="J1720" s="362" t="s">
        <v>286</v>
      </c>
      <c r="K1720" s="363"/>
      <c r="L1720" s="129"/>
      <c r="M1720" s="129"/>
      <c r="N1720" s="129"/>
      <c r="O1720" s="129"/>
      <c r="P1720" s="364"/>
      <c r="Q1720" s="364"/>
      <c r="R1720" s="129"/>
      <c r="S1720" s="129"/>
      <c r="T1720" s="129"/>
      <c r="W1720" s="129" t="s">
        <v>286</v>
      </c>
      <c r="X1720" s="337" t="b">
        <f t="shared" si="59"/>
        <v>1</v>
      </c>
    </row>
    <row r="1721" spans="1:24" s="337" customFormat="1" ht="12" customHeight="1" outlineLevel="1">
      <c r="A1721" s="335"/>
      <c r="B1721" s="118" t="s">
        <v>12</v>
      </c>
      <c r="C1721" s="334" t="s">
        <v>8236</v>
      </c>
      <c r="D1721" s="124" t="s">
        <v>8237</v>
      </c>
      <c r="E1721" s="125"/>
      <c r="F1721" s="118" t="s">
        <v>433</v>
      </c>
      <c r="G1721" s="126" t="s">
        <v>7861</v>
      </c>
      <c r="H1721" s="255">
        <v>6</v>
      </c>
      <c r="I1721" s="361">
        <v>1</v>
      </c>
      <c r="J1721" s="362" t="s">
        <v>286</v>
      </c>
      <c r="K1721" s="363"/>
      <c r="L1721" s="129"/>
      <c r="M1721" s="129"/>
      <c r="N1721" s="129"/>
      <c r="O1721" s="129"/>
      <c r="P1721" s="364"/>
      <c r="Q1721" s="364"/>
      <c r="R1721" s="129"/>
      <c r="S1721" s="129"/>
      <c r="T1721" s="129"/>
      <c r="W1721" s="129" t="s">
        <v>286</v>
      </c>
      <c r="X1721" s="337" t="b">
        <f t="shared" si="59"/>
        <v>1</v>
      </c>
    </row>
    <row r="1722" spans="1:24" s="337" customFormat="1" ht="12" customHeight="1" outlineLevel="1">
      <c r="A1722" s="335"/>
      <c r="B1722" s="118" t="s">
        <v>12</v>
      </c>
      <c r="C1722" s="334" t="s">
        <v>8238</v>
      </c>
      <c r="D1722" s="124" t="s">
        <v>8239</v>
      </c>
      <c r="E1722" s="125"/>
      <c r="F1722" s="118" t="s">
        <v>433</v>
      </c>
      <c r="G1722" s="126" t="s">
        <v>7861</v>
      </c>
      <c r="H1722" s="255">
        <v>6</v>
      </c>
      <c r="I1722" s="361">
        <v>1</v>
      </c>
      <c r="J1722" s="362" t="s">
        <v>286</v>
      </c>
      <c r="K1722" s="363"/>
      <c r="L1722" s="129"/>
      <c r="M1722" s="129"/>
      <c r="N1722" s="129"/>
      <c r="O1722" s="129"/>
      <c r="P1722" s="364"/>
      <c r="Q1722" s="364"/>
      <c r="R1722" s="129"/>
      <c r="S1722" s="129"/>
      <c r="T1722" s="129"/>
      <c r="W1722" s="129" t="s">
        <v>286</v>
      </c>
      <c r="X1722" s="337" t="b">
        <f t="shared" ref="X1722:X1785" si="60">W1722=J1722</f>
        <v>1</v>
      </c>
    </row>
    <row r="1723" spans="1:24" s="337" customFormat="1" ht="12" customHeight="1" outlineLevel="1">
      <c r="A1723" s="335"/>
      <c r="B1723" s="118" t="s">
        <v>12</v>
      </c>
      <c r="C1723" s="334" t="s">
        <v>8240</v>
      </c>
      <c r="D1723" s="124" t="s">
        <v>8241</v>
      </c>
      <c r="E1723" s="125"/>
      <c r="F1723" s="118" t="s">
        <v>433</v>
      </c>
      <c r="G1723" s="126" t="s">
        <v>7861</v>
      </c>
      <c r="H1723" s="255">
        <v>6</v>
      </c>
      <c r="I1723" s="361">
        <v>1</v>
      </c>
      <c r="J1723" s="362" t="s">
        <v>286</v>
      </c>
      <c r="K1723" s="363"/>
      <c r="L1723" s="129"/>
      <c r="M1723" s="129"/>
      <c r="N1723" s="129"/>
      <c r="O1723" s="129"/>
      <c r="P1723" s="364"/>
      <c r="Q1723" s="364"/>
      <c r="R1723" s="129"/>
      <c r="S1723" s="129"/>
      <c r="T1723" s="129"/>
      <c r="W1723" s="129" t="s">
        <v>286</v>
      </c>
      <c r="X1723" s="337" t="b">
        <f t="shared" si="60"/>
        <v>1</v>
      </c>
    </row>
    <row r="1724" spans="1:24" s="337" customFormat="1" ht="12" customHeight="1" outlineLevel="1">
      <c r="A1724" s="335"/>
      <c r="B1724" s="118" t="s">
        <v>12</v>
      </c>
      <c r="C1724" s="334" t="s">
        <v>8242</v>
      </c>
      <c r="D1724" s="124" t="s">
        <v>8243</v>
      </c>
      <c r="E1724" s="125"/>
      <c r="F1724" s="118" t="s">
        <v>433</v>
      </c>
      <c r="G1724" s="126" t="s">
        <v>7861</v>
      </c>
      <c r="H1724" s="255">
        <v>6</v>
      </c>
      <c r="I1724" s="361">
        <v>1</v>
      </c>
      <c r="J1724" s="362" t="s">
        <v>286</v>
      </c>
      <c r="K1724" s="363"/>
      <c r="L1724" s="129"/>
      <c r="M1724" s="129"/>
      <c r="N1724" s="129"/>
      <c r="O1724" s="129"/>
      <c r="P1724" s="364"/>
      <c r="Q1724" s="364"/>
      <c r="R1724" s="129"/>
      <c r="S1724" s="129"/>
      <c r="T1724" s="129"/>
      <c r="W1724" s="129" t="s">
        <v>286</v>
      </c>
      <c r="X1724" s="337" t="b">
        <f t="shared" si="60"/>
        <v>1</v>
      </c>
    </row>
    <row r="1725" spans="1:24" s="337" customFormat="1" ht="12" customHeight="1" outlineLevel="1">
      <c r="A1725" s="335"/>
      <c r="B1725" s="118" t="s">
        <v>12</v>
      </c>
      <c r="C1725" s="334" t="s">
        <v>8244</v>
      </c>
      <c r="D1725" s="124" t="s">
        <v>8245</v>
      </c>
      <c r="E1725" s="125"/>
      <c r="F1725" s="118" t="s">
        <v>433</v>
      </c>
      <c r="G1725" s="126" t="s">
        <v>7861</v>
      </c>
      <c r="H1725" s="255">
        <v>6</v>
      </c>
      <c r="I1725" s="361">
        <v>1</v>
      </c>
      <c r="J1725" s="362" t="s">
        <v>286</v>
      </c>
      <c r="K1725" s="363"/>
      <c r="L1725" s="129"/>
      <c r="M1725" s="129"/>
      <c r="N1725" s="129"/>
      <c r="O1725" s="129"/>
      <c r="P1725" s="364"/>
      <c r="Q1725" s="364"/>
      <c r="R1725" s="129"/>
      <c r="S1725" s="129"/>
      <c r="T1725" s="129"/>
      <c r="W1725" s="129" t="s">
        <v>4876</v>
      </c>
      <c r="X1725" s="337" t="b">
        <f t="shared" si="60"/>
        <v>0</v>
      </c>
    </row>
    <row r="1726" spans="1:24" s="337" customFormat="1" ht="12" customHeight="1" outlineLevel="1">
      <c r="A1726" s="335"/>
      <c r="B1726" s="118" t="s">
        <v>12</v>
      </c>
      <c r="C1726" s="334" t="s">
        <v>8246</v>
      </c>
      <c r="D1726" s="124" t="s">
        <v>8247</v>
      </c>
      <c r="E1726" s="125"/>
      <c r="F1726" s="118" t="s">
        <v>433</v>
      </c>
      <c r="G1726" s="126" t="s">
        <v>7861</v>
      </c>
      <c r="H1726" s="255">
        <v>6</v>
      </c>
      <c r="I1726" s="361">
        <v>1</v>
      </c>
      <c r="J1726" s="362" t="s">
        <v>286</v>
      </c>
      <c r="K1726" s="363"/>
      <c r="L1726" s="129"/>
      <c r="M1726" s="129"/>
      <c r="N1726" s="129"/>
      <c r="O1726" s="129"/>
      <c r="P1726" s="364"/>
      <c r="Q1726" s="364"/>
      <c r="R1726" s="129"/>
      <c r="S1726" s="129"/>
      <c r="T1726" s="129"/>
      <c r="W1726" s="129" t="s">
        <v>286</v>
      </c>
      <c r="X1726" s="337" t="b">
        <f t="shared" si="60"/>
        <v>1</v>
      </c>
    </row>
    <row r="1727" spans="1:24" s="337" customFormat="1" ht="12" customHeight="1" outlineLevel="1">
      <c r="A1727" s="335"/>
      <c r="B1727" s="118" t="s">
        <v>12</v>
      </c>
      <c r="C1727" s="334" t="s">
        <v>8248</v>
      </c>
      <c r="D1727" s="124" t="s">
        <v>8249</v>
      </c>
      <c r="E1727" s="125"/>
      <c r="F1727" s="118" t="s">
        <v>433</v>
      </c>
      <c r="G1727" s="126" t="s">
        <v>7861</v>
      </c>
      <c r="H1727" s="255">
        <v>6</v>
      </c>
      <c r="I1727" s="361">
        <v>1</v>
      </c>
      <c r="J1727" s="362" t="s">
        <v>286</v>
      </c>
      <c r="K1727" s="363"/>
      <c r="L1727" s="129"/>
      <c r="M1727" s="129"/>
      <c r="N1727" s="129"/>
      <c r="O1727" s="129"/>
      <c r="P1727" s="364"/>
      <c r="Q1727" s="364"/>
      <c r="R1727" s="129"/>
      <c r="S1727" s="129"/>
      <c r="T1727" s="129"/>
      <c r="W1727" s="129" t="s">
        <v>4876</v>
      </c>
      <c r="X1727" s="337" t="b">
        <f t="shared" si="60"/>
        <v>0</v>
      </c>
    </row>
    <row r="1728" spans="1:24" s="337" customFormat="1" ht="12" customHeight="1" outlineLevel="1">
      <c r="A1728" s="335"/>
      <c r="B1728" s="118" t="s">
        <v>12</v>
      </c>
      <c r="C1728" s="334" t="s">
        <v>8250</v>
      </c>
      <c r="D1728" s="124" t="s">
        <v>8251</v>
      </c>
      <c r="E1728" s="125"/>
      <c r="F1728" s="118" t="s">
        <v>433</v>
      </c>
      <c r="G1728" s="126" t="s">
        <v>7861</v>
      </c>
      <c r="H1728" s="255">
        <v>6</v>
      </c>
      <c r="I1728" s="361">
        <v>1</v>
      </c>
      <c r="J1728" s="362" t="s">
        <v>286</v>
      </c>
      <c r="K1728" s="363"/>
      <c r="L1728" s="129"/>
      <c r="M1728" s="129"/>
      <c r="N1728" s="129"/>
      <c r="O1728" s="129"/>
      <c r="P1728" s="364"/>
      <c r="Q1728" s="364"/>
      <c r="R1728" s="129"/>
      <c r="S1728" s="129"/>
      <c r="T1728" s="129"/>
      <c r="W1728" s="129" t="s">
        <v>286</v>
      </c>
      <c r="X1728" s="337" t="b">
        <f t="shared" si="60"/>
        <v>1</v>
      </c>
    </row>
    <row r="1729" spans="1:24" s="337" customFormat="1" ht="12" customHeight="1" outlineLevel="1">
      <c r="A1729" s="335"/>
      <c r="B1729" s="118" t="s">
        <v>12</v>
      </c>
      <c r="C1729" s="334" t="s">
        <v>8252</v>
      </c>
      <c r="D1729" s="124" t="s">
        <v>8253</v>
      </c>
      <c r="E1729" s="125"/>
      <c r="F1729" s="118" t="s">
        <v>433</v>
      </c>
      <c r="G1729" s="126" t="s">
        <v>7861</v>
      </c>
      <c r="H1729" s="255">
        <v>6</v>
      </c>
      <c r="I1729" s="361">
        <v>1</v>
      </c>
      <c r="J1729" s="362" t="s">
        <v>286</v>
      </c>
      <c r="K1729" s="363"/>
      <c r="L1729" s="129"/>
      <c r="M1729" s="129"/>
      <c r="N1729" s="129"/>
      <c r="O1729" s="129"/>
      <c r="P1729" s="364"/>
      <c r="Q1729" s="364"/>
      <c r="R1729" s="129"/>
      <c r="S1729" s="129"/>
      <c r="T1729" s="129"/>
      <c r="W1729" s="129" t="s">
        <v>286</v>
      </c>
      <c r="X1729" s="337" t="b">
        <f t="shared" si="60"/>
        <v>1</v>
      </c>
    </row>
    <row r="1730" spans="1:24" s="337" customFormat="1" ht="12" customHeight="1" outlineLevel="1">
      <c r="A1730" s="335"/>
      <c r="B1730" s="118" t="s">
        <v>12</v>
      </c>
      <c r="C1730" s="334" t="s">
        <v>8254</v>
      </c>
      <c r="D1730" s="124" t="s">
        <v>8255</v>
      </c>
      <c r="E1730" s="125"/>
      <c r="F1730" s="118" t="s">
        <v>433</v>
      </c>
      <c r="G1730" s="126" t="s">
        <v>7861</v>
      </c>
      <c r="H1730" s="255">
        <v>6</v>
      </c>
      <c r="I1730" s="361">
        <v>1</v>
      </c>
      <c r="J1730" s="362" t="s">
        <v>286</v>
      </c>
      <c r="K1730" s="363"/>
      <c r="L1730" s="129"/>
      <c r="M1730" s="129"/>
      <c r="N1730" s="129"/>
      <c r="O1730" s="129"/>
      <c r="P1730" s="364"/>
      <c r="Q1730" s="364"/>
      <c r="R1730" s="129"/>
      <c r="S1730" s="129"/>
      <c r="T1730" s="129"/>
      <c r="W1730" s="129" t="s">
        <v>286</v>
      </c>
      <c r="X1730" s="337" t="b">
        <f t="shared" si="60"/>
        <v>1</v>
      </c>
    </row>
    <row r="1731" spans="1:24" s="337" customFormat="1" ht="12" customHeight="1" outlineLevel="1">
      <c r="A1731" s="335"/>
      <c r="B1731" s="118" t="s">
        <v>12</v>
      </c>
      <c r="C1731" s="334" t="s">
        <v>8256</v>
      </c>
      <c r="D1731" s="124" t="s">
        <v>8257</v>
      </c>
      <c r="E1731" s="125"/>
      <c r="F1731" s="118" t="s">
        <v>433</v>
      </c>
      <c r="G1731" s="126" t="s">
        <v>7861</v>
      </c>
      <c r="H1731" s="255">
        <v>6</v>
      </c>
      <c r="I1731" s="361">
        <v>1</v>
      </c>
      <c r="J1731" s="362" t="s">
        <v>286</v>
      </c>
      <c r="K1731" s="363"/>
      <c r="L1731" s="129"/>
      <c r="M1731" s="129"/>
      <c r="N1731" s="129"/>
      <c r="O1731" s="129"/>
      <c r="P1731" s="364"/>
      <c r="Q1731" s="364"/>
      <c r="R1731" s="129"/>
      <c r="S1731" s="129"/>
      <c r="T1731" s="129"/>
      <c r="W1731" s="129" t="s">
        <v>286</v>
      </c>
      <c r="X1731" s="337" t="b">
        <f t="shared" si="60"/>
        <v>1</v>
      </c>
    </row>
    <row r="1732" spans="1:24" s="337" customFormat="1" ht="12" customHeight="1" outlineLevel="1">
      <c r="A1732" s="335"/>
      <c r="B1732" s="118" t="s">
        <v>12</v>
      </c>
      <c r="C1732" s="334" t="s">
        <v>8258</v>
      </c>
      <c r="D1732" s="124" t="s">
        <v>8259</v>
      </c>
      <c r="E1732" s="125"/>
      <c r="F1732" s="118" t="s">
        <v>433</v>
      </c>
      <c r="G1732" s="126" t="s">
        <v>7861</v>
      </c>
      <c r="H1732" s="255">
        <v>6</v>
      </c>
      <c r="I1732" s="361">
        <v>1</v>
      </c>
      <c r="J1732" s="362" t="s">
        <v>286</v>
      </c>
      <c r="K1732" s="363"/>
      <c r="L1732" s="129"/>
      <c r="M1732" s="129"/>
      <c r="N1732" s="129"/>
      <c r="O1732" s="129"/>
      <c r="P1732" s="364"/>
      <c r="Q1732" s="364"/>
      <c r="R1732" s="129"/>
      <c r="S1732" s="129"/>
      <c r="T1732" s="129"/>
      <c r="W1732" s="129" t="s">
        <v>286</v>
      </c>
      <c r="X1732" s="337" t="b">
        <f t="shared" si="60"/>
        <v>1</v>
      </c>
    </row>
    <row r="1733" spans="1:24" s="337" customFormat="1" ht="12" customHeight="1" outlineLevel="1">
      <c r="A1733" s="335"/>
      <c r="B1733" s="118" t="s">
        <v>12</v>
      </c>
      <c r="C1733" s="334" t="s">
        <v>8260</v>
      </c>
      <c r="D1733" s="124" t="s">
        <v>8261</v>
      </c>
      <c r="E1733" s="125"/>
      <c r="F1733" s="118" t="s">
        <v>433</v>
      </c>
      <c r="G1733" s="126" t="s">
        <v>7861</v>
      </c>
      <c r="H1733" s="255">
        <v>6</v>
      </c>
      <c r="I1733" s="361">
        <v>1</v>
      </c>
      <c r="J1733" s="362" t="s">
        <v>286</v>
      </c>
      <c r="K1733" s="363"/>
      <c r="L1733" s="129"/>
      <c r="M1733" s="129"/>
      <c r="N1733" s="129"/>
      <c r="O1733" s="129"/>
      <c r="P1733" s="364"/>
      <c r="Q1733" s="364"/>
      <c r="R1733" s="129"/>
      <c r="S1733" s="129"/>
      <c r="T1733" s="129"/>
      <c r="W1733" s="129" t="s">
        <v>286</v>
      </c>
      <c r="X1733" s="337" t="b">
        <f t="shared" si="60"/>
        <v>1</v>
      </c>
    </row>
    <row r="1734" spans="1:24" s="337" customFormat="1" ht="12" customHeight="1" outlineLevel="1">
      <c r="A1734" s="335"/>
      <c r="B1734" s="118" t="s">
        <v>12</v>
      </c>
      <c r="C1734" s="334" t="s">
        <v>8262</v>
      </c>
      <c r="D1734" s="124" t="s">
        <v>8263</v>
      </c>
      <c r="E1734" s="125"/>
      <c r="F1734" s="118" t="s">
        <v>433</v>
      </c>
      <c r="G1734" s="126" t="s">
        <v>7861</v>
      </c>
      <c r="H1734" s="255">
        <v>6</v>
      </c>
      <c r="I1734" s="361">
        <v>1</v>
      </c>
      <c r="J1734" s="362" t="s">
        <v>286</v>
      </c>
      <c r="K1734" s="363"/>
      <c r="L1734" s="129"/>
      <c r="M1734" s="129"/>
      <c r="N1734" s="129"/>
      <c r="O1734" s="129"/>
      <c r="P1734" s="364"/>
      <c r="Q1734" s="364"/>
      <c r="R1734" s="129"/>
      <c r="S1734" s="129"/>
      <c r="T1734" s="129"/>
      <c r="W1734" s="129" t="s">
        <v>286</v>
      </c>
      <c r="X1734" s="337" t="b">
        <f t="shared" si="60"/>
        <v>1</v>
      </c>
    </row>
    <row r="1735" spans="1:24" s="337" customFormat="1" ht="12" customHeight="1" outlineLevel="1">
      <c r="A1735" s="335"/>
      <c r="B1735" s="118" t="s">
        <v>12</v>
      </c>
      <c r="C1735" s="334" t="s">
        <v>8264</v>
      </c>
      <c r="D1735" s="124" t="s">
        <v>8265</v>
      </c>
      <c r="E1735" s="125"/>
      <c r="F1735" s="118" t="s">
        <v>433</v>
      </c>
      <c r="G1735" s="126" t="s">
        <v>7861</v>
      </c>
      <c r="H1735" s="255">
        <v>6</v>
      </c>
      <c r="I1735" s="361">
        <v>1</v>
      </c>
      <c r="J1735" s="362" t="s">
        <v>286</v>
      </c>
      <c r="K1735" s="363"/>
      <c r="L1735" s="129"/>
      <c r="M1735" s="129"/>
      <c r="N1735" s="129"/>
      <c r="O1735" s="129"/>
      <c r="P1735" s="364"/>
      <c r="Q1735" s="364"/>
      <c r="R1735" s="129"/>
      <c r="S1735" s="129"/>
      <c r="T1735" s="129"/>
      <c r="W1735" s="129" t="s">
        <v>4876</v>
      </c>
      <c r="X1735" s="337" t="b">
        <f t="shared" si="60"/>
        <v>0</v>
      </c>
    </row>
    <row r="1736" spans="1:24" s="337" customFormat="1" ht="12" customHeight="1" outlineLevel="1">
      <c r="A1736" s="335"/>
      <c r="B1736" s="118" t="s">
        <v>12</v>
      </c>
      <c r="C1736" s="334" t="s">
        <v>8266</v>
      </c>
      <c r="D1736" s="124" t="s">
        <v>8267</v>
      </c>
      <c r="E1736" s="125"/>
      <c r="F1736" s="118" t="s">
        <v>433</v>
      </c>
      <c r="G1736" s="126" t="s">
        <v>7857</v>
      </c>
      <c r="H1736" s="255">
        <v>8</v>
      </c>
      <c r="I1736" s="361">
        <v>1</v>
      </c>
      <c r="J1736" s="362" t="s">
        <v>286</v>
      </c>
      <c r="K1736" s="363"/>
      <c r="L1736" s="129"/>
      <c r="M1736" s="129"/>
      <c r="N1736" s="129"/>
      <c r="O1736" s="129"/>
      <c r="P1736" s="364"/>
      <c r="Q1736" s="364"/>
      <c r="R1736" s="129"/>
      <c r="S1736" s="129"/>
      <c r="T1736" s="129"/>
      <c r="W1736" s="129" t="s">
        <v>286</v>
      </c>
      <c r="X1736" s="337" t="b">
        <f t="shared" si="60"/>
        <v>1</v>
      </c>
    </row>
    <row r="1737" spans="1:24" s="337" customFormat="1" ht="12" customHeight="1" outlineLevel="1">
      <c r="A1737" s="335"/>
      <c r="B1737" s="118" t="s">
        <v>12</v>
      </c>
      <c r="C1737" s="334" t="s">
        <v>8268</v>
      </c>
      <c r="D1737" s="124" t="s">
        <v>8269</v>
      </c>
      <c r="E1737" s="125"/>
      <c r="F1737" s="118" t="s">
        <v>433</v>
      </c>
      <c r="G1737" s="126" t="s">
        <v>7857</v>
      </c>
      <c r="H1737" s="255">
        <v>8</v>
      </c>
      <c r="I1737" s="361">
        <v>1</v>
      </c>
      <c r="J1737" s="362" t="s">
        <v>286</v>
      </c>
      <c r="K1737" s="363"/>
      <c r="L1737" s="129"/>
      <c r="M1737" s="129"/>
      <c r="N1737" s="129"/>
      <c r="O1737" s="129"/>
      <c r="P1737" s="364"/>
      <c r="Q1737" s="364"/>
      <c r="R1737" s="129"/>
      <c r="S1737" s="129"/>
      <c r="T1737" s="129"/>
      <c r="W1737" s="129" t="s">
        <v>286</v>
      </c>
      <c r="X1737" s="337" t="b">
        <f t="shared" si="60"/>
        <v>1</v>
      </c>
    </row>
    <row r="1738" spans="1:24" s="337" customFormat="1" ht="12" customHeight="1" outlineLevel="1">
      <c r="A1738" s="335"/>
      <c r="B1738" s="118" t="s">
        <v>12</v>
      </c>
      <c r="C1738" s="334" t="s">
        <v>8270</v>
      </c>
      <c r="D1738" s="124" t="s">
        <v>8271</v>
      </c>
      <c r="E1738" s="125"/>
      <c r="F1738" s="118" t="s">
        <v>433</v>
      </c>
      <c r="G1738" s="126" t="s">
        <v>7857</v>
      </c>
      <c r="H1738" s="255">
        <v>8</v>
      </c>
      <c r="I1738" s="361">
        <v>1</v>
      </c>
      <c r="J1738" s="362" t="s">
        <v>286</v>
      </c>
      <c r="K1738" s="363"/>
      <c r="L1738" s="129"/>
      <c r="M1738" s="129"/>
      <c r="N1738" s="129"/>
      <c r="O1738" s="129"/>
      <c r="P1738" s="364"/>
      <c r="Q1738" s="364"/>
      <c r="R1738" s="129"/>
      <c r="S1738" s="129"/>
      <c r="T1738" s="129"/>
      <c r="W1738" s="129" t="s">
        <v>286</v>
      </c>
      <c r="X1738" s="337" t="b">
        <f t="shared" si="60"/>
        <v>1</v>
      </c>
    </row>
    <row r="1739" spans="1:24" s="337" customFormat="1" ht="12" customHeight="1" outlineLevel="1">
      <c r="A1739" s="335"/>
      <c r="B1739" s="118" t="s">
        <v>12</v>
      </c>
      <c r="C1739" s="334" t="s">
        <v>8272</v>
      </c>
      <c r="D1739" s="124" t="s">
        <v>8273</v>
      </c>
      <c r="E1739" s="125"/>
      <c r="F1739" s="118" t="s">
        <v>433</v>
      </c>
      <c r="G1739" s="126" t="s">
        <v>7857</v>
      </c>
      <c r="H1739" s="255">
        <v>8</v>
      </c>
      <c r="I1739" s="361">
        <v>1</v>
      </c>
      <c r="J1739" s="362" t="s">
        <v>286</v>
      </c>
      <c r="K1739" s="363"/>
      <c r="L1739" s="129"/>
      <c r="M1739" s="129"/>
      <c r="N1739" s="129"/>
      <c r="O1739" s="129"/>
      <c r="P1739" s="364"/>
      <c r="Q1739" s="364"/>
      <c r="R1739" s="129"/>
      <c r="S1739" s="129"/>
      <c r="T1739" s="129"/>
      <c r="W1739" s="129" t="s">
        <v>286</v>
      </c>
      <c r="X1739" s="337" t="b">
        <f t="shared" si="60"/>
        <v>1</v>
      </c>
    </row>
    <row r="1740" spans="1:24" s="337" customFormat="1" ht="12" customHeight="1" outlineLevel="1">
      <c r="A1740" s="335"/>
      <c r="B1740" s="118" t="s">
        <v>12</v>
      </c>
      <c r="C1740" s="334" t="s">
        <v>8274</v>
      </c>
      <c r="D1740" s="124" t="s">
        <v>8275</v>
      </c>
      <c r="E1740" s="125"/>
      <c r="F1740" s="118" t="s">
        <v>433</v>
      </c>
      <c r="G1740" s="126" t="s">
        <v>7857</v>
      </c>
      <c r="H1740" s="255">
        <v>8</v>
      </c>
      <c r="I1740" s="361">
        <v>1</v>
      </c>
      <c r="J1740" s="362" t="s">
        <v>286</v>
      </c>
      <c r="K1740" s="363"/>
      <c r="L1740" s="129"/>
      <c r="M1740" s="129"/>
      <c r="N1740" s="129"/>
      <c r="O1740" s="129"/>
      <c r="P1740" s="364"/>
      <c r="Q1740" s="364"/>
      <c r="R1740" s="129"/>
      <c r="S1740" s="129"/>
      <c r="T1740" s="129"/>
      <c r="W1740" s="129" t="s">
        <v>286</v>
      </c>
      <c r="X1740" s="337" t="b">
        <f t="shared" si="60"/>
        <v>1</v>
      </c>
    </row>
    <row r="1741" spans="1:24" s="337" customFormat="1" ht="12" customHeight="1" outlineLevel="1">
      <c r="A1741" s="335"/>
      <c r="B1741" s="118" t="s">
        <v>12</v>
      </c>
      <c r="C1741" s="334" t="s">
        <v>8276</v>
      </c>
      <c r="D1741" s="124" t="s">
        <v>8277</v>
      </c>
      <c r="E1741" s="125"/>
      <c r="F1741" s="118" t="s">
        <v>433</v>
      </c>
      <c r="G1741" s="126" t="s">
        <v>7857</v>
      </c>
      <c r="H1741" s="255">
        <v>8</v>
      </c>
      <c r="I1741" s="361">
        <v>1</v>
      </c>
      <c r="J1741" s="362" t="s">
        <v>286</v>
      </c>
      <c r="K1741" s="363"/>
      <c r="L1741" s="129"/>
      <c r="M1741" s="129"/>
      <c r="N1741" s="129"/>
      <c r="O1741" s="129"/>
      <c r="P1741" s="364"/>
      <c r="Q1741" s="364"/>
      <c r="R1741" s="129"/>
      <c r="S1741" s="129"/>
      <c r="T1741" s="129"/>
      <c r="W1741" s="129" t="s">
        <v>286</v>
      </c>
      <c r="X1741" s="337" t="b">
        <f t="shared" si="60"/>
        <v>1</v>
      </c>
    </row>
    <row r="1742" spans="1:24" s="337" customFormat="1" ht="12" customHeight="1" outlineLevel="1">
      <c r="A1742" s="335"/>
      <c r="B1742" s="118" t="s">
        <v>12</v>
      </c>
      <c r="C1742" s="334" t="s">
        <v>8278</v>
      </c>
      <c r="D1742" s="124" t="s">
        <v>8279</v>
      </c>
      <c r="E1742" s="125"/>
      <c r="F1742" s="118" t="s">
        <v>433</v>
      </c>
      <c r="G1742" s="126" t="s">
        <v>7857</v>
      </c>
      <c r="H1742" s="255">
        <v>8</v>
      </c>
      <c r="I1742" s="361">
        <v>1</v>
      </c>
      <c r="J1742" s="362" t="s">
        <v>286</v>
      </c>
      <c r="K1742" s="363"/>
      <c r="L1742" s="129"/>
      <c r="M1742" s="129"/>
      <c r="N1742" s="129"/>
      <c r="O1742" s="129"/>
      <c r="P1742" s="364"/>
      <c r="Q1742" s="364"/>
      <c r="R1742" s="129"/>
      <c r="S1742" s="129"/>
      <c r="T1742" s="129"/>
      <c r="W1742" s="129" t="s">
        <v>286</v>
      </c>
      <c r="X1742" s="337" t="b">
        <f t="shared" si="60"/>
        <v>1</v>
      </c>
    </row>
    <row r="1743" spans="1:24" s="337" customFormat="1" ht="12" customHeight="1" outlineLevel="1">
      <c r="A1743" s="335"/>
      <c r="B1743" s="118" t="s">
        <v>12</v>
      </c>
      <c r="C1743" s="334" t="s">
        <v>8280</v>
      </c>
      <c r="D1743" s="124" t="s">
        <v>8281</v>
      </c>
      <c r="E1743" s="125"/>
      <c r="F1743" s="118" t="s">
        <v>433</v>
      </c>
      <c r="G1743" s="126" t="s">
        <v>7857</v>
      </c>
      <c r="H1743" s="255">
        <v>8</v>
      </c>
      <c r="I1743" s="361">
        <v>1</v>
      </c>
      <c r="J1743" s="362" t="s">
        <v>286</v>
      </c>
      <c r="K1743" s="363"/>
      <c r="L1743" s="129"/>
      <c r="M1743" s="129"/>
      <c r="N1743" s="129"/>
      <c r="O1743" s="129"/>
      <c r="P1743" s="364"/>
      <c r="Q1743" s="364"/>
      <c r="R1743" s="129"/>
      <c r="S1743" s="129"/>
      <c r="T1743" s="129"/>
      <c r="W1743" s="129" t="s">
        <v>286</v>
      </c>
      <c r="X1743" s="337" t="b">
        <f t="shared" si="60"/>
        <v>1</v>
      </c>
    </row>
    <row r="1744" spans="1:24" s="337" customFormat="1" ht="12" customHeight="1" outlineLevel="1">
      <c r="A1744" s="335"/>
      <c r="B1744" s="118" t="s">
        <v>12</v>
      </c>
      <c r="C1744" s="334" t="s">
        <v>8282</v>
      </c>
      <c r="D1744" s="124" t="s">
        <v>8283</v>
      </c>
      <c r="E1744" s="125"/>
      <c r="F1744" s="118" t="s">
        <v>433</v>
      </c>
      <c r="G1744" s="126" t="s">
        <v>7857</v>
      </c>
      <c r="H1744" s="255">
        <v>8</v>
      </c>
      <c r="I1744" s="361">
        <v>1</v>
      </c>
      <c r="J1744" s="362" t="s">
        <v>286</v>
      </c>
      <c r="K1744" s="363"/>
      <c r="L1744" s="129"/>
      <c r="M1744" s="129"/>
      <c r="N1744" s="129"/>
      <c r="O1744" s="129"/>
      <c r="P1744" s="364"/>
      <c r="Q1744" s="364"/>
      <c r="R1744" s="129"/>
      <c r="S1744" s="129"/>
      <c r="T1744" s="129"/>
      <c r="W1744" s="129" t="s">
        <v>286</v>
      </c>
      <c r="X1744" s="337" t="b">
        <f t="shared" si="60"/>
        <v>1</v>
      </c>
    </row>
    <row r="1745" spans="1:24" s="337" customFormat="1" ht="12" customHeight="1" outlineLevel="1">
      <c r="A1745" s="335"/>
      <c r="B1745" s="118" t="s">
        <v>12</v>
      </c>
      <c r="C1745" s="334" t="s">
        <v>8284</v>
      </c>
      <c r="D1745" s="124" t="s">
        <v>8285</v>
      </c>
      <c r="E1745" s="125"/>
      <c r="F1745" s="118" t="s">
        <v>433</v>
      </c>
      <c r="G1745" s="126" t="s">
        <v>7857</v>
      </c>
      <c r="H1745" s="255">
        <v>8</v>
      </c>
      <c r="I1745" s="361">
        <v>1</v>
      </c>
      <c r="J1745" s="362" t="s">
        <v>286</v>
      </c>
      <c r="K1745" s="363"/>
      <c r="L1745" s="129"/>
      <c r="M1745" s="129"/>
      <c r="N1745" s="129"/>
      <c r="O1745" s="129"/>
      <c r="P1745" s="364"/>
      <c r="Q1745" s="364"/>
      <c r="R1745" s="129"/>
      <c r="S1745" s="129"/>
      <c r="T1745" s="129"/>
      <c r="W1745" s="129" t="s">
        <v>286</v>
      </c>
      <c r="X1745" s="337" t="b">
        <f t="shared" si="60"/>
        <v>1</v>
      </c>
    </row>
    <row r="1746" spans="1:24" s="337" customFormat="1" ht="12" customHeight="1" outlineLevel="1">
      <c r="A1746" s="335"/>
      <c r="B1746" s="118" t="s">
        <v>12</v>
      </c>
      <c r="C1746" s="334" t="s">
        <v>8286</v>
      </c>
      <c r="D1746" s="124" t="s">
        <v>8287</v>
      </c>
      <c r="E1746" s="125"/>
      <c r="F1746" s="118" t="s">
        <v>433</v>
      </c>
      <c r="G1746" s="126" t="s">
        <v>7857</v>
      </c>
      <c r="H1746" s="255">
        <v>8</v>
      </c>
      <c r="I1746" s="361">
        <v>1</v>
      </c>
      <c r="J1746" s="362" t="s">
        <v>286</v>
      </c>
      <c r="K1746" s="363"/>
      <c r="L1746" s="129"/>
      <c r="M1746" s="129"/>
      <c r="N1746" s="129"/>
      <c r="O1746" s="129"/>
      <c r="P1746" s="364"/>
      <c r="Q1746" s="364"/>
      <c r="R1746" s="129"/>
      <c r="S1746" s="129"/>
      <c r="T1746" s="129"/>
      <c r="W1746" s="129" t="s">
        <v>286</v>
      </c>
      <c r="X1746" s="337" t="b">
        <f t="shared" si="60"/>
        <v>1</v>
      </c>
    </row>
    <row r="1747" spans="1:24" s="337" customFormat="1" ht="12" customHeight="1" outlineLevel="1">
      <c r="A1747" s="335"/>
      <c r="B1747" s="118" t="s">
        <v>12</v>
      </c>
      <c r="C1747" s="334" t="s">
        <v>8288</v>
      </c>
      <c r="D1747" s="124" t="s">
        <v>8289</v>
      </c>
      <c r="E1747" s="125"/>
      <c r="F1747" s="118" t="s">
        <v>433</v>
      </c>
      <c r="G1747" s="126" t="s">
        <v>7857</v>
      </c>
      <c r="H1747" s="255">
        <v>8</v>
      </c>
      <c r="I1747" s="361">
        <v>1</v>
      </c>
      <c r="J1747" s="362" t="s">
        <v>286</v>
      </c>
      <c r="K1747" s="363"/>
      <c r="L1747" s="129"/>
      <c r="M1747" s="129"/>
      <c r="N1747" s="129"/>
      <c r="O1747" s="129"/>
      <c r="P1747" s="364"/>
      <c r="Q1747" s="364"/>
      <c r="R1747" s="129"/>
      <c r="S1747" s="129"/>
      <c r="T1747" s="129"/>
      <c r="W1747" s="129" t="s">
        <v>286</v>
      </c>
      <c r="X1747" s="337" t="b">
        <f t="shared" si="60"/>
        <v>1</v>
      </c>
    </row>
    <row r="1748" spans="1:24" s="337" customFormat="1" ht="12" customHeight="1" outlineLevel="1">
      <c r="A1748" s="335"/>
      <c r="B1748" s="118" t="s">
        <v>12</v>
      </c>
      <c r="C1748" s="334" t="s">
        <v>8290</v>
      </c>
      <c r="D1748" s="124" t="s">
        <v>8291</v>
      </c>
      <c r="E1748" s="125"/>
      <c r="F1748" s="118" t="s">
        <v>433</v>
      </c>
      <c r="G1748" s="126" t="s">
        <v>7857</v>
      </c>
      <c r="H1748" s="255">
        <v>8</v>
      </c>
      <c r="I1748" s="361">
        <v>1</v>
      </c>
      <c r="J1748" s="362" t="s">
        <v>286</v>
      </c>
      <c r="K1748" s="363"/>
      <c r="L1748" s="129"/>
      <c r="M1748" s="129"/>
      <c r="N1748" s="129"/>
      <c r="O1748" s="129"/>
      <c r="P1748" s="364"/>
      <c r="Q1748" s="364"/>
      <c r="R1748" s="129"/>
      <c r="S1748" s="129"/>
      <c r="T1748" s="129"/>
      <c r="W1748" s="129" t="s">
        <v>286</v>
      </c>
      <c r="X1748" s="337" t="b">
        <f t="shared" si="60"/>
        <v>1</v>
      </c>
    </row>
    <row r="1749" spans="1:24" s="337" customFormat="1" ht="12" customHeight="1" outlineLevel="1">
      <c r="A1749" s="335"/>
      <c r="B1749" s="118" t="s">
        <v>12</v>
      </c>
      <c r="C1749" s="334" t="s">
        <v>8292</v>
      </c>
      <c r="D1749" s="124" t="s">
        <v>8293</v>
      </c>
      <c r="E1749" s="125"/>
      <c r="F1749" s="118" t="s">
        <v>433</v>
      </c>
      <c r="G1749" s="126" t="s">
        <v>7857</v>
      </c>
      <c r="H1749" s="255">
        <v>8</v>
      </c>
      <c r="I1749" s="361">
        <v>1</v>
      </c>
      <c r="J1749" s="362" t="s">
        <v>286</v>
      </c>
      <c r="K1749" s="363"/>
      <c r="L1749" s="129"/>
      <c r="M1749" s="129"/>
      <c r="N1749" s="129"/>
      <c r="O1749" s="129"/>
      <c r="P1749" s="364"/>
      <c r="Q1749" s="364"/>
      <c r="R1749" s="129"/>
      <c r="S1749" s="129"/>
      <c r="T1749" s="129"/>
      <c r="W1749" s="129" t="s">
        <v>286</v>
      </c>
      <c r="X1749" s="337" t="b">
        <f t="shared" si="60"/>
        <v>1</v>
      </c>
    </row>
    <row r="1750" spans="1:24" s="337" customFormat="1" ht="12" customHeight="1" outlineLevel="1">
      <c r="A1750" s="335"/>
      <c r="B1750" s="118" t="s">
        <v>12</v>
      </c>
      <c r="C1750" s="334" t="s">
        <v>8294</v>
      </c>
      <c r="D1750" s="124" t="s">
        <v>8295</v>
      </c>
      <c r="E1750" s="125"/>
      <c r="F1750" s="118" t="s">
        <v>433</v>
      </c>
      <c r="G1750" s="126" t="s">
        <v>7857</v>
      </c>
      <c r="H1750" s="255">
        <v>8</v>
      </c>
      <c r="I1750" s="361">
        <v>1</v>
      </c>
      <c r="J1750" s="362" t="s">
        <v>286</v>
      </c>
      <c r="K1750" s="363"/>
      <c r="L1750" s="129"/>
      <c r="M1750" s="129"/>
      <c r="N1750" s="129"/>
      <c r="O1750" s="129"/>
      <c r="P1750" s="364"/>
      <c r="Q1750" s="364"/>
      <c r="R1750" s="129"/>
      <c r="S1750" s="129"/>
      <c r="T1750" s="129"/>
      <c r="W1750" s="129" t="s">
        <v>286</v>
      </c>
      <c r="X1750" s="337" t="b">
        <f t="shared" si="60"/>
        <v>1</v>
      </c>
    </row>
    <row r="1751" spans="1:24" s="337" customFormat="1" ht="12" customHeight="1" outlineLevel="1">
      <c r="A1751" s="335"/>
      <c r="B1751" s="118" t="s">
        <v>12</v>
      </c>
      <c r="C1751" s="334" t="s">
        <v>8296</v>
      </c>
      <c r="D1751" s="124" t="s">
        <v>8297</v>
      </c>
      <c r="E1751" s="125"/>
      <c r="F1751" s="118" t="s">
        <v>433</v>
      </c>
      <c r="G1751" s="126" t="s">
        <v>7857</v>
      </c>
      <c r="H1751" s="255">
        <v>8</v>
      </c>
      <c r="I1751" s="361">
        <v>1</v>
      </c>
      <c r="J1751" s="362" t="s">
        <v>286</v>
      </c>
      <c r="K1751" s="363"/>
      <c r="L1751" s="129"/>
      <c r="M1751" s="129"/>
      <c r="N1751" s="129"/>
      <c r="O1751" s="129"/>
      <c r="P1751" s="364"/>
      <c r="Q1751" s="364"/>
      <c r="R1751" s="129"/>
      <c r="S1751" s="129"/>
      <c r="T1751" s="129"/>
      <c r="W1751" s="129" t="s">
        <v>286</v>
      </c>
      <c r="X1751" s="337" t="b">
        <f t="shared" si="60"/>
        <v>1</v>
      </c>
    </row>
    <row r="1752" spans="1:24" s="337" customFormat="1" ht="12" customHeight="1" outlineLevel="1">
      <c r="A1752" s="335"/>
      <c r="B1752" s="118" t="s">
        <v>12</v>
      </c>
      <c r="C1752" s="334" t="s">
        <v>8298</v>
      </c>
      <c r="D1752" s="124" t="s">
        <v>8299</v>
      </c>
      <c r="E1752" s="125"/>
      <c r="F1752" s="118" t="s">
        <v>433</v>
      </c>
      <c r="G1752" s="126" t="s">
        <v>7857</v>
      </c>
      <c r="H1752" s="255">
        <v>8</v>
      </c>
      <c r="I1752" s="361">
        <v>1</v>
      </c>
      <c r="J1752" s="362" t="s">
        <v>286</v>
      </c>
      <c r="K1752" s="363"/>
      <c r="L1752" s="129"/>
      <c r="M1752" s="129"/>
      <c r="N1752" s="129"/>
      <c r="O1752" s="129"/>
      <c r="P1752" s="364"/>
      <c r="Q1752" s="364"/>
      <c r="R1752" s="129"/>
      <c r="S1752" s="129"/>
      <c r="T1752" s="129"/>
      <c r="W1752" s="129" t="s">
        <v>286</v>
      </c>
      <c r="X1752" s="337" t="b">
        <f t="shared" si="60"/>
        <v>1</v>
      </c>
    </row>
    <row r="1753" spans="1:24" s="337" customFormat="1" ht="12" customHeight="1" outlineLevel="1">
      <c r="A1753" s="335"/>
      <c r="B1753" s="118" t="s">
        <v>12</v>
      </c>
      <c r="C1753" s="334" t="s">
        <v>8300</v>
      </c>
      <c r="D1753" s="124" t="s">
        <v>8301</v>
      </c>
      <c r="E1753" s="125"/>
      <c r="F1753" s="118" t="s">
        <v>433</v>
      </c>
      <c r="G1753" s="126" t="s">
        <v>7857</v>
      </c>
      <c r="H1753" s="255">
        <v>8</v>
      </c>
      <c r="I1753" s="361">
        <v>1</v>
      </c>
      <c r="J1753" s="362" t="s">
        <v>286</v>
      </c>
      <c r="K1753" s="363"/>
      <c r="L1753" s="129"/>
      <c r="M1753" s="129"/>
      <c r="N1753" s="129"/>
      <c r="O1753" s="129"/>
      <c r="P1753" s="364"/>
      <c r="Q1753" s="364"/>
      <c r="R1753" s="129"/>
      <c r="S1753" s="129"/>
      <c r="T1753" s="129"/>
      <c r="W1753" s="129" t="s">
        <v>286</v>
      </c>
      <c r="X1753" s="337" t="b">
        <f t="shared" si="60"/>
        <v>1</v>
      </c>
    </row>
    <row r="1754" spans="1:24" s="337" customFormat="1" ht="12" customHeight="1" outlineLevel="1">
      <c r="A1754" s="335"/>
      <c r="B1754" s="118" t="s">
        <v>12</v>
      </c>
      <c r="C1754" s="334" t="s">
        <v>8302</v>
      </c>
      <c r="D1754" s="124" t="s">
        <v>8303</v>
      </c>
      <c r="E1754" s="125"/>
      <c r="F1754" s="118" t="s">
        <v>433</v>
      </c>
      <c r="G1754" s="126" t="s">
        <v>7857</v>
      </c>
      <c r="H1754" s="255">
        <v>8</v>
      </c>
      <c r="I1754" s="361">
        <v>1</v>
      </c>
      <c r="J1754" s="362" t="s">
        <v>286</v>
      </c>
      <c r="K1754" s="363"/>
      <c r="L1754" s="129"/>
      <c r="M1754" s="129"/>
      <c r="N1754" s="129"/>
      <c r="O1754" s="129"/>
      <c r="P1754" s="364"/>
      <c r="Q1754" s="364"/>
      <c r="R1754" s="129"/>
      <c r="S1754" s="129"/>
      <c r="T1754" s="129"/>
      <c r="W1754" s="129" t="s">
        <v>286</v>
      </c>
      <c r="X1754" s="337" t="b">
        <f t="shared" si="60"/>
        <v>1</v>
      </c>
    </row>
    <row r="1755" spans="1:24" s="337" customFormat="1" ht="12" customHeight="1" outlineLevel="1">
      <c r="A1755" s="335"/>
      <c r="B1755" s="118" t="s">
        <v>12</v>
      </c>
      <c r="C1755" s="334" t="s">
        <v>8304</v>
      </c>
      <c r="D1755" s="124" t="s">
        <v>8305</v>
      </c>
      <c r="E1755" s="125"/>
      <c r="F1755" s="118" t="s">
        <v>433</v>
      </c>
      <c r="G1755" s="126" t="s">
        <v>7857</v>
      </c>
      <c r="H1755" s="255">
        <v>8</v>
      </c>
      <c r="I1755" s="361">
        <v>1</v>
      </c>
      <c r="J1755" s="362" t="s">
        <v>286</v>
      </c>
      <c r="K1755" s="363"/>
      <c r="L1755" s="129"/>
      <c r="M1755" s="129"/>
      <c r="N1755" s="129"/>
      <c r="O1755" s="129"/>
      <c r="P1755" s="364"/>
      <c r="Q1755" s="364"/>
      <c r="R1755" s="129"/>
      <c r="S1755" s="129"/>
      <c r="T1755" s="129"/>
      <c r="W1755" s="129" t="s">
        <v>286</v>
      </c>
      <c r="X1755" s="337" t="b">
        <f t="shared" si="60"/>
        <v>1</v>
      </c>
    </row>
    <row r="1756" spans="1:24" s="337" customFormat="1" ht="12" customHeight="1" outlineLevel="1">
      <c r="A1756" s="335"/>
      <c r="B1756" s="118" t="s">
        <v>12</v>
      </c>
      <c r="C1756" s="334" t="s">
        <v>8306</v>
      </c>
      <c r="D1756" s="124" t="s">
        <v>8307</v>
      </c>
      <c r="E1756" s="125"/>
      <c r="F1756" s="118" t="s">
        <v>433</v>
      </c>
      <c r="G1756" s="126" t="s">
        <v>7857</v>
      </c>
      <c r="H1756" s="255">
        <v>8</v>
      </c>
      <c r="I1756" s="361">
        <v>1</v>
      </c>
      <c r="J1756" s="362" t="s">
        <v>286</v>
      </c>
      <c r="K1756" s="363"/>
      <c r="L1756" s="129"/>
      <c r="M1756" s="129"/>
      <c r="N1756" s="129"/>
      <c r="O1756" s="129"/>
      <c r="P1756" s="364"/>
      <c r="Q1756" s="364"/>
      <c r="R1756" s="129"/>
      <c r="S1756" s="129"/>
      <c r="T1756" s="129"/>
      <c r="W1756" s="129" t="s">
        <v>286</v>
      </c>
      <c r="X1756" s="337" t="b">
        <f t="shared" si="60"/>
        <v>1</v>
      </c>
    </row>
    <row r="1757" spans="1:24" s="337" customFormat="1" ht="12" customHeight="1" outlineLevel="1">
      <c r="A1757" s="335"/>
      <c r="B1757" s="118" t="s">
        <v>12</v>
      </c>
      <c r="C1757" s="334" t="s">
        <v>8308</v>
      </c>
      <c r="D1757" s="124" t="s">
        <v>8309</v>
      </c>
      <c r="E1757" s="125"/>
      <c r="F1757" s="118" t="s">
        <v>433</v>
      </c>
      <c r="G1757" s="126" t="s">
        <v>7857</v>
      </c>
      <c r="H1757" s="255">
        <v>8</v>
      </c>
      <c r="I1757" s="361">
        <v>1</v>
      </c>
      <c r="J1757" s="362" t="s">
        <v>286</v>
      </c>
      <c r="K1757" s="363"/>
      <c r="L1757" s="129"/>
      <c r="M1757" s="129"/>
      <c r="N1757" s="129"/>
      <c r="O1757" s="129"/>
      <c r="P1757" s="364"/>
      <c r="Q1757" s="364"/>
      <c r="R1757" s="129"/>
      <c r="S1757" s="129"/>
      <c r="T1757" s="129"/>
      <c r="W1757" s="129" t="s">
        <v>286</v>
      </c>
      <c r="X1757" s="337" t="b">
        <f t="shared" si="60"/>
        <v>1</v>
      </c>
    </row>
    <row r="1758" spans="1:24" s="337" customFormat="1" ht="12" customHeight="1" outlineLevel="1">
      <c r="A1758" s="335"/>
      <c r="B1758" s="118" t="s">
        <v>12</v>
      </c>
      <c r="C1758" s="334" t="s">
        <v>8310</v>
      </c>
      <c r="D1758" s="124" t="s">
        <v>8311</v>
      </c>
      <c r="E1758" s="125"/>
      <c r="F1758" s="118" t="s">
        <v>433</v>
      </c>
      <c r="G1758" s="126" t="s">
        <v>7857</v>
      </c>
      <c r="H1758" s="255">
        <v>8</v>
      </c>
      <c r="I1758" s="361">
        <v>1</v>
      </c>
      <c r="J1758" s="362" t="s">
        <v>286</v>
      </c>
      <c r="K1758" s="363"/>
      <c r="L1758" s="129"/>
      <c r="M1758" s="129"/>
      <c r="N1758" s="129"/>
      <c r="O1758" s="129"/>
      <c r="P1758" s="364"/>
      <c r="Q1758" s="364"/>
      <c r="R1758" s="129"/>
      <c r="S1758" s="129"/>
      <c r="T1758" s="129"/>
      <c r="W1758" s="129" t="s">
        <v>286</v>
      </c>
      <c r="X1758" s="337" t="b">
        <f t="shared" si="60"/>
        <v>1</v>
      </c>
    </row>
    <row r="1759" spans="1:24" s="337" customFormat="1" ht="12" customHeight="1" outlineLevel="1">
      <c r="A1759" s="335"/>
      <c r="B1759" s="118" t="s">
        <v>12</v>
      </c>
      <c r="C1759" s="334" t="s">
        <v>8312</v>
      </c>
      <c r="D1759" s="124" t="s">
        <v>8313</v>
      </c>
      <c r="E1759" s="125"/>
      <c r="F1759" s="118" t="s">
        <v>433</v>
      </c>
      <c r="G1759" s="126" t="s">
        <v>7857</v>
      </c>
      <c r="H1759" s="255">
        <v>8</v>
      </c>
      <c r="I1759" s="361">
        <v>1</v>
      </c>
      <c r="J1759" s="362" t="s">
        <v>286</v>
      </c>
      <c r="K1759" s="363"/>
      <c r="L1759" s="129"/>
      <c r="M1759" s="129"/>
      <c r="N1759" s="129"/>
      <c r="O1759" s="129"/>
      <c r="P1759" s="364"/>
      <c r="Q1759" s="364"/>
      <c r="R1759" s="129"/>
      <c r="S1759" s="129"/>
      <c r="T1759" s="129"/>
      <c r="W1759" s="129" t="s">
        <v>286</v>
      </c>
      <c r="X1759" s="337" t="b">
        <f t="shared" si="60"/>
        <v>1</v>
      </c>
    </row>
    <row r="1760" spans="1:24" s="337" customFormat="1" ht="12" customHeight="1" outlineLevel="1">
      <c r="A1760" s="335"/>
      <c r="B1760" s="118" t="s">
        <v>12</v>
      </c>
      <c r="C1760" s="334" t="s">
        <v>8314</v>
      </c>
      <c r="D1760" s="124" t="s">
        <v>8315</v>
      </c>
      <c r="E1760" s="125"/>
      <c r="F1760" s="118" t="s">
        <v>433</v>
      </c>
      <c r="G1760" s="126" t="s">
        <v>7857</v>
      </c>
      <c r="H1760" s="255">
        <v>8</v>
      </c>
      <c r="I1760" s="361">
        <v>1</v>
      </c>
      <c r="J1760" s="362" t="s">
        <v>286</v>
      </c>
      <c r="K1760" s="363"/>
      <c r="L1760" s="129"/>
      <c r="M1760" s="129"/>
      <c r="N1760" s="129"/>
      <c r="O1760" s="129"/>
      <c r="P1760" s="364"/>
      <c r="Q1760" s="364"/>
      <c r="R1760" s="129"/>
      <c r="S1760" s="129"/>
      <c r="T1760" s="129"/>
      <c r="W1760" s="129" t="s">
        <v>286</v>
      </c>
      <c r="X1760" s="337" t="b">
        <f t="shared" si="60"/>
        <v>1</v>
      </c>
    </row>
    <row r="1761" spans="1:24" s="337" customFormat="1" ht="12" customHeight="1" outlineLevel="1">
      <c r="A1761" s="335"/>
      <c r="B1761" s="118" t="s">
        <v>12</v>
      </c>
      <c r="C1761" s="334" t="s">
        <v>8316</v>
      </c>
      <c r="D1761" s="124" t="s">
        <v>8317</v>
      </c>
      <c r="E1761" s="125"/>
      <c r="F1761" s="118" t="s">
        <v>433</v>
      </c>
      <c r="G1761" s="126" t="s">
        <v>7857</v>
      </c>
      <c r="H1761" s="255">
        <v>8</v>
      </c>
      <c r="I1761" s="361">
        <v>1</v>
      </c>
      <c r="J1761" s="362" t="s">
        <v>286</v>
      </c>
      <c r="K1761" s="363"/>
      <c r="L1761" s="129"/>
      <c r="M1761" s="129"/>
      <c r="N1761" s="129"/>
      <c r="O1761" s="129"/>
      <c r="P1761" s="364"/>
      <c r="Q1761" s="364"/>
      <c r="R1761" s="129"/>
      <c r="S1761" s="129"/>
      <c r="T1761" s="129"/>
      <c r="W1761" s="129" t="s">
        <v>286</v>
      </c>
      <c r="X1761" s="337" t="b">
        <f t="shared" si="60"/>
        <v>1</v>
      </c>
    </row>
    <row r="1762" spans="1:24" s="337" customFormat="1" ht="12" customHeight="1" outlineLevel="1">
      <c r="A1762" s="335"/>
      <c r="B1762" s="118" t="s">
        <v>12</v>
      </c>
      <c r="C1762" s="334" t="s">
        <v>8318</v>
      </c>
      <c r="D1762" s="124" t="s">
        <v>8319</v>
      </c>
      <c r="E1762" s="125"/>
      <c r="F1762" s="118" t="s">
        <v>433</v>
      </c>
      <c r="G1762" s="126" t="s">
        <v>7857</v>
      </c>
      <c r="H1762" s="255">
        <v>8</v>
      </c>
      <c r="I1762" s="361">
        <v>1</v>
      </c>
      <c r="J1762" s="362" t="s">
        <v>286</v>
      </c>
      <c r="K1762" s="363"/>
      <c r="L1762" s="129"/>
      <c r="M1762" s="129"/>
      <c r="N1762" s="129"/>
      <c r="O1762" s="129"/>
      <c r="P1762" s="364"/>
      <c r="Q1762" s="364"/>
      <c r="R1762" s="129"/>
      <c r="S1762" s="129"/>
      <c r="T1762" s="129"/>
      <c r="W1762" s="129" t="s">
        <v>286</v>
      </c>
      <c r="X1762" s="337" t="b">
        <f t="shared" si="60"/>
        <v>1</v>
      </c>
    </row>
    <row r="1763" spans="1:24" s="337" customFormat="1" ht="12" customHeight="1" outlineLevel="1">
      <c r="A1763" s="335"/>
      <c r="B1763" s="118" t="s">
        <v>12</v>
      </c>
      <c r="C1763" s="334" t="s">
        <v>8320</v>
      </c>
      <c r="D1763" s="124" t="s">
        <v>8321</v>
      </c>
      <c r="E1763" s="125"/>
      <c r="F1763" s="118" t="s">
        <v>433</v>
      </c>
      <c r="G1763" s="126" t="s">
        <v>7857</v>
      </c>
      <c r="H1763" s="255">
        <v>8</v>
      </c>
      <c r="I1763" s="361">
        <v>1</v>
      </c>
      <c r="J1763" s="362" t="s">
        <v>286</v>
      </c>
      <c r="K1763" s="363"/>
      <c r="L1763" s="129"/>
      <c r="M1763" s="129"/>
      <c r="N1763" s="129"/>
      <c r="O1763" s="129"/>
      <c r="P1763" s="364"/>
      <c r="Q1763" s="364"/>
      <c r="R1763" s="129"/>
      <c r="S1763" s="129"/>
      <c r="T1763" s="129"/>
      <c r="W1763" s="129" t="s">
        <v>286</v>
      </c>
      <c r="X1763" s="337" t="b">
        <f t="shared" si="60"/>
        <v>1</v>
      </c>
    </row>
    <row r="1764" spans="1:24" s="337" customFormat="1" ht="12" customHeight="1" outlineLevel="1">
      <c r="A1764" s="335"/>
      <c r="B1764" s="118" t="s">
        <v>12</v>
      </c>
      <c r="C1764" s="334" t="s">
        <v>8322</v>
      </c>
      <c r="D1764" s="124" t="s">
        <v>8323</v>
      </c>
      <c r="E1764" s="125"/>
      <c r="F1764" s="118" t="s">
        <v>433</v>
      </c>
      <c r="G1764" s="126" t="s">
        <v>7857</v>
      </c>
      <c r="H1764" s="255">
        <v>8</v>
      </c>
      <c r="I1764" s="361">
        <v>1</v>
      </c>
      <c r="J1764" s="362" t="s">
        <v>286</v>
      </c>
      <c r="K1764" s="363"/>
      <c r="L1764" s="129"/>
      <c r="M1764" s="129"/>
      <c r="N1764" s="129"/>
      <c r="O1764" s="129"/>
      <c r="P1764" s="364"/>
      <c r="Q1764" s="364"/>
      <c r="R1764" s="129"/>
      <c r="S1764" s="129"/>
      <c r="T1764" s="129"/>
      <c r="W1764" s="129" t="s">
        <v>286</v>
      </c>
      <c r="X1764" s="337" t="b">
        <f t="shared" si="60"/>
        <v>1</v>
      </c>
    </row>
    <row r="1765" spans="1:24" s="337" customFormat="1" ht="12" customHeight="1" outlineLevel="1">
      <c r="A1765" s="335"/>
      <c r="B1765" s="118" t="s">
        <v>12</v>
      </c>
      <c r="C1765" s="334" t="s">
        <v>8324</v>
      </c>
      <c r="D1765" s="124" t="s">
        <v>8325</v>
      </c>
      <c r="E1765" s="125"/>
      <c r="F1765" s="118" t="s">
        <v>433</v>
      </c>
      <c r="G1765" s="126" t="s">
        <v>7857</v>
      </c>
      <c r="H1765" s="255">
        <v>8</v>
      </c>
      <c r="I1765" s="361">
        <v>1</v>
      </c>
      <c r="J1765" s="362" t="s">
        <v>286</v>
      </c>
      <c r="K1765" s="363"/>
      <c r="L1765" s="129"/>
      <c r="M1765" s="129"/>
      <c r="N1765" s="129"/>
      <c r="O1765" s="129"/>
      <c r="P1765" s="364"/>
      <c r="Q1765" s="364"/>
      <c r="R1765" s="129"/>
      <c r="S1765" s="129"/>
      <c r="T1765" s="129"/>
      <c r="W1765" s="129" t="s">
        <v>286</v>
      </c>
      <c r="X1765" s="337" t="b">
        <f t="shared" si="60"/>
        <v>1</v>
      </c>
    </row>
    <row r="1766" spans="1:24" s="337" customFormat="1" ht="12" customHeight="1" outlineLevel="1">
      <c r="A1766" s="335"/>
      <c r="B1766" s="118" t="s">
        <v>12</v>
      </c>
      <c r="C1766" s="334" t="s">
        <v>8326</v>
      </c>
      <c r="D1766" s="124" t="s">
        <v>8327</v>
      </c>
      <c r="E1766" s="125"/>
      <c r="F1766" s="118" t="s">
        <v>433</v>
      </c>
      <c r="G1766" s="126" t="s">
        <v>7857</v>
      </c>
      <c r="H1766" s="255">
        <v>8</v>
      </c>
      <c r="I1766" s="361">
        <v>1</v>
      </c>
      <c r="J1766" s="362" t="s">
        <v>286</v>
      </c>
      <c r="K1766" s="363"/>
      <c r="L1766" s="129"/>
      <c r="M1766" s="129"/>
      <c r="N1766" s="129"/>
      <c r="O1766" s="129"/>
      <c r="P1766" s="364"/>
      <c r="Q1766" s="364"/>
      <c r="R1766" s="129"/>
      <c r="S1766" s="129"/>
      <c r="T1766" s="129"/>
      <c r="W1766" s="129" t="s">
        <v>286</v>
      </c>
      <c r="X1766" s="337" t="b">
        <f t="shared" si="60"/>
        <v>1</v>
      </c>
    </row>
    <row r="1767" spans="1:24" s="337" customFormat="1" ht="12" customHeight="1" outlineLevel="1">
      <c r="A1767" s="335"/>
      <c r="B1767" s="118" t="s">
        <v>12</v>
      </c>
      <c r="C1767" s="334" t="s">
        <v>8328</v>
      </c>
      <c r="D1767" s="124" t="s">
        <v>8329</v>
      </c>
      <c r="E1767" s="125"/>
      <c r="F1767" s="118" t="s">
        <v>433</v>
      </c>
      <c r="G1767" s="126" t="s">
        <v>7857</v>
      </c>
      <c r="H1767" s="255">
        <v>8</v>
      </c>
      <c r="I1767" s="361">
        <v>1</v>
      </c>
      <c r="J1767" s="362" t="s">
        <v>286</v>
      </c>
      <c r="K1767" s="363"/>
      <c r="L1767" s="129"/>
      <c r="M1767" s="129"/>
      <c r="N1767" s="129"/>
      <c r="O1767" s="129"/>
      <c r="P1767" s="364"/>
      <c r="Q1767" s="364"/>
      <c r="R1767" s="129"/>
      <c r="S1767" s="129"/>
      <c r="T1767" s="129"/>
      <c r="W1767" s="129" t="s">
        <v>286</v>
      </c>
      <c r="X1767" s="337" t="b">
        <f t="shared" si="60"/>
        <v>1</v>
      </c>
    </row>
    <row r="1768" spans="1:24" s="337" customFormat="1" ht="12" customHeight="1" outlineLevel="1">
      <c r="A1768" s="335"/>
      <c r="B1768" s="118" t="s">
        <v>12</v>
      </c>
      <c r="C1768" s="334" t="s">
        <v>8330</v>
      </c>
      <c r="D1768" s="124" t="s">
        <v>8331</v>
      </c>
      <c r="E1768" s="125"/>
      <c r="F1768" s="118" t="s">
        <v>433</v>
      </c>
      <c r="G1768" s="126" t="s">
        <v>7857</v>
      </c>
      <c r="H1768" s="255">
        <v>8</v>
      </c>
      <c r="I1768" s="361">
        <v>1</v>
      </c>
      <c r="J1768" s="362" t="s">
        <v>286</v>
      </c>
      <c r="K1768" s="363"/>
      <c r="L1768" s="129"/>
      <c r="M1768" s="129"/>
      <c r="N1768" s="129"/>
      <c r="O1768" s="129"/>
      <c r="P1768" s="364"/>
      <c r="Q1768" s="364"/>
      <c r="R1768" s="129"/>
      <c r="S1768" s="129"/>
      <c r="T1768" s="129"/>
      <c r="W1768" s="129" t="s">
        <v>286</v>
      </c>
      <c r="X1768" s="337" t="b">
        <f t="shared" si="60"/>
        <v>1</v>
      </c>
    </row>
    <row r="1769" spans="1:24" s="337" customFormat="1" ht="12" customHeight="1" outlineLevel="1">
      <c r="A1769" s="335"/>
      <c r="B1769" s="118" t="s">
        <v>12</v>
      </c>
      <c r="C1769" s="334" t="s">
        <v>8332</v>
      </c>
      <c r="D1769" s="124" t="s">
        <v>8333</v>
      </c>
      <c r="E1769" s="125"/>
      <c r="F1769" s="118" t="s">
        <v>433</v>
      </c>
      <c r="G1769" s="126" t="s">
        <v>7857</v>
      </c>
      <c r="H1769" s="255">
        <v>8</v>
      </c>
      <c r="I1769" s="361">
        <v>1</v>
      </c>
      <c r="J1769" s="362" t="s">
        <v>286</v>
      </c>
      <c r="K1769" s="363"/>
      <c r="L1769" s="129"/>
      <c r="M1769" s="129"/>
      <c r="N1769" s="129"/>
      <c r="O1769" s="129"/>
      <c r="P1769" s="364"/>
      <c r="Q1769" s="364"/>
      <c r="R1769" s="129"/>
      <c r="S1769" s="129"/>
      <c r="T1769" s="129"/>
      <c r="W1769" s="129" t="s">
        <v>286</v>
      </c>
      <c r="X1769" s="337" t="b">
        <f t="shared" si="60"/>
        <v>1</v>
      </c>
    </row>
    <row r="1770" spans="1:24" s="337" customFormat="1" ht="12" customHeight="1" outlineLevel="1">
      <c r="A1770" s="335"/>
      <c r="B1770" s="118" t="s">
        <v>12</v>
      </c>
      <c r="C1770" s="334" t="s">
        <v>8334</v>
      </c>
      <c r="D1770" s="124" t="s">
        <v>8335</v>
      </c>
      <c r="E1770" s="125"/>
      <c r="F1770" s="118" t="s">
        <v>433</v>
      </c>
      <c r="G1770" s="126" t="s">
        <v>7857</v>
      </c>
      <c r="H1770" s="255">
        <v>8</v>
      </c>
      <c r="I1770" s="361">
        <v>1</v>
      </c>
      <c r="J1770" s="362" t="s">
        <v>286</v>
      </c>
      <c r="K1770" s="363"/>
      <c r="L1770" s="129"/>
      <c r="M1770" s="129"/>
      <c r="N1770" s="129"/>
      <c r="O1770" s="129"/>
      <c r="P1770" s="364"/>
      <c r="Q1770" s="364"/>
      <c r="R1770" s="129"/>
      <c r="S1770" s="129"/>
      <c r="T1770" s="129"/>
      <c r="W1770" s="129" t="s">
        <v>286</v>
      </c>
      <c r="X1770" s="337" t="b">
        <f t="shared" si="60"/>
        <v>1</v>
      </c>
    </row>
    <row r="1771" spans="1:24" s="337" customFormat="1" ht="12" customHeight="1" outlineLevel="1">
      <c r="A1771" s="335"/>
      <c r="B1771" s="118" t="s">
        <v>12</v>
      </c>
      <c r="C1771" s="334" t="s">
        <v>8336</v>
      </c>
      <c r="D1771" s="124" t="s">
        <v>8337</v>
      </c>
      <c r="E1771" s="125"/>
      <c r="F1771" s="118" t="s">
        <v>433</v>
      </c>
      <c r="G1771" s="126" t="s">
        <v>7857</v>
      </c>
      <c r="H1771" s="255">
        <v>8</v>
      </c>
      <c r="I1771" s="361">
        <v>1</v>
      </c>
      <c r="J1771" s="362" t="s">
        <v>286</v>
      </c>
      <c r="K1771" s="363"/>
      <c r="L1771" s="129"/>
      <c r="M1771" s="129"/>
      <c r="N1771" s="129"/>
      <c r="O1771" s="129"/>
      <c r="P1771" s="364"/>
      <c r="Q1771" s="364"/>
      <c r="R1771" s="129"/>
      <c r="S1771" s="129"/>
      <c r="T1771" s="129"/>
      <c r="W1771" s="129" t="s">
        <v>286</v>
      </c>
      <c r="X1771" s="337" t="b">
        <f t="shared" si="60"/>
        <v>1</v>
      </c>
    </row>
    <row r="1772" spans="1:24" s="337" customFormat="1" ht="12" customHeight="1" outlineLevel="1">
      <c r="A1772" s="335"/>
      <c r="B1772" s="118" t="s">
        <v>12</v>
      </c>
      <c r="C1772" s="334" t="s">
        <v>8338</v>
      </c>
      <c r="D1772" s="124" t="s">
        <v>8339</v>
      </c>
      <c r="E1772" s="125"/>
      <c r="F1772" s="118" t="s">
        <v>433</v>
      </c>
      <c r="G1772" s="126" t="s">
        <v>7857</v>
      </c>
      <c r="H1772" s="255">
        <v>8</v>
      </c>
      <c r="I1772" s="361">
        <v>1</v>
      </c>
      <c r="J1772" s="362" t="s">
        <v>286</v>
      </c>
      <c r="K1772" s="363"/>
      <c r="L1772" s="129"/>
      <c r="M1772" s="129"/>
      <c r="N1772" s="129"/>
      <c r="O1772" s="129"/>
      <c r="P1772" s="364"/>
      <c r="Q1772" s="364"/>
      <c r="R1772" s="129"/>
      <c r="S1772" s="129"/>
      <c r="T1772" s="129"/>
      <c r="W1772" s="129" t="s">
        <v>286</v>
      </c>
      <c r="X1772" s="337" t="b">
        <f t="shared" si="60"/>
        <v>1</v>
      </c>
    </row>
    <row r="1773" spans="1:24" s="337" customFormat="1" ht="12" customHeight="1" outlineLevel="1">
      <c r="A1773" s="335"/>
      <c r="B1773" s="118" t="s">
        <v>12</v>
      </c>
      <c r="C1773" s="334" t="s">
        <v>8340</v>
      </c>
      <c r="D1773" s="124" t="s">
        <v>8341</v>
      </c>
      <c r="E1773" s="125"/>
      <c r="F1773" s="118" t="s">
        <v>433</v>
      </c>
      <c r="G1773" s="126" t="s">
        <v>7857</v>
      </c>
      <c r="H1773" s="255">
        <v>8</v>
      </c>
      <c r="I1773" s="361">
        <v>1</v>
      </c>
      <c r="J1773" s="362" t="s">
        <v>286</v>
      </c>
      <c r="K1773" s="363"/>
      <c r="L1773" s="129"/>
      <c r="M1773" s="129"/>
      <c r="N1773" s="129"/>
      <c r="O1773" s="129"/>
      <c r="P1773" s="364"/>
      <c r="Q1773" s="364"/>
      <c r="R1773" s="129"/>
      <c r="S1773" s="129"/>
      <c r="T1773" s="129"/>
      <c r="W1773" s="129" t="s">
        <v>286</v>
      </c>
      <c r="X1773" s="337" t="b">
        <f t="shared" si="60"/>
        <v>1</v>
      </c>
    </row>
    <row r="1774" spans="1:24" s="337" customFormat="1" ht="12" customHeight="1" outlineLevel="1">
      <c r="A1774" s="335"/>
      <c r="B1774" s="118" t="s">
        <v>12</v>
      </c>
      <c r="C1774" s="334" t="s">
        <v>8342</v>
      </c>
      <c r="D1774" s="124" t="s">
        <v>8343</v>
      </c>
      <c r="E1774" s="125"/>
      <c r="F1774" s="118" t="s">
        <v>433</v>
      </c>
      <c r="G1774" s="126" t="s">
        <v>7857</v>
      </c>
      <c r="H1774" s="255">
        <v>8</v>
      </c>
      <c r="I1774" s="361">
        <v>1</v>
      </c>
      <c r="J1774" s="362" t="s">
        <v>286</v>
      </c>
      <c r="K1774" s="363"/>
      <c r="L1774" s="129"/>
      <c r="M1774" s="129"/>
      <c r="N1774" s="129"/>
      <c r="O1774" s="129"/>
      <c r="P1774" s="364"/>
      <c r="Q1774" s="364"/>
      <c r="R1774" s="129"/>
      <c r="S1774" s="129"/>
      <c r="T1774" s="129"/>
      <c r="W1774" s="129" t="s">
        <v>286</v>
      </c>
      <c r="X1774" s="337" t="b">
        <f t="shared" si="60"/>
        <v>1</v>
      </c>
    </row>
    <row r="1775" spans="1:24" s="337" customFormat="1" ht="12" customHeight="1" outlineLevel="1">
      <c r="A1775" s="335"/>
      <c r="B1775" s="118" t="s">
        <v>12</v>
      </c>
      <c r="C1775" s="334" t="s">
        <v>8344</v>
      </c>
      <c r="D1775" s="124" t="s">
        <v>8345</v>
      </c>
      <c r="E1775" s="125"/>
      <c r="F1775" s="118" t="s">
        <v>433</v>
      </c>
      <c r="G1775" s="126" t="s">
        <v>7857</v>
      </c>
      <c r="H1775" s="255">
        <v>8</v>
      </c>
      <c r="I1775" s="361">
        <v>1</v>
      </c>
      <c r="J1775" s="362" t="s">
        <v>286</v>
      </c>
      <c r="K1775" s="363"/>
      <c r="L1775" s="129"/>
      <c r="M1775" s="129"/>
      <c r="N1775" s="129"/>
      <c r="O1775" s="129"/>
      <c r="P1775" s="364"/>
      <c r="Q1775" s="364"/>
      <c r="R1775" s="129"/>
      <c r="S1775" s="129"/>
      <c r="T1775" s="129"/>
      <c r="W1775" s="129" t="s">
        <v>286</v>
      </c>
      <c r="X1775" s="337" t="b">
        <f t="shared" si="60"/>
        <v>1</v>
      </c>
    </row>
    <row r="1776" spans="1:24" s="337" customFormat="1" ht="12" customHeight="1" outlineLevel="1">
      <c r="A1776" s="335"/>
      <c r="B1776" s="118" t="s">
        <v>12</v>
      </c>
      <c r="C1776" s="334" t="s">
        <v>8346</v>
      </c>
      <c r="D1776" s="124" t="s">
        <v>8347</v>
      </c>
      <c r="E1776" s="125"/>
      <c r="F1776" s="118" t="s">
        <v>433</v>
      </c>
      <c r="G1776" s="126" t="s">
        <v>7857</v>
      </c>
      <c r="H1776" s="255">
        <v>8</v>
      </c>
      <c r="I1776" s="361">
        <v>1</v>
      </c>
      <c r="J1776" s="362" t="s">
        <v>286</v>
      </c>
      <c r="K1776" s="363"/>
      <c r="L1776" s="129"/>
      <c r="M1776" s="129"/>
      <c r="N1776" s="129"/>
      <c r="O1776" s="129"/>
      <c r="P1776" s="364"/>
      <c r="Q1776" s="364"/>
      <c r="R1776" s="129"/>
      <c r="S1776" s="129"/>
      <c r="T1776" s="129"/>
      <c r="W1776" s="129" t="s">
        <v>286</v>
      </c>
      <c r="X1776" s="337" t="b">
        <f t="shared" si="60"/>
        <v>1</v>
      </c>
    </row>
    <row r="1777" spans="1:24" s="337" customFormat="1" ht="12" customHeight="1" outlineLevel="1">
      <c r="A1777" s="335"/>
      <c r="B1777" s="118" t="s">
        <v>12</v>
      </c>
      <c r="C1777" s="334" t="s">
        <v>8348</v>
      </c>
      <c r="D1777" s="124" t="s">
        <v>8349</v>
      </c>
      <c r="E1777" s="125"/>
      <c r="F1777" s="118" t="s">
        <v>433</v>
      </c>
      <c r="G1777" s="126" t="s">
        <v>7857</v>
      </c>
      <c r="H1777" s="255">
        <v>8</v>
      </c>
      <c r="I1777" s="361">
        <v>1</v>
      </c>
      <c r="J1777" s="362" t="s">
        <v>286</v>
      </c>
      <c r="K1777" s="363"/>
      <c r="L1777" s="129"/>
      <c r="M1777" s="129"/>
      <c r="N1777" s="129"/>
      <c r="O1777" s="129"/>
      <c r="P1777" s="364"/>
      <c r="Q1777" s="364"/>
      <c r="R1777" s="129"/>
      <c r="S1777" s="129"/>
      <c r="T1777" s="129"/>
      <c r="W1777" s="129" t="s">
        <v>286</v>
      </c>
      <c r="X1777" s="337" t="b">
        <f t="shared" si="60"/>
        <v>1</v>
      </c>
    </row>
    <row r="1778" spans="1:24" s="337" customFormat="1" ht="12" customHeight="1" outlineLevel="1">
      <c r="A1778" s="335"/>
      <c r="B1778" s="118" t="s">
        <v>12</v>
      </c>
      <c r="C1778" s="334" t="s">
        <v>8350</v>
      </c>
      <c r="D1778" s="124" t="s">
        <v>8351</v>
      </c>
      <c r="E1778" s="125"/>
      <c r="F1778" s="118" t="s">
        <v>433</v>
      </c>
      <c r="G1778" s="126" t="s">
        <v>7857</v>
      </c>
      <c r="H1778" s="255">
        <v>8</v>
      </c>
      <c r="I1778" s="361">
        <v>1</v>
      </c>
      <c r="J1778" s="362" t="s">
        <v>286</v>
      </c>
      <c r="K1778" s="363"/>
      <c r="L1778" s="129"/>
      <c r="M1778" s="129"/>
      <c r="N1778" s="129"/>
      <c r="O1778" s="129"/>
      <c r="P1778" s="364"/>
      <c r="Q1778" s="364"/>
      <c r="R1778" s="129"/>
      <c r="S1778" s="129"/>
      <c r="T1778" s="129"/>
      <c r="W1778" s="129" t="s">
        <v>286</v>
      </c>
      <c r="X1778" s="337" t="b">
        <f t="shared" si="60"/>
        <v>1</v>
      </c>
    </row>
    <row r="1779" spans="1:24" s="337" customFormat="1" ht="12" customHeight="1" outlineLevel="1">
      <c r="A1779" s="335"/>
      <c r="B1779" s="118" t="s">
        <v>12</v>
      </c>
      <c r="C1779" s="334" t="s">
        <v>8352</v>
      </c>
      <c r="D1779" s="124" t="s">
        <v>8353</v>
      </c>
      <c r="E1779" s="125"/>
      <c r="F1779" s="118" t="s">
        <v>433</v>
      </c>
      <c r="G1779" s="126" t="s">
        <v>7857</v>
      </c>
      <c r="H1779" s="255">
        <v>8</v>
      </c>
      <c r="I1779" s="361">
        <v>1</v>
      </c>
      <c r="J1779" s="362" t="s">
        <v>286</v>
      </c>
      <c r="K1779" s="363"/>
      <c r="L1779" s="129"/>
      <c r="M1779" s="129"/>
      <c r="N1779" s="129"/>
      <c r="O1779" s="129"/>
      <c r="P1779" s="364"/>
      <c r="Q1779" s="364"/>
      <c r="R1779" s="129"/>
      <c r="S1779" s="129"/>
      <c r="T1779" s="129"/>
      <c r="W1779" s="129" t="s">
        <v>286</v>
      </c>
      <c r="X1779" s="337" t="b">
        <f t="shared" si="60"/>
        <v>1</v>
      </c>
    </row>
    <row r="1780" spans="1:24" s="337" customFormat="1" ht="12" customHeight="1" outlineLevel="1">
      <c r="A1780" s="335"/>
      <c r="B1780" s="118" t="s">
        <v>12</v>
      </c>
      <c r="C1780" s="334" t="s">
        <v>8354</v>
      </c>
      <c r="D1780" s="124" t="s">
        <v>8355</v>
      </c>
      <c r="E1780" s="125"/>
      <c r="F1780" s="118" t="s">
        <v>433</v>
      </c>
      <c r="G1780" s="126" t="s">
        <v>7857</v>
      </c>
      <c r="H1780" s="255">
        <v>8</v>
      </c>
      <c r="I1780" s="361">
        <v>1</v>
      </c>
      <c r="J1780" s="362" t="s">
        <v>286</v>
      </c>
      <c r="K1780" s="363"/>
      <c r="L1780" s="129"/>
      <c r="M1780" s="129"/>
      <c r="N1780" s="129"/>
      <c r="O1780" s="129"/>
      <c r="P1780" s="364"/>
      <c r="Q1780" s="364"/>
      <c r="R1780" s="129"/>
      <c r="S1780" s="129"/>
      <c r="T1780" s="129"/>
      <c r="W1780" s="129" t="s">
        <v>286</v>
      </c>
      <c r="X1780" s="337" t="b">
        <f t="shared" si="60"/>
        <v>1</v>
      </c>
    </row>
    <row r="1781" spans="1:24" s="337" customFormat="1" ht="12" customHeight="1" outlineLevel="1">
      <c r="A1781" s="335"/>
      <c r="B1781" s="118" t="s">
        <v>12</v>
      </c>
      <c r="C1781" s="334" t="s">
        <v>8356</v>
      </c>
      <c r="D1781" s="124" t="s">
        <v>8357</v>
      </c>
      <c r="E1781" s="125"/>
      <c r="F1781" s="118" t="s">
        <v>433</v>
      </c>
      <c r="G1781" s="126" t="s">
        <v>7857</v>
      </c>
      <c r="H1781" s="255">
        <v>8</v>
      </c>
      <c r="I1781" s="361">
        <v>1</v>
      </c>
      <c r="J1781" s="362" t="s">
        <v>286</v>
      </c>
      <c r="K1781" s="363"/>
      <c r="L1781" s="129"/>
      <c r="M1781" s="129"/>
      <c r="N1781" s="129"/>
      <c r="O1781" s="129"/>
      <c r="P1781" s="364"/>
      <c r="Q1781" s="364"/>
      <c r="R1781" s="129"/>
      <c r="S1781" s="129"/>
      <c r="T1781" s="129"/>
      <c r="W1781" s="129" t="s">
        <v>286</v>
      </c>
      <c r="X1781" s="337" t="b">
        <f t="shared" si="60"/>
        <v>1</v>
      </c>
    </row>
    <row r="1782" spans="1:24" s="337" customFormat="1" ht="12" customHeight="1" outlineLevel="1">
      <c r="A1782" s="335"/>
      <c r="B1782" s="118" t="s">
        <v>12</v>
      </c>
      <c r="C1782" s="334" t="s">
        <v>8358</v>
      </c>
      <c r="D1782" s="124" t="s">
        <v>8359</v>
      </c>
      <c r="E1782" s="125"/>
      <c r="F1782" s="118" t="s">
        <v>433</v>
      </c>
      <c r="G1782" s="126" t="s">
        <v>7857</v>
      </c>
      <c r="H1782" s="255">
        <v>8</v>
      </c>
      <c r="I1782" s="361">
        <v>1</v>
      </c>
      <c r="J1782" s="362" t="s">
        <v>286</v>
      </c>
      <c r="K1782" s="363"/>
      <c r="L1782" s="129"/>
      <c r="M1782" s="129"/>
      <c r="N1782" s="129"/>
      <c r="O1782" s="129"/>
      <c r="P1782" s="364"/>
      <c r="Q1782" s="364"/>
      <c r="R1782" s="129"/>
      <c r="S1782" s="129"/>
      <c r="T1782" s="129"/>
      <c r="W1782" s="129" t="s">
        <v>286</v>
      </c>
      <c r="X1782" s="337" t="b">
        <f t="shared" si="60"/>
        <v>1</v>
      </c>
    </row>
    <row r="1783" spans="1:24" s="337" customFormat="1" ht="12" customHeight="1" outlineLevel="1">
      <c r="A1783" s="335"/>
      <c r="B1783" s="118" t="s">
        <v>12</v>
      </c>
      <c r="C1783" s="334" t="s">
        <v>8360</v>
      </c>
      <c r="D1783" s="124" t="s">
        <v>8361</v>
      </c>
      <c r="E1783" s="125"/>
      <c r="F1783" s="118" t="s">
        <v>433</v>
      </c>
      <c r="G1783" s="126" t="s">
        <v>7857</v>
      </c>
      <c r="H1783" s="255">
        <v>8</v>
      </c>
      <c r="I1783" s="361">
        <v>1</v>
      </c>
      <c r="J1783" s="362" t="s">
        <v>286</v>
      </c>
      <c r="K1783" s="363"/>
      <c r="L1783" s="129"/>
      <c r="M1783" s="129"/>
      <c r="N1783" s="129"/>
      <c r="O1783" s="129"/>
      <c r="P1783" s="364"/>
      <c r="Q1783" s="364"/>
      <c r="R1783" s="129"/>
      <c r="S1783" s="129"/>
      <c r="T1783" s="129"/>
      <c r="W1783" s="129" t="s">
        <v>286</v>
      </c>
      <c r="X1783" s="337" t="b">
        <f t="shared" si="60"/>
        <v>1</v>
      </c>
    </row>
    <row r="1784" spans="1:24" s="337" customFormat="1" ht="12" customHeight="1" outlineLevel="1">
      <c r="A1784" s="335"/>
      <c r="B1784" s="118" t="s">
        <v>12</v>
      </c>
      <c r="C1784" s="334" t="s">
        <v>8362</v>
      </c>
      <c r="D1784" s="124" t="s">
        <v>8363</v>
      </c>
      <c r="E1784" s="125"/>
      <c r="F1784" s="118" t="s">
        <v>433</v>
      </c>
      <c r="G1784" s="126" t="s">
        <v>7857</v>
      </c>
      <c r="H1784" s="255">
        <v>8</v>
      </c>
      <c r="I1784" s="361">
        <v>1</v>
      </c>
      <c r="J1784" s="362" t="s">
        <v>286</v>
      </c>
      <c r="K1784" s="363"/>
      <c r="L1784" s="129"/>
      <c r="M1784" s="129"/>
      <c r="N1784" s="129"/>
      <c r="O1784" s="129"/>
      <c r="P1784" s="364"/>
      <c r="Q1784" s="364"/>
      <c r="R1784" s="129"/>
      <c r="S1784" s="129"/>
      <c r="T1784" s="129"/>
      <c r="W1784" s="129" t="s">
        <v>286</v>
      </c>
      <c r="X1784" s="337" t="b">
        <f t="shared" si="60"/>
        <v>1</v>
      </c>
    </row>
    <row r="1785" spans="1:24" s="337" customFormat="1" ht="12" customHeight="1" outlineLevel="1">
      <c r="A1785" s="335"/>
      <c r="B1785" s="118" t="s">
        <v>12</v>
      </c>
      <c r="C1785" s="334" t="s">
        <v>8364</v>
      </c>
      <c r="D1785" s="124" t="s">
        <v>8365</v>
      </c>
      <c r="E1785" s="125"/>
      <c r="F1785" s="118" t="s">
        <v>433</v>
      </c>
      <c r="G1785" s="126" t="s">
        <v>7857</v>
      </c>
      <c r="H1785" s="255">
        <v>8</v>
      </c>
      <c r="I1785" s="361">
        <v>1</v>
      </c>
      <c r="J1785" s="362" t="s">
        <v>286</v>
      </c>
      <c r="K1785" s="363"/>
      <c r="L1785" s="129"/>
      <c r="M1785" s="129"/>
      <c r="N1785" s="129"/>
      <c r="O1785" s="129"/>
      <c r="P1785" s="364"/>
      <c r="Q1785" s="364"/>
      <c r="R1785" s="129"/>
      <c r="S1785" s="129"/>
      <c r="T1785" s="129"/>
      <c r="W1785" s="129" t="s">
        <v>286</v>
      </c>
      <c r="X1785" s="337" t="b">
        <f t="shared" si="60"/>
        <v>1</v>
      </c>
    </row>
    <row r="1786" spans="1:24" s="337" customFormat="1" ht="12" customHeight="1" outlineLevel="1">
      <c r="A1786" s="335"/>
      <c r="B1786" s="118" t="s">
        <v>12</v>
      </c>
      <c r="C1786" s="334" t="s">
        <v>8366</v>
      </c>
      <c r="D1786" s="124" t="s">
        <v>8367</v>
      </c>
      <c r="E1786" s="125"/>
      <c r="F1786" s="118" t="s">
        <v>433</v>
      </c>
      <c r="G1786" s="126" t="s">
        <v>7857</v>
      </c>
      <c r="H1786" s="255">
        <v>8</v>
      </c>
      <c r="I1786" s="361">
        <v>1</v>
      </c>
      <c r="J1786" s="362" t="s">
        <v>286</v>
      </c>
      <c r="K1786" s="363"/>
      <c r="L1786" s="129"/>
      <c r="M1786" s="129"/>
      <c r="N1786" s="129"/>
      <c r="O1786" s="129"/>
      <c r="P1786" s="364"/>
      <c r="Q1786" s="364"/>
      <c r="R1786" s="129"/>
      <c r="S1786" s="129"/>
      <c r="T1786" s="129"/>
      <c r="W1786" s="129" t="s">
        <v>286</v>
      </c>
      <c r="X1786" s="337" t="b">
        <f t="shared" ref="X1786:X1849" si="61">W1786=J1786</f>
        <v>1</v>
      </c>
    </row>
    <row r="1787" spans="1:24" s="337" customFormat="1" ht="12" customHeight="1" outlineLevel="1">
      <c r="A1787" s="335"/>
      <c r="B1787" s="118" t="s">
        <v>12</v>
      </c>
      <c r="C1787" s="334" t="s">
        <v>8368</v>
      </c>
      <c r="D1787" s="124" t="s">
        <v>8369</v>
      </c>
      <c r="E1787" s="125"/>
      <c r="F1787" s="118" t="s">
        <v>433</v>
      </c>
      <c r="G1787" s="126" t="s">
        <v>7857</v>
      </c>
      <c r="H1787" s="255">
        <v>8</v>
      </c>
      <c r="I1787" s="361">
        <v>1</v>
      </c>
      <c r="J1787" s="362" t="s">
        <v>286</v>
      </c>
      <c r="K1787" s="363"/>
      <c r="L1787" s="129"/>
      <c r="M1787" s="129"/>
      <c r="N1787" s="129"/>
      <c r="O1787" s="129"/>
      <c r="P1787" s="364"/>
      <c r="Q1787" s="364"/>
      <c r="R1787" s="129"/>
      <c r="S1787" s="129"/>
      <c r="T1787" s="129"/>
      <c r="W1787" s="129" t="s">
        <v>286</v>
      </c>
      <c r="X1787" s="337" t="b">
        <f t="shared" si="61"/>
        <v>1</v>
      </c>
    </row>
    <row r="1788" spans="1:24" s="337" customFormat="1" ht="12" customHeight="1" outlineLevel="1">
      <c r="A1788" s="335"/>
      <c r="B1788" s="118" t="s">
        <v>12</v>
      </c>
      <c r="C1788" s="334" t="s">
        <v>8370</v>
      </c>
      <c r="D1788" s="124" t="s">
        <v>8371</v>
      </c>
      <c r="E1788" s="125"/>
      <c r="F1788" s="118" t="s">
        <v>433</v>
      </c>
      <c r="G1788" s="126" t="s">
        <v>7857</v>
      </c>
      <c r="H1788" s="255">
        <v>8</v>
      </c>
      <c r="I1788" s="361">
        <v>1</v>
      </c>
      <c r="J1788" s="362" t="s">
        <v>286</v>
      </c>
      <c r="K1788" s="363"/>
      <c r="L1788" s="129"/>
      <c r="M1788" s="129"/>
      <c r="N1788" s="129"/>
      <c r="O1788" s="129"/>
      <c r="P1788" s="364"/>
      <c r="Q1788" s="364"/>
      <c r="R1788" s="129"/>
      <c r="S1788" s="129"/>
      <c r="T1788" s="129"/>
      <c r="W1788" s="129" t="s">
        <v>286</v>
      </c>
      <c r="X1788" s="337" t="b">
        <f t="shared" si="61"/>
        <v>1</v>
      </c>
    </row>
    <row r="1789" spans="1:24" s="337" customFormat="1" ht="12" customHeight="1" outlineLevel="1">
      <c r="A1789" s="335"/>
      <c r="B1789" s="118" t="s">
        <v>12</v>
      </c>
      <c r="C1789" s="334" t="s">
        <v>8372</v>
      </c>
      <c r="D1789" s="124" t="s">
        <v>8373</v>
      </c>
      <c r="E1789" s="125"/>
      <c r="F1789" s="118" t="s">
        <v>433</v>
      </c>
      <c r="G1789" s="126" t="s">
        <v>7857</v>
      </c>
      <c r="H1789" s="255">
        <v>8</v>
      </c>
      <c r="I1789" s="361">
        <v>1</v>
      </c>
      <c r="J1789" s="362" t="s">
        <v>286</v>
      </c>
      <c r="K1789" s="363"/>
      <c r="L1789" s="129"/>
      <c r="M1789" s="129"/>
      <c r="N1789" s="129"/>
      <c r="O1789" s="129"/>
      <c r="P1789" s="364"/>
      <c r="Q1789" s="364"/>
      <c r="R1789" s="129"/>
      <c r="S1789" s="129"/>
      <c r="T1789" s="129"/>
      <c r="W1789" s="129" t="s">
        <v>286</v>
      </c>
      <c r="X1789" s="337" t="b">
        <f t="shared" si="61"/>
        <v>1</v>
      </c>
    </row>
    <row r="1790" spans="1:24" s="337" customFormat="1" ht="12" customHeight="1" outlineLevel="1">
      <c r="A1790" s="335"/>
      <c r="B1790" s="118" t="s">
        <v>12</v>
      </c>
      <c r="C1790" s="334" t="s">
        <v>8374</v>
      </c>
      <c r="D1790" s="124" t="s">
        <v>8375</v>
      </c>
      <c r="E1790" s="125"/>
      <c r="F1790" s="118" t="s">
        <v>433</v>
      </c>
      <c r="G1790" s="126" t="s">
        <v>7857</v>
      </c>
      <c r="H1790" s="255">
        <v>8</v>
      </c>
      <c r="I1790" s="361">
        <v>1</v>
      </c>
      <c r="J1790" s="362" t="s">
        <v>286</v>
      </c>
      <c r="K1790" s="363"/>
      <c r="L1790" s="129"/>
      <c r="M1790" s="129"/>
      <c r="N1790" s="129"/>
      <c r="O1790" s="129"/>
      <c r="P1790" s="364"/>
      <c r="Q1790" s="364"/>
      <c r="R1790" s="129"/>
      <c r="S1790" s="129"/>
      <c r="T1790" s="129"/>
      <c r="W1790" s="129" t="s">
        <v>286</v>
      </c>
      <c r="X1790" s="337" t="b">
        <f t="shared" si="61"/>
        <v>1</v>
      </c>
    </row>
    <row r="1791" spans="1:24" s="337" customFormat="1" ht="12" customHeight="1" outlineLevel="1">
      <c r="A1791" s="335"/>
      <c r="B1791" s="118" t="s">
        <v>12</v>
      </c>
      <c r="C1791" s="334" t="s">
        <v>8376</v>
      </c>
      <c r="D1791" s="124" t="s">
        <v>8377</v>
      </c>
      <c r="E1791" s="125"/>
      <c r="F1791" s="118" t="s">
        <v>433</v>
      </c>
      <c r="G1791" s="126" t="s">
        <v>7857</v>
      </c>
      <c r="H1791" s="255">
        <v>8</v>
      </c>
      <c r="I1791" s="361">
        <v>1</v>
      </c>
      <c r="J1791" s="362" t="s">
        <v>286</v>
      </c>
      <c r="K1791" s="363"/>
      <c r="L1791" s="129"/>
      <c r="M1791" s="129"/>
      <c r="N1791" s="129"/>
      <c r="O1791" s="129"/>
      <c r="P1791" s="364"/>
      <c r="Q1791" s="364"/>
      <c r="R1791" s="129"/>
      <c r="S1791" s="129"/>
      <c r="T1791" s="129"/>
      <c r="W1791" s="129" t="s">
        <v>286</v>
      </c>
      <c r="X1791" s="337" t="b">
        <f t="shared" si="61"/>
        <v>1</v>
      </c>
    </row>
    <row r="1792" spans="1:24" s="337" customFormat="1" ht="12" customHeight="1" outlineLevel="1">
      <c r="A1792" s="335"/>
      <c r="B1792" s="118" t="s">
        <v>12</v>
      </c>
      <c r="C1792" s="334" t="s">
        <v>8378</v>
      </c>
      <c r="D1792" s="124" t="s">
        <v>8379</v>
      </c>
      <c r="E1792" s="125"/>
      <c r="F1792" s="118" t="s">
        <v>433</v>
      </c>
      <c r="G1792" s="126" t="s">
        <v>7857</v>
      </c>
      <c r="H1792" s="255">
        <v>8</v>
      </c>
      <c r="I1792" s="361">
        <v>1</v>
      </c>
      <c r="J1792" s="362" t="s">
        <v>286</v>
      </c>
      <c r="K1792" s="363"/>
      <c r="L1792" s="129"/>
      <c r="M1792" s="129"/>
      <c r="N1792" s="129"/>
      <c r="O1792" s="129"/>
      <c r="P1792" s="364"/>
      <c r="Q1792" s="364"/>
      <c r="R1792" s="129"/>
      <c r="S1792" s="129"/>
      <c r="T1792" s="129"/>
      <c r="W1792" s="129" t="s">
        <v>286</v>
      </c>
      <c r="X1792" s="337" t="b">
        <f t="shared" si="61"/>
        <v>1</v>
      </c>
    </row>
    <row r="1793" spans="1:24" s="337" customFormat="1" ht="12" customHeight="1" outlineLevel="1">
      <c r="A1793" s="335"/>
      <c r="B1793" s="118" t="s">
        <v>12</v>
      </c>
      <c r="C1793" s="334" t="s">
        <v>8380</v>
      </c>
      <c r="D1793" s="124" t="s">
        <v>8381</v>
      </c>
      <c r="E1793" s="125"/>
      <c r="F1793" s="118" t="s">
        <v>433</v>
      </c>
      <c r="G1793" s="126" t="s">
        <v>7861</v>
      </c>
      <c r="H1793" s="255">
        <v>6</v>
      </c>
      <c r="I1793" s="361">
        <v>1</v>
      </c>
      <c r="J1793" s="362" t="s">
        <v>286</v>
      </c>
      <c r="K1793" s="363"/>
      <c r="L1793" s="129"/>
      <c r="M1793" s="129"/>
      <c r="N1793" s="129"/>
      <c r="O1793" s="129"/>
      <c r="P1793" s="364"/>
      <c r="Q1793" s="364"/>
      <c r="R1793" s="129"/>
      <c r="S1793" s="129"/>
      <c r="T1793" s="129"/>
      <c r="W1793" s="129" t="s">
        <v>4876</v>
      </c>
      <c r="X1793" s="337" t="b">
        <f t="shared" si="61"/>
        <v>0</v>
      </c>
    </row>
    <row r="1794" spans="1:24" s="337" customFormat="1" ht="12" customHeight="1" outlineLevel="1">
      <c r="A1794" s="335"/>
      <c r="B1794" s="118" t="s">
        <v>12</v>
      </c>
      <c r="C1794" s="334" t="s">
        <v>8382</v>
      </c>
      <c r="D1794" s="124" t="s">
        <v>8383</v>
      </c>
      <c r="E1794" s="125"/>
      <c r="F1794" s="118" t="s">
        <v>433</v>
      </c>
      <c r="G1794" s="126" t="s">
        <v>7861</v>
      </c>
      <c r="H1794" s="255">
        <v>6</v>
      </c>
      <c r="I1794" s="361">
        <v>1</v>
      </c>
      <c r="J1794" s="362" t="s">
        <v>286</v>
      </c>
      <c r="K1794" s="363"/>
      <c r="L1794" s="129"/>
      <c r="M1794" s="129"/>
      <c r="N1794" s="129"/>
      <c r="O1794" s="129"/>
      <c r="P1794" s="364"/>
      <c r="Q1794" s="364"/>
      <c r="R1794" s="129"/>
      <c r="S1794" s="129"/>
      <c r="T1794" s="129"/>
      <c r="W1794" s="129" t="s">
        <v>4876</v>
      </c>
      <c r="X1794" s="337" t="b">
        <f t="shared" si="61"/>
        <v>0</v>
      </c>
    </row>
    <row r="1795" spans="1:24" s="337" customFormat="1" ht="12" customHeight="1" outlineLevel="1">
      <c r="A1795" s="335"/>
      <c r="B1795" s="118" t="s">
        <v>12</v>
      </c>
      <c r="C1795" s="334" t="s">
        <v>8384</v>
      </c>
      <c r="D1795" s="124" t="s">
        <v>8385</v>
      </c>
      <c r="E1795" s="125"/>
      <c r="F1795" s="118" t="s">
        <v>433</v>
      </c>
      <c r="G1795" s="126" t="s">
        <v>7861</v>
      </c>
      <c r="H1795" s="255">
        <v>6</v>
      </c>
      <c r="I1795" s="361">
        <v>1</v>
      </c>
      <c r="J1795" s="362" t="s">
        <v>310</v>
      </c>
      <c r="K1795" s="363"/>
      <c r="L1795" s="129"/>
      <c r="M1795" s="129"/>
      <c r="N1795" s="129"/>
      <c r="O1795" s="129"/>
      <c r="P1795" s="364"/>
      <c r="Q1795" s="364"/>
      <c r="R1795" s="129"/>
      <c r="S1795" s="129"/>
      <c r="T1795" s="129"/>
      <c r="W1795" s="129" t="s">
        <v>4876</v>
      </c>
      <c r="X1795" s="337" t="b">
        <f t="shared" si="61"/>
        <v>0</v>
      </c>
    </row>
    <row r="1796" spans="1:24" s="337" customFormat="1" ht="12" customHeight="1" outlineLevel="1">
      <c r="A1796" s="335"/>
      <c r="B1796" s="118" t="s">
        <v>12</v>
      </c>
      <c r="C1796" s="334" t="s">
        <v>8386</v>
      </c>
      <c r="D1796" s="124" t="s">
        <v>8387</v>
      </c>
      <c r="E1796" s="125"/>
      <c r="F1796" s="118" t="s">
        <v>433</v>
      </c>
      <c r="G1796" s="126" t="s">
        <v>7861</v>
      </c>
      <c r="H1796" s="255">
        <v>6</v>
      </c>
      <c r="I1796" s="361">
        <v>1</v>
      </c>
      <c r="J1796" s="362" t="s">
        <v>286</v>
      </c>
      <c r="K1796" s="363"/>
      <c r="L1796" s="129"/>
      <c r="M1796" s="129"/>
      <c r="N1796" s="129"/>
      <c r="O1796" s="129"/>
      <c r="P1796" s="364"/>
      <c r="Q1796" s="364"/>
      <c r="R1796" s="129"/>
      <c r="S1796" s="129"/>
      <c r="T1796" s="129"/>
      <c r="W1796" s="129" t="s">
        <v>4876</v>
      </c>
      <c r="X1796" s="337" t="b">
        <f t="shared" si="61"/>
        <v>0</v>
      </c>
    </row>
    <row r="1797" spans="1:24" s="337" customFormat="1" ht="12" customHeight="1" outlineLevel="1">
      <c r="A1797" s="335"/>
      <c r="B1797" s="118" t="s">
        <v>12</v>
      </c>
      <c r="C1797" s="334" t="s">
        <v>8388</v>
      </c>
      <c r="D1797" s="124" t="s">
        <v>8389</v>
      </c>
      <c r="E1797" s="125"/>
      <c r="F1797" s="118" t="s">
        <v>433</v>
      </c>
      <c r="G1797" s="126" t="s">
        <v>7861</v>
      </c>
      <c r="H1797" s="255">
        <v>6</v>
      </c>
      <c r="I1797" s="361">
        <v>1</v>
      </c>
      <c r="J1797" s="362" t="s">
        <v>286</v>
      </c>
      <c r="K1797" s="363"/>
      <c r="L1797" s="129"/>
      <c r="M1797" s="129"/>
      <c r="N1797" s="129"/>
      <c r="O1797" s="129"/>
      <c r="P1797" s="364"/>
      <c r="Q1797" s="364"/>
      <c r="R1797" s="129"/>
      <c r="S1797" s="129"/>
      <c r="T1797" s="129"/>
      <c r="W1797" s="129" t="s">
        <v>4876</v>
      </c>
      <c r="X1797" s="337" t="b">
        <f t="shared" si="61"/>
        <v>0</v>
      </c>
    </row>
    <row r="1798" spans="1:24" s="337" customFormat="1" ht="12" customHeight="1" outlineLevel="1">
      <c r="A1798" s="335"/>
      <c r="B1798" s="118" t="s">
        <v>12</v>
      </c>
      <c r="C1798" s="334" t="s">
        <v>8390</v>
      </c>
      <c r="D1798" s="124" t="s">
        <v>8391</v>
      </c>
      <c r="E1798" s="125"/>
      <c r="F1798" s="118" t="s">
        <v>433</v>
      </c>
      <c r="G1798" s="126" t="s">
        <v>7861</v>
      </c>
      <c r="H1798" s="255">
        <v>6</v>
      </c>
      <c r="I1798" s="361">
        <v>1</v>
      </c>
      <c r="J1798" s="362" t="s">
        <v>286</v>
      </c>
      <c r="K1798" s="363"/>
      <c r="L1798" s="129"/>
      <c r="M1798" s="129"/>
      <c r="N1798" s="129"/>
      <c r="O1798" s="129"/>
      <c r="P1798" s="364"/>
      <c r="Q1798" s="364"/>
      <c r="R1798" s="129"/>
      <c r="S1798" s="129"/>
      <c r="T1798" s="129"/>
      <c r="W1798" s="129" t="s">
        <v>4876</v>
      </c>
      <c r="X1798" s="337" t="b">
        <f t="shared" si="61"/>
        <v>0</v>
      </c>
    </row>
    <row r="1799" spans="1:24" s="337" customFormat="1" ht="12" customHeight="1" outlineLevel="1">
      <c r="A1799" s="335"/>
      <c r="B1799" s="118" t="s">
        <v>12</v>
      </c>
      <c r="C1799" s="334" t="s">
        <v>8392</v>
      </c>
      <c r="D1799" s="124" t="s">
        <v>8393</v>
      </c>
      <c r="E1799" s="125"/>
      <c r="F1799" s="118" t="s">
        <v>433</v>
      </c>
      <c r="G1799" s="126" t="s">
        <v>7861</v>
      </c>
      <c r="H1799" s="255">
        <v>6</v>
      </c>
      <c r="I1799" s="361">
        <v>1</v>
      </c>
      <c r="J1799" s="362" t="s">
        <v>286</v>
      </c>
      <c r="K1799" s="363"/>
      <c r="L1799" s="129"/>
      <c r="M1799" s="129"/>
      <c r="N1799" s="129"/>
      <c r="O1799" s="129"/>
      <c r="P1799" s="364"/>
      <c r="Q1799" s="364"/>
      <c r="R1799" s="129"/>
      <c r="S1799" s="129"/>
      <c r="T1799" s="129"/>
      <c r="W1799" s="129" t="s">
        <v>4876</v>
      </c>
      <c r="X1799" s="337" t="b">
        <f t="shared" si="61"/>
        <v>0</v>
      </c>
    </row>
    <row r="1800" spans="1:24" s="337" customFormat="1" ht="12" customHeight="1" outlineLevel="1">
      <c r="A1800" s="335"/>
      <c r="B1800" s="118" t="s">
        <v>12</v>
      </c>
      <c r="C1800" s="334" t="s">
        <v>8394</v>
      </c>
      <c r="D1800" s="124" t="s">
        <v>8395</v>
      </c>
      <c r="E1800" s="125"/>
      <c r="F1800" s="118" t="s">
        <v>433</v>
      </c>
      <c r="G1800" s="126" t="s">
        <v>7861</v>
      </c>
      <c r="H1800" s="255">
        <v>6</v>
      </c>
      <c r="I1800" s="361">
        <v>1</v>
      </c>
      <c r="J1800" s="362" t="s">
        <v>286</v>
      </c>
      <c r="K1800" s="363"/>
      <c r="L1800" s="129"/>
      <c r="M1800" s="129"/>
      <c r="N1800" s="129"/>
      <c r="O1800" s="129"/>
      <c r="P1800" s="364"/>
      <c r="Q1800" s="364"/>
      <c r="R1800" s="129"/>
      <c r="S1800" s="129"/>
      <c r="T1800" s="129"/>
      <c r="W1800" s="129" t="s">
        <v>4876</v>
      </c>
      <c r="X1800" s="337" t="b">
        <f t="shared" si="61"/>
        <v>0</v>
      </c>
    </row>
    <row r="1801" spans="1:24" s="337" customFormat="1" ht="12" customHeight="1" outlineLevel="1">
      <c r="A1801" s="335"/>
      <c r="B1801" s="118" t="s">
        <v>12</v>
      </c>
      <c r="C1801" s="334" t="s">
        <v>8396</v>
      </c>
      <c r="D1801" s="124" t="s">
        <v>8397</v>
      </c>
      <c r="E1801" s="125"/>
      <c r="F1801" s="118" t="s">
        <v>433</v>
      </c>
      <c r="G1801" s="126" t="s">
        <v>7861</v>
      </c>
      <c r="H1801" s="255">
        <v>6</v>
      </c>
      <c r="I1801" s="361">
        <v>1</v>
      </c>
      <c r="J1801" s="362" t="s">
        <v>286</v>
      </c>
      <c r="K1801" s="363"/>
      <c r="L1801" s="129"/>
      <c r="M1801" s="129"/>
      <c r="N1801" s="129"/>
      <c r="O1801" s="129"/>
      <c r="P1801" s="364"/>
      <c r="Q1801" s="364"/>
      <c r="R1801" s="129"/>
      <c r="S1801" s="129"/>
      <c r="T1801" s="129"/>
      <c r="W1801" s="129" t="s">
        <v>4876</v>
      </c>
      <c r="X1801" s="337" t="b">
        <f t="shared" si="61"/>
        <v>0</v>
      </c>
    </row>
    <row r="1802" spans="1:24" s="337" customFormat="1" ht="12" customHeight="1" outlineLevel="1">
      <c r="A1802" s="335"/>
      <c r="B1802" s="118" t="s">
        <v>12</v>
      </c>
      <c r="C1802" s="334" t="s">
        <v>8398</v>
      </c>
      <c r="D1802" s="124" t="s">
        <v>8399</v>
      </c>
      <c r="E1802" s="125"/>
      <c r="F1802" s="118" t="s">
        <v>433</v>
      </c>
      <c r="G1802" s="126" t="s">
        <v>7861</v>
      </c>
      <c r="H1802" s="255">
        <v>6</v>
      </c>
      <c r="I1802" s="361">
        <v>1</v>
      </c>
      <c r="J1802" s="362" t="s">
        <v>310</v>
      </c>
      <c r="K1802" s="363"/>
      <c r="L1802" s="129"/>
      <c r="M1802" s="129"/>
      <c r="N1802" s="129"/>
      <c r="O1802" s="129"/>
      <c r="P1802" s="364"/>
      <c r="Q1802" s="364"/>
      <c r="R1802" s="129"/>
      <c r="S1802" s="129"/>
      <c r="T1802" s="129"/>
      <c r="W1802" s="129" t="s">
        <v>4876</v>
      </c>
      <c r="X1802" s="337" t="b">
        <f t="shared" si="61"/>
        <v>0</v>
      </c>
    </row>
    <row r="1803" spans="1:24" s="337" customFormat="1" ht="12" customHeight="1" outlineLevel="1">
      <c r="A1803" s="335"/>
      <c r="B1803" s="118" t="s">
        <v>12</v>
      </c>
      <c r="C1803" s="334" t="s">
        <v>8400</v>
      </c>
      <c r="D1803" s="124" t="s">
        <v>8401</v>
      </c>
      <c r="E1803" s="125"/>
      <c r="F1803" s="118" t="s">
        <v>433</v>
      </c>
      <c r="G1803" s="126" t="s">
        <v>7861</v>
      </c>
      <c r="H1803" s="255">
        <v>6</v>
      </c>
      <c r="I1803" s="361">
        <v>1</v>
      </c>
      <c r="J1803" s="362" t="s">
        <v>310</v>
      </c>
      <c r="K1803" s="363"/>
      <c r="L1803" s="129"/>
      <c r="M1803" s="129"/>
      <c r="N1803" s="129"/>
      <c r="O1803" s="129"/>
      <c r="P1803" s="364"/>
      <c r="Q1803" s="364"/>
      <c r="R1803" s="129"/>
      <c r="S1803" s="129"/>
      <c r="T1803" s="129"/>
      <c r="W1803" s="129" t="s">
        <v>4876</v>
      </c>
      <c r="X1803" s="337" t="b">
        <f t="shared" si="61"/>
        <v>0</v>
      </c>
    </row>
    <row r="1804" spans="1:24" s="337" customFormat="1" ht="12" customHeight="1" outlineLevel="1">
      <c r="A1804" s="335"/>
      <c r="B1804" s="118" t="s">
        <v>12</v>
      </c>
      <c r="C1804" s="334" t="s">
        <v>8402</v>
      </c>
      <c r="D1804" s="124" t="s">
        <v>8403</v>
      </c>
      <c r="E1804" s="125"/>
      <c r="F1804" s="118" t="s">
        <v>433</v>
      </c>
      <c r="G1804" s="126" t="s">
        <v>7861</v>
      </c>
      <c r="H1804" s="255">
        <v>6</v>
      </c>
      <c r="I1804" s="361">
        <v>1</v>
      </c>
      <c r="J1804" s="362" t="s">
        <v>310</v>
      </c>
      <c r="K1804" s="363"/>
      <c r="L1804" s="129"/>
      <c r="M1804" s="129"/>
      <c r="N1804" s="129"/>
      <c r="O1804" s="129"/>
      <c r="P1804" s="364"/>
      <c r="Q1804" s="364"/>
      <c r="R1804" s="129"/>
      <c r="S1804" s="129"/>
      <c r="T1804" s="129"/>
      <c r="W1804" s="129" t="s">
        <v>4876</v>
      </c>
      <c r="X1804" s="337" t="b">
        <f t="shared" si="61"/>
        <v>0</v>
      </c>
    </row>
    <row r="1805" spans="1:24" s="337" customFormat="1" ht="12" customHeight="1" outlineLevel="1">
      <c r="A1805" s="335"/>
      <c r="B1805" s="118" t="s">
        <v>12</v>
      </c>
      <c r="C1805" s="334" t="s">
        <v>8404</v>
      </c>
      <c r="D1805" s="124" t="s">
        <v>8405</v>
      </c>
      <c r="E1805" s="125"/>
      <c r="F1805" s="118" t="s">
        <v>433</v>
      </c>
      <c r="G1805" s="126" t="s">
        <v>7861</v>
      </c>
      <c r="H1805" s="255">
        <v>6</v>
      </c>
      <c r="I1805" s="361">
        <v>1</v>
      </c>
      <c r="J1805" s="362" t="s">
        <v>286</v>
      </c>
      <c r="K1805" s="363"/>
      <c r="L1805" s="129"/>
      <c r="M1805" s="129"/>
      <c r="N1805" s="129"/>
      <c r="O1805" s="129"/>
      <c r="P1805" s="364"/>
      <c r="Q1805" s="364"/>
      <c r="R1805" s="129"/>
      <c r="S1805" s="129"/>
      <c r="T1805" s="129"/>
      <c r="W1805" s="129" t="s">
        <v>4876</v>
      </c>
      <c r="X1805" s="337" t="b">
        <f t="shared" si="61"/>
        <v>0</v>
      </c>
    </row>
    <row r="1806" spans="1:24" s="337" customFormat="1" ht="12" customHeight="1" outlineLevel="1">
      <c r="A1806" s="335"/>
      <c r="B1806" s="118" t="s">
        <v>12</v>
      </c>
      <c r="C1806" s="334" t="s">
        <v>8406</v>
      </c>
      <c r="D1806" s="124" t="s">
        <v>8407</v>
      </c>
      <c r="E1806" s="125"/>
      <c r="F1806" s="118" t="s">
        <v>433</v>
      </c>
      <c r="G1806" s="126" t="s">
        <v>7861</v>
      </c>
      <c r="H1806" s="255">
        <v>6</v>
      </c>
      <c r="I1806" s="361">
        <v>1</v>
      </c>
      <c r="J1806" s="362" t="s">
        <v>286</v>
      </c>
      <c r="K1806" s="363"/>
      <c r="L1806" s="129"/>
      <c r="M1806" s="129"/>
      <c r="N1806" s="129"/>
      <c r="O1806" s="129"/>
      <c r="P1806" s="364"/>
      <c r="Q1806" s="364"/>
      <c r="R1806" s="129"/>
      <c r="S1806" s="129"/>
      <c r="T1806" s="129"/>
      <c r="W1806" s="129" t="s">
        <v>4876</v>
      </c>
      <c r="X1806" s="337" t="b">
        <f t="shared" si="61"/>
        <v>0</v>
      </c>
    </row>
    <row r="1807" spans="1:24" s="337" customFormat="1" ht="12" customHeight="1" outlineLevel="1">
      <c r="A1807" s="335"/>
      <c r="B1807" s="118" t="s">
        <v>12</v>
      </c>
      <c r="C1807" s="334" t="s">
        <v>8408</v>
      </c>
      <c r="D1807" s="124" t="s">
        <v>8409</v>
      </c>
      <c r="E1807" s="125"/>
      <c r="F1807" s="118" t="s">
        <v>433</v>
      </c>
      <c r="G1807" s="126" t="s">
        <v>7861</v>
      </c>
      <c r="H1807" s="255">
        <v>6</v>
      </c>
      <c r="I1807" s="361">
        <v>1</v>
      </c>
      <c r="J1807" s="362" t="s">
        <v>286</v>
      </c>
      <c r="K1807" s="363"/>
      <c r="L1807" s="129"/>
      <c r="M1807" s="129"/>
      <c r="N1807" s="129"/>
      <c r="O1807" s="129"/>
      <c r="P1807" s="364"/>
      <c r="Q1807" s="364"/>
      <c r="R1807" s="129"/>
      <c r="S1807" s="129"/>
      <c r="T1807" s="129"/>
      <c r="W1807" s="129" t="s">
        <v>4876</v>
      </c>
      <c r="X1807" s="337" t="b">
        <f t="shared" si="61"/>
        <v>0</v>
      </c>
    </row>
    <row r="1808" spans="1:24" s="337" customFormat="1" ht="12" customHeight="1" outlineLevel="1">
      <c r="A1808" s="335"/>
      <c r="B1808" s="118" t="s">
        <v>12</v>
      </c>
      <c r="C1808" s="334" t="s">
        <v>8410</v>
      </c>
      <c r="D1808" s="124" t="s">
        <v>8411</v>
      </c>
      <c r="E1808" s="125"/>
      <c r="F1808" s="118" t="s">
        <v>433</v>
      </c>
      <c r="G1808" s="126" t="s">
        <v>7861</v>
      </c>
      <c r="H1808" s="255">
        <v>6</v>
      </c>
      <c r="I1808" s="361">
        <v>1</v>
      </c>
      <c r="J1808" s="362" t="s">
        <v>286</v>
      </c>
      <c r="K1808" s="363"/>
      <c r="L1808" s="129"/>
      <c r="M1808" s="129"/>
      <c r="N1808" s="129"/>
      <c r="O1808" s="129"/>
      <c r="P1808" s="364"/>
      <c r="Q1808" s="364"/>
      <c r="R1808" s="129"/>
      <c r="S1808" s="129"/>
      <c r="T1808" s="129"/>
      <c r="W1808" s="129" t="s">
        <v>4876</v>
      </c>
      <c r="X1808" s="337" t="b">
        <f t="shared" si="61"/>
        <v>0</v>
      </c>
    </row>
    <row r="1809" spans="1:24" s="337" customFormat="1" ht="12" customHeight="1" outlineLevel="1">
      <c r="A1809" s="335"/>
      <c r="B1809" s="118" t="s">
        <v>12</v>
      </c>
      <c r="C1809" s="334" t="s">
        <v>8412</v>
      </c>
      <c r="D1809" s="124" t="s">
        <v>8413</v>
      </c>
      <c r="E1809" s="125"/>
      <c r="F1809" s="118" t="s">
        <v>433</v>
      </c>
      <c r="G1809" s="126" t="s">
        <v>7861</v>
      </c>
      <c r="H1809" s="255">
        <v>6</v>
      </c>
      <c r="I1809" s="361">
        <v>1</v>
      </c>
      <c r="J1809" s="362" t="s">
        <v>286</v>
      </c>
      <c r="K1809" s="363"/>
      <c r="L1809" s="129"/>
      <c r="M1809" s="129"/>
      <c r="N1809" s="129"/>
      <c r="O1809" s="129"/>
      <c r="P1809" s="364"/>
      <c r="Q1809" s="364"/>
      <c r="R1809" s="129"/>
      <c r="S1809" s="129"/>
      <c r="T1809" s="129"/>
      <c r="W1809" s="129" t="s">
        <v>286</v>
      </c>
      <c r="X1809" s="337" t="b">
        <f t="shared" si="61"/>
        <v>1</v>
      </c>
    </row>
    <row r="1810" spans="1:24" s="337" customFormat="1" ht="12" customHeight="1" outlineLevel="1">
      <c r="A1810" s="335"/>
      <c r="B1810" s="118" t="s">
        <v>12</v>
      </c>
      <c r="C1810" s="334" t="s">
        <v>8414</v>
      </c>
      <c r="D1810" s="124" t="s">
        <v>8415</v>
      </c>
      <c r="E1810" s="125"/>
      <c r="F1810" s="118" t="s">
        <v>433</v>
      </c>
      <c r="G1810" s="126" t="s">
        <v>7861</v>
      </c>
      <c r="H1810" s="255">
        <v>6</v>
      </c>
      <c r="I1810" s="361">
        <v>1</v>
      </c>
      <c r="J1810" s="362" t="s">
        <v>286</v>
      </c>
      <c r="K1810" s="363"/>
      <c r="L1810" s="129"/>
      <c r="M1810" s="129"/>
      <c r="N1810" s="129"/>
      <c r="O1810" s="129"/>
      <c r="P1810" s="364"/>
      <c r="Q1810" s="364"/>
      <c r="R1810" s="129"/>
      <c r="S1810" s="129"/>
      <c r="T1810" s="129"/>
      <c r="W1810" s="129" t="s">
        <v>310</v>
      </c>
      <c r="X1810" s="337" t="b">
        <f t="shared" si="61"/>
        <v>0</v>
      </c>
    </row>
    <row r="1811" spans="1:24" s="337" customFormat="1" ht="12" customHeight="1" outlineLevel="1">
      <c r="A1811" s="335"/>
      <c r="B1811" s="118" t="s">
        <v>12</v>
      </c>
      <c r="C1811" s="334" t="s">
        <v>8416</v>
      </c>
      <c r="D1811" s="124" t="s">
        <v>8417</v>
      </c>
      <c r="E1811" s="125"/>
      <c r="F1811" s="118" t="s">
        <v>433</v>
      </c>
      <c r="G1811" s="126" t="s">
        <v>7861</v>
      </c>
      <c r="H1811" s="255">
        <v>6</v>
      </c>
      <c r="I1811" s="361">
        <v>1</v>
      </c>
      <c r="J1811" s="362" t="s">
        <v>286</v>
      </c>
      <c r="K1811" s="363"/>
      <c r="L1811" s="129"/>
      <c r="M1811" s="129"/>
      <c r="N1811" s="129"/>
      <c r="O1811" s="129"/>
      <c r="P1811" s="364"/>
      <c r="Q1811" s="364"/>
      <c r="R1811" s="129"/>
      <c r="S1811" s="129"/>
      <c r="T1811" s="129"/>
      <c r="W1811" s="129" t="s">
        <v>310</v>
      </c>
      <c r="X1811" s="337" t="b">
        <f t="shared" si="61"/>
        <v>0</v>
      </c>
    </row>
    <row r="1812" spans="1:24" s="337" customFormat="1" ht="12" customHeight="1" outlineLevel="1">
      <c r="A1812" s="335"/>
      <c r="B1812" s="118" t="s">
        <v>12</v>
      </c>
      <c r="C1812" s="334" t="s">
        <v>8418</v>
      </c>
      <c r="D1812" s="124" t="s">
        <v>8419</v>
      </c>
      <c r="E1812" s="125"/>
      <c r="F1812" s="118" t="s">
        <v>433</v>
      </c>
      <c r="G1812" s="126" t="s">
        <v>7861</v>
      </c>
      <c r="H1812" s="255">
        <v>6</v>
      </c>
      <c r="I1812" s="361">
        <v>1</v>
      </c>
      <c r="J1812" s="362" t="s">
        <v>286</v>
      </c>
      <c r="K1812" s="363"/>
      <c r="L1812" s="129"/>
      <c r="M1812" s="129"/>
      <c r="N1812" s="129"/>
      <c r="O1812" s="129"/>
      <c r="P1812" s="364"/>
      <c r="Q1812" s="364"/>
      <c r="R1812" s="129"/>
      <c r="S1812" s="129"/>
      <c r="T1812" s="129"/>
      <c r="W1812" s="129" t="s">
        <v>310</v>
      </c>
      <c r="X1812" s="337" t="b">
        <f t="shared" si="61"/>
        <v>0</v>
      </c>
    </row>
    <row r="1813" spans="1:24" s="337" customFormat="1" ht="12" customHeight="1" outlineLevel="1">
      <c r="A1813" s="335"/>
      <c r="B1813" s="118" t="s">
        <v>12</v>
      </c>
      <c r="C1813" s="334" t="s">
        <v>8420</v>
      </c>
      <c r="D1813" s="124" t="s">
        <v>8421</v>
      </c>
      <c r="E1813" s="125"/>
      <c r="F1813" s="118" t="s">
        <v>433</v>
      </c>
      <c r="G1813" s="126" t="s">
        <v>7861</v>
      </c>
      <c r="H1813" s="255">
        <v>6</v>
      </c>
      <c r="I1813" s="361">
        <v>1</v>
      </c>
      <c r="J1813" s="362" t="s">
        <v>310</v>
      </c>
      <c r="K1813" s="363"/>
      <c r="L1813" s="129"/>
      <c r="M1813" s="129"/>
      <c r="N1813" s="129"/>
      <c r="O1813" s="129"/>
      <c r="P1813" s="364"/>
      <c r="Q1813" s="364"/>
      <c r="R1813" s="129"/>
      <c r="S1813" s="129"/>
      <c r="T1813" s="129"/>
      <c r="W1813" s="129" t="s">
        <v>286</v>
      </c>
      <c r="X1813" s="337" t="b">
        <f t="shared" si="61"/>
        <v>0</v>
      </c>
    </row>
    <row r="1814" spans="1:24" s="337" customFormat="1" ht="12" customHeight="1" outlineLevel="1">
      <c r="A1814" s="335"/>
      <c r="B1814" s="118" t="s">
        <v>12</v>
      </c>
      <c r="C1814" s="334" t="s">
        <v>8422</v>
      </c>
      <c r="D1814" s="124" t="s">
        <v>8423</v>
      </c>
      <c r="E1814" s="125"/>
      <c r="F1814" s="118" t="s">
        <v>433</v>
      </c>
      <c r="G1814" s="126" t="s">
        <v>7861</v>
      </c>
      <c r="H1814" s="255">
        <v>6</v>
      </c>
      <c r="I1814" s="361">
        <v>1</v>
      </c>
      <c r="J1814" s="362" t="s">
        <v>310</v>
      </c>
      <c r="K1814" s="363"/>
      <c r="L1814" s="129"/>
      <c r="M1814" s="129"/>
      <c r="N1814" s="129"/>
      <c r="O1814" s="129"/>
      <c r="P1814" s="364"/>
      <c r="Q1814" s="364"/>
      <c r="R1814" s="129"/>
      <c r="S1814" s="129"/>
      <c r="T1814" s="129"/>
      <c r="W1814" s="129" t="s">
        <v>286</v>
      </c>
      <c r="X1814" s="337" t="b">
        <f t="shared" si="61"/>
        <v>0</v>
      </c>
    </row>
    <row r="1815" spans="1:24" s="337" customFormat="1" ht="12" customHeight="1" outlineLevel="1">
      <c r="A1815" s="335"/>
      <c r="B1815" s="118" t="s">
        <v>12</v>
      </c>
      <c r="C1815" s="334" t="s">
        <v>8424</v>
      </c>
      <c r="D1815" s="124" t="s">
        <v>8425</v>
      </c>
      <c r="E1815" s="125"/>
      <c r="F1815" s="118" t="s">
        <v>433</v>
      </c>
      <c r="G1815" s="126" t="s">
        <v>7861</v>
      </c>
      <c r="H1815" s="255">
        <v>6</v>
      </c>
      <c r="I1815" s="361">
        <v>1</v>
      </c>
      <c r="J1815" s="362" t="s">
        <v>310</v>
      </c>
      <c r="K1815" s="363"/>
      <c r="L1815" s="129"/>
      <c r="M1815" s="129"/>
      <c r="N1815" s="129"/>
      <c r="O1815" s="129"/>
      <c r="P1815" s="364"/>
      <c r="Q1815" s="364"/>
      <c r="R1815" s="129"/>
      <c r="S1815" s="129"/>
      <c r="T1815" s="129"/>
      <c r="W1815" s="129" t="s">
        <v>286</v>
      </c>
      <c r="X1815" s="337" t="b">
        <f t="shared" si="61"/>
        <v>0</v>
      </c>
    </row>
    <row r="1816" spans="1:24" s="337" customFormat="1" ht="12" customHeight="1" outlineLevel="1">
      <c r="A1816" s="335"/>
      <c r="B1816" s="118" t="s">
        <v>12</v>
      </c>
      <c r="C1816" s="334" t="s">
        <v>8426</v>
      </c>
      <c r="D1816" s="124" t="s">
        <v>8427</v>
      </c>
      <c r="E1816" s="125"/>
      <c r="F1816" s="118" t="s">
        <v>433</v>
      </c>
      <c r="G1816" s="126" t="s">
        <v>7861</v>
      </c>
      <c r="H1816" s="255">
        <v>6</v>
      </c>
      <c r="I1816" s="361">
        <v>1</v>
      </c>
      <c r="J1816" s="362" t="s">
        <v>286</v>
      </c>
      <c r="K1816" s="363"/>
      <c r="L1816" s="129"/>
      <c r="M1816" s="129"/>
      <c r="N1816" s="129"/>
      <c r="O1816" s="129"/>
      <c r="P1816" s="364"/>
      <c r="Q1816" s="364"/>
      <c r="R1816" s="129"/>
      <c r="S1816" s="129"/>
      <c r="T1816" s="129"/>
      <c r="W1816" s="129" t="s">
        <v>286</v>
      </c>
      <c r="X1816" s="337" t="b">
        <f t="shared" si="61"/>
        <v>1</v>
      </c>
    </row>
    <row r="1817" spans="1:24" s="337" customFormat="1" ht="12" customHeight="1" outlineLevel="1">
      <c r="A1817" s="335"/>
      <c r="B1817" s="118" t="s">
        <v>12</v>
      </c>
      <c r="C1817" s="334" t="s">
        <v>8428</v>
      </c>
      <c r="D1817" s="124" t="s">
        <v>8429</v>
      </c>
      <c r="E1817" s="125"/>
      <c r="F1817" s="118" t="s">
        <v>433</v>
      </c>
      <c r="G1817" s="126" t="s">
        <v>7861</v>
      </c>
      <c r="H1817" s="255">
        <v>6</v>
      </c>
      <c r="I1817" s="361">
        <v>1</v>
      </c>
      <c r="J1817" s="362" t="s">
        <v>307</v>
      </c>
      <c r="K1817" s="363"/>
      <c r="L1817" s="129"/>
      <c r="M1817" s="129"/>
      <c r="N1817" s="129"/>
      <c r="O1817" s="129"/>
      <c r="P1817" s="364"/>
      <c r="Q1817" s="364"/>
      <c r="R1817" s="129"/>
      <c r="S1817" s="129"/>
      <c r="T1817" s="129"/>
      <c r="W1817" s="129" t="s">
        <v>4876</v>
      </c>
      <c r="X1817" s="337" t="b">
        <f t="shared" si="61"/>
        <v>0</v>
      </c>
    </row>
    <row r="1818" spans="1:24" s="337" customFormat="1" ht="12" customHeight="1" outlineLevel="1">
      <c r="A1818" s="335"/>
      <c r="B1818" s="118" t="s">
        <v>12</v>
      </c>
      <c r="C1818" s="334" t="s">
        <v>8430</v>
      </c>
      <c r="D1818" s="124" t="s">
        <v>8431</v>
      </c>
      <c r="E1818" s="125"/>
      <c r="F1818" s="118" t="s">
        <v>433</v>
      </c>
      <c r="G1818" s="126" t="s">
        <v>7861</v>
      </c>
      <c r="H1818" s="255">
        <v>6</v>
      </c>
      <c r="I1818" s="361">
        <v>1</v>
      </c>
      <c r="J1818" s="362" t="s">
        <v>307</v>
      </c>
      <c r="K1818" s="363"/>
      <c r="L1818" s="129"/>
      <c r="M1818" s="129"/>
      <c r="N1818" s="129"/>
      <c r="O1818" s="129"/>
      <c r="P1818" s="364"/>
      <c r="Q1818" s="364"/>
      <c r="R1818" s="129"/>
      <c r="S1818" s="129"/>
      <c r="T1818" s="129"/>
      <c r="W1818" s="129" t="s">
        <v>4876</v>
      </c>
      <c r="X1818" s="337" t="b">
        <f t="shared" si="61"/>
        <v>0</v>
      </c>
    </row>
    <row r="1819" spans="1:24" s="337" customFormat="1" ht="12" customHeight="1" outlineLevel="1">
      <c r="A1819" s="335"/>
      <c r="B1819" s="118" t="s">
        <v>12</v>
      </c>
      <c r="C1819" s="334" t="s">
        <v>8432</v>
      </c>
      <c r="D1819" s="124" t="s">
        <v>8433</v>
      </c>
      <c r="E1819" s="125"/>
      <c r="F1819" s="118" t="s">
        <v>433</v>
      </c>
      <c r="G1819" s="126" t="s">
        <v>7861</v>
      </c>
      <c r="H1819" s="255">
        <v>6</v>
      </c>
      <c r="I1819" s="361">
        <v>1</v>
      </c>
      <c r="J1819" s="362" t="s">
        <v>307</v>
      </c>
      <c r="K1819" s="363"/>
      <c r="L1819" s="129"/>
      <c r="M1819" s="129"/>
      <c r="N1819" s="129"/>
      <c r="O1819" s="129"/>
      <c r="P1819" s="364"/>
      <c r="Q1819" s="364"/>
      <c r="R1819" s="129"/>
      <c r="S1819" s="129"/>
      <c r="T1819" s="129"/>
      <c r="W1819" s="129" t="s">
        <v>4876</v>
      </c>
      <c r="X1819" s="337" t="b">
        <f t="shared" si="61"/>
        <v>0</v>
      </c>
    </row>
    <row r="1820" spans="1:24" s="337" customFormat="1" ht="12" customHeight="1" outlineLevel="1">
      <c r="A1820" s="335"/>
      <c r="B1820" s="118" t="s">
        <v>12</v>
      </c>
      <c r="C1820" s="334" t="s">
        <v>8434</v>
      </c>
      <c r="D1820" s="124" t="s">
        <v>8435</v>
      </c>
      <c r="E1820" s="125"/>
      <c r="F1820" s="118" t="s">
        <v>433</v>
      </c>
      <c r="G1820" s="126" t="s">
        <v>7861</v>
      </c>
      <c r="H1820" s="255">
        <v>6</v>
      </c>
      <c r="I1820" s="361">
        <v>1</v>
      </c>
      <c r="J1820" s="362" t="s">
        <v>307</v>
      </c>
      <c r="K1820" s="363"/>
      <c r="L1820" s="129"/>
      <c r="M1820" s="129"/>
      <c r="N1820" s="129"/>
      <c r="O1820" s="129"/>
      <c r="P1820" s="364"/>
      <c r="Q1820" s="364"/>
      <c r="R1820" s="129"/>
      <c r="S1820" s="129"/>
      <c r="T1820" s="129"/>
      <c r="W1820" s="129" t="s">
        <v>4876</v>
      </c>
      <c r="X1820" s="337" t="b">
        <f t="shared" si="61"/>
        <v>0</v>
      </c>
    </row>
    <row r="1821" spans="1:24" s="337" customFormat="1" ht="12" customHeight="1" outlineLevel="1">
      <c r="A1821" s="335"/>
      <c r="B1821" s="118" t="s">
        <v>12</v>
      </c>
      <c r="C1821" s="334" t="s">
        <v>8436</v>
      </c>
      <c r="D1821" s="124" t="s">
        <v>8437</v>
      </c>
      <c r="E1821" s="125"/>
      <c r="F1821" s="118" t="s">
        <v>433</v>
      </c>
      <c r="G1821" s="126" t="s">
        <v>7861</v>
      </c>
      <c r="H1821" s="255">
        <v>6</v>
      </c>
      <c r="I1821" s="361">
        <v>1</v>
      </c>
      <c r="J1821" s="362" t="s">
        <v>307</v>
      </c>
      <c r="K1821" s="363"/>
      <c r="L1821" s="129"/>
      <c r="M1821" s="129"/>
      <c r="N1821" s="129"/>
      <c r="O1821" s="129"/>
      <c r="P1821" s="364"/>
      <c r="Q1821" s="364"/>
      <c r="R1821" s="129"/>
      <c r="S1821" s="129"/>
      <c r="T1821" s="129"/>
      <c r="W1821" s="129" t="s">
        <v>4876</v>
      </c>
      <c r="X1821" s="337" t="b">
        <f t="shared" si="61"/>
        <v>0</v>
      </c>
    </row>
    <row r="1822" spans="1:24" s="337" customFormat="1" ht="12" customHeight="1" outlineLevel="1">
      <c r="A1822" s="335"/>
      <c r="B1822" s="118" t="s">
        <v>12</v>
      </c>
      <c r="C1822" s="334" t="s">
        <v>8438</v>
      </c>
      <c r="D1822" s="124" t="s">
        <v>8439</v>
      </c>
      <c r="E1822" s="125"/>
      <c r="F1822" s="118" t="s">
        <v>433</v>
      </c>
      <c r="G1822" s="126" t="s">
        <v>7861</v>
      </c>
      <c r="H1822" s="255">
        <v>6</v>
      </c>
      <c r="I1822" s="361">
        <v>1</v>
      </c>
      <c r="J1822" s="362" t="s">
        <v>286</v>
      </c>
      <c r="K1822" s="363"/>
      <c r="L1822" s="129"/>
      <c r="M1822" s="129"/>
      <c r="N1822" s="129"/>
      <c r="O1822" s="129"/>
      <c r="P1822" s="364"/>
      <c r="Q1822" s="364"/>
      <c r="R1822" s="129"/>
      <c r="S1822" s="129"/>
      <c r="T1822" s="129"/>
      <c r="W1822" s="129" t="s">
        <v>4876</v>
      </c>
      <c r="X1822" s="337" t="b">
        <f t="shared" si="61"/>
        <v>0</v>
      </c>
    </row>
    <row r="1823" spans="1:24" s="337" customFormat="1" ht="12" customHeight="1" outlineLevel="1">
      <c r="A1823" s="335"/>
      <c r="B1823" s="118" t="s">
        <v>12</v>
      </c>
      <c r="C1823" s="334" t="s">
        <v>8440</v>
      </c>
      <c r="D1823" s="124" t="s">
        <v>8441</v>
      </c>
      <c r="E1823" s="125"/>
      <c r="F1823" s="118" t="s">
        <v>433</v>
      </c>
      <c r="G1823" s="126" t="s">
        <v>7861</v>
      </c>
      <c r="H1823" s="255">
        <v>6</v>
      </c>
      <c r="I1823" s="361">
        <v>1</v>
      </c>
      <c r="J1823" s="362" t="s">
        <v>286</v>
      </c>
      <c r="K1823" s="363"/>
      <c r="L1823" s="129"/>
      <c r="M1823" s="129"/>
      <c r="N1823" s="129"/>
      <c r="O1823" s="129"/>
      <c r="P1823" s="364"/>
      <c r="Q1823" s="364"/>
      <c r="R1823" s="129"/>
      <c r="S1823" s="129"/>
      <c r="T1823" s="129"/>
      <c r="W1823" s="129" t="s">
        <v>4876</v>
      </c>
      <c r="X1823" s="337" t="b">
        <f t="shared" si="61"/>
        <v>0</v>
      </c>
    </row>
    <row r="1824" spans="1:24" s="337" customFormat="1" ht="12" customHeight="1" outlineLevel="1">
      <c r="A1824" s="335"/>
      <c r="B1824" s="118" t="s">
        <v>12</v>
      </c>
      <c r="C1824" s="334" t="s">
        <v>8442</v>
      </c>
      <c r="D1824" s="124" t="s">
        <v>8443</v>
      </c>
      <c r="E1824" s="125"/>
      <c r="F1824" s="118" t="s">
        <v>433</v>
      </c>
      <c r="G1824" s="126" t="s">
        <v>7861</v>
      </c>
      <c r="H1824" s="255">
        <v>6</v>
      </c>
      <c r="I1824" s="361">
        <v>1</v>
      </c>
      <c r="J1824" s="362" t="s">
        <v>286</v>
      </c>
      <c r="K1824" s="363"/>
      <c r="L1824" s="129"/>
      <c r="M1824" s="129"/>
      <c r="N1824" s="129"/>
      <c r="O1824" s="129"/>
      <c r="P1824" s="364"/>
      <c r="Q1824" s="364"/>
      <c r="R1824" s="129"/>
      <c r="S1824" s="129"/>
      <c r="T1824" s="129"/>
      <c r="W1824" s="129" t="s">
        <v>4876</v>
      </c>
      <c r="X1824" s="337" t="b">
        <f t="shared" si="61"/>
        <v>0</v>
      </c>
    </row>
    <row r="1825" spans="1:24" s="337" customFormat="1" ht="12" customHeight="1" outlineLevel="1">
      <c r="A1825" s="335"/>
      <c r="B1825" s="118" t="s">
        <v>12</v>
      </c>
      <c r="C1825" s="334" t="s">
        <v>8444</v>
      </c>
      <c r="D1825" s="124" t="s">
        <v>8445</v>
      </c>
      <c r="E1825" s="125"/>
      <c r="F1825" s="118" t="s">
        <v>433</v>
      </c>
      <c r="G1825" s="126" t="s">
        <v>7861</v>
      </c>
      <c r="H1825" s="255">
        <v>6</v>
      </c>
      <c r="I1825" s="361">
        <v>1</v>
      </c>
      <c r="J1825" s="362" t="s">
        <v>286</v>
      </c>
      <c r="K1825" s="363"/>
      <c r="L1825" s="129"/>
      <c r="M1825" s="129"/>
      <c r="N1825" s="129"/>
      <c r="O1825" s="129"/>
      <c r="P1825" s="364"/>
      <c r="Q1825" s="364"/>
      <c r="R1825" s="129"/>
      <c r="S1825" s="129"/>
      <c r="T1825" s="129"/>
      <c r="W1825" s="129" t="s">
        <v>4876</v>
      </c>
      <c r="X1825" s="337" t="b">
        <f t="shared" si="61"/>
        <v>0</v>
      </c>
    </row>
    <row r="1826" spans="1:24" s="337" customFormat="1" ht="12" customHeight="1" outlineLevel="1">
      <c r="A1826" s="335"/>
      <c r="B1826" s="118" t="s">
        <v>12</v>
      </c>
      <c r="C1826" s="334" t="s">
        <v>8446</v>
      </c>
      <c r="D1826" s="124" t="s">
        <v>8447</v>
      </c>
      <c r="E1826" s="125"/>
      <c r="F1826" s="118" t="s">
        <v>433</v>
      </c>
      <c r="G1826" s="126" t="s">
        <v>7861</v>
      </c>
      <c r="H1826" s="255">
        <v>6</v>
      </c>
      <c r="I1826" s="361">
        <v>1</v>
      </c>
      <c r="J1826" s="362" t="s">
        <v>286</v>
      </c>
      <c r="K1826" s="363"/>
      <c r="L1826" s="129"/>
      <c r="M1826" s="129"/>
      <c r="N1826" s="129"/>
      <c r="O1826" s="129"/>
      <c r="P1826" s="364"/>
      <c r="Q1826" s="364"/>
      <c r="R1826" s="129"/>
      <c r="S1826" s="129"/>
      <c r="T1826" s="129"/>
      <c r="W1826" s="129" t="s">
        <v>4876</v>
      </c>
      <c r="X1826" s="337" t="b">
        <f t="shared" si="61"/>
        <v>0</v>
      </c>
    </row>
    <row r="1827" spans="1:24" s="337" customFormat="1" ht="12" customHeight="1" outlineLevel="1">
      <c r="A1827" s="335"/>
      <c r="B1827" s="118" t="s">
        <v>12</v>
      </c>
      <c r="C1827" s="334" t="s">
        <v>8448</v>
      </c>
      <c r="D1827" s="124" t="s">
        <v>8449</v>
      </c>
      <c r="E1827" s="125"/>
      <c r="F1827" s="118" t="s">
        <v>433</v>
      </c>
      <c r="G1827" s="126" t="s">
        <v>7857</v>
      </c>
      <c r="H1827" s="255">
        <v>8</v>
      </c>
      <c r="I1827" s="361">
        <v>1</v>
      </c>
      <c r="J1827" s="362" t="s">
        <v>286</v>
      </c>
      <c r="K1827" s="363"/>
      <c r="L1827" s="129"/>
      <c r="M1827" s="129"/>
      <c r="N1827" s="129"/>
      <c r="O1827" s="129"/>
      <c r="P1827" s="364"/>
      <c r="Q1827" s="364"/>
      <c r="R1827" s="129"/>
      <c r="S1827" s="129"/>
      <c r="T1827" s="129"/>
      <c r="W1827" s="129" t="s">
        <v>310</v>
      </c>
      <c r="X1827" s="337" t="b">
        <f t="shared" si="61"/>
        <v>0</v>
      </c>
    </row>
    <row r="1828" spans="1:24" s="337" customFormat="1" ht="12" customHeight="1" outlineLevel="1">
      <c r="A1828" s="335"/>
      <c r="B1828" s="118" t="s">
        <v>12</v>
      </c>
      <c r="C1828" s="334" t="s">
        <v>8450</v>
      </c>
      <c r="D1828" s="124" t="s">
        <v>8451</v>
      </c>
      <c r="E1828" s="125"/>
      <c r="F1828" s="118" t="s">
        <v>433</v>
      </c>
      <c r="G1828" s="126" t="s">
        <v>7857</v>
      </c>
      <c r="H1828" s="255">
        <v>8</v>
      </c>
      <c r="I1828" s="361">
        <v>1</v>
      </c>
      <c r="J1828" s="362" t="s">
        <v>286</v>
      </c>
      <c r="K1828" s="363"/>
      <c r="L1828" s="129"/>
      <c r="M1828" s="129"/>
      <c r="N1828" s="129"/>
      <c r="O1828" s="129"/>
      <c r="P1828" s="364"/>
      <c r="Q1828" s="364"/>
      <c r="R1828" s="129"/>
      <c r="S1828" s="129"/>
      <c r="T1828" s="129"/>
      <c r="W1828" s="129" t="s">
        <v>310</v>
      </c>
      <c r="X1828" s="337" t="b">
        <f t="shared" si="61"/>
        <v>0</v>
      </c>
    </row>
    <row r="1829" spans="1:24" s="337" customFormat="1" ht="12" customHeight="1" outlineLevel="1">
      <c r="A1829" s="335"/>
      <c r="B1829" s="118" t="s">
        <v>12</v>
      </c>
      <c r="C1829" s="334" t="s">
        <v>8452</v>
      </c>
      <c r="D1829" s="124" t="s">
        <v>8453</v>
      </c>
      <c r="E1829" s="125"/>
      <c r="F1829" s="118" t="s">
        <v>433</v>
      </c>
      <c r="G1829" s="126" t="s">
        <v>7861</v>
      </c>
      <c r="H1829" s="255">
        <v>6</v>
      </c>
      <c r="I1829" s="361">
        <v>1</v>
      </c>
      <c r="J1829" s="362" t="s">
        <v>310</v>
      </c>
      <c r="K1829" s="363"/>
      <c r="L1829" s="129"/>
      <c r="M1829" s="129"/>
      <c r="N1829" s="129"/>
      <c r="O1829" s="129"/>
      <c r="P1829" s="364"/>
      <c r="Q1829" s="364"/>
      <c r="R1829" s="129"/>
      <c r="S1829" s="129"/>
      <c r="T1829" s="129"/>
      <c r="W1829" s="129" t="s">
        <v>286</v>
      </c>
      <c r="X1829" s="337" t="b">
        <f t="shared" si="61"/>
        <v>0</v>
      </c>
    </row>
    <row r="1830" spans="1:24" s="337" customFormat="1" ht="12" customHeight="1" outlineLevel="1">
      <c r="A1830" s="335"/>
      <c r="B1830" s="118" t="s">
        <v>12</v>
      </c>
      <c r="C1830" s="334" t="s">
        <v>8454</v>
      </c>
      <c r="D1830" s="124" t="s">
        <v>8455</v>
      </c>
      <c r="E1830" s="125"/>
      <c r="F1830" s="118" t="s">
        <v>433</v>
      </c>
      <c r="G1830" s="126" t="s">
        <v>7861</v>
      </c>
      <c r="H1830" s="255">
        <v>6</v>
      </c>
      <c r="I1830" s="361">
        <v>1</v>
      </c>
      <c r="J1830" s="362" t="s">
        <v>325</v>
      </c>
      <c r="K1830" s="363"/>
      <c r="L1830" s="129"/>
      <c r="M1830" s="129"/>
      <c r="N1830" s="129"/>
      <c r="O1830" s="129"/>
      <c r="P1830" s="364"/>
      <c r="Q1830" s="364"/>
      <c r="R1830" s="129"/>
      <c r="S1830" s="129"/>
      <c r="T1830" s="129"/>
      <c r="W1830" s="129" t="s">
        <v>307</v>
      </c>
      <c r="X1830" s="337" t="b">
        <f t="shared" si="61"/>
        <v>0</v>
      </c>
    </row>
    <row r="1831" spans="1:24" s="337" customFormat="1" ht="12" customHeight="1" outlineLevel="1">
      <c r="A1831" s="335"/>
      <c r="B1831" s="118" t="s">
        <v>12</v>
      </c>
      <c r="C1831" s="334" t="s">
        <v>8456</v>
      </c>
      <c r="D1831" s="124" t="s">
        <v>8457</v>
      </c>
      <c r="E1831" s="125"/>
      <c r="F1831" s="118" t="s">
        <v>433</v>
      </c>
      <c r="G1831" s="126" t="s">
        <v>7861</v>
      </c>
      <c r="H1831" s="255">
        <v>6</v>
      </c>
      <c r="I1831" s="361">
        <v>1</v>
      </c>
      <c r="J1831" s="362" t="s">
        <v>286</v>
      </c>
      <c r="K1831" s="363"/>
      <c r="L1831" s="129"/>
      <c r="M1831" s="129"/>
      <c r="N1831" s="129"/>
      <c r="O1831" s="129"/>
      <c r="P1831" s="364"/>
      <c r="Q1831" s="364"/>
      <c r="R1831" s="129"/>
      <c r="S1831" s="129"/>
      <c r="T1831" s="129"/>
      <c r="W1831" s="129" t="s">
        <v>286</v>
      </c>
      <c r="X1831" s="337" t="b">
        <f t="shared" si="61"/>
        <v>1</v>
      </c>
    </row>
    <row r="1832" spans="1:24" s="337" customFormat="1" ht="12" customHeight="1" outlineLevel="1">
      <c r="A1832" s="335"/>
      <c r="B1832" s="118" t="s">
        <v>12</v>
      </c>
      <c r="C1832" s="334" t="s">
        <v>8458</v>
      </c>
      <c r="D1832" s="124" t="s">
        <v>8459</v>
      </c>
      <c r="E1832" s="125"/>
      <c r="F1832" s="118" t="s">
        <v>433</v>
      </c>
      <c r="G1832" s="126" t="s">
        <v>7861</v>
      </c>
      <c r="H1832" s="255">
        <v>6</v>
      </c>
      <c r="I1832" s="361">
        <v>1</v>
      </c>
      <c r="J1832" s="362" t="s">
        <v>310</v>
      </c>
      <c r="K1832" s="363"/>
      <c r="L1832" s="129"/>
      <c r="M1832" s="129"/>
      <c r="N1832" s="129"/>
      <c r="O1832" s="129"/>
      <c r="P1832" s="364"/>
      <c r="Q1832" s="364"/>
      <c r="R1832" s="129"/>
      <c r="S1832" s="129"/>
      <c r="T1832" s="129"/>
      <c r="W1832" s="129" t="s">
        <v>310</v>
      </c>
      <c r="X1832" s="337" t="b">
        <f t="shared" si="61"/>
        <v>1</v>
      </c>
    </row>
    <row r="1833" spans="1:24" s="337" customFormat="1" ht="12" customHeight="1" outlineLevel="1">
      <c r="A1833" s="335"/>
      <c r="B1833" s="118" t="s">
        <v>12</v>
      </c>
      <c r="C1833" s="334" t="s">
        <v>8460</v>
      </c>
      <c r="D1833" s="124" t="s">
        <v>8461</v>
      </c>
      <c r="E1833" s="125"/>
      <c r="F1833" s="118" t="s">
        <v>433</v>
      </c>
      <c r="G1833" s="126" t="s">
        <v>7861</v>
      </c>
      <c r="H1833" s="255">
        <v>6</v>
      </c>
      <c r="I1833" s="361">
        <v>1</v>
      </c>
      <c r="J1833" s="362" t="s">
        <v>307</v>
      </c>
      <c r="K1833" s="363"/>
      <c r="L1833" s="129"/>
      <c r="M1833" s="129"/>
      <c r="N1833" s="129"/>
      <c r="O1833" s="129"/>
      <c r="P1833" s="372"/>
      <c r="Q1833" s="372"/>
      <c r="R1833" s="129"/>
      <c r="S1833" s="129"/>
      <c r="T1833" s="129"/>
      <c r="W1833" s="129" t="s">
        <v>310</v>
      </c>
      <c r="X1833" s="337" t="b">
        <f t="shared" si="61"/>
        <v>0</v>
      </c>
    </row>
    <row r="1834" spans="1:24" s="337" customFormat="1" ht="12" customHeight="1" outlineLevel="1">
      <c r="A1834" s="335"/>
      <c r="B1834" s="118" t="s">
        <v>12</v>
      </c>
      <c r="C1834" s="334" t="s">
        <v>8462</v>
      </c>
      <c r="D1834" s="124" t="s">
        <v>8463</v>
      </c>
      <c r="E1834" s="125"/>
      <c r="F1834" s="118" t="s">
        <v>433</v>
      </c>
      <c r="G1834" s="126" t="s">
        <v>7861</v>
      </c>
      <c r="H1834" s="255">
        <v>6</v>
      </c>
      <c r="I1834" s="361">
        <v>1</v>
      </c>
      <c r="J1834" s="362" t="s">
        <v>325</v>
      </c>
      <c r="K1834" s="363"/>
      <c r="L1834" s="129"/>
      <c r="M1834" s="129"/>
      <c r="N1834" s="129"/>
      <c r="O1834" s="129"/>
      <c r="P1834" s="364"/>
      <c r="Q1834" s="364"/>
      <c r="R1834" s="129"/>
      <c r="S1834" s="129"/>
      <c r="T1834" s="129"/>
      <c r="W1834" s="129" t="s">
        <v>307</v>
      </c>
      <c r="X1834" s="337" t="b">
        <f t="shared" si="61"/>
        <v>0</v>
      </c>
    </row>
    <row r="1835" spans="1:24" s="337" customFormat="1" ht="12" customHeight="1" outlineLevel="1">
      <c r="A1835" s="335"/>
      <c r="B1835" s="118" t="s">
        <v>12</v>
      </c>
      <c r="C1835" s="334" t="s">
        <v>8464</v>
      </c>
      <c r="D1835" s="124" t="s">
        <v>8465</v>
      </c>
      <c r="E1835" s="125"/>
      <c r="F1835" s="118" t="s">
        <v>433</v>
      </c>
      <c r="G1835" s="126" t="s">
        <v>7861</v>
      </c>
      <c r="H1835" s="255">
        <v>6</v>
      </c>
      <c r="I1835" s="361">
        <v>1</v>
      </c>
      <c r="J1835" s="362" t="s">
        <v>286</v>
      </c>
      <c r="K1835" s="363"/>
      <c r="L1835" s="129"/>
      <c r="M1835" s="129"/>
      <c r="N1835" s="129"/>
      <c r="O1835" s="129"/>
      <c r="P1835" s="364"/>
      <c r="Q1835" s="364"/>
      <c r="R1835" s="129"/>
      <c r="S1835" s="129"/>
      <c r="T1835" s="129"/>
      <c r="W1835" s="129" t="s">
        <v>286</v>
      </c>
      <c r="X1835" s="337" t="b">
        <f t="shared" si="61"/>
        <v>1</v>
      </c>
    </row>
    <row r="1836" spans="1:24" s="337" customFormat="1" ht="12" customHeight="1" outlineLevel="1">
      <c r="A1836" s="335"/>
      <c r="B1836" s="118" t="s">
        <v>12</v>
      </c>
      <c r="C1836" s="334" t="s">
        <v>8466</v>
      </c>
      <c r="D1836" s="124" t="s">
        <v>8467</v>
      </c>
      <c r="E1836" s="125"/>
      <c r="F1836" s="118" t="s">
        <v>433</v>
      </c>
      <c r="G1836" s="126" t="s">
        <v>7861</v>
      </c>
      <c r="H1836" s="255">
        <v>6</v>
      </c>
      <c r="I1836" s="361">
        <v>1</v>
      </c>
      <c r="J1836" s="362" t="s">
        <v>310</v>
      </c>
      <c r="K1836" s="363"/>
      <c r="L1836" s="129"/>
      <c r="M1836" s="129"/>
      <c r="N1836" s="129"/>
      <c r="O1836" s="129"/>
      <c r="P1836" s="364"/>
      <c r="Q1836" s="364"/>
      <c r="R1836" s="129"/>
      <c r="S1836" s="129"/>
      <c r="T1836" s="129"/>
      <c r="W1836" s="129" t="s">
        <v>286</v>
      </c>
      <c r="X1836" s="337" t="b">
        <f t="shared" si="61"/>
        <v>0</v>
      </c>
    </row>
    <row r="1837" spans="1:24" s="337" customFormat="1" ht="12" customHeight="1" outlineLevel="1">
      <c r="A1837" s="335"/>
      <c r="B1837" s="118" t="s">
        <v>12</v>
      </c>
      <c r="C1837" s="334" t="s">
        <v>8468</v>
      </c>
      <c r="D1837" s="124" t="s">
        <v>8469</v>
      </c>
      <c r="E1837" s="125"/>
      <c r="F1837" s="118" t="s">
        <v>433</v>
      </c>
      <c r="G1837" s="126" t="s">
        <v>7861</v>
      </c>
      <c r="H1837" s="255">
        <v>6</v>
      </c>
      <c r="I1837" s="361">
        <v>1</v>
      </c>
      <c r="J1837" s="362" t="s">
        <v>310</v>
      </c>
      <c r="K1837" s="363"/>
      <c r="L1837" s="129"/>
      <c r="M1837" s="129"/>
      <c r="N1837" s="129"/>
      <c r="O1837" s="129"/>
      <c r="P1837" s="364"/>
      <c r="Q1837" s="364"/>
      <c r="R1837" s="129"/>
      <c r="S1837" s="129"/>
      <c r="T1837" s="129"/>
      <c r="W1837" s="129" t="s">
        <v>286</v>
      </c>
      <c r="X1837" s="337" t="b">
        <f t="shared" si="61"/>
        <v>0</v>
      </c>
    </row>
    <row r="1838" spans="1:24" s="360" customFormat="1" ht="12" customHeight="1" outlineLevel="1">
      <c r="A1838" s="365"/>
      <c r="B1838" s="118" t="s">
        <v>12</v>
      </c>
      <c r="C1838" s="334" t="s">
        <v>8470</v>
      </c>
      <c r="D1838" s="124" t="s">
        <v>8471</v>
      </c>
      <c r="E1838" s="125"/>
      <c r="F1838" s="118" t="s">
        <v>433</v>
      </c>
      <c r="G1838" s="126" t="s">
        <v>7861</v>
      </c>
      <c r="H1838" s="255">
        <v>6</v>
      </c>
      <c r="I1838" s="361">
        <v>1</v>
      </c>
      <c r="J1838" s="362" t="s">
        <v>286</v>
      </c>
      <c r="W1838" s="129" t="s">
        <v>286</v>
      </c>
      <c r="X1838" s="337" t="b">
        <f t="shared" si="61"/>
        <v>1</v>
      </c>
    </row>
    <row r="1839" spans="1:24" s="337" customFormat="1" ht="12" customHeight="1" outlineLevel="1">
      <c r="A1839" s="335"/>
      <c r="B1839" s="118" t="s">
        <v>12</v>
      </c>
      <c r="C1839" s="334" t="s">
        <v>8472</v>
      </c>
      <c r="D1839" s="124" t="s">
        <v>8473</v>
      </c>
      <c r="E1839" s="125"/>
      <c r="F1839" s="118" t="s">
        <v>433</v>
      </c>
      <c r="G1839" s="126" t="s">
        <v>7861</v>
      </c>
      <c r="H1839" s="255">
        <v>6</v>
      </c>
      <c r="I1839" s="361">
        <v>1</v>
      </c>
      <c r="J1839" s="362" t="s">
        <v>307</v>
      </c>
      <c r="W1839" s="129" t="s">
        <v>310</v>
      </c>
      <c r="X1839" s="337" t="b">
        <f t="shared" si="61"/>
        <v>0</v>
      </c>
    </row>
    <row r="1840" spans="1:24" s="337" customFormat="1" ht="12" customHeight="1" outlineLevel="1">
      <c r="A1840" s="335"/>
      <c r="B1840" s="118" t="s">
        <v>12</v>
      </c>
      <c r="C1840" s="334" t="s">
        <v>8474</v>
      </c>
      <c r="D1840" s="124" t="s">
        <v>8475</v>
      </c>
      <c r="E1840" s="125"/>
      <c r="F1840" s="118" t="s">
        <v>433</v>
      </c>
      <c r="G1840" s="126" t="s">
        <v>7861</v>
      </c>
      <c r="H1840" s="255">
        <v>6</v>
      </c>
      <c r="I1840" s="361">
        <v>1</v>
      </c>
      <c r="J1840" s="362" t="s">
        <v>307</v>
      </c>
      <c r="W1840" s="129" t="s">
        <v>310</v>
      </c>
      <c r="X1840" s="337" t="b">
        <f t="shared" si="61"/>
        <v>0</v>
      </c>
    </row>
    <row r="1841" spans="1:24" s="337" customFormat="1" ht="12" customHeight="1" outlineLevel="1">
      <c r="A1841" s="335"/>
      <c r="B1841" s="118" t="s">
        <v>12</v>
      </c>
      <c r="C1841" s="334" t="s">
        <v>8476</v>
      </c>
      <c r="D1841" s="124" t="s">
        <v>8477</v>
      </c>
      <c r="E1841" s="125"/>
      <c r="F1841" s="118" t="s">
        <v>433</v>
      </c>
      <c r="G1841" s="126" t="s">
        <v>7861</v>
      </c>
      <c r="H1841" s="255">
        <v>6</v>
      </c>
      <c r="I1841" s="361">
        <v>1</v>
      </c>
      <c r="J1841" s="362" t="s">
        <v>310</v>
      </c>
      <c r="W1841" s="129" t="s">
        <v>310</v>
      </c>
      <c r="X1841" s="337" t="b">
        <f t="shared" si="61"/>
        <v>1</v>
      </c>
    </row>
    <row r="1842" spans="1:24" s="337" customFormat="1" ht="12" customHeight="1" outlineLevel="1">
      <c r="A1842" s="335"/>
      <c r="B1842" s="118" t="s">
        <v>12</v>
      </c>
      <c r="C1842" s="334" t="s">
        <v>8478</v>
      </c>
      <c r="D1842" s="124" t="s">
        <v>8479</v>
      </c>
      <c r="E1842" s="125"/>
      <c r="F1842" s="118" t="s">
        <v>433</v>
      </c>
      <c r="G1842" s="126" t="s">
        <v>7861</v>
      </c>
      <c r="H1842" s="255">
        <v>6</v>
      </c>
      <c r="I1842" s="361">
        <v>1</v>
      </c>
      <c r="J1842" s="362" t="s">
        <v>286</v>
      </c>
      <c r="W1842" s="129" t="s">
        <v>286</v>
      </c>
      <c r="X1842" s="337" t="b">
        <f t="shared" si="61"/>
        <v>1</v>
      </c>
    </row>
    <row r="1843" spans="1:24" s="337" customFormat="1" ht="12" customHeight="1" outlineLevel="1">
      <c r="A1843" s="335"/>
      <c r="B1843" s="118" t="s">
        <v>12</v>
      </c>
      <c r="C1843" s="334" t="s">
        <v>8480</v>
      </c>
      <c r="D1843" s="124" t="s">
        <v>8481</v>
      </c>
      <c r="E1843" s="125"/>
      <c r="F1843" s="118" t="s">
        <v>433</v>
      </c>
      <c r="G1843" s="126" t="s">
        <v>7861</v>
      </c>
      <c r="H1843" s="255">
        <v>6</v>
      </c>
      <c r="I1843" s="361">
        <v>1</v>
      </c>
      <c r="J1843" s="362" t="s">
        <v>286</v>
      </c>
      <c r="W1843" s="129" t="s">
        <v>286</v>
      </c>
      <c r="X1843" s="337" t="b">
        <f t="shared" si="61"/>
        <v>1</v>
      </c>
    </row>
    <row r="1844" spans="1:24" s="337" customFormat="1" ht="12" customHeight="1" outlineLevel="1">
      <c r="A1844" s="335"/>
      <c r="B1844" s="118" t="s">
        <v>12</v>
      </c>
      <c r="C1844" s="334" t="s">
        <v>8482</v>
      </c>
      <c r="D1844" s="124" t="s">
        <v>8483</v>
      </c>
      <c r="E1844" s="125"/>
      <c r="F1844" s="118" t="s">
        <v>433</v>
      </c>
      <c r="G1844" s="126" t="s">
        <v>7857</v>
      </c>
      <c r="H1844" s="255">
        <v>8</v>
      </c>
      <c r="I1844" s="361">
        <v>1</v>
      </c>
      <c r="J1844" s="362" t="s">
        <v>286</v>
      </c>
      <c r="W1844" s="129" t="s">
        <v>286</v>
      </c>
      <c r="X1844" s="337" t="b">
        <f t="shared" si="61"/>
        <v>1</v>
      </c>
    </row>
    <row r="1845" spans="1:24" s="360" customFormat="1" ht="12" customHeight="1" outlineLevel="1">
      <c r="A1845" s="365"/>
      <c r="B1845" s="118" t="s">
        <v>12</v>
      </c>
      <c r="C1845" s="334" t="s">
        <v>8484</v>
      </c>
      <c r="D1845" s="124" t="s">
        <v>8485</v>
      </c>
      <c r="E1845" s="125"/>
      <c r="F1845" s="118" t="s">
        <v>433</v>
      </c>
      <c r="G1845" s="126" t="s">
        <v>7857</v>
      </c>
      <c r="H1845" s="255">
        <v>8</v>
      </c>
      <c r="I1845" s="361">
        <v>1</v>
      </c>
      <c r="J1845" s="362" t="s">
        <v>286</v>
      </c>
      <c r="W1845" s="129" t="s">
        <v>286</v>
      </c>
      <c r="X1845" s="337" t="b">
        <f t="shared" si="61"/>
        <v>1</v>
      </c>
    </row>
    <row r="1846" spans="1:24" s="360" customFormat="1" ht="12" customHeight="1" outlineLevel="1">
      <c r="A1846" s="365"/>
      <c r="B1846" s="118" t="s">
        <v>12</v>
      </c>
      <c r="C1846" s="334" t="s">
        <v>8486</v>
      </c>
      <c r="D1846" s="124" t="s">
        <v>8487</v>
      </c>
      <c r="E1846" s="125"/>
      <c r="F1846" s="118" t="s">
        <v>433</v>
      </c>
      <c r="G1846" s="126" t="s">
        <v>8488</v>
      </c>
      <c r="H1846" s="255">
        <v>9</v>
      </c>
      <c r="I1846" s="361">
        <v>1</v>
      </c>
      <c r="J1846" s="362" t="s">
        <v>286</v>
      </c>
      <c r="W1846" s="129" t="s">
        <v>286</v>
      </c>
      <c r="X1846" s="337" t="b">
        <f t="shared" si="61"/>
        <v>1</v>
      </c>
    </row>
    <row r="1847" spans="1:24" s="360" customFormat="1" ht="12" customHeight="1" outlineLevel="1">
      <c r="A1847" s="365"/>
      <c r="B1847" s="118" t="s">
        <v>12</v>
      </c>
      <c r="C1847" s="334" t="s">
        <v>8489</v>
      </c>
      <c r="D1847" s="124" t="s">
        <v>8490</v>
      </c>
      <c r="E1847" s="125"/>
      <c r="F1847" s="118" t="s">
        <v>433</v>
      </c>
      <c r="G1847" s="126" t="s">
        <v>8488</v>
      </c>
      <c r="H1847" s="255">
        <v>9</v>
      </c>
      <c r="I1847" s="361">
        <v>1</v>
      </c>
      <c r="J1847" s="362" t="s">
        <v>286</v>
      </c>
      <c r="W1847" s="129" t="s">
        <v>4876</v>
      </c>
      <c r="X1847" s="337" t="b">
        <f t="shared" si="61"/>
        <v>0</v>
      </c>
    </row>
    <row r="1848" spans="1:24" s="360" customFormat="1" ht="12" customHeight="1" outlineLevel="1">
      <c r="A1848" s="365"/>
      <c r="B1848" s="118" t="s">
        <v>12</v>
      </c>
      <c r="C1848" s="334" t="s">
        <v>8491</v>
      </c>
      <c r="D1848" s="124" t="s">
        <v>8492</v>
      </c>
      <c r="E1848" s="125"/>
      <c r="F1848" s="118" t="s">
        <v>433</v>
      </c>
      <c r="G1848" s="126" t="s">
        <v>8488</v>
      </c>
      <c r="H1848" s="255">
        <v>9</v>
      </c>
      <c r="I1848" s="361">
        <v>1</v>
      </c>
      <c r="J1848" s="362" t="s">
        <v>286</v>
      </c>
      <c r="W1848" s="129" t="s">
        <v>286</v>
      </c>
      <c r="X1848" s="337" t="b">
        <f t="shared" si="61"/>
        <v>1</v>
      </c>
    </row>
    <row r="1849" spans="1:24" s="360" customFormat="1" ht="12" customHeight="1" outlineLevel="1">
      <c r="A1849" s="365"/>
      <c r="B1849" s="118" t="s">
        <v>12</v>
      </c>
      <c r="C1849" s="334" t="s">
        <v>8493</v>
      </c>
      <c r="D1849" s="124" t="s">
        <v>8494</v>
      </c>
      <c r="E1849" s="125"/>
      <c r="F1849" s="118" t="s">
        <v>433</v>
      </c>
      <c r="G1849" s="126" t="s">
        <v>8488</v>
      </c>
      <c r="H1849" s="255">
        <v>9</v>
      </c>
      <c r="I1849" s="361">
        <v>1</v>
      </c>
      <c r="J1849" s="362" t="s">
        <v>286</v>
      </c>
      <c r="W1849" s="129" t="s">
        <v>286</v>
      </c>
      <c r="X1849" s="337" t="b">
        <f t="shared" si="61"/>
        <v>1</v>
      </c>
    </row>
    <row r="1850" spans="1:24" s="360" customFormat="1" ht="12" customHeight="1" outlineLevel="1">
      <c r="A1850" s="365"/>
      <c r="B1850" s="118" t="s">
        <v>12</v>
      </c>
      <c r="C1850" s="334" t="s">
        <v>8495</v>
      </c>
      <c r="D1850" s="124" t="s">
        <v>8496</v>
      </c>
      <c r="E1850" s="125"/>
      <c r="F1850" s="118" t="s">
        <v>433</v>
      </c>
      <c r="G1850" s="126" t="s">
        <v>8488</v>
      </c>
      <c r="H1850" s="255">
        <v>9</v>
      </c>
      <c r="I1850" s="361">
        <v>1</v>
      </c>
      <c r="J1850" s="362" t="s">
        <v>286</v>
      </c>
      <c r="W1850" s="129" t="s">
        <v>4876</v>
      </c>
      <c r="X1850" s="337" t="b">
        <f t="shared" ref="X1850:X1854" si="62">W1850=J1850</f>
        <v>0</v>
      </c>
    </row>
    <row r="1851" spans="1:24" s="360" customFormat="1" ht="12" customHeight="1" outlineLevel="1">
      <c r="A1851" s="365"/>
      <c r="B1851" s="118" t="s">
        <v>12</v>
      </c>
      <c r="C1851" s="334" t="s">
        <v>8497</v>
      </c>
      <c r="D1851" s="124" t="s">
        <v>8498</v>
      </c>
      <c r="E1851" s="125"/>
      <c r="F1851" s="118" t="s">
        <v>433</v>
      </c>
      <c r="G1851" s="126" t="s">
        <v>8488</v>
      </c>
      <c r="H1851" s="255">
        <v>9</v>
      </c>
      <c r="I1851" s="361">
        <v>1</v>
      </c>
      <c r="J1851" s="362" t="s">
        <v>286</v>
      </c>
      <c r="W1851" s="129" t="s">
        <v>4876</v>
      </c>
      <c r="X1851" s="337" t="b">
        <f t="shared" si="62"/>
        <v>0</v>
      </c>
    </row>
    <row r="1852" spans="1:24" s="360" customFormat="1" ht="12" customHeight="1" outlineLevel="1">
      <c r="A1852" s="365"/>
      <c r="B1852" s="118" t="s">
        <v>12</v>
      </c>
      <c r="C1852" s="334" t="s">
        <v>8499</v>
      </c>
      <c r="D1852" s="124" t="s">
        <v>8500</v>
      </c>
      <c r="E1852" s="125"/>
      <c r="F1852" s="118" t="s">
        <v>433</v>
      </c>
      <c r="G1852" s="126" t="s">
        <v>8488</v>
      </c>
      <c r="H1852" s="255">
        <v>9</v>
      </c>
      <c r="I1852" s="361">
        <v>1</v>
      </c>
      <c r="J1852" s="362" t="s">
        <v>286</v>
      </c>
      <c r="W1852" s="129" t="s">
        <v>286</v>
      </c>
      <c r="X1852" s="337" t="b">
        <f t="shared" si="62"/>
        <v>1</v>
      </c>
    </row>
    <row r="1853" spans="1:24" s="360" customFormat="1" ht="12" customHeight="1" outlineLevel="1">
      <c r="A1853" s="365"/>
      <c r="B1853" s="118" t="s">
        <v>12</v>
      </c>
      <c r="C1853" s="334" t="s">
        <v>8501</v>
      </c>
      <c r="D1853" s="124" t="s">
        <v>8502</v>
      </c>
      <c r="E1853" s="125"/>
      <c r="F1853" s="118" t="s">
        <v>433</v>
      </c>
      <c r="G1853" s="126" t="s">
        <v>8488</v>
      </c>
      <c r="H1853" s="255">
        <v>9</v>
      </c>
      <c r="I1853" s="361">
        <v>1</v>
      </c>
      <c r="J1853" s="362" t="s">
        <v>286</v>
      </c>
      <c r="W1853" s="129" t="s">
        <v>286</v>
      </c>
      <c r="X1853" s="337" t="b">
        <f t="shared" si="62"/>
        <v>1</v>
      </c>
    </row>
    <row r="1854" spans="1:24" s="360" customFormat="1" ht="12" customHeight="1" outlineLevel="1">
      <c r="A1854" s="365"/>
      <c r="B1854" s="118" t="s">
        <v>12</v>
      </c>
      <c r="C1854" s="334" t="s">
        <v>8503</v>
      </c>
      <c r="D1854" s="124" t="s">
        <v>8502</v>
      </c>
      <c r="E1854" s="125"/>
      <c r="F1854" s="118" t="s">
        <v>433</v>
      </c>
      <c r="G1854" s="126" t="s">
        <v>8488</v>
      </c>
      <c r="H1854" s="255">
        <v>9</v>
      </c>
      <c r="I1854" s="361">
        <v>1</v>
      </c>
      <c r="J1854" s="362" t="s">
        <v>286</v>
      </c>
      <c r="W1854" s="129" t="s">
        <v>286</v>
      </c>
      <c r="X1854" s="337" t="b">
        <f t="shared" si="62"/>
        <v>1</v>
      </c>
    </row>
    <row r="1855" spans="1:24" ht="3" customHeight="1">
      <c r="A1855" s="370"/>
      <c r="B1855" s="118"/>
      <c r="C1855" s="334"/>
      <c r="D1855" s="124"/>
      <c r="E1855" s="125"/>
      <c r="F1855" s="118"/>
      <c r="G1855" s="126"/>
      <c r="H1855" s="255"/>
      <c r="K1855" s="363"/>
      <c r="L1855" s="129"/>
      <c r="M1855" s="129"/>
      <c r="N1855" s="129"/>
      <c r="O1855" s="129"/>
      <c r="P1855" s="372"/>
      <c r="Q1855" s="372"/>
      <c r="R1855" s="129"/>
      <c r="S1855" s="129"/>
      <c r="T1855" s="129"/>
      <c r="W1855" s="129"/>
    </row>
    <row r="1856" spans="1:24" s="360" customFormat="1" ht="12" customHeight="1">
      <c r="A1856" s="110" t="s">
        <v>619</v>
      </c>
      <c r="B1856" s="118"/>
      <c r="C1856" s="334"/>
      <c r="D1856" s="124"/>
      <c r="E1856" s="125"/>
      <c r="F1856" s="118"/>
      <c r="G1856" s="126"/>
      <c r="H1856" s="255"/>
      <c r="I1856" s="62"/>
      <c r="J1856" s="358"/>
      <c r="K1856" s="62"/>
      <c r="L1856" s="62"/>
      <c r="M1856" s="62"/>
      <c r="N1856" s="62"/>
      <c r="O1856" s="62"/>
      <c r="P1856" s="359"/>
      <c r="Q1856" s="359"/>
      <c r="R1856" s="359"/>
      <c r="S1856" s="359"/>
      <c r="T1856" s="359"/>
      <c r="W1856" s="359"/>
    </row>
    <row r="1857" spans="1:24" s="360" customFormat="1" ht="12" customHeight="1" outlineLevel="1">
      <c r="A1857" s="365"/>
      <c r="B1857" s="118" t="s">
        <v>12</v>
      </c>
      <c r="C1857" s="334" t="s">
        <v>8504</v>
      </c>
      <c r="D1857" s="124" t="s">
        <v>7101</v>
      </c>
      <c r="E1857" s="125"/>
      <c r="F1857" s="118" t="s">
        <v>622</v>
      </c>
      <c r="G1857" s="126" t="s">
        <v>8505</v>
      </c>
      <c r="H1857" s="255">
        <v>1</v>
      </c>
      <c r="I1857" s="361">
        <v>1</v>
      </c>
      <c r="J1857" s="362" t="s">
        <v>307</v>
      </c>
      <c r="K1857" s="329"/>
      <c r="L1857" s="129"/>
      <c r="M1857" s="129"/>
      <c r="N1857" s="129"/>
      <c r="O1857" s="129"/>
      <c r="P1857" s="372"/>
      <c r="Q1857" s="372"/>
      <c r="R1857" s="129"/>
      <c r="S1857" s="129"/>
      <c r="T1857" s="129"/>
      <c r="W1857" s="129" t="s">
        <v>743</v>
      </c>
      <c r="X1857" s="337" t="b">
        <f t="shared" ref="X1857:X1920" si="63">W1857=J1857</f>
        <v>0</v>
      </c>
    </row>
    <row r="1858" spans="1:24" s="360" customFormat="1" ht="12" customHeight="1" outlineLevel="1">
      <c r="A1858" s="365"/>
      <c r="B1858" s="118" t="s">
        <v>12</v>
      </c>
      <c r="C1858" s="334" t="s">
        <v>8506</v>
      </c>
      <c r="D1858" s="124" t="s">
        <v>8507</v>
      </c>
      <c r="E1858" s="125"/>
      <c r="F1858" s="118" t="s">
        <v>622</v>
      </c>
      <c r="G1858" s="126" t="s">
        <v>8505</v>
      </c>
      <c r="H1858" s="255">
        <v>1</v>
      </c>
      <c r="I1858" s="361">
        <v>1</v>
      </c>
      <c r="J1858" s="362" t="s">
        <v>286</v>
      </c>
      <c r="K1858" s="329"/>
      <c r="L1858" s="129"/>
      <c r="M1858" s="129"/>
      <c r="N1858" s="129"/>
      <c r="O1858" s="129"/>
      <c r="P1858" s="372"/>
      <c r="Q1858" s="372"/>
      <c r="R1858" s="129"/>
      <c r="S1858" s="129"/>
      <c r="T1858" s="129"/>
      <c r="W1858" s="129" t="s">
        <v>307</v>
      </c>
      <c r="X1858" s="337" t="b">
        <f t="shared" si="63"/>
        <v>0</v>
      </c>
    </row>
    <row r="1859" spans="1:24" s="360" customFormat="1" ht="12" customHeight="1" outlineLevel="1">
      <c r="A1859" s="365"/>
      <c r="B1859" s="118" t="s">
        <v>12</v>
      </c>
      <c r="C1859" s="334" t="s">
        <v>8508</v>
      </c>
      <c r="D1859" s="124" t="s">
        <v>8509</v>
      </c>
      <c r="E1859" s="125"/>
      <c r="F1859" s="118" t="s">
        <v>622</v>
      </c>
      <c r="G1859" s="126" t="s">
        <v>8505</v>
      </c>
      <c r="H1859" s="255">
        <v>1</v>
      </c>
      <c r="I1859" s="361">
        <v>1</v>
      </c>
      <c r="J1859" s="362" t="s">
        <v>307</v>
      </c>
      <c r="K1859" s="329"/>
      <c r="L1859" s="129"/>
      <c r="M1859" s="129"/>
      <c r="N1859" s="129"/>
      <c r="O1859" s="129"/>
      <c r="P1859" s="372"/>
      <c r="Q1859" s="372"/>
      <c r="R1859" s="129"/>
      <c r="S1859" s="129"/>
      <c r="T1859" s="129"/>
      <c r="W1859" s="129" t="s">
        <v>325</v>
      </c>
      <c r="X1859" s="337" t="b">
        <f t="shared" si="63"/>
        <v>0</v>
      </c>
    </row>
    <row r="1860" spans="1:24" s="360" customFormat="1" ht="12" customHeight="1" outlineLevel="1">
      <c r="A1860" s="365"/>
      <c r="B1860" s="118" t="s">
        <v>12</v>
      </c>
      <c r="C1860" s="334" t="s">
        <v>8510</v>
      </c>
      <c r="D1860" s="124" t="s">
        <v>8511</v>
      </c>
      <c r="E1860" s="125"/>
      <c r="F1860" s="118" t="s">
        <v>622</v>
      </c>
      <c r="G1860" s="126" t="s">
        <v>8505</v>
      </c>
      <c r="H1860" s="255">
        <v>1</v>
      </c>
      <c r="I1860" s="361">
        <v>1</v>
      </c>
      <c r="J1860" s="362" t="s">
        <v>286</v>
      </c>
      <c r="K1860" s="329"/>
      <c r="L1860" s="129"/>
      <c r="M1860" s="129"/>
      <c r="N1860" s="129"/>
      <c r="O1860" s="129"/>
      <c r="P1860" s="372"/>
      <c r="Q1860" s="372"/>
      <c r="R1860" s="129"/>
      <c r="S1860" s="129"/>
      <c r="T1860" s="129"/>
      <c r="W1860" s="129" t="s">
        <v>286</v>
      </c>
      <c r="X1860" s="337" t="b">
        <f t="shared" si="63"/>
        <v>1</v>
      </c>
    </row>
    <row r="1861" spans="1:24" s="360" customFormat="1" ht="12" customHeight="1" outlineLevel="1">
      <c r="A1861" s="365"/>
      <c r="B1861" s="118" t="s">
        <v>12</v>
      </c>
      <c r="C1861" s="334" t="s">
        <v>8512</v>
      </c>
      <c r="D1861" s="124" t="s">
        <v>8513</v>
      </c>
      <c r="E1861" s="125"/>
      <c r="F1861" s="118" t="s">
        <v>622</v>
      </c>
      <c r="G1861" s="126" t="s">
        <v>8505</v>
      </c>
      <c r="H1861" s="255">
        <v>1</v>
      </c>
      <c r="I1861" s="361">
        <v>1</v>
      </c>
      <c r="J1861" s="362" t="s">
        <v>286</v>
      </c>
      <c r="K1861" s="329"/>
      <c r="L1861" s="129"/>
      <c r="M1861" s="129"/>
      <c r="N1861" s="129"/>
      <c r="O1861" s="129"/>
      <c r="P1861" s="372"/>
      <c r="Q1861" s="372"/>
      <c r="R1861" s="129"/>
      <c r="S1861" s="129"/>
      <c r="T1861" s="129"/>
      <c r="W1861" s="129" t="s">
        <v>310</v>
      </c>
      <c r="X1861" s="337" t="b">
        <f t="shared" si="63"/>
        <v>0</v>
      </c>
    </row>
    <row r="1862" spans="1:24" s="360" customFormat="1" ht="12" customHeight="1" outlineLevel="1">
      <c r="A1862" s="365"/>
      <c r="B1862" s="118" t="s">
        <v>12</v>
      </c>
      <c r="C1862" s="334" t="s">
        <v>8514</v>
      </c>
      <c r="D1862" s="124" t="s">
        <v>8515</v>
      </c>
      <c r="E1862" s="125"/>
      <c r="F1862" s="118" t="s">
        <v>622</v>
      </c>
      <c r="G1862" s="126" t="s">
        <v>8505</v>
      </c>
      <c r="H1862" s="255">
        <v>1</v>
      </c>
      <c r="I1862" s="361">
        <v>1</v>
      </c>
      <c r="J1862" s="362" t="s">
        <v>286</v>
      </c>
      <c r="K1862" s="329"/>
      <c r="L1862" s="129"/>
      <c r="M1862" s="129"/>
      <c r="N1862" s="129"/>
      <c r="O1862" s="129"/>
      <c r="P1862" s="372"/>
      <c r="Q1862" s="372"/>
      <c r="R1862" s="129"/>
      <c r="S1862" s="129"/>
      <c r="T1862" s="129"/>
      <c r="W1862" s="129" t="s">
        <v>310</v>
      </c>
      <c r="X1862" s="337" t="b">
        <f t="shared" si="63"/>
        <v>0</v>
      </c>
    </row>
    <row r="1863" spans="1:24" s="360" customFormat="1" ht="12" customHeight="1" outlineLevel="1">
      <c r="A1863" s="365"/>
      <c r="B1863" s="118" t="s">
        <v>12</v>
      </c>
      <c r="C1863" s="334" t="s">
        <v>8516</v>
      </c>
      <c r="D1863" s="124" t="s">
        <v>8517</v>
      </c>
      <c r="E1863" s="125"/>
      <c r="F1863" s="118" t="s">
        <v>622</v>
      </c>
      <c r="G1863" s="126" t="s">
        <v>8505</v>
      </c>
      <c r="H1863" s="255">
        <v>1</v>
      </c>
      <c r="I1863" s="361">
        <v>1</v>
      </c>
      <c r="J1863" s="362" t="s">
        <v>286</v>
      </c>
      <c r="K1863" s="329"/>
      <c r="L1863" s="129"/>
      <c r="M1863" s="129"/>
      <c r="N1863" s="129"/>
      <c r="O1863" s="129"/>
      <c r="P1863" s="372"/>
      <c r="Q1863" s="372"/>
      <c r="R1863" s="129"/>
      <c r="S1863" s="129"/>
      <c r="T1863" s="129"/>
      <c r="W1863" s="129" t="s">
        <v>310</v>
      </c>
      <c r="X1863" s="337" t="b">
        <f t="shared" si="63"/>
        <v>0</v>
      </c>
    </row>
    <row r="1864" spans="1:24" s="360" customFormat="1" ht="12" customHeight="1" outlineLevel="1">
      <c r="A1864" s="365"/>
      <c r="B1864" s="118" t="s">
        <v>12</v>
      </c>
      <c r="C1864" s="334" t="s">
        <v>8518</v>
      </c>
      <c r="D1864" s="124" t="s">
        <v>8519</v>
      </c>
      <c r="E1864" s="125"/>
      <c r="F1864" s="118" t="s">
        <v>622</v>
      </c>
      <c r="G1864" s="126" t="s">
        <v>8505</v>
      </c>
      <c r="H1864" s="255">
        <v>1</v>
      </c>
      <c r="I1864" s="361">
        <v>1</v>
      </c>
      <c r="J1864" s="362" t="s">
        <v>310</v>
      </c>
      <c r="K1864" s="329"/>
      <c r="L1864" s="129"/>
      <c r="M1864" s="129"/>
      <c r="N1864" s="129"/>
      <c r="O1864" s="129"/>
      <c r="P1864" s="372"/>
      <c r="Q1864" s="372"/>
      <c r="R1864" s="129"/>
      <c r="S1864" s="129"/>
      <c r="T1864" s="129"/>
      <c r="W1864" s="129" t="s">
        <v>307</v>
      </c>
      <c r="X1864" s="337" t="b">
        <f t="shared" si="63"/>
        <v>0</v>
      </c>
    </row>
    <row r="1865" spans="1:24" s="360" customFormat="1" ht="12" customHeight="1" outlineLevel="1">
      <c r="A1865" s="365"/>
      <c r="B1865" s="118" t="s">
        <v>12</v>
      </c>
      <c r="C1865" s="334" t="s">
        <v>8520</v>
      </c>
      <c r="D1865" s="124" t="s">
        <v>8521</v>
      </c>
      <c r="E1865" s="125"/>
      <c r="F1865" s="118" t="s">
        <v>622</v>
      </c>
      <c r="G1865" s="126" t="s">
        <v>8505</v>
      </c>
      <c r="H1865" s="255">
        <v>1</v>
      </c>
      <c r="I1865" s="361">
        <v>1</v>
      </c>
      <c r="J1865" s="362" t="s">
        <v>310</v>
      </c>
      <c r="K1865" s="329"/>
      <c r="L1865" s="129"/>
      <c r="M1865" s="129"/>
      <c r="N1865" s="129"/>
      <c r="O1865" s="129"/>
      <c r="P1865" s="372"/>
      <c r="Q1865" s="372"/>
      <c r="R1865" s="129"/>
      <c r="S1865" s="129"/>
      <c r="T1865" s="129"/>
      <c r="W1865" s="129" t="s">
        <v>307</v>
      </c>
      <c r="X1865" s="337" t="b">
        <f t="shared" si="63"/>
        <v>0</v>
      </c>
    </row>
    <row r="1866" spans="1:24" s="360" customFormat="1" ht="12" customHeight="1" outlineLevel="1">
      <c r="A1866" s="365"/>
      <c r="B1866" s="118" t="s">
        <v>12</v>
      </c>
      <c r="C1866" s="334" t="s">
        <v>8522</v>
      </c>
      <c r="D1866" s="124" t="s">
        <v>8523</v>
      </c>
      <c r="E1866" s="125"/>
      <c r="F1866" s="118" t="s">
        <v>622</v>
      </c>
      <c r="G1866" s="126" t="s">
        <v>8505</v>
      </c>
      <c r="H1866" s="255">
        <v>1</v>
      </c>
      <c r="I1866" s="361">
        <v>1</v>
      </c>
      <c r="J1866" s="362" t="s">
        <v>310</v>
      </c>
      <c r="K1866" s="329"/>
      <c r="L1866" s="129"/>
      <c r="M1866" s="129"/>
      <c r="N1866" s="129"/>
      <c r="O1866" s="129"/>
      <c r="P1866" s="372"/>
      <c r="Q1866" s="372"/>
      <c r="R1866" s="129"/>
      <c r="S1866" s="129"/>
      <c r="T1866" s="129"/>
      <c r="W1866" s="129" t="s">
        <v>307</v>
      </c>
      <c r="X1866" s="337" t="b">
        <f t="shared" si="63"/>
        <v>0</v>
      </c>
    </row>
    <row r="1867" spans="1:24" s="360" customFormat="1" ht="12" customHeight="1" outlineLevel="1">
      <c r="A1867" s="365"/>
      <c r="B1867" s="118" t="s">
        <v>12</v>
      </c>
      <c r="C1867" s="334" t="s">
        <v>8524</v>
      </c>
      <c r="D1867" s="124" t="s">
        <v>8525</v>
      </c>
      <c r="E1867" s="125"/>
      <c r="F1867" s="118" t="s">
        <v>622</v>
      </c>
      <c r="G1867" s="126" t="s">
        <v>8505</v>
      </c>
      <c r="H1867" s="255">
        <v>1</v>
      </c>
      <c r="I1867" s="361">
        <v>1</v>
      </c>
      <c r="J1867" s="362" t="s">
        <v>286</v>
      </c>
      <c r="K1867" s="329"/>
      <c r="L1867" s="129"/>
      <c r="M1867" s="129"/>
      <c r="N1867" s="129"/>
      <c r="O1867" s="129"/>
      <c r="P1867" s="372"/>
      <c r="Q1867" s="372"/>
      <c r="R1867" s="129"/>
      <c r="S1867" s="129"/>
      <c r="T1867" s="129"/>
      <c r="W1867" s="129" t="s">
        <v>310</v>
      </c>
      <c r="X1867" s="337" t="b">
        <f t="shared" si="63"/>
        <v>0</v>
      </c>
    </row>
    <row r="1868" spans="1:24" s="360" customFormat="1" ht="12" customHeight="1" outlineLevel="1">
      <c r="A1868" s="365"/>
      <c r="B1868" s="118" t="s">
        <v>12</v>
      </c>
      <c r="C1868" s="334" t="s">
        <v>8526</v>
      </c>
      <c r="D1868" s="124" t="s">
        <v>8527</v>
      </c>
      <c r="E1868" s="125"/>
      <c r="F1868" s="118" t="s">
        <v>622</v>
      </c>
      <c r="G1868" s="126" t="s">
        <v>8505</v>
      </c>
      <c r="H1868" s="255">
        <v>1</v>
      </c>
      <c r="I1868" s="361">
        <v>1</v>
      </c>
      <c r="J1868" s="362" t="s">
        <v>286</v>
      </c>
      <c r="K1868" s="329"/>
      <c r="L1868" s="129"/>
      <c r="M1868" s="129"/>
      <c r="N1868" s="129"/>
      <c r="O1868" s="129"/>
      <c r="P1868" s="372"/>
      <c r="Q1868" s="372"/>
      <c r="R1868" s="129"/>
      <c r="S1868" s="129"/>
      <c r="T1868" s="129"/>
      <c r="W1868" s="129" t="s">
        <v>310</v>
      </c>
      <c r="X1868" s="337" t="b">
        <f t="shared" si="63"/>
        <v>0</v>
      </c>
    </row>
    <row r="1869" spans="1:24" s="360" customFormat="1" ht="12" customHeight="1" outlineLevel="1">
      <c r="A1869" s="365"/>
      <c r="B1869" s="118" t="s">
        <v>12</v>
      </c>
      <c r="C1869" s="334" t="s">
        <v>8528</v>
      </c>
      <c r="D1869" s="124" t="s">
        <v>8529</v>
      </c>
      <c r="E1869" s="125"/>
      <c r="F1869" s="118" t="s">
        <v>622</v>
      </c>
      <c r="G1869" s="126" t="s">
        <v>8505</v>
      </c>
      <c r="H1869" s="255">
        <v>1</v>
      </c>
      <c r="I1869" s="361">
        <v>1</v>
      </c>
      <c r="J1869" s="362" t="s">
        <v>286</v>
      </c>
      <c r="K1869" s="329"/>
      <c r="L1869" s="129"/>
      <c r="M1869" s="129"/>
      <c r="N1869" s="129"/>
      <c r="O1869" s="129"/>
      <c r="P1869" s="372"/>
      <c r="Q1869" s="372"/>
      <c r="R1869" s="129"/>
      <c r="S1869" s="129"/>
      <c r="T1869" s="129"/>
      <c r="W1869" s="129" t="s">
        <v>310</v>
      </c>
      <c r="X1869" s="337" t="b">
        <f t="shared" si="63"/>
        <v>0</v>
      </c>
    </row>
    <row r="1870" spans="1:24" s="360" customFormat="1" ht="12" customHeight="1" outlineLevel="1">
      <c r="A1870" s="365"/>
      <c r="B1870" s="118" t="s">
        <v>12</v>
      </c>
      <c r="C1870" s="334" t="s">
        <v>8530</v>
      </c>
      <c r="D1870" s="124" t="s">
        <v>8531</v>
      </c>
      <c r="E1870" s="125"/>
      <c r="F1870" s="118" t="s">
        <v>622</v>
      </c>
      <c r="G1870" s="126" t="s">
        <v>8505</v>
      </c>
      <c r="H1870" s="255">
        <v>1</v>
      </c>
      <c r="I1870" s="361">
        <v>1</v>
      </c>
      <c r="J1870" s="362" t="s">
        <v>286</v>
      </c>
      <c r="K1870" s="329"/>
      <c r="L1870" s="129"/>
      <c r="M1870" s="129"/>
      <c r="N1870" s="129"/>
      <c r="O1870" s="129"/>
      <c r="P1870" s="372"/>
      <c r="Q1870" s="372"/>
      <c r="R1870" s="129"/>
      <c r="S1870" s="129"/>
      <c r="T1870" s="129"/>
      <c r="W1870" s="129" t="s">
        <v>310</v>
      </c>
      <c r="X1870" s="337" t="b">
        <f t="shared" si="63"/>
        <v>0</v>
      </c>
    </row>
    <row r="1871" spans="1:24" s="360" customFormat="1" ht="12" customHeight="1" outlineLevel="1">
      <c r="A1871" s="365"/>
      <c r="B1871" s="118" t="s">
        <v>12</v>
      </c>
      <c r="C1871" s="334" t="s">
        <v>8532</v>
      </c>
      <c r="D1871" s="124" t="s">
        <v>8533</v>
      </c>
      <c r="E1871" s="125"/>
      <c r="F1871" s="118" t="s">
        <v>622</v>
      </c>
      <c r="G1871" s="126" t="s">
        <v>8505</v>
      </c>
      <c r="H1871" s="255">
        <v>1</v>
      </c>
      <c r="I1871" s="361">
        <v>1</v>
      </c>
      <c r="J1871" s="362" t="s">
        <v>310</v>
      </c>
      <c r="K1871" s="329"/>
      <c r="L1871" s="129"/>
      <c r="M1871" s="129"/>
      <c r="N1871" s="129"/>
      <c r="O1871" s="129"/>
      <c r="P1871" s="372"/>
      <c r="Q1871" s="372"/>
      <c r="R1871" s="129"/>
      <c r="S1871" s="129"/>
      <c r="T1871" s="129"/>
      <c r="W1871" s="129" t="s">
        <v>307</v>
      </c>
      <c r="X1871" s="337" t="b">
        <f t="shared" si="63"/>
        <v>0</v>
      </c>
    </row>
    <row r="1872" spans="1:24" s="360" customFormat="1" ht="12" customHeight="1" outlineLevel="1">
      <c r="A1872" s="365"/>
      <c r="B1872" s="118" t="s">
        <v>12</v>
      </c>
      <c r="C1872" s="334" t="s">
        <v>8534</v>
      </c>
      <c r="D1872" s="124" t="s">
        <v>8535</v>
      </c>
      <c r="E1872" s="125"/>
      <c r="F1872" s="118" t="s">
        <v>622</v>
      </c>
      <c r="G1872" s="126" t="s">
        <v>8505</v>
      </c>
      <c r="H1872" s="255">
        <v>1</v>
      </c>
      <c r="I1872" s="361">
        <v>1</v>
      </c>
      <c r="J1872" s="362" t="s">
        <v>310</v>
      </c>
      <c r="K1872" s="329"/>
      <c r="L1872" s="129"/>
      <c r="M1872" s="129"/>
      <c r="N1872" s="129"/>
      <c r="O1872" s="129"/>
      <c r="P1872" s="372"/>
      <c r="Q1872" s="372"/>
      <c r="R1872" s="129"/>
      <c r="S1872" s="129"/>
      <c r="T1872" s="129"/>
      <c r="W1872" s="129" t="s">
        <v>307</v>
      </c>
      <c r="X1872" s="337" t="b">
        <f t="shared" si="63"/>
        <v>0</v>
      </c>
    </row>
    <row r="1873" spans="1:24" s="360" customFormat="1" ht="12" customHeight="1" outlineLevel="1">
      <c r="A1873" s="365"/>
      <c r="B1873" s="118" t="s">
        <v>12</v>
      </c>
      <c r="C1873" s="334" t="s">
        <v>8536</v>
      </c>
      <c r="D1873" s="124" t="s">
        <v>8537</v>
      </c>
      <c r="E1873" s="125"/>
      <c r="F1873" s="118" t="s">
        <v>622</v>
      </c>
      <c r="G1873" s="126" t="s">
        <v>8505</v>
      </c>
      <c r="H1873" s="255">
        <v>1</v>
      </c>
      <c r="I1873" s="361">
        <v>1</v>
      </c>
      <c r="J1873" s="362" t="s">
        <v>310</v>
      </c>
      <c r="K1873" s="329"/>
      <c r="L1873" s="129"/>
      <c r="M1873" s="129"/>
      <c r="N1873" s="129"/>
      <c r="O1873" s="129"/>
      <c r="P1873" s="372"/>
      <c r="Q1873" s="372"/>
      <c r="R1873" s="129"/>
      <c r="S1873" s="129"/>
      <c r="T1873" s="129"/>
      <c r="W1873" s="129" t="s">
        <v>307</v>
      </c>
      <c r="X1873" s="337" t="b">
        <f t="shared" si="63"/>
        <v>0</v>
      </c>
    </row>
    <row r="1874" spans="1:24" s="360" customFormat="1" ht="12" customHeight="1" outlineLevel="1">
      <c r="A1874" s="365"/>
      <c r="B1874" s="118" t="s">
        <v>12</v>
      </c>
      <c r="C1874" s="334" t="s">
        <v>8538</v>
      </c>
      <c r="D1874" s="124" t="s">
        <v>8539</v>
      </c>
      <c r="E1874" s="125"/>
      <c r="F1874" s="118" t="s">
        <v>622</v>
      </c>
      <c r="G1874" s="126" t="s">
        <v>8505</v>
      </c>
      <c r="H1874" s="255">
        <v>1</v>
      </c>
      <c r="I1874" s="361">
        <v>1</v>
      </c>
      <c r="J1874" s="362" t="s">
        <v>286</v>
      </c>
      <c r="K1874" s="329"/>
      <c r="L1874" s="129"/>
      <c r="M1874" s="129"/>
      <c r="N1874" s="129"/>
      <c r="O1874" s="129"/>
      <c r="P1874" s="372"/>
      <c r="Q1874" s="372"/>
      <c r="R1874" s="129"/>
      <c r="S1874" s="129"/>
      <c r="T1874" s="129"/>
      <c r="W1874" s="129" t="s">
        <v>310</v>
      </c>
      <c r="X1874" s="337" t="b">
        <f t="shared" si="63"/>
        <v>0</v>
      </c>
    </row>
    <row r="1875" spans="1:24" s="360" customFormat="1" ht="12" customHeight="1" outlineLevel="1">
      <c r="A1875" s="365"/>
      <c r="B1875" s="118" t="s">
        <v>12</v>
      </c>
      <c r="C1875" s="334" t="s">
        <v>8540</v>
      </c>
      <c r="D1875" s="124" t="s">
        <v>8541</v>
      </c>
      <c r="E1875" s="125"/>
      <c r="F1875" s="118" t="s">
        <v>622</v>
      </c>
      <c r="G1875" s="126" t="s">
        <v>8505</v>
      </c>
      <c r="H1875" s="255">
        <v>1</v>
      </c>
      <c r="I1875" s="361">
        <v>1</v>
      </c>
      <c r="J1875" s="362" t="s">
        <v>286</v>
      </c>
      <c r="K1875" s="329"/>
      <c r="L1875" s="129"/>
      <c r="M1875" s="129"/>
      <c r="N1875" s="129"/>
      <c r="O1875" s="129"/>
      <c r="P1875" s="372"/>
      <c r="Q1875" s="372"/>
      <c r="R1875" s="129"/>
      <c r="S1875" s="129"/>
      <c r="T1875" s="129"/>
      <c r="W1875" s="129" t="s">
        <v>286</v>
      </c>
      <c r="X1875" s="337" t="b">
        <f t="shared" si="63"/>
        <v>1</v>
      </c>
    </row>
    <row r="1876" spans="1:24" s="360" customFormat="1" ht="12" customHeight="1" outlineLevel="1">
      <c r="A1876" s="365"/>
      <c r="B1876" s="118" t="s">
        <v>12</v>
      </c>
      <c r="C1876" s="334" t="s">
        <v>8542</v>
      </c>
      <c r="D1876" s="124" t="s">
        <v>8543</v>
      </c>
      <c r="E1876" s="125"/>
      <c r="F1876" s="118" t="s">
        <v>622</v>
      </c>
      <c r="G1876" s="126" t="s">
        <v>8505</v>
      </c>
      <c r="H1876" s="255">
        <v>1</v>
      </c>
      <c r="I1876" s="361">
        <v>1</v>
      </c>
      <c r="J1876" s="362" t="s">
        <v>286</v>
      </c>
      <c r="K1876" s="329"/>
      <c r="L1876" s="129"/>
      <c r="M1876" s="129"/>
      <c r="N1876" s="129"/>
      <c r="O1876" s="129"/>
      <c r="P1876" s="372"/>
      <c r="Q1876" s="372"/>
      <c r="R1876" s="129"/>
      <c r="S1876" s="129"/>
      <c r="T1876" s="129"/>
      <c r="W1876" s="129" t="s">
        <v>286</v>
      </c>
      <c r="X1876" s="337" t="b">
        <f t="shared" si="63"/>
        <v>1</v>
      </c>
    </row>
    <row r="1877" spans="1:24" s="360" customFormat="1" ht="12" customHeight="1" outlineLevel="1">
      <c r="A1877" s="365"/>
      <c r="B1877" s="118" t="s">
        <v>12</v>
      </c>
      <c r="C1877" s="334" t="s">
        <v>8544</v>
      </c>
      <c r="D1877" s="124" t="s">
        <v>8545</v>
      </c>
      <c r="E1877" s="125"/>
      <c r="F1877" s="118" t="s">
        <v>622</v>
      </c>
      <c r="G1877" s="126" t="s">
        <v>8505</v>
      </c>
      <c r="H1877" s="255">
        <v>1</v>
      </c>
      <c r="I1877" s="361">
        <v>1</v>
      </c>
      <c r="J1877" s="362" t="s">
        <v>286</v>
      </c>
      <c r="K1877" s="329"/>
      <c r="L1877" s="129"/>
      <c r="M1877" s="129"/>
      <c r="N1877" s="129"/>
      <c r="O1877" s="129"/>
      <c r="P1877" s="372"/>
      <c r="Q1877" s="372"/>
      <c r="R1877" s="129"/>
      <c r="S1877" s="129"/>
      <c r="T1877" s="129"/>
      <c r="W1877" s="129" t="s">
        <v>286</v>
      </c>
      <c r="X1877" s="337" t="b">
        <f t="shared" si="63"/>
        <v>1</v>
      </c>
    </row>
    <row r="1878" spans="1:24" s="360" customFormat="1" ht="12" customHeight="1" outlineLevel="1">
      <c r="A1878" s="365"/>
      <c r="B1878" s="118" t="s">
        <v>12</v>
      </c>
      <c r="C1878" s="334" t="s">
        <v>8546</v>
      </c>
      <c r="D1878" s="124" t="s">
        <v>8547</v>
      </c>
      <c r="E1878" s="125"/>
      <c r="F1878" s="118" t="s">
        <v>622</v>
      </c>
      <c r="G1878" s="126" t="s">
        <v>8505</v>
      </c>
      <c r="H1878" s="255">
        <v>1</v>
      </c>
      <c r="I1878" s="361">
        <v>1</v>
      </c>
      <c r="J1878" s="362" t="s">
        <v>286</v>
      </c>
      <c r="K1878" s="329"/>
      <c r="L1878" s="129"/>
      <c r="M1878" s="129"/>
      <c r="N1878" s="129"/>
      <c r="O1878" s="129"/>
      <c r="P1878" s="372"/>
      <c r="Q1878" s="372"/>
      <c r="R1878" s="129"/>
      <c r="S1878" s="129"/>
      <c r="T1878" s="129"/>
      <c r="W1878" s="129" t="s">
        <v>286</v>
      </c>
      <c r="X1878" s="337" t="b">
        <f t="shared" si="63"/>
        <v>1</v>
      </c>
    </row>
    <row r="1879" spans="1:24" s="360" customFormat="1" ht="12" customHeight="1" outlineLevel="1">
      <c r="A1879" s="365"/>
      <c r="B1879" s="118" t="s">
        <v>12</v>
      </c>
      <c r="C1879" s="334" t="s">
        <v>8548</v>
      </c>
      <c r="D1879" s="124" t="s">
        <v>8549</v>
      </c>
      <c r="E1879" s="125"/>
      <c r="F1879" s="118" t="s">
        <v>622</v>
      </c>
      <c r="G1879" s="126" t="s">
        <v>8505</v>
      </c>
      <c r="H1879" s="255">
        <v>1</v>
      </c>
      <c r="I1879" s="361">
        <v>1</v>
      </c>
      <c r="J1879" s="362" t="s">
        <v>286</v>
      </c>
      <c r="K1879" s="329"/>
      <c r="L1879" s="129"/>
      <c r="M1879" s="129"/>
      <c r="N1879" s="129"/>
      <c r="O1879" s="129"/>
      <c r="P1879" s="372"/>
      <c r="Q1879" s="372"/>
      <c r="R1879" s="129"/>
      <c r="S1879" s="129"/>
      <c r="T1879" s="129"/>
      <c r="W1879" s="129" t="s">
        <v>286</v>
      </c>
      <c r="X1879" s="337" t="b">
        <f t="shared" si="63"/>
        <v>1</v>
      </c>
    </row>
    <row r="1880" spans="1:24" s="360" customFormat="1" ht="12" customHeight="1" outlineLevel="1">
      <c r="A1880" s="365"/>
      <c r="B1880" s="118" t="s">
        <v>12</v>
      </c>
      <c r="C1880" s="334" t="s">
        <v>8550</v>
      </c>
      <c r="D1880" s="124" t="s">
        <v>8551</v>
      </c>
      <c r="E1880" s="125"/>
      <c r="F1880" s="118" t="s">
        <v>622</v>
      </c>
      <c r="G1880" s="126" t="s">
        <v>8505</v>
      </c>
      <c r="H1880" s="255">
        <v>1</v>
      </c>
      <c r="I1880" s="361">
        <v>1</v>
      </c>
      <c r="J1880" s="362" t="s">
        <v>286</v>
      </c>
      <c r="K1880" s="329"/>
      <c r="L1880" s="129"/>
      <c r="M1880" s="129"/>
      <c r="N1880" s="129"/>
      <c r="O1880" s="129"/>
      <c r="P1880" s="372"/>
      <c r="Q1880" s="372"/>
      <c r="R1880" s="129"/>
      <c r="S1880" s="129"/>
      <c r="T1880" s="129"/>
      <c r="W1880" s="129" t="s">
        <v>286</v>
      </c>
      <c r="X1880" s="337" t="b">
        <f t="shared" si="63"/>
        <v>1</v>
      </c>
    </row>
    <row r="1881" spans="1:24" s="360" customFormat="1" ht="12" customHeight="1" outlineLevel="1">
      <c r="A1881" s="365"/>
      <c r="B1881" s="118" t="s">
        <v>12</v>
      </c>
      <c r="C1881" s="334" t="s">
        <v>8552</v>
      </c>
      <c r="D1881" s="124" t="s">
        <v>8553</v>
      </c>
      <c r="E1881" s="125"/>
      <c r="F1881" s="118" t="s">
        <v>622</v>
      </c>
      <c r="G1881" s="126" t="s">
        <v>8505</v>
      </c>
      <c r="H1881" s="255">
        <v>1</v>
      </c>
      <c r="I1881" s="361">
        <v>1</v>
      </c>
      <c r="J1881" s="362" t="s">
        <v>286</v>
      </c>
      <c r="K1881" s="329"/>
      <c r="L1881" s="129"/>
      <c r="M1881" s="129"/>
      <c r="N1881" s="129"/>
      <c r="O1881" s="129"/>
      <c r="P1881" s="372"/>
      <c r="Q1881" s="372"/>
      <c r="R1881" s="129"/>
      <c r="S1881" s="129"/>
      <c r="T1881" s="129"/>
      <c r="W1881" s="129" t="s">
        <v>286</v>
      </c>
      <c r="X1881" s="337" t="b">
        <f t="shared" si="63"/>
        <v>1</v>
      </c>
    </row>
    <row r="1882" spans="1:24" s="360" customFormat="1" ht="12" customHeight="1" outlineLevel="1">
      <c r="A1882" s="365"/>
      <c r="B1882" s="118" t="s">
        <v>12</v>
      </c>
      <c r="C1882" s="334" t="s">
        <v>8554</v>
      </c>
      <c r="D1882" s="124" t="s">
        <v>8555</v>
      </c>
      <c r="E1882" s="125"/>
      <c r="F1882" s="118" t="s">
        <v>622</v>
      </c>
      <c r="G1882" s="126" t="s">
        <v>8505</v>
      </c>
      <c r="H1882" s="255">
        <v>1</v>
      </c>
      <c r="I1882" s="361">
        <v>1</v>
      </c>
      <c r="J1882" s="362" t="s">
        <v>286</v>
      </c>
      <c r="K1882" s="329"/>
      <c r="L1882" s="129"/>
      <c r="M1882" s="129"/>
      <c r="N1882" s="129"/>
      <c r="O1882" s="129"/>
      <c r="P1882" s="372"/>
      <c r="Q1882" s="372"/>
      <c r="R1882" s="129"/>
      <c r="S1882" s="129"/>
      <c r="T1882" s="129"/>
      <c r="W1882" s="129" t="s">
        <v>286</v>
      </c>
      <c r="X1882" s="337" t="b">
        <f t="shared" si="63"/>
        <v>1</v>
      </c>
    </row>
    <row r="1883" spans="1:24" s="360" customFormat="1" ht="12" customHeight="1" outlineLevel="1">
      <c r="A1883" s="365"/>
      <c r="B1883" s="118" t="s">
        <v>12</v>
      </c>
      <c r="C1883" s="334" t="s">
        <v>8556</v>
      </c>
      <c r="D1883" s="124" t="s">
        <v>8557</v>
      </c>
      <c r="E1883" s="125"/>
      <c r="F1883" s="118" t="s">
        <v>622</v>
      </c>
      <c r="G1883" s="126" t="s">
        <v>8505</v>
      </c>
      <c r="H1883" s="255">
        <v>1</v>
      </c>
      <c r="I1883" s="361">
        <v>1</v>
      </c>
      <c r="J1883" s="362" t="s">
        <v>286</v>
      </c>
      <c r="K1883" s="329"/>
      <c r="L1883" s="129"/>
      <c r="M1883" s="129"/>
      <c r="N1883" s="129"/>
      <c r="O1883" s="129"/>
      <c r="P1883" s="372"/>
      <c r="Q1883" s="372"/>
      <c r="R1883" s="129"/>
      <c r="S1883" s="129"/>
      <c r="T1883" s="129"/>
      <c r="W1883" s="129" t="s">
        <v>286</v>
      </c>
      <c r="X1883" s="337" t="b">
        <f t="shared" si="63"/>
        <v>1</v>
      </c>
    </row>
    <row r="1884" spans="1:24" s="360" customFormat="1" ht="12" customHeight="1" outlineLevel="1">
      <c r="A1884" s="365"/>
      <c r="B1884" s="118" t="s">
        <v>12</v>
      </c>
      <c r="C1884" s="334" t="s">
        <v>8558</v>
      </c>
      <c r="D1884" s="124" t="s">
        <v>8559</v>
      </c>
      <c r="E1884" s="125"/>
      <c r="F1884" s="118" t="s">
        <v>622</v>
      </c>
      <c r="G1884" s="126" t="s">
        <v>8505</v>
      </c>
      <c r="H1884" s="255">
        <v>1</v>
      </c>
      <c r="I1884" s="361">
        <v>1</v>
      </c>
      <c r="J1884" s="362" t="s">
        <v>310</v>
      </c>
      <c r="K1884" s="329"/>
      <c r="L1884" s="129"/>
      <c r="M1884" s="129"/>
      <c r="N1884" s="129"/>
      <c r="O1884" s="129"/>
      <c r="P1884" s="372"/>
      <c r="Q1884" s="372"/>
      <c r="R1884" s="129"/>
      <c r="S1884" s="129"/>
      <c r="T1884" s="129"/>
      <c r="W1884" s="129" t="s">
        <v>307</v>
      </c>
      <c r="X1884" s="337" t="b">
        <f t="shared" si="63"/>
        <v>0</v>
      </c>
    </row>
    <row r="1885" spans="1:24" s="360" customFormat="1" ht="12" customHeight="1" outlineLevel="1">
      <c r="A1885" s="365"/>
      <c r="B1885" s="118" t="s">
        <v>12</v>
      </c>
      <c r="C1885" s="334" t="s">
        <v>8560</v>
      </c>
      <c r="D1885" s="124" t="s">
        <v>8561</v>
      </c>
      <c r="E1885" s="125"/>
      <c r="F1885" s="118" t="s">
        <v>622</v>
      </c>
      <c r="G1885" s="126" t="s">
        <v>8505</v>
      </c>
      <c r="H1885" s="255">
        <v>1</v>
      </c>
      <c r="I1885" s="361">
        <v>1</v>
      </c>
      <c r="J1885" s="362" t="s">
        <v>286</v>
      </c>
      <c r="K1885" s="329"/>
      <c r="L1885" s="129"/>
      <c r="M1885" s="129"/>
      <c r="N1885" s="129"/>
      <c r="O1885" s="129"/>
      <c r="P1885" s="372"/>
      <c r="Q1885" s="372"/>
      <c r="R1885" s="129"/>
      <c r="S1885" s="129"/>
      <c r="T1885" s="129"/>
      <c r="W1885" s="129" t="s">
        <v>310</v>
      </c>
      <c r="X1885" s="337" t="b">
        <f t="shared" si="63"/>
        <v>0</v>
      </c>
    </row>
    <row r="1886" spans="1:24" s="360" customFormat="1" ht="12" customHeight="1" outlineLevel="1">
      <c r="A1886" s="365"/>
      <c r="B1886" s="118" t="s">
        <v>12</v>
      </c>
      <c r="C1886" s="334" t="s">
        <v>8562</v>
      </c>
      <c r="D1886" s="124" t="s">
        <v>8563</v>
      </c>
      <c r="E1886" s="125"/>
      <c r="F1886" s="118" t="s">
        <v>622</v>
      </c>
      <c r="G1886" s="126" t="s">
        <v>8505</v>
      </c>
      <c r="H1886" s="255">
        <v>1</v>
      </c>
      <c r="I1886" s="361">
        <v>1</v>
      </c>
      <c r="J1886" s="362" t="s">
        <v>286</v>
      </c>
      <c r="K1886" s="329"/>
      <c r="L1886" s="129"/>
      <c r="M1886" s="129"/>
      <c r="N1886" s="129"/>
      <c r="O1886" s="129"/>
      <c r="P1886" s="372"/>
      <c r="Q1886" s="372"/>
      <c r="R1886" s="129"/>
      <c r="S1886" s="129"/>
      <c r="T1886" s="129"/>
      <c r="W1886" s="129" t="s">
        <v>310</v>
      </c>
      <c r="X1886" s="337" t="b">
        <f t="shared" si="63"/>
        <v>0</v>
      </c>
    </row>
    <row r="1887" spans="1:24" s="360" customFormat="1" ht="12" customHeight="1" outlineLevel="1">
      <c r="A1887" s="365"/>
      <c r="B1887" s="118" t="s">
        <v>12</v>
      </c>
      <c r="C1887" s="334" t="s">
        <v>8564</v>
      </c>
      <c r="D1887" s="124" t="s">
        <v>8565</v>
      </c>
      <c r="E1887" s="125"/>
      <c r="F1887" s="118" t="s">
        <v>622</v>
      </c>
      <c r="G1887" s="126" t="s">
        <v>8505</v>
      </c>
      <c r="H1887" s="255">
        <v>1</v>
      </c>
      <c r="I1887" s="361">
        <v>1</v>
      </c>
      <c r="J1887" s="362" t="s">
        <v>286</v>
      </c>
      <c r="K1887" s="329"/>
      <c r="L1887" s="129"/>
      <c r="M1887" s="129"/>
      <c r="N1887" s="129"/>
      <c r="O1887" s="129"/>
      <c r="P1887" s="372"/>
      <c r="Q1887" s="372"/>
      <c r="R1887" s="129"/>
      <c r="S1887" s="129"/>
      <c r="T1887" s="129"/>
      <c r="W1887" s="129" t="s">
        <v>310</v>
      </c>
      <c r="X1887" s="337" t="b">
        <f t="shared" si="63"/>
        <v>0</v>
      </c>
    </row>
    <row r="1888" spans="1:24" s="360" customFormat="1" ht="12" customHeight="1" outlineLevel="1">
      <c r="A1888" s="365"/>
      <c r="B1888" s="118" t="s">
        <v>12</v>
      </c>
      <c r="C1888" s="334" t="s">
        <v>8566</v>
      </c>
      <c r="D1888" s="124" t="s">
        <v>8567</v>
      </c>
      <c r="E1888" s="125"/>
      <c r="F1888" s="118" t="s">
        <v>622</v>
      </c>
      <c r="G1888" s="126" t="s">
        <v>8505</v>
      </c>
      <c r="H1888" s="255">
        <v>1</v>
      </c>
      <c r="I1888" s="361">
        <v>1</v>
      </c>
      <c r="J1888" s="362" t="s">
        <v>286</v>
      </c>
      <c r="K1888" s="329"/>
      <c r="L1888" s="129"/>
      <c r="M1888" s="129"/>
      <c r="N1888" s="129"/>
      <c r="O1888" s="129"/>
      <c r="P1888" s="372"/>
      <c r="Q1888" s="372"/>
      <c r="R1888" s="129"/>
      <c r="S1888" s="129"/>
      <c r="T1888" s="129"/>
      <c r="W1888" s="129" t="s">
        <v>310</v>
      </c>
      <c r="X1888" s="337" t="b">
        <f t="shared" si="63"/>
        <v>0</v>
      </c>
    </row>
    <row r="1889" spans="1:24" s="360" customFormat="1" ht="12" customHeight="1" outlineLevel="1">
      <c r="A1889" s="365"/>
      <c r="B1889" s="118" t="s">
        <v>12</v>
      </c>
      <c r="C1889" s="334" t="s">
        <v>8568</v>
      </c>
      <c r="D1889" s="124" t="s">
        <v>8569</v>
      </c>
      <c r="E1889" s="125"/>
      <c r="F1889" s="118" t="s">
        <v>622</v>
      </c>
      <c r="G1889" s="126" t="s">
        <v>8505</v>
      </c>
      <c r="H1889" s="255">
        <v>1</v>
      </c>
      <c r="I1889" s="361">
        <v>1</v>
      </c>
      <c r="J1889" s="362" t="s">
        <v>286</v>
      </c>
      <c r="K1889" s="329"/>
      <c r="L1889" s="129"/>
      <c r="M1889" s="129"/>
      <c r="N1889" s="129"/>
      <c r="O1889" s="129"/>
      <c r="P1889" s="372"/>
      <c r="Q1889" s="372"/>
      <c r="R1889" s="129"/>
      <c r="S1889" s="129"/>
      <c r="T1889" s="129"/>
      <c r="W1889" s="129" t="s">
        <v>310</v>
      </c>
      <c r="X1889" s="337" t="b">
        <f t="shared" si="63"/>
        <v>0</v>
      </c>
    </row>
    <row r="1890" spans="1:24" s="360" customFormat="1" ht="12" customHeight="1" outlineLevel="1">
      <c r="A1890" s="365"/>
      <c r="B1890" s="118" t="s">
        <v>12</v>
      </c>
      <c r="C1890" s="334" t="s">
        <v>8570</v>
      </c>
      <c r="D1890" s="124" t="s">
        <v>8571</v>
      </c>
      <c r="E1890" s="125"/>
      <c r="F1890" s="118" t="s">
        <v>622</v>
      </c>
      <c r="G1890" s="126" t="s">
        <v>8505</v>
      </c>
      <c r="H1890" s="255">
        <v>1</v>
      </c>
      <c r="I1890" s="361">
        <v>1</v>
      </c>
      <c r="J1890" s="362" t="s">
        <v>286</v>
      </c>
      <c r="K1890" s="329"/>
      <c r="L1890" s="129"/>
      <c r="M1890" s="129"/>
      <c r="N1890" s="129"/>
      <c r="O1890" s="129"/>
      <c r="P1890" s="372"/>
      <c r="Q1890" s="372"/>
      <c r="R1890" s="129"/>
      <c r="S1890" s="129"/>
      <c r="T1890" s="129"/>
      <c r="W1890" s="129" t="s">
        <v>310</v>
      </c>
      <c r="X1890" s="337" t="b">
        <f t="shared" si="63"/>
        <v>0</v>
      </c>
    </row>
    <row r="1891" spans="1:24" s="360" customFormat="1" ht="12" customHeight="1" outlineLevel="1">
      <c r="A1891" s="365"/>
      <c r="B1891" s="118" t="s">
        <v>12</v>
      </c>
      <c r="C1891" s="334" t="s">
        <v>8572</v>
      </c>
      <c r="D1891" s="124" t="s">
        <v>8573</v>
      </c>
      <c r="E1891" s="125"/>
      <c r="F1891" s="118" t="s">
        <v>622</v>
      </c>
      <c r="G1891" s="126" t="s">
        <v>8505</v>
      </c>
      <c r="H1891" s="255">
        <v>1</v>
      </c>
      <c r="I1891" s="361">
        <v>1</v>
      </c>
      <c r="J1891" s="362" t="s">
        <v>310</v>
      </c>
      <c r="K1891" s="329"/>
      <c r="L1891" s="129"/>
      <c r="M1891" s="129"/>
      <c r="N1891" s="129"/>
      <c r="O1891" s="129"/>
      <c r="P1891" s="372"/>
      <c r="Q1891" s="372"/>
      <c r="R1891" s="129"/>
      <c r="S1891" s="129"/>
      <c r="T1891" s="129"/>
      <c r="W1891" s="129" t="s">
        <v>310</v>
      </c>
      <c r="X1891" s="337" t="b">
        <f t="shared" si="63"/>
        <v>1</v>
      </c>
    </row>
    <row r="1892" spans="1:24" s="360" customFormat="1" ht="12" customHeight="1" outlineLevel="1">
      <c r="A1892" s="365"/>
      <c r="B1892" s="118" t="s">
        <v>12</v>
      </c>
      <c r="C1892" s="334" t="s">
        <v>8574</v>
      </c>
      <c r="D1892" s="124" t="s">
        <v>8575</v>
      </c>
      <c r="E1892" s="125"/>
      <c r="F1892" s="118" t="s">
        <v>622</v>
      </c>
      <c r="G1892" s="126" t="s">
        <v>8505</v>
      </c>
      <c r="H1892" s="255">
        <v>1</v>
      </c>
      <c r="I1892" s="361">
        <v>1</v>
      </c>
      <c r="J1892" s="362" t="s">
        <v>310</v>
      </c>
      <c r="K1892" s="329"/>
      <c r="L1892" s="129"/>
      <c r="M1892" s="129"/>
      <c r="N1892" s="129"/>
      <c r="O1892" s="129"/>
      <c r="P1892" s="372"/>
      <c r="Q1892" s="372"/>
      <c r="R1892" s="129"/>
      <c r="S1892" s="129"/>
      <c r="T1892" s="129"/>
      <c r="W1892" s="129" t="s">
        <v>310</v>
      </c>
      <c r="X1892" s="337" t="b">
        <f t="shared" si="63"/>
        <v>1</v>
      </c>
    </row>
    <row r="1893" spans="1:24" s="360" customFormat="1" ht="12" customHeight="1" outlineLevel="1">
      <c r="A1893" s="365"/>
      <c r="B1893" s="118" t="s">
        <v>12</v>
      </c>
      <c r="C1893" s="334" t="s">
        <v>8576</v>
      </c>
      <c r="D1893" s="124" t="s">
        <v>8577</v>
      </c>
      <c r="E1893" s="125"/>
      <c r="F1893" s="118" t="s">
        <v>622</v>
      </c>
      <c r="G1893" s="126" t="s">
        <v>8505</v>
      </c>
      <c r="H1893" s="255">
        <v>1</v>
      </c>
      <c r="I1893" s="361">
        <v>1</v>
      </c>
      <c r="J1893" s="362" t="s">
        <v>310</v>
      </c>
      <c r="K1893" s="329"/>
      <c r="L1893" s="129"/>
      <c r="M1893" s="129"/>
      <c r="N1893" s="129"/>
      <c r="O1893" s="129"/>
      <c r="P1893" s="372"/>
      <c r="Q1893" s="372"/>
      <c r="R1893" s="129"/>
      <c r="S1893" s="129"/>
      <c r="T1893" s="129"/>
      <c r="W1893" s="129" t="s">
        <v>307</v>
      </c>
      <c r="X1893" s="337" t="b">
        <f t="shared" si="63"/>
        <v>0</v>
      </c>
    </row>
    <row r="1894" spans="1:24" s="360" customFormat="1" ht="12" customHeight="1" outlineLevel="1">
      <c r="A1894" s="365"/>
      <c r="B1894" s="118" t="s">
        <v>12</v>
      </c>
      <c r="C1894" s="334" t="s">
        <v>8578</v>
      </c>
      <c r="D1894" s="124" t="s">
        <v>8579</v>
      </c>
      <c r="E1894" s="125"/>
      <c r="F1894" s="118" t="s">
        <v>622</v>
      </c>
      <c r="G1894" s="126" t="s">
        <v>8505</v>
      </c>
      <c r="H1894" s="255">
        <v>1</v>
      </c>
      <c r="I1894" s="361">
        <v>1</v>
      </c>
      <c r="J1894" s="362" t="s">
        <v>310</v>
      </c>
      <c r="K1894" s="329"/>
      <c r="L1894" s="129"/>
      <c r="M1894" s="129"/>
      <c r="N1894" s="129"/>
      <c r="O1894" s="129"/>
      <c r="P1894" s="372"/>
      <c r="Q1894" s="372"/>
      <c r="R1894" s="129"/>
      <c r="S1894" s="129"/>
      <c r="T1894" s="129"/>
      <c r="W1894" s="129" t="s">
        <v>307</v>
      </c>
      <c r="X1894" s="337" t="b">
        <f t="shared" si="63"/>
        <v>0</v>
      </c>
    </row>
    <row r="1895" spans="1:24" s="360" customFormat="1" ht="12" customHeight="1" outlineLevel="1">
      <c r="A1895" s="365"/>
      <c r="B1895" s="118" t="s">
        <v>12</v>
      </c>
      <c r="C1895" s="334" t="s">
        <v>8580</v>
      </c>
      <c r="D1895" s="124" t="s">
        <v>8581</v>
      </c>
      <c r="E1895" s="125"/>
      <c r="F1895" s="118" t="s">
        <v>622</v>
      </c>
      <c r="G1895" s="126" t="s">
        <v>8505</v>
      </c>
      <c r="H1895" s="255">
        <v>1</v>
      </c>
      <c r="I1895" s="361">
        <v>1</v>
      </c>
      <c r="J1895" s="362" t="s">
        <v>286</v>
      </c>
      <c r="K1895" s="329"/>
      <c r="L1895" s="129"/>
      <c r="M1895" s="129"/>
      <c r="N1895" s="129"/>
      <c r="O1895" s="129"/>
      <c r="P1895" s="372"/>
      <c r="Q1895" s="372"/>
      <c r="R1895" s="129"/>
      <c r="S1895" s="129"/>
      <c r="T1895" s="129"/>
      <c r="W1895" s="129" t="s">
        <v>310</v>
      </c>
      <c r="X1895" s="337" t="b">
        <f t="shared" si="63"/>
        <v>0</v>
      </c>
    </row>
    <row r="1896" spans="1:24" s="360" customFormat="1" ht="12" customHeight="1" outlineLevel="1">
      <c r="A1896" s="365"/>
      <c r="B1896" s="118" t="s">
        <v>12</v>
      </c>
      <c r="C1896" s="334" t="s">
        <v>8582</v>
      </c>
      <c r="D1896" s="124" t="s">
        <v>8583</v>
      </c>
      <c r="E1896" s="125"/>
      <c r="F1896" s="118" t="s">
        <v>622</v>
      </c>
      <c r="G1896" s="126" t="s">
        <v>8505</v>
      </c>
      <c r="H1896" s="255">
        <v>1</v>
      </c>
      <c r="I1896" s="361">
        <v>1</v>
      </c>
      <c r="J1896" s="362" t="s">
        <v>286</v>
      </c>
      <c r="K1896" s="329"/>
      <c r="L1896" s="129"/>
      <c r="M1896" s="129"/>
      <c r="N1896" s="129"/>
      <c r="O1896" s="129"/>
      <c r="P1896" s="372"/>
      <c r="Q1896" s="372"/>
      <c r="R1896" s="129"/>
      <c r="S1896" s="129"/>
      <c r="T1896" s="129"/>
      <c r="W1896" s="129" t="s">
        <v>310</v>
      </c>
      <c r="X1896" s="337" t="b">
        <f t="shared" si="63"/>
        <v>0</v>
      </c>
    </row>
    <row r="1897" spans="1:24" s="360" customFormat="1" ht="12" customHeight="1" outlineLevel="1">
      <c r="A1897" s="365"/>
      <c r="B1897" s="118" t="s">
        <v>12</v>
      </c>
      <c r="C1897" s="334" t="s">
        <v>8584</v>
      </c>
      <c r="D1897" s="124" t="s">
        <v>8585</v>
      </c>
      <c r="E1897" s="125"/>
      <c r="F1897" s="118" t="s">
        <v>622</v>
      </c>
      <c r="G1897" s="126" t="s">
        <v>8505</v>
      </c>
      <c r="H1897" s="255">
        <v>1</v>
      </c>
      <c r="I1897" s="361">
        <v>1</v>
      </c>
      <c r="J1897" s="362" t="s">
        <v>310</v>
      </c>
      <c r="K1897" s="329"/>
      <c r="L1897" s="129"/>
      <c r="M1897" s="129"/>
      <c r="N1897" s="129"/>
      <c r="O1897" s="129"/>
      <c r="P1897" s="372"/>
      <c r="Q1897" s="372"/>
      <c r="R1897" s="129"/>
      <c r="S1897" s="129"/>
      <c r="T1897" s="129"/>
      <c r="W1897" s="129" t="s">
        <v>307</v>
      </c>
      <c r="X1897" s="337" t="b">
        <f t="shared" si="63"/>
        <v>0</v>
      </c>
    </row>
    <row r="1898" spans="1:24" s="360" customFormat="1" ht="12" customHeight="1" outlineLevel="1">
      <c r="A1898" s="365"/>
      <c r="B1898" s="118" t="s">
        <v>12</v>
      </c>
      <c r="C1898" s="334" t="s">
        <v>8586</v>
      </c>
      <c r="D1898" s="124" t="s">
        <v>8587</v>
      </c>
      <c r="E1898" s="125"/>
      <c r="F1898" s="118" t="s">
        <v>622</v>
      </c>
      <c r="G1898" s="126" t="s">
        <v>8505</v>
      </c>
      <c r="H1898" s="255">
        <v>1</v>
      </c>
      <c r="I1898" s="361">
        <v>1</v>
      </c>
      <c r="J1898" s="362" t="s">
        <v>286</v>
      </c>
      <c r="K1898" s="329"/>
      <c r="L1898" s="129"/>
      <c r="M1898" s="129"/>
      <c r="N1898" s="129"/>
      <c r="O1898" s="129"/>
      <c r="P1898" s="372"/>
      <c r="Q1898" s="372"/>
      <c r="R1898" s="129"/>
      <c r="S1898" s="129"/>
      <c r="T1898" s="129"/>
      <c r="W1898" s="129" t="s">
        <v>310</v>
      </c>
      <c r="X1898" s="337" t="b">
        <f t="shared" si="63"/>
        <v>0</v>
      </c>
    </row>
    <row r="1899" spans="1:24" s="360" customFormat="1" ht="12" customHeight="1" outlineLevel="1">
      <c r="A1899" s="365"/>
      <c r="B1899" s="118" t="s">
        <v>12</v>
      </c>
      <c r="C1899" s="334" t="s">
        <v>8588</v>
      </c>
      <c r="D1899" s="124" t="s">
        <v>8589</v>
      </c>
      <c r="E1899" s="125"/>
      <c r="F1899" s="118" t="s">
        <v>622</v>
      </c>
      <c r="G1899" s="126" t="s">
        <v>8505</v>
      </c>
      <c r="H1899" s="255">
        <v>1</v>
      </c>
      <c r="I1899" s="361">
        <v>1</v>
      </c>
      <c r="J1899" s="362" t="s">
        <v>286</v>
      </c>
      <c r="K1899" s="329"/>
      <c r="L1899" s="129"/>
      <c r="M1899" s="129"/>
      <c r="N1899" s="129"/>
      <c r="O1899" s="129"/>
      <c r="P1899" s="372"/>
      <c r="Q1899" s="372"/>
      <c r="R1899" s="129"/>
      <c r="S1899" s="129"/>
      <c r="T1899" s="129"/>
      <c r="W1899" s="129" t="s">
        <v>310</v>
      </c>
      <c r="X1899" s="337" t="b">
        <f t="shared" si="63"/>
        <v>0</v>
      </c>
    </row>
    <row r="1900" spans="1:24" s="360" customFormat="1" ht="12" customHeight="1" outlineLevel="1">
      <c r="A1900" s="365"/>
      <c r="B1900" s="118" t="s">
        <v>12</v>
      </c>
      <c r="C1900" s="334" t="s">
        <v>8590</v>
      </c>
      <c r="D1900" s="124" t="s">
        <v>8591</v>
      </c>
      <c r="E1900" s="125"/>
      <c r="F1900" s="118" t="s">
        <v>622</v>
      </c>
      <c r="G1900" s="126" t="s">
        <v>8505</v>
      </c>
      <c r="H1900" s="255">
        <v>1</v>
      </c>
      <c r="I1900" s="361">
        <v>1</v>
      </c>
      <c r="J1900" s="362" t="s">
        <v>286</v>
      </c>
      <c r="K1900" s="329"/>
      <c r="L1900" s="129"/>
      <c r="M1900" s="129"/>
      <c r="N1900" s="129"/>
      <c r="O1900" s="129"/>
      <c r="P1900" s="372"/>
      <c r="Q1900" s="372"/>
      <c r="R1900" s="129"/>
      <c r="S1900" s="129"/>
      <c r="T1900" s="129"/>
      <c r="W1900" s="129" t="s">
        <v>286</v>
      </c>
      <c r="X1900" s="337" t="b">
        <f t="shared" si="63"/>
        <v>1</v>
      </c>
    </row>
    <row r="1901" spans="1:24" s="360" customFormat="1" ht="12" customHeight="1" outlineLevel="1">
      <c r="A1901" s="365"/>
      <c r="B1901" s="118" t="s">
        <v>12</v>
      </c>
      <c r="C1901" s="334" t="s">
        <v>8592</v>
      </c>
      <c r="D1901" s="124" t="s">
        <v>8593</v>
      </c>
      <c r="E1901" s="125"/>
      <c r="F1901" s="118" t="s">
        <v>622</v>
      </c>
      <c r="G1901" s="126" t="s">
        <v>8505</v>
      </c>
      <c r="H1901" s="255">
        <v>1</v>
      </c>
      <c r="I1901" s="361">
        <v>1</v>
      </c>
      <c r="J1901" s="362" t="s">
        <v>286</v>
      </c>
      <c r="K1901" s="329"/>
      <c r="L1901" s="129"/>
      <c r="M1901" s="129"/>
      <c r="N1901" s="129"/>
      <c r="O1901" s="129"/>
      <c r="P1901" s="372"/>
      <c r="Q1901" s="372"/>
      <c r="R1901" s="129"/>
      <c r="S1901" s="129"/>
      <c r="T1901" s="129"/>
      <c r="W1901" s="129" t="s">
        <v>286</v>
      </c>
      <c r="X1901" s="337" t="b">
        <f t="shared" si="63"/>
        <v>1</v>
      </c>
    </row>
    <row r="1902" spans="1:24" s="360" customFormat="1" ht="12" customHeight="1" outlineLevel="1">
      <c r="A1902" s="365"/>
      <c r="B1902" s="118" t="s">
        <v>12</v>
      </c>
      <c r="C1902" s="334" t="s">
        <v>8594</v>
      </c>
      <c r="D1902" s="124" t="s">
        <v>8595</v>
      </c>
      <c r="E1902" s="125"/>
      <c r="F1902" s="118" t="s">
        <v>622</v>
      </c>
      <c r="G1902" s="126" t="s">
        <v>8505</v>
      </c>
      <c r="H1902" s="255">
        <v>1</v>
      </c>
      <c r="I1902" s="361">
        <v>1</v>
      </c>
      <c r="J1902" s="362" t="s">
        <v>286</v>
      </c>
      <c r="K1902" s="329"/>
      <c r="L1902" s="129"/>
      <c r="M1902" s="129"/>
      <c r="N1902" s="129"/>
      <c r="O1902" s="129"/>
      <c r="P1902" s="372"/>
      <c r="Q1902" s="372"/>
      <c r="R1902" s="129"/>
      <c r="S1902" s="129"/>
      <c r="T1902" s="129"/>
      <c r="W1902" s="129" t="s">
        <v>286</v>
      </c>
      <c r="X1902" s="337" t="b">
        <f t="shared" si="63"/>
        <v>1</v>
      </c>
    </row>
    <row r="1903" spans="1:24" s="360" customFormat="1" ht="12" customHeight="1" outlineLevel="1">
      <c r="A1903" s="365"/>
      <c r="B1903" s="118" t="s">
        <v>12</v>
      </c>
      <c r="C1903" s="334" t="s">
        <v>8596</v>
      </c>
      <c r="D1903" s="124" t="s">
        <v>8597</v>
      </c>
      <c r="E1903" s="125"/>
      <c r="F1903" s="118" t="s">
        <v>622</v>
      </c>
      <c r="G1903" s="126" t="s">
        <v>8505</v>
      </c>
      <c r="H1903" s="255">
        <v>1</v>
      </c>
      <c r="I1903" s="361">
        <v>1</v>
      </c>
      <c r="J1903" s="362" t="s">
        <v>286</v>
      </c>
      <c r="K1903" s="329"/>
      <c r="L1903" s="129"/>
      <c r="M1903" s="129"/>
      <c r="N1903" s="129"/>
      <c r="O1903" s="129"/>
      <c r="P1903" s="372"/>
      <c r="Q1903" s="372"/>
      <c r="R1903" s="129"/>
      <c r="S1903" s="129"/>
      <c r="T1903" s="129"/>
      <c r="W1903" s="129" t="s">
        <v>286</v>
      </c>
      <c r="X1903" s="337" t="b">
        <f t="shared" si="63"/>
        <v>1</v>
      </c>
    </row>
    <row r="1904" spans="1:24" s="360" customFormat="1" ht="12" customHeight="1" outlineLevel="1">
      <c r="A1904" s="365"/>
      <c r="B1904" s="118" t="s">
        <v>12</v>
      </c>
      <c r="C1904" s="334" t="s">
        <v>8598</v>
      </c>
      <c r="D1904" s="124" t="s">
        <v>8599</v>
      </c>
      <c r="E1904" s="125"/>
      <c r="F1904" s="118" t="s">
        <v>622</v>
      </c>
      <c r="G1904" s="126" t="s">
        <v>8505</v>
      </c>
      <c r="H1904" s="255">
        <v>1</v>
      </c>
      <c r="I1904" s="361">
        <v>1</v>
      </c>
      <c r="J1904" s="362" t="s">
        <v>286</v>
      </c>
      <c r="K1904" s="329"/>
      <c r="L1904" s="129"/>
      <c r="M1904" s="129"/>
      <c r="N1904" s="129"/>
      <c r="O1904" s="129"/>
      <c r="P1904" s="372"/>
      <c r="Q1904" s="372"/>
      <c r="R1904" s="129"/>
      <c r="S1904" s="129"/>
      <c r="T1904" s="129"/>
      <c r="W1904" s="129" t="s">
        <v>286</v>
      </c>
      <c r="X1904" s="337" t="b">
        <f t="shared" si="63"/>
        <v>1</v>
      </c>
    </row>
    <row r="1905" spans="1:24" s="360" customFormat="1" ht="12" customHeight="1" outlineLevel="1">
      <c r="A1905" s="365"/>
      <c r="B1905" s="118" t="s">
        <v>12</v>
      </c>
      <c r="C1905" s="334" t="s">
        <v>8600</v>
      </c>
      <c r="D1905" s="124" t="s">
        <v>8601</v>
      </c>
      <c r="E1905" s="125"/>
      <c r="F1905" s="118" t="s">
        <v>622</v>
      </c>
      <c r="G1905" s="126" t="s">
        <v>8505</v>
      </c>
      <c r="H1905" s="255">
        <v>1</v>
      </c>
      <c r="I1905" s="361">
        <v>1</v>
      </c>
      <c r="J1905" s="362" t="s">
        <v>286</v>
      </c>
      <c r="K1905" s="329"/>
      <c r="L1905" s="129"/>
      <c r="M1905" s="129"/>
      <c r="N1905" s="129"/>
      <c r="O1905" s="129"/>
      <c r="P1905" s="372"/>
      <c r="Q1905" s="372"/>
      <c r="R1905" s="129"/>
      <c r="S1905" s="129"/>
      <c r="T1905" s="129"/>
      <c r="W1905" s="129" t="s">
        <v>310</v>
      </c>
      <c r="X1905" s="337" t="b">
        <f t="shared" si="63"/>
        <v>0</v>
      </c>
    </row>
    <row r="1906" spans="1:24" s="360" customFormat="1" ht="12" customHeight="1" outlineLevel="1">
      <c r="A1906" s="365"/>
      <c r="B1906" s="118" t="s">
        <v>12</v>
      </c>
      <c r="C1906" s="334" t="s">
        <v>8602</v>
      </c>
      <c r="D1906" s="124" t="s">
        <v>8603</v>
      </c>
      <c r="E1906" s="125"/>
      <c r="F1906" s="118" t="s">
        <v>622</v>
      </c>
      <c r="G1906" s="126" t="s">
        <v>8505</v>
      </c>
      <c r="H1906" s="255">
        <v>1</v>
      </c>
      <c r="I1906" s="361">
        <v>1</v>
      </c>
      <c r="J1906" s="362" t="s">
        <v>286</v>
      </c>
      <c r="K1906" s="329"/>
      <c r="L1906" s="129"/>
      <c r="M1906" s="129"/>
      <c r="N1906" s="129"/>
      <c r="O1906" s="129"/>
      <c r="P1906" s="372"/>
      <c r="Q1906" s="372"/>
      <c r="R1906" s="129"/>
      <c r="S1906" s="129"/>
      <c r="T1906" s="129"/>
      <c r="W1906" s="129" t="s">
        <v>310</v>
      </c>
      <c r="X1906" s="337" t="b">
        <f t="shared" si="63"/>
        <v>0</v>
      </c>
    </row>
    <row r="1907" spans="1:24" s="360" customFormat="1" ht="12" customHeight="1" outlineLevel="1">
      <c r="A1907" s="365"/>
      <c r="B1907" s="118" t="s">
        <v>12</v>
      </c>
      <c r="C1907" s="334" t="s">
        <v>8604</v>
      </c>
      <c r="D1907" s="124" t="s">
        <v>8605</v>
      </c>
      <c r="E1907" s="125"/>
      <c r="F1907" s="118" t="s">
        <v>622</v>
      </c>
      <c r="G1907" s="126" t="s">
        <v>8505</v>
      </c>
      <c r="H1907" s="255">
        <v>1</v>
      </c>
      <c r="I1907" s="361">
        <v>1</v>
      </c>
      <c r="J1907" s="362" t="s">
        <v>286</v>
      </c>
      <c r="K1907" s="329"/>
      <c r="L1907" s="129"/>
      <c r="M1907" s="129"/>
      <c r="N1907" s="129"/>
      <c r="O1907" s="129"/>
      <c r="P1907" s="372"/>
      <c r="Q1907" s="372"/>
      <c r="R1907" s="129"/>
      <c r="S1907" s="129"/>
      <c r="T1907" s="129"/>
      <c r="W1907" s="129" t="s">
        <v>310</v>
      </c>
      <c r="X1907" s="337" t="b">
        <f t="shared" si="63"/>
        <v>0</v>
      </c>
    </row>
    <row r="1908" spans="1:24" s="360" customFormat="1" ht="12" customHeight="1" outlineLevel="1">
      <c r="A1908" s="365"/>
      <c r="B1908" s="118" t="s">
        <v>12</v>
      </c>
      <c r="C1908" s="334" t="s">
        <v>8606</v>
      </c>
      <c r="D1908" s="124" t="s">
        <v>8607</v>
      </c>
      <c r="E1908" s="125"/>
      <c r="F1908" s="118" t="s">
        <v>622</v>
      </c>
      <c r="G1908" s="126" t="s">
        <v>8505</v>
      </c>
      <c r="H1908" s="255">
        <v>1</v>
      </c>
      <c r="I1908" s="361">
        <v>1</v>
      </c>
      <c r="J1908" s="362" t="s">
        <v>286</v>
      </c>
      <c r="K1908" s="329"/>
      <c r="L1908" s="129"/>
      <c r="M1908" s="129"/>
      <c r="N1908" s="129"/>
      <c r="O1908" s="129"/>
      <c r="P1908" s="372"/>
      <c r="Q1908" s="372"/>
      <c r="R1908" s="129"/>
      <c r="S1908" s="129"/>
      <c r="T1908" s="129"/>
      <c r="W1908" s="129" t="s">
        <v>310</v>
      </c>
      <c r="X1908" s="337" t="b">
        <f t="shared" si="63"/>
        <v>0</v>
      </c>
    </row>
    <row r="1909" spans="1:24" s="360" customFormat="1" ht="12" customHeight="1" outlineLevel="1">
      <c r="A1909" s="365"/>
      <c r="B1909" s="118" t="s">
        <v>12</v>
      </c>
      <c r="C1909" s="334" t="s">
        <v>8608</v>
      </c>
      <c r="D1909" s="124" t="s">
        <v>8609</v>
      </c>
      <c r="E1909" s="125"/>
      <c r="F1909" s="118" t="s">
        <v>622</v>
      </c>
      <c r="G1909" s="126" t="s">
        <v>8505</v>
      </c>
      <c r="H1909" s="255">
        <v>1</v>
      </c>
      <c r="I1909" s="361">
        <v>1</v>
      </c>
      <c r="J1909" s="362" t="s">
        <v>286</v>
      </c>
      <c r="K1909" s="329"/>
      <c r="L1909" s="129"/>
      <c r="M1909" s="129"/>
      <c r="N1909" s="129"/>
      <c r="O1909" s="129"/>
      <c r="P1909" s="372"/>
      <c r="Q1909" s="372"/>
      <c r="R1909" s="129"/>
      <c r="S1909" s="129"/>
      <c r="T1909" s="129"/>
      <c r="W1909" s="129" t="s">
        <v>310</v>
      </c>
      <c r="X1909" s="337" t="b">
        <f t="shared" si="63"/>
        <v>0</v>
      </c>
    </row>
    <row r="1910" spans="1:24" s="360" customFormat="1" ht="12" customHeight="1" outlineLevel="1">
      <c r="A1910" s="365"/>
      <c r="B1910" s="118" t="s">
        <v>12</v>
      </c>
      <c r="C1910" s="334" t="s">
        <v>8610</v>
      </c>
      <c r="D1910" s="124" t="s">
        <v>8611</v>
      </c>
      <c r="E1910" s="125"/>
      <c r="F1910" s="118" t="s">
        <v>622</v>
      </c>
      <c r="G1910" s="126" t="s">
        <v>8505</v>
      </c>
      <c r="H1910" s="255">
        <v>1</v>
      </c>
      <c r="I1910" s="361">
        <v>1</v>
      </c>
      <c r="J1910" s="362" t="s">
        <v>286</v>
      </c>
      <c r="K1910" s="329"/>
      <c r="L1910" s="129"/>
      <c r="M1910" s="129"/>
      <c r="N1910" s="129"/>
      <c r="O1910" s="129"/>
      <c r="P1910" s="372"/>
      <c r="Q1910" s="372"/>
      <c r="R1910" s="129"/>
      <c r="S1910" s="129"/>
      <c r="T1910" s="129"/>
      <c r="W1910" s="129" t="s">
        <v>310</v>
      </c>
      <c r="X1910" s="337" t="b">
        <f t="shared" si="63"/>
        <v>0</v>
      </c>
    </row>
    <row r="1911" spans="1:24" s="360" customFormat="1" ht="12" customHeight="1" outlineLevel="1">
      <c r="A1911" s="365"/>
      <c r="B1911" s="118" t="s">
        <v>12</v>
      </c>
      <c r="C1911" s="334" t="s">
        <v>8612</v>
      </c>
      <c r="D1911" s="124" t="s">
        <v>8613</v>
      </c>
      <c r="E1911" s="125"/>
      <c r="F1911" s="118" t="s">
        <v>622</v>
      </c>
      <c r="G1911" s="126" t="s">
        <v>8505</v>
      </c>
      <c r="H1911" s="255">
        <v>1</v>
      </c>
      <c r="I1911" s="361">
        <v>1</v>
      </c>
      <c r="J1911" s="362" t="s">
        <v>286</v>
      </c>
      <c r="K1911" s="329"/>
      <c r="L1911" s="129"/>
      <c r="M1911" s="129"/>
      <c r="N1911" s="129"/>
      <c r="O1911" s="129"/>
      <c r="P1911" s="372"/>
      <c r="Q1911" s="372"/>
      <c r="R1911" s="129"/>
      <c r="S1911" s="129"/>
      <c r="T1911" s="129"/>
      <c r="W1911" s="129" t="s">
        <v>310</v>
      </c>
      <c r="X1911" s="337" t="b">
        <f t="shared" si="63"/>
        <v>0</v>
      </c>
    </row>
    <row r="1912" spans="1:24" s="360" customFormat="1" ht="12" customHeight="1" outlineLevel="1">
      <c r="A1912" s="365"/>
      <c r="B1912" s="118" t="s">
        <v>12</v>
      </c>
      <c r="C1912" s="334" t="s">
        <v>8614</v>
      </c>
      <c r="D1912" s="124" t="s">
        <v>8615</v>
      </c>
      <c r="E1912" s="125"/>
      <c r="F1912" s="118" t="s">
        <v>622</v>
      </c>
      <c r="G1912" s="126" t="s">
        <v>8505</v>
      </c>
      <c r="H1912" s="255">
        <v>1</v>
      </c>
      <c r="I1912" s="361">
        <v>1</v>
      </c>
      <c r="J1912" s="362" t="s">
        <v>286</v>
      </c>
      <c r="K1912" s="329"/>
      <c r="L1912" s="129"/>
      <c r="M1912" s="129"/>
      <c r="N1912" s="129"/>
      <c r="O1912" s="129"/>
      <c r="P1912" s="372"/>
      <c r="Q1912" s="372"/>
      <c r="R1912" s="129"/>
      <c r="S1912" s="129"/>
      <c r="T1912" s="129"/>
      <c r="W1912" s="129" t="s">
        <v>286</v>
      </c>
      <c r="X1912" s="337" t="b">
        <f t="shared" si="63"/>
        <v>1</v>
      </c>
    </row>
    <row r="1913" spans="1:24" s="360" customFormat="1" ht="12" customHeight="1" outlineLevel="1">
      <c r="A1913" s="365"/>
      <c r="B1913" s="118" t="s">
        <v>12</v>
      </c>
      <c r="C1913" s="334" t="s">
        <v>8616</v>
      </c>
      <c r="D1913" s="124" t="s">
        <v>8617</v>
      </c>
      <c r="E1913" s="125"/>
      <c r="F1913" s="118" t="s">
        <v>622</v>
      </c>
      <c r="G1913" s="126" t="s">
        <v>8505</v>
      </c>
      <c r="H1913" s="255">
        <v>1</v>
      </c>
      <c r="I1913" s="361">
        <v>1</v>
      </c>
      <c r="J1913" s="362" t="s">
        <v>286</v>
      </c>
      <c r="K1913" s="329"/>
      <c r="L1913" s="129"/>
      <c r="M1913" s="129"/>
      <c r="N1913" s="129"/>
      <c r="O1913" s="129"/>
      <c r="P1913" s="372"/>
      <c r="Q1913" s="372"/>
      <c r="R1913" s="129"/>
      <c r="S1913" s="129"/>
      <c r="T1913" s="129"/>
      <c r="W1913" s="129" t="s">
        <v>286</v>
      </c>
      <c r="X1913" s="337" t="b">
        <f t="shared" si="63"/>
        <v>1</v>
      </c>
    </row>
    <row r="1914" spans="1:24" s="360" customFormat="1" ht="12" customHeight="1" outlineLevel="1">
      <c r="A1914" s="365"/>
      <c r="B1914" s="118" t="s">
        <v>12</v>
      </c>
      <c r="C1914" s="334" t="s">
        <v>8618</v>
      </c>
      <c r="D1914" s="124" t="s">
        <v>8619</v>
      </c>
      <c r="E1914" s="125"/>
      <c r="F1914" s="118" t="s">
        <v>622</v>
      </c>
      <c r="G1914" s="126" t="s">
        <v>8505</v>
      </c>
      <c r="H1914" s="255">
        <v>1</v>
      </c>
      <c r="I1914" s="361">
        <v>1</v>
      </c>
      <c r="J1914" s="362" t="s">
        <v>286</v>
      </c>
      <c r="K1914" s="329"/>
      <c r="L1914" s="129"/>
      <c r="M1914" s="129"/>
      <c r="N1914" s="129"/>
      <c r="O1914" s="129"/>
      <c r="P1914" s="372"/>
      <c r="Q1914" s="372"/>
      <c r="R1914" s="129"/>
      <c r="S1914" s="129"/>
      <c r="T1914" s="129"/>
      <c r="W1914" s="129" t="s">
        <v>286</v>
      </c>
      <c r="X1914" s="337" t="b">
        <f t="shared" si="63"/>
        <v>1</v>
      </c>
    </row>
    <row r="1915" spans="1:24" s="360" customFormat="1" ht="12" customHeight="1" outlineLevel="1">
      <c r="A1915" s="365"/>
      <c r="B1915" s="118" t="s">
        <v>12</v>
      </c>
      <c r="C1915" s="334" t="s">
        <v>8620</v>
      </c>
      <c r="D1915" s="124" t="s">
        <v>8621</v>
      </c>
      <c r="E1915" s="125"/>
      <c r="F1915" s="118" t="s">
        <v>622</v>
      </c>
      <c r="G1915" s="126" t="s">
        <v>8505</v>
      </c>
      <c r="H1915" s="255">
        <v>1</v>
      </c>
      <c r="I1915" s="361">
        <v>1</v>
      </c>
      <c r="J1915" s="362" t="s">
        <v>310</v>
      </c>
      <c r="K1915" s="329"/>
      <c r="L1915" s="129"/>
      <c r="M1915" s="129"/>
      <c r="N1915" s="129"/>
      <c r="O1915" s="129"/>
      <c r="P1915" s="372"/>
      <c r="Q1915" s="372"/>
      <c r="R1915" s="129"/>
      <c r="S1915" s="129"/>
      <c r="T1915" s="129"/>
      <c r="W1915" s="129" t="s">
        <v>310</v>
      </c>
      <c r="X1915" s="337" t="b">
        <f t="shared" si="63"/>
        <v>1</v>
      </c>
    </row>
    <row r="1916" spans="1:24" s="360" customFormat="1" ht="12" customHeight="1" outlineLevel="1">
      <c r="A1916" s="365"/>
      <c r="B1916" s="118" t="s">
        <v>12</v>
      </c>
      <c r="C1916" s="334" t="s">
        <v>8622</v>
      </c>
      <c r="D1916" s="124" t="s">
        <v>8623</v>
      </c>
      <c r="E1916" s="125"/>
      <c r="F1916" s="118" t="s">
        <v>622</v>
      </c>
      <c r="G1916" s="126" t="s">
        <v>8505</v>
      </c>
      <c r="H1916" s="255">
        <v>1</v>
      </c>
      <c r="I1916" s="361">
        <v>1</v>
      </c>
      <c r="J1916" s="362" t="s">
        <v>325</v>
      </c>
      <c r="K1916" s="329"/>
      <c r="L1916" s="129"/>
      <c r="M1916" s="129"/>
      <c r="N1916" s="129"/>
      <c r="O1916" s="129"/>
      <c r="P1916" s="372"/>
      <c r="Q1916" s="372"/>
      <c r="R1916" s="129"/>
      <c r="S1916" s="129"/>
      <c r="T1916" s="129"/>
      <c r="W1916" s="129" t="s">
        <v>310</v>
      </c>
      <c r="X1916" s="337" t="b">
        <f t="shared" si="63"/>
        <v>0</v>
      </c>
    </row>
    <row r="1917" spans="1:24" s="360" customFormat="1" ht="12" customHeight="1" outlineLevel="1">
      <c r="A1917" s="365"/>
      <c r="B1917" s="118" t="s">
        <v>12</v>
      </c>
      <c r="C1917" s="334" t="s">
        <v>8624</v>
      </c>
      <c r="D1917" s="124" t="s">
        <v>8625</v>
      </c>
      <c r="E1917" s="125"/>
      <c r="F1917" s="118" t="s">
        <v>622</v>
      </c>
      <c r="G1917" s="126" t="s">
        <v>8505</v>
      </c>
      <c r="H1917" s="255">
        <v>1</v>
      </c>
      <c r="I1917" s="361">
        <v>1</v>
      </c>
      <c r="J1917" s="362" t="s">
        <v>286</v>
      </c>
      <c r="K1917" s="329"/>
      <c r="L1917" s="129"/>
      <c r="M1917" s="129"/>
      <c r="N1917" s="129"/>
      <c r="O1917" s="129"/>
      <c r="P1917" s="372"/>
      <c r="Q1917" s="372"/>
      <c r="R1917" s="129"/>
      <c r="S1917" s="129"/>
      <c r="T1917" s="129"/>
      <c r="W1917" s="129" t="s">
        <v>310</v>
      </c>
      <c r="X1917" s="337" t="b">
        <f t="shared" si="63"/>
        <v>0</v>
      </c>
    </row>
    <row r="1918" spans="1:24" s="360" customFormat="1" ht="12" customHeight="1" outlineLevel="1">
      <c r="A1918" s="365"/>
      <c r="B1918" s="118" t="s">
        <v>12</v>
      </c>
      <c r="C1918" s="334" t="s">
        <v>8626</v>
      </c>
      <c r="D1918" s="124" t="s">
        <v>8627</v>
      </c>
      <c r="E1918" s="125"/>
      <c r="F1918" s="118" t="s">
        <v>622</v>
      </c>
      <c r="G1918" s="126" t="s">
        <v>8505</v>
      </c>
      <c r="H1918" s="255">
        <v>1</v>
      </c>
      <c r="I1918" s="361">
        <v>1</v>
      </c>
      <c r="J1918" s="362" t="s">
        <v>286</v>
      </c>
      <c r="K1918" s="329"/>
      <c r="L1918" s="129"/>
      <c r="M1918" s="129"/>
      <c r="N1918" s="129"/>
      <c r="O1918" s="129"/>
      <c r="P1918" s="372"/>
      <c r="Q1918" s="372"/>
      <c r="R1918" s="129"/>
      <c r="S1918" s="129"/>
      <c r="T1918" s="129"/>
      <c r="W1918" s="129" t="s">
        <v>310</v>
      </c>
      <c r="X1918" s="337" t="b">
        <f t="shared" si="63"/>
        <v>0</v>
      </c>
    </row>
    <row r="1919" spans="1:24" s="360" customFormat="1" ht="12" customHeight="1" outlineLevel="1">
      <c r="A1919" s="365"/>
      <c r="B1919" s="118" t="s">
        <v>12</v>
      </c>
      <c r="C1919" s="334" t="s">
        <v>8628</v>
      </c>
      <c r="D1919" s="124" t="s">
        <v>8629</v>
      </c>
      <c r="E1919" s="125"/>
      <c r="F1919" s="118" t="s">
        <v>622</v>
      </c>
      <c r="G1919" s="126" t="s">
        <v>8505</v>
      </c>
      <c r="H1919" s="255">
        <v>1</v>
      </c>
      <c r="I1919" s="361">
        <v>1</v>
      </c>
      <c r="J1919" s="362" t="s">
        <v>310</v>
      </c>
      <c r="K1919" s="329"/>
      <c r="L1919" s="129"/>
      <c r="M1919" s="129"/>
      <c r="N1919" s="129"/>
      <c r="O1919" s="129"/>
      <c r="P1919" s="372"/>
      <c r="Q1919" s="372"/>
      <c r="R1919" s="129"/>
      <c r="S1919" s="129"/>
      <c r="T1919" s="129"/>
      <c r="W1919" s="129" t="s">
        <v>310</v>
      </c>
      <c r="X1919" s="337" t="b">
        <f t="shared" si="63"/>
        <v>1</v>
      </c>
    </row>
    <row r="1920" spans="1:24" s="360" customFormat="1" ht="12" customHeight="1" outlineLevel="1">
      <c r="A1920" s="365"/>
      <c r="B1920" s="118" t="s">
        <v>12</v>
      </c>
      <c r="C1920" s="334" t="s">
        <v>8630</v>
      </c>
      <c r="D1920" s="124" t="s">
        <v>8631</v>
      </c>
      <c r="E1920" s="125"/>
      <c r="F1920" s="118" t="s">
        <v>622</v>
      </c>
      <c r="G1920" s="126" t="s">
        <v>8505</v>
      </c>
      <c r="H1920" s="255">
        <v>1</v>
      </c>
      <c r="I1920" s="361">
        <v>1</v>
      </c>
      <c r="J1920" s="362" t="s">
        <v>286</v>
      </c>
      <c r="K1920" s="329"/>
      <c r="L1920" s="129"/>
      <c r="M1920" s="129"/>
      <c r="N1920" s="129"/>
      <c r="O1920" s="129"/>
      <c r="P1920" s="372"/>
      <c r="Q1920" s="372"/>
      <c r="R1920" s="129"/>
      <c r="S1920" s="129"/>
      <c r="T1920" s="129"/>
      <c r="W1920" s="129" t="s">
        <v>310</v>
      </c>
      <c r="X1920" s="337" t="b">
        <f t="shared" si="63"/>
        <v>0</v>
      </c>
    </row>
    <row r="1921" spans="1:24" s="360" customFormat="1" ht="12" customHeight="1" outlineLevel="1">
      <c r="A1921" s="365"/>
      <c r="B1921" s="118" t="s">
        <v>12</v>
      </c>
      <c r="C1921" s="334" t="s">
        <v>8632</v>
      </c>
      <c r="D1921" s="124" t="s">
        <v>8633</v>
      </c>
      <c r="E1921" s="125"/>
      <c r="F1921" s="118" t="s">
        <v>622</v>
      </c>
      <c r="G1921" s="126" t="s">
        <v>8505</v>
      </c>
      <c r="H1921" s="255">
        <v>1</v>
      </c>
      <c r="I1921" s="361">
        <v>1</v>
      </c>
      <c r="J1921" s="362" t="s">
        <v>286</v>
      </c>
      <c r="K1921" s="329"/>
      <c r="L1921" s="129"/>
      <c r="M1921" s="129"/>
      <c r="N1921" s="129"/>
      <c r="O1921" s="129"/>
      <c r="P1921" s="372"/>
      <c r="Q1921" s="372"/>
      <c r="R1921" s="129"/>
      <c r="S1921" s="129"/>
      <c r="T1921" s="129"/>
      <c r="W1921" s="129" t="s">
        <v>310</v>
      </c>
      <c r="X1921" s="337" t="b">
        <f t="shared" ref="X1921:X1984" si="64">W1921=J1921</f>
        <v>0</v>
      </c>
    </row>
    <row r="1922" spans="1:24" s="360" customFormat="1" ht="12" customHeight="1" outlineLevel="1">
      <c r="A1922" s="365"/>
      <c r="B1922" s="118" t="s">
        <v>12</v>
      </c>
      <c r="C1922" s="334" t="s">
        <v>8634</v>
      </c>
      <c r="D1922" s="124" t="s">
        <v>8635</v>
      </c>
      <c r="E1922" s="125"/>
      <c r="F1922" s="118" t="s">
        <v>622</v>
      </c>
      <c r="G1922" s="126" t="s">
        <v>8505</v>
      </c>
      <c r="H1922" s="255">
        <v>1</v>
      </c>
      <c r="I1922" s="361">
        <v>1</v>
      </c>
      <c r="J1922" s="362" t="s">
        <v>286</v>
      </c>
      <c r="K1922" s="329"/>
      <c r="L1922" s="129"/>
      <c r="M1922" s="129"/>
      <c r="N1922" s="129"/>
      <c r="O1922" s="129"/>
      <c r="P1922" s="372"/>
      <c r="Q1922" s="372"/>
      <c r="R1922" s="129"/>
      <c r="S1922" s="129"/>
      <c r="T1922" s="129"/>
      <c r="W1922" s="129" t="s">
        <v>310</v>
      </c>
      <c r="X1922" s="337" t="b">
        <f t="shared" si="64"/>
        <v>0</v>
      </c>
    </row>
    <row r="1923" spans="1:24" s="360" customFormat="1" ht="12" customHeight="1" outlineLevel="1">
      <c r="A1923" s="365"/>
      <c r="B1923" s="118" t="s">
        <v>12</v>
      </c>
      <c r="C1923" s="334" t="s">
        <v>8636</v>
      </c>
      <c r="D1923" s="124" t="s">
        <v>8637</v>
      </c>
      <c r="E1923" s="125"/>
      <c r="F1923" s="118" t="s">
        <v>622</v>
      </c>
      <c r="G1923" s="126" t="s">
        <v>8505</v>
      </c>
      <c r="H1923" s="255">
        <v>1</v>
      </c>
      <c r="I1923" s="361">
        <v>1</v>
      </c>
      <c r="J1923" s="362" t="s">
        <v>286</v>
      </c>
      <c r="K1923" s="329"/>
      <c r="L1923" s="129"/>
      <c r="M1923" s="129"/>
      <c r="N1923" s="129"/>
      <c r="O1923" s="129"/>
      <c r="P1923" s="372"/>
      <c r="Q1923" s="372"/>
      <c r="R1923" s="129"/>
      <c r="S1923" s="129"/>
      <c r="T1923" s="129"/>
      <c r="W1923" s="129" t="s">
        <v>310</v>
      </c>
      <c r="X1923" s="337" t="b">
        <f t="shared" si="64"/>
        <v>0</v>
      </c>
    </row>
    <row r="1924" spans="1:24" s="360" customFormat="1" ht="12" customHeight="1" outlineLevel="1">
      <c r="A1924" s="365"/>
      <c r="B1924" s="118" t="s">
        <v>12</v>
      </c>
      <c r="C1924" s="334" t="s">
        <v>8638</v>
      </c>
      <c r="D1924" s="124" t="s">
        <v>8639</v>
      </c>
      <c r="E1924" s="125"/>
      <c r="F1924" s="118" t="s">
        <v>622</v>
      </c>
      <c r="G1924" s="126" t="s">
        <v>8505</v>
      </c>
      <c r="H1924" s="255">
        <v>1</v>
      </c>
      <c r="I1924" s="361">
        <v>1</v>
      </c>
      <c r="J1924" s="362" t="s">
        <v>310</v>
      </c>
      <c r="K1924" s="329"/>
      <c r="L1924" s="129"/>
      <c r="M1924" s="129"/>
      <c r="N1924" s="129"/>
      <c r="O1924" s="129"/>
      <c r="P1924" s="372"/>
      <c r="Q1924" s="372"/>
      <c r="R1924" s="129"/>
      <c r="S1924" s="129"/>
      <c r="T1924" s="129"/>
      <c r="W1924" s="129" t="s">
        <v>310</v>
      </c>
      <c r="X1924" s="337" t="b">
        <f t="shared" si="64"/>
        <v>1</v>
      </c>
    </row>
    <row r="1925" spans="1:24" s="360" customFormat="1" ht="12" customHeight="1" outlineLevel="1">
      <c r="A1925" s="365"/>
      <c r="B1925" s="118" t="s">
        <v>12</v>
      </c>
      <c r="C1925" s="334" t="s">
        <v>8640</v>
      </c>
      <c r="D1925" s="124" t="s">
        <v>8641</v>
      </c>
      <c r="E1925" s="125"/>
      <c r="F1925" s="118" t="s">
        <v>622</v>
      </c>
      <c r="G1925" s="126" t="s">
        <v>8505</v>
      </c>
      <c r="H1925" s="255">
        <v>1</v>
      </c>
      <c r="I1925" s="361">
        <v>1</v>
      </c>
      <c r="J1925" s="362" t="s">
        <v>310</v>
      </c>
      <c r="K1925" s="329"/>
      <c r="L1925" s="129"/>
      <c r="M1925" s="129"/>
      <c r="N1925" s="129"/>
      <c r="O1925" s="129"/>
      <c r="P1925" s="372"/>
      <c r="Q1925" s="372"/>
      <c r="R1925" s="129"/>
      <c r="S1925" s="129"/>
      <c r="T1925" s="129"/>
      <c r="W1925" s="129" t="s">
        <v>310</v>
      </c>
      <c r="X1925" s="337" t="b">
        <f t="shared" si="64"/>
        <v>1</v>
      </c>
    </row>
    <row r="1926" spans="1:24" s="360" customFormat="1" ht="12" customHeight="1" outlineLevel="1">
      <c r="A1926" s="365"/>
      <c r="B1926" s="118" t="s">
        <v>12</v>
      </c>
      <c r="C1926" s="334" t="s">
        <v>8642</v>
      </c>
      <c r="D1926" s="124" t="s">
        <v>8643</v>
      </c>
      <c r="E1926" s="125"/>
      <c r="F1926" s="118" t="s">
        <v>622</v>
      </c>
      <c r="G1926" s="126" t="s">
        <v>8505</v>
      </c>
      <c r="H1926" s="255">
        <v>1</v>
      </c>
      <c r="I1926" s="361">
        <v>1</v>
      </c>
      <c r="J1926" s="362" t="s">
        <v>310</v>
      </c>
      <c r="K1926" s="329"/>
      <c r="L1926" s="129"/>
      <c r="M1926" s="129"/>
      <c r="N1926" s="129"/>
      <c r="O1926" s="129"/>
      <c r="P1926" s="372"/>
      <c r="Q1926" s="372"/>
      <c r="R1926" s="129"/>
      <c r="S1926" s="129"/>
      <c r="T1926" s="129"/>
      <c r="W1926" s="129" t="s">
        <v>310</v>
      </c>
      <c r="X1926" s="337" t="b">
        <f t="shared" si="64"/>
        <v>1</v>
      </c>
    </row>
    <row r="1927" spans="1:24" s="360" customFormat="1" ht="12" customHeight="1" outlineLevel="1">
      <c r="A1927" s="365"/>
      <c r="B1927" s="118" t="s">
        <v>12</v>
      </c>
      <c r="C1927" s="334" t="s">
        <v>8644</v>
      </c>
      <c r="D1927" s="124" t="s">
        <v>8645</v>
      </c>
      <c r="E1927" s="125"/>
      <c r="F1927" s="118" t="s">
        <v>622</v>
      </c>
      <c r="G1927" s="126" t="s">
        <v>8505</v>
      </c>
      <c r="H1927" s="255">
        <v>1</v>
      </c>
      <c r="I1927" s="361">
        <v>1</v>
      </c>
      <c r="J1927" s="362" t="s">
        <v>310</v>
      </c>
      <c r="K1927" s="329"/>
      <c r="L1927" s="129"/>
      <c r="M1927" s="129"/>
      <c r="N1927" s="129"/>
      <c r="O1927" s="129"/>
      <c r="P1927" s="372"/>
      <c r="Q1927" s="372"/>
      <c r="R1927" s="129"/>
      <c r="S1927" s="129"/>
      <c r="T1927" s="129"/>
      <c r="W1927" s="129" t="s">
        <v>310</v>
      </c>
      <c r="X1927" s="337" t="b">
        <f t="shared" si="64"/>
        <v>1</v>
      </c>
    </row>
    <row r="1928" spans="1:24" s="360" customFormat="1" ht="12" customHeight="1" outlineLevel="1">
      <c r="A1928" s="365"/>
      <c r="B1928" s="118" t="s">
        <v>12</v>
      </c>
      <c r="C1928" s="334" t="s">
        <v>8646</v>
      </c>
      <c r="D1928" s="124" t="s">
        <v>8647</v>
      </c>
      <c r="E1928" s="125"/>
      <c r="F1928" s="118" t="s">
        <v>622</v>
      </c>
      <c r="G1928" s="126" t="s">
        <v>8505</v>
      </c>
      <c r="H1928" s="255">
        <v>1</v>
      </c>
      <c r="I1928" s="361">
        <v>1</v>
      </c>
      <c r="J1928" s="362" t="s">
        <v>286</v>
      </c>
      <c r="K1928" s="329"/>
      <c r="L1928" s="129"/>
      <c r="M1928" s="129"/>
      <c r="N1928" s="129"/>
      <c r="O1928" s="129"/>
      <c r="P1928" s="372"/>
      <c r="Q1928" s="372"/>
      <c r="R1928" s="129"/>
      <c r="S1928" s="129"/>
      <c r="T1928" s="129"/>
      <c r="W1928" s="129" t="s">
        <v>310</v>
      </c>
      <c r="X1928" s="337" t="b">
        <f t="shared" si="64"/>
        <v>0</v>
      </c>
    </row>
    <row r="1929" spans="1:24" s="360" customFormat="1" ht="12" customHeight="1" outlineLevel="1">
      <c r="A1929" s="365"/>
      <c r="B1929" s="118" t="s">
        <v>12</v>
      </c>
      <c r="C1929" s="334" t="s">
        <v>8648</v>
      </c>
      <c r="D1929" s="124" t="s">
        <v>8649</v>
      </c>
      <c r="E1929" s="125"/>
      <c r="F1929" s="118" t="s">
        <v>622</v>
      </c>
      <c r="G1929" s="126" t="s">
        <v>8505</v>
      </c>
      <c r="H1929" s="255">
        <v>1</v>
      </c>
      <c r="I1929" s="361">
        <v>1</v>
      </c>
      <c r="J1929" s="362" t="s">
        <v>286</v>
      </c>
      <c r="K1929" s="329"/>
      <c r="L1929" s="129"/>
      <c r="M1929" s="129"/>
      <c r="N1929" s="129"/>
      <c r="O1929" s="129"/>
      <c r="P1929" s="372"/>
      <c r="Q1929" s="372"/>
      <c r="R1929" s="129"/>
      <c r="S1929" s="129"/>
      <c r="T1929" s="129"/>
      <c r="W1929" s="129" t="s">
        <v>310</v>
      </c>
      <c r="X1929" s="337" t="b">
        <f t="shared" si="64"/>
        <v>0</v>
      </c>
    </row>
    <row r="1930" spans="1:24" s="360" customFormat="1" ht="12" customHeight="1" outlineLevel="1">
      <c r="A1930" s="365"/>
      <c r="B1930" s="118" t="s">
        <v>12</v>
      </c>
      <c r="C1930" s="334" t="s">
        <v>8650</v>
      </c>
      <c r="D1930" s="124" t="s">
        <v>8651</v>
      </c>
      <c r="E1930" s="125"/>
      <c r="F1930" s="118" t="s">
        <v>622</v>
      </c>
      <c r="G1930" s="126" t="s">
        <v>8505</v>
      </c>
      <c r="H1930" s="255">
        <v>1</v>
      </c>
      <c r="I1930" s="361">
        <v>1</v>
      </c>
      <c r="J1930" s="362" t="s">
        <v>310</v>
      </c>
      <c r="K1930" s="329"/>
      <c r="L1930" s="129"/>
      <c r="M1930" s="129"/>
      <c r="N1930" s="129"/>
      <c r="O1930" s="129"/>
      <c r="P1930" s="372"/>
      <c r="Q1930" s="372"/>
      <c r="R1930" s="129"/>
      <c r="S1930" s="129"/>
      <c r="T1930" s="129"/>
      <c r="W1930" s="129" t="s">
        <v>310</v>
      </c>
      <c r="X1930" s="337" t="b">
        <f t="shared" si="64"/>
        <v>1</v>
      </c>
    </row>
    <row r="1931" spans="1:24" s="360" customFormat="1" ht="12" customHeight="1" outlineLevel="1">
      <c r="A1931" s="365"/>
      <c r="B1931" s="118" t="s">
        <v>12</v>
      </c>
      <c r="C1931" s="334" t="s">
        <v>8652</v>
      </c>
      <c r="D1931" s="124" t="s">
        <v>8653</v>
      </c>
      <c r="E1931" s="125"/>
      <c r="F1931" s="118" t="s">
        <v>622</v>
      </c>
      <c r="G1931" s="126" t="s">
        <v>8505</v>
      </c>
      <c r="H1931" s="255">
        <v>1</v>
      </c>
      <c r="I1931" s="361">
        <v>1</v>
      </c>
      <c r="J1931" s="362" t="s">
        <v>310</v>
      </c>
      <c r="K1931" s="329"/>
      <c r="L1931" s="129"/>
      <c r="M1931" s="129"/>
      <c r="N1931" s="129"/>
      <c r="O1931" s="129"/>
      <c r="P1931" s="372"/>
      <c r="Q1931" s="372"/>
      <c r="R1931" s="129"/>
      <c r="S1931" s="129"/>
      <c r="T1931" s="129"/>
      <c r="W1931" s="129" t="s">
        <v>286</v>
      </c>
      <c r="X1931" s="337" t="b">
        <f t="shared" si="64"/>
        <v>0</v>
      </c>
    </row>
    <row r="1932" spans="1:24" s="360" customFormat="1" ht="12" customHeight="1" outlineLevel="1">
      <c r="A1932" s="365"/>
      <c r="B1932" s="118" t="s">
        <v>12</v>
      </c>
      <c r="C1932" s="334" t="s">
        <v>8654</v>
      </c>
      <c r="D1932" s="124" t="s">
        <v>8655</v>
      </c>
      <c r="E1932" s="125"/>
      <c r="F1932" s="118" t="s">
        <v>622</v>
      </c>
      <c r="G1932" s="126" t="s">
        <v>8505</v>
      </c>
      <c r="H1932" s="255">
        <v>1</v>
      </c>
      <c r="I1932" s="361">
        <v>1</v>
      </c>
      <c r="J1932" s="362" t="s">
        <v>286</v>
      </c>
      <c r="K1932" s="329"/>
      <c r="L1932" s="129"/>
      <c r="M1932" s="129"/>
      <c r="N1932" s="129"/>
      <c r="O1932" s="129"/>
      <c r="P1932" s="372"/>
      <c r="Q1932" s="372"/>
      <c r="R1932" s="129"/>
      <c r="S1932" s="129"/>
      <c r="T1932" s="129"/>
      <c r="W1932" s="129" t="s">
        <v>310</v>
      </c>
      <c r="X1932" s="337" t="b">
        <f t="shared" si="64"/>
        <v>0</v>
      </c>
    </row>
    <row r="1933" spans="1:24" s="360" customFormat="1" ht="12" customHeight="1" outlineLevel="1">
      <c r="A1933" s="365"/>
      <c r="B1933" s="118" t="s">
        <v>12</v>
      </c>
      <c r="C1933" s="334" t="s">
        <v>8656</v>
      </c>
      <c r="D1933" s="124" t="s">
        <v>8657</v>
      </c>
      <c r="E1933" s="125"/>
      <c r="F1933" s="118" t="s">
        <v>622</v>
      </c>
      <c r="G1933" s="126" t="s">
        <v>8505</v>
      </c>
      <c r="H1933" s="255">
        <v>1</v>
      </c>
      <c r="I1933" s="361">
        <v>1</v>
      </c>
      <c r="J1933" s="362" t="s">
        <v>286</v>
      </c>
      <c r="K1933" s="329"/>
      <c r="L1933" s="129"/>
      <c r="M1933" s="129"/>
      <c r="N1933" s="129"/>
      <c r="O1933" s="129"/>
      <c r="P1933" s="372"/>
      <c r="Q1933" s="372"/>
      <c r="R1933" s="129"/>
      <c r="S1933" s="129"/>
      <c r="T1933" s="129"/>
      <c r="W1933" s="129" t="s">
        <v>310</v>
      </c>
      <c r="X1933" s="337" t="b">
        <f t="shared" si="64"/>
        <v>0</v>
      </c>
    </row>
    <row r="1934" spans="1:24" s="360" customFormat="1" ht="12" customHeight="1" outlineLevel="1">
      <c r="A1934" s="365"/>
      <c r="B1934" s="118" t="s">
        <v>12</v>
      </c>
      <c r="C1934" s="334" t="s">
        <v>8658</v>
      </c>
      <c r="D1934" s="124" t="s">
        <v>8659</v>
      </c>
      <c r="E1934" s="125"/>
      <c r="F1934" s="118" t="s">
        <v>622</v>
      </c>
      <c r="G1934" s="126" t="s">
        <v>8505</v>
      </c>
      <c r="H1934" s="255">
        <v>1</v>
      </c>
      <c r="I1934" s="361">
        <v>1</v>
      </c>
      <c r="J1934" s="362" t="s">
        <v>286</v>
      </c>
      <c r="K1934" s="329"/>
      <c r="L1934" s="129"/>
      <c r="M1934" s="129"/>
      <c r="N1934" s="129"/>
      <c r="O1934" s="129"/>
      <c r="P1934" s="372"/>
      <c r="Q1934" s="372"/>
      <c r="R1934" s="129"/>
      <c r="S1934" s="129"/>
      <c r="T1934" s="129"/>
      <c r="W1934" s="129" t="s">
        <v>310</v>
      </c>
      <c r="X1934" s="337" t="b">
        <f t="shared" si="64"/>
        <v>0</v>
      </c>
    </row>
    <row r="1935" spans="1:24" s="360" customFormat="1" ht="12" customHeight="1" outlineLevel="1">
      <c r="A1935" s="365"/>
      <c r="B1935" s="118" t="s">
        <v>12</v>
      </c>
      <c r="C1935" s="334" t="s">
        <v>8660</v>
      </c>
      <c r="D1935" s="124" t="s">
        <v>8661</v>
      </c>
      <c r="E1935" s="125"/>
      <c r="F1935" s="118" t="s">
        <v>622</v>
      </c>
      <c r="G1935" s="126" t="s">
        <v>8505</v>
      </c>
      <c r="H1935" s="255">
        <v>1</v>
      </c>
      <c r="I1935" s="361">
        <v>1</v>
      </c>
      <c r="J1935" s="362" t="s">
        <v>286</v>
      </c>
      <c r="K1935" s="329"/>
      <c r="L1935" s="129"/>
      <c r="M1935" s="129"/>
      <c r="N1935" s="129"/>
      <c r="O1935" s="129"/>
      <c r="P1935" s="372"/>
      <c r="Q1935" s="372"/>
      <c r="R1935" s="129"/>
      <c r="S1935" s="129"/>
      <c r="T1935" s="129"/>
      <c r="W1935" s="129" t="s">
        <v>310</v>
      </c>
      <c r="X1935" s="337" t="b">
        <f t="shared" si="64"/>
        <v>0</v>
      </c>
    </row>
    <row r="1936" spans="1:24" s="360" customFormat="1" ht="12" customHeight="1" outlineLevel="1">
      <c r="A1936" s="365"/>
      <c r="B1936" s="118" t="s">
        <v>12</v>
      </c>
      <c r="C1936" s="334" t="s">
        <v>8662</v>
      </c>
      <c r="D1936" s="124" t="s">
        <v>8663</v>
      </c>
      <c r="E1936" s="125"/>
      <c r="F1936" s="118" t="s">
        <v>622</v>
      </c>
      <c r="G1936" s="126" t="s">
        <v>8505</v>
      </c>
      <c r="H1936" s="255">
        <v>1</v>
      </c>
      <c r="I1936" s="361">
        <v>1</v>
      </c>
      <c r="J1936" s="362" t="s">
        <v>286</v>
      </c>
      <c r="K1936" s="329"/>
      <c r="L1936" s="129"/>
      <c r="M1936" s="129"/>
      <c r="N1936" s="129"/>
      <c r="O1936" s="129"/>
      <c r="P1936" s="372"/>
      <c r="Q1936" s="372"/>
      <c r="R1936" s="129"/>
      <c r="S1936" s="129"/>
      <c r="T1936" s="129"/>
      <c r="W1936" s="129" t="s">
        <v>310</v>
      </c>
      <c r="X1936" s="337" t="b">
        <f t="shared" si="64"/>
        <v>0</v>
      </c>
    </row>
    <row r="1937" spans="1:24" s="360" customFormat="1" ht="12" customHeight="1" outlineLevel="1">
      <c r="A1937" s="365"/>
      <c r="B1937" s="118" t="s">
        <v>12</v>
      </c>
      <c r="C1937" s="334" t="s">
        <v>8664</v>
      </c>
      <c r="D1937" s="124" t="s">
        <v>8665</v>
      </c>
      <c r="E1937" s="125"/>
      <c r="F1937" s="118" t="s">
        <v>622</v>
      </c>
      <c r="G1937" s="126" t="s">
        <v>8505</v>
      </c>
      <c r="H1937" s="255">
        <v>1</v>
      </c>
      <c r="I1937" s="361">
        <v>1</v>
      </c>
      <c r="J1937" s="362" t="s">
        <v>286</v>
      </c>
      <c r="K1937" s="329"/>
      <c r="L1937" s="129"/>
      <c r="M1937" s="129"/>
      <c r="N1937" s="129"/>
      <c r="O1937" s="129"/>
      <c r="P1937" s="372"/>
      <c r="Q1937" s="372"/>
      <c r="R1937" s="129"/>
      <c r="S1937" s="129"/>
      <c r="T1937" s="129"/>
      <c r="W1937" s="129" t="s">
        <v>310</v>
      </c>
      <c r="X1937" s="337" t="b">
        <f t="shared" si="64"/>
        <v>0</v>
      </c>
    </row>
    <row r="1938" spans="1:24" s="360" customFormat="1" ht="12" customHeight="1" outlineLevel="1">
      <c r="A1938" s="365"/>
      <c r="B1938" s="118" t="s">
        <v>12</v>
      </c>
      <c r="C1938" s="334" t="s">
        <v>8666</v>
      </c>
      <c r="D1938" s="124" t="s">
        <v>8667</v>
      </c>
      <c r="E1938" s="125"/>
      <c r="F1938" s="118" t="s">
        <v>622</v>
      </c>
      <c r="G1938" s="126" t="s">
        <v>8505</v>
      </c>
      <c r="H1938" s="255">
        <v>1</v>
      </c>
      <c r="I1938" s="361">
        <v>1</v>
      </c>
      <c r="J1938" s="362" t="s">
        <v>310</v>
      </c>
      <c r="K1938" s="329"/>
      <c r="L1938" s="129"/>
      <c r="M1938" s="129"/>
      <c r="N1938" s="129"/>
      <c r="O1938" s="129"/>
      <c r="P1938" s="372"/>
      <c r="Q1938" s="372"/>
      <c r="R1938" s="129"/>
      <c r="S1938" s="129"/>
      <c r="T1938" s="129"/>
      <c r="W1938" s="129" t="s">
        <v>310</v>
      </c>
      <c r="X1938" s="337" t="b">
        <f t="shared" si="64"/>
        <v>1</v>
      </c>
    </row>
    <row r="1939" spans="1:24" s="360" customFormat="1" ht="12" customHeight="1" outlineLevel="1">
      <c r="A1939" s="365"/>
      <c r="B1939" s="118" t="s">
        <v>12</v>
      </c>
      <c r="C1939" s="334" t="s">
        <v>8668</v>
      </c>
      <c r="D1939" s="124" t="s">
        <v>8669</v>
      </c>
      <c r="E1939" s="125"/>
      <c r="F1939" s="118" t="s">
        <v>622</v>
      </c>
      <c r="G1939" s="126" t="s">
        <v>8505</v>
      </c>
      <c r="H1939" s="255">
        <v>1</v>
      </c>
      <c r="I1939" s="361">
        <v>1</v>
      </c>
      <c r="J1939" s="362" t="s">
        <v>310</v>
      </c>
      <c r="K1939" s="329"/>
      <c r="L1939" s="129"/>
      <c r="M1939" s="129"/>
      <c r="N1939" s="129"/>
      <c r="O1939" s="129"/>
      <c r="P1939" s="372"/>
      <c r="Q1939" s="372"/>
      <c r="R1939" s="129"/>
      <c r="S1939" s="129"/>
      <c r="T1939" s="129"/>
      <c r="W1939" s="129" t="s">
        <v>310</v>
      </c>
      <c r="X1939" s="337" t="b">
        <f t="shared" si="64"/>
        <v>1</v>
      </c>
    </row>
    <row r="1940" spans="1:24" s="360" customFormat="1" ht="12" customHeight="1" outlineLevel="1">
      <c r="A1940" s="365"/>
      <c r="B1940" s="118" t="s">
        <v>12</v>
      </c>
      <c r="C1940" s="334" t="s">
        <v>8670</v>
      </c>
      <c r="D1940" s="124" t="s">
        <v>8671</v>
      </c>
      <c r="E1940" s="125"/>
      <c r="F1940" s="118" t="s">
        <v>622</v>
      </c>
      <c r="G1940" s="126" t="s">
        <v>8505</v>
      </c>
      <c r="H1940" s="255">
        <v>1</v>
      </c>
      <c r="I1940" s="361">
        <v>1</v>
      </c>
      <c r="J1940" s="362" t="s">
        <v>310</v>
      </c>
      <c r="K1940" s="329"/>
      <c r="L1940" s="129"/>
      <c r="M1940" s="129"/>
      <c r="N1940" s="129"/>
      <c r="O1940" s="129"/>
      <c r="P1940" s="372"/>
      <c r="Q1940" s="372"/>
      <c r="R1940" s="129"/>
      <c r="S1940" s="129"/>
      <c r="T1940" s="129"/>
      <c r="W1940" s="129" t="s">
        <v>310</v>
      </c>
      <c r="X1940" s="337" t="b">
        <f t="shared" si="64"/>
        <v>1</v>
      </c>
    </row>
    <row r="1941" spans="1:24" s="360" customFormat="1" ht="12" customHeight="1" outlineLevel="1">
      <c r="A1941" s="365"/>
      <c r="B1941" s="118" t="s">
        <v>12</v>
      </c>
      <c r="C1941" s="334" t="s">
        <v>8672</v>
      </c>
      <c r="D1941" s="124" t="s">
        <v>8673</v>
      </c>
      <c r="E1941" s="125"/>
      <c r="F1941" s="118" t="s">
        <v>622</v>
      </c>
      <c r="G1941" s="126" t="s">
        <v>8505</v>
      </c>
      <c r="H1941" s="255">
        <v>1</v>
      </c>
      <c r="I1941" s="361">
        <v>1</v>
      </c>
      <c r="J1941" s="362" t="s">
        <v>310</v>
      </c>
      <c r="K1941" s="329"/>
      <c r="L1941" s="129"/>
      <c r="M1941" s="129"/>
      <c r="N1941" s="129"/>
      <c r="O1941" s="129"/>
      <c r="P1941" s="372"/>
      <c r="Q1941" s="372"/>
      <c r="R1941" s="129"/>
      <c r="S1941" s="129"/>
      <c r="T1941" s="129"/>
      <c r="W1941" s="129" t="s">
        <v>310</v>
      </c>
      <c r="X1941" s="337" t="b">
        <f t="shared" si="64"/>
        <v>1</v>
      </c>
    </row>
    <row r="1942" spans="1:24" s="360" customFormat="1" ht="12" customHeight="1" outlineLevel="1">
      <c r="A1942" s="365"/>
      <c r="B1942" s="118" t="s">
        <v>12</v>
      </c>
      <c r="C1942" s="334" t="s">
        <v>8674</v>
      </c>
      <c r="D1942" s="124" t="s">
        <v>8675</v>
      </c>
      <c r="E1942" s="125"/>
      <c r="F1942" s="118" t="s">
        <v>622</v>
      </c>
      <c r="G1942" s="126" t="s">
        <v>8505</v>
      </c>
      <c r="H1942" s="255">
        <v>1</v>
      </c>
      <c r="I1942" s="361">
        <v>1</v>
      </c>
      <c r="J1942" s="362" t="s">
        <v>307</v>
      </c>
      <c r="K1942" s="329"/>
      <c r="L1942" s="129"/>
      <c r="M1942" s="129"/>
      <c r="N1942" s="129"/>
      <c r="O1942" s="129"/>
      <c r="P1942" s="372"/>
      <c r="Q1942" s="372"/>
      <c r="R1942" s="129"/>
      <c r="S1942" s="129"/>
      <c r="T1942" s="129"/>
      <c r="W1942" s="129" t="s">
        <v>310</v>
      </c>
      <c r="X1942" s="337" t="b">
        <f t="shared" si="64"/>
        <v>0</v>
      </c>
    </row>
    <row r="1943" spans="1:24" s="360" customFormat="1" ht="12" customHeight="1" outlineLevel="1">
      <c r="A1943" s="365"/>
      <c r="B1943" s="118" t="s">
        <v>12</v>
      </c>
      <c r="C1943" s="334" t="s">
        <v>8676</v>
      </c>
      <c r="D1943" s="124" t="s">
        <v>8677</v>
      </c>
      <c r="E1943" s="125"/>
      <c r="F1943" s="118" t="s">
        <v>622</v>
      </c>
      <c r="G1943" s="126" t="s">
        <v>8505</v>
      </c>
      <c r="H1943" s="255">
        <v>1</v>
      </c>
      <c r="I1943" s="361">
        <v>1</v>
      </c>
      <c r="J1943" s="362" t="s">
        <v>307</v>
      </c>
      <c r="K1943" s="329"/>
      <c r="L1943" s="129"/>
      <c r="M1943" s="129"/>
      <c r="N1943" s="129"/>
      <c r="O1943" s="129"/>
      <c r="P1943" s="372"/>
      <c r="Q1943" s="372"/>
      <c r="R1943" s="129"/>
      <c r="S1943" s="129"/>
      <c r="T1943" s="129"/>
      <c r="W1943" s="129" t="s">
        <v>310</v>
      </c>
      <c r="X1943" s="337" t="b">
        <f t="shared" si="64"/>
        <v>0</v>
      </c>
    </row>
    <row r="1944" spans="1:24" s="360" customFormat="1" ht="12" customHeight="1" outlineLevel="1">
      <c r="A1944" s="365"/>
      <c r="B1944" s="118" t="s">
        <v>12</v>
      </c>
      <c r="C1944" s="334" t="s">
        <v>8678</v>
      </c>
      <c r="D1944" s="124" t="s">
        <v>8679</v>
      </c>
      <c r="E1944" s="125"/>
      <c r="F1944" s="118" t="s">
        <v>622</v>
      </c>
      <c r="G1944" s="126" t="s">
        <v>8505</v>
      </c>
      <c r="H1944" s="255">
        <v>1</v>
      </c>
      <c r="I1944" s="361">
        <v>1</v>
      </c>
      <c r="J1944" s="362" t="s">
        <v>286</v>
      </c>
      <c r="K1944" s="329"/>
      <c r="L1944" s="129"/>
      <c r="M1944" s="129"/>
      <c r="N1944" s="129"/>
      <c r="O1944" s="129"/>
      <c r="P1944" s="372"/>
      <c r="Q1944" s="372"/>
      <c r="R1944" s="129"/>
      <c r="S1944" s="129"/>
      <c r="T1944" s="129"/>
      <c r="W1944" s="129" t="s">
        <v>310</v>
      </c>
      <c r="X1944" s="337" t="b">
        <f t="shared" si="64"/>
        <v>0</v>
      </c>
    </row>
    <row r="1945" spans="1:24" s="360" customFormat="1" ht="12" customHeight="1" outlineLevel="1">
      <c r="A1945" s="365"/>
      <c r="B1945" s="118" t="s">
        <v>12</v>
      </c>
      <c r="C1945" s="334" t="s">
        <v>8680</v>
      </c>
      <c r="D1945" s="124" t="s">
        <v>8681</v>
      </c>
      <c r="E1945" s="125"/>
      <c r="F1945" s="118" t="s">
        <v>622</v>
      </c>
      <c r="G1945" s="126" t="s">
        <v>8505</v>
      </c>
      <c r="H1945" s="255">
        <v>1</v>
      </c>
      <c r="I1945" s="361">
        <v>1</v>
      </c>
      <c r="J1945" s="362" t="s">
        <v>310</v>
      </c>
      <c r="K1945" s="329"/>
      <c r="L1945" s="129"/>
      <c r="M1945" s="129"/>
      <c r="N1945" s="129"/>
      <c r="O1945" s="129"/>
      <c r="P1945" s="372"/>
      <c r="Q1945" s="372"/>
      <c r="R1945" s="129"/>
      <c r="S1945" s="129"/>
      <c r="T1945" s="129"/>
      <c r="W1945" s="129" t="s">
        <v>310</v>
      </c>
      <c r="X1945" s="337" t="b">
        <f t="shared" si="64"/>
        <v>1</v>
      </c>
    </row>
    <row r="1946" spans="1:24" s="360" customFormat="1" ht="12" customHeight="1" outlineLevel="1">
      <c r="A1946" s="365"/>
      <c r="B1946" s="118" t="s">
        <v>12</v>
      </c>
      <c r="C1946" s="334" t="s">
        <v>8682</v>
      </c>
      <c r="D1946" s="124" t="s">
        <v>8683</v>
      </c>
      <c r="E1946" s="125"/>
      <c r="F1946" s="118" t="s">
        <v>622</v>
      </c>
      <c r="G1946" s="126" t="s">
        <v>8505</v>
      </c>
      <c r="H1946" s="255">
        <v>1</v>
      </c>
      <c r="I1946" s="361">
        <v>1</v>
      </c>
      <c r="J1946" s="362" t="s">
        <v>310</v>
      </c>
      <c r="K1946" s="329"/>
      <c r="L1946" s="129"/>
      <c r="M1946" s="129"/>
      <c r="N1946" s="129"/>
      <c r="O1946" s="129"/>
      <c r="P1946" s="372"/>
      <c r="Q1946" s="372"/>
      <c r="R1946" s="129"/>
      <c r="S1946" s="129"/>
      <c r="T1946" s="129"/>
      <c r="W1946" s="129" t="s">
        <v>310</v>
      </c>
      <c r="X1946" s="337" t="b">
        <f t="shared" si="64"/>
        <v>1</v>
      </c>
    </row>
    <row r="1947" spans="1:24" s="360" customFormat="1" ht="12" customHeight="1" outlineLevel="1">
      <c r="A1947" s="365"/>
      <c r="B1947" s="118" t="s">
        <v>12</v>
      </c>
      <c r="C1947" s="334" t="s">
        <v>8684</v>
      </c>
      <c r="D1947" s="124" t="s">
        <v>8685</v>
      </c>
      <c r="E1947" s="125"/>
      <c r="F1947" s="118" t="s">
        <v>622</v>
      </c>
      <c r="G1947" s="126" t="s">
        <v>8505</v>
      </c>
      <c r="H1947" s="255">
        <v>1</v>
      </c>
      <c r="I1947" s="361">
        <v>1</v>
      </c>
      <c r="J1947" s="362" t="s">
        <v>310</v>
      </c>
      <c r="K1947" s="329"/>
      <c r="L1947" s="129"/>
      <c r="M1947" s="129"/>
      <c r="N1947" s="129"/>
      <c r="O1947" s="129"/>
      <c r="P1947" s="372"/>
      <c r="Q1947" s="372"/>
      <c r="R1947" s="129"/>
      <c r="S1947" s="129"/>
      <c r="T1947" s="129"/>
      <c r="W1947" s="129" t="s">
        <v>310</v>
      </c>
      <c r="X1947" s="337" t="b">
        <f t="shared" si="64"/>
        <v>1</v>
      </c>
    </row>
    <row r="1948" spans="1:24" s="360" customFormat="1" ht="12" customHeight="1" outlineLevel="1">
      <c r="A1948" s="365"/>
      <c r="B1948" s="118" t="s">
        <v>12</v>
      </c>
      <c r="C1948" s="334" t="s">
        <v>8686</v>
      </c>
      <c r="D1948" s="124" t="s">
        <v>8687</v>
      </c>
      <c r="E1948" s="125"/>
      <c r="F1948" s="118" t="s">
        <v>622</v>
      </c>
      <c r="G1948" s="126" t="s">
        <v>8505</v>
      </c>
      <c r="H1948" s="255">
        <v>1</v>
      </c>
      <c r="I1948" s="361">
        <v>1</v>
      </c>
      <c r="J1948" s="362" t="s">
        <v>310</v>
      </c>
      <c r="K1948" s="329"/>
      <c r="L1948" s="129"/>
      <c r="M1948" s="129"/>
      <c r="N1948" s="129"/>
      <c r="O1948" s="129"/>
      <c r="P1948" s="372"/>
      <c r="Q1948" s="372"/>
      <c r="R1948" s="129"/>
      <c r="S1948" s="129"/>
      <c r="T1948" s="129"/>
      <c r="W1948" s="129" t="s">
        <v>307</v>
      </c>
      <c r="X1948" s="337" t="b">
        <f t="shared" si="64"/>
        <v>0</v>
      </c>
    </row>
    <row r="1949" spans="1:24" s="360" customFormat="1" ht="12" customHeight="1" outlineLevel="1">
      <c r="A1949" s="365"/>
      <c r="B1949" s="118" t="s">
        <v>12</v>
      </c>
      <c r="C1949" s="334" t="s">
        <v>8688</v>
      </c>
      <c r="D1949" s="124" t="s">
        <v>8689</v>
      </c>
      <c r="E1949" s="125"/>
      <c r="F1949" s="118" t="s">
        <v>622</v>
      </c>
      <c r="G1949" s="126" t="s">
        <v>8505</v>
      </c>
      <c r="H1949" s="255">
        <v>1</v>
      </c>
      <c r="I1949" s="361">
        <v>1</v>
      </c>
      <c r="J1949" s="362" t="s">
        <v>310</v>
      </c>
      <c r="K1949" s="329"/>
      <c r="L1949" s="129"/>
      <c r="M1949" s="129"/>
      <c r="N1949" s="129"/>
      <c r="O1949" s="129"/>
      <c r="P1949" s="372"/>
      <c r="Q1949" s="372"/>
      <c r="R1949" s="129"/>
      <c r="S1949" s="129"/>
      <c r="T1949" s="129"/>
      <c r="W1949" s="129" t="s">
        <v>307</v>
      </c>
      <c r="X1949" s="337" t="b">
        <f t="shared" si="64"/>
        <v>0</v>
      </c>
    </row>
    <row r="1950" spans="1:24" s="360" customFormat="1" ht="12" customHeight="1" outlineLevel="1">
      <c r="A1950" s="365"/>
      <c r="B1950" s="118" t="s">
        <v>12</v>
      </c>
      <c r="C1950" s="334" t="s">
        <v>8690</v>
      </c>
      <c r="D1950" s="124" t="s">
        <v>8691</v>
      </c>
      <c r="E1950" s="125"/>
      <c r="F1950" s="118" t="s">
        <v>622</v>
      </c>
      <c r="G1950" s="126" t="s">
        <v>8505</v>
      </c>
      <c r="H1950" s="255">
        <v>1</v>
      </c>
      <c r="I1950" s="361">
        <v>1</v>
      </c>
      <c r="J1950" s="362" t="s">
        <v>310</v>
      </c>
      <c r="K1950" s="329"/>
      <c r="L1950" s="129"/>
      <c r="M1950" s="129"/>
      <c r="N1950" s="129"/>
      <c r="O1950" s="129"/>
      <c r="P1950" s="372"/>
      <c r="Q1950" s="372"/>
      <c r="R1950" s="129"/>
      <c r="S1950" s="129"/>
      <c r="T1950" s="129"/>
      <c r="W1950" s="129" t="s">
        <v>310</v>
      </c>
      <c r="X1950" s="337" t="b">
        <f t="shared" si="64"/>
        <v>1</v>
      </c>
    </row>
    <row r="1951" spans="1:24" s="360" customFormat="1" ht="12" customHeight="1" outlineLevel="1">
      <c r="A1951" s="365"/>
      <c r="B1951" s="118" t="s">
        <v>12</v>
      </c>
      <c r="C1951" s="334" t="s">
        <v>8692</v>
      </c>
      <c r="D1951" s="124" t="s">
        <v>8693</v>
      </c>
      <c r="E1951" s="125"/>
      <c r="F1951" s="118" t="s">
        <v>622</v>
      </c>
      <c r="G1951" s="126" t="s">
        <v>8505</v>
      </c>
      <c r="H1951" s="255">
        <v>1</v>
      </c>
      <c r="I1951" s="361">
        <v>1</v>
      </c>
      <c r="J1951" s="362" t="s">
        <v>310</v>
      </c>
      <c r="K1951" s="329"/>
      <c r="L1951" s="129"/>
      <c r="M1951" s="129"/>
      <c r="N1951" s="129"/>
      <c r="O1951" s="129"/>
      <c r="P1951" s="372"/>
      <c r="Q1951" s="372"/>
      <c r="R1951" s="129"/>
      <c r="S1951" s="129"/>
      <c r="T1951" s="129"/>
      <c r="W1951" s="129" t="s">
        <v>310</v>
      </c>
      <c r="X1951" s="337" t="b">
        <f t="shared" si="64"/>
        <v>1</v>
      </c>
    </row>
    <row r="1952" spans="1:24" s="360" customFormat="1" ht="12" customHeight="1" outlineLevel="1">
      <c r="A1952" s="365"/>
      <c r="B1952" s="118" t="s">
        <v>12</v>
      </c>
      <c r="C1952" s="334" t="s">
        <v>8694</v>
      </c>
      <c r="D1952" s="124" t="s">
        <v>8695</v>
      </c>
      <c r="E1952" s="125"/>
      <c r="F1952" s="118" t="s">
        <v>622</v>
      </c>
      <c r="G1952" s="126" t="s">
        <v>8505</v>
      </c>
      <c r="H1952" s="255">
        <v>1</v>
      </c>
      <c r="I1952" s="361">
        <v>1</v>
      </c>
      <c r="J1952" s="362" t="s">
        <v>286</v>
      </c>
      <c r="K1952" s="329"/>
      <c r="L1952" s="129"/>
      <c r="M1952" s="129"/>
      <c r="N1952" s="129"/>
      <c r="O1952" s="129"/>
      <c r="P1952" s="372"/>
      <c r="Q1952" s="372"/>
      <c r="R1952" s="129"/>
      <c r="S1952" s="129"/>
      <c r="T1952" s="129"/>
      <c r="W1952" s="129" t="s">
        <v>310</v>
      </c>
      <c r="X1952" s="337" t="b">
        <f t="shared" si="64"/>
        <v>0</v>
      </c>
    </row>
    <row r="1953" spans="1:24" s="360" customFormat="1" ht="12" customHeight="1" outlineLevel="1">
      <c r="A1953" s="365"/>
      <c r="B1953" s="118" t="s">
        <v>12</v>
      </c>
      <c r="C1953" s="334" t="s">
        <v>8696</v>
      </c>
      <c r="D1953" s="124" t="s">
        <v>8697</v>
      </c>
      <c r="E1953" s="125"/>
      <c r="F1953" s="118" t="s">
        <v>622</v>
      </c>
      <c r="G1953" s="126" t="s">
        <v>8505</v>
      </c>
      <c r="H1953" s="255">
        <v>1</v>
      </c>
      <c r="I1953" s="361">
        <v>1</v>
      </c>
      <c r="J1953" s="362" t="s">
        <v>310</v>
      </c>
      <c r="K1953" s="329"/>
      <c r="L1953" s="129"/>
      <c r="M1953" s="129"/>
      <c r="N1953" s="129"/>
      <c r="O1953" s="129"/>
      <c r="P1953" s="372"/>
      <c r="Q1953" s="372"/>
      <c r="R1953" s="129"/>
      <c r="S1953" s="129"/>
      <c r="T1953" s="129"/>
      <c r="W1953" s="129" t="s">
        <v>310</v>
      </c>
      <c r="X1953" s="337" t="b">
        <f t="shared" si="64"/>
        <v>1</v>
      </c>
    </row>
    <row r="1954" spans="1:24" s="360" customFormat="1" ht="12" customHeight="1" outlineLevel="1">
      <c r="A1954" s="365"/>
      <c r="B1954" s="118" t="s">
        <v>12</v>
      </c>
      <c r="C1954" s="334" t="s">
        <v>8698</v>
      </c>
      <c r="D1954" s="124" t="s">
        <v>8699</v>
      </c>
      <c r="E1954" s="125"/>
      <c r="F1954" s="118" t="s">
        <v>622</v>
      </c>
      <c r="G1954" s="126" t="s">
        <v>8505</v>
      </c>
      <c r="H1954" s="255">
        <v>1</v>
      </c>
      <c r="I1954" s="361">
        <v>1</v>
      </c>
      <c r="J1954" s="362" t="s">
        <v>310</v>
      </c>
      <c r="K1954" s="329"/>
      <c r="L1954" s="129"/>
      <c r="M1954" s="129"/>
      <c r="N1954" s="129"/>
      <c r="O1954" s="129"/>
      <c r="P1954" s="372"/>
      <c r="Q1954" s="372"/>
      <c r="R1954" s="129"/>
      <c r="S1954" s="129"/>
      <c r="T1954" s="129"/>
      <c r="W1954" s="129" t="s">
        <v>310</v>
      </c>
      <c r="X1954" s="337" t="b">
        <f t="shared" si="64"/>
        <v>1</v>
      </c>
    </row>
    <row r="1955" spans="1:24" s="360" customFormat="1" ht="12" customHeight="1" outlineLevel="1">
      <c r="A1955" s="365"/>
      <c r="B1955" s="118" t="s">
        <v>12</v>
      </c>
      <c r="C1955" s="334" t="s">
        <v>8700</v>
      </c>
      <c r="D1955" s="124" t="s">
        <v>8701</v>
      </c>
      <c r="E1955" s="125"/>
      <c r="F1955" s="118" t="s">
        <v>622</v>
      </c>
      <c r="G1955" s="126" t="s">
        <v>8505</v>
      </c>
      <c r="H1955" s="255">
        <v>1</v>
      </c>
      <c r="I1955" s="361">
        <v>1</v>
      </c>
      <c r="J1955" s="362" t="s">
        <v>286</v>
      </c>
      <c r="K1955" s="329"/>
      <c r="L1955" s="129"/>
      <c r="M1955" s="129"/>
      <c r="N1955" s="129"/>
      <c r="O1955" s="129"/>
      <c r="P1955" s="372"/>
      <c r="Q1955" s="372"/>
      <c r="R1955" s="129"/>
      <c r="S1955" s="129"/>
      <c r="T1955" s="129"/>
      <c r="W1955" s="129" t="s">
        <v>286</v>
      </c>
      <c r="X1955" s="337" t="b">
        <f t="shared" si="64"/>
        <v>1</v>
      </c>
    </row>
    <row r="1956" spans="1:24" s="360" customFormat="1" ht="12" customHeight="1" outlineLevel="1">
      <c r="A1956" s="365"/>
      <c r="B1956" s="118" t="s">
        <v>12</v>
      </c>
      <c r="C1956" s="334" t="s">
        <v>8702</v>
      </c>
      <c r="D1956" s="124" t="s">
        <v>8703</v>
      </c>
      <c r="E1956" s="125"/>
      <c r="F1956" s="118" t="s">
        <v>622</v>
      </c>
      <c r="G1956" s="126" t="s">
        <v>8505</v>
      </c>
      <c r="H1956" s="255">
        <v>1</v>
      </c>
      <c r="I1956" s="361">
        <v>1</v>
      </c>
      <c r="J1956" s="362" t="s">
        <v>286</v>
      </c>
      <c r="K1956" s="329"/>
      <c r="L1956" s="129"/>
      <c r="M1956" s="129"/>
      <c r="N1956" s="129"/>
      <c r="O1956" s="129"/>
      <c r="P1956" s="372"/>
      <c r="Q1956" s="372"/>
      <c r="R1956" s="129"/>
      <c r="S1956" s="129"/>
      <c r="T1956" s="129"/>
      <c r="W1956" s="129" t="s">
        <v>286</v>
      </c>
      <c r="X1956" s="337" t="b">
        <f t="shared" si="64"/>
        <v>1</v>
      </c>
    </row>
    <row r="1957" spans="1:24" s="360" customFormat="1" ht="12" customHeight="1" outlineLevel="1">
      <c r="A1957" s="365"/>
      <c r="B1957" s="118" t="s">
        <v>12</v>
      </c>
      <c r="C1957" s="334" t="s">
        <v>8704</v>
      </c>
      <c r="D1957" s="124" t="s">
        <v>8705</v>
      </c>
      <c r="E1957" s="125"/>
      <c r="F1957" s="118" t="s">
        <v>622</v>
      </c>
      <c r="G1957" s="126" t="s">
        <v>8505</v>
      </c>
      <c r="H1957" s="255">
        <v>1</v>
      </c>
      <c r="I1957" s="361">
        <v>1</v>
      </c>
      <c r="J1957" s="362" t="s">
        <v>286</v>
      </c>
      <c r="K1957" s="329"/>
      <c r="L1957" s="129"/>
      <c r="M1957" s="129"/>
      <c r="N1957" s="129"/>
      <c r="O1957" s="129"/>
      <c r="P1957" s="372"/>
      <c r="Q1957" s="372"/>
      <c r="R1957" s="129"/>
      <c r="S1957" s="129"/>
      <c r="T1957" s="129"/>
      <c r="W1957" s="129" t="s">
        <v>286</v>
      </c>
      <c r="X1957" s="337" t="b">
        <f t="shared" si="64"/>
        <v>1</v>
      </c>
    </row>
    <row r="1958" spans="1:24" s="360" customFormat="1" ht="12" customHeight="1" outlineLevel="1">
      <c r="A1958" s="365"/>
      <c r="B1958" s="118" t="s">
        <v>12</v>
      </c>
      <c r="C1958" s="334" t="s">
        <v>8706</v>
      </c>
      <c r="D1958" s="124" t="s">
        <v>8707</v>
      </c>
      <c r="E1958" s="125"/>
      <c r="F1958" s="118" t="s">
        <v>622</v>
      </c>
      <c r="G1958" s="126" t="s">
        <v>8505</v>
      </c>
      <c r="H1958" s="255">
        <v>1</v>
      </c>
      <c r="I1958" s="361">
        <v>1</v>
      </c>
      <c r="J1958" s="362" t="s">
        <v>286</v>
      </c>
      <c r="K1958" s="329"/>
      <c r="L1958" s="129"/>
      <c r="M1958" s="129"/>
      <c r="N1958" s="129"/>
      <c r="O1958" s="129"/>
      <c r="P1958" s="372"/>
      <c r="Q1958" s="372"/>
      <c r="R1958" s="129"/>
      <c r="S1958" s="129"/>
      <c r="T1958" s="129"/>
      <c r="W1958" s="129" t="s">
        <v>286</v>
      </c>
      <c r="X1958" s="337" t="b">
        <f t="shared" si="64"/>
        <v>1</v>
      </c>
    </row>
    <row r="1959" spans="1:24" s="360" customFormat="1" ht="12" customHeight="1" outlineLevel="1">
      <c r="A1959" s="365"/>
      <c r="B1959" s="118" t="s">
        <v>12</v>
      </c>
      <c r="C1959" s="334" t="s">
        <v>8708</v>
      </c>
      <c r="D1959" s="124" t="s">
        <v>8709</v>
      </c>
      <c r="E1959" s="125"/>
      <c r="F1959" s="118" t="s">
        <v>622</v>
      </c>
      <c r="G1959" s="126" t="s">
        <v>8505</v>
      </c>
      <c r="H1959" s="255">
        <v>1</v>
      </c>
      <c r="I1959" s="361">
        <v>1</v>
      </c>
      <c r="J1959" s="362" t="s">
        <v>286</v>
      </c>
      <c r="K1959" s="329"/>
      <c r="L1959" s="129"/>
      <c r="M1959" s="129"/>
      <c r="N1959" s="129"/>
      <c r="O1959" s="129"/>
      <c r="P1959" s="372"/>
      <c r="Q1959" s="372"/>
      <c r="R1959" s="129"/>
      <c r="S1959" s="129"/>
      <c r="T1959" s="129"/>
      <c r="W1959" s="129" t="s">
        <v>286</v>
      </c>
      <c r="X1959" s="337" t="b">
        <f t="shared" si="64"/>
        <v>1</v>
      </c>
    </row>
    <row r="1960" spans="1:24" s="360" customFormat="1" ht="12" customHeight="1" outlineLevel="1">
      <c r="A1960" s="365"/>
      <c r="B1960" s="118" t="s">
        <v>12</v>
      </c>
      <c r="C1960" s="334" t="s">
        <v>8710</v>
      </c>
      <c r="D1960" s="124" t="s">
        <v>8711</v>
      </c>
      <c r="E1960" s="125"/>
      <c r="F1960" s="118" t="s">
        <v>622</v>
      </c>
      <c r="G1960" s="126" t="s">
        <v>8505</v>
      </c>
      <c r="H1960" s="255">
        <v>1</v>
      </c>
      <c r="I1960" s="361">
        <v>1</v>
      </c>
      <c r="J1960" s="362" t="s">
        <v>286</v>
      </c>
      <c r="K1960" s="329"/>
      <c r="L1960" s="129"/>
      <c r="M1960" s="129"/>
      <c r="N1960" s="129"/>
      <c r="O1960" s="129"/>
      <c r="P1960" s="372"/>
      <c r="Q1960" s="372"/>
      <c r="R1960" s="129"/>
      <c r="S1960" s="129"/>
      <c r="T1960" s="129"/>
      <c r="W1960" s="129" t="s">
        <v>286</v>
      </c>
      <c r="X1960" s="337" t="b">
        <f t="shared" si="64"/>
        <v>1</v>
      </c>
    </row>
    <row r="1961" spans="1:24" s="360" customFormat="1" ht="12" customHeight="1" outlineLevel="1">
      <c r="A1961" s="365"/>
      <c r="B1961" s="118" t="s">
        <v>12</v>
      </c>
      <c r="C1961" s="334" t="s">
        <v>8712</v>
      </c>
      <c r="D1961" s="124" t="s">
        <v>8713</v>
      </c>
      <c r="E1961" s="125"/>
      <c r="F1961" s="118" t="s">
        <v>622</v>
      </c>
      <c r="G1961" s="126" t="s">
        <v>8505</v>
      </c>
      <c r="H1961" s="255">
        <v>1</v>
      </c>
      <c r="I1961" s="361">
        <v>1</v>
      </c>
      <c r="J1961" s="362" t="s">
        <v>286</v>
      </c>
      <c r="K1961" s="329"/>
      <c r="L1961" s="129"/>
      <c r="M1961" s="129"/>
      <c r="N1961" s="129"/>
      <c r="O1961" s="129"/>
      <c r="P1961" s="372"/>
      <c r="Q1961" s="372"/>
      <c r="R1961" s="129"/>
      <c r="S1961" s="129"/>
      <c r="T1961" s="129"/>
      <c r="W1961" s="129" t="s">
        <v>286</v>
      </c>
      <c r="X1961" s="337" t="b">
        <f t="shared" si="64"/>
        <v>1</v>
      </c>
    </row>
    <row r="1962" spans="1:24" s="360" customFormat="1" ht="12" customHeight="1" outlineLevel="1">
      <c r="A1962" s="365"/>
      <c r="B1962" s="118" t="s">
        <v>12</v>
      </c>
      <c r="C1962" s="334" t="s">
        <v>8714</v>
      </c>
      <c r="D1962" s="124" t="s">
        <v>8715</v>
      </c>
      <c r="E1962" s="125"/>
      <c r="F1962" s="118" t="s">
        <v>622</v>
      </c>
      <c r="G1962" s="126" t="s">
        <v>8505</v>
      </c>
      <c r="H1962" s="255">
        <v>1</v>
      </c>
      <c r="I1962" s="361">
        <v>1</v>
      </c>
      <c r="J1962" s="362" t="s">
        <v>286</v>
      </c>
      <c r="K1962" s="329"/>
      <c r="L1962" s="129"/>
      <c r="M1962" s="129"/>
      <c r="N1962" s="129"/>
      <c r="O1962" s="129"/>
      <c r="P1962" s="372"/>
      <c r="Q1962" s="372"/>
      <c r="R1962" s="129"/>
      <c r="S1962" s="129"/>
      <c r="T1962" s="129"/>
      <c r="W1962" s="129" t="s">
        <v>286</v>
      </c>
      <c r="X1962" s="337" t="b">
        <f t="shared" si="64"/>
        <v>1</v>
      </c>
    </row>
    <row r="1963" spans="1:24" s="360" customFormat="1" ht="12" customHeight="1" outlineLevel="1">
      <c r="A1963" s="365"/>
      <c r="B1963" s="118" t="s">
        <v>12</v>
      </c>
      <c r="C1963" s="334" t="s">
        <v>8716</v>
      </c>
      <c r="D1963" s="124" t="s">
        <v>8717</v>
      </c>
      <c r="E1963" s="125"/>
      <c r="F1963" s="118" t="s">
        <v>622</v>
      </c>
      <c r="G1963" s="126" t="s">
        <v>8505</v>
      </c>
      <c r="H1963" s="255">
        <v>1</v>
      </c>
      <c r="I1963" s="361">
        <v>1</v>
      </c>
      <c r="J1963" s="362" t="s">
        <v>286</v>
      </c>
      <c r="K1963" s="329"/>
      <c r="L1963" s="129"/>
      <c r="M1963" s="129"/>
      <c r="N1963" s="129"/>
      <c r="O1963" s="129"/>
      <c r="P1963" s="372"/>
      <c r="Q1963" s="372"/>
      <c r="R1963" s="129"/>
      <c r="S1963" s="129"/>
      <c r="T1963" s="129"/>
      <c r="W1963" s="129" t="s">
        <v>286</v>
      </c>
      <c r="X1963" s="337" t="b">
        <f t="shared" si="64"/>
        <v>1</v>
      </c>
    </row>
    <row r="1964" spans="1:24" s="360" customFormat="1" ht="12" customHeight="1" outlineLevel="1">
      <c r="A1964" s="365"/>
      <c r="B1964" s="118" t="s">
        <v>12</v>
      </c>
      <c r="C1964" s="334" t="s">
        <v>8718</v>
      </c>
      <c r="D1964" s="124" t="s">
        <v>8719</v>
      </c>
      <c r="E1964" s="125"/>
      <c r="F1964" s="118" t="s">
        <v>622</v>
      </c>
      <c r="G1964" s="126" t="s">
        <v>8505</v>
      </c>
      <c r="H1964" s="255">
        <v>1</v>
      </c>
      <c r="I1964" s="361">
        <v>1</v>
      </c>
      <c r="J1964" s="362" t="s">
        <v>286</v>
      </c>
      <c r="K1964" s="329"/>
      <c r="L1964" s="129"/>
      <c r="M1964" s="129"/>
      <c r="N1964" s="129"/>
      <c r="O1964" s="129"/>
      <c r="P1964" s="372"/>
      <c r="Q1964" s="372"/>
      <c r="R1964" s="129"/>
      <c r="S1964" s="129"/>
      <c r="T1964" s="129"/>
      <c r="W1964" s="129" t="s">
        <v>286</v>
      </c>
      <c r="X1964" s="337" t="b">
        <f t="shared" si="64"/>
        <v>1</v>
      </c>
    </row>
    <row r="1965" spans="1:24" s="360" customFormat="1" ht="12" customHeight="1" outlineLevel="1">
      <c r="A1965" s="365"/>
      <c r="B1965" s="118" t="s">
        <v>12</v>
      </c>
      <c r="C1965" s="334" t="s">
        <v>8720</v>
      </c>
      <c r="D1965" s="124" t="s">
        <v>8721</v>
      </c>
      <c r="E1965" s="125"/>
      <c r="F1965" s="118" t="s">
        <v>622</v>
      </c>
      <c r="G1965" s="126" t="s">
        <v>8505</v>
      </c>
      <c r="H1965" s="255">
        <v>1</v>
      </c>
      <c r="I1965" s="361">
        <v>1</v>
      </c>
      <c r="J1965" s="362" t="s">
        <v>286</v>
      </c>
      <c r="K1965" s="329"/>
      <c r="L1965" s="129"/>
      <c r="M1965" s="129"/>
      <c r="N1965" s="129"/>
      <c r="O1965" s="129"/>
      <c r="P1965" s="372"/>
      <c r="Q1965" s="372"/>
      <c r="R1965" s="129"/>
      <c r="S1965" s="129"/>
      <c r="T1965" s="129"/>
      <c r="W1965" s="129" t="s">
        <v>4876</v>
      </c>
      <c r="X1965" s="337" t="b">
        <f t="shared" si="64"/>
        <v>0</v>
      </c>
    </row>
    <row r="1966" spans="1:24" s="360" customFormat="1" ht="12" customHeight="1" outlineLevel="1">
      <c r="A1966" s="365"/>
      <c r="B1966" s="118" t="s">
        <v>12</v>
      </c>
      <c r="C1966" s="334" t="s">
        <v>8722</v>
      </c>
      <c r="D1966" s="124" t="s">
        <v>8723</v>
      </c>
      <c r="E1966" s="125"/>
      <c r="F1966" s="118" t="s">
        <v>622</v>
      </c>
      <c r="G1966" s="126" t="s">
        <v>8505</v>
      </c>
      <c r="H1966" s="255">
        <v>1</v>
      </c>
      <c r="I1966" s="361">
        <v>1</v>
      </c>
      <c r="J1966" s="362" t="s">
        <v>307</v>
      </c>
      <c r="K1966" s="329"/>
      <c r="L1966" s="129"/>
      <c r="M1966" s="129"/>
      <c r="N1966" s="129"/>
      <c r="O1966" s="129"/>
      <c r="P1966" s="372"/>
      <c r="Q1966" s="372"/>
      <c r="R1966" s="129"/>
      <c r="S1966" s="129"/>
      <c r="T1966" s="129"/>
      <c r="W1966" s="129" t="s">
        <v>310</v>
      </c>
      <c r="X1966" s="337" t="b">
        <f t="shared" si="64"/>
        <v>0</v>
      </c>
    </row>
    <row r="1967" spans="1:24" s="360" customFormat="1" ht="12" customHeight="1" outlineLevel="1">
      <c r="A1967" s="365"/>
      <c r="B1967" s="118" t="s">
        <v>12</v>
      </c>
      <c r="C1967" s="334" t="s">
        <v>8724</v>
      </c>
      <c r="D1967" s="124" t="s">
        <v>8725</v>
      </c>
      <c r="E1967" s="125"/>
      <c r="F1967" s="118" t="s">
        <v>622</v>
      </c>
      <c r="G1967" s="126" t="s">
        <v>8505</v>
      </c>
      <c r="H1967" s="255">
        <v>1</v>
      </c>
      <c r="I1967" s="361">
        <v>1</v>
      </c>
      <c r="J1967" s="362" t="s">
        <v>310</v>
      </c>
      <c r="K1967" s="329"/>
      <c r="L1967" s="129"/>
      <c r="M1967" s="129"/>
      <c r="N1967" s="129"/>
      <c r="O1967" s="129"/>
      <c r="P1967" s="372"/>
      <c r="Q1967" s="372"/>
      <c r="R1967" s="129"/>
      <c r="S1967" s="129"/>
      <c r="T1967" s="129"/>
      <c r="W1967" s="129" t="s">
        <v>307</v>
      </c>
      <c r="X1967" s="337" t="b">
        <f t="shared" si="64"/>
        <v>0</v>
      </c>
    </row>
    <row r="1968" spans="1:24" s="360" customFormat="1" ht="12" customHeight="1" outlineLevel="1">
      <c r="A1968" s="365"/>
      <c r="B1968" s="118" t="s">
        <v>12</v>
      </c>
      <c r="C1968" s="334" t="s">
        <v>8726</v>
      </c>
      <c r="D1968" s="124" t="s">
        <v>8727</v>
      </c>
      <c r="E1968" s="125"/>
      <c r="F1968" s="118" t="s">
        <v>622</v>
      </c>
      <c r="G1968" s="126" t="s">
        <v>8505</v>
      </c>
      <c r="H1968" s="255">
        <v>1</v>
      </c>
      <c r="I1968" s="361">
        <v>1</v>
      </c>
      <c r="J1968" s="362" t="s">
        <v>310</v>
      </c>
      <c r="K1968" s="329"/>
      <c r="L1968" s="129"/>
      <c r="M1968" s="129"/>
      <c r="N1968" s="129"/>
      <c r="O1968" s="129"/>
      <c r="P1968" s="372"/>
      <c r="Q1968" s="372"/>
      <c r="R1968" s="129"/>
      <c r="S1968" s="129"/>
      <c r="T1968" s="129"/>
      <c r="W1968" s="129" t="s">
        <v>286</v>
      </c>
      <c r="X1968" s="337" t="b">
        <f t="shared" si="64"/>
        <v>0</v>
      </c>
    </row>
    <row r="1969" spans="1:24" s="360" customFormat="1" ht="12" customHeight="1" outlineLevel="1">
      <c r="A1969" s="365"/>
      <c r="B1969" s="118" t="s">
        <v>12</v>
      </c>
      <c r="C1969" s="334" t="s">
        <v>8728</v>
      </c>
      <c r="D1969" s="124" t="s">
        <v>8729</v>
      </c>
      <c r="E1969" s="125"/>
      <c r="F1969" s="118" t="s">
        <v>622</v>
      </c>
      <c r="G1969" s="126" t="s">
        <v>8505</v>
      </c>
      <c r="H1969" s="255">
        <v>1</v>
      </c>
      <c r="I1969" s="361">
        <v>1</v>
      </c>
      <c r="J1969" s="362" t="s">
        <v>310</v>
      </c>
      <c r="K1969" s="329"/>
      <c r="L1969" s="129"/>
      <c r="M1969" s="129"/>
      <c r="N1969" s="129"/>
      <c r="O1969" s="129"/>
      <c r="P1969" s="372"/>
      <c r="Q1969" s="372"/>
      <c r="R1969" s="129"/>
      <c r="S1969" s="129"/>
      <c r="T1969" s="129"/>
      <c r="W1969" s="129" t="s">
        <v>286</v>
      </c>
      <c r="X1969" s="337" t="b">
        <f t="shared" si="64"/>
        <v>0</v>
      </c>
    </row>
    <row r="1970" spans="1:24" s="360" customFormat="1" ht="12" customHeight="1" outlineLevel="1">
      <c r="A1970" s="365"/>
      <c r="B1970" s="118" t="s">
        <v>12</v>
      </c>
      <c r="C1970" s="334" t="s">
        <v>8730</v>
      </c>
      <c r="D1970" s="124" t="s">
        <v>8731</v>
      </c>
      <c r="E1970" s="125"/>
      <c r="F1970" s="118" t="s">
        <v>622</v>
      </c>
      <c r="G1970" s="126" t="s">
        <v>8505</v>
      </c>
      <c r="H1970" s="255">
        <v>1</v>
      </c>
      <c r="I1970" s="361">
        <v>1</v>
      </c>
      <c r="J1970" s="362" t="s">
        <v>286</v>
      </c>
      <c r="K1970" s="329"/>
      <c r="L1970" s="129"/>
      <c r="M1970" s="129"/>
      <c r="N1970" s="129"/>
      <c r="O1970" s="129"/>
      <c r="P1970" s="372"/>
      <c r="Q1970" s="372"/>
      <c r="R1970" s="129"/>
      <c r="S1970" s="129"/>
      <c r="T1970" s="129"/>
      <c r="W1970" s="129" t="s">
        <v>310</v>
      </c>
      <c r="X1970" s="337" t="b">
        <f t="shared" si="64"/>
        <v>0</v>
      </c>
    </row>
    <row r="1971" spans="1:24" s="360" customFormat="1" ht="12" customHeight="1" outlineLevel="1">
      <c r="A1971" s="365"/>
      <c r="B1971" s="118" t="s">
        <v>12</v>
      </c>
      <c r="C1971" s="334" t="s">
        <v>8732</v>
      </c>
      <c r="D1971" s="124" t="s">
        <v>8733</v>
      </c>
      <c r="E1971" s="125"/>
      <c r="F1971" s="118" t="s">
        <v>622</v>
      </c>
      <c r="G1971" s="126" t="s">
        <v>8505</v>
      </c>
      <c r="H1971" s="255">
        <v>1</v>
      </c>
      <c r="I1971" s="361">
        <v>1</v>
      </c>
      <c r="J1971" s="362" t="s">
        <v>286</v>
      </c>
      <c r="K1971" s="329"/>
      <c r="L1971" s="129"/>
      <c r="M1971" s="129"/>
      <c r="N1971" s="129"/>
      <c r="O1971" s="129"/>
      <c r="P1971" s="372"/>
      <c r="Q1971" s="372"/>
      <c r="R1971" s="129"/>
      <c r="S1971" s="129"/>
      <c r="T1971" s="129"/>
      <c r="W1971" s="129" t="s">
        <v>286</v>
      </c>
      <c r="X1971" s="337" t="b">
        <f t="shared" si="64"/>
        <v>1</v>
      </c>
    </row>
    <row r="1972" spans="1:24" s="360" customFormat="1" ht="12" customHeight="1" outlineLevel="1">
      <c r="A1972" s="365"/>
      <c r="B1972" s="118" t="s">
        <v>12</v>
      </c>
      <c r="C1972" s="334" t="s">
        <v>8734</v>
      </c>
      <c r="D1972" s="124" t="s">
        <v>8735</v>
      </c>
      <c r="E1972" s="125"/>
      <c r="F1972" s="118" t="s">
        <v>622</v>
      </c>
      <c r="G1972" s="126" t="s">
        <v>8505</v>
      </c>
      <c r="H1972" s="255">
        <v>1</v>
      </c>
      <c r="I1972" s="361">
        <v>1</v>
      </c>
      <c r="J1972" s="362" t="s">
        <v>310</v>
      </c>
      <c r="K1972" s="329"/>
      <c r="L1972" s="129"/>
      <c r="M1972" s="129"/>
      <c r="N1972" s="129"/>
      <c r="O1972" s="129"/>
      <c r="P1972" s="372"/>
      <c r="Q1972" s="372"/>
      <c r="R1972" s="129"/>
      <c r="S1972" s="129"/>
      <c r="T1972" s="129"/>
      <c r="W1972" s="129" t="s">
        <v>286</v>
      </c>
      <c r="X1972" s="337" t="b">
        <f t="shared" si="64"/>
        <v>0</v>
      </c>
    </row>
    <row r="1973" spans="1:24" s="360" customFormat="1" ht="12" customHeight="1" outlineLevel="1">
      <c r="A1973" s="365"/>
      <c r="B1973" s="118" t="s">
        <v>12</v>
      </c>
      <c r="C1973" s="334" t="s">
        <v>8736</v>
      </c>
      <c r="D1973" s="124" t="s">
        <v>8737</v>
      </c>
      <c r="E1973" s="125"/>
      <c r="F1973" s="118" t="s">
        <v>622</v>
      </c>
      <c r="G1973" s="126" t="s">
        <v>8505</v>
      </c>
      <c r="H1973" s="255">
        <v>1</v>
      </c>
      <c r="I1973" s="361">
        <v>1</v>
      </c>
      <c r="J1973" s="362" t="s">
        <v>310</v>
      </c>
      <c r="K1973" s="329"/>
      <c r="L1973" s="129"/>
      <c r="M1973" s="129"/>
      <c r="N1973" s="129"/>
      <c r="O1973" s="129"/>
      <c r="P1973" s="372"/>
      <c r="Q1973" s="372"/>
      <c r="R1973" s="129"/>
      <c r="S1973" s="129"/>
      <c r="T1973" s="129"/>
      <c r="W1973" s="129" t="s">
        <v>286</v>
      </c>
      <c r="X1973" s="337" t="b">
        <f t="shared" si="64"/>
        <v>0</v>
      </c>
    </row>
    <row r="1974" spans="1:24" s="360" customFormat="1" ht="12" customHeight="1" outlineLevel="1">
      <c r="A1974" s="365"/>
      <c r="B1974" s="118" t="s">
        <v>12</v>
      </c>
      <c r="C1974" s="334" t="s">
        <v>8738</v>
      </c>
      <c r="D1974" s="124" t="s">
        <v>8739</v>
      </c>
      <c r="E1974" s="125"/>
      <c r="F1974" s="118" t="s">
        <v>622</v>
      </c>
      <c r="G1974" s="126" t="s">
        <v>8505</v>
      </c>
      <c r="H1974" s="255">
        <v>1</v>
      </c>
      <c r="I1974" s="361">
        <v>1</v>
      </c>
      <c r="J1974" s="362" t="s">
        <v>310</v>
      </c>
      <c r="K1974" s="329"/>
      <c r="L1974" s="129"/>
      <c r="M1974" s="129"/>
      <c r="N1974" s="129"/>
      <c r="O1974" s="129"/>
      <c r="P1974" s="372"/>
      <c r="Q1974" s="372"/>
      <c r="R1974" s="129"/>
      <c r="S1974" s="129"/>
      <c r="T1974" s="129"/>
      <c r="W1974" s="129" t="s">
        <v>286</v>
      </c>
      <c r="X1974" s="337" t="b">
        <f t="shared" si="64"/>
        <v>0</v>
      </c>
    </row>
    <row r="1975" spans="1:24" s="360" customFormat="1" ht="12" customHeight="1" outlineLevel="1">
      <c r="A1975" s="365"/>
      <c r="B1975" s="118" t="s">
        <v>12</v>
      </c>
      <c r="C1975" s="334" t="s">
        <v>8740</v>
      </c>
      <c r="D1975" s="124" t="s">
        <v>8741</v>
      </c>
      <c r="E1975" s="125"/>
      <c r="F1975" s="118" t="s">
        <v>622</v>
      </c>
      <c r="G1975" s="126" t="s">
        <v>8505</v>
      </c>
      <c r="H1975" s="255">
        <v>1</v>
      </c>
      <c r="I1975" s="361">
        <v>1</v>
      </c>
      <c r="J1975" s="362" t="s">
        <v>310</v>
      </c>
      <c r="K1975" s="329"/>
      <c r="L1975" s="129"/>
      <c r="M1975" s="129"/>
      <c r="N1975" s="129"/>
      <c r="O1975" s="129"/>
      <c r="P1975" s="372"/>
      <c r="Q1975" s="372"/>
      <c r="R1975" s="129"/>
      <c r="S1975" s="129"/>
      <c r="T1975" s="129"/>
      <c r="W1975" s="129" t="s">
        <v>286</v>
      </c>
      <c r="X1975" s="337" t="b">
        <f t="shared" si="64"/>
        <v>0</v>
      </c>
    </row>
    <row r="1976" spans="1:24" s="360" customFormat="1" ht="12" customHeight="1" outlineLevel="1">
      <c r="A1976" s="365"/>
      <c r="B1976" s="118" t="s">
        <v>12</v>
      </c>
      <c r="C1976" s="334" t="s">
        <v>8742</v>
      </c>
      <c r="D1976" s="124" t="s">
        <v>8743</v>
      </c>
      <c r="E1976" s="125"/>
      <c r="F1976" s="118" t="s">
        <v>622</v>
      </c>
      <c r="G1976" s="126" t="s">
        <v>8505</v>
      </c>
      <c r="H1976" s="255">
        <v>1</v>
      </c>
      <c r="I1976" s="361">
        <v>1</v>
      </c>
      <c r="J1976" s="362" t="s">
        <v>310</v>
      </c>
      <c r="K1976" s="329"/>
      <c r="L1976" s="129"/>
      <c r="M1976" s="129"/>
      <c r="N1976" s="129"/>
      <c r="O1976" s="129"/>
      <c r="P1976" s="372"/>
      <c r="Q1976" s="372"/>
      <c r="R1976" s="129"/>
      <c r="S1976" s="129"/>
      <c r="T1976" s="129"/>
      <c r="W1976" s="129" t="s">
        <v>286</v>
      </c>
      <c r="X1976" s="337" t="b">
        <f t="shared" si="64"/>
        <v>0</v>
      </c>
    </row>
    <row r="1977" spans="1:24" s="360" customFormat="1" ht="12" customHeight="1" outlineLevel="1">
      <c r="A1977" s="365"/>
      <c r="B1977" s="118" t="s">
        <v>12</v>
      </c>
      <c r="C1977" s="334" t="s">
        <v>8744</v>
      </c>
      <c r="D1977" s="124" t="s">
        <v>8745</v>
      </c>
      <c r="E1977" s="125"/>
      <c r="F1977" s="118" t="s">
        <v>622</v>
      </c>
      <c r="G1977" s="126" t="s">
        <v>8505</v>
      </c>
      <c r="H1977" s="255">
        <v>1</v>
      </c>
      <c r="I1977" s="361">
        <v>1</v>
      </c>
      <c r="J1977" s="362" t="s">
        <v>310</v>
      </c>
      <c r="K1977" s="329"/>
      <c r="L1977" s="129"/>
      <c r="M1977" s="129"/>
      <c r="N1977" s="129"/>
      <c r="O1977" s="129"/>
      <c r="P1977" s="372"/>
      <c r="Q1977" s="372"/>
      <c r="R1977" s="129"/>
      <c r="S1977" s="129"/>
      <c r="T1977" s="129"/>
      <c r="W1977" s="129" t="s">
        <v>286</v>
      </c>
      <c r="X1977" s="337" t="b">
        <f t="shared" si="64"/>
        <v>0</v>
      </c>
    </row>
    <row r="1978" spans="1:24" s="360" customFormat="1" ht="12" customHeight="1" outlineLevel="1">
      <c r="A1978" s="365"/>
      <c r="B1978" s="118" t="s">
        <v>12</v>
      </c>
      <c r="C1978" s="334" t="s">
        <v>8746</v>
      </c>
      <c r="D1978" s="124" t="s">
        <v>8747</v>
      </c>
      <c r="E1978" s="125"/>
      <c r="F1978" s="118" t="s">
        <v>622</v>
      </c>
      <c r="G1978" s="126" t="s">
        <v>8505</v>
      </c>
      <c r="H1978" s="255">
        <v>1</v>
      </c>
      <c r="I1978" s="361">
        <v>1</v>
      </c>
      <c r="J1978" s="362" t="s">
        <v>310</v>
      </c>
      <c r="K1978" s="329"/>
      <c r="L1978" s="129"/>
      <c r="M1978" s="129"/>
      <c r="N1978" s="129"/>
      <c r="O1978" s="129"/>
      <c r="P1978" s="372"/>
      <c r="Q1978" s="372"/>
      <c r="R1978" s="129"/>
      <c r="S1978" s="129"/>
      <c r="T1978" s="129"/>
      <c r="W1978" s="129" t="s">
        <v>286</v>
      </c>
      <c r="X1978" s="337" t="b">
        <f t="shared" si="64"/>
        <v>0</v>
      </c>
    </row>
    <row r="1979" spans="1:24" s="360" customFormat="1" ht="12" customHeight="1" outlineLevel="1">
      <c r="A1979" s="365"/>
      <c r="B1979" s="118" t="s">
        <v>12</v>
      </c>
      <c r="C1979" s="334" t="s">
        <v>8748</v>
      </c>
      <c r="D1979" s="124" t="s">
        <v>8749</v>
      </c>
      <c r="E1979" s="125"/>
      <c r="F1979" s="118" t="s">
        <v>622</v>
      </c>
      <c r="G1979" s="126" t="s">
        <v>8505</v>
      </c>
      <c r="H1979" s="255">
        <v>1</v>
      </c>
      <c r="I1979" s="361">
        <v>1</v>
      </c>
      <c r="J1979" s="362" t="s">
        <v>310</v>
      </c>
      <c r="K1979" s="329"/>
      <c r="L1979" s="129"/>
      <c r="M1979" s="129"/>
      <c r="N1979" s="129"/>
      <c r="O1979" s="129"/>
      <c r="P1979" s="372"/>
      <c r="Q1979" s="372"/>
      <c r="R1979" s="129"/>
      <c r="S1979" s="129"/>
      <c r="T1979" s="129"/>
      <c r="W1979" s="129" t="s">
        <v>286</v>
      </c>
      <c r="X1979" s="337" t="b">
        <f t="shared" si="64"/>
        <v>0</v>
      </c>
    </row>
    <row r="1980" spans="1:24" s="360" customFormat="1" ht="12" customHeight="1" outlineLevel="1">
      <c r="A1980" s="365"/>
      <c r="B1980" s="118" t="s">
        <v>12</v>
      </c>
      <c r="C1980" s="334" t="s">
        <v>8750</v>
      </c>
      <c r="D1980" s="124" t="s">
        <v>8751</v>
      </c>
      <c r="E1980" s="125"/>
      <c r="F1980" s="118" t="s">
        <v>622</v>
      </c>
      <c r="G1980" s="126" t="s">
        <v>8505</v>
      </c>
      <c r="H1980" s="255">
        <v>1</v>
      </c>
      <c r="I1980" s="361">
        <v>1</v>
      </c>
      <c r="J1980" s="362" t="s">
        <v>286</v>
      </c>
      <c r="K1980" s="329"/>
      <c r="L1980" s="129"/>
      <c r="M1980" s="129"/>
      <c r="N1980" s="129"/>
      <c r="O1980" s="129"/>
      <c r="P1980" s="372"/>
      <c r="Q1980" s="372"/>
      <c r="R1980" s="129"/>
      <c r="S1980" s="129"/>
      <c r="T1980" s="129"/>
      <c r="W1980" s="129" t="s">
        <v>286</v>
      </c>
      <c r="X1980" s="337" t="b">
        <f t="shared" si="64"/>
        <v>1</v>
      </c>
    </row>
    <row r="1981" spans="1:24" s="360" customFormat="1" ht="12" customHeight="1" outlineLevel="1">
      <c r="A1981" s="365"/>
      <c r="B1981" s="118" t="s">
        <v>12</v>
      </c>
      <c r="C1981" s="334" t="s">
        <v>8752</v>
      </c>
      <c r="D1981" s="124" t="s">
        <v>8753</v>
      </c>
      <c r="E1981" s="125"/>
      <c r="F1981" s="118" t="s">
        <v>622</v>
      </c>
      <c r="G1981" s="126" t="s">
        <v>8505</v>
      </c>
      <c r="H1981" s="255">
        <v>1</v>
      </c>
      <c r="I1981" s="361">
        <v>1</v>
      </c>
      <c r="J1981" s="362" t="s">
        <v>310</v>
      </c>
      <c r="K1981" s="329"/>
      <c r="L1981" s="129"/>
      <c r="M1981" s="129"/>
      <c r="N1981" s="129"/>
      <c r="O1981" s="129"/>
      <c r="P1981" s="372"/>
      <c r="Q1981" s="372"/>
      <c r="R1981" s="129"/>
      <c r="S1981" s="129"/>
      <c r="T1981" s="129"/>
      <c r="W1981" s="129" t="s">
        <v>286</v>
      </c>
      <c r="X1981" s="337" t="b">
        <f t="shared" si="64"/>
        <v>0</v>
      </c>
    </row>
    <row r="1982" spans="1:24" s="360" customFormat="1" ht="12" customHeight="1" outlineLevel="1">
      <c r="A1982" s="365"/>
      <c r="B1982" s="118" t="s">
        <v>12</v>
      </c>
      <c r="C1982" s="334" t="s">
        <v>8754</v>
      </c>
      <c r="D1982" s="124" t="s">
        <v>8755</v>
      </c>
      <c r="E1982" s="125"/>
      <c r="F1982" s="118" t="s">
        <v>622</v>
      </c>
      <c r="G1982" s="126" t="s">
        <v>8505</v>
      </c>
      <c r="H1982" s="255">
        <v>1</v>
      </c>
      <c r="I1982" s="361">
        <v>1</v>
      </c>
      <c r="J1982" s="362" t="s">
        <v>310</v>
      </c>
      <c r="K1982" s="329"/>
      <c r="L1982" s="129"/>
      <c r="M1982" s="129"/>
      <c r="N1982" s="129"/>
      <c r="O1982" s="129"/>
      <c r="P1982" s="372"/>
      <c r="Q1982" s="372"/>
      <c r="R1982" s="129"/>
      <c r="S1982" s="129"/>
      <c r="T1982" s="129"/>
      <c r="W1982" s="129" t="s">
        <v>286</v>
      </c>
      <c r="X1982" s="337" t="b">
        <f t="shared" si="64"/>
        <v>0</v>
      </c>
    </row>
    <row r="1983" spans="1:24" s="360" customFormat="1" ht="12" customHeight="1" outlineLevel="1">
      <c r="A1983" s="365"/>
      <c r="B1983" s="118" t="s">
        <v>12</v>
      </c>
      <c r="C1983" s="334" t="s">
        <v>8756</v>
      </c>
      <c r="D1983" s="124" t="s">
        <v>8757</v>
      </c>
      <c r="E1983" s="125"/>
      <c r="F1983" s="118" t="s">
        <v>622</v>
      </c>
      <c r="G1983" s="126" t="s">
        <v>8505</v>
      </c>
      <c r="H1983" s="255">
        <v>1</v>
      </c>
      <c r="I1983" s="361">
        <v>1</v>
      </c>
      <c r="J1983" s="362" t="s">
        <v>310</v>
      </c>
      <c r="K1983" s="329"/>
      <c r="L1983" s="129"/>
      <c r="M1983" s="129"/>
      <c r="N1983" s="129"/>
      <c r="O1983" s="129"/>
      <c r="P1983" s="372"/>
      <c r="Q1983" s="372"/>
      <c r="R1983" s="129"/>
      <c r="S1983" s="129"/>
      <c r="T1983" s="129"/>
      <c r="W1983" s="129" t="s">
        <v>286</v>
      </c>
      <c r="X1983" s="337" t="b">
        <f t="shared" si="64"/>
        <v>0</v>
      </c>
    </row>
    <row r="1984" spans="1:24" s="360" customFormat="1" ht="12" customHeight="1" outlineLevel="1">
      <c r="A1984" s="365"/>
      <c r="B1984" s="118" t="s">
        <v>12</v>
      </c>
      <c r="C1984" s="334" t="s">
        <v>8758</v>
      </c>
      <c r="D1984" s="124" t="s">
        <v>8759</v>
      </c>
      <c r="E1984" s="125"/>
      <c r="F1984" s="118" t="s">
        <v>622</v>
      </c>
      <c r="G1984" s="126" t="s">
        <v>8505</v>
      </c>
      <c r="H1984" s="255">
        <v>1</v>
      </c>
      <c r="I1984" s="361">
        <v>1</v>
      </c>
      <c r="J1984" s="362" t="s">
        <v>310</v>
      </c>
      <c r="K1984" s="329"/>
      <c r="L1984" s="129"/>
      <c r="M1984" s="129"/>
      <c r="N1984" s="129"/>
      <c r="O1984" s="129"/>
      <c r="P1984" s="372"/>
      <c r="Q1984" s="372"/>
      <c r="R1984" s="129"/>
      <c r="S1984" s="129"/>
      <c r="T1984" s="129"/>
      <c r="W1984" s="129" t="s">
        <v>286</v>
      </c>
      <c r="X1984" s="337" t="b">
        <f t="shared" si="64"/>
        <v>0</v>
      </c>
    </row>
    <row r="1985" spans="1:24" s="360" customFormat="1" ht="12" customHeight="1" outlineLevel="1">
      <c r="A1985" s="365"/>
      <c r="B1985" s="118" t="s">
        <v>12</v>
      </c>
      <c r="C1985" s="334" t="s">
        <v>8760</v>
      </c>
      <c r="D1985" s="124" t="s">
        <v>8761</v>
      </c>
      <c r="E1985" s="125"/>
      <c r="F1985" s="118" t="s">
        <v>622</v>
      </c>
      <c r="G1985" s="126" t="s">
        <v>8505</v>
      </c>
      <c r="H1985" s="255">
        <v>1</v>
      </c>
      <c r="I1985" s="361">
        <v>1</v>
      </c>
      <c r="J1985" s="362" t="s">
        <v>310</v>
      </c>
      <c r="K1985" s="329"/>
      <c r="L1985" s="129"/>
      <c r="M1985" s="129"/>
      <c r="N1985" s="129"/>
      <c r="O1985" s="129"/>
      <c r="P1985" s="372"/>
      <c r="Q1985" s="372"/>
      <c r="R1985" s="129"/>
      <c r="S1985" s="129"/>
      <c r="T1985" s="129"/>
      <c r="W1985" s="129" t="s">
        <v>286</v>
      </c>
      <c r="X1985" s="337" t="b">
        <f t="shared" ref="X1985:X2048" si="65">W1985=J1985</f>
        <v>0</v>
      </c>
    </row>
    <row r="1986" spans="1:24" s="360" customFormat="1" ht="12" customHeight="1" outlineLevel="1">
      <c r="A1986" s="365"/>
      <c r="B1986" s="118" t="s">
        <v>12</v>
      </c>
      <c r="C1986" s="334" t="s">
        <v>8762</v>
      </c>
      <c r="D1986" s="124" t="s">
        <v>8763</v>
      </c>
      <c r="E1986" s="125"/>
      <c r="F1986" s="118" t="s">
        <v>622</v>
      </c>
      <c r="G1986" s="126" t="s">
        <v>8505</v>
      </c>
      <c r="H1986" s="255">
        <v>1</v>
      </c>
      <c r="I1986" s="361">
        <v>1</v>
      </c>
      <c r="J1986" s="362" t="s">
        <v>310</v>
      </c>
      <c r="K1986" s="329"/>
      <c r="L1986" s="129"/>
      <c r="M1986" s="129"/>
      <c r="N1986" s="129"/>
      <c r="O1986" s="129"/>
      <c r="P1986" s="372"/>
      <c r="Q1986" s="372"/>
      <c r="R1986" s="129"/>
      <c r="S1986" s="129"/>
      <c r="T1986" s="129"/>
      <c r="W1986" s="129" t="s">
        <v>286</v>
      </c>
      <c r="X1986" s="337" t="b">
        <f t="shared" si="65"/>
        <v>0</v>
      </c>
    </row>
    <row r="1987" spans="1:24" s="360" customFormat="1" ht="12" customHeight="1" outlineLevel="1">
      <c r="A1987" s="365"/>
      <c r="B1987" s="118" t="s">
        <v>12</v>
      </c>
      <c r="C1987" s="334" t="s">
        <v>8764</v>
      </c>
      <c r="D1987" s="124" t="s">
        <v>8765</v>
      </c>
      <c r="E1987" s="125"/>
      <c r="F1987" s="118" t="s">
        <v>622</v>
      </c>
      <c r="G1987" s="126" t="s">
        <v>8766</v>
      </c>
      <c r="H1987" s="255">
        <v>2</v>
      </c>
      <c r="I1987" s="361">
        <v>1</v>
      </c>
      <c r="J1987" s="362" t="s">
        <v>743</v>
      </c>
      <c r="K1987" s="329"/>
      <c r="L1987" s="129"/>
      <c r="M1987" s="129"/>
      <c r="N1987" s="129"/>
      <c r="O1987" s="129"/>
      <c r="P1987" s="372"/>
      <c r="Q1987" s="372"/>
      <c r="R1987" s="129"/>
      <c r="S1987" s="129"/>
      <c r="T1987" s="129"/>
      <c r="W1987" s="129" t="s">
        <v>286</v>
      </c>
      <c r="X1987" s="337" t="b">
        <f t="shared" si="65"/>
        <v>0</v>
      </c>
    </row>
    <row r="1988" spans="1:24" s="360" customFormat="1" ht="12" customHeight="1" outlineLevel="1">
      <c r="A1988" s="365"/>
      <c r="B1988" s="118" t="s">
        <v>12</v>
      </c>
      <c r="C1988" s="334" t="s">
        <v>8767</v>
      </c>
      <c r="D1988" s="124" t="s">
        <v>8768</v>
      </c>
      <c r="E1988" s="125"/>
      <c r="F1988" s="118" t="s">
        <v>622</v>
      </c>
      <c r="G1988" s="126" t="s">
        <v>8766</v>
      </c>
      <c r="H1988" s="255">
        <v>2</v>
      </c>
      <c r="I1988" s="361">
        <v>1</v>
      </c>
      <c r="J1988" s="362" t="s">
        <v>286</v>
      </c>
      <c r="K1988" s="329"/>
      <c r="L1988" s="129"/>
      <c r="M1988" s="129"/>
      <c r="N1988" s="129"/>
      <c r="O1988" s="129"/>
      <c r="P1988" s="372"/>
      <c r="Q1988" s="372"/>
      <c r="R1988" s="129"/>
      <c r="S1988" s="129"/>
      <c r="T1988" s="129"/>
      <c r="W1988" s="129" t="s">
        <v>4876</v>
      </c>
      <c r="X1988" s="337" t="b">
        <f t="shared" si="65"/>
        <v>0</v>
      </c>
    </row>
    <row r="1989" spans="1:24" s="360" customFormat="1" ht="12" customHeight="1" outlineLevel="1">
      <c r="A1989" s="365"/>
      <c r="B1989" s="118" t="s">
        <v>12</v>
      </c>
      <c r="C1989" s="334" t="s">
        <v>8769</v>
      </c>
      <c r="D1989" s="124" t="s">
        <v>8770</v>
      </c>
      <c r="E1989" s="125"/>
      <c r="F1989" s="118" t="s">
        <v>622</v>
      </c>
      <c r="G1989" s="126" t="s">
        <v>8766</v>
      </c>
      <c r="H1989" s="255">
        <v>2</v>
      </c>
      <c r="I1989" s="361">
        <v>1</v>
      </c>
      <c r="J1989" s="362" t="s">
        <v>310</v>
      </c>
      <c r="K1989" s="329"/>
      <c r="L1989" s="129"/>
      <c r="M1989" s="129"/>
      <c r="N1989" s="129"/>
      <c r="O1989" s="129"/>
      <c r="P1989" s="372"/>
      <c r="Q1989" s="372"/>
      <c r="R1989" s="129"/>
      <c r="S1989" s="129"/>
      <c r="T1989" s="129"/>
      <c r="W1989" s="129" t="s">
        <v>310</v>
      </c>
      <c r="X1989" s="337" t="b">
        <f t="shared" si="65"/>
        <v>1</v>
      </c>
    </row>
    <row r="1990" spans="1:24" s="360" customFormat="1" ht="12" customHeight="1" outlineLevel="1">
      <c r="A1990" s="365"/>
      <c r="B1990" s="118" t="s">
        <v>12</v>
      </c>
      <c r="C1990" s="334" t="s">
        <v>8771</v>
      </c>
      <c r="D1990" s="124" t="s">
        <v>8772</v>
      </c>
      <c r="E1990" s="125"/>
      <c r="F1990" s="118" t="s">
        <v>622</v>
      </c>
      <c r="G1990" s="126" t="s">
        <v>8766</v>
      </c>
      <c r="H1990" s="255">
        <v>2</v>
      </c>
      <c r="I1990" s="361">
        <v>1</v>
      </c>
      <c r="J1990" s="362" t="s">
        <v>310</v>
      </c>
      <c r="K1990" s="329"/>
      <c r="L1990" s="129"/>
      <c r="M1990" s="129"/>
      <c r="N1990" s="129"/>
      <c r="O1990" s="129"/>
      <c r="P1990" s="372"/>
      <c r="Q1990" s="372"/>
      <c r="R1990" s="129"/>
      <c r="S1990" s="129"/>
      <c r="T1990" s="129"/>
      <c r="W1990" s="129" t="s">
        <v>310</v>
      </c>
      <c r="X1990" s="337" t="b">
        <f t="shared" si="65"/>
        <v>1</v>
      </c>
    </row>
    <row r="1991" spans="1:24" s="360" customFormat="1" ht="12" customHeight="1" outlineLevel="1">
      <c r="A1991" s="365"/>
      <c r="B1991" s="118" t="s">
        <v>12</v>
      </c>
      <c r="C1991" s="334" t="s">
        <v>8773</v>
      </c>
      <c r="D1991" s="124" t="s">
        <v>8774</v>
      </c>
      <c r="E1991" s="125"/>
      <c r="F1991" s="118" t="s">
        <v>622</v>
      </c>
      <c r="G1991" s="126" t="s">
        <v>8766</v>
      </c>
      <c r="H1991" s="255">
        <v>2</v>
      </c>
      <c r="I1991" s="361">
        <v>1</v>
      </c>
      <c r="J1991" s="362" t="s">
        <v>310</v>
      </c>
      <c r="K1991" s="329"/>
      <c r="L1991" s="129"/>
      <c r="M1991" s="129"/>
      <c r="N1991" s="129"/>
      <c r="O1991" s="129"/>
      <c r="P1991" s="372"/>
      <c r="Q1991" s="372"/>
      <c r="R1991" s="129"/>
      <c r="S1991" s="129"/>
      <c r="T1991" s="129"/>
      <c r="W1991" s="129" t="s">
        <v>310</v>
      </c>
      <c r="X1991" s="337" t="b">
        <f t="shared" si="65"/>
        <v>1</v>
      </c>
    </row>
    <row r="1992" spans="1:24" s="360" customFormat="1" ht="12" customHeight="1" outlineLevel="1">
      <c r="A1992" s="365"/>
      <c r="B1992" s="118" t="s">
        <v>12</v>
      </c>
      <c r="C1992" s="334" t="s">
        <v>8775</v>
      </c>
      <c r="D1992" s="124" t="s">
        <v>8776</v>
      </c>
      <c r="E1992" s="125"/>
      <c r="F1992" s="118" t="s">
        <v>622</v>
      </c>
      <c r="G1992" s="126" t="s">
        <v>8766</v>
      </c>
      <c r="H1992" s="255">
        <v>2</v>
      </c>
      <c r="I1992" s="361">
        <v>1</v>
      </c>
      <c r="J1992" s="362" t="s">
        <v>310</v>
      </c>
      <c r="K1992" s="329"/>
      <c r="L1992" s="129"/>
      <c r="M1992" s="129"/>
      <c r="N1992" s="129"/>
      <c r="O1992" s="129"/>
      <c r="P1992" s="372"/>
      <c r="Q1992" s="372"/>
      <c r="R1992" s="129"/>
      <c r="S1992" s="129"/>
      <c r="T1992" s="129"/>
      <c r="W1992" s="129" t="s">
        <v>310</v>
      </c>
      <c r="X1992" s="337" t="b">
        <f t="shared" si="65"/>
        <v>1</v>
      </c>
    </row>
    <row r="1993" spans="1:24" s="360" customFormat="1" ht="12" customHeight="1" outlineLevel="1">
      <c r="A1993" s="365"/>
      <c r="B1993" s="118" t="s">
        <v>12</v>
      </c>
      <c r="C1993" s="334" t="s">
        <v>8777</v>
      </c>
      <c r="D1993" s="124" t="s">
        <v>8778</v>
      </c>
      <c r="E1993" s="125"/>
      <c r="F1993" s="118" t="s">
        <v>622</v>
      </c>
      <c r="G1993" s="126" t="s">
        <v>8766</v>
      </c>
      <c r="H1993" s="255">
        <v>2</v>
      </c>
      <c r="I1993" s="361">
        <v>1</v>
      </c>
      <c r="J1993" s="362" t="s">
        <v>310</v>
      </c>
      <c r="K1993" s="329"/>
      <c r="L1993" s="129"/>
      <c r="M1993" s="129"/>
      <c r="N1993" s="129"/>
      <c r="O1993" s="129"/>
      <c r="P1993" s="372"/>
      <c r="Q1993" s="372"/>
      <c r="R1993" s="129"/>
      <c r="S1993" s="129"/>
      <c r="T1993" s="129"/>
      <c r="W1993" s="129" t="s">
        <v>310</v>
      </c>
      <c r="X1993" s="337" t="b">
        <f t="shared" si="65"/>
        <v>1</v>
      </c>
    </row>
    <row r="1994" spans="1:24" s="360" customFormat="1" ht="12" customHeight="1" outlineLevel="1">
      <c r="A1994" s="365"/>
      <c r="B1994" s="118" t="s">
        <v>12</v>
      </c>
      <c r="C1994" s="334" t="s">
        <v>8779</v>
      </c>
      <c r="D1994" s="124" t="s">
        <v>8780</v>
      </c>
      <c r="E1994" s="125"/>
      <c r="F1994" s="118" t="s">
        <v>622</v>
      </c>
      <c r="G1994" s="126" t="s">
        <v>8766</v>
      </c>
      <c r="H1994" s="255">
        <v>2</v>
      </c>
      <c r="I1994" s="361">
        <v>1</v>
      </c>
      <c r="J1994" s="362" t="s">
        <v>310</v>
      </c>
      <c r="K1994" s="329"/>
      <c r="L1994" s="129"/>
      <c r="M1994" s="129"/>
      <c r="N1994" s="129"/>
      <c r="O1994" s="129"/>
      <c r="P1994" s="372"/>
      <c r="Q1994" s="372"/>
      <c r="R1994" s="129"/>
      <c r="S1994" s="129"/>
      <c r="T1994" s="129"/>
      <c r="W1994" s="129" t="s">
        <v>310</v>
      </c>
      <c r="X1994" s="337" t="b">
        <f t="shared" si="65"/>
        <v>1</v>
      </c>
    </row>
    <row r="1995" spans="1:24" s="360" customFormat="1" ht="12" customHeight="1" outlineLevel="1">
      <c r="A1995" s="365"/>
      <c r="B1995" s="118" t="s">
        <v>12</v>
      </c>
      <c r="C1995" s="334" t="s">
        <v>8781</v>
      </c>
      <c r="D1995" s="124" t="s">
        <v>8782</v>
      </c>
      <c r="E1995" s="125"/>
      <c r="F1995" s="118" t="s">
        <v>622</v>
      </c>
      <c r="G1995" s="126" t="s">
        <v>8766</v>
      </c>
      <c r="H1995" s="255">
        <v>2</v>
      </c>
      <c r="I1995" s="361">
        <v>1</v>
      </c>
      <c r="J1995" s="362" t="s">
        <v>310</v>
      </c>
      <c r="K1995" s="329"/>
      <c r="L1995" s="129"/>
      <c r="M1995" s="129"/>
      <c r="N1995" s="129"/>
      <c r="O1995" s="129"/>
      <c r="P1995" s="372"/>
      <c r="Q1995" s="372"/>
      <c r="R1995" s="129"/>
      <c r="S1995" s="129"/>
      <c r="T1995" s="129"/>
      <c r="W1995" s="129" t="s">
        <v>310</v>
      </c>
      <c r="X1995" s="337" t="b">
        <f t="shared" si="65"/>
        <v>1</v>
      </c>
    </row>
    <row r="1996" spans="1:24" s="360" customFormat="1" ht="12" customHeight="1" outlineLevel="1">
      <c r="A1996" s="365"/>
      <c r="B1996" s="118" t="s">
        <v>12</v>
      </c>
      <c r="C1996" s="334" t="s">
        <v>8783</v>
      </c>
      <c r="D1996" s="124" t="s">
        <v>8784</v>
      </c>
      <c r="E1996" s="125"/>
      <c r="F1996" s="118" t="s">
        <v>622</v>
      </c>
      <c r="G1996" s="126" t="s">
        <v>8766</v>
      </c>
      <c r="H1996" s="255">
        <v>2</v>
      </c>
      <c r="I1996" s="361">
        <v>1</v>
      </c>
      <c r="J1996" s="362" t="s">
        <v>310</v>
      </c>
      <c r="K1996" s="329"/>
      <c r="L1996" s="129"/>
      <c r="M1996" s="129"/>
      <c r="N1996" s="129"/>
      <c r="O1996" s="129"/>
      <c r="P1996" s="372"/>
      <c r="Q1996" s="372"/>
      <c r="R1996" s="129"/>
      <c r="S1996" s="129"/>
      <c r="T1996" s="129"/>
      <c r="W1996" s="129" t="s">
        <v>310</v>
      </c>
      <c r="X1996" s="337" t="b">
        <f t="shared" si="65"/>
        <v>1</v>
      </c>
    </row>
    <row r="1997" spans="1:24" s="360" customFormat="1" ht="12" customHeight="1" outlineLevel="1">
      <c r="A1997" s="365"/>
      <c r="B1997" s="118" t="s">
        <v>12</v>
      </c>
      <c r="C1997" s="334" t="s">
        <v>8785</v>
      </c>
      <c r="D1997" s="124" t="s">
        <v>8786</v>
      </c>
      <c r="E1997" s="125"/>
      <c r="F1997" s="118" t="s">
        <v>622</v>
      </c>
      <c r="G1997" s="126" t="s">
        <v>8766</v>
      </c>
      <c r="H1997" s="255">
        <v>2</v>
      </c>
      <c r="I1997" s="361">
        <v>1</v>
      </c>
      <c r="J1997" s="362" t="s">
        <v>310</v>
      </c>
      <c r="K1997" s="329"/>
      <c r="L1997" s="129"/>
      <c r="M1997" s="129"/>
      <c r="N1997" s="129"/>
      <c r="O1997" s="129"/>
      <c r="P1997" s="372"/>
      <c r="Q1997" s="372"/>
      <c r="R1997" s="129"/>
      <c r="S1997" s="129"/>
      <c r="T1997" s="129"/>
      <c r="W1997" s="129" t="s">
        <v>310</v>
      </c>
      <c r="X1997" s="337" t="b">
        <f t="shared" si="65"/>
        <v>1</v>
      </c>
    </row>
    <row r="1998" spans="1:24" s="360" customFormat="1" ht="12" customHeight="1" outlineLevel="1">
      <c r="A1998" s="365"/>
      <c r="B1998" s="118" t="s">
        <v>12</v>
      </c>
      <c r="C1998" s="334" t="s">
        <v>8787</v>
      </c>
      <c r="D1998" s="124" t="s">
        <v>8788</v>
      </c>
      <c r="E1998" s="125"/>
      <c r="F1998" s="118" t="s">
        <v>622</v>
      </c>
      <c r="G1998" s="126" t="s">
        <v>8766</v>
      </c>
      <c r="H1998" s="255">
        <v>2</v>
      </c>
      <c r="I1998" s="361">
        <v>1</v>
      </c>
      <c r="J1998" s="362" t="s">
        <v>310</v>
      </c>
      <c r="K1998" s="329"/>
      <c r="L1998" s="129"/>
      <c r="M1998" s="129"/>
      <c r="N1998" s="129"/>
      <c r="O1998" s="129"/>
      <c r="P1998" s="372"/>
      <c r="Q1998" s="372"/>
      <c r="R1998" s="129"/>
      <c r="S1998" s="129"/>
      <c r="T1998" s="129"/>
      <c r="W1998" s="129" t="s">
        <v>310</v>
      </c>
      <c r="X1998" s="337" t="b">
        <f t="shared" si="65"/>
        <v>1</v>
      </c>
    </row>
    <row r="1999" spans="1:24" s="360" customFormat="1" ht="12" customHeight="1" outlineLevel="1">
      <c r="A1999" s="365"/>
      <c r="B1999" s="118" t="s">
        <v>12</v>
      </c>
      <c r="C1999" s="334" t="s">
        <v>8789</v>
      </c>
      <c r="D1999" s="124" t="s">
        <v>8790</v>
      </c>
      <c r="E1999" s="125"/>
      <c r="F1999" s="118" t="s">
        <v>622</v>
      </c>
      <c r="G1999" s="126" t="s">
        <v>8766</v>
      </c>
      <c r="H1999" s="255">
        <v>2</v>
      </c>
      <c r="I1999" s="361">
        <v>1</v>
      </c>
      <c r="J1999" s="362" t="s">
        <v>310</v>
      </c>
      <c r="K1999" s="329"/>
      <c r="L1999" s="129"/>
      <c r="M1999" s="129"/>
      <c r="N1999" s="129"/>
      <c r="O1999" s="129"/>
      <c r="P1999" s="372"/>
      <c r="Q1999" s="372"/>
      <c r="R1999" s="129"/>
      <c r="S1999" s="129"/>
      <c r="T1999" s="129"/>
      <c r="W1999" s="129" t="s">
        <v>310</v>
      </c>
      <c r="X1999" s="337" t="b">
        <f t="shared" si="65"/>
        <v>1</v>
      </c>
    </row>
    <row r="2000" spans="1:24" s="360" customFormat="1" ht="12" customHeight="1" outlineLevel="1">
      <c r="A2000" s="365"/>
      <c r="B2000" s="118" t="s">
        <v>12</v>
      </c>
      <c r="C2000" s="334" t="s">
        <v>8791</v>
      </c>
      <c r="D2000" s="124" t="s">
        <v>8792</v>
      </c>
      <c r="E2000" s="125"/>
      <c r="F2000" s="118" t="s">
        <v>622</v>
      </c>
      <c r="G2000" s="126" t="s">
        <v>8766</v>
      </c>
      <c r="H2000" s="255">
        <v>2</v>
      </c>
      <c r="I2000" s="361">
        <v>1</v>
      </c>
      <c r="J2000" s="362" t="s">
        <v>310</v>
      </c>
      <c r="K2000" s="329"/>
      <c r="L2000" s="129"/>
      <c r="M2000" s="129"/>
      <c r="N2000" s="129"/>
      <c r="O2000" s="129"/>
      <c r="P2000" s="372"/>
      <c r="Q2000" s="372"/>
      <c r="R2000" s="129"/>
      <c r="S2000" s="129"/>
      <c r="T2000" s="129"/>
      <c r="W2000" s="129" t="s">
        <v>310</v>
      </c>
      <c r="X2000" s="337" t="b">
        <f t="shared" si="65"/>
        <v>1</v>
      </c>
    </row>
    <row r="2001" spans="1:24" s="360" customFormat="1" ht="12" customHeight="1" outlineLevel="1">
      <c r="A2001" s="365"/>
      <c r="B2001" s="118" t="s">
        <v>12</v>
      </c>
      <c r="C2001" s="334" t="s">
        <v>8793</v>
      </c>
      <c r="D2001" s="124" t="s">
        <v>8794</v>
      </c>
      <c r="E2001" s="125"/>
      <c r="F2001" s="118" t="s">
        <v>622</v>
      </c>
      <c r="G2001" s="126" t="s">
        <v>8766</v>
      </c>
      <c r="H2001" s="255">
        <v>2</v>
      </c>
      <c r="I2001" s="361">
        <v>1</v>
      </c>
      <c r="J2001" s="362" t="s">
        <v>310</v>
      </c>
      <c r="K2001" s="329"/>
      <c r="L2001" s="129"/>
      <c r="M2001" s="129"/>
      <c r="N2001" s="129"/>
      <c r="O2001" s="129"/>
      <c r="P2001" s="372"/>
      <c r="Q2001" s="372"/>
      <c r="R2001" s="129"/>
      <c r="S2001" s="129"/>
      <c r="T2001" s="129"/>
      <c r="W2001" s="129" t="s">
        <v>310</v>
      </c>
      <c r="X2001" s="337" t="b">
        <f t="shared" si="65"/>
        <v>1</v>
      </c>
    </row>
    <row r="2002" spans="1:24" s="360" customFormat="1" ht="12" customHeight="1" outlineLevel="1">
      <c r="A2002" s="365"/>
      <c r="B2002" s="118" t="s">
        <v>12</v>
      </c>
      <c r="C2002" s="334" t="s">
        <v>8795</v>
      </c>
      <c r="D2002" s="124" t="s">
        <v>8796</v>
      </c>
      <c r="E2002" s="125"/>
      <c r="F2002" s="118" t="s">
        <v>622</v>
      </c>
      <c r="G2002" s="126" t="s">
        <v>8766</v>
      </c>
      <c r="H2002" s="255">
        <v>2</v>
      </c>
      <c r="I2002" s="361">
        <v>1</v>
      </c>
      <c r="J2002" s="362" t="s">
        <v>310</v>
      </c>
      <c r="K2002" s="329"/>
      <c r="L2002" s="129"/>
      <c r="M2002" s="129"/>
      <c r="N2002" s="129"/>
      <c r="O2002" s="129"/>
      <c r="P2002" s="372"/>
      <c r="Q2002" s="372"/>
      <c r="R2002" s="129"/>
      <c r="S2002" s="129"/>
      <c r="T2002" s="129"/>
      <c r="W2002" s="129" t="s">
        <v>310</v>
      </c>
      <c r="X2002" s="337" t="b">
        <f t="shared" si="65"/>
        <v>1</v>
      </c>
    </row>
    <row r="2003" spans="1:24" s="360" customFormat="1" ht="12" customHeight="1" outlineLevel="1">
      <c r="A2003" s="365"/>
      <c r="B2003" s="118" t="s">
        <v>12</v>
      </c>
      <c r="C2003" s="334" t="s">
        <v>8797</v>
      </c>
      <c r="D2003" s="124" t="s">
        <v>8798</v>
      </c>
      <c r="E2003" s="125"/>
      <c r="F2003" s="118" t="s">
        <v>622</v>
      </c>
      <c r="G2003" s="126" t="s">
        <v>8766</v>
      </c>
      <c r="H2003" s="255">
        <v>2</v>
      </c>
      <c r="I2003" s="361">
        <v>1</v>
      </c>
      <c r="J2003" s="362" t="s">
        <v>310</v>
      </c>
      <c r="K2003" s="329"/>
      <c r="L2003" s="129"/>
      <c r="M2003" s="129"/>
      <c r="N2003" s="129"/>
      <c r="O2003" s="129"/>
      <c r="P2003" s="372"/>
      <c r="Q2003" s="372"/>
      <c r="R2003" s="129"/>
      <c r="S2003" s="129"/>
      <c r="T2003" s="129"/>
      <c r="W2003" s="129" t="s">
        <v>310</v>
      </c>
      <c r="X2003" s="337" t="b">
        <f t="shared" si="65"/>
        <v>1</v>
      </c>
    </row>
    <row r="2004" spans="1:24" s="360" customFormat="1" ht="12" customHeight="1" outlineLevel="1">
      <c r="A2004" s="365"/>
      <c r="B2004" s="118" t="s">
        <v>12</v>
      </c>
      <c r="C2004" s="334" t="s">
        <v>8799</v>
      </c>
      <c r="D2004" s="124" t="s">
        <v>8800</v>
      </c>
      <c r="E2004" s="125"/>
      <c r="F2004" s="118" t="s">
        <v>622</v>
      </c>
      <c r="G2004" s="126" t="s">
        <v>8766</v>
      </c>
      <c r="H2004" s="255">
        <v>2</v>
      </c>
      <c r="I2004" s="361">
        <v>1</v>
      </c>
      <c r="J2004" s="362" t="s">
        <v>286</v>
      </c>
      <c r="K2004" s="329"/>
      <c r="L2004" s="129"/>
      <c r="M2004" s="129"/>
      <c r="N2004" s="129"/>
      <c r="O2004" s="129"/>
      <c r="P2004" s="372"/>
      <c r="Q2004" s="372"/>
      <c r="R2004" s="129"/>
      <c r="S2004" s="129"/>
      <c r="T2004" s="129"/>
      <c r="W2004" s="129" t="s">
        <v>286</v>
      </c>
      <c r="X2004" s="337" t="b">
        <f t="shared" si="65"/>
        <v>1</v>
      </c>
    </row>
    <row r="2005" spans="1:24" s="360" customFormat="1" ht="12" customHeight="1" outlineLevel="1">
      <c r="A2005" s="365"/>
      <c r="B2005" s="118" t="s">
        <v>12</v>
      </c>
      <c r="C2005" s="334" t="s">
        <v>8801</v>
      </c>
      <c r="D2005" s="124" t="s">
        <v>8802</v>
      </c>
      <c r="E2005" s="125"/>
      <c r="F2005" s="118" t="s">
        <v>622</v>
      </c>
      <c r="G2005" s="126" t="s">
        <v>8766</v>
      </c>
      <c r="H2005" s="255">
        <v>2</v>
      </c>
      <c r="I2005" s="361">
        <v>1</v>
      </c>
      <c r="J2005" s="362" t="s">
        <v>286</v>
      </c>
      <c r="K2005" s="329"/>
      <c r="L2005" s="129"/>
      <c r="M2005" s="129"/>
      <c r="N2005" s="129"/>
      <c r="O2005" s="129"/>
      <c r="P2005" s="372"/>
      <c r="Q2005" s="372"/>
      <c r="R2005" s="129"/>
      <c r="S2005" s="129"/>
      <c r="T2005" s="129"/>
      <c r="W2005" s="129" t="s">
        <v>286</v>
      </c>
      <c r="X2005" s="337" t="b">
        <f t="shared" si="65"/>
        <v>1</v>
      </c>
    </row>
    <row r="2006" spans="1:24" s="360" customFormat="1" ht="12" customHeight="1" outlineLevel="1">
      <c r="A2006" s="365"/>
      <c r="B2006" s="118" t="s">
        <v>12</v>
      </c>
      <c r="C2006" s="334" t="s">
        <v>8803</v>
      </c>
      <c r="D2006" s="124" t="s">
        <v>8804</v>
      </c>
      <c r="E2006" s="125"/>
      <c r="F2006" s="118" t="s">
        <v>622</v>
      </c>
      <c r="G2006" s="126" t="s">
        <v>8766</v>
      </c>
      <c r="H2006" s="255">
        <v>2</v>
      </c>
      <c r="I2006" s="361">
        <v>1</v>
      </c>
      <c r="J2006" s="362" t="s">
        <v>286</v>
      </c>
      <c r="K2006" s="329"/>
      <c r="L2006" s="129"/>
      <c r="M2006" s="129"/>
      <c r="N2006" s="129"/>
      <c r="O2006" s="129"/>
      <c r="P2006" s="372"/>
      <c r="Q2006" s="372"/>
      <c r="R2006" s="129"/>
      <c r="S2006" s="129"/>
      <c r="T2006" s="129"/>
      <c r="W2006" s="129" t="s">
        <v>286</v>
      </c>
      <c r="X2006" s="337" t="b">
        <f t="shared" si="65"/>
        <v>1</v>
      </c>
    </row>
    <row r="2007" spans="1:24" s="360" customFormat="1" ht="12" customHeight="1" outlineLevel="1">
      <c r="A2007" s="365"/>
      <c r="B2007" s="118" t="s">
        <v>12</v>
      </c>
      <c r="C2007" s="334" t="s">
        <v>8805</v>
      </c>
      <c r="D2007" s="124" t="s">
        <v>8806</v>
      </c>
      <c r="E2007" s="125"/>
      <c r="F2007" s="118" t="s">
        <v>622</v>
      </c>
      <c r="G2007" s="126" t="s">
        <v>8766</v>
      </c>
      <c r="H2007" s="255">
        <v>2</v>
      </c>
      <c r="I2007" s="361">
        <v>1</v>
      </c>
      <c r="J2007" s="362" t="s">
        <v>286</v>
      </c>
      <c r="K2007" s="329"/>
      <c r="L2007" s="129"/>
      <c r="M2007" s="129"/>
      <c r="N2007" s="129"/>
      <c r="O2007" s="129"/>
      <c r="P2007" s="372"/>
      <c r="Q2007" s="372"/>
      <c r="R2007" s="129"/>
      <c r="S2007" s="129"/>
      <c r="T2007" s="129"/>
      <c r="W2007" s="129" t="s">
        <v>286</v>
      </c>
      <c r="X2007" s="337" t="b">
        <f t="shared" si="65"/>
        <v>1</v>
      </c>
    </row>
    <row r="2008" spans="1:24" s="360" customFormat="1" ht="12" customHeight="1" outlineLevel="1">
      <c r="A2008" s="365"/>
      <c r="B2008" s="118" t="s">
        <v>12</v>
      </c>
      <c r="C2008" s="334" t="s">
        <v>8807</v>
      </c>
      <c r="D2008" s="124" t="s">
        <v>8808</v>
      </c>
      <c r="E2008" s="125"/>
      <c r="F2008" s="118" t="s">
        <v>622</v>
      </c>
      <c r="G2008" s="126" t="s">
        <v>8766</v>
      </c>
      <c r="H2008" s="255">
        <v>2</v>
      </c>
      <c r="I2008" s="361">
        <v>1</v>
      </c>
      <c r="J2008" s="362" t="s">
        <v>286</v>
      </c>
      <c r="K2008" s="329"/>
      <c r="L2008" s="129"/>
      <c r="M2008" s="129"/>
      <c r="N2008" s="129"/>
      <c r="O2008" s="129"/>
      <c r="P2008" s="372"/>
      <c r="Q2008" s="372"/>
      <c r="R2008" s="129"/>
      <c r="S2008" s="129"/>
      <c r="T2008" s="129"/>
      <c r="W2008" s="129" t="s">
        <v>286</v>
      </c>
      <c r="X2008" s="337" t="b">
        <f t="shared" si="65"/>
        <v>1</v>
      </c>
    </row>
    <row r="2009" spans="1:24" s="360" customFormat="1" ht="12" customHeight="1" outlineLevel="1">
      <c r="A2009" s="365"/>
      <c r="B2009" s="118" t="s">
        <v>12</v>
      </c>
      <c r="C2009" s="334" t="s">
        <v>8809</v>
      </c>
      <c r="D2009" s="124" t="s">
        <v>8810</v>
      </c>
      <c r="E2009" s="125"/>
      <c r="F2009" s="118" t="s">
        <v>622</v>
      </c>
      <c r="G2009" s="126" t="s">
        <v>8766</v>
      </c>
      <c r="H2009" s="255">
        <v>2</v>
      </c>
      <c r="I2009" s="361">
        <v>1</v>
      </c>
      <c r="J2009" s="362" t="s">
        <v>286</v>
      </c>
      <c r="K2009" s="329"/>
      <c r="L2009" s="129"/>
      <c r="M2009" s="129"/>
      <c r="N2009" s="129"/>
      <c r="O2009" s="129"/>
      <c r="P2009" s="372"/>
      <c r="Q2009" s="372"/>
      <c r="R2009" s="129"/>
      <c r="S2009" s="129"/>
      <c r="T2009" s="129"/>
      <c r="W2009" s="129" t="s">
        <v>286</v>
      </c>
      <c r="X2009" s="337" t="b">
        <f t="shared" si="65"/>
        <v>1</v>
      </c>
    </row>
    <row r="2010" spans="1:24" s="360" customFormat="1" ht="12" customHeight="1" outlineLevel="1">
      <c r="A2010" s="365"/>
      <c r="B2010" s="118" t="s">
        <v>12</v>
      </c>
      <c r="C2010" s="334" t="s">
        <v>8811</v>
      </c>
      <c r="D2010" s="124" t="s">
        <v>8812</v>
      </c>
      <c r="E2010" s="125"/>
      <c r="F2010" s="118" t="s">
        <v>622</v>
      </c>
      <c r="G2010" s="126" t="s">
        <v>8766</v>
      </c>
      <c r="H2010" s="255">
        <v>2</v>
      </c>
      <c r="I2010" s="361">
        <v>1</v>
      </c>
      <c r="J2010" s="362" t="s">
        <v>286</v>
      </c>
      <c r="K2010" s="329"/>
      <c r="L2010" s="129"/>
      <c r="M2010" s="129"/>
      <c r="N2010" s="129"/>
      <c r="O2010" s="129"/>
      <c r="P2010" s="372"/>
      <c r="Q2010" s="372"/>
      <c r="R2010" s="129"/>
      <c r="S2010" s="129"/>
      <c r="T2010" s="129"/>
      <c r="W2010" s="129" t="s">
        <v>286</v>
      </c>
      <c r="X2010" s="337" t="b">
        <f t="shared" si="65"/>
        <v>1</v>
      </c>
    </row>
    <row r="2011" spans="1:24" s="360" customFormat="1" ht="12" customHeight="1" outlineLevel="1">
      <c r="A2011" s="365"/>
      <c r="B2011" s="118" t="s">
        <v>12</v>
      </c>
      <c r="C2011" s="334" t="s">
        <v>8813</v>
      </c>
      <c r="D2011" s="124" t="s">
        <v>8814</v>
      </c>
      <c r="E2011" s="125"/>
      <c r="F2011" s="118" t="s">
        <v>622</v>
      </c>
      <c r="G2011" s="126" t="s">
        <v>8766</v>
      </c>
      <c r="H2011" s="255">
        <v>2</v>
      </c>
      <c r="I2011" s="361">
        <v>1</v>
      </c>
      <c r="J2011" s="362" t="s">
        <v>286</v>
      </c>
      <c r="K2011" s="329"/>
      <c r="L2011" s="129"/>
      <c r="M2011" s="129"/>
      <c r="N2011" s="129"/>
      <c r="O2011" s="129"/>
      <c r="P2011" s="372"/>
      <c r="Q2011" s="372"/>
      <c r="R2011" s="129"/>
      <c r="S2011" s="129"/>
      <c r="T2011" s="129"/>
      <c r="W2011" s="129" t="s">
        <v>286</v>
      </c>
      <c r="X2011" s="337" t="b">
        <f t="shared" si="65"/>
        <v>1</v>
      </c>
    </row>
    <row r="2012" spans="1:24" s="360" customFormat="1" ht="12" customHeight="1" outlineLevel="1">
      <c r="A2012" s="365"/>
      <c r="B2012" s="118" t="s">
        <v>12</v>
      </c>
      <c r="C2012" s="334" t="s">
        <v>8815</v>
      </c>
      <c r="D2012" s="124" t="s">
        <v>8816</v>
      </c>
      <c r="E2012" s="125"/>
      <c r="F2012" s="118" t="s">
        <v>622</v>
      </c>
      <c r="G2012" s="126" t="s">
        <v>8766</v>
      </c>
      <c r="H2012" s="255">
        <v>2</v>
      </c>
      <c r="I2012" s="361">
        <v>1</v>
      </c>
      <c r="J2012" s="362" t="s">
        <v>286</v>
      </c>
      <c r="K2012" s="329"/>
      <c r="L2012" s="129"/>
      <c r="M2012" s="129"/>
      <c r="N2012" s="129"/>
      <c r="O2012" s="129"/>
      <c r="P2012" s="372"/>
      <c r="Q2012" s="372"/>
      <c r="R2012" s="129"/>
      <c r="S2012" s="129"/>
      <c r="T2012" s="129"/>
      <c r="W2012" s="129" t="s">
        <v>286</v>
      </c>
      <c r="X2012" s="337" t="b">
        <f t="shared" si="65"/>
        <v>1</v>
      </c>
    </row>
    <row r="2013" spans="1:24" s="360" customFormat="1" ht="12" customHeight="1" outlineLevel="1">
      <c r="A2013" s="365"/>
      <c r="B2013" s="118" t="s">
        <v>12</v>
      </c>
      <c r="C2013" s="334" t="s">
        <v>8817</v>
      </c>
      <c r="D2013" s="124" t="s">
        <v>8818</v>
      </c>
      <c r="E2013" s="125"/>
      <c r="F2013" s="118" t="s">
        <v>622</v>
      </c>
      <c r="G2013" s="126" t="s">
        <v>8766</v>
      </c>
      <c r="H2013" s="255">
        <v>2</v>
      </c>
      <c r="I2013" s="361">
        <v>1</v>
      </c>
      <c r="J2013" s="362" t="s">
        <v>286</v>
      </c>
      <c r="K2013" s="329"/>
      <c r="L2013" s="129"/>
      <c r="M2013" s="129"/>
      <c r="N2013" s="129"/>
      <c r="O2013" s="129"/>
      <c r="P2013" s="372"/>
      <c r="Q2013" s="372"/>
      <c r="R2013" s="129"/>
      <c r="S2013" s="129"/>
      <c r="T2013" s="129"/>
      <c r="W2013" s="129" t="s">
        <v>286</v>
      </c>
      <c r="X2013" s="337" t="b">
        <f t="shared" si="65"/>
        <v>1</v>
      </c>
    </row>
    <row r="2014" spans="1:24" s="360" customFormat="1" ht="12" customHeight="1" outlineLevel="1">
      <c r="A2014" s="365"/>
      <c r="B2014" s="118" t="s">
        <v>12</v>
      </c>
      <c r="C2014" s="334" t="s">
        <v>8819</v>
      </c>
      <c r="D2014" s="124" t="s">
        <v>8820</v>
      </c>
      <c r="E2014" s="125"/>
      <c r="F2014" s="118" t="s">
        <v>622</v>
      </c>
      <c r="G2014" s="126" t="s">
        <v>8766</v>
      </c>
      <c r="H2014" s="255">
        <v>2</v>
      </c>
      <c r="I2014" s="361">
        <v>1</v>
      </c>
      <c r="J2014" s="362" t="s">
        <v>286</v>
      </c>
      <c r="K2014" s="329"/>
      <c r="L2014" s="129"/>
      <c r="M2014" s="129"/>
      <c r="N2014" s="129"/>
      <c r="O2014" s="129"/>
      <c r="P2014" s="372"/>
      <c r="Q2014" s="372"/>
      <c r="R2014" s="129"/>
      <c r="S2014" s="129"/>
      <c r="T2014" s="129"/>
      <c r="W2014" s="129" t="s">
        <v>286</v>
      </c>
      <c r="X2014" s="337" t="b">
        <f t="shared" si="65"/>
        <v>1</v>
      </c>
    </row>
    <row r="2015" spans="1:24" s="360" customFormat="1" ht="12" customHeight="1" outlineLevel="1">
      <c r="A2015" s="365"/>
      <c r="B2015" s="118" t="s">
        <v>12</v>
      </c>
      <c r="C2015" s="334" t="s">
        <v>8821</v>
      </c>
      <c r="D2015" s="124" t="s">
        <v>8822</v>
      </c>
      <c r="E2015" s="125"/>
      <c r="F2015" s="118" t="s">
        <v>622</v>
      </c>
      <c r="G2015" s="126" t="s">
        <v>8766</v>
      </c>
      <c r="H2015" s="255">
        <v>2</v>
      </c>
      <c r="I2015" s="361">
        <v>1</v>
      </c>
      <c r="J2015" s="362" t="s">
        <v>286</v>
      </c>
      <c r="K2015" s="329"/>
      <c r="L2015" s="129"/>
      <c r="M2015" s="129"/>
      <c r="N2015" s="129"/>
      <c r="O2015" s="129"/>
      <c r="P2015" s="372"/>
      <c r="Q2015" s="372"/>
      <c r="R2015" s="129"/>
      <c r="S2015" s="129"/>
      <c r="T2015" s="129"/>
      <c r="W2015" s="129" t="s">
        <v>286</v>
      </c>
      <c r="X2015" s="337" t="b">
        <f t="shared" si="65"/>
        <v>1</v>
      </c>
    </row>
    <row r="2016" spans="1:24" s="360" customFormat="1" ht="12" customHeight="1" outlineLevel="1">
      <c r="A2016" s="365"/>
      <c r="B2016" s="118" t="s">
        <v>12</v>
      </c>
      <c r="C2016" s="334" t="s">
        <v>8823</v>
      </c>
      <c r="D2016" s="124" t="s">
        <v>8824</v>
      </c>
      <c r="E2016" s="125"/>
      <c r="F2016" s="118" t="s">
        <v>622</v>
      </c>
      <c r="G2016" s="126" t="s">
        <v>8766</v>
      </c>
      <c r="H2016" s="255">
        <v>2</v>
      </c>
      <c r="I2016" s="361">
        <v>1</v>
      </c>
      <c r="J2016" s="362" t="s">
        <v>286</v>
      </c>
      <c r="K2016" s="329"/>
      <c r="L2016" s="129"/>
      <c r="M2016" s="129"/>
      <c r="N2016" s="129"/>
      <c r="O2016" s="129"/>
      <c r="P2016" s="372"/>
      <c r="Q2016" s="372"/>
      <c r="R2016" s="129"/>
      <c r="S2016" s="129"/>
      <c r="T2016" s="129"/>
      <c r="W2016" s="129" t="s">
        <v>286</v>
      </c>
      <c r="X2016" s="337" t="b">
        <f t="shared" si="65"/>
        <v>1</v>
      </c>
    </row>
    <row r="2017" spans="1:24" s="360" customFormat="1" ht="12" customHeight="1" outlineLevel="1">
      <c r="A2017" s="365"/>
      <c r="B2017" s="118" t="s">
        <v>12</v>
      </c>
      <c r="C2017" s="334" t="s">
        <v>8825</v>
      </c>
      <c r="D2017" s="124" t="s">
        <v>8826</v>
      </c>
      <c r="E2017" s="125"/>
      <c r="F2017" s="118" t="s">
        <v>622</v>
      </c>
      <c r="G2017" s="126" t="s">
        <v>8766</v>
      </c>
      <c r="H2017" s="255">
        <v>2</v>
      </c>
      <c r="I2017" s="361">
        <v>1</v>
      </c>
      <c r="J2017" s="362" t="s">
        <v>286</v>
      </c>
      <c r="K2017" s="329"/>
      <c r="L2017" s="129"/>
      <c r="M2017" s="129"/>
      <c r="N2017" s="129"/>
      <c r="O2017" s="129"/>
      <c r="P2017" s="372"/>
      <c r="Q2017" s="372"/>
      <c r="R2017" s="129"/>
      <c r="S2017" s="129"/>
      <c r="T2017" s="129"/>
      <c r="W2017" s="129" t="s">
        <v>286</v>
      </c>
      <c r="X2017" s="337" t="b">
        <f t="shared" si="65"/>
        <v>1</v>
      </c>
    </row>
    <row r="2018" spans="1:24" s="360" customFormat="1" ht="12" customHeight="1" outlineLevel="1">
      <c r="A2018" s="365"/>
      <c r="B2018" s="118" t="s">
        <v>12</v>
      </c>
      <c r="C2018" s="334" t="s">
        <v>8827</v>
      </c>
      <c r="D2018" s="124" t="s">
        <v>8828</v>
      </c>
      <c r="E2018" s="125"/>
      <c r="F2018" s="118" t="s">
        <v>622</v>
      </c>
      <c r="G2018" s="126" t="s">
        <v>8766</v>
      </c>
      <c r="H2018" s="255">
        <v>2</v>
      </c>
      <c r="I2018" s="361">
        <v>1</v>
      </c>
      <c r="J2018" s="362" t="s">
        <v>286</v>
      </c>
      <c r="K2018" s="329"/>
      <c r="L2018" s="129"/>
      <c r="M2018" s="129"/>
      <c r="N2018" s="129"/>
      <c r="O2018" s="129"/>
      <c r="P2018" s="372"/>
      <c r="Q2018" s="372"/>
      <c r="R2018" s="129"/>
      <c r="S2018" s="129"/>
      <c r="T2018" s="129"/>
      <c r="W2018" s="129" t="s">
        <v>286</v>
      </c>
      <c r="X2018" s="337" t="b">
        <f t="shared" si="65"/>
        <v>1</v>
      </c>
    </row>
    <row r="2019" spans="1:24" s="360" customFormat="1" ht="12" customHeight="1" outlineLevel="1">
      <c r="A2019" s="365"/>
      <c r="B2019" s="118" t="s">
        <v>12</v>
      </c>
      <c r="C2019" s="334" t="s">
        <v>8829</v>
      </c>
      <c r="D2019" s="124" t="s">
        <v>8830</v>
      </c>
      <c r="E2019" s="125"/>
      <c r="F2019" s="118" t="s">
        <v>622</v>
      </c>
      <c r="G2019" s="126" t="s">
        <v>8766</v>
      </c>
      <c r="H2019" s="255">
        <v>2</v>
      </c>
      <c r="I2019" s="361">
        <v>1</v>
      </c>
      <c r="J2019" s="362" t="s">
        <v>286</v>
      </c>
      <c r="K2019" s="329"/>
      <c r="L2019" s="129"/>
      <c r="M2019" s="129"/>
      <c r="N2019" s="129"/>
      <c r="O2019" s="129"/>
      <c r="P2019" s="372"/>
      <c r="Q2019" s="372"/>
      <c r="R2019" s="129"/>
      <c r="S2019" s="129"/>
      <c r="T2019" s="129"/>
      <c r="W2019" s="129" t="s">
        <v>286</v>
      </c>
      <c r="X2019" s="337" t="b">
        <f t="shared" si="65"/>
        <v>1</v>
      </c>
    </row>
    <row r="2020" spans="1:24" s="360" customFormat="1" ht="12" customHeight="1" outlineLevel="1">
      <c r="A2020" s="365"/>
      <c r="B2020" s="118" t="s">
        <v>12</v>
      </c>
      <c r="C2020" s="334" t="s">
        <v>8831</v>
      </c>
      <c r="D2020" s="124" t="s">
        <v>8832</v>
      </c>
      <c r="E2020" s="125"/>
      <c r="F2020" s="118" t="s">
        <v>622</v>
      </c>
      <c r="G2020" s="126" t="s">
        <v>8766</v>
      </c>
      <c r="H2020" s="255">
        <v>2</v>
      </c>
      <c r="I2020" s="361">
        <v>1</v>
      </c>
      <c r="J2020" s="362" t="s">
        <v>286</v>
      </c>
      <c r="K2020" s="329"/>
      <c r="L2020" s="129"/>
      <c r="M2020" s="129"/>
      <c r="N2020" s="129"/>
      <c r="O2020" s="129"/>
      <c r="P2020" s="372"/>
      <c r="Q2020" s="372"/>
      <c r="R2020" s="129"/>
      <c r="S2020" s="129"/>
      <c r="T2020" s="129"/>
      <c r="W2020" s="129" t="s">
        <v>286</v>
      </c>
      <c r="X2020" s="337" t="b">
        <f t="shared" si="65"/>
        <v>1</v>
      </c>
    </row>
    <row r="2021" spans="1:24" s="360" customFormat="1" ht="12" customHeight="1" outlineLevel="1">
      <c r="A2021" s="365"/>
      <c r="B2021" s="118" t="s">
        <v>12</v>
      </c>
      <c r="C2021" s="334" t="s">
        <v>8833</v>
      </c>
      <c r="D2021" s="124" t="s">
        <v>8834</v>
      </c>
      <c r="E2021" s="125"/>
      <c r="F2021" s="118" t="s">
        <v>622</v>
      </c>
      <c r="G2021" s="126" t="s">
        <v>8766</v>
      </c>
      <c r="H2021" s="255">
        <v>2</v>
      </c>
      <c r="I2021" s="361">
        <v>1</v>
      </c>
      <c r="J2021" s="362" t="s">
        <v>286</v>
      </c>
      <c r="K2021" s="329"/>
      <c r="L2021" s="129"/>
      <c r="M2021" s="129"/>
      <c r="N2021" s="129"/>
      <c r="O2021" s="129"/>
      <c r="P2021" s="372"/>
      <c r="Q2021" s="372"/>
      <c r="R2021" s="129"/>
      <c r="S2021" s="129"/>
      <c r="T2021" s="129"/>
      <c r="W2021" s="129" t="s">
        <v>286</v>
      </c>
      <c r="X2021" s="337" t="b">
        <f t="shared" si="65"/>
        <v>1</v>
      </c>
    </row>
    <row r="2022" spans="1:24" s="360" customFormat="1" ht="12" customHeight="1" outlineLevel="1">
      <c r="A2022" s="365"/>
      <c r="B2022" s="118" t="s">
        <v>12</v>
      </c>
      <c r="C2022" s="334" t="s">
        <v>8835</v>
      </c>
      <c r="D2022" s="124" t="s">
        <v>8836</v>
      </c>
      <c r="E2022" s="125"/>
      <c r="F2022" s="118" t="s">
        <v>622</v>
      </c>
      <c r="G2022" s="126" t="s">
        <v>8766</v>
      </c>
      <c r="H2022" s="255">
        <v>2</v>
      </c>
      <c r="I2022" s="361">
        <v>1</v>
      </c>
      <c r="J2022" s="362" t="s">
        <v>286</v>
      </c>
      <c r="K2022" s="329"/>
      <c r="L2022" s="129"/>
      <c r="M2022" s="129"/>
      <c r="N2022" s="129"/>
      <c r="O2022" s="129"/>
      <c r="P2022" s="372"/>
      <c r="Q2022" s="372"/>
      <c r="R2022" s="129"/>
      <c r="S2022" s="129"/>
      <c r="T2022" s="129"/>
      <c r="W2022" s="129" t="s">
        <v>286</v>
      </c>
      <c r="X2022" s="337" t="b">
        <f t="shared" si="65"/>
        <v>1</v>
      </c>
    </row>
    <row r="2023" spans="1:24" s="360" customFormat="1" ht="12" customHeight="1" outlineLevel="1">
      <c r="A2023" s="365"/>
      <c r="B2023" s="118" t="s">
        <v>12</v>
      </c>
      <c r="C2023" s="334" t="s">
        <v>8837</v>
      </c>
      <c r="D2023" s="124" t="s">
        <v>8838</v>
      </c>
      <c r="E2023" s="125"/>
      <c r="F2023" s="118" t="s">
        <v>622</v>
      </c>
      <c r="G2023" s="126" t="s">
        <v>8766</v>
      </c>
      <c r="H2023" s="255">
        <v>2</v>
      </c>
      <c r="I2023" s="361">
        <v>1</v>
      </c>
      <c r="J2023" s="362" t="s">
        <v>286</v>
      </c>
      <c r="K2023" s="329"/>
      <c r="L2023" s="129"/>
      <c r="M2023" s="129"/>
      <c r="N2023" s="129"/>
      <c r="O2023" s="129"/>
      <c r="P2023" s="372"/>
      <c r="Q2023" s="372"/>
      <c r="R2023" s="129"/>
      <c r="S2023" s="129"/>
      <c r="T2023" s="129"/>
      <c r="W2023" s="129" t="s">
        <v>286</v>
      </c>
      <c r="X2023" s="337" t="b">
        <f t="shared" si="65"/>
        <v>1</v>
      </c>
    </row>
    <row r="2024" spans="1:24" s="360" customFormat="1" ht="12" customHeight="1" outlineLevel="1">
      <c r="A2024" s="365"/>
      <c r="B2024" s="118" t="s">
        <v>12</v>
      </c>
      <c r="C2024" s="334" t="s">
        <v>8839</v>
      </c>
      <c r="D2024" s="124" t="s">
        <v>8840</v>
      </c>
      <c r="E2024" s="125"/>
      <c r="F2024" s="118" t="s">
        <v>622</v>
      </c>
      <c r="G2024" s="126" t="s">
        <v>8766</v>
      </c>
      <c r="H2024" s="255">
        <v>2</v>
      </c>
      <c r="I2024" s="361">
        <v>1</v>
      </c>
      <c r="J2024" s="362" t="s">
        <v>286</v>
      </c>
      <c r="K2024" s="329"/>
      <c r="L2024" s="129"/>
      <c r="M2024" s="129"/>
      <c r="N2024" s="129"/>
      <c r="O2024" s="129"/>
      <c r="P2024" s="372"/>
      <c r="Q2024" s="372"/>
      <c r="R2024" s="129"/>
      <c r="S2024" s="129"/>
      <c r="T2024" s="129"/>
      <c r="W2024" s="129" t="s">
        <v>286</v>
      </c>
      <c r="X2024" s="337" t="b">
        <f t="shared" si="65"/>
        <v>1</v>
      </c>
    </row>
    <row r="2025" spans="1:24" s="360" customFormat="1" ht="12" customHeight="1" outlineLevel="1">
      <c r="A2025" s="365"/>
      <c r="B2025" s="118" t="s">
        <v>12</v>
      </c>
      <c r="C2025" s="334" t="s">
        <v>8841</v>
      </c>
      <c r="D2025" s="124" t="s">
        <v>8842</v>
      </c>
      <c r="E2025" s="125"/>
      <c r="F2025" s="118" t="s">
        <v>622</v>
      </c>
      <c r="G2025" s="126" t="s">
        <v>8766</v>
      </c>
      <c r="H2025" s="255">
        <v>2</v>
      </c>
      <c r="I2025" s="361">
        <v>1</v>
      </c>
      <c r="J2025" s="362" t="s">
        <v>286</v>
      </c>
      <c r="K2025" s="329"/>
      <c r="L2025" s="129"/>
      <c r="M2025" s="129"/>
      <c r="N2025" s="129"/>
      <c r="O2025" s="129"/>
      <c r="P2025" s="372"/>
      <c r="Q2025" s="372"/>
      <c r="R2025" s="129"/>
      <c r="S2025" s="129"/>
      <c r="T2025" s="129"/>
      <c r="W2025" s="129" t="s">
        <v>286</v>
      </c>
      <c r="X2025" s="337" t="b">
        <f t="shared" si="65"/>
        <v>1</v>
      </c>
    </row>
    <row r="2026" spans="1:24" s="360" customFormat="1" ht="12" customHeight="1" outlineLevel="1">
      <c r="A2026" s="365"/>
      <c r="B2026" s="118" t="s">
        <v>12</v>
      </c>
      <c r="C2026" s="334" t="s">
        <v>8843</v>
      </c>
      <c r="D2026" s="124" t="s">
        <v>8844</v>
      </c>
      <c r="E2026" s="125"/>
      <c r="F2026" s="118" t="s">
        <v>622</v>
      </c>
      <c r="G2026" s="126" t="s">
        <v>8766</v>
      </c>
      <c r="H2026" s="255">
        <v>2</v>
      </c>
      <c r="I2026" s="361">
        <v>1</v>
      </c>
      <c r="J2026" s="362" t="s">
        <v>286</v>
      </c>
      <c r="K2026" s="329"/>
      <c r="L2026" s="129"/>
      <c r="M2026" s="129"/>
      <c r="N2026" s="129"/>
      <c r="O2026" s="129"/>
      <c r="P2026" s="372"/>
      <c r="Q2026" s="372"/>
      <c r="R2026" s="129"/>
      <c r="S2026" s="129"/>
      <c r="T2026" s="129"/>
      <c r="W2026" s="129" t="s">
        <v>286</v>
      </c>
      <c r="X2026" s="337" t="b">
        <f t="shared" si="65"/>
        <v>1</v>
      </c>
    </row>
    <row r="2027" spans="1:24" s="360" customFormat="1" ht="12" customHeight="1" outlineLevel="1">
      <c r="A2027" s="365"/>
      <c r="B2027" s="118" t="s">
        <v>12</v>
      </c>
      <c r="C2027" s="334" t="s">
        <v>8845</v>
      </c>
      <c r="D2027" s="124" t="s">
        <v>8846</v>
      </c>
      <c r="E2027" s="125"/>
      <c r="F2027" s="118" t="s">
        <v>622</v>
      </c>
      <c r="G2027" s="126" t="s">
        <v>8766</v>
      </c>
      <c r="H2027" s="255">
        <v>2</v>
      </c>
      <c r="I2027" s="361">
        <v>1</v>
      </c>
      <c r="J2027" s="362" t="s">
        <v>286</v>
      </c>
      <c r="K2027" s="329"/>
      <c r="L2027" s="129"/>
      <c r="M2027" s="129"/>
      <c r="N2027" s="129"/>
      <c r="O2027" s="129"/>
      <c r="P2027" s="372"/>
      <c r="Q2027" s="372"/>
      <c r="R2027" s="129"/>
      <c r="S2027" s="129"/>
      <c r="T2027" s="129"/>
      <c r="W2027" s="129" t="s">
        <v>286</v>
      </c>
      <c r="X2027" s="337" t="b">
        <f t="shared" si="65"/>
        <v>1</v>
      </c>
    </row>
    <row r="2028" spans="1:24" s="360" customFormat="1" ht="12" customHeight="1" outlineLevel="1">
      <c r="A2028" s="365"/>
      <c r="B2028" s="118" t="s">
        <v>12</v>
      </c>
      <c r="C2028" s="334" t="s">
        <v>8847</v>
      </c>
      <c r="D2028" s="124" t="s">
        <v>8848</v>
      </c>
      <c r="E2028" s="125"/>
      <c r="F2028" s="118" t="s">
        <v>622</v>
      </c>
      <c r="G2028" s="126" t="s">
        <v>8766</v>
      </c>
      <c r="H2028" s="255">
        <v>2</v>
      </c>
      <c r="I2028" s="361">
        <v>1</v>
      </c>
      <c r="J2028" s="362" t="s">
        <v>286</v>
      </c>
      <c r="K2028" s="329"/>
      <c r="L2028" s="129"/>
      <c r="M2028" s="129"/>
      <c r="N2028" s="129"/>
      <c r="O2028" s="129"/>
      <c r="P2028" s="372"/>
      <c r="Q2028" s="372"/>
      <c r="R2028" s="129"/>
      <c r="S2028" s="129"/>
      <c r="T2028" s="129"/>
      <c r="W2028" s="129" t="s">
        <v>286</v>
      </c>
      <c r="X2028" s="337" t="b">
        <f t="shared" si="65"/>
        <v>1</v>
      </c>
    </row>
    <row r="2029" spans="1:24" s="360" customFormat="1" ht="12" customHeight="1" outlineLevel="1">
      <c r="A2029" s="365"/>
      <c r="B2029" s="118" t="s">
        <v>12</v>
      </c>
      <c r="C2029" s="334" t="s">
        <v>8849</v>
      </c>
      <c r="D2029" s="124" t="s">
        <v>8850</v>
      </c>
      <c r="E2029" s="125"/>
      <c r="F2029" s="118" t="s">
        <v>622</v>
      </c>
      <c r="G2029" s="126" t="s">
        <v>8766</v>
      </c>
      <c r="H2029" s="255">
        <v>2</v>
      </c>
      <c r="I2029" s="361">
        <v>1</v>
      </c>
      <c r="J2029" s="362" t="s">
        <v>286</v>
      </c>
      <c r="K2029" s="329"/>
      <c r="L2029" s="129"/>
      <c r="M2029" s="129"/>
      <c r="N2029" s="129"/>
      <c r="O2029" s="129"/>
      <c r="P2029" s="372"/>
      <c r="Q2029" s="372"/>
      <c r="R2029" s="129"/>
      <c r="S2029" s="129"/>
      <c r="T2029" s="129"/>
      <c r="W2029" s="129" t="s">
        <v>286</v>
      </c>
      <c r="X2029" s="337" t="b">
        <f t="shared" si="65"/>
        <v>1</v>
      </c>
    </row>
    <row r="2030" spans="1:24" s="360" customFormat="1" ht="12" customHeight="1" outlineLevel="1">
      <c r="A2030" s="365"/>
      <c r="B2030" s="118" t="s">
        <v>12</v>
      </c>
      <c r="C2030" s="334" t="s">
        <v>8851</v>
      </c>
      <c r="D2030" s="124" t="s">
        <v>8852</v>
      </c>
      <c r="E2030" s="125"/>
      <c r="F2030" s="118" t="s">
        <v>622</v>
      </c>
      <c r="G2030" s="126" t="s">
        <v>8766</v>
      </c>
      <c r="H2030" s="255">
        <v>2</v>
      </c>
      <c r="I2030" s="361">
        <v>1</v>
      </c>
      <c r="J2030" s="362" t="s">
        <v>286</v>
      </c>
      <c r="K2030" s="329"/>
      <c r="L2030" s="129"/>
      <c r="M2030" s="129"/>
      <c r="N2030" s="129"/>
      <c r="O2030" s="129"/>
      <c r="P2030" s="372"/>
      <c r="Q2030" s="372"/>
      <c r="R2030" s="129"/>
      <c r="S2030" s="129"/>
      <c r="T2030" s="129"/>
      <c r="W2030" s="129" t="s">
        <v>286</v>
      </c>
      <c r="X2030" s="337" t="b">
        <f t="shared" si="65"/>
        <v>1</v>
      </c>
    </row>
    <row r="2031" spans="1:24" s="360" customFormat="1" ht="12" customHeight="1" outlineLevel="1">
      <c r="A2031" s="365"/>
      <c r="B2031" s="118" t="s">
        <v>12</v>
      </c>
      <c r="C2031" s="334" t="s">
        <v>8853</v>
      </c>
      <c r="D2031" s="124" t="s">
        <v>8854</v>
      </c>
      <c r="E2031" s="125"/>
      <c r="F2031" s="118" t="s">
        <v>622</v>
      </c>
      <c r="G2031" s="126" t="s">
        <v>8766</v>
      </c>
      <c r="H2031" s="255">
        <v>2</v>
      </c>
      <c r="I2031" s="361">
        <v>1</v>
      </c>
      <c r="J2031" s="362" t="s">
        <v>286</v>
      </c>
      <c r="K2031" s="329"/>
      <c r="L2031" s="129"/>
      <c r="M2031" s="129"/>
      <c r="N2031" s="129"/>
      <c r="O2031" s="129"/>
      <c r="P2031" s="372"/>
      <c r="Q2031" s="372"/>
      <c r="R2031" s="129"/>
      <c r="S2031" s="129"/>
      <c r="T2031" s="129"/>
      <c r="W2031" s="129" t="s">
        <v>286</v>
      </c>
      <c r="X2031" s="337" t="b">
        <f t="shared" si="65"/>
        <v>1</v>
      </c>
    </row>
    <row r="2032" spans="1:24" s="360" customFormat="1" ht="12" customHeight="1" outlineLevel="1">
      <c r="A2032" s="365"/>
      <c r="B2032" s="118" t="s">
        <v>12</v>
      </c>
      <c r="C2032" s="334" t="s">
        <v>8855</v>
      </c>
      <c r="D2032" s="124" t="s">
        <v>8856</v>
      </c>
      <c r="E2032" s="125"/>
      <c r="F2032" s="118" t="s">
        <v>622</v>
      </c>
      <c r="G2032" s="126" t="s">
        <v>8766</v>
      </c>
      <c r="H2032" s="255">
        <v>2</v>
      </c>
      <c r="I2032" s="361">
        <v>1</v>
      </c>
      <c r="J2032" s="362" t="s">
        <v>286</v>
      </c>
      <c r="K2032" s="329"/>
      <c r="L2032" s="129"/>
      <c r="M2032" s="129"/>
      <c r="N2032" s="129"/>
      <c r="O2032" s="129"/>
      <c r="P2032" s="372"/>
      <c r="Q2032" s="372"/>
      <c r="R2032" s="129"/>
      <c r="S2032" s="129"/>
      <c r="T2032" s="129"/>
      <c r="W2032" s="129" t="s">
        <v>286</v>
      </c>
      <c r="X2032" s="337" t="b">
        <f t="shared" si="65"/>
        <v>1</v>
      </c>
    </row>
    <row r="2033" spans="1:24" s="360" customFormat="1" ht="12" customHeight="1" outlineLevel="1">
      <c r="A2033" s="365"/>
      <c r="B2033" s="118" t="s">
        <v>12</v>
      </c>
      <c r="C2033" s="334" t="s">
        <v>8857</v>
      </c>
      <c r="D2033" s="124" t="s">
        <v>8858</v>
      </c>
      <c r="E2033" s="125"/>
      <c r="F2033" s="118" t="s">
        <v>622</v>
      </c>
      <c r="G2033" s="126" t="s">
        <v>8766</v>
      </c>
      <c r="H2033" s="255">
        <v>2</v>
      </c>
      <c r="I2033" s="361">
        <v>1</v>
      </c>
      <c r="J2033" s="362" t="s">
        <v>286</v>
      </c>
      <c r="K2033" s="329"/>
      <c r="L2033" s="129"/>
      <c r="M2033" s="129"/>
      <c r="N2033" s="129"/>
      <c r="O2033" s="129"/>
      <c r="P2033" s="372"/>
      <c r="Q2033" s="372"/>
      <c r="R2033" s="129"/>
      <c r="S2033" s="129"/>
      <c r="T2033" s="129"/>
      <c r="W2033" s="129" t="s">
        <v>286</v>
      </c>
      <c r="X2033" s="337" t="b">
        <f t="shared" si="65"/>
        <v>1</v>
      </c>
    </row>
    <row r="2034" spans="1:24" s="360" customFormat="1" ht="12" customHeight="1" outlineLevel="1">
      <c r="A2034" s="365"/>
      <c r="B2034" s="118" t="s">
        <v>12</v>
      </c>
      <c r="C2034" s="334" t="s">
        <v>8859</v>
      </c>
      <c r="D2034" s="124" t="s">
        <v>8860</v>
      </c>
      <c r="E2034" s="125"/>
      <c r="F2034" s="118" t="s">
        <v>622</v>
      </c>
      <c r="G2034" s="126" t="s">
        <v>8766</v>
      </c>
      <c r="H2034" s="255">
        <v>2</v>
      </c>
      <c r="I2034" s="361">
        <v>1</v>
      </c>
      <c r="J2034" s="362" t="s">
        <v>286</v>
      </c>
      <c r="K2034" s="329"/>
      <c r="L2034" s="129"/>
      <c r="M2034" s="129"/>
      <c r="N2034" s="129"/>
      <c r="O2034" s="129"/>
      <c r="P2034" s="372"/>
      <c r="Q2034" s="372"/>
      <c r="R2034" s="129"/>
      <c r="S2034" s="129"/>
      <c r="T2034" s="129"/>
      <c r="W2034" s="129" t="s">
        <v>286</v>
      </c>
      <c r="X2034" s="337" t="b">
        <f t="shared" si="65"/>
        <v>1</v>
      </c>
    </row>
    <row r="2035" spans="1:24" s="360" customFormat="1" ht="12" customHeight="1" outlineLevel="1">
      <c r="A2035" s="365"/>
      <c r="B2035" s="118" t="s">
        <v>12</v>
      </c>
      <c r="C2035" s="334" t="s">
        <v>8861</v>
      </c>
      <c r="D2035" s="124" t="s">
        <v>8862</v>
      </c>
      <c r="E2035" s="125"/>
      <c r="F2035" s="118" t="s">
        <v>622</v>
      </c>
      <c r="G2035" s="126" t="s">
        <v>8766</v>
      </c>
      <c r="H2035" s="255">
        <v>2</v>
      </c>
      <c r="I2035" s="361">
        <v>1</v>
      </c>
      <c r="J2035" s="362" t="s">
        <v>286</v>
      </c>
      <c r="K2035" s="329"/>
      <c r="L2035" s="129"/>
      <c r="M2035" s="129"/>
      <c r="N2035" s="129"/>
      <c r="O2035" s="129"/>
      <c r="P2035" s="372"/>
      <c r="Q2035" s="372"/>
      <c r="R2035" s="129"/>
      <c r="S2035" s="129"/>
      <c r="T2035" s="129"/>
      <c r="W2035" s="129" t="s">
        <v>286</v>
      </c>
      <c r="X2035" s="337" t="b">
        <f t="shared" si="65"/>
        <v>1</v>
      </c>
    </row>
    <row r="2036" spans="1:24" s="360" customFormat="1" ht="12" customHeight="1" outlineLevel="1">
      <c r="A2036" s="365"/>
      <c r="B2036" s="118" t="s">
        <v>12</v>
      </c>
      <c r="C2036" s="334" t="s">
        <v>8863</v>
      </c>
      <c r="D2036" s="124" t="s">
        <v>8864</v>
      </c>
      <c r="E2036" s="125"/>
      <c r="F2036" s="118" t="s">
        <v>622</v>
      </c>
      <c r="G2036" s="126" t="s">
        <v>8766</v>
      </c>
      <c r="H2036" s="255">
        <v>2</v>
      </c>
      <c r="I2036" s="361">
        <v>1</v>
      </c>
      <c r="J2036" s="362" t="s">
        <v>286</v>
      </c>
      <c r="K2036" s="329"/>
      <c r="L2036" s="129"/>
      <c r="M2036" s="129"/>
      <c r="N2036" s="129"/>
      <c r="O2036" s="129"/>
      <c r="P2036" s="372"/>
      <c r="Q2036" s="372"/>
      <c r="R2036" s="129"/>
      <c r="S2036" s="129"/>
      <c r="T2036" s="129"/>
      <c r="W2036" s="129" t="s">
        <v>286</v>
      </c>
      <c r="X2036" s="337" t="b">
        <f t="shared" si="65"/>
        <v>1</v>
      </c>
    </row>
    <row r="2037" spans="1:24" s="360" customFormat="1" ht="12" customHeight="1" outlineLevel="1">
      <c r="A2037" s="365"/>
      <c r="B2037" s="118" t="s">
        <v>12</v>
      </c>
      <c r="C2037" s="334" t="s">
        <v>8865</v>
      </c>
      <c r="D2037" s="124" t="s">
        <v>8866</v>
      </c>
      <c r="E2037" s="125"/>
      <c r="F2037" s="118" t="s">
        <v>622</v>
      </c>
      <c r="G2037" s="126" t="s">
        <v>8766</v>
      </c>
      <c r="H2037" s="255">
        <v>2</v>
      </c>
      <c r="I2037" s="361">
        <v>1</v>
      </c>
      <c r="J2037" s="362" t="s">
        <v>286</v>
      </c>
      <c r="K2037" s="329"/>
      <c r="L2037" s="129"/>
      <c r="M2037" s="129"/>
      <c r="N2037" s="129"/>
      <c r="O2037" s="129"/>
      <c r="P2037" s="372"/>
      <c r="Q2037" s="372"/>
      <c r="R2037" s="129"/>
      <c r="S2037" s="129"/>
      <c r="T2037" s="129"/>
      <c r="W2037" s="129" t="s">
        <v>286</v>
      </c>
      <c r="X2037" s="337" t="b">
        <f t="shared" si="65"/>
        <v>1</v>
      </c>
    </row>
    <row r="2038" spans="1:24" s="360" customFormat="1" ht="12" customHeight="1" outlineLevel="1">
      <c r="A2038" s="365"/>
      <c r="B2038" s="118" t="s">
        <v>12</v>
      </c>
      <c r="C2038" s="334" t="s">
        <v>8867</v>
      </c>
      <c r="D2038" s="124" t="s">
        <v>8868</v>
      </c>
      <c r="E2038" s="125"/>
      <c r="F2038" s="118" t="s">
        <v>622</v>
      </c>
      <c r="G2038" s="126" t="s">
        <v>8766</v>
      </c>
      <c r="H2038" s="255">
        <v>2</v>
      </c>
      <c r="I2038" s="361">
        <v>1</v>
      </c>
      <c r="J2038" s="362" t="s">
        <v>286</v>
      </c>
      <c r="K2038" s="329"/>
      <c r="L2038" s="129"/>
      <c r="M2038" s="129"/>
      <c r="N2038" s="129"/>
      <c r="O2038" s="129"/>
      <c r="P2038" s="372"/>
      <c r="Q2038" s="372"/>
      <c r="R2038" s="129"/>
      <c r="S2038" s="129"/>
      <c r="T2038" s="129"/>
      <c r="W2038" s="129" t="s">
        <v>286</v>
      </c>
      <c r="X2038" s="337" t="b">
        <f t="shared" si="65"/>
        <v>1</v>
      </c>
    </row>
    <row r="2039" spans="1:24" s="360" customFormat="1" ht="12" customHeight="1" outlineLevel="1">
      <c r="A2039" s="365"/>
      <c r="B2039" s="118" t="s">
        <v>12</v>
      </c>
      <c r="C2039" s="334" t="s">
        <v>8869</v>
      </c>
      <c r="D2039" s="124" t="s">
        <v>8870</v>
      </c>
      <c r="E2039" s="125"/>
      <c r="F2039" s="118" t="s">
        <v>622</v>
      </c>
      <c r="G2039" s="126" t="s">
        <v>8766</v>
      </c>
      <c r="H2039" s="255">
        <v>2</v>
      </c>
      <c r="I2039" s="361">
        <v>1</v>
      </c>
      <c r="J2039" s="362" t="s">
        <v>286</v>
      </c>
      <c r="K2039" s="329"/>
      <c r="L2039" s="129"/>
      <c r="M2039" s="129"/>
      <c r="N2039" s="129"/>
      <c r="O2039" s="129"/>
      <c r="P2039" s="372"/>
      <c r="Q2039" s="372"/>
      <c r="R2039" s="129"/>
      <c r="S2039" s="129"/>
      <c r="T2039" s="129"/>
      <c r="W2039" s="129" t="s">
        <v>286</v>
      </c>
      <c r="X2039" s="337" t="b">
        <f t="shared" si="65"/>
        <v>1</v>
      </c>
    </row>
    <row r="2040" spans="1:24" s="360" customFormat="1" ht="12" customHeight="1" outlineLevel="1">
      <c r="A2040" s="365"/>
      <c r="B2040" s="118" t="s">
        <v>12</v>
      </c>
      <c r="C2040" s="334" t="s">
        <v>8871</v>
      </c>
      <c r="D2040" s="124" t="s">
        <v>8872</v>
      </c>
      <c r="E2040" s="125"/>
      <c r="F2040" s="118" t="s">
        <v>622</v>
      </c>
      <c r="G2040" s="126" t="s">
        <v>8766</v>
      </c>
      <c r="H2040" s="255">
        <v>2</v>
      </c>
      <c r="I2040" s="361">
        <v>1</v>
      </c>
      <c r="J2040" s="362" t="s">
        <v>286</v>
      </c>
      <c r="K2040" s="329"/>
      <c r="L2040" s="129"/>
      <c r="M2040" s="129"/>
      <c r="N2040" s="129"/>
      <c r="O2040" s="129"/>
      <c r="P2040" s="372"/>
      <c r="Q2040" s="372"/>
      <c r="R2040" s="129"/>
      <c r="S2040" s="129"/>
      <c r="T2040" s="129"/>
      <c r="W2040" s="129" t="s">
        <v>286</v>
      </c>
      <c r="X2040" s="337" t="b">
        <f t="shared" si="65"/>
        <v>1</v>
      </c>
    </row>
    <row r="2041" spans="1:24" s="360" customFormat="1" ht="12" customHeight="1" outlineLevel="1">
      <c r="A2041" s="365"/>
      <c r="B2041" s="118" t="s">
        <v>12</v>
      </c>
      <c r="C2041" s="334" t="s">
        <v>8873</v>
      </c>
      <c r="D2041" s="124" t="s">
        <v>8874</v>
      </c>
      <c r="E2041" s="125"/>
      <c r="F2041" s="118" t="s">
        <v>622</v>
      </c>
      <c r="G2041" s="126" t="s">
        <v>8766</v>
      </c>
      <c r="H2041" s="255">
        <v>2</v>
      </c>
      <c r="I2041" s="361">
        <v>1</v>
      </c>
      <c r="J2041" s="362" t="s">
        <v>286</v>
      </c>
      <c r="K2041" s="329"/>
      <c r="L2041" s="129"/>
      <c r="M2041" s="129"/>
      <c r="N2041" s="129"/>
      <c r="O2041" s="129"/>
      <c r="P2041" s="372"/>
      <c r="Q2041" s="372"/>
      <c r="R2041" s="129"/>
      <c r="S2041" s="129"/>
      <c r="T2041" s="129"/>
      <c r="W2041" s="129" t="s">
        <v>286</v>
      </c>
      <c r="X2041" s="337" t="b">
        <f t="shared" si="65"/>
        <v>1</v>
      </c>
    </row>
    <row r="2042" spans="1:24" s="360" customFormat="1" ht="12" customHeight="1" outlineLevel="1">
      <c r="A2042" s="365"/>
      <c r="B2042" s="118" t="s">
        <v>12</v>
      </c>
      <c r="C2042" s="334" t="s">
        <v>8875</v>
      </c>
      <c r="D2042" s="124" t="s">
        <v>8876</v>
      </c>
      <c r="E2042" s="125"/>
      <c r="F2042" s="118" t="s">
        <v>622</v>
      </c>
      <c r="G2042" s="126" t="s">
        <v>8766</v>
      </c>
      <c r="H2042" s="255">
        <v>2</v>
      </c>
      <c r="I2042" s="361">
        <v>1</v>
      </c>
      <c r="J2042" s="362" t="s">
        <v>286</v>
      </c>
      <c r="K2042" s="329"/>
      <c r="L2042" s="129"/>
      <c r="M2042" s="129"/>
      <c r="N2042" s="129"/>
      <c r="O2042" s="129"/>
      <c r="P2042" s="372"/>
      <c r="Q2042" s="372"/>
      <c r="R2042" s="129"/>
      <c r="S2042" s="129"/>
      <c r="T2042" s="129"/>
      <c r="W2042" s="129" t="s">
        <v>286</v>
      </c>
      <c r="X2042" s="337" t="b">
        <f t="shared" si="65"/>
        <v>1</v>
      </c>
    </row>
    <row r="2043" spans="1:24" s="360" customFormat="1" ht="12" customHeight="1" outlineLevel="1">
      <c r="A2043" s="365"/>
      <c r="B2043" s="118" t="s">
        <v>12</v>
      </c>
      <c r="C2043" s="334" t="s">
        <v>8877</v>
      </c>
      <c r="D2043" s="124" t="s">
        <v>8878</v>
      </c>
      <c r="E2043" s="125"/>
      <c r="F2043" s="118" t="s">
        <v>622</v>
      </c>
      <c r="G2043" s="126" t="s">
        <v>8766</v>
      </c>
      <c r="H2043" s="255">
        <v>2</v>
      </c>
      <c r="I2043" s="361">
        <v>1</v>
      </c>
      <c r="J2043" s="362" t="s">
        <v>286</v>
      </c>
      <c r="K2043" s="329"/>
      <c r="L2043" s="129"/>
      <c r="M2043" s="129"/>
      <c r="N2043" s="129"/>
      <c r="O2043" s="129"/>
      <c r="P2043" s="372"/>
      <c r="Q2043" s="372"/>
      <c r="R2043" s="129"/>
      <c r="S2043" s="129"/>
      <c r="T2043" s="129"/>
      <c r="W2043" s="129" t="s">
        <v>286</v>
      </c>
      <c r="X2043" s="337" t="b">
        <f t="shared" si="65"/>
        <v>1</v>
      </c>
    </row>
    <row r="2044" spans="1:24" s="360" customFormat="1" ht="12" customHeight="1" outlineLevel="1">
      <c r="A2044" s="365"/>
      <c r="B2044" s="118" t="s">
        <v>12</v>
      </c>
      <c r="C2044" s="334" t="s">
        <v>8879</v>
      </c>
      <c r="D2044" s="124" t="s">
        <v>8880</v>
      </c>
      <c r="E2044" s="125"/>
      <c r="F2044" s="118" t="s">
        <v>622</v>
      </c>
      <c r="G2044" s="126" t="s">
        <v>8766</v>
      </c>
      <c r="H2044" s="255">
        <v>2</v>
      </c>
      <c r="I2044" s="361">
        <v>1</v>
      </c>
      <c r="J2044" s="362" t="s">
        <v>286</v>
      </c>
      <c r="K2044" s="329"/>
      <c r="L2044" s="129"/>
      <c r="M2044" s="129"/>
      <c r="N2044" s="129"/>
      <c r="O2044" s="129"/>
      <c r="P2044" s="372"/>
      <c r="Q2044" s="372"/>
      <c r="R2044" s="129"/>
      <c r="S2044" s="129"/>
      <c r="T2044" s="129"/>
      <c r="W2044" s="129" t="s">
        <v>286</v>
      </c>
      <c r="X2044" s="337" t="b">
        <f t="shared" si="65"/>
        <v>1</v>
      </c>
    </row>
    <row r="2045" spans="1:24" s="360" customFormat="1" ht="12" customHeight="1" outlineLevel="1">
      <c r="A2045" s="365"/>
      <c r="B2045" s="118" t="s">
        <v>12</v>
      </c>
      <c r="C2045" s="334" t="s">
        <v>8881</v>
      </c>
      <c r="D2045" s="124" t="s">
        <v>8882</v>
      </c>
      <c r="E2045" s="125"/>
      <c r="F2045" s="118" t="s">
        <v>622</v>
      </c>
      <c r="G2045" s="126" t="s">
        <v>8766</v>
      </c>
      <c r="H2045" s="255">
        <v>2</v>
      </c>
      <c r="I2045" s="361">
        <v>1</v>
      </c>
      <c r="J2045" s="362" t="s">
        <v>286</v>
      </c>
      <c r="K2045" s="329"/>
      <c r="L2045" s="129"/>
      <c r="M2045" s="129"/>
      <c r="N2045" s="129"/>
      <c r="O2045" s="129"/>
      <c r="P2045" s="372"/>
      <c r="Q2045" s="372"/>
      <c r="R2045" s="129"/>
      <c r="S2045" s="129"/>
      <c r="T2045" s="129"/>
      <c r="W2045" s="129" t="s">
        <v>286</v>
      </c>
      <c r="X2045" s="337" t="b">
        <f t="shared" si="65"/>
        <v>1</v>
      </c>
    </row>
    <row r="2046" spans="1:24" s="360" customFormat="1" ht="12" customHeight="1" outlineLevel="1">
      <c r="A2046" s="365"/>
      <c r="B2046" s="118" t="s">
        <v>12</v>
      </c>
      <c r="C2046" s="334" t="s">
        <v>8883</v>
      </c>
      <c r="D2046" s="124" t="s">
        <v>8884</v>
      </c>
      <c r="E2046" s="125"/>
      <c r="F2046" s="118" t="s">
        <v>622</v>
      </c>
      <c r="G2046" s="126" t="s">
        <v>8766</v>
      </c>
      <c r="H2046" s="255">
        <v>2</v>
      </c>
      <c r="I2046" s="361">
        <v>1</v>
      </c>
      <c r="J2046" s="362" t="s">
        <v>286</v>
      </c>
      <c r="K2046" s="329"/>
      <c r="L2046" s="129"/>
      <c r="M2046" s="129"/>
      <c r="N2046" s="129"/>
      <c r="O2046" s="129"/>
      <c r="P2046" s="372"/>
      <c r="Q2046" s="372"/>
      <c r="R2046" s="129"/>
      <c r="S2046" s="129"/>
      <c r="T2046" s="129"/>
      <c r="W2046" s="129" t="s">
        <v>286</v>
      </c>
      <c r="X2046" s="337" t="b">
        <f t="shared" si="65"/>
        <v>1</v>
      </c>
    </row>
    <row r="2047" spans="1:24" s="360" customFormat="1" ht="12" customHeight="1" outlineLevel="1">
      <c r="A2047" s="365"/>
      <c r="B2047" s="118" t="s">
        <v>12</v>
      </c>
      <c r="C2047" s="334" t="s">
        <v>8885</v>
      </c>
      <c r="D2047" s="124" t="s">
        <v>8886</v>
      </c>
      <c r="E2047" s="125"/>
      <c r="F2047" s="118" t="s">
        <v>622</v>
      </c>
      <c r="G2047" s="126" t="s">
        <v>8766</v>
      </c>
      <c r="H2047" s="255">
        <v>2</v>
      </c>
      <c r="I2047" s="361">
        <v>1</v>
      </c>
      <c r="J2047" s="362" t="s">
        <v>286</v>
      </c>
      <c r="K2047" s="329"/>
      <c r="L2047" s="129"/>
      <c r="M2047" s="129"/>
      <c r="N2047" s="129"/>
      <c r="O2047" s="129"/>
      <c r="P2047" s="372"/>
      <c r="Q2047" s="372"/>
      <c r="R2047" s="129"/>
      <c r="S2047" s="129"/>
      <c r="T2047" s="129"/>
      <c r="W2047" s="129" t="s">
        <v>286</v>
      </c>
      <c r="X2047" s="337" t="b">
        <f t="shared" si="65"/>
        <v>1</v>
      </c>
    </row>
    <row r="2048" spans="1:24" s="360" customFormat="1" ht="12" customHeight="1" outlineLevel="1">
      <c r="A2048" s="365"/>
      <c r="B2048" s="118" t="s">
        <v>12</v>
      </c>
      <c r="C2048" s="334" t="s">
        <v>8887</v>
      </c>
      <c r="D2048" s="124" t="s">
        <v>8888</v>
      </c>
      <c r="E2048" s="125"/>
      <c r="F2048" s="118" t="s">
        <v>622</v>
      </c>
      <c r="G2048" s="126" t="s">
        <v>8766</v>
      </c>
      <c r="H2048" s="255">
        <v>2</v>
      </c>
      <c r="I2048" s="361">
        <v>1</v>
      </c>
      <c r="J2048" s="362" t="s">
        <v>286</v>
      </c>
      <c r="K2048" s="329"/>
      <c r="L2048" s="129"/>
      <c r="M2048" s="129"/>
      <c r="N2048" s="129"/>
      <c r="O2048" s="129"/>
      <c r="P2048" s="372"/>
      <c r="Q2048" s="372"/>
      <c r="R2048" s="129"/>
      <c r="S2048" s="129"/>
      <c r="T2048" s="129"/>
      <c r="W2048" s="129" t="s">
        <v>286</v>
      </c>
      <c r="X2048" s="337" t="b">
        <f t="shared" si="65"/>
        <v>1</v>
      </c>
    </row>
    <row r="2049" spans="1:24" s="360" customFormat="1" ht="12" customHeight="1" outlineLevel="1">
      <c r="A2049" s="365"/>
      <c r="B2049" s="118" t="s">
        <v>12</v>
      </c>
      <c r="C2049" s="334" t="s">
        <v>8889</v>
      </c>
      <c r="D2049" s="124" t="s">
        <v>8890</v>
      </c>
      <c r="E2049" s="125"/>
      <c r="F2049" s="118" t="s">
        <v>622</v>
      </c>
      <c r="G2049" s="126" t="s">
        <v>8766</v>
      </c>
      <c r="H2049" s="255">
        <v>2</v>
      </c>
      <c r="I2049" s="361">
        <v>1</v>
      </c>
      <c r="J2049" s="362" t="s">
        <v>286</v>
      </c>
      <c r="K2049" s="329"/>
      <c r="L2049" s="129"/>
      <c r="M2049" s="129"/>
      <c r="N2049" s="129"/>
      <c r="O2049" s="129"/>
      <c r="P2049" s="372"/>
      <c r="Q2049" s="372"/>
      <c r="R2049" s="129"/>
      <c r="S2049" s="129"/>
      <c r="T2049" s="129"/>
      <c r="W2049" s="129" t="s">
        <v>286</v>
      </c>
      <c r="X2049" s="337" t="b">
        <f t="shared" ref="X2049:X2112" si="66">W2049=J2049</f>
        <v>1</v>
      </c>
    </row>
    <row r="2050" spans="1:24" s="360" customFormat="1" ht="12" customHeight="1" outlineLevel="1">
      <c r="A2050" s="365"/>
      <c r="B2050" s="118" t="s">
        <v>12</v>
      </c>
      <c r="C2050" s="334" t="s">
        <v>8891</v>
      </c>
      <c r="D2050" s="124" t="s">
        <v>8892</v>
      </c>
      <c r="E2050" s="125"/>
      <c r="F2050" s="118" t="s">
        <v>622</v>
      </c>
      <c r="G2050" s="126" t="s">
        <v>8766</v>
      </c>
      <c r="H2050" s="255">
        <v>2</v>
      </c>
      <c r="I2050" s="361">
        <v>1</v>
      </c>
      <c r="J2050" s="362" t="s">
        <v>286</v>
      </c>
      <c r="K2050" s="329"/>
      <c r="L2050" s="129"/>
      <c r="M2050" s="129"/>
      <c r="N2050" s="129"/>
      <c r="O2050" s="129"/>
      <c r="P2050" s="372"/>
      <c r="Q2050" s="372"/>
      <c r="R2050" s="129"/>
      <c r="S2050" s="129"/>
      <c r="T2050" s="129"/>
      <c r="W2050" s="129" t="s">
        <v>286</v>
      </c>
      <c r="X2050" s="337" t="b">
        <f t="shared" si="66"/>
        <v>1</v>
      </c>
    </row>
    <row r="2051" spans="1:24" s="360" customFormat="1" ht="12" customHeight="1" outlineLevel="1">
      <c r="A2051" s="365"/>
      <c r="B2051" s="118" t="s">
        <v>12</v>
      </c>
      <c r="C2051" s="334" t="s">
        <v>8893</v>
      </c>
      <c r="D2051" s="124" t="s">
        <v>8894</v>
      </c>
      <c r="E2051" s="125"/>
      <c r="F2051" s="118" t="s">
        <v>622</v>
      </c>
      <c r="G2051" s="126" t="s">
        <v>8766</v>
      </c>
      <c r="H2051" s="255">
        <v>2</v>
      </c>
      <c r="I2051" s="361">
        <v>1</v>
      </c>
      <c r="J2051" s="362" t="s">
        <v>286</v>
      </c>
      <c r="K2051" s="329"/>
      <c r="L2051" s="129"/>
      <c r="M2051" s="129"/>
      <c r="N2051" s="129"/>
      <c r="O2051" s="129"/>
      <c r="P2051" s="372"/>
      <c r="Q2051" s="372"/>
      <c r="R2051" s="129"/>
      <c r="S2051" s="129"/>
      <c r="T2051" s="129"/>
      <c r="W2051" s="129" t="s">
        <v>286</v>
      </c>
      <c r="X2051" s="337" t="b">
        <f t="shared" si="66"/>
        <v>1</v>
      </c>
    </row>
    <row r="2052" spans="1:24" s="360" customFormat="1" ht="12" customHeight="1" outlineLevel="1">
      <c r="A2052" s="365"/>
      <c r="B2052" s="118" t="s">
        <v>12</v>
      </c>
      <c r="C2052" s="334" t="s">
        <v>8895</v>
      </c>
      <c r="D2052" s="124" t="s">
        <v>8896</v>
      </c>
      <c r="E2052" s="125"/>
      <c r="F2052" s="118" t="s">
        <v>622</v>
      </c>
      <c r="G2052" s="126" t="s">
        <v>8766</v>
      </c>
      <c r="H2052" s="255">
        <v>2</v>
      </c>
      <c r="I2052" s="361">
        <v>1</v>
      </c>
      <c r="J2052" s="362" t="s">
        <v>286</v>
      </c>
      <c r="K2052" s="329"/>
      <c r="L2052" s="129"/>
      <c r="M2052" s="129"/>
      <c r="N2052" s="129"/>
      <c r="O2052" s="129"/>
      <c r="P2052" s="372"/>
      <c r="Q2052" s="372"/>
      <c r="R2052" s="129"/>
      <c r="S2052" s="129"/>
      <c r="T2052" s="129"/>
      <c r="W2052" s="129" t="s">
        <v>286</v>
      </c>
      <c r="X2052" s="337" t="b">
        <f t="shared" si="66"/>
        <v>1</v>
      </c>
    </row>
    <row r="2053" spans="1:24" s="360" customFormat="1" ht="12" customHeight="1" outlineLevel="1">
      <c r="A2053" s="365"/>
      <c r="B2053" s="118" t="s">
        <v>12</v>
      </c>
      <c r="C2053" s="334" t="s">
        <v>8897</v>
      </c>
      <c r="D2053" s="124" t="s">
        <v>8898</v>
      </c>
      <c r="E2053" s="125"/>
      <c r="F2053" s="118" t="s">
        <v>622</v>
      </c>
      <c r="G2053" s="126" t="s">
        <v>8766</v>
      </c>
      <c r="H2053" s="255">
        <v>2</v>
      </c>
      <c r="I2053" s="361">
        <v>1</v>
      </c>
      <c r="J2053" s="362" t="s">
        <v>286</v>
      </c>
      <c r="K2053" s="329"/>
      <c r="L2053" s="129"/>
      <c r="M2053" s="129"/>
      <c r="N2053" s="129"/>
      <c r="O2053" s="129"/>
      <c r="P2053" s="372"/>
      <c r="Q2053" s="372"/>
      <c r="R2053" s="129"/>
      <c r="S2053" s="129"/>
      <c r="T2053" s="129"/>
      <c r="W2053" s="129" t="s">
        <v>286</v>
      </c>
      <c r="X2053" s="337" t="b">
        <f t="shared" si="66"/>
        <v>1</v>
      </c>
    </row>
    <row r="2054" spans="1:24" s="360" customFormat="1" ht="12" customHeight="1" outlineLevel="1">
      <c r="A2054" s="365"/>
      <c r="B2054" s="118" t="s">
        <v>12</v>
      </c>
      <c r="C2054" s="334" t="s">
        <v>8899</v>
      </c>
      <c r="D2054" s="124" t="s">
        <v>8900</v>
      </c>
      <c r="E2054" s="125"/>
      <c r="F2054" s="118" t="s">
        <v>622</v>
      </c>
      <c r="G2054" s="126" t="s">
        <v>8766</v>
      </c>
      <c r="H2054" s="255">
        <v>2</v>
      </c>
      <c r="I2054" s="361">
        <v>1</v>
      </c>
      <c r="J2054" s="362" t="s">
        <v>286</v>
      </c>
      <c r="K2054" s="329"/>
      <c r="L2054" s="129"/>
      <c r="M2054" s="129"/>
      <c r="N2054" s="129"/>
      <c r="O2054" s="129"/>
      <c r="P2054" s="372"/>
      <c r="Q2054" s="372"/>
      <c r="R2054" s="129"/>
      <c r="S2054" s="129"/>
      <c r="T2054" s="129"/>
      <c r="W2054" s="129" t="s">
        <v>286</v>
      </c>
      <c r="X2054" s="337" t="b">
        <f t="shared" si="66"/>
        <v>1</v>
      </c>
    </row>
    <row r="2055" spans="1:24" s="360" customFormat="1" ht="12" customHeight="1" outlineLevel="1">
      <c r="A2055" s="365"/>
      <c r="B2055" s="118" t="s">
        <v>12</v>
      </c>
      <c r="C2055" s="334" t="s">
        <v>8901</v>
      </c>
      <c r="D2055" s="124" t="s">
        <v>8902</v>
      </c>
      <c r="E2055" s="125"/>
      <c r="F2055" s="118" t="s">
        <v>622</v>
      </c>
      <c r="G2055" s="126" t="s">
        <v>8766</v>
      </c>
      <c r="H2055" s="255">
        <v>2</v>
      </c>
      <c r="I2055" s="361">
        <v>1</v>
      </c>
      <c r="J2055" s="362" t="s">
        <v>286</v>
      </c>
      <c r="K2055" s="329"/>
      <c r="L2055" s="129"/>
      <c r="M2055" s="129"/>
      <c r="N2055" s="129"/>
      <c r="O2055" s="129"/>
      <c r="P2055" s="372"/>
      <c r="Q2055" s="372"/>
      <c r="R2055" s="129"/>
      <c r="S2055" s="129"/>
      <c r="T2055" s="129"/>
      <c r="W2055" s="129" t="s">
        <v>286</v>
      </c>
      <c r="X2055" s="337" t="b">
        <f t="shared" si="66"/>
        <v>1</v>
      </c>
    </row>
    <row r="2056" spans="1:24" s="360" customFormat="1" ht="12" customHeight="1" outlineLevel="1">
      <c r="A2056" s="365"/>
      <c r="B2056" s="118" t="s">
        <v>12</v>
      </c>
      <c r="C2056" s="334" t="s">
        <v>8903</v>
      </c>
      <c r="D2056" s="124" t="s">
        <v>8904</v>
      </c>
      <c r="E2056" s="125"/>
      <c r="F2056" s="118" t="s">
        <v>622</v>
      </c>
      <c r="G2056" s="126" t="s">
        <v>8766</v>
      </c>
      <c r="H2056" s="255">
        <v>2</v>
      </c>
      <c r="I2056" s="361">
        <v>1</v>
      </c>
      <c r="J2056" s="362" t="s">
        <v>286</v>
      </c>
      <c r="K2056" s="329"/>
      <c r="L2056" s="129"/>
      <c r="M2056" s="129"/>
      <c r="N2056" s="129"/>
      <c r="O2056" s="129"/>
      <c r="P2056" s="372"/>
      <c r="Q2056" s="372"/>
      <c r="R2056" s="129"/>
      <c r="S2056" s="129"/>
      <c r="T2056" s="129"/>
      <c r="W2056" s="129" t="s">
        <v>286</v>
      </c>
      <c r="X2056" s="337" t="b">
        <f t="shared" si="66"/>
        <v>1</v>
      </c>
    </row>
    <row r="2057" spans="1:24" s="360" customFormat="1" ht="12" customHeight="1" outlineLevel="1">
      <c r="A2057" s="365"/>
      <c r="B2057" s="118" t="s">
        <v>12</v>
      </c>
      <c r="C2057" s="334" t="s">
        <v>8905</v>
      </c>
      <c r="D2057" s="124" t="s">
        <v>8906</v>
      </c>
      <c r="E2057" s="125"/>
      <c r="F2057" s="118" t="s">
        <v>622</v>
      </c>
      <c r="G2057" s="126" t="s">
        <v>8766</v>
      </c>
      <c r="H2057" s="255">
        <v>2</v>
      </c>
      <c r="I2057" s="361">
        <v>1</v>
      </c>
      <c r="J2057" s="362" t="s">
        <v>286</v>
      </c>
      <c r="K2057" s="329"/>
      <c r="L2057" s="129"/>
      <c r="M2057" s="129"/>
      <c r="N2057" s="129"/>
      <c r="O2057" s="129"/>
      <c r="P2057" s="372"/>
      <c r="Q2057" s="372"/>
      <c r="R2057" s="129"/>
      <c r="S2057" s="129"/>
      <c r="T2057" s="129"/>
      <c r="W2057" s="129" t="s">
        <v>286</v>
      </c>
      <c r="X2057" s="337" t="b">
        <f t="shared" si="66"/>
        <v>1</v>
      </c>
    </row>
    <row r="2058" spans="1:24" s="360" customFormat="1" ht="12" customHeight="1" outlineLevel="1">
      <c r="A2058" s="365"/>
      <c r="B2058" s="118" t="s">
        <v>12</v>
      </c>
      <c r="C2058" s="334" t="s">
        <v>8907</v>
      </c>
      <c r="D2058" s="124" t="s">
        <v>8908</v>
      </c>
      <c r="E2058" s="125"/>
      <c r="F2058" s="118" t="s">
        <v>622</v>
      </c>
      <c r="G2058" s="126" t="s">
        <v>8766</v>
      </c>
      <c r="H2058" s="255">
        <v>2</v>
      </c>
      <c r="I2058" s="361">
        <v>1</v>
      </c>
      <c r="J2058" s="362" t="s">
        <v>286</v>
      </c>
      <c r="K2058" s="329"/>
      <c r="L2058" s="129"/>
      <c r="M2058" s="129"/>
      <c r="N2058" s="129"/>
      <c r="O2058" s="129"/>
      <c r="P2058" s="372"/>
      <c r="Q2058" s="372"/>
      <c r="R2058" s="129"/>
      <c r="S2058" s="129"/>
      <c r="T2058" s="129"/>
      <c r="W2058" s="129" t="s">
        <v>286</v>
      </c>
      <c r="X2058" s="337" t="b">
        <f t="shared" si="66"/>
        <v>1</v>
      </c>
    </row>
    <row r="2059" spans="1:24" s="360" customFormat="1" ht="12" customHeight="1" outlineLevel="1">
      <c r="A2059" s="365"/>
      <c r="B2059" s="118" t="s">
        <v>12</v>
      </c>
      <c r="C2059" s="334" t="s">
        <v>8909</v>
      </c>
      <c r="D2059" s="124" t="s">
        <v>8910</v>
      </c>
      <c r="E2059" s="125"/>
      <c r="F2059" s="118" t="s">
        <v>622</v>
      </c>
      <c r="G2059" s="126" t="s">
        <v>8766</v>
      </c>
      <c r="H2059" s="255">
        <v>2</v>
      </c>
      <c r="I2059" s="361">
        <v>1</v>
      </c>
      <c r="J2059" s="362" t="s">
        <v>286</v>
      </c>
      <c r="K2059" s="329"/>
      <c r="L2059" s="129"/>
      <c r="M2059" s="129"/>
      <c r="N2059" s="129"/>
      <c r="O2059" s="129"/>
      <c r="P2059" s="372"/>
      <c r="Q2059" s="372"/>
      <c r="R2059" s="129"/>
      <c r="S2059" s="129"/>
      <c r="T2059" s="129"/>
      <c r="W2059" s="129" t="s">
        <v>286</v>
      </c>
      <c r="X2059" s="337" t="b">
        <f t="shared" si="66"/>
        <v>1</v>
      </c>
    </row>
    <row r="2060" spans="1:24" s="360" customFormat="1" ht="12" customHeight="1" outlineLevel="1">
      <c r="A2060" s="365"/>
      <c r="B2060" s="118" t="s">
        <v>12</v>
      </c>
      <c r="C2060" s="334" t="s">
        <v>8911</v>
      </c>
      <c r="D2060" s="124" t="s">
        <v>8912</v>
      </c>
      <c r="E2060" s="125"/>
      <c r="F2060" s="118" t="s">
        <v>622</v>
      </c>
      <c r="G2060" s="126" t="s">
        <v>8766</v>
      </c>
      <c r="H2060" s="255">
        <v>2</v>
      </c>
      <c r="I2060" s="361">
        <v>1</v>
      </c>
      <c r="J2060" s="362" t="s">
        <v>286</v>
      </c>
      <c r="K2060" s="329"/>
      <c r="L2060" s="129"/>
      <c r="M2060" s="129"/>
      <c r="N2060" s="129"/>
      <c r="O2060" s="129"/>
      <c r="P2060" s="372"/>
      <c r="Q2060" s="372"/>
      <c r="R2060" s="129"/>
      <c r="S2060" s="129"/>
      <c r="T2060" s="129"/>
      <c r="W2060" s="129" t="s">
        <v>286</v>
      </c>
      <c r="X2060" s="337" t="b">
        <f t="shared" si="66"/>
        <v>1</v>
      </c>
    </row>
    <row r="2061" spans="1:24" s="360" customFormat="1" ht="12" customHeight="1" outlineLevel="1">
      <c r="A2061" s="365"/>
      <c r="B2061" s="118" t="s">
        <v>12</v>
      </c>
      <c r="C2061" s="334" t="s">
        <v>8913</v>
      </c>
      <c r="D2061" s="124" t="s">
        <v>8914</v>
      </c>
      <c r="E2061" s="125"/>
      <c r="F2061" s="118" t="s">
        <v>622</v>
      </c>
      <c r="G2061" s="126" t="s">
        <v>8766</v>
      </c>
      <c r="H2061" s="255">
        <v>2</v>
      </c>
      <c r="I2061" s="361">
        <v>1</v>
      </c>
      <c r="J2061" s="362" t="s">
        <v>286</v>
      </c>
      <c r="K2061" s="329"/>
      <c r="L2061" s="129"/>
      <c r="M2061" s="129"/>
      <c r="N2061" s="129"/>
      <c r="O2061" s="129"/>
      <c r="P2061" s="372"/>
      <c r="Q2061" s="372"/>
      <c r="R2061" s="129"/>
      <c r="S2061" s="129"/>
      <c r="T2061" s="129"/>
      <c r="W2061" s="129" t="s">
        <v>286</v>
      </c>
      <c r="X2061" s="337" t="b">
        <f t="shared" si="66"/>
        <v>1</v>
      </c>
    </row>
    <row r="2062" spans="1:24" s="360" customFormat="1" ht="12" customHeight="1" outlineLevel="1">
      <c r="A2062" s="365"/>
      <c r="B2062" s="118" t="s">
        <v>12</v>
      </c>
      <c r="C2062" s="334" t="s">
        <v>8915</v>
      </c>
      <c r="D2062" s="124" t="s">
        <v>8916</v>
      </c>
      <c r="E2062" s="125"/>
      <c r="F2062" s="118" t="s">
        <v>622</v>
      </c>
      <c r="G2062" s="126" t="s">
        <v>8766</v>
      </c>
      <c r="H2062" s="255">
        <v>2</v>
      </c>
      <c r="I2062" s="361">
        <v>1</v>
      </c>
      <c r="J2062" s="362" t="s">
        <v>286</v>
      </c>
      <c r="K2062" s="329"/>
      <c r="L2062" s="129"/>
      <c r="M2062" s="129"/>
      <c r="N2062" s="129"/>
      <c r="O2062" s="129"/>
      <c r="P2062" s="372"/>
      <c r="Q2062" s="372"/>
      <c r="R2062" s="129"/>
      <c r="S2062" s="129"/>
      <c r="T2062" s="129"/>
      <c r="W2062" s="129" t="s">
        <v>286</v>
      </c>
      <c r="X2062" s="337" t="b">
        <f t="shared" si="66"/>
        <v>1</v>
      </c>
    </row>
    <row r="2063" spans="1:24" s="360" customFormat="1" ht="12" customHeight="1" outlineLevel="1">
      <c r="A2063" s="365"/>
      <c r="B2063" s="118" t="s">
        <v>12</v>
      </c>
      <c r="C2063" s="334" t="s">
        <v>8917</v>
      </c>
      <c r="D2063" s="124" t="s">
        <v>8918</v>
      </c>
      <c r="E2063" s="125"/>
      <c r="F2063" s="118" t="s">
        <v>622</v>
      </c>
      <c r="G2063" s="126" t="s">
        <v>8766</v>
      </c>
      <c r="H2063" s="255">
        <v>2</v>
      </c>
      <c r="I2063" s="361">
        <v>1</v>
      </c>
      <c r="J2063" s="362" t="s">
        <v>286</v>
      </c>
      <c r="K2063" s="329"/>
      <c r="L2063" s="129"/>
      <c r="M2063" s="129"/>
      <c r="N2063" s="129"/>
      <c r="O2063" s="129"/>
      <c r="P2063" s="372"/>
      <c r="Q2063" s="372"/>
      <c r="R2063" s="129"/>
      <c r="S2063" s="129"/>
      <c r="T2063" s="129"/>
      <c r="W2063" s="129" t="s">
        <v>286</v>
      </c>
      <c r="X2063" s="337" t="b">
        <f t="shared" si="66"/>
        <v>1</v>
      </c>
    </row>
    <row r="2064" spans="1:24" s="360" customFormat="1" ht="12" customHeight="1" outlineLevel="1">
      <c r="A2064" s="365"/>
      <c r="B2064" s="118" t="s">
        <v>12</v>
      </c>
      <c r="C2064" s="334" t="s">
        <v>8919</v>
      </c>
      <c r="D2064" s="124" t="s">
        <v>8920</v>
      </c>
      <c r="E2064" s="125"/>
      <c r="F2064" s="118" t="s">
        <v>622</v>
      </c>
      <c r="G2064" s="126" t="s">
        <v>8766</v>
      </c>
      <c r="H2064" s="255">
        <v>2</v>
      </c>
      <c r="I2064" s="361">
        <v>1</v>
      </c>
      <c r="J2064" s="362" t="s">
        <v>286</v>
      </c>
      <c r="K2064" s="329"/>
      <c r="L2064" s="129"/>
      <c r="M2064" s="129"/>
      <c r="N2064" s="129"/>
      <c r="O2064" s="129"/>
      <c r="P2064" s="372"/>
      <c r="Q2064" s="372"/>
      <c r="R2064" s="129"/>
      <c r="S2064" s="129"/>
      <c r="T2064" s="129"/>
      <c r="W2064" s="129" t="s">
        <v>286</v>
      </c>
      <c r="X2064" s="337" t="b">
        <f t="shared" si="66"/>
        <v>1</v>
      </c>
    </row>
    <row r="2065" spans="1:24" s="360" customFormat="1" ht="12" customHeight="1" outlineLevel="1">
      <c r="A2065" s="365"/>
      <c r="B2065" s="118" t="s">
        <v>12</v>
      </c>
      <c r="C2065" s="334" t="s">
        <v>8921</v>
      </c>
      <c r="D2065" s="124" t="s">
        <v>8922</v>
      </c>
      <c r="E2065" s="125"/>
      <c r="F2065" s="118" t="s">
        <v>622</v>
      </c>
      <c r="G2065" s="126" t="s">
        <v>8766</v>
      </c>
      <c r="H2065" s="255">
        <v>2</v>
      </c>
      <c r="I2065" s="361">
        <v>1</v>
      </c>
      <c r="J2065" s="362" t="s">
        <v>286</v>
      </c>
      <c r="K2065" s="329"/>
      <c r="L2065" s="129"/>
      <c r="M2065" s="129"/>
      <c r="N2065" s="129"/>
      <c r="O2065" s="129"/>
      <c r="P2065" s="372"/>
      <c r="Q2065" s="372"/>
      <c r="R2065" s="129"/>
      <c r="S2065" s="129"/>
      <c r="T2065" s="129"/>
      <c r="W2065" s="129" t="s">
        <v>286</v>
      </c>
      <c r="X2065" s="337" t="b">
        <f t="shared" si="66"/>
        <v>1</v>
      </c>
    </row>
    <row r="2066" spans="1:24" s="360" customFormat="1" ht="12" customHeight="1" outlineLevel="1">
      <c r="A2066" s="365"/>
      <c r="B2066" s="118" t="s">
        <v>12</v>
      </c>
      <c r="C2066" s="334" t="s">
        <v>8923</v>
      </c>
      <c r="D2066" s="124" t="s">
        <v>8924</v>
      </c>
      <c r="E2066" s="125"/>
      <c r="F2066" s="118" t="s">
        <v>622</v>
      </c>
      <c r="G2066" s="126" t="s">
        <v>8766</v>
      </c>
      <c r="H2066" s="255">
        <v>2</v>
      </c>
      <c r="I2066" s="361">
        <v>1</v>
      </c>
      <c r="J2066" s="362" t="s">
        <v>286</v>
      </c>
      <c r="K2066" s="329"/>
      <c r="L2066" s="129"/>
      <c r="M2066" s="129"/>
      <c r="N2066" s="129"/>
      <c r="O2066" s="129"/>
      <c r="P2066" s="372"/>
      <c r="Q2066" s="372"/>
      <c r="R2066" s="129"/>
      <c r="S2066" s="129"/>
      <c r="T2066" s="129"/>
      <c r="W2066" s="129" t="s">
        <v>286</v>
      </c>
      <c r="X2066" s="337" t="b">
        <f t="shared" si="66"/>
        <v>1</v>
      </c>
    </row>
    <row r="2067" spans="1:24" s="360" customFormat="1" ht="12" customHeight="1" outlineLevel="1">
      <c r="A2067" s="365"/>
      <c r="B2067" s="118" t="s">
        <v>12</v>
      </c>
      <c r="C2067" s="334" t="s">
        <v>8925</v>
      </c>
      <c r="D2067" s="124" t="s">
        <v>8926</v>
      </c>
      <c r="E2067" s="125"/>
      <c r="F2067" s="118" t="s">
        <v>622</v>
      </c>
      <c r="G2067" s="126" t="s">
        <v>8766</v>
      </c>
      <c r="H2067" s="255">
        <v>2</v>
      </c>
      <c r="I2067" s="361">
        <v>1</v>
      </c>
      <c r="J2067" s="362" t="s">
        <v>286</v>
      </c>
      <c r="K2067" s="329"/>
      <c r="L2067" s="129"/>
      <c r="M2067" s="129"/>
      <c r="N2067" s="129"/>
      <c r="O2067" s="129"/>
      <c r="P2067" s="372"/>
      <c r="Q2067" s="372"/>
      <c r="R2067" s="129"/>
      <c r="S2067" s="129"/>
      <c r="T2067" s="129"/>
      <c r="W2067" s="129" t="s">
        <v>286</v>
      </c>
      <c r="X2067" s="337" t="b">
        <f t="shared" si="66"/>
        <v>1</v>
      </c>
    </row>
    <row r="2068" spans="1:24" s="360" customFormat="1" ht="12" customHeight="1" outlineLevel="1">
      <c r="A2068" s="365"/>
      <c r="B2068" s="118" t="s">
        <v>12</v>
      </c>
      <c r="C2068" s="334" t="s">
        <v>8927</v>
      </c>
      <c r="D2068" s="124" t="s">
        <v>8928</v>
      </c>
      <c r="E2068" s="125"/>
      <c r="F2068" s="118" t="s">
        <v>622</v>
      </c>
      <c r="G2068" s="126" t="s">
        <v>8766</v>
      </c>
      <c r="H2068" s="255">
        <v>2</v>
      </c>
      <c r="I2068" s="361">
        <v>1</v>
      </c>
      <c r="J2068" s="362" t="s">
        <v>286</v>
      </c>
      <c r="K2068" s="329"/>
      <c r="L2068" s="129"/>
      <c r="M2068" s="129"/>
      <c r="N2068" s="129"/>
      <c r="O2068" s="129"/>
      <c r="P2068" s="372"/>
      <c r="Q2068" s="372"/>
      <c r="R2068" s="129"/>
      <c r="S2068" s="129"/>
      <c r="T2068" s="129"/>
      <c r="W2068" s="129" t="s">
        <v>286</v>
      </c>
      <c r="X2068" s="337" t="b">
        <f t="shared" si="66"/>
        <v>1</v>
      </c>
    </row>
    <row r="2069" spans="1:24" s="360" customFormat="1" ht="12" customHeight="1" outlineLevel="1">
      <c r="A2069" s="365"/>
      <c r="B2069" s="118" t="s">
        <v>12</v>
      </c>
      <c r="C2069" s="334" t="s">
        <v>8929</v>
      </c>
      <c r="D2069" s="124" t="s">
        <v>8930</v>
      </c>
      <c r="E2069" s="125"/>
      <c r="F2069" s="118" t="s">
        <v>622</v>
      </c>
      <c r="G2069" s="126" t="s">
        <v>8766</v>
      </c>
      <c r="H2069" s="255">
        <v>2</v>
      </c>
      <c r="I2069" s="361">
        <v>1</v>
      </c>
      <c r="J2069" s="362" t="s">
        <v>286</v>
      </c>
      <c r="K2069" s="329"/>
      <c r="L2069" s="129"/>
      <c r="M2069" s="129"/>
      <c r="N2069" s="129"/>
      <c r="O2069" s="129"/>
      <c r="P2069" s="372"/>
      <c r="Q2069" s="372"/>
      <c r="R2069" s="129"/>
      <c r="S2069" s="129"/>
      <c r="T2069" s="129"/>
      <c r="W2069" s="129" t="s">
        <v>286</v>
      </c>
      <c r="X2069" s="337" t="b">
        <f t="shared" si="66"/>
        <v>1</v>
      </c>
    </row>
    <row r="2070" spans="1:24" s="360" customFormat="1" ht="12" customHeight="1" outlineLevel="1">
      <c r="A2070" s="365"/>
      <c r="B2070" s="118" t="s">
        <v>12</v>
      </c>
      <c r="C2070" s="334" t="s">
        <v>8931</v>
      </c>
      <c r="D2070" s="124" t="s">
        <v>8932</v>
      </c>
      <c r="E2070" s="125"/>
      <c r="F2070" s="118" t="s">
        <v>622</v>
      </c>
      <c r="G2070" s="126" t="s">
        <v>8766</v>
      </c>
      <c r="H2070" s="255">
        <v>2</v>
      </c>
      <c r="I2070" s="361">
        <v>1</v>
      </c>
      <c r="J2070" s="362" t="s">
        <v>286</v>
      </c>
      <c r="K2070" s="329"/>
      <c r="L2070" s="129"/>
      <c r="M2070" s="129"/>
      <c r="N2070" s="129"/>
      <c r="O2070" s="129"/>
      <c r="P2070" s="372"/>
      <c r="Q2070" s="372"/>
      <c r="R2070" s="129"/>
      <c r="S2070" s="129"/>
      <c r="T2070" s="129"/>
      <c r="W2070" s="129" t="s">
        <v>286</v>
      </c>
      <c r="X2070" s="337" t="b">
        <f t="shared" si="66"/>
        <v>1</v>
      </c>
    </row>
    <row r="2071" spans="1:24" s="360" customFormat="1" ht="12" customHeight="1" outlineLevel="1">
      <c r="A2071" s="365"/>
      <c r="B2071" s="118" t="s">
        <v>12</v>
      </c>
      <c r="C2071" s="334" t="s">
        <v>8933</v>
      </c>
      <c r="D2071" s="124" t="s">
        <v>8934</v>
      </c>
      <c r="E2071" s="125"/>
      <c r="F2071" s="118" t="s">
        <v>622</v>
      </c>
      <c r="G2071" s="126" t="s">
        <v>8766</v>
      </c>
      <c r="H2071" s="255">
        <v>2</v>
      </c>
      <c r="I2071" s="361">
        <v>1</v>
      </c>
      <c r="J2071" s="362" t="s">
        <v>286</v>
      </c>
      <c r="K2071" s="329"/>
      <c r="L2071" s="129"/>
      <c r="M2071" s="129"/>
      <c r="N2071" s="129"/>
      <c r="O2071" s="129"/>
      <c r="P2071" s="372"/>
      <c r="Q2071" s="372"/>
      <c r="R2071" s="129"/>
      <c r="S2071" s="129"/>
      <c r="T2071" s="129"/>
      <c r="W2071" s="129" t="s">
        <v>286</v>
      </c>
      <c r="X2071" s="337" t="b">
        <f t="shared" si="66"/>
        <v>1</v>
      </c>
    </row>
    <row r="2072" spans="1:24" s="360" customFormat="1" ht="12" customHeight="1" outlineLevel="1">
      <c r="A2072" s="365"/>
      <c r="B2072" s="118" t="s">
        <v>12</v>
      </c>
      <c r="C2072" s="334" t="s">
        <v>8935</v>
      </c>
      <c r="D2072" s="124" t="s">
        <v>8936</v>
      </c>
      <c r="E2072" s="125"/>
      <c r="F2072" s="118" t="s">
        <v>622</v>
      </c>
      <c r="G2072" s="126" t="s">
        <v>8766</v>
      </c>
      <c r="H2072" s="255">
        <v>2</v>
      </c>
      <c r="I2072" s="361">
        <v>1</v>
      </c>
      <c r="J2072" s="362" t="s">
        <v>286</v>
      </c>
      <c r="K2072" s="329"/>
      <c r="L2072" s="129"/>
      <c r="M2072" s="129"/>
      <c r="N2072" s="129"/>
      <c r="O2072" s="129"/>
      <c r="P2072" s="372"/>
      <c r="Q2072" s="372"/>
      <c r="R2072" s="129"/>
      <c r="S2072" s="129"/>
      <c r="T2072" s="129"/>
      <c r="W2072" s="129" t="s">
        <v>286</v>
      </c>
      <c r="X2072" s="337" t="b">
        <f t="shared" si="66"/>
        <v>1</v>
      </c>
    </row>
    <row r="2073" spans="1:24" s="360" customFormat="1" ht="12" customHeight="1" outlineLevel="1">
      <c r="A2073" s="365"/>
      <c r="B2073" s="118" t="s">
        <v>12</v>
      </c>
      <c r="C2073" s="334" t="s">
        <v>8937</v>
      </c>
      <c r="D2073" s="124" t="s">
        <v>8938</v>
      </c>
      <c r="E2073" s="125"/>
      <c r="F2073" s="118" t="s">
        <v>622</v>
      </c>
      <c r="G2073" s="126" t="s">
        <v>8766</v>
      </c>
      <c r="H2073" s="255">
        <v>2</v>
      </c>
      <c r="I2073" s="361">
        <v>1</v>
      </c>
      <c r="J2073" s="362" t="s">
        <v>286</v>
      </c>
      <c r="K2073" s="329"/>
      <c r="L2073" s="129"/>
      <c r="M2073" s="129"/>
      <c r="N2073" s="129"/>
      <c r="O2073" s="129"/>
      <c r="P2073" s="372"/>
      <c r="Q2073" s="372"/>
      <c r="R2073" s="129"/>
      <c r="S2073" s="129"/>
      <c r="T2073" s="129"/>
      <c r="W2073" s="129" t="s">
        <v>286</v>
      </c>
      <c r="X2073" s="337" t="b">
        <f t="shared" si="66"/>
        <v>1</v>
      </c>
    </row>
    <row r="2074" spans="1:24" s="360" customFormat="1" ht="12" customHeight="1" outlineLevel="1">
      <c r="A2074" s="365"/>
      <c r="B2074" s="118" t="s">
        <v>12</v>
      </c>
      <c r="C2074" s="334" t="s">
        <v>8939</v>
      </c>
      <c r="D2074" s="124" t="s">
        <v>8940</v>
      </c>
      <c r="E2074" s="125"/>
      <c r="F2074" s="118" t="s">
        <v>622</v>
      </c>
      <c r="G2074" s="126" t="s">
        <v>8766</v>
      </c>
      <c r="H2074" s="255">
        <v>2</v>
      </c>
      <c r="I2074" s="361">
        <v>1</v>
      </c>
      <c r="J2074" s="362" t="s">
        <v>286</v>
      </c>
      <c r="K2074" s="329"/>
      <c r="L2074" s="129"/>
      <c r="M2074" s="129"/>
      <c r="N2074" s="129"/>
      <c r="O2074" s="129"/>
      <c r="P2074" s="372"/>
      <c r="Q2074" s="372"/>
      <c r="R2074" s="129"/>
      <c r="S2074" s="129"/>
      <c r="T2074" s="129"/>
      <c r="W2074" s="129" t="s">
        <v>286</v>
      </c>
      <c r="X2074" s="337" t="b">
        <f t="shared" si="66"/>
        <v>1</v>
      </c>
    </row>
    <row r="2075" spans="1:24" s="360" customFormat="1" ht="12" customHeight="1" outlineLevel="1">
      <c r="A2075" s="365"/>
      <c r="B2075" s="118" t="s">
        <v>12</v>
      </c>
      <c r="C2075" s="334" t="s">
        <v>8941</v>
      </c>
      <c r="D2075" s="124" t="s">
        <v>8942</v>
      </c>
      <c r="E2075" s="125"/>
      <c r="F2075" s="118" t="s">
        <v>622</v>
      </c>
      <c r="G2075" s="126" t="s">
        <v>8766</v>
      </c>
      <c r="H2075" s="255">
        <v>2</v>
      </c>
      <c r="I2075" s="361">
        <v>1</v>
      </c>
      <c r="J2075" s="362" t="s">
        <v>286</v>
      </c>
      <c r="K2075" s="329"/>
      <c r="L2075" s="129"/>
      <c r="M2075" s="129"/>
      <c r="N2075" s="129"/>
      <c r="O2075" s="129"/>
      <c r="P2075" s="372"/>
      <c r="Q2075" s="372"/>
      <c r="R2075" s="129"/>
      <c r="S2075" s="129"/>
      <c r="T2075" s="129"/>
      <c r="W2075" s="129" t="s">
        <v>286</v>
      </c>
      <c r="X2075" s="337" t="b">
        <f t="shared" si="66"/>
        <v>1</v>
      </c>
    </row>
    <row r="2076" spans="1:24" s="360" customFormat="1" ht="12" customHeight="1" outlineLevel="1">
      <c r="A2076" s="365"/>
      <c r="B2076" s="118" t="s">
        <v>12</v>
      </c>
      <c r="C2076" s="334" t="s">
        <v>8943</v>
      </c>
      <c r="D2076" s="124" t="s">
        <v>8944</v>
      </c>
      <c r="E2076" s="125"/>
      <c r="F2076" s="118" t="s">
        <v>622</v>
      </c>
      <c r="G2076" s="126" t="s">
        <v>8766</v>
      </c>
      <c r="H2076" s="255">
        <v>2</v>
      </c>
      <c r="I2076" s="361">
        <v>1</v>
      </c>
      <c r="J2076" s="362" t="s">
        <v>286</v>
      </c>
      <c r="K2076" s="329"/>
      <c r="L2076" s="129"/>
      <c r="M2076" s="129"/>
      <c r="N2076" s="129"/>
      <c r="O2076" s="129"/>
      <c r="P2076" s="372"/>
      <c r="Q2076" s="372"/>
      <c r="R2076" s="129"/>
      <c r="S2076" s="129"/>
      <c r="T2076" s="129"/>
      <c r="W2076" s="129" t="s">
        <v>286</v>
      </c>
      <c r="X2076" s="337" t="b">
        <f t="shared" si="66"/>
        <v>1</v>
      </c>
    </row>
    <row r="2077" spans="1:24" s="360" customFormat="1" ht="12" customHeight="1" outlineLevel="1">
      <c r="A2077" s="365"/>
      <c r="B2077" s="118" t="s">
        <v>12</v>
      </c>
      <c r="C2077" s="334" t="s">
        <v>8945</v>
      </c>
      <c r="D2077" s="124" t="s">
        <v>8946</v>
      </c>
      <c r="E2077" s="125"/>
      <c r="F2077" s="118" t="s">
        <v>622</v>
      </c>
      <c r="G2077" s="126" t="s">
        <v>8766</v>
      </c>
      <c r="H2077" s="255">
        <v>2</v>
      </c>
      <c r="I2077" s="361">
        <v>1</v>
      </c>
      <c r="J2077" s="362" t="s">
        <v>286</v>
      </c>
      <c r="K2077" s="329"/>
      <c r="L2077" s="129"/>
      <c r="M2077" s="129"/>
      <c r="N2077" s="129"/>
      <c r="O2077" s="129"/>
      <c r="P2077" s="372"/>
      <c r="Q2077" s="372"/>
      <c r="R2077" s="129"/>
      <c r="S2077" s="129"/>
      <c r="T2077" s="129"/>
      <c r="W2077" s="129" t="s">
        <v>286</v>
      </c>
      <c r="X2077" s="337" t="b">
        <f t="shared" si="66"/>
        <v>1</v>
      </c>
    </row>
    <row r="2078" spans="1:24" s="360" customFormat="1" ht="12" customHeight="1" outlineLevel="1">
      <c r="A2078" s="365"/>
      <c r="B2078" s="118" t="s">
        <v>12</v>
      </c>
      <c r="C2078" s="334" t="s">
        <v>8947</v>
      </c>
      <c r="D2078" s="124" t="s">
        <v>8948</v>
      </c>
      <c r="E2078" s="125"/>
      <c r="F2078" s="118" t="s">
        <v>622</v>
      </c>
      <c r="G2078" s="126" t="s">
        <v>8766</v>
      </c>
      <c r="H2078" s="255">
        <v>2</v>
      </c>
      <c r="I2078" s="361">
        <v>1</v>
      </c>
      <c r="J2078" s="362" t="s">
        <v>286</v>
      </c>
      <c r="K2078" s="329"/>
      <c r="L2078" s="129"/>
      <c r="M2078" s="129"/>
      <c r="N2078" s="129"/>
      <c r="O2078" s="129"/>
      <c r="P2078" s="372"/>
      <c r="Q2078" s="372"/>
      <c r="R2078" s="129"/>
      <c r="S2078" s="129"/>
      <c r="T2078" s="129"/>
      <c r="W2078" s="129" t="s">
        <v>286</v>
      </c>
      <c r="X2078" s="337" t="b">
        <f t="shared" si="66"/>
        <v>1</v>
      </c>
    </row>
    <row r="2079" spans="1:24" s="360" customFormat="1" ht="12" customHeight="1" outlineLevel="1">
      <c r="A2079" s="365"/>
      <c r="B2079" s="118" t="s">
        <v>12</v>
      </c>
      <c r="C2079" s="334" t="s">
        <v>8949</v>
      </c>
      <c r="D2079" s="124" t="s">
        <v>8950</v>
      </c>
      <c r="E2079" s="125"/>
      <c r="F2079" s="118" t="s">
        <v>622</v>
      </c>
      <c r="G2079" s="126" t="s">
        <v>8766</v>
      </c>
      <c r="H2079" s="255">
        <v>2</v>
      </c>
      <c r="I2079" s="361">
        <v>1</v>
      </c>
      <c r="J2079" s="362" t="s">
        <v>286</v>
      </c>
      <c r="K2079" s="329"/>
      <c r="L2079" s="129"/>
      <c r="M2079" s="129"/>
      <c r="N2079" s="129"/>
      <c r="O2079" s="129"/>
      <c r="P2079" s="372"/>
      <c r="Q2079" s="372"/>
      <c r="R2079" s="129"/>
      <c r="S2079" s="129"/>
      <c r="T2079" s="129"/>
      <c r="W2079" s="129" t="s">
        <v>286</v>
      </c>
      <c r="X2079" s="337" t="b">
        <f t="shared" si="66"/>
        <v>1</v>
      </c>
    </row>
    <row r="2080" spans="1:24" s="360" customFormat="1" ht="12" customHeight="1" outlineLevel="1">
      <c r="A2080" s="365"/>
      <c r="B2080" s="118" t="s">
        <v>12</v>
      </c>
      <c r="C2080" s="334" t="s">
        <v>8951</v>
      </c>
      <c r="D2080" s="124" t="s">
        <v>8952</v>
      </c>
      <c r="E2080" s="125"/>
      <c r="F2080" s="118" t="s">
        <v>622</v>
      </c>
      <c r="G2080" s="126" t="s">
        <v>8766</v>
      </c>
      <c r="H2080" s="255">
        <v>2</v>
      </c>
      <c r="I2080" s="361">
        <v>1</v>
      </c>
      <c r="J2080" s="362" t="s">
        <v>286</v>
      </c>
      <c r="K2080" s="329"/>
      <c r="L2080" s="129"/>
      <c r="M2080" s="129"/>
      <c r="N2080" s="129"/>
      <c r="O2080" s="129"/>
      <c r="P2080" s="372"/>
      <c r="Q2080" s="372"/>
      <c r="R2080" s="129"/>
      <c r="S2080" s="129"/>
      <c r="T2080" s="129"/>
      <c r="W2080" s="129" t="s">
        <v>286</v>
      </c>
      <c r="X2080" s="337" t="b">
        <f t="shared" si="66"/>
        <v>1</v>
      </c>
    </row>
    <row r="2081" spans="1:24" s="360" customFormat="1" ht="12" customHeight="1" outlineLevel="1">
      <c r="A2081" s="365"/>
      <c r="B2081" s="118" t="s">
        <v>12</v>
      </c>
      <c r="C2081" s="334" t="s">
        <v>8953</v>
      </c>
      <c r="D2081" s="124" t="s">
        <v>8954</v>
      </c>
      <c r="E2081" s="125"/>
      <c r="F2081" s="118" t="s">
        <v>622</v>
      </c>
      <c r="G2081" s="126" t="s">
        <v>8766</v>
      </c>
      <c r="H2081" s="255">
        <v>2</v>
      </c>
      <c r="I2081" s="361">
        <v>1</v>
      </c>
      <c r="J2081" s="362" t="s">
        <v>286</v>
      </c>
      <c r="K2081" s="329"/>
      <c r="L2081" s="129"/>
      <c r="M2081" s="129"/>
      <c r="N2081" s="129"/>
      <c r="O2081" s="129"/>
      <c r="P2081" s="372"/>
      <c r="Q2081" s="372"/>
      <c r="R2081" s="129"/>
      <c r="S2081" s="129"/>
      <c r="T2081" s="129"/>
      <c r="W2081" s="129" t="s">
        <v>286</v>
      </c>
      <c r="X2081" s="337" t="b">
        <f t="shared" si="66"/>
        <v>1</v>
      </c>
    </row>
    <row r="2082" spans="1:24" s="360" customFormat="1" ht="12" customHeight="1" outlineLevel="1">
      <c r="A2082" s="365"/>
      <c r="B2082" s="118" t="s">
        <v>12</v>
      </c>
      <c r="C2082" s="334" t="s">
        <v>8955</v>
      </c>
      <c r="D2082" s="124" t="s">
        <v>8956</v>
      </c>
      <c r="E2082" s="125"/>
      <c r="F2082" s="118" t="s">
        <v>622</v>
      </c>
      <c r="G2082" s="126" t="s">
        <v>8766</v>
      </c>
      <c r="H2082" s="255">
        <v>2</v>
      </c>
      <c r="I2082" s="361">
        <v>1</v>
      </c>
      <c r="J2082" s="362" t="s">
        <v>286</v>
      </c>
      <c r="K2082" s="329"/>
      <c r="L2082" s="129"/>
      <c r="M2082" s="129"/>
      <c r="N2082" s="129"/>
      <c r="O2082" s="129"/>
      <c r="P2082" s="372"/>
      <c r="Q2082" s="372"/>
      <c r="R2082" s="129"/>
      <c r="S2082" s="129"/>
      <c r="T2082" s="129"/>
      <c r="W2082" s="129" t="s">
        <v>286</v>
      </c>
      <c r="X2082" s="337" t="b">
        <f t="shared" si="66"/>
        <v>1</v>
      </c>
    </row>
    <row r="2083" spans="1:24" s="360" customFormat="1" ht="12" customHeight="1" outlineLevel="1">
      <c r="A2083" s="365"/>
      <c r="B2083" s="118" t="s">
        <v>12</v>
      </c>
      <c r="C2083" s="334" t="s">
        <v>8957</v>
      </c>
      <c r="D2083" s="124" t="s">
        <v>8958</v>
      </c>
      <c r="E2083" s="125"/>
      <c r="F2083" s="118" t="s">
        <v>622</v>
      </c>
      <c r="G2083" s="126" t="s">
        <v>8766</v>
      </c>
      <c r="H2083" s="255">
        <v>2</v>
      </c>
      <c r="I2083" s="361">
        <v>1</v>
      </c>
      <c r="J2083" s="362" t="s">
        <v>286</v>
      </c>
      <c r="K2083" s="329"/>
      <c r="L2083" s="129"/>
      <c r="M2083" s="129"/>
      <c r="N2083" s="129"/>
      <c r="O2083" s="129"/>
      <c r="P2083" s="372"/>
      <c r="Q2083" s="372"/>
      <c r="R2083" s="129"/>
      <c r="S2083" s="129"/>
      <c r="T2083" s="129"/>
      <c r="W2083" s="129" t="s">
        <v>286</v>
      </c>
      <c r="X2083" s="337" t="b">
        <f t="shared" si="66"/>
        <v>1</v>
      </c>
    </row>
    <row r="2084" spans="1:24" s="360" customFormat="1" ht="12" customHeight="1" outlineLevel="1">
      <c r="A2084" s="365"/>
      <c r="B2084" s="118" t="s">
        <v>12</v>
      </c>
      <c r="C2084" s="334" t="s">
        <v>8959</v>
      </c>
      <c r="D2084" s="124" t="s">
        <v>8960</v>
      </c>
      <c r="E2084" s="125"/>
      <c r="F2084" s="118" t="s">
        <v>622</v>
      </c>
      <c r="G2084" s="126" t="s">
        <v>8766</v>
      </c>
      <c r="H2084" s="255">
        <v>2</v>
      </c>
      <c r="I2084" s="361">
        <v>1</v>
      </c>
      <c r="J2084" s="362" t="s">
        <v>286</v>
      </c>
      <c r="K2084" s="329"/>
      <c r="L2084" s="129"/>
      <c r="M2084" s="129"/>
      <c r="N2084" s="129"/>
      <c r="O2084" s="129"/>
      <c r="P2084" s="372"/>
      <c r="Q2084" s="372"/>
      <c r="R2084" s="129"/>
      <c r="S2084" s="129"/>
      <c r="T2084" s="129"/>
      <c r="W2084" s="129" t="s">
        <v>286</v>
      </c>
      <c r="X2084" s="337" t="b">
        <f t="shared" si="66"/>
        <v>1</v>
      </c>
    </row>
    <row r="2085" spans="1:24" s="360" customFormat="1" ht="12" customHeight="1" outlineLevel="1">
      <c r="A2085" s="365"/>
      <c r="B2085" s="118" t="s">
        <v>12</v>
      </c>
      <c r="C2085" s="334" t="s">
        <v>8961</v>
      </c>
      <c r="D2085" s="124" t="s">
        <v>8962</v>
      </c>
      <c r="E2085" s="125"/>
      <c r="F2085" s="118" t="s">
        <v>622</v>
      </c>
      <c r="G2085" s="126" t="s">
        <v>8766</v>
      </c>
      <c r="H2085" s="255">
        <v>2</v>
      </c>
      <c r="I2085" s="361">
        <v>1</v>
      </c>
      <c r="J2085" s="362" t="s">
        <v>286</v>
      </c>
      <c r="K2085" s="329"/>
      <c r="L2085" s="129"/>
      <c r="M2085" s="129"/>
      <c r="N2085" s="129"/>
      <c r="O2085" s="129"/>
      <c r="P2085" s="372"/>
      <c r="Q2085" s="372"/>
      <c r="R2085" s="129"/>
      <c r="S2085" s="129"/>
      <c r="T2085" s="129"/>
      <c r="W2085" s="129" t="s">
        <v>286</v>
      </c>
      <c r="X2085" s="337" t="b">
        <f t="shared" si="66"/>
        <v>1</v>
      </c>
    </row>
    <row r="2086" spans="1:24" s="360" customFormat="1" ht="12" customHeight="1" outlineLevel="1">
      <c r="A2086" s="365"/>
      <c r="B2086" s="118" t="s">
        <v>12</v>
      </c>
      <c r="C2086" s="334" t="s">
        <v>8963</v>
      </c>
      <c r="D2086" s="124" t="s">
        <v>8964</v>
      </c>
      <c r="E2086" s="125"/>
      <c r="F2086" s="118" t="s">
        <v>622</v>
      </c>
      <c r="G2086" s="126" t="s">
        <v>8766</v>
      </c>
      <c r="H2086" s="255">
        <v>2</v>
      </c>
      <c r="I2086" s="361">
        <v>1</v>
      </c>
      <c r="J2086" s="362" t="s">
        <v>286</v>
      </c>
      <c r="K2086" s="329"/>
      <c r="L2086" s="129"/>
      <c r="M2086" s="129"/>
      <c r="N2086" s="129"/>
      <c r="O2086" s="129"/>
      <c r="P2086" s="372"/>
      <c r="Q2086" s="372"/>
      <c r="R2086" s="129"/>
      <c r="S2086" s="129"/>
      <c r="T2086" s="129"/>
      <c r="W2086" s="129" t="s">
        <v>286</v>
      </c>
      <c r="X2086" s="337" t="b">
        <f t="shared" si="66"/>
        <v>1</v>
      </c>
    </row>
    <row r="2087" spans="1:24" s="360" customFormat="1" ht="12" customHeight="1" outlineLevel="1">
      <c r="A2087" s="365"/>
      <c r="B2087" s="118" t="s">
        <v>12</v>
      </c>
      <c r="C2087" s="334" t="s">
        <v>8965</v>
      </c>
      <c r="D2087" s="124" t="s">
        <v>8966</v>
      </c>
      <c r="E2087" s="125"/>
      <c r="F2087" s="118" t="s">
        <v>622</v>
      </c>
      <c r="G2087" s="126" t="s">
        <v>8766</v>
      </c>
      <c r="H2087" s="255">
        <v>2</v>
      </c>
      <c r="I2087" s="361">
        <v>1</v>
      </c>
      <c r="J2087" s="362" t="s">
        <v>286</v>
      </c>
      <c r="K2087" s="329"/>
      <c r="L2087" s="129"/>
      <c r="M2087" s="129"/>
      <c r="N2087" s="129"/>
      <c r="O2087" s="129"/>
      <c r="P2087" s="372"/>
      <c r="Q2087" s="372"/>
      <c r="R2087" s="129"/>
      <c r="S2087" s="129"/>
      <c r="T2087" s="129"/>
      <c r="W2087" s="129" t="s">
        <v>286</v>
      </c>
      <c r="X2087" s="337" t="b">
        <f t="shared" si="66"/>
        <v>1</v>
      </c>
    </row>
    <row r="2088" spans="1:24" s="360" customFormat="1" ht="12" customHeight="1" outlineLevel="1">
      <c r="A2088" s="365"/>
      <c r="B2088" s="118" t="s">
        <v>12</v>
      </c>
      <c r="C2088" s="334" t="s">
        <v>8967</v>
      </c>
      <c r="D2088" s="124" t="s">
        <v>8968</v>
      </c>
      <c r="E2088" s="125"/>
      <c r="F2088" s="118" t="s">
        <v>622</v>
      </c>
      <c r="G2088" s="126" t="s">
        <v>8766</v>
      </c>
      <c r="H2088" s="255">
        <v>2</v>
      </c>
      <c r="I2088" s="361">
        <v>1</v>
      </c>
      <c r="J2088" s="362" t="s">
        <v>286</v>
      </c>
      <c r="K2088" s="329"/>
      <c r="L2088" s="129"/>
      <c r="M2088" s="129"/>
      <c r="N2088" s="129"/>
      <c r="O2088" s="129"/>
      <c r="P2088" s="372"/>
      <c r="Q2088" s="372"/>
      <c r="R2088" s="129"/>
      <c r="S2088" s="129"/>
      <c r="T2088" s="129"/>
      <c r="W2088" s="129" t="s">
        <v>286</v>
      </c>
      <c r="X2088" s="337" t="b">
        <f t="shared" si="66"/>
        <v>1</v>
      </c>
    </row>
    <row r="2089" spans="1:24" s="360" customFormat="1" ht="12" customHeight="1" outlineLevel="1">
      <c r="A2089" s="365"/>
      <c r="B2089" s="118" t="s">
        <v>12</v>
      </c>
      <c r="C2089" s="334" t="s">
        <v>8969</v>
      </c>
      <c r="D2089" s="124" t="s">
        <v>8970</v>
      </c>
      <c r="E2089" s="125"/>
      <c r="F2089" s="118" t="s">
        <v>622</v>
      </c>
      <c r="G2089" s="126" t="s">
        <v>8766</v>
      </c>
      <c r="H2089" s="255">
        <v>2</v>
      </c>
      <c r="I2089" s="361">
        <v>1</v>
      </c>
      <c r="J2089" s="362" t="s">
        <v>286</v>
      </c>
      <c r="K2089" s="329"/>
      <c r="L2089" s="129"/>
      <c r="M2089" s="129"/>
      <c r="N2089" s="129"/>
      <c r="O2089" s="129"/>
      <c r="P2089" s="372"/>
      <c r="Q2089" s="372"/>
      <c r="R2089" s="129"/>
      <c r="S2089" s="129"/>
      <c r="T2089" s="129"/>
      <c r="W2089" s="129" t="s">
        <v>4876</v>
      </c>
      <c r="X2089" s="337" t="b">
        <f t="shared" si="66"/>
        <v>0</v>
      </c>
    </row>
    <row r="2090" spans="1:24" s="360" customFormat="1" ht="12" customHeight="1" outlineLevel="1">
      <c r="A2090" s="365"/>
      <c r="B2090" s="118" t="s">
        <v>12</v>
      </c>
      <c r="C2090" s="334" t="s">
        <v>8971</v>
      </c>
      <c r="D2090" s="124" t="s">
        <v>8972</v>
      </c>
      <c r="E2090" s="125"/>
      <c r="F2090" s="118" t="s">
        <v>622</v>
      </c>
      <c r="G2090" s="126" t="s">
        <v>8766</v>
      </c>
      <c r="H2090" s="255">
        <v>2</v>
      </c>
      <c r="I2090" s="361">
        <v>1</v>
      </c>
      <c r="J2090" s="362" t="s">
        <v>286</v>
      </c>
      <c r="K2090" s="329"/>
      <c r="L2090" s="129"/>
      <c r="M2090" s="129"/>
      <c r="N2090" s="129"/>
      <c r="O2090" s="129"/>
      <c r="P2090" s="372"/>
      <c r="Q2090" s="372"/>
      <c r="R2090" s="129"/>
      <c r="S2090" s="129"/>
      <c r="T2090" s="129"/>
      <c r="W2090" s="129" t="s">
        <v>4876</v>
      </c>
      <c r="X2090" s="337" t="b">
        <f t="shared" si="66"/>
        <v>0</v>
      </c>
    </row>
    <row r="2091" spans="1:24" s="360" customFormat="1" ht="12" customHeight="1" outlineLevel="1">
      <c r="A2091" s="365"/>
      <c r="B2091" s="118" t="s">
        <v>12</v>
      </c>
      <c r="C2091" s="334" t="s">
        <v>8973</v>
      </c>
      <c r="D2091" s="124" t="s">
        <v>8974</v>
      </c>
      <c r="E2091" s="125"/>
      <c r="F2091" s="118" t="s">
        <v>622</v>
      </c>
      <c r="G2091" s="126" t="s">
        <v>8766</v>
      </c>
      <c r="H2091" s="255">
        <v>2</v>
      </c>
      <c r="I2091" s="361">
        <v>1</v>
      </c>
      <c r="J2091" s="362" t="s">
        <v>286</v>
      </c>
      <c r="K2091" s="329"/>
      <c r="L2091" s="129"/>
      <c r="M2091" s="129"/>
      <c r="N2091" s="129"/>
      <c r="O2091" s="129"/>
      <c r="P2091" s="372"/>
      <c r="Q2091" s="372"/>
      <c r="R2091" s="129"/>
      <c r="S2091" s="129"/>
      <c r="T2091" s="129"/>
      <c r="W2091" s="129" t="s">
        <v>4876</v>
      </c>
      <c r="X2091" s="337" t="b">
        <f t="shared" si="66"/>
        <v>0</v>
      </c>
    </row>
    <row r="2092" spans="1:24" s="360" customFormat="1" ht="12" customHeight="1" outlineLevel="1">
      <c r="A2092" s="365"/>
      <c r="B2092" s="118" t="s">
        <v>12</v>
      </c>
      <c r="C2092" s="334" t="s">
        <v>8975</v>
      </c>
      <c r="D2092" s="124" t="s">
        <v>8976</v>
      </c>
      <c r="E2092" s="125"/>
      <c r="F2092" s="118" t="s">
        <v>622</v>
      </c>
      <c r="G2092" s="126" t="s">
        <v>8766</v>
      </c>
      <c r="H2092" s="255">
        <v>2</v>
      </c>
      <c r="I2092" s="361">
        <v>1</v>
      </c>
      <c r="J2092" s="362" t="s">
        <v>286</v>
      </c>
      <c r="K2092" s="329"/>
      <c r="L2092" s="129"/>
      <c r="M2092" s="129"/>
      <c r="N2092" s="129"/>
      <c r="O2092" s="129"/>
      <c r="P2092" s="372"/>
      <c r="Q2092" s="372"/>
      <c r="R2092" s="129"/>
      <c r="S2092" s="129"/>
      <c r="T2092" s="129"/>
      <c r="W2092" s="129" t="s">
        <v>4876</v>
      </c>
      <c r="X2092" s="337" t="b">
        <f t="shared" si="66"/>
        <v>0</v>
      </c>
    </row>
    <row r="2093" spans="1:24" s="360" customFormat="1" ht="12" customHeight="1" outlineLevel="1">
      <c r="A2093" s="365"/>
      <c r="B2093" s="118" t="s">
        <v>12</v>
      </c>
      <c r="C2093" s="334" t="s">
        <v>8977</v>
      </c>
      <c r="D2093" s="124" t="s">
        <v>8978</v>
      </c>
      <c r="E2093" s="125"/>
      <c r="F2093" s="118" t="s">
        <v>622</v>
      </c>
      <c r="G2093" s="126" t="s">
        <v>8766</v>
      </c>
      <c r="H2093" s="255">
        <v>2</v>
      </c>
      <c r="I2093" s="361">
        <v>1</v>
      </c>
      <c r="J2093" s="362" t="s">
        <v>286</v>
      </c>
      <c r="K2093" s="329"/>
      <c r="L2093" s="129"/>
      <c r="M2093" s="129"/>
      <c r="N2093" s="129"/>
      <c r="O2093" s="129"/>
      <c r="P2093" s="372"/>
      <c r="Q2093" s="372"/>
      <c r="R2093" s="129"/>
      <c r="S2093" s="129"/>
      <c r="T2093" s="129"/>
      <c r="W2093" s="129" t="s">
        <v>4876</v>
      </c>
      <c r="X2093" s="337" t="b">
        <f t="shared" si="66"/>
        <v>0</v>
      </c>
    </row>
    <row r="2094" spans="1:24" s="360" customFormat="1" ht="12" customHeight="1" outlineLevel="1">
      <c r="A2094" s="365"/>
      <c r="B2094" s="118" t="s">
        <v>12</v>
      </c>
      <c r="C2094" s="334" t="s">
        <v>8979</v>
      </c>
      <c r="D2094" s="124" t="s">
        <v>8980</v>
      </c>
      <c r="E2094" s="125"/>
      <c r="F2094" s="118" t="s">
        <v>622</v>
      </c>
      <c r="G2094" s="126" t="s">
        <v>8766</v>
      </c>
      <c r="H2094" s="255">
        <v>2</v>
      </c>
      <c r="I2094" s="361">
        <v>1</v>
      </c>
      <c r="J2094" s="362" t="s">
        <v>286</v>
      </c>
      <c r="K2094" s="329"/>
      <c r="L2094" s="129"/>
      <c r="M2094" s="129"/>
      <c r="N2094" s="129"/>
      <c r="O2094" s="129"/>
      <c r="P2094" s="372"/>
      <c r="Q2094" s="372"/>
      <c r="R2094" s="129"/>
      <c r="S2094" s="129"/>
      <c r="T2094" s="129"/>
      <c r="W2094" s="129" t="s">
        <v>4876</v>
      </c>
      <c r="X2094" s="337" t="b">
        <f t="shared" si="66"/>
        <v>0</v>
      </c>
    </row>
    <row r="2095" spans="1:24" s="360" customFormat="1" ht="12" customHeight="1" outlineLevel="1">
      <c r="A2095" s="365"/>
      <c r="B2095" s="118" t="s">
        <v>12</v>
      </c>
      <c r="C2095" s="334" t="s">
        <v>8981</v>
      </c>
      <c r="D2095" s="124" t="s">
        <v>8982</v>
      </c>
      <c r="E2095" s="125"/>
      <c r="F2095" s="118" t="s">
        <v>622</v>
      </c>
      <c r="G2095" s="126" t="s">
        <v>8766</v>
      </c>
      <c r="H2095" s="255">
        <v>2</v>
      </c>
      <c r="I2095" s="361">
        <v>1</v>
      </c>
      <c r="J2095" s="362" t="s">
        <v>286</v>
      </c>
      <c r="K2095" s="329"/>
      <c r="L2095" s="129"/>
      <c r="M2095" s="129"/>
      <c r="N2095" s="129"/>
      <c r="O2095" s="129"/>
      <c r="P2095" s="372"/>
      <c r="Q2095" s="372"/>
      <c r="R2095" s="129"/>
      <c r="S2095" s="129"/>
      <c r="T2095" s="129"/>
      <c r="W2095" s="129" t="s">
        <v>4876</v>
      </c>
      <c r="X2095" s="337" t="b">
        <f t="shared" si="66"/>
        <v>0</v>
      </c>
    </row>
    <row r="2096" spans="1:24" s="360" customFormat="1" ht="12" customHeight="1" outlineLevel="1">
      <c r="A2096" s="365"/>
      <c r="B2096" s="118" t="s">
        <v>12</v>
      </c>
      <c r="C2096" s="334" t="s">
        <v>8983</v>
      </c>
      <c r="D2096" s="124" t="s">
        <v>8984</v>
      </c>
      <c r="E2096" s="125"/>
      <c r="F2096" s="118" t="s">
        <v>622</v>
      </c>
      <c r="G2096" s="126" t="s">
        <v>8766</v>
      </c>
      <c r="H2096" s="255">
        <v>2</v>
      </c>
      <c r="I2096" s="361">
        <v>1</v>
      </c>
      <c r="J2096" s="362" t="s">
        <v>286</v>
      </c>
      <c r="K2096" s="329"/>
      <c r="L2096" s="129"/>
      <c r="M2096" s="129"/>
      <c r="N2096" s="129"/>
      <c r="O2096" s="129"/>
      <c r="P2096" s="372"/>
      <c r="Q2096" s="372"/>
      <c r="R2096" s="129"/>
      <c r="S2096" s="129"/>
      <c r="T2096" s="129"/>
      <c r="W2096" s="129" t="s">
        <v>286</v>
      </c>
      <c r="X2096" s="337" t="b">
        <f t="shared" si="66"/>
        <v>1</v>
      </c>
    </row>
    <row r="2097" spans="1:24" s="360" customFormat="1" ht="12" customHeight="1" outlineLevel="1">
      <c r="A2097" s="365"/>
      <c r="B2097" s="118" t="s">
        <v>12</v>
      </c>
      <c r="C2097" s="334" t="s">
        <v>8985</v>
      </c>
      <c r="D2097" s="124" t="s">
        <v>8986</v>
      </c>
      <c r="E2097" s="125"/>
      <c r="F2097" s="118" t="s">
        <v>622</v>
      </c>
      <c r="G2097" s="126" t="s">
        <v>8766</v>
      </c>
      <c r="H2097" s="255">
        <v>2</v>
      </c>
      <c r="I2097" s="361">
        <v>1</v>
      </c>
      <c r="J2097" s="362" t="s">
        <v>286</v>
      </c>
      <c r="K2097" s="329"/>
      <c r="L2097" s="129"/>
      <c r="M2097" s="129"/>
      <c r="N2097" s="129"/>
      <c r="O2097" s="129"/>
      <c r="P2097" s="372"/>
      <c r="Q2097" s="372"/>
      <c r="R2097" s="129"/>
      <c r="S2097" s="129"/>
      <c r="T2097" s="129"/>
      <c r="W2097" s="129" t="s">
        <v>4876</v>
      </c>
      <c r="X2097" s="337" t="b">
        <f t="shared" si="66"/>
        <v>0</v>
      </c>
    </row>
    <row r="2098" spans="1:24" s="360" customFormat="1" ht="12" customHeight="1" outlineLevel="1">
      <c r="A2098" s="365"/>
      <c r="B2098" s="118" t="s">
        <v>12</v>
      </c>
      <c r="C2098" s="334" t="s">
        <v>8987</v>
      </c>
      <c r="D2098" s="124" t="s">
        <v>8988</v>
      </c>
      <c r="E2098" s="125"/>
      <c r="F2098" s="118" t="s">
        <v>622</v>
      </c>
      <c r="G2098" s="126" t="s">
        <v>8766</v>
      </c>
      <c r="H2098" s="255">
        <v>2</v>
      </c>
      <c r="I2098" s="361">
        <v>1</v>
      </c>
      <c r="J2098" s="362" t="s">
        <v>286</v>
      </c>
      <c r="K2098" s="329"/>
      <c r="L2098" s="129"/>
      <c r="M2098" s="129"/>
      <c r="N2098" s="129"/>
      <c r="O2098" s="129"/>
      <c r="P2098" s="372"/>
      <c r="Q2098" s="372"/>
      <c r="R2098" s="129"/>
      <c r="S2098" s="129"/>
      <c r="T2098" s="129"/>
      <c r="W2098" s="129" t="s">
        <v>4876</v>
      </c>
      <c r="X2098" s="337" t="b">
        <f t="shared" si="66"/>
        <v>0</v>
      </c>
    </row>
    <row r="2099" spans="1:24" s="360" customFormat="1" ht="12" customHeight="1" outlineLevel="1">
      <c r="A2099" s="365"/>
      <c r="B2099" s="118" t="s">
        <v>12</v>
      </c>
      <c r="C2099" s="334" t="s">
        <v>8989</v>
      </c>
      <c r="D2099" s="124" t="s">
        <v>8990</v>
      </c>
      <c r="E2099" s="125"/>
      <c r="F2099" s="118" t="s">
        <v>622</v>
      </c>
      <c r="G2099" s="126" t="s">
        <v>8766</v>
      </c>
      <c r="H2099" s="255">
        <v>2</v>
      </c>
      <c r="I2099" s="361">
        <v>1</v>
      </c>
      <c r="J2099" s="362" t="s">
        <v>286</v>
      </c>
      <c r="K2099" s="329"/>
      <c r="L2099" s="129"/>
      <c r="M2099" s="129"/>
      <c r="N2099" s="129"/>
      <c r="O2099" s="129"/>
      <c r="P2099" s="372"/>
      <c r="Q2099" s="372"/>
      <c r="R2099" s="129"/>
      <c r="S2099" s="129"/>
      <c r="T2099" s="129"/>
      <c r="W2099" s="129" t="s">
        <v>4876</v>
      </c>
      <c r="X2099" s="337" t="b">
        <f t="shared" si="66"/>
        <v>0</v>
      </c>
    </row>
    <row r="2100" spans="1:24" s="360" customFormat="1" ht="12" customHeight="1" outlineLevel="1">
      <c r="A2100" s="365"/>
      <c r="B2100" s="118" t="s">
        <v>12</v>
      </c>
      <c r="C2100" s="334" t="s">
        <v>8991</v>
      </c>
      <c r="D2100" s="124" t="s">
        <v>8992</v>
      </c>
      <c r="E2100" s="125"/>
      <c r="F2100" s="118" t="s">
        <v>622</v>
      </c>
      <c r="G2100" s="126" t="s">
        <v>8766</v>
      </c>
      <c r="H2100" s="255">
        <v>2</v>
      </c>
      <c r="I2100" s="361">
        <v>1</v>
      </c>
      <c r="J2100" s="362" t="s">
        <v>286</v>
      </c>
      <c r="K2100" s="329"/>
      <c r="L2100" s="129"/>
      <c r="M2100" s="129"/>
      <c r="N2100" s="129"/>
      <c r="O2100" s="129"/>
      <c r="P2100" s="372"/>
      <c r="Q2100" s="372"/>
      <c r="R2100" s="129"/>
      <c r="S2100" s="129"/>
      <c r="T2100" s="129"/>
      <c r="W2100" s="129" t="s">
        <v>4876</v>
      </c>
      <c r="X2100" s="337" t="b">
        <f t="shared" si="66"/>
        <v>0</v>
      </c>
    </row>
    <row r="2101" spans="1:24" s="360" customFormat="1" ht="12" customHeight="1" outlineLevel="1">
      <c r="A2101" s="365"/>
      <c r="B2101" s="118" t="s">
        <v>12</v>
      </c>
      <c r="C2101" s="334" t="s">
        <v>8993</v>
      </c>
      <c r="D2101" s="124" t="s">
        <v>8994</v>
      </c>
      <c r="E2101" s="125"/>
      <c r="F2101" s="118" t="s">
        <v>622</v>
      </c>
      <c r="G2101" s="126" t="s">
        <v>8766</v>
      </c>
      <c r="H2101" s="255">
        <v>2</v>
      </c>
      <c r="I2101" s="361">
        <v>1</v>
      </c>
      <c r="J2101" s="362" t="s">
        <v>286</v>
      </c>
      <c r="K2101" s="329"/>
      <c r="L2101" s="129"/>
      <c r="M2101" s="129"/>
      <c r="N2101" s="129"/>
      <c r="O2101" s="129"/>
      <c r="P2101" s="372"/>
      <c r="Q2101" s="372"/>
      <c r="R2101" s="129"/>
      <c r="S2101" s="129"/>
      <c r="T2101" s="129"/>
      <c r="W2101" s="129" t="s">
        <v>4876</v>
      </c>
      <c r="X2101" s="337" t="b">
        <f t="shared" si="66"/>
        <v>0</v>
      </c>
    </row>
    <row r="2102" spans="1:24" s="360" customFormat="1" ht="12" customHeight="1" outlineLevel="1">
      <c r="A2102" s="365"/>
      <c r="B2102" s="118" t="s">
        <v>12</v>
      </c>
      <c r="C2102" s="334" t="s">
        <v>8995</v>
      </c>
      <c r="D2102" s="124" t="s">
        <v>8996</v>
      </c>
      <c r="E2102" s="125"/>
      <c r="F2102" s="118" t="s">
        <v>622</v>
      </c>
      <c r="G2102" s="126" t="s">
        <v>8766</v>
      </c>
      <c r="H2102" s="255">
        <v>2</v>
      </c>
      <c r="I2102" s="361">
        <v>1</v>
      </c>
      <c r="J2102" s="362" t="s">
        <v>286</v>
      </c>
      <c r="K2102" s="329"/>
      <c r="L2102" s="129"/>
      <c r="M2102" s="129"/>
      <c r="N2102" s="129"/>
      <c r="O2102" s="129"/>
      <c r="P2102" s="372"/>
      <c r="Q2102" s="372"/>
      <c r="R2102" s="129"/>
      <c r="S2102" s="129"/>
      <c r="T2102" s="129"/>
      <c r="W2102" s="129" t="s">
        <v>4876</v>
      </c>
      <c r="X2102" s="337" t="b">
        <f t="shared" si="66"/>
        <v>0</v>
      </c>
    </row>
    <row r="2103" spans="1:24" s="360" customFormat="1" ht="12" customHeight="1" outlineLevel="1">
      <c r="A2103" s="365"/>
      <c r="B2103" s="118" t="s">
        <v>12</v>
      </c>
      <c r="C2103" s="334" t="s">
        <v>8997</v>
      </c>
      <c r="D2103" s="124" t="s">
        <v>8998</v>
      </c>
      <c r="E2103" s="125"/>
      <c r="F2103" s="118" t="s">
        <v>622</v>
      </c>
      <c r="G2103" s="126" t="s">
        <v>8766</v>
      </c>
      <c r="H2103" s="255">
        <v>2</v>
      </c>
      <c r="I2103" s="361">
        <v>1</v>
      </c>
      <c r="J2103" s="362" t="s">
        <v>310</v>
      </c>
      <c r="K2103" s="329"/>
      <c r="L2103" s="129"/>
      <c r="M2103" s="129"/>
      <c r="N2103" s="129"/>
      <c r="O2103" s="129"/>
      <c r="P2103" s="372"/>
      <c r="Q2103" s="372"/>
      <c r="R2103" s="129"/>
      <c r="S2103" s="129"/>
      <c r="T2103" s="129"/>
      <c r="W2103" s="129" t="s">
        <v>286</v>
      </c>
      <c r="X2103" s="337" t="b">
        <f t="shared" si="66"/>
        <v>0</v>
      </c>
    </row>
    <row r="2104" spans="1:24" s="360" customFormat="1" ht="12" customHeight="1" outlineLevel="1">
      <c r="A2104" s="365"/>
      <c r="B2104" s="118" t="s">
        <v>12</v>
      </c>
      <c r="C2104" s="334" t="s">
        <v>8999</v>
      </c>
      <c r="D2104" s="124" t="s">
        <v>7307</v>
      </c>
      <c r="E2104" s="125"/>
      <c r="F2104" s="118" t="s">
        <v>622</v>
      </c>
      <c r="G2104" s="126" t="s">
        <v>9000</v>
      </c>
      <c r="H2104" s="255">
        <v>4</v>
      </c>
      <c r="I2104" s="361">
        <v>1</v>
      </c>
      <c r="J2104" s="362" t="s">
        <v>307</v>
      </c>
      <c r="K2104" s="329"/>
      <c r="L2104" s="129"/>
      <c r="M2104" s="129"/>
      <c r="N2104" s="129"/>
      <c r="O2104" s="129"/>
      <c r="P2104" s="372"/>
      <c r="Q2104" s="372"/>
      <c r="R2104" s="129"/>
      <c r="S2104" s="129"/>
      <c r="T2104" s="129"/>
      <c r="W2104" s="129" t="s">
        <v>310</v>
      </c>
      <c r="X2104" s="337" t="b">
        <f t="shared" si="66"/>
        <v>0</v>
      </c>
    </row>
    <row r="2105" spans="1:24" s="360" customFormat="1" ht="12" customHeight="1" outlineLevel="1">
      <c r="A2105" s="365"/>
      <c r="B2105" s="118" t="s">
        <v>12</v>
      </c>
      <c r="C2105" s="334" t="s">
        <v>9001</v>
      </c>
      <c r="D2105" s="124" t="s">
        <v>9002</v>
      </c>
      <c r="E2105" s="125"/>
      <c r="F2105" s="118" t="s">
        <v>622</v>
      </c>
      <c r="G2105" s="126" t="s">
        <v>9000</v>
      </c>
      <c r="H2105" s="255">
        <v>4</v>
      </c>
      <c r="I2105" s="361">
        <v>1</v>
      </c>
      <c r="J2105" s="362" t="s">
        <v>6148</v>
      </c>
      <c r="K2105" s="329"/>
      <c r="L2105" s="129"/>
      <c r="M2105" s="129"/>
      <c r="N2105" s="129"/>
      <c r="O2105" s="129"/>
      <c r="P2105" s="372"/>
      <c r="Q2105" s="372"/>
      <c r="R2105" s="129"/>
      <c r="S2105" s="129"/>
      <c r="T2105" s="129"/>
      <c r="W2105" s="129" t="s">
        <v>286</v>
      </c>
      <c r="X2105" s="337" t="b">
        <f t="shared" si="66"/>
        <v>0</v>
      </c>
    </row>
    <row r="2106" spans="1:24" s="360" customFormat="1" ht="12" customHeight="1" outlineLevel="1">
      <c r="A2106" s="365"/>
      <c r="B2106" s="118" t="s">
        <v>12</v>
      </c>
      <c r="C2106" s="334" t="s">
        <v>9003</v>
      </c>
      <c r="D2106" s="124" t="s">
        <v>9004</v>
      </c>
      <c r="E2106" s="125"/>
      <c r="F2106" s="118" t="s">
        <v>622</v>
      </c>
      <c r="G2106" s="126" t="s">
        <v>9000</v>
      </c>
      <c r="H2106" s="255">
        <v>4</v>
      </c>
      <c r="I2106" s="361">
        <v>1</v>
      </c>
      <c r="J2106" s="362" t="s">
        <v>286</v>
      </c>
      <c r="K2106" s="329"/>
      <c r="L2106" s="129"/>
      <c r="M2106" s="129"/>
      <c r="N2106" s="129"/>
      <c r="O2106" s="129"/>
      <c r="P2106" s="372"/>
      <c r="Q2106" s="372"/>
      <c r="R2106" s="129"/>
      <c r="S2106" s="129"/>
      <c r="T2106" s="129"/>
      <c r="W2106" s="129" t="s">
        <v>286</v>
      </c>
      <c r="X2106" s="337" t="b">
        <f t="shared" si="66"/>
        <v>1</v>
      </c>
    </row>
    <row r="2107" spans="1:24" s="360" customFormat="1" ht="12" customHeight="1" outlineLevel="1">
      <c r="A2107" s="365"/>
      <c r="B2107" s="118" t="s">
        <v>12</v>
      </c>
      <c r="C2107" s="334" t="s">
        <v>9005</v>
      </c>
      <c r="D2107" s="124" t="s">
        <v>9006</v>
      </c>
      <c r="E2107" s="125"/>
      <c r="F2107" s="118" t="s">
        <v>622</v>
      </c>
      <c r="G2107" s="126" t="s">
        <v>9000</v>
      </c>
      <c r="H2107" s="255">
        <v>4</v>
      </c>
      <c r="I2107" s="361">
        <v>1</v>
      </c>
      <c r="J2107" s="362" t="s">
        <v>286</v>
      </c>
      <c r="K2107" s="329"/>
      <c r="L2107" s="129"/>
      <c r="M2107" s="129"/>
      <c r="N2107" s="129"/>
      <c r="O2107" s="129"/>
      <c r="P2107" s="372"/>
      <c r="Q2107" s="372"/>
      <c r="R2107" s="129"/>
      <c r="S2107" s="129"/>
      <c r="T2107" s="129"/>
      <c r="W2107" s="129" t="s">
        <v>286</v>
      </c>
      <c r="X2107" s="337" t="b">
        <f t="shared" si="66"/>
        <v>1</v>
      </c>
    </row>
    <row r="2108" spans="1:24" s="360" customFormat="1" ht="12" customHeight="1" outlineLevel="1">
      <c r="A2108" s="365"/>
      <c r="B2108" s="118" t="s">
        <v>12</v>
      </c>
      <c r="C2108" s="334" t="s">
        <v>9007</v>
      </c>
      <c r="D2108" s="124" t="s">
        <v>9008</v>
      </c>
      <c r="E2108" s="125"/>
      <c r="F2108" s="118" t="s">
        <v>622</v>
      </c>
      <c r="G2108" s="126" t="s">
        <v>9000</v>
      </c>
      <c r="H2108" s="255">
        <v>4</v>
      </c>
      <c r="I2108" s="361">
        <v>1</v>
      </c>
      <c r="J2108" s="362" t="s">
        <v>286</v>
      </c>
      <c r="K2108" s="329"/>
      <c r="L2108" s="129"/>
      <c r="M2108" s="129"/>
      <c r="N2108" s="129"/>
      <c r="O2108" s="129"/>
      <c r="P2108" s="372"/>
      <c r="Q2108" s="372"/>
      <c r="R2108" s="129"/>
      <c r="S2108" s="129"/>
      <c r="T2108" s="129"/>
      <c r="W2108" s="129" t="s">
        <v>286</v>
      </c>
      <c r="X2108" s="337" t="b">
        <f t="shared" si="66"/>
        <v>1</v>
      </c>
    </row>
    <row r="2109" spans="1:24" s="360" customFormat="1" ht="12" customHeight="1" outlineLevel="1">
      <c r="A2109" s="365"/>
      <c r="B2109" s="118" t="s">
        <v>12</v>
      </c>
      <c r="C2109" s="334" t="s">
        <v>9009</v>
      </c>
      <c r="D2109" s="124" t="s">
        <v>9010</v>
      </c>
      <c r="E2109" s="125"/>
      <c r="F2109" s="118" t="s">
        <v>622</v>
      </c>
      <c r="G2109" s="126" t="s">
        <v>9000</v>
      </c>
      <c r="H2109" s="255">
        <v>4</v>
      </c>
      <c r="I2109" s="361">
        <v>1</v>
      </c>
      <c r="J2109" s="362" t="s">
        <v>286</v>
      </c>
      <c r="K2109" s="329"/>
      <c r="L2109" s="129"/>
      <c r="M2109" s="129"/>
      <c r="N2109" s="129"/>
      <c r="O2109" s="129"/>
      <c r="P2109" s="372"/>
      <c r="Q2109" s="372"/>
      <c r="R2109" s="129"/>
      <c r="S2109" s="129"/>
      <c r="T2109" s="129"/>
      <c r="W2109" s="129" t="s">
        <v>286</v>
      </c>
      <c r="X2109" s="337" t="b">
        <f t="shared" si="66"/>
        <v>1</v>
      </c>
    </row>
    <row r="2110" spans="1:24" s="360" customFormat="1" ht="12" customHeight="1" outlineLevel="1">
      <c r="A2110" s="365"/>
      <c r="B2110" s="118" t="s">
        <v>12</v>
      </c>
      <c r="C2110" s="334" t="s">
        <v>9011</v>
      </c>
      <c r="D2110" s="124" t="s">
        <v>9012</v>
      </c>
      <c r="E2110" s="125"/>
      <c r="F2110" s="118" t="s">
        <v>622</v>
      </c>
      <c r="G2110" s="126" t="s">
        <v>9000</v>
      </c>
      <c r="H2110" s="255">
        <v>4</v>
      </c>
      <c r="I2110" s="361">
        <v>1</v>
      </c>
      <c r="J2110" s="362" t="s">
        <v>286</v>
      </c>
      <c r="K2110" s="329"/>
      <c r="L2110" s="129"/>
      <c r="M2110" s="129"/>
      <c r="N2110" s="129"/>
      <c r="O2110" s="129"/>
      <c r="P2110" s="372"/>
      <c r="Q2110" s="372"/>
      <c r="R2110" s="129"/>
      <c r="S2110" s="129"/>
      <c r="T2110" s="129"/>
      <c r="W2110" s="129" t="s">
        <v>286</v>
      </c>
      <c r="X2110" s="337" t="b">
        <f t="shared" si="66"/>
        <v>1</v>
      </c>
    </row>
    <row r="2111" spans="1:24" s="360" customFormat="1" ht="12" customHeight="1" outlineLevel="1">
      <c r="A2111" s="365"/>
      <c r="B2111" s="118" t="s">
        <v>12</v>
      </c>
      <c r="C2111" s="334" t="s">
        <v>9013</v>
      </c>
      <c r="D2111" s="124" t="s">
        <v>9014</v>
      </c>
      <c r="E2111" s="125"/>
      <c r="F2111" s="118" t="s">
        <v>622</v>
      </c>
      <c r="G2111" s="126" t="s">
        <v>9000</v>
      </c>
      <c r="H2111" s="255">
        <v>4</v>
      </c>
      <c r="I2111" s="361">
        <v>1</v>
      </c>
      <c r="J2111" s="362" t="s">
        <v>286</v>
      </c>
      <c r="K2111" s="329"/>
      <c r="L2111" s="129"/>
      <c r="M2111" s="129"/>
      <c r="N2111" s="129"/>
      <c r="O2111" s="129"/>
      <c r="P2111" s="372"/>
      <c r="Q2111" s="372"/>
      <c r="R2111" s="129"/>
      <c r="S2111" s="129"/>
      <c r="T2111" s="129"/>
      <c r="W2111" s="129" t="s">
        <v>286</v>
      </c>
      <c r="X2111" s="337" t="b">
        <f t="shared" si="66"/>
        <v>1</v>
      </c>
    </row>
    <row r="2112" spans="1:24" s="360" customFormat="1" ht="12" customHeight="1" outlineLevel="1">
      <c r="A2112" s="365"/>
      <c r="B2112" s="118" t="s">
        <v>12</v>
      </c>
      <c r="C2112" s="334" t="s">
        <v>9015</v>
      </c>
      <c r="D2112" s="124" t="s">
        <v>9016</v>
      </c>
      <c r="E2112" s="125"/>
      <c r="F2112" s="118" t="s">
        <v>622</v>
      </c>
      <c r="G2112" s="126" t="s">
        <v>9000</v>
      </c>
      <c r="H2112" s="255">
        <v>4</v>
      </c>
      <c r="I2112" s="361">
        <v>1</v>
      </c>
      <c r="J2112" s="362" t="s">
        <v>286</v>
      </c>
      <c r="K2112" s="329"/>
      <c r="L2112" s="129"/>
      <c r="M2112" s="129"/>
      <c r="N2112" s="129"/>
      <c r="O2112" s="129"/>
      <c r="P2112" s="372"/>
      <c r="Q2112" s="372"/>
      <c r="R2112" s="129"/>
      <c r="S2112" s="129"/>
      <c r="T2112" s="129"/>
      <c r="W2112" s="129" t="s">
        <v>286</v>
      </c>
      <c r="X2112" s="337" t="b">
        <f t="shared" si="66"/>
        <v>1</v>
      </c>
    </row>
    <row r="2113" spans="1:24" s="360" customFormat="1" ht="12" customHeight="1" outlineLevel="1">
      <c r="A2113" s="365"/>
      <c r="B2113" s="118" t="s">
        <v>12</v>
      </c>
      <c r="C2113" s="334" t="s">
        <v>9017</v>
      </c>
      <c r="D2113" s="124" t="s">
        <v>9018</v>
      </c>
      <c r="E2113" s="125"/>
      <c r="F2113" s="118" t="s">
        <v>622</v>
      </c>
      <c r="G2113" s="126" t="s">
        <v>9000</v>
      </c>
      <c r="H2113" s="255">
        <v>4</v>
      </c>
      <c r="I2113" s="361">
        <v>1</v>
      </c>
      <c r="J2113" s="362" t="s">
        <v>286</v>
      </c>
      <c r="K2113" s="329"/>
      <c r="L2113" s="129"/>
      <c r="M2113" s="129"/>
      <c r="N2113" s="129"/>
      <c r="O2113" s="129"/>
      <c r="P2113" s="372"/>
      <c r="Q2113" s="372"/>
      <c r="R2113" s="129"/>
      <c r="S2113" s="129"/>
      <c r="T2113" s="129"/>
      <c r="W2113" s="129" t="s">
        <v>286</v>
      </c>
      <c r="X2113" s="337" t="b">
        <f t="shared" ref="X2113:X2176" si="67">W2113=J2113</f>
        <v>1</v>
      </c>
    </row>
    <row r="2114" spans="1:24" s="360" customFormat="1" ht="12" customHeight="1" outlineLevel="1">
      <c r="A2114" s="365"/>
      <c r="B2114" s="118" t="s">
        <v>12</v>
      </c>
      <c r="C2114" s="334" t="s">
        <v>9019</v>
      </c>
      <c r="D2114" s="124" t="s">
        <v>9020</v>
      </c>
      <c r="E2114" s="125"/>
      <c r="F2114" s="118" t="s">
        <v>622</v>
      </c>
      <c r="G2114" s="126" t="s">
        <v>9000</v>
      </c>
      <c r="H2114" s="255">
        <v>4</v>
      </c>
      <c r="I2114" s="361">
        <v>1</v>
      </c>
      <c r="J2114" s="362" t="s">
        <v>286</v>
      </c>
      <c r="K2114" s="329"/>
      <c r="L2114" s="129"/>
      <c r="M2114" s="129"/>
      <c r="N2114" s="129"/>
      <c r="O2114" s="129"/>
      <c r="P2114" s="372"/>
      <c r="Q2114" s="372"/>
      <c r="R2114" s="129"/>
      <c r="S2114" s="129"/>
      <c r="T2114" s="129"/>
      <c r="W2114" s="129" t="s">
        <v>286</v>
      </c>
      <c r="X2114" s="337" t="b">
        <f t="shared" si="67"/>
        <v>1</v>
      </c>
    </row>
    <row r="2115" spans="1:24" s="360" customFormat="1" ht="12" customHeight="1" outlineLevel="1">
      <c r="A2115" s="365"/>
      <c r="B2115" s="118" t="s">
        <v>12</v>
      </c>
      <c r="C2115" s="334" t="s">
        <v>9021</v>
      </c>
      <c r="D2115" s="124" t="s">
        <v>9022</v>
      </c>
      <c r="E2115" s="125"/>
      <c r="F2115" s="118" t="s">
        <v>622</v>
      </c>
      <c r="G2115" s="126" t="s">
        <v>9000</v>
      </c>
      <c r="H2115" s="255">
        <v>4</v>
      </c>
      <c r="I2115" s="361">
        <v>1</v>
      </c>
      <c r="J2115" s="362" t="s">
        <v>286</v>
      </c>
      <c r="K2115" s="329"/>
      <c r="L2115" s="129"/>
      <c r="M2115" s="129"/>
      <c r="N2115" s="129"/>
      <c r="O2115" s="129"/>
      <c r="P2115" s="372"/>
      <c r="Q2115" s="372"/>
      <c r="R2115" s="129"/>
      <c r="S2115" s="129"/>
      <c r="T2115" s="129"/>
      <c r="W2115" s="129" t="s">
        <v>286</v>
      </c>
      <c r="X2115" s="337" t="b">
        <f t="shared" si="67"/>
        <v>1</v>
      </c>
    </row>
    <row r="2116" spans="1:24" s="360" customFormat="1" ht="12" customHeight="1" outlineLevel="1">
      <c r="A2116" s="365"/>
      <c r="B2116" s="118" t="s">
        <v>12</v>
      </c>
      <c r="C2116" s="334" t="s">
        <v>9023</v>
      </c>
      <c r="D2116" s="124" t="s">
        <v>9024</v>
      </c>
      <c r="E2116" s="125"/>
      <c r="F2116" s="118" t="s">
        <v>622</v>
      </c>
      <c r="G2116" s="126" t="s">
        <v>9000</v>
      </c>
      <c r="H2116" s="255">
        <v>4</v>
      </c>
      <c r="I2116" s="361">
        <v>1</v>
      </c>
      <c r="J2116" s="362" t="s">
        <v>286</v>
      </c>
      <c r="K2116" s="329"/>
      <c r="L2116" s="129"/>
      <c r="M2116" s="129"/>
      <c r="N2116" s="129"/>
      <c r="O2116" s="129"/>
      <c r="P2116" s="372"/>
      <c r="Q2116" s="372"/>
      <c r="R2116" s="129"/>
      <c r="S2116" s="129"/>
      <c r="T2116" s="129"/>
      <c r="W2116" s="129" t="s">
        <v>286</v>
      </c>
      <c r="X2116" s="337" t="b">
        <f t="shared" si="67"/>
        <v>1</v>
      </c>
    </row>
    <row r="2117" spans="1:24" s="360" customFormat="1" ht="12" customHeight="1" outlineLevel="1">
      <c r="A2117" s="365"/>
      <c r="B2117" s="118" t="s">
        <v>12</v>
      </c>
      <c r="C2117" s="334" t="s">
        <v>9025</v>
      </c>
      <c r="D2117" s="124" t="s">
        <v>9026</v>
      </c>
      <c r="E2117" s="125"/>
      <c r="F2117" s="118" t="s">
        <v>622</v>
      </c>
      <c r="G2117" s="126" t="s">
        <v>9000</v>
      </c>
      <c r="H2117" s="255">
        <v>4</v>
      </c>
      <c r="I2117" s="361">
        <v>1</v>
      </c>
      <c r="J2117" s="362" t="s">
        <v>286</v>
      </c>
      <c r="K2117" s="329"/>
      <c r="L2117" s="129"/>
      <c r="M2117" s="129"/>
      <c r="N2117" s="129"/>
      <c r="O2117" s="129"/>
      <c r="P2117" s="372"/>
      <c r="Q2117" s="372"/>
      <c r="R2117" s="129"/>
      <c r="S2117" s="129"/>
      <c r="T2117" s="129"/>
      <c r="W2117" s="129" t="s">
        <v>286</v>
      </c>
      <c r="X2117" s="337" t="b">
        <f t="shared" si="67"/>
        <v>1</v>
      </c>
    </row>
    <row r="2118" spans="1:24" s="360" customFormat="1" ht="12" customHeight="1" outlineLevel="1">
      <c r="A2118" s="365"/>
      <c r="B2118" s="118" t="s">
        <v>12</v>
      </c>
      <c r="C2118" s="334" t="s">
        <v>9027</v>
      </c>
      <c r="D2118" s="124" t="s">
        <v>9028</v>
      </c>
      <c r="E2118" s="125"/>
      <c r="F2118" s="118" t="s">
        <v>622</v>
      </c>
      <c r="G2118" s="126" t="s">
        <v>9000</v>
      </c>
      <c r="H2118" s="255">
        <v>4</v>
      </c>
      <c r="I2118" s="361">
        <v>1</v>
      </c>
      <c r="J2118" s="362" t="s">
        <v>286</v>
      </c>
      <c r="K2118" s="329"/>
      <c r="L2118" s="129"/>
      <c r="M2118" s="129"/>
      <c r="N2118" s="129"/>
      <c r="O2118" s="129"/>
      <c r="P2118" s="372"/>
      <c r="Q2118" s="372"/>
      <c r="R2118" s="129"/>
      <c r="S2118" s="129"/>
      <c r="T2118" s="129"/>
      <c r="W2118" s="129" t="s">
        <v>286</v>
      </c>
      <c r="X2118" s="337" t="b">
        <f t="shared" si="67"/>
        <v>1</v>
      </c>
    </row>
    <row r="2119" spans="1:24" s="360" customFormat="1" ht="12" customHeight="1" outlineLevel="1">
      <c r="A2119" s="365"/>
      <c r="B2119" s="118" t="s">
        <v>12</v>
      </c>
      <c r="C2119" s="334" t="s">
        <v>9029</v>
      </c>
      <c r="D2119" s="124" t="s">
        <v>9030</v>
      </c>
      <c r="E2119" s="125"/>
      <c r="F2119" s="118" t="s">
        <v>622</v>
      </c>
      <c r="G2119" s="126" t="s">
        <v>9000</v>
      </c>
      <c r="H2119" s="255">
        <v>4</v>
      </c>
      <c r="I2119" s="361">
        <v>1</v>
      </c>
      <c r="J2119" s="362" t="s">
        <v>286</v>
      </c>
      <c r="K2119" s="329"/>
      <c r="L2119" s="129"/>
      <c r="M2119" s="129"/>
      <c r="N2119" s="129"/>
      <c r="O2119" s="129"/>
      <c r="P2119" s="372"/>
      <c r="Q2119" s="372"/>
      <c r="R2119" s="129"/>
      <c r="S2119" s="129"/>
      <c r="T2119" s="129"/>
      <c r="W2119" s="129" t="s">
        <v>286</v>
      </c>
      <c r="X2119" s="337" t="b">
        <f t="shared" si="67"/>
        <v>1</v>
      </c>
    </row>
    <row r="2120" spans="1:24" s="360" customFormat="1" ht="12" customHeight="1" outlineLevel="1">
      <c r="A2120" s="365"/>
      <c r="B2120" s="118" t="s">
        <v>12</v>
      </c>
      <c r="C2120" s="334" t="s">
        <v>9031</v>
      </c>
      <c r="D2120" s="124" t="s">
        <v>9032</v>
      </c>
      <c r="E2120" s="125"/>
      <c r="F2120" s="118" t="s">
        <v>622</v>
      </c>
      <c r="G2120" s="126" t="s">
        <v>9000</v>
      </c>
      <c r="H2120" s="255">
        <v>4</v>
      </c>
      <c r="I2120" s="361">
        <v>1</v>
      </c>
      <c r="J2120" s="362" t="s">
        <v>286</v>
      </c>
      <c r="K2120" s="329"/>
      <c r="L2120" s="129"/>
      <c r="M2120" s="129"/>
      <c r="N2120" s="129"/>
      <c r="O2120" s="129"/>
      <c r="P2120" s="372"/>
      <c r="Q2120" s="372"/>
      <c r="R2120" s="129"/>
      <c r="S2120" s="129"/>
      <c r="T2120" s="129"/>
      <c r="W2120" s="129" t="s">
        <v>286</v>
      </c>
      <c r="X2120" s="337" t="b">
        <f t="shared" si="67"/>
        <v>1</v>
      </c>
    </row>
    <row r="2121" spans="1:24" s="360" customFormat="1" ht="12" customHeight="1" outlineLevel="1">
      <c r="A2121" s="365"/>
      <c r="B2121" s="118" t="s">
        <v>12</v>
      </c>
      <c r="C2121" s="334" t="s">
        <v>9033</v>
      </c>
      <c r="D2121" s="124" t="s">
        <v>9034</v>
      </c>
      <c r="E2121" s="125"/>
      <c r="F2121" s="118" t="s">
        <v>622</v>
      </c>
      <c r="G2121" s="126" t="s">
        <v>9000</v>
      </c>
      <c r="H2121" s="255">
        <v>4</v>
      </c>
      <c r="I2121" s="361">
        <v>1</v>
      </c>
      <c r="J2121" s="362" t="s">
        <v>286</v>
      </c>
      <c r="K2121" s="329"/>
      <c r="L2121" s="129"/>
      <c r="M2121" s="129"/>
      <c r="N2121" s="129"/>
      <c r="O2121" s="129"/>
      <c r="P2121" s="372"/>
      <c r="Q2121" s="372"/>
      <c r="R2121" s="129"/>
      <c r="S2121" s="129"/>
      <c r="T2121" s="129"/>
      <c r="W2121" s="129" t="s">
        <v>286</v>
      </c>
      <c r="X2121" s="337" t="b">
        <f t="shared" si="67"/>
        <v>1</v>
      </c>
    </row>
    <row r="2122" spans="1:24" s="360" customFormat="1" ht="12" customHeight="1" outlineLevel="1">
      <c r="A2122" s="365"/>
      <c r="B2122" s="118" t="s">
        <v>12</v>
      </c>
      <c r="C2122" s="334" t="s">
        <v>9035</v>
      </c>
      <c r="D2122" s="124" t="s">
        <v>9036</v>
      </c>
      <c r="E2122" s="125"/>
      <c r="F2122" s="118" t="s">
        <v>622</v>
      </c>
      <c r="G2122" s="126" t="s">
        <v>9000</v>
      </c>
      <c r="H2122" s="255">
        <v>4</v>
      </c>
      <c r="I2122" s="361">
        <v>1</v>
      </c>
      <c r="J2122" s="362" t="s">
        <v>286</v>
      </c>
      <c r="K2122" s="329"/>
      <c r="L2122" s="129"/>
      <c r="M2122" s="129"/>
      <c r="N2122" s="129"/>
      <c r="O2122" s="129"/>
      <c r="P2122" s="372"/>
      <c r="Q2122" s="372"/>
      <c r="R2122" s="129"/>
      <c r="S2122" s="129"/>
      <c r="T2122" s="129"/>
      <c r="W2122" s="129" t="s">
        <v>286</v>
      </c>
      <c r="X2122" s="337" t="b">
        <f t="shared" si="67"/>
        <v>1</v>
      </c>
    </row>
    <row r="2123" spans="1:24" s="360" customFormat="1" ht="12" customHeight="1" outlineLevel="1">
      <c r="A2123" s="365"/>
      <c r="B2123" s="118" t="s">
        <v>12</v>
      </c>
      <c r="C2123" s="334" t="s">
        <v>9037</v>
      </c>
      <c r="D2123" s="124" t="s">
        <v>9038</v>
      </c>
      <c r="E2123" s="125"/>
      <c r="F2123" s="118" t="s">
        <v>622</v>
      </c>
      <c r="G2123" s="126" t="s">
        <v>9000</v>
      </c>
      <c r="H2123" s="255">
        <v>4</v>
      </c>
      <c r="I2123" s="361">
        <v>1</v>
      </c>
      <c r="J2123" s="362" t="s">
        <v>286</v>
      </c>
      <c r="K2123" s="329"/>
      <c r="L2123" s="129"/>
      <c r="M2123" s="129"/>
      <c r="N2123" s="129"/>
      <c r="O2123" s="129"/>
      <c r="P2123" s="372"/>
      <c r="Q2123" s="372"/>
      <c r="R2123" s="129"/>
      <c r="S2123" s="129"/>
      <c r="T2123" s="129"/>
      <c r="W2123" s="129" t="s">
        <v>286</v>
      </c>
      <c r="X2123" s="337" t="b">
        <f t="shared" si="67"/>
        <v>1</v>
      </c>
    </row>
    <row r="2124" spans="1:24" s="360" customFormat="1" ht="12" customHeight="1" outlineLevel="1">
      <c r="A2124" s="365"/>
      <c r="B2124" s="118" t="s">
        <v>12</v>
      </c>
      <c r="C2124" s="334" t="s">
        <v>9039</v>
      </c>
      <c r="D2124" s="124" t="s">
        <v>9040</v>
      </c>
      <c r="E2124" s="125"/>
      <c r="F2124" s="118" t="s">
        <v>622</v>
      </c>
      <c r="G2124" s="126" t="s">
        <v>9000</v>
      </c>
      <c r="H2124" s="255">
        <v>4</v>
      </c>
      <c r="I2124" s="361">
        <v>1</v>
      </c>
      <c r="J2124" s="362" t="s">
        <v>286</v>
      </c>
      <c r="K2124" s="329"/>
      <c r="L2124" s="129"/>
      <c r="M2124" s="129"/>
      <c r="N2124" s="129"/>
      <c r="O2124" s="129"/>
      <c r="P2124" s="372"/>
      <c r="Q2124" s="372"/>
      <c r="R2124" s="129"/>
      <c r="S2124" s="129"/>
      <c r="T2124" s="129"/>
      <c r="W2124" s="129" t="s">
        <v>286</v>
      </c>
      <c r="X2124" s="337" t="b">
        <f t="shared" si="67"/>
        <v>1</v>
      </c>
    </row>
    <row r="2125" spans="1:24" s="360" customFormat="1" ht="12" customHeight="1" outlineLevel="1">
      <c r="A2125" s="365"/>
      <c r="B2125" s="118" t="s">
        <v>12</v>
      </c>
      <c r="C2125" s="334" t="s">
        <v>9041</v>
      </c>
      <c r="D2125" s="124" t="s">
        <v>9042</v>
      </c>
      <c r="E2125" s="125"/>
      <c r="F2125" s="118" t="s">
        <v>622</v>
      </c>
      <c r="G2125" s="126" t="s">
        <v>9000</v>
      </c>
      <c r="H2125" s="255">
        <v>4</v>
      </c>
      <c r="I2125" s="361">
        <v>1</v>
      </c>
      <c r="J2125" s="362" t="s">
        <v>286</v>
      </c>
      <c r="K2125" s="329"/>
      <c r="L2125" s="129"/>
      <c r="M2125" s="129"/>
      <c r="N2125" s="129"/>
      <c r="O2125" s="129"/>
      <c r="P2125" s="372"/>
      <c r="Q2125" s="372"/>
      <c r="R2125" s="129"/>
      <c r="S2125" s="129"/>
      <c r="T2125" s="129"/>
      <c r="W2125" s="129" t="s">
        <v>286</v>
      </c>
      <c r="X2125" s="337" t="b">
        <f t="shared" si="67"/>
        <v>1</v>
      </c>
    </row>
    <row r="2126" spans="1:24" s="360" customFormat="1" ht="12" customHeight="1" outlineLevel="1">
      <c r="A2126" s="365"/>
      <c r="B2126" s="118" t="s">
        <v>12</v>
      </c>
      <c r="C2126" s="334" t="s">
        <v>9043</v>
      </c>
      <c r="D2126" s="124" t="s">
        <v>9044</v>
      </c>
      <c r="E2126" s="125"/>
      <c r="F2126" s="118" t="s">
        <v>622</v>
      </c>
      <c r="G2126" s="126" t="s">
        <v>9000</v>
      </c>
      <c r="H2126" s="255">
        <v>4</v>
      </c>
      <c r="I2126" s="361">
        <v>1</v>
      </c>
      <c r="J2126" s="362" t="s">
        <v>286</v>
      </c>
      <c r="K2126" s="329"/>
      <c r="L2126" s="129"/>
      <c r="M2126" s="129"/>
      <c r="N2126" s="129"/>
      <c r="O2126" s="129"/>
      <c r="P2126" s="372"/>
      <c r="Q2126" s="372"/>
      <c r="R2126" s="129"/>
      <c r="S2126" s="129"/>
      <c r="T2126" s="129"/>
      <c r="W2126" s="129" t="s">
        <v>286</v>
      </c>
      <c r="X2126" s="337" t="b">
        <f t="shared" si="67"/>
        <v>1</v>
      </c>
    </row>
    <row r="2127" spans="1:24" s="360" customFormat="1" ht="12" customHeight="1" outlineLevel="1">
      <c r="A2127" s="365"/>
      <c r="B2127" s="118" t="s">
        <v>12</v>
      </c>
      <c r="C2127" s="334" t="s">
        <v>9045</v>
      </c>
      <c r="D2127" s="124" t="s">
        <v>9046</v>
      </c>
      <c r="E2127" s="125"/>
      <c r="F2127" s="118" t="s">
        <v>622</v>
      </c>
      <c r="G2127" s="126" t="s">
        <v>9000</v>
      </c>
      <c r="H2127" s="255">
        <v>4</v>
      </c>
      <c r="I2127" s="361">
        <v>1</v>
      </c>
      <c r="J2127" s="362" t="s">
        <v>286</v>
      </c>
      <c r="K2127" s="329"/>
      <c r="L2127" s="129"/>
      <c r="M2127" s="129"/>
      <c r="N2127" s="129"/>
      <c r="O2127" s="129"/>
      <c r="P2127" s="372"/>
      <c r="Q2127" s="372"/>
      <c r="R2127" s="129"/>
      <c r="S2127" s="129"/>
      <c r="T2127" s="129"/>
      <c r="W2127" s="129" t="s">
        <v>286</v>
      </c>
      <c r="X2127" s="337" t="b">
        <f t="shared" si="67"/>
        <v>1</v>
      </c>
    </row>
    <row r="2128" spans="1:24" s="360" customFormat="1" ht="12" customHeight="1" outlineLevel="1">
      <c r="A2128" s="365"/>
      <c r="B2128" s="118" t="s">
        <v>12</v>
      </c>
      <c r="C2128" s="334" t="s">
        <v>9047</v>
      </c>
      <c r="D2128" s="124" t="s">
        <v>9048</v>
      </c>
      <c r="E2128" s="125"/>
      <c r="F2128" s="118" t="s">
        <v>622</v>
      </c>
      <c r="G2128" s="126" t="s">
        <v>9000</v>
      </c>
      <c r="H2128" s="255">
        <v>4</v>
      </c>
      <c r="I2128" s="361">
        <v>1</v>
      </c>
      <c r="J2128" s="362" t="s">
        <v>286</v>
      </c>
      <c r="K2128" s="329"/>
      <c r="L2128" s="129"/>
      <c r="M2128" s="129"/>
      <c r="N2128" s="129"/>
      <c r="O2128" s="129"/>
      <c r="P2128" s="372"/>
      <c r="Q2128" s="372"/>
      <c r="R2128" s="129"/>
      <c r="S2128" s="129"/>
      <c r="T2128" s="129"/>
      <c r="W2128" s="129" t="s">
        <v>286</v>
      </c>
      <c r="X2128" s="337" t="b">
        <f t="shared" si="67"/>
        <v>1</v>
      </c>
    </row>
    <row r="2129" spans="1:24" s="360" customFormat="1" ht="12" customHeight="1" outlineLevel="1">
      <c r="A2129" s="365"/>
      <c r="B2129" s="118" t="s">
        <v>12</v>
      </c>
      <c r="C2129" s="334" t="s">
        <v>9049</v>
      </c>
      <c r="D2129" s="124" t="s">
        <v>9050</v>
      </c>
      <c r="E2129" s="125"/>
      <c r="F2129" s="118" t="s">
        <v>622</v>
      </c>
      <c r="G2129" s="126" t="s">
        <v>9000</v>
      </c>
      <c r="H2129" s="255">
        <v>4</v>
      </c>
      <c r="I2129" s="361">
        <v>1</v>
      </c>
      <c r="J2129" s="362" t="s">
        <v>286</v>
      </c>
      <c r="K2129" s="329"/>
      <c r="L2129" s="129"/>
      <c r="M2129" s="129"/>
      <c r="N2129" s="129"/>
      <c r="O2129" s="129"/>
      <c r="P2129" s="372"/>
      <c r="Q2129" s="372"/>
      <c r="R2129" s="129"/>
      <c r="S2129" s="129"/>
      <c r="T2129" s="129"/>
      <c r="W2129" s="129" t="s">
        <v>286</v>
      </c>
      <c r="X2129" s="337" t="b">
        <f t="shared" si="67"/>
        <v>1</v>
      </c>
    </row>
    <row r="2130" spans="1:24" s="360" customFormat="1" ht="12" customHeight="1" outlineLevel="1">
      <c r="A2130" s="365"/>
      <c r="B2130" s="118" t="s">
        <v>12</v>
      </c>
      <c r="C2130" s="334" t="s">
        <v>9051</v>
      </c>
      <c r="D2130" s="124" t="s">
        <v>9052</v>
      </c>
      <c r="E2130" s="125"/>
      <c r="F2130" s="118" t="s">
        <v>622</v>
      </c>
      <c r="G2130" s="126" t="s">
        <v>9000</v>
      </c>
      <c r="H2130" s="255">
        <v>4</v>
      </c>
      <c r="I2130" s="361">
        <v>1</v>
      </c>
      <c r="J2130" s="362" t="s">
        <v>286</v>
      </c>
      <c r="K2130" s="329"/>
      <c r="L2130" s="129"/>
      <c r="M2130" s="129"/>
      <c r="N2130" s="129"/>
      <c r="O2130" s="129"/>
      <c r="P2130" s="372"/>
      <c r="Q2130" s="372"/>
      <c r="R2130" s="129"/>
      <c r="S2130" s="129"/>
      <c r="T2130" s="129"/>
      <c r="W2130" s="129" t="s">
        <v>286</v>
      </c>
      <c r="X2130" s="337" t="b">
        <f t="shared" si="67"/>
        <v>1</v>
      </c>
    </row>
    <row r="2131" spans="1:24" s="360" customFormat="1" ht="12" customHeight="1" outlineLevel="1">
      <c r="A2131" s="365"/>
      <c r="B2131" s="118" t="s">
        <v>12</v>
      </c>
      <c r="C2131" s="334" t="s">
        <v>9053</v>
      </c>
      <c r="D2131" s="124" t="s">
        <v>9054</v>
      </c>
      <c r="E2131" s="125"/>
      <c r="F2131" s="118" t="s">
        <v>622</v>
      </c>
      <c r="G2131" s="126" t="s">
        <v>9000</v>
      </c>
      <c r="H2131" s="255">
        <v>4</v>
      </c>
      <c r="I2131" s="361">
        <v>1</v>
      </c>
      <c r="J2131" s="362" t="s">
        <v>286</v>
      </c>
      <c r="K2131" s="329"/>
      <c r="L2131" s="129"/>
      <c r="M2131" s="129"/>
      <c r="N2131" s="129"/>
      <c r="O2131" s="129"/>
      <c r="P2131" s="372"/>
      <c r="Q2131" s="372"/>
      <c r="R2131" s="129"/>
      <c r="S2131" s="129"/>
      <c r="T2131" s="129"/>
      <c r="W2131" s="129" t="s">
        <v>286</v>
      </c>
      <c r="X2131" s="337" t="b">
        <f t="shared" si="67"/>
        <v>1</v>
      </c>
    </row>
    <row r="2132" spans="1:24" s="360" customFormat="1" ht="12" customHeight="1" outlineLevel="1">
      <c r="A2132" s="365"/>
      <c r="B2132" s="118" t="s">
        <v>12</v>
      </c>
      <c r="C2132" s="334" t="s">
        <v>9055</v>
      </c>
      <c r="D2132" s="124" t="s">
        <v>9056</v>
      </c>
      <c r="E2132" s="125"/>
      <c r="F2132" s="118" t="s">
        <v>622</v>
      </c>
      <c r="G2132" s="126" t="s">
        <v>9000</v>
      </c>
      <c r="H2132" s="255">
        <v>4</v>
      </c>
      <c r="I2132" s="361">
        <v>1</v>
      </c>
      <c r="J2132" s="362" t="s">
        <v>286</v>
      </c>
      <c r="K2132" s="329"/>
      <c r="L2132" s="129"/>
      <c r="M2132" s="129"/>
      <c r="N2132" s="129"/>
      <c r="O2132" s="129"/>
      <c r="P2132" s="372"/>
      <c r="Q2132" s="372"/>
      <c r="R2132" s="129"/>
      <c r="S2132" s="129"/>
      <c r="T2132" s="129"/>
      <c r="W2132" s="129" t="s">
        <v>286</v>
      </c>
      <c r="X2132" s="337" t="b">
        <f t="shared" si="67"/>
        <v>1</v>
      </c>
    </row>
    <row r="2133" spans="1:24" s="360" customFormat="1" ht="12" customHeight="1" outlineLevel="1">
      <c r="A2133" s="365"/>
      <c r="B2133" s="118" t="s">
        <v>12</v>
      </c>
      <c r="C2133" s="334" t="s">
        <v>9057</v>
      </c>
      <c r="D2133" s="124" t="s">
        <v>9058</v>
      </c>
      <c r="E2133" s="125"/>
      <c r="F2133" s="118" t="s">
        <v>622</v>
      </c>
      <c r="G2133" s="126" t="s">
        <v>9000</v>
      </c>
      <c r="H2133" s="255">
        <v>4</v>
      </c>
      <c r="I2133" s="361">
        <v>1</v>
      </c>
      <c r="J2133" s="362" t="s">
        <v>286</v>
      </c>
      <c r="K2133" s="329"/>
      <c r="L2133" s="129"/>
      <c r="M2133" s="129"/>
      <c r="N2133" s="129"/>
      <c r="O2133" s="129"/>
      <c r="P2133" s="372"/>
      <c r="Q2133" s="372"/>
      <c r="R2133" s="129"/>
      <c r="S2133" s="129"/>
      <c r="T2133" s="129"/>
      <c r="W2133" s="129" t="s">
        <v>286</v>
      </c>
      <c r="X2133" s="337" t="b">
        <f t="shared" si="67"/>
        <v>1</v>
      </c>
    </row>
    <row r="2134" spans="1:24" s="360" customFormat="1" ht="12" customHeight="1" outlineLevel="1">
      <c r="A2134" s="365"/>
      <c r="B2134" s="118" t="s">
        <v>12</v>
      </c>
      <c r="C2134" s="334" t="s">
        <v>9059</v>
      </c>
      <c r="D2134" s="124" t="s">
        <v>9060</v>
      </c>
      <c r="E2134" s="125"/>
      <c r="F2134" s="118" t="s">
        <v>622</v>
      </c>
      <c r="G2134" s="126" t="s">
        <v>9000</v>
      </c>
      <c r="H2134" s="255">
        <v>4</v>
      </c>
      <c r="I2134" s="361">
        <v>1</v>
      </c>
      <c r="J2134" s="362" t="s">
        <v>286</v>
      </c>
      <c r="K2134" s="329"/>
      <c r="L2134" s="129"/>
      <c r="M2134" s="129"/>
      <c r="N2134" s="129"/>
      <c r="O2134" s="129"/>
      <c r="P2134" s="372"/>
      <c r="Q2134" s="372"/>
      <c r="R2134" s="129"/>
      <c r="S2134" s="129"/>
      <c r="T2134" s="129"/>
      <c r="W2134" s="129" t="s">
        <v>286</v>
      </c>
      <c r="X2134" s="337" t="b">
        <f t="shared" si="67"/>
        <v>1</v>
      </c>
    </row>
    <row r="2135" spans="1:24" s="360" customFormat="1" ht="12" customHeight="1" outlineLevel="1">
      <c r="A2135" s="365"/>
      <c r="B2135" s="118" t="s">
        <v>12</v>
      </c>
      <c r="C2135" s="334" t="s">
        <v>9061</v>
      </c>
      <c r="D2135" s="124" t="s">
        <v>9062</v>
      </c>
      <c r="E2135" s="125"/>
      <c r="F2135" s="118" t="s">
        <v>622</v>
      </c>
      <c r="G2135" s="126" t="s">
        <v>9000</v>
      </c>
      <c r="H2135" s="255">
        <v>4</v>
      </c>
      <c r="I2135" s="361">
        <v>1</v>
      </c>
      <c r="J2135" s="362" t="s">
        <v>286</v>
      </c>
      <c r="K2135" s="329"/>
      <c r="L2135" s="129"/>
      <c r="M2135" s="129"/>
      <c r="N2135" s="129"/>
      <c r="O2135" s="129"/>
      <c r="P2135" s="372"/>
      <c r="Q2135" s="372"/>
      <c r="R2135" s="129"/>
      <c r="S2135" s="129"/>
      <c r="T2135" s="129"/>
      <c r="W2135" s="129" t="s">
        <v>286</v>
      </c>
      <c r="X2135" s="337" t="b">
        <f t="shared" si="67"/>
        <v>1</v>
      </c>
    </row>
    <row r="2136" spans="1:24" s="360" customFormat="1" ht="12" customHeight="1" outlineLevel="1">
      <c r="A2136" s="365"/>
      <c r="B2136" s="118" t="s">
        <v>12</v>
      </c>
      <c r="C2136" s="334" t="s">
        <v>9063</v>
      </c>
      <c r="D2136" s="124" t="s">
        <v>9064</v>
      </c>
      <c r="E2136" s="125"/>
      <c r="F2136" s="118" t="s">
        <v>622</v>
      </c>
      <c r="G2136" s="126" t="s">
        <v>9000</v>
      </c>
      <c r="H2136" s="255">
        <v>4</v>
      </c>
      <c r="I2136" s="361">
        <v>1</v>
      </c>
      <c r="J2136" s="362" t="s">
        <v>286</v>
      </c>
      <c r="K2136" s="329"/>
      <c r="L2136" s="129"/>
      <c r="M2136" s="129"/>
      <c r="N2136" s="129"/>
      <c r="O2136" s="129"/>
      <c r="P2136" s="372"/>
      <c r="Q2136" s="372"/>
      <c r="R2136" s="129"/>
      <c r="S2136" s="129"/>
      <c r="T2136" s="129"/>
      <c r="W2136" s="129" t="s">
        <v>286</v>
      </c>
      <c r="X2136" s="337" t="b">
        <f t="shared" si="67"/>
        <v>1</v>
      </c>
    </row>
    <row r="2137" spans="1:24" s="360" customFormat="1" ht="12" customHeight="1" outlineLevel="1">
      <c r="A2137" s="365"/>
      <c r="B2137" s="118" t="s">
        <v>12</v>
      </c>
      <c r="C2137" s="334" t="s">
        <v>9065</v>
      </c>
      <c r="D2137" s="124" t="s">
        <v>9066</v>
      </c>
      <c r="E2137" s="125"/>
      <c r="F2137" s="118" t="s">
        <v>622</v>
      </c>
      <c r="G2137" s="126" t="s">
        <v>9000</v>
      </c>
      <c r="H2137" s="255">
        <v>4</v>
      </c>
      <c r="I2137" s="361">
        <v>1</v>
      </c>
      <c r="J2137" s="362" t="s">
        <v>286</v>
      </c>
      <c r="K2137" s="329"/>
      <c r="L2137" s="129"/>
      <c r="M2137" s="129"/>
      <c r="N2137" s="129"/>
      <c r="O2137" s="129"/>
      <c r="P2137" s="372"/>
      <c r="Q2137" s="372"/>
      <c r="R2137" s="129"/>
      <c r="S2137" s="129"/>
      <c r="T2137" s="129"/>
      <c r="W2137" s="129" t="s">
        <v>286</v>
      </c>
      <c r="X2137" s="337" t="b">
        <f t="shared" si="67"/>
        <v>1</v>
      </c>
    </row>
    <row r="2138" spans="1:24" s="360" customFormat="1" ht="12" customHeight="1" outlineLevel="1">
      <c r="A2138" s="365"/>
      <c r="B2138" s="118" t="s">
        <v>12</v>
      </c>
      <c r="C2138" s="334" t="s">
        <v>9067</v>
      </c>
      <c r="D2138" s="124" t="s">
        <v>9068</v>
      </c>
      <c r="E2138" s="125"/>
      <c r="F2138" s="118" t="s">
        <v>622</v>
      </c>
      <c r="G2138" s="126" t="s">
        <v>9000</v>
      </c>
      <c r="H2138" s="255">
        <v>4</v>
      </c>
      <c r="I2138" s="361">
        <v>1</v>
      </c>
      <c r="J2138" s="362" t="s">
        <v>286</v>
      </c>
      <c r="K2138" s="329"/>
      <c r="L2138" s="129"/>
      <c r="M2138" s="129"/>
      <c r="N2138" s="129"/>
      <c r="O2138" s="129"/>
      <c r="P2138" s="372"/>
      <c r="Q2138" s="372"/>
      <c r="R2138" s="129"/>
      <c r="S2138" s="129"/>
      <c r="T2138" s="129"/>
      <c r="W2138" s="129" t="s">
        <v>286</v>
      </c>
      <c r="X2138" s="337" t="b">
        <f t="shared" si="67"/>
        <v>1</v>
      </c>
    </row>
    <row r="2139" spans="1:24" s="360" customFormat="1" ht="12" customHeight="1" outlineLevel="1">
      <c r="A2139" s="365"/>
      <c r="B2139" s="118" t="s">
        <v>12</v>
      </c>
      <c r="C2139" s="334" t="s">
        <v>9069</v>
      </c>
      <c r="D2139" s="124" t="s">
        <v>9070</v>
      </c>
      <c r="E2139" s="125"/>
      <c r="F2139" s="118" t="s">
        <v>622</v>
      </c>
      <c r="G2139" s="126" t="s">
        <v>9000</v>
      </c>
      <c r="H2139" s="255">
        <v>4</v>
      </c>
      <c r="I2139" s="361">
        <v>1</v>
      </c>
      <c r="J2139" s="362" t="s">
        <v>286</v>
      </c>
      <c r="K2139" s="329"/>
      <c r="L2139" s="129"/>
      <c r="M2139" s="129"/>
      <c r="N2139" s="129"/>
      <c r="O2139" s="129"/>
      <c r="P2139" s="372"/>
      <c r="Q2139" s="372"/>
      <c r="R2139" s="129"/>
      <c r="S2139" s="129"/>
      <c r="T2139" s="129"/>
      <c r="W2139" s="129" t="s">
        <v>286</v>
      </c>
      <c r="X2139" s="337" t="b">
        <f t="shared" si="67"/>
        <v>1</v>
      </c>
    </row>
    <row r="2140" spans="1:24" s="360" customFormat="1" ht="12" customHeight="1" outlineLevel="1">
      <c r="A2140" s="365"/>
      <c r="B2140" s="118" t="s">
        <v>12</v>
      </c>
      <c r="C2140" s="334" t="s">
        <v>9071</v>
      </c>
      <c r="D2140" s="124" t="s">
        <v>9072</v>
      </c>
      <c r="E2140" s="125"/>
      <c r="F2140" s="118" t="s">
        <v>622</v>
      </c>
      <c r="G2140" s="126" t="s">
        <v>9000</v>
      </c>
      <c r="H2140" s="255">
        <v>4</v>
      </c>
      <c r="I2140" s="361">
        <v>1</v>
      </c>
      <c r="J2140" s="362" t="s">
        <v>286</v>
      </c>
      <c r="K2140" s="329"/>
      <c r="L2140" s="129"/>
      <c r="M2140" s="129"/>
      <c r="N2140" s="129"/>
      <c r="O2140" s="129"/>
      <c r="P2140" s="372"/>
      <c r="Q2140" s="372"/>
      <c r="R2140" s="129"/>
      <c r="S2140" s="129"/>
      <c r="T2140" s="129"/>
      <c r="W2140" s="129" t="s">
        <v>286</v>
      </c>
      <c r="X2140" s="337" t="b">
        <f t="shared" si="67"/>
        <v>1</v>
      </c>
    </row>
    <row r="2141" spans="1:24" s="360" customFormat="1" ht="12" customHeight="1" outlineLevel="1">
      <c r="A2141" s="365"/>
      <c r="B2141" s="118" t="s">
        <v>12</v>
      </c>
      <c r="C2141" s="334" t="s">
        <v>9073</v>
      </c>
      <c r="D2141" s="124" t="s">
        <v>9074</v>
      </c>
      <c r="E2141" s="125"/>
      <c r="F2141" s="118" t="s">
        <v>622</v>
      </c>
      <c r="G2141" s="126" t="s">
        <v>9000</v>
      </c>
      <c r="H2141" s="255">
        <v>4</v>
      </c>
      <c r="I2141" s="361">
        <v>1</v>
      </c>
      <c r="J2141" s="362" t="s">
        <v>286</v>
      </c>
      <c r="K2141" s="329"/>
      <c r="L2141" s="129"/>
      <c r="M2141" s="129"/>
      <c r="N2141" s="129"/>
      <c r="O2141" s="129"/>
      <c r="P2141" s="372"/>
      <c r="Q2141" s="372"/>
      <c r="R2141" s="129"/>
      <c r="S2141" s="129"/>
      <c r="T2141" s="129"/>
      <c r="W2141" s="129" t="s">
        <v>286</v>
      </c>
      <c r="X2141" s="337" t="b">
        <f t="shared" si="67"/>
        <v>1</v>
      </c>
    </row>
    <row r="2142" spans="1:24" s="360" customFormat="1" ht="12" customHeight="1" outlineLevel="1">
      <c r="A2142" s="365"/>
      <c r="B2142" s="118" t="s">
        <v>12</v>
      </c>
      <c r="C2142" s="334" t="s">
        <v>9075</v>
      </c>
      <c r="D2142" s="124" t="s">
        <v>9076</v>
      </c>
      <c r="E2142" s="125"/>
      <c r="F2142" s="118" t="s">
        <v>622</v>
      </c>
      <c r="G2142" s="126" t="s">
        <v>9000</v>
      </c>
      <c r="H2142" s="255">
        <v>4</v>
      </c>
      <c r="I2142" s="361">
        <v>1</v>
      </c>
      <c r="J2142" s="362" t="s">
        <v>286</v>
      </c>
      <c r="K2142" s="329"/>
      <c r="L2142" s="129"/>
      <c r="M2142" s="129"/>
      <c r="N2142" s="129"/>
      <c r="O2142" s="129"/>
      <c r="P2142" s="372"/>
      <c r="Q2142" s="372"/>
      <c r="R2142" s="129"/>
      <c r="S2142" s="129"/>
      <c r="T2142" s="129"/>
      <c r="W2142" s="129" t="s">
        <v>286</v>
      </c>
      <c r="X2142" s="337" t="b">
        <f t="shared" si="67"/>
        <v>1</v>
      </c>
    </row>
    <row r="2143" spans="1:24" s="360" customFormat="1" ht="12" customHeight="1" outlineLevel="1">
      <c r="A2143" s="365"/>
      <c r="B2143" s="118" t="s">
        <v>12</v>
      </c>
      <c r="C2143" s="334" t="s">
        <v>9077</v>
      </c>
      <c r="D2143" s="124" t="s">
        <v>9078</v>
      </c>
      <c r="E2143" s="125"/>
      <c r="F2143" s="118" t="s">
        <v>622</v>
      </c>
      <c r="G2143" s="126" t="s">
        <v>9000</v>
      </c>
      <c r="H2143" s="255">
        <v>4</v>
      </c>
      <c r="I2143" s="361">
        <v>1</v>
      </c>
      <c r="J2143" s="362" t="s">
        <v>286</v>
      </c>
      <c r="K2143" s="329"/>
      <c r="L2143" s="129"/>
      <c r="M2143" s="129"/>
      <c r="N2143" s="129"/>
      <c r="O2143" s="129"/>
      <c r="P2143" s="372"/>
      <c r="Q2143" s="372"/>
      <c r="R2143" s="129"/>
      <c r="S2143" s="129"/>
      <c r="T2143" s="129"/>
      <c r="W2143" s="129" t="s">
        <v>286</v>
      </c>
      <c r="X2143" s="337" t="b">
        <f t="shared" si="67"/>
        <v>1</v>
      </c>
    </row>
    <row r="2144" spans="1:24" s="360" customFormat="1" ht="12" customHeight="1" outlineLevel="1">
      <c r="A2144" s="365"/>
      <c r="B2144" s="118" t="s">
        <v>12</v>
      </c>
      <c r="C2144" s="334" t="s">
        <v>9079</v>
      </c>
      <c r="D2144" s="124" t="s">
        <v>9080</v>
      </c>
      <c r="E2144" s="125"/>
      <c r="F2144" s="118" t="s">
        <v>622</v>
      </c>
      <c r="G2144" s="126" t="s">
        <v>9000</v>
      </c>
      <c r="H2144" s="255">
        <v>4</v>
      </c>
      <c r="I2144" s="361">
        <v>1</v>
      </c>
      <c r="J2144" s="362" t="s">
        <v>286</v>
      </c>
      <c r="K2144" s="329"/>
      <c r="L2144" s="129"/>
      <c r="M2144" s="129"/>
      <c r="N2144" s="129"/>
      <c r="O2144" s="129"/>
      <c r="P2144" s="372"/>
      <c r="Q2144" s="372"/>
      <c r="R2144" s="129"/>
      <c r="S2144" s="129"/>
      <c r="T2144" s="129"/>
      <c r="W2144" s="129" t="s">
        <v>286</v>
      </c>
      <c r="X2144" s="337" t="b">
        <f t="shared" si="67"/>
        <v>1</v>
      </c>
    </row>
    <row r="2145" spans="1:24" s="360" customFormat="1" ht="12" customHeight="1" outlineLevel="1">
      <c r="A2145" s="365"/>
      <c r="B2145" s="118" t="s">
        <v>12</v>
      </c>
      <c r="C2145" s="334" t="s">
        <v>9081</v>
      </c>
      <c r="D2145" s="124" t="s">
        <v>9082</v>
      </c>
      <c r="E2145" s="125"/>
      <c r="F2145" s="118" t="s">
        <v>622</v>
      </c>
      <c r="G2145" s="126" t="s">
        <v>9000</v>
      </c>
      <c r="H2145" s="255">
        <v>4</v>
      </c>
      <c r="I2145" s="361">
        <v>1</v>
      </c>
      <c r="J2145" s="362" t="s">
        <v>286</v>
      </c>
      <c r="K2145" s="329"/>
      <c r="L2145" s="129"/>
      <c r="M2145" s="129"/>
      <c r="N2145" s="129"/>
      <c r="O2145" s="129"/>
      <c r="P2145" s="372"/>
      <c r="Q2145" s="372"/>
      <c r="R2145" s="129"/>
      <c r="S2145" s="129"/>
      <c r="T2145" s="129"/>
      <c r="W2145" s="129" t="s">
        <v>286</v>
      </c>
      <c r="X2145" s="337" t="b">
        <f t="shared" si="67"/>
        <v>1</v>
      </c>
    </row>
    <row r="2146" spans="1:24" s="360" customFormat="1" ht="12" customHeight="1" outlineLevel="1">
      <c r="A2146" s="365"/>
      <c r="B2146" s="118" t="s">
        <v>12</v>
      </c>
      <c r="C2146" s="334" t="s">
        <v>9083</v>
      </c>
      <c r="D2146" s="124" t="s">
        <v>9084</v>
      </c>
      <c r="E2146" s="125"/>
      <c r="F2146" s="118" t="s">
        <v>622</v>
      </c>
      <c r="G2146" s="126" t="s">
        <v>9000</v>
      </c>
      <c r="H2146" s="255">
        <v>4</v>
      </c>
      <c r="I2146" s="361">
        <v>1</v>
      </c>
      <c r="J2146" s="362" t="s">
        <v>286</v>
      </c>
      <c r="K2146" s="329"/>
      <c r="L2146" s="129"/>
      <c r="M2146" s="129"/>
      <c r="N2146" s="129"/>
      <c r="O2146" s="129"/>
      <c r="P2146" s="372"/>
      <c r="Q2146" s="372"/>
      <c r="R2146" s="129"/>
      <c r="S2146" s="129"/>
      <c r="T2146" s="129"/>
      <c r="W2146" s="129" t="s">
        <v>286</v>
      </c>
      <c r="X2146" s="337" t="b">
        <f t="shared" si="67"/>
        <v>1</v>
      </c>
    </row>
    <row r="2147" spans="1:24" s="360" customFormat="1" ht="12" customHeight="1" outlineLevel="1">
      <c r="A2147" s="365"/>
      <c r="B2147" s="118" t="s">
        <v>12</v>
      </c>
      <c r="C2147" s="334" t="s">
        <v>9085</v>
      </c>
      <c r="D2147" s="124" t="s">
        <v>9086</v>
      </c>
      <c r="E2147" s="125"/>
      <c r="F2147" s="118" t="s">
        <v>622</v>
      </c>
      <c r="G2147" s="126" t="s">
        <v>9000</v>
      </c>
      <c r="H2147" s="255">
        <v>4</v>
      </c>
      <c r="I2147" s="361">
        <v>1</v>
      </c>
      <c r="J2147" s="362" t="s">
        <v>286</v>
      </c>
      <c r="K2147" s="329"/>
      <c r="L2147" s="129"/>
      <c r="M2147" s="129"/>
      <c r="N2147" s="129"/>
      <c r="O2147" s="129"/>
      <c r="P2147" s="372"/>
      <c r="Q2147" s="372"/>
      <c r="R2147" s="129"/>
      <c r="S2147" s="129"/>
      <c r="T2147" s="129"/>
      <c r="W2147" s="129" t="s">
        <v>286</v>
      </c>
      <c r="X2147" s="337" t="b">
        <f t="shared" si="67"/>
        <v>1</v>
      </c>
    </row>
    <row r="2148" spans="1:24" s="360" customFormat="1" ht="12" customHeight="1" outlineLevel="1">
      <c r="A2148" s="365"/>
      <c r="B2148" s="118" t="s">
        <v>12</v>
      </c>
      <c r="C2148" s="334" t="s">
        <v>9087</v>
      </c>
      <c r="D2148" s="124" t="s">
        <v>9088</v>
      </c>
      <c r="E2148" s="125"/>
      <c r="F2148" s="118" t="s">
        <v>622</v>
      </c>
      <c r="G2148" s="126" t="s">
        <v>9000</v>
      </c>
      <c r="H2148" s="255">
        <v>4</v>
      </c>
      <c r="I2148" s="361">
        <v>1</v>
      </c>
      <c r="J2148" s="362" t="s">
        <v>286</v>
      </c>
      <c r="K2148" s="329"/>
      <c r="L2148" s="129"/>
      <c r="M2148" s="129"/>
      <c r="N2148" s="129"/>
      <c r="O2148" s="129"/>
      <c r="P2148" s="372"/>
      <c r="Q2148" s="372"/>
      <c r="R2148" s="129"/>
      <c r="S2148" s="129"/>
      <c r="T2148" s="129"/>
      <c r="W2148" s="129" t="s">
        <v>286</v>
      </c>
      <c r="X2148" s="337" t="b">
        <f t="shared" si="67"/>
        <v>1</v>
      </c>
    </row>
    <row r="2149" spans="1:24" s="360" customFormat="1" ht="12" customHeight="1" outlineLevel="1">
      <c r="A2149" s="365"/>
      <c r="B2149" s="118" t="s">
        <v>12</v>
      </c>
      <c r="C2149" s="334" t="s">
        <v>9089</v>
      </c>
      <c r="D2149" s="124" t="s">
        <v>9090</v>
      </c>
      <c r="E2149" s="125"/>
      <c r="F2149" s="118" t="s">
        <v>622</v>
      </c>
      <c r="G2149" s="126" t="s">
        <v>9000</v>
      </c>
      <c r="H2149" s="255">
        <v>4</v>
      </c>
      <c r="I2149" s="361">
        <v>1</v>
      </c>
      <c r="J2149" s="362" t="s">
        <v>286</v>
      </c>
      <c r="K2149" s="329"/>
      <c r="L2149" s="129"/>
      <c r="M2149" s="129"/>
      <c r="N2149" s="129"/>
      <c r="O2149" s="129"/>
      <c r="P2149" s="372"/>
      <c r="Q2149" s="372"/>
      <c r="R2149" s="129"/>
      <c r="S2149" s="129"/>
      <c r="T2149" s="129"/>
      <c r="W2149" s="129" t="s">
        <v>286</v>
      </c>
      <c r="X2149" s="337" t="b">
        <f t="shared" si="67"/>
        <v>1</v>
      </c>
    </row>
    <row r="2150" spans="1:24" s="360" customFormat="1" ht="12" customHeight="1" outlineLevel="1">
      <c r="A2150" s="365"/>
      <c r="B2150" s="118" t="s">
        <v>12</v>
      </c>
      <c r="C2150" s="334" t="s">
        <v>9091</v>
      </c>
      <c r="D2150" s="124" t="s">
        <v>9092</v>
      </c>
      <c r="E2150" s="125"/>
      <c r="F2150" s="118" t="s">
        <v>622</v>
      </c>
      <c r="G2150" s="126" t="s">
        <v>9000</v>
      </c>
      <c r="H2150" s="255">
        <v>4</v>
      </c>
      <c r="I2150" s="361">
        <v>1</v>
      </c>
      <c r="J2150" s="362" t="s">
        <v>286</v>
      </c>
      <c r="K2150" s="329"/>
      <c r="L2150" s="129"/>
      <c r="M2150" s="129"/>
      <c r="N2150" s="129"/>
      <c r="O2150" s="129"/>
      <c r="P2150" s="372"/>
      <c r="Q2150" s="372"/>
      <c r="R2150" s="129"/>
      <c r="S2150" s="129"/>
      <c r="T2150" s="129"/>
      <c r="W2150" s="129" t="s">
        <v>286</v>
      </c>
      <c r="X2150" s="337" t="b">
        <f t="shared" si="67"/>
        <v>1</v>
      </c>
    </row>
    <row r="2151" spans="1:24" s="360" customFormat="1" ht="12" customHeight="1" outlineLevel="1">
      <c r="A2151" s="365"/>
      <c r="B2151" s="118" t="s">
        <v>12</v>
      </c>
      <c r="C2151" s="334" t="s">
        <v>9093</v>
      </c>
      <c r="D2151" s="124" t="s">
        <v>9094</v>
      </c>
      <c r="E2151" s="125"/>
      <c r="F2151" s="118" t="s">
        <v>622</v>
      </c>
      <c r="G2151" s="126" t="s">
        <v>9000</v>
      </c>
      <c r="H2151" s="255">
        <v>4</v>
      </c>
      <c r="I2151" s="361">
        <v>1</v>
      </c>
      <c r="J2151" s="362" t="s">
        <v>286</v>
      </c>
      <c r="K2151" s="329"/>
      <c r="L2151" s="129"/>
      <c r="M2151" s="129"/>
      <c r="N2151" s="129"/>
      <c r="O2151" s="129"/>
      <c r="P2151" s="372"/>
      <c r="Q2151" s="372"/>
      <c r="R2151" s="129"/>
      <c r="S2151" s="129"/>
      <c r="T2151" s="129"/>
      <c r="W2151" s="129" t="s">
        <v>286</v>
      </c>
      <c r="X2151" s="337" t="b">
        <f t="shared" si="67"/>
        <v>1</v>
      </c>
    </row>
    <row r="2152" spans="1:24" s="360" customFormat="1" ht="12" customHeight="1" outlineLevel="1">
      <c r="A2152" s="365"/>
      <c r="B2152" s="118" t="s">
        <v>12</v>
      </c>
      <c r="C2152" s="334" t="s">
        <v>9095</v>
      </c>
      <c r="D2152" s="124" t="s">
        <v>9096</v>
      </c>
      <c r="E2152" s="125"/>
      <c r="F2152" s="118" t="s">
        <v>622</v>
      </c>
      <c r="G2152" s="126" t="s">
        <v>9000</v>
      </c>
      <c r="H2152" s="255">
        <v>4</v>
      </c>
      <c r="I2152" s="361">
        <v>1</v>
      </c>
      <c r="J2152" s="362" t="s">
        <v>286</v>
      </c>
      <c r="K2152" s="329"/>
      <c r="L2152" s="129"/>
      <c r="M2152" s="129"/>
      <c r="N2152" s="129"/>
      <c r="O2152" s="129"/>
      <c r="P2152" s="372"/>
      <c r="Q2152" s="372"/>
      <c r="R2152" s="129"/>
      <c r="S2152" s="129"/>
      <c r="T2152" s="129"/>
      <c r="W2152" s="129" t="s">
        <v>286</v>
      </c>
      <c r="X2152" s="337" t="b">
        <f t="shared" si="67"/>
        <v>1</v>
      </c>
    </row>
    <row r="2153" spans="1:24" s="360" customFormat="1" ht="12" customHeight="1" outlineLevel="1">
      <c r="A2153" s="365"/>
      <c r="B2153" s="118" t="s">
        <v>12</v>
      </c>
      <c r="C2153" s="334" t="s">
        <v>9097</v>
      </c>
      <c r="D2153" s="124" t="s">
        <v>9098</v>
      </c>
      <c r="E2153" s="125"/>
      <c r="F2153" s="118" t="s">
        <v>622</v>
      </c>
      <c r="G2153" s="126" t="s">
        <v>9000</v>
      </c>
      <c r="H2153" s="255">
        <v>4</v>
      </c>
      <c r="I2153" s="361">
        <v>1</v>
      </c>
      <c r="J2153" s="362" t="s">
        <v>286</v>
      </c>
      <c r="K2153" s="329"/>
      <c r="L2153" s="129"/>
      <c r="M2153" s="129"/>
      <c r="N2153" s="129"/>
      <c r="O2153" s="129"/>
      <c r="P2153" s="372"/>
      <c r="Q2153" s="372"/>
      <c r="R2153" s="129"/>
      <c r="S2153" s="129"/>
      <c r="T2153" s="129"/>
      <c r="W2153" s="129" t="s">
        <v>286</v>
      </c>
      <c r="X2153" s="337" t="b">
        <f t="shared" si="67"/>
        <v>1</v>
      </c>
    </row>
    <row r="2154" spans="1:24" s="360" customFormat="1" ht="12" customHeight="1" outlineLevel="1">
      <c r="A2154" s="365"/>
      <c r="B2154" s="118" t="s">
        <v>12</v>
      </c>
      <c r="C2154" s="334" t="s">
        <v>9099</v>
      </c>
      <c r="D2154" s="124" t="s">
        <v>9100</v>
      </c>
      <c r="E2154" s="125"/>
      <c r="F2154" s="118" t="s">
        <v>622</v>
      </c>
      <c r="G2154" s="126" t="s">
        <v>9000</v>
      </c>
      <c r="H2154" s="255">
        <v>4</v>
      </c>
      <c r="I2154" s="361">
        <v>1</v>
      </c>
      <c r="J2154" s="362" t="s">
        <v>286</v>
      </c>
      <c r="K2154" s="329"/>
      <c r="L2154" s="129"/>
      <c r="M2154" s="129"/>
      <c r="N2154" s="129"/>
      <c r="O2154" s="129"/>
      <c r="P2154" s="372"/>
      <c r="Q2154" s="372"/>
      <c r="R2154" s="129"/>
      <c r="S2154" s="129"/>
      <c r="T2154" s="129"/>
      <c r="W2154" s="129" t="s">
        <v>286</v>
      </c>
      <c r="X2154" s="337" t="b">
        <f t="shared" si="67"/>
        <v>1</v>
      </c>
    </row>
    <row r="2155" spans="1:24" s="360" customFormat="1" ht="12" customHeight="1" outlineLevel="1">
      <c r="A2155" s="365"/>
      <c r="B2155" s="118" t="s">
        <v>12</v>
      </c>
      <c r="C2155" s="334" t="s">
        <v>9101</v>
      </c>
      <c r="D2155" s="124" t="s">
        <v>9102</v>
      </c>
      <c r="E2155" s="125"/>
      <c r="F2155" s="118" t="s">
        <v>622</v>
      </c>
      <c r="G2155" s="126" t="s">
        <v>9000</v>
      </c>
      <c r="H2155" s="255">
        <v>4</v>
      </c>
      <c r="I2155" s="361">
        <v>1</v>
      </c>
      <c r="J2155" s="362" t="s">
        <v>286</v>
      </c>
      <c r="K2155" s="329"/>
      <c r="L2155" s="129"/>
      <c r="M2155" s="129"/>
      <c r="N2155" s="129"/>
      <c r="O2155" s="129"/>
      <c r="P2155" s="372"/>
      <c r="Q2155" s="372"/>
      <c r="R2155" s="129"/>
      <c r="S2155" s="129"/>
      <c r="T2155" s="129"/>
      <c r="W2155" s="129" t="s">
        <v>286</v>
      </c>
      <c r="X2155" s="337" t="b">
        <f t="shared" si="67"/>
        <v>1</v>
      </c>
    </row>
    <row r="2156" spans="1:24" s="360" customFormat="1" ht="12" customHeight="1" outlineLevel="1">
      <c r="A2156" s="365"/>
      <c r="B2156" s="118" t="s">
        <v>12</v>
      </c>
      <c r="C2156" s="334" t="s">
        <v>9103</v>
      </c>
      <c r="D2156" s="124" t="s">
        <v>9104</v>
      </c>
      <c r="E2156" s="125"/>
      <c r="F2156" s="118" t="s">
        <v>622</v>
      </c>
      <c r="G2156" s="126" t="s">
        <v>9000</v>
      </c>
      <c r="H2156" s="255">
        <v>4</v>
      </c>
      <c r="I2156" s="361">
        <v>1</v>
      </c>
      <c r="J2156" s="362" t="s">
        <v>286</v>
      </c>
      <c r="K2156" s="329"/>
      <c r="L2156" s="129"/>
      <c r="M2156" s="129"/>
      <c r="N2156" s="129"/>
      <c r="O2156" s="129"/>
      <c r="P2156" s="372"/>
      <c r="Q2156" s="372"/>
      <c r="R2156" s="129"/>
      <c r="S2156" s="129"/>
      <c r="T2156" s="129"/>
      <c r="W2156" s="129" t="s">
        <v>286</v>
      </c>
      <c r="X2156" s="337" t="b">
        <f t="shared" si="67"/>
        <v>1</v>
      </c>
    </row>
    <row r="2157" spans="1:24" s="360" customFormat="1" ht="12" customHeight="1" outlineLevel="1">
      <c r="A2157" s="365"/>
      <c r="B2157" s="118" t="s">
        <v>12</v>
      </c>
      <c r="C2157" s="334" t="s">
        <v>9105</v>
      </c>
      <c r="D2157" s="124" t="s">
        <v>9106</v>
      </c>
      <c r="E2157" s="125"/>
      <c r="F2157" s="118" t="s">
        <v>622</v>
      </c>
      <c r="G2157" s="126" t="s">
        <v>9000</v>
      </c>
      <c r="H2157" s="255">
        <v>4</v>
      </c>
      <c r="I2157" s="361">
        <v>1</v>
      </c>
      <c r="J2157" s="362" t="s">
        <v>286</v>
      </c>
      <c r="K2157" s="329"/>
      <c r="L2157" s="129"/>
      <c r="M2157" s="129"/>
      <c r="N2157" s="129"/>
      <c r="O2157" s="129"/>
      <c r="P2157" s="372"/>
      <c r="Q2157" s="372"/>
      <c r="R2157" s="129"/>
      <c r="S2157" s="129"/>
      <c r="T2157" s="129"/>
      <c r="W2157" s="129" t="s">
        <v>286</v>
      </c>
      <c r="X2157" s="337" t="b">
        <f t="shared" si="67"/>
        <v>1</v>
      </c>
    </row>
    <row r="2158" spans="1:24" s="360" customFormat="1" ht="12" customHeight="1" outlineLevel="1">
      <c r="A2158" s="365"/>
      <c r="B2158" s="118" t="s">
        <v>12</v>
      </c>
      <c r="C2158" s="334" t="s">
        <v>9107</v>
      </c>
      <c r="D2158" s="124" t="s">
        <v>9108</v>
      </c>
      <c r="E2158" s="125"/>
      <c r="F2158" s="118" t="s">
        <v>622</v>
      </c>
      <c r="G2158" s="126" t="s">
        <v>9000</v>
      </c>
      <c r="H2158" s="255">
        <v>4</v>
      </c>
      <c r="I2158" s="361">
        <v>1</v>
      </c>
      <c r="J2158" s="362" t="s">
        <v>286</v>
      </c>
      <c r="K2158" s="329"/>
      <c r="L2158" s="129"/>
      <c r="M2158" s="129"/>
      <c r="N2158" s="129"/>
      <c r="O2158" s="129"/>
      <c r="P2158" s="372"/>
      <c r="Q2158" s="372"/>
      <c r="R2158" s="129"/>
      <c r="S2158" s="129"/>
      <c r="T2158" s="129"/>
      <c r="W2158" s="129" t="s">
        <v>286</v>
      </c>
      <c r="X2158" s="337" t="b">
        <f t="shared" si="67"/>
        <v>1</v>
      </c>
    </row>
    <row r="2159" spans="1:24" s="360" customFormat="1" ht="12" customHeight="1" outlineLevel="1">
      <c r="A2159" s="365"/>
      <c r="B2159" s="118" t="s">
        <v>12</v>
      </c>
      <c r="C2159" s="334" t="s">
        <v>9109</v>
      </c>
      <c r="D2159" s="124" t="s">
        <v>9110</v>
      </c>
      <c r="E2159" s="125"/>
      <c r="F2159" s="118" t="s">
        <v>622</v>
      </c>
      <c r="G2159" s="126" t="s">
        <v>9000</v>
      </c>
      <c r="H2159" s="255">
        <v>4</v>
      </c>
      <c r="I2159" s="361">
        <v>1</v>
      </c>
      <c r="J2159" s="362" t="s">
        <v>286</v>
      </c>
      <c r="K2159" s="329"/>
      <c r="L2159" s="129"/>
      <c r="M2159" s="129"/>
      <c r="N2159" s="129"/>
      <c r="O2159" s="129"/>
      <c r="P2159" s="372"/>
      <c r="Q2159" s="372"/>
      <c r="R2159" s="129"/>
      <c r="S2159" s="129"/>
      <c r="T2159" s="129"/>
      <c r="W2159" s="129" t="s">
        <v>286</v>
      </c>
      <c r="X2159" s="337" t="b">
        <f t="shared" si="67"/>
        <v>1</v>
      </c>
    </row>
    <row r="2160" spans="1:24" s="360" customFormat="1" ht="12" customHeight="1" outlineLevel="1">
      <c r="A2160" s="365"/>
      <c r="B2160" s="118" t="s">
        <v>12</v>
      </c>
      <c r="C2160" s="334" t="s">
        <v>9111</v>
      </c>
      <c r="D2160" s="124" t="s">
        <v>9112</v>
      </c>
      <c r="E2160" s="125"/>
      <c r="F2160" s="118" t="s">
        <v>622</v>
      </c>
      <c r="G2160" s="126" t="s">
        <v>9000</v>
      </c>
      <c r="H2160" s="255">
        <v>4</v>
      </c>
      <c r="I2160" s="361">
        <v>1</v>
      </c>
      <c r="J2160" s="362" t="s">
        <v>286</v>
      </c>
      <c r="K2160" s="329"/>
      <c r="L2160" s="129"/>
      <c r="M2160" s="129"/>
      <c r="N2160" s="129"/>
      <c r="O2160" s="129"/>
      <c r="P2160" s="372"/>
      <c r="Q2160" s="372"/>
      <c r="R2160" s="129"/>
      <c r="S2160" s="129"/>
      <c r="T2160" s="129"/>
      <c r="W2160" s="129" t="s">
        <v>286</v>
      </c>
      <c r="X2160" s="337" t="b">
        <f t="shared" si="67"/>
        <v>1</v>
      </c>
    </row>
    <row r="2161" spans="1:24" s="360" customFormat="1" ht="12" customHeight="1" outlineLevel="1">
      <c r="A2161" s="365"/>
      <c r="B2161" s="118" t="s">
        <v>12</v>
      </c>
      <c r="C2161" s="334" t="s">
        <v>9113</v>
      </c>
      <c r="D2161" s="124" t="s">
        <v>9114</v>
      </c>
      <c r="E2161" s="125"/>
      <c r="F2161" s="118" t="s">
        <v>622</v>
      </c>
      <c r="G2161" s="126" t="s">
        <v>9000</v>
      </c>
      <c r="H2161" s="255">
        <v>4</v>
      </c>
      <c r="I2161" s="361">
        <v>1</v>
      </c>
      <c r="J2161" s="362" t="s">
        <v>286</v>
      </c>
      <c r="K2161" s="329"/>
      <c r="L2161" s="129"/>
      <c r="M2161" s="129"/>
      <c r="N2161" s="129"/>
      <c r="O2161" s="129"/>
      <c r="P2161" s="372"/>
      <c r="Q2161" s="372"/>
      <c r="R2161" s="129"/>
      <c r="S2161" s="129"/>
      <c r="T2161" s="129"/>
      <c r="W2161" s="129" t="s">
        <v>286</v>
      </c>
      <c r="X2161" s="337" t="b">
        <f t="shared" si="67"/>
        <v>1</v>
      </c>
    </row>
    <row r="2162" spans="1:24" s="360" customFormat="1" ht="12" customHeight="1" outlineLevel="1">
      <c r="A2162" s="365"/>
      <c r="B2162" s="118" t="s">
        <v>12</v>
      </c>
      <c r="C2162" s="334" t="s">
        <v>9115</v>
      </c>
      <c r="D2162" s="124" t="s">
        <v>9116</v>
      </c>
      <c r="E2162" s="125"/>
      <c r="F2162" s="118" t="s">
        <v>622</v>
      </c>
      <c r="G2162" s="126" t="s">
        <v>9000</v>
      </c>
      <c r="H2162" s="255">
        <v>4</v>
      </c>
      <c r="I2162" s="361">
        <v>1</v>
      </c>
      <c r="J2162" s="362" t="s">
        <v>286</v>
      </c>
      <c r="K2162" s="329"/>
      <c r="L2162" s="129"/>
      <c r="M2162" s="129"/>
      <c r="N2162" s="129"/>
      <c r="O2162" s="129"/>
      <c r="P2162" s="372"/>
      <c r="Q2162" s="372"/>
      <c r="R2162" s="129"/>
      <c r="S2162" s="129"/>
      <c r="T2162" s="129"/>
      <c r="W2162" s="129" t="s">
        <v>286</v>
      </c>
      <c r="X2162" s="337" t="b">
        <f t="shared" si="67"/>
        <v>1</v>
      </c>
    </row>
    <row r="2163" spans="1:24" s="360" customFormat="1" ht="12" customHeight="1" outlineLevel="1">
      <c r="A2163" s="365"/>
      <c r="B2163" s="118" t="s">
        <v>12</v>
      </c>
      <c r="C2163" s="334" t="s">
        <v>9117</v>
      </c>
      <c r="D2163" s="124" t="s">
        <v>9118</v>
      </c>
      <c r="E2163" s="125"/>
      <c r="F2163" s="118" t="s">
        <v>622</v>
      </c>
      <c r="G2163" s="126" t="s">
        <v>9000</v>
      </c>
      <c r="H2163" s="255">
        <v>4</v>
      </c>
      <c r="I2163" s="361">
        <v>1</v>
      </c>
      <c r="J2163" s="362" t="s">
        <v>286</v>
      </c>
      <c r="K2163" s="329"/>
      <c r="L2163" s="129"/>
      <c r="M2163" s="129"/>
      <c r="N2163" s="129"/>
      <c r="O2163" s="129"/>
      <c r="P2163" s="372"/>
      <c r="Q2163" s="372"/>
      <c r="R2163" s="129"/>
      <c r="S2163" s="129"/>
      <c r="T2163" s="129"/>
      <c r="W2163" s="129" t="s">
        <v>286</v>
      </c>
      <c r="X2163" s="337" t="b">
        <f t="shared" si="67"/>
        <v>1</v>
      </c>
    </row>
    <row r="2164" spans="1:24" s="360" customFormat="1" ht="12" customHeight="1" outlineLevel="1">
      <c r="A2164" s="365"/>
      <c r="B2164" s="118" t="s">
        <v>12</v>
      </c>
      <c r="C2164" s="334" t="s">
        <v>9119</v>
      </c>
      <c r="D2164" s="124" t="s">
        <v>9120</v>
      </c>
      <c r="E2164" s="125"/>
      <c r="F2164" s="118" t="s">
        <v>622</v>
      </c>
      <c r="G2164" s="126" t="s">
        <v>9000</v>
      </c>
      <c r="H2164" s="255">
        <v>4</v>
      </c>
      <c r="I2164" s="361">
        <v>1</v>
      </c>
      <c r="J2164" s="362" t="s">
        <v>286</v>
      </c>
      <c r="K2164" s="329"/>
      <c r="L2164" s="129"/>
      <c r="M2164" s="129"/>
      <c r="N2164" s="129"/>
      <c r="O2164" s="129"/>
      <c r="P2164" s="372"/>
      <c r="Q2164" s="372"/>
      <c r="R2164" s="129"/>
      <c r="S2164" s="129"/>
      <c r="T2164" s="129"/>
      <c r="W2164" s="129" t="s">
        <v>286</v>
      </c>
      <c r="X2164" s="337" t="b">
        <f t="shared" si="67"/>
        <v>1</v>
      </c>
    </row>
    <row r="2165" spans="1:24" s="360" customFormat="1" ht="12" customHeight="1" outlineLevel="1">
      <c r="A2165" s="365"/>
      <c r="B2165" s="118" t="s">
        <v>12</v>
      </c>
      <c r="C2165" s="334" t="s">
        <v>9121</v>
      </c>
      <c r="D2165" s="124" t="s">
        <v>9122</v>
      </c>
      <c r="E2165" s="125"/>
      <c r="F2165" s="118" t="s">
        <v>622</v>
      </c>
      <c r="G2165" s="126" t="s">
        <v>9000</v>
      </c>
      <c r="H2165" s="255">
        <v>4</v>
      </c>
      <c r="I2165" s="361">
        <v>1</v>
      </c>
      <c r="J2165" s="362" t="s">
        <v>286</v>
      </c>
      <c r="K2165" s="329"/>
      <c r="L2165" s="129"/>
      <c r="M2165" s="129"/>
      <c r="N2165" s="129"/>
      <c r="O2165" s="129"/>
      <c r="P2165" s="372"/>
      <c r="Q2165" s="372"/>
      <c r="R2165" s="129"/>
      <c r="S2165" s="129"/>
      <c r="T2165" s="129"/>
      <c r="W2165" s="129" t="s">
        <v>286</v>
      </c>
      <c r="X2165" s="337" t="b">
        <f t="shared" si="67"/>
        <v>1</v>
      </c>
    </row>
    <row r="2166" spans="1:24" s="360" customFormat="1" ht="12" customHeight="1" outlineLevel="1">
      <c r="A2166" s="365"/>
      <c r="B2166" s="118" t="s">
        <v>12</v>
      </c>
      <c r="C2166" s="334" t="s">
        <v>9123</v>
      </c>
      <c r="D2166" s="124" t="s">
        <v>9124</v>
      </c>
      <c r="E2166" s="125"/>
      <c r="F2166" s="118" t="s">
        <v>622</v>
      </c>
      <c r="G2166" s="126" t="s">
        <v>9000</v>
      </c>
      <c r="H2166" s="255">
        <v>4</v>
      </c>
      <c r="I2166" s="361">
        <v>1</v>
      </c>
      <c r="J2166" s="362" t="s">
        <v>286</v>
      </c>
      <c r="K2166" s="329"/>
      <c r="L2166" s="129"/>
      <c r="M2166" s="129"/>
      <c r="N2166" s="129"/>
      <c r="O2166" s="129"/>
      <c r="P2166" s="372"/>
      <c r="Q2166" s="372"/>
      <c r="R2166" s="129"/>
      <c r="S2166" s="129"/>
      <c r="T2166" s="129"/>
      <c r="W2166" s="129" t="s">
        <v>286</v>
      </c>
      <c r="X2166" s="337" t="b">
        <f t="shared" si="67"/>
        <v>1</v>
      </c>
    </row>
    <row r="2167" spans="1:24" s="360" customFormat="1" ht="12" customHeight="1" outlineLevel="1">
      <c r="A2167" s="365"/>
      <c r="B2167" s="118" t="s">
        <v>12</v>
      </c>
      <c r="C2167" s="334" t="s">
        <v>9125</v>
      </c>
      <c r="D2167" s="124" t="s">
        <v>9126</v>
      </c>
      <c r="E2167" s="125"/>
      <c r="F2167" s="118" t="s">
        <v>622</v>
      </c>
      <c r="G2167" s="126" t="s">
        <v>9000</v>
      </c>
      <c r="H2167" s="255">
        <v>4</v>
      </c>
      <c r="I2167" s="361">
        <v>1</v>
      </c>
      <c r="J2167" s="362" t="s">
        <v>286</v>
      </c>
      <c r="K2167" s="329"/>
      <c r="L2167" s="129"/>
      <c r="M2167" s="129"/>
      <c r="N2167" s="129"/>
      <c r="O2167" s="129"/>
      <c r="P2167" s="372"/>
      <c r="Q2167" s="372"/>
      <c r="R2167" s="129"/>
      <c r="S2167" s="129"/>
      <c r="T2167" s="129"/>
      <c r="W2167" s="129" t="s">
        <v>286</v>
      </c>
      <c r="X2167" s="337" t="b">
        <f t="shared" si="67"/>
        <v>1</v>
      </c>
    </row>
    <row r="2168" spans="1:24" s="360" customFormat="1" ht="12" customHeight="1" outlineLevel="1">
      <c r="A2168" s="365"/>
      <c r="B2168" s="118" t="s">
        <v>12</v>
      </c>
      <c r="C2168" s="334" t="s">
        <v>9127</v>
      </c>
      <c r="D2168" s="124" t="s">
        <v>9128</v>
      </c>
      <c r="E2168" s="125"/>
      <c r="F2168" s="118" t="s">
        <v>622</v>
      </c>
      <c r="G2168" s="126" t="s">
        <v>9000</v>
      </c>
      <c r="H2168" s="255">
        <v>4</v>
      </c>
      <c r="I2168" s="361">
        <v>1</v>
      </c>
      <c r="J2168" s="362" t="s">
        <v>286</v>
      </c>
      <c r="K2168" s="329"/>
      <c r="L2168" s="129"/>
      <c r="M2168" s="129"/>
      <c r="N2168" s="129"/>
      <c r="O2168" s="129"/>
      <c r="P2168" s="372"/>
      <c r="Q2168" s="372"/>
      <c r="R2168" s="129"/>
      <c r="S2168" s="129"/>
      <c r="T2168" s="129"/>
      <c r="W2168" s="129" t="s">
        <v>286</v>
      </c>
      <c r="X2168" s="337" t="b">
        <f t="shared" si="67"/>
        <v>1</v>
      </c>
    </row>
    <row r="2169" spans="1:24" s="360" customFormat="1" ht="12" customHeight="1" outlineLevel="1">
      <c r="A2169" s="365"/>
      <c r="B2169" s="118" t="s">
        <v>12</v>
      </c>
      <c r="C2169" s="334" t="s">
        <v>9129</v>
      </c>
      <c r="D2169" s="124" t="s">
        <v>9130</v>
      </c>
      <c r="E2169" s="125"/>
      <c r="F2169" s="118" t="s">
        <v>622</v>
      </c>
      <c r="G2169" s="126" t="s">
        <v>9000</v>
      </c>
      <c r="H2169" s="255">
        <v>4</v>
      </c>
      <c r="I2169" s="361">
        <v>1</v>
      </c>
      <c r="J2169" s="362" t="s">
        <v>286</v>
      </c>
      <c r="K2169" s="329"/>
      <c r="L2169" s="129"/>
      <c r="M2169" s="129"/>
      <c r="N2169" s="129"/>
      <c r="O2169" s="129"/>
      <c r="P2169" s="372"/>
      <c r="Q2169" s="372"/>
      <c r="R2169" s="129"/>
      <c r="S2169" s="129"/>
      <c r="T2169" s="129"/>
      <c r="W2169" s="129" t="s">
        <v>286</v>
      </c>
      <c r="X2169" s="337" t="b">
        <f t="shared" si="67"/>
        <v>1</v>
      </c>
    </row>
    <row r="2170" spans="1:24" s="360" customFormat="1" ht="12" customHeight="1" outlineLevel="1">
      <c r="A2170" s="365"/>
      <c r="B2170" s="118" t="s">
        <v>12</v>
      </c>
      <c r="C2170" s="334" t="s">
        <v>9131</v>
      </c>
      <c r="D2170" s="124" t="s">
        <v>9132</v>
      </c>
      <c r="E2170" s="125"/>
      <c r="F2170" s="118" t="s">
        <v>622</v>
      </c>
      <c r="G2170" s="126" t="s">
        <v>9000</v>
      </c>
      <c r="H2170" s="255">
        <v>4</v>
      </c>
      <c r="I2170" s="361">
        <v>1</v>
      </c>
      <c r="J2170" s="362" t="s">
        <v>286</v>
      </c>
      <c r="K2170" s="329"/>
      <c r="L2170" s="129"/>
      <c r="M2170" s="129"/>
      <c r="N2170" s="129"/>
      <c r="O2170" s="129"/>
      <c r="P2170" s="372"/>
      <c r="Q2170" s="372"/>
      <c r="R2170" s="129"/>
      <c r="S2170" s="129"/>
      <c r="T2170" s="129"/>
      <c r="W2170" s="129" t="s">
        <v>286</v>
      </c>
      <c r="X2170" s="337" t="b">
        <f t="shared" si="67"/>
        <v>1</v>
      </c>
    </row>
    <row r="2171" spans="1:24" s="360" customFormat="1" ht="12" customHeight="1" outlineLevel="1">
      <c r="A2171" s="365"/>
      <c r="B2171" s="118" t="s">
        <v>12</v>
      </c>
      <c r="C2171" s="334" t="s">
        <v>9133</v>
      </c>
      <c r="D2171" s="124" t="s">
        <v>9134</v>
      </c>
      <c r="E2171" s="125"/>
      <c r="F2171" s="118" t="s">
        <v>622</v>
      </c>
      <c r="G2171" s="126" t="s">
        <v>9000</v>
      </c>
      <c r="H2171" s="255">
        <v>4</v>
      </c>
      <c r="I2171" s="361">
        <v>1</v>
      </c>
      <c r="J2171" s="362" t="s">
        <v>286</v>
      </c>
      <c r="K2171" s="329"/>
      <c r="L2171" s="129"/>
      <c r="M2171" s="129"/>
      <c r="N2171" s="129"/>
      <c r="O2171" s="129"/>
      <c r="P2171" s="372"/>
      <c r="Q2171" s="372"/>
      <c r="R2171" s="129"/>
      <c r="S2171" s="129"/>
      <c r="T2171" s="129"/>
      <c r="W2171" s="129" t="s">
        <v>286</v>
      </c>
      <c r="X2171" s="337" t="b">
        <f t="shared" si="67"/>
        <v>1</v>
      </c>
    </row>
    <row r="2172" spans="1:24" s="360" customFormat="1" ht="12" customHeight="1" outlineLevel="1">
      <c r="A2172" s="365"/>
      <c r="B2172" s="118" t="s">
        <v>12</v>
      </c>
      <c r="C2172" s="334" t="s">
        <v>9135</v>
      </c>
      <c r="D2172" s="124" t="s">
        <v>9136</v>
      </c>
      <c r="E2172" s="125"/>
      <c r="F2172" s="118" t="s">
        <v>622</v>
      </c>
      <c r="G2172" s="126" t="s">
        <v>9000</v>
      </c>
      <c r="H2172" s="255">
        <v>4</v>
      </c>
      <c r="I2172" s="361">
        <v>1</v>
      </c>
      <c r="J2172" s="362" t="s">
        <v>286</v>
      </c>
      <c r="K2172" s="329"/>
      <c r="L2172" s="129"/>
      <c r="M2172" s="129"/>
      <c r="N2172" s="129"/>
      <c r="O2172" s="129"/>
      <c r="P2172" s="372"/>
      <c r="Q2172" s="372"/>
      <c r="R2172" s="129"/>
      <c r="S2172" s="129"/>
      <c r="T2172" s="129"/>
      <c r="W2172" s="129" t="s">
        <v>286</v>
      </c>
      <c r="X2172" s="337" t="b">
        <f t="shared" si="67"/>
        <v>1</v>
      </c>
    </row>
    <row r="2173" spans="1:24" s="360" customFormat="1" ht="12" customHeight="1" outlineLevel="1">
      <c r="A2173" s="365"/>
      <c r="B2173" s="118" t="s">
        <v>12</v>
      </c>
      <c r="C2173" s="334" t="s">
        <v>9137</v>
      </c>
      <c r="D2173" s="124" t="s">
        <v>9138</v>
      </c>
      <c r="E2173" s="125"/>
      <c r="F2173" s="118" t="s">
        <v>622</v>
      </c>
      <c r="G2173" s="126" t="s">
        <v>9000</v>
      </c>
      <c r="H2173" s="255">
        <v>4</v>
      </c>
      <c r="I2173" s="361">
        <v>1</v>
      </c>
      <c r="J2173" s="362" t="s">
        <v>286</v>
      </c>
      <c r="K2173" s="329"/>
      <c r="L2173" s="129"/>
      <c r="M2173" s="129"/>
      <c r="N2173" s="129"/>
      <c r="O2173" s="129"/>
      <c r="P2173" s="372"/>
      <c r="Q2173" s="372"/>
      <c r="R2173" s="129"/>
      <c r="S2173" s="129"/>
      <c r="T2173" s="129"/>
      <c r="W2173" s="129" t="s">
        <v>286</v>
      </c>
      <c r="X2173" s="337" t="b">
        <f t="shared" si="67"/>
        <v>1</v>
      </c>
    </row>
    <row r="2174" spans="1:24" s="360" customFormat="1" ht="12" customHeight="1" outlineLevel="1">
      <c r="A2174" s="365"/>
      <c r="B2174" s="118" t="s">
        <v>12</v>
      </c>
      <c r="C2174" s="334" t="s">
        <v>9139</v>
      </c>
      <c r="D2174" s="124" t="s">
        <v>9140</v>
      </c>
      <c r="E2174" s="125"/>
      <c r="F2174" s="118" t="s">
        <v>622</v>
      </c>
      <c r="G2174" s="126" t="s">
        <v>9000</v>
      </c>
      <c r="H2174" s="255">
        <v>4</v>
      </c>
      <c r="I2174" s="361">
        <v>1</v>
      </c>
      <c r="J2174" s="362" t="s">
        <v>286</v>
      </c>
      <c r="K2174" s="329"/>
      <c r="L2174" s="129"/>
      <c r="M2174" s="129"/>
      <c r="N2174" s="129"/>
      <c r="O2174" s="129"/>
      <c r="P2174" s="372"/>
      <c r="Q2174" s="372"/>
      <c r="R2174" s="129"/>
      <c r="S2174" s="129"/>
      <c r="T2174" s="129"/>
      <c r="W2174" s="129" t="s">
        <v>286</v>
      </c>
      <c r="X2174" s="337" t="b">
        <f t="shared" si="67"/>
        <v>1</v>
      </c>
    </row>
    <row r="2175" spans="1:24" s="360" customFormat="1" ht="12" customHeight="1" outlineLevel="1">
      <c r="A2175" s="365"/>
      <c r="B2175" s="118" t="s">
        <v>12</v>
      </c>
      <c r="C2175" s="334" t="s">
        <v>9141</v>
      </c>
      <c r="D2175" s="124" t="s">
        <v>9142</v>
      </c>
      <c r="E2175" s="125"/>
      <c r="F2175" s="118" t="s">
        <v>622</v>
      </c>
      <c r="G2175" s="126" t="s">
        <v>9000</v>
      </c>
      <c r="H2175" s="255">
        <v>4</v>
      </c>
      <c r="I2175" s="361">
        <v>1</v>
      </c>
      <c r="J2175" s="362" t="s">
        <v>286</v>
      </c>
      <c r="K2175" s="329"/>
      <c r="L2175" s="129"/>
      <c r="M2175" s="129"/>
      <c r="N2175" s="129"/>
      <c r="O2175" s="129"/>
      <c r="P2175" s="372"/>
      <c r="Q2175" s="372"/>
      <c r="R2175" s="129"/>
      <c r="S2175" s="129"/>
      <c r="T2175" s="129"/>
      <c r="W2175" s="129" t="s">
        <v>286</v>
      </c>
      <c r="X2175" s="337" t="b">
        <f t="shared" si="67"/>
        <v>1</v>
      </c>
    </row>
    <row r="2176" spans="1:24" s="360" customFormat="1" ht="12" customHeight="1" outlineLevel="1">
      <c r="A2176" s="365"/>
      <c r="B2176" s="118" t="s">
        <v>12</v>
      </c>
      <c r="C2176" s="334" t="s">
        <v>9143</v>
      </c>
      <c r="D2176" s="124" t="s">
        <v>9144</v>
      </c>
      <c r="E2176" s="125"/>
      <c r="F2176" s="118" t="s">
        <v>622</v>
      </c>
      <c r="G2176" s="126" t="s">
        <v>9000</v>
      </c>
      <c r="H2176" s="255">
        <v>4</v>
      </c>
      <c r="I2176" s="361">
        <v>1</v>
      </c>
      <c r="J2176" s="362" t="s">
        <v>286</v>
      </c>
      <c r="K2176" s="329"/>
      <c r="L2176" s="129"/>
      <c r="M2176" s="129"/>
      <c r="N2176" s="129"/>
      <c r="O2176" s="129"/>
      <c r="P2176" s="372"/>
      <c r="Q2176" s="372"/>
      <c r="R2176" s="129"/>
      <c r="S2176" s="129"/>
      <c r="T2176" s="129"/>
      <c r="W2176" s="129" t="s">
        <v>286</v>
      </c>
      <c r="X2176" s="337" t="b">
        <f t="shared" si="67"/>
        <v>1</v>
      </c>
    </row>
    <row r="2177" spans="1:24" s="360" customFormat="1" ht="12" customHeight="1" outlineLevel="1">
      <c r="A2177" s="365"/>
      <c r="B2177" s="118" t="s">
        <v>12</v>
      </c>
      <c r="C2177" s="334" t="s">
        <v>9145</v>
      </c>
      <c r="D2177" s="124" t="s">
        <v>9146</v>
      </c>
      <c r="E2177" s="125"/>
      <c r="F2177" s="118" t="s">
        <v>622</v>
      </c>
      <c r="G2177" s="126" t="s">
        <v>9000</v>
      </c>
      <c r="H2177" s="255">
        <v>4</v>
      </c>
      <c r="I2177" s="361">
        <v>1</v>
      </c>
      <c r="J2177" s="362" t="s">
        <v>286</v>
      </c>
      <c r="K2177" s="329"/>
      <c r="L2177" s="129"/>
      <c r="M2177" s="129"/>
      <c r="N2177" s="129"/>
      <c r="O2177" s="129"/>
      <c r="P2177" s="372"/>
      <c r="Q2177" s="372"/>
      <c r="R2177" s="129"/>
      <c r="S2177" s="129"/>
      <c r="T2177" s="129"/>
      <c r="W2177" s="129" t="s">
        <v>286</v>
      </c>
      <c r="X2177" s="337" t="b">
        <f t="shared" ref="X2177:X2240" si="68">W2177=J2177</f>
        <v>1</v>
      </c>
    </row>
    <row r="2178" spans="1:24" s="360" customFormat="1" ht="12" customHeight="1" outlineLevel="1">
      <c r="A2178" s="365"/>
      <c r="B2178" s="118" t="s">
        <v>12</v>
      </c>
      <c r="C2178" s="334" t="s">
        <v>9147</v>
      </c>
      <c r="D2178" s="124" t="s">
        <v>9148</v>
      </c>
      <c r="E2178" s="125"/>
      <c r="F2178" s="118" t="s">
        <v>622</v>
      </c>
      <c r="G2178" s="126" t="s">
        <v>9000</v>
      </c>
      <c r="H2178" s="255">
        <v>4</v>
      </c>
      <c r="I2178" s="361">
        <v>1</v>
      </c>
      <c r="J2178" s="362" t="s">
        <v>286</v>
      </c>
      <c r="K2178" s="329"/>
      <c r="L2178" s="129"/>
      <c r="M2178" s="129"/>
      <c r="N2178" s="129"/>
      <c r="O2178" s="129"/>
      <c r="P2178" s="372"/>
      <c r="Q2178" s="372"/>
      <c r="R2178" s="129"/>
      <c r="S2178" s="129"/>
      <c r="T2178" s="129"/>
      <c r="W2178" s="129" t="s">
        <v>286</v>
      </c>
      <c r="X2178" s="337" t="b">
        <f t="shared" si="68"/>
        <v>1</v>
      </c>
    </row>
    <row r="2179" spans="1:24" s="360" customFormat="1" ht="12" customHeight="1" outlineLevel="1">
      <c r="A2179" s="365"/>
      <c r="B2179" s="118" t="s">
        <v>12</v>
      </c>
      <c r="C2179" s="334" t="s">
        <v>9149</v>
      </c>
      <c r="D2179" s="124" t="s">
        <v>9150</v>
      </c>
      <c r="E2179" s="125"/>
      <c r="F2179" s="118" t="s">
        <v>622</v>
      </c>
      <c r="G2179" s="126" t="s">
        <v>9000</v>
      </c>
      <c r="H2179" s="255">
        <v>4</v>
      </c>
      <c r="I2179" s="361">
        <v>1</v>
      </c>
      <c r="J2179" s="362" t="s">
        <v>286</v>
      </c>
      <c r="K2179" s="329"/>
      <c r="L2179" s="129"/>
      <c r="M2179" s="129"/>
      <c r="N2179" s="129"/>
      <c r="O2179" s="129"/>
      <c r="P2179" s="372"/>
      <c r="Q2179" s="372"/>
      <c r="R2179" s="129"/>
      <c r="S2179" s="129"/>
      <c r="T2179" s="129"/>
      <c r="W2179" s="129" t="s">
        <v>286</v>
      </c>
      <c r="X2179" s="337" t="b">
        <f t="shared" si="68"/>
        <v>1</v>
      </c>
    </row>
    <row r="2180" spans="1:24" s="360" customFormat="1" ht="12" customHeight="1" outlineLevel="1">
      <c r="A2180" s="365"/>
      <c r="B2180" s="118" t="s">
        <v>12</v>
      </c>
      <c r="C2180" s="334" t="s">
        <v>9151</v>
      </c>
      <c r="D2180" s="124" t="s">
        <v>9152</v>
      </c>
      <c r="E2180" s="125"/>
      <c r="F2180" s="118" t="s">
        <v>622</v>
      </c>
      <c r="G2180" s="126" t="s">
        <v>9000</v>
      </c>
      <c r="H2180" s="255">
        <v>4</v>
      </c>
      <c r="I2180" s="361">
        <v>1</v>
      </c>
      <c r="J2180" s="362" t="s">
        <v>286</v>
      </c>
      <c r="K2180" s="329"/>
      <c r="L2180" s="129"/>
      <c r="M2180" s="129"/>
      <c r="N2180" s="129"/>
      <c r="O2180" s="129"/>
      <c r="P2180" s="372"/>
      <c r="Q2180" s="372"/>
      <c r="R2180" s="129"/>
      <c r="S2180" s="129"/>
      <c r="T2180" s="129"/>
      <c r="W2180" s="129" t="s">
        <v>286</v>
      </c>
      <c r="X2180" s="337" t="b">
        <f t="shared" si="68"/>
        <v>1</v>
      </c>
    </row>
    <row r="2181" spans="1:24" s="360" customFormat="1" ht="12" customHeight="1" outlineLevel="1">
      <c r="A2181" s="365"/>
      <c r="B2181" s="118" t="s">
        <v>12</v>
      </c>
      <c r="C2181" s="334" t="s">
        <v>9153</v>
      </c>
      <c r="D2181" s="124" t="s">
        <v>9154</v>
      </c>
      <c r="E2181" s="125"/>
      <c r="F2181" s="118" t="s">
        <v>622</v>
      </c>
      <c r="G2181" s="126" t="s">
        <v>9000</v>
      </c>
      <c r="H2181" s="255">
        <v>4</v>
      </c>
      <c r="I2181" s="361">
        <v>1</v>
      </c>
      <c r="J2181" s="362" t="s">
        <v>286</v>
      </c>
      <c r="K2181" s="329"/>
      <c r="L2181" s="129"/>
      <c r="M2181" s="129"/>
      <c r="N2181" s="129"/>
      <c r="O2181" s="129"/>
      <c r="P2181" s="372"/>
      <c r="Q2181" s="372"/>
      <c r="R2181" s="129"/>
      <c r="S2181" s="129"/>
      <c r="T2181" s="129"/>
      <c r="W2181" s="129" t="s">
        <v>286</v>
      </c>
      <c r="X2181" s="337" t="b">
        <f t="shared" si="68"/>
        <v>1</v>
      </c>
    </row>
    <row r="2182" spans="1:24" s="360" customFormat="1" ht="12" customHeight="1" outlineLevel="1">
      <c r="A2182" s="365"/>
      <c r="B2182" s="118" t="s">
        <v>12</v>
      </c>
      <c r="C2182" s="334" t="s">
        <v>9155</v>
      </c>
      <c r="D2182" s="124" t="s">
        <v>9156</v>
      </c>
      <c r="E2182" s="125"/>
      <c r="F2182" s="118" t="s">
        <v>622</v>
      </c>
      <c r="G2182" s="126" t="s">
        <v>9000</v>
      </c>
      <c r="H2182" s="255">
        <v>4</v>
      </c>
      <c r="I2182" s="361">
        <v>1</v>
      </c>
      <c r="J2182" s="362" t="s">
        <v>286</v>
      </c>
      <c r="K2182" s="329"/>
      <c r="L2182" s="129"/>
      <c r="M2182" s="129"/>
      <c r="N2182" s="129"/>
      <c r="O2182" s="129"/>
      <c r="P2182" s="372"/>
      <c r="Q2182" s="372"/>
      <c r="R2182" s="129"/>
      <c r="S2182" s="129"/>
      <c r="T2182" s="129"/>
      <c r="W2182" s="129" t="s">
        <v>286</v>
      </c>
      <c r="X2182" s="337" t="b">
        <f t="shared" si="68"/>
        <v>1</v>
      </c>
    </row>
    <row r="2183" spans="1:24" s="360" customFormat="1" ht="12" customHeight="1" outlineLevel="1">
      <c r="A2183" s="365"/>
      <c r="B2183" s="118" t="s">
        <v>12</v>
      </c>
      <c r="C2183" s="334" t="s">
        <v>9157</v>
      </c>
      <c r="D2183" s="124" t="s">
        <v>9158</v>
      </c>
      <c r="E2183" s="125"/>
      <c r="F2183" s="118" t="s">
        <v>622</v>
      </c>
      <c r="G2183" s="126" t="s">
        <v>9000</v>
      </c>
      <c r="H2183" s="255">
        <v>4</v>
      </c>
      <c r="I2183" s="361">
        <v>1</v>
      </c>
      <c r="J2183" s="362" t="s">
        <v>286</v>
      </c>
      <c r="K2183" s="329"/>
      <c r="L2183" s="129"/>
      <c r="M2183" s="129"/>
      <c r="N2183" s="129"/>
      <c r="O2183" s="129"/>
      <c r="P2183" s="372"/>
      <c r="Q2183" s="372"/>
      <c r="R2183" s="129"/>
      <c r="S2183" s="129"/>
      <c r="T2183" s="129"/>
      <c r="W2183" s="129" t="s">
        <v>286</v>
      </c>
      <c r="X2183" s="337" t="b">
        <f t="shared" si="68"/>
        <v>1</v>
      </c>
    </row>
    <row r="2184" spans="1:24" s="360" customFormat="1" ht="12" customHeight="1" outlineLevel="1">
      <c r="A2184" s="365"/>
      <c r="B2184" s="118" t="s">
        <v>12</v>
      </c>
      <c r="C2184" s="334" t="s">
        <v>9159</v>
      </c>
      <c r="D2184" s="124" t="s">
        <v>9160</v>
      </c>
      <c r="E2184" s="125"/>
      <c r="F2184" s="118" t="s">
        <v>622</v>
      </c>
      <c r="G2184" s="126" t="s">
        <v>9000</v>
      </c>
      <c r="H2184" s="255">
        <v>4</v>
      </c>
      <c r="I2184" s="361">
        <v>1</v>
      </c>
      <c r="J2184" s="362" t="s">
        <v>286</v>
      </c>
      <c r="K2184" s="329"/>
      <c r="L2184" s="129"/>
      <c r="M2184" s="129"/>
      <c r="N2184" s="129"/>
      <c r="O2184" s="129"/>
      <c r="P2184" s="372"/>
      <c r="Q2184" s="372"/>
      <c r="R2184" s="129"/>
      <c r="S2184" s="129"/>
      <c r="T2184" s="129"/>
      <c r="W2184" s="129" t="s">
        <v>286</v>
      </c>
      <c r="X2184" s="337" t="b">
        <f t="shared" si="68"/>
        <v>1</v>
      </c>
    </row>
    <row r="2185" spans="1:24" s="360" customFormat="1" ht="12" customHeight="1" outlineLevel="1">
      <c r="A2185" s="365"/>
      <c r="B2185" s="118" t="s">
        <v>12</v>
      </c>
      <c r="C2185" s="334" t="s">
        <v>9161</v>
      </c>
      <c r="D2185" s="124" t="s">
        <v>9162</v>
      </c>
      <c r="E2185" s="125"/>
      <c r="F2185" s="118" t="s">
        <v>622</v>
      </c>
      <c r="G2185" s="126" t="s">
        <v>9000</v>
      </c>
      <c r="H2185" s="255">
        <v>4</v>
      </c>
      <c r="I2185" s="361">
        <v>1</v>
      </c>
      <c r="J2185" s="362" t="s">
        <v>286</v>
      </c>
      <c r="K2185" s="329"/>
      <c r="L2185" s="129"/>
      <c r="M2185" s="129"/>
      <c r="N2185" s="129"/>
      <c r="O2185" s="129"/>
      <c r="P2185" s="372"/>
      <c r="Q2185" s="372"/>
      <c r="R2185" s="129"/>
      <c r="S2185" s="129"/>
      <c r="T2185" s="129"/>
      <c r="W2185" s="129" t="s">
        <v>286</v>
      </c>
      <c r="X2185" s="337" t="b">
        <f t="shared" si="68"/>
        <v>1</v>
      </c>
    </row>
    <row r="2186" spans="1:24" s="360" customFormat="1" ht="12" customHeight="1" outlineLevel="1">
      <c r="A2186" s="365"/>
      <c r="B2186" s="118" t="s">
        <v>12</v>
      </c>
      <c r="C2186" s="334" t="s">
        <v>9163</v>
      </c>
      <c r="D2186" s="124" t="s">
        <v>9164</v>
      </c>
      <c r="E2186" s="125"/>
      <c r="F2186" s="118" t="s">
        <v>622</v>
      </c>
      <c r="G2186" s="126" t="s">
        <v>9000</v>
      </c>
      <c r="H2186" s="255">
        <v>4</v>
      </c>
      <c r="I2186" s="361">
        <v>1</v>
      </c>
      <c r="J2186" s="362" t="s">
        <v>310</v>
      </c>
      <c r="K2186" s="329"/>
      <c r="L2186" s="129"/>
      <c r="M2186" s="129"/>
      <c r="N2186" s="129"/>
      <c r="O2186" s="129"/>
      <c r="P2186" s="372"/>
      <c r="Q2186" s="372"/>
      <c r="R2186" s="129"/>
      <c r="S2186" s="129"/>
      <c r="T2186" s="129"/>
      <c r="W2186" s="129" t="s">
        <v>286</v>
      </c>
      <c r="X2186" s="337" t="b">
        <f t="shared" si="68"/>
        <v>0</v>
      </c>
    </row>
    <row r="2187" spans="1:24" s="360" customFormat="1" ht="12" customHeight="1" outlineLevel="1">
      <c r="A2187" s="365"/>
      <c r="B2187" s="118" t="s">
        <v>12</v>
      </c>
      <c r="C2187" s="334" t="s">
        <v>9165</v>
      </c>
      <c r="D2187" s="124" t="s">
        <v>9166</v>
      </c>
      <c r="E2187" s="125"/>
      <c r="F2187" s="118" t="s">
        <v>622</v>
      </c>
      <c r="G2187" s="126" t="s">
        <v>9000</v>
      </c>
      <c r="H2187" s="255">
        <v>4</v>
      </c>
      <c r="I2187" s="361">
        <v>1</v>
      </c>
      <c r="J2187" s="362" t="s">
        <v>310</v>
      </c>
      <c r="K2187" s="329"/>
      <c r="L2187" s="129"/>
      <c r="M2187" s="129"/>
      <c r="N2187" s="129"/>
      <c r="O2187" s="129"/>
      <c r="P2187" s="372"/>
      <c r="Q2187" s="372"/>
      <c r="R2187" s="129"/>
      <c r="S2187" s="129"/>
      <c r="T2187" s="129"/>
      <c r="W2187" s="129" t="s">
        <v>286</v>
      </c>
      <c r="X2187" s="337" t="b">
        <f t="shared" si="68"/>
        <v>0</v>
      </c>
    </row>
    <row r="2188" spans="1:24" s="360" customFormat="1" ht="12" customHeight="1" outlineLevel="1">
      <c r="A2188" s="365"/>
      <c r="B2188" s="118" t="s">
        <v>12</v>
      </c>
      <c r="C2188" s="334" t="s">
        <v>9167</v>
      </c>
      <c r="D2188" s="124" t="s">
        <v>9168</v>
      </c>
      <c r="E2188" s="125"/>
      <c r="F2188" s="118" t="s">
        <v>622</v>
      </c>
      <c r="G2188" s="126" t="s">
        <v>9000</v>
      </c>
      <c r="H2188" s="255">
        <v>4</v>
      </c>
      <c r="I2188" s="361">
        <v>1</v>
      </c>
      <c r="J2188" s="362" t="s">
        <v>310</v>
      </c>
      <c r="K2188" s="329"/>
      <c r="L2188" s="129"/>
      <c r="M2188" s="129"/>
      <c r="N2188" s="129"/>
      <c r="O2188" s="129"/>
      <c r="P2188" s="372"/>
      <c r="Q2188" s="372"/>
      <c r="R2188" s="129"/>
      <c r="S2188" s="129"/>
      <c r="T2188" s="129"/>
      <c r="W2188" s="129" t="s">
        <v>286</v>
      </c>
      <c r="X2188" s="337" t="b">
        <f t="shared" si="68"/>
        <v>0</v>
      </c>
    </row>
    <row r="2189" spans="1:24" s="360" customFormat="1" ht="12" customHeight="1" outlineLevel="1">
      <c r="A2189" s="365"/>
      <c r="B2189" s="118" t="s">
        <v>12</v>
      </c>
      <c r="C2189" s="334" t="s">
        <v>9169</v>
      </c>
      <c r="D2189" s="124" t="s">
        <v>9170</v>
      </c>
      <c r="E2189" s="125"/>
      <c r="F2189" s="118" t="s">
        <v>622</v>
      </c>
      <c r="G2189" s="126" t="s">
        <v>9000</v>
      </c>
      <c r="H2189" s="255">
        <v>4</v>
      </c>
      <c r="I2189" s="361">
        <v>1</v>
      </c>
      <c r="J2189" s="362" t="s">
        <v>310</v>
      </c>
      <c r="K2189" s="329"/>
      <c r="L2189" s="129"/>
      <c r="M2189" s="129"/>
      <c r="N2189" s="129"/>
      <c r="O2189" s="129"/>
      <c r="P2189" s="372"/>
      <c r="Q2189" s="372"/>
      <c r="R2189" s="129"/>
      <c r="S2189" s="129"/>
      <c r="T2189" s="129"/>
      <c r="W2189" s="129" t="s">
        <v>286</v>
      </c>
      <c r="X2189" s="337" t="b">
        <f t="shared" si="68"/>
        <v>0</v>
      </c>
    </row>
    <row r="2190" spans="1:24" s="360" customFormat="1" ht="12" customHeight="1" outlineLevel="1">
      <c r="A2190" s="365"/>
      <c r="B2190" s="118" t="s">
        <v>12</v>
      </c>
      <c r="C2190" s="334" t="s">
        <v>9171</v>
      </c>
      <c r="D2190" s="124" t="s">
        <v>9172</v>
      </c>
      <c r="E2190" s="125"/>
      <c r="F2190" s="118" t="s">
        <v>622</v>
      </c>
      <c r="G2190" s="126" t="s">
        <v>9000</v>
      </c>
      <c r="H2190" s="255">
        <v>4</v>
      </c>
      <c r="I2190" s="361">
        <v>1</v>
      </c>
      <c r="J2190" s="362" t="s">
        <v>310</v>
      </c>
      <c r="K2190" s="329"/>
      <c r="L2190" s="129"/>
      <c r="M2190" s="129"/>
      <c r="N2190" s="129"/>
      <c r="O2190" s="129"/>
      <c r="P2190" s="372"/>
      <c r="Q2190" s="372"/>
      <c r="R2190" s="129"/>
      <c r="S2190" s="129"/>
      <c r="T2190" s="129"/>
      <c r="W2190" s="129" t="s">
        <v>286</v>
      </c>
      <c r="X2190" s="337" t="b">
        <f t="shared" si="68"/>
        <v>0</v>
      </c>
    </row>
    <row r="2191" spans="1:24" s="360" customFormat="1" ht="12" customHeight="1" outlineLevel="1">
      <c r="A2191" s="365"/>
      <c r="B2191" s="118" t="s">
        <v>12</v>
      </c>
      <c r="C2191" s="334" t="s">
        <v>9173</v>
      </c>
      <c r="D2191" s="124" t="s">
        <v>9174</v>
      </c>
      <c r="E2191" s="125"/>
      <c r="F2191" s="118" t="s">
        <v>622</v>
      </c>
      <c r="G2191" s="126" t="s">
        <v>9000</v>
      </c>
      <c r="H2191" s="255">
        <v>4</v>
      </c>
      <c r="I2191" s="361">
        <v>1</v>
      </c>
      <c r="J2191" s="362" t="s">
        <v>310</v>
      </c>
      <c r="K2191" s="329"/>
      <c r="L2191" s="129"/>
      <c r="M2191" s="129"/>
      <c r="N2191" s="129"/>
      <c r="O2191" s="129"/>
      <c r="P2191" s="372"/>
      <c r="Q2191" s="372"/>
      <c r="R2191" s="129"/>
      <c r="S2191" s="129"/>
      <c r="T2191" s="129"/>
      <c r="W2191" s="129" t="s">
        <v>286</v>
      </c>
      <c r="X2191" s="337" t="b">
        <f t="shared" si="68"/>
        <v>0</v>
      </c>
    </row>
    <row r="2192" spans="1:24" s="360" customFormat="1" ht="12" customHeight="1" outlineLevel="1">
      <c r="A2192" s="365"/>
      <c r="B2192" s="118" t="s">
        <v>12</v>
      </c>
      <c r="C2192" s="334" t="s">
        <v>9175</v>
      </c>
      <c r="D2192" s="124" t="s">
        <v>9176</v>
      </c>
      <c r="E2192" s="125"/>
      <c r="F2192" s="118" t="s">
        <v>622</v>
      </c>
      <c r="G2192" s="126" t="s">
        <v>9000</v>
      </c>
      <c r="H2192" s="255">
        <v>4</v>
      </c>
      <c r="I2192" s="361">
        <v>1</v>
      </c>
      <c r="J2192" s="362" t="s">
        <v>310</v>
      </c>
      <c r="K2192" s="329"/>
      <c r="L2192" s="129"/>
      <c r="M2192" s="129"/>
      <c r="N2192" s="129"/>
      <c r="O2192" s="129"/>
      <c r="P2192" s="372"/>
      <c r="Q2192" s="372"/>
      <c r="R2192" s="129"/>
      <c r="S2192" s="129"/>
      <c r="T2192" s="129"/>
      <c r="W2192" s="129" t="s">
        <v>286</v>
      </c>
      <c r="X2192" s="337" t="b">
        <f t="shared" si="68"/>
        <v>0</v>
      </c>
    </row>
    <row r="2193" spans="1:24" s="360" customFormat="1" ht="12" customHeight="1" outlineLevel="1">
      <c r="A2193" s="365"/>
      <c r="B2193" s="118" t="s">
        <v>12</v>
      </c>
      <c r="C2193" s="334" t="s">
        <v>9177</v>
      </c>
      <c r="D2193" s="124" t="s">
        <v>9178</v>
      </c>
      <c r="E2193" s="125"/>
      <c r="F2193" s="118" t="s">
        <v>622</v>
      </c>
      <c r="G2193" s="126" t="s">
        <v>9000</v>
      </c>
      <c r="H2193" s="255">
        <v>4</v>
      </c>
      <c r="I2193" s="361">
        <v>1</v>
      </c>
      <c r="J2193" s="362" t="s">
        <v>310</v>
      </c>
      <c r="K2193" s="329"/>
      <c r="L2193" s="129"/>
      <c r="M2193" s="129"/>
      <c r="N2193" s="129"/>
      <c r="O2193" s="129"/>
      <c r="P2193" s="372"/>
      <c r="Q2193" s="372"/>
      <c r="R2193" s="129"/>
      <c r="S2193" s="129"/>
      <c r="T2193" s="129"/>
      <c r="W2193" s="129" t="s">
        <v>286</v>
      </c>
      <c r="X2193" s="337" t="b">
        <f t="shared" si="68"/>
        <v>0</v>
      </c>
    </row>
    <row r="2194" spans="1:24" s="360" customFormat="1" ht="12" customHeight="1" outlineLevel="1">
      <c r="A2194" s="365"/>
      <c r="B2194" s="118" t="s">
        <v>12</v>
      </c>
      <c r="C2194" s="334" t="s">
        <v>9179</v>
      </c>
      <c r="D2194" s="124" t="s">
        <v>9180</v>
      </c>
      <c r="E2194" s="125"/>
      <c r="F2194" s="118" t="s">
        <v>622</v>
      </c>
      <c r="G2194" s="126" t="s">
        <v>9000</v>
      </c>
      <c r="H2194" s="255">
        <v>4</v>
      </c>
      <c r="I2194" s="361">
        <v>1</v>
      </c>
      <c r="J2194" s="362" t="s">
        <v>310</v>
      </c>
      <c r="K2194" s="329"/>
      <c r="L2194" s="129"/>
      <c r="M2194" s="129"/>
      <c r="N2194" s="129"/>
      <c r="O2194" s="129"/>
      <c r="P2194" s="372"/>
      <c r="Q2194" s="372"/>
      <c r="R2194" s="129"/>
      <c r="S2194" s="129"/>
      <c r="T2194" s="129"/>
      <c r="W2194" s="129" t="s">
        <v>286</v>
      </c>
      <c r="X2194" s="337" t="b">
        <f t="shared" si="68"/>
        <v>0</v>
      </c>
    </row>
    <row r="2195" spans="1:24" s="360" customFormat="1" ht="12" customHeight="1" outlineLevel="1">
      <c r="A2195" s="365"/>
      <c r="B2195" s="118" t="s">
        <v>12</v>
      </c>
      <c r="C2195" s="334" t="s">
        <v>9181</v>
      </c>
      <c r="D2195" s="124" t="s">
        <v>9182</v>
      </c>
      <c r="E2195" s="125"/>
      <c r="F2195" s="118" t="s">
        <v>622</v>
      </c>
      <c r="G2195" s="126" t="s">
        <v>9000</v>
      </c>
      <c r="H2195" s="255">
        <v>4</v>
      </c>
      <c r="I2195" s="361">
        <v>1</v>
      </c>
      <c r="J2195" s="362" t="s">
        <v>310</v>
      </c>
      <c r="K2195" s="329"/>
      <c r="L2195" s="129"/>
      <c r="M2195" s="129"/>
      <c r="N2195" s="129"/>
      <c r="O2195" s="129"/>
      <c r="P2195" s="372"/>
      <c r="Q2195" s="372"/>
      <c r="R2195" s="129"/>
      <c r="S2195" s="129"/>
      <c r="T2195" s="129"/>
      <c r="W2195" s="129" t="s">
        <v>286</v>
      </c>
      <c r="X2195" s="337" t="b">
        <f t="shared" si="68"/>
        <v>0</v>
      </c>
    </row>
    <row r="2196" spans="1:24" s="360" customFormat="1" ht="12" customHeight="1" outlineLevel="1">
      <c r="A2196" s="365"/>
      <c r="B2196" s="118" t="s">
        <v>12</v>
      </c>
      <c r="C2196" s="334" t="s">
        <v>9183</v>
      </c>
      <c r="D2196" s="124" t="s">
        <v>9184</v>
      </c>
      <c r="E2196" s="125"/>
      <c r="F2196" s="118" t="s">
        <v>622</v>
      </c>
      <c r="G2196" s="126" t="s">
        <v>9000</v>
      </c>
      <c r="H2196" s="255">
        <v>4</v>
      </c>
      <c r="I2196" s="361">
        <v>1</v>
      </c>
      <c r="J2196" s="362" t="s">
        <v>310</v>
      </c>
      <c r="K2196" s="329"/>
      <c r="L2196" s="129"/>
      <c r="M2196" s="129"/>
      <c r="N2196" s="129"/>
      <c r="O2196" s="129"/>
      <c r="P2196" s="372"/>
      <c r="Q2196" s="372"/>
      <c r="R2196" s="129"/>
      <c r="S2196" s="129"/>
      <c r="T2196" s="129"/>
      <c r="W2196" s="129" t="s">
        <v>286</v>
      </c>
      <c r="X2196" s="337" t="b">
        <f t="shared" si="68"/>
        <v>0</v>
      </c>
    </row>
    <row r="2197" spans="1:24" s="360" customFormat="1" ht="12" customHeight="1" outlineLevel="1">
      <c r="A2197" s="365"/>
      <c r="B2197" s="118" t="s">
        <v>12</v>
      </c>
      <c r="C2197" s="334" t="s">
        <v>9185</v>
      </c>
      <c r="D2197" s="124" t="s">
        <v>9186</v>
      </c>
      <c r="E2197" s="125"/>
      <c r="F2197" s="118" t="s">
        <v>622</v>
      </c>
      <c r="G2197" s="126" t="s">
        <v>9000</v>
      </c>
      <c r="H2197" s="255">
        <v>4</v>
      </c>
      <c r="I2197" s="361">
        <v>1</v>
      </c>
      <c r="J2197" s="362" t="s">
        <v>310</v>
      </c>
      <c r="K2197" s="329"/>
      <c r="L2197" s="129"/>
      <c r="M2197" s="129"/>
      <c r="N2197" s="129"/>
      <c r="O2197" s="129"/>
      <c r="P2197" s="372"/>
      <c r="Q2197" s="372"/>
      <c r="R2197" s="129"/>
      <c r="S2197" s="129"/>
      <c r="T2197" s="129"/>
      <c r="W2197" s="129" t="s">
        <v>286</v>
      </c>
      <c r="X2197" s="337" t="b">
        <f t="shared" si="68"/>
        <v>0</v>
      </c>
    </row>
    <row r="2198" spans="1:24" s="360" customFormat="1" ht="12" customHeight="1" outlineLevel="1">
      <c r="A2198" s="365"/>
      <c r="B2198" s="118" t="s">
        <v>12</v>
      </c>
      <c r="C2198" s="334" t="s">
        <v>9187</v>
      </c>
      <c r="D2198" s="124" t="s">
        <v>9188</v>
      </c>
      <c r="E2198" s="125"/>
      <c r="F2198" s="118" t="s">
        <v>622</v>
      </c>
      <c r="G2198" s="126" t="s">
        <v>9000</v>
      </c>
      <c r="H2198" s="255">
        <v>4</v>
      </c>
      <c r="I2198" s="361">
        <v>1</v>
      </c>
      <c r="J2198" s="362" t="s">
        <v>310</v>
      </c>
      <c r="K2198" s="329"/>
      <c r="L2198" s="129"/>
      <c r="M2198" s="129"/>
      <c r="N2198" s="129"/>
      <c r="O2198" s="129"/>
      <c r="P2198" s="372"/>
      <c r="Q2198" s="372"/>
      <c r="R2198" s="129"/>
      <c r="S2198" s="129"/>
      <c r="T2198" s="129"/>
      <c r="W2198" s="129" t="s">
        <v>286</v>
      </c>
      <c r="X2198" s="337" t="b">
        <f t="shared" si="68"/>
        <v>0</v>
      </c>
    </row>
    <row r="2199" spans="1:24" s="360" customFormat="1" ht="12" customHeight="1" outlineLevel="1">
      <c r="A2199" s="365"/>
      <c r="B2199" s="118" t="s">
        <v>12</v>
      </c>
      <c r="C2199" s="334" t="s">
        <v>9189</v>
      </c>
      <c r="D2199" s="124" t="s">
        <v>9190</v>
      </c>
      <c r="E2199" s="125"/>
      <c r="F2199" s="118" t="s">
        <v>622</v>
      </c>
      <c r="G2199" s="126" t="s">
        <v>9000</v>
      </c>
      <c r="H2199" s="255">
        <v>4</v>
      </c>
      <c r="I2199" s="361">
        <v>1</v>
      </c>
      <c r="J2199" s="362" t="s">
        <v>310</v>
      </c>
      <c r="K2199" s="329"/>
      <c r="L2199" s="129"/>
      <c r="M2199" s="129"/>
      <c r="N2199" s="129"/>
      <c r="O2199" s="129"/>
      <c r="P2199" s="372"/>
      <c r="Q2199" s="372"/>
      <c r="R2199" s="129"/>
      <c r="S2199" s="129"/>
      <c r="T2199" s="129"/>
      <c r="W2199" s="129" t="s">
        <v>286</v>
      </c>
      <c r="X2199" s="337" t="b">
        <f t="shared" si="68"/>
        <v>0</v>
      </c>
    </row>
    <row r="2200" spans="1:24" s="360" customFormat="1" ht="12" customHeight="1" outlineLevel="1">
      <c r="A2200" s="365"/>
      <c r="B2200" s="118" t="s">
        <v>12</v>
      </c>
      <c r="C2200" s="334" t="s">
        <v>9191</v>
      </c>
      <c r="D2200" s="124" t="s">
        <v>9192</v>
      </c>
      <c r="E2200" s="125"/>
      <c r="F2200" s="118" t="s">
        <v>622</v>
      </c>
      <c r="G2200" s="126" t="s">
        <v>9000</v>
      </c>
      <c r="H2200" s="255">
        <v>4</v>
      </c>
      <c r="I2200" s="361">
        <v>1</v>
      </c>
      <c r="J2200" s="362" t="s">
        <v>310</v>
      </c>
      <c r="K2200" s="329"/>
      <c r="L2200" s="129"/>
      <c r="M2200" s="129"/>
      <c r="N2200" s="129"/>
      <c r="O2200" s="129"/>
      <c r="P2200" s="372"/>
      <c r="Q2200" s="372"/>
      <c r="R2200" s="129"/>
      <c r="S2200" s="129"/>
      <c r="T2200" s="129"/>
      <c r="W2200" s="129" t="s">
        <v>286</v>
      </c>
      <c r="X2200" s="337" t="b">
        <f t="shared" si="68"/>
        <v>0</v>
      </c>
    </row>
    <row r="2201" spans="1:24" s="360" customFormat="1" ht="12" customHeight="1" outlineLevel="1">
      <c r="A2201" s="365"/>
      <c r="B2201" s="118" t="s">
        <v>12</v>
      </c>
      <c r="C2201" s="334" t="s">
        <v>9193</v>
      </c>
      <c r="D2201" s="124" t="s">
        <v>9194</v>
      </c>
      <c r="E2201" s="125"/>
      <c r="F2201" s="118" t="s">
        <v>622</v>
      </c>
      <c r="G2201" s="126" t="s">
        <v>9000</v>
      </c>
      <c r="H2201" s="255">
        <v>4</v>
      </c>
      <c r="I2201" s="361">
        <v>1</v>
      </c>
      <c r="J2201" s="362" t="s">
        <v>286</v>
      </c>
      <c r="K2201" s="329"/>
      <c r="L2201" s="129"/>
      <c r="M2201" s="129"/>
      <c r="N2201" s="129"/>
      <c r="O2201" s="129"/>
      <c r="P2201" s="372"/>
      <c r="Q2201" s="372"/>
      <c r="R2201" s="129"/>
      <c r="S2201" s="129"/>
      <c r="T2201" s="129"/>
      <c r="W2201" s="129" t="s">
        <v>286</v>
      </c>
      <c r="X2201" s="337" t="b">
        <f t="shared" si="68"/>
        <v>1</v>
      </c>
    </row>
    <row r="2202" spans="1:24" s="360" customFormat="1" ht="12" customHeight="1" outlineLevel="1">
      <c r="A2202" s="365"/>
      <c r="B2202" s="118" t="s">
        <v>12</v>
      </c>
      <c r="C2202" s="334" t="s">
        <v>9195</v>
      </c>
      <c r="D2202" s="124" t="s">
        <v>9196</v>
      </c>
      <c r="E2202" s="125"/>
      <c r="F2202" s="118" t="s">
        <v>622</v>
      </c>
      <c r="G2202" s="126" t="s">
        <v>9000</v>
      </c>
      <c r="H2202" s="255">
        <v>4</v>
      </c>
      <c r="I2202" s="361">
        <v>1</v>
      </c>
      <c r="J2202" s="362" t="s">
        <v>286</v>
      </c>
      <c r="K2202" s="329"/>
      <c r="L2202" s="129"/>
      <c r="M2202" s="129"/>
      <c r="N2202" s="129"/>
      <c r="O2202" s="129"/>
      <c r="P2202" s="372"/>
      <c r="Q2202" s="372"/>
      <c r="R2202" s="129"/>
      <c r="S2202" s="129"/>
      <c r="T2202" s="129"/>
      <c r="W2202" s="129" t="s">
        <v>286</v>
      </c>
      <c r="X2202" s="337" t="b">
        <f t="shared" si="68"/>
        <v>1</v>
      </c>
    </row>
    <row r="2203" spans="1:24" s="360" customFormat="1" ht="12" customHeight="1" outlineLevel="1">
      <c r="A2203" s="365"/>
      <c r="B2203" s="118" t="s">
        <v>12</v>
      </c>
      <c r="C2203" s="334" t="s">
        <v>9197</v>
      </c>
      <c r="D2203" s="124" t="s">
        <v>9198</v>
      </c>
      <c r="E2203" s="125"/>
      <c r="F2203" s="118" t="s">
        <v>622</v>
      </c>
      <c r="G2203" s="126" t="s">
        <v>9000</v>
      </c>
      <c r="H2203" s="255">
        <v>4</v>
      </c>
      <c r="I2203" s="361">
        <v>1</v>
      </c>
      <c r="J2203" s="362" t="s">
        <v>286</v>
      </c>
      <c r="K2203" s="329"/>
      <c r="L2203" s="129"/>
      <c r="M2203" s="129"/>
      <c r="N2203" s="129"/>
      <c r="O2203" s="129"/>
      <c r="P2203" s="372"/>
      <c r="Q2203" s="372"/>
      <c r="R2203" s="129"/>
      <c r="S2203" s="129"/>
      <c r="T2203" s="129"/>
      <c r="W2203" s="129" t="s">
        <v>286</v>
      </c>
      <c r="X2203" s="337" t="b">
        <f t="shared" si="68"/>
        <v>1</v>
      </c>
    </row>
    <row r="2204" spans="1:24" s="360" customFormat="1" ht="12" customHeight="1" outlineLevel="1">
      <c r="A2204" s="365"/>
      <c r="B2204" s="118" t="s">
        <v>12</v>
      </c>
      <c r="C2204" s="334" t="s">
        <v>9199</v>
      </c>
      <c r="D2204" s="124" t="s">
        <v>9200</v>
      </c>
      <c r="E2204" s="125"/>
      <c r="F2204" s="118" t="s">
        <v>622</v>
      </c>
      <c r="G2204" s="126" t="s">
        <v>9000</v>
      </c>
      <c r="H2204" s="255">
        <v>4</v>
      </c>
      <c r="I2204" s="361">
        <v>1</v>
      </c>
      <c r="J2204" s="362" t="s">
        <v>286</v>
      </c>
      <c r="K2204" s="329"/>
      <c r="L2204" s="129"/>
      <c r="M2204" s="129"/>
      <c r="N2204" s="129"/>
      <c r="O2204" s="129"/>
      <c r="P2204" s="372"/>
      <c r="Q2204" s="372"/>
      <c r="R2204" s="129"/>
      <c r="S2204" s="129"/>
      <c r="T2204" s="129"/>
      <c r="W2204" s="129" t="s">
        <v>286</v>
      </c>
      <c r="X2204" s="337" t="b">
        <f t="shared" si="68"/>
        <v>1</v>
      </c>
    </row>
    <row r="2205" spans="1:24" s="360" customFormat="1" ht="12" customHeight="1" outlineLevel="1">
      <c r="A2205" s="365"/>
      <c r="B2205" s="118" t="s">
        <v>12</v>
      </c>
      <c r="C2205" s="334" t="s">
        <v>9201</v>
      </c>
      <c r="D2205" s="124" t="s">
        <v>9202</v>
      </c>
      <c r="E2205" s="125"/>
      <c r="F2205" s="118" t="s">
        <v>622</v>
      </c>
      <c r="G2205" s="126" t="s">
        <v>9000</v>
      </c>
      <c r="H2205" s="255">
        <v>4</v>
      </c>
      <c r="I2205" s="361">
        <v>1</v>
      </c>
      <c r="J2205" s="362" t="s">
        <v>286</v>
      </c>
      <c r="K2205" s="329"/>
      <c r="L2205" s="129"/>
      <c r="M2205" s="129"/>
      <c r="N2205" s="129"/>
      <c r="O2205" s="129"/>
      <c r="P2205" s="372"/>
      <c r="Q2205" s="372"/>
      <c r="R2205" s="129"/>
      <c r="S2205" s="129"/>
      <c r="T2205" s="129"/>
      <c r="W2205" s="129" t="s">
        <v>286</v>
      </c>
      <c r="X2205" s="337" t="b">
        <f t="shared" si="68"/>
        <v>1</v>
      </c>
    </row>
    <row r="2206" spans="1:24" s="360" customFormat="1" ht="12" customHeight="1" outlineLevel="1">
      <c r="A2206" s="365"/>
      <c r="B2206" s="118" t="s">
        <v>12</v>
      </c>
      <c r="C2206" s="334" t="s">
        <v>9203</v>
      </c>
      <c r="D2206" s="124" t="s">
        <v>9204</v>
      </c>
      <c r="E2206" s="125"/>
      <c r="F2206" s="118" t="s">
        <v>622</v>
      </c>
      <c r="G2206" s="126" t="s">
        <v>9000</v>
      </c>
      <c r="H2206" s="255">
        <v>4</v>
      </c>
      <c r="I2206" s="361">
        <v>1</v>
      </c>
      <c r="J2206" s="362" t="s">
        <v>286</v>
      </c>
      <c r="K2206" s="329"/>
      <c r="L2206" s="129"/>
      <c r="M2206" s="129"/>
      <c r="N2206" s="129"/>
      <c r="O2206" s="129"/>
      <c r="P2206" s="372"/>
      <c r="Q2206" s="372"/>
      <c r="R2206" s="129"/>
      <c r="S2206" s="129"/>
      <c r="T2206" s="129"/>
      <c r="W2206" s="129" t="s">
        <v>286</v>
      </c>
      <c r="X2206" s="337" t="b">
        <f t="shared" si="68"/>
        <v>1</v>
      </c>
    </row>
    <row r="2207" spans="1:24" s="360" customFormat="1" ht="12" customHeight="1" outlineLevel="1">
      <c r="A2207" s="365"/>
      <c r="B2207" s="118" t="s">
        <v>12</v>
      </c>
      <c r="C2207" s="334" t="s">
        <v>9205</v>
      </c>
      <c r="D2207" s="124" t="s">
        <v>9206</v>
      </c>
      <c r="E2207" s="125"/>
      <c r="F2207" s="118" t="s">
        <v>622</v>
      </c>
      <c r="G2207" s="126" t="s">
        <v>9000</v>
      </c>
      <c r="H2207" s="255">
        <v>4</v>
      </c>
      <c r="I2207" s="361">
        <v>1</v>
      </c>
      <c r="J2207" s="362" t="s">
        <v>310</v>
      </c>
      <c r="K2207" s="329"/>
      <c r="L2207" s="129"/>
      <c r="M2207" s="129"/>
      <c r="N2207" s="129"/>
      <c r="O2207" s="129"/>
      <c r="P2207" s="372"/>
      <c r="Q2207" s="372"/>
      <c r="R2207" s="129"/>
      <c r="S2207" s="129"/>
      <c r="T2207" s="129"/>
      <c r="W2207" s="129" t="s">
        <v>286</v>
      </c>
      <c r="X2207" s="337" t="b">
        <f t="shared" si="68"/>
        <v>0</v>
      </c>
    </row>
    <row r="2208" spans="1:24" s="360" customFormat="1" ht="12" customHeight="1" outlineLevel="1">
      <c r="A2208" s="365"/>
      <c r="B2208" s="118" t="s">
        <v>12</v>
      </c>
      <c r="C2208" s="334" t="s">
        <v>9207</v>
      </c>
      <c r="D2208" s="124" t="s">
        <v>9208</v>
      </c>
      <c r="E2208" s="125"/>
      <c r="F2208" s="118" t="s">
        <v>622</v>
      </c>
      <c r="G2208" s="126" t="s">
        <v>9000</v>
      </c>
      <c r="H2208" s="255">
        <v>4</v>
      </c>
      <c r="I2208" s="361">
        <v>1</v>
      </c>
      <c r="J2208" s="362" t="s">
        <v>310</v>
      </c>
      <c r="K2208" s="329"/>
      <c r="L2208" s="129"/>
      <c r="M2208" s="129"/>
      <c r="N2208" s="129"/>
      <c r="O2208" s="129"/>
      <c r="P2208" s="372"/>
      <c r="Q2208" s="372"/>
      <c r="R2208" s="129"/>
      <c r="S2208" s="129"/>
      <c r="T2208" s="129"/>
      <c r="W2208" s="129" t="s">
        <v>286</v>
      </c>
      <c r="X2208" s="337" t="b">
        <f t="shared" si="68"/>
        <v>0</v>
      </c>
    </row>
    <row r="2209" spans="1:24" s="360" customFormat="1" ht="12" customHeight="1" outlineLevel="1">
      <c r="A2209" s="365"/>
      <c r="B2209" s="118" t="s">
        <v>12</v>
      </c>
      <c r="C2209" s="334" t="s">
        <v>9209</v>
      </c>
      <c r="D2209" s="124" t="s">
        <v>9210</v>
      </c>
      <c r="E2209" s="125"/>
      <c r="F2209" s="118" t="s">
        <v>622</v>
      </c>
      <c r="G2209" s="126" t="s">
        <v>9000</v>
      </c>
      <c r="H2209" s="255">
        <v>4</v>
      </c>
      <c r="I2209" s="361">
        <v>1</v>
      </c>
      <c r="J2209" s="362" t="s">
        <v>310</v>
      </c>
      <c r="K2209" s="329"/>
      <c r="L2209" s="129"/>
      <c r="M2209" s="129"/>
      <c r="N2209" s="129"/>
      <c r="O2209" s="129"/>
      <c r="P2209" s="372"/>
      <c r="Q2209" s="372"/>
      <c r="R2209" s="129"/>
      <c r="S2209" s="129"/>
      <c r="T2209" s="129"/>
      <c r="W2209" s="129" t="s">
        <v>286</v>
      </c>
      <c r="X2209" s="337" t="b">
        <f t="shared" si="68"/>
        <v>0</v>
      </c>
    </row>
    <row r="2210" spans="1:24" s="360" customFormat="1" ht="12" customHeight="1" outlineLevel="1">
      <c r="A2210" s="365"/>
      <c r="B2210" s="118" t="s">
        <v>12</v>
      </c>
      <c r="C2210" s="334" t="s">
        <v>9211</v>
      </c>
      <c r="D2210" s="124" t="s">
        <v>9212</v>
      </c>
      <c r="E2210" s="125"/>
      <c r="F2210" s="118" t="s">
        <v>622</v>
      </c>
      <c r="G2210" s="126" t="s">
        <v>9000</v>
      </c>
      <c r="H2210" s="255">
        <v>4</v>
      </c>
      <c r="I2210" s="361">
        <v>1</v>
      </c>
      <c r="J2210" s="362" t="s">
        <v>286</v>
      </c>
      <c r="K2210" s="329"/>
      <c r="L2210" s="129"/>
      <c r="M2210" s="129"/>
      <c r="N2210" s="129"/>
      <c r="O2210" s="129"/>
      <c r="P2210" s="372"/>
      <c r="Q2210" s="372"/>
      <c r="R2210" s="129"/>
      <c r="S2210" s="129"/>
      <c r="T2210" s="129"/>
      <c r="W2210" s="129" t="s">
        <v>286</v>
      </c>
      <c r="X2210" s="337" t="b">
        <f t="shared" si="68"/>
        <v>1</v>
      </c>
    </row>
    <row r="2211" spans="1:24" s="360" customFormat="1" ht="12" customHeight="1" outlineLevel="1">
      <c r="A2211" s="365"/>
      <c r="B2211" s="118" t="s">
        <v>12</v>
      </c>
      <c r="C2211" s="334" t="s">
        <v>9213</v>
      </c>
      <c r="D2211" s="124" t="s">
        <v>9214</v>
      </c>
      <c r="E2211" s="125"/>
      <c r="F2211" s="118" t="s">
        <v>622</v>
      </c>
      <c r="G2211" s="126" t="s">
        <v>9000</v>
      </c>
      <c r="H2211" s="255">
        <v>4</v>
      </c>
      <c r="I2211" s="361">
        <v>1</v>
      </c>
      <c r="J2211" s="362" t="s">
        <v>286</v>
      </c>
      <c r="K2211" s="329"/>
      <c r="L2211" s="129"/>
      <c r="M2211" s="129"/>
      <c r="N2211" s="129"/>
      <c r="O2211" s="129"/>
      <c r="P2211" s="372"/>
      <c r="Q2211" s="372"/>
      <c r="R2211" s="129"/>
      <c r="S2211" s="129"/>
      <c r="T2211" s="129"/>
      <c r="W2211" s="129" t="s">
        <v>286</v>
      </c>
      <c r="X2211" s="337" t="b">
        <f t="shared" si="68"/>
        <v>1</v>
      </c>
    </row>
    <row r="2212" spans="1:24" s="360" customFormat="1" ht="12" customHeight="1" outlineLevel="1">
      <c r="A2212" s="365"/>
      <c r="B2212" s="118" t="s">
        <v>12</v>
      </c>
      <c r="C2212" s="334" t="s">
        <v>9215</v>
      </c>
      <c r="D2212" s="124" t="s">
        <v>9216</v>
      </c>
      <c r="E2212" s="125"/>
      <c r="F2212" s="118" t="s">
        <v>622</v>
      </c>
      <c r="G2212" s="126" t="s">
        <v>9000</v>
      </c>
      <c r="H2212" s="255">
        <v>4</v>
      </c>
      <c r="I2212" s="361">
        <v>1</v>
      </c>
      <c r="J2212" s="362" t="s">
        <v>286</v>
      </c>
      <c r="K2212" s="329"/>
      <c r="L2212" s="129"/>
      <c r="M2212" s="129"/>
      <c r="N2212" s="129"/>
      <c r="O2212" s="129"/>
      <c r="P2212" s="372"/>
      <c r="Q2212" s="372"/>
      <c r="R2212" s="129"/>
      <c r="S2212" s="129"/>
      <c r="T2212" s="129"/>
      <c r="W2212" s="129" t="s">
        <v>286</v>
      </c>
      <c r="X2212" s="337" t="b">
        <f t="shared" si="68"/>
        <v>1</v>
      </c>
    </row>
    <row r="2213" spans="1:24" s="360" customFormat="1" ht="12" customHeight="1" outlineLevel="1">
      <c r="A2213" s="365"/>
      <c r="B2213" s="118" t="s">
        <v>12</v>
      </c>
      <c r="C2213" s="334" t="s">
        <v>9217</v>
      </c>
      <c r="D2213" s="124" t="s">
        <v>9218</v>
      </c>
      <c r="E2213" s="125"/>
      <c r="F2213" s="118" t="s">
        <v>622</v>
      </c>
      <c r="G2213" s="126" t="s">
        <v>9000</v>
      </c>
      <c r="H2213" s="255">
        <v>4</v>
      </c>
      <c r="I2213" s="361">
        <v>1</v>
      </c>
      <c r="J2213" s="362" t="s">
        <v>286</v>
      </c>
      <c r="K2213" s="329"/>
      <c r="L2213" s="129"/>
      <c r="M2213" s="129"/>
      <c r="N2213" s="129"/>
      <c r="O2213" s="129"/>
      <c r="P2213" s="372"/>
      <c r="Q2213" s="372"/>
      <c r="R2213" s="129"/>
      <c r="S2213" s="129"/>
      <c r="T2213" s="129"/>
      <c r="W2213" s="129" t="s">
        <v>286</v>
      </c>
      <c r="X2213" s="337" t="b">
        <f t="shared" si="68"/>
        <v>1</v>
      </c>
    </row>
    <row r="2214" spans="1:24" s="360" customFormat="1" ht="12" customHeight="1" outlineLevel="1">
      <c r="A2214" s="365"/>
      <c r="B2214" s="118" t="s">
        <v>12</v>
      </c>
      <c r="C2214" s="334" t="s">
        <v>9219</v>
      </c>
      <c r="D2214" s="124" t="s">
        <v>9220</v>
      </c>
      <c r="E2214" s="125"/>
      <c r="F2214" s="118" t="s">
        <v>622</v>
      </c>
      <c r="G2214" s="126" t="s">
        <v>9000</v>
      </c>
      <c r="H2214" s="255">
        <v>4</v>
      </c>
      <c r="I2214" s="361">
        <v>1</v>
      </c>
      <c r="J2214" s="362" t="s">
        <v>286</v>
      </c>
      <c r="K2214" s="329"/>
      <c r="L2214" s="129"/>
      <c r="M2214" s="129"/>
      <c r="N2214" s="129"/>
      <c r="O2214" s="129"/>
      <c r="P2214" s="372"/>
      <c r="Q2214" s="372"/>
      <c r="R2214" s="129"/>
      <c r="S2214" s="129"/>
      <c r="T2214" s="129"/>
      <c r="W2214" s="129" t="s">
        <v>286</v>
      </c>
      <c r="X2214" s="337" t="b">
        <f t="shared" si="68"/>
        <v>1</v>
      </c>
    </row>
    <row r="2215" spans="1:24" s="360" customFormat="1" ht="12" customHeight="1" outlineLevel="1">
      <c r="A2215" s="365"/>
      <c r="B2215" s="118" t="s">
        <v>12</v>
      </c>
      <c r="C2215" s="334" t="s">
        <v>9221</v>
      </c>
      <c r="D2215" s="124" t="s">
        <v>9222</v>
      </c>
      <c r="E2215" s="125"/>
      <c r="F2215" s="118" t="s">
        <v>622</v>
      </c>
      <c r="G2215" s="126" t="s">
        <v>9000</v>
      </c>
      <c r="H2215" s="255">
        <v>4</v>
      </c>
      <c r="I2215" s="361">
        <v>1</v>
      </c>
      <c r="J2215" s="362" t="s">
        <v>286</v>
      </c>
      <c r="K2215" s="329"/>
      <c r="L2215" s="129"/>
      <c r="M2215" s="129"/>
      <c r="N2215" s="129"/>
      <c r="O2215" s="129"/>
      <c r="P2215" s="372"/>
      <c r="Q2215" s="372"/>
      <c r="R2215" s="129"/>
      <c r="S2215" s="129"/>
      <c r="T2215" s="129"/>
      <c r="W2215" s="129" t="s">
        <v>286</v>
      </c>
      <c r="X2215" s="337" t="b">
        <f t="shared" si="68"/>
        <v>1</v>
      </c>
    </row>
    <row r="2216" spans="1:24" s="360" customFormat="1" ht="12" customHeight="1" outlineLevel="1">
      <c r="A2216" s="365"/>
      <c r="B2216" s="118" t="s">
        <v>12</v>
      </c>
      <c r="C2216" s="334" t="s">
        <v>9223</v>
      </c>
      <c r="D2216" s="124" t="s">
        <v>9224</v>
      </c>
      <c r="E2216" s="125"/>
      <c r="F2216" s="118" t="s">
        <v>622</v>
      </c>
      <c r="G2216" s="126" t="s">
        <v>9000</v>
      </c>
      <c r="H2216" s="255">
        <v>4</v>
      </c>
      <c r="I2216" s="361">
        <v>1</v>
      </c>
      <c r="J2216" s="362" t="s">
        <v>286</v>
      </c>
      <c r="K2216" s="329"/>
      <c r="L2216" s="129"/>
      <c r="M2216" s="129"/>
      <c r="N2216" s="129"/>
      <c r="O2216" s="129"/>
      <c r="P2216" s="372"/>
      <c r="Q2216" s="372"/>
      <c r="R2216" s="129"/>
      <c r="S2216" s="129"/>
      <c r="T2216" s="129"/>
      <c r="W2216" s="129" t="s">
        <v>286</v>
      </c>
      <c r="X2216" s="337" t="b">
        <f t="shared" si="68"/>
        <v>1</v>
      </c>
    </row>
    <row r="2217" spans="1:24" s="360" customFormat="1" ht="12" customHeight="1" outlineLevel="1">
      <c r="A2217" s="365"/>
      <c r="B2217" s="118" t="s">
        <v>12</v>
      </c>
      <c r="C2217" s="334" t="s">
        <v>9225</v>
      </c>
      <c r="D2217" s="124" t="s">
        <v>9226</v>
      </c>
      <c r="E2217" s="125"/>
      <c r="F2217" s="118" t="s">
        <v>622</v>
      </c>
      <c r="G2217" s="126" t="s">
        <v>9000</v>
      </c>
      <c r="H2217" s="255">
        <v>4</v>
      </c>
      <c r="I2217" s="361">
        <v>1</v>
      </c>
      <c r="J2217" s="362" t="s">
        <v>286</v>
      </c>
      <c r="K2217" s="329"/>
      <c r="L2217" s="129"/>
      <c r="M2217" s="129"/>
      <c r="N2217" s="129"/>
      <c r="O2217" s="129"/>
      <c r="P2217" s="372"/>
      <c r="Q2217" s="372"/>
      <c r="R2217" s="129"/>
      <c r="S2217" s="129"/>
      <c r="T2217" s="129"/>
      <c r="W2217" s="129" t="s">
        <v>286</v>
      </c>
      <c r="X2217" s="337" t="b">
        <f t="shared" si="68"/>
        <v>1</v>
      </c>
    </row>
    <row r="2218" spans="1:24" s="360" customFormat="1" ht="12" customHeight="1" outlineLevel="1">
      <c r="A2218" s="365"/>
      <c r="B2218" s="118" t="s">
        <v>12</v>
      </c>
      <c r="C2218" s="334" t="s">
        <v>9227</v>
      </c>
      <c r="D2218" s="124" t="s">
        <v>9228</v>
      </c>
      <c r="E2218" s="125"/>
      <c r="F2218" s="118" t="s">
        <v>622</v>
      </c>
      <c r="G2218" s="126" t="s">
        <v>9000</v>
      </c>
      <c r="H2218" s="255">
        <v>4</v>
      </c>
      <c r="I2218" s="361">
        <v>1</v>
      </c>
      <c r="J2218" s="362" t="s">
        <v>286</v>
      </c>
      <c r="K2218" s="329"/>
      <c r="L2218" s="129"/>
      <c r="M2218" s="129"/>
      <c r="N2218" s="129"/>
      <c r="O2218" s="129"/>
      <c r="P2218" s="372"/>
      <c r="Q2218" s="372"/>
      <c r="R2218" s="129"/>
      <c r="S2218" s="129"/>
      <c r="T2218" s="129"/>
      <c r="W2218" s="129" t="s">
        <v>286</v>
      </c>
      <c r="X2218" s="337" t="b">
        <f t="shared" si="68"/>
        <v>1</v>
      </c>
    </row>
    <row r="2219" spans="1:24" s="360" customFormat="1" ht="12" customHeight="1" outlineLevel="1">
      <c r="A2219" s="365"/>
      <c r="B2219" s="118" t="s">
        <v>12</v>
      </c>
      <c r="C2219" s="334" t="s">
        <v>9229</v>
      </c>
      <c r="D2219" s="124" t="s">
        <v>9230</v>
      </c>
      <c r="E2219" s="125"/>
      <c r="F2219" s="118" t="s">
        <v>622</v>
      </c>
      <c r="G2219" s="126" t="s">
        <v>9000</v>
      </c>
      <c r="H2219" s="255">
        <v>4</v>
      </c>
      <c r="I2219" s="361">
        <v>1</v>
      </c>
      <c r="J2219" s="362" t="s">
        <v>286</v>
      </c>
      <c r="K2219" s="329"/>
      <c r="L2219" s="129"/>
      <c r="M2219" s="129"/>
      <c r="N2219" s="129"/>
      <c r="O2219" s="129"/>
      <c r="P2219" s="372"/>
      <c r="Q2219" s="372"/>
      <c r="R2219" s="129"/>
      <c r="S2219" s="129"/>
      <c r="T2219" s="129"/>
      <c r="W2219" s="129" t="s">
        <v>286</v>
      </c>
      <c r="X2219" s="337" t="b">
        <f t="shared" si="68"/>
        <v>1</v>
      </c>
    </row>
    <row r="2220" spans="1:24" s="360" customFormat="1" ht="12" customHeight="1" outlineLevel="1">
      <c r="A2220" s="365"/>
      <c r="B2220" s="118" t="s">
        <v>12</v>
      </c>
      <c r="C2220" s="334" t="s">
        <v>9231</v>
      </c>
      <c r="D2220" s="124" t="s">
        <v>9232</v>
      </c>
      <c r="E2220" s="125"/>
      <c r="F2220" s="118" t="s">
        <v>622</v>
      </c>
      <c r="G2220" s="126" t="s">
        <v>9000</v>
      </c>
      <c r="H2220" s="255">
        <v>4</v>
      </c>
      <c r="I2220" s="361">
        <v>1</v>
      </c>
      <c r="J2220" s="362" t="s">
        <v>286</v>
      </c>
      <c r="K2220" s="329"/>
      <c r="L2220" s="129"/>
      <c r="M2220" s="129"/>
      <c r="N2220" s="129"/>
      <c r="O2220" s="129"/>
      <c r="P2220" s="372"/>
      <c r="Q2220" s="372"/>
      <c r="R2220" s="129"/>
      <c r="S2220" s="129"/>
      <c r="T2220" s="129"/>
      <c r="W2220" s="129" t="s">
        <v>286</v>
      </c>
      <c r="X2220" s="337" t="b">
        <f t="shared" si="68"/>
        <v>1</v>
      </c>
    </row>
    <row r="2221" spans="1:24" s="360" customFormat="1" ht="12" customHeight="1" outlineLevel="1">
      <c r="A2221" s="365"/>
      <c r="B2221" s="118" t="s">
        <v>12</v>
      </c>
      <c r="C2221" s="334" t="s">
        <v>9233</v>
      </c>
      <c r="D2221" s="124" t="s">
        <v>9234</v>
      </c>
      <c r="E2221" s="125"/>
      <c r="F2221" s="118" t="s">
        <v>622</v>
      </c>
      <c r="G2221" s="126" t="s">
        <v>9000</v>
      </c>
      <c r="H2221" s="255">
        <v>4</v>
      </c>
      <c r="I2221" s="361">
        <v>1</v>
      </c>
      <c r="J2221" s="362" t="s">
        <v>286</v>
      </c>
      <c r="K2221" s="329"/>
      <c r="L2221" s="129"/>
      <c r="M2221" s="129"/>
      <c r="N2221" s="129"/>
      <c r="O2221" s="129"/>
      <c r="P2221" s="372"/>
      <c r="Q2221" s="372"/>
      <c r="R2221" s="129"/>
      <c r="S2221" s="129"/>
      <c r="T2221" s="129"/>
      <c r="W2221" s="129" t="s">
        <v>286</v>
      </c>
      <c r="X2221" s="337" t="b">
        <f t="shared" si="68"/>
        <v>1</v>
      </c>
    </row>
    <row r="2222" spans="1:24" s="360" customFormat="1" ht="12" customHeight="1" outlineLevel="1">
      <c r="A2222" s="365"/>
      <c r="B2222" s="118" t="s">
        <v>12</v>
      </c>
      <c r="C2222" s="334" t="s">
        <v>9235</v>
      </c>
      <c r="D2222" s="124" t="s">
        <v>9236</v>
      </c>
      <c r="E2222" s="125"/>
      <c r="F2222" s="118" t="s">
        <v>622</v>
      </c>
      <c r="G2222" s="126" t="s">
        <v>9000</v>
      </c>
      <c r="H2222" s="255">
        <v>4</v>
      </c>
      <c r="I2222" s="361">
        <v>1</v>
      </c>
      <c r="J2222" s="362" t="s">
        <v>286</v>
      </c>
      <c r="K2222" s="329"/>
      <c r="L2222" s="129"/>
      <c r="M2222" s="129"/>
      <c r="N2222" s="129"/>
      <c r="O2222" s="129"/>
      <c r="P2222" s="372"/>
      <c r="Q2222" s="372"/>
      <c r="R2222" s="129"/>
      <c r="S2222" s="129"/>
      <c r="T2222" s="129"/>
      <c r="W2222" s="129" t="s">
        <v>286</v>
      </c>
      <c r="X2222" s="337" t="b">
        <f t="shared" si="68"/>
        <v>1</v>
      </c>
    </row>
    <row r="2223" spans="1:24" s="360" customFormat="1" ht="12" customHeight="1" outlineLevel="1">
      <c r="A2223" s="365"/>
      <c r="B2223" s="118" t="s">
        <v>12</v>
      </c>
      <c r="C2223" s="334" t="s">
        <v>9237</v>
      </c>
      <c r="D2223" s="124" t="s">
        <v>9238</v>
      </c>
      <c r="E2223" s="125"/>
      <c r="F2223" s="118" t="s">
        <v>622</v>
      </c>
      <c r="G2223" s="126" t="s">
        <v>9000</v>
      </c>
      <c r="H2223" s="255">
        <v>4</v>
      </c>
      <c r="I2223" s="361">
        <v>1</v>
      </c>
      <c r="J2223" s="362" t="s">
        <v>286</v>
      </c>
      <c r="K2223" s="329"/>
      <c r="L2223" s="129"/>
      <c r="M2223" s="129"/>
      <c r="N2223" s="129"/>
      <c r="O2223" s="129"/>
      <c r="P2223" s="372"/>
      <c r="Q2223" s="372"/>
      <c r="R2223" s="129"/>
      <c r="S2223" s="129"/>
      <c r="T2223" s="129"/>
      <c r="W2223" s="129" t="s">
        <v>286</v>
      </c>
      <c r="X2223" s="337" t="b">
        <f t="shared" si="68"/>
        <v>1</v>
      </c>
    </row>
    <row r="2224" spans="1:24" s="360" customFormat="1" ht="12" customHeight="1" outlineLevel="1">
      <c r="A2224" s="365"/>
      <c r="B2224" s="118" t="s">
        <v>12</v>
      </c>
      <c r="C2224" s="334" t="s">
        <v>9239</v>
      </c>
      <c r="D2224" s="124" t="s">
        <v>9240</v>
      </c>
      <c r="E2224" s="125"/>
      <c r="F2224" s="118" t="s">
        <v>622</v>
      </c>
      <c r="G2224" s="126" t="s">
        <v>9000</v>
      </c>
      <c r="H2224" s="255">
        <v>4</v>
      </c>
      <c r="I2224" s="361">
        <v>1</v>
      </c>
      <c r="J2224" s="362" t="s">
        <v>286</v>
      </c>
      <c r="K2224" s="329"/>
      <c r="L2224" s="129"/>
      <c r="M2224" s="129"/>
      <c r="N2224" s="129"/>
      <c r="O2224" s="129"/>
      <c r="P2224" s="372"/>
      <c r="Q2224" s="372"/>
      <c r="R2224" s="129"/>
      <c r="S2224" s="129"/>
      <c r="T2224" s="129"/>
      <c r="W2224" s="129" t="s">
        <v>286</v>
      </c>
      <c r="X2224" s="337" t="b">
        <f t="shared" si="68"/>
        <v>1</v>
      </c>
    </row>
    <row r="2225" spans="1:24" s="360" customFormat="1" ht="12" customHeight="1" outlineLevel="1">
      <c r="A2225" s="365"/>
      <c r="B2225" s="118" t="s">
        <v>12</v>
      </c>
      <c r="C2225" s="334" t="s">
        <v>9241</v>
      </c>
      <c r="D2225" s="124" t="s">
        <v>9242</v>
      </c>
      <c r="E2225" s="125"/>
      <c r="F2225" s="118" t="s">
        <v>622</v>
      </c>
      <c r="G2225" s="126" t="s">
        <v>9000</v>
      </c>
      <c r="H2225" s="255">
        <v>4</v>
      </c>
      <c r="I2225" s="361">
        <v>1</v>
      </c>
      <c r="J2225" s="362" t="s">
        <v>286</v>
      </c>
      <c r="K2225" s="329"/>
      <c r="L2225" s="129"/>
      <c r="M2225" s="129"/>
      <c r="N2225" s="129"/>
      <c r="O2225" s="129"/>
      <c r="P2225" s="372"/>
      <c r="Q2225" s="372"/>
      <c r="R2225" s="129"/>
      <c r="S2225" s="129"/>
      <c r="T2225" s="129"/>
      <c r="W2225" s="129" t="s">
        <v>286</v>
      </c>
      <c r="X2225" s="337" t="b">
        <f t="shared" si="68"/>
        <v>1</v>
      </c>
    </row>
    <row r="2226" spans="1:24" s="360" customFormat="1" ht="12" customHeight="1" outlineLevel="1">
      <c r="A2226" s="365"/>
      <c r="B2226" s="118" t="s">
        <v>12</v>
      </c>
      <c r="C2226" s="334" t="s">
        <v>9243</v>
      </c>
      <c r="D2226" s="124" t="s">
        <v>9244</v>
      </c>
      <c r="E2226" s="125"/>
      <c r="F2226" s="118" t="s">
        <v>622</v>
      </c>
      <c r="G2226" s="126" t="s">
        <v>9000</v>
      </c>
      <c r="H2226" s="255">
        <v>4</v>
      </c>
      <c r="I2226" s="361">
        <v>1</v>
      </c>
      <c r="J2226" s="362" t="s">
        <v>286</v>
      </c>
      <c r="K2226" s="329"/>
      <c r="L2226" s="129"/>
      <c r="M2226" s="129"/>
      <c r="N2226" s="129"/>
      <c r="O2226" s="129"/>
      <c r="P2226" s="372"/>
      <c r="Q2226" s="372"/>
      <c r="R2226" s="129"/>
      <c r="S2226" s="129"/>
      <c r="T2226" s="129"/>
      <c r="W2226" s="129" t="s">
        <v>286</v>
      </c>
      <c r="X2226" s="337" t="b">
        <f t="shared" si="68"/>
        <v>1</v>
      </c>
    </row>
    <row r="2227" spans="1:24" s="360" customFormat="1" ht="12" customHeight="1" outlineLevel="1">
      <c r="A2227" s="365"/>
      <c r="B2227" s="118" t="s">
        <v>12</v>
      </c>
      <c r="C2227" s="334" t="s">
        <v>9245</v>
      </c>
      <c r="D2227" s="124" t="s">
        <v>9246</v>
      </c>
      <c r="E2227" s="125"/>
      <c r="F2227" s="118" t="s">
        <v>622</v>
      </c>
      <c r="G2227" s="126" t="s">
        <v>9000</v>
      </c>
      <c r="H2227" s="255">
        <v>4</v>
      </c>
      <c r="I2227" s="361">
        <v>1</v>
      </c>
      <c r="J2227" s="362" t="s">
        <v>286</v>
      </c>
      <c r="K2227" s="329"/>
      <c r="L2227" s="129"/>
      <c r="M2227" s="129"/>
      <c r="N2227" s="129"/>
      <c r="O2227" s="129"/>
      <c r="P2227" s="372"/>
      <c r="Q2227" s="372"/>
      <c r="R2227" s="129"/>
      <c r="S2227" s="129"/>
      <c r="T2227" s="129"/>
      <c r="W2227" s="129" t="s">
        <v>286</v>
      </c>
      <c r="X2227" s="337" t="b">
        <f t="shared" si="68"/>
        <v>1</v>
      </c>
    </row>
    <row r="2228" spans="1:24" s="360" customFormat="1" ht="12" customHeight="1" outlineLevel="1">
      <c r="A2228" s="365"/>
      <c r="B2228" s="118" t="s">
        <v>12</v>
      </c>
      <c r="C2228" s="334" t="s">
        <v>9247</v>
      </c>
      <c r="D2228" s="124" t="s">
        <v>9248</v>
      </c>
      <c r="E2228" s="125"/>
      <c r="F2228" s="118" t="s">
        <v>622</v>
      </c>
      <c r="G2228" s="126" t="s">
        <v>9000</v>
      </c>
      <c r="H2228" s="255">
        <v>4</v>
      </c>
      <c r="I2228" s="361">
        <v>1</v>
      </c>
      <c r="J2228" s="362" t="s">
        <v>286</v>
      </c>
      <c r="K2228" s="329"/>
      <c r="L2228" s="129"/>
      <c r="M2228" s="129"/>
      <c r="N2228" s="129"/>
      <c r="O2228" s="129"/>
      <c r="P2228" s="372"/>
      <c r="Q2228" s="372"/>
      <c r="R2228" s="129"/>
      <c r="S2228" s="129"/>
      <c r="T2228" s="129"/>
      <c r="W2228" s="129" t="s">
        <v>286</v>
      </c>
      <c r="X2228" s="337" t="b">
        <f t="shared" si="68"/>
        <v>1</v>
      </c>
    </row>
    <row r="2229" spans="1:24" s="360" customFormat="1" ht="12" customHeight="1" outlineLevel="1">
      <c r="A2229" s="365"/>
      <c r="B2229" s="118" t="s">
        <v>12</v>
      </c>
      <c r="C2229" s="334" t="s">
        <v>9249</v>
      </c>
      <c r="D2229" s="124" t="s">
        <v>9250</v>
      </c>
      <c r="E2229" s="125"/>
      <c r="F2229" s="118" t="s">
        <v>622</v>
      </c>
      <c r="G2229" s="126" t="s">
        <v>9000</v>
      </c>
      <c r="H2229" s="255">
        <v>4</v>
      </c>
      <c r="I2229" s="361">
        <v>1</v>
      </c>
      <c r="J2229" s="362" t="s">
        <v>286</v>
      </c>
      <c r="K2229" s="329"/>
      <c r="L2229" s="129"/>
      <c r="M2229" s="129"/>
      <c r="N2229" s="129"/>
      <c r="O2229" s="129"/>
      <c r="P2229" s="372"/>
      <c r="Q2229" s="372"/>
      <c r="R2229" s="129"/>
      <c r="S2229" s="129"/>
      <c r="T2229" s="129"/>
      <c r="W2229" s="129" t="s">
        <v>286</v>
      </c>
      <c r="X2229" s="337" t="b">
        <f t="shared" si="68"/>
        <v>1</v>
      </c>
    </row>
    <row r="2230" spans="1:24" s="360" customFormat="1" ht="12" customHeight="1" outlineLevel="1">
      <c r="A2230" s="365"/>
      <c r="B2230" s="118" t="s">
        <v>12</v>
      </c>
      <c r="C2230" s="334" t="s">
        <v>9251</v>
      </c>
      <c r="D2230" s="124" t="s">
        <v>9252</v>
      </c>
      <c r="E2230" s="125"/>
      <c r="F2230" s="118" t="s">
        <v>622</v>
      </c>
      <c r="G2230" s="126" t="s">
        <v>9000</v>
      </c>
      <c r="H2230" s="255">
        <v>4</v>
      </c>
      <c r="I2230" s="361">
        <v>1</v>
      </c>
      <c r="J2230" s="362" t="s">
        <v>286</v>
      </c>
      <c r="K2230" s="329"/>
      <c r="L2230" s="129"/>
      <c r="M2230" s="129"/>
      <c r="N2230" s="129"/>
      <c r="O2230" s="129"/>
      <c r="P2230" s="372"/>
      <c r="Q2230" s="372"/>
      <c r="R2230" s="129"/>
      <c r="S2230" s="129"/>
      <c r="T2230" s="129"/>
      <c r="W2230" s="129" t="s">
        <v>286</v>
      </c>
      <c r="X2230" s="337" t="b">
        <f t="shared" si="68"/>
        <v>1</v>
      </c>
    </row>
    <row r="2231" spans="1:24" s="360" customFormat="1" ht="12" customHeight="1" outlineLevel="1">
      <c r="A2231" s="365"/>
      <c r="B2231" s="118" t="s">
        <v>12</v>
      </c>
      <c r="C2231" s="334" t="s">
        <v>9253</v>
      </c>
      <c r="D2231" s="124" t="s">
        <v>9254</v>
      </c>
      <c r="E2231" s="125"/>
      <c r="F2231" s="118" t="s">
        <v>622</v>
      </c>
      <c r="G2231" s="126" t="s">
        <v>9000</v>
      </c>
      <c r="H2231" s="255">
        <v>4</v>
      </c>
      <c r="I2231" s="361">
        <v>1</v>
      </c>
      <c r="J2231" s="362" t="s">
        <v>286</v>
      </c>
      <c r="K2231" s="329"/>
      <c r="L2231" s="129"/>
      <c r="M2231" s="129"/>
      <c r="N2231" s="129"/>
      <c r="O2231" s="129"/>
      <c r="P2231" s="372"/>
      <c r="Q2231" s="372"/>
      <c r="R2231" s="129"/>
      <c r="S2231" s="129"/>
      <c r="T2231" s="129"/>
      <c r="W2231" s="129" t="s">
        <v>286</v>
      </c>
      <c r="X2231" s="337" t="b">
        <f t="shared" si="68"/>
        <v>1</v>
      </c>
    </row>
    <row r="2232" spans="1:24" s="360" customFormat="1" ht="12" customHeight="1" outlineLevel="1">
      <c r="A2232" s="365"/>
      <c r="B2232" s="118" t="s">
        <v>12</v>
      </c>
      <c r="C2232" s="334" t="s">
        <v>9255</v>
      </c>
      <c r="D2232" s="124" t="s">
        <v>9256</v>
      </c>
      <c r="E2232" s="125"/>
      <c r="F2232" s="118" t="s">
        <v>622</v>
      </c>
      <c r="G2232" s="126" t="s">
        <v>9000</v>
      </c>
      <c r="H2232" s="255">
        <v>4</v>
      </c>
      <c r="I2232" s="361">
        <v>1</v>
      </c>
      <c r="J2232" s="362" t="s">
        <v>286</v>
      </c>
      <c r="K2232" s="329"/>
      <c r="L2232" s="129"/>
      <c r="M2232" s="129"/>
      <c r="N2232" s="129"/>
      <c r="O2232" s="129"/>
      <c r="P2232" s="372"/>
      <c r="Q2232" s="372"/>
      <c r="R2232" s="129"/>
      <c r="S2232" s="129"/>
      <c r="T2232" s="129"/>
      <c r="W2232" s="129" t="s">
        <v>286</v>
      </c>
      <c r="X2232" s="337" t="b">
        <f t="shared" si="68"/>
        <v>1</v>
      </c>
    </row>
    <row r="2233" spans="1:24" s="360" customFormat="1" ht="12" customHeight="1" outlineLevel="1">
      <c r="A2233" s="365"/>
      <c r="B2233" s="118" t="s">
        <v>12</v>
      </c>
      <c r="C2233" s="334" t="s">
        <v>9257</v>
      </c>
      <c r="D2233" s="124" t="s">
        <v>9258</v>
      </c>
      <c r="E2233" s="125"/>
      <c r="F2233" s="118" t="s">
        <v>622</v>
      </c>
      <c r="G2233" s="126" t="s">
        <v>9000</v>
      </c>
      <c r="H2233" s="255">
        <v>4</v>
      </c>
      <c r="I2233" s="361">
        <v>1</v>
      </c>
      <c r="J2233" s="362" t="s">
        <v>286</v>
      </c>
      <c r="K2233" s="329"/>
      <c r="L2233" s="129"/>
      <c r="M2233" s="129"/>
      <c r="N2233" s="129"/>
      <c r="O2233" s="129"/>
      <c r="P2233" s="372"/>
      <c r="Q2233" s="372"/>
      <c r="R2233" s="129"/>
      <c r="S2233" s="129"/>
      <c r="T2233" s="129"/>
      <c r="W2233" s="129" t="s">
        <v>286</v>
      </c>
      <c r="X2233" s="337" t="b">
        <f t="shared" si="68"/>
        <v>1</v>
      </c>
    </row>
    <row r="2234" spans="1:24" s="360" customFormat="1" ht="12" customHeight="1" outlineLevel="1">
      <c r="A2234" s="365"/>
      <c r="B2234" s="118" t="s">
        <v>12</v>
      </c>
      <c r="C2234" s="334" t="s">
        <v>9259</v>
      </c>
      <c r="D2234" s="124" t="s">
        <v>9260</v>
      </c>
      <c r="E2234" s="125"/>
      <c r="F2234" s="118" t="s">
        <v>622</v>
      </c>
      <c r="G2234" s="126" t="s">
        <v>9000</v>
      </c>
      <c r="H2234" s="255">
        <v>4</v>
      </c>
      <c r="I2234" s="361">
        <v>1</v>
      </c>
      <c r="J2234" s="362" t="s">
        <v>286</v>
      </c>
      <c r="K2234" s="329"/>
      <c r="L2234" s="129"/>
      <c r="M2234" s="129"/>
      <c r="N2234" s="129"/>
      <c r="O2234" s="129"/>
      <c r="P2234" s="372"/>
      <c r="Q2234" s="372"/>
      <c r="R2234" s="129"/>
      <c r="S2234" s="129"/>
      <c r="T2234" s="129"/>
      <c r="W2234" s="129" t="s">
        <v>286</v>
      </c>
      <c r="X2234" s="337" t="b">
        <f t="shared" si="68"/>
        <v>1</v>
      </c>
    </row>
    <row r="2235" spans="1:24" s="360" customFormat="1" ht="12" customHeight="1" outlineLevel="1">
      <c r="A2235" s="365"/>
      <c r="B2235" s="118" t="s">
        <v>12</v>
      </c>
      <c r="C2235" s="334" t="s">
        <v>9261</v>
      </c>
      <c r="D2235" s="124" t="s">
        <v>9262</v>
      </c>
      <c r="E2235" s="125"/>
      <c r="F2235" s="118" t="s">
        <v>622</v>
      </c>
      <c r="G2235" s="126" t="s">
        <v>9000</v>
      </c>
      <c r="H2235" s="255">
        <v>4</v>
      </c>
      <c r="I2235" s="361">
        <v>1</v>
      </c>
      <c r="J2235" s="362" t="s">
        <v>286</v>
      </c>
      <c r="K2235" s="329"/>
      <c r="L2235" s="129"/>
      <c r="M2235" s="129"/>
      <c r="N2235" s="129"/>
      <c r="O2235" s="129"/>
      <c r="P2235" s="372"/>
      <c r="Q2235" s="372"/>
      <c r="R2235" s="129"/>
      <c r="S2235" s="129"/>
      <c r="T2235" s="129"/>
      <c r="W2235" s="129" t="s">
        <v>286</v>
      </c>
      <c r="X2235" s="337" t="b">
        <f t="shared" si="68"/>
        <v>1</v>
      </c>
    </row>
    <row r="2236" spans="1:24" s="360" customFormat="1" ht="12" customHeight="1" outlineLevel="1">
      <c r="A2236" s="365"/>
      <c r="B2236" s="118" t="s">
        <v>12</v>
      </c>
      <c r="C2236" s="334" t="s">
        <v>9263</v>
      </c>
      <c r="D2236" s="124" t="s">
        <v>9264</v>
      </c>
      <c r="E2236" s="125"/>
      <c r="F2236" s="118" t="s">
        <v>622</v>
      </c>
      <c r="G2236" s="126" t="s">
        <v>9000</v>
      </c>
      <c r="H2236" s="255">
        <v>4</v>
      </c>
      <c r="I2236" s="361">
        <v>1</v>
      </c>
      <c r="J2236" s="362" t="s">
        <v>286</v>
      </c>
      <c r="K2236" s="329"/>
      <c r="L2236" s="129"/>
      <c r="M2236" s="129"/>
      <c r="N2236" s="129"/>
      <c r="O2236" s="129"/>
      <c r="P2236" s="372"/>
      <c r="Q2236" s="372"/>
      <c r="R2236" s="129"/>
      <c r="S2236" s="129"/>
      <c r="T2236" s="129"/>
      <c r="W2236" s="129" t="s">
        <v>286</v>
      </c>
      <c r="X2236" s="337" t="b">
        <f t="shared" si="68"/>
        <v>1</v>
      </c>
    </row>
    <row r="2237" spans="1:24" s="360" customFormat="1" ht="12" customHeight="1" outlineLevel="1">
      <c r="A2237" s="365"/>
      <c r="B2237" s="118" t="s">
        <v>12</v>
      </c>
      <c r="C2237" s="334" t="s">
        <v>9265</v>
      </c>
      <c r="D2237" s="124" t="s">
        <v>9266</v>
      </c>
      <c r="E2237" s="125"/>
      <c r="F2237" s="118" t="s">
        <v>622</v>
      </c>
      <c r="G2237" s="126" t="s">
        <v>9000</v>
      </c>
      <c r="H2237" s="255">
        <v>4</v>
      </c>
      <c r="I2237" s="361">
        <v>1</v>
      </c>
      <c r="J2237" s="362" t="s">
        <v>286</v>
      </c>
      <c r="K2237" s="329"/>
      <c r="L2237" s="129"/>
      <c r="M2237" s="129"/>
      <c r="N2237" s="129"/>
      <c r="O2237" s="129"/>
      <c r="P2237" s="372"/>
      <c r="Q2237" s="372"/>
      <c r="R2237" s="129"/>
      <c r="S2237" s="129"/>
      <c r="T2237" s="129"/>
      <c r="W2237" s="129" t="s">
        <v>286</v>
      </c>
      <c r="X2237" s="337" t="b">
        <f t="shared" si="68"/>
        <v>1</v>
      </c>
    </row>
    <row r="2238" spans="1:24" s="360" customFormat="1" ht="12" customHeight="1" outlineLevel="1">
      <c r="A2238" s="365"/>
      <c r="B2238" s="118" t="s">
        <v>12</v>
      </c>
      <c r="C2238" s="334" t="s">
        <v>9267</v>
      </c>
      <c r="D2238" s="124" t="s">
        <v>9268</v>
      </c>
      <c r="E2238" s="125"/>
      <c r="F2238" s="118" t="s">
        <v>622</v>
      </c>
      <c r="G2238" s="126" t="s">
        <v>9000</v>
      </c>
      <c r="H2238" s="255">
        <v>4</v>
      </c>
      <c r="I2238" s="361">
        <v>1</v>
      </c>
      <c r="J2238" s="362" t="s">
        <v>286</v>
      </c>
      <c r="K2238" s="329"/>
      <c r="L2238" s="129"/>
      <c r="M2238" s="129"/>
      <c r="N2238" s="129"/>
      <c r="O2238" s="129"/>
      <c r="P2238" s="372"/>
      <c r="Q2238" s="372"/>
      <c r="R2238" s="129"/>
      <c r="S2238" s="129"/>
      <c r="T2238" s="129"/>
      <c r="W2238" s="129" t="s">
        <v>286</v>
      </c>
      <c r="X2238" s="337" t="b">
        <f t="shared" si="68"/>
        <v>1</v>
      </c>
    </row>
    <row r="2239" spans="1:24" s="360" customFormat="1" ht="12" customHeight="1" outlineLevel="1">
      <c r="A2239" s="365"/>
      <c r="B2239" s="118" t="s">
        <v>12</v>
      </c>
      <c r="C2239" s="334" t="s">
        <v>9269</v>
      </c>
      <c r="D2239" s="124" t="s">
        <v>9270</v>
      </c>
      <c r="E2239" s="125"/>
      <c r="F2239" s="118" t="s">
        <v>622</v>
      </c>
      <c r="G2239" s="126" t="s">
        <v>9000</v>
      </c>
      <c r="H2239" s="255">
        <v>4</v>
      </c>
      <c r="I2239" s="361">
        <v>1</v>
      </c>
      <c r="J2239" s="362" t="s">
        <v>286</v>
      </c>
      <c r="K2239" s="329"/>
      <c r="L2239" s="129"/>
      <c r="M2239" s="129"/>
      <c r="N2239" s="129"/>
      <c r="O2239" s="129"/>
      <c r="P2239" s="372"/>
      <c r="Q2239" s="372"/>
      <c r="R2239" s="129"/>
      <c r="S2239" s="129"/>
      <c r="T2239" s="129"/>
      <c r="W2239" s="129" t="s">
        <v>286</v>
      </c>
      <c r="X2239" s="337" t="b">
        <f t="shared" si="68"/>
        <v>1</v>
      </c>
    </row>
    <row r="2240" spans="1:24" s="360" customFormat="1" ht="12" customHeight="1" outlineLevel="1">
      <c r="A2240" s="365"/>
      <c r="B2240" s="118" t="s">
        <v>12</v>
      </c>
      <c r="C2240" s="334" t="s">
        <v>9271</v>
      </c>
      <c r="D2240" s="124" t="s">
        <v>9272</v>
      </c>
      <c r="E2240" s="125"/>
      <c r="F2240" s="118" t="s">
        <v>622</v>
      </c>
      <c r="G2240" s="126" t="s">
        <v>9000</v>
      </c>
      <c r="H2240" s="255">
        <v>4</v>
      </c>
      <c r="I2240" s="361">
        <v>1</v>
      </c>
      <c r="J2240" s="362" t="s">
        <v>286</v>
      </c>
      <c r="K2240" s="329"/>
      <c r="L2240" s="129"/>
      <c r="M2240" s="129"/>
      <c r="N2240" s="129"/>
      <c r="O2240" s="129"/>
      <c r="P2240" s="372"/>
      <c r="Q2240" s="372"/>
      <c r="R2240" s="129"/>
      <c r="S2240" s="129"/>
      <c r="T2240" s="129"/>
      <c r="W2240" s="129" t="s">
        <v>286</v>
      </c>
      <c r="X2240" s="337" t="b">
        <f t="shared" si="68"/>
        <v>1</v>
      </c>
    </row>
    <row r="2241" spans="1:24" s="360" customFormat="1" ht="12" customHeight="1" outlineLevel="1">
      <c r="A2241" s="365"/>
      <c r="B2241" s="118" t="s">
        <v>12</v>
      </c>
      <c r="C2241" s="334" t="s">
        <v>9273</v>
      </c>
      <c r="D2241" s="124" t="s">
        <v>9274</v>
      </c>
      <c r="E2241" s="125"/>
      <c r="F2241" s="118" t="s">
        <v>622</v>
      </c>
      <c r="G2241" s="126" t="s">
        <v>9000</v>
      </c>
      <c r="H2241" s="255">
        <v>4</v>
      </c>
      <c r="I2241" s="361">
        <v>1</v>
      </c>
      <c r="J2241" s="362" t="s">
        <v>286</v>
      </c>
      <c r="K2241" s="329"/>
      <c r="L2241" s="129"/>
      <c r="M2241" s="129"/>
      <c r="N2241" s="129"/>
      <c r="O2241" s="129"/>
      <c r="P2241" s="372"/>
      <c r="Q2241" s="372"/>
      <c r="R2241" s="129"/>
      <c r="S2241" s="129"/>
      <c r="T2241" s="129"/>
      <c r="W2241" s="129" t="s">
        <v>286</v>
      </c>
      <c r="X2241" s="337" t="b">
        <f t="shared" ref="X2241:X2304" si="69">W2241=J2241</f>
        <v>1</v>
      </c>
    </row>
    <row r="2242" spans="1:24" s="360" customFormat="1" ht="12" customHeight="1" outlineLevel="1">
      <c r="A2242" s="365"/>
      <c r="B2242" s="118" t="s">
        <v>12</v>
      </c>
      <c r="C2242" s="334" t="s">
        <v>9275</v>
      </c>
      <c r="D2242" s="124" t="s">
        <v>9276</v>
      </c>
      <c r="E2242" s="125"/>
      <c r="F2242" s="118" t="s">
        <v>622</v>
      </c>
      <c r="G2242" s="126" t="s">
        <v>9000</v>
      </c>
      <c r="H2242" s="255">
        <v>4</v>
      </c>
      <c r="I2242" s="361">
        <v>1</v>
      </c>
      <c r="J2242" s="362" t="s">
        <v>286</v>
      </c>
      <c r="K2242" s="329"/>
      <c r="L2242" s="129"/>
      <c r="M2242" s="129"/>
      <c r="N2242" s="129"/>
      <c r="O2242" s="129"/>
      <c r="P2242" s="372"/>
      <c r="Q2242" s="372"/>
      <c r="R2242" s="129"/>
      <c r="S2242" s="129"/>
      <c r="T2242" s="129"/>
      <c r="W2242" s="129" t="s">
        <v>286</v>
      </c>
      <c r="X2242" s="337" t="b">
        <f t="shared" si="69"/>
        <v>1</v>
      </c>
    </row>
    <row r="2243" spans="1:24" s="360" customFormat="1" ht="12" customHeight="1" outlineLevel="1">
      <c r="A2243" s="365"/>
      <c r="B2243" s="118" t="s">
        <v>12</v>
      </c>
      <c r="C2243" s="334" t="s">
        <v>9277</v>
      </c>
      <c r="D2243" s="124" t="s">
        <v>9278</v>
      </c>
      <c r="E2243" s="125"/>
      <c r="F2243" s="118" t="s">
        <v>622</v>
      </c>
      <c r="G2243" s="126" t="s">
        <v>9000</v>
      </c>
      <c r="H2243" s="255">
        <v>4</v>
      </c>
      <c r="I2243" s="361">
        <v>1</v>
      </c>
      <c r="J2243" s="362" t="s">
        <v>286</v>
      </c>
      <c r="K2243" s="329"/>
      <c r="L2243" s="129"/>
      <c r="M2243" s="129"/>
      <c r="N2243" s="129"/>
      <c r="O2243" s="129"/>
      <c r="P2243" s="372"/>
      <c r="Q2243" s="372"/>
      <c r="R2243" s="129"/>
      <c r="S2243" s="129"/>
      <c r="T2243" s="129"/>
      <c r="W2243" s="129" t="s">
        <v>286</v>
      </c>
      <c r="X2243" s="337" t="b">
        <f t="shared" si="69"/>
        <v>1</v>
      </c>
    </row>
    <row r="2244" spans="1:24" s="360" customFormat="1" ht="12" customHeight="1" outlineLevel="1">
      <c r="A2244" s="365"/>
      <c r="B2244" s="118" t="s">
        <v>12</v>
      </c>
      <c r="C2244" s="334" t="s">
        <v>9279</v>
      </c>
      <c r="D2244" s="124" t="s">
        <v>9280</v>
      </c>
      <c r="E2244" s="125"/>
      <c r="F2244" s="118" t="s">
        <v>622</v>
      </c>
      <c r="G2244" s="126" t="s">
        <v>9000</v>
      </c>
      <c r="H2244" s="255">
        <v>4</v>
      </c>
      <c r="I2244" s="361">
        <v>1</v>
      </c>
      <c r="J2244" s="362" t="s">
        <v>286</v>
      </c>
      <c r="K2244" s="329"/>
      <c r="L2244" s="129"/>
      <c r="M2244" s="129"/>
      <c r="N2244" s="129"/>
      <c r="O2244" s="129"/>
      <c r="P2244" s="372"/>
      <c r="Q2244" s="372"/>
      <c r="R2244" s="129"/>
      <c r="S2244" s="129"/>
      <c r="T2244" s="129"/>
      <c r="W2244" s="129" t="s">
        <v>286</v>
      </c>
      <c r="X2244" s="337" t="b">
        <f t="shared" si="69"/>
        <v>1</v>
      </c>
    </row>
    <row r="2245" spans="1:24" s="360" customFormat="1" ht="12" customHeight="1" outlineLevel="1">
      <c r="A2245" s="365"/>
      <c r="B2245" s="118" t="s">
        <v>12</v>
      </c>
      <c r="C2245" s="334" t="s">
        <v>9281</v>
      </c>
      <c r="D2245" s="124" t="s">
        <v>9282</v>
      </c>
      <c r="E2245" s="125"/>
      <c r="F2245" s="118" t="s">
        <v>622</v>
      </c>
      <c r="G2245" s="126" t="s">
        <v>9000</v>
      </c>
      <c r="H2245" s="255">
        <v>4</v>
      </c>
      <c r="I2245" s="361">
        <v>1</v>
      </c>
      <c r="J2245" s="362" t="s">
        <v>286</v>
      </c>
      <c r="K2245" s="329"/>
      <c r="L2245" s="129"/>
      <c r="M2245" s="129"/>
      <c r="N2245" s="129"/>
      <c r="O2245" s="129"/>
      <c r="P2245" s="372"/>
      <c r="Q2245" s="372"/>
      <c r="R2245" s="129"/>
      <c r="S2245" s="129"/>
      <c r="T2245" s="129"/>
      <c r="W2245" s="129" t="s">
        <v>286</v>
      </c>
      <c r="X2245" s="337" t="b">
        <f t="shared" si="69"/>
        <v>1</v>
      </c>
    </row>
    <row r="2246" spans="1:24" s="360" customFormat="1" ht="12" customHeight="1" outlineLevel="1">
      <c r="A2246" s="365"/>
      <c r="B2246" s="118" t="s">
        <v>12</v>
      </c>
      <c r="C2246" s="334" t="s">
        <v>9283</v>
      </c>
      <c r="D2246" s="124" t="s">
        <v>9284</v>
      </c>
      <c r="E2246" s="125"/>
      <c r="F2246" s="118" t="s">
        <v>622</v>
      </c>
      <c r="G2246" s="126" t="s">
        <v>9000</v>
      </c>
      <c r="H2246" s="255">
        <v>4</v>
      </c>
      <c r="I2246" s="361">
        <v>1</v>
      </c>
      <c r="J2246" s="362" t="s">
        <v>286</v>
      </c>
      <c r="K2246" s="329"/>
      <c r="L2246" s="129"/>
      <c r="M2246" s="129"/>
      <c r="N2246" s="129"/>
      <c r="O2246" s="129"/>
      <c r="P2246" s="372"/>
      <c r="Q2246" s="372"/>
      <c r="R2246" s="129"/>
      <c r="S2246" s="129"/>
      <c r="T2246" s="129"/>
      <c r="W2246" s="129" t="s">
        <v>286</v>
      </c>
      <c r="X2246" s="337" t="b">
        <f t="shared" si="69"/>
        <v>1</v>
      </c>
    </row>
    <row r="2247" spans="1:24" s="360" customFormat="1" ht="12" customHeight="1" outlineLevel="1">
      <c r="A2247" s="365"/>
      <c r="B2247" s="118" t="s">
        <v>12</v>
      </c>
      <c r="C2247" s="334" t="s">
        <v>9285</v>
      </c>
      <c r="D2247" s="124" t="s">
        <v>9286</v>
      </c>
      <c r="E2247" s="125"/>
      <c r="F2247" s="118" t="s">
        <v>622</v>
      </c>
      <c r="G2247" s="126" t="s">
        <v>9000</v>
      </c>
      <c r="H2247" s="255">
        <v>4</v>
      </c>
      <c r="I2247" s="361">
        <v>1</v>
      </c>
      <c r="J2247" s="362" t="s">
        <v>286</v>
      </c>
      <c r="K2247" s="329"/>
      <c r="L2247" s="129"/>
      <c r="M2247" s="129"/>
      <c r="N2247" s="129"/>
      <c r="O2247" s="129"/>
      <c r="P2247" s="372"/>
      <c r="Q2247" s="372"/>
      <c r="R2247" s="129"/>
      <c r="S2247" s="129"/>
      <c r="T2247" s="129"/>
      <c r="W2247" s="129" t="s">
        <v>286</v>
      </c>
      <c r="X2247" s="337" t="b">
        <f t="shared" si="69"/>
        <v>1</v>
      </c>
    </row>
    <row r="2248" spans="1:24" s="360" customFormat="1" ht="12" customHeight="1" outlineLevel="1">
      <c r="A2248" s="365"/>
      <c r="B2248" s="118" t="s">
        <v>12</v>
      </c>
      <c r="C2248" s="334" t="s">
        <v>9287</v>
      </c>
      <c r="D2248" s="124" t="s">
        <v>9288</v>
      </c>
      <c r="E2248" s="125"/>
      <c r="F2248" s="118" t="s">
        <v>622</v>
      </c>
      <c r="G2248" s="126" t="s">
        <v>9000</v>
      </c>
      <c r="H2248" s="255">
        <v>4</v>
      </c>
      <c r="I2248" s="361">
        <v>1</v>
      </c>
      <c r="J2248" s="362" t="s">
        <v>286</v>
      </c>
      <c r="K2248" s="329"/>
      <c r="L2248" s="129"/>
      <c r="M2248" s="129"/>
      <c r="N2248" s="129"/>
      <c r="O2248" s="129"/>
      <c r="P2248" s="372"/>
      <c r="Q2248" s="372"/>
      <c r="R2248" s="129"/>
      <c r="S2248" s="129"/>
      <c r="T2248" s="129"/>
      <c r="W2248" s="129" t="s">
        <v>286</v>
      </c>
      <c r="X2248" s="337" t="b">
        <f t="shared" si="69"/>
        <v>1</v>
      </c>
    </row>
    <row r="2249" spans="1:24" s="360" customFormat="1" ht="12" customHeight="1" outlineLevel="1">
      <c r="A2249" s="365"/>
      <c r="B2249" s="118" t="s">
        <v>12</v>
      </c>
      <c r="C2249" s="334" t="s">
        <v>9289</v>
      </c>
      <c r="D2249" s="124" t="s">
        <v>9290</v>
      </c>
      <c r="E2249" s="125"/>
      <c r="F2249" s="118" t="s">
        <v>622</v>
      </c>
      <c r="G2249" s="126" t="s">
        <v>9000</v>
      </c>
      <c r="H2249" s="255">
        <v>4</v>
      </c>
      <c r="I2249" s="361">
        <v>1</v>
      </c>
      <c r="J2249" s="362" t="s">
        <v>286</v>
      </c>
      <c r="K2249" s="329"/>
      <c r="L2249" s="129"/>
      <c r="M2249" s="129"/>
      <c r="N2249" s="129"/>
      <c r="O2249" s="129"/>
      <c r="P2249" s="372"/>
      <c r="Q2249" s="372"/>
      <c r="R2249" s="129"/>
      <c r="S2249" s="129"/>
      <c r="T2249" s="129"/>
      <c r="W2249" s="129" t="s">
        <v>286</v>
      </c>
      <c r="X2249" s="337" t="b">
        <f t="shared" si="69"/>
        <v>1</v>
      </c>
    </row>
    <row r="2250" spans="1:24" s="360" customFormat="1" ht="12" customHeight="1" outlineLevel="1">
      <c r="A2250" s="365"/>
      <c r="B2250" s="118" t="s">
        <v>12</v>
      </c>
      <c r="C2250" s="334" t="s">
        <v>9291</v>
      </c>
      <c r="D2250" s="124" t="s">
        <v>9292</v>
      </c>
      <c r="E2250" s="125"/>
      <c r="F2250" s="118" t="s">
        <v>622</v>
      </c>
      <c r="G2250" s="126" t="s">
        <v>9000</v>
      </c>
      <c r="H2250" s="255">
        <v>4</v>
      </c>
      <c r="I2250" s="361">
        <v>1</v>
      </c>
      <c r="J2250" s="362" t="s">
        <v>286</v>
      </c>
      <c r="K2250" s="329"/>
      <c r="L2250" s="129"/>
      <c r="M2250" s="129"/>
      <c r="N2250" s="129"/>
      <c r="O2250" s="129"/>
      <c r="P2250" s="372"/>
      <c r="Q2250" s="372"/>
      <c r="R2250" s="129"/>
      <c r="S2250" s="129"/>
      <c r="T2250" s="129"/>
      <c r="W2250" s="129" t="s">
        <v>286</v>
      </c>
      <c r="X2250" s="337" t="b">
        <f t="shared" si="69"/>
        <v>1</v>
      </c>
    </row>
    <row r="2251" spans="1:24" s="360" customFormat="1" ht="12" customHeight="1" outlineLevel="1">
      <c r="A2251" s="365"/>
      <c r="B2251" s="118" t="s">
        <v>12</v>
      </c>
      <c r="C2251" s="334" t="s">
        <v>9293</v>
      </c>
      <c r="D2251" s="124" t="s">
        <v>9294</v>
      </c>
      <c r="E2251" s="125"/>
      <c r="F2251" s="118" t="s">
        <v>622</v>
      </c>
      <c r="G2251" s="126" t="s">
        <v>9000</v>
      </c>
      <c r="H2251" s="255">
        <v>4</v>
      </c>
      <c r="I2251" s="361">
        <v>1</v>
      </c>
      <c r="J2251" s="362" t="s">
        <v>286</v>
      </c>
      <c r="K2251" s="329"/>
      <c r="L2251" s="129"/>
      <c r="M2251" s="129"/>
      <c r="N2251" s="129"/>
      <c r="O2251" s="129"/>
      <c r="P2251" s="372"/>
      <c r="Q2251" s="372"/>
      <c r="R2251" s="129"/>
      <c r="S2251" s="129"/>
      <c r="T2251" s="129"/>
      <c r="W2251" s="129" t="s">
        <v>286</v>
      </c>
      <c r="X2251" s="337" t="b">
        <f t="shared" si="69"/>
        <v>1</v>
      </c>
    </row>
    <row r="2252" spans="1:24" s="360" customFormat="1" ht="12" customHeight="1" outlineLevel="1">
      <c r="A2252" s="365"/>
      <c r="B2252" s="118" t="s">
        <v>12</v>
      </c>
      <c r="C2252" s="334" t="s">
        <v>9295</v>
      </c>
      <c r="D2252" s="124" t="s">
        <v>9296</v>
      </c>
      <c r="E2252" s="125"/>
      <c r="F2252" s="118" t="s">
        <v>622</v>
      </c>
      <c r="G2252" s="126" t="s">
        <v>9000</v>
      </c>
      <c r="H2252" s="255">
        <v>4</v>
      </c>
      <c r="I2252" s="361">
        <v>1</v>
      </c>
      <c r="J2252" s="362" t="s">
        <v>286</v>
      </c>
      <c r="K2252" s="329"/>
      <c r="L2252" s="129"/>
      <c r="M2252" s="129"/>
      <c r="N2252" s="129"/>
      <c r="O2252" s="129"/>
      <c r="P2252" s="372"/>
      <c r="Q2252" s="372"/>
      <c r="R2252" s="129"/>
      <c r="S2252" s="129"/>
      <c r="T2252" s="129"/>
      <c r="W2252" s="129" t="s">
        <v>286</v>
      </c>
      <c r="X2252" s="337" t="b">
        <f t="shared" si="69"/>
        <v>1</v>
      </c>
    </row>
    <row r="2253" spans="1:24" s="360" customFormat="1" ht="12" customHeight="1" outlineLevel="1">
      <c r="A2253" s="365"/>
      <c r="B2253" s="118" t="s">
        <v>12</v>
      </c>
      <c r="C2253" s="334" t="s">
        <v>9297</v>
      </c>
      <c r="D2253" s="124" t="s">
        <v>9298</v>
      </c>
      <c r="E2253" s="125"/>
      <c r="F2253" s="118" t="s">
        <v>622</v>
      </c>
      <c r="G2253" s="126" t="s">
        <v>9000</v>
      </c>
      <c r="H2253" s="255">
        <v>4</v>
      </c>
      <c r="I2253" s="361">
        <v>1</v>
      </c>
      <c r="J2253" s="362" t="s">
        <v>286</v>
      </c>
      <c r="K2253" s="329"/>
      <c r="L2253" s="129"/>
      <c r="M2253" s="129"/>
      <c r="N2253" s="129"/>
      <c r="O2253" s="129"/>
      <c r="P2253" s="372"/>
      <c r="Q2253" s="372"/>
      <c r="R2253" s="129"/>
      <c r="S2253" s="129"/>
      <c r="T2253" s="129"/>
      <c r="W2253" s="129" t="s">
        <v>286</v>
      </c>
      <c r="X2253" s="337" t="b">
        <f t="shared" si="69"/>
        <v>1</v>
      </c>
    </row>
    <row r="2254" spans="1:24" s="360" customFormat="1" ht="12" customHeight="1" outlineLevel="1">
      <c r="A2254" s="365"/>
      <c r="B2254" s="118" t="s">
        <v>12</v>
      </c>
      <c r="C2254" s="334" t="s">
        <v>9299</v>
      </c>
      <c r="D2254" s="124" t="s">
        <v>9300</v>
      </c>
      <c r="E2254" s="125"/>
      <c r="F2254" s="118" t="s">
        <v>622</v>
      </c>
      <c r="G2254" s="126" t="s">
        <v>9000</v>
      </c>
      <c r="H2254" s="255">
        <v>4</v>
      </c>
      <c r="I2254" s="361">
        <v>1</v>
      </c>
      <c r="J2254" s="362" t="s">
        <v>286</v>
      </c>
      <c r="K2254" s="329"/>
      <c r="L2254" s="129"/>
      <c r="M2254" s="129"/>
      <c r="N2254" s="129"/>
      <c r="O2254" s="129"/>
      <c r="P2254" s="372"/>
      <c r="Q2254" s="372"/>
      <c r="R2254" s="129"/>
      <c r="S2254" s="129"/>
      <c r="T2254" s="129"/>
      <c r="W2254" s="129" t="s">
        <v>286</v>
      </c>
      <c r="X2254" s="337" t="b">
        <f t="shared" si="69"/>
        <v>1</v>
      </c>
    </row>
    <row r="2255" spans="1:24" s="360" customFormat="1" ht="12" customHeight="1" outlineLevel="1">
      <c r="A2255" s="365"/>
      <c r="B2255" s="118" t="s">
        <v>12</v>
      </c>
      <c r="C2255" s="334" t="s">
        <v>9301</v>
      </c>
      <c r="D2255" s="124" t="s">
        <v>9302</v>
      </c>
      <c r="E2255" s="125"/>
      <c r="F2255" s="118" t="s">
        <v>622</v>
      </c>
      <c r="G2255" s="126" t="s">
        <v>9000</v>
      </c>
      <c r="H2255" s="255">
        <v>4</v>
      </c>
      <c r="I2255" s="361">
        <v>1</v>
      </c>
      <c r="J2255" s="362" t="s">
        <v>286</v>
      </c>
      <c r="K2255" s="329"/>
      <c r="L2255" s="129"/>
      <c r="M2255" s="129"/>
      <c r="N2255" s="129"/>
      <c r="O2255" s="129"/>
      <c r="P2255" s="372"/>
      <c r="Q2255" s="372"/>
      <c r="R2255" s="129"/>
      <c r="S2255" s="129"/>
      <c r="T2255" s="129"/>
      <c r="W2255" s="129" t="s">
        <v>286</v>
      </c>
      <c r="X2255" s="337" t="b">
        <f t="shared" si="69"/>
        <v>1</v>
      </c>
    </row>
    <row r="2256" spans="1:24" s="360" customFormat="1" ht="12" customHeight="1" outlineLevel="1">
      <c r="A2256" s="365"/>
      <c r="B2256" s="118" t="s">
        <v>12</v>
      </c>
      <c r="C2256" s="334" t="s">
        <v>9303</v>
      </c>
      <c r="D2256" s="124" t="s">
        <v>9304</v>
      </c>
      <c r="E2256" s="125"/>
      <c r="F2256" s="118" t="s">
        <v>622</v>
      </c>
      <c r="G2256" s="126" t="s">
        <v>9000</v>
      </c>
      <c r="H2256" s="255">
        <v>4</v>
      </c>
      <c r="I2256" s="361">
        <v>1</v>
      </c>
      <c r="J2256" s="362" t="s">
        <v>310</v>
      </c>
      <c r="K2256" s="329"/>
      <c r="L2256" s="129"/>
      <c r="M2256" s="129"/>
      <c r="N2256" s="129"/>
      <c r="O2256" s="129"/>
      <c r="P2256" s="372"/>
      <c r="Q2256" s="372"/>
      <c r="R2256" s="129"/>
      <c r="S2256" s="129"/>
      <c r="T2256" s="129"/>
      <c r="W2256" s="129" t="s">
        <v>286</v>
      </c>
      <c r="X2256" s="337" t="b">
        <f t="shared" si="69"/>
        <v>0</v>
      </c>
    </row>
    <row r="2257" spans="1:24" s="360" customFormat="1" ht="12" customHeight="1" outlineLevel="1">
      <c r="A2257" s="365"/>
      <c r="B2257" s="118" t="s">
        <v>12</v>
      </c>
      <c r="C2257" s="334" t="s">
        <v>9305</v>
      </c>
      <c r="D2257" s="124" t="s">
        <v>9306</v>
      </c>
      <c r="E2257" s="125"/>
      <c r="F2257" s="118" t="s">
        <v>622</v>
      </c>
      <c r="G2257" s="126" t="s">
        <v>9000</v>
      </c>
      <c r="H2257" s="255">
        <v>4</v>
      </c>
      <c r="I2257" s="361">
        <v>1</v>
      </c>
      <c r="J2257" s="362" t="s">
        <v>310</v>
      </c>
      <c r="K2257" s="329"/>
      <c r="L2257" s="129"/>
      <c r="M2257" s="129"/>
      <c r="N2257" s="129"/>
      <c r="O2257" s="129"/>
      <c r="P2257" s="372"/>
      <c r="Q2257" s="372"/>
      <c r="R2257" s="129"/>
      <c r="S2257" s="129"/>
      <c r="T2257" s="129"/>
      <c r="W2257" s="129" t="s">
        <v>286</v>
      </c>
      <c r="X2257" s="337" t="b">
        <f t="shared" si="69"/>
        <v>0</v>
      </c>
    </row>
    <row r="2258" spans="1:24" s="360" customFormat="1" ht="12" customHeight="1" outlineLevel="1">
      <c r="A2258" s="365"/>
      <c r="B2258" s="118" t="s">
        <v>12</v>
      </c>
      <c r="C2258" s="334" t="s">
        <v>9307</v>
      </c>
      <c r="D2258" s="124" t="s">
        <v>9308</v>
      </c>
      <c r="E2258" s="125"/>
      <c r="F2258" s="118" t="s">
        <v>622</v>
      </c>
      <c r="G2258" s="126" t="s">
        <v>9000</v>
      </c>
      <c r="H2258" s="255">
        <v>4</v>
      </c>
      <c r="I2258" s="361">
        <v>1</v>
      </c>
      <c r="J2258" s="362" t="s">
        <v>310</v>
      </c>
      <c r="K2258" s="329"/>
      <c r="L2258" s="129"/>
      <c r="M2258" s="129"/>
      <c r="N2258" s="129"/>
      <c r="O2258" s="129"/>
      <c r="P2258" s="372"/>
      <c r="Q2258" s="372"/>
      <c r="R2258" s="129"/>
      <c r="S2258" s="129"/>
      <c r="T2258" s="129"/>
      <c r="W2258" s="129" t="s">
        <v>286</v>
      </c>
      <c r="X2258" s="337" t="b">
        <f t="shared" si="69"/>
        <v>0</v>
      </c>
    </row>
    <row r="2259" spans="1:24" s="360" customFormat="1" ht="12" customHeight="1" outlineLevel="1">
      <c r="A2259" s="365"/>
      <c r="B2259" s="118" t="s">
        <v>12</v>
      </c>
      <c r="C2259" s="334" t="s">
        <v>9309</v>
      </c>
      <c r="D2259" s="124" t="s">
        <v>9310</v>
      </c>
      <c r="E2259" s="125"/>
      <c r="F2259" s="118" t="s">
        <v>622</v>
      </c>
      <c r="G2259" s="126" t="s">
        <v>9000</v>
      </c>
      <c r="H2259" s="255">
        <v>4</v>
      </c>
      <c r="I2259" s="361">
        <v>1</v>
      </c>
      <c r="J2259" s="362" t="s">
        <v>286</v>
      </c>
      <c r="K2259" s="329"/>
      <c r="L2259" s="129"/>
      <c r="M2259" s="129"/>
      <c r="N2259" s="129"/>
      <c r="O2259" s="129"/>
      <c r="P2259" s="372"/>
      <c r="Q2259" s="372"/>
      <c r="R2259" s="129"/>
      <c r="S2259" s="129"/>
      <c r="T2259" s="129"/>
      <c r="W2259" s="129" t="s">
        <v>286</v>
      </c>
      <c r="X2259" s="337" t="b">
        <f t="shared" si="69"/>
        <v>1</v>
      </c>
    </row>
    <row r="2260" spans="1:24" s="360" customFormat="1" ht="12" customHeight="1" outlineLevel="1">
      <c r="A2260" s="365"/>
      <c r="B2260" s="118" t="s">
        <v>12</v>
      </c>
      <c r="C2260" s="334" t="s">
        <v>9311</v>
      </c>
      <c r="D2260" s="124" t="s">
        <v>9312</v>
      </c>
      <c r="E2260" s="125"/>
      <c r="F2260" s="118" t="s">
        <v>622</v>
      </c>
      <c r="G2260" s="126" t="s">
        <v>9000</v>
      </c>
      <c r="H2260" s="255">
        <v>4</v>
      </c>
      <c r="I2260" s="361">
        <v>1</v>
      </c>
      <c r="J2260" s="362" t="s">
        <v>286</v>
      </c>
      <c r="K2260" s="329"/>
      <c r="L2260" s="129"/>
      <c r="M2260" s="129"/>
      <c r="N2260" s="129"/>
      <c r="O2260" s="129"/>
      <c r="P2260" s="372"/>
      <c r="Q2260" s="372"/>
      <c r="R2260" s="129"/>
      <c r="S2260" s="129"/>
      <c r="T2260" s="129"/>
      <c r="W2260" s="129" t="s">
        <v>286</v>
      </c>
      <c r="X2260" s="337" t="b">
        <f t="shared" si="69"/>
        <v>1</v>
      </c>
    </row>
    <row r="2261" spans="1:24" s="360" customFormat="1" ht="12" customHeight="1" outlineLevel="1">
      <c r="A2261" s="365"/>
      <c r="B2261" s="118" t="s">
        <v>12</v>
      </c>
      <c r="C2261" s="334" t="s">
        <v>9313</v>
      </c>
      <c r="D2261" s="124" t="s">
        <v>9314</v>
      </c>
      <c r="E2261" s="125"/>
      <c r="F2261" s="118" t="s">
        <v>622</v>
      </c>
      <c r="G2261" s="126" t="s">
        <v>9000</v>
      </c>
      <c r="H2261" s="255">
        <v>4</v>
      </c>
      <c r="I2261" s="361">
        <v>1</v>
      </c>
      <c r="J2261" s="362" t="s">
        <v>286</v>
      </c>
      <c r="K2261" s="329"/>
      <c r="L2261" s="129"/>
      <c r="M2261" s="129"/>
      <c r="N2261" s="129"/>
      <c r="O2261" s="129"/>
      <c r="P2261" s="372"/>
      <c r="Q2261" s="372"/>
      <c r="R2261" s="129"/>
      <c r="S2261" s="129"/>
      <c r="T2261" s="129"/>
      <c r="W2261" s="129" t="s">
        <v>286</v>
      </c>
      <c r="X2261" s="337" t="b">
        <f t="shared" si="69"/>
        <v>1</v>
      </c>
    </row>
    <row r="2262" spans="1:24" s="360" customFormat="1" ht="12" customHeight="1" outlineLevel="1">
      <c r="A2262" s="365"/>
      <c r="B2262" s="118" t="s">
        <v>12</v>
      </c>
      <c r="C2262" s="334" t="s">
        <v>9315</v>
      </c>
      <c r="D2262" s="124" t="s">
        <v>9316</v>
      </c>
      <c r="E2262" s="125"/>
      <c r="F2262" s="118" t="s">
        <v>622</v>
      </c>
      <c r="G2262" s="126" t="s">
        <v>9000</v>
      </c>
      <c r="H2262" s="255">
        <v>4</v>
      </c>
      <c r="I2262" s="361">
        <v>1</v>
      </c>
      <c r="J2262" s="362" t="s">
        <v>286</v>
      </c>
      <c r="K2262" s="329"/>
      <c r="L2262" s="129"/>
      <c r="M2262" s="129"/>
      <c r="N2262" s="129"/>
      <c r="O2262" s="129"/>
      <c r="P2262" s="372"/>
      <c r="Q2262" s="372"/>
      <c r="R2262" s="129"/>
      <c r="S2262" s="129"/>
      <c r="T2262" s="129"/>
      <c r="W2262" s="129" t="s">
        <v>286</v>
      </c>
      <c r="X2262" s="337" t="b">
        <f t="shared" si="69"/>
        <v>1</v>
      </c>
    </row>
    <row r="2263" spans="1:24" s="360" customFormat="1" ht="12" customHeight="1" outlineLevel="1">
      <c r="A2263" s="365"/>
      <c r="B2263" s="118" t="s">
        <v>12</v>
      </c>
      <c r="C2263" s="334" t="s">
        <v>9317</v>
      </c>
      <c r="D2263" s="124" t="s">
        <v>9318</v>
      </c>
      <c r="E2263" s="125"/>
      <c r="F2263" s="118" t="s">
        <v>622</v>
      </c>
      <c r="G2263" s="126" t="s">
        <v>9000</v>
      </c>
      <c r="H2263" s="255">
        <v>4</v>
      </c>
      <c r="I2263" s="361">
        <v>1</v>
      </c>
      <c r="J2263" s="362" t="s">
        <v>286</v>
      </c>
      <c r="K2263" s="329"/>
      <c r="L2263" s="129"/>
      <c r="M2263" s="129"/>
      <c r="N2263" s="129"/>
      <c r="O2263" s="129"/>
      <c r="P2263" s="372"/>
      <c r="Q2263" s="372"/>
      <c r="R2263" s="129"/>
      <c r="S2263" s="129"/>
      <c r="T2263" s="129"/>
      <c r="W2263" s="129" t="s">
        <v>286</v>
      </c>
      <c r="X2263" s="337" t="b">
        <f t="shared" si="69"/>
        <v>1</v>
      </c>
    </row>
    <row r="2264" spans="1:24" s="360" customFormat="1" ht="12" customHeight="1" outlineLevel="1">
      <c r="A2264" s="365"/>
      <c r="B2264" s="118" t="s">
        <v>12</v>
      </c>
      <c r="C2264" s="334" t="s">
        <v>9319</v>
      </c>
      <c r="D2264" s="124" t="s">
        <v>9320</v>
      </c>
      <c r="E2264" s="125"/>
      <c r="F2264" s="118" t="s">
        <v>622</v>
      </c>
      <c r="G2264" s="126" t="s">
        <v>9000</v>
      </c>
      <c r="H2264" s="255">
        <v>4</v>
      </c>
      <c r="I2264" s="361">
        <v>1</v>
      </c>
      <c r="J2264" s="362" t="s">
        <v>310</v>
      </c>
      <c r="K2264" s="329"/>
      <c r="L2264" s="129"/>
      <c r="M2264" s="129"/>
      <c r="N2264" s="129"/>
      <c r="O2264" s="129"/>
      <c r="P2264" s="372"/>
      <c r="Q2264" s="372"/>
      <c r="R2264" s="129"/>
      <c r="S2264" s="129"/>
      <c r="T2264" s="129"/>
      <c r="W2264" s="129" t="s">
        <v>286</v>
      </c>
      <c r="X2264" s="337" t="b">
        <f t="shared" si="69"/>
        <v>0</v>
      </c>
    </row>
    <row r="2265" spans="1:24" s="360" customFormat="1" ht="12" customHeight="1" outlineLevel="1">
      <c r="A2265" s="365"/>
      <c r="B2265" s="118" t="s">
        <v>12</v>
      </c>
      <c r="C2265" s="334" t="s">
        <v>9321</v>
      </c>
      <c r="D2265" s="124" t="s">
        <v>9322</v>
      </c>
      <c r="E2265" s="125"/>
      <c r="F2265" s="118" t="s">
        <v>622</v>
      </c>
      <c r="G2265" s="126" t="s">
        <v>9000</v>
      </c>
      <c r="H2265" s="255">
        <v>4</v>
      </c>
      <c r="I2265" s="361">
        <v>1</v>
      </c>
      <c r="J2265" s="362" t="s">
        <v>286</v>
      </c>
      <c r="K2265" s="329"/>
      <c r="L2265" s="129"/>
      <c r="M2265" s="129"/>
      <c r="N2265" s="129"/>
      <c r="O2265" s="129"/>
      <c r="P2265" s="372"/>
      <c r="Q2265" s="372"/>
      <c r="R2265" s="129"/>
      <c r="S2265" s="129"/>
      <c r="T2265" s="129"/>
      <c r="W2265" s="129" t="s">
        <v>286</v>
      </c>
      <c r="X2265" s="337" t="b">
        <f t="shared" si="69"/>
        <v>1</v>
      </c>
    </row>
    <row r="2266" spans="1:24" s="360" customFormat="1" ht="12" customHeight="1" outlineLevel="1">
      <c r="A2266" s="365"/>
      <c r="B2266" s="118" t="s">
        <v>12</v>
      </c>
      <c r="C2266" s="334" t="s">
        <v>9323</v>
      </c>
      <c r="D2266" s="124" t="s">
        <v>9324</v>
      </c>
      <c r="E2266" s="125"/>
      <c r="F2266" s="118" t="s">
        <v>622</v>
      </c>
      <c r="G2266" s="126" t="s">
        <v>9000</v>
      </c>
      <c r="H2266" s="255">
        <v>4</v>
      </c>
      <c r="I2266" s="361">
        <v>1</v>
      </c>
      <c r="J2266" s="362" t="s">
        <v>286</v>
      </c>
      <c r="K2266" s="329"/>
      <c r="L2266" s="129"/>
      <c r="M2266" s="129"/>
      <c r="N2266" s="129"/>
      <c r="O2266" s="129"/>
      <c r="P2266" s="372"/>
      <c r="Q2266" s="372"/>
      <c r="R2266" s="129"/>
      <c r="S2266" s="129"/>
      <c r="T2266" s="129"/>
      <c r="W2266" s="129" t="s">
        <v>286</v>
      </c>
      <c r="X2266" s="337" t="b">
        <f t="shared" si="69"/>
        <v>1</v>
      </c>
    </row>
    <row r="2267" spans="1:24" s="360" customFormat="1" ht="12" customHeight="1" outlineLevel="1">
      <c r="A2267" s="365"/>
      <c r="B2267" s="118" t="s">
        <v>12</v>
      </c>
      <c r="C2267" s="334" t="s">
        <v>9325</v>
      </c>
      <c r="D2267" s="124" t="s">
        <v>9326</v>
      </c>
      <c r="E2267" s="125"/>
      <c r="F2267" s="118" t="s">
        <v>622</v>
      </c>
      <c r="G2267" s="126" t="s">
        <v>9000</v>
      </c>
      <c r="H2267" s="255">
        <v>4</v>
      </c>
      <c r="I2267" s="361">
        <v>1</v>
      </c>
      <c r="J2267" s="362" t="s">
        <v>286</v>
      </c>
      <c r="K2267" s="329"/>
      <c r="L2267" s="129"/>
      <c r="M2267" s="129"/>
      <c r="N2267" s="129"/>
      <c r="O2267" s="129"/>
      <c r="P2267" s="372"/>
      <c r="Q2267" s="372"/>
      <c r="R2267" s="129"/>
      <c r="S2267" s="129"/>
      <c r="T2267" s="129"/>
      <c r="W2267" s="129" t="s">
        <v>286</v>
      </c>
      <c r="X2267" s="337" t="b">
        <f t="shared" si="69"/>
        <v>1</v>
      </c>
    </row>
    <row r="2268" spans="1:24" s="360" customFormat="1" ht="12" customHeight="1" outlineLevel="1">
      <c r="A2268" s="365"/>
      <c r="B2268" s="118" t="s">
        <v>12</v>
      </c>
      <c r="C2268" s="334" t="s">
        <v>9327</v>
      </c>
      <c r="D2268" s="124" t="s">
        <v>9328</v>
      </c>
      <c r="E2268" s="125"/>
      <c r="F2268" s="118" t="s">
        <v>622</v>
      </c>
      <c r="G2268" s="126" t="s">
        <v>9000</v>
      </c>
      <c r="H2268" s="255">
        <v>4</v>
      </c>
      <c r="I2268" s="361">
        <v>1</v>
      </c>
      <c r="J2268" s="362" t="s">
        <v>286</v>
      </c>
      <c r="K2268" s="329"/>
      <c r="L2268" s="129"/>
      <c r="M2268" s="129"/>
      <c r="N2268" s="129"/>
      <c r="O2268" s="129"/>
      <c r="P2268" s="372"/>
      <c r="Q2268" s="372"/>
      <c r="R2268" s="129"/>
      <c r="S2268" s="129"/>
      <c r="T2268" s="129"/>
      <c r="W2268" s="129" t="s">
        <v>286</v>
      </c>
      <c r="X2268" s="337" t="b">
        <f t="shared" si="69"/>
        <v>1</v>
      </c>
    </row>
    <row r="2269" spans="1:24" s="360" customFormat="1" ht="12" customHeight="1" outlineLevel="1">
      <c r="A2269" s="365"/>
      <c r="B2269" s="118" t="s">
        <v>12</v>
      </c>
      <c r="C2269" s="334" t="s">
        <v>9329</v>
      </c>
      <c r="D2269" s="124" t="s">
        <v>9330</v>
      </c>
      <c r="E2269" s="125"/>
      <c r="F2269" s="118" t="s">
        <v>622</v>
      </c>
      <c r="G2269" s="126" t="s">
        <v>9000</v>
      </c>
      <c r="H2269" s="255">
        <v>4</v>
      </c>
      <c r="I2269" s="361">
        <v>1</v>
      </c>
      <c r="J2269" s="362" t="s">
        <v>286</v>
      </c>
      <c r="K2269" s="329"/>
      <c r="L2269" s="129"/>
      <c r="M2269" s="129"/>
      <c r="N2269" s="129"/>
      <c r="O2269" s="129"/>
      <c r="P2269" s="372"/>
      <c r="Q2269" s="372"/>
      <c r="R2269" s="129"/>
      <c r="S2269" s="129"/>
      <c r="T2269" s="129"/>
      <c r="W2269" s="129" t="s">
        <v>286</v>
      </c>
      <c r="X2269" s="337" t="b">
        <f t="shared" si="69"/>
        <v>1</v>
      </c>
    </row>
    <row r="2270" spans="1:24" s="360" customFormat="1" ht="12" customHeight="1" outlineLevel="1">
      <c r="A2270" s="365"/>
      <c r="B2270" s="118" t="s">
        <v>12</v>
      </c>
      <c r="C2270" s="334" t="s">
        <v>9331</v>
      </c>
      <c r="D2270" s="124" t="s">
        <v>9332</v>
      </c>
      <c r="E2270" s="125"/>
      <c r="F2270" s="118" t="s">
        <v>622</v>
      </c>
      <c r="G2270" s="126" t="s">
        <v>9000</v>
      </c>
      <c r="H2270" s="255">
        <v>4</v>
      </c>
      <c r="I2270" s="361">
        <v>1</v>
      </c>
      <c r="J2270" s="362" t="s">
        <v>286</v>
      </c>
      <c r="K2270" s="329"/>
      <c r="L2270" s="129"/>
      <c r="M2270" s="129"/>
      <c r="N2270" s="129"/>
      <c r="O2270" s="129"/>
      <c r="P2270" s="372"/>
      <c r="Q2270" s="372"/>
      <c r="R2270" s="129"/>
      <c r="S2270" s="129"/>
      <c r="T2270" s="129"/>
      <c r="W2270" s="129" t="s">
        <v>286</v>
      </c>
      <c r="X2270" s="337" t="b">
        <f t="shared" si="69"/>
        <v>1</v>
      </c>
    </row>
    <row r="2271" spans="1:24" s="360" customFormat="1" ht="12" customHeight="1" outlineLevel="1">
      <c r="A2271" s="365"/>
      <c r="B2271" s="118" t="s">
        <v>12</v>
      </c>
      <c r="C2271" s="334" t="s">
        <v>9333</v>
      </c>
      <c r="D2271" s="124" t="s">
        <v>9334</v>
      </c>
      <c r="E2271" s="125"/>
      <c r="F2271" s="118" t="s">
        <v>622</v>
      </c>
      <c r="G2271" s="126" t="s">
        <v>9000</v>
      </c>
      <c r="H2271" s="255">
        <v>4</v>
      </c>
      <c r="I2271" s="361">
        <v>1</v>
      </c>
      <c r="J2271" s="362" t="s">
        <v>286</v>
      </c>
      <c r="K2271" s="329"/>
      <c r="L2271" s="129"/>
      <c r="M2271" s="129"/>
      <c r="N2271" s="129"/>
      <c r="O2271" s="129"/>
      <c r="P2271" s="372"/>
      <c r="Q2271" s="372"/>
      <c r="R2271" s="129"/>
      <c r="S2271" s="129"/>
      <c r="T2271" s="129"/>
      <c r="W2271" s="129" t="s">
        <v>286</v>
      </c>
      <c r="X2271" s="337" t="b">
        <f t="shared" si="69"/>
        <v>1</v>
      </c>
    </row>
    <row r="2272" spans="1:24" s="360" customFormat="1" ht="12" customHeight="1" outlineLevel="1">
      <c r="A2272" s="365"/>
      <c r="B2272" s="118" t="s">
        <v>12</v>
      </c>
      <c r="C2272" s="334" t="s">
        <v>9335</v>
      </c>
      <c r="D2272" s="124" t="s">
        <v>9336</v>
      </c>
      <c r="E2272" s="125"/>
      <c r="F2272" s="118" t="s">
        <v>622</v>
      </c>
      <c r="G2272" s="126" t="s">
        <v>9000</v>
      </c>
      <c r="H2272" s="255">
        <v>4</v>
      </c>
      <c r="I2272" s="361">
        <v>1</v>
      </c>
      <c r="J2272" s="362" t="s">
        <v>286</v>
      </c>
      <c r="K2272" s="329"/>
      <c r="L2272" s="129"/>
      <c r="M2272" s="129"/>
      <c r="N2272" s="129"/>
      <c r="O2272" s="129"/>
      <c r="P2272" s="372"/>
      <c r="Q2272" s="372"/>
      <c r="R2272" s="129"/>
      <c r="S2272" s="129"/>
      <c r="T2272" s="129"/>
      <c r="W2272" s="129" t="s">
        <v>286</v>
      </c>
      <c r="X2272" s="337" t="b">
        <f t="shared" si="69"/>
        <v>1</v>
      </c>
    </row>
    <row r="2273" spans="1:24" s="360" customFormat="1" ht="12" customHeight="1" outlineLevel="1">
      <c r="A2273" s="365"/>
      <c r="B2273" s="118" t="s">
        <v>12</v>
      </c>
      <c r="C2273" s="334" t="s">
        <v>9337</v>
      </c>
      <c r="D2273" s="124" t="s">
        <v>9338</v>
      </c>
      <c r="E2273" s="125"/>
      <c r="F2273" s="118" t="s">
        <v>622</v>
      </c>
      <c r="G2273" s="126" t="s">
        <v>9000</v>
      </c>
      <c r="H2273" s="255">
        <v>4</v>
      </c>
      <c r="I2273" s="361">
        <v>1</v>
      </c>
      <c r="J2273" s="362" t="s">
        <v>286</v>
      </c>
      <c r="K2273" s="329"/>
      <c r="L2273" s="129"/>
      <c r="M2273" s="129"/>
      <c r="N2273" s="129"/>
      <c r="O2273" s="129"/>
      <c r="P2273" s="372"/>
      <c r="Q2273" s="372"/>
      <c r="R2273" s="129"/>
      <c r="S2273" s="129"/>
      <c r="T2273" s="129"/>
      <c r="W2273" s="129" t="s">
        <v>286</v>
      </c>
      <c r="X2273" s="337" t="b">
        <f t="shared" si="69"/>
        <v>1</v>
      </c>
    </row>
    <row r="2274" spans="1:24" s="360" customFormat="1" ht="12" customHeight="1" outlineLevel="1">
      <c r="A2274" s="365"/>
      <c r="B2274" s="118" t="s">
        <v>12</v>
      </c>
      <c r="C2274" s="334" t="s">
        <v>9339</v>
      </c>
      <c r="D2274" s="124" t="s">
        <v>9340</v>
      </c>
      <c r="E2274" s="125"/>
      <c r="F2274" s="118" t="s">
        <v>622</v>
      </c>
      <c r="G2274" s="126" t="s">
        <v>9000</v>
      </c>
      <c r="H2274" s="255">
        <v>4</v>
      </c>
      <c r="I2274" s="361">
        <v>1</v>
      </c>
      <c r="J2274" s="362" t="s">
        <v>286</v>
      </c>
      <c r="K2274" s="329"/>
      <c r="L2274" s="129"/>
      <c r="M2274" s="129"/>
      <c r="N2274" s="129"/>
      <c r="O2274" s="129"/>
      <c r="P2274" s="372"/>
      <c r="Q2274" s="372"/>
      <c r="R2274" s="129"/>
      <c r="S2274" s="129"/>
      <c r="T2274" s="129"/>
      <c r="W2274" s="129" t="s">
        <v>286</v>
      </c>
      <c r="X2274" s="337" t="b">
        <f t="shared" si="69"/>
        <v>1</v>
      </c>
    </row>
    <row r="2275" spans="1:24" s="360" customFormat="1" ht="12" customHeight="1" outlineLevel="1">
      <c r="A2275" s="365"/>
      <c r="B2275" s="118" t="s">
        <v>12</v>
      </c>
      <c r="C2275" s="334" t="s">
        <v>9341</v>
      </c>
      <c r="D2275" s="124" t="s">
        <v>9342</v>
      </c>
      <c r="E2275" s="125"/>
      <c r="F2275" s="118" t="s">
        <v>622</v>
      </c>
      <c r="G2275" s="126" t="s">
        <v>9000</v>
      </c>
      <c r="H2275" s="255">
        <v>4</v>
      </c>
      <c r="I2275" s="361">
        <v>1</v>
      </c>
      <c r="J2275" s="362" t="s">
        <v>286</v>
      </c>
      <c r="K2275" s="329"/>
      <c r="L2275" s="129"/>
      <c r="M2275" s="129"/>
      <c r="N2275" s="129"/>
      <c r="O2275" s="129"/>
      <c r="P2275" s="372"/>
      <c r="Q2275" s="372"/>
      <c r="R2275" s="129"/>
      <c r="S2275" s="129"/>
      <c r="T2275" s="129"/>
      <c r="W2275" s="129" t="s">
        <v>286</v>
      </c>
      <c r="X2275" s="337" t="b">
        <f t="shared" si="69"/>
        <v>1</v>
      </c>
    </row>
    <row r="2276" spans="1:24" s="360" customFormat="1" ht="12" customHeight="1" outlineLevel="1">
      <c r="A2276" s="365"/>
      <c r="B2276" s="118" t="s">
        <v>12</v>
      </c>
      <c r="C2276" s="334" t="s">
        <v>9343</v>
      </c>
      <c r="D2276" s="124" t="s">
        <v>9344</v>
      </c>
      <c r="E2276" s="125"/>
      <c r="F2276" s="118" t="s">
        <v>622</v>
      </c>
      <c r="G2276" s="126" t="s">
        <v>9000</v>
      </c>
      <c r="H2276" s="255">
        <v>4</v>
      </c>
      <c r="I2276" s="361">
        <v>1</v>
      </c>
      <c r="J2276" s="362" t="s">
        <v>286</v>
      </c>
      <c r="K2276" s="329"/>
      <c r="L2276" s="129"/>
      <c r="M2276" s="129"/>
      <c r="N2276" s="129"/>
      <c r="O2276" s="129"/>
      <c r="P2276" s="372"/>
      <c r="Q2276" s="372"/>
      <c r="R2276" s="129"/>
      <c r="S2276" s="129"/>
      <c r="T2276" s="129"/>
      <c r="W2276" s="129" t="s">
        <v>4876</v>
      </c>
      <c r="X2276" s="337" t="b">
        <f t="shared" si="69"/>
        <v>0</v>
      </c>
    </row>
    <row r="2277" spans="1:24" s="360" customFormat="1" ht="12" customHeight="1" outlineLevel="1">
      <c r="A2277" s="365"/>
      <c r="B2277" s="118" t="s">
        <v>12</v>
      </c>
      <c r="C2277" s="334" t="s">
        <v>9345</v>
      </c>
      <c r="D2277" s="124" t="s">
        <v>9346</v>
      </c>
      <c r="E2277" s="125"/>
      <c r="F2277" s="118" t="s">
        <v>622</v>
      </c>
      <c r="G2277" s="126" t="s">
        <v>9000</v>
      </c>
      <c r="H2277" s="255">
        <v>4</v>
      </c>
      <c r="I2277" s="361">
        <v>1</v>
      </c>
      <c r="J2277" s="362" t="s">
        <v>286</v>
      </c>
      <c r="K2277" s="329"/>
      <c r="L2277" s="129"/>
      <c r="M2277" s="129"/>
      <c r="N2277" s="129"/>
      <c r="O2277" s="129"/>
      <c r="P2277" s="372"/>
      <c r="Q2277" s="372"/>
      <c r="R2277" s="129"/>
      <c r="S2277" s="129"/>
      <c r="T2277" s="129"/>
      <c r="W2277" s="129" t="s">
        <v>4876</v>
      </c>
      <c r="X2277" s="337" t="b">
        <f t="shared" si="69"/>
        <v>0</v>
      </c>
    </row>
    <row r="2278" spans="1:24" s="360" customFormat="1" ht="12" customHeight="1" outlineLevel="1">
      <c r="A2278" s="365"/>
      <c r="B2278" s="118" t="s">
        <v>12</v>
      </c>
      <c r="C2278" s="334" t="s">
        <v>9347</v>
      </c>
      <c r="D2278" s="124" t="s">
        <v>9348</v>
      </c>
      <c r="E2278" s="125"/>
      <c r="F2278" s="118" t="s">
        <v>622</v>
      </c>
      <c r="G2278" s="126" t="s">
        <v>9000</v>
      </c>
      <c r="H2278" s="255">
        <v>4</v>
      </c>
      <c r="I2278" s="361">
        <v>1</v>
      </c>
      <c r="J2278" s="362" t="s">
        <v>286</v>
      </c>
      <c r="K2278" s="329"/>
      <c r="L2278" s="129"/>
      <c r="M2278" s="129"/>
      <c r="N2278" s="129"/>
      <c r="O2278" s="129"/>
      <c r="P2278" s="372"/>
      <c r="Q2278" s="372"/>
      <c r="R2278" s="129"/>
      <c r="S2278" s="129"/>
      <c r="T2278" s="129"/>
      <c r="W2278" s="129" t="s">
        <v>4876</v>
      </c>
      <c r="X2278" s="337" t="b">
        <f t="shared" si="69"/>
        <v>0</v>
      </c>
    </row>
    <row r="2279" spans="1:24" s="360" customFormat="1" ht="12" customHeight="1" outlineLevel="1">
      <c r="A2279" s="365"/>
      <c r="B2279" s="118" t="s">
        <v>12</v>
      </c>
      <c r="C2279" s="334" t="s">
        <v>9349</v>
      </c>
      <c r="D2279" s="124" t="s">
        <v>9350</v>
      </c>
      <c r="E2279" s="125"/>
      <c r="F2279" s="118" t="s">
        <v>622</v>
      </c>
      <c r="G2279" s="126" t="s">
        <v>9000</v>
      </c>
      <c r="H2279" s="255">
        <v>4</v>
      </c>
      <c r="I2279" s="361">
        <v>1</v>
      </c>
      <c r="J2279" s="362" t="s">
        <v>286</v>
      </c>
      <c r="K2279" s="329"/>
      <c r="L2279" s="129"/>
      <c r="M2279" s="129"/>
      <c r="N2279" s="129"/>
      <c r="O2279" s="129"/>
      <c r="P2279" s="372"/>
      <c r="Q2279" s="372"/>
      <c r="R2279" s="129"/>
      <c r="S2279" s="129"/>
      <c r="T2279" s="129"/>
      <c r="W2279" s="129" t="s">
        <v>4876</v>
      </c>
      <c r="X2279" s="337" t="b">
        <f t="shared" si="69"/>
        <v>0</v>
      </c>
    </row>
    <row r="2280" spans="1:24" s="360" customFormat="1" ht="12" customHeight="1" outlineLevel="1">
      <c r="A2280" s="365"/>
      <c r="B2280" s="118" t="s">
        <v>12</v>
      </c>
      <c r="C2280" s="334" t="s">
        <v>9351</v>
      </c>
      <c r="D2280" s="124" t="s">
        <v>9352</v>
      </c>
      <c r="E2280" s="125"/>
      <c r="F2280" s="118" t="s">
        <v>622</v>
      </c>
      <c r="G2280" s="126" t="s">
        <v>9000</v>
      </c>
      <c r="H2280" s="255">
        <v>4</v>
      </c>
      <c r="I2280" s="361">
        <v>1</v>
      </c>
      <c r="J2280" s="362" t="s">
        <v>286</v>
      </c>
      <c r="K2280" s="329"/>
      <c r="L2280" s="129"/>
      <c r="M2280" s="129"/>
      <c r="N2280" s="129"/>
      <c r="O2280" s="129"/>
      <c r="P2280" s="372"/>
      <c r="Q2280" s="372"/>
      <c r="R2280" s="129"/>
      <c r="S2280" s="129"/>
      <c r="T2280" s="129"/>
      <c r="W2280" s="129" t="s">
        <v>4876</v>
      </c>
      <c r="X2280" s="337" t="b">
        <f t="shared" si="69"/>
        <v>0</v>
      </c>
    </row>
    <row r="2281" spans="1:24" s="360" customFormat="1" ht="12" customHeight="1" outlineLevel="1">
      <c r="A2281" s="365"/>
      <c r="B2281" s="118" t="s">
        <v>12</v>
      </c>
      <c r="C2281" s="334" t="s">
        <v>9353</v>
      </c>
      <c r="D2281" s="124" t="s">
        <v>9354</v>
      </c>
      <c r="E2281" s="125"/>
      <c r="F2281" s="118" t="s">
        <v>622</v>
      </c>
      <c r="G2281" s="126" t="s">
        <v>9000</v>
      </c>
      <c r="H2281" s="255">
        <v>4</v>
      </c>
      <c r="I2281" s="361">
        <v>1</v>
      </c>
      <c r="J2281" s="362" t="s">
        <v>286</v>
      </c>
      <c r="K2281" s="329"/>
      <c r="L2281" s="129"/>
      <c r="M2281" s="129"/>
      <c r="N2281" s="129"/>
      <c r="O2281" s="129"/>
      <c r="P2281" s="372"/>
      <c r="Q2281" s="372"/>
      <c r="R2281" s="129"/>
      <c r="S2281" s="129"/>
      <c r="T2281" s="129"/>
      <c r="W2281" s="129" t="s">
        <v>4876</v>
      </c>
      <c r="X2281" s="337" t="b">
        <f t="shared" si="69"/>
        <v>0</v>
      </c>
    </row>
    <row r="2282" spans="1:24" s="360" customFormat="1" ht="12" customHeight="1" outlineLevel="1">
      <c r="A2282" s="365"/>
      <c r="B2282" s="118" t="s">
        <v>12</v>
      </c>
      <c r="C2282" s="334" t="s">
        <v>9355</v>
      </c>
      <c r="D2282" s="124" t="s">
        <v>9356</v>
      </c>
      <c r="E2282" s="125"/>
      <c r="F2282" s="118" t="s">
        <v>622</v>
      </c>
      <c r="G2282" s="126" t="s">
        <v>9000</v>
      </c>
      <c r="H2282" s="255">
        <v>4</v>
      </c>
      <c r="I2282" s="361">
        <v>1</v>
      </c>
      <c r="J2282" s="362" t="s">
        <v>286</v>
      </c>
      <c r="K2282" s="329"/>
      <c r="L2282" s="129"/>
      <c r="M2282" s="129"/>
      <c r="N2282" s="129"/>
      <c r="O2282" s="129"/>
      <c r="P2282" s="372"/>
      <c r="Q2282" s="372"/>
      <c r="R2282" s="129"/>
      <c r="S2282" s="129"/>
      <c r="T2282" s="129"/>
      <c r="W2282" s="129" t="s">
        <v>4876</v>
      </c>
      <c r="X2282" s="337" t="b">
        <f t="shared" si="69"/>
        <v>0</v>
      </c>
    </row>
    <row r="2283" spans="1:24" s="360" customFormat="1" ht="12" customHeight="1" outlineLevel="1">
      <c r="A2283" s="365"/>
      <c r="B2283" s="118" t="s">
        <v>12</v>
      </c>
      <c r="C2283" s="334" t="s">
        <v>9357</v>
      </c>
      <c r="D2283" s="124" t="s">
        <v>9358</v>
      </c>
      <c r="E2283" s="125"/>
      <c r="F2283" s="118" t="s">
        <v>622</v>
      </c>
      <c r="G2283" s="126" t="s">
        <v>9000</v>
      </c>
      <c r="H2283" s="255">
        <v>4</v>
      </c>
      <c r="I2283" s="361">
        <v>1</v>
      </c>
      <c r="J2283" s="362" t="s">
        <v>286</v>
      </c>
      <c r="K2283" s="329"/>
      <c r="L2283" s="129"/>
      <c r="M2283" s="129"/>
      <c r="N2283" s="129"/>
      <c r="O2283" s="129"/>
      <c r="P2283" s="372"/>
      <c r="Q2283" s="372"/>
      <c r="R2283" s="129"/>
      <c r="S2283" s="129"/>
      <c r="T2283" s="129"/>
      <c r="W2283" s="129" t="s">
        <v>4876</v>
      </c>
      <c r="X2283" s="337" t="b">
        <f t="shared" si="69"/>
        <v>0</v>
      </c>
    </row>
    <row r="2284" spans="1:24" s="360" customFormat="1" ht="12" customHeight="1" outlineLevel="1">
      <c r="A2284" s="365"/>
      <c r="B2284" s="118" t="s">
        <v>12</v>
      </c>
      <c r="C2284" s="334" t="s">
        <v>9359</v>
      </c>
      <c r="D2284" s="124" t="s">
        <v>9360</v>
      </c>
      <c r="E2284" s="125"/>
      <c r="F2284" s="118" t="s">
        <v>622</v>
      </c>
      <c r="G2284" s="126" t="s">
        <v>9000</v>
      </c>
      <c r="H2284" s="255">
        <v>4</v>
      </c>
      <c r="I2284" s="361">
        <v>1</v>
      </c>
      <c r="J2284" s="362" t="s">
        <v>286</v>
      </c>
      <c r="K2284" s="329"/>
      <c r="L2284" s="129"/>
      <c r="M2284" s="129"/>
      <c r="N2284" s="129"/>
      <c r="O2284" s="129"/>
      <c r="P2284" s="372"/>
      <c r="Q2284" s="372"/>
      <c r="R2284" s="129"/>
      <c r="S2284" s="129"/>
      <c r="T2284" s="129"/>
      <c r="W2284" s="129" t="s">
        <v>4876</v>
      </c>
      <c r="X2284" s="337" t="b">
        <f t="shared" si="69"/>
        <v>0</v>
      </c>
    </row>
    <row r="2285" spans="1:24" s="360" customFormat="1" ht="12" customHeight="1" outlineLevel="1">
      <c r="A2285" s="365"/>
      <c r="B2285" s="118" t="s">
        <v>12</v>
      </c>
      <c r="C2285" s="334" t="s">
        <v>9361</v>
      </c>
      <c r="D2285" s="124" t="s">
        <v>9362</v>
      </c>
      <c r="E2285" s="125"/>
      <c r="F2285" s="118" t="s">
        <v>622</v>
      </c>
      <c r="G2285" s="126" t="s">
        <v>9000</v>
      </c>
      <c r="H2285" s="255">
        <v>4</v>
      </c>
      <c r="I2285" s="361">
        <v>1</v>
      </c>
      <c r="J2285" s="362" t="s">
        <v>310</v>
      </c>
      <c r="K2285" s="329"/>
      <c r="L2285" s="129"/>
      <c r="M2285" s="129"/>
      <c r="N2285" s="129"/>
      <c r="O2285" s="129"/>
      <c r="P2285" s="372"/>
      <c r="Q2285" s="372"/>
      <c r="R2285" s="129"/>
      <c r="S2285" s="129"/>
      <c r="T2285" s="129"/>
      <c r="W2285" s="129" t="s">
        <v>4876</v>
      </c>
      <c r="X2285" s="337" t="b">
        <f t="shared" si="69"/>
        <v>0</v>
      </c>
    </row>
    <row r="2286" spans="1:24" s="360" customFormat="1" ht="12" customHeight="1" outlineLevel="1">
      <c r="A2286" s="365"/>
      <c r="B2286" s="118" t="s">
        <v>12</v>
      </c>
      <c r="C2286" s="334" t="s">
        <v>9363</v>
      </c>
      <c r="D2286" s="124" t="s">
        <v>9364</v>
      </c>
      <c r="E2286" s="125"/>
      <c r="F2286" s="118" t="s">
        <v>622</v>
      </c>
      <c r="G2286" s="126" t="s">
        <v>9000</v>
      </c>
      <c r="H2286" s="255">
        <v>4</v>
      </c>
      <c r="I2286" s="361">
        <v>1</v>
      </c>
      <c r="J2286" s="362" t="s">
        <v>310</v>
      </c>
      <c r="K2286" s="329"/>
      <c r="L2286" s="129"/>
      <c r="M2286" s="129"/>
      <c r="N2286" s="129"/>
      <c r="O2286" s="129"/>
      <c r="P2286" s="372"/>
      <c r="Q2286" s="372"/>
      <c r="R2286" s="129"/>
      <c r="S2286" s="129"/>
      <c r="T2286" s="129"/>
      <c r="W2286" s="129" t="s">
        <v>4876</v>
      </c>
      <c r="X2286" s="337" t="b">
        <f t="shared" si="69"/>
        <v>0</v>
      </c>
    </row>
    <row r="2287" spans="1:24" s="360" customFormat="1" ht="12" customHeight="1" outlineLevel="1">
      <c r="A2287" s="365"/>
      <c r="B2287" s="118" t="s">
        <v>12</v>
      </c>
      <c r="C2287" s="334" t="s">
        <v>9365</v>
      </c>
      <c r="D2287" s="124" t="s">
        <v>9366</v>
      </c>
      <c r="E2287" s="125"/>
      <c r="F2287" s="118" t="s">
        <v>622</v>
      </c>
      <c r="G2287" s="126" t="s">
        <v>9000</v>
      </c>
      <c r="H2287" s="255">
        <v>4</v>
      </c>
      <c r="I2287" s="361">
        <v>1</v>
      </c>
      <c r="J2287" s="362" t="s">
        <v>286</v>
      </c>
      <c r="K2287" s="329"/>
      <c r="L2287" s="129"/>
      <c r="M2287" s="129"/>
      <c r="N2287" s="129"/>
      <c r="O2287" s="129"/>
      <c r="P2287" s="372"/>
      <c r="Q2287" s="372"/>
      <c r="R2287" s="129"/>
      <c r="S2287" s="129"/>
      <c r="T2287" s="129"/>
      <c r="W2287" s="129" t="s">
        <v>286</v>
      </c>
      <c r="X2287" s="337" t="b">
        <f t="shared" si="69"/>
        <v>1</v>
      </c>
    </row>
    <row r="2288" spans="1:24" s="360" customFormat="1" ht="12" customHeight="1" outlineLevel="1">
      <c r="A2288" s="365"/>
      <c r="B2288" s="118" t="s">
        <v>12</v>
      </c>
      <c r="C2288" s="334" t="s">
        <v>9367</v>
      </c>
      <c r="D2288" s="124" t="s">
        <v>9368</v>
      </c>
      <c r="E2288" s="125"/>
      <c r="F2288" s="118" t="s">
        <v>622</v>
      </c>
      <c r="G2288" s="126" t="s">
        <v>9000</v>
      </c>
      <c r="H2288" s="255">
        <v>4</v>
      </c>
      <c r="I2288" s="361">
        <v>1</v>
      </c>
      <c r="J2288" s="362" t="s">
        <v>286</v>
      </c>
      <c r="K2288" s="329"/>
      <c r="L2288" s="129"/>
      <c r="M2288" s="129"/>
      <c r="N2288" s="129"/>
      <c r="O2288" s="129"/>
      <c r="P2288" s="372"/>
      <c r="Q2288" s="372"/>
      <c r="R2288" s="129"/>
      <c r="S2288" s="129"/>
      <c r="T2288" s="129"/>
      <c r="W2288" s="129" t="s">
        <v>286</v>
      </c>
      <c r="X2288" s="337" t="b">
        <f t="shared" si="69"/>
        <v>1</v>
      </c>
    </row>
    <row r="2289" spans="1:24" s="360" customFormat="1" ht="12" customHeight="1" outlineLevel="1">
      <c r="A2289" s="365"/>
      <c r="B2289" s="118" t="s">
        <v>12</v>
      </c>
      <c r="C2289" s="334" t="s">
        <v>9369</v>
      </c>
      <c r="D2289" s="124" t="s">
        <v>9370</v>
      </c>
      <c r="E2289" s="125"/>
      <c r="F2289" s="118" t="s">
        <v>622</v>
      </c>
      <c r="G2289" s="126" t="s">
        <v>9000</v>
      </c>
      <c r="H2289" s="255">
        <v>4</v>
      </c>
      <c r="I2289" s="361">
        <v>1</v>
      </c>
      <c r="J2289" s="362" t="s">
        <v>286</v>
      </c>
      <c r="K2289" s="329"/>
      <c r="L2289" s="129"/>
      <c r="M2289" s="129"/>
      <c r="N2289" s="129"/>
      <c r="O2289" s="129"/>
      <c r="P2289" s="372"/>
      <c r="Q2289" s="372"/>
      <c r="R2289" s="129"/>
      <c r="S2289" s="129"/>
      <c r="T2289" s="129"/>
      <c r="W2289" s="129" t="s">
        <v>286</v>
      </c>
      <c r="X2289" s="337" t="b">
        <f t="shared" si="69"/>
        <v>1</v>
      </c>
    </row>
    <row r="2290" spans="1:24" s="360" customFormat="1" ht="12" customHeight="1" outlineLevel="1">
      <c r="A2290" s="365"/>
      <c r="B2290" s="118" t="s">
        <v>12</v>
      </c>
      <c r="C2290" s="334" t="s">
        <v>9371</v>
      </c>
      <c r="D2290" s="124" t="s">
        <v>9372</v>
      </c>
      <c r="E2290" s="125"/>
      <c r="F2290" s="118" t="s">
        <v>622</v>
      </c>
      <c r="G2290" s="126" t="s">
        <v>9000</v>
      </c>
      <c r="H2290" s="255">
        <v>4</v>
      </c>
      <c r="I2290" s="361">
        <v>1</v>
      </c>
      <c r="J2290" s="362" t="s">
        <v>286</v>
      </c>
      <c r="K2290" s="329"/>
      <c r="L2290" s="129"/>
      <c r="M2290" s="129"/>
      <c r="N2290" s="129"/>
      <c r="O2290" s="129"/>
      <c r="P2290" s="372"/>
      <c r="Q2290" s="372"/>
      <c r="R2290" s="129"/>
      <c r="S2290" s="129"/>
      <c r="T2290" s="129"/>
      <c r="W2290" s="129" t="s">
        <v>286</v>
      </c>
      <c r="X2290" s="337" t="b">
        <f t="shared" si="69"/>
        <v>1</v>
      </c>
    </row>
    <row r="2291" spans="1:24" s="360" customFormat="1" ht="12" customHeight="1" outlineLevel="1">
      <c r="A2291" s="365"/>
      <c r="B2291" s="118" t="s">
        <v>12</v>
      </c>
      <c r="C2291" s="334" t="s">
        <v>9373</v>
      </c>
      <c r="D2291" s="124" t="s">
        <v>9374</v>
      </c>
      <c r="E2291" s="125"/>
      <c r="F2291" s="118" t="s">
        <v>622</v>
      </c>
      <c r="G2291" s="126" t="s">
        <v>9000</v>
      </c>
      <c r="H2291" s="255">
        <v>4</v>
      </c>
      <c r="I2291" s="361">
        <v>1</v>
      </c>
      <c r="J2291" s="362" t="s">
        <v>286</v>
      </c>
      <c r="K2291" s="329"/>
      <c r="L2291" s="129"/>
      <c r="M2291" s="129"/>
      <c r="N2291" s="129"/>
      <c r="O2291" s="129"/>
      <c r="P2291" s="372"/>
      <c r="Q2291" s="372"/>
      <c r="R2291" s="129"/>
      <c r="S2291" s="129"/>
      <c r="T2291" s="129"/>
      <c r="W2291" s="129" t="s">
        <v>4876</v>
      </c>
      <c r="X2291" s="337" t="b">
        <f t="shared" si="69"/>
        <v>0</v>
      </c>
    </row>
    <row r="2292" spans="1:24" s="360" customFormat="1" ht="12" customHeight="1" outlineLevel="1">
      <c r="A2292" s="365"/>
      <c r="B2292" s="118" t="s">
        <v>12</v>
      </c>
      <c r="C2292" s="334" t="s">
        <v>9375</v>
      </c>
      <c r="D2292" s="124" t="s">
        <v>9376</v>
      </c>
      <c r="E2292" s="125"/>
      <c r="F2292" s="118" t="s">
        <v>622</v>
      </c>
      <c r="G2292" s="126" t="s">
        <v>9000</v>
      </c>
      <c r="H2292" s="255">
        <v>4</v>
      </c>
      <c r="I2292" s="361">
        <v>1</v>
      </c>
      <c r="J2292" s="362" t="s">
        <v>286</v>
      </c>
      <c r="K2292" s="329"/>
      <c r="L2292" s="129"/>
      <c r="M2292" s="129"/>
      <c r="N2292" s="129"/>
      <c r="O2292" s="129"/>
      <c r="P2292" s="372"/>
      <c r="Q2292" s="372"/>
      <c r="R2292" s="129"/>
      <c r="S2292" s="129"/>
      <c r="T2292" s="129"/>
      <c r="W2292" s="129" t="s">
        <v>286</v>
      </c>
      <c r="X2292" s="337" t="b">
        <f t="shared" si="69"/>
        <v>1</v>
      </c>
    </row>
    <row r="2293" spans="1:24" s="360" customFormat="1" ht="12" customHeight="1" outlineLevel="1">
      <c r="A2293" s="365"/>
      <c r="B2293" s="118" t="s">
        <v>12</v>
      </c>
      <c r="C2293" s="334" t="s">
        <v>9377</v>
      </c>
      <c r="D2293" s="124" t="s">
        <v>9378</v>
      </c>
      <c r="E2293" s="125"/>
      <c r="F2293" s="118" t="s">
        <v>622</v>
      </c>
      <c r="G2293" s="126" t="s">
        <v>9000</v>
      </c>
      <c r="H2293" s="255">
        <v>4</v>
      </c>
      <c r="I2293" s="361">
        <v>1</v>
      </c>
      <c r="J2293" s="362" t="s">
        <v>286</v>
      </c>
      <c r="K2293" s="329"/>
      <c r="L2293" s="129"/>
      <c r="M2293" s="129"/>
      <c r="N2293" s="129"/>
      <c r="O2293" s="129"/>
      <c r="P2293" s="372"/>
      <c r="Q2293" s="372"/>
      <c r="R2293" s="129"/>
      <c r="S2293" s="129"/>
      <c r="T2293" s="129"/>
      <c r="W2293" s="129" t="s">
        <v>286</v>
      </c>
      <c r="X2293" s="337" t="b">
        <f t="shared" si="69"/>
        <v>1</v>
      </c>
    </row>
    <row r="2294" spans="1:24" s="360" customFormat="1" ht="12" customHeight="1" outlineLevel="1">
      <c r="A2294" s="365"/>
      <c r="B2294" s="118" t="s">
        <v>12</v>
      </c>
      <c r="C2294" s="334" t="s">
        <v>9379</v>
      </c>
      <c r="D2294" s="124" t="s">
        <v>9380</v>
      </c>
      <c r="E2294" s="125"/>
      <c r="F2294" s="118" t="s">
        <v>622</v>
      </c>
      <c r="G2294" s="126" t="s">
        <v>9000</v>
      </c>
      <c r="H2294" s="255">
        <v>4</v>
      </c>
      <c r="I2294" s="361">
        <v>1</v>
      </c>
      <c r="J2294" s="362" t="s">
        <v>286</v>
      </c>
      <c r="K2294" s="329"/>
      <c r="L2294" s="129"/>
      <c r="M2294" s="129"/>
      <c r="N2294" s="129"/>
      <c r="O2294" s="129"/>
      <c r="P2294" s="372"/>
      <c r="Q2294" s="372"/>
      <c r="R2294" s="129"/>
      <c r="S2294" s="129"/>
      <c r="T2294" s="129"/>
      <c r="W2294" s="129" t="s">
        <v>286</v>
      </c>
      <c r="X2294" s="337" t="b">
        <f t="shared" si="69"/>
        <v>1</v>
      </c>
    </row>
    <row r="2295" spans="1:24" s="360" customFormat="1" ht="12" customHeight="1" outlineLevel="1">
      <c r="A2295" s="365"/>
      <c r="B2295" s="118" t="s">
        <v>12</v>
      </c>
      <c r="C2295" s="334" t="s">
        <v>9381</v>
      </c>
      <c r="D2295" s="124" t="s">
        <v>9382</v>
      </c>
      <c r="E2295" s="125"/>
      <c r="F2295" s="118" t="s">
        <v>622</v>
      </c>
      <c r="G2295" s="126" t="s">
        <v>9000</v>
      </c>
      <c r="H2295" s="255">
        <v>4</v>
      </c>
      <c r="I2295" s="361">
        <v>1</v>
      </c>
      <c r="J2295" s="362" t="s">
        <v>286</v>
      </c>
      <c r="K2295" s="329"/>
      <c r="L2295" s="129"/>
      <c r="M2295" s="129"/>
      <c r="N2295" s="129"/>
      <c r="O2295" s="129"/>
      <c r="P2295" s="372"/>
      <c r="Q2295" s="372"/>
      <c r="R2295" s="129"/>
      <c r="S2295" s="129"/>
      <c r="T2295" s="129"/>
      <c r="W2295" s="129" t="s">
        <v>286</v>
      </c>
      <c r="X2295" s="337" t="b">
        <f t="shared" si="69"/>
        <v>1</v>
      </c>
    </row>
    <row r="2296" spans="1:24" s="360" customFormat="1" ht="12" customHeight="1" outlineLevel="1">
      <c r="A2296" s="365"/>
      <c r="B2296" s="118" t="s">
        <v>12</v>
      </c>
      <c r="C2296" s="334" t="s">
        <v>9383</v>
      </c>
      <c r="D2296" s="124" t="s">
        <v>9384</v>
      </c>
      <c r="E2296" s="125"/>
      <c r="F2296" s="118" t="s">
        <v>622</v>
      </c>
      <c r="G2296" s="126" t="s">
        <v>9000</v>
      </c>
      <c r="H2296" s="255">
        <v>4</v>
      </c>
      <c r="I2296" s="361">
        <v>1</v>
      </c>
      <c r="J2296" s="362" t="s">
        <v>286</v>
      </c>
      <c r="K2296" s="329"/>
      <c r="L2296" s="129"/>
      <c r="M2296" s="129"/>
      <c r="N2296" s="129"/>
      <c r="O2296" s="129"/>
      <c r="P2296" s="372"/>
      <c r="Q2296" s="372"/>
      <c r="R2296" s="129"/>
      <c r="S2296" s="129"/>
      <c r="T2296" s="129"/>
      <c r="W2296" s="129" t="s">
        <v>286</v>
      </c>
      <c r="X2296" s="337" t="b">
        <f t="shared" si="69"/>
        <v>1</v>
      </c>
    </row>
    <row r="2297" spans="1:24" s="360" customFormat="1" ht="12" customHeight="1" outlineLevel="1">
      <c r="A2297" s="365"/>
      <c r="B2297" s="118" t="s">
        <v>12</v>
      </c>
      <c r="C2297" s="334" t="s">
        <v>9385</v>
      </c>
      <c r="D2297" s="124" t="s">
        <v>9386</v>
      </c>
      <c r="E2297" s="125"/>
      <c r="F2297" s="118" t="s">
        <v>622</v>
      </c>
      <c r="G2297" s="126" t="s">
        <v>9000</v>
      </c>
      <c r="H2297" s="255">
        <v>4</v>
      </c>
      <c r="I2297" s="361">
        <v>1</v>
      </c>
      <c r="J2297" s="362" t="s">
        <v>286</v>
      </c>
      <c r="K2297" s="329"/>
      <c r="L2297" s="129"/>
      <c r="M2297" s="129"/>
      <c r="N2297" s="129"/>
      <c r="O2297" s="129"/>
      <c r="P2297" s="372"/>
      <c r="Q2297" s="372"/>
      <c r="R2297" s="129"/>
      <c r="S2297" s="129"/>
      <c r="T2297" s="129"/>
      <c r="W2297" s="129" t="s">
        <v>286</v>
      </c>
      <c r="X2297" s="337" t="b">
        <f t="shared" si="69"/>
        <v>1</v>
      </c>
    </row>
    <row r="2298" spans="1:24" s="360" customFormat="1" ht="12" customHeight="1" outlineLevel="1">
      <c r="A2298" s="365"/>
      <c r="B2298" s="118" t="s">
        <v>12</v>
      </c>
      <c r="C2298" s="334" t="s">
        <v>9387</v>
      </c>
      <c r="D2298" s="124" t="s">
        <v>9388</v>
      </c>
      <c r="E2298" s="125"/>
      <c r="F2298" s="118" t="s">
        <v>622</v>
      </c>
      <c r="G2298" s="126" t="s">
        <v>9000</v>
      </c>
      <c r="H2298" s="255">
        <v>4</v>
      </c>
      <c r="I2298" s="361">
        <v>1</v>
      </c>
      <c r="J2298" s="362" t="s">
        <v>286</v>
      </c>
      <c r="K2298" s="329"/>
      <c r="L2298" s="129"/>
      <c r="M2298" s="129"/>
      <c r="N2298" s="129"/>
      <c r="O2298" s="129"/>
      <c r="P2298" s="372"/>
      <c r="Q2298" s="372"/>
      <c r="R2298" s="129"/>
      <c r="S2298" s="129"/>
      <c r="T2298" s="129"/>
      <c r="W2298" s="129" t="s">
        <v>286</v>
      </c>
      <c r="X2298" s="337" t="b">
        <f t="shared" si="69"/>
        <v>1</v>
      </c>
    </row>
    <row r="2299" spans="1:24" s="360" customFormat="1" ht="12" customHeight="1" outlineLevel="1">
      <c r="A2299" s="365"/>
      <c r="B2299" s="118" t="s">
        <v>12</v>
      </c>
      <c r="C2299" s="334" t="s">
        <v>9389</v>
      </c>
      <c r="D2299" s="124" t="s">
        <v>9390</v>
      </c>
      <c r="E2299" s="125"/>
      <c r="F2299" s="118" t="s">
        <v>622</v>
      </c>
      <c r="G2299" s="126" t="s">
        <v>9000</v>
      </c>
      <c r="H2299" s="255">
        <v>4</v>
      </c>
      <c r="I2299" s="361">
        <v>1</v>
      </c>
      <c r="J2299" s="362" t="s">
        <v>286</v>
      </c>
      <c r="K2299" s="329"/>
      <c r="L2299" s="129"/>
      <c r="M2299" s="129"/>
      <c r="N2299" s="129"/>
      <c r="O2299" s="129"/>
      <c r="P2299" s="372"/>
      <c r="Q2299" s="372"/>
      <c r="R2299" s="129"/>
      <c r="S2299" s="129"/>
      <c r="T2299" s="129"/>
      <c r="W2299" s="129" t="s">
        <v>286</v>
      </c>
      <c r="X2299" s="337" t="b">
        <f t="shared" si="69"/>
        <v>1</v>
      </c>
    </row>
    <row r="2300" spans="1:24" s="360" customFormat="1" ht="12" customHeight="1" outlineLevel="1">
      <c r="A2300" s="365"/>
      <c r="B2300" s="118" t="s">
        <v>12</v>
      </c>
      <c r="C2300" s="334" t="s">
        <v>9391</v>
      </c>
      <c r="D2300" s="124" t="s">
        <v>9392</v>
      </c>
      <c r="E2300" s="125"/>
      <c r="F2300" s="118" t="s">
        <v>622</v>
      </c>
      <c r="G2300" s="126" t="s">
        <v>9000</v>
      </c>
      <c r="H2300" s="255">
        <v>4</v>
      </c>
      <c r="I2300" s="361">
        <v>1</v>
      </c>
      <c r="J2300" s="362" t="s">
        <v>286</v>
      </c>
      <c r="K2300" s="329"/>
      <c r="L2300" s="129"/>
      <c r="M2300" s="129"/>
      <c r="N2300" s="129"/>
      <c r="O2300" s="129"/>
      <c r="P2300" s="372"/>
      <c r="Q2300" s="372"/>
      <c r="R2300" s="129"/>
      <c r="S2300" s="129"/>
      <c r="T2300" s="129"/>
      <c r="W2300" s="129" t="s">
        <v>286</v>
      </c>
      <c r="X2300" s="337" t="b">
        <f t="shared" si="69"/>
        <v>1</v>
      </c>
    </row>
    <row r="2301" spans="1:24" s="360" customFormat="1" ht="12" customHeight="1" outlineLevel="1">
      <c r="A2301" s="365"/>
      <c r="B2301" s="118" t="s">
        <v>12</v>
      </c>
      <c r="C2301" s="334" t="s">
        <v>9393</v>
      </c>
      <c r="D2301" s="124" t="s">
        <v>9394</v>
      </c>
      <c r="E2301" s="125"/>
      <c r="F2301" s="118" t="s">
        <v>622</v>
      </c>
      <c r="G2301" s="126" t="s">
        <v>9000</v>
      </c>
      <c r="H2301" s="255">
        <v>4</v>
      </c>
      <c r="I2301" s="361">
        <v>1</v>
      </c>
      <c r="J2301" s="362" t="s">
        <v>286</v>
      </c>
      <c r="K2301" s="329"/>
      <c r="L2301" s="129"/>
      <c r="M2301" s="129"/>
      <c r="N2301" s="129"/>
      <c r="O2301" s="129"/>
      <c r="P2301" s="372"/>
      <c r="Q2301" s="372"/>
      <c r="R2301" s="129"/>
      <c r="S2301" s="129"/>
      <c r="T2301" s="129"/>
      <c r="W2301" s="129" t="s">
        <v>286</v>
      </c>
      <c r="X2301" s="337" t="b">
        <f t="shared" si="69"/>
        <v>1</v>
      </c>
    </row>
    <row r="2302" spans="1:24" s="360" customFormat="1" ht="12" customHeight="1" outlineLevel="1">
      <c r="A2302" s="365"/>
      <c r="B2302" s="118" t="s">
        <v>12</v>
      </c>
      <c r="C2302" s="334" t="s">
        <v>9395</v>
      </c>
      <c r="D2302" s="124" t="s">
        <v>9396</v>
      </c>
      <c r="E2302" s="125"/>
      <c r="F2302" s="118" t="s">
        <v>622</v>
      </c>
      <c r="G2302" s="126" t="s">
        <v>9000</v>
      </c>
      <c r="H2302" s="255">
        <v>4</v>
      </c>
      <c r="I2302" s="361">
        <v>1</v>
      </c>
      <c r="J2302" s="362" t="s">
        <v>286</v>
      </c>
      <c r="K2302" s="329"/>
      <c r="L2302" s="129"/>
      <c r="M2302" s="129"/>
      <c r="N2302" s="129"/>
      <c r="O2302" s="129"/>
      <c r="P2302" s="372"/>
      <c r="Q2302" s="372"/>
      <c r="R2302" s="129"/>
      <c r="S2302" s="129"/>
      <c r="T2302" s="129"/>
      <c r="W2302" s="129" t="s">
        <v>286</v>
      </c>
      <c r="X2302" s="337" t="b">
        <f t="shared" si="69"/>
        <v>1</v>
      </c>
    </row>
    <row r="2303" spans="1:24" s="360" customFormat="1" ht="12" customHeight="1" outlineLevel="1">
      <c r="A2303" s="365"/>
      <c r="B2303" s="118" t="s">
        <v>12</v>
      </c>
      <c r="C2303" s="334" t="s">
        <v>9397</v>
      </c>
      <c r="D2303" s="124" t="s">
        <v>9398</v>
      </c>
      <c r="E2303" s="125"/>
      <c r="F2303" s="118" t="s">
        <v>622</v>
      </c>
      <c r="G2303" s="126" t="s">
        <v>9000</v>
      </c>
      <c r="H2303" s="255">
        <v>4</v>
      </c>
      <c r="I2303" s="361">
        <v>1</v>
      </c>
      <c r="J2303" s="362" t="s">
        <v>286</v>
      </c>
      <c r="K2303" s="329"/>
      <c r="L2303" s="129"/>
      <c r="M2303" s="129"/>
      <c r="N2303" s="129"/>
      <c r="O2303" s="129"/>
      <c r="P2303" s="372"/>
      <c r="Q2303" s="372"/>
      <c r="R2303" s="129"/>
      <c r="S2303" s="129"/>
      <c r="T2303" s="129"/>
      <c r="W2303" s="129" t="s">
        <v>286</v>
      </c>
      <c r="X2303" s="337" t="b">
        <f t="shared" si="69"/>
        <v>1</v>
      </c>
    </row>
    <row r="2304" spans="1:24" s="360" customFormat="1" ht="12" customHeight="1" outlineLevel="1">
      <c r="A2304" s="365"/>
      <c r="B2304" s="118" t="s">
        <v>12</v>
      </c>
      <c r="C2304" s="334" t="s">
        <v>9399</v>
      </c>
      <c r="D2304" s="124" t="s">
        <v>9400</v>
      </c>
      <c r="E2304" s="125"/>
      <c r="F2304" s="118" t="s">
        <v>622</v>
      </c>
      <c r="G2304" s="126" t="s">
        <v>9000</v>
      </c>
      <c r="H2304" s="255">
        <v>4</v>
      </c>
      <c r="I2304" s="361">
        <v>1</v>
      </c>
      <c r="J2304" s="362" t="s">
        <v>286</v>
      </c>
      <c r="K2304" s="329"/>
      <c r="L2304" s="129"/>
      <c r="M2304" s="129"/>
      <c r="N2304" s="129"/>
      <c r="O2304" s="129"/>
      <c r="P2304" s="372"/>
      <c r="Q2304" s="372"/>
      <c r="R2304" s="129"/>
      <c r="S2304" s="129"/>
      <c r="T2304" s="129"/>
      <c r="W2304" s="129" t="s">
        <v>286</v>
      </c>
      <c r="X2304" s="337" t="b">
        <f t="shared" si="69"/>
        <v>1</v>
      </c>
    </row>
    <row r="2305" spans="1:24" s="360" customFormat="1" ht="12" customHeight="1" outlineLevel="1">
      <c r="A2305" s="365"/>
      <c r="B2305" s="118" t="s">
        <v>12</v>
      </c>
      <c r="C2305" s="334" t="s">
        <v>9401</v>
      </c>
      <c r="D2305" s="124" t="s">
        <v>9402</v>
      </c>
      <c r="E2305" s="125"/>
      <c r="F2305" s="118" t="s">
        <v>622</v>
      </c>
      <c r="G2305" s="126" t="s">
        <v>9000</v>
      </c>
      <c r="H2305" s="255">
        <v>4</v>
      </c>
      <c r="I2305" s="361">
        <v>1</v>
      </c>
      <c r="J2305" s="362" t="s">
        <v>286</v>
      </c>
      <c r="K2305" s="329"/>
      <c r="L2305" s="129"/>
      <c r="M2305" s="129"/>
      <c r="N2305" s="129"/>
      <c r="O2305" s="129"/>
      <c r="P2305" s="372"/>
      <c r="Q2305" s="372"/>
      <c r="R2305" s="129"/>
      <c r="S2305" s="129"/>
      <c r="T2305" s="129"/>
      <c r="W2305" s="129" t="s">
        <v>286</v>
      </c>
      <c r="X2305" s="337" t="b">
        <f t="shared" ref="X2305:X2368" si="70">W2305=J2305</f>
        <v>1</v>
      </c>
    </row>
    <row r="2306" spans="1:24" s="360" customFormat="1" ht="12" customHeight="1" outlineLevel="1">
      <c r="A2306" s="365"/>
      <c r="B2306" s="118" t="s">
        <v>12</v>
      </c>
      <c r="C2306" s="334" t="s">
        <v>9403</v>
      </c>
      <c r="D2306" s="124" t="s">
        <v>9404</v>
      </c>
      <c r="E2306" s="125"/>
      <c r="F2306" s="118" t="s">
        <v>622</v>
      </c>
      <c r="G2306" s="126" t="s">
        <v>9000</v>
      </c>
      <c r="H2306" s="255">
        <v>4</v>
      </c>
      <c r="I2306" s="361">
        <v>1</v>
      </c>
      <c r="J2306" s="362" t="s">
        <v>286</v>
      </c>
      <c r="K2306" s="329"/>
      <c r="L2306" s="129"/>
      <c r="M2306" s="129"/>
      <c r="N2306" s="129"/>
      <c r="O2306" s="129"/>
      <c r="P2306" s="372"/>
      <c r="Q2306" s="372"/>
      <c r="R2306" s="129"/>
      <c r="S2306" s="129"/>
      <c r="T2306" s="129"/>
      <c r="W2306" s="129" t="s">
        <v>286</v>
      </c>
      <c r="X2306" s="337" t="b">
        <f t="shared" si="70"/>
        <v>1</v>
      </c>
    </row>
    <row r="2307" spans="1:24" s="360" customFormat="1" ht="12" customHeight="1" outlineLevel="1">
      <c r="A2307" s="365"/>
      <c r="B2307" s="118" t="s">
        <v>12</v>
      </c>
      <c r="C2307" s="334" t="s">
        <v>9405</v>
      </c>
      <c r="D2307" s="124" t="s">
        <v>9406</v>
      </c>
      <c r="E2307" s="125"/>
      <c r="F2307" s="118" t="s">
        <v>622</v>
      </c>
      <c r="G2307" s="126" t="s">
        <v>9000</v>
      </c>
      <c r="H2307" s="255">
        <v>4</v>
      </c>
      <c r="I2307" s="361">
        <v>1</v>
      </c>
      <c r="J2307" s="362" t="s">
        <v>286</v>
      </c>
      <c r="K2307" s="329"/>
      <c r="L2307" s="129"/>
      <c r="M2307" s="129"/>
      <c r="N2307" s="129"/>
      <c r="O2307" s="129"/>
      <c r="P2307" s="372"/>
      <c r="Q2307" s="372"/>
      <c r="R2307" s="129"/>
      <c r="S2307" s="129"/>
      <c r="T2307" s="129"/>
      <c r="W2307" s="129" t="s">
        <v>286</v>
      </c>
      <c r="X2307" s="337" t="b">
        <f t="shared" si="70"/>
        <v>1</v>
      </c>
    </row>
    <row r="2308" spans="1:24" s="360" customFormat="1" ht="12" customHeight="1" outlineLevel="1">
      <c r="A2308" s="365"/>
      <c r="B2308" s="118" t="s">
        <v>12</v>
      </c>
      <c r="C2308" s="334" t="s">
        <v>9407</v>
      </c>
      <c r="D2308" s="124" t="s">
        <v>9408</v>
      </c>
      <c r="E2308" s="125"/>
      <c r="F2308" s="118" t="s">
        <v>622</v>
      </c>
      <c r="G2308" s="126" t="s">
        <v>9000</v>
      </c>
      <c r="H2308" s="255">
        <v>4</v>
      </c>
      <c r="I2308" s="361">
        <v>1</v>
      </c>
      <c r="J2308" s="362" t="s">
        <v>286</v>
      </c>
      <c r="K2308" s="329"/>
      <c r="L2308" s="129"/>
      <c r="M2308" s="129"/>
      <c r="N2308" s="129"/>
      <c r="O2308" s="129"/>
      <c r="P2308" s="372"/>
      <c r="Q2308" s="372"/>
      <c r="R2308" s="129"/>
      <c r="S2308" s="129"/>
      <c r="T2308" s="129"/>
      <c r="W2308" s="129" t="s">
        <v>286</v>
      </c>
      <c r="X2308" s="337" t="b">
        <f t="shared" si="70"/>
        <v>1</v>
      </c>
    </row>
    <row r="2309" spans="1:24" s="360" customFormat="1" ht="12" customHeight="1" outlineLevel="1">
      <c r="A2309" s="365"/>
      <c r="B2309" s="118" t="s">
        <v>12</v>
      </c>
      <c r="C2309" s="334" t="s">
        <v>9409</v>
      </c>
      <c r="D2309" s="124" t="s">
        <v>9410</v>
      </c>
      <c r="E2309" s="125"/>
      <c r="F2309" s="118" t="s">
        <v>622</v>
      </c>
      <c r="G2309" s="126" t="s">
        <v>9000</v>
      </c>
      <c r="H2309" s="255">
        <v>4</v>
      </c>
      <c r="I2309" s="361">
        <v>1</v>
      </c>
      <c r="J2309" s="362" t="s">
        <v>286</v>
      </c>
      <c r="K2309" s="329"/>
      <c r="L2309" s="129"/>
      <c r="M2309" s="129"/>
      <c r="N2309" s="129"/>
      <c r="O2309" s="129"/>
      <c r="P2309" s="372"/>
      <c r="Q2309" s="372"/>
      <c r="R2309" s="129"/>
      <c r="S2309" s="129"/>
      <c r="T2309" s="129"/>
      <c r="W2309" s="129" t="s">
        <v>286</v>
      </c>
      <c r="X2309" s="337" t="b">
        <f t="shared" si="70"/>
        <v>1</v>
      </c>
    </row>
    <row r="2310" spans="1:24" s="360" customFormat="1" ht="12" customHeight="1" outlineLevel="1">
      <c r="A2310" s="365"/>
      <c r="B2310" s="118" t="s">
        <v>12</v>
      </c>
      <c r="C2310" s="334" t="s">
        <v>9411</v>
      </c>
      <c r="D2310" s="124" t="s">
        <v>9412</v>
      </c>
      <c r="E2310" s="125"/>
      <c r="F2310" s="118" t="s">
        <v>622</v>
      </c>
      <c r="G2310" s="126" t="s">
        <v>9000</v>
      </c>
      <c r="H2310" s="255">
        <v>4</v>
      </c>
      <c r="I2310" s="361">
        <v>1</v>
      </c>
      <c r="J2310" s="362" t="s">
        <v>286</v>
      </c>
      <c r="K2310" s="329"/>
      <c r="L2310" s="129"/>
      <c r="M2310" s="129"/>
      <c r="N2310" s="129"/>
      <c r="O2310" s="129"/>
      <c r="P2310" s="372"/>
      <c r="Q2310" s="372"/>
      <c r="R2310" s="129"/>
      <c r="S2310" s="129"/>
      <c r="T2310" s="129"/>
      <c r="W2310" s="129" t="s">
        <v>286</v>
      </c>
      <c r="X2310" s="337" t="b">
        <f t="shared" si="70"/>
        <v>1</v>
      </c>
    </row>
    <row r="2311" spans="1:24" s="360" customFormat="1" ht="12" customHeight="1" outlineLevel="1">
      <c r="A2311" s="365"/>
      <c r="B2311" s="118" t="s">
        <v>12</v>
      </c>
      <c r="C2311" s="334" t="s">
        <v>9413</v>
      </c>
      <c r="D2311" s="124" t="s">
        <v>9414</v>
      </c>
      <c r="E2311" s="125"/>
      <c r="F2311" s="118" t="s">
        <v>622</v>
      </c>
      <c r="G2311" s="126" t="s">
        <v>9000</v>
      </c>
      <c r="H2311" s="255">
        <v>4</v>
      </c>
      <c r="I2311" s="361">
        <v>1</v>
      </c>
      <c r="J2311" s="362" t="s">
        <v>286</v>
      </c>
      <c r="K2311" s="329"/>
      <c r="L2311" s="129"/>
      <c r="M2311" s="129"/>
      <c r="N2311" s="129"/>
      <c r="O2311" s="129"/>
      <c r="P2311" s="372"/>
      <c r="Q2311" s="372"/>
      <c r="R2311" s="129"/>
      <c r="S2311" s="129"/>
      <c r="T2311" s="129"/>
      <c r="W2311" s="129" t="s">
        <v>286</v>
      </c>
      <c r="X2311" s="337" t="b">
        <f t="shared" si="70"/>
        <v>1</v>
      </c>
    </row>
    <row r="2312" spans="1:24" s="360" customFormat="1" ht="12" customHeight="1" outlineLevel="1">
      <c r="A2312" s="365"/>
      <c r="B2312" s="118" t="s">
        <v>12</v>
      </c>
      <c r="C2312" s="334" t="s">
        <v>9415</v>
      </c>
      <c r="D2312" s="124" t="s">
        <v>9416</v>
      </c>
      <c r="E2312" s="125"/>
      <c r="F2312" s="118" t="s">
        <v>622</v>
      </c>
      <c r="G2312" s="126" t="s">
        <v>9000</v>
      </c>
      <c r="H2312" s="255">
        <v>4</v>
      </c>
      <c r="I2312" s="361">
        <v>1</v>
      </c>
      <c r="J2312" s="362" t="s">
        <v>286</v>
      </c>
      <c r="K2312" s="329"/>
      <c r="L2312" s="129"/>
      <c r="M2312" s="129"/>
      <c r="N2312" s="129"/>
      <c r="O2312" s="129"/>
      <c r="P2312" s="372"/>
      <c r="Q2312" s="372"/>
      <c r="R2312" s="129"/>
      <c r="S2312" s="129"/>
      <c r="T2312" s="129"/>
      <c r="W2312" s="129" t="s">
        <v>286</v>
      </c>
      <c r="X2312" s="337" t="b">
        <f t="shared" si="70"/>
        <v>1</v>
      </c>
    </row>
    <row r="2313" spans="1:24" s="360" customFormat="1" ht="12" customHeight="1" outlineLevel="1">
      <c r="A2313" s="365"/>
      <c r="B2313" s="118" t="s">
        <v>12</v>
      </c>
      <c r="C2313" s="334" t="s">
        <v>9417</v>
      </c>
      <c r="D2313" s="124" t="s">
        <v>9418</v>
      </c>
      <c r="E2313" s="125"/>
      <c r="F2313" s="118" t="s">
        <v>622</v>
      </c>
      <c r="G2313" s="126" t="s">
        <v>9000</v>
      </c>
      <c r="H2313" s="255">
        <v>4</v>
      </c>
      <c r="I2313" s="361">
        <v>1</v>
      </c>
      <c r="J2313" s="362" t="s">
        <v>286</v>
      </c>
      <c r="K2313" s="329"/>
      <c r="L2313" s="129"/>
      <c r="M2313" s="129"/>
      <c r="N2313" s="129"/>
      <c r="O2313" s="129"/>
      <c r="P2313" s="372"/>
      <c r="Q2313" s="372"/>
      <c r="R2313" s="129"/>
      <c r="S2313" s="129"/>
      <c r="T2313" s="129"/>
      <c r="W2313" s="129" t="s">
        <v>286</v>
      </c>
      <c r="X2313" s="337" t="b">
        <f t="shared" si="70"/>
        <v>1</v>
      </c>
    </row>
    <row r="2314" spans="1:24" s="360" customFormat="1" ht="12" customHeight="1" outlineLevel="1">
      <c r="A2314" s="365"/>
      <c r="B2314" s="118" t="s">
        <v>12</v>
      </c>
      <c r="C2314" s="334" t="s">
        <v>9419</v>
      </c>
      <c r="D2314" s="124" t="s">
        <v>9420</v>
      </c>
      <c r="E2314" s="125"/>
      <c r="F2314" s="118" t="s">
        <v>622</v>
      </c>
      <c r="G2314" s="126" t="s">
        <v>9000</v>
      </c>
      <c r="H2314" s="255">
        <v>4</v>
      </c>
      <c r="I2314" s="361">
        <v>1</v>
      </c>
      <c r="J2314" s="362" t="s">
        <v>286</v>
      </c>
      <c r="K2314" s="329"/>
      <c r="L2314" s="129"/>
      <c r="M2314" s="129"/>
      <c r="N2314" s="129"/>
      <c r="O2314" s="129"/>
      <c r="P2314" s="372"/>
      <c r="Q2314" s="372"/>
      <c r="R2314" s="129"/>
      <c r="S2314" s="129"/>
      <c r="T2314" s="129"/>
      <c r="W2314" s="129" t="s">
        <v>286</v>
      </c>
      <c r="X2314" s="337" t="b">
        <f t="shared" si="70"/>
        <v>1</v>
      </c>
    </row>
    <row r="2315" spans="1:24" s="360" customFormat="1" ht="12" customHeight="1" outlineLevel="1">
      <c r="A2315" s="365"/>
      <c r="B2315" s="118" t="s">
        <v>12</v>
      </c>
      <c r="C2315" s="334" t="s">
        <v>9421</v>
      </c>
      <c r="D2315" s="124" t="s">
        <v>9422</v>
      </c>
      <c r="E2315" s="125"/>
      <c r="F2315" s="118" t="s">
        <v>622</v>
      </c>
      <c r="G2315" s="126" t="s">
        <v>9423</v>
      </c>
      <c r="H2315" s="255">
        <v>5</v>
      </c>
      <c r="I2315" s="361">
        <v>1</v>
      </c>
      <c r="J2315" s="362" t="s">
        <v>743</v>
      </c>
      <c r="K2315" s="329"/>
      <c r="L2315" s="129"/>
      <c r="M2315" s="129"/>
      <c r="N2315" s="129"/>
      <c r="O2315" s="129"/>
      <c r="P2315" s="372"/>
      <c r="Q2315" s="372"/>
      <c r="R2315" s="129"/>
      <c r="S2315" s="129"/>
      <c r="T2315" s="129"/>
      <c r="W2315" s="129" t="s">
        <v>286</v>
      </c>
      <c r="X2315" s="337" t="b">
        <f t="shared" si="70"/>
        <v>0</v>
      </c>
    </row>
    <row r="2316" spans="1:24" s="360" customFormat="1" ht="12" customHeight="1" outlineLevel="1">
      <c r="A2316" s="365"/>
      <c r="B2316" s="118" t="s">
        <v>12</v>
      </c>
      <c r="C2316" s="334" t="s">
        <v>9424</v>
      </c>
      <c r="D2316" s="124" t="s">
        <v>7863</v>
      </c>
      <c r="E2316" s="125"/>
      <c r="F2316" s="118" t="s">
        <v>622</v>
      </c>
      <c r="G2316" s="126" t="s">
        <v>9423</v>
      </c>
      <c r="H2316" s="255">
        <v>5</v>
      </c>
      <c r="I2316" s="361">
        <v>1</v>
      </c>
      <c r="J2316" s="362" t="s">
        <v>743</v>
      </c>
      <c r="K2316" s="329"/>
      <c r="L2316" s="129"/>
      <c r="M2316" s="129"/>
      <c r="N2316" s="129"/>
      <c r="O2316" s="129"/>
      <c r="P2316" s="372"/>
      <c r="Q2316" s="372"/>
      <c r="R2316" s="129"/>
      <c r="S2316" s="129"/>
      <c r="T2316" s="129"/>
      <c r="W2316" s="129" t="s">
        <v>286</v>
      </c>
      <c r="X2316" s="337" t="b">
        <f t="shared" si="70"/>
        <v>0</v>
      </c>
    </row>
    <row r="2317" spans="1:24" s="360" customFormat="1" ht="12" customHeight="1" outlineLevel="1">
      <c r="A2317" s="365"/>
      <c r="B2317" s="118" t="s">
        <v>12</v>
      </c>
      <c r="C2317" s="334" t="s">
        <v>9425</v>
      </c>
      <c r="D2317" s="124" t="s">
        <v>7336</v>
      </c>
      <c r="E2317" s="125"/>
      <c r="F2317" s="118" t="s">
        <v>622</v>
      </c>
      <c r="G2317" s="126" t="s">
        <v>9423</v>
      </c>
      <c r="H2317" s="255">
        <v>5</v>
      </c>
      <c r="I2317" s="361">
        <v>1</v>
      </c>
      <c r="J2317" s="362" t="s">
        <v>325</v>
      </c>
      <c r="K2317" s="329"/>
      <c r="L2317" s="129"/>
      <c r="M2317" s="129"/>
      <c r="N2317" s="129"/>
      <c r="O2317" s="129"/>
      <c r="P2317" s="372"/>
      <c r="Q2317" s="372"/>
      <c r="R2317" s="129"/>
      <c r="S2317" s="129"/>
      <c r="T2317" s="129"/>
      <c r="W2317" s="129" t="s">
        <v>286</v>
      </c>
      <c r="X2317" s="337" t="b">
        <f t="shared" si="70"/>
        <v>0</v>
      </c>
    </row>
    <row r="2318" spans="1:24" s="360" customFormat="1" ht="12" customHeight="1" outlineLevel="1">
      <c r="A2318" s="365"/>
      <c r="B2318" s="118" t="s">
        <v>12</v>
      </c>
      <c r="C2318" s="334" t="s">
        <v>9426</v>
      </c>
      <c r="D2318" s="124" t="s">
        <v>9427</v>
      </c>
      <c r="E2318" s="125"/>
      <c r="F2318" s="118" t="s">
        <v>622</v>
      </c>
      <c r="G2318" s="126" t="s">
        <v>9423</v>
      </c>
      <c r="H2318" s="255">
        <v>5</v>
      </c>
      <c r="I2318" s="361">
        <v>1</v>
      </c>
      <c r="J2318" s="362" t="s">
        <v>286</v>
      </c>
      <c r="K2318" s="329"/>
      <c r="L2318" s="129"/>
      <c r="M2318" s="129"/>
      <c r="N2318" s="129"/>
      <c r="O2318" s="129"/>
      <c r="P2318" s="372"/>
      <c r="Q2318" s="372"/>
      <c r="R2318" s="129"/>
      <c r="S2318" s="129"/>
      <c r="T2318" s="129"/>
      <c r="W2318" s="129" t="s">
        <v>286</v>
      </c>
      <c r="X2318" s="337" t="b">
        <f t="shared" si="70"/>
        <v>1</v>
      </c>
    </row>
    <row r="2319" spans="1:24" s="360" customFormat="1" ht="12" customHeight="1" outlineLevel="1">
      <c r="A2319" s="365"/>
      <c r="B2319" s="118" t="s">
        <v>12</v>
      </c>
      <c r="C2319" s="334" t="s">
        <v>9428</v>
      </c>
      <c r="D2319" s="124" t="s">
        <v>9429</v>
      </c>
      <c r="E2319" s="125"/>
      <c r="F2319" s="118" t="s">
        <v>622</v>
      </c>
      <c r="G2319" s="126" t="s">
        <v>9423</v>
      </c>
      <c r="H2319" s="255">
        <v>5</v>
      </c>
      <c r="I2319" s="361">
        <v>1</v>
      </c>
      <c r="J2319" s="362" t="s">
        <v>286</v>
      </c>
      <c r="K2319" s="329"/>
      <c r="L2319" s="129"/>
      <c r="M2319" s="129"/>
      <c r="N2319" s="129"/>
      <c r="O2319" s="129"/>
      <c r="P2319" s="372"/>
      <c r="Q2319" s="372"/>
      <c r="R2319" s="129"/>
      <c r="S2319" s="129"/>
      <c r="T2319" s="129"/>
      <c r="W2319" s="129" t="s">
        <v>286</v>
      </c>
      <c r="X2319" s="337" t="b">
        <f t="shared" si="70"/>
        <v>1</v>
      </c>
    </row>
    <row r="2320" spans="1:24" s="360" customFormat="1" ht="12" customHeight="1" outlineLevel="1">
      <c r="A2320" s="365"/>
      <c r="B2320" s="118" t="s">
        <v>12</v>
      </c>
      <c r="C2320" s="334" t="s">
        <v>9430</v>
      </c>
      <c r="D2320" s="124" t="s">
        <v>9431</v>
      </c>
      <c r="E2320" s="125"/>
      <c r="F2320" s="118" t="s">
        <v>622</v>
      </c>
      <c r="G2320" s="126" t="s">
        <v>9423</v>
      </c>
      <c r="H2320" s="255">
        <v>5</v>
      </c>
      <c r="I2320" s="361">
        <v>1</v>
      </c>
      <c r="J2320" s="362" t="s">
        <v>310</v>
      </c>
      <c r="K2320" s="329"/>
      <c r="L2320" s="129"/>
      <c r="M2320" s="129"/>
      <c r="N2320" s="129"/>
      <c r="O2320" s="129"/>
      <c r="P2320" s="372"/>
      <c r="Q2320" s="372"/>
      <c r="R2320" s="129"/>
      <c r="S2320" s="129"/>
      <c r="T2320" s="129"/>
      <c r="W2320" s="129" t="s">
        <v>286</v>
      </c>
      <c r="X2320" s="337" t="b">
        <f t="shared" si="70"/>
        <v>0</v>
      </c>
    </row>
    <row r="2321" spans="1:24" s="360" customFormat="1" ht="12" customHeight="1" outlineLevel="1">
      <c r="A2321" s="365"/>
      <c r="B2321" s="118" t="s">
        <v>12</v>
      </c>
      <c r="C2321" s="334" t="s">
        <v>9432</v>
      </c>
      <c r="D2321" s="124" t="s">
        <v>9433</v>
      </c>
      <c r="E2321" s="125"/>
      <c r="F2321" s="118" t="s">
        <v>622</v>
      </c>
      <c r="G2321" s="126" t="s">
        <v>9423</v>
      </c>
      <c r="H2321" s="255">
        <v>5</v>
      </c>
      <c r="I2321" s="361">
        <v>1</v>
      </c>
      <c r="J2321" s="362" t="s">
        <v>286</v>
      </c>
      <c r="K2321" s="329"/>
      <c r="L2321" s="129"/>
      <c r="M2321" s="129"/>
      <c r="N2321" s="129"/>
      <c r="O2321" s="129"/>
      <c r="P2321" s="372"/>
      <c r="Q2321" s="372"/>
      <c r="R2321" s="129"/>
      <c r="S2321" s="129"/>
      <c r="T2321" s="129"/>
      <c r="W2321" s="129" t="s">
        <v>286</v>
      </c>
      <c r="X2321" s="337" t="b">
        <f t="shared" si="70"/>
        <v>1</v>
      </c>
    </row>
    <row r="2322" spans="1:24" s="360" customFormat="1" ht="12" customHeight="1" outlineLevel="1">
      <c r="A2322" s="365"/>
      <c r="B2322" s="118" t="s">
        <v>12</v>
      </c>
      <c r="C2322" s="334" t="s">
        <v>9434</v>
      </c>
      <c r="D2322" s="124" t="s">
        <v>9435</v>
      </c>
      <c r="E2322" s="125"/>
      <c r="F2322" s="118" t="s">
        <v>622</v>
      </c>
      <c r="G2322" s="126" t="s">
        <v>9423</v>
      </c>
      <c r="H2322" s="255">
        <v>5</v>
      </c>
      <c r="I2322" s="361">
        <v>1</v>
      </c>
      <c r="J2322" s="362" t="s">
        <v>286</v>
      </c>
      <c r="K2322" s="329"/>
      <c r="L2322" s="129"/>
      <c r="M2322" s="129"/>
      <c r="N2322" s="129"/>
      <c r="O2322" s="129"/>
      <c r="P2322" s="372"/>
      <c r="Q2322" s="372"/>
      <c r="R2322" s="129"/>
      <c r="S2322" s="129"/>
      <c r="T2322" s="129"/>
      <c r="W2322" s="129" t="s">
        <v>286</v>
      </c>
      <c r="X2322" s="337" t="b">
        <f t="shared" si="70"/>
        <v>1</v>
      </c>
    </row>
    <row r="2323" spans="1:24" s="360" customFormat="1" ht="12" customHeight="1" outlineLevel="1">
      <c r="A2323" s="365"/>
      <c r="B2323" s="118" t="s">
        <v>12</v>
      </c>
      <c r="C2323" s="334" t="s">
        <v>9436</v>
      </c>
      <c r="D2323" s="124" t="s">
        <v>9437</v>
      </c>
      <c r="E2323" s="125"/>
      <c r="F2323" s="118" t="s">
        <v>622</v>
      </c>
      <c r="G2323" s="126" t="s">
        <v>9423</v>
      </c>
      <c r="H2323" s="255">
        <v>5</v>
      </c>
      <c r="I2323" s="361">
        <v>1</v>
      </c>
      <c r="J2323" s="362" t="s">
        <v>286</v>
      </c>
      <c r="K2323" s="329"/>
      <c r="L2323" s="129"/>
      <c r="M2323" s="129"/>
      <c r="N2323" s="129"/>
      <c r="O2323" s="129"/>
      <c r="P2323" s="372"/>
      <c r="Q2323" s="372"/>
      <c r="R2323" s="129"/>
      <c r="S2323" s="129"/>
      <c r="T2323" s="129"/>
      <c r="W2323" s="129" t="s">
        <v>286</v>
      </c>
      <c r="X2323" s="337" t="b">
        <f t="shared" si="70"/>
        <v>1</v>
      </c>
    </row>
    <row r="2324" spans="1:24" s="360" customFormat="1" ht="12" customHeight="1" outlineLevel="1">
      <c r="A2324" s="365"/>
      <c r="B2324" s="118" t="s">
        <v>12</v>
      </c>
      <c r="C2324" s="334" t="s">
        <v>9438</v>
      </c>
      <c r="D2324" s="124" t="s">
        <v>9439</v>
      </c>
      <c r="E2324" s="125"/>
      <c r="F2324" s="118" t="s">
        <v>622</v>
      </c>
      <c r="G2324" s="126" t="s">
        <v>9423</v>
      </c>
      <c r="H2324" s="255">
        <v>5</v>
      </c>
      <c r="I2324" s="361">
        <v>1</v>
      </c>
      <c r="J2324" s="362" t="s">
        <v>286</v>
      </c>
      <c r="K2324" s="329"/>
      <c r="L2324" s="129"/>
      <c r="M2324" s="129"/>
      <c r="N2324" s="129"/>
      <c r="O2324" s="129"/>
      <c r="P2324" s="372"/>
      <c r="Q2324" s="372"/>
      <c r="R2324" s="129"/>
      <c r="S2324" s="129"/>
      <c r="T2324" s="129"/>
      <c r="W2324" s="129" t="s">
        <v>286</v>
      </c>
      <c r="X2324" s="337" t="b">
        <f t="shared" si="70"/>
        <v>1</v>
      </c>
    </row>
    <row r="2325" spans="1:24" s="360" customFormat="1" ht="12" customHeight="1" outlineLevel="1">
      <c r="A2325" s="365"/>
      <c r="B2325" s="118" t="s">
        <v>12</v>
      </c>
      <c r="C2325" s="334" t="s">
        <v>9440</v>
      </c>
      <c r="D2325" s="124" t="s">
        <v>9441</v>
      </c>
      <c r="E2325" s="125"/>
      <c r="F2325" s="118" t="s">
        <v>622</v>
      </c>
      <c r="G2325" s="126" t="s">
        <v>9423</v>
      </c>
      <c r="H2325" s="255">
        <v>5</v>
      </c>
      <c r="I2325" s="361">
        <v>1</v>
      </c>
      <c r="J2325" s="362" t="s">
        <v>286</v>
      </c>
      <c r="K2325" s="329"/>
      <c r="L2325" s="129"/>
      <c r="M2325" s="129"/>
      <c r="N2325" s="129"/>
      <c r="O2325" s="129"/>
      <c r="P2325" s="372"/>
      <c r="Q2325" s="372"/>
      <c r="R2325" s="129"/>
      <c r="S2325" s="129"/>
      <c r="T2325" s="129"/>
      <c r="W2325" s="129" t="s">
        <v>286</v>
      </c>
      <c r="X2325" s="337" t="b">
        <f t="shared" si="70"/>
        <v>1</v>
      </c>
    </row>
    <row r="2326" spans="1:24" s="360" customFormat="1" ht="12" customHeight="1" outlineLevel="1">
      <c r="A2326" s="365"/>
      <c r="B2326" s="118" t="s">
        <v>12</v>
      </c>
      <c r="C2326" s="334" t="s">
        <v>9442</v>
      </c>
      <c r="D2326" s="124" t="s">
        <v>9443</v>
      </c>
      <c r="E2326" s="125"/>
      <c r="F2326" s="118" t="s">
        <v>622</v>
      </c>
      <c r="G2326" s="126" t="s">
        <v>9423</v>
      </c>
      <c r="H2326" s="255">
        <v>5</v>
      </c>
      <c r="I2326" s="361">
        <v>1</v>
      </c>
      <c r="J2326" s="362" t="s">
        <v>286</v>
      </c>
      <c r="K2326" s="329"/>
      <c r="L2326" s="129"/>
      <c r="M2326" s="129"/>
      <c r="N2326" s="129"/>
      <c r="O2326" s="129"/>
      <c r="P2326" s="372"/>
      <c r="Q2326" s="372"/>
      <c r="R2326" s="129"/>
      <c r="S2326" s="129"/>
      <c r="T2326" s="129"/>
      <c r="W2326" s="129" t="s">
        <v>286</v>
      </c>
      <c r="X2326" s="337" t="b">
        <f t="shared" si="70"/>
        <v>1</v>
      </c>
    </row>
    <row r="2327" spans="1:24" s="360" customFormat="1" ht="12" customHeight="1" outlineLevel="1">
      <c r="A2327" s="365"/>
      <c r="B2327" s="118" t="s">
        <v>12</v>
      </c>
      <c r="C2327" s="334" t="s">
        <v>9444</v>
      </c>
      <c r="D2327" s="124" t="s">
        <v>9445</v>
      </c>
      <c r="E2327" s="125"/>
      <c r="F2327" s="118" t="s">
        <v>622</v>
      </c>
      <c r="G2327" s="126" t="s">
        <v>9423</v>
      </c>
      <c r="H2327" s="255">
        <v>5</v>
      </c>
      <c r="I2327" s="361">
        <v>1</v>
      </c>
      <c r="J2327" s="362" t="s">
        <v>286</v>
      </c>
      <c r="K2327" s="329"/>
      <c r="L2327" s="129"/>
      <c r="M2327" s="129"/>
      <c r="N2327" s="129"/>
      <c r="O2327" s="129"/>
      <c r="P2327" s="372"/>
      <c r="Q2327" s="372"/>
      <c r="R2327" s="129"/>
      <c r="S2327" s="129"/>
      <c r="T2327" s="129"/>
      <c r="W2327" s="129" t="s">
        <v>286</v>
      </c>
      <c r="X2327" s="337" t="b">
        <f t="shared" si="70"/>
        <v>1</v>
      </c>
    </row>
    <row r="2328" spans="1:24" s="360" customFormat="1" ht="12" customHeight="1" outlineLevel="1">
      <c r="A2328" s="365"/>
      <c r="B2328" s="118" t="s">
        <v>12</v>
      </c>
      <c r="C2328" s="334" t="s">
        <v>9446</v>
      </c>
      <c r="D2328" s="124" t="s">
        <v>9447</v>
      </c>
      <c r="E2328" s="125"/>
      <c r="F2328" s="118" t="s">
        <v>622</v>
      </c>
      <c r="G2328" s="126" t="s">
        <v>9423</v>
      </c>
      <c r="H2328" s="255">
        <v>5</v>
      </c>
      <c r="I2328" s="361">
        <v>1</v>
      </c>
      <c r="J2328" s="362" t="s">
        <v>286</v>
      </c>
      <c r="K2328" s="329"/>
      <c r="L2328" s="129"/>
      <c r="M2328" s="129"/>
      <c r="N2328" s="129"/>
      <c r="O2328" s="129"/>
      <c r="P2328" s="372"/>
      <c r="Q2328" s="372"/>
      <c r="R2328" s="129"/>
      <c r="S2328" s="129"/>
      <c r="T2328" s="129"/>
      <c r="W2328" s="129" t="s">
        <v>286</v>
      </c>
      <c r="X2328" s="337" t="b">
        <f t="shared" si="70"/>
        <v>1</v>
      </c>
    </row>
    <row r="2329" spans="1:24" s="360" customFormat="1" ht="12" customHeight="1" outlineLevel="1">
      <c r="A2329" s="365"/>
      <c r="B2329" s="118" t="s">
        <v>12</v>
      </c>
      <c r="C2329" s="334" t="s">
        <v>9448</v>
      </c>
      <c r="D2329" s="124" t="s">
        <v>9449</v>
      </c>
      <c r="E2329" s="125"/>
      <c r="F2329" s="118" t="s">
        <v>622</v>
      </c>
      <c r="G2329" s="126" t="s">
        <v>9423</v>
      </c>
      <c r="H2329" s="255">
        <v>5</v>
      </c>
      <c r="I2329" s="361">
        <v>1</v>
      </c>
      <c r="J2329" s="362" t="s">
        <v>286</v>
      </c>
      <c r="K2329" s="329"/>
      <c r="L2329" s="129"/>
      <c r="M2329" s="129"/>
      <c r="N2329" s="129"/>
      <c r="O2329" s="129"/>
      <c r="P2329" s="372"/>
      <c r="Q2329" s="372"/>
      <c r="R2329" s="129"/>
      <c r="S2329" s="129"/>
      <c r="T2329" s="129"/>
      <c r="W2329" s="129" t="s">
        <v>286</v>
      </c>
      <c r="X2329" s="337" t="b">
        <f t="shared" si="70"/>
        <v>1</v>
      </c>
    </row>
    <row r="2330" spans="1:24" s="360" customFormat="1" ht="12" customHeight="1" outlineLevel="1">
      <c r="A2330" s="365"/>
      <c r="B2330" s="118" t="s">
        <v>12</v>
      </c>
      <c r="C2330" s="334" t="s">
        <v>9450</v>
      </c>
      <c r="D2330" s="124" t="s">
        <v>9451</v>
      </c>
      <c r="E2330" s="125"/>
      <c r="F2330" s="118" t="s">
        <v>622</v>
      </c>
      <c r="G2330" s="126" t="s">
        <v>9423</v>
      </c>
      <c r="H2330" s="255">
        <v>5</v>
      </c>
      <c r="I2330" s="361">
        <v>1</v>
      </c>
      <c r="J2330" s="362" t="s">
        <v>286</v>
      </c>
      <c r="K2330" s="329"/>
      <c r="L2330" s="129"/>
      <c r="M2330" s="129"/>
      <c r="N2330" s="129"/>
      <c r="O2330" s="129"/>
      <c r="P2330" s="372"/>
      <c r="Q2330" s="372"/>
      <c r="R2330" s="129"/>
      <c r="S2330" s="129"/>
      <c r="T2330" s="129"/>
      <c r="W2330" s="129" t="s">
        <v>286</v>
      </c>
      <c r="X2330" s="337" t="b">
        <f t="shared" si="70"/>
        <v>1</v>
      </c>
    </row>
    <row r="2331" spans="1:24" s="360" customFormat="1" ht="12" customHeight="1" outlineLevel="1">
      <c r="A2331" s="365"/>
      <c r="B2331" s="118" t="s">
        <v>12</v>
      </c>
      <c r="C2331" s="334" t="s">
        <v>9452</v>
      </c>
      <c r="D2331" s="124" t="s">
        <v>9453</v>
      </c>
      <c r="E2331" s="125"/>
      <c r="F2331" s="118" t="s">
        <v>622</v>
      </c>
      <c r="G2331" s="126" t="s">
        <v>9423</v>
      </c>
      <c r="H2331" s="255">
        <v>5</v>
      </c>
      <c r="I2331" s="361">
        <v>1</v>
      </c>
      <c r="J2331" s="362" t="s">
        <v>286</v>
      </c>
      <c r="K2331" s="329"/>
      <c r="L2331" s="129"/>
      <c r="M2331" s="129"/>
      <c r="N2331" s="129"/>
      <c r="O2331" s="129"/>
      <c r="P2331" s="372"/>
      <c r="Q2331" s="372"/>
      <c r="R2331" s="129"/>
      <c r="S2331" s="129"/>
      <c r="T2331" s="129"/>
      <c r="W2331" s="129" t="s">
        <v>286</v>
      </c>
      <c r="X2331" s="337" t="b">
        <f t="shared" si="70"/>
        <v>1</v>
      </c>
    </row>
    <row r="2332" spans="1:24" s="360" customFormat="1" ht="12" customHeight="1" outlineLevel="1">
      <c r="A2332" s="365"/>
      <c r="B2332" s="118" t="s">
        <v>12</v>
      </c>
      <c r="C2332" s="334" t="s">
        <v>9454</v>
      </c>
      <c r="D2332" s="124" t="s">
        <v>9455</v>
      </c>
      <c r="E2332" s="125"/>
      <c r="F2332" s="118" t="s">
        <v>622</v>
      </c>
      <c r="G2332" s="126" t="s">
        <v>9423</v>
      </c>
      <c r="H2332" s="255">
        <v>5</v>
      </c>
      <c r="I2332" s="361">
        <v>1</v>
      </c>
      <c r="J2332" s="362" t="s">
        <v>286</v>
      </c>
      <c r="K2332" s="329"/>
      <c r="L2332" s="129"/>
      <c r="M2332" s="129"/>
      <c r="N2332" s="129"/>
      <c r="O2332" s="129"/>
      <c r="P2332" s="372"/>
      <c r="Q2332" s="372"/>
      <c r="R2332" s="129"/>
      <c r="S2332" s="129"/>
      <c r="T2332" s="129"/>
      <c r="W2332" s="129" t="s">
        <v>286</v>
      </c>
      <c r="X2332" s="337" t="b">
        <f t="shared" si="70"/>
        <v>1</v>
      </c>
    </row>
    <row r="2333" spans="1:24" s="360" customFormat="1" ht="12" customHeight="1" outlineLevel="1">
      <c r="A2333" s="365"/>
      <c r="B2333" s="118" t="s">
        <v>12</v>
      </c>
      <c r="C2333" s="334" t="s">
        <v>9456</v>
      </c>
      <c r="D2333" s="124" t="s">
        <v>9457</v>
      </c>
      <c r="E2333" s="125"/>
      <c r="F2333" s="118" t="s">
        <v>622</v>
      </c>
      <c r="G2333" s="126" t="s">
        <v>9423</v>
      </c>
      <c r="H2333" s="255">
        <v>5</v>
      </c>
      <c r="I2333" s="361">
        <v>1</v>
      </c>
      <c r="J2333" s="362" t="s">
        <v>286</v>
      </c>
      <c r="K2333" s="329"/>
      <c r="L2333" s="129"/>
      <c r="M2333" s="129"/>
      <c r="N2333" s="129"/>
      <c r="O2333" s="129"/>
      <c r="P2333" s="372"/>
      <c r="Q2333" s="372"/>
      <c r="R2333" s="129"/>
      <c r="S2333" s="129"/>
      <c r="T2333" s="129"/>
      <c r="W2333" s="129" t="s">
        <v>286</v>
      </c>
      <c r="X2333" s="337" t="b">
        <f t="shared" si="70"/>
        <v>1</v>
      </c>
    </row>
    <row r="2334" spans="1:24" s="360" customFormat="1" ht="12" customHeight="1" outlineLevel="1">
      <c r="A2334" s="365"/>
      <c r="B2334" s="118" t="s">
        <v>12</v>
      </c>
      <c r="C2334" s="334" t="s">
        <v>9458</v>
      </c>
      <c r="D2334" s="124" t="s">
        <v>9459</v>
      </c>
      <c r="E2334" s="125"/>
      <c r="F2334" s="118" t="s">
        <v>622</v>
      </c>
      <c r="G2334" s="126" t="s">
        <v>9423</v>
      </c>
      <c r="H2334" s="255">
        <v>5</v>
      </c>
      <c r="I2334" s="361">
        <v>1</v>
      </c>
      <c r="J2334" s="362" t="s">
        <v>286</v>
      </c>
      <c r="K2334" s="329"/>
      <c r="L2334" s="129"/>
      <c r="M2334" s="129"/>
      <c r="N2334" s="129"/>
      <c r="O2334" s="129"/>
      <c r="P2334" s="372"/>
      <c r="Q2334" s="372"/>
      <c r="R2334" s="129"/>
      <c r="S2334" s="129"/>
      <c r="T2334" s="129"/>
      <c r="W2334" s="129" t="s">
        <v>286</v>
      </c>
      <c r="X2334" s="337" t="b">
        <f t="shared" si="70"/>
        <v>1</v>
      </c>
    </row>
    <row r="2335" spans="1:24" s="360" customFormat="1" ht="12" customHeight="1" outlineLevel="1">
      <c r="A2335" s="365"/>
      <c r="B2335" s="118" t="s">
        <v>12</v>
      </c>
      <c r="C2335" s="334" t="s">
        <v>9460</v>
      </c>
      <c r="D2335" s="124" t="s">
        <v>9461</v>
      </c>
      <c r="E2335" s="125"/>
      <c r="F2335" s="118" t="s">
        <v>622</v>
      </c>
      <c r="G2335" s="126" t="s">
        <v>9423</v>
      </c>
      <c r="H2335" s="255">
        <v>5</v>
      </c>
      <c r="I2335" s="361">
        <v>1</v>
      </c>
      <c r="J2335" s="362" t="s">
        <v>286</v>
      </c>
      <c r="K2335" s="329"/>
      <c r="L2335" s="129"/>
      <c r="M2335" s="129"/>
      <c r="N2335" s="129"/>
      <c r="O2335" s="129"/>
      <c r="P2335" s="372"/>
      <c r="Q2335" s="372"/>
      <c r="R2335" s="129"/>
      <c r="S2335" s="129"/>
      <c r="T2335" s="129"/>
      <c r="W2335" s="129" t="s">
        <v>286</v>
      </c>
      <c r="X2335" s="337" t="b">
        <f t="shared" si="70"/>
        <v>1</v>
      </c>
    </row>
    <row r="2336" spans="1:24" s="360" customFormat="1" ht="12" customHeight="1" outlineLevel="1">
      <c r="A2336" s="365"/>
      <c r="B2336" s="118" t="s">
        <v>12</v>
      </c>
      <c r="C2336" s="334" t="s">
        <v>9462</v>
      </c>
      <c r="D2336" s="124" t="s">
        <v>9463</v>
      </c>
      <c r="E2336" s="125"/>
      <c r="F2336" s="118" t="s">
        <v>622</v>
      </c>
      <c r="G2336" s="126" t="s">
        <v>9423</v>
      </c>
      <c r="H2336" s="255">
        <v>5</v>
      </c>
      <c r="I2336" s="361">
        <v>1</v>
      </c>
      <c r="J2336" s="362" t="s">
        <v>286</v>
      </c>
      <c r="K2336" s="329"/>
      <c r="L2336" s="129"/>
      <c r="M2336" s="129"/>
      <c r="N2336" s="129"/>
      <c r="O2336" s="129"/>
      <c r="P2336" s="372"/>
      <c r="Q2336" s="372"/>
      <c r="R2336" s="129"/>
      <c r="S2336" s="129"/>
      <c r="T2336" s="129"/>
      <c r="W2336" s="129" t="s">
        <v>286</v>
      </c>
      <c r="X2336" s="337" t="b">
        <f t="shared" si="70"/>
        <v>1</v>
      </c>
    </row>
    <row r="2337" spans="1:24" s="360" customFormat="1" ht="12" customHeight="1" outlineLevel="1">
      <c r="A2337" s="365"/>
      <c r="B2337" s="118" t="s">
        <v>12</v>
      </c>
      <c r="C2337" s="334" t="s">
        <v>9464</v>
      </c>
      <c r="D2337" s="124" t="s">
        <v>9465</v>
      </c>
      <c r="E2337" s="125"/>
      <c r="F2337" s="118" t="s">
        <v>622</v>
      </c>
      <c r="G2337" s="126" t="s">
        <v>9423</v>
      </c>
      <c r="H2337" s="255">
        <v>5</v>
      </c>
      <c r="I2337" s="361">
        <v>1</v>
      </c>
      <c r="J2337" s="362" t="s">
        <v>286</v>
      </c>
      <c r="K2337" s="329"/>
      <c r="L2337" s="129"/>
      <c r="M2337" s="129"/>
      <c r="N2337" s="129"/>
      <c r="O2337" s="129"/>
      <c r="P2337" s="372"/>
      <c r="Q2337" s="372"/>
      <c r="R2337" s="129"/>
      <c r="S2337" s="129"/>
      <c r="T2337" s="129"/>
      <c r="W2337" s="129" t="s">
        <v>286</v>
      </c>
      <c r="X2337" s="337" t="b">
        <f t="shared" si="70"/>
        <v>1</v>
      </c>
    </row>
    <row r="2338" spans="1:24" s="360" customFormat="1" ht="12" customHeight="1" outlineLevel="1">
      <c r="A2338" s="365"/>
      <c r="B2338" s="118" t="s">
        <v>12</v>
      </c>
      <c r="C2338" s="334" t="s">
        <v>9466</v>
      </c>
      <c r="D2338" s="124" t="s">
        <v>9467</v>
      </c>
      <c r="E2338" s="125"/>
      <c r="F2338" s="118" t="s">
        <v>622</v>
      </c>
      <c r="G2338" s="126" t="s">
        <v>9423</v>
      </c>
      <c r="H2338" s="255">
        <v>5</v>
      </c>
      <c r="I2338" s="361">
        <v>1</v>
      </c>
      <c r="J2338" s="362" t="s">
        <v>286</v>
      </c>
      <c r="K2338" s="329"/>
      <c r="L2338" s="129"/>
      <c r="M2338" s="129"/>
      <c r="N2338" s="129"/>
      <c r="O2338" s="129"/>
      <c r="P2338" s="372"/>
      <c r="Q2338" s="372"/>
      <c r="R2338" s="129"/>
      <c r="S2338" s="129"/>
      <c r="T2338" s="129"/>
      <c r="W2338" s="129" t="s">
        <v>286</v>
      </c>
      <c r="X2338" s="337" t="b">
        <f t="shared" si="70"/>
        <v>1</v>
      </c>
    </row>
    <row r="2339" spans="1:24" s="360" customFormat="1" ht="12" customHeight="1" outlineLevel="1">
      <c r="A2339" s="365"/>
      <c r="B2339" s="118" t="s">
        <v>12</v>
      </c>
      <c r="C2339" s="334" t="s">
        <v>9468</v>
      </c>
      <c r="D2339" s="124" t="s">
        <v>9469</v>
      </c>
      <c r="E2339" s="125"/>
      <c r="F2339" s="118" t="s">
        <v>622</v>
      </c>
      <c r="G2339" s="126" t="s">
        <v>9423</v>
      </c>
      <c r="H2339" s="255">
        <v>5</v>
      </c>
      <c r="I2339" s="361">
        <v>1</v>
      </c>
      <c r="J2339" s="362" t="s">
        <v>286</v>
      </c>
      <c r="K2339" s="329"/>
      <c r="L2339" s="129"/>
      <c r="M2339" s="129"/>
      <c r="N2339" s="129"/>
      <c r="O2339" s="129"/>
      <c r="P2339" s="372"/>
      <c r="Q2339" s="372"/>
      <c r="R2339" s="129"/>
      <c r="S2339" s="129"/>
      <c r="T2339" s="129"/>
      <c r="W2339" s="129" t="s">
        <v>286</v>
      </c>
      <c r="X2339" s="337" t="b">
        <f t="shared" si="70"/>
        <v>1</v>
      </c>
    </row>
    <row r="2340" spans="1:24" s="360" customFormat="1" ht="12" customHeight="1" outlineLevel="1">
      <c r="A2340" s="365"/>
      <c r="B2340" s="118" t="s">
        <v>12</v>
      </c>
      <c r="C2340" s="334" t="s">
        <v>9470</v>
      </c>
      <c r="D2340" s="124" t="s">
        <v>9471</v>
      </c>
      <c r="E2340" s="125"/>
      <c r="F2340" s="118" t="s">
        <v>622</v>
      </c>
      <c r="G2340" s="126" t="s">
        <v>9423</v>
      </c>
      <c r="H2340" s="255">
        <v>5</v>
      </c>
      <c r="I2340" s="361">
        <v>1</v>
      </c>
      <c r="J2340" s="362" t="s">
        <v>286</v>
      </c>
      <c r="K2340" s="329"/>
      <c r="L2340" s="129"/>
      <c r="M2340" s="129"/>
      <c r="N2340" s="129"/>
      <c r="O2340" s="129"/>
      <c r="P2340" s="372"/>
      <c r="Q2340" s="372"/>
      <c r="R2340" s="129"/>
      <c r="S2340" s="129"/>
      <c r="T2340" s="129"/>
      <c r="W2340" s="129" t="s">
        <v>286</v>
      </c>
      <c r="X2340" s="337" t="b">
        <f t="shared" si="70"/>
        <v>1</v>
      </c>
    </row>
    <row r="2341" spans="1:24" s="360" customFormat="1" ht="12" customHeight="1" outlineLevel="1">
      <c r="A2341" s="365"/>
      <c r="B2341" s="118" t="s">
        <v>12</v>
      </c>
      <c r="C2341" s="334" t="s">
        <v>9472</v>
      </c>
      <c r="D2341" s="124" t="s">
        <v>9473</v>
      </c>
      <c r="E2341" s="125"/>
      <c r="F2341" s="118" t="s">
        <v>622</v>
      </c>
      <c r="G2341" s="126" t="s">
        <v>9423</v>
      </c>
      <c r="H2341" s="255">
        <v>5</v>
      </c>
      <c r="I2341" s="361">
        <v>1</v>
      </c>
      <c r="J2341" s="362" t="s">
        <v>286</v>
      </c>
      <c r="K2341" s="329"/>
      <c r="L2341" s="129"/>
      <c r="M2341" s="129"/>
      <c r="N2341" s="129"/>
      <c r="O2341" s="129"/>
      <c r="P2341" s="372"/>
      <c r="Q2341" s="372"/>
      <c r="R2341" s="129"/>
      <c r="S2341" s="129"/>
      <c r="T2341" s="129"/>
      <c r="W2341" s="129" t="s">
        <v>286</v>
      </c>
      <c r="X2341" s="337" t="b">
        <f t="shared" si="70"/>
        <v>1</v>
      </c>
    </row>
    <row r="2342" spans="1:24" s="360" customFormat="1" ht="12" customHeight="1" outlineLevel="1">
      <c r="A2342" s="365"/>
      <c r="B2342" s="118" t="s">
        <v>12</v>
      </c>
      <c r="C2342" s="334" t="s">
        <v>9474</v>
      </c>
      <c r="D2342" s="124" t="s">
        <v>9475</v>
      </c>
      <c r="E2342" s="125"/>
      <c r="F2342" s="118" t="s">
        <v>622</v>
      </c>
      <c r="G2342" s="126" t="s">
        <v>9423</v>
      </c>
      <c r="H2342" s="255">
        <v>5</v>
      </c>
      <c r="I2342" s="361">
        <v>1</v>
      </c>
      <c r="J2342" s="362" t="s">
        <v>286</v>
      </c>
      <c r="K2342" s="329"/>
      <c r="L2342" s="129"/>
      <c r="M2342" s="129"/>
      <c r="N2342" s="129"/>
      <c r="O2342" s="129"/>
      <c r="P2342" s="372"/>
      <c r="Q2342" s="372"/>
      <c r="R2342" s="129"/>
      <c r="S2342" s="129"/>
      <c r="T2342" s="129"/>
      <c r="W2342" s="129" t="s">
        <v>286</v>
      </c>
      <c r="X2342" s="337" t="b">
        <f t="shared" si="70"/>
        <v>1</v>
      </c>
    </row>
    <row r="2343" spans="1:24" s="360" customFormat="1" ht="12" customHeight="1" outlineLevel="1">
      <c r="A2343" s="365"/>
      <c r="B2343" s="118" t="s">
        <v>12</v>
      </c>
      <c r="C2343" s="334" t="s">
        <v>9476</v>
      </c>
      <c r="D2343" s="124" t="s">
        <v>9477</v>
      </c>
      <c r="E2343" s="125"/>
      <c r="F2343" s="118" t="s">
        <v>622</v>
      </c>
      <c r="G2343" s="126" t="s">
        <v>9423</v>
      </c>
      <c r="H2343" s="255">
        <v>5</v>
      </c>
      <c r="I2343" s="361">
        <v>1</v>
      </c>
      <c r="J2343" s="362" t="s">
        <v>286</v>
      </c>
      <c r="K2343" s="329"/>
      <c r="L2343" s="129"/>
      <c r="M2343" s="129"/>
      <c r="N2343" s="129"/>
      <c r="O2343" s="129"/>
      <c r="P2343" s="372"/>
      <c r="Q2343" s="372"/>
      <c r="R2343" s="129"/>
      <c r="S2343" s="129"/>
      <c r="T2343" s="129"/>
      <c r="W2343" s="129" t="s">
        <v>286</v>
      </c>
      <c r="X2343" s="337" t="b">
        <f t="shared" si="70"/>
        <v>1</v>
      </c>
    </row>
    <row r="2344" spans="1:24" s="360" customFormat="1" ht="12" customHeight="1" outlineLevel="1">
      <c r="A2344" s="365"/>
      <c r="B2344" s="118" t="s">
        <v>12</v>
      </c>
      <c r="C2344" s="334" t="s">
        <v>9478</v>
      </c>
      <c r="D2344" s="124" t="s">
        <v>9479</v>
      </c>
      <c r="E2344" s="125"/>
      <c r="F2344" s="118" t="s">
        <v>622</v>
      </c>
      <c r="G2344" s="126" t="s">
        <v>9423</v>
      </c>
      <c r="H2344" s="255">
        <v>5</v>
      </c>
      <c r="I2344" s="361">
        <v>1</v>
      </c>
      <c r="J2344" s="362" t="s">
        <v>286</v>
      </c>
      <c r="K2344" s="329"/>
      <c r="L2344" s="129"/>
      <c r="M2344" s="129"/>
      <c r="N2344" s="129"/>
      <c r="O2344" s="129"/>
      <c r="P2344" s="372"/>
      <c r="Q2344" s="372"/>
      <c r="R2344" s="129"/>
      <c r="S2344" s="129"/>
      <c r="T2344" s="129"/>
      <c r="W2344" s="129" t="s">
        <v>286</v>
      </c>
      <c r="X2344" s="337" t="b">
        <f t="shared" si="70"/>
        <v>1</v>
      </c>
    </row>
    <row r="2345" spans="1:24" s="360" customFormat="1" ht="12" customHeight="1" outlineLevel="1">
      <c r="A2345" s="365"/>
      <c r="B2345" s="118" t="s">
        <v>12</v>
      </c>
      <c r="C2345" s="334" t="s">
        <v>9480</v>
      </c>
      <c r="D2345" s="124" t="s">
        <v>9481</v>
      </c>
      <c r="E2345" s="125"/>
      <c r="F2345" s="118" t="s">
        <v>622</v>
      </c>
      <c r="G2345" s="126" t="s">
        <v>9423</v>
      </c>
      <c r="H2345" s="255">
        <v>5</v>
      </c>
      <c r="I2345" s="361">
        <v>1</v>
      </c>
      <c r="J2345" s="362" t="s">
        <v>286</v>
      </c>
      <c r="K2345" s="329"/>
      <c r="L2345" s="129"/>
      <c r="M2345" s="129"/>
      <c r="N2345" s="129"/>
      <c r="O2345" s="129"/>
      <c r="P2345" s="372"/>
      <c r="Q2345" s="372"/>
      <c r="R2345" s="129"/>
      <c r="S2345" s="129"/>
      <c r="T2345" s="129"/>
      <c r="W2345" s="129" t="s">
        <v>286</v>
      </c>
      <c r="X2345" s="337" t="b">
        <f t="shared" si="70"/>
        <v>1</v>
      </c>
    </row>
    <row r="2346" spans="1:24" s="360" customFormat="1" ht="12" customHeight="1" outlineLevel="1">
      <c r="A2346" s="365"/>
      <c r="B2346" s="118" t="s">
        <v>12</v>
      </c>
      <c r="C2346" s="334" t="s">
        <v>9482</v>
      </c>
      <c r="D2346" s="124" t="s">
        <v>9483</v>
      </c>
      <c r="E2346" s="125"/>
      <c r="F2346" s="118" t="s">
        <v>622</v>
      </c>
      <c r="G2346" s="126" t="s">
        <v>9423</v>
      </c>
      <c r="H2346" s="255">
        <v>5</v>
      </c>
      <c r="I2346" s="361">
        <v>1</v>
      </c>
      <c r="J2346" s="362" t="s">
        <v>286</v>
      </c>
      <c r="K2346" s="329"/>
      <c r="L2346" s="129"/>
      <c r="M2346" s="129"/>
      <c r="N2346" s="129"/>
      <c r="O2346" s="129"/>
      <c r="P2346" s="372"/>
      <c r="Q2346" s="372"/>
      <c r="R2346" s="129"/>
      <c r="S2346" s="129"/>
      <c r="T2346" s="129"/>
      <c r="W2346" s="129" t="s">
        <v>286</v>
      </c>
      <c r="X2346" s="337" t="b">
        <f t="shared" si="70"/>
        <v>1</v>
      </c>
    </row>
    <row r="2347" spans="1:24" s="360" customFormat="1" ht="12" customHeight="1" outlineLevel="1">
      <c r="A2347" s="365"/>
      <c r="B2347" s="118" t="s">
        <v>12</v>
      </c>
      <c r="C2347" s="334" t="s">
        <v>9484</v>
      </c>
      <c r="D2347" s="124" t="s">
        <v>9485</v>
      </c>
      <c r="E2347" s="125"/>
      <c r="F2347" s="118" t="s">
        <v>622</v>
      </c>
      <c r="G2347" s="126" t="s">
        <v>9423</v>
      </c>
      <c r="H2347" s="255">
        <v>5</v>
      </c>
      <c r="I2347" s="361">
        <v>1</v>
      </c>
      <c r="J2347" s="362" t="s">
        <v>286</v>
      </c>
      <c r="K2347" s="329"/>
      <c r="L2347" s="129"/>
      <c r="M2347" s="129"/>
      <c r="N2347" s="129"/>
      <c r="O2347" s="129"/>
      <c r="P2347" s="372"/>
      <c r="Q2347" s="372"/>
      <c r="R2347" s="129"/>
      <c r="S2347" s="129"/>
      <c r="T2347" s="129"/>
      <c r="W2347" s="129" t="s">
        <v>286</v>
      </c>
      <c r="X2347" s="337" t="b">
        <f t="shared" si="70"/>
        <v>1</v>
      </c>
    </row>
    <row r="2348" spans="1:24" s="360" customFormat="1" ht="12" customHeight="1" outlineLevel="1">
      <c r="A2348" s="365"/>
      <c r="B2348" s="118" t="s">
        <v>12</v>
      </c>
      <c r="C2348" s="334" t="s">
        <v>9486</v>
      </c>
      <c r="D2348" s="124" t="s">
        <v>9487</v>
      </c>
      <c r="E2348" s="125"/>
      <c r="F2348" s="118" t="s">
        <v>622</v>
      </c>
      <c r="G2348" s="126" t="s">
        <v>9423</v>
      </c>
      <c r="H2348" s="255">
        <v>5</v>
      </c>
      <c r="I2348" s="361">
        <v>1</v>
      </c>
      <c r="J2348" s="362" t="s">
        <v>286</v>
      </c>
      <c r="K2348" s="329"/>
      <c r="L2348" s="129"/>
      <c r="M2348" s="129"/>
      <c r="N2348" s="129"/>
      <c r="O2348" s="129"/>
      <c r="P2348" s="372"/>
      <c r="Q2348" s="372"/>
      <c r="R2348" s="129"/>
      <c r="S2348" s="129"/>
      <c r="T2348" s="129"/>
      <c r="W2348" s="129" t="s">
        <v>286</v>
      </c>
      <c r="X2348" s="337" t="b">
        <f t="shared" si="70"/>
        <v>1</v>
      </c>
    </row>
    <row r="2349" spans="1:24" s="360" customFormat="1" ht="12" customHeight="1" outlineLevel="1">
      <c r="A2349" s="365"/>
      <c r="B2349" s="118" t="s">
        <v>12</v>
      </c>
      <c r="C2349" s="334" t="s">
        <v>9488</v>
      </c>
      <c r="D2349" s="124" t="s">
        <v>9489</v>
      </c>
      <c r="E2349" s="125"/>
      <c r="F2349" s="118" t="s">
        <v>622</v>
      </c>
      <c r="G2349" s="126" t="s">
        <v>9423</v>
      </c>
      <c r="H2349" s="255">
        <v>5</v>
      </c>
      <c r="I2349" s="361">
        <v>1</v>
      </c>
      <c r="J2349" s="362" t="s">
        <v>286</v>
      </c>
      <c r="K2349" s="329"/>
      <c r="L2349" s="129"/>
      <c r="M2349" s="129"/>
      <c r="N2349" s="129"/>
      <c r="O2349" s="129"/>
      <c r="P2349" s="372"/>
      <c r="Q2349" s="372"/>
      <c r="R2349" s="129"/>
      <c r="S2349" s="129"/>
      <c r="T2349" s="129"/>
      <c r="W2349" s="129" t="s">
        <v>286</v>
      </c>
      <c r="X2349" s="337" t="b">
        <f t="shared" si="70"/>
        <v>1</v>
      </c>
    </row>
    <row r="2350" spans="1:24" s="360" customFormat="1" ht="12" customHeight="1" outlineLevel="1">
      <c r="A2350" s="365"/>
      <c r="B2350" s="118" t="s">
        <v>12</v>
      </c>
      <c r="C2350" s="334" t="s">
        <v>9490</v>
      </c>
      <c r="D2350" s="124" t="s">
        <v>9491</v>
      </c>
      <c r="E2350" s="125"/>
      <c r="F2350" s="118" t="s">
        <v>622</v>
      </c>
      <c r="G2350" s="126" t="s">
        <v>9423</v>
      </c>
      <c r="H2350" s="255">
        <v>5</v>
      </c>
      <c r="I2350" s="361">
        <v>1</v>
      </c>
      <c r="J2350" s="362" t="s">
        <v>286</v>
      </c>
      <c r="K2350" s="329"/>
      <c r="L2350" s="129"/>
      <c r="M2350" s="129"/>
      <c r="N2350" s="129"/>
      <c r="O2350" s="129"/>
      <c r="P2350" s="372"/>
      <c r="Q2350" s="372"/>
      <c r="R2350" s="129"/>
      <c r="S2350" s="129"/>
      <c r="T2350" s="129"/>
      <c r="W2350" s="129" t="s">
        <v>286</v>
      </c>
      <c r="X2350" s="337" t="b">
        <f t="shared" si="70"/>
        <v>1</v>
      </c>
    </row>
    <row r="2351" spans="1:24" s="360" customFormat="1" ht="12" customHeight="1" outlineLevel="1">
      <c r="A2351" s="365"/>
      <c r="B2351" s="118" t="s">
        <v>12</v>
      </c>
      <c r="C2351" s="334" t="s">
        <v>9492</v>
      </c>
      <c r="D2351" s="124" t="s">
        <v>9493</v>
      </c>
      <c r="E2351" s="125"/>
      <c r="F2351" s="118" t="s">
        <v>622</v>
      </c>
      <c r="G2351" s="126" t="s">
        <v>9423</v>
      </c>
      <c r="H2351" s="255">
        <v>5</v>
      </c>
      <c r="I2351" s="361">
        <v>1</v>
      </c>
      <c r="J2351" s="362" t="s">
        <v>286</v>
      </c>
      <c r="K2351" s="329"/>
      <c r="L2351" s="129"/>
      <c r="M2351" s="129"/>
      <c r="N2351" s="129"/>
      <c r="O2351" s="129"/>
      <c r="P2351" s="372"/>
      <c r="Q2351" s="372"/>
      <c r="R2351" s="129"/>
      <c r="S2351" s="129"/>
      <c r="T2351" s="129"/>
      <c r="W2351" s="129" t="s">
        <v>286</v>
      </c>
      <c r="X2351" s="337" t="b">
        <f t="shared" si="70"/>
        <v>1</v>
      </c>
    </row>
    <row r="2352" spans="1:24" s="360" customFormat="1" ht="12" customHeight="1" outlineLevel="1">
      <c r="A2352" s="365"/>
      <c r="B2352" s="118" t="s">
        <v>12</v>
      </c>
      <c r="C2352" s="334" t="s">
        <v>9494</v>
      </c>
      <c r="D2352" s="124" t="s">
        <v>9495</v>
      </c>
      <c r="E2352" s="125"/>
      <c r="F2352" s="118" t="s">
        <v>622</v>
      </c>
      <c r="G2352" s="126" t="s">
        <v>9423</v>
      </c>
      <c r="H2352" s="255">
        <v>5</v>
      </c>
      <c r="I2352" s="361">
        <v>1</v>
      </c>
      <c r="J2352" s="362" t="s">
        <v>286</v>
      </c>
      <c r="K2352" s="329"/>
      <c r="L2352" s="129"/>
      <c r="M2352" s="129"/>
      <c r="N2352" s="129"/>
      <c r="O2352" s="129"/>
      <c r="P2352" s="372"/>
      <c r="Q2352" s="372"/>
      <c r="R2352" s="129"/>
      <c r="S2352" s="129"/>
      <c r="T2352" s="129"/>
      <c r="W2352" s="129" t="s">
        <v>286</v>
      </c>
      <c r="X2352" s="337" t="b">
        <f t="shared" si="70"/>
        <v>1</v>
      </c>
    </row>
    <row r="2353" spans="1:24" s="360" customFormat="1" ht="12" customHeight="1" outlineLevel="1">
      <c r="A2353" s="365"/>
      <c r="B2353" s="118" t="s">
        <v>12</v>
      </c>
      <c r="C2353" s="334" t="s">
        <v>9496</v>
      </c>
      <c r="D2353" s="124" t="s">
        <v>9497</v>
      </c>
      <c r="E2353" s="125"/>
      <c r="F2353" s="118" t="s">
        <v>622</v>
      </c>
      <c r="G2353" s="126" t="s">
        <v>9423</v>
      </c>
      <c r="H2353" s="255">
        <v>5</v>
      </c>
      <c r="I2353" s="361">
        <v>1</v>
      </c>
      <c r="J2353" s="362" t="s">
        <v>286</v>
      </c>
      <c r="K2353" s="329"/>
      <c r="L2353" s="129"/>
      <c r="M2353" s="129"/>
      <c r="N2353" s="129"/>
      <c r="O2353" s="129"/>
      <c r="P2353" s="372"/>
      <c r="Q2353" s="372"/>
      <c r="R2353" s="129"/>
      <c r="S2353" s="129"/>
      <c r="T2353" s="129"/>
      <c r="W2353" s="129" t="s">
        <v>286</v>
      </c>
      <c r="X2353" s="337" t="b">
        <f t="shared" si="70"/>
        <v>1</v>
      </c>
    </row>
    <row r="2354" spans="1:24" s="360" customFormat="1" ht="12" customHeight="1" outlineLevel="1">
      <c r="A2354" s="365"/>
      <c r="B2354" s="118" t="s">
        <v>12</v>
      </c>
      <c r="C2354" s="334" t="s">
        <v>9498</v>
      </c>
      <c r="D2354" s="124" t="s">
        <v>9499</v>
      </c>
      <c r="E2354" s="125"/>
      <c r="F2354" s="118" t="s">
        <v>622</v>
      </c>
      <c r="G2354" s="126" t="s">
        <v>9423</v>
      </c>
      <c r="H2354" s="255">
        <v>5</v>
      </c>
      <c r="I2354" s="361">
        <v>1</v>
      </c>
      <c r="J2354" s="362" t="s">
        <v>286</v>
      </c>
      <c r="K2354" s="329"/>
      <c r="L2354" s="129"/>
      <c r="M2354" s="129"/>
      <c r="N2354" s="129"/>
      <c r="O2354" s="129"/>
      <c r="P2354" s="372"/>
      <c r="Q2354" s="372"/>
      <c r="R2354" s="129"/>
      <c r="S2354" s="129"/>
      <c r="T2354" s="129"/>
      <c r="W2354" s="129" t="s">
        <v>286</v>
      </c>
      <c r="X2354" s="337" t="b">
        <f t="shared" si="70"/>
        <v>1</v>
      </c>
    </row>
    <row r="2355" spans="1:24" s="360" customFormat="1" ht="12" customHeight="1" outlineLevel="1">
      <c r="A2355" s="365"/>
      <c r="B2355" s="118" t="s">
        <v>12</v>
      </c>
      <c r="C2355" s="334" t="s">
        <v>9500</v>
      </c>
      <c r="D2355" s="124" t="s">
        <v>9501</v>
      </c>
      <c r="E2355" s="125"/>
      <c r="F2355" s="118" t="s">
        <v>622</v>
      </c>
      <c r="G2355" s="126" t="s">
        <v>9423</v>
      </c>
      <c r="H2355" s="255">
        <v>5</v>
      </c>
      <c r="I2355" s="361">
        <v>1</v>
      </c>
      <c r="J2355" s="362" t="s">
        <v>286</v>
      </c>
      <c r="K2355" s="329"/>
      <c r="L2355" s="129"/>
      <c r="M2355" s="129"/>
      <c r="N2355" s="129"/>
      <c r="O2355" s="129"/>
      <c r="P2355" s="372"/>
      <c r="Q2355" s="372"/>
      <c r="R2355" s="129"/>
      <c r="S2355" s="129"/>
      <c r="T2355" s="129"/>
      <c r="W2355" s="129" t="s">
        <v>286</v>
      </c>
      <c r="X2355" s="337" t="b">
        <f t="shared" si="70"/>
        <v>1</v>
      </c>
    </row>
    <row r="2356" spans="1:24" s="360" customFormat="1" ht="12" customHeight="1" outlineLevel="1">
      <c r="A2356" s="365"/>
      <c r="B2356" s="118" t="s">
        <v>12</v>
      </c>
      <c r="C2356" s="334" t="s">
        <v>9502</v>
      </c>
      <c r="D2356" s="124" t="s">
        <v>9503</v>
      </c>
      <c r="E2356" s="125"/>
      <c r="F2356" s="118" t="s">
        <v>622</v>
      </c>
      <c r="G2356" s="126" t="s">
        <v>9423</v>
      </c>
      <c r="H2356" s="255">
        <v>5</v>
      </c>
      <c r="I2356" s="361">
        <v>1</v>
      </c>
      <c r="J2356" s="362" t="s">
        <v>286</v>
      </c>
      <c r="K2356" s="329"/>
      <c r="L2356" s="129"/>
      <c r="M2356" s="129"/>
      <c r="N2356" s="129"/>
      <c r="O2356" s="129"/>
      <c r="P2356" s="372"/>
      <c r="Q2356" s="372"/>
      <c r="R2356" s="129"/>
      <c r="S2356" s="129"/>
      <c r="T2356" s="129"/>
      <c r="W2356" s="129" t="s">
        <v>286</v>
      </c>
      <c r="X2356" s="337" t="b">
        <f t="shared" si="70"/>
        <v>1</v>
      </c>
    </row>
    <row r="2357" spans="1:24" s="360" customFormat="1" ht="12" customHeight="1" outlineLevel="1">
      <c r="A2357" s="365"/>
      <c r="B2357" s="118" t="s">
        <v>12</v>
      </c>
      <c r="C2357" s="334" t="s">
        <v>9504</v>
      </c>
      <c r="D2357" s="124" t="s">
        <v>9505</v>
      </c>
      <c r="E2357" s="125"/>
      <c r="F2357" s="118" t="s">
        <v>622</v>
      </c>
      <c r="G2357" s="126" t="s">
        <v>9423</v>
      </c>
      <c r="H2357" s="255">
        <v>5</v>
      </c>
      <c r="I2357" s="361">
        <v>1</v>
      </c>
      <c r="J2357" s="362" t="s">
        <v>286</v>
      </c>
      <c r="K2357" s="329"/>
      <c r="L2357" s="129"/>
      <c r="M2357" s="129"/>
      <c r="N2357" s="129"/>
      <c r="O2357" s="129"/>
      <c r="P2357" s="372"/>
      <c r="Q2357" s="372"/>
      <c r="R2357" s="129"/>
      <c r="S2357" s="129"/>
      <c r="T2357" s="129"/>
      <c r="W2357" s="129" t="s">
        <v>286</v>
      </c>
      <c r="X2357" s="337" t="b">
        <f t="shared" si="70"/>
        <v>1</v>
      </c>
    </row>
    <row r="2358" spans="1:24" s="360" customFormat="1" ht="12" customHeight="1" outlineLevel="1">
      <c r="A2358" s="365"/>
      <c r="B2358" s="118" t="s">
        <v>12</v>
      </c>
      <c r="C2358" s="334" t="s">
        <v>9506</v>
      </c>
      <c r="D2358" s="124" t="s">
        <v>9507</v>
      </c>
      <c r="E2358" s="125"/>
      <c r="F2358" s="118" t="s">
        <v>622</v>
      </c>
      <c r="G2358" s="126" t="s">
        <v>9423</v>
      </c>
      <c r="H2358" s="255">
        <v>5</v>
      </c>
      <c r="I2358" s="361">
        <v>1</v>
      </c>
      <c r="J2358" s="362" t="s">
        <v>286</v>
      </c>
      <c r="K2358" s="329"/>
      <c r="L2358" s="129"/>
      <c r="M2358" s="129"/>
      <c r="N2358" s="129"/>
      <c r="O2358" s="129"/>
      <c r="P2358" s="372"/>
      <c r="Q2358" s="372"/>
      <c r="R2358" s="129"/>
      <c r="S2358" s="129"/>
      <c r="T2358" s="129"/>
      <c r="W2358" s="129" t="s">
        <v>286</v>
      </c>
      <c r="X2358" s="337" t="b">
        <f t="shared" si="70"/>
        <v>1</v>
      </c>
    </row>
    <row r="2359" spans="1:24" s="360" customFormat="1" ht="12" customHeight="1" outlineLevel="1">
      <c r="A2359" s="365"/>
      <c r="B2359" s="118" t="s">
        <v>12</v>
      </c>
      <c r="C2359" s="334" t="s">
        <v>9508</v>
      </c>
      <c r="D2359" s="124" t="s">
        <v>9509</v>
      </c>
      <c r="E2359" s="125"/>
      <c r="F2359" s="118" t="s">
        <v>622</v>
      </c>
      <c r="G2359" s="126" t="s">
        <v>9423</v>
      </c>
      <c r="H2359" s="255">
        <v>5</v>
      </c>
      <c r="I2359" s="361">
        <v>1</v>
      </c>
      <c r="J2359" s="362" t="s">
        <v>286</v>
      </c>
      <c r="K2359" s="329"/>
      <c r="L2359" s="129"/>
      <c r="M2359" s="129"/>
      <c r="N2359" s="129"/>
      <c r="O2359" s="129"/>
      <c r="P2359" s="372"/>
      <c r="Q2359" s="372"/>
      <c r="R2359" s="129"/>
      <c r="S2359" s="129"/>
      <c r="T2359" s="129"/>
      <c r="W2359" s="129" t="s">
        <v>286</v>
      </c>
      <c r="X2359" s="337" t="b">
        <f t="shared" si="70"/>
        <v>1</v>
      </c>
    </row>
    <row r="2360" spans="1:24" s="360" customFormat="1" ht="12" customHeight="1" outlineLevel="1">
      <c r="A2360" s="365"/>
      <c r="B2360" s="118" t="s">
        <v>12</v>
      </c>
      <c r="C2360" s="334" t="s">
        <v>9510</v>
      </c>
      <c r="D2360" s="124" t="s">
        <v>9511</v>
      </c>
      <c r="E2360" s="125"/>
      <c r="F2360" s="118" t="s">
        <v>622</v>
      </c>
      <c r="G2360" s="126" t="s">
        <v>9423</v>
      </c>
      <c r="H2360" s="255">
        <v>5</v>
      </c>
      <c r="I2360" s="361">
        <v>1</v>
      </c>
      <c r="J2360" s="362" t="s">
        <v>286</v>
      </c>
      <c r="K2360" s="329"/>
      <c r="L2360" s="129"/>
      <c r="M2360" s="129"/>
      <c r="N2360" s="129"/>
      <c r="O2360" s="129"/>
      <c r="P2360" s="372"/>
      <c r="Q2360" s="372"/>
      <c r="R2360" s="129"/>
      <c r="S2360" s="129"/>
      <c r="T2360" s="129"/>
      <c r="W2360" s="129" t="s">
        <v>286</v>
      </c>
      <c r="X2360" s="337" t="b">
        <f t="shared" si="70"/>
        <v>1</v>
      </c>
    </row>
    <row r="2361" spans="1:24" s="360" customFormat="1" ht="12" customHeight="1" outlineLevel="1">
      <c r="A2361" s="365"/>
      <c r="B2361" s="118" t="s">
        <v>12</v>
      </c>
      <c r="C2361" s="334" t="s">
        <v>9512</v>
      </c>
      <c r="D2361" s="124" t="s">
        <v>9513</v>
      </c>
      <c r="E2361" s="125"/>
      <c r="F2361" s="118" t="s">
        <v>622</v>
      </c>
      <c r="G2361" s="126" t="s">
        <v>9423</v>
      </c>
      <c r="H2361" s="255">
        <v>5</v>
      </c>
      <c r="I2361" s="361">
        <v>1</v>
      </c>
      <c r="J2361" s="362" t="s">
        <v>286</v>
      </c>
      <c r="K2361" s="329"/>
      <c r="L2361" s="129"/>
      <c r="M2361" s="129"/>
      <c r="N2361" s="129"/>
      <c r="O2361" s="129"/>
      <c r="P2361" s="372"/>
      <c r="Q2361" s="372"/>
      <c r="R2361" s="129"/>
      <c r="S2361" s="129"/>
      <c r="T2361" s="129"/>
      <c r="W2361" s="129" t="s">
        <v>286</v>
      </c>
      <c r="X2361" s="337" t="b">
        <f t="shared" si="70"/>
        <v>1</v>
      </c>
    </row>
    <row r="2362" spans="1:24" s="360" customFormat="1" ht="12" customHeight="1" outlineLevel="1">
      <c r="A2362" s="365"/>
      <c r="B2362" s="118" t="s">
        <v>12</v>
      </c>
      <c r="C2362" s="334" t="s">
        <v>9514</v>
      </c>
      <c r="D2362" s="124" t="s">
        <v>9515</v>
      </c>
      <c r="E2362" s="125"/>
      <c r="F2362" s="118" t="s">
        <v>622</v>
      </c>
      <c r="G2362" s="126" t="s">
        <v>9423</v>
      </c>
      <c r="H2362" s="255">
        <v>5</v>
      </c>
      <c r="I2362" s="361">
        <v>1</v>
      </c>
      <c r="J2362" s="362" t="s">
        <v>286</v>
      </c>
      <c r="K2362" s="329"/>
      <c r="L2362" s="129"/>
      <c r="M2362" s="129"/>
      <c r="N2362" s="129"/>
      <c r="O2362" s="129"/>
      <c r="P2362" s="372"/>
      <c r="Q2362" s="372"/>
      <c r="R2362" s="129"/>
      <c r="S2362" s="129"/>
      <c r="T2362" s="129"/>
      <c r="W2362" s="129" t="s">
        <v>286</v>
      </c>
      <c r="X2362" s="337" t="b">
        <f t="shared" si="70"/>
        <v>1</v>
      </c>
    </row>
    <row r="2363" spans="1:24" s="360" customFormat="1" ht="12" customHeight="1" outlineLevel="1">
      <c r="A2363" s="365"/>
      <c r="B2363" s="118" t="s">
        <v>12</v>
      </c>
      <c r="C2363" s="334" t="s">
        <v>9516</v>
      </c>
      <c r="D2363" s="124" t="s">
        <v>9517</v>
      </c>
      <c r="E2363" s="125"/>
      <c r="F2363" s="118" t="s">
        <v>622</v>
      </c>
      <c r="G2363" s="126" t="s">
        <v>9423</v>
      </c>
      <c r="H2363" s="255">
        <v>5</v>
      </c>
      <c r="I2363" s="361">
        <v>1</v>
      </c>
      <c r="J2363" s="362" t="s">
        <v>286</v>
      </c>
      <c r="K2363" s="329"/>
      <c r="L2363" s="129"/>
      <c r="M2363" s="129"/>
      <c r="N2363" s="129"/>
      <c r="O2363" s="129"/>
      <c r="P2363" s="372"/>
      <c r="Q2363" s="372"/>
      <c r="R2363" s="129"/>
      <c r="S2363" s="129"/>
      <c r="T2363" s="129"/>
      <c r="W2363" s="129" t="s">
        <v>286</v>
      </c>
      <c r="X2363" s="337" t="b">
        <f t="shared" si="70"/>
        <v>1</v>
      </c>
    </row>
    <row r="2364" spans="1:24" s="360" customFormat="1" ht="12" customHeight="1" outlineLevel="1">
      <c r="A2364" s="365"/>
      <c r="B2364" s="118" t="s">
        <v>12</v>
      </c>
      <c r="C2364" s="334" t="s">
        <v>9518</v>
      </c>
      <c r="D2364" s="124" t="s">
        <v>9519</v>
      </c>
      <c r="E2364" s="125"/>
      <c r="F2364" s="118" t="s">
        <v>622</v>
      </c>
      <c r="G2364" s="126" t="s">
        <v>9423</v>
      </c>
      <c r="H2364" s="255">
        <v>5</v>
      </c>
      <c r="I2364" s="361">
        <v>1</v>
      </c>
      <c r="J2364" s="362" t="s">
        <v>286</v>
      </c>
      <c r="K2364" s="329"/>
      <c r="L2364" s="129"/>
      <c r="M2364" s="129"/>
      <c r="N2364" s="129"/>
      <c r="O2364" s="129"/>
      <c r="P2364" s="372"/>
      <c r="Q2364" s="372"/>
      <c r="R2364" s="129"/>
      <c r="S2364" s="129"/>
      <c r="T2364" s="129"/>
      <c r="W2364" s="129" t="s">
        <v>286</v>
      </c>
      <c r="X2364" s="337" t="b">
        <f t="shared" si="70"/>
        <v>1</v>
      </c>
    </row>
    <row r="2365" spans="1:24" s="360" customFormat="1" ht="12" customHeight="1" outlineLevel="1">
      <c r="A2365" s="365"/>
      <c r="B2365" s="118" t="s">
        <v>12</v>
      </c>
      <c r="C2365" s="334" t="s">
        <v>9520</v>
      </c>
      <c r="D2365" s="124" t="s">
        <v>9521</v>
      </c>
      <c r="E2365" s="125"/>
      <c r="F2365" s="118" t="s">
        <v>622</v>
      </c>
      <c r="G2365" s="126" t="s">
        <v>9423</v>
      </c>
      <c r="H2365" s="255">
        <v>5</v>
      </c>
      <c r="I2365" s="361">
        <v>1</v>
      </c>
      <c r="J2365" s="362" t="s">
        <v>286</v>
      </c>
      <c r="K2365" s="329"/>
      <c r="L2365" s="129"/>
      <c r="M2365" s="129"/>
      <c r="N2365" s="129"/>
      <c r="O2365" s="129"/>
      <c r="P2365" s="372"/>
      <c r="Q2365" s="372"/>
      <c r="R2365" s="129"/>
      <c r="S2365" s="129"/>
      <c r="T2365" s="129"/>
      <c r="W2365" s="129" t="s">
        <v>286</v>
      </c>
      <c r="X2365" s="337" t="b">
        <f t="shared" si="70"/>
        <v>1</v>
      </c>
    </row>
    <row r="2366" spans="1:24" s="360" customFormat="1" ht="12" customHeight="1" outlineLevel="1">
      <c r="A2366" s="365"/>
      <c r="B2366" s="118" t="s">
        <v>12</v>
      </c>
      <c r="C2366" s="334" t="s">
        <v>9522</v>
      </c>
      <c r="D2366" s="124" t="s">
        <v>9523</v>
      </c>
      <c r="E2366" s="125"/>
      <c r="F2366" s="118" t="s">
        <v>622</v>
      </c>
      <c r="G2366" s="126" t="s">
        <v>9423</v>
      </c>
      <c r="H2366" s="255">
        <v>5</v>
      </c>
      <c r="I2366" s="361">
        <v>1</v>
      </c>
      <c r="J2366" s="362" t="s">
        <v>286</v>
      </c>
      <c r="K2366" s="329"/>
      <c r="L2366" s="129"/>
      <c r="M2366" s="129"/>
      <c r="N2366" s="129"/>
      <c r="O2366" s="129"/>
      <c r="P2366" s="372"/>
      <c r="Q2366" s="372"/>
      <c r="R2366" s="129"/>
      <c r="S2366" s="129"/>
      <c r="T2366" s="129"/>
      <c r="W2366" s="129" t="s">
        <v>286</v>
      </c>
      <c r="X2366" s="337" t="b">
        <f t="shared" si="70"/>
        <v>1</v>
      </c>
    </row>
    <row r="2367" spans="1:24" s="360" customFormat="1" ht="12" customHeight="1" outlineLevel="1">
      <c r="A2367" s="365"/>
      <c r="B2367" s="118" t="s">
        <v>12</v>
      </c>
      <c r="C2367" s="334" t="s">
        <v>9524</v>
      </c>
      <c r="D2367" s="124" t="s">
        <v>9525</v>
      </c>
      <c r="E2367" s="125"/>
      <c r="F2367" s="118" t="s">
        <v>622</v>
      </c>
      <c r="G2367" s="126" t="s">
        <v>9423</v>
      </c>
      <c r="H2367" s="255">
        <v>5</v>
      </c>
      <c r="I2367" s="361">
        <v>1</v>
      </c>
      <c r="J2367" s="362" t="s">
        <v>286</v>
      </c>
      <c r="K2367" s="329"/>
      <c r="L2367" s="129"/>
      <c r="M2367" s="129"/>
      <c r="N2367" s="129"/>
      <c r="O2367" s="129"/>
      <c r="P2367" s="372"/>
      <c r="Q2367" s="372"/>
      <c r="R2367" s="129"/>
      <c r="S2367" s="129"/>
      <c r="T2367" s="129"/>
      <c r="W2367" s="129" t="s">
        <v>286</v>
      </c>
      <c r="X2367" s="337" t="b">
        <f t="shared" si="70"/>
        <v>1</v>
      </c>
    </row>
    <row r="2368" spans="1:24" s="360" customFormat="1" ht="12" customHeight="1" outlineLevel="1">
      <c r="A2368" s="365"/>
      <c r="B2368" s="118" t="s">
        <v>12</v>
      </c>
      <c r="C2368" s="334" t="s">
        <v>9526</v>
      </c>
      <c r="D2368" s="124" t="s">
        <v>9527</v>
      </c>
      <c r="E2368" s="125"/>
      <c r="F2368" s="118" t="s">
        <v>622</v>
      </c>
      <c r="G2368" s="126" t="s">
        <v>9423</v>
      </c>
      <c r="H2368" s="255">
        <v>5</v>
      </c>
      <c r="I2368" s="361">
        <v>1</v>
      </c>
      <c r="J2368" s="362" t="s">
        <v>286</v>
      </c>
      <c r="K2368" s="329"/>
      <c r="L2368" s="129"/>
      <c r="M2368" s="129"/>
      <c r="N2368" s="129"/>
      <c r="O2368" s="129"/>
      <c r="P2368" s="372"/>
      <c r="Q2368" s="372"/>
      <c r="R2368" s="129"/>
      <c r="S2368" s="129"/>
      <c r="T2368" s="129"/>
      <c r="W2368" s="129" t="s">
        <v>286</v>
      </c>
      <c r="X2368" s="337" t="b">
        <f t="shared" si="70"/>
        <v>1</v>
      </c>
    </row>
    <row r="2369" spans="1:24" s="360" customFormat="1" ht="12" customHeight="1" outlineLevel="1">
      <c r="A2369" s="365"/>
      <c r="B2369" s="118" t="s">
        <v>12</v>
      </c>
      <c r="C2369" s="334" t="s">
        <v>9528</v>
      </c>
      <c r="D2369" s="124" t="s">
        <v>9529</v>
      </c>
      <c r="E2369" s="125"/>
      <c r="F2369" s="118" t="s">
        <v>622</v>
      </c>
      <c r="G2369" s="126" t="s">
        <v>9423</v>
      </c>
      <c r="H2369" s="255">
        <v>5</v>
      </c>
      <c r="I2369" s="361">
        <v>1</v>
      </c>
      <c r="J2369" s="362" t="s">
        <v>286</v>
      </c>
      <c r="K2369" s="329"/>
      <c r="L2369" s="129"/>
      <c r="M2369" s="129"/>
      <c r="N2369" s="129"/>
      <c r="O2369" s="129"/>
      <c r="P2369" s="372"/>
      <c r="Q2369" s="372"/>
      <c r="R2369" s="129"/>
      <c r="S2369" s="129"/>
      <c r="T2369" s="129"/>
      <c r="W2369" s="129" t="s">
        <v>286</v>
      </c>
      <c r="X2369" s="337" t="b">
        <f t="shared" ref="X2369:X2432" si="71">W2369=J2369</f>
        <v>1</v>
      </c>
    </row>
    <row r="2370" spans="1:24" s="360" customFormat="1" ht="12" customHeight="1" outlineLevel="1">
      <c r="A2370" s="365"/>
      <c r="B2370" s="118" t="s">
        <v>12</v>
      </c>
      <c r="C2370" s="334" t="s">
        <v>9530</v>
      </c>
      <c r="D2370" s="124" t="s">
        <v>9531</v>
      </c>
      <c r="E2370" s="125"/>
      <c r="F2370" s="118" t="s">
        <v>622</v>
      </c>
      <c r="G2370" s="126" t="s">
        <v>9423</v>
      </c>
      <c r="H2370" s="255">
        <v>5</v>
      </c>
      <c r="I2370" s="361">
        <v>1</v>
      </c>
      <c r="J2370" s="362" t="s">
        <v>286</v>
      </c>
      <c r="K2370" s="329"/>
      <c r="L2370" s="129"/>
      <c r="M2370" s="129"/>
      <c r="N2370" s="129"/>
      <c r="O2370" s="129"/>
      <c r="P2370" s="372"/>
      <c r="Q2370" s="372"/>
      <c r="R2370" s="129"/>
      <c r="S2370" s="129"/>
      <c r="T2370" s="129"/>
      <c r="W2370" s="129" t="s">
        <v>286</v>
      </c>
      <c r="X2370" s="337" t="b">
        <f t="shared" si="71"/>
        <v>1</v>
      </c>
    </row>
    <row r="2371" spans="1:24" s="360" customFormat="1" ht="12" customHeight="1" outlineLevel="1">
      <c r="A2371" s="365"/>
      <c r="B2371" s="118" t="s">
        <v>12</v>
      </c>
      <c r="C2371" s="334" t="s">
        <v>9532</v>
      </c>
      <c r="D2371" s="124" t="s">
        <v>9533</v>
      </c>
      <c r="E2371" s="125"/>
      <c r="F2371" s="118" t="s">
        <v>622</v>
      </c>
      <c r="G2371" s="126" t="s">
        <v>9423</v>
      </c>
      <c r="H2371" s="255">
        <v>5</v>
      </c>
      <c r="I2371" s="361">
        <v>1</v>
      </c>
      <c r="J2371" s="362" t="s">
        <v>286</v>
      </c>
      <c r="K2371" s="329"/>
      <c r="L2371" s="129"/>
      <c r="M2371" s="129"/>
      <c r="N2371" s="129"/>
      <c r="O2371" s="129"/>
      <c r="P2371" s="372"/>
      <c r="Q2371" s="372"/>
      <c r="R2371" s="129"/>
      <c r="S2371" s="129"/>
      <c r="T2371" s="129"/>
      <c r="W2371" s="129" t="s">
        <v>286</v>
      </c>
      <c r="X2371" s="337" t="b">
        <f t="shared" si="71"/>
        <v>1</v>
      </c>
    </row>
    <row r="2372" spans="1:24" s="360" customFormat="1" ht="12" customHeight="1" outlineLevel="1">
      <c r="A2372" s="365"/>
      <c r="B2372" s="118" t="s">
        <v>12</v>
      </c>
      <c r="C2372" s="334" t="s">
        <v>9534</v>
      </c>
      <c r="D2372" s="124" t="s">
        <v>9535</v>
      </c>
      <c r="E2372" s="125"/>
      <c r="F2372" s="118" t="s">
        <v>622</v>
      </c>
      <c r="G2372" s="126" t="s">
        <v>9423</v>
      </c>
      <c r="H2372" s="255">
        <v>5</v>
      </c>
      <c r="I2372" s="361">
        <v>1</v>
      </c>
      <c r="J2372" s="362" t="s">
        <v>286</v>
      </c>
      <c r="K2372" s="329"/>
      <c r="L2372" s="129"/>
      <c r="M2372" s="129"/>
      <c r="N2372" s="129"/>
      <c r="O2372" s="129"/>
      <c r="P2372" s="372"/>
      <c r="Q2372" s="372"/>
      <c r="R2372" s="129"/>
      <c r="S2372" s="129"/>
      <c r="T2372" s="129"/>
      <c r="W2372" s="129" t="s">
        <v>286</v>
      </c>
      <c r="X2372" s="337" t="b">
        <f t="shared" si="71"/>
        <v>1</v>
      </c>
    </row>
    <row r="2373" spans="1:24" s="360" customFormat="1" ht="12" customHeight="1" outlineLevel="1">
      <c r="A2373" s="365"/>
      <c r="B2373" s="118" t="s">
        <v>12</v>
      </c>
      <c r="C2373" s="334" t="s">
        <v>9536</v>
      </c>
      <c r="D2373" s="124" t="s">
        <v>9537</v>
      </c>
      <c r="E2373" s="125"/>
      <c r="F2373" s="118" t="s">
        <v>622</v>
      </c>
      <c r="G2373" s="126" t="s">
        <v>9423</v>
      </c>
      <c r="H2373" s="255">
        <v>5</v>
      </c>
      <c r="I2373" s="361">
        <v>1</v>
      </c>
      <c r="J2373" s="362" t="s">
        <v>286</v>
      </c>
      <c r="K2373" s="329"/>
      <c r="L2373" s="129"/>
      <c r="M2373" s="129"/>
      <c r="N2373" s="129"/>
      <c r="O2373" s="129"/>
      <c r="P2373" s="372"/>
      <c r="Q2373" s="372"/>
      <c r="R2373" s="129"/>
      <c r="S2373" s="129"/>
      <c r="T2373" s="129"/>
      <c r="W2373" s="129" t="s">
        <v>286</v>
      </c>
      <c r="X2373" s="337" t="b">
        <f t="shared" si="71"/>
        <v>1</v>
      </c>
    </row>
    <row r="2374" spans="1:24" s="360" customFormat="1" ht="12" customHeight="1" outlineLevel="1">
      <c r="A2374" s="365"/>
      <c r="B2374" s="118" t="s">
        <v>12</v>
      </c>
      <c r="C2374" s="334" t="s">
        <v>9538</v>
      </c>
      <c r="D2374" s="124" t="s">
        <v>9539</v>
      </c>
      <c r="E2374" s="125"/>
      <c r="F2374" s="118" t="s">
        <v>622</v>
      </c>
      <c r="G2374" s="126" t="s">
        <v>9423</v>
      </c>
      <c r="H2374" s="255">
        <v>5</v>
      </c>
      <c r="I2374" s="361">
        <v>1</v>
      </c>
      <c r="J2374" s="362" t="s">
        <v>286</v>
      </c>
      <c r="K2374" s="329"/>
      <c r="L2374" s="129"/>
      <c r="M2374" s="129"/>
      <c r="N2374" s="129"/>
      <c r="O2374" s="129"/>
      <c r="P2374" s="372"/>
      <c r="Q2374" s="372"/>
      <c r="R2374" s="129"/>
      <c r="S2374" s="129"/>
      <c r="T2374" s="129"/>
      <c r="W2374" s="129" t="s">
        <v>286</v>
      </c>
      <c r="X2374" s="337" t="b">
        <f t="shared" si="71"/>
        <v>1</v>
      </c>
    </row>
    <row r="2375" spans="1:24" s="360" customFormat="1" ht="12" customHeight="1" outlineLevel="1">
      <c r="A2375" s="365"/>
      <c r="B2375" s="118" t="s">
        <v>12</v>
      </c>
      <c r="C2375" s="334" t="s">
        <v>9540</v>
      </c>
      <c r="D2375" s="124" t="s">
        <v>9541</v>
      </c>
      <c r="E2375" s="125"/>
      <c r="F2375" s="118" t="s">
        <v>622</v>
      </c>
      <c r="G2375" s="126" t="s">
        <v>9423</v>
      </c>
      <c r="H2375" s="255">
        <v>5</v>
      </c>
      <c r="I2375" s="361">
        <v>1</v>
      </c>
      <c r="J2375" s="362" t="s">
        <v>286</v>
      </c>
      <c r="K2375" s="329"/>
      <c r="L2375" s="129"/>
      <c r="M2375" s="129"/>
      <c r="N2375" s="129"/>
      <c r="O2375" s="129"/>
      <c r="P2375" s="372"/>
      <c r="Q2375" s="372"/>
      <c r="R2375" s="129"/>
      <c r="S2375" s="129"/>
      <c r="T2375" s="129"/>
      <c r="W2375" s="129" t="s">
        <v>286</v>
      </c>
      <c r="X2375" s="337" t="b">
        <f t="shared" si="71"/>
        <v>1</v>
      </c>
    </row>
    <row r="2376" spans="1:24" s="360" customFormat="1" ht="12" customHeight="1" outlineLevel="1">
      <c r="A2376" s="365"/>
      <c r="B2376" s="118" t="s">
        <v>12</v>
      </c>
      <c r="C2376" s="334" t="s">
        <v>9542</v>
      </c>
      <c r="D2376" s="124" t="s">
        <v>9543</v>
      </c>
      <c r="E2376" s="125"/>
      <c r="F2376" s="118" t="s">
        <v>622</v>
      </c>
      <c r="G2376" s="126" t="s">
        <v>9423</v>
      </c>
      <c r="H2376" s="255">
        <v>5</v>
      </c>
      <c r="I2376" s="361">
        <v>1</v>
      </c>
      <c r="J2376" s="362" t="s">
        <v>286</v>
      </c>
      <c r="K2376" s="329"/>
      <c r="L2376" s="129"/>
      <c r="M2376" s="129"/>
      <c r="N2376" s="129"/>
      <c r="O2376" s="129"/>
      <c r="P2376" s="372"/>
      <c r="Q2376" s="372"/>
      <c r="R2376" s="129"/>
      <c r="S2376" s="129"/>
      <c r="T2376" s="129"/>
      <c r="W2376" s="129" t="s">
        <v>286</v>
      </c>
      <c r="X2376" s="337" t="b">
        <f t="shared" si="71"/>
        <v>1</v>
      </c>
    </row>
    <row r="2377" spans="1:24" s="360" customFormat="1" ht="12" customHeight="1" outlineLevel="1">
      <c r="A2377" s="365"/>
      <c r="B2377" s="118" t="s">
        <v>12</v>
      </c>
      <c r="C2377" s="334" t="s">
        <v>9544</v>
      </c>
      <c r="D2377" s="124" t="s">
        <v>9545</v>
      </c>
      <c r="E2377" s="125"/>
      <c r="F2377" s="118" t="s">
        <v>622</v>
      </c>
      <c r="G2377" s="126" t="s">
        <v>9423</v>
      </c>
      <c r="H2377" s="255">
        <v>5</v>
      </c>
      <c r="I2377" s="361">
        <v>1</v>
      </c>
      <c r="J2377" s="362" t="s">
        <v>286</v>
      </c>
      <c r="K2377" s="329"/>
      <c r="L2377" s="129"/>
      <c r="M2377" s="129"/>
      <c r="N2377" s="129"/>
      <c r="O2377" s="129"/>
      <c r="P2377" s="372"/>
      <c r="Q2377" s="372"/>
      <c r="R2377" s="129"/>
      <c r="S2377" s="129"/>
      <c r="T2377" s="129"/>
      <c r="W2377" s="129" t="s">
        <v>286</v>
      </c>
      <c r="X2377" s="337" t="b">
        <f t="shared" si="71"/>
        <v>1</v>
      </c>
    </row>
    <row r="2378" spans="1:24" s="360" customFormat="1" ht="12" customHeight="1" outlineLevel="1">
      <c r="A2378" s="365"/>
      <c r="B2378" s="118" t="s">
        <v>12</v>
      </c>
      <c r="C2378" s="334" t="s">
        <v>9546</v>
      </c>
      <c r="D2378" s="124" t="s">
        <v>9547</v>
      </c>
      <c r="E2378" s="125"/>
      <c r="F2378" s="118" t="s">
        <v>622</v>
      </c>
      <c r="G2378" s="126" t="s">
        <v>9423</v>
      </c>
      <c r="H2378" s="255">
        <v>5</v>
      </c>
      <c r="I2378" s="361">
        <v>1</v>
      </c>
      <c r="J2378" s="362" t="s">
        <v>286</v>
      </c>
      <c r="K2378" s="329"/>
      <c r="L2378" s="129"/>
      <c r="M2378" s="129"/>
      <c r="N2378" s="129"/>
      <c r="O2378" s="129"/>
      <c r="P2378" s="372"/>
      <c r="Q2378" s="372"/>
      <c r="R2378" s="129"/>
      <c r="S2378" s="129"/>
      <c r="T2378" s="129"/>
      <c r="W2378" s="129" t="s">
        <v>286</v>
      </c>
      <c r="X2378" s="337" t="b">
        <f t="shared" si="71"/>
        <v>1</v>
      </c>
    </row>
    <row r="2379" spans="1:24" s="360" customFormat="1" ht="12" customHeight="1" outlineLevel="1">
      <c r="A2379" s="365"/>
      <c r="B2379" s="118" t="s">
        <v>12</v>
      </c>
      <c r="C2379" s="334" t="s">
        <v>9548</v>
      </c>
      <c r="D2379" s="124" t="s">
        <v>9549</v>
      </c>
      <c r="E2379" s="125"/>
      <c r="F2379" s="118" t="s">
        <v>622</v>
      </c>
      <c r="G2379" s="126" t="s">
        <v>9423</v>
      </c>
      <c r="H2379" s="255">
        <v>5</v>
      </c>
      <c r="I2379" s="361">
        <v>1</v>
      </c>
      <c r="J2379" s="362" t="s">
        <v>286</v>
      </c>
      <c r="K2379" s="329"/>
      <c r="L2379" s="129"/>
      <c r="M2379" s="129"/>
      <c r="N2379" s="129"/>
      <c r="O2379" s="129"/>
      <c r="P2379" s="372"/>
      <c r="Q2379" s="372"/>
      <c r="R2379" s="129"/>
      <c r="S2379" s="129"/>
      <c r="T2379" s="129"/>
      <c r="W2379" s="129" t="s">
        <v>286</v>
      </c>
      <c r="X2379" s="337" t="b">
        <f t="shared" si="71"/>
        <v>1</v>
      </c>
    </row>
    <row r="2380" spans="1:24" s="360" customFormat="1" ht="12" customHeight="1" outlineLevel="1">
      <c r="A2380" s="365"/>
      <c r="B2380" s="118" t="s">
        <v>12</v>
      </c>
      <c r="C2380" s="334" t="s">
        <v>9550</v>
      </c>
      <c r="D2380" s="124" t="s">
        <v>9551</v>
      </c>
      <c r="E2380" s="125"/>
      <c r="F2380" s="118" t="s">
        <v>622</v>
      </c>
      <c r="G2380" s="126" t="s">
        <v>9423</v>
      </c>
      <c r="H2380" s="255">
        <v>5</v>
      </c>
      <c r="I2380" s="361">
        <v>1</v>
      </c>
      <c r="J2380" s="362" t="s">
        <v>286</v>
      </c>
      <c r="K2380" s="329"/>
      <c r="L2380" s="129"/>
      <c r="M2380" s="129"/>
      <c r="N2380" s="129"/>
      <c r="O2380" s="129"/>
      <c r="P2380" s="372"/>
      <c r="Q2380" s="372"/>
      <c r="R2380" s="129"/>
      <c r="S2380" s="129"/>
      <c r="T2380" s="129"/>
      <c r="W2380" s="129" t="s">
        <v>286</v>
      </c>
      <c r="X2380" s="337" t="b">
        <f t="shared" si="71"/>
        <v>1</v>
      </c>
    </row>
    <row r="2381" spans="1:24" s="360" customFormat="1" ht="12" customHeight="1" outlineLevel="1">
      <c r="A2381" s="365"/>
      <c r="B2381" s="118" t="s">
        <v>12</v>
      </c>
      <c r="C2381" s="334" t="s">
        <v>9552</v>
      </c>
      <c r="D2381" s="124" t="s">
        <v>9553</v>
      </c>
      <c r="E2381" s="125"/>
      <c r="F2381" s="118" t="s">
        <v>622</v>
      </c>
      <c r="G2381" s="126" t="s">
        <v>9423</v>
      </c>
      <c r="H2381" s="255">
        <v>5</v>
      </c>
      <c r="I2381" s="361">
        <v>1</v>
      </c>
      <c r="J2381" s="362" t="s">
        <v>286</v>
      </c>
      <c r="K2381" s="329"/>
      <c r="L2381" s="129"/>
      <c r="M2381" s="129"/>
      <c r="N2381" s="129"/>
      <c r="O2381" s="129"/>
      <c r="P2381" s="372"/>
      <c r="Q2381" s="372"/>
      <c r="R2381" s="129"/>
      <c r="S2381" s="129"/>
      <c r="T2381" s="129"/>
      <c r="W2381" s="129" t="s">
        <v>286</v>
      </c>
      <c r="X2381" s="337" t="b">
        <f t="shared" si="71"/>
        <v>1</v>
      </c>
    </row>
    <row r="2382" spans="1:24" s="360" customFormat="1" ht="12" customHeight="1" outlineLevel="1">
      <c r="A2382" s="365"/>
      <c r="B2382" s="118" t="s">
        <v>12</v>
      </c>
      <c r="C2382" s="334" t="s">
        <v>9554</v>
      </c>
      <c r="D2382" s="124" t="s">
        <v>9555</v>
      </c>
      <c r="E2382" s="125"/>
      <c r="F2382" s="118" t="s">
        <v>622</v>
      </c>
      <c r="G2382" s="126" t="s">
        <v>9423</v>
      </c>
      <c r="H2382" s="255">
        <v>5</v>
      </c>
      <c r="I2382" s="361">
        <v>1</v>
      </c>
      <c r="J2382" s="362" t="s">
        <v>286</v>
      </c>
      <c r="K2382" s="329"/>
      <c r="L2382" s="129"/>
      <c r="M2382" s="129"/>
      <c r="N2382" s="129"/>
      <c r="O2382" s="129"/>
      <c r="P2382" s="372"/>
      <c r="Q2382" s="372"/>
      <c r="R2382" s="129"/>
      <c r="S2382" s="129"/>
      <c r="T2382" s="129"/>
      <c r="W2382" s="129" t="s">
        <v>286</v>
      </c>
      <c r="X2382" s="337" t="b">
        <f t="shared" si="71"/>
        <v>1</v>
      </c>
    </row>
    <row r="2383" spans="1:24" s="360" customFormat="1" ht="12" customHeight="1" outlineLevel="1">
      <c r="A2383" s="365"/>
      <c r="B2383" s="118" t="s">
        <v>12</v>
      </c>
      <c r="C2383" s="334" t="s">
        <v>9556</v>
      </c>
      <c r="D2383" s="124" t="s">
        <v>9557</v>
      </c>
      <c r="E2383" s="125"/>
      <c r="F2383" s="118" t="s">
        <v>622</v>
      </c>
      <c r="G2383" s="126" t="s">
        <v>9423</v>
      </c>
      <c r="H2383" s="255">
        <v>5</v>
      </c>
      <c r="I2383" s="361">
        <v>1</v>
      </c>
      <c r="J2383" s="362" t="s">
        <v>286</v>
      </c>
      <c r="K2383" s="329"/>
      <c r="L2383" s="129"/>
      <c r="M2383" s="129"/>
      <c r="N2383" s="129"/>
      <c r="O2383" s="129"/>
      <c r="P2383" s="372"/>
      <c r="Q2383" s="372"/>
      <c r="R2383" s="129"/>
      <c r="S2383" s="129"/>
      <c r="T2383" s="129"/>
      <c r="W2383" s="129" t="s">
        <v>286</v>
      </c>
      <c r="X2383" s="337" t="b">
        <f t="shared" si="71"/>
        <v>1</v>
      </c>
    </row>
    <row r="2384" spans="1:24" s="360" customFormat="1" ht="12" customHeight="1" outlineLevel="1">
      <c r="A2384" s="365"/>
      <c r="B2384" s="118" t="s">
        <v>12</v>
      </c>
      <c r="C2384" s="334" t="s">
        <v>9558</v>
      </c>
      <c r="D2384" s="124" t="s">
        <v>9559</v>
      </c>
      <c r="E2384" s="125"/>
      <c r="F2384" s="118" t="s">
        <v>622</v>
      </c>
      <c r="G2384" s="126" t="s">
        <v>9423</v>
      </c>
      <c r="H2384" s="255">
        <v>5</v>
      </c>
      <c r="I2384" s="361">
        <v>1</v>
      </c>
      <c r="J2384" s="362" t="s">
        <v>310</v>
      </c>
      <c r="K2384" s="329"/>
      <c r="L2384" s="129"/>
      <c r="M2384" s="129"/>
      <c r="N2384" s="129"/>
      <c r="O2384" s="129"/>
      <c r="P2384" s="372"/>
      <c r="Q2384" s="372"/>
      <c r="R2384" s="129"/>
      <c r="S2384" s="129"/>
      <c r="T2384" s="129"/>
      <c r="W2384" s="129" t="s">
        <v>286</v>
      </c>
      <c r="X2384" s="337" t="b">
        <f t="shared" si="71"/>
        <v>0</v>
      </c>
    </row>
    <row r="2385" spans="1:24" s="360" customFormat="1" ht="12" customHeight="1" outlineLevel="1">
      <c r="A2385" s="365"/>
      <c r="B2385" s="118" t="s">
        <v>12</v>
      </c>
      <c r="C2385" s="334" t="s">
        <v>9560</v>
      </c>
      <c r="D2385" s="124" t="s">
        <v>9561</v>
      </c>
      <c r="E2385" s="125"/>
      <c r="F2385" s="118" t="s">
        <v>622</v>
      </c>
      <c r="G2385" s="126" t="s">
        <v>9423</v>
      </c>
      <c r="H2385" s="255">
        <v>5</v>
      </c>
      <c r="I2385" s="361">
        <v>1</v>
      </c>
      <c r="J2385" s="362" t="s">
        <v>310</v>
      </c>
      <c r="K2385" s="329"/>
      <c r="L2385" s="129"/>
      <c r="M2385" s="129"/>
      <c r="N2385" s="129"/>
      <c r="O2385" s="129"/>
      <c r="P2385" s="372"/>
      <c r="Q2385" s="372"/>
      <c r="R2385" s="129"/>
      <c r="S2385" s="129"/>
      <c r="T2385" s="129"/>
      <c r="W2385" s="129" t="s">
        <v>286</v>
      </c>
      <c r="X2385" s="337" t="b">
        <f t="shared" si="71"/>
        <v>0</v>
      </c>
    </row>
    <row r="2386" spans="1:24" s="360" customFormat="1" ht="12" customHeight="1" outlineLevel="1">
      <c r="A2386" s="365"/>
      <c r="B2386" s="118" t="s">
        <v>12</v>
      </c>
      <c r="C2386" s="334" t="s">
        <v>9562</v>
      </c>
      <c r="D2386" s="124" t="s">
        <v>9563</v>
      </c>
      <c r="E2386" s="125"/>
      <c r="F2386" s="118" t="s">
        <v>622</v>
      </c>
      <c r="G2386" s="126" t="s">
        <v>9423</v>
      </c>
      <c r="H2386" s="255">
        <v>5</v>
      </c>
      <c r="I2386" s="361">
        <v>1</v>
      </c>
      <c r="J2386" s="362" t="s">
        <v>310</v>
      </c>
      <c r="K2386" s="329"/>
      <c r="L2386" s="129"/>
      <c r="M2386" s="129"/>
      <c r="N2386" s="129"/>
      <c r="O2386" s="129"/>
      <c r="P2386" s="372"/>
      <c r="Q2386" s="372"/>
      <c r="R2386" s="129"/>
      <c r="S2386" s="129"/>
      <c r="T2386" s="129"/>
      <c r="W2386" s="129" t="s">
        <v>286</v>
      </c>
      <c r="X2386" s="337" t="b">
        <f t="shared" si="71"/>
        <v>0</v>
      </c>
    </row>
    <row r="2387" spans="1:24" s="360" customFormat="1" ht="12" customHeight="1" outlineLevel="1">
      <c r="A2387" s="365"/>
      <c r="B2387" s="118" t="s">
        <v>12</v>
      </c>
      <c r="C2387" s="334" t="s">
        <v>9564</v>
      </c>
      <c r="D2387" s="124" t="s">
        <v>9565</v>
      </c>
      <c r="E2387" s="125"/>
      <c r="F2387" s="118" t="s">
        <v>622</v>
      </c>
      <c r="G2387" s="126" t="s">
        <v>9423</v>
      </c>
      <c r="H2387" s="255">
        <v>5</v>
      </c>
      <c r="I2387" s="361">
        <v>1</v>
      </c>
      <c r="J2387" s="362" t="s">
        <v>286</v>
      </c>
      <c r="K2387" s="329"/>
      <c r="L2387" s="129"/>
      <c r="M2387" s="129"/>
      <c r="N2387" s="129"/>
      <c r="O2387" s="129"/>
      <c r="P2387" s="372"/>
      <c r="Q2387" s="372"/>
      <c r="R2387" s="129"/>
      <c r="S2387" s="129"/>
      <c r="T2387" s="129"/>
      <c r="W2387" s="129" t="s">
        <v>286</v>
      </c>
      <c r="X2387" s="337" t="b">
        <f t="shared" si="71"/>
        <v>1</v>
      </c>
    </row>
    <row r="2388" spans="1:24" s="360" customFormat="1" ht="12" customHeight="1" outlineLevel="1">
      <c r="A2388" s="365"/>
      <c r="B2388" s="118" t="s">
        <v>12</v>
      </c>
      <c r="C2388" s="334" t="s">
        <v>9566</v>
      </c>
      <c r="D2388" s="124" t="s">
        <v>9567</v>
      </c>
      <c r="E2388" s="125"/>
      <c r="F2388" s="118" t="s">
        <v>622</v>
      </c>
      <c r="G2388" s="126" t="s">
        <v>9423</v>
      </c>
      <c r="H2388" s="255">
        <v>5</v>
      </c>
      <c r="I2388" s="361">
        <v>1</v>
      </c>
      <c r="J2388" s="362" t="s">
        <v>286</v>
      </c>
      <c r="K2388" s="329"/>
      <c r="L2388" s="129"/>
      <c r="M2388" s="129"/>
      <c r="N2388" s="129"/>
      <c r="O2388" s="129"/>
      <c r="P2388" s="372"/>
      <c r="Q2388" s="372"/>
      <c r="R2388" s="129"/>
      <c r="S2388" s="129"/>
      <c r="T2388" s="129"/>
      <c r="W2388" s="129" t="s">
        <v>286</v>
      </c>
      <c r="X2388" s="337" t="b">
        <f t="shared" si="71"/>
        <v>1</v>
      </c>
    </row>
    <row r="2389" spans="1:24" s="360" customFormat="1" ht="12" customHeight="1" outlineLevel="1">
      <c r="A2389" s="365"/>
      <c r="B2389" s="118" t="s">
        <v>12</v>
      </c>
      <c r="C2389" s="334" t="s">
        <v>9568</v>
      </c>
      <c r="D2389" s="124" t="s">
        <v>9569</v>
      </c>
      <c r="E2389" s="125"/>
      <c r="F2389" s="118" t="s">
        <v>622</v>
      </c>
      <c r="G2389" s="126" t="s">
        <v>9423</v>
      </c>
      <c r="H2389" s="255">
        <v>5</v>
      </c>
      <c r="I2389" s="361">
        <v>1</v>
      </c>
      <c r="J2389" s="362" t="s">
        <v>286</v>
      </c>
      <c r="K2389" s="329"/>
      <c r="L2389" s="129"/>
      <c r="M2389" s="129"/>
      <c r="N2389" s="129"/>
      <c r="O2389" s="129"/>
      <c r="P2389" s="372"/>
      <c r="Q2389" s="372"/>
      <c r="R2389" s="129"/>
      <c r="S2389" s="129"/>
      <c r="T2389" s="129"/>
      <c r="W2389" s="129" t="s">
        <v>286</v>
      </c>
      <c r="X2389" s="337" t="b">
        <f t="shared" si="71"/>
        <v>1</v>
      </c>
    </row>
    <row r="2390" spans="1:24" s="360" customFormat="1" ht="12" customHeight="1" outlineLevel="1">
      <c r="A2390" s="365"/>
      <c r="B2390" s="118" t="s">
        <v>12</v>
      </c>
      <c r="C2390" s="334" t="s">
        <v>9570</v>
      </c>
      <c r="D2390" s="124" t="s">
        <v>9571</v>
      </c>
      <c r="E2390" s="125"/>
      <c r="F2390" s="118" t="s">
        <v>622</v>
      </c>
      <c r="G2390" s="126" t="s">
        <v>9423</v>
      </c>
      <c r="H2390" s="255">
        <v>5</v>
      </c>
      <c r="I2390" s="361">
        <v>1</v>
      </c>
      <c r="J2390" s="362" t="s">
        <v>286</v>
      </c>
      <c r="K2390" s="329"/>
      <c r="L2390" s="129"/>
      <c r="M2390" s="129"/>
      <c r="N2390" s="129"/>
      <c r="O2390" s="129"/>
      <c r="P2390" s="372"/>
      <c r="Q2390" s="372"/>
      <c r="R2390" s="129"/>
      <c r="S2390" s="129"/>
      <c r="T2390" s="129"/>
      <c r="W2390" s="129" t="s">
        <v>286</v>
      </c>
      <c r="X2390" s="337" t="b">
        <f t="shared" si="71"/>
        <v>1</v>
      </c>
    </row>
    <row r="2391" spans="1:24" s="360" customFormat="1" ht="12" customHeight="1" outlineLevel="1">
      <c r="A2391" s="365"/>
      <c r="B2391" s="118" t="s">
        <v>12</v>
      </c>
      <c r="C2391" s="334" t="s">
        <v>9572</v>
      </c>
      <c r="D2391" s="124" t="s">
        <v>9573</v>
      </c>
      <c r="E2391" s="125"/>
      <c r="F2391" s="118" t="s">
        <v>622</v>
      </c>
      <c r="G2391" s="126" t="s">
        <v>9423</v>
      </c>
      <c r="H2391" s="255">
        <v>5</v>
      </c>
      <c r="I2391" s="361">
        <v>1</v>
      </c>
      <c r="J2391" s="362" t="s">
        <v>286</v>
      </c>
      <c r="K2391" s="329"/>
      <c r="L2391" s="129"/>
      <c r="M2391" s="129"/>
      <c r="N2391" s="129"/>
      <c r="O2391" s="129"/>
      <c r="P2391" s="372"/>
      <c r="Q2391" s="372"/>
      <c r="R2391" s="129"/>
      <c r="S2391" s="129"/>
      <c r="T2391" s="129"/>
      <c r="W2391" s="129" t="s">
        <v>286</v>
      </c>
      <c r="X2391" s="337" t="b">
        <f t="shared" si="71"/>
        <v>1</v>
      </c>
    </row>
    <row r="2392" spans="1:24" s="360" customFormat="1" ht="12" customHeight="1" outlineLevel="1">
      <c r="A2392" s="365"/>
      <c r="B2392" s="118" t="s">
        <v>12</v>
      </c>
      <c r="C2392" s="334" t="s">
        <v>9574</v>
      </c>
      <c r="D2392" s="124" t="s">
        <v>9575</v>
      </c>
      <c r="E2392" s="125"/>
      <c r="F2392" s="118" t="s">
        <v>622</v>
      </c>
      <c r="G2392" s="126" t="s">
        <v>9423</v>
      </c>
      <c r="H2392" s="255">
        <v>5</v>
      </c>
      <c r="I2392" s="361">
        <v>1</v>
      </c>
      <c r="J2392" s="362" t="s">
        <v>286</v>
      </c>
      <c r="K2392" s="329"/>
      <c r="L2392" s="129"/>
      <c r="M2392" s="129"/>
      <c r="N2392" s="129"/>
      <c r="O2392" s="129"/>
      <c r="P2392" s="372"/>
      <c r="Q2392" s="372"/>
      <c r="R2392" s="129"/>
      <c r="S2392" s="129"/>
      <c r="T2392" s="129"/>
      <c r="W2392" s="129" t="s">
        <v>286</v>
      </c>
      <c r="X2392" s="337" t="b">
        <f t="shared" si="71"/>
        <v>1</v>
      </c>
    </row>
    <row r="2393" spans="1:24" s="360" customFormat="1" ht="12" customHeight="1" outlineLevel="1">
      <c r="A2393" s="365"/>
      <c r="B2393" s="118" t="s">
        <v>12</v>
      </c>
      <c r="C2393" s="334" t="s">
        <v>9576</v>
      </c>
      <c r="D2393" s="124" t="s">
        <v>9577</v>
      </c>
      <c r="E2393" s="125"/>
      <c r="F2393" s="118" t="s">
        <v>622</v>
      </c>
      <c r="G2393" s="126" t="s">
        <v>9423</v>
      </c>
      <c r="H2393" s="255">
        <v>5</v>
      </c>
      <c r="I2393" s="361">
        <v>1</v>
      </c>
      <c r="J2393" s="362" t="s">
        <v>286</v>
      </c>
      <c r="K2393" s="329"/>
      <c r="L2393" s="129"/>
      <c r="M2393" s="129"/>
      <c r="N2393" s="129"/>
      <c r="O2393" s="129"/>
      <c r="P2393" s="372"/>
      <c r="Q2393" s="372"/>
      <c r="R2393" s="129"/>
      <c r="S2393" s="129"/>
      <c r="T2393" s="129"/>
      <c r="W2393" s="129" t="s">
        <v>286</v>
      </c>
      <c r="X2393" s="337" t="b">
        <f t="shared" si="71"/>
        <v>1</v>
      </c>
    </row>
    <row r="2394" spans="1:24" s="360" customFormat="1" ht="12" customHeight="1" outlineLevel="1">
      <c r="A2394" s="365"/>
      <c r="B2394" s="118" t="s">
        <v>12</v>
      </c>
      <c r="C2394" s="334" t="s">
        <v>9578</v>
      </c>
      <c r="D2394" s="124" t="s">
        <v>9579</v>
      </c>
      <c r="E2394" s="125"/>
      <c r="F2394" s="118" t="s">
        <v>622</v>
      </c>
      <c r="G2394" s="126" t="s">
        <v>9423</v>
      </c>
      <c r="H2394" s="255">
        <v>5</v>
      </c>
      <c r="I2394" s="361">
        <v>1</v>
      </c>
      <c r="J2394" s="362" t="s">
        <v>286</v>
      </c>
      <c r="K2394" s="329"/>
      <c r="L2394" s="129"/>
      <c r="M2394" s="129"/>
      <c r="N2394" s="129"/>
      <c r="O2394" s="129"/>
      <c r="P2394" s="372"/>
      <c r="Q2394" s="372"/>
      <c r="R2394" s="129"/>
      <c r="S2394" s="129"/>
      <c r="T2394" s="129"/>
      <c r="W2394" s="129" t="s">
        <v>286</v>
      </c>
      <c r="X2394" s="337" t="b">
        <f t="shared" si="71"/>
        <v>1</v>
      </c>
    </row>
    <row r="2395" spans="1:24" s="360" customFormat="1" ht="12" customHeight="1" outlineLevel="1">
      <c r="A2395" s="365"/>
      <c r="B2395" s="118" t="s">
        <v>12</v>
      </c>
      <c r="C2395" s="334" t="s">
        <v>9580</v>
      </c>
      <c r="D2395" s="124" t="s">
        <v>9581</v>
      </c>
      <c r="E2395" s="125"/>
      <c r="F2395" s="118" t="s">
        <v>622</v>
      </c>
      <c r="G2395" s="126" t="s">
        <v>9423</v>
      </c>
      <c r="H2395" s="255">
        <v>5</v>
      </c>
      <c r="I2395" s="361">
        <v>1</v>
      </c>
      <c r="J2395" s="362" t="s">
        <v>286</v>
      </c>
      <c r="K2395" s="329"/>
      <c r="L2395" s="129"/>
      <c r="M2395" s="129"/>
      <c r="N2395" s="129"/>
      <c r="O2395" s="129"/>
      <c r="P2395" s="372"/>
      <c r="Q2395" s="372"/>
      <c r="R2395" s="129"/>
      <c r="S2395" s="129"/>
      <c r="T2395" s="129"/>
      <c r="W2395" s="129" t="s">
        <v>286</v>
      </c>
      <c r="X2395" s="337" t="b">
        <f t="shared" si="71"/>
        <v>1</v>
      </c>
    </row>
    <row r="2396" spans="1:24" s="360" customFormat="1" ht="12" customHeight="1" outlineLevel="1">
      <c r="A2396" s="365"/>
      <c r="B2396" s="118" t="s">
        <v>12</v>
      </c>
      <c r="C2396" s="334" t="s">
        <v>9582</v>
      </c>
      <c r="D2396" s="124" t="s">
        <v>9583</v>
      </c>
      <c r="E2396" s="125"/>
      <c r="F2396" s="118" t="s">
        <v>622</v>
      </c>
      <c r="G2396" s="126" t="s">
        <v>9423</v>
      </c>
      <c r="H2396" s="255">
        <v>5</v>
      </c>
      <c r="I2396" s="361">
        <v>1</v>
      </c>
      <c r="J2396" s="362" t="s">
        <v>286</v>
      </c>
      <c r="K2396" s="329"/>
      <c r="L2396" s="129"/>
      <c r="M2396" s="129"/>
      <c r="N2396" s="129"/>
      <c r="O2396" s="129"/>
      <c r="P2396" s="372"/>
      <c r="Q2396" s="372"/>
      <c r="R2396" s="129"/>
      <c r="S2396" s="129"/>
      <c r="T2396" s="129"/>
      <c r="W2396" s="129" t="s">
        <v>286</v>
      </c>
      <c r="X2396" s="337" t="b">
        <f t="shared" si="71"/>
        <v>1</v>
      </c>
    </row>
    <row r="2397" spans="1:24" s="360" customFormat="1" ht="12" customHeight="1" outlineLevel="1">
      <c r="A2397" s="365"/>
      <c r="B2397" s="118" t="s">
        <v>12</v>
      </c>
      <c r="C2397" s="334" t="s">
        <v>9584</v>
      </c>
      <c r="D2397" s="124" t="s">
        <v>9585</v>
      </c>
      <c r="E2397" s="125"/>
      <c r="F2397" s="118" t="s">
        <v>622</v>
      </c>
      <c r="G2397" s="126" t="s">
        <v>9423</v>
      </c>
      <c r="H2397" s="255">
        <v>5</v>
      </c>
      <c r="I2397" s="361">
        <v>1</v>
      </c>
      <c r="J2397" s="362" t="s">
        <v>286</v>
      </c>
      <c r="K2397" s="329"/>
      <c r="L2397" s="129"/>
      <c r="M2397" s="129"/>
      <c r="N2397" s="129"/>
      <c r="O2397" s="129"/>
      <c r="P2397" s="372"/>
      <c r="Q2397" s="372"/>
      <c r="R2397" s="129"/>
      <c r="S2397" s="129"/>
      <c r="T2397" s="129"/>
      <c r="W2397" s="129" t="s">
        <v>286</v>
      </c>
      <c r="X2397" s="337" t="b">
        <f t="shared" si="71"/>
        <v>1</v>
      </c>
    </row>
    <row r="2398" spans="1:24" s="360" customFormat="1" ht="12" customHeight="1" outlineLevel="1">
      <c r="A2398" s="365"/>
      <c r="B2398" s="118" t="s">
        <v>12</v>
      </c>
      <c r="C2398" s="334" t="s">
        <v>9586</v>
      </c>
      <c r="D2398" s="124" t="s">
        <v>9587</v>
      </c>
      <c r="E2398" s="125"/>
      <c r="F2398" s="118" t="s">
        <v>622</v>
      </c>
      <c r="G2398" s="126" t="s">
        <v>9423</v>
      </c>
      <c r="H2398" s="255">
        <v>5</v>
      </c>
      <c r="I2398" s="361">
        <v>1</v>
      </c>
      <c r="J2398" s="362" t="s">
        <v>286</v>
      </c>
      <c r="K2398" s="329"/>
      <c r="L2398" s="129"/>
      <c r="M2398" s="129"/>
      <c r="N2398" s="129"/>
      <c r="O2398" s="129"/>
      <c r="P2398" s="372"/>
      <c r="Q2398" s="372"/>
      <c r="R2398" s="129"/>
      <c r="S2398" s="129"/>
      <c r="T2398" s="129"/>
      <c r="W2398" s="129" t="s">
        <v>286</v>
      </c>
      <c r="X2398" s="337" t="b">
        <f t="shared" si="71"/>
        <v>1</v>
      </c>
    </row>
    <row r="2399" spans="1:24" s="360" customFormat="1" ht="12" customHeight="1" outlineLevel="1">
      <c r="A2399" s="365"/>
      <c r="B2399" s="118" t="s">
        <v>12</v>
      </c>
      <c r="C2399" s="334" t="s">
        <v>9588</v>
      </c>
      <c r="D2399" s="124" t="s">
        <v>9589</v>
      </c>
      <c r="E2399" s="125"/>
      <c r="F2399" s="118" t="s">
        <v>622</v>
      </c>
      <c r="G2399" s="126" t="s">
        <v>9423</v>
      </c>
      <c r="H2399" s="255">
        <v>5</v>
      </c>
      <c r="I2399" s="361">
        <v>1</v>
      </c>
      <c r="J2399" s="362" t="s">
        <v>286</v>
      </c>
      <c r="K2399" s="329"/>
      <c r="L2399" s="129"/>
      <c r="M2399" s="129"/>
      <c r="N2399" s="129"/>
      <c r="O2399" s="129"/>
      <c r="P2399" s="372"/>
      <c r="Q2399" s="372"/>
      <c r="R2399" s="129"/>
      <c r="S2399" s="129"/>
      <c r="T2399" s="129"/>
      <c r="W2399" s="129" t="s">
        <v>286</v>
      </c>
      <c r="X2399" s="337" t="b">
        <f t="shared" si="71"/>
        <v>1</v>
      </c>
    </row>
    <row r="2400" spans="1:24" s="360" customFormat="1" ht="12" customHeight="1" outlineLevel="1">
      <c r="A2400" s="365"/>
      <c r="B2400" s="118" t="s">
        <v>12</v>
      </c>
      <c r="C2400" s="334" t="s">
        <v>9590</v>
      </c>
      <c r="D2400" s="124" t="s">
        <v>9591</v>
      </c>
      <c r="E2400" s="125"/>
      <c r="F2400" s="118" t="s">
        <v>622</v>
      </c>
      <c r="G2400" s="126" t="s">
        <v>9423</v>
      </c>
      <c r="H2400" s="255">
        <v>5</v>
      </c>
      <c r="I2400" s="361">
        <v>1</v>
      </c>
      <c r="J2400" s="362" t="s">
        <v>286</v>
      </c>
      <c r="K2400" s="329"/>
      <c r="L2400" s="129"/>
      <c r="M2400" s="129"/>
      <c r="N2400" s="129"/>
      <c r="O2400" s="129"/>
      <c r="P2400" s="372"/>
      <c r="Q2400" s="372"/>
      <c r="R2400" s="129"/>
      <c r="S2400" s="129"/>
      <c r="T2400" s="129"/>
      <c r="W2400" s="129" t="s">
        <v>286</v>
      </c>
      <c r="X2400" s="337" t="b">
        <f t="shared" si="71"/>
        <v>1</v>
      </c>
    </row>
    <row r="2401" spans="1:24" s="360" customFormat="1" ht="12" customHeight="1" outlineLevel="1">
      <c r="A2401" s="365"/>
      <c r="B2401" s="118" t="s">
        <v>12</v>
      </c>
      <c r="C2401" s="334" t="s">
        <v>9592</v>
      </c>
      <c r="D2401" s="124" t="s">
        <v>9593</v>
      </c>
      <c r="E2401" s="125"/>
      <c r="F2401" s="118" t="s">
        <v>622</v>
      </c>
      <c r="G2401" s="126" t="s">
        <v>9423</v>
      </c>
      <c r="H2401" s="255">
        <v>5</v>
      </c>
      <c r="I2401" s="361">
        <v>1</v>
      </c>
      <c r="J2401" s="362" t="s">
        <v>286</v>
      </c>
      <c r="K2401" s="329"/>
      <c r="L2401" s="129"/>
      <c r="M2401" s="129"/>
      <c r="N2401" s="129"/>
      <c r="O2401" s="129"/>
      <c r="P2401" s="372"/>
      <c r="Q2401" s="372"/>
      <c r="R2401" s="129"/>
      <c r="S2401" s="129"/>
      <c r="T2401" s="129"/>
      <c r="W2401" s="129" t="s">
        <v>286</v>
      </c>
      <c r="X2401" s="337" t="b">
        <f t="shared" si="71"/>
        <v>1</v>
      </c>
    </row>
    <row r="2402" spans="1:24" s="360" customFormat="1" ht="12" customHeight="1" outlineLevel="1">
      <c r="A2402" s="365"/>
      <c r="B2402" s="118" t="s">
        <v>12</v>
      </c>
      <c r="C2402" s="334" t="s">
        <v>9594</v>
      </c>
      <c r="D2402" s="124" t="s">
        <v>9595</v>
      </c>
      <c r="E2402" s="125"/>
      <c r="F2402" s="118" t="s">
        <v>622</v>
      </c>
      <c r="G2402" s="126" t="s">
        <v>9423</v>
      </c>
      <c r="H2402" s="255">
        <v>5</v>
      </c>
      <c r="I2402" s="361">
        <v>1</v>
      </c>
      <c r="J2402" s="362" t="s">
        <v>286</v>
      </c>
      <c r="K2402" s="329"/>
      <c r="L2402" s="129"/>
      <c r="M2402" s="129"/>
      <c r="N2402" s="129"/>
      <c r="O2402" s="129"/>
      <c r="P2402" s="372"/>
      <c r="Q2402" s="372"/>
      <c r="R2402" s="129"/>
      <c r="S2402" s="129"/>
      <c r="T2402" s="129"/>
      <c r="W2402" s="129" t="s">
        <v>286</v>
      </c>
      <c r="X2402" s="337" t="b">
        <f t="shared" si="71"/>
        <v>1</v>
      </c>
    </row>
    <row r="2403" spans="1:24" s="360" customFormat="1" ht="12" customHeight="1" outlineLevel="1">
      <c r="A2403" s="365"/>
      <c r="B2403" s="118" t="s">
        <v>12</v>
      </c>
      <c r="C2403" s="334" t="s">
        <v>9596</v>
      </c>
      <c r="D2403" s="124" t="s">
        <v>9597</v>
      </c>
      <c r="E2403" s="125"/>
      <c r="F2403" s="118" t="s">
        <v>622</v>
      </c>
      <c r="G2403" s="126" t="s">
        <v>9423</v>
      </c>
      <c r="H2403" s="255">
        <v>5</v>
      </c>
      <c r="I2403" s="361">
        <v>1</v>
      </c>
      <c r="J2403" s="362" t="s">
        <v>286</v>
      </c>
      <c r="K2403" s="329"/>
      <c r="L2403" s="129"/>
      <c r="M2403" s="129"/>
      <c r="N2403" s="129"/>
      <c r="O2403" s="129"/>
      <c r="P2403" s="372"/>
      <c r="Q2403" s="372"/>
      <c r="R2403" s="129"/>
      <c r="S2403" s="129"/>
      <c r="T2403" s="129"/>
      <c r="W2403" s="129" t="s">
        <v>286</v>
      </c>
      <c r="X2403" s="337" t="b">
        <f t="shared" si="71"/>
        <v>1</v>
      </c>
    </row>
    <row r="2404" spans="1:24" s="360" customFormat="1" ht="12" customHeight="1" outlineLevel="1">
      <c r="A2404" s="365"/>
      <c r="B2404" s="118" t="s">
        <v>12</v>
      </c>
      <c r="C2404" s="334" t="s">
        <v>9598</v>
      </c>
      <c r="D2404" s="124" t="s">
        <v>9599</v>
      </c>
      <c r="E2404" s="125"/>
      <c r="F2404" s="118" t="s">
        <v>622</v>
      </c>
      <c r="G2404" s="126" t="s">
        <v>9423</v>
      </c>
      <c r="H2404" s="255">
        <v>5</v>
      </c>
      <c r="I2404" s="361">
        <v>1</v>
      </c>
      <c r="J2404" s="362" t="s">
        <v>286</v>
      </c>
      <c r="K2404" s="329"/>
      <c r="L2404" s="129"/>
      <c r="M2404" s="129"/>
      <c r="N2404" s="129"/>
      <c r="O2404" s="129"/>
      <c r="P2404" s="372"/>
      <c r="Q2404" s="372"/>
      <c r="R2404" s="129"/>
      <c r="S2404" s="129"/>
      <c r="T2404" s="129"/>
      <c r="W2404" s="129" t="s">
        <v>286</v>
      </c>
      <c r="X2404" s="337" t="b">
        <f t="shared" si="71"/>
        <v>1</v>
      </c>
    </row>
    <row r="2405" spans="1:24" s="360" customFormat="1" ht="12" customHeight="1" outlineLevel="1">
      <c r="A2405" s="365"/>
      <c r="B2405" s="118" t="s">
        <v>12</v>
      </c>
      <c r="C2405" s="334" t="s">
        <v>9600</v>
      </c>
      <c r="D2405" s="124" t="s">
        <v>9601</v>
      </c>
      <c r="E2405" s="125"/>
      <c r="F2405" s="118" t="s">
        <v>622</v>
      </c>
      <c r="G2405" s="126" t="s">
        <v>9423</v>
      </c>
      <c r="H2405" s="255">
        <v>5</v>
      </c>
      <c r="I2405" s="361">
        <v>1</v>
      </c>
      <c r="J2405" s="362" t="s">
        <v>286</v>
      </c>
      <c r="K2405" s="329"/>
      <c r="L2405" s="129"/>
      <c r="M2405" s="129"/>
      <c r="N2405" s="129"/>
      <c r="O2405" s="129"/>
      <c r="P2405" s="372"/>
      <c r="Q2405" s="372"/>
      <c r="R2405" s="129"/>
      <c r="S2405" s="129"/>
      <c r="T2405" s="129"/>
      <c r="W2405" s="129" t="s">
        <v>286</v>
      </c>
      <c r="X2405" s="337" t="b">
        <f t="shared" si="71"/>
        <v>1</v>
      </c>
    </row>
    <row r="2406" spans="1:24" s="360" customFormat="1" ht="12" customHeight="1" outlineLevel="1">
      <c r="A2406" s="365"/>
      <c r="B2406" s="118" t="s">
        <v>12</v>
      </c>
      <c r="C2406" s="334" t="s">
        <v>9602</v>
      </c>
      <c r="D2406" s="124" t="s">
        <v>9603</v>
      </c>
      <c r="E2406" s="125"/>
      <c r="F2406" s="118" t="s">
        <v>622</v>
      </c>
      <c r="G2406" s="126" t="s">
        <v>9423</v>
      </c>
      <c r="H2406" s="255">
        <v>5</v>
      </c>
      <c r="I2406" s="361">
        <v>1</v>
      </c>
      <c r="J2406" s="362" t="s">
        <v>286</v>
      </c>
      <c r="K2406" s="329"/>
      <c r="L2406" s="129"/>
      <c r="M2406" s="129"/>
      <c r="N2406" s="129"/>
      <c r="O2406" s="129"/>
      <c r="P2406" s="372"/>
      <c r="Q2406" s="372"/>
      <c r="R2406" s="129"/>
      <c r="S2406" s="129"/>
      <c r="T2406" s="129"/>
      <c r="W2406" s="129" t="s">
        <v>286</v>
      </c>
      <c r="X2406" s="337" t="b">
        <f t="shared" si="71"/>
        <v>1</v>
      </c>
    </row>
    <row r="2407" spans="1:24" s="360" customFormat="1" ht="12" customHeight="1" outlineLevel="1">
      <c r="A2407" s="365"/>
      <c r="B2407" s="118" t="s">
        <v>12</v>
      </c>
      <c r="C2407" s="334" t="s">
        <v>9604</v>
      </c>
      <c r="D2407" s="124" t="s">
        <v>9605</v>
      </c>
      <c r="E2407" s="125"/>
      <c r="F2407" s="118" t="s">
        <v>622</v>
      </c>
      <c r="G2407" s="126" t="s">
        <v>9423</v>
      </c>
      <c r="H2407" s="255">
        <v>5</v>
      </c>
      <c r="I2407" s="361">
        <v>1</v>
      </c>
      <c r="J2407" s="362" t="s">
        <v>286</v>
      </c>
      <c r="K2407" s="329"/>
      <c r="L2407" s="129"/>
      <c r="M2407" s="129"/>
      <c r="N2407" s="129"/>
      <c r="O2407" s="129"/>
      <c r="P2407" s="372"/>
      <c r="Q2407" s="372"/>
      <c r="R2407" s="129"/>
      <c r="S2407" s="129"/>
      <c r="T2407" s="129"/>
      <c r="W2407" s="129" t="s">
        <v>286</v>
      </c>
      <c r="X2407" s="337" t="b">
        <f t="shared" si="71"/>
        <v>1</v>
      </c>
    </row>
    <row r="2408" spans="1:24" s="360" customFormat="1" ht="12" customHeight="1" outlineLevel="1">
      <c r="A2408" s="365"/>
      <c r="B2408" s="118" t="s">
        <v>12</v>
      </c>
      <c r="C2408" s="334" t="s">
        <v>9606</v>
      </c>
      <c r="D2408" s="124" t="s">
        <v>9607</v>
      </c>
      <c r="E2408" s="125"/>
      <c r="F2408" s="118" t="s">
        <v>622</v>
      </c>
      <c r="G2408" s="126" t="s">
        <v>9423</v>
      </c>
      <c r="H2408" s="255">
        <v>5</v>
      </c>
      <c r="I2408" s="361">
        <v>1</v>
      </c>
      <c r="J2408" s="362" t="s">
        <v>286</v>
      </c>
      <c r="K2408" s="329"/>
      <c r="L2408" s="129"/>
      <c r="M2408" s="129"/>
      <c r="N2408" s="129"/>
      <c r="O2408" s="129"/>
      <c r="P2408" s="372"/>
      <c r="Q2408" s="372"/>
      <c r="R2408" s="129"/>
      <c r="S2408" s="129"/>
      <c r="T2408" s="129"/>
      <c r="W2408" s="129" t="s">
        <v>286</v>
      </c>
      <c r="X2408" s="337" t="b">
        <f t="shared" si="71"/>
        <v>1</v>
      </c>
    </row>
    <row r="2409" spans="1:24" s="360" customFormat="1" ht="12" customHeight="1" outlineLevel="1">
      <c r="A2409" s="365"/>
      <c r="B2409" s="118" t="s">
        <v>12</v>
      </c>
      <c r="C2409" s="334" t="s">
        <v>9608</v>
      </c>
      <c r="D2409" s="124" t="s">
        <v>9609</v>
      </c>
      <c r="E2409" s="125"/>
      <c r="F2409" s="118" t="s">
        <v>622</v>
      </c>
      <c r="G2409" s="126" t="s">
        <v>9423</v>
      </c>
      <c r="H2409" s="255">
        <v>5</v>
      </c>
      <c r="I2409" s="361">
        <v>1</v>
      </c>
      <c r="J2409" s="362" t="s">
        <v>286</v>
      </c>
      <c r="K2409" s="329"/>
      <c r="L2409" s="129"/>
      <c r="M2409" s="129"/>
      <c r="N2409" s="129"/>
      <c r="O2409" s="129"/>
      <c r="P2409" s="372"/>
      <c r="Q2409" s="372"/>
      <c r="R2409" s="129"/>
      <c r="S2409" s="129"/>
      <c r="T2409" s="129"/>
      <c r="W2409" s="129" t="s">
        <v>286</v>
      </c>
      <c r="X2409" s="337" t="b">
        <f t="shared" si="71"/>
        <v>1</v>
      </c>
    </row>
    <row r="2410" spans="1:24" s="360" customFormat="1" ht="12" customHeight="1" outlineLevel="1">
      <c r="A2410" s="365"/>
      <c r="B2410" s="118" t="s">
        <v>12</v>
      </c>
      <c r="C2410" s="334" t="s">
        <v>9610</v>
      </c>
      <c r="D2410" s="124" t="s">
        <v>9611</v>
      </c>
      <c r="E2410" s="125"/>
      <c r="F2410" s="118" t="s">
        <v>622</v>
      </c>
      <c r="G2410" s="126" t="s">
        <v>9423</v>
      </c>
      <c r="H2410" s="255">
        <v>5</v>
      </c>
      <c r="I2410" s="361">
        <v>1</v>
      </c>
      <c r="J2410" s="362" t="s">
        <v>286</v>
      </c>
      <c r="K2410" s="329"/>
      <c r="L2410" s="129"/>
      <c r="M2410" s="129"/>
      <c r="N2410" s="129"/>
      <c r="O2410" s="129"/>
      <c r="P2410" s="372"/>
      <c r="Q2410" s="372"/>
      <c r="R2410" s="129"/>
      <c r="S2410" s="129"/>
      <c r="T2410" s="129"/>
      <c r="W2410" s="129" t="s">
        <v>286</v>
      </c>
      <c r="X2410" s="337" t="b">
        <f t="shared" si="71"/>
        <v>1</v>
      </c>
    </row>
    <row r="2411" spans="1:24" s="360" customFormat="1" ht="12" customHeight="1" outlineLevel="1">
      <c r="A2411" s="365"/>
      <c r="B2411" s="118" t="s">
        <v>12</v>
      </c>
      <c r="C2411" s="334" t="s">
        <v>9612</v>
      </c>
      <c r="D2411" s="124" t="s">
        <v>9613</v>
      </c>
      <c r="E2411" s="125"/>
      <c r="F2411" s="118" t="s">
        <v>622</v>
      </c>
      <c r="G2411" s="126" t="s">
        <v>9423</v>
      </c>
      <c r="H2411" s="255">
        <v>5</v>
      </c>
      <c r="I2411" s="361">
        <v>1</v>
      </c>
      <c r="J2411" s="362" t="s">
        <v>286</v>
      </c>
      <c r="K2411" s="329"/>
      <c r="L2411" s="129"/>
      <c r="M2411" s="129"/>
      <c r="N2411" s="129"/>
      <c r="O2411" s="129"/>
      <c r="P2411" s="372"/>
      <c r="Q2411" s="372"/>
      <c r="R2411" s="129"/>
      <c r="S2411" s="129"/>
      <c r="T2411" s="129"/>
      <c r="W2411" s="129" t="s">
        <v>286</v>
      </c>
      <c r="X2411" s="337" t="b">
        <f t="shared" si="71"/>
        <v>1</v>
      </c>
    </row>
    <row r="2412" spans="1:24" s="360" customFormat="1" ht="12" customHeight="1" outlineLevel="1">
      <c r="A2412" s="365"/>
      <c r="B2412" s="118" t="s">
        <v>12</v>
      </c>
      <c r="C2412" s="334" t="s">
        <v>9614</v>
      </c>
      <c r="D2412" s="124" t="s">
        <v>9615</v>
      </c>
      <c r="E2412" s="125"/>
      <c r="F2412" s="118" t="s">
        <v>622</v>
      </c>
      <c r="G2412" s="126" t="s">
        <v>9423</v>
      </c>
      <c r="H2412" s="255">
        <v>5</v>
      </c>
      <c r="I2412" s="361">
        <v>1</v>
      </c>
      <c r="J2412" s="362" t="s">
        <v>286</v>
      </c>
      <c r="K2412" s="329"/>
      <c r="L2412" s="129"/>
      <c r="M2412" s="129"/>
      <c r="N2412" s="129"/>
      <c r="O2412" s="129"/>
      <c r="P2412" s="372"/>
      <c r="Q2412" s="372"/>
      <c r="R2412" s="129"/>
      <c r="S2412" s="129"/>
      <c r="T2412" s="129"/>
      <c r="W2412" s="129" t="s">
        <v>286</v>
      </c>
      <c r="X2412" s="337" t="b">
        <f t="shared" si="71"/>
        <v>1</v>
      </c>
    </row>
    <row r="2413" spans="1:24" s="360" customFormat="1" ht="12" customHeight="1" outlineLevel="1">
      <c r="A2413" s="365"/>
      <c r="B2413" s="118" t="s">
        <v>12</v>
      </c>
      <c r="C2413" s="334" t="s">
        <v>9616</v>
      </c>
      <c r="D2413" s="124" t="s">
        <v>9617</v>
      </c>
      <c r="E2413" s="125"/>
      <c r="F2413" s="118" t="s">
        <v>622</v>
      </c>
      <c r="G2413" s="126" t="s">
        <v>9423</v>
      </c>
      <c r="H2413" s="255">
        <v>5</v>
      </c>
      <c r="I2413" s="361">
        <v>1</v>
      </c>
      <c r="J2413" s="362" t="s">
        <v>325</v>
      </c>
      <c r="K2413" s="329"/>
      <c r="L2413" s="129"/>
      <c r="M2413" s="129"/>
      <c r="N2413" s="129"/>
      <c r="O2413" s="129"/>
      <c r="P2413" s="372"/>
      <c r="Q2413" s="372"/>
      <c r="R2413" s="129"/>
      <c r="S2413" s="129"/>
      <c r="T2413" s="129"/>
      <c r="W2413" s="129" t="s">
        <v>286</v>
      </c>
      <c r="X2413" s="337" t="b">
        <f t="shared" si="71"/>
        <v>0</v>
      </c>
    </row>
    <row r="2414" spans="1:24" s="360" customFormat="1" ht="12" customHeight="1" outlineLevel="1">
      <c r="A2414" s="365"/>
      <c r="B2414" s="118" t="s">
        <v>12</v>
      </c>
      <c r="C2414" s="334" t="s">
        <v>9618</v>
      </c>
      <c r="D2414" s="124" t="s">
        <v>9619</v>
      </c>
      <c r="E2414" s="125"/>
      <c r="F2414" s="118" t="s">
        <v>622</v>
      </c>
      <c r="G2414" s="126" t="s">
        <v>9423</v>
      </c>
      <c r="H2414" s="255">
        <v>5</v>
      </c>
      <c r="I2414" s="361">
        <v>1</v>
      </c>
      <c r="J2414" s="362" t="s">
        <v>307</v>
      </c>
      <c r="K2414" s="329"/>
      <c r="L2414" s="129"/>
      <c r="M2414" s="129"/>
      <c r="N2414" s="129"/>
      <c r="O2414" s="129"/>
      <c r="P2414" s="372"/>
      <c r="Q2414" s="372"/>
      <c r="R2414" s="129"/>
      <c r="S2414" s="129"/>
      <c r="T2414" s="129"/>
      <c r="W2414" s="129" t="s">
        <v>286</v>
      </c>
      <c r="X2414" s="337" t="b">
        <f t="shared" si="71"/>
        <v>0</v>
      </c>
    </row>
    <row r="2415" spans="1:24" s="360" customFormat="1" ht="12" customHeight="1" outlineLevel="1">
      <c r="A2415" s="365"/>
      <c r="B2415" s="118" t="s">
        <v>12</v>
      </c>
      <c r="C2415" s="334" t="s">
        <v>9620</v>
      </c>
      <c r="D2415" s="124" t="s">
        <v>9621</v>
      </c>
      <c r="E2415" s="125"/>
      <c r="F2415" s="118" t="s">
        <v>622</v>
      </c>
      <c r="G2415" s="126" t="s">
        <v>9423</v>
      </c>
      <c r="H2415" s="255">
        <v>5</v>
      </c>
      <c r="I2415" s="361">
        <v>1</v>
      </c>
      <c r="J2415" s="362" t="s">
        <v>325</v>
      </c>
      <c r="K2415" s="329"/>
      <c r="L2415" s="129"/>
      <c r="M2415" s="129"/>
      <c r="N2415" s="129"/>
      <c r="O2415" s="129"/>
      <c r="P2415" s="372"/>
      <c r="Q2415" s="372"/>
      <c r="R2415" s="129"/>
      <c r="S2415" s="129"/>
      <c r="T2415" s="129"/>
      <c r="W2415" s="129" t="s">
        <v>310</v>
      </c>
      <c r="X2415" s="337" t="b">
        <f t="shared" si="71"/>
        <v>0</v>
      </c>
    </row>
    <row r="2416" spans="1:24" s="360" customFormat="1" ht="12" customHeight="1" outlineLevel="1">
      <c r="A2416" s="365"/>
      <c r="B2416" s="118" t="s">
        <v>12</v>
      </c>
      <c r="C2416" s="334" t="s">
        <v>9622</v>
      </c>
      <c r="D2416" s="124" t="s">
        <v>9623</v>
      </c>
      <c r="E2416" s="125"/>
      <c r="F2416" s="118" t="s">
        <v>622</v>
      </c>
      <c r="G2416" s="126" t="s">
        <v>9423</v>
      </c>
      <c r="H2416" s="255">
        <v>5</v>
      </c>
      <c r="I2416" s="361">
        <v>1</v>
      </c>
      <c r="J2416" s="362" t="s">
        <v>307</v>
      </c>
      <c r="K2416" s="329"/>
      <c r="L2416" s="129"/>
      <c r="M2416" s="129"/>
      <c r="N2416" s="129"/>
      <c r="O2416" s="129"/>
      <c r="P2416" s="372"/>
      <c r="Q2416" s="372"/>
      <c r="R2416" s="129"/>
      <c r="S2416" s="129"/>
      <c r="T2416" s="129"/>
      <c r="W2416" s="129" t="s">
        <v>286</v>
      </c>
      <c r="X2416" s="337" t="b">
        <f t="shared" si="71"/>
        <v>0</v>
      </c>
    </row>
    <row r="2417" spans="1:24" s="360" customFormat="1" ht="12" customHeight="1" outlineLevel="1">
      <c r="A2417" s="365"/>
      <c r="B2417" s="118" t="s">
        <v>12</v>
      </c>
      <c r="C2417" s="334" t="s">
        <v>9624</v>
      </c>
      <c r="D2417" s="124" t="s">
        <v>9625</v>
      </c>
      <c r="E2417" s="125"/>
      <c r="F2417" s="118" t="s">
        <v>622</v>
      </c>
      <c r="G2417" s="126" t="s">
        <v>9423</v>
      </c>
      <c r="H2417" s="255">
        <v>5</v>
      </c>
      <c r="I2417" s="361">
        <v>1</v>
      </c>
      <c r="J2417" s="362" t="s">
        <v>310</v>
      </c>
      <c r="K2417" s="329"/>
      <c r="L2417" s="129"/>
      <c r="M2417" s="129"/>
      <c r="N2417" s="129"/>
      <c r="O2417" s="129"/>
      <c r="P2417" s="372"/>
      <c r="Q2417" s="372"/>
      <c r="R2417" s="129"/>
      <c r="S2417" s="129"/>
      <c r="T2417" s="129"/>
      <c r="W2417" s="129" t="s">
        <v>286</v>
      </c>
      <c r="X2417" s="337" t="b">
        <f t="shared" si="71"/>
        <v>0</v>
      </c>
    </row>
    <row r="2418" spans="1:24" s="360" customFormat="1" ht="12" customHeight="1" outlineLevel="1">
      <c r="A2418" s="365"/>
      <c r="B2418" s="118" t="s">
        <v>12</v>
      </c>
      <c r="C2418" s="334" t="s">
        <v>9626</v>
      </c>
      <c r="D2418" s="124" t="s">
        <v>9627</v>
      </c>
      <c r="E2418" s="125"/>
      <c r="F2418" s="118" t="s">
        <v>622</v>
      </c>
      <c r="G2418" s="126" t="s">
        <v>9423</v>
      </c>
      <c r="H2418" s="255">
        <v>5</v>
      </c>
      <c r="I2418" s="361">
        <v>1</v>
      </c>
      <c r="J2418" s="362" t="s">
        <v>307</v>
      </c>
      <c r="K2418" s="329"/>
      <c r="L2418" s="129"/>
      <c r="M2418" s="129"/>
      <c r="N2418" s="129"/>
      <c r="O2418" s="129"/>
      <c r="P2418" s="372"/>
      <c r="Q2418" s="372"/>
      <c r="R2418" s="129"/>
      <c r="S2418" s="129"/>
      <c r="T2418" s="129"/>
      <c r="W2418" s="129" t="s">
        <v>286</v>
      </c>
      <c r="X2418" s="337" t="b">
        <f t="shared" si="71"/>
        <v>0</v>
      </c>
    </row>
    <row r="2419" spans="1:24" s="360" customFormat="1" ht="12" customHeight="1" outlineLevel="1">
      <c r="A2419" s="365"/>
      <c r="B2419" s="118" t="s">
        <v>12</v>
      </c>
      <c r="C2419" s="334" t="s">
        <v>9628</v>
      </c>
      <c r="D2419" s="124" t="s">
        <v>9629</v>
      </c>
      <c r="E2419" s="125"/>
      <c r="F2419" s="118" t="s">
        <v>622</v>
      </c>
      <c r="G2419" s="126" t="s">
        <v>9423</v>
      </c>
      <c r="H2419" s="255">
        <v>5</v>
      </c>
      <c r="I2419" s="361">
        <v>1</v>
      </c>
      <c r="J2419" s="362" t="s">
        <v>307</v>
      </c>
      <c r="K2419" s="329"/>
      <c r="L2419" s="129"/>
      <c r="M2419" s="129"/>
      <c r="N2419" s="129"/>
      <c r="O2419" s="129"/>
      <c r="P2419" s="372"/>
      <c r="Q2419" s="372"/>
      <c r="R2419" s="129"/>
      <c r="S2419" s="129"/>
      <c r="T2419" s="129"/>
      <c r="W2419" s="129" t="s">
        <v>286</v>
      </c>
      <c r="X2419" s="337" t="b">
        <f t="shared" si="71"/>
        <v>0</v>
      </c>
    </row>
    <row r="2420" spans="1:24" s="360" customFormat="1" ht="12" customHeight="1" outlineLevel="1">
      <c r="A2420" s="365"/>
      <c r="B2420" s="118" t="s">
        <v>12</v>
      </c>
      <c r="C2420" s="334" t="s">
        <v>9630</v>
      </c>
      <c r="D2420" s="124" t="s">
        <v>9631</v>
      </c>
      <c r="E2420" s="125"/>
      <c r="F2420" s="118" t="s">
        <v>622</v>
      </c>
      <c r="G2420" s="126" t="s">
        <v>9423</v>
      </c>
      <c r="H2420" s="255">
        <v>5</v>
      </c>
      <c r="I2420" s="361">
        <v>1</v>
      </c>
      <c r="J2420" s="362" t="s">
        <v>310</v>
      </c>
      <c r="K2420" s="329"/>
      <c r="L2420" s="129"/>
      <c r="M2420" s="129"/>
      <c r="N2420" s="129"/>
      <c r="O2420" s="129"/>
      <c r="P2420" s="372"/>
      <c r="Q2420" s="372"/>
      <c r="R2420" s="129"/>
      <c r="S2420" s="129"/>
      <c r="T2420" s="129"/>
      <c r="W2420" s="129" t="s">
        <v>310</v>
      </c>
      <c r="X2420" s="337" t="b">
        <f t="shared" si="71"/>
        <v>1</v>
      </c>
    </row>
    <row r="2421" spans="1:24" s="360" customFormat="1" ht="12" customHeight="1" outlineLevel="1">
      <c r="A2421" s="365"/>
      <c r="B2421" s="118" t="s">
        <v>12</v>
      </c>
      <c r="C2421" s="334" t="s">
        <v>9632</v>
      </c>
      <c r="D2421" s="124" t="s">
        <v>9633</v>
      </c>
      <c r="E2421" s="125"/>
      <c r="F2421" s="118" t="s">
        <v>622</v>
      </c>
      <c r="G2421" s="126" t="s">
        <v>9423</v>
      </c>
      <c r="H2421" s="255">
        <v>5</v>
      </c>
      <c r="I2421" s="361">
        <v>1</v>
      </c>
      <c r="J2421" s="362" t="s">
        <v>307</v>
      </c>
      <c r="K2421" s="329"/>
      <c r="L2421" s="129"/>
      <c r="M2421" s="129"/>
      <c r="N2421" s="129"/>
      <c r="O2421" s="129"/>
      <c r="P2421" s="372"/>
      <c r="Q2421" s="372"/>
      <c r="R2421" s="129"/>
      <c r="S2421" s="129"/>
      <c r="T2421" s="129"/>
      <c r="W2421" s="129" t="s">
        <v>307</v>
      </c>
      <c r="X2421" s="337" t="b">
        <f t="shared" si="71"/>
        <v>1</v>
      </c>
    </row>
    <row r="2422" spans="1:24" s="360" customFormat="1" ht="12" customHeight="1" outlineLevel="1">
      <c r="A2422" s="365"/>
      <c r="B2422" s="118" t="s">
        <v>12</v>
      </c>
      <c r="C2422" s="334" t="s">
        <v>9634</v>
      </c>
      <c r="D2422" s="124" t="s">
        <v>9615</v>
      </c>
      <c r="E2422" s="125"/>
      <c r="F2422" s="118" t="s">
        <v>622</v>
      </c>
      <c r="G2422" s="126" t="s">
        <v>9423</v>
      </c>
      <c r="H2422" s="255">
        <v>5</v>
      </c>
      <c r="I2422" s="361">
        <v>1</v>
      </c>
      <c r="J2422" s="362" t="s">
        <v>286</v>
      </c>
      <c r="K2422" s="329"/>
      <c r="L2422" s="129"/>
      <c r="M2422" s="129"/>
      <c r="N2422" s="129"/>
      <c r="O2422" s="129"/>
      <c r="P2422" s="372"/>
      <c r="Q2422" s="372"/>
      <c r="R2422" s="129"/>
      <c r="S2422" s="129"/>
      <c r="T2422" s="129"/>
      <c r="W2422" s="129" t="s">
        <v>286</v>
      </c>
      <c r="X2422" s="337" t="b">
        <f t="shared" si="71"/>
        <v>1</v>
      </c>
    </row>
    <row r="2423" spans="1:24" s="360" customFormat="1" ht="12" customHeight="1" outlineLevel="1">
      <c r="A2423" s="365"/>
      <c r="B2423" s="118" t="s">
        <v>12</v>
      </c>
      <c r="C2423" s="334" t="s">
        <v>9635</v>
      </c>
      <c r="D2423" s="124" t="s">
        <v>9617</v>
      </c>
      <c r="E2423" s="125"/>
      <c r="F2423" s="118" t="s">
        <v>622</v>
      </c>
      <c r="G2423" s="126" t="s">
        <v>9423</v>
      </c>
      <c r="H2423" s="255">
        <v>5</v>
      </c>
      <c r="I2423" s="361">
        <v>1</v>
      </c>
      <c r="J2423" s="362" t="s">
        <v>307</v>
      </c>
      <c r="K2423" s="329"/>
      <c r="L2423" s="129"/>
      <c r="M2423" s="129"/>
      <c r="N2423" s="129"/>
      <c r="O2423" s="129"/>
      <c r="P2423" s="372"/>
      <c r="Q2423" s="372"/>
      <c r="R2423" s="129"/>
      <c r="S2423" s="129"/>
      <c r="T2423" s="129"/>
      <c r="W2423" s="129" t="s">
        <v>286</v>
      </c>
      <c r="X2423" s="337" t="b">
        <f t="shared" si="71"/>
        <v>0</v>
      </c>
    </row>
    <row r="2424" spans="1:24" s="360" customFormat="1" ht="12" customHeight="1" outlineLevel="1">
      <c r="A2424" s="365"/>
      <c r="B2424" s="118" t="s">
        <v>12</v>
      </c>
      <c r="C2424" s="334" t="s">
        <v>9636</v>
      </c>
      <c r="D2424" s="124" t="s">
        <v>9619</v>
      </c>
      <c r="E2424" s="125"/>
      <c r="F2424" s="118" t="s">
        <v>622</v>
      </c>
      <c r="G2424" s="126" t="s">
        <v>9423</v>
      </c>
      <c r="H2424" s="255">
        <v>5</v>
      </c>
      <c r="I2424" s="361">
        <v>1</v>
      </c>
      <c r="J2424" s="362" t="s">
        <v>307</v>
      </c>
      <c r="K2424" s="329"/>
      <c r="L2424" s="129"/>
      <c r="M2424" s="129"/>
      <c r="N2424" s="129"/>
      <c r="O2424" s="129"/>
      <c r="P2424" s="372"/>
      <c r="Q2424" s="372"/>
      <c r="R2424" s="129"/>
      <c r="S2424" s="129"/>
      <c r="T2424" s="129"/>
      <c r="W2424" s="129" t="s">
        <v>286</v>
      </c>
      <c r="X2424" s="337" t="b">
        <f t="shared" si="71"/>
        <v>0</v>
      </c>
    </row>
    <row r="2425" spans="1:24" s="360" customFormat="1" ht="12" customHeight="1" outlineLevel="1">
      <c r="A2425" s="365"/>
      <c r="B2425" s="118" t="s">
        <v>12</v>
      </c>
      <c r="C2425" s="334" t="s">
        <v>9637</v>
      </c>
      <c r="D2425" s="124" t="s">
        <v>9621</v>
      </c>
      <c r="E2425" s="125"/>
      <c r="F2425" s="118" t="s">
        <v>622</v>
      </c>
      <c r="G2425" s="126" t="s">
        <v>9423</v>
      </c>
      <c r="H2425" s="255">
        <v>5</v>
      </c>
      <c r="I2425" s="361">
        <v>1</v>
      </c>
      <c r="J2425" s="362" t="s">
        <v>307</v>
      </c>
      <c r="K2425" s="329"/>
      <c r="L2425" s="129"/>
      <c r="M2425" s="129"/>
      <c r="N2425" s="129"/>
      <c r="O2425" s="129"/>
      <c r="P2425" s="372"/>
      <c r="Q2425" s="372"/>
      <c r="R2425" s="129"/>
      <c r="S2425" s="129"/>
      <c r="T2425" s="129"/>
      <c r="W2425" s="129" t="s">
        <v>286</v>
      </c>
      <c r="X2425" s="337" t="b">
        <f t="shared" si="71"/>
        <v>0</v>
      </c>
    </row>
    <row r="2426" spans="1:24" s="360" customFormat="1" ht="12" customHeight="1" outlineLevel="1">
      <c r="A2426" s="365"/>
      <c r="B2426" s="118" t="s">
        <v>12</v>
      </c>
      <c r="C2426" s="334" t="s">
        <v>9638</v>
      </c>
      <c r="D2426" s="124" t="s">
        <v>9623</v>
      </c>
      <c r="E2426" s="125"/>
      <c r="F2426" s="118" t="s">
        <v>622</v>
      </c>
      <c r="G2426" s="126" t="s">
        <v>9423</v>
      </c>
      <c r="H2426" s="255">
        <v>5</v>
      </c>
      <c r="I2426" s="361">
        <v>1</v>
      </c>
      <c r="J2426" s="362" t="s">
        <v>307</v>
      </c>
      <c r="K2426" s="329"/>
      <c r="L2426" s="129"/>
      <c r="M2426" s="129"/>
      <c r="N2426" s="129"/>
      <c r="O2426" s="129"/>
      <c r="P2426" s="372"/>
      <c r="Q2426" s="372"/>
      <c r="R2426" s="129"/>
      <c r="S2426" s="129"/>
      <c r="T2426" s="129"/>
      <c r="W2426" s="129" t="s">
        <v>286</v>
      </c>
      <c r="X2426" s="337" t="b">
        <f t="shared" si="71"/>
        <v>0</v>
      </c>
    </row>
    <row r="2427" spans="1:24" s="360" customFormat="1" ht="12" customHeight="1" outlineLevel="1">
      <c r="A2427" s="365"/>
      <c r="B2427" s="118" t="s">
        <v>12</v>
      </c>
      <c r="C2427" s="334" t="s">
        <v>9639</v>
      </c>
      <c r="D2427" s="124" t="s">
        <v>9625</v>
      </c>
      <c r="E2427" s="125"/>
      <c r="F2427" s="118" t="s">
        <v>622</v>
      </c>
      <c r="G2427" s="126" t="s">
        <v>9423</v>
      </c>
      <c r="H2427" s="255">
        <v>5</v>
      </c>
      <c r="I2427" s="361">
        <v>1</v>
      </c>
      <c r="J2427" s="362" t="s">
        <v>310</v>
      </c>
      <c r="K2427" s="329"/>
      <c r="L2427" s="129"/>
      <c r="M2427" s="129"/>
      <c r="N2427" s="129"/>
      <c r="O2427" s="129"/>
      <c r="P2427" s="372"/>
      <c r="Q2427" s="372"/>
      <c r="R2427" s="129"/>
      <c r="S2427" s="129"/>
      <c r="T2427" s="129"/>
      <c r="W2427" s="129" t="s">
        <v>286</v>
      </c>
      <c r="X2427" s="337" t="b">
        <f t="shared" si="71"/>
        <v>0</v>
      </c>
    </row>
    <row r="2428" spans="1:24" s="360" customFormat="1" ht="12" customHeight="1" outlineLevel="1">
      <c r="A2428" s="365"/>
      <c r="B2428" s="118" t="s">
        <v>12</v>
      </c>
      <c r="C2428" s="334" t="s">
        <v>9640</v>
      </c>
      <c r="D2428" s="124" t="s">
        <v>9641</v>
      </c>
      <c r="E2428" s="125"/>
      <c r="F2428" s="118" t="s">
        <v>622</v>
      </c>
      <c r="G2428" s="126" t="s">
        <v>9423</v>
      </c>
      <c r="H2428" s="255">
        <v>5</v>
      </c>
      <c r="I2428" s="361">
        <v>1</v>
      </c>
      <c r="J2428" s="362" t="s">
        <v>307</v>
      </c>
      <c r="K2428" s="329"/>
      <c r="L2428" s="129"/>
      <c r="M2428" s="129"/>
      <c r="N2428" s="129"/>
      <c r="O2428" s="129"/>
      <c r="P2428" s="372"/>
      <c r="Q2428" s="372"/>
      <c r="R2428" s="129"/>
      <c r="S2428" s="129"/>
      <c r="T2428" s="129"/>
      <c r="W2428" s="129" t="s">
        <v>310</v>
      </c>
      <c r="X2428" s="337" t="b">
        <f t="shared" si="71"/>
        <v>0</v>
      </c>
    </row>
    <row r="2429" spans="1:24" s="360" customFormat="1" ht="12" customHeight="1" outlineLevel="1">
      <c r="A2429" s="365"/>
      <c r="B2429" s="118" t="s">
        <v>12</v>
      </c>
      <c r="C2429" s="334" t="s">
        <v>9642</v>
      </c>
      <c r="D2429" s="124" t="s">
        <v>9643</v>
      </c>
      <c r="E2429" s="125"/>
      <c r="F2429" s="118" t="s">
        <v>622</v>
      </c>
      <c r="G2429" s="126" t="s">
        <v>9423</v>
      </c>
      <c r="H2429" s="255">
        <v>5</v>
      </c>
      <c r="I2429" s="361">
        <v>1</v>
      </c>
      <c r="J2429" s="362" t="s">
        <v>310</v>
      </c>
      <c r="K2429" s="329"/>
      <c r="L2429" s="129"/>
      <c r="M2429" s="129"/>
      <c r="N2429" s="129"/>
      <c r="O2429" s="129"/>
      <c r="P2429" s="372"/>
      <c r="Q2429" s="372"/>
      <c r="R2429" s="129"/>
      <c r="S2429" s="129"/>
      <c r="T2429" s="129"/>
      <c r="W2429" s="129" t="s">
        <v>286</v>
      </c>
      <c r="X2429" s="337" t="b">
        <f t="shared" si="71"/>
        <v>0</v>
      </c>
    </row>
    <row r="2430" spans="1:24" s="360" customFormat="1" ht="12" customHeight="1" outlineLevel="1">
      <c r="A2430" s="365"/>
      <c r="B2430" s="118" t="s">
        <v>12</v>
      </c>
      <c r="C2430" s="334" t="s">
        <v>9644</v>
      </c>
      <c r="D2430" s="124" t="s">
        <v>9645</v>
      </c>
      <c r="E2430" s="125"/>
      <c r="F2430" s="118" t="s">
        <v>622</v>
      </c>
      <c r="G2430" s="126" t="s">
        <v>9423</v>
      </c>
      <c r="H2430" s="255">
        <v>5</v>
      </c>
      <c r="I2430" s="361">
        <v>1</v>
      </c>
      <c r="J2430" s="362" t="s">
        <v>286</v>
      </c>
      <c r="K2430" s="329"/>
      <c r="L2430" s="129"/>
      <c r="M2430" s="129"/>
      <c r="N2430" s="129"/>
      <c r="O2430" s="129"/>
      <c r="P2430" s="372"/>
      <c r="Q2430" s="372"/>
      <c r="R2430" s="129"/>
      <c r="S2430" s="129"/>
      <c r="T2430" s="129"/>
      <c r="W2430" s="129" t="s">
        <v>286</v>
      </c>
      <c r="X2430" s="337" t="b">
        <f t="shared" si="71"/>
        <v>1</v>
      </c>
    </row>
    <row r="2431" spans="1:24" s="360" customFormat="1" ht="12" customHeight="1" outlineLevel="1">
      <c r="A2431" s="365"/>
      <c r="B2431" s="118" t="s">
        <v>12</v>
      </c>
      <c r="C2431" s="334" t="s">
        <v>9646</v>
      </c>
      <c r="D2431" s="124" t="s">
        <v>9615</v>
      </c>
      <c r="E2431" s="125"/>
      <c r="F2431" s="118" t="s">
        <v>622</v>
      </c>
      <c r="G2431" s="126" t="s">
        <v>9423</v>
      </c>
      <c r="H2431" s="255">
        <v>5</v>
      </c>
      <c r="I2431" s="361">
        <v>1</v>
      </c>
      <c r="J2431" s="362" t="s">
        <v>286</v>
      </c>
      <c r="K2431" s="329"/>
      <c r="L2431" s="129"/>
      <c r="M2431" s="129"/>
      <c r="N2431" s="129"/>
      <c r="O2431" s="129"/>
      <c r="P2431" s="372"/>
      <c r="Q2431" s="372"/>
      <c r="R2431" s="129"/>
      <c r="S2431" s="129"/>
      <c r="T2431" s="129"/>
      <c r="W2431" s="129" t="s">
        <v>286</v>
      </c>
      <c r="X2431" s="337" t="b">
        <f t="shared" si="71"/>
        <v>1</v>
      </c>
    </row>
    <row r="2432" spans="1:24" s="360" customFormat="1" ht="12" customHeight="1" outlineLevel="1">
      <c r="A2432" s="365"/>
      <c r="B2432" s="118" t="s">
        <v>12</v>
      </c>
      <c r="C2432" s="334" t="s">
        <v>9647</v>
      </c>
      <c r="D2432" s="124" t="s">
        <v>9617</v>
      </c>
      <c r="E2432" s="125"/>
      <c r="F2432" s="118" t="s">
        <v>622</v>
      </c>
      <c r="G2432" s="126" t="s">
        <v>9423</v>
      </c>
      <c r="H2432" s="255">
        <v>5</v>
      </c>
      <c r="I2432" s="361">
        <v>1</v>
      </c>
      <c r="J2432" s="362" t="s">
        <v>310</v>
      </c>
      <c r="K2432" s="329"/>
      <c r="L2432" s="129"/>
      <c r="M2432" s="129"/>
      <c r="N2432" s="129"/>
      <c r="O2432" s="129"/>
      <c r="P2432" s="372"/>
      <c r="Q2432" s="372"/>
      <c r="R2432" s="129"/>
      <c r="S2432" s="129"/>
      <c r="T2432" s="129"/>
      <c r="W2432" s="129" t="s">
        <v>286</v>
      </c>
      <c r="X2432" s="337" t="b">
        <f t="shared" si="71"/>
        <v>0</v>
      </c>
    </row>
    <row r="2433" spans="1:24" s="360" customFormat="1" ht="12" customHeight="1" outlineLevel="1">
      <c r="A2433" s="365"/>
      <c r="B2433" s="118" t="s">
        <v>12</v>
      </c>
      <c r="C2433" s="334" t="s">
        <v>9648</v>
      </c>
      <c r="D2433" s="124" t="s">
        <v>9619</v>
      </c>
      <c r="E2433" s="125"/>
      <c r="F2433" s="118" t="s">
        <v>622</v>
      </c>
      <c r="G2433" s="126" t="s">
        <v>9423</v>
      </c>
      <c r="H2433" s="255">
        <v>5</v>
      </c>
      <c r="I2433" s="361">
        <v>1</v>
      </c>
      <c r="J2433" s="362" t="s">
        <v>286</v>
      </c>
      <c r="K2433" s="329"/>
      <c r="L2433" s="129"/>
      <c r="M2433" s="129"/>
      <c r="N2433" s="129"/>
      <c r="O2433" s="129"/>
      <c r="P2433" s="372"/>
      <c r="Q2433" s="372"/>
      <c r="R2433" s="129"/>
      <c r="S2433" s="129"/>
      <c r="T2433" s="129"/>
      <c r="W2433" s="129" t="s">
        <v>286</v>
      </c>
      <c r="X2433" s="337" t="b">
        <f t="shared" ref="X2433:X2496" si="72">W2433=J2433</f>
        <v>1</v>
      </c>
    </row>
    <row r="2434" spans="1:24" s="360" customFormat="1" ht="12" customHeight="1" outlineLevel="1">
      <c r="A2434" s="365"/>
      <c r="B2434" s="118" t="s">
        <v>12</v>
      </c>
      <c r="C2434" s="334" t="s">
        <v>9649</v>
      </c>
      <c r="D2434" s="124" t="s">
        <v>9621</v>
      </c>
      <c r="E2434" s="125"/>
      <c r="F2434" s="118" t="s">
        <v>622</v>
      </c>
      <c r="G2434" s="126" t="s">
        <v>9423</v>
      </c>
      <c r="H2434" s="255">
        <v>5</v>
      </c>
      <c r="I2434" s="361">
        <v>1</v>
      </c>
      <c r="J2434" s="362" t="s">
        <v>286</v>
      </c>
      <c r="K2434" s="329"/>
      <c r="L2434" s="129"/>
      <c r="M2434" s="129"/>
      <c r="N2434" s="129"/>
      <c r="O2434" s="129"/>
      <c r="P2434" s="372"/>
      <c r="Q2434" s="372"/>
      <c r="R2434" s="129"/>
      <c r="S2434" s="129"/>
      <c r="T2434" s="129"/>
      <c r="W2434" s="129" t="s">
        <v>286</v>
      </c>
      <c r="X2434" s="337" t="b">
        <f t="shared" si="72"/>
        <v>1</v>
      </c>
    </row>
    <row r="2435" spans="1:24" s="360" customFormat="1" ht="12" customHeight="1" outlineLevel="1">
      <c r="A2435" s="365"/>
      <c r="B2435" s="118" t="s">
        <v>12</v>
      </c>
      <c r="C2435" s="334" t="s">
        <v>9650</v>
      </c>
      <c r="D2435" s="124" t="s">
        <v>9623</v>
      </c>
      <c r="E2435" s="125"/>
      <c r="F2435" s="118" t="s">
        <v>622</v>
      </c>
      <c r="G2435" s="126" t="s">
        <v>9423</v>
      </c>
      <c r="H2435" s="255">
        <v>5</v>
      </c>
      <c r="I2435" s="361">
        <v>1</v>
      </c>
      <c r="J2435" s="362" t="s">
        <v>310</v>
      </c>
      <c r="K2435" s="329"/>
      <c r="L2435" s="129"/>
      <c r="M2435" s="129"/>
      <c r="N2435" s="129"/>
      <c r="O2435" s="129"/>
      <c r="P2435" s="372"/>
      <c r="Q2435" s="372"/>
      <c r="R2435" s="129"/>
      <c r="S2435" s="129"/>
      <c r="T2435" s="129"/>
      <c r="W2435" s="129" t="s">
        <v>286</v>
      </c>
      <c r="X2435" s="337" t="b">
        <f t="shared" si="72"/>
        <v>0</v>
      </c>
    </row>
    <row r="2436" spans="1:24" s="360" customFormat="1" ht="12" customHeight="1" outlineLevel="1">
      <c r="A2436" s="365"/>
      <c r="B2436" s="118" t="s">
        <v>12</v>
      </c>
      <c r="C2436" s="334" t="s">
        <v>9651</v>
      </c>
      <c r="D2436" s="124" t="s">
        <v>9625</v>
      </c>
      <c r="E2436" s="125"/>
      <c r="F2436" s="118" t="s">
        <v>622</v>
      </c>
      <c r="G2436" s="126" t="s">
        <v>9423</v>
      </c>
      <c r="H2436" s="255">
        <v>5</v>
      </c>
      <c r="I2436" s="361">
        <v>1</v>
      </c>
      <c r="J2436" s="362" t="s">
        <v>286</v>
      </c>
      <c r="K2436" s="329"/>
      <c r="L2436" s="129"/>
      <c r="M2436" s="129"/>
      <c r="N2436" s="129"/>
      <c r="O2436" s="129"/>
      <c r="P2436" s="372"/>
      <c r="Q2436" s="372"/>
      <c r="R2436" s="129"/>
      <c r="S2436" s="129"/>
      <c r="T2436" s="129"/>
      <c r="W2436" s="129" t="s">
        <v>286</v>
      </c>
      <c r="X2436" s="337" t="b">
        <f t="shared" si="72"/>
        <v>1</v>
      </c>
    </row>
    <row r="2437" spans="1:24" s="360" customFormat="1" ht="12" customHeight="1" outlineLevel="1">
      <c r="A2437" s="365"/>
      <c r="B2437" s="118" t="s">
        <v>12</v>
      </c>
      <c r="C2437" s="334" t="s">
        <v>9652</v>
      </c>
      <c r="D2437" s="124" t="s">
        <v>9627</v>
      </c>
      <c r="E2437" s="125"/>
      <c r="F2437" s="118" t="s">
        <v>622</v>
      </c>
      <c r="G2437" s="126" t="s">
        <v>9423</v>
      </c>
      <c r="H2437" s="255">
        <v>5</v>
      </c>
      <c r="I2437" s="361">
        <v>1</v>
      </c>
      <c r="J2437" s="362" t="s">
        <v>286</v>
      </c>
      <c r="K2437" s="329"/>
      <c r="L2437" s="129"/>
      <c r="M2437" s="129"/>
      <c r="N2437" s="129"/>
      <c r="O2437" s="129"/>
      <c r="P2437" s="372"/>
      <c r="Q2437" s="372"/>
      <c r="R2437" s="129"/>
      <c r="S2437" s="129"/>
      <c r="T2437" s="129"/>
      <c r="W2437" s="129" t="s">
        <v>286</v>
      </c>
      <c r="X2437" s="337" t="b">
        <f t="shared" si="72"/>
        <v>1</v>
      </c>
    </row>
    <row r="2438" spans="1:24" s="360" customFormat="1" ht="12" customHeight="1" outlineLevel="1">
      <c r="A2438" s="365"/>
      <c r="B2438" s="118" t="s">
        <v>12</v>
      </c>
      <c r="C2438" s="334" t="s">
        <v>9653</v>
      </c>
      <c r="D2438" s="124" t="s">
        <v>9654</v>
      </c>
      <c r="E2438" s="125"/>
      <c r="F2438" s="118" t="s">
        <v>622</v>
      </c>
      <c r="G2438" s="126" t="s">
        <v>9423</v>
      </c>
      <c r="H2438" s="255">
        <v>5</v>
      </c>
      <c r="I2438" s="361">
        <v>1</v>
      </c>
      <c r="J2438" s="362" t="s">
        <v>286</v>
      </c>
      <c r="K2438" s="329"/>
      <c r="L2438" s="129"/>
      <c r="M2438" s="129"/>
      <c r="N2438" s="129"/>
      <c r="O2438" s="129"/>
      <c r="P2438" s="372"/>
      <c r="Q2438" s="372"/>
      <c r="R2438" s="129"/>
      <c r="S2438" s="129"/>
      <c r="T2438" s="129"/>
      <c r="W2438" s="129" t="s">
        <v>286</v>
      </c>
      <c r="X2438" s="337" t="b">
        <f t="shared" si="72"/>
        <v>1</v>
      </c>
    </row>
    <row r="2439" spans="1:24" s="360" customFormat="1" ht="12" customHeight="1" outlineLevel="1">
      <c r="A2439" s="365"/>
      <c r="B2439" s="118" t="s">
        <v>12</v>
      </c>
      <c r="C2439" s="334" t="s">
        <v>9655</v>
      </c>
      <c r="D2439" s="124" t="s">
        <v>9656</v>
      </c>
      <c r="E2439" s="125"/>
      <c r="F2439" s="118" t="s">
        <v>622</v>
      </c>
      <c r="G2439" s="126" t="s">
        <v>9423</v>
      </c>
      <c r="H2439" s="255">
        <v>5</v>
      </c>
      <c r="I2439" s="361">
        <v>1</v>
      </c>
      <c r="J2439" s="362" t="s">
        <v>310</v>
      </c>
      <c r="K2439" s="329"/>
      <c r="L2439" s="129"/>
      <c r="M2439" s="129"/>
      <c r="N2439" s="129"/>
      <c r="O2439" s="129"/>
      <c r="P2439" s="372"/>
      <c r="Q2439" s="372"/>
      <c r="R2439" s="129"/>
      <c r="S2439" s="129"/>
      <c r="T2439" s="129"/>
      <c r="W2439" s="129" t="s">
        <v>4876</v>
      </c>
      <c r="X2439" s="337" t="b">
        <f t="shared" si="72"/>
        <v>0</v>
      </c>
    </row>
    <row r="2440" spans="1:24" s="360" customFormat="1" ht="12" customHeight="1" outlineLevel="1">
      <c r="A2440" s="365"/>
      <c r="B2440" s="118" t="s">
        <v>12</v>
      </c>
      <c r="C2440" s="334" t="s">
        <v>9657</v>
      </c>
      <c r="D2440" s="124" t="s">
        <v>9658</v>
      </c>
      <c r="E2440" s="125"/>
      <c r="F2440" s="118" t="s">
        <v>622</v>
      </c>
      <c r="G2440" s="126" t="s">
        <v>9423</v>
      </c>
      <c r="H2440" s="255">
        <v>5</v>
      </c>
      <c r="I2440" s="361">
        <v>1</v>
      </c>
      <c r="J2440" s="362" t="s">
        <v>286</v>
      </c>
      <c r="K2440" s="329"/>
      <c r="L2440" s="129"/>
      <c r="M2440" s="129"/>
      <c r="N2440" s="129"/>
      <c r="O2440" s="129"/>
      <c r="P2440" s="372"/>
      <c r="Q2440" s="372"/>
      <c r="R2440" s="129"/>
      <c r="S2440" s="129"/>
      <c r="T2440" s="129"/>
      <c r="W2440" s="129" t="s">
        <v>4876</v>
      </c>
      <c r="X2440" s="337" t="b">
        <f t="shared" si="72"/>
        <v>0</v>
      </c>
    </row>
    <row r="2441" spans="1:24" s="360" customFormat="1" ht="12" customHeight="1" outlineLevel="1">
      <c r="A2441" s="365"/>
      <c r="B2441" s="118" t="s">
        <v>12</v>
      </c>
      <c r="C2441" s="334" t="s">
        <v>9659</v>
      </c>
      <c r="D2441" s="124" t="s">
        <v>9660</v>
      </c>
      <c r="E2441" s="125"/>
      <c r="F2441" s="118" t="s">
        <v>622</v>
      </c>
      <c r="G2441" s="126" t="s">
        <v>9423</v>
      </c>
      <c r="H2441" s="255">
        <v>5</v>
      </c>
      <c r="I2441" s="361">
        <v>1</v>
      </c>
      <c r="J2441" s="362" t="s">
        <v>286</v>
      </c>
      <c r="K2441" s="329"/>
      <c r="L2441" s="129"/>
      <c r="M2441" s="129"/>
      <c r="N2441" s="129"/>
      <c r="O2441" s="129"/>
      <c r="P2441" s="372"/>
      <c r="Q2441" s="372"/>
      <c r="R2441" s="129"/>
      <c r="S2441" s="129"/>
      <c r="T2441" s="129"/>
      <c r="W2441" s="129" t="s">
        <v>4876</v>
      </c>
      <c r="X2441" s="337" t="b">
        <f t="shared" si="72"/>
        <v>0</v>
      </c>
    </row>
    <row r="2442" spans="1:24" s="360" customFormat="1" ht="12" customHeight="1" outlineLevel="1">
      <c r="A2442" s="365"/>
      <c r="B2442" s="118" t="s">
        <v>12</v>
      </c>
      <c r="C2442" s="334" t="s">
        <v>9661</v>
      </c>
      <c r="D2442" s="124" t="s">
        <v>9662</v>
      </c>
      <c r="E2442" s="125"/>
      <c r="F2442" s="118" t="s">
        <v>622</v>
      </c>
      <c r="G2442" s="126" t="s">
        <v>9423</v>
      </c>
      <c r="H2442" s="255">
        <v>5</v>
      </c>
      <c r="I2442" s="361">
        <v>1</v>
      </c>
      <c r="J2442" s="362" t="s">
        <v>286</v>
      </c>
      <c r="K2442" s="329"/>
      <c r="L2442" s="129"/>
      <c r="M2442" s="129"/>
      <c r="N2442" s="129"/>
      <c r="O2442" s="129"/>
      <c r="P2442" s="372"/>
      <c r="Q2442" s="372"/>
      <c r="R2442" s="129"/>
      <c r="S2442" s="129"/>
      <c r="T2442" s="129"/>
      <c r="W2442" s="129" t="s">
        <v>4876</v>
      </c>
      <c r="X2442" s="337" t="b">
        <f t="shared" si="72"/>
        <v>0</v>
      </c>
    </row>
    <row r="2443" spans="1:24" s="360" customFormat="1" ht="12" customHeight="1" outlineLevel="1">
      <c r="A2443" s="365"/>
      <c r="B2443" s="118" t="s">
        <v>12</v>
      </c>
      <c r="C2443" s="334" t="s">
        <v>9663</v>
      </c>
      <c r="D2443" s="124" t="s">
        <v>9664</v>
      </c>
      <c r="E2443" s="125"/>
      <c r="F2443" s="118" t="s">
        <v>622</v>
      </c>
      <c r="G2443" s="126" t="s">
        <v>9423</v>
      </c>
      <c r="H2443" s="255">
        <v>5</v>
      </c>
      <c r="I2443" s="361">
        <v>1</v>
      </c>
      <c r="J2443" s="362" t="s">
        <v>307</v>
      </c>
      <c r="K2443" s="329"/>
      <c r="L2443" s="129"/>
      <c r="M2443" s="129"/>
      <c r="N2443" s="129"/>
      <c r="O2443" s="129"/>
      <c r="P2443" s="372"/>
      <c r="Q2443" s="372"/>
      <c r="R2443" s="129"/>
      <c r="S2443" s="129"/>
      <c r="T2443" s="129"/>
      <c r="W2443" s="129" t="s">
        <v>4876</v>
      </c>
      <c r="X2443" s="337" t="b">
        <f t="shared" si="72"/>
        <v>0</v>
      </c>
    </row>
    <row r="2444" spans="1:24" s="360" customFormat="1" ht="12" customHeight="1" outlineLevel="1">
      <c r="A2444" s="365"/>
      <c r="B2444" s="118" t="s">
        <v>12</v>
      </c>
      <c r="C2444" s="334" t="s">
        <v>9665</v>
      </c>
      <c r="D2444" s="124" t="s">
        <v>9666</v>
      </c>
      <c r="E2444" s="125"/>
      <c r="F2444" s="118" t="s">
        <v>622</v>
      </c>
      <c r="G2444" s="126" t="s">
        <v>9423</v>
      </c>
      <c r="H2444" s="255">
        <v>5</v>
      </c>
      <c r="I2444" s="361">
        <v>1</v>
      </c>
      <c r="J2444" s="362" t="s">
        <v>310</v>
      </c>
      <c r="K2444" s="329"/>
      <c r="L2444" s="129"/>
      <c r="M2444" s="129"/>
      <c r="N2444" s="129"/>
      <c r="O2444" s="129"/>
      <c r="P2444" s="372"/>
      <c r="Q2444" s="372"/>
      <c r="R2444" s="129"/>
      <c r="S2444" s="129"/>
      <c r="T2444" s="129"/>
      <c r="W2444" s="129" t="s">
        <v>4876</v>
      </c>
      <c r="X2444" s="337" t="b">
        <f t="shared" si="72"/>
        <v>0</v>
      </c>
    </row>
    <row r="2445" spans="1:24" s="360" customFormat="1" ht="12" customHeight="1" outlineLevel="1">
      <c r="A2445" s="365"/>
      <c r="B2445" s="118" t="s">
        <v>12</v>
      </c>
      <c r="C2445" s="334" t="s">
        <v>9667</v>
      </c>
      <c r="D2445" s="124" t="s">
        <v>9668</v>
      </c>
      <c r="E2445" s="125"/>
      <c r="F2445" s="118" t="s">
        <v>622</v>
      </c>
      <c r="G2445" s="126" t="s">
        <v>9423</v>
      </c>
      <c r="H2445" s="255">
        <v>5</v>
      </c>
      <c r="I2445" s="361">
        <v>1</v>
      </c>
      <c r="J2445" s="362" t="s">
        <v>307</v>
      </c>
      <c r="K2445" s="329"/>
      <c r="L2445" s="129"/>
      <c r="M2445" s="129"/>
      <c r="N2445" s="129"/>
      <c r="O2445" s="129"/>
      <c r="P2445" s="372"/>
      <c r="Q2445" s="372"/>
      <c r="R2445" s="129"/>
      <c r="S2445" s="129"/>
      <c r="T2445" s="129"/>
      <c r="W2445" s="129" t="s">
        <v>4876</v>
      </c>
      <c r="X2445" s="337" t="b">
        <f t="shared" si="72"/>
        <v>0</v>
      </c>
    </row>
    <row r="2446" spans="1:24" s="360" customFormat="1" ht="12" customHeight="1" outlineLevel="1">
      <c r="A2446" s="365"/>
      <c r="B2446" s="118" t="s">
        <v>12</v>
      </c>
      <c r="C2446" s="334" t="s">
        <v>9669</v>
      </c>
      <c r="D2446" s="124" t="s">
        <v>9670</v>
      </c>
      <c r="E2446" s="125"/>
      <c r="F2446" s="118" t="s">
        <v>622</v>
      </c>
      <c r="G2446" s="126" t="s">
        <v>9423</v>
      </c>
      <c r="H2446" s="255">
        <v>5</v>
      </c>
      <c r="I2446" s="361">
        <v>1</v>
      </c>
      <c r="J2446" s="362" t="s">
        <v>286</v>
      </c>
      <c r="K2446" s="329"/>
      <c r="L2446" s="129"/>
      <c r="M2446" s="129"/>
      <c r="N2446" s="129"/>
      <c r="O2446" s="129"/>
      <c r="P2446" s="372"/>
      <c r="Q2446" s="372"/>
      <c r="R2446" s="129"/>
      <c r="S2446" s="129"/>
      <c r="T2446" s="129"/>
      <c r="W2446" s="129" t="s">
        <v>4876</v>
      </c>
      <c r="X2446" s="337" t="b">
        <f t="shared" si="72"/>
        <v>0</v>
      </c>
    </row>
    <row r="2447" spans="1:24" s="360" customFormat="1" ht="12" customHeight="1" outlineLevel="1">
      <c r="A2447" s="365"/>
      <c r="B2447" s="118" t="s">
        <v>12</v>
      </c>
      <c r="C2447" s="334" t="s">
        <v>9671</v>
      </c>
      <c r="D2447" s="124" t="s">
        <v>9672</v>
      </c>
      <c r="E2447" s="125"/>
      <c r="F2447" s="118" t="s">
        <v>622</v>
      </c>
      <c r="G2447" s="126" t="s">
        <v>9423</v>
      </c>
      <c r="H2447" s="255">
        <v>5</v>
      </c>
      <c r="I2447" s="361">
        <v>1</v>
      </c>
      <c r="J2447" s="362" t="s">
        <v>286</v>
      </c>
      <c r="K2447" s="329"/>
      <c r="L2447" s="129"/>
      <c r="M2447" s="129"/>
      <c r="N2447" s="129"/>
      <c r="O2447" s="129"/>
      <c r="P2447" s="372"/>
      <c r="Q2447" s="372"/>
      <c r="R2447" s="129"/>
      <c r="S2447" s="129"/>
      <c r="T2447" s="129"/>
      <c r="W2447" s="129" t="s">
        <v>4876</v>
      </c>
      <c r="X2447" s="337" t="b">
        <f t="shared" si="72"/>
        <v>0</v>
      </c>
    </row>
    <row r="2448" spans="1:24" s="360" customFormat="1" ht="12" customHeight="1" outlineLevel="1">
      <c r="A2448" s="365"/>
      <c r="B2448" s="118" t="s">
        <v>12</v>
      </c>
      <c r="C2448" s="334" t="s">
        <v>9673</v>
      </c>
      <c r="D2448" s="124" t="s">
        <v>9674</v>
      </c>
      <c r="E2448" s="125"/>
      <c r="F2448" s="118" t="s">
        <v>622</v>
      </c>
      <c r="G2448" s="126" t="s">
        <v>9423</v>
      </c>
      <c r="H2448" s="255">
        <v>5</v>
      </c>
      <c r="I2448" s="361">
        <v>1</v>
      </c>
      <c r="J2448" s="362" t="s">
        <v>286</v>
      </c>
      <c r="K2448" s="329"/>
      <c r="L2448" s="129"/>
      <c r="M2448" s="129"/>
      <c r="N2448" s="129"/>
      <c r="O2448" s="129"/>
      <c r="P2448" s="372"/>
      <c r="Q2448" s="372"/>
      <c r="R2448" s="129"/>
      <c r="S2448" s="129"/>
      <c r="T2448" s="129"/>
      <c r="W2448" s="129" t="s">
        <v>4876</v>
      </c>
      <c r="X2448" s="337" t="b">
        <f t="shared" si="72"/>
        <v>0</v>
      </c>
    </row>
    <row r="2449" spans="1:24" s="360" customFormat="1" ht="12" customHeight="1" outlineLevel="1">
      <c r="A2449" s="365"/>
      <c r="B2449" s="118" t="s">
        <v>12</v>
      </c>
      <c r="C2449" s="334" t="s">
        <v>9675</v>
      </c>
      <c r="D2449" s="124" t="s">
        <v>9658</v>
      </c>
      <c r="E2449" s="125"/>
      <c r="F2449" s="118" t="s">
        <v>622</v>
      </c>
      <c r="G2449" s="126" t="s">
        <v>9423</v>
      </c>
      <c r="H2449" s="255">
        <v>5</v>
      </c>
      <c r="I2449" s="361">
        <v>1</v>
      </c>
      <c r="J2449" s="362" t="s">
        <v>310</v>
      </c>
      <c r="K2449" s="329"/>
      <c r="L2449" s="129"/>
      <c r="M2449" s="129"/>
      <c r="N2449" s="129"/>
      <c r="O2449" s="129"/>
      <c r="P2449" s="372"/>
      <c r="Q2449" s="372"/>
      <c r="R2449" s="129"/>
      <c r="S2449" s="129"/>
      <c r="T2449" s="129"/>
      <c r="W2449" s="129" t="s">
        <v>4876</v>
      </c>
      <c r="X2449" s="337" t="b">
        <f t="shared" si="72"/>
        <v>0</v>
      </c>
    </row>
    <row r="2450" spans="1:24" s="360" customFormat="1" ht="12" customHeight="1" outlineLevel="1">
      <c r="A2450" s="365"/>
      <c r="B2450" s="118" t="s">
        <v>12</v>
      </c>
      <c r="C2450" s="334" t="s">
        <v>9676</v>
      </c>
      <c r="D2450" s="124" t="s">
        <v>9660</v>
      </c>
      <c r="E2450" s="125"/>
      <c r="F2450" s="118" t="s">
        <v>622</v>
      </c>
      <c r="G2450" s="126" t="s">
        <v>9423</v>
      </c>
      <c r="H2450" s="255">
        <v>5</v>
      </c>
      <c r="I2450" s="361">
        <v>1</v>
      </c>
      <c r="J2450" s="362" t="s">
        <v>286</v>
      </c>
      <c r="K2450" s="329"/>
      <c r="L2450" s="129"/>
      <c r="M2450" s="129"/>
      <c r="N2450" s="129"/>
      <c r="O2450" s="129"/>
      <c r="P2450" s="372"/>
      <c r="Q2450" s="372"/>
      <c r="R2450" s="129"/>
      <c r="S2450" s="129"/>
      <c r="T2450" s="129"/>
      <c r="W2450" s="129" t="s">
        <v>4876</v>
      </c>
      <c r="X2450" s="337" t="b">
        <f t="shared" si="72"/>
        <v>0</v>
      </c>
    </row>
    <row r="2451" spans="1:24" s="360" customFormat="1" ht="12" customHeight="1" outlineLevel="1">
      <c r="A2451" s="365"/>
      <c r="B2451" s="118" t="s">
        <v>12</v>
      </c>
      <c r="C2451" s="334" t="s">
        <v>9677</v>
      </c>
      <c r="D2451" s="124" t="s">
        <v>9678</v>
      </c>
      <c r="E2451" s="125"/>
      <c r="F2451" s="118" t="s">
        <v>622</v>
      </c>
      <c r="G2451" s="126" t="s">
        <v>9423</v>
      </c>
      <c r="H2451" s="255">
        <v>5</v>
      </c>
      <c r="I2451" s="361">
        <v>1</v>
      </c>
      <c r="J2451" s="362" t="s">
        <v>310</v>
      </c>
      <c r="K2451" s="329"/>
      <c r="L2451" s="129"/>
      <c r="M2451" s="129"/>
      <c r="N2451" s="129"/>
      <c r="O2451" s="129"/>
      <c r="P2451" s="372"/>
      <c r="Q2451" s="372"/>
      <c r="R2451" s="129"/>
      <c r="S2451" s="129"/>
      <c r="T2451" s="129"/>
      <c r="W2451" s="129" t="s">
        <v>4876</v>
      </c>
      <c r="X2451" s="337" t="b">
        <f t="shared" si="72"/>
        <v>0</v>
      </c>
    </row>
    <row r="2452" spans="1:24" s="360" customFormat="1" ht="12" customHeight="1" outlineLevel="1">
      <c r="A2452" s="365"/>
      <c r="B2452" s="118" t="s">
        <v>12</v>
      </c>
      <c r="C2452" s="334" t="s">
        <v>9679</v>
      </c>
      <c r="D2452" s="124" t="s">
        <v>9680</v>
      </c>
      <c r="E2452" s="125"/>
      <c r="F2452" s="118" t="s">
        <v>622</v>
      </c>
      <c r="G2452" s="126" t="s">
        <v>9423</v>
      </c>
      <c r="H2452" s="255">
        <v>5</v>
      </c>
      <c r="I2452" s="361">
        <v>1</v>
      </c>
      <c r="J2452" s="362" t="s">
        <v>310</v>
      </c>
      <c r="K2452" s="329"/>
      <c r="L2452" s="129"/>
      <c r="M2452" s="129"/>
      <c r="N2452" s="129"/>
      <c r="O2452" s="129"/>
      <c r="P2452" s="372"/>
      <c r="Q2452" s="372"/>
      <c r="R2452" s="129"/>
      <c r="S2452" s="129"/>
      <c r="T2452" s="129"/>
      <c r="W2452" s="129" t="s">
        <v>310</v>
      </c>
      <c r="X2452" s="337" t="b">
        <f t="shared" si="72"/>
        <v>1</v>
      </c>
    </row>
    <row r="2453" spans="1:24" s="360" customFormat="1" ht="12" customHeight="1" outlineLevel="1">
      <c r="A2453" s="365"/>
      <c r="B2453" s="118" t="s">
        <v>12</v>
      </c>
      <c r="C2453" s="334" t="s">
        <v>9681</v>
      </c>
      <c r="D2453" s="124" t="s">
        <v>9682</v>
      </c>
      <c r="E2453" s="125"/>
      <c r="F2453" s="118" t="s">
        <v>622</v>
      </c>
      <c r="G2453" s="126" t="s">
        <v>9423</v>
      </c>
      <c r="H2453" s="255">
        <v>5</v>
      </c>
      <c r="I2453" s="361">
        <v>1</v>
      </c>
      <c r="J2453" s="362" t="s">
        <v>310</v>
      </c>
      <c r="K2453" s="329"/>
      <c r="L2453" s="129"/>
      <c r="M2453" s="129"/>
      <c r="N2453" s="129"/>
      <c r="O2453" s="129"/>
      <c r="P2453" s="372"/>
      <c r="Q2453" s="372"/>
      <c r="R2453" s="129"/>
      <c r="S2453" s="129"/>
      <c r="T2453" s="129"/>
      <c r="W2453" s="129" t="s">
        <v>310</v>
      </c>
      <c r="X2453" s="337" t="b">
        <f t="shared" si="72"/>
        <v>1</v>
      </c>
    </row>
    <row r="2454" spans="1:24" s="360" customFormat="1" ht="12" customHeight="1" outlineLevel="1">
      <c r="A2454" s="365"/>
      <c r="B2454" s="118" t="s">
        <v>12</v>
      </c>
      <c r="C2454" s="334" t="s">
        <v>9683</v>
      </c>
      <c r="D2454" s="124" t="s">
        <v>9684</v>
      </c>
      <c r="E2454" s="125"/>
      <c r="F2454" s="118" t="s">
        <v>622</v>
      </c>
      <c r="G2454" s="126" t="s">
        <v>9423</v>
      </c>
      <c r="H2454" s="255">
        <v>5</v>
      </c>
      <c r="I2454" s="361">
        <v>1</v>
      </c>
      <c r="J2454" s="362" t="s">
        <v>310</v>
      </c>
      <c r="K2454" s="329"/>
      <c r="L2454" s="129"/>
      <c r="M2454" s="129"/>
      <c r="N2454" s="129"/>
      <c r="O2454" s="129"/>
      <c r="P2454" s="372"/>
      <c r="Q2454" s="372"/>
      <c r="R2454" s="129"/>
      <c r="S2454" s="129"/>
      <c r="T2454" s="129"/>
      <c r="W2454" s="129" t="s">
        <v>310</v>
      </c>
      <c r="X2454" s="337" t="b">
        <f t="shared" si="72"/>
        <v>1</v>
      </c>
    </row>
    <row r="2455" spans="1:24" s="360" customFormat="1" ht="12" customHeight="1" outlineLevel="1">
      <c r="A2455" s="365"/>
      <c r="B2455" s="118" t="s">
        <v>12</v>
      </c>
      <c r="C2455" s="334" t="s">
        <v>9685</v>
      </c>
      <c r="D2455" s="124" t="s">
        <v>9686</v>
      </c>
      <c r="E2455" s="125"/>
      <c r="F2455" s="118" t="s">
        <v>622</v>
      </c>
      <c r="G2455" s="126" t="s">
        <v>9423</v>
      </c>
      <c r="H2455" s="255">
        <v>5</v>
      </c>
      <c r="I2455" s="361">
        <v>1</v>
      </c>
      <c r="J2455" s="362" t="s">
        <v>310</v>
      </c>
      <c r="K2455" s="329"/>
      <c r="L2455" s="129"/>
      <c r="M2455" s="129"/>
      <c r="N2455" s="129"/>
      <c r="O2455" s="129"/>
      <c r="P2455" s="372"/>
      <c r="Q2455" s="372"/>
      <c r="R2455" s="129"/>
      <c r="S2455" s="129"/>
      <c r="T2455" s="129"/>
      <c r="W2455" s="129" t="s">
        <v>310</v>
      </c>
      <c r="X2455" s="337" t="b">
        <f t="shared" si="72"/>
        <v>1</v>
      </c>
    </row>
    <row r="2456" spans="1:24" s="360" customFormat="1" ht="12" customHeight="1" outlineLevel="1">
      <c r="A2456" s="365"/>
      <c r="B2456" s="118" t="s">
        <v>12</v>
      </c>
      <c r="C2456" s="334" t="s">
        <v>9687</v>
      </c>
      <c r="D2456" s="124" t="s">
        <v>9688</v>
      </c>
      <c r="E2456" s="125"/>
      <c r="F2456" s="118" t="s">
        <v>622</v>
      </c>
      <c r="G2456" s="126" t="s">
        <v>9423</v>
      </c>
      <c r="H2456" s="255">
        <v>5</v>
      </c>
      <c r="I2456" s="361">
        <v>1</v>
      </c>
      <c r="J2456" s="362" t="s">
        <v>310</v>
      </c>
      <c r="K2456" s="329"/>
      <c r="L2456" s="129"/>
      <c r="M2456" s="129"/>
      <c r="N2456" s="129"/>
      <c r="O2456" s="129"/>
      <c r="P2456" s="372"/>
      <c r="Q2456" s="372"/>
      <c r="R2456" s="129"/>
      <c r="S2456" s="129"/>
      <c r="T2456" s="129"/>
      <c r="W2456" s="129" t="s">
        <v>286</v>
      </c>
      <c r="X2456" s="337" t="b">
        <f t="shared" si="72"/>
        <v>0</v>
      </c>
    </row>
    <row r="2457" spans="1:24" s="360" customFormat="1" ht="12" customHeight="1" outlineLevel="1">
      <c r="A2457" s="365"/>
      <c r="B2457" s="118" t="s">
        <v>12</v>
      </c>
      <c r="C2457" s="334" t="s">
        <v>9689</v>
      </c>
      <c r="D2457" s="124" t="s">
        <v>9690</v>
      </c>
      <c r="E2457" s="125"/>
      <c r="F2457" s="118" t="s">
        <v>622</v>
      </c>
      <c r="G2457" s="126" t="s">
        <v>9423</v>
      </c>
      <c r="H2457" s="255">
        <v>5</v>
      </c>
      <c r="I2457" s="361">
        <v>1</v>
      </c>
      <c r="J2457" s="362" t="s">
        <v>310</v>
      </c>
      <c r="K2457" s="329"/>
      <c r="L2457" s="129"/>
      <c r="M2457" s="129"/>
      <c r="N2457" s="129"/>
      <c r="O2457" s="129"/>
      <c r="P2457" s="372"/>
      <c r="Q2457" s="372"/>
      <c r="R2457" s="129"/>
      <c r="S2457" s="129"/>
      <c r="T2457" s="129"/>
      <c r="W2457" s="129" t="s">
        <v>286</v>
      </c>
      <c r="X2457" s="337" t="b">
        <f t="shared" si="72"/>
        <v>0</v>
      </c>
    </row>
    <row r="2458" spans="1:24" s="360" customFormat="1" ht="12" customHeight="1" outlineLevel="1">
      <c r="A2458" s="365"/>
      <c r="B2458" s="118" t="s">
        <v>12</v>
      </c>
      <c r="C2458" s="334" t="s">
        <v>9691</v>
      </c>
      <c r="D2458" s="124" t="s">
        <v>9692</v>
      </c>
      <c r="E2458" s="125"/>
      <c r="F2458" s="118" t="s">
        <v>622</v>
      </c>
      <c r="G2458" s="126" t="s">
        <v>9423</v>
      </c>
      <c r="H2458" s="255">
        <v>5</v>
      </c>
      <c r="I2458" s="361">
        <v>1</v>
      </c>
      <c r="J2458" s="362" t="s">
        <v>310</v>
      </c>
      <c r="K2458" s="329"/>
      <c r="L2458" s="129"/>
      <c r="M2458" s="129"/>
      <c r="N2458" s="129"/>
      <c r="O2458" s="129"/>
      <c r="P2458" s="372"/>
      <c r="Q2458" s="372"/>
      <c r="R2458" s="129"/>
      <c r="S2458" s="129"/>
      <c r="T2458" s="129"/>
      <c r="W2458" s="129" t="s">
        <v>286</v>
      </c>
      <c r="X2458" s="337" t="b">
        <f t="shared" si="72"/>
        <v>0</v>
      </c>
    </row>
    <row r="2459" spans="1:24" s="360" customFormat="1" ht="12" customHeight="1" outlineLevel="1">
      <c r="A2459" s="365"/>
      <c r="B2459" s="118" t="s">
        <v>12</v>
      </c>
      <c r="C2459" s="334" t="s">
        <v>9693</v>
      </c>
      <c r="D2459" s="124" t="s">
        <v>9694</v>
      </c>
      <c r="E2459" s="125"/>
      <c r="F2459" s="118" t="s">
        <v>622</v>
      </c>
      <c r="G2459" s="126" t="s">
        <v>9423</v>
      </c>
      <c r="H2459" s="255">
        <v>5</v>
      </c>
      <c r="I2459" s="361">
        <v>1</v>
      </c>
      <c r="J2459" s="362" t="s">
        <v>310</v>
      </c>
      <c r="K2459" s="329"/>
      <c r="L2459" s="129"/>
      <c r="M2459" s="129"/>
      <c r="N2459" s="129"/>
      <c r="O2459" s="129"/>
      <c r="P2459" s="372"/>
      <c r="Q2459" s="372"/>
      <c r="R2459" s="129"/>
      <c r="S2459" s="129"/>
      <c r="T2459" s="129"/>
      <c r="W2459" s="129" t="s">
        <v>286</v>
      </c>
      <c r="X2459" s="337" t="b">
        <f t="shared" si="72"/>
        <v>0</v>
      </c>
    </row>
    <row r="2460" spans="1:24" s="360" customFormat="1" ht="12" customHeight="1" outlineLevel="1">
      <c r="A2460" s="365"/>
      <c r="B2460" s="118" t="s">
        <v>12</v>
      </c>
      <c r="C2460" s="334" t="s">
        <v>9695</v>
      </c>
      <c r="D2460" s="124" t="s">
        <v>9696</v>
      </c>
      <c r="E2460" s="125"/>
      <c r="F2460" s="118" t="s">
        <v>622</v>
      </c>
      <c r="G2460" s="126" t="s">
        <v>9423</v>
      </c>
      <c r="H2460" s="255">
        <v>5</v>
      </c>
      <c r="I2460" s="361">
        <v>1</v>
      </c>
      <c r="J2460" s="362" t="s">
        <v>310</v>
      </c>
      <c r="K2460" s="329"/>
      <c r="L2460" s="129"/>
      <c r="M2460" s="129"/>
      <c r="N2460" s="129"/>
      <c r="O2460" s="129"/>
      <c r="P2460" s="372"/>
      <c r="Q2460" s="372"/>
      <c r="R2460" s="129"/>
      <c r="S2460" s="129"/>
      <c r="T2460" s="129"/>
      <c r="W2460" s="129" t="s">
        <v>286</v>
      </c>
      <c r="X2460" s="337" t="b">
        <f t="shared" si="72"/>
        <v>0</v>
      </c>
    </row>
    <row r="2461" spans="1:24" s="360" customFormat="1" ht="12" customHeight="1" outlineLevel="1">
      <c r="A2461" s="365"/>
      <c r="B2461" s="118" t="s">
        <v>12</v>
      </c>
      <c r="C2461" s="334" t="s">
        <v>9697</v>
      </c>
      <c r="D2461" s="124" t="s">
        <v>9698</v>
      </c>
      <c r="E2461" s="125"/>
      <c r="F2461" s="118" t="s">
        <v>622</v>
      </c>
      <c r="G2461" s="126" t="s">
        <v>9423</v>
      </c>
      <c r="H2461" s="255">
        <v>5</v>
      </c>
      <c r="I2461" s="361">
        <v>1</v>
      </c>
      <c r="J2461" s="362" t="s">
        <v>310</v>
      </c>
      <c r="K2461" s="329"/>
      <c r="L2461" s="129"/>
      <c r="M2461" s="129"/>
      <c r="N2461" s="129"/>
      <c r="O2461" s="129"/>
      <c r="P2461" s="372"/>
      <c r="Q2461" s="372"/>
      <c r="R2461" s="129"/>
      <c r="S2461" s="129"/>
      <c r="T2461" s="129"/>
      <c r="W2461" s="129" t="s">
        <v>286</v>
      </c>
      <c r="X2461" s="337" t="b">
        <f t="shared" si="72"/>
        <v>0</v>
      </c>
    </row>
    <row r="2462" spans="1:24" s="360" customFormat="1" ht="12" customHeight="1" outlineLevel="1">
      <c r="A2462" s="365"/>
      <c r="B2462" s="118" t="s">
        <v>12</v>
      </c>
      <c r="C2462" s="334" t="s">
        <v>9699</v>
      </c>
      <c r="D2462" s="124" t="s">
        <v>9700</v>
      </c>
      <c r="E2462" s="125"/>
      <c r="F2462" s="118" t="s">
        <v>622</v>
      </c>
      <c r="G2462" s="126" t="s">
        <v>9423</v>
      </c>
      <c r="H2462" s="255">
        <v>5</v>
      </c>
      <c r="I2462" s="361">
        <v>1</v>
      </c>
      <c r="J2462" s="362" t="s">
        <v>310</v>
      </c>
      <c r="K2462" s="329"/>
      <c r="L2462" s="129"/>
      <c r="M2462" s="129"/>
      <c r="N2462" s="129"/>
      <c r="O2462" s="129"/>
      <c r="P2462" s="372"/>
      <c r="Q2462" s="372"/>
      <c r="R2462" s="129"/>
      <c r="S2462" s="129"/>
      <c r="T2462" s="129"/>
      <c r="W2462" s="129" t="s">
        <v>286</v>
      </c>
      <c r="X2462" s="337" t="b">
        <f t="shared" si="72"/>
        <v>0</v>
      </c>
    </row>
    <row r="2463" spans="1:24" s="360" customFormat="1" ht="12" customHeight="1" outlineLevel="1">
      <c r="A2463" s="365"/>
      <c r="B2463" s="118" t="s">
        <v>12</v>
      </c>
      <c r="C2463" s="334" t="s">
        <v>9701</v>
      </c>
      <c r="D2463" s="124" t="s">
        <v>9702</v>
      </c>
      <c r="E2463" s="125"/>
      <c r="F2463" s="118" t="s">
        <v>622</v>
      </c>
      <c r="G2463" s="126" t="s">
        <v>9423</v>
      </c>
      <c r="H2463" s="255">
        <v>5</v>
      </c>
      <c r="I2463" s="361">
        <v>1</v>
      </c>
      <c r="J2463" s="362" t="s">
        <v>286</v>
      </c>
      <c r="K2463" s="329"/>
      <c r="L2463" s="129"/>
      <c r="M2463" s="129"/>
      <c r="N2463" s="129"/>
      <c r="O2463" s="129"/>
      <c r="P2463" s="372"/>
      <c r="Q2463" s="372"/>
      <c r="R2463" s="129"/>
      <c r="S2463" s="129"/>
      <c r="T2463" s="129"/>
      <c r="W2463" s="129" t="s">
        <v>286</v>
      </c>
      <c r="X2463" s="337" t="b">
        <f t="shared" si="72"/>
        <v>1</v>
      </c>
    </row>
    <row r="2464" spans="1:24" s="360" customFormat="1" ht="12" customHeight="1" outlineLevel="1">
      <c r="A2464" s="365"/>
      <c r="B2464" s="118" t="s">
        <v>12</v>
      </c>
      <c r="C2464" s="334" t="s">
        <v>9703</v>
      </c>
      <c r="D2464" s="124" t="s">
        <v>9704</v>
      </c>
      <c r="E2464" s="125"/>
      <c r="F2464" s="118" t="s">
        <v>622</v>
      </c>
      <c r="G2464" s="126" t="s">
        <v>9423</v>
      </c>
      <c r="H2464" s="255">
        <v>5</v>
      </c>
      <c r="I2464" s="361">
        <v>1</v>
      </c>
      <c r="J2464" s="362" t="s">
        <v>286</v>
      </c>
      <c r="K2464" s="329"/>
      <c r="L2464" s="129"/>
      <c r="M2464" s="129"/>
      <c r="N2464" s="129"/>
      <c r="O2464" s="129"/>
      <c r="P2464" s="372"/>
      <c r="Q2464" s="372"/>
      <c r="R2464" s="129"/>
      <c r="S2464" s="129"/>
      <c r="T2464" s="129"/>
      <c r="W2464" s="129" t="s">
        <v>286</v>
      </c>
      <c r="X2464" s="337" t="b">
        <f t="shared" si="72"/>
        <v>1</v>
      </c>
    </row>
    <row r="2465" spans="1:24" s="360" customFormat="1" ht="12" customHeight="1" outlineLevel="1">
      <c r="A2465" s="365"/>
      <c r="B2465" s="118" t="s">
        <v>12</v>
      </c>
      <c r="C2465" s="334" t="s">
        <v>9705</v>
      </c>
      <c r="D2465" s="124" t="s">
        <v>9706</v>
      </c>
      <c r="E2465" s="125"/>
      <c r="F2465" s="118" t="s">
        <v>622</v>
      </c>
      <c r="G2465" s="126" t="s">
        <v>9423</v>
      </c>
      <c r="H2465" s="255">
        <v>5</v>
      </c>
      <c r="I2465" s="361">
        <v>1</v>
      </c>
      <c r="J2465" s="362" t="s">
        <v>286</v>
      </c>
      <c r="K2465" s="329"/>
      <c r="L2465" s="129"/>
      <c r="M2465" s="129"/>
      <c r="N2465" s="129"/>
      <c r="O2465" s="129"/>
      <c r="P2465" s="372"/>
      <c r="Q2465" s="372"/>
      <c r="R2465" s="129"/>
      <c r="S2465" s="129"/>
      <c r="T2465" s="129"/>
      <c r="W2465" s="129" t="s">
        <v>286</v>
      </c>
      <c r="X2465" s="337" t="b">
        <f t="shared" si="72"/>
        <v>1</v>
      </c>
    </row>
    <row r="2466" spans="1:24" s="360" customFormat="1" ht="12" customHeight="1" outlineLevel="1">
      <c r="A2466" s="365"/>
      <c r="B2466" s="118" t="s">
        <v>12</v>
      </c>
      <c r="C2466" s="334" t="s">
        <v>9707</v>
      </c>
      <c r="D2466" s="124" t="s">
        <v>9708</v>
      </c>
      <c r="E2466" s="125"/>
      <c r="F2466" s="118" t="s">
        <v>622</v>
      </c>
      <c r="G2466" s="126" t="s">
        <v>9423</v>
      </c>
      <c r="H2466" s="255">
        <v>5</v>
      </c>
      <c r="I2466" s="361">
        <v>1</v>
      </c>
      <c r="J2466" s="362" t="s">
        <v>286</v>
      </c>
      <c r="K2466" s="329"/>
      <c r="L2466" s="129"/>
      <c r="M2466" s="129"/>
      <c r="N2466" s="129"/>
      <c r="O2466" s="129"/>
      <c r="P2466" s="372"/>
      <c r="Q2466" s="372"/>
      <c r="R2466" s="129"/>
      <c r="S2466" s="129"/>
      <c r="T2466" s="129"/>
      <c r="W2466" s="129" t="s">
        <v>286</v>
      </c>
      <c r="X2466" s="337" t="b">
        <f t="shared" si="72"/>
        <v>1</v>
      </c>
    </row>
    <row r="2467" spans="1:24" s="360" customFormat="1" ht="12" customHeight="1" outlineLevel="1">
      <c r="A2467" s="365"/>
      <c r="B2467" s="118" t="s">
        <v>12</v>
      </c>
      <c r="C2467" s="334" t="s">
        <v>9709</v>
      </c>
      <c r="D2467" s="124" t="s">
        <v>9710</v>
      </c>
      <c r="E2467" s="125"/>
      <c r="F2467" s="118" t="s">
        <v>622</v>
      </c>
      <c r="G2467" s="126" t="s">
        <v>9423</v>
      </c>
      <c r="H2467" s="255">
        <v>5</v>
      </c>
      <c r="I2467" s="361">
        <v>1</v>
      </c>
      <c r="J2467" s="362" t="s">
        <v>286</v>
      </c>
      <c r="K2467" s="329"/>
      <c r="L2467" s="129"/>
      <c r="M2467" s="129"/>
      <c r="N2467" s="129"/>
      <c r="O2467" s="129"/>
      <c r="P2467" s="372"/>
      <c r="Q2467" s="372"/>
      <c r="R2467" s="129"/>
      <c r="S2467" s="129"/>
      <c r="T2467" s="129"/>
      <c r="W2467" s="129" t="s">
        <v>286</v>
      </c>
      <c r="X2467" s="337" t="b">
        <f t="shared" si="72"/>
        <v>1</v>
      </c>
    </row>
    <row r="2468" spans="1:24" s="360" customFormat="1" ht="12" customHeight="1" outlineLevel="1">
      <c r="A2468" s="365"/>
      <c r="B2468" s="118" t="s">
        <v>12</v>
      </c>
      <c r="C2468" s="334" t="s">
        <v>9711</v>
      </c>
      <c r="D2468" s="124" t="s">
        <v>9712</v>
      </c>
      <c r="E2468" s="125"/>
      <c r="F2468" s="118" t="s">
        <v>622</v>
      </c>
      <c r="G2468" s="126" t="s">
        <v>9423</v>
      </c>
      <c r="H2468" s="255">
        <v>5</v>
      </c>
      <c r="I2468" s="361">
        <v>1</v>
      </c>
      <c r="J2468" s="362" t="s">
        <v>286</v>
      </c>
      <c r="K2468" s="329"/>
      <c r="L2468" s="129"/>
      <c r="M2468" s="129"/>
      <c r="N2468" s="129"/>
      <c r="O2468" s="129"/>
      <c r="P2468" s="372"/>
      <c r="Q2468" s="372"/>
      <c r="R2468" s="129"/>
      <c r="S2468" s="129"/>
      <c r="T2468" s="129"/>
      <c r="W2468" s="129" t="s">
        <v>286</v>
      </c>
      <c r="X2468" s="337" t="b">
        <f t="shared" si="72"/>
        <v>1</v>
      </c>
    </row>
    <row r="2469" spans="1:24" s="360" customFormat="1" ht="12" customHeight="1" outlineLevel="1">
      <c r="A2469" s="365"/>
      <c r="B2469" s="118" t="s">
        <v>12</v>
      </c>
      <c r="C2469" s="334" t="s">
        <v>9713</v>
      </c>
      <c r="D2469" s="124" t="s">
        <v>9714</v>
      </c>
      <c r="E2469" s="125"/>
      <c r="F2469" s="118" t="s">
        <v>622</v>
      </c>
      <c r="G2469" s="126" t="s">
        <v>9423</v>
      </c>
      <c r="H2469" s="255">
        <v>5</v>
      </c>
      <c r="I2469" s="361">
        <v>1</v>
      </c>
      <c r="J2469" s="362" t="s">
        <v>286</v>
      </c>
      <c r="K2469" s="329"/>
      <c r="L2469" s="129"/>
      <c r="M2469" s="129"/>
      <c r="N2469" s="129"/>
      <c r="O2469" s="129"/>
      <c r="P2469" s="372"/>
      <c r="Q2469" s="372"/>
      <c r="R2469" s="129"/>
      <c r="S2469" s="129"/>
      <c r="T2469" s="129"/>
      <c r="W2469" s="129" t="s">
        <v>286</v>
      </c>
      <c r="X2469" s="337" t="b">
        <f t="shared" si="72"/>
        <v>1</v>
      </c>
    </row>
    <row r="2470" spans="1:24" s="360" customFormat="1" ht="12" customHeight="1" outlineLevel="1">
      <c r="A2470" s="365"/>
      <c r="B2470" s="118" t="s">
        <v>12</v>
      </c>
      <c r="C2470" s="334" t="s">
        <v>9715</v>
      </c>
      <c r="D2470" s="124" t="s">
        <v>9716</v>
      </c>
      <c r="E2470" s="125"/>
      <c r="F2470" s="118" t="s">
        <v>622</v>
      </c>
      <c r="G2470" s="126" t="s">
        <v>9423</v>
      </c>
      <c r="H2470" s="255">
        <v>5</v>
      </c>
      <c r="I2470" s="361">
        <v>1</v>
      </c>
      <c r="J2470" s="362" t="s">
        <v>286</v>
      </c>
      <c r="K2470" s="329"/>
      <c r="L2470" s="129"/>
      <c r="M2470" s="129"/>
      <c r="N2470" s="129"/>
      <c r="O2470" s="129"/>
      <c r="P2470" s="372"/>
      <c r="Q2470" s="372"/>
      <c r="R2470" s="129"/>
      <c r="S2470" s="129"/>
      <c r="T2470" s="129"/>
      <c r="W2470" s="129" t="s">
        <v>286</v>
      </c>
      <c r="X2470" s="337" t="b">
        <f t="shared" si="72"/>
        <v>1</v>
      </c>
    </row>
    <row r="2471" spans="1:24" s="360" customFormat="1" ht="12" customHeight="1" outlineLevel="1">
      <c r="A2471" s="365"/>
      <c r="B2471" s="118" t="s">
        <v>12</v>
      </c>
      <c r="C2471" s="334" t="s">
        <v>9717</v>
      </c>
      <c r="D2471" s="124" t="s">
        <v>9718</v>
      </c>
      <c r="E2471" s="125"/>
      <c r="F2471" s="118" t="s">
        <v>622</v>
      </c>
      <c r="G2471" s="126" t="s">
        <v>9423</v>
      </c>
      <c r="H2471" s="255">
        <v>5</v>
      </c>
      <c r="I2471" s="361">
        <v>1</v>
      </c>
      <c r="J2471" s="362" t="s">
        <v>286</v>
      </c>
      <c r="K2471" s="329"/>
      <c r="L2471" s="129"/>
      <c r="M2471" s="129"/>
      <c r="N2471" s="129"/>
      <c r="O2471" s="129"/>
      <c r="P2471" s="372"/>
      <c r="Q2471" s="372"/>
      <c r="R2471" s="129"/>
      <c r="S2471" s="129"/>
      <c r="T2471" s="129"/>
      <c r="W2471" s="129" t="s">
        <v>286</v>
      </c>
      <c r="X2471" s="337" t="b">
        <f t="shared" si="72"/>
        <v>1</v>
      </c>
    </row>
    <row r="2472" spans="1:24" s="360" customFormat="1" ht="12" customHeight="1" outlineLevel="1">
      <c r="A2472" s="365"/>
      <c r="B2472" s="118" t="s">
        <v>12</v>
      </c>
      <c r="C2472" s="334" t="s">
        <v>9719</v>
      </c>
      <c r="D2472" s="124" t="s">
        <v>9720</v>
      </c>
      <c r="E2472" s="125"/>
      <c r="F2472" s="118" t="s">
        <v>622</v>
      </c>
      <c r="G2472" s="126" t="s">
        <v>9423</v>
      </c>
      <c r="H2472" s="255">
        <v>5</v>
      </c>
      <c r="I2472" s="361">
        <v>1</v>
      </c>
      <c r="J2472" s="362" t="s">
        <v>286</v>
      </c>
      <c r="K2472" s="329"/>
      <c r="L2472" s="129"/>
      <c r="M2472" s="129"/>
      <c r="N2472" s="129"/>
      <c r="O2472" s="129"/>
      <c r="P2472" s="372"/>
      <c r="Q2472" s="372"/>
      <c r="R2472" s="129"/>
      <c r="S2472" s="129"/>
      <c r="T2472" s="129"/>
      <c r="W2472" s="129" t="s">
        <v>286</v>
      </c>
      <c r="X2472" s="337" t="b">
        <f t="shared" si="72"/>
        <v>1</v>
      </c>
    </row>
    <row r="2473" spans="1:24" s="360" customFormat="1" ht="12" customHeight="1" outlineLevel="1">
      <c r="A2473" s="365"/>
      <c r="B2473" s="118" t="s">
        <v>12</v>
      </c>
      <c r="C2473" s="334" t="s">
        <v>9721</v>
      </c>
      <c r="D2473" s="124" t="s">
        <v>9722</v>
      </c>
      <c r="E2473" s="125"/>
      <c r="F2473" s="118" t="s">
        <v>622</v>
      </c>
      <c r="G2473" s="126" t="s">
        <v>9423</v>
      </c>
      <c r="H2473" s="255">
        <v>5</v>
      </c>
      <c r="I2473" s="361">
        <v>1</v>
      </c>
      <c r="J2473" s="362" t="s">
        <v>286</v>
      </c>
      <c r="K2473" s="329"/>
      <c r="L2473" s="129"/>
      <c r="M2473" s="129"/>
      <c r="N2473" s="129"/>
      <c r="O2473" s="129"/>
      <c r="P2473" s="372"/>
      <c r="Q2473" s="372"/>
      <c r="R2473" s="129"/>
      <c r="S2473" s="129"/>
      <c r="T2473" s="129"/>
      <c r="W2473" s="129" t="s">
        <v>286</v>
      </c>
      <c r="X2473" s="337" t="b">
        <f t="shared" si="72"/>
        <v>1</v>
      </c>
    </row>
    <row r="2474" spans="1:24" s="360" customFormat="1" ht="12" customHeight="1" outlineLevel="1">
      <c r="A2474" s="365"/>
      <c r="B2474" s="118" t="s">
        <v>12</v>
      </c>
      <c r="C2474" s="334" t="s">
        <v>9723</v>
      </c>
      <c r="D2474" s="124" t="s">
        <v>9724</v>
      </c>
      <c r="E2474" s="125"/>
      <c r="F2474" s="118" t="s">
        <v>622</v>
      </c>
      <c r="G2474" s="126" t="s">
        <v>9423</v>
      </c>
      <c r="H2474" s="255">
        <v>5</v>
      </c>
      <c r="I2474" s="361">
        <v>1</v>
      </c>
      <c r="J2474" s="362" t="s">
        <v>286</v>
      </c>
      <c r="K2474" s="329"/>
      <c r="L2474" s="129"/>
      <c r="M2474" s="129"/>
      <c r="N2474" s="129"/>
      <c r="O2474" s="129"/>
      <c r="P2474" s="372"/>
      <c r="Q2474" s="372"/>
      <c r="R2474" s="129"/>
      <c r="S2474" s="129"/>
      <c r="T2474" s="129"/>
      <c r="W2474" s="129" t="s">
        <v>286</v>
      </c>
      <c r="X2474" s="337" t="b">
        <f t="shared" si="72"/>
        <v>1</v>
      </c>
    </row>
    <row r="2475" spans="1:24" s="360" customFormat="1" ht="12" customHeight="1" outlineLevel="1">
      <c r="A2475" s="365"/>
      <c r="B2475" s="118" t="s">
        <v>12</v>
      </c>
      <c r="C2475" s="334" t="s">
        <v>9725</v>
      </c>
      <c r="D2475" s="124" t="s">
        <v>9726</v>
      </c>
      <c r="E2475" s="125"/>
      <c r="F2475" s="118" t="s">
        <v>622</v>
      </c>
      <c r="G2475" s="126" t="s">
        <v>9423</v>
      </c>
      <c r="H2475" s="255">
        <v>5</v>
      </c>
      <c r="I2475" s="361">
        <v>1</v>
      </c>
      <c r="J2475" s="362" t="s">
        <v>286</v>
      </c>
      <c r="K2475" s="329"/>
      <c r="L2475" s="129"/>
      <c r="M2475" s="129"/>
      <c r="N2475" s="129"/>
      <c r="O2475" s="129"/>
      <c r="P2475" s="372"/>
      <c r="Q2475" s="372"/>
      <c r="R2475" s="129"/>
      <c r="S2475" s="129"/>
      <c r="T2475" s="129"/>
      <c r="W2475" s="129" t="s">
        <v>286</v>
      </c>
      <c r="X2475" s="337" t="b">
        <f t="shared" si="72"/>
        <v>1</v>
      </c>
    </row>
    <row r="2476" spans="1:24" s="360" customFormat="1" ht="12" customHeight="1" outlineLevel="1">
      <c r="A2476" s="365"/>
      <c r="B2476" s="118" t="s">
        <v>12</v>
      </c>
      <c r="C2476" s="334" t="s">
        <v>9727</v>
      </c>
      <c r="D2476" s="124" t="s">
        <v>9728</v>
      </c>
      <c r="E2476" s="125"/>
      <c r="F2476" s="118" t="s">
        <v>622</v>
      </c>
      <c r="G2476" s="126" t="s">
        <v>9423</v>
      </c>
      <c r="H2476" s="255">
        <v>5</v>
      </c>
      <c r="I2476" s="361">
        <v>1</v>
      </c>
      <c r="J2476" s="362" t="s">
        <v>286</v>
      </c>
      <c r="K2476" s="329"/>
      <c r="L2476" s="129"/>
      <c r="M2476" s="129"/>
      <c r="N2476" s="129"/>
      <c r="O2476" s="129"/>
      <c r="P2476" s="372"/>
      <c r="Q2476" s="372"/>
      <c r="R2476" s="129"/>
      <c r="S2476" s="129"/>
      <c r="T2476" s="129"/>
      <c r="W2476" s="129" t="s">
        <v>286</v>
      </c>
      <c r="X2476" s="337" t="b">
        <f t="shared" si="72"/>
        <v>1</v>
      </c>
    </row>
    <row r="2477" spans="1:24" s="360" customFormat="1" ht="12" customHeight="1" outlineLevel="1">
      <c r="A2477" s="365"/>
      <c r="B2477" s="118" t="s">
        <v>12</v>
      </c>
      <c r="C2477" s="334" t="s">
        <v>9729</v>
      </c>
      <c r="D2477" s="124" t="s">
        <v>9730</v>
      </c>
      <c r="E2477" s="125"/>
      <c r="F2477" s="118" t="s">
        <v>622</v>
      </c>
      <c r="G2477" s="126" t="s">
        <v>9423</v>
      </c>
      <c r="H2477" s="255">
        <v>5</v>
      </c>
      <c r="I2477" s="361">
        <v>1</v>
      </c>
      <c r="J2477" s="362" t="s">
        <v>286</v>
      </c>
      <c r="K2477" s="329"/>
      <c r="L2477" s="129"/>
      <c r="M2477" s="129"/>
      <c r="N2477" s="129"/>
      <c r="O2477" s="129"/>
      <c r="P2477" s="372"/>
      <c r="Q2477" s="372"/>
      <c r="R2477" s="129"/>
      <c r="S2477" s="129"/>
      <c r="T2477" s="129"/>
      <c r="W2477" s="129" t="s">
        <v>286</v>
      </c>
      <c r="X2477" s="337" t="b">
        <f t="shared" si="72"/>
        <v>1</v>
      </c>
    </row>
    <row r="2478" spans="1:24" s="360" customFormat="1" ht="12" customHeight="1" outlineLevel="1">
      <c r="A2478" s="365"/>
      <c r="B2478" s="118" t="s">
        <v>12</v>
      </c>
      <c r="C2478" s="334" t="s">
        <v>9731</v>
      </c>
      <c r="D2478" s="124" t="s">
        <v>9732</v>
      </c>
      <c r="E2478" s="125"/>
      <c r="F2478" s="118" t="s">
        <v>622</v>
      </c>
      <c r="G2478" s="126" t="s">
        <v>9423</v>
      </c>
      <c r="H2478" s="255">
        <v>5</v>
      </c>
      <c r="I2478" s="361">
        <v>1</v>
      </c>
      <c r="J2478" s="362" t="s">
        <v>286</v>
      </c>
      <c r="K2478" s="329"/>
      <c r="L2478" s="129"/>
      <c r="M2478" s="129"/>
      <c r="N2478" s="129"/>
      <c r="O2478" s="129"/>
      <c r="P2478" s="372"/>
      <c r="Q2478" s="372"/>
      <c r="R2478" s="129"/>
      <c r="S2478" s="129"/>
      <c r="T2478" s="129"/>
      <c r="W2478" s="129" t="s">
        <v>286</v>
      </c>
      <c r="X2478" s="337" t="b">
        <f t="shared" si="72"/>
        <v>1</v>
      </c>
    </row>
    <row r="2479" spans="1:24" s="360" customFormat="1" ht="12" customHeight="1" outlineLevel="1">
      <c r="A2479" s="365"/>
      <c r="B2479" s="118" t="s">
        <v>12</v>
      </c>
      <c r="C2479" s="334" t="s">
        <v>9733</v>
      </c>
      <c r="D2479" s="124" t="s">
        <v>9734</v>
      </c>
      <c r="E2479" s="125"/>
      <c r="F2479" s="118" t="s">
        <v>622</v>
      </c>
      <c r="G2479" s="126" t="s">
        <v>9423</v>
      </c>
      <c r="H2479" s="255">
        <v>5</v>
      </c>
      <c r="I2479" s="361">
        <v>1</v>
      </c>
      <c r="J2479" s="362" t="s">
        <v>286</v>
      </c>
      <c r="K2479" s="329"/>
      <c r="L2479" s="129"/>
      <c r="M2479" s="129"/>
      <c r="N2479" s="129"/>
      <c r="O2479" s="129"/>
      <c r="P2479" s="372"/>
      <c r="Q2479" s="372"/>
      <c r="R2479" s="129"/>
      <c r="S2479" s="129"/>
      <c r="T2479" s="129"/>
      <c r="W2479" s="129" t="s">
        <v>286</v>
      </c>
      <c r="X2479" s="337" t="b">
        <f t="shared" si="72"/>
        <v>1</v>
      </c>
    </row>
    <row r="2480" spans="1:24" s="360" customFormat="1" ht="12" customHeight="1" outlineLevel="1">
      <c r="A2480" s="365"/>
      <c r="B2480" s="118" t="s">
        <v>12</v>
      </c>
      <c r="C2480" s="334" t="s">
        <v>9735</v>
      </c>
      <c r="D2480" s="124" t="s">
        <v>9736</v>
      </c>
      <c r="E2480" s="125"/>
      <c r="F2480" s="118" t="s">
        <v>622</v>
      </c>
      <c r="G2480" s="126" t="s">
        <v>9423</v>
      </c>
      <c r="H2480" s="255">
        <v>5</v>
      </c>
      <c r="I2480" s="361">
        <v>1</v>
      </c>
      <c r="J2480" s="362" t="s">
        <v>286</v>
      </c>
      <c r="K2480" s="329"/>
      <c r="L2480" s="129"/>
      <c r="M2480" s="129"/>
      <c r="N2480" s="129"/>
      <c r="O2480" s="129"/>
      <c r="P2480" s="372"/>
      <c r="Q2480" s="372"/>
      <c r="R2480" s="129"/>
      <c r="S2480" s="129"/>
      <c r="T2480" s="129"/>
      <c r="W2480" s="129" t="s">
        <v>286</v>
      </c>
      <c r="X2480" s="337" t="b">
        <f t="shared" si="72"/>
        <v>1</v>
      </c>
    </row>
    <row r="2481" spans="1:24" s="360" customFormat="1" ht="12" customHeight="1" outlineLevel="1">
      <c r="A2481" s="365"/>
      <c r="B2481" s="118" t="s">
        <v>12</v>
      </c>
      <c r="C2481" s="334" t="s">
        <v>9737</v>
      </c>
      <c r="D2481" s="124" t="s">
        <v>9738</v>
      </c>
      <c r="E2481" s="125"/>
      <c r="F2481" s="118" t="s">
        <v>622</v>
      </c>
      <c r="G2481" s="126" t="s">
        <v>9423</v>
      </c>
      <c r="H2481" s="255">
        <v>5</v>
      </c>
      <c r="I2481" s="361">
        <v>1</v>
      </c>
      <c r="J2481" s="362" t="s">
        <v>286</v>
      </c>
      <c r="K2481" s="329"/>
      <c r="L2481" s="129"/>
      <c r="M2481" s="129"/>
      <c r="N2481" s="129"/>
      <c r="O2481" s="129"/>
      <c r="P2481" s="372"/>
      <c r="Q2481" s="372"/>
      <c r="R2481" s="129"/>
      <c r="S2481" s="129"/>
      <c r="T2481" s="129"/>
      <c r="W2481" s="129" t="s">
        <v>286</v>
      </c>
      <c r="X2481" s="337" t="b">
        <f t="shared" si="72"/>
        <v>1</v>
      </c>
    </row>
    <row r="2482" spans="1:24" s="360" customFormat="1" ht="12" customHeight="1" outlineLevel="1">
      <c r="A2482" s="365"/>
      <c r="B2482" s="118" t="s">
        <v>12</v>
      </c>
      <c r="C2482" s="334" t="s">
        <v>9739</v>
      </c>
      <c r="D2482" s="124" t="s">
        <v>7865</v>
      </c>
      <c r="E2482" s="125"/>
      <c r="F2482" s="118" t="s">
        <v>622</v>
      </c>
      <c r="G2482" s="126" t="s">
        <v>9740</v>
      </c>
      <c r="H2482" s="255">
        <v>7</v>
      </c>
      <c r="I2482" s="361">
        <v>1</v>
      </c>
      <c r="J2482" s="362" t="s">
        <v>325</v>
      </c>
      <c r="K2482" s="329"/>
      <c r="L2482" s="129"/>
      <c r="M2482" s="129"/>
      <c r="N2482" s="129"/>
      <c r="O2482" s="129"/>
      <c r="P2482" s="372"/>
      <c r="Q2482" s="372"/>
      <c r="R2482" s="129"/>
      <c r="S2482" s="129"/>
      <c r="T2482" s="129"/>
      <c r="W2482" s="129" t="s">
        <v>286</v>
      </c>
      <c r="X2482" s="337" t="b">
        <f t="shared" si="72"/>
        <v>0</v>
      </c>
    </row>
    <row r="2483" spans="1:24" s="360" customFormat="1" ht="12" customHeight="1" outlineLevel="1">
      <c r="A2483" s="365"/>
      <c r="B2483" s="118" t="s">
        <v>12</v>
      </c>
      <c r="C2483" s="334" t="s">
        <v>9741</v>
      </c>
      <c r="D2483" s="124" t="s">
        <v>9742</v>
      </c>
      <c r="E2483" s="125"/>
      <c r="F2483" s="118" t="s">
        <v>622</v>
      </c>
      <c r="G2483" s="126" t="s">
        <v>9740</v>
      </c>
      <c r="H2483" s="255">
        <v>7</v>
      </c>
      <c r="I2483" s="361">
        <v>1</v>
      </c>
      <c r="J2483" s="362" t="s">
        <v>286</v>
      </c>
      <c r="K2483" s="329"/>
      <c r="L2483" s="129"/>
      <c r="M2483" s="129"/>
      <c r="N2483" s="129"/>
      <c r="O2483" s="129"/>
      <c r="P2483" s="372"/>
      <c r="Q2483" s="372"/>
      <c r="R2483" s="129"/>
      <c r="S2483" s="129"/>
      <c r="T2483" s="129"/>
      <c r="W2483" s="129" t="s">
        <v>286</v>
      </c>
      <c r="X2483" s="337" t="b">
        <f t="shared" si="72"/>
        <v>1</v>
      </c>
    </row>
    <row r="2484" spans="1:24" s="360" customFormat="1" ht="12" customHeight="1" outlineLevel="1">
      <c r="A2484" s="365"/>
      <c r="B2484" s="118" t="s">
        <v>12</v>
      </c>
      <c r="C2484" s="334" t="s">
        <v>9743</v>
      </c>
      <c r="D2484" s="124" t="s">
        <v>9744</v>
      </c>
      <c r="E2484" s="125"/>
      <c r="F2484" s="118" t="s">
        <v>622</v>
      </c>
      <c r="G2484" s="126" t="s">
        <v>9740</v>
      </c>
      <c r="H2484" s="255">
        <v>7</v>
      </c>
      <c r="I2484" s="361">
        <v>1</v>
      </c>
      <c r="J2484" s="362" t="s">
        <v>286</v>
      </c>
      <c r="K2484" s="329"/>
      <c r="L2484" s="129"/>
      <c r="M2484" s="129"/>
      <c r="N2484" s="129"/>
      <c r="O2484" s="129"/>
      <c r="P2484" s="372"/>
      <c r="Q2484" s="372"/>
      <c r="R2484" s="129"/>
      <c r="S2484" s="129"/>
      <c r="T2484" s="129"/>
      <c r="W2484" s="129" t="s">
        <v>286</v>
      </c>
      <c r="X2484" s="337" t="b">
        <f t="shared" si="72"/>
        <v>1</v>
      </c>
    </row>
    <row r="2485" spans="1:24" s="360" customFormat="1" ht="12" customHeight="1" outlineLevel="1">
      <c r="A2485" s="365"/>
      <c r="B2485" s="118" t="s">
        <v>12</v>
      </c>
      <c r="C2485" s="334" t="s">
        <v>9745</v>
      </c>
      <c r="D2485" s="124" t="s">
        <v>9746</v>
      </c>
      <c r="E2485" s="125"/>
      <c r="F2485" s="118" t="s">
        <v>622</v>
      </c>
      <c r="G2485" s="126" t="s">
        <v>9740</v>
      </c>
      <c r="H2485" s="255">
        <v>7</v>
      </c>
      <c r="I2485" s="361">
        <v>1</v>
      </c>
      <c r="J2485" s="362" t="s">
        <v>286</v>
      </c>
      <c r="K2485" s="329"/>
      <c r="L2485" s="129"/>
      <c r="M2485" s="129"/>
      <c r="N2485" s="129"/>
      <c r="O2485" s="129"/>
      <c r="P2485" s="372"/>
      <c r="Q2485" s="372"/>
      <c r="R2485" s="129"/>
      <c r="S2485" s="129"/>
      <c r="T2485" s="129"/>
      <c r="W2485" s="129" t="s">
        <v>286</v>
      </c>
      <c r="X2485" s="337" t="b">
        <f t="shared" si="72"/>
        <v>1</v>
      </c>
    </row>
    <row r="2486" spans="1:24" s="360" customFormat="1" ht="12" customHeight="1" outlineLevel="1">
      <c r="A2486" s="365"/>
      <c r="B2486" s="118" t="s">
        <v>12</v>
      </c>
      <c r="C2486" s="334" t="s">
        <v>9747</v>
      </c>
      <c r="D2486" s="124" t="s">
        <v>9748</v>
      </c>
      <c r="E2486" s="125"/>
      <c r="F2486" s="118" t="s">
        <v>622</v>
      </c>
      <c r="G2486" s="126" t="s">
        <v>9740</v>
      </c>
      <c r="H2486" s="255">
        <v>7</v>
      </c>
      <c r="I2486" s="361">
        <v>1</v>
      </c>
      <c r="J2486" s="362" t="s">
        <v>286</v>
      </c>
      <c r="K2486" s="329"/>
      <c r="L2486" s="129"/>
      <c r="M2486" s="129"/>
      <c r="N2486" s="129"/>
      <c r="O2486" s="129"/>
      <c r="P2486" s="372"/>
      <c r="Q2486" s="372"/>
      <c r="R2486" s="129"/>
      <c r="S2486" s="129"/>
      <c r="T2486" s="129"/>
      <c r="W2486" s="129" t="s">
        <v>286</v>
      </c>
      <c r="X2486" s="337" t="b">
        <f t="shared" si="72"/>
        <v>1</v>
      </c>
    </row>
    <row r="2487" spans="1:24" s="360" customFormat="1" ht="12" customHeight="1" outlineLevel="1">
      <c r="A2487" s="365"/>
      <c r="B2487" s="118" t="s">
        <v>12</v>
      </c>
      <c r="C2487" s="334" t="s">
        <v>9749</v>
      </c>
      <c r="D2487" s="124" t="s">
        <v>9750</v>
      </c>
      <c r="E2487" s="125"/>
      <c r="F2487" s="118" t="s">
        <v>622</v>
      </c>
      <c r="G2487" s="126" t="s">
        <v>9740</v>
      </c>
      <c r="H2487" s="255">
        <v>7</v>
      </c>
      <c r="I2487" s="361">
        <v>1</v>
      </c>
      <c r="J2487" s="362" t="s">
        <v>286</v>
      </c>
      <c r="K2487" s="329"/>
      <c r="L2487" s="129"/>
      <c r="M2487" s="129"/>
      <c r="N2487" s="129"/>
      <c r="O2487" s="129"/>
      <c r="P2487" s="372"/>
      <c r="Q2487" s="372"/>
      <c r="R2487" s="129"/>
      <c r="S2487" s="129"/>
      <c r="T2487" s="129"/>
      <c r="W2487" s="129" t="s">
        <v>286</v>
      </c>
      <c r="X2487" s="337" t="b">
        <f t="shared" si="72"/>
        <v>1</v>
      </c>
    </row>
    <row r="2488" spans="1:24" s="360" customFormat="1" ht="12" customHeight="1" outlineLevel="1">
      <c r="A2488" s="365"/>
      <c r="B2488" s="118" t="s">
        <v>12</v>
      </c>
      <c r="C2488" s="334" t="s">
        <v>9751</v>
      </c>
      <c r="D2488" s="124" t="s">
        <v>9752</v>
      </c>
      <c r="E2488" s="125"/>
      <c r="F2488" s="118" t="s">
        <v>622</v>
      </c>
      <c r="G2488" s="126" t="s">
        <v>9740</v>
      </c>
      <c r="H2488" s="255">
        <v>7</v>
      </c>
      <c r="I2488" s="361">
        <v>1</v>
      </c>
      <c r="J2488" s="362" t="s">
        <v>286</v>
      </c>
      <c r="K2488" s="329"/>
      <c r="L2488" s="129"/>
      <c r="M2488" s="129"/>
      <c r="N2488" s="129"/>
      <c r="O2488" s="129"/>
      <c r="P2488" s="372"/>
      <c r="Q2488" s="372"/>
      <c r="R2488" s="129"/>
      <c r="S2488" s="129"/>
      <c r="T2488" s="129"/>
      <c r="W2488" s="129" t="s">
        <v>286</v>
      </c>
      <c r="X2488" s="337" t="b">
        <f t="shared" si="72"/>
        <v>1</v>
      </c>
    </row>
    <row r="2489" spans="1:24" s="360" customFormat="1" ht="12" customHeight="1" outlineLevel="1">
      <c r="A2489" s="365"/>
      <c r="B2489" s="118" t="s">
        <v>12</v>
      </c>
      <c r="C2489" s="334" t="s">
        <v>9753</v>
      </c>
      <c r="D2489" s="124" t="s">
        <v>9754</v>
      </c>
      <c r="E2489" s="125"/>
      <c r="F2489" s="118" t="s">
        <v>622</v>
      </c>
      <c r="G2489" s="126" t="s">
        <v>9740</v>
      </c>
      <c r="H2489" s="255">
        <v>7</v>
      </c>
      <c r="I2489" s="361">
        <v>1</v>
      </c>
      <c r="J2489" s="362" t="s">
        <v>286</v>
      </c>
      <c r="K2489" s="329"/>
      <c r="L2489" s="129"/>
      <c r="M2489" s="129"/>
      <c r="N2489" s="129"/>
      <c r="O2489" s="129"/>
      <c r="P2489" s="372"/>
      <c r="Q2489" s="372"/>
      <c r="R2489" s="129"/>
      <c r="S2489" s="129"/>
      <c r="T2489" s="129"/>
      <c r="W2489" s="129" t="s">
        <v>286</v>
      </c>
      <c r="X2489" s="337" t="b">
        <f t="shared" si="72"/>
        <v>1</v>
      </c>
    </row>
    <row r="2490" spans="1:24" s="360" customFormat="1" ht="12" customHeight="1" outlineLevel="1">
      <c r="A2490" s="365"/>
      <c r="B2490" s="118" t="s">
        <v>12</v>
      </c>
      <c r="C2490" s="334" t="s">
        <v>9755</v>
      </c>
      <c r="D2490" s="124" t="s">
        <v>9756</v>
      </c>
      <c r="E2490" s="125"/>
      <c r="F2490" s="118" t="s">
        <v>622</v>
      </c>
      <c r="G2490" s="126" t="s">
        <v>9740</v>
      </c>
      <c r="H2490" s="255">
        <v>7</v>
      </c>
      <c r="I2490" s="361">
        <v>1</v>
      </c>
      <c r="J2490" s="362" t="s">
        <v>286</v>
      </c>
      <c r="K2490" s="329"/>
      <c r="L2490" s="129"/>
      <c r="M2490" s="129"/>
      <c r="N2490" s="129"/>
      <c r="O2490" s="129"/>
      <c r="P2490" s="372"/>
      <c r="Q2490" s="372"/>
      <c r="R2490" s="129"/>
      <c r="S2490" s="129"/>
      <c r="T2490" s="129"/>
      <c r="W2490" s="129" t="s">
        <v>286</v>
      </c>
      <c r="X2490" s="337" t="b">
        <f t="shared" si="72"/>
        <v>1</v>
      </c>
    </row>
    <row r="2491" spans="1:24" s="360" customFormat="1" ht="12" customHeight="1" outlineLevel="1">
      <c r="A2491" s="365"/>
      <c r="B2491" s="118" t="s">
        <v>12</v>
      </c>
      <c r="C2491" s="334" t="s">
        <v>9757</v>
      </c>
      <c r="D2491" s="124" t="s">
        <v>9758</v>
      </c>
      <c r="E2491" s="125"/>
      <c r="F2491" s="118" t="s">
        <v>622</v>
      </c>
      <c r="G2491" s="126" t="s">
        <v>9740</v>
      </c>
      <c r="H2491" s="255">
        <v>7</v>
      </c>
      <c r="I2491" s="361">
        <v>1</v>
      </c>
      <c r="J2491" s="362" t="s">
        <v>286</v>
      </c>
      <c r="K2491" s="329"/>
      <c r="L2491" s="129"/>
      <c r="M2491" s="129"/>
      <c r="N2491" s="129"/>
      <c r="O2491" s="129"/>
      <c r="P2491" s="372"/>
      <c r="Q2491" s="372"/>
      <c r="R2491" s="129"/>
      <c r="S2491" s="129"/>
      <c r="T2491" s="129"/>
      <c r="W2491" s="129" t="s">
        <v>286</v>
      </c>
      <c r="X2491" s="337" t="b">
        <f t="shared" si="72"/>
        <v>1</v>
      </c>
    </row>
    <row r="2492" spans="1:24" s="360" customFormat="1" ht="12" customHeight="1" outlineLevel="1">
      <c r="A2492" s="365"/>
      <c r="B2492" s="118" t="s">
        <v>12</v>
      </c>
      <c r="C2492" s="334" t="s">
        <v>9759</v>
      </c>
      <c r="D2492" s="124" t="s">
        <v>9760</v>
      </c>
      <c r="E2492" s="125"/>
      <c r="F2492" s="118" t="s">
        <v>622</v>
      </c>
      <c r="G2492" s="126" t="s">
        <v>9740</v>
      </c>
      <c r="H2492" s="255">
        <v>7</v>
      </c>
      <c r="I2492" s="361">
        <v>1</v>
      </c>
      <c r="J2492" s="362" t="s">
        <v>286</v>
      </c>
      <c r="K2492" s="329"/>
      <c r="L2492" s="129"/>
      <c r="M2492" s="129"/>
      <c r="N2492" s="129"/>
      <c r="O2492" s="129"/>
      <c r="P2492" s="372"/>
      <c r="Q2492" s="372"/>
      <c r="R2492" s="129"/>
      <c r="S2492" s="129"/>
      <c r="T2492" s="129"/>
      <c r="W2492" s="129" t="s">
        <v>286</v>
      </c>
      <c r="X2492" s="337" t="b">
        <f t="shared" si="72"/>
        <v>1</v>
      </c>
    </row>
    <row r="2493" spans="1:24" s="360" customFormat="1" ht="12" customHeight="1" outlineLevel="1">
      <c r="A2493" s="365"/>
      <c r="B2493" s="118" t="s">
        <v>12</v>
      </c>
      <c r="C2493" s="334" t="s">
        <v>9761</v>
      </c>
      <c r="D2493" s="124" t="s">
        <v>9668</v>
      </c>
      <c r="E2493" s="125"/>
      <c r="F2493" s="118" t="s">
        <v>622</v>
      </c>
      <c r="G2493" s="126" t="s">
        <v>9740</v>
      </c>
      <c r="H2493" s="255">
        <v>7</v>
      </c>
      <c r="I2493" s="361">
        <v>1</v>
      </c>
      <c r="J2493" s="362" t="s">
        <v>286</v>
      </c>
      <c r="K2493" s="329"/>
      <c r="L2493" s="129"/>
      <c r="M2493" s="129"/>
      <c r="N2493" s="129"/>
      <c r="O2493" s="129"/>
      <c r="P2493" s="372"/>
      <c r="Q2493" s="372"/>
      <c r="R2493" s="129"/>
      <c r="S2493" s="129"/>
      <c r="T2493" s="129"/>
      <c r="W2493" s="129" t="s">
        <v>4876</v>
      </c>
      <c r="X2493" s="337" t="b">
        <f t="shared" si="72"/>
        <v>0</v>
      </c>
    </row>
    <row r="2494" spans="1:24" s="360" customFormat="1" ht="12" customHeight="1" outlineLevel="1">
      <c r="A2494" s="365"/>
      <c r="B2494" s="118" t="s">
        <v>12</v>
      </c>
      <c r="C2494" s="334" t="s">
        <v>9762</v>
      </c>
      <c r="D2494" s="124" t="s">
        <v>7340</v>
      </c>
      <c r="E2494" s="125"/>
      <c r="F2494" s="118" t="s">
        <v>622</v>
      </c>
      <c r="G2494" s="126" t="s">
        <v>9763</v>
      </c>
      <c r="H2494" s="255">
        <v>8</v>
      </c>
      <c r="I2494" s="361">
        <v>1</v>
      </c>
      <c r="J2494" s="362" t="s">
        <v>743</v>
      </c>
      <c r="K2494" s="329"/>
      <c r="L2494" s="129"/>
      <c r="M2494" s="129"/>
      <c r="N2494" s="129"/>
      <c r="O2494" s="129"/>
      <c r="P2494" s="372"/>
      <c r="Q2494" s="372"/>
      <c r="R2494" s="129"/>
      <c r="S2494" s="129"/>
      <c r="T2494" s="129"/>
      <c r="W2494" s="129" t="s">
        <v>286</v>
      </c>
      <c r="X2494" s="337" t="b">
        <f t="shared" si="72"/>
        <v>0</v>
      </c>
    </row>
    <row r="2495" spans="1:24" s="360" customFormat="1" ht="12" customHeight="1" outlineLevel="1">
      <c r="A2495" s="365"/>
      <c r="B2495" s="118" t="s">
        <v>12</v>
      </c>
      <c r="C2495" s="334" t="s">
        <v>9764</v>
      </c>
      <c r="D2495" s="124" t="s">
        <v>9765</v>
      </c>
      <c r="E2495" s="125"/>
      <c r="F2495" s="118" t="s">
        <v>622</v>
      </c>
      <c r="G2495" s="126" t="s">
        <v>9763</v>
      </c>
      <c r="H2495" s="255">
        <v>8</v>
      </c>
      <c r="I2495" s="361">
        <v>1</v>
      </c>
      <c r="J2495" s="362" t="s">
        <v>286</v>
      </c>
      <c r="K2495" s="329"/>
      <c r="L2495" s="129"/>
      <c r="M2495" s="129"/>
      <c r="N2495" s="129"/>
      <c r="O2495" s="129"/>
      <c r="P2495" s="372"/>
      <c r="Q2495" s="372"/>
      <c r="R2495" s="129"/>
      <c r="S2495" s="129"/>
      <c r="T2495" s="129"/>
      <c r="W2495" s="129" t="s">
        <v>286</v>
      </c>
      <c r="X2495" s="337" t="b">
        <f t="shared" si="72"/>
        <v>1</v>
      </c>
    </row>
    <row r="2496" spans="1:24" s="360" customFormat="1" ht="12" customHeight="1" outlineLevel="1">
      <c r="A2496" s="365"/>
      <c r="B2496" s="118" t="s">
        <v>12</v>
      </c>
      <c r="C2496" s="334" t="s">
        <v>9766</v>
      </c>
      <c r="D2496" s="124" t="s">
        <v>9767</v>
      </c>
      <c r="E2496" s="125"/>
      <c r="F2496" s="118" t="s">
        <v>622</v>
      </c>
      <c r="G2496" s="126" t="s">
        <v>9763</v>
      </c>
      <c r="H2496" s="255">
        <v>8</v>
      </c>
      <c r="I2496" s="361">
        <v>1</v>
      </c>
      <c r="J2496" s="362" t="s">
        <v>286</v>
      </c>
      <c r="K2496" s="329"/>
      <c r="L2496" s="129"/>
      <c r="M2496" s="129"/>
      <c r="N2496" s="129"/>
      <c r="O2496" s="129"/>
      <c r="P2496" s="372"/>
      <c r="Q2496" s="372"/>
      <c r="R2496" s="129"/>
      <c r="S2496" s="129"/>
      <c r="T2496" s="129"/>
      <c r="W2496" s="129" t="s">
        <v>286</v>
      </c>
      <c r="X2496" s="337" t="b">
        <f t="shared" si="72"/>
        <v>1</v>
      </c>
    </row>
    <row r="2497" spans="1:24" s="360" customFormat="1" ht="12" customHeight="1" outlineLevel="1">
      <c r="A2497" s="365"/>
      <c r="B2497" s="118" t="s">
        <v>12</v>
      </c>
      <c r="C2497" s="334" t="s">
        <v>9768</v>
      </c>
      <c r="D2497" s="124" t="s">
        <v>9769</v>
      </c>
      <c r="E2497" s="125"/>
      <c r="F2497" s="118" t="s">
        <v>622</v>
      </c>
      <c r="G2497" s="126" t="s">
        <v>9763</v>
      </c>
      <c r="H2497" s="255">
        <v>8</v>
      </c>
      <c r="I2497" s="361">
        <v>1</v>
      </c>
      <c r="J2497" s="362" t="s">
        <v>310</v>
      </c>
      <c r="K2497" s="329"/>
      <c r="L2497" s="129"/>
      <c r="M2497" s="129"/>
      <c r="N2497" s="129"/>
      <c r="O2497" s="129"/>
      <c r="P2497" s="372"/>
      <c r="Q2497" s="372"/>
      <c r="R2497" s="129"/>
      <c r="S2497" s="129"/>
      <c r="T2497" s="129"/>
      <c r="W2497" s="129" t="s">
        <v>286</v>
      </c>
      <c r="X2497" s="337" t="b">
        <f t="shared" ref="X2497:X2512" si="73">W2497=J2497</f>
        <v>0</v>
      </c>
    </row>
    <row r="2498" spans="1:24" s="360" customFormat="1" ht="12" customHeight="1" outlineLevel="1">
      <c r="A2498" s="365"/>
      <c r="B2498" s="118" t="s">
        <v>12</v>
      </c>
      <c r="C2498" s="334" t="s">
        <v>9770</v>
      </c>
      <c r="D2498" s="124" t="s">
        <v>9771</v>
      </c>
      <c r="E2498" s="125"/>
      <c r="F2498" s="118" t="s">
        <v>622</v>
      </c>
      <c r="G2498" s="126" t="s">
        <v>9763</v>
      </c>
      <c r="H2498" s="255">
        <v>8</v>
      </c>
      <c r="I2498" s="361">
        <v>1</v>
      </c>
      <c r="J2498" s="362" t="s">
        <v>310</v>
      </c>
      <c r="K2498" s="329"/>
      <c r="L2498" s="129"/>
      <c r="M2498" s="129"/>
      <c r="N2498" s="129"/>
      <c r="O2498" s="129"/>
      <c r="P2498" s="372"/>
      <c r="Q2498" s="372"/>
      <c r="R2498" s="129"/>
      <c r="S2498" s="129"/>
      <c r="T2498" s="129"/>
      <c r="W2498" s="129" t="s">
        <v>286</v>
      </c>
      <c r="X2498" s="337" t="b">
        <f t="shared" si="73"/>
        <v>0</v>
      </c>
    </row>
    <row r="2499" spans="1:24" s="360" customFormat="1" ht="12" customHeight="1" outlineLevel="1">
      <c r="A2499" s="365"/>
      <c r="B2499" s="118" t="s">
        <v>12</v>
      </c>
      <c r="C2499" s="334" t="s">
        <v>9772</v>
      </c>
      <c r="D2499" s="124" t="s">
        <v>9773</v>
      </c>
      <c r="E2499" s="125"/>
      <c r="F2499" s="118" t="s">
        <v>622</v>
      </c>
      <c r="G2499" s="126" t="s">
        <v>9763</v>
      </c>
      <c r="H2499" s="255">
        <v>8</v>
      </c>
      <c r="I2499" s="361">
        <v>1</v>
      </c>
      <c r="J2499" s="362" t="s">
        <v>310</v>
      </c>
      <c r="K2499" s="329"/>
      <c r="L2499" s="129"/>
      <c r="M2499" s="129"/>
      <c r="N2499" s="129"/>
      <c r="O2499" s="129"/>
      <c r="P2499" s="372"/>
      <c r="Q2499" s="372"/>
      <c r="R2499" s="129"/>
      <c r="S2499" s="129"/>
      <c r="T2499" s="129"/>
      <c r="W2499" s="129" t="s">
        <v>286</v>
      </c>
      <c r="X2499" s="337" t="b">
        <f t="shared" si="73"/>
        <v>0</v>
      </c>
    </row>
    <row r="2500" spans="1:24" s="360" customFormat="1" ht="12" customHeight="1" outlineLevel="1">
      <c r="A2500" s="365"/>
      <c r="B2500" s="118" t="s">
        <v>12</v>
      </c>
      <c r="C2500" s="334" t="s">
        <v>9774</v>
      </c>
      <c r="D2500" s="124" t="s">
        <v>9775</v>
      </c>
      <c r="E2500" s="125"/>
      <c r="F2500" s="118" t="s">
        <v>622</v>
      </c>
      <c r="G2500" s="126" t="s">
        <v>9763</v>
      </c>
      <c r="H2500" s="255">
        <v>8</v>
      </c>
      <c r="I2500" s="361">
        <v>1</v>
      </c>
      <c r="J2500" s="362" t="s">
        <v>310</v>
      </c>
      <c r="K2500" s="329"/>
      <c r="L2500" s="129"/>
      <c r="M2500" s="129"/>
      <c r="N2500" s="129"/>
      <c r="O2500" s="129"/>
      <c r="P2500" s="372"/>
      <c r="Q2500" s="372"/>
      <c r="R2500" s="129"/>
      <c r="S2500" s="129"/>
      <c r="T2500" s="129"/>
      <c r="W2500" s="129" t="s">
        <v>286</v>
      </c>
      <c r="X2500" s="337" t="b">
        <f t="shared" si="73"/>
        <v>0</v>
      </c>
    </row>
    <row r="2501" spans="1:24" s="360" customFormat="1" ht="12" customHeight="1" outlineLevel="1">
      <c r="A2501" s="365"/>
      <c r="B2501" s="118" t="s">
        <v>12</v>
      </c>
      <c r="C2501" s="334" t="s">
        <v>9776</v>
      </c>
      <c r="D2501" s="124" t="s">
        <v>9777</v>
      </c>
      <c r="E2501" s="125"/>
      <c r="F2501" s="118" t="s">
        <v>622</v>
      </c>
      <c r="G2501" s="126" t="s">
        <v>9763</v>
      </c>
      <c r="H2501" s="255">
        <v>8</v>
      </c>
      <c r="I2501" s="361">
        <v>1</v>
      </c>
      <c r="J2501" s="362" t="s">
        <v>286</v>
      </c>
      <c r="K2501" s="329"/>
      <c r="L2501" s="129"/>
      <c r="M2501" s="129"/>
      <c r="N2501" s="129"/>
      <c r="O2501" s="129"/>
      <c r="P2501" s="372"/>
      <c r="Q2501" s="372"/>
      <c r="R2501" s="129"/>
      <c r="S2501" s="129"/>
      <c r="T2501" s="129"/>
      <c r="W2501" s="129" t="s">
        <v>286</v>
      </c>
      <c r="X2501" s="337" t="b">
        <f t="shared" si="73"/>
        <v>1</v>
      </c>
    </row>
    <row r="2502" spans="1:24" s="360" customFormat="1" ht="12" customHeight="1" outlineLevel="1">
      <c r="A2502" s="365"/>
      <c r="B2502" s="118" t="s">
        <v>12</v>
      </c>
      <c r="C2502" s="334" t="s">
        <v>9778</v>
      </c>
      <c r="D2502" s="124" t="s">
        <v>9779</v>
      </c>
      <c r="E2502" s="125"/>
      <c r="F2502" s="118" t="s">
        <v>622</v>
      </c>
      <c r="G2502" s="126" t="s">
        <v>9763</v>
      </c>
      <c r="H2502" s="255">
        <v>8</v>
      </c>
      <c r="I2502" s="361">
        <v>1</v>
      </c>
      <c r="J2502" s="362" t="s">
        <v>286</v>
      </c>
      <c r="K2502" s="329"/>
      <c r="L2502" s="129"/>
      <c r="M2502" s="129"/>
      <c r="N2502" s="129"/>
      <c r="O2502" s="129"/>
      <c r="P2502" s="372"/>
      <c r="Q2502" s="372"/>
      <c r="R2502" s="129"/>
      <c r="S2502" s="129"/>
      <c r="T2502" s="129"/>
      <c r="W2502" s="129" t="s">
        <v>286</v>
      </c>
      <c r="X2502" s="337" t="b">
        <f t="shared" si="73"/>
        <v>1</v>
      </c>
    </row>
    <row r="2503" spans="1:24" s="360" customFormat="1" ht="12" customHeight="1" outlineLevel="1">
      <c r="A2503" s="365"/>
      <c r="B2503" s="118" t="s">
        <v>12</v>
      </c>
      <c r="C2503" s="334" t="s">
        <v>9780</v>
      </c>
      <c r="D2503" s="124" t="s">
        <v>9781</v>
      </c>
      <c r="E2503" s="125"/>
      <c r="F2503" s="118" t="s">
        <v>622</v>
      </c>
      <c r="G2503" s="126" t="s">
        <v>9763</v>
      </c>
      <c r="H2503" s="255">
        <v>8</v>
      </c>
      <c r="I2503" s="361">
        <v>1</v>
      </c>
      <c r="J2503" s="362" t="s">
        <v>286</v>
      </c>
      <c r="K2503" s="329"/>
      <c r="L2503" s="129"/>
      <c r="M2503" s="129"/>
      <c r="N2503" s="129"/>
      <c r="O2503" s="129"/>
      <c r="P2503" s="372"/>
      <c r="Q2503" s="372"/>
      <c r="R2503" s="129"/>
      <c r="S2503" s="129"/>
      <c r="T2503" s="129"/>
      <c r="W2503" s="129" t="s">
        <v>286</v>
      </c>
      <c r="X2503" s="337" t="b">
        <f t="shared" si="73"/>
        <v>1</v>
      </c>
    </row>
    <row r="2504" spans="1:24" s="360" customFormat="1" ht="12" customHeight="1" outlineLevel="1">
      <c r="A2504" s="365"/>
      <c r="B2504" s="118" t="s">
        <v>12</v>
      </c>
      <c r="C2504" s="334" t="s">
        <v>9782</v>
      </c>
      <c r="D2504" s="124" t="s">
        <v>9783</v>
      </c>
      <c r="E2504" s="125"/>
      <c r="F2504" s="118" t="s">
        <v>622</v>
      </c>
      <c r="G2504" s="126" t="s">
        <v>9763</v>
      </c>
      <c r="H2504" s="255">
        <v>8</v>
      </c>
      <c r="I2504" s="361">
        <v>1</v>
      </c>
      <c r="J2504" s="362" t="s">
        <v>286</v>
      </c>
      <c r="K2504" s="329"/>
      <c r="L2504" s="129"/>
      <c r="M2504" s="129"/>
      <c r="N2504" s="129"/>
      <c r="O2504" s="129"/>
      <c r="P2504" s="372"/>
      <c r="Q2504" s="372"/>
      <c r="R2504" s="129"/>
      <c r="S2504" s="129"/>
      <c r="T2504" s="129"/>
      <c r="W2504" s="129" t="s">
        <v>286</v>
      </c>
      <c r="X2504" s="337" t="b">
        <f t="shared" si="73"/>
        <v>1</v>
      </c>
    </row>
    <row r="2505" spans="1:24" s="360" customFormat="1" ht="12" customHeight="1" outlineLevel="1">
      <c r="A2505" s="365"/>
      <c r="B2505" s="118" t="s">
        <v>12</v>
      </c>
      <c r="C2505" s="334" t="s">
        <v>9784</v>
      </c>
      <c r="D2505" s="124" t="s">
        <v>9785</v>
      </c>
      <c r="E2505" s="125"/>
      <c r="F2505" s="118" t="s">
        <v>622</v>
      </c>
      <c r="G2505" s="126" t="s">
        <v>9763</v>
      </c>
      <c r="H2505" s="255">
        <v>8</v>
      </c>
      <c r="I2505" s="361">
        <v>1</v>
      </c>
      <c r="J2505" s="362" t="s">
        <v>286</v>
      </c>
      <c r="K2505" s="329"/>
      <c r="L2505" s="129"/>
      <c r="M2505" s="129"/>
      <c r="N2505" s="129"/>
      <c r="O2505" s="129"/>
      <c r="P2505" s="372"/>
      <c r="Q2505" s="372"/>
      <c r="R2505" s="129"/>
      <c r="S2505" s="129"/>
      <c r="T2505" s="129"/>
      <c r="W2505" s="129" t="s">
        <v>286</v>
      </c>
      <c r="X2505" s="337" t="b">
        <f t="shared" si="73"/>
        <v>1</v>
      </c>
    </row>
    <row r="2506" spans="1:24" s="360" customFormat="1" ht="12" customHeight="1" outlineLevel="1">
      <c r="A2506" s="365"/>
      <c r="B2506" s="118" t="s">
        <v>12</v>
      </c>
      <c r="C2506" s="334" t="s">
        <v>9786</v>
      </c>
      <c r="D2506" s="124" t="s">
        <v>9787</v>
      </c>
      <c r="E2506" s="125"/>
      <c r="F2506" s="118" t="s">
        <v>622</v>
      </c>
      <c r="G2506" s="126" t="s">
        <v>9763</v>
      </c>
      <c r="H2506" s="255">
        <v>8</v>
      </c>
      <c r="I2506" s="361">
        <v>1</v>
      </c>
      <c r="J2506" s="362" t="s">
        <v>286</v>
      </c>
      <c r="K2506" s="329"/>
      <c r="L2506" s="129"/>
      <c r="M2506" s="129"/>
      <c r="N2506" s="129"/>
      <c r="O2506" s="129"/>
      <c r="P2506" s="372"/>
      <c r="Q2506" s="372"/>
      <c r="R2506" s="129"/>
      <c r="S2506" s="129"/>
      <c r="T2506" s="129"/>
      <c r="W2506" s="129" t="s">
        <v>286</v>
      </c>
      <c r="X2506" s="337" t="b">
        <f t="shared" si="73"/>
        <v>1</v>
      </c>
    </row>
    <row r="2507" spans="1:24" s="360" customFormat="1" ht="12" customHeight="1" outlineLevel="1">
      <c r="A2507" s="365"/>
      <c r="B2507" s="118" t="s">
        <v>12</v>
      </c>
      <c r="C2507" s="334" t="s">
        <v>9788</v>
      </c>
      <c r="D2507" s="124" t="s">
        <v>9789</v>
      </c>
      <c r="E2507" s="125"/>
      <c r="F2507" s="118" t="s">
        <v>622</v>
      </c>
      <c r="G2507" s="126" t="s">
        <v>9763</v>
      </c>
      <c r="H2507" s="255">
        <v>8</v>
      </c>
      <c r="I2507" s="361">
        <v>1</v>
      </c>
      <c r="J2507" s="362" t="s">
        <v>286</v>
      </c>
      <c r="K2507" s="329"/>
      <c r="L2507" s="129"/>
      <c r="M2507" s="129"/>
      <c r="N2507" s="129"/>
      <c r="O2507" s="129"/>
      <c r="P2507" s="372"/>
      <c r="Q2507" s="372"/>
      <c r="R2507" s="129"/>
      <c r="S2507" s="129"/>
      <c r="T2507" s="129"/>
      <c r="W2507" s="129" t="s">
        <v>286</v>
      </c>
      <c r="X2507" s="337" t="b">
        <f t="shared" si="73"/>
        <v>1</v>
      </c>
    </row>
    <row r="2508" spans="1:24" s="360" customFormat="1" ht="12" customHeight="1" outlineLevel="1">
      <c r="A2508" s="365"/>
      <c r="B2508" s="118" t="s">
        <v>12</v>
      </c>
      <c r="C2508" s="334" t="s">
        <v>9790</v>
      </c>
      <c r="D2508" s="124" t="s">
        <v>9791</v>
      </c>
      <c r="E2508" s="125"/>
      <c r="F2508" s="118" t="s">
        <v>622</v>
      </c>
      <c r="G2508" s="126" t="s">
        <v>9763</v>
      </c>
      <c r="H2508" s="255">
        <v>8</v>
      </c>
      <c r="I2508" s="361">
        <v>1</v>
      </c>
      <c r="J2508" s="362" t="s">
        <v>286</v>
      </c>
      <c r="K2508" s="329"/>
      <c r="L2508" s="129"/>
      <c r="M2508" s="129"/>
      <c r="N2508" s="129"/>
      <c r="O2508" s="129"/>
      <c r="P2508" s="372"/>
      <c r="Q2508" s="372"/>
      <c r="R2508" s="129"/>
      <c r="S2508" s="129"/>
      <c r="T2508" s="129"/>
      <c r="W2508" s="129" t="s">
        <v>286</v>
      </c>
      <c r="X2508" s="337" t="b">
        <f t="shared" si="73"/>
        <v>1</v>
      </c>
    </row>
    <row r="2509" spans="1:24" s="360" customFormat="1" ht="12" customHeight="1" outlineLevel="1">
      <c r="A2509" s="365"/>
      <c r="B2509" s="118" t="s">
        <v>12</v>
      </c>
      <c r="C2509" s="334" t="s">
        <v>9792</v>
      </c>
      <c r="D2509" s="124" t="s">
        <v>9664</v>
      </c>
      <c r="E2509" s="125"/>
      <c r="F2509" s="118" t="s">
        <v>622</v>
      </c>
      <c r="G2509" s="126" t="s">
        <v>9763</v>
      </c>
      <c r="H2509" s="255">
        <v>8</v>
      </c>
      <c r="I2509" s="361">
        <v>1</v>
      </c>
      <c r="J2509" s="362" t="s">
        <v>286</v>
      </c>
      <c r="K2509" s="329"/>
      <c r="L2509" s="129"/>
      <c r="M2509" s="129"/>
      <c r="N2509" s="129"/>
      <c r="O2509" s="129"/>
      <c r="P2509" s="372"/>
      <c r="Q2509" s="372"/>
      <c r="R2509" s="129"/>
      <c r="S2509" s="129"/>
      <c r="T2509" s="129"/>
      <c r="W2509" s="129" t="s">
        <v>286</v>
      </c>
      <c r="X2509" s="337" t="b">
        <f t="shared" si="73"/>
        <v>1</v>
      </c>
    </row>
    <row r="2510" spans="1:24" s="360" customFormat="1" ht="12" customHeight="1" outlineLevel="1">
      <c r="A2510" s="365"/>
      <c r="B2510" s="118" t="s">
        <v>12</v>
      </c>
      <c r="C2510" s="334" t="s">
        <v>9793</v>
      </c>
      <c r="D2510" s="124" t="s">
        <v>9666</v>
      </c>
      <c r="E2510" s="125"/>
      <c r="F2510" s="118" t="s">
        <v>622</v>
      </c>
      <c r="G2510" s="126" t="s">
        <v>9763</v>
      </c>
      <c r="H2510" s="255">
        <v>8</v>
      </c>
      <c r="I2510" s="361">
        <v>1</v>
      </c>
      <c r="J2510" s="362" t="s">
        <v>286</v>
      </c>
      <c r="K2510" s="329"/>
      <c r="L2510" s="129"/>
      <c r="M2510" s="129"/>
      <c r="N2510" s="129"/>
      <c r="O2510" s="129"/>
      <c r="P2510" s="372"/>
      <c r="Q2510" s="372"/>
      <c r="R2510" s="129"/>
      <c r="S2510" s="129"/>
      <c r="T2510" s="129"/>
      <c r="W2510" s="129" t="s">
        <v>4876</v>
      </c>
      <c r="X2510" s="337" t="b">
        <f t="shared" si="73"/>
        <v>0</v>
      </c>
    </row>
    <row r="2511" spans="1:24" s="360" customFormat="1" ht="12" customHeight="1" outlineLevel="1">
      <c r="A2511" s="365"/>
      <c r="B2511" s="118" t="s">
        <v>12</v>
      </c>
      <c r="C2511" s="334" t="s">
        <v>9794</v>
      </c>
      <c r="D2511" s="124" t="s">
        <v>9795</v>
      </c>
      <c r="E2511" s="125"/>
      <c r="F2511" s="118" t="s">
        <v>622</v>
      </c>
      <c r="G2511" s="126" t="s">
        <v>9763</v>
      </c>
      <c r="H2511" s="255">
        <v>8</v>
      </c>
      <c r="I2511" s="361">
        <v>1</v>
      </c>
      <c r="J2511" s="362" t="s">
        <v>310</v>
      </c>
      <c r="K2511" s="329"/>
      <c r="L2511" s="129"/>
      <c r="M2511" s="129"/>
      <c r="N2511" s="129"/>
      <c r="O2511" s="129"/>
      <c r="P2511" s="372"/>
      <c r="Q2511" s="372"/>
      <c r="R2511" s="129"/>
      <c r="S2511" s="129"/>
      <c r="T2511" s="129"/>
      <c r="W2511" s="129" t="s">
        <v>286</v>
      </c>
      <c r="X2511" s="337" t="b">
        <f t="shared" si="73"/>
        <v>0</v>
      </c>
    </row>
    <row r="2512" spans="1:24" s="360" customFormat="1" ht="12" customHeight="1" outlineLevel="1">
      <c r="A2512" s="365"/>
      <c r="B2512" s="118" t="s">
        <v>12</v>
      </c>
      <c r="C2512" s="334" t="s">
        <v>9796</v>
      </c>
      <c r="D2512" s="124" t="s">
        <v>9797</v>
      </c>
      <c r="E2512" s="125"/>
      <c r="F2512" s="118" t="s">
        <v>622</v>
      </c>
      <c r="G2512" s="126" t="s">
        <v>9763</v>
      </c>
      <c r="H2512" s="255">
        <v>8</v>
      </c>
      <c r="I2512" s="361">
        <v>1</v>
      </c>
      <c r="J2512" s="362" t="s">
        <v>286</v>
      </c>
      <c r="K2512" s="329"/>
      <c r="L2512" s="129"/>
      <c r="M2512" s="129"/>
      <c r="N2512" s="129"/>
      <c r="O2512" s="129"/>
      <c r="P2512" s="372"/>
      <c r="Q2512" s="372"/>
      <c r="R2512" s="129"/>
      <c r="S2512" s="129"/>
      <c r="T2512" s="129"/>
      <c r="W2512" s="129" t="s">
        <v>286</v>
      </c>
      <c r="X2512" s="337" t="b">
        <f t="shared" si="73"/>
        <v>1</v>
      </c>
    </row>
    <row r="2513" spans="1:24" ht="3" customHeight="1">
      <c r="A2513" s="370"/>
      <c r="B2513" s="118"/>
      <c r="C2513" s="334"/>
      <c r="D2513" s="124"/>
      <c r="E2513" s="125"/>
      <c r="F2513" s="118"/>
      <c r="G2513" s="126"/>
      <c r="H2513" s="255"/>
      <c r="K2513" s="363"/>
      <c r="L2513" s="129"/>
      <c r="M2513" s="129"/>
      <c r="N2513" s="129"/>
      <c r="O2513" s="129"/>
      <c r="P2513" s="372"/>
      <c r="Q2513" s="372"/>
      <c r="R2513" s="129"/>
      <c r="S2513" s="129"/>
      <c r="T2513" s="129"/>
      <c r="W2513" s="129"/>
    </row>
    <row r="2514" spans="1:24" s="360" customFormat="1" ht="12" customHeight="1">
      <c r="A2514" s="110" t="s">
        <v>826</v>
      </c>
      <c r="B2514" s="118"/>
      <c r="C2514" s="334"/>
      <c r="D2514" s="124"/>
      <c r="E2514" s="125"/>
      <c r="F2514" s="118"/>
      <c r="G2514" s="126"/>
      <c r="H2514" s="255"/>
      <c r="I2514" s="62"/>
      <c r="J2514" s="358"/>
      <c r="K2514" s="62"/>
      <c r="L2514" s="62"/>
      <c r="M2514" s="62"/>
      <c r="N2514" s="62"/>
      <c r="O2514" s="62"/>
      <c r="P2514" s="359"/>
      <c r="Q2514" s="359"/>
      <c r="R2514" s="359"/>
      <c r="S2514" s="359"/>
      <c r="T2514" s="359"/>
      <c r="W2514" s="359"/>
    </row>
    <row r="2515" spans="1:24" s="337" customFormat="1" ht="12" customHeight="1" outlineLevel="1">
      <c r="A2515" s="335"/>
      <c r="B2515" s="118" t="s">
        <v>12</v>
      </c>
      <c r="C2515" s="334" t="s">
        <v>9798</v>
      </c>
      <c r="D2515" s="124" t="s">
        <v>9799</v>
      </c>
      <c r="E2515" s="125"/>
      <c r="F2515" s="118" t="s">
        <v>828</v>
      </c>
      <c r="G2515" s="126" t="s">
        <v>9800</v>
      </c>
      <c r="H2515" s="255">
        <v>1</v>
      </c>
      <c r="I2515" s="361">
        <v>1</v>
      </c>
      <c r="J2515" s="362" t="s">
        <v>286</v>
      </c>
      <c r="K2515" s="363"/>
      <c r="L2515" s="129"/>
      <c r="M2515" s="129"/>
      <c r="N2515" s="129"/>
      <c r="O2515" s="129"/>
      <c r="P2515" s="364"/>
      <c r="Q2515" s="364"/>
      <c r="R2515" s="129"/>
      <c r="S2515" s="129"/>
      <c r="T2515" s="129"/>
      <c r="W2515" s="129" t="s">
        <v>4876</v>
      </c>
      <c r="X2515" s="337" t="b">
        <f t="shared" ref="X2515:X2578" si="74">W2515=J2515</f>
        <v>0</v>
      </c>
    </row>
    <row r="2516" spans="1:24" s="337" customFormat="1" ht="12" customHeight="1" outlineLevel="1">
      <c r="A2516" s="335"/>
      <c r="B2516" s="118" t="s">
        <v>12</v>
      </c>
      <c r="C2516" s="334" t="s">
        <v>9801</v>
      </c>
      <c r="D2516" s="124" t="s">
        <v>6275</v>
      </c>
      <c r="E2516" s="125"/>
      <c r="F2516" s="118" t="s">
        <v>828</v>
      </c>
      <c r="G2516" s="126" t="s">
        <v>9800</v>
      </c>
      <c r="H2516" s="255">
        <v>1</v>
      </c>
      <c r="I2516" s="361">
        <v>1</v>
      </c>
      <c r="J2516" s="362" t="s">
        <v>6148</v>
      </c>
      <c r="K2516" s="363"/>
      <c r="L2516" s="129"/>
      <c r="M2516" s="129"/>
      <c r="N2516" s="129"/>
      <c r="O2516" s="129"/>
      <c r="P2516" s="364"/>
      <c r="Q2516" s="364"/>
      <c r="R2516" s="129"/>
      <c r="S2516" s="129"/>
      <c r="T2516" s="129"/>
      <c r="W2516" s="129" t="s">
        <v>307</v>
      </c>
      <c r="X2516" s="337" t="b">
        <f t="shared" si="74"/>
        <v>0</v>
      </c>
    </row>
    <row r="2517" spans="1:24" s="337" customFormat="1" ht="12" customHeight="1" outlineLevel="1">
      <c r="A2517" s="335"/>
      <c r="B2517" s="118" t="s">
        <v>12</v>
      </c>
      <c r="C2517" s="334" t="s">
        <v>9802</v>
      </c>
      <c r="D2517" s="124" t="s">
        <v>9803</v>
      </c>
      <c r="E2517" s="125"/>
      <c r="F2517" s="118" t="s">
        <v>828</v>
      </c>
      <c r="G2517" s="126" t="s">
        <v>9800</v>
      </c>
      <c r="H2517" s="255">
        <v>1</v>
      </c>
      <c r="I2517" s="361">
        <v>1</v>
      </c>
      <c r="J2517" s="362" t="s">
        <v>286</v>
      </c>
      <c r="K2517" s="363"/>
      <c r="L2517" s="129"/>
      <c r="M2517" s="129"/>
      <c r="N2517" s="129"/>
      <c r="O2517" s="129"/>
      <c r="P2517" s="364"/>
      <c r="Q2517" s="364"/>
      <c r="R2517" s="129"/>
      <c r="S2517" s="129"/>
      <c r="T2517" s="129"/>
      <c r="W2517" s="129" t="s">
        <v>286</v>
      </c>
      <c r="X2517" s="337" t="b">
        <f t="shared" si="74"/>
        <v>1</v>
      </c>
    </row>
    <row r="2518" spans="1:24" s="337" customFormat="1" ht="12" customHeight="1" outlineLevel="1">
      <c r="A2518" s="335"/>
      <c r="B2518" s="118" t="s">
        <v>12</v>
      </c>
      <c r="C2518" s="334" t="s">
        <v>9804</v>
      </c>
      <c r="D2518" s="124" t="s">
        <v>9805</v>
      </c>
      <c r="E2518" s="125"/>
      <c r="F2518" s="118" t="s">
        <v>828</v>
      </c>
      <c r="G2518" s="126" t="s">
        <v>9800</v>
      </c>
      <c r="H2518" s="255">
        <v>1</v>
      </c>
      <c r="I2518" s="361">
        <v>1</v>
      </c>
      <c r="J2518" s="362" t="s">
        <v>310</v>
      </c>
      <c r="K2518" s="363"/>
      <c r="L2518" s="129"/>
      <c r="M2518" s="129"/>
      <c r="N2518" s="129"/>
      <c r="O2518" s="129"/>
      <c r="P2518" s="364"/>
      <c r="Q2518" s="364"/>
      <c r="R2518" s="129"/>
      <c r="S2518" s="129"/>
      <c r="T2518" s="129"/>
      <c r="W2518" s="129" t="s">
        <v>325</v>
      </c>
      <c r="X2518" s="337" t="b">
        <f t="shared" si="74"/>
        <v>0</v>
      </c>
    </row>
    <row r="2519" spans="1:24" s="337" customFormat="1" ht="12" customHeight="1" outlineLevel="1">
      <c r="A2519" s="335"/>
      <c r="B2519" s="118" t="s">
        <v>12</v>
      </c>
      <c r="C2519" s="334" t="s">
        <v>9806</v>
      </c>
      <c r="D2519" s="124" t="s">
        <v>9807</v>
      </c>
      <c r="E2519" s="125"/>
      <c r="F2519" s="118" t="s">
        <v>828</v>
      </c>
      <c r="G2519" s="126" t="s">
        <v>9800</v>
      </c>
      <c r="H2519" s="255">
        <v>1</v>
      </c>
      <c r="I2519" s="361">
        <v>1</v>
      </c>
      <c r="J2519" s="362" t="s">
        <v>310</v>
      </c>
      <c r="K2519" s="363"/>
      <c r="L2519" s="129"/>
      <c r="M2519" s="129"/>
      <c r="N2519" s="129"/>
      <c r="O2519" s="129"/>
      <c r="P2519" s="364"/>
      <c r="Q2519" s="364"/>
      <c r="R2519" s="129"/>
      <c r="S2519" s="129"/>
      <c r="T2519" s="129"/>
      <c r="W2519" s="129" t="s">
        <v>4876</v>
      </c>
      <c r="X2519" s="337" t="b">
        <f t="shared" si="74"/>
        <v>0</v>
      </c>
    </row>
    <row r="2520" spans="1:24" s="337" customFormat="1" ht="12" customHeight="1" outlineLevel="1">
      <c r="A2520" s="335"/>
      <c r="B2520" s="118" t="s">
        <v>12</v>
      </c>
      <c r="C2520" s="334" t="s">
        <v>9808</v>
      </c>
      <c r="D2520" s="124" t="s">
        <v>9809</v>
      </c>
      <c r="E2520" s="125"/>
      <c r="F2520" s="118" t="s">
        <v>828</v>
      </c>
      <c r="G2520" s="126" t="s">
        <v>9800</v>
      </c>
      <c r="H2520" s="255">
        <v>1</v>
      </c>
      <c r="I2520" s="361">
        <v>1</v>
      </c>
      <c r="J2520" s="362" t="s">
        <v>307</v>
      </c>
      <c r="K2520" s="363"/>
      <c r="L2520" s="129"/>
      <c r="M2520" s="129"/>
      <c r="N2520" s="129"/>
      <c r="O2520" s="129"/>
      <c r="P2520" s="364"/>
      <c r="Q2520" s="364"/>
      <c r="R2520" s="129"/>
      <c r="S2520" s="129"/>
      <c r="T2520" s="129"/>
      <c r="W2520" s="129" t="s">
        <v>4876</v>
      </c>
      <c r="X2520" s="337" t="b">
        <f t="shared" si="74"/>
        <v>0</v>
      </c>
    </row>
    <row r="2521" spans="1:24" s="337" customFormat="1" ht="12" customHeight="1" outlineLevel="1">
      <c r="A2521" s="335"/>
      <c r="B2521" s="118" t="s">
        <v>12</v>
      </c>
      <c r="C2521" s="334" t="s">
        <v>9810</v>
      </c>
      <c r="D2521" s="124" t="s">
        <v>9811</v>
      </c>
      <c r="E2521" s="125"/>
      <c r="F2521" s="118" t="s">
        <v>828</v>
      </c>
      <c r="G2521" s="126" t="s">
        <v>9800</v>
      </c>
      <c r="H2521" s="255">
        <v>1</v>
      </c>
      <c r="I2521" s="361">
        <v>1</v>
      </c>
      <c r="J2521" s="362" t="s">
        <v>286</v>
      </c>
      <c r="K2521" s="363"/>
      <c r="L2521" s="129"/>
      <c r="M2521" s="129"/>
      <c r="N2521" s="129"/>
      <c r="O2521" s="129"/>
      <c r="P2521" s="364"/>
      <c r="Q2521" s="364"/>
      <c r="R2521" s="129"/>
      <c r="S2521" s="129"/>
      <c r="T2521" s="129"/>
      <c r="W2521" s="129" t="s">
        <v>4876</v>
      </c>
      <c r="X2521" s="337" t="b">
        <f t="shared" si="74"/>
        <v>0</v>
      </c>
    </row>
    <row r="2522" spans="1:24" s="337" customFormat="1" ht="12" customHeight="1" outlineLevel="1">
      <c r="A2522" s="335"/>
      <c r="B2522" s="118" t="s">
        <v>12</v>
      </c>
      <c r="C2522" s="334" t="s">
        <v>9812</v>
      </c>
      <c r="D2522" s="124" t="s">
        <v>9813</v>
      </c>
      <c r="E2522" s="125"/>
      <c r="F2522" s="118" t="s">
        <v>828</v>
      </c>
      <c r="G2522" s="126" t="s">
        <v>9800</v>
      </c>
      <c r="H2522" s="255">
        <v>1</v>
      </c>
      <c r="I2522" s="361">
        <v>1</v>
      </c>
      <c r="J2522" s="362" t="s">
        <v>286</v>
      </c>
      <c r="K2522" s="363"/>
      <c r="L2522" s="129"/>
      <c r="M2522" s="129"/>
      <c r="N2522" s="129"/>
      <c r="O2522" s="129"/>
      <c r="P2522" s="364"/>
      <c r="Q2522" s="364"/>
      <c r="R2522" s="129"/>
      <c r="S2522" s="129"/>
      <c r="T2522" s="129"/>
      <c r="W2522" s="129" t="s">
        <v>4876</v>
      </c>
      <c r="X2522" s="337" t="b">
        <f t="shared" si="74"/>
        <v>0</v>
      </c>
    </row>
    <row r="2523" spans="1:24" s="337" customFormat="1" ht="12" customHeight="1" outlineLevel="1">
      <c r="A2523" s="335"/>
      <c r="B2523" s="118" t="s">
        <v>12</v>
      </c>
      <c r="C2523" s="334" t="s">
        <v>9814</v>
      </c>
      <c r="D2523" s="124" t="s">
        <v>9815</v>
      </c>
      <c r="E2523" s="125"/>
      <c r="F2523" s="118" t="s">
        <v>828</v>
      </c>
      <c r="G2523" s="126" t="s">
        <v>9800</v>
      </c>
      <c r="H2523" s="255">
        <v>1</v>
      </c>
      <c r="I2523" s="361">
        <v>1</v>
      </c>
      <c r="J2523" s="362" t="s">
        <v>310</v>
      </c>
      <c r="K2523" s="363"/>
      <c r="L2523" s="129"/>
      <c r="M2523" s="129"/>
      <c r="N2523" s="129"/>
      <c r="O2523" s="129"/>
      <c r="P2523" s="364"/>
      <c r="Q2523" s="364"/>
      <c r="R2523" s="129"/>
      <c r="S2523" s="129"/>
      <c r="T2523" s="129"/>
      <c r="W2523" s="129" t="s">
        <v>4876</v>
      </c>
      <c r="X2523" s="337" t="b">
        <f t="shared" si="74"/>
        <v>0</v>
      </c>
    </row>
    <row r="2524" spans="1:24" s="337" customFormat="1" ht="12" customHeight="1" outlineLevel="1">
      <c r="A2524" s="335"/>
      <c r="B2524" s="118" t="s">
        <v>12</v>
      </c>
      <c r="C2524" s="334" t="s">
        <v>9816</v>
      </c>
      <c r="D2524" s="124" t="s">
        <v>9817</v>
      </c>
      <c r="E2524" s="125"/>
      <c r="F2524" s="118" t="s">
        <v>828</v>
      </c>
      <c r="G2524" s="126" t="s">
        <v>9800</v>
      </c>
      <c r="H2524" s="255">
        <v>1</v>
      </c>
      <c r="I2524" s="361">
        <v>1</v>
      </c>
      <c r="J2524" s="362" t="s">
        <v>286</v>
      </c>
      <c r="K2524" s="363"/>
      <c r="L2524" s="129"/>
      <c r="M2524" s="129"/>
      <c r="N2524" s="129"/>
      <c r="O2524" s="129"/>
      <c r="P2524" s="364"/>
      <c r="Q2524" s="364"/>
      <c r="R2524" s="129"/>
      <c r="S2524" s="129"/>
      <c r="T2524" s="129"/>
      <c r="W2524" s="129" t="s">
        <v>4876</v>
      </c>
      <c r="X2524" s="337" t="b">
        <f t="shared" si="74"/>
        <v>0</v>
      </c>
    </row>
    <row r="2525" spans="1:24" s="337" customFormat="1" ht="12" customHeight="1" outlineLevel="1">
      <c r="A2525" s="335"/>
      <c r="B2525" s="118" t="s">
        <v>12</v>
      </c>
      <c r="C2525" s="334" t="s">
        <v>9818</v>
      </c>
      <c r="D2525" s="124" t="s">
        <v>9819</v>
      </c>
      <c r="E2525" s="125"/>
      <c r="F2525" s="118" t="s">
        <v>828</v>
      </c>
      <c r="G2525" s="126" t="s">
        <v>9800</v>
      </c>
      <c r="H2525" s="255">
        <v>1</v>
      </c>
      <c r="I2525" s="361">
        <v>1</v>
      </c>
      <c r="J2525" s="362" t="s">
        <v>286</v>
      </c>
      <c r="K2525" s="363"/>
      <c r="L2525" s="129"/>
      <c r="M2525" s="129"/>
      <c r="N2525" s="129"/>
      <c r="O2525" s="129"/>
      <c r="P2525" s="364"/>
      <c r="Q2525" s="364"/>
      <c r="R2525" s="129"/>
      <c r="S2525" s="129"/>
      <c r="T2525" s="129"/>
      <c r="W2525" s="129" t="s">
        <v>4876</v>
      </c>
      <c r="X2525" s="337" t="b">
        <f t="shared" si="74"/>
        <v>0</v>
      </c>
    </row>
    <row r="2526" spans="1:24" s="337" customFormat="1" ht="12" customHeight="1" outlineLevel="1">
      <c r="A2526" s="335"/>
      <c r="B2526" s="118" t="s">
        <v>12</v>
      </c>
      <c r="C2526" s="334" t="s">
        <v>9820</v>
      </c>
      <c r="D2526" s="124" t="s">
        <v>9821</v>
      </c>
      <c r="E2526" s="125"/>
      <c r="F2526" s="118" t="s">
        <v>828</v>
      </c>
      <c r="G2526" s="126" t="s">
        <v>9800</v>
      </c>
      <c r="H2526" s="255">
        <v>1</v>
      </c>
      <c r="I2526" s="361">
        <v>1</v>
      </c>
      <c r="J2526" s="362" t="s">
        <v>286</v>
      </c>
      <c r="K2526" s="363"/>
      <c r="L2526" s="129"/>
      <c r="M2526" s="129"/>
      <c r="N2526" s="129"/>
      <c r="O2526" s="129"/>
      <c r="P2526" s="364"/>
      <c r="Q2526" s="364"/>
      <c r="R2526" s="129"/>
      <c r="S2526" s="129"/>
      <c r="T2526" s="129"/>
      <c r="W2526" s="129" t="s">
        <v>4876</v>
      </c>
      <c r="X2526" s="337" t="b">
        <f t="shared" si="74"/>
        <v>0</v>
      </c>
    </row>
    <row r="2527" spans="1:24" s="337" customFormat="1" ht="12" customHeight="1" outlineLevel="1">
      <c r="A2527" s="335"/>
      <c r="B2527" s="118" t="s">
        <v>12</v>
      </c>
      <c r="C2527" s="334" t="s">
        <v>9822</v>
      </c>
      <c r="D2527" s="124" t="s">
        <v>9823</v>
      </c>
      <c r="E2527" s="125"/>
      <c r="F2527" s="118" t="s">
        <v>828</v>
      </c>
      <c r="G2527" s="126" t="s">
        <v>9800</v>
      </c>
      <c r="H2527" s="255">
        <v>1</v>
      </c>
      <c r="I2527" s="361">
        <v>1</v>
      </c>
      <c r="J2527" s="362" t="s">
        <v>286</v>
      </c>
      <c r="K2527" s="363"/>
      <c r="L2527" s="129"/>
      <c r="M2527" s="129"/>
      <c r="N2527" s="129"/>
      <c r="O2527" s="129"/>
      <c r="P2527" s="364"/>
      <c r="Q2527" s="364"/>
      <c r="R2527" s="129"/>
      <c r="S2527" s="129"/>
      <c r="T2527" s="129"/>
      <c r="W2527" s="129" t="s">
        <v>4876</v>
      </c>
      <c r="X2527" s="337" t="b">
        <f t="shared" si="74"/>
        <v>0</v>
      </c>
    </row>
    <row r="2528" spans="1:24" s="337" customFormat="1" ht="12" customHeight="1" outlineLevel="1">
      <c r="A2528" s="335"/>
      <c r="B2528" s="118" t="s">
        <v>12</v>
      </c>
      <c r="C2528" s="334" t="s">
        <v>9824</v>
      </c>
      <c r="D2528" s="124" t="s">
        <v>9825</v>
      </c>
      <c r="E2528" s="125"/>
      <c r="F2528" s="118" t="s">
        <v>828</v>
      </c>
      <c r="G2528" s="126" t="s">
        <v>9800</v>
      </c>
      <c r="H2528" s="255">
        <v>1</v>
      </c>
      <c r="I2528" s="361">
        <v>1</v>
      </c>
      <c r="J2528" s="362" t="s">
        <v>310</v>
      </c>
      <c r="K2528" s="363"/>
      <c r="L2528" s="129"/>
      <c r="M2528" s="129"/>
      <c r="N2528" s="129"/>
      <c r="O2528" s="129"/>
      <c r="P2528" s="364"/>
      <c r="Q2528" s="364"/>
      <c r="R2528" s="129"/>
      <c r="S2528" s="129"/>
      <c r="T2528" s="129"/>
      <c r="W2528" s="129" t="s">
        <v>4876</v>
      </c>
      <c r="X2528" s="337" t="b">
        <f t="shared" si="74"/>
        <v>0</v>
      </c>
    </row>
    <row r="2529" spans="1:24" s="337" customFormat="1" ht="12" customHeight="1" outlineLevel="1">
      <c r="A2529" s="335"/>
      <c r="B2529" s="118" t="s">
        <v>12</v>
      </c>
      <c r="C2529" s="334" t="s">
        <v>9826</v>
      </c>
      <c r="D2529" s="124" t="s">
        <v>9827</v>
      </c>
      <c r="E2529" s="125"/>
      <c r="F2529" s="118" t="s">
        <v>828</v>
      </c>
      <c r="G2529" s="126" t="s">
        <v>9800</v>
      </c>
      <c r="H2529" s="255">
        <v>1</v>
      </c>
      <c r="I2529" s="361">
        <v>1</v>
      </c>
      <c r="J2529" s="362" t="s">
        <v>307</v>
      </c>
      <c r="K2529" s="363"/>
      <c r="L2529" s="129"/>
      <c r="M2529" s="129"/>
      <c r="N2529" s="129"/>
      <c r="O2529" s="129"/>
      <c r="P2529" s="364"/>
      <c r="Q2529" s="364"/>
      <c r="R2529" s="129"/>
      <c r="S2529" s="129"/>
      <c r="T2529" s="129"/>
      <c r="W2529" s="129" t="s">
        <v>4876</v>
      </c>
      <c r="X2529" s="337" t="b">
        <f t="shared" si="74"/>
        <v>0</v>
      </c>
    </row>
    <row r="2530" spans="1:24" s="337" customFormat="1" ht="12" customHeight="1" outlineLevel="1">
      <c r="A2530" s="335"/>
      <c r="B2530" s="118" t="s">
        <v>12</v>
      </c>
      <c r="C2530" s="334" t="s">
        <v>9828</v>
      </c>
      <c r="D2530" s="124" t="s">
        <v>9829</v>
      </c>
      <c r="E2530" s="125"/>
      <c r="F2530" s="118" t="s">
        <v>828</v>
      </c>
      <c r="G2530" s="126" t="s">
        <v>9800</v>
      </c>
      <c r="H2530" s="255">
        <v>1</v>
      </c>
      <c r="I2530" s="361">
        <v>1</v>
      </c>
      <c r="J2530" s="362" t="s">
        <v>286</v>
      </c>
      <c r="K2530" s="363"/>
      <c r="L2530" s="129"/>
      <c r="M2530" s="129"/>
      <c r="N2530" s="129"/>
      <c r="O2530" s="129"/>
      <c r="P2530" s="364"/>
      <c r="Q2530" s="364"/>
      <c r="R2530" s="129"/>
      <c r="S2530" s="129"/>
      <c r="T2530" s="129"/>
      <c r="W2530" s="129" t="s">
        <v>4876</v>
      </c>
      <c r="X2530" s="337" t="b">
        <f t="shared" si="74"/>
        <v>0</v>
      </c>
    </row>
    <row r="2531" spans="1:24" s="337" customFormat="1" ht="12" customHeight="1" outlineLevel="1">
      <c r="A2531" s="335"/>
      <c r="B2531" s="118" t="s">
        <v>12</v>
      </c>
      <c r="C2531" s="334" t="s">
        <v>9830</v>
      </c>
      <c r="D2531" s="124" t="s">
        <v>9831</v>
      </c>
      <c r="E2531" s="125"/>
      <c r="F2531" s="118" t="s">
        <v>828</v>
      </c>
      <c r="G2531" s="126" t="s">
        <v>9800</v>
      </c>
      <c r="H2531" s="255">
        <v>1</v>
      </c>
      <c r="I2531" s="361">
        <v>1</v>
      </c>
      <c r="J2531" s="362" t="s">
        <v>286</v>
      </c>
      <c r="K2531" s="363"/>
      <c r="L2531" s="129"/>
      <c r="M2531" s="129"/>
      <c r="N2531" s="129"/>
      <c r="O2531" s="129"/>
      <c r="P2531" s="364"/>
      <c r="Q2531" s="364"/>
      <c r="R2531" s="129"/>
      <c r="S2531" s="129"/>
      <c r="T2531" s="129"/>
      <c r="W2531" s="129" t="s">
        <v>4876</v>
      </c>
      <c r="X2531" s="337" t="b">
        <f t="shared" si="74"/>
        <v>0</v>
      </c>
    </row>
    <row r="2532" spans="1:24" s="337" customFormat="1" ht="12" customHeight="1" outlineLevel="1">
      <c r="A2532" s="335"/>
      <c r="B2532" s="118" t="s">
        <v>12</v>
      </c>
      <c r="C2532" s="334" t="s">
        <v>9832</v>
      </c>
      <c r="D2532" s="124" t="s">
        <v>9833</v>
      </c>
      <c r="E2532" s="125"/>
      <c r="F2532" s="118" t="s">
        <v>828</v>
      </c>
      <c r="G2532" s="126" t="s">
        <v>9800</v>
      </c>
      <c r="H2532" s="255">
        <v>1</v>
      </c>
      <c r="I2532" s="361">
        <v>1</v>
      </c>
      <c r="J2532" s="362" t="s">
        <v>286</v>
      </c>
      <c r="K2532" s="363"/>
      <c r="L2532" s="129"/>
      <c r="M2532" s="129"/>
      <c r="N2532" s="129"/>
      <c r="O2532" s="129"/>
      <c r="P2532" s="364"/>
      <c r="Q2532" s="364"/>
      <c r="R2532" s="129"/>
      <c r="S2532" s="129"/>
      <c r="T2532" s="129"/>
      <c r="W2532" s="129" t="s">
        <v>4876</v>
      </c>
      <c r="X2532" s="337" t="b">
        <f t="shared" si="74"/>
        <v>0</v>
      </c>
    </row>
    <row r="2533" spans="1:24" s="337" customFormat="1" ht="12" customHeight="1" outlineLevel="1">
      <c r="A2533" s="335"/>
      <c r="B2533" s="118" t="s">
        <v>12</v>
      </c>
      <c r="C2533" s="334" t="s">
        <v>9834</v>
      </c>
      <c r="D2533" s="124" t="s">
        <v>9835</v>
      </c>
      <c r="E2533" s="125"/>
      <c r="F2533" s="118" t="s">
        <v>828</v>
      </c>
      <c r="G2533" s="126" t="s">
        <v>9800</v>
      </c>
      <c r="H2533" s="255">
        <v>1</v>
      </c>
      <c r="I2533" s="361">
        <v>1</v>
      </c>
      <c r="J2533" s="362" t="s">
        <v>286</v>
      </c>
      <c r="K2533" s="363"/>
      <c r="L2533" s="129"/>
      <c r="M2533" s="129"/>
      <c r="N2533" s="129"/>
      <c r="O2533" s="129"/>
      <c r="P2533" s="364"/>
      <c r="Q2533" s="364"/>
      <c r="R2533" s="129"/>
      <c r="S2533" s="129"/>
      <c r="T2533" s="129"/>
      <c r="W2533" s="129" t="s">
        <v>4876</v>
      </c>
      <c r="X2533" s="337" t="b">
        <f t="shared" si="74"/>
        <v>0</v>
      </c>
    </row>
    <row r="2534" spans="1:24" s="337" customFormat="1" ht="12" customHeight="1" outlineLevel="1">
      <c r="A2534" s="335"/>
      <c r="B2534" s="118" t="s">
        <v>12</v>
      </c>
      <c r="C2534" s="334" t="s">
        <v>9836</v>
      </c>
      <c r="D2534" s="124" t="s">
        <v>9837</v>
      </c>
      <c r="E2534" s="125"/>
      <c r="F2534" s="118" t="s">
        <v>828</v>
      </c>
      <c r="G2534" s="126" t="s">
        <v>9800</v>
      </c>
      <c r="H2534" s="255">
        <v>1</v>
      </c>
      <c r="I2534" s="361">
        <v>1</v>
      </c>
      <c r="J2534" s="362" t="s">
        <v>286</v>
      </c>
      <c r="K2534" s="363"/>
      <c r="L2534" s="129"/>
      <c r="M2534" s="129"/>
      <c r="N2534" s="129"/>
      <c r="O2534" s="129"/>
      <c r="P2534" s="364"/>
      <c r="Q2534" s="364"/>
      <c r="R2534" s="129"/>
      <c r="S2534" s="129"/>
      <c r="T2534" s="129"/>
      <c r="W2534" s="129" t="s">
        <v>4876</v>
      </c>
      <c r="X2534" s="337" t="b">
        <f t="shared" si="74"/>
        <v>0</v>
      </c>
    </row>
    <row r="2535" spans="1:24" s="337" customFormat="1" ht="12" customHeight="1" outlineLevel="1">
      <c r="A2535" s="335"/>
      <c r="B2535" s="118" t="s">
        <v>12</v>
      </c>
      <c r="C2535" s="334" t="s">
        <v>9838</v>
      </c>
      <c r="D2535" s="124" t="s">
        <v>9839</v>
      </c>
      <c r="E2535" s="125"/>
      <c r="F2535" s="118" t="s">
        <v>828</v>
      </c>
      <c r="G2535" s="126" t="s">
        <v>9800</v>
      </c>
      <c r="H2535" s="255">
        <v>1</v>
      </c>
      <c r="I2535" s="361">
        <v>1</v>
      </c>
      <c r="J2535" s="362" t="s">
        <v>307</v>
      </c>
      <c r="K2535" s="363"/>
      <c r="L2535" s="129"/>
      <c r="M2535" s="129"/>
      <c r="N2535" s="129"/>
      <c r="O2535" s="129"/>
      <c r="P2535" s="364"/>
      <c r="Q2535" s="364"/>
      <c r="R2535" s="129"/>
      <c r="S2535" s="129"/>
      <c r="T2535" s="129"/>
      <c r="W2535" s="129" t="s">
        <v>286</v>
      </c>
      <c r="X2535" s="337" t="b">
        <f t="shared" si="74"/>
        <v>0</v>
      </c>
    </row>
    <row r="2536" spans="1:24" s="337" customFormat="1" ht="12" customHeight="1" outlineLevel="1">
      <c r="A2536" s="335"/>
      <c r="B2536" s="118" t="s">
        <v>12</v>
      </c>
      <c r="C2536" s="334" t="s">
        <v>9840</v>
      </c>
      <c r="D2536" s="124" t="s">
        <v>9841</v>
      </c>
      <c r="E2536" s="125"/>
      <c r="F2536" s="118" t="s">
        <v>828</v>
      </c>
      <c r="G2536" s="126" t="s">
        <v>9800</v>
      </c>
      <c r="H2536" s="255">
        <v>1</v>
      </c>
      <c r="I2536" s="361">
        <v>1</v>
      </c>
      <c r="J2536" s="362" t="s">
        <v>325</v>
      </c>
      <c r="K2536" s="363"/>
      <c r="L2536" s="129"/>
      <c r="M2536" s="129"/>
      <c r="N2536" s="129"/>
      <c r="O2536" s="129"/>
      <c r="P2536" s="364"/>
      <c r="Q2536" s="364"/>
      <c r="R2536" s="129"/>
      <c r="S2536" s="129"/>
      <c r="T2536" s="129"/>
      <c r="W2536" s="129" t="s">
        <v>286</v>
      </c>
      <c r="X2536" s="337" t="b">
        <f t="shared" si="74"/>
        <v>0</v>
      </c>
    </row>
    <row r="2537" spans="1:24" s="337" customFormat="1" ht="12" customHeight="1" outlineLevel="1">
      <c r="A2537" s="335"/>
      <c r="B2537" s="118" t="s">
        <v>12</v>
      </c>
      <c r="C2537" s="334" t="s">
        <v>9842</v>
      </c>
      <c r="D2537" s="124" t="s">
        <v>9843</v>
      </c>
      <c r="E2537" s="125"/>
      <c r="F2537" s="118" t="s">
        <v>828</v>
      </c>
      <c r="G2537" s="126" t="s">
        <v>9800</v>
      </c>
      <c r="H2537" s="255">
        <v>1</v>
      </c>
      <c r="I2537" s="361">
        <v>1</v>
      </c>
      <c r="J2537" s="362" t="s">
        <v>325</v>
      </c>
      <c r="K2537" s="363"/>
      <c r="L2537" s="129"/>
      <c r="M2537" s="129"/>
      <c r="N2537" s="129"/>
      <c r="O2537" s="129"/>
      <c r="P2537" s="364"/>
      <c r="Q2537" s="364"/>
      <c r="R2537" s="129"/>
      <c r="S2537" s="129"/>
      <c r="T2537" s="129"/>
      <c r="W2537" s="129" t="s">
        <v>4876</v>
      </c>
      <c r="X2537" s="337" t="b">
        <f t="shared" si="74"/>
        <v>0</v>
      </c>
    </row>
    <row r="2538" spans="1:24" s="337" customFormat="1" ht="12" customHeight="1" outlineLevel="1">
      <c r="A2538" s="335"/>
      <c r="B2538" s="118" t="s">
        <v>12</v>
      </c>
      <c r="C2538" s="334" t="s">
        <v>9844</v>
      </c>
      <c r="D2538" s="124" t="s">
        <v>9845</v>
      </c>
      <c r="E2538" s="125"/>
      <c r="F2538" s="118" t="s">
        <v>828</v>
      </c>
      <c r="G2538" s="126" t="s">
        <v>9800</v>
      </c>
      <c r="H2538" s="255">
        <v>1</v>
      </c>
      <c r="I2538" s="361">
        <v>1</v>
      </c>
      <c r="J2538" s="362" t="s">
        <v>310</v>
      </c>
      <c r="K2538" s="363"/>
      <c r="L2538" s="129"/>
      <c r="M2538" s="129"/>
      <c r="N2538" s="129"/>
      <c r="O2538" s="129"/>
      <c r="P2538" s="364"/>
      <c r="Q2538" s="364"/>
      <c r="R2538" s="129"/>
      <c r="S2538" s="129"/>
      <c r="T2538" s="129"/>
      <c r="W2538" s="129" t="s">
        <v>4876</v>
      </c>
      <c r="X2538" s="337" t="b">
        <f t="shared" si="74"/>
        <v>0</v>
      </c>
    </row>
    <row r="2539" spans="1:24" s="337" customFormat="1" ht="12" customHeight="1" outlineLevel="1">
      <c r="A2539" s="335"/>
      <c r="B2539" s="118" t="s">
        <v>12</v>
      </c>
      <c r="C2539" s="334" t="s">
        <v>9846</v>
      </c>
      <c r="D2539" s="124" t="s">
        <v>9847</v>
      </c>
      <c r="E2539" s="125"/>
      <c r="F2539" s="118" t="s">
        <v>828</v>
      </c>
      <c r="G2539" s="126" t="s">
        <v>9800</v>
      </c>
      <c r="H2539" s="255">
        <v>1</v>
      </c>
      <c r="I2539" s="361">
        <v>1</v>
      </c>
      <c r="J2539" s="362" t="s">
        <v>286</v>
      </c>
      <c r="K2539" s="363"/>
      <c r="L2539" s="129"/>
      <c r="M2539" s="129"/>
      <c r="N2539" s="129"/>
      <c r="O2539" s="129"/>
      <c r="P2539" s="364"/>
      <c r="Q2539" s="364"/>
      <c r="R2539" s="129"/>
      <c r="S2539" s="129"/>
      <c r="T2539" s="129"/>
      <c r="W2539" s="129" t="s">
        <v>4876</v>
      </c>
      <c r="X2539" s="337" t="b">
        <f t="shared" si="74"/>
        <v>0</v>
      </c>
    </row>
    <row r="2540" spans="1:24" s="337" customFormat="1" ht="12" customHeight="1" outlineLevel="1">
      <c r="A2540" s="335"/>
      <c r="B2540" s="118" t="s">
        <v>12</v>
      </c>
      <c r="C2540" s="334" t="s">
        <v>9848</v>
      </c>
      <c r="D2540" s="124" t="s">
        <v>9849</v>
      </c>
      <c r="E2540" s="125"/>
      <c r="F2540" s="118" t="s">
        <v>828</v>
      </c>
      <c r="G2540" s="126" t="s">
        <v>9800</v>
      </c>
      <c r="H2540" s="255">
        <v>1</v>
      </c>
      <c r="I2540" s="361">
        <v>1</v>
      </c>
      <c r="J2540" s="362" t="s">
        <v>286</v>
      </c>
      <c r="K2540" s="363"/>
      <c r="L2540" s="129"/>
      <c r="M2540" s="129"/>
      <c r="N2540" s="129"/>
      <c r="O2540" s="129"/>
      <c r="P2540" s="364"/>
      <c r="Q2540" s="364"/>
      <c r="R2540" s="129"/>
      <c r="S2540" s="129"/>
      <c r="T2540" s="129"/>
      <c r="W2540" s="129" t="s">
        <v>4876</v>
      </c>
      <c r="X2540" s="337" t="b">
        <f t="shared" si="74"/>
        <v>0</v>
      </c>
    </row>
    <row r="2541" spans="1:24" s="337" customFormat="1" ht="12" customHeight="1" outlineLevel="1">
      <c r="A2541" s="335"/>
      <c r="B2541" s="118" t="s">
        <v>12</v>
      </c>
      <c r="C2541" s="334" t="s">
        <v>9850</v>
      </c>
      <c r="D2541" s="124" t="s">
        <v>9851</v>
      </c>
      <c r="E2541" s="125"/>
      <c r="F2541" s="118" t="s">
        <v>828</v>
      </c>
      <c r="G2541" s="126" t="s">
        <v>9800</v>
      </c>
      <c r="H2541" s="255">
        <v>1</v>
      </c>
      <c r="I2541" s="361">
        <v>1</v>
      </c>
      <c r="J2541" s="362" t="s">
        <v>310</v>
      </c>
      <c r="K2541" s="363"/>
      <c r="L2541" s="129"/>
      <c r="M2541" s="129"/>
      <c r="N2541" s="129"/>
      <c r="O2541" s="129"/>
      <c r="P2541" s="364"/>
      <c r="Q2541" s="364"/>
      <c r="R2541" s="129"/>
      <c r="S2541" s="129"/>
      <c r="T2541" s="129"/>
      <c r="W2541" s="129" t="s">
        <v>4876</v>
      </c>
      <c r="X2541" s="337" t="b">
        <f t="shared" si="74"/>
        <v>0</v>
      </c>
    </row>
    <row r="2542" spans="1:24" s="337" customFormat="1" ht="12" customHeight="1" outlineLevel="1">
      <c r="A2542" s="335"/>
      <c r="B2542" s="118" t="s">
        <v>12</v>
      </c>
      <c r="C2542" s="334" t="s">
        <v>9852</v>
      </c>
      <c r="D2542" s="124" t="s">
        <v>9853</v>
      </c>
      <c r="E2542" s="125"/>
      <c r="F2542" s="118" t="s">
        <v>828</v>
      </c>
      <c r="G2542" s="126" t="s">
        <v>9800</v>
      </c>
      <c r="H2542" s="255">
        <v>1</v>
      </c>
      <c r="I2542" s="361">
        <v>1</v>
      </c>
      <c r="J2542" s="362" t="s">
        <v>286</v>
      </c>
      <c r="K2542" s="363"/>
      <c r="L2542" s="129"/>
      <c r="M2542" s="129"/>
      <c r="N2542" s="129"/>
      <c r="O2542" s="129"/>
      <c r="P2542" s="364"/>
      <c r="Q2542" s="364"/>
      <c r="R2542" s="129"/>
      <c r="S2542" s="129"/>
      <c r="T2542" s="129"/>
      <c r="W2542" s="129" t="s">
        <v>4876</v>
      </c>
      <c r="X2542" s="337" t="b">
        <f t="shared" si="74"/>
        <v>0</v>
      </c>
    </row>
    <row r="2543" spans="1:24" s="337" customFormat="1" ht="12" customHeight="1" outlineLevel="1">
      <c r="A2543" s="335"/>
      <c r="B2543" s="118" t="s">
        <v>12</v>
      </c>
      <c r="C2543" s="334" t="s">
        <v>9854</v>
      </c>
      <c r="D2543" s="124" t="s">
        <v>9855</v>
      </c>
      <c r="E2543" s="125"/>
      <c r="F2543" s="118" t="s">
        <v>828</v>
      </c>
      <c r="G2543" s="126" t="s">
        <v>9800</v>
      </c>
      <c r="H2543" s="255">
        <v>1</v>
      </c>
      <c r="I2543" s="361">
        <v>1</v>
      </c>
      <c r="J2543" s="362" t="s">
        <v>286</v>
      </c>
      <c r="K2543" s="363"/>
      <c r="L2543" s="129"/>
      <c r="M2543" s="129"/>
      <c r="N2543" s="129"/>
      <c r="O2543" s="129"/>
      <c r="P2543" s="364"/>
      <c r="Q2543" s="364"/>
      <c r="R2543" s="129"/>
      <c r="S2543" s="129"/>
      <c r="T2543" s="129"/>
      <c r="W2543" s="129" t="s">
        <v>4876</v>
      </c>
      <c r="X2543" s="337" t="b">
        <f t="shared" si="74"/>
        <v>0</v>
      </c>
    </row>
    <row r="2544" spans="1:24" s="337" customFormat="1" ht="12" customHeight="1" outlineLevel="1">
      <c r="A2544" s="335"/>
      <c r="B2544" s="118" t="s">
        <v>12</v>
      </c>
      <c r="C2544" s="334" t="s">
        <v>9856</v>
      </c>
      <c r="D2544" s="124" t="s">
        <v>9857</v>
      </c>
      <c r="E2544" s="125"/>
      <c r="F2544" s="118" t="s">
        <v>828</v>
      </c>
      <c r="G2544" s="126" t="s">
        <v>9800</v>
      </c>
      <c r="H2544" s="255">
        <v>1</v>
      </c>
      <c r="I2544" s="361">
        <v>1</v>
      </c>
      <c r="J2544" s="362" t="s">
        <v>310</v>
      </c>
      <c r="K2544" s="363"/>
      <c r="L2544" s="129"/>
      <c r="M2544" s="129"/>
      <c r="N2544" s="129"/>
      <c r="O2544" s="129"/>
      <c r="P2544" s="364"/>
      <c r="Q2544" s="364"/>
      <c r="R2544" s="129"/>
      <c r="S2544" s="129"/>
      <c r="T2544" s="129"/>
      <c r="W2544" s="129" t="s">
        <v>4876</v>
      </c>
      <c r="X2544" s="337" t="b">
        <f t="shared" si="74"/>
        <v>0</v>
      </c>
    </row>
    <row r="2545" spans="1:24" s="337" customFormat="1" ht="12" customHeight="1" outlineLevel="1">
      <c r="A2545" s="335"/>
      <c r="B2545" s="118" t="s">
        <v>12</v>
      </c>
      <c r="C2545" s="334" t="s">
        <v>9858</v>
      </c>
      <c r="D2545" s="124" t="s">
        <v>9859</v>
      </c>
      <c r="E2545" s="125"/>
      <c r="F2545" s="118" t="s">
        <v>828</v>
      </c>
      <c r="G2545" s="126" t="s">
        <v>9800</v>
      </c>
      <c r="H2545" s="255">
        <v>1</v>
      </c>
      <c r="I2545" s="361">
        <v>1</v>
      </c>
      <c r="J2545" s="362" t="s">
        <v>310</v>
      </c>
      <c r="K2545" s="363"/>
      <c r="L2545" s="129"/>
      <c r="M2545" s="129"/>
      <c r="N2545" s="129"/>
      <c r="O2545" s="129"/>
      <c r="P2545" s="364"/>
      <c r="Q2545" s="364"/>
      <c r="R2545" s="129"/>
      <c r="S2545" s="129"/>
      <c r="T2545" s="129"/>
      <c r="W2545" s="129" t="s">
        <v>4876</v>
      </c>
      <c r="X2545" s="337" t="b">
        <f t="shared" si="74"/>
        <v>0</v>
      </c>
    </row>
    <row r="2546" spans="1:24" s="337" customFormat="1" ht="12" customHeight="1" outlineLevel="1">
      <c r="A2546" s="335"/>
      <c r="B2546" s="118" t="s">
        <v>12</v>
      </c>
      <c r="C2546" s="334" t="s">
        <v>9860</v>
      </c>
      <c r="D2546" s="124" t="s">
        <v>9861</v>
      </c>
      <c r="E2546" s="125"/>
      <c r="F2546" s="118" t="s">
        <v>828</v>
      </c>
      <c r="G2546" s="126" t="s">
        <v>9800</v>
      </c>
      <c r="H2546" s="255">
        <v>1</v>
      </c>
      <c r="I2546" s="361">
        <v>1</v>
      </c>
      <c r="J2546" s="362" t="s">
        <v>325</v>
      </c>
      <c r="K2546" s="363"/>
      <c r="L2546" s="129"/>
      <c r="M2546" s="129"/>
      <c r="N2546" s="129"/>
      <c r="O2546" s="129"/>
      <c r="P2546" s="364"/>
      <c r="Q2546" s="364"/>
      <c r="R2546" s="129"/>
      <c r="S2546" s="129"/>
      <c r="T2546" s="129"/>
      <c r="W2546" s="129" t="s">
        <v>4876</v>
      </c>
      <c r="X2546" s="337" t="b">
        <f t="shared" si="74"/>
        <v>0</v>
      </c>
    </row>
    <row r="2547" spans="1:24" s="337" customFormat="1" ht="12" customHeight="1" outlineLevel="1">
      <c r="A2547" s="335"/>
      <c r="B2547" s="118" t="s">
        <v>12</v>
      </c>
      <c r="C2547" s="334" t="s">
        <v>9862</v>
      </c>
      <c r="D2547" s="124" t="s">
        <v>9863</v>
      </c>
      <c r="E2547" s="125"/>
      <c r="F2547" s="118" t="s">
        <v>828</v>
      </c>
      <c r="G2547" s="126" t="s">
        <v>9800</v>
      </c>
      <c r="H2547" s="255">
        <v>1</v>
      </c>
      <c r="I2547" s="361">
        <v>1</v>
      </c>
      <c r="J2547" s="362" t="s">
        <v>325</v>
      </c>
      <c r="K2547" s="363"/>
      <c r="L2547" s="129"/>
      <c r="M2547" s="129"/>
      <c r="N2547" s="129"/>
      <c r="O2547" s="129"/>
      <c r="P2547" s="364"/>
      <c r="Q2547" s="364"/>
      <c r="R2547" s="129"/>
      <c r="S2547" s="129"/>
      <c r="T2547" s="129"/>
      <c r="W2547" s="129" t="s">
        <v>4876</v>
      </c>
      <c r="X2547" s="337" t="b">
        <f t="shared" si="74"/>
        <v>0</v>
      </c>
    </row>
    <row r="2548" spans="1:24" s="337" customFormat="1" ht="12" customHeight="1" outlineLevel="1">
      <c r="A2548" s="335"/>
      <c r="B2548" s="118" t="s">
        <v>12</v>
      </c>
      <c r="C2548" s="334" t="s">
        <v>9864</v>
      </c>
      <c r="D2548" s="124" t="s">
        <v>9865</v>
      </c>
      <c r="E2548" s="125"/>
      <c r="F2548" s="118" t="s">
        <v>828</v>
      </c>
      <c r="G2548" s="126" t="s">
        <v>9800</v>
      </c>
      <c r="H2548" s="255">
        <v>1</v>
      </c>
      <c r="I2548" s="361">
        <v>1</v>
      </c>
      <c r="J2548" s="362" t="s">
        <v>325</v>
      </c>
      <c r="K2548" s="363"/>
      <c r="L2548" s="129"/>
      <c r="M2548" s="129"/>
      <c r="N2548" s="129"/>
      <c r="O2548" s="129"/>
      <c r="P2548" s="364"/>
      <c r="Q2548" s="364"/>
      <c r="R2548" s="129"/>
      <c r="S2548" s="129"/>
      <c r="T2548" s="129"/>
      <c r="W2548" s="129" t="s">
        <v>4876</v>
      </c>
      <c r="X2548" s="337" t="b">
        <f t="shared" si="74"/>
        <v>0</v>
      </c>
    </row>
    <row r="2549" spans="1:24" s="337" customFormat="1" ht="12" customHeight="1" outlineLevel="1">
      <c r="A2549" s="335"/>
      <c r="B2549" s="118" t="s">
        <v>12</v>
      </c>
      <c r="C2549" s="334" t="s">
        <v>9866</v>
      </c>
      <c r="D2549" s="124" t="s">
        <v>9867</v>
      </c>
      <c r="E2549" s="125"/>
      <c r="F2549" s="118" t="s">
        <v>828</v>
      </c>
      <c r="G2549" s="126" t="s">
        <v>9800</v>
      </c>
      <c r="H2549" s="255">
        <v>1</v>
      </c>
      <c r="I2549" s="361">
        <v>1</v>
      </c>
      <c r="J2549" s="362" t="s">
        <v>286</v>
      </c>
      <c r="K2549" s="363"/>
      <c r="L2549" s="129"/>
      <c r="M2549" s="129"/>
      <c r="N2549" s="129"/>
      <c r="O2549" s="129"/>
      <c r="P2549" s="364"/>
      <c r="Q2549" s="364"/>
      <c r="R2549" s="129"/>
      <c r="S2549" s="129"/>
      <c r="T2549" s="129"/>
      <c r="W2549" s="129" t="s">
        <v>4876</v>
      </c>
      <c r="X2549" s="337" t="b">
        <f t="shared" si="74"/>
        <v>0</v>
      </c>
    </row>
    <row r="2550" spans="1:24" s="337" customFormat="1" ht="12" customHeight="1" outlineLevel="1">
      <c r="A2550" s="335"/>
      <c r="B2550" s="118" t="s">
        <v>12</v>
      </c>
      <c r="C2550" s="334" t="s">
        <v>9868</v>
      </c>
      <c r="D2550" s="124" t="s">
        <v>9869</v>
      </c>
      <c r="E2550" s="125"/>
      <c r="F2550" s="118" t="s">
        <v>828</v>
      </c>
      <c r="G2550" s="126" t="s">
        <v>9800</v>
      </c>
      <c r="H2550" s="255">
        <v>1</v>
      </c>
      <c r="I2550" s="361">
        <v>1</v>
      </c>
      <c r="J2550" s="362" t="s">
        <v>310</v>
      </c>
      <c r="K2550" s="363"/>
      <c r="L2550" s="129"/>
      <c r="M2550" s="129"/>
      <c r="N2550" s="129"/>
      <c r="O2550" s="129"/>
      <c r="P2550" s="364"/>
      <c r="Q2550" s="364"/>
      <c r="R2550" s="129"/>
      <c r="S2550" s="129"/>
      <c r="T2550" s="129"/>
      <c r="W2550" s="129" t="s">
        <v>4876</v>
      </c>
      <c r="X2550" s="337" t="b">
        <f t="shared" si="74"/>
        <v>0</v>
      </c>
    </row>
    <row r="2551" spans="1:24" s="337" customFormat="1" ht="12" customHeight="1" outlineLevel="1">
      <c r="A2551" s="335"/>
      <c r="B2551" s="118" t="s">
        <v>12</v>
      </c>
      <c r="C2551" s="334" t="s">
        <v>9870</v>
      </c>
      <c r="D2551" s="124" t="s">
        <v>9871</v>
      </c>
      <c r="E2551" s="125"/>
      <c r="F2551" s="118" t="s">
        <v>828</v>
      </c>
      <c r="G2551" s="126" t="s">
        <v>9800</v>
      </c>
      <c r="H2551" s="255">
        <v>1</v>
      </c>
      <c r="I2551" s="361">
        <v>1</v>
      </c>
      <c r="J2551" s="362" t="s">
        <v>307</v>
      </c>
      <c r="K2551" s="363"/>
      <c r="L2551" s="129"/>
      <c r="M2551" s="129"/>
      <c r="N2551" s="129"/>
      <c r="O2551" s="129"/>
      <c r="P2551" s="364"/>
      <c r="Q2551" s="364"/>
      <c r="R2551" s="129"/>
      <c r="S2551" s="129"/>
      <c r="T2551" s="129"/>
      <c r="W2551" s="129" t="s">
        <v>4876</v>
      </c>
      <c r="X2551" s="337" t="b">
        <f t="shared" si="74"/>
        <v>0</v>
      </c>
    </row>
    <row r="2552" spans="1:24" s="337" customFormat="1" ht="12" customHeight="1" outlineLevel="1">
      <c r="A2552" s="335"/>
      <c r="B2552" s="118" t="s">
        <v>12</v>
      </c>
      <c r="C2552" s="334" t="s">
        <v>9872</v>
      </c>
      <c r="D2552" s="124" t="s">
        <v>9873</v>
      </c>
      <c r="E2552" s="125"/>
      <c r="F2552" s="118" t="s">
        <v>828</v>
      </c>
      <c r="G2552" s="126" t="s">
        <v>9800</v>
      </c>
      <c r="H2552" s="255">
        <v>1</v>
      </c>
      <c r="I2552" s="361">
        <v>1</v>
      </c>
      <c r="J2552" s="362" t="s">
        <v>286</v>
      </c>
      <c r="K2552" s="363"/>
      <c r="L2552" s="129"/>
      <c r="M2552" s="129"/>
      <c r="N2552" s="129"/>
      <c r="O2552" s="129"/>
      <c r="P2552" s="364"/>
      <c r="Q2552" s="364"/>
      <c r="R2552" s="129"/>
      <c r="S2552" s="129"/>
      <c r="T2552" s="129"/>
      <c r="W2552" s="129" t="s">
        <v>4876</v>
      </c>
      <c r="X2552" s="337" t="b">
        <f t="shared" si="74"/>
        <v>0</v>
      </c>
    </row>
    <row r="2553" spans="1:24" s="337" customFormat="1" ht="12" customHeight="1" outlineLevel="1">
      <c r="A2553" s="335"/>
      <c r="B2553" s="118" t="s">
        <v>12</v>
      </c>
      <c r="C2553" s="334" t="s">
        <v>9874</v>
      </c>
      <c r="D2553" s="124" t="s">
        <v>9875</v>
      </c>
      <c r="E2553" s="125"/>
      <c r="F2553" s="118" t="s">
        <v>828</v>
      </c>
      <c r="G2553" s="126" t="s">
        <v>9800</v>
      </c>
      <c r="H2553" s="255">
        <v>1</v>
      </c>
      <c r="I2553" s="361">
        <v>1</v>
      </c>
      <c r="J2553" s="362" t="s">
        <v>286</v>
      </c>
      <c r="K2553" s="363"/>
      <c r="L2553" s="129"/>
      <c r="M2553" s="129"/>
      <c r="N2553" s="129"/>
      <c r="O2553" s="129"/>
      <c r="P2553" s="364"/>
      <c r="Q2553" s="364"/>
      <c r="R2553" s="129"/>
      <c r="S2553" s="129"/>
      <c r="T2553" s="129"/>
      <c r="W2553" s="129" t="s">
        <v>286</v>
      </c>
      <c r="X2553" s="337" t="b">
        <f t="shared" si="74"/>
        <v>1</v>
      </c>
    </row>
    <row r="2554" spans="1:24" s="337" customFormat="1" ht="12" customHeight="1" outlineLevel="1">
      <c r="A2554" s="335"/>
      <c r="B2554" s="118" t="s">
        <v>12</v>
      </c>
      <c r="C2554" s="334" t="s">
        <v>6293</v>
      </c>
      <c r="D2554" s="124" t="s">
        <v>9876</v>
      </c>
      <c r="E2554" s="125"/>
      <c r="F2554" s="118" t="s">
        <v>828</v>
      </c>
      <c r="G2554" s="126" t="s">
        <v>9800</v>
      </c>
      <c r="H2554" s="255">
        <v>1</v>
      </c>
      <c r="I2554" s="361">
        <v>1</v>
      </c>
      <c r="J2554" s="362" t="s">
        <v>310</v>
      </c>
      <c r="K2554" s="363"/>
      <c r="L2554" s="129"/>
      <c r="M2554" s="129"/>
      <c r="N2554" s="129"/>
      <c r="O2554" s="129"/>
      <c r="P2554" s="364"/>
      <c r="Q2554" s="364"/>
      <c r="R2554" s="129"/>
      <c r="S2554" s="129"/>
      <c r="T2554" s="129"/>
      <c r="W2554" s="129" t="s">
        <v>286</v>
      </c>
      <c r="X2554" s="337" t="b">
        <f t="shared" si="74"/>
        <v>0</v>
      </c>
    </row>
    <row r="2555" spans="1:24" s="337" customFormat="1" ht="12" customHeight="1" outlineLevel="1">
      <c r="A2555" s="335"/>
      <c r="B2555" s="118" t="s">
        <v>12</v>
      </c>
      <c r="C2555" s="334" t="s">
        <v>9877</v>
      </c>
      <c r="D2555" s="124" t="s">
        <v>9878</v>
      </c>
      <c r="E2555" s="125"/>
      <c r="F2555" s="118" t="s">
        <v>828</v>
      </c>
      <c r="G2555" s="126" t="s">
        <v>9800</v>
      </c>
      <c r="H2555" s="255">
        <v>1</v>
      </c>
      <c r="I2555" s="361">
        <v>1</v>
      </c>
      <c r="J2555" s="362" t="s">
        <v>743</v>
      </c>
      <c r="K2555" s="363"/>
      <c r="L2555" s="129"/>
      <c r="M2555" s="129"/>
      <c r="N2555" s="129"/>
      <c r="O2555" s="129"/>
      <c r="P2555" s="364"/>
      <c r="Q2555" s="364"/>
      <c r="R2555" s="129"/>
      <c r="S2555" s="129"/>
      <c r="T2555" s="129"/>
      <c r="W2555" s="129" t="s">
        <v>286</v>
      </c>
      <c r="X2555" s="337" t="b">
        <f t="shared" si="74"/>
        <v>0</v>
      </c>
    </row>
    <row r="2556" spans="1:24" s="337" customFormat="1" ht="12" customHeight="1" outlineLevel="1">
      <c r="A2556" s="335"/>
      <c r="B2556" s="118" t="s">
        <v>12</v>
      </c>
      <c r="C2556" s="334" t="s">
        <v>9879</v>
      </c>
      <c r="D2556" s="124" t="s">
        <v>9880</v>
      </c>
      <c r="E2556" s="125"/>
      <c r="F2556" s="118" t="s">
        <v>828</v>
      </c>
      <c r="G2556" s="126" t="s">
        <v>9800</v>
      </c>
      <c r="H2556" s="255">
        <v>1</v>
      </c>
      <c r="I2556" s="361">
        <v>1</v>
      </c>
      <c r="J2556" s="362" t="s">
        <v>325</v>
      </c>
      <c r="K2556" s="363"/>
      <c r="L2556" s="129"/>
      <c r="M2556" s="129"/>
      <c r="N2556" s="129"/>
      <c r="O2556" s="129"/>
      <c r="P2556" s="364"/>
      <c r="Q2556" s="364"/>
      <c r="R2556" s="129"/>
      <c r="S2556" s="129"/>
      <c r="T2556" s="129"/>
      <c r="W2556" s="129" t="s">
        <v>4876</v>
      </c>
      <c r="X2556" s="337" t="b">
        <f t="shared" si="74"/>
        <v>0</v>
      </c>
    </row>
    <row r="2557" spans="1:24" s="337" customFormat="1" ht="12" customHeight="1" outlineLevel="1">
      <c r="A2557" s="335"/>
      <c r="B2557" s="118" t="s">
        <v>12</v>
      </c>
      <c r="C2557" s="334" t="s">
        <v>9881</v>
      </c>
      <c r="D2557" s="124" t="s">
        <v>9882</v>
      </c>
      <c r="E2557" s="125"/>
      <c r="F2557" s="118" t="s">
        <v>828</v>
      </c>
      <c r="G2557" s="126" t="s">
        <v>9800</v>
      </c>
      <c r="H2557" s="255">
        <v>1</v>
      </c>
      <c r="I2557" s="361">
        <v>1</v>
      </c>
      <c r="J2557" s="362" t="s">
        <v>307</v>
      </c>
      <c r="K2557" s="363"/>
      <c r="L2557" s="129"/>
      <c r="M2557" s="129"/>
      <c r="N2557" s="129"/>
      <c r="O2557" s="129"/>
      <c r="P2557" s="364"/>
      <c r="Q2557" s="364"/>
      <c r="R2557" s="129"/>
      <c r="S2557" s="129"/>
      <c r="T2557" s="129"/>
      <c r="W2557" s="129" t="s">
        <v>4876</v>
      </c>
      <c r="X2557" s="337" t="b">
        <f t="shared" si="74"/>
        <v>0</v>
      </c>
    </row>
    <row r="2558" spans="1:24" s="337" customFormat="1" ht="12" customHeight="1" outlineLevel="1">
      <c r="A2558" s="335"/>
      <c r="B2558" s="118" t="s">
        <v>12</v>
      </c>
      <c r="C2558" s="334" t="s">
        <v>9883</v>
      </c>
      <c r="D2558" s="124" t="s">
        <v>9884</v>
      </c>
      <c r="E2558" s="125"/>
      <c r="F2558" s="118" t="s">
        <v>828</v>
      </c>
      <c r="G2558" s="126" t="s">
        <v>9800</v>
      </c>
      <c r="H2558" s="255">
        <v>1</v>
      </c>
      <c r="I2558" s="361">
        <v>1</v>
      </c>
      <c r="J2558" s="362" t="s">
        <v>325</v>
      </c>
      <c r="K2558" s="363"/>
      <c r="L2558" s="129"/>
      <c r="M2558" s="129"/>
      <c r="N2558" s="129"/>
      <c r="O2558" s="129"/>
      <c r="P2558" s="364"/>
      <c r="Q2558" s="364"/>
      <c r="R2558" s="129"/>
      <c r="S2558" s="129"/>
      <c r="T2558" s="129"/>
      <c r="W2558" s="129" t="s">
        <v>4876</v>
      </c>
      <c r="X2558" s="337" t="b">
        <f t="shared" si="74"/>
        <v>0</v>
      </c>
    </row>
    <row r="2559" spans="1:24" s="337" customFormat="1" ht="12" customHeight="1" outlineLevel="1">
      <c r="A2559" s="335"/>
      <c r="B2559" s="118" t="s">
        <v>12</v>
      </c>
      <c r="C2559" s="334" t="s">
        <v>9885</v>
      </c>
      <c r="D2559" s="124" t="s">
        <v>9886</v>
      </c>
      <c r="E2559" s="125"/>
      <c r="F2559" s="118" t="s">
        <v>828</v>
      </c>
      <c r="G2559" s="126" t="s">
        <v>9800</v>
      </c>
      <c r="H2559" s="255">
        <v>1</v>
      </c>
      <c r="I2559" s="361">
        <v>1</v>
      </c>
      <c r="J2559" s="362" t="s">
        <v>743</v>
      </c>
      <c r="K2559" s="363"/>
      <c r="L2559" s="129"/>
      <c r="M2559" s="129"/>
      <c r="N2559" s="129"/>
      <c r="O2559" s="129"/>
      <c r="P2559" s="364"/>
      <c r="Q2559" s="364"/>
      <c r="R2559" s="129"/>
      <c r="S2559" s="129"/>
      <c r="T2559" s="129"/>
      <c r="W2559" s="129" t="s">
        <v>4876</v>
      </c>
      <c r="X2559" s="337" t="b">
        <f t="shared" si="74"/>
        <v>0</v>
      </c>
    </row>
    <row r="2560" spans="1:24" s="337" customFormat="1" ht="12" customHeight="1" outlineLevel="1">
      <c r="A2560" s="335"/>
      <c r="B2560" s="118" t="s">
        <v>12</v>
      </c>
      <c r="C2560" s="334" t="s">
        <v>9887</v>
      </c>
      <c r="D2560" s="124" t="s">
        <v>9888</v>
      </c>
      <c r="E2560" s="125"/>
      <c r="F2560" s="118" t="s">
        <v>828</v>
      </c>
      <c r="G2560" s="126" t="s">
        <v>9800</v>
      </c>
      <c r="H2560" s="255">
        <v>1</v>
      </c>
      <c r="I2560" s="361">
        <v>1</v>
      </c>
      <c r="J2560" s="362" t="s">
        <v>307</v>
      </c>
      <c r="K2560" s="363"/>
      <c r="L2560" s="129"/>
      <c r="M2560" s="129"/>
      <c r="N2560" s="129"/>
      <c r="O2560" s="129"/>
      <c r="P2560" s="364"/>
      <c r="Q2560" s="364"/>
      <c r="R2560" s="129"/>
      <c r="S2560" s="129"/>
      <c r="T2560" s="129"/>
      <c r="W2560" s="129" t="s">
        <v>4876</v>
      </c>
      <c r="X2560" s="337" t="b">
        <f t="shared" si="74"/>
        <v>0</v>
      </c>
    </row>
    <row r="2561" spans="1:24" s="337" customFormat="1" ht="12" customHeight="1" outlineLevel="1">
      <c r="A2561" s="335"/>
      <c r="B2561" s="118" t="s">
        <v>12</v>
      </c>
      <c r="C2561" s="334" t="s">
        <v>9889</v>
      </c>
      <c r="D2561" s="124" t="s">
        <v>9890</v>
      </c>
      <c r="E2561" s="125"/>
      <c r="F2561" s="118" t="s">
        <v>828</v>
      </c>
      <c r="G2561" s="126" t="s">
        <v>9800</v>
      </c>
      <c r="H2561" s="255">
        <v>1</v>
      </c>
      <c r="I2561" s="361">
        <v>1</v>
      </c>
      <c r="J2561" s="362" t="s">
        <v>310</v>
      </c>
      <c r="K2561" s="363"/>
      <c r="L2561" s="129"/>
      <c r="M2561" s="129"/>
      <c r="N2561" s="129"/>
      <c r="O2561" s="129"/>
      <c r="P2561" s="364"/>
      <c r="Q2561" s="364"/>
      <c r="R2561" s="129"/>
      <c r="S2561" s="129"/>
      <c r="T2561" s="129"/>
      <c r="W2561" s="129" t="s">
        <v>4876</v>
      </c>
      <c r="X2561" s="337" t="b">
        <f t="shared" si="74"/>
        <v>0</v>
      </c>
    </row>
    <row r="2562" spans="1:24" s="337" customFormat="1" ht="12" customHeight="1" outlineLevel="1">
      <c r="A2562" s="335"/>
      <c r="B2562" s="118" t="s">
        <v>12</v>
      </c>
      <c r="C2562" s="334" t="s">
        <v>9891</v>
      </c>
      <c r="D2562" s="124" t="s">
        <v>9892</v>
      </c>
      <c r="E2562" s="125"/>
      <c r="F2562" s="118" t="s">
        <v>828</v>
      </c>
      <c r="G2562" s="126" t="s">
        <v>9800</v>
      </c>
      <c r="H2562" s="255">
        <v>1</v>
      </c>
      <c r="I2562" s="361">
        <v>1</v>
      </c>
      <c r="J2562" s="362" t="s">
        <v>743</v>
      </c>
      <c r="K2562" s="363"/>
      <c r="L2562" s="129"/>
      <c r="M2562" s="129"/>
      <c r="N2562" s="129"/>
      <c r="O2562" s="129"/>
      <c r="P2562" s="364"/>
      <c r="Q2562" s="364"/>
      <c r="R2562" s="129"/>
      <c r="S2562" s="129"/>
      <c r="T2562" s="129"/>
      <c r="W2562" s="129" t="s">
        <v>4876</v>
      </c>
      <c r="X2562" s="337" t="b">
        <f t="shared" si="74"/>
        <v>0</v>
      </c>
    </row>
    <row r="2563" spans="1:24" s="337" customFormat="1" ht="12" customHeight="1" outlineLevel="1">
      <c r="A2563" s="335"/>
      <c r="B2563" s="118" t="s">
        <v>12</v>
      </c>
      <c r="C2563" s="334" t="s">
        <v>9893</v>
      </c>
      <c r="D2563" s="124" t="s">
        <v>9894</v>
      </c>
      <c r="E2563" s="125"/>
      <c r="F2563" s="118" t="s">
        <v>828</v>
      </c>
      <c r="G2563" s="126" t="s">
        <v>9800</v>
      </c>
      <c r="H2563" s="255">
        <v>1</v>
      </c>
      <c r="I2563" s="361">
        <v>1</v>
      </c>
      <c r="J2563" s="362" t="s">
        <v>325</v>
      </c>
      <c r="K2563" s="363"/>
      <c r="L2563" s="129"/>
      <c r="M2563" s="129"/>
      <c r="N2563" s="129"/>
      <c r="O2563" s="129"/>
      <c r="P2563" s="364"/>
      <c r="Q2563" s="364"/>
      <c r="R2563" s="129"/>
      <c r="S2563" s="129"/>
      <c r="T2563" s="129"/>
      <c r="W2563" s="129" t="s">
        <v>4876</v>
      </c>
      <c r="X2563" s="337" t="b">
        <f t="shared" si="74"/>
        <v>0</v>
      </c>
    </row>
    <row r="2564" spans="1:24" s="337" customFormat="1" ht="12" customHeight="1" outlineLevel="1">
      <c r="A2564" s="335"/>
      <c r="B2564" s="118" t="s">
        <v>12</v>
      </c>
      <c r="C2564" s="334" t="s">
        <v>9895</v>
      </c>
      <c r="D2564" s="124" t="s">
        <v>9896</v>
      </c>
      <c r="E2564" s="125"/>
      <c r="F2564" s="118" t="s">
        <v>828</v>
      </c>
      <c r="G2564" s="126" t="s">
        <v>9800</v>
      </c>
      <c r="H2564" s="255">
        <v>1</v>
      </c>
      <c r="I2564" s="361">
        <v>1</v>
      </c>
      <c r="J2564" s="362" t="s">
        <v>307</v>
      </c>
      <c r="K2564" s="363"/>
      <c r="L2564" s="129"/>
      <c r="M2564" s="129"/>
      <c r="N2564" s="129"/>
      <c r="O2564" s="129"/>
      <c r="P2564" s="364"/>
      <c r="Q2564" s="364"/>
      <c r="R2564" s="129"/>
      <c r="S2564" s="129"/>
      <c r="T2564" s="129"/>
      <c r="W2564" s="129" t="s">
        <v>4876</v>
      </c>
      <c r="X2564" s="337" t="b">
        <f t="shared" si="74"/>
        <v>0</v>
      </c>
    </row>
    <row r="2565" spans="1:24" s="337" customFormat="1" ht="12" customHeight="1" outlineLevel="1">
      <c r="A2565" s="335"/>
      <c r="B2565" s="118" t="s">
        <v>12</v>
      </c>
      <c r="C2565" s="334" t="s">
        <v>9897</v>
      </c>
      <c r="D2565" s="124" t="s">
        <v>9898</v>
      </c>
      <c r="E2565" s="125"/>
      <c r="F2565" s="118" t="s">
        <v>828</v>
      </c>
      <c r="G2565" s="126" t="s">
        <v>9800</v>
      </c>
      <c r="H2565" s="255">
        <v>1</v>
      </c>
      <c r="I2565" s="361">
        <v>1</v>
      </c>
      <c r="J2565" s="362" t="s">
        <v>743</v>
      </c>
      <c r="K2565" s="363"/>
      <c r="L2565" s="129"/>
      <c r="M2565" s="129"/>
      <c r="N2565" s="129"/>
      <c r="O2565" s="129"/>
      <c r="P2565" s="364"/>
      <c r="Q2565" s="364"/>
      <c r="R2565" s="129"/>
      <c r="S2565" s="129"/>
      <c r="T2565" s="129"/>
      <c r="W2565" s="129" t="s">
        <v>4876</v>
      </c>
      <c r="X2565" s="337" t="b">
        <f t="shared" si="74"/>
        <v>0</v>
      </c>
    </row>
    <row r="2566" spans="1:24" s="337" customFormat="1" ht="12" customHeight="1" outlineLevel="1">
      <c r="A2566" s="335"/>
      <c r="B2566" s="118" t="s">
        <v>12</v>
      </c>
      <c r="C2566" s="334" t="s">
        <v>9899</v>
      </c>
      <c r="D2566" s="124" t="s">
        <v>9900</v>
      </c>
      <c r="E2566" s="125"/>
      <c r="F2566" s="118" t="s">
        <v>828</v>
      </c>
      <c r="G2566" s="126" t="s">
        <v>9800</v>
      </c>
      <c r="H2566" s="255">
        <v>1</v>
      </c>
      <c r="I2566" s="361">
        <v>1</v>
      </c>
      <c r="J2566" s="362" t="s">
        <v>743</v>
      </c>
      <c r="K2566" s="363"/>
      <c r="L2566" s="129"/>
      <c r="M2566" s="129"/>
      <c r="N2566" s="129"/>
      <c r="O2566" s="129"/>
      <c r="P2566" s="364"/>
      <c r="Q2566" s="364"/>
      <c r="R2566" s="129"/>
      <c r="S2566" s="129"/>
      <c r="T2566" s="129"/>
      <c r="W2566" s="129" t="s">
        <v>4876</v>
      </c>
      <c r="X2566" s="337" t="b">
        <f t="shared" si="74"/>
        <v>0</v>
      </c>
    </row>
    <row r="2567" spans="1:24" s="337" customFormat="1" ht="12" customHeight="1" outlineLevel="1">
      <c r="A2567" s="335"/>
      <c r="B2567" s="118" t="s">
        <v>12</v>
      </c>
      <c r="C2567" s="334" t="s">
        <v>9901</v>
      </c>
      <c r="D2567" s="124" t="s">
        <v>9902</v>
      </c>
      <c r="E2567" s="125"/>
      <c r="F2567" s="118" t="s">
        <v>828</v>
      </c>
      <c r="G2567" s="126" t="s">
        <v>9800</v>
      </c>
      <c r="H2567" s="255">
        <v>1</v>
      </c>
      <c r="I2567" s="361">
        <v>1</v>
      </c>
      <c r="J2567" s="362" t="s">
        <v>743</v>
      </c>
      <c r="K2567" s="363"/>
      <c r="L2567" s="129"/>
      <c r="M2567" s="129"/>
      <c r="N2567" s="129"/>
      <c r="O2567" s="129"/>
      <c r="P2567" s="364"/>
      <c r="Q2567" s="364"/>
      <c r="R2567" s="129"/>
      <c r="S2567" s="129"/>
      <c r="T2567" s="129"/>
      <c r="W2567" s="129" t="s">
        <v>4876</v>
      </c>
      <c r="X2567" s="337" t="b">
        <f t="shared" si="74"/>
        <v>0</v>
      </c>
    </row>
    <row r="2568" spans="1:24" s="337" customFormat="1" ht="12" customHeight="1" outlineLevel="1">
      <c r="A2568" s="335"/>
      <c r="B2568" s="118" t="s">
        <v>12</v>
      </c>
      <c r="C2568" s="334" t="s">
        <v>9903</v>
      </c>
      <c r="D2568" s="124" t="s">
        <v>9904</v>
      </c>
      <c r="E2568" s="125"/>
      <c r="F2568" s="118" t="s">
        <v>828</v>
      </c>
      <c r="G2568" s="126" t="s">
        <v>9800</v>
      </c>
      <c r="H2568" s="255">
        <v>1</v>
      </c>
      <c r="I2568" s="361">
        <v>1</v>
      </c>
      <c r="J2568" s="362" t="s">
        <v>743</v>
      </c>
      <c r="K2568" s="363"/>
      <c r="L2568" s="129"/>
      <c r="M2568" s="129"/>
      <c r="N2568" s="129"/>
      <c r="O2568" s="129"/>
      <c r="P2568" s="364"/>
      <c r="Q2568" s="364"/>
      <c r="R2568" s="129"/>
      <c r="S2568" s="129"/>
      <c r="T2568" s="129"/>
      <c r="W2568" s="129" t="s">
        <v>4876</v>
      </c>
      <c r="X2568" s="337" t="b">
        <f t="shared" si="74"/>
        <v>0</v>
      </c>
    </row>
    <row r="2569" spans="1:24" s="337" customFormat="1" ht="12" customHeight="1" outlineLevel="1">
      <c r="A2569" s="335"/>
      <c r="B2569" s="118" t="s">
        <v>12</v>
      </c>
      <c r="C2569" s="334" t="s">
        <v>9905</v>
      </c>
      <c r="D2569" s="124" t="s">
        <v>9906</v>
      </c>
      <c r="E2569" s="125"/>
      <c r="F2569" s="118" t="s">
        <v>828</v>
      </c>
      <c r="G2569" s="126" t="s">
        <v>9800</v>
      </c>
      <c r="H2569" s="255">
        <v>1</v>
      </c>
      <c r="I2569" s="361">
        <v>1</v>
      </c>
      <c r="J2569" s="362" t="s">
        <v>743</v>
      </c>
      <c r="K2569" s="363"/>
      <c r="L2569" s="129"/>
      <c r="M2569" s="129"/>
      <c r="N2569" s="129"/>
      <c r="O2569" s="129"/>
      <c r="P2569" s="364"/>
      <c r="Q2569" s="364"/>
      <c r="R2569" s="129"/>
      <c r="S2569" s="129"/>
      <c r="T2569" s="129"/>
      <c r="W2569" s="129" t="s">
        <v>4876</v>
      </c>
      <c r="X2569" s="337" t="b">
        <f t="shared" si="74"/>
        <v>0</v>
      </c>
    </row>
    <row r="2570" spans="1:24" s="337" customFormat="1" ht="12" customHeight="1" outlineLevel="1">
      <c r="A2570" s="335"/>
      <c r="B2570" s="118" t="s">
        <v>12</v>
      </c>
      <c r="C2570" s="334" t="s">
        <v>9907</v>
      </c>
      <c r="D2570" s="124" t="s">
        <v>9908</v>
      </c>
      <c r="E2570" s="125"/>
      <c r="F2570" s="118" t="s">
        <v>828</v>
      </c>
      <c r="G2570" s="126" t="s">
        <v>9800</v>
      </c>
      <c r="H2570" s="255">
        <v>1</v>
      </c>
      <c r="I2570" s="361">
        <v>1</v>
      </c>
      <c r="J2570" s="362" t="s">
        <v>310</v>
      </c>
      <c r="K2570" s="363"/>
      <c r="L2570" s="129"/>
      <c r="M2570" s="129"/>
      <c r="N2570" s="129"/>
      <c r="O2570" s="129"/>
      <c r="P2570" s="364"/>
      <c r="Q2570" s="364"/>
      <c r="R2570" s="129"/>
      <c r="S2570" s="129"/>
      <c r="T2570" s="129"/>
      <c r="W2570" s="129" t="s">
        <v>4876</v>
      </c>
      <c r="X2570" s="337" t="b">
        <f t="shared" si="74"/>
        <v>0</v>
      </c>
    </row>
    <row r="2571" spans="1:24" s="337" customFormat="1" ht="12" customHeight="1" outlineLevel="1">
      <c r="A2571" s="335"/>
      <c r="B2571" s="118" t="s">
        <v>12</v>
      </c>
      <c r="C2571" s="334" t="s">
        <v>9909</v>
      </c>
      <c r="D2571" s="124" t="s">
        <v>9910</v>
      </c>
      <c r="E2571" s="125"/>
      <c r="F2571" s="118" t="s">
        <v>828</v>
      </c>
      <c r="G2571" s="126" t="s">
        <v>9800</v>
      </c>
      <c r="H2571" s="255">
        <v>1</v>
      </c>
      <c r="I2571" s="361">
        <v>1</v>
      </c>
      <c r="J2571" s="362" t="s">
        <v>307</v>
      </c>
      <c r="K2571" s="363"/>
      <c r="L2571" s="129"/>
      <c r="M2571" s="129"/>
      <c r="N2571" s="129"/>
      <c r="O2571" s="129"/>
      <c r="P2571" s="364"/>
      <c r="Q2571" s="364"/>
      <c r="R2571" s="129"/>
      <c r="S2571" s="129"/>
      <c r="T2571" s="129"/>
      <c r="W2571" s="129" t="s">
        <v>4876</v>
      </c>
      <c r="X2571" s="337" t="b">
        <f t="shared" si="74"/>
        <v>0</v>
      </c>
    </row>
    <row r="2572" spans="1:24" s="337" customFormat="1" ht="12" customHeight="1" outlineLevel="1">
      <c r="A2572" s="335"/>
      <c r="B2572" s="118" t="s">
        <v>12</v>
      </c>
      <c r="C2572" s="334" t="s">
        <v>9911</v>
      </c>
      <c r="D2572" s="124" t="s">
        <v>9912</v>
      </c>
      <c r="E2572" s="125"/>
      <c r="F2572" s="118" t="s">
        <v>828</v>
      </c>
      <c r="G2572" s="126" t="s">
        <v>9800</v>
      </c>
      <c r="H2572" s="255">
        <v>1</v>
      </c>
      <c r="I2572" s="361">
        <v>1</v>
      </c>
      <c r="J2572" s="362" t="s">
        <v>307</v>
      </c>
      <c r="K2572" s="363"/>
      <c r="L2572" s="129"/>
      <c r="M2572" s="129"/>
      <c r="N2572" s="129"/>
      <c r="O2572" s="129"/>
      <c r="P2572" s="364"/>
      <c r="Q2572" s="364"/>
      <c r="R2572" s="129"/>
      <c r="S2572" s="129"/>
      <c r="T2572" s="129"/>
      <c r="W2572" s="129" t="s">
        <v>4876</v>
      </c>
      <c r="X2572" s="337" t="b">
        <f t="shared" si="74"/>
        <v>0</v>
      </c>
    </row>
    <row r="2573" spans="1:24" s="337" customFormat="1" ht="12" customHeight="1" outlineLevel="1">
      <c r="A2573" s="335"/>
      <c r="B2573" s="118" t="s">
        <v>12</v>
      </c>
      <c r="C2573" s="334" t="s">
        <v>9913</v>
      </c>
      <c r="D2573" s="124" t="s">
        <v>9914</v>
      </c>
      <c r="E2573" s="125"/>
      <c r="F2573" s="118" t="s">
        <v>828</v>
      </c>
      <c r="G2573" s="126" t="s">
        <v>9800</v>
      </c>
      <c r="H2573" s="255">
        <v>1</v>
      </c>
      <c r="I2573" s="361">
        <v>1</v>
      </c>
      <c r="J2573" s="362" t="s">
        <v>6148</v>
      </c>
      <c r="K2573" s="363"/>
      <c r="L2573" s="129"/>
      <c r="M2573" s="129"/>
      <c r="N2573" s="129"/>
      <c r="O2573" s="129"/>
      <c r="P2573" s="364"/>
      <c r="Q2573" s="364"/>
      <c r="R2573" s="129"/>
      <c r="S2573" s="129"/>
      <c r="T2573" s="129"/>
      <c r="W2573" s="129" t="s">
        <v>4876</v>
      </c>
      <c r="X2573" s="337" t="b">
        <f t="shared" si="74"/>
        <v>0</v>
      </c>
    </row>
    <row r="2574" spans="1:24" s="337" customFormat="1" ht="12" customHeight="1" outlineLevel="1">
      <c r="A2574" s="335"/>
      <c r="B2574" s="118" t="s">
        <v>12</v>
      </c>
      <c r="C2574" s="334" t="s">
        <v>9915</v>
      </c>
      <c r="D2574" s="124" t="s">
        <v>9916</v>
      </c>
      <c r="E2574" s="125"/>
      <c r="F2574" s="118" t="s">
        <v>828</v>
      </c>
      <c r="G2574" s="126" t="s">
        <v>9800</v>
      </c>
      <c r="H2574" s="255">
        <v>1</v>
      </c>
      <c r="I2574" s="361">
        <v>1</v>
      </c>
      <c r="J2574" s="362" t="s">
        <v>307</v>
      </c>
      <c r="K2574" s="363"/>
      <c r="L2574" s="129"/>
      <c r="M2574" s="129"/>
      <c r="N2574" s="129"/>
      <c r="O2574" s="129"/>
      <c r="P2574" s="364"/>
      <c r="Q2574" s="364"/>
      <c r="R2574" s="129"/>
      <c r="S2574" s="129"/>
      <c r="T2574" s="129"/>
      <c r="W2574" s="129" t="s">
        <v>4876</v>
      </c>
      <c r="X2574" s="337" t="b">
        <f t="shared" si="74"/>
        <v>0</v>
      </c>
    </row>
    <row r="2575" spans="1:24" s="337" customFormat="1" ht="12" customHeight="1" outlineLevel="1">
      <c r="A2575" s="335"/>
      <c r="B2575" s="118" t="s">
        <v>12</v>
      </c>
      <c r="C2575" s="334" t="s">
        <v>9917</v>
      </c>
      <c r="D2575" s="124" t="s">
        <v>9918</v>
      </c>
      <c r="E2575" s="125"/>
      <c r="F2575" s="118" t="s">
        <v>828</v>
      </c>
      <c r="G2575" s="126" t="s">
        <v>9800</v>
      </c>
      <c r="H2575" s="255">
        <v>1</v>
      </c>
      <c r="I2575" s="361">
        <v>1</v>
      </c>
      <c r="J2575" s="362" t="s">
        <v>6148</v>
      </c>
      <c r="K2575" s="363"/>
      <c r="L2575" s="129"/>
      <c r="M2575" s="129"/>
      <c r="N2575" s="129"/>
      <c r="O2575" s="129"/>
      <c r="P2575" s="364"/>
      <c r="Q2575" s="364"/>
      <c r="R2575" s="129"/>
      <c r="S2575" s="129"/>
      <c r="T2575" s="129"/>
      <c r="W2575" s="129" t="s">
        <v>4876</v>
      </c>
      <c r="X2575" s="337" t="b">
        <f t="shared" si="74"/>
        <v>0</v>
      </c>
    </row>
    <row r="2576" spans="1:24" s="337" customFormat="1" ht="12" customHeight="1" outlineLevel="1">
      <c r="A2576" s="335"/>
      <c r="B2576" s="118" t="s">
        <v>12</v>
      </c>
      <c r="C2576" s="334" t="s">
        <v>9919</v>
      </c>
      <c r="D2576" s="124" t="s">
        <v>9920</v>
      </c>
      <c r="E2576" s="125"/>
      <c r="F2576" s="118" t="s">
        <v>828</v>
      </c>
      <c r="G2576" s="126" t="s">
        <v>9800</v>
      </c>
      <c r="H2576" s="255">
        <v>1</v>
      </c>
      <c r="I2576" s="361">
        <v>1</v>
      </c>
      <c r="J2576" s="362" t="s">
        <v>6148</v>
      </c>
      <c r="K2576" s="363"/>
      <c r="L2576" s="129"/>
      <c r="M2576" s="129"/>
      <c r="N2576" s="129"/>
      <c r="O2576" s="129"/>
      <c r="P2576" s="364"/>
      <c r="Q2576" s="364"/>
      <c r="R2576" s="129"/>
      <c r="S2576" s="129"/>
      <c r="T2576" s="129"/>
      <c r="W2576" s="129" t="s">
        <v>4876</v>
      </c>
      <c r="X2576" s="337" t="b">
        <f t="shared" si="74"/>
        <v>0</v>
      </c>
    </row>
    <row r="2577" spans="1:24" s="337" customFormat="1" ht="12" customHeight="1" outlineLevel="1">
      <c r="A2577" s="335"/>
      <c r="B2577" s="118" t="s">
        <v>12</v>
      </c>
      <c r="C2577" s="334" t="s">
        <v>9921</v>
      </c>
      <c r="D2577" s="124" t="s">
        <v>9922</v>
      </c>
      <c r="E2577" s="125"/>
      <c r="F2577" s="118" t="s">
        <v>828</v>
      </c>
      <c r="G2577" s="126" t="s">
        <v>9800</v>
      </c>
      <c r="H2577" s="255">
        <v>1</v>
      </c>
      <c r="I2577" s="361">
        <v>1</v>
      </c>
      <c r="J2577" s="362" t="s">
        <v>6148</v>
      </c>
      <c r="K2577" s="363"/>
      <c r="L2577" s="129"/>
      <c r="M2577" s="129"/>
      <c r="N2577" s="129"/>
      <c r="O2577" s="129"/>
      <c r="P2577" s="364"/>
      <c r="Q2577" s="364"/>
      <c r="R2577" s="129"/>
      <c r="S2577" s="129"/>
      <c r="T2577" s="129"/>
      <c r="W2577" s="129" t="s">
        <v>4876</v>
      </c>
      <c r="X2577" s="337" t="b">
        <f t="shared" si="74"/>
        <v>0</v>
      </c>
    </row>
    <row r="2578" spans="1:24" s="337" customFormat="1" ht="12" customHeight="1" outlineLevel="1">
      <c r="A2578" s="335"/>
      <c r="B2578" s="118" t="s">
        <v>12</v>
      </c>
      <c r="C2578" s="334" t="s">
        <v>9923</v>
      </c>
      <c r="D2578" s="124" t="s">
        <v>9924</v>
      </c>
      <c r="E2578" s="125"/>
      <c r="F2578" s="118" t="s">
        <v>828</v>
      </c>
      <c r="G2578" s="126" t="s">
        <v>9800</v>
      </c>
      <c r="H2578" s="255">
        <v>1</v>
      </c>
      <c r="I2578" s="361">
        <v>1</v>
      </c>
      <c r="J2578" s="362" t="s">
        <v>307</v>
      </c>
      <c r="K2578" s="363"/>
      <c r="L2578" s="129"/>
      <c r="M2578" s="129"/>
      <c r="N2578" s="129"/>
      <c r="O2578" s="129"/>
      <c r="P2578" s="364"/>
      <c r="Q2578" s="364"/>
      <c r="R2578" s="129"/>
      <c r="S2578" s="129"/>
      <c r="T2578" s="129"/>
      <c r="W2578" s="129" t="s">
        <v>4876</v>
      </c>
      <c r="X2578" s="337" t="b">
        <f t="shared" si="74"/>
        <v>0</v>
      </c>
    </row>
    <row r="2579" spans="1:24" s="337" customFormat="1" ht="12" customHeight="1" outlineLevel="1">
      <c r="A2579" s="335"/>
      <c r="B2579" s="118" t="s">
        <v>12</v>
      </c>
      <c r="C2579" s="334" t="s">
        <v>9925</v>
      </c>
      <c r="D2579" s="124" t="s">
        <v>9926</v>
      </c>
      <c r="E2579" s="125"/>
      <c r="F2579" s="118" t="s">
        <v>828</v>
      </c>
      <c r="G2579" s="126" t="s">
        <v>9800</v>
      </c>
      <c r="H2579" s="255">
        <v>1</v>
      </c>
      <c r="I2579" s="361">
        <v>1</v>
      </c>
      <c r="J2579" s="362" t="s">
        <v>743</v>
      </c>
      <c r="K2579" s="363"/>
      <c r="L2579" s="129"/>
      <c r="M2579" s="129"/>
      <c r="N2579" s="129"/>
      <c r="O2579" s="129"/>
      <c r="P2579" s="364"/>
      <c r="Q2579" s="364"/>
      <c r="R2579" s="129"/>
      <c r="S2579" s="129"/>
      <c r="T2579" s="129"/>
      <c r="W2579" s="129" t="s">
        <v>4876</v>
      </c>
      <c r="X2579" s="337" t="b">
        <f t="shared" ref="X2579:X2642" si="75">W2579=J2579</f>
        <v>0</v>
      </c>
    </row>
    <row r="2580" spans="1:24" s="337" customFormat="1" ht="12" customHeight="1" outlineLevel="1">
      <c r="A2580" s="335"/>
      <c r="B2580" s="118" t="s">
        <v>12</v>
      </c>
      <c r="C2580" s="334" t="s">
        <v>9927</v>
      </c>
      <c r="D2580" s="124" t="s">
        <v>9928</v>
      </c>
      <c r="E2580" s="125"/>
      <c r="F2580" s="118" t="s">
        <v>828</v>
      </c>
      <c r="G2580" s="126" t="s">
        <v>9800</v>
      </c>
      <c r="H2580" s="255">
        <v>1</v>
      </c>
      <c r="I2580" s="361">
        <v>1</v>
      </c>
      <c r="J2580" s="362" t="s">
        <v>310</v>
      </c>
      <c r="K2580" s="363"/>
      <c r="L2580" s="129"/>
      <c r="M2580" s="129"/>
      <c r="N2580" s="129"/>
      <c r="O2580" s="129"/>
      <c r="P2580" s="364"/>
      <c r="Q2580" s="364"/>
      <c r="R2580" s="129"/>
      <c r="S2580" s="129"/>
      <c r="T2580" s="129"/>
      <c r="W2580" s="129" t="s">
        <v>4876</v>
      </c>
      <c r="X2580" s="337" t="b">
        <f t="shared" si="75"/>
        <v>0</v>
      </c>
    </row>
    <row r="2581" spans="1:24" s="337" customFormat="1" ht="12" customHeight="1" outlineLevel="1">
      <c r="A2581" s="335"/>
      <c r="B2581" s="118" t="s">
        <v>12</v>
      </c>
      <c r="C2581" s="334" t="s">
        <v>9929</v>
      </c>
      <c r="D2581" s="124" t="s">
        <v>9930</v>
      </c>
      <c r="E2581" s="125"/>
      <c r="F2581" s="118" t="s">
        <v>828</v>
      </c>
      <c r="G2581" s="126" t="s">
        <v>9800</v>
      </c>
      <c r="H2581" s="255">
        <v>1</v>
      </c>
      <c r="I2581" s="361">
        <v>1</v>
      </c>
      <c r="J2581" s="362" t="s">
        <v>286</v>
      </c>
      <c r="K2581" s="363"/>
      <c r="L2581" s="129"/>
      <c r="M2581" s="129"/>
      <c r="N2581" s="129"/>
      <c r="O2581" s="129"/>
      <c r="P2581" s="364"/>
      <c r="Q2581" s="364"/>
      <c r="R2581" s="129"/>
      <c r="S2581" s="129"/>
      <c r="T2581" s="129"/>
      <c r="W2581" s="129" t="s">
        <v>4876</v>
      </c>
      <c r="X2581" s="337" t="b">
        <f t="shared" si="75"/>
        <v>0</v>
      </c>
    </row>
    <row r="2582" spans="1:24" s="337" customFormat="1" ht="12" customHeight="1" outlineLevel="1">
      <c r="A2582" s="335"/>
      <c r="B2582" s="118" t="s">
        <v>12</v>
      </c>
      <c r="C2582" s="334" t="s">
        <v>9931</v>
      </c>
      <c r="D2582" s="124" t="s">
        <v>9932</v>
      </c>
      <c r="E2582" s="125"/>
      <c r="F2582" s="118" t="s">
        <v>828</v>
      </c>
      <c r="G2582" s="126" t="s">
        <v>9800</v>
      </c>
      <c r="H2582" s="255">
        <v>1</v>
      </c>
      <c r="I2582" s="361">
        <v>1</v>
      </c>
      <c r="J2582" s="362" t="s">
        <v>325</v>
      </c>
      <c r="K2582" s="363"/>
      <c r="L2582" s="129"/>
      <c r="M2582" s="129"/>
      <c r="N2582" s="129"/>
      <c r="O2582" s="129"/>
      <c r="P2582" s="364"/>
      <c r="Q2582" s="364"/>
      <c r="R2582" s="129"/>
      <c r="S2582" s="129"/>
      <c r="T2582" s="129"/>
      <c r="W2582" s="129" t="s">
        <v>4876</v>
      </c>
      <c r="X2582" s="337" t="b">
        <f t="shared" si="75"/>
        <v>0</v>
      </c>
    </row>
    <row r="2583" spans="1:24" s="337" customFormat="1" ht="12" customHeight="1" outlineLevel="1">
      <c r="A2583" s="335"/>
      <c r="B2583" s="118" t="s">
        <v>12</v>
      </c>
      <c r="C2583" s="334" t="s">
        <v>9933</v>
      </c>
      <c r="D2583" s="124" t="s">
        <v>9934</v>
      </c>
      <c r="E2583" s="125"/>
      <c r="F2583" s="118" t="s">
        <v>828</v>
      </c>
      <c r="G2583" s="126" t="s">
        <v>9800</v>
      </c>
      <c r="H2583" s="255">
        <v>1</v>
      </c>
      <c r="I2583" s="361">
        <v>1</v>
      </c>
      <c r="J2583" s="362" t="s">
        <v>6148</v>
      </c>
      <c r="K2583" s="363"/>
      <c r="L2583" s="129"/>
      <c r="M2583" s="129"/>
      <c r="N2583" s="129"/>
      <c r="O2583" s="129"/>
      <c r="P2583" s="364"/>
      <c r="Q2583" s="364"/>
      <c r="R2583" s="129"/>
      <c r="S2583" s="129"/>
      <c r="T2583" s="129"/>
      <c r="W2583" s="129" t="s">
        <v>4876</v>
      </c>
      <c r="X2583" s="337" t="b">
        <f t="shared" si="75"/>
        <v>0</v>
      </c>
    </row>
    <row r="2584" spans="1:24" s="337" customFormat="1" ht="12" customHeight="1" outlineLevel="1">
      <c r="A2584" s="335"/>
      <c r="B2584" s="118" t="s">
        <v>12</v>
      </c>
      <c r="C2584" s="334" t="s">
        <v>9935</v>
      </c>
      <c r="D2584" s="124" t="s">
        <v>9936</v>
      </c>
      <c r="E2584" s="125"/>
      <c r="F2584" s="118" t="s">
        <v>828</v>
      </c>
      <c r="G2584" s="126" t="s">
        <v>9800</v>
      </c>
      <c r="H2584" s="255">
        <v>1</v>
      </c>
      <c r="I2584" s="361">
        <v>1</v>
      </c>
      <c r="J2584" s="362" t="s">
        <v>310</v>
      </c>
      <c r="K2584" s="363"/>
      <c r="L2584" s="129"/>
      <c r="M2584" s="129"/>
      <c r="N2584" s="129"/>
      <c r="O2584" s="129"/>
      <c r="P2584" s="364"/>
      <c r="Q2584" s="364"/>
      <c r="R2584" s="129"/>
      <c r="S2584" s="129"/>
      <c r="T2584" s="129"/>
      <c r="W2584" s="129" t="s">
        <v>4876</v>
      </c>
      <c r="X2584" s="337" t="b">
        <f t="shared" si="75"/>
        <v>0</v>
      </c>
    </row>
    <row r="2585" spans="1:24" s="337" customFormat="1" ht="12" customHeight="1" outlineLevel="1">
      <c r="A2585" s="335"/>
      <c r="B2585" s="118" t="s">
        <v>12</v>
      </c>
      <c r="C2585" s="334" t="s">
        <v>9937</v>
      </c>
      <c r="D2585" s="124" t="s">
        <v>9938</v>
      </c>
      <c r="E2585" s="125"/>
      <c r="F2585" s="118" t="s">
        <v>828</v>
      </c>
      <c r="G2585" s="126" t="s">
        <v>9800</v>
      </c>
      <c r="H2585" s="255">
        <v>1</v>
      </c>
      <c r="I2585" s="361">
        <v>1</v>
      </c>
      <c r="J2585" s="362" t="s">
        <v>286</v>
      </c>
      <c r="K2585" s="363"/>
      <c r="L2585" s="129"/>
      <c r="M2585" s="129"/>
      <c r="N2585" s="129"/>
      <c r="O2585" s="129"/>
      <c r="P2585" s="364"/>
      <c r="Q2585" s="364"/>
      <c r="R2585" s="129"/>
      <c r="S2585" s="129"/>
      <c r="T2585" s="129"/>
      <c r="W2585" s="129" t="s">
        <v>4876</v>
      </c>
      <c r="X2585" s="337" t="b">
        <f t="shared" si="75"/>
        <v>0</v>
      </c>
    </row>
    <row r="2586" spans="1:24" s="337" customFormat="1" ht="12" customHeight="1" outlineLevel="1">
      <c r="A2586" s="335"/>
      <c r="B2586" s="118" t="s">
        <v>12</v>
      </c>
      <c r="C2586" s="334" t="s">
        <v>9939</v>
      </c>
      <c r="D2586" s="124" t="s">
        <v>9940</v>
      </c>
      <c r="E2586" s="125"/>
      <c r="F2586" s="118" t="s">
        <v>828</v>
      </c>
      <c r="G2586" s="126" t="s">
        <v>9800</v>
      </c>
      <c r="H2586" s="255">
        <v>1</v>
      </c>
      <c r="I2586" s="361">
        <v>1</v>
      </c>
      <c r="J2586" s="362" t="s">
        <v>743</v>
      </c>
      <c r="K2586" s="363"/>
      <c r="L2586" s="129"/>
      <c r="M2586" s="129"/>
      <c r="N2586" s="129"/>
      <c r="O2586" s="129"/>
      <c r="P2586" s="364"/>
      <c r="Q2586" s="364"/>
      <c r="R2586" s="129"/>
      <c r="S2586" s="129"/>
      <c r="T2586" s="129"/>
      <c r="W2586" s="129" t="s">
        <v>4876</v>
      </c>
      <c r="X2586" s="337" t="b">
        <f t="shared" si="75"/>
        <v>0</v>
      </c>
    </row>
    <row r="2587" spans="1:24" s="337" customFormat="1" ht="12" customHeight="1" outlineLevel="1">
      <c r="A2587" s="335"/>
      <c r="B2587" s="118" t="s">
        <v>12</v>
      </c>
      <c r="C2587" s="334" t="s">
        <v>9941</v>
      </c>
      <c r="D2587" s="124" t="s">
        <v>9942</v>
      </c>
      <c r="E2587" s="125"/>
      <c r="F2587" s="118" t="s">
        <v>828</v>
      </c>
      <c r="G2587" s="126" t="s">
        <v>9800</v>
      </c>
      <c r="H2587" s="255">
        <v>1</v>
      </c>
      <c r="I2587" s="361">
        <v>1</v>
      </c>
      <c r="J2587" s="362" t="s">
        <v>6147</v>
      </c>
      <c r="K2587" s="363"/>
      <c r="L2587" s="129"/>
      <c r="M2587" s="129"/>
      <c r="N2587" s="129"/>
      <c r="O2587" s="129"/>
      <c r="P2587" s="364"/>
      <c r="Q2587" s="364"/>
      <c r="R2587" s="129"/>
      <c r="S2587" s="129"/>
      <c r="T2587" s="129"/>
      <c r="W2587" s="129" t="s">
        <v>4876</v>
      </c>
      <c r="X2587" s="337" t="b">
        <f t="shared" si="75"/>
        <v>0</v>
      </c>
    </row>
    <row r="2588" spans="1:24" s="337" customFormat="1" ht="12" customHeight="1" outlineLevel="1">
      <c r="A2588" s="335"/>
      <c r="B2588" s="118" t="s">
        <v>12</v>
      </c>
      <c r="C2588" s="334" t="s">
        <v>9943</v>
      </c>
      <c r="D2588" s="124" t="s">
        <v>9944</v>
      </c>
      <c r="E2588" s="125"/>
      <c r="F2588" s="118" t="s">
        <v>828</v>
      </c>
      <c r="G2588" s="126" t="s">
        <v>9800</v>
      </c>
      <c r="H2588" s="255">
        <v>1</v>
      </c>
      <c r="I2588" s="361">
        <v>1</v>
      </c>
      <c r="J2588" s="362" t="s">
        <v>286</v>
      </c>
      <c r="K2588" s="363"/>
      <c r="L2588" s="129"/>
      <c r="M2588" s="129"/>
      <c r="N2588" s="129"/>
      <c r="O2588" s="129"/>
      <c r="P2588" s="364"/>
      <c r="Q2588" s="364"/>
      <c r="R2588" s="129"/>
      <c r="S2588" s="129"/>
      <c r="T2588" s="129"/>
      <c r="W2588" s="129" t="s">
        <v>4876</v>
      </c>
      <c r="X2588" s="337" t="b">
        <f t="shared" si="75"/>
        <v>0</v>
      </c>
    </row>
    <row r="2589" spans="1:24" s="337" customFormat="1" ht="12" customHeight="1" outlineLevel="1">
      <c r="A2589" s="335"/>
      <c r="B2589" s="118" t="s">
        <v>12</v>
      </c>
      <c r="C2589" s="334" t="s">
        <v>9945</v>
      </c>
      <c r="D2589" s="124" t="s">
        <v>9946</v>
      </c>
      <c r="E2589" s="125"/>
      <c r="F2589" s="118" t="s">
        <v>828</v>
      </c>
      <c r="G2589" s="126" t="s">
        <v>9800</v>
      </c>
      <c r="H2589" s="255">
        <v>1</v>
      </c>
      <c r="I2589" s="361">
        <v>1</v>
      </c>
      <c r="J2589" s="362" t="s">
        <v>307</v>
      </c>
      <c r="K2589" s="363"/>
      <c r="L2589" s="129"/>
      <c r="M2589" s="129"/>
      <c r="N2589" s="129"/>
      <c r="O2589" s="129"/>
      <c r="P2589" s="364"/>
      <c r="Q2589" s="364"/>
      <c r="R2589" s="129"/>
      <c r="S2589" s="129"/>
      <c r="T2589" s="129"/>
      <c r="W2589" s="129" t="s">
        <v>4876</v>
      </c>
      <c r="X2589" s="337" t="b">
        <f t="shared" si="75"/>
        <v>0</v>
      </c>
    </row>
    <row r="2590" spans="1:24" s="337" customFormat="1" ht="12" customHeight="1" outlineLevel="1">
      <c r="A2590" s="335"/>
      <c r="B2590" s="118" t="s">
        <v>12</v>
      </c>
      <c r="C2590" s="334" t="s">
        <v>9947</v>
      </c>
      <c r="D2590" s="124" t="s">
        <v>9948</v>
      </c>
      <c r="E2590" s="125"/>
      <c r="F2590" s="118" t="s">
        <v>828</v>
      </c>
      <c r="G2590" s="126" t="s">
        <v>9800</v>
      </c>
      <c r="H2590" s="255">
        <v>1</v>
      </c>
      <c r="I2590" s="361">
        <v>1</v>
      </c>
      <c r="J2590" s="362" t="s">
        <v>6148</v>
      </c>
      <c r="K2590" s="363"/>
      <c r="L2590" s="129"/>
      <c r="M2590" s="129"/>
      <c r="N2590" s="129"/>
      <c r="O2590" s="129"/>
      <c r="P2590" s="364"/>
      <c r="Q2590" s="364"/>
      <c r="R2590" s="129"/>
      <c r="S2590" s="129"/>
      <c r="T2590" s="129"/>
      <c r="W2590" s="129" t="s">
        <v>4876</v>
      </c>
      <c r="X2590" s="337" t="b">
        <f t="shared" si="75"/>
        <v>0</v>
      </c>
    </row>
    <row r="2591" spans="1:24" s="337" customFormat="1" ht="12" customHeight="1" outlineLevel="1">
      <c r="A2591" s="335"/>
      <c r="B2591" s="118" t="s">
        <v>12</v>
      </c>
      <c r="C2591" s="334" t="s">
        <v>9949</v>
      </c>
      <c r="D2591" s="124" t="s">
        <v>9950</v>
      </c>
      <c r="E2591" s="125"/>
      <c r="F2591" s="118" t="s">
        <v>828</v>
      </c>
      <c r="G2591" s="126" t="s">
        <v>9800</v>
      </c>
      <c r="H2591" s="255">
        <v>1</v>
      </c>
      <c r="I2591" s="361">
        <v>1</v>
      </c>
      <c r="J2591" s="362" t="s">
        <v>307</v>
      </c>
      <c r="K2591" s="363"/>
      <c r="L2591" s="129"/>
      <c r="M2591" s="129"/>
      <c r="N2591" s="129"/>
      <c r="O2591" s="129"/>
      <c r="P2591" s="364"/>
      <c r="Q2591" s="364"/>
      <c r="R2591" s="129"/>
      <c r="S2591" s="129"/>
      <c r="T2591" s="129"/>
      <c r="W2591" s="129" t="s">
        <v>4876</v>
      </c>
      <c r="X2591" s="337" t="b">
        <f t="shared" si="75"/>
        <v>0</v>
      </c>
    </row>
    <row r="2592" spans="1:24" s="337" customFormat="1" ht="12" customHeight="1" outlineLevel="1">
      <c r="A2592" s="335"/>
      <c r="B2592" s="118" t="s">
        <v>12</v>
      </c>
      <c r="C2592" s="334" t="s">
        <v>9951</v>
      </c>
      <c r="D2592" s="124" t="s">
        <v>9952</v>
      </c>
      <c r="E2592" s="125"/>
      <c r="F2592" s="118" t="s">
        <v>828</v>
      </c>
      <c r="G2592" s="126" t="s">
        <v>9800</v>
      </c>
      <c r="H2592" s="255">
        <v>1</v>
      </c>
      <c r="I2592" s="361">
        <v>1</v>
      </c>
      <c r="J2592" s="362" t="s">
        <v>325</v>
      </c>
      <c r="K2592" s="363"/>
      <c r="L2592" s="129"/>
      <c r="M2592" s="129"/>
      <c r="N2592" s="129"/>
      <c r="O2592" s="129"/>
      <c r="P2592" s="364"/>
      <c r="Q2592" s="364"/>
      <c r="R2592" s="129"/>
      <c r="S2592" s="129"/>
      <c r="T2592" s="129"/>
      <c r="W2592" s="129" t="s">
        <v>4876</v>
      </c>
      <c r="X2592" s="337" t="b">
        <f t="shared" si="75"/>
        <v>0</v>
      </c>
    </row>
    <row r="2593" spans="1:24" s="337" customFormat="1" ht="12" customHeight="1" outlineLevel="1">
      <c r="A2593" s="335"/>
      <c r="B2593" s="118" t="s">
        <v>12</v>
      </c>
      <c r="C2593" s="334" t="s">
        <v>9953</v>
      </c>
      <c r="D2593" s="124" t="s">
        <v>9954</v>
      </c>
      <c r="E2593" s="125"/>
      <c r="F2593" s="118" t="s">
        <v>828</v>
      </c>
      <c r="G2593" s="126" t="s">
        <v>9800</v>
      </c>
      <c r="H2593" s="255">
        <v>1</v>
      </c>
      <c r="I2593" s="361">
        <v>1</v>
      </c>
      <c r="J2593" s="362" t="s">
        <v>743</v>
      </c>
      <c r="K2593" s="363"/>
      <c r="L2593" s="129"/>
      <c r="M2593" s="129"/>
      <c r="N2593" s="129"/>
      <c r="O2593" s="129"/>
      <c r="P2593" s="364"/>
      <c r="Q2593" s="364"/>
      <c r="R2593" s="129"/>
      <c r="S2593" s="129"/>
      <c r="T2593" s="129"/>
      <c r="W2593" s="129" t="s">
        <v>4876</v>
      </c>
      <c r="X2593" s="337" t="b">
        <f t="shared" si="75"/>
        <v>0</v>
      </c>
    </row>
    <row r="2594" spans="1:24" s="337" customFormat="1" ht="12" customHeight="1" outlineLevel="1">
      <c r="A2594" s="335"/>
      <c r="B2594" s="118" t="s">
        <v>12</v>
      </c>
      <c r="C2594" s="334" t="s">
        <v>9955</v>
      </c>
      <c r="D2594" s="124" t="s">
        <v>9956</v>
      </c>
      <c r="E2594" s="125"/>
      <c r="F2594" s="118" t="s">
        <v>828</v>
      </c>
      <c r="G2594" s="126" t="s">
        <v>9800</v>
      </c>
      <c r="H2594" s="255">
        <v>1</v>
      </c>
      <c r="I2594" s="361">
        <v>1</v>
      </c>
      <c r="J2594" s="362" t="s">
        <v>310</v>
      </c>
      <c r="K2594" s="363"/>
      <c r="L2594" s="129"/>
      <c r="M2594" s="129"/>
      <c r="N2594" s="129"/>
      <c r="O2594" s="129"/>
      <c r="P2594" s="364"/>
      <c r="Q2594" s="364"/>
      <c r="R2594" s="129"/>
      <c r="S2594" s="129"/>
      <c r="T2594" s="129"/>
      <c r="W2594" s="129" t="s">
        <v>4876</v>
      </c>
      <c r="X2594" s="337" t="b">
        <f t="shared" si="75"/>
        <v>0</v>
      </c>
    </row>
    <row r="2595" spans="1:24" s="337" customFormat="1" ht="12" customHeight="1" outlineLevel="1">
      <c r="A2595" s="335"/>
      <c r="B2595" s="118" t="s">
        <v>12</v>
      </c>
      <c r="C2595" s="334" t="s">
        <v>9957</v>
      </c>
      <c r="D2595" s="124" t="s">
        <v>9958</v>
      </c>
      <c r="E2595" s="125"/>
      <c r="F2595" s="118" t="s">
        <v>828</v>
      </c>
      <c r="G2595" s="126" t="s">
        <v>9800</v>
      </c>
      <c r="H2595" s="255">
        <v>1</v>
      </c>
      <c r="I2595" s="361">
        <v>1</v>
      </c>
      <c r="J2595" s="362" t="s">
        <v>310</v>
      </c>
      <c r="K2595" s="363"/>
      <c r="L2595" s="129"/>
      <c r="M2595" s="129"/>
      <c r="N2595" s="129"/>
      <c r="O2595" s="129"/>
      <c r="P2595" s="364"/>
      <c r="Q2595" s="364"/>
      <c r="R2595" s="129"/>
      <c r="S2595" s="129"/>
      <c r="T2595" s="129"/>
      <c r="W2595" s="129" t="s">
        <v>4876</v>
      </c>
      <c r="X2595" s="337" t="b">
        <f t="shared" si="75"/>
        <v>0</v>
      </c>
    </row>
    <row r="2596" spans="1:24" s="337" customFormat="1" ht="12" customHeight="1" outlineLevel="1">
      <c r="A2596" s="335"/>
      <c r="B2596" s="118" t="s">
        <v>12</v>
      </c>
      <c r="C2596" s="334" t="s">
        <v>9959</v>
      </c>
      <c r="D2596" s="124" t="s">
        <v>9960</v>
      </c>
      <c r="E2596" s="125"/>
      <c r="F2596" s="118" t="s">
        <v>828</v>
      </c>
      <c r="G2596" s="126" t="s">
        <v>9800</v>
      </c>
      <c r="H2596" s="255">
        <v>1</v>
      </c>
      <c r="I2596" s="361">
        <v>1</v>
      </c>
      <c r="J2596" s="362" t="s">
        <v>310</v>
      </c>
      <c r="K2596" s="363"/>
      <c r="L2596" s="129"/>
      <c r="M2596" s="129"/>
      <c r="N2596" s="129"/>
      <c r="O2596" s="129"/>
      <c r="P2596" s="364"/>
      <c r="Q2596" s="364"/>
      <c r="R2596" s="129"/>
      <c r="S2596" s="129"/>
      <c r="T2596" s="129"/>
      <c r="W2596" s="129" t="s">
        <v>4876</v>
      </c>
      <c r="X2596" s="337" t="b">
        <f t="shared" si="75"/>
        <v>0</v>
      </c>
    </row>
    <row r="2597" spans="1:24" s="337" customFormat="1" ht="12" customHeight="1" outlineLevel="1">
      <c r="A2597" s="335"/>
      <c r="B2597" s="118" t="s">
        <v>12</v>
      </c>
      <c r="C2597" s="334" t="s">
        <v>9961</v>
      </c>
      <c r="D2597" s="124" t="s">
        <v>9962</v>
      </c>
      <c r="E2597" s="125"/>
      <c r="F2597" s="118" t="s">
        <v>828</v>
      </c>
      <c r="G2597" s="126" t="s">
        <v>9800</v>
      </c>
      <c r="H2597" s="255">
        <v>1</v>
      </c>
      <c r="I2597" s="361">
        <v>1</v>
      </c>
      <c r="J2597" s="362" t="s">
        <v>6148</v>
      </c>
      <c r="K2597" s="363"/>
      <c r="L2597" s="129"/>
      <c r="M2597" s="129"/>
      <c r="N2597" s="129"/>
      <c r="O2597" s="129"/>
      <c r="P2597" s="364"/>
      <c r="Q2597" s="364"/>
      <c r="R2597" s="129"/>
      <c r="S2597" s="129"/>
      <c r="T2597" s="129"/>
      <c r="W2597" s="129" t="s">
        <v>4876</v>
      </c>
      <c r="X2597" s="337" t="b">
        <f t="shared" si="75"/>
        <v>0</v>
      </c>
    </row>
    <row r="2598" spans="1:24" s="337" customFormat="1" ht="12" customHeight="1" outlineLevel="1">
      <c r="A2598" s="335"/>
      <c r="B2598" s="118" t="s">
        <v>12</v>
      </c>
      <c r="C2598" s="334" t="s">
        <v>9963</v>
      </c>
      <c r="D2598" s="124" t="s">
        <v>9964</v>
      </c>
      <c r="E2598" s="125"/>
      <c r="F2598" s="118" t="s">
        <v>828</v>
      </c>
      <c r="G2598" s="126" t="s">
        <v>9800</v>
      </c>
      <c r="H2598" s="255">
        <v>1</v>
      </c>
      <c r="I2598" s="361">
        <v>1</v>
      </c>
      <c r="J2598" s="362" t="s">
        <v>6148</v>
      </c>
      <c r="K2598" s="363"/>
      <c r="L2598" s="129"/>
      <c r="M2598" s="129"/>
      <c r="N2598" s="129"/>
      <c r="O2598" s="129"/>
      <c r="P2598" s="364"/>
      <c r="Q2598" s="364"/>
      <c r="R2598" s="129"/>
      <c r="S2598" s="129"/>
      <c r="T2598" s="129"/>
      <c r="W2598" s="129" t="s">
        <v>4876</v>
      </c>
      <c r="X2598" s="337" t="b">
        <f t="shared" si="75"/>
        <v>0</v>
      </c>
    </row>
    <row r="2599" spans="1:24" s="337" customFormat="1" ht="12" customHeight="1" outlineLevel="1">
      <c r="A2599" s="335"/>
      <c r="B2599" s="118" t="s">
        <v>12</v>
      </c>
      <c r="C2599" s="334" t="s">
        <v>9965</v>
      </c>
      <c r="D2599" s="124" t="s">
        <v>6193</v>
      </c>
      <c r="E2599" s="125"/>
      <c r="F2599" s="118" t="s">
        <v>828</v>
      </c>
      <c r="G2599" s="126" t="s">
        <v>9800</v>
      </c>
      <c r="H2599" s="255">
        <v>1</v>
      </c>
      <c r="I2599" s="361">
        <v>1</v>
      </c>
      <c r="J2599" s="362" t="s">
        <v>325</v>
      </c>
      <c r="K2599" s="363"/>
      <c r="L2599" s="129"/>
      <c r="M2599" s="129"/>
      <c r="N2599" s="129"/>
      <c r="O2599" s="129"/>
      <c r="P2599" s="364"/>
      <c r="Q2599" s="364"/>
      <c r="R2599" s="129"/>
      <c r="S2599" s="129"/>
      <c r="T2599" s="129"/>
      <c r="W2599" s="129" t="s">
        <v>4876</v>
      </c>
      <c r="X2599" s="337" t="b">
        <f t="shared" si="75"/>
        <v>0</v>
      </c>
    </row>
    <row r="2600" spans="1:24" s="337" customFormat="1" ht="12" customHeight="1" outlineLevel="1">
      <c r="A2600" s="335"/>
      <c r="B2600" s="118" t="s">
        <v>12</v>
      </c>
      <c r="C2600" s="334" t="s">
        <v>9966</v>
      </c>
      <c r="D2600" s="124" t="s">
        <v>9967</v>
      </c>
      <c r="E2600" s="125"/>
      <c r="F2600" s="118" t="s">
        <v>828</v>
      </c>
      <c r="G2600" s="126" t="s">
        <v>9800</v>
      </c>
      <c r="H2600" s="255">
        <v>1</v>
      </c>
      <c r="I2600" s="361">
        <v>1</v>
      </c>
      <c r="J2600" s="362" t="s">
        <v>310</v>
      </c>
      <c r="K2600" s="363"/>
      <c r="L2600" s="129"/>
      <c r="M2600" s="129"/>
      <c r="N2600" s="129"/>
      <c r="O2600" s="129"/>
      <c r="P2600" s="364"/>
      <c r="Q2600" s="364"/>
      <c r="R2600" s="129"/>
      <c r="S2600" s="129"/>
      <c r="T2600" s="129"/>
      <c r="W2600" s="129" t="s">
        <v>4876</v>
      </c>
      <c r="X2600" s="337" t="b">
        <f t="shared" si="75"/>
        <v>0</v>
      </c>
    </row>
    <row r="2601" spans="1:24" s="337" customFormat="1" ht="12" customHeight="1" outlineLevel="1">
      <c r="A2601" s="335"/>
      <c r="B2601" s="118" t="s">
        <v>12</v>
      </c>
      <c r="C2601" s="334" t="s">
        <v>9968</v>
      </c>
      <c r="D2601" s="124" t="s">
        <v>9969</v>
      </c>
      <c r="E2601" s="125"/>
      <c r="F2601" s="118" t="s">
        <v>828</v>
      </c>
      <c r="G2601" s="126" t="s">
        <v>9800</v>
      </c>
      <c r="H2601" s="255">
        <v>1</v>
      </c>
      <c r="I2601" s="361">
        <v>1</v>
      </c>
      <c r="J2601" s="362" t="s">
        <v>310</v>
      </c>
      <c r="K2601" s="363"/>
      <c r="L2601" s="129"/>
      <c r="M2601" s="129"/>
      <c r="N2601" s="129"/>
      <c r="O2601" s="129"/>
      <c r="P2601" s="364"/>
      <c r="Q2601" s="364"/>
      <c r="R2601" s="129"/>
      <c r="S2601" s="129"/>
      <c r="T2601" s="129"/>
      <c r="W2601" s="129" t="s">
        <v>4876</v>
      </c>
      <c r="X2601" s="337" t="b">
        <f t="shared" si="75"/>
        <v>0</v>
      </c>
    </row>
    <row r="2602" spans="1:24" s="337" customFormat="1" ht="12" customHeight="1" outlineLevel="1">
      <c r="A2602" s="335"/>
      <c r="B2602" s="118" t="s">
        <v>12</v>
      </c>
      <c r="C2602" s="334" t="s">
        <v>9970</v>
      </c>
      <c r="D2602" s="124" t="s">
        <v>9971</v>
      </c>
      <c r="E2602" s="125"/>
      <c r="F2602" s="118" t="s">
        <v>828</v>
      </c>
      <c r="G2602" s="126" t="s">
        <v>9800</v>
      </c>
      <c r="H2602" s="255">
        <v>1</v>
      </c>
      <c r="I2602" s="361">
        <v>1</v>
      </c>
      <c r="J2602" s="362" t="s">
        <v>310</v>
      </c>
      <c r="K2602" s="363"/>
      <c r="L2602" s="129"/>
      <c r="M2602" s="129"/>
      <c r="N2602" s="129"/>
      <c r="O2602" s="129"/>
      <c r="P2602" s="364"/>
      <c r="Q2602" s="364"/>
      <c r="R2602" s="129"/>
      <c r="S2602" s="129"/>
      <c r="T2602" s="129"/>
      <c r="W2602" s="129" t="s">
        <v>4876</v>
      </c>
      <c r="X2602" s="337" t="b">
        <f t="shared" si="75"/>
        <v>0</v>
      </c>
    </row>
    <row r="2603" spans="1:24" s="337" customFormat="1" ht="12" customHeight="1" outlineLevel="1">
      <c r="A2603" s="335"/>
      <c r="B2603" s="118" t="s">
        <v>12</v>
      </c>
      <c r="C2603" s="334" t="s">
        <v>9972</v>
      </c>
      <c r="D2603" s="124" t="s">
        <v>9973</v>
      </c>
      <c r="E2603" s="125"/>
      <c r="F2603" s="118" t="s">
        <v>828</v>
      </c>
      <c r="G2603" s="126" t="s">
        <v>9800</v>
      </c>
      <c r="H2603" s="255">
        <v>1</v>
      </c>
      <c r="I2603" s="361">
        <v>1</v>
      </c>
      <c r="J2603" s="362" t="s">
        <v>6148</v>
      </c>
      <c r="K2603" s="363"/>
      <c r="L2603" s="129"/>
      <c r="M2603" s="129"/>
      <c r="N2603" s="129"/>
      <c r="O2603" s="129"/>
      <c r="P2603" s="364"/>
      <c r="Q2603" s="364"/>
      <c r="R2603" s="129"/>
      <c r="S2603" s="129"/>
      <c r="T2603" s="129"/>
      <c r="W2603" s="129" t="s">
        <v>4876</v>
      </c>
      <c r="X2603" s="337" t="b">
        <f t="shared" si="75"/>
        <v>0</v>
      </c>
    </row>
    <row r="2604" spans="1:24" s="337" customFormat="1" ht="12" customHeight="1" outlineLevel="1">
      <c r="A2604" s="335"/>
      <c r="B2604" s="118" t="s">
        <v>12</v>
      </c>
      <c r="C2604" s="334" t="s">
        <v>9974</v>
      </c>
      <c r="D2604" s="124" t="s">
        <v>9975</v>
      </c>
      <c r="E2604" s="125"/>
      <c r="F2604" s="118" t="s">
        <v>828</v>
      </c>
      <c r="G2604" s="126" t="s">
        <v>9800</v>
      </c>
      <c r="H2604" s="255">
        <v>1</v>
      </c>
      <c r="I2604" s="361">
        <v>1</v>
      </c>
      <c r="J2604" s="362" t="s">
        <v>6148</v>
      </c>
      <c r="K2604" s="363"/>
      <c r="L2604" s="129"/>
      <c r="M2604" s="129"/>
      <c r="N2604" s="129"/>
      <c r="O2604" s="129"/>
      <c r="P2604" s="364"/>
      <c r="Q2604" s="364"/>
      <c r="R2604" s="129"/>
      <c r="S2604" s="129"/>
      <c r="T2604" s="129"/>
      <c r="W2604" s="129" t="s">
        <v>4876</v>
      </c>
      <c r="X2604" s="337" t="b">
        <f t="shared" si="75"/>
        <v>0</v>
      </c>
    </row>
    <row r="2605" spans="1:24" s="337" customFormat="1" ht="12" customHeight="1" outlineLevel="1">
      <c r="A2605" s="335"/>
      <c r="B2605" s="118" t="s">
        <v>12</v>
      </c>
      <c r="C2605" s="334" t="s">
        <v>9976</v>
      </c>
      <c r="D2605" s="124" t="s">
        <v>9977</v>
      </c>
      <c r="E2605" s="125"/>
      <c r="F2605" s="118" t="s">
        <v>828</v>
      </c>
      <c r="G2605" s="126" t="s">
        <v>9800</v>
      </c>
      <c r="H2605" s="255">
        <v>1</v>
      </c>
      <c r="I2605" s="361">
        <v>1</v>
      </c>
      <c r="J2605" s="362" t="s">
        <v>310</v>
      </c>
      <c r="K2605" s="363"/>
      <c r="L2605" s="129"/>
      <c r="M2605" s="129"/>
      <c r="N2605" s="129"/>
      <c r="O2605" s="129"/>
      <c r="P2605" s="364"/>
      <c r="Q2605" s="364"/>
      <c r="R2605" s="129"/>
      <c r="S2605" s="129"/>
      <c r="T2605" s="129"/>
      <c r="W2605" s="129" t="s">
        <v>4876</v>
      </c>
      <c r="X2605" s="337" t="b">
        <f t="shared" si="75"/>
        <v>0</v>
      </c>
    </row>
    <row r="2606" spans="1:24" s="337" customFormat="1" ht="12" customHeight="1" outlineLevel="1">
      <c r="A2606" s="335"/>
      <c r="B2606" s="118" t="s">
        <v>12</v>
      </c>
      <c r="C2606" s="334" t="s">
        <v>9978</v>
      </c>
      <c r="D2606" s="124" t="s">
        <v>7270</v>
      </c>
      <c r="E2606" s="125"/>
      <c r="F2606" s="118" t="s">
        <v>828</v>
      </c>
      <c r="G2606" s="126" t="s">
        <v>9800</v>
      </c>
      <c r="H2606" s="255">
        <v>1</v>
      </c>
      <c r="I2606" s="361">
        <v>1</v>
      </c>
      <c r="J2606" s="362" t="s">
        <v>310</v>
      </c>
      <c r="K2606" s="363"/>
      <c r="L2606" s="129"/>
      <c r="M2606" s="129"/>
      <c r="N2606" s="129"/>
      <c r="O2606" s="129"/>
      <c r="P2606" s="364"/>
      <c r="Q2606" s="364"/>
      <c r="R2606" s="129"/>
      <c r="S2606" s="129"/>
      <c r="T2606" s="129"/>
      <c r="W2606" s="129" t="s">
        <v>4876</v>
      </c>
      <c r="X2606" s="337" t="b">
        <f t="shared" si="75"/>
        <v>0</v>
      </c>
    </row>
    <row r="2607" spans="1:24" s="337" customFormat="1" ht="12" customHeight="1" outlineLevel="1">
      <c r="A2607" s="335"/>
      <c r="B2607" s="118" t="s">
        <v>12</v>
      </c>
      <c r="C2607" s="334" t="s">
        <v>9979</v>
      </c>
      <c r="D2607" s="124" t="s">
        <v>9980</v>
      </c>
      <c r="E2607" s="125"/>
      <c r="F2607" s="118" t="s">
        <v>828</v>
      </c>
      <c r="G2607" s="126" t="s">
        <v>9800</v>
      </c>
      <c r="H2607" s="255">
        <v>1</v>
      </c>
      <c r="I2607" s="361">
        <v>1</v>
      </c>
      <c r="J2607" s="362" t="s">
        <v>325</v>
      </c>
      <c r="K2607" s="363"/>
      <c r="L2607" s="129"/>
      <c r="M2607" s="129"/>
      <c r="N2607" s="129"/>
      <c r="O2607" s="129"/>
      <c r="P2607" s="364"/>
      <c r="Q2607" s="364"/>
      <c r="R2607" s="129"/>
      <c r="S2607" s="129"/>
      <c r="T2607" s="129"/>
      <c r="W2607" s="129" t="s">
        <v>286</v>
      </c>
      <c r="X2607" s="337" t="b">
        <f t="shared" si="75"/>
        <v>0</v>
      </c>
    </row>
    <row r="2608" spans="1:24" s="337" customFormat="1" ht="12" customHeight="1" outlineLevel="1">
      <c r="A2608" s="335"/>
      <c r="B2608" s="118" t="s">
        <v>12</v>
      </c>
      <c r="C2608" s="334" t="s">
        <v>9981</v>
      </c>
      <c r="D2608" s="124" t="s">
        <v>9982</v>
      </c>
      <c r="E2608" s="125"/>
      <c r="F2608" s="118" t="s">
        <v>828</v>
      </c>
      <c r="G2608" s="126" t="s">
        <v>9800</v>
      </c>
      <c r="H2608" s="255">
        <v>1</v>
      </c>
      <c r="I2608" s="361">
        <v>1</v>
      </c>
      <c r="J2608" s="362" t="s">
        <v>307</v>
      </c>
      <c r="K2608" s="363"/>
      <c r="L2608" s="129"/>
      <c r="M2608" s="129"/>
      <c r="N2608" s="129"/>
      <c r="O2608" s="129"/>
      <c r="P2608" s="364"/>
      <c r="Q2608" s="364"/>
      <c r="R2608" s="129"/>
      <c r="S2608" s="129"/>
      <c r="T2608" s="129"/>
      <c r="W2608" s="129" t="s">
        <v>286</v>
      </c>
      <c r="X2608" s="337" t="b">
        <f t="shared" si="75"/>
        <v>0</v>
      </c>
    </row>
    <row r="2609" spans="1:24" s="337" customFormat="1" ht="12" customHeight="1" outlineLevel="1">
      <c r="A2609" s="335"/>
      <c r="B2609" s="118" t="s">
        <v>12</v>
      </c>
      <c r="C2609" s="334" t="s">
        <v>9983</v>
      </c>
      <c r="D2609" s="124" t="s">
        <v>9984</v>
      </c>
      <c r="E2609" s="125"/>
      <c r="F2609" s="118" t="s">
        <v>828</v>
      </c>
      <c r="G2609" s="126" t="s">
        <v>9800</v>
      </c>
      <c r="H2609" s="255">
        <v>1</v>
      </c>
      <c r="I2609" s="361">
        <v>1</v>
      </c>
      <c r="J2609" s="362" t="s">
        <v>286</v>
      </c>
      <c r="K2609" s="363"/>
      <c r="L2609" s="129"/>
      <c r="M2609" s="129"/>
      <c r="N2609" s="129"/>
      <c r="O2609" s="129"/>
      <c r="P2609" s="364"/>
      <c r="Q2609" s="364"/>
      <c r="R2609" s="129"/>
      <c r="S2609" s="129"/>
      <c r="T2609" s="129"/>
      <c r="W2609" s="129" t="s">
        <v>286</v>
      </c>
      <c r="X2609" s="337" t="b">
        <f t="shared" si="75"/>
        <v>1</v>
      </c>
    </row>
    <row r="2610" spans="1:24" s="337" customFormat="1" ht="12" customHeight="1" outlineLevel="1">
      <c r="A2610" s="335"/>
      <c r="B2610" s="118" t="s">
        <v>12</v>
      </c>
      <c r="C2610" s="334" t="s">
        <v>9985</v>
      </c>
      <c r="D2610" s="124" t="s">
        <v>9986</v>
      </c>
      <c r="E2610" s="125"/>
      <c r="F2610" s="118" t="s">
        <v>828</v>
      </c>
      <c r="G2610" s="126" t="s">
        <v>9800</v>
      </c>
      <c r="H2610" s="255">
        <v>1</v>
      </c>
      <c r="I2610" s="361">
        <v>1</v>
      </c>
      <c r="J2610" s="362" t="s">
        <v>310</v>
      </c>
      <c r="K2610" s="363"/>
      <c r="L2610" s="129"/>
      <c r="M2610" s="129"/>
      <c r="N2610" s="129"/>
      <c r="O2610" s="129"/>
      <c r="P2610" s="364"/>
      <c r="Q2610" s="364"/>
      <c r="R2610" s="129"/>
      <c r="S2610" s="129"/>
      <c r="T2610" s="129"/>
      <c r="W2610" s="129" t="s">
        <v>286</v>
      </c>
      <c r="X2610" s="337" t="b">
        <f t="shared" si="75"/>
        <v>0</v>
      </c>
    </row>
    <row r="2611" spans="1:24" s="337" customFormat="1" ht="12" customHeight="1" outlineLevel="1">
      <c r="A2611" s="335"/>
      <c r="B2611" s="118" t="s">
        <v>12</v>
      </c>
      <c r="C2611" s="334" t="s">
        <v>9987</v>
      </c>
      <c r="D2611" s="124" t="s">
        <v>9988</v>
      </c>
      <c r="E2611" s="125"/>
      <c r="F2611" s="118" t="s">
        <v>828</v>
      </c>
      <c r="G2611" s="126" t="s">
        <v>9800</v>
      </c>
      <c r="H2611" s="255">
        <v>1</v>
      </c>
      <c r="I2611" s="361">
        <v>1</v>
      </c>
      <c r="J2611" s="362" t="s">
        <v>310</v>
      </c>
      <c r="K2611" s="363"/>
      <c r="L2611" s="129"/>
      <c r="M2611" s="129"/>
      <c r="N2611" s="129"/>
      <c r="O2611" s="129"/>
      <c r="P2611" s="364"/>
      <c r="Q2611" s="364"/>
      <c r="R2611" s="129"/>
      <c r="S2611" s="129"/>
      <c r="T2611" s="129"/>
      <c r="W2611" s="129" t="s">
        <v>286</v>
      </c>
      <c r="X2611" s="337" t="b">
        <f t="shared" si="75"/>
        <v>0</v>
      </c>
    </row>
    <row r="2612" spans="1:24" s="337" customFormat="1" ht="12" customHeight="1" outlineLevel="1">
      <c r="A2612" s="335"/>
      <c r="B2612" s="118" t="s">
        <v>12</v>
      </c>
      <c r="C2612" s="334" t="s">
        <v>9989</v>
      </c>
      <c r="D2612" s="124" t="s">
        <v>9990</v>
      </c>
      <c r="E2612" s="125"/>
      <c r="F2612" s="118" t="s">
        <v>828</v>
      </c>
      <c r="G2612" s="126" t="s">
        <v>9800</v>
      </c>
      <c r="H2612" s="255">
        <v>1</v>
      </c>
      <c r="I2612" s="361">
        <v>1</v>
      </c>
      <c r="J2612" s="362" t="s">
        <v>310</v>
      </c>
      <c r="K2612" s="363"/>
      <c r="L2612" s="129"/>
      <c r="M2612" s="129"/>
      <c r="N2612" s="129"/>
      <c r="O2612" s="129"/>
      <c r="P2612" s="364"/>
      <c r="Q2612" s="364"/>
      <c r="R2612" s="129"/>
      <c r="S2612" s="129"/>
      <c r="T2612" s="129"/>
      <c r="W2612" s="129" t="s">
        <v>286</v>
      </c>
      <c r="X2612" s="337" t="b">
        <f t="shared" si="75"/>
        <v>0</v>
      </c>
    </row>
    <row r="2613" spans="1:24" s="337" customFormat="1" ht="12" customHeight="1" outlineLevel="1">
      <c r="A2613" s="335"/>
      <c r="B2613" s="118" t="s">
        <v>12</v>
      </c>
      <c r="C2613" s="334" t="s">
        <v>9991</v>
      </c>
      <c r="D2613" s="124" t="s">
        <v>9992</v>
      </c>
      <c r="E2613" s="125"/>
      <c r="F2613" s="118" t="s">
        <v>828</v>
      </c>
      <c r="G2613" s="126" t="s">
        <v>9800</v>
      </c>
      <c r="H2613" s="255">
        <v>1</v>
      </c>
      <c r="I2613" s="361">
        <v>1</v>
      </c>
      <c r="J2613" s="362" t="s">
        <v>286</v>
      </c>
      <c r="K2613" s="363"/>
      <c r="L2613" s="129"/>
      <c r="M2613" s="129"/>
      <c r="N2613" s="129"/>
      <c r="O2613" s="129"/>
      <c r="P2613" s="364"/>
      <c r="Q2613" s="364"/>
      <c r="R2613" s="129"/>
      <c r="S2613" s="129"/>
      <c r="T2613" s="129"/>
      <c r="W2613" s="129" t="s">
        <v>286</v>
      </c>
      <c r="X2613" s="337" t="b">
        <f t="shared" si="75"/>
        <v>1</v>
      </c>
    </row>
    <row r="2614" spans="1:24" s="337" customFormat="1" ht="12" customHeight="1" outlineLevel="1">
      <c r="A2614" s="335"/>
      <c r="B2614" s="118" t="s">
        <v>12</v>
      </c>
      <c r="C2614" s="334" t="s">
        <v>9993</v>
      </c>
      <c r="D2614" s="124" t="s">
        <v>9994</v>
      </c>
      <c r="E2614" s="125"/>
      <c r="F2614" s="118" t="s">
        <v>828</v>
      </c>
      <c r="G2614" s="126" t="s">
        <v>9800</v>
      </c>
      <c r="H2614" s="255">
        <v>1</v>
      </c>
      <c r="I2614" s="361">
        <v>1</v>
      </c>
      <c r="J2614" s="362" t="s">
        <v>286</v>
      </c>
      <c r="K2614" s="363"/>
      <c r="L2614" s="129"/>
      <c r="M2614" s="129"/>
      <c r="N2614" s="129"/>
      <c r="O2614" s="129"/>
      <c r="P2614" s="364"/>
      <c r="Q2614" s="364"/>
      <c r="R2614" s="129"/>
      <c r="S2614" s="129"/>
      <c r="T2614" s="129"/>
      <c r="W2614" s="129" t="s">
        <v>286</v>
      </c>
      <c r="X2614" s="337" t="b">
        <f t="shared" si="75"/>
        <v>1</v>
      </c>
    </row>
    <row r="2615" spans="1:24" s="337" customFormat="1" ht="12" customHeight="1" outlineLevel="1">
      <c r="A2615" s="335"/>
      <c r="B2615" s="118" t="s">
        <v>12</v>
      </c>
      <c r="C2615" s="334" t="s">
        <v>9995</v>
      </c>
      <c r="D2615" s="124" t="s">
        <v>9996</v>
      </c>
      <c r="E2615" s="125"/>
      <c r="F2615" s="118" t="s">
        <v>828</v>
      </c>
      <c r="G2615" s="126" t="s">
        <v>9800</v>
      </c>
      <c r="H2615" s="255">
        <v>1</v>
      </c>
      <c r="I2615" s="361">
        <v>1</v>
      </c>
      <c r="J2615" s="362" t="s">
        <v>310</v>
      </c>
      <c r="K2615" s="363"/>
      <c r="L2615" s="129"/>
      <c r="M2615" s="129"/>
      <c r="N2615" s="129"/>
      <c r="O2615" s="129"/>
      <c r="P2615" s="364"/>
      <c r="Q2615" s="364"/>
      <c r="R2615" s="129"/>
      <c r="S2615" s="129"/>
      <c r="T2615" s="129"/>
      <c r="W2615" s="129" t="s">
        <v>286</v>
      </c>
      <c r="X2615" s="337" t="b">
        <f t="shared" si="75"/>
        <v>0</v>
      </c>
    </row>
    <row r="2616" spans="1:24" s="337" customFormat="1" ht="12" customHeight="1" outlineLevel="1">
      <c r="A2616" s="335"/>
      <c r="B2616" s="118" t="s">
        <v>12</v>
      </c>
      <c r="C2616" s="334" t="s">
        <v>9997</v>
      </c>
      <c r="D2616" s="124" t="s">
        <v>9998</v>
      </c>
      <c r="E2616" s="125"/>
      <c r="F2616" s="118" t="s">
        <v>828</v>
      </c>
      <c r="G2616" s="126" t="s">
        <v>9800</v>
      </c>
      <c r="H2616" s="255">
        <v>1</v>
      </c>
      <c r="I2616" s="361">
        <v>1</v>
      </c>
      <c r="J2616" s="362" t="s">
        <v>286</v>
      </c>
      <c r="K2616" s="363"/>
      <c r="L2616" s="129"/>
      <c r="M2616" s="129"/>
      <c r="N2616" s="129"/>
      <c r="O2616" s="129"/>
      <c r="P2616" s="364"/>
      <c r="Q2616" s="364"/>
      <c r="R2616" s="129"/>
      <c r="S2616" s="129"/>
      <c r="T2616" s="129"/>
      <c r="W2616" s="129" t="s">
        <v>286</v>
      </c>
      <c r="X2616" s="337" t="b">
        <f t="shared" si="75"/>
        <v>1</v>
      </c>
    </row>
    <row r="2617" spans="1:24" s="337" customFormat="1" ht="12" customHeight="1" outlineLevel="1">
      <c r="A2617" s="335"/>
      <c r="B2617" s="118" t="s">
        <v>12</v>
      </c>
      <c r="C2617" s="334" t="s">
        <v>9999</v>
      </c>
      <c r="D2617" s="124" t="s">
        <v>10000</v>
      </c>
      <c r="E2617" s="125"/>
      <c r="F2617" s="118" t="s">
        <v>828</v>
      </c>
      <c r="G2617" s="126" t="s">
        <v>9800</v>
      </c>
      <c r="H2617" s="255">
        <v>1</v>
      </c>
      <c r="I2617" s="361">
        <v>1</v>
      </c>
      <c r="J2617" s="362" t="s">
        <v>286</v>
      </c>
      <c r="K2617" s="363"/>
      <c r="L2617" s="129"/>
      <c r="M2617" s="129"/>
      <c r="N2617" s="129"/>
      <c r="O2617" s="129"/>
      <c r="P2617" s="364"/>
      <c r="Q2617" s="364"/>
      <c r="R2617" s="129"/>
      <c r="S2617" s="129"/>
      <c r="T2617" s="129"/>
      <c r="W2617" s="129" t="s">
        <v>286</v>
      </c>
      <c r="X2617" s="337" t="b">
        <f t="shared" si="75"/>
        <v>1</v>
      </c>
    </row>
    <row r="2618" spans="1:24" s="337" customFormat="1" ht="12" customHeight="1" outlineLevel="1">
      <c r="A2618" s="335"/>
      <c r="B2618" s="118" t="s">
        <v>12</v>
      </c>
      <c r="C2618" s="334" t="s">
        <v>10001</v>
      </c>
      <c r="D2618" s="124" t="s">
        <v>10002</v>
      </c>
      <c r="E2618" s="125"/>
      <c r="F2618" s="118" t="s">
        <v>828</v>
      </c>
      <c r="G2618" s="126" t="s">
        <v>9800</v>
      </c>
      <c r="H2618" s="255">
        <v>1</v>
      </c>
      <c r="I2618" s="361">
        <v>1</v>
      </c>
      <c r="J2618" s="362" t="s">
        <v>286</v>
      </c>
      <c r="K2618" s="363"/>
      <c r="L2618" s="129"/>
      <c r="M2618" s="129"/>
      <c r="N2618" s="129"/>
      <c r="O2618" s="129"/>
      <c r="P2618" s="364"/>
      <c r="Q2618" s="364"/>
      <c r="R2618" s="129"/>
      <c r="S2618" s="129"/>
      <c r="T2618" s="129"/>
      <c r="W2618" s="129" t="s">
        <v>286</v>
      </c>
      <c r="X2618" s="337" t="b">
        <f t="shared" si="75"/>
        <v>1</v>
      </c>
    </row>
    <row r="2619" spans="1:24" s="337" customFormat="1" ht="12" customHeight="1" outlineLevel="1">
      <c r="A2619" s="335"/>
      <c r="B2619" s="118" t="s">
        <v>12</v>
      </c>
      <c r="C2619" s="334" t="s">
        <v>10003</v>
      </c>
      <c r="D2619" s="124" t="s">
        <v>10004</v>
      </c>
      <c r="E2619" s="125"/>
      <c r="F2619" s="118" t="s">
        <v>828</v>
      </c>
      <c r="G2619" s="126" t="s">
        <v>9800</v>
      </c>
      <c r="H2619" s="255">
        <v>1</v>
      </c>
      <c r="I2619" s="361">
        <v>1</v>
      </c>
      <c r="J2619" s="362" t="s">
        <v>286</v>
      </c>
      <c r="K2619" s="363"/>
      <c r="L2619" s="129"/>
      <c r="M2619" s="129"/>
      <c r="N2619" s="129"/>
      <c r="O2619" s="129"/>
      <c r="P2619" s="364"/>
      <c r="Q2619" s="364"/>
      <c r="R2619" s="129"/>
      <c r="S2619" s="129"/>
      <c r="T2619" s="129"/>
      <c r="W2619" s="129" t="s">
        <v>286</v>
      </c>
      <c r="X2619" s="337" t="b">
        <f t="shared" si="75"/>
        <v>1</v>
      </c>
    </row>
    <row r="2620" spans="1:24" s="337" customFormat="1" ht="12" customHeight="1" outlineLevel="1">
      <c r="A2620" s="335"/>
      <c r="B2620" s="118" t="s">
        <v>12</v>
      </c>
      <c r="C2620" s="334" t="s">
        <v>10005</v>
      </c>
      <c r="D2620" s="124" t="s">
        <v>10006</v>
      </c>
      <c r="E2620" s="125"/>
      <c r="F2620" s="118" t="s">
        <v>828</v>
      </c>
      <c r="G2620" s="126" t="s">
        <v>9800</v>
      </c>
      <c r="H2620" s="255">
        <v>1</v>
      </c>
      <c r="I2620" s="361">
        <v>1</v>
      </c>
      <c r="J2620" s="362" t="s">
        <v>286</v>
      </c>
      <c r="K2620" s="363"/>
      <c r="L2620" s="129"/>
      <c r="M2620" s="129"/>
      <c r="N2620" s="129"/>
      <c r="O2620" s="129"/>
      <c r="P2620" s="364"/>
      <c r="Q2620" s="364"/>
      <c r="R2620" s="129"/>
      <c r="S2620" s="129"/>
      <c r="T2620" s="129"/>
      <c r="W2620" s="129" t="s">
        <v>4876</v>
      </c>
      <c r="X2620" s="337" t="b">
        <f t="shared" si="75"/>
        <v>0</v>
      </c>
    </row>
    <row r="2621" spans="1:24" s="337" customFormat="1" ht="12" customHeight="1" outlineLevel="1">
      <c r="A2621" s="335"/>
      <c r="B2621" s="118" t="s">
        <v>12</v>
      </c>
      <c r="C2621" s="334" t="s">
        <v>10007</v>
      </c>
      <c r="D2621" s="124" t="s">
        <v>10008</v>
      </c>
      <c r="E2621" s="125"/>
      <c r="F2621" s="118" t="s">
        <v>828</v>
      </c>
      <c r="G2621" s="126" t="s">
        <v>9800</v>
      </c>
      <c r="H2621" s="255">
        <v>1</v>
      </c>
      <c r="I2621" s="361">
        <v>1</v>
      </c>
      <c r="J2621" s="362" t="s">
        <v>310</v>
      </c>
      <c r="K2621" s="363"/>
      <c r="L2621" s="129"/>
      <c r="M2621" s="129"/>
      <c r="N2621" s="129"/>
      <c r="O2621" s="129"/>
      <c r="P2621" s="364"/>
      <c r="Q2621" s="364"/>
      <c r="R2621" s="129"/>
      <c r="S2621" s="129"/>
      <c r="T2621" s="129"/>
      <c r="W2621" s="129" t="s">
        <v>286</v>
      </c>
      <c r="X2621" s="337" t="b">
        <f t="shared" si="75"/>
        <v>0</v>
      </c>
    </row>
    <row r="2622" spans="1:24" s="337" customFormat="1" ht="12" customHeight="1" outlineLevel="1">
      <c r="A2622" s="335"/>
      <c r="B2622" s="118" t="s">
        <v>12</v>
      </c>
      <c r="C2622" s="334" t="s">
        <v>10009</v>
      </c>
      <c r="D2622" s="124" t="s">
        <v>10010</v>
      </c>
      <c r="E2622" s="125"/>
      <c r="F2622" s="118" t="s">
        <v>828</v>
      </c>
      <c r="G2622" s="126" t="s">
        <v>9800</v>
      </c>
      <c r="H2622" s="255">
        <v>1</v>
      </c>
      <c r="I2622" s="361">
        <v>1</v>
      </c>
      <c r="J2622" s="362" t="s">
        <v>310</v>
      </c>
      <c r="K2622" s="363"/>
      <c r="L2622" s="129"/>
      <c r="M2622" s="129"/>
      <c r="N2622" s="129"/>
      <c r="O2622" s="129"/>
      <c r="P2622" s="364"/>
      <c r="Q2622" s="364"/>
      <c r="R2622" s="129"/>
      <c r="S2622" s="129"/>
      <c r="T2622" s="129"/>
      <c r="W2622" s="129" t="s">
        <v>310</v>
      </c>
      <c r="X2622" s="337" t="b">
        <f t="shared" si="75"/>
        <v>1</v>
      </c>
    </row>
    <row r="2623" spans="1:24" s="337" customFormat="1" ht="12" customHeight="1" outlineLevel="1">
      <c r="A2623" s="335"/>
      <c r="B2623" s="118" t="s">
        <v>12</v>
      </c>
      <c r="C2623" s="334" t="s">
        <v>10011</v>
      </c>
      <c r="D2623" s="124" t="s">
        <v>6275</v>
      </c>
      <c r="E2623" s="125"/>
      <c r="F2623" s="118" t="s">
        <v>828</v>
      </c>
      <c r="G2623" s="126" t="s">
        <v>9800</v>
      </c>
      <c r="H2623" s="255">
        <v>1</v>
      </c>
      <c r="I2623" s="361">
        <v>1</v>
      </c>
      <c r="J2623" s="362" t="s">
        <v>6148</v>
      </c>
      <c r="K2623" s="363"/>
      <c r="L2623" s="129"/>
      <c r="M2623" s="129"/>
      <c r="N2623" s="129"/>
      <c r="O2623" s="129"/>
      <c r="P2623" s="364"/>
      <c r="Q2623" s="364"/>
      <c r="R2623" s="129"/>
      <c r="S2623" s="129"/>
      <c r="T2623" s="129"/>
      <c r="W2623" s="129" t="s">
        <v>743</v>
      </c>
      <c r="X2623" s="337" t="b">
        <f t="shared" si="75"/>
        <v>0</v>
      </c>
    </row>
    <row r="2624" spans="1:24" s="337" customFormat="1" ht="12" customHeight="1" outlineLevel="1">
      <c r="A2624" s="335"/>
      <c r="B2624" s="118" t="s">
        <v>12</v>
      </c>
      <c r="C2624" s="334" t="s">
        <v>10012</v>
      </c>
      <c r="D2624" s="124" t="s">
        <v>9803</v>
      </c>
      <c r="E2624" s="125"/>
      <c r="F2624" s="118" t="s">
        <v>828</v>
      </c>
      <c r="G2624" s="126" t="s">
        <v>9800</v>
      </c>
      <c r="H2624" s="255">
        <v>1</v>
      </c>
      <c r="I2624" s="361">
        <v>1</v>
      </c>
      <c r="J2624" s="362" t="s">
        <v>286</v>
      </c>
      <c r="K2624" s="363"/>
      <c r="L2624" s="129"/>
      <c r="M2624" s="129"/>
      <c r="N2624" s="129"/>
      <c r="O2624" s="129"/>
      <c r="P2624" s="364"/>
      <c r="Q2624" s="364"/>
      <c r="R2624" s="129"/>
      <c r="S2624" s="129"/>
      <c r="T2624" s="129"/>
      <c r="W2624" s="129" t="s">
        <v>286</v>
      </c>
      <c r="X2624" s="337" t="b">
        <f t="shared" si="75"/>
        <v>1</v>
      </c>
    </row>
    <row r="2625" spans="1:24" s="337" customFormat="1" ht="12" customHeight="1" outlineLevel="1">
      <c r="A2625" s="335"/>
      <c r="B2625" s="118" t="s">
        <v>12</v>
      </c>
      <c r="C2625" s="334" t="s">
        <v>10013</v>
      </c>
      <c r="D2625" s="124" t="s">
        <v>10014</v>
      </c>
      <c r="E2625" s="125"/>
      <c r="F2625" s="118" t="s">
        <v>828</v>
      </c>
      <c r="G2625" s="126" t="s">
        <v>9800</v>
      </c>
      <c r="H2625" s="255">
        <v>1</v>
      </c>
      <c r="I2625" s="361">
        <v>1</v>
      </c>
      <c r="J2625" s="362" t="s">
        <v>286</v>
      </c>
      <c r="K2625" s="363"/>
      <c r="L2625" s="129"/>
      <c r="M2625" s="129"/>
      <c r="N2625" s="129"/>
      <c r="O2625" s="129"/>
      <c r="P2625" s="364"/>
      <c r="Q2625" s="364"/>
      <c r="R2625" s="129"/>
      <c r="S2625" s="129"/>
      <c r="T2625" s="129"/>
      <c r="W2625" s="129" t="s">
        <v>286</v>
      </c>
      <c r="X2625" s="337" t="b">
        <f t="shared" si="75"/>
        <v>1</v>
      </c>
    </row>
    <row r="2626" spans="1:24" s="337" customFormat="1" ht="12" customHeight="1" outlineLevel="1">
      <c r="A2626" s="335"/>
      <c r="B2626" s="118" t="s">
        <v>12</v>
      </c>
      <c r="C2626" s="334" t="s">
        <v>10015</v>
      </c>
      <c r="D2626" s="124" t="s">
        <v>9807</v>
      </c>
      <c r="E2626" s="125"/>
      <c r="F2626" s="118" t="s">
        <v>828</v>
      </c>
      <c r="G2626" s="126" t="s">
        <v>9800</v>
      </c>
      <c r="H2626" s="255">
        <v>1</v>
      </c>
      <c r="I2626" s="361">
        <v>1</v>
      </c>
      <c r="J2626" s="362" t="s">
        <v>310</v>
      </c>
      <c r="K2626" s="363"/>
      <c r="L2626" s="129"/>
      <c r="M2626" s="129"/>
      <c r="N2626" s="129"/>
      <c r="O2626" s="129"/>
      <c r="P2626" s="364"/>
      <c r="Q2626" s="364"/>
      <c r="R2626" s="129"/>
      <c r="S2626" s="129"/>
      <c r="T2626" s="129"/>
      <c r="W2626" s="129" t="s">
        <v>4876</v>
      </c>
      <c r="X2626" s="337" t="b">
        <f t="shared" si="75"/>
        <v>0</v>
      </c>
    </row>
    <row r="2627" spans="1:24" s="337" customFormat="1" ht="12" customHeight="1" outlineLevel="1">
      <c r="A2627" s="335"/>
      <c r="B2627" s="118" t="s">
        <v>12</v>
      </c>
      <c r="C2627" s="334" t="s">
        <v>10016</v>
      </c>
      <c r="D2627" s="124" t="s">
        <v>9809</v>
      </c>
      <c r="E2627" s="125"/>
      <c r="F2627" s="118" t="s">
        <v>828</v>
      </c>
      <c r="G2627" s="126" t="s">
        <v>9800</v>
      </c>
      <c r="H2627" s="255">
        <v>1</v>
      </c>
      <c r="I2627" s="361">
        <v>1</v>
      </c>
      <c r="J2627" s="362" t="s">
        <v>310</v>
      </c>
      <c r="K2627" s="363"/>
      <c r="L2627" s="129"/>
      <c r="M2627" s="129"/>
      <c r="N2627" s="129"/>
      <c r="O2627" s="129"/>
      <c r="P2627" s="364"/>
      <c r="Q2627" s="364"/>
      <c r="R2627" s="129"/>
      <c r="S2627" s="129"/>
      <c r="T2627" s="129"/>
      <c r="W2627" s="129" t="s">
        <v>4876</v>
      </c>
      <c r="X2627" s="337" t="b">
        <f t="shared" si="75"/>
        <v>0</v>
      </c>
    </row>
    <row r="2628" spans="1:24" s="337" customFormat="1" ht="12" customHeight="1" outlineLevel="1">
      <c r="A2628" s="335"/>
      <c r="B2628" s="118" t="s">
        <v>12</v>
      </c>
      <c r="C2628" s="334" t="s">
        <v>10017</v>
      </c>
      <c r="D2628" s="124" t="s">
        <v>9811</v>
      </c>
      <c r="E2628" s="125"/>
      <c r="F2628" s="118" t="s">
        <v>828</v>
      </c>
      <c r="G2628" s="126" t="s">
        <v>9800</v>
      </c>
      <c r="H2628" s="255">
        <v>1</v>
      </c>
      <c r="I2628" s="361">
        <v>1</v>
      </c>
      <c r="J2628" s="362" t="s">
        <v>310</v>
      </c>
      <c r="K2628" s="363"/>
      <c r="L2628" s="129"/>
      <c r="M2628" s="129"/>
      <c r="N2628" s="129"/>
      <c r="O2628" s="129"/>
      <c r="P2628" s="364"/>
      <c r="Q2628" s="364"/>
      <c r="R2628" s="129"/>
      <c r="S2628" s="129"/>
      <c r="T2628" s="129"/>
      <c r="W2628" s="129" t="s">
        <v>4876</v>
      </c>
      <c r="X2628" s="337" t="b">
        <f t="shared" si="75"/>
        <v>0</v>
      </c>
    </row>
    <row r="2629" spans="1:24" s="337" customFormat="1" ht="12" customHeight="1" outlineLevel="1">
      <c r="A2629" s="335"/>
      <c r="B2629" s="118" t="s">
        <v>12</v>
      </c>
      <c r="C2629" s="334" t="s">
        <v>10018</v>
      </c>
      <c r="D2629" s="124" t="s">
        <v>9813</v>
      </c>
      <c r="E2629" s="125"/>
      <c r="F2629" s="118" t="s">
        <v>828</v>
      </c>
      <c r="G2629" s="126" t="s">
        <v>9800</v>
      </c>
      <c r="H2629" s="255">
        <v>1</v>
      </c>
      <c r="I2629" s="361">
        <v>1</v>
      </c>
      <c r="J2629" s="362" t="s">
        <v>310</v>
      </c>
      <c r="K2629" s="363"/>
      <c r="L2629" s="129"/>
      <c r="M2629" s="129"/>
      <c r="N2629" s="129"/>
      <c r="O2629" s="129"/>
      <c r="P2629" s="364"/>
      <c r="Q2629" s="364"/>
      <c r="R2629" s="129"/>
      <c r="S2629" s="129"/>
      <c r="T2629" s="129"/>
      <c r="W2629" s="129" t="s">
        <v>4876</v>
      </c>
      <c r="X2629" s="337" t="b">
        <f t="shared" si="75"/>
        <v>0</v>
      </c>
    </row>
    <row r="2630" spans="1:24" s="337" customFormat="1" ht="12" customHeight="1" outlineLevel="1">
      <c r="A2630" s="335"/>
      <c r="B2630" s="118" t="s">
        <v>12</v>
      </c>
      <c r="C2630" s="334" t="s">
        <v>10019</v>
      </c>
      <c r="D2630" s="124" t="s">
        <v>9815</v>
      </c>
      <c r="E2630" s="125"/>
      <c r="F2630" s="118" t="s">
        <v>828</v>
      </c>
      <c r="G2630" s="126" t="s">
        <v>9800</v>
      </c>
      <c r="H2630" s="255">
        <v>1</v>
      </c>
      <c r="I2630" s="361">
        <v>1</v>
      </c>
      <c r="J2630" s="362" t="s">
        <v>310</v>
      </c>
      <c r="K2630" s="363"/>
      <c r="L2630" s="129"/>
      <c r="M2630" s="129"/>
      <c r="N2630" s="129"/>
      <c r="O2630" s="129"/>
      <c r="P2630" s="364"/>
      <c r="Q2630" s="364"/>
      <c r="R2630" s="129"/>
      <c r="S2630" s="129"/>
      <c r="T2630" s="129"/>
      <c r="W2630" s="129" t="s">
        <v>4876</v>
      </c>
      <c r="X2630" s="337" t="b">
        <f t="shared" si="75"/>
        <v>0</v>
      </c>
    </row>
    <row r="2631" spans="1:24" s="337" customFormat="1" ht="12" customHeight="1" outlineLevel="1">
      <c r="A2631" s="335"/>
      <c r="B2631" s="118" t="s">
        <v>12</v>
      </c>
      <c r="C2631" s="334" t="s">
        <v>10020</v>
      </c>
      <c r="D2631" s="124" t="s">
        <v>9819</v>
      </c>
      <c r="E2631" s="125"/>
      <c r="F2631" s="118" t="s">
        <v>828</v>
      </c>
      <c r="G2631" s="126" t="s">
        <v>9800</v>
      </c>
      <c r="H2631" s="255">
        <v>1</v>
      </c>
      <c r="I2631" s="361">
        <v>1</v>
      </c>
      <c r="J2631" s="362" t="s">
        <v>310</v>
      </c>
      <c r="K2631" s="363"/>
      <c r="L2631" s="129"/>
      <c r="M2631" s="129"/>
      <c r="N2631" s="129"/>
      <c r="O2631" s="129"/>
      <c r="P2631" s="364"/>
      <c r="Q2631" s="364"/>
      <c r="R2631" s="129"/>
      <c r="S2631" s="129"/>
      <c r="T2631" s="129"/>
      <c r="W2631" s="129" t="s">
        <v>4876</v>
      </c>
      <c r="X2631" s="337" t="b">
        <f t="shared" si="75"/>
        <v>0</v>
      </c>
    </row>
    <row r="2632" spans="1:24" s="337" customFormat="1" ht="12" customHeight="1" outlineLevel="1">
      <c r="A2632" s="335"/>
      <c r="B2632" s="118" t="s">
        <v>12</v>
      </c>
      <c r="C2632" s="334" t="s">
        <v>10021</v>
      </c>
      <c r="D2632" s="124" t="s">
        <v>9821</v>
      </c>
      <c r="E2632" s="125"/>
      <c r="F2632" s="118" t="s">
        <v>828</v>
      </c>
      <c r="G2632" s="126" t="s">
        <v>9800</v>
      </c>
      <c r="H2632" s="255">
        <v>1</v>
      </c>
      <c r="I2632" s="361">
        <v>1</v>
      </c>
      <c r="J2632" s="362" t="s">
        <v>310</v>
      </c>
      <c r="K2632" s="363"/>
      <c r="L2632" s="129"/>
      <c r="M2632" s="129"/>
      <c r="N2632" s="129"/>
      <c r="O2632" s="129"/>
      <c r="P2632" s="364"/>
      <c r="Q2632" s="364"/>
      <c r="R2632" s="129"/>
      <c r="S2632" s="129"/>
      <c r="T2632" s="129"/>
      <c r="W2632" s="129" t="s">
        <v>4876</v>
      </c>
      <c r="X2632" s="337" t="b">
        <f t="shared" si="75"/>
        <v>0</v>
      </c>
    </row>
    <row r="2633" spans="1:24" s="337" customFormat="1" ht="12" customHeight="1" outlineLevel="1">
      <c r="A2633" s="335"/>
      <c r="B2633" s="118" t="s">
        <v>12</v>
      </c>
      <c r="C2633" s="334" t="s">
        <v>10022</v>
      </c>
      <c r="D2633" s="124" t="s">
        <v>9825</v>
      </c>
      <c r="E2633" s="125"/>
      <c r="F2633" s="118" t="s">
        <v>828</v>
      </c>
      <c r="G2633" s="126" t="s">
        <v>9800</v>
      </c>
      <c r="H2633" s="255">
        <v>1</v>
      </c>
      <c r="I2633" s="361">
        <v>1</v>
      </c>
      <c r="J2633" s="362" t="s">
        <v>310</v>
      </c>
      <c r="K2633" s="363"/>
      <c r="L2633" s="129"/>
      <c r="M2633" s="129"/>
      <c r="N2633" s="129"/>
      <c r="O2633" s="129"/>
      <c r="P2633" s="364"/>
      <c r="Q2633" s="364"/>
      <c r="R2633" s="129"/>
      <c r="S2633" s="129"/>
      <c r="T2633" s="129"/>
      <c r="W2633" s="129" t="s">
        <v>4876</v>
      </c>
      <c r="X2633" s="337" t="b">
        <f t="shared" si="75"/>
        <v>0</v>
      </c>
    </row>
    <row r="2634" spans="1:24" s="337" customFormat="1" ht="12" customHeight="1" outlineLevel="1">
      <c r="A2634" s="335"/>
      <c r="B2634" s="118" t="s">
        <v>12</v>
      </c>
      <c r="C2634" s="334" t="s">
        <v>10023</v>
      </c>
      <c r="D2634" s="124" t="s">
        <v>9827</v>
      </c>
      <c r="E2634" s="125"/>
      <c r="F2634" s="118" t="s">
        <v>828</v>
      </c>
      <c r="G2634" s="126" t="s">
        <v>9800</v>
      </c>
      <c r="H2634" s="255">
        <v>1</v>
      </c>
      <c r="I2634" s="361">
        <v>1</v>
      </c>
      <c r="J2634" s="362" t="s">
        <v>310</v>
      </c>
      <c r="K2634" s="363"/>
      <c r="L2634" s="129"/>
      <c r="M2634" s="129"/>
      <c r="N2634" s="129"/>
      <c r="O2634" s="129"/>
      <c r="P2634" s="364"/>
      <c r="Q2634" s="364"/>
      <c r="R2634" s="129"/>
      <c r="S2634" s="129"/>
      <c r="T2634" s="129"/>
      <c r="W2634" s="129" t="s">
        <v>4876</v>
      </c>
      <c r="X2634" s="337" t="b">
        <f t="shared" si="75"/>
        <v>0</v>
      </c>
    </row>
    <row r="2635" spans="1:24" s="337" customFormat="1" ht="12" customHeight="1" outlineLevel="1">
      <c r="A2635" s="335"/>
      <c r="B2635" s="118" t="s">
        <v>12</v>
      </c>
      <c r="C2635" s="334" t="s">
        <v>10024</v>
      </c>
      <c r="D2635" s="124" t="s">
        <v>9829</v>
      </c>
      <c r="E2635" s="125"/>
      <c r="F2635" s="118" t="s">
        <v>828</v>
      </c>
      <c r="G2635" s="126" t="s">
        <v>9800</v>
      </c>
      <c r="H2635" s="255">
        <v>1</v>
      </c>
      <c r="I2635" s="361">
        <v>1</v>
      </c>
      <c r="J2635" s="362" t="s">
        <v>310</v>
      </c>
      <c r="K2635" s="363"/>
      <c r="L2635" s="129"/>
      <c r="M2635" s="129"/>
      <c r="N2635" s="129"/>
      <c r="O2635" s="129"/>
      <c r="P2635" s="364"/>
      <c r="Q2635" s="364"/>
      <c r="R2635" s="129"/>
      <c r="S2635" s="129"/>
      <c r="T2635" s="129"/>
      <c r="W2635" s="129" t="s">
        <v>4876</v>
      </c>
      <c r="X2635" s="337" t="b">
        <f t="shared" si="75"/>
        <v>0</v>
      </c>
    </row>
    <row r="2636" spans="1:24" s="337" customFormat="1" ht="12" customHeight="1" outlineLevel="1">
      <c r="A2636" s="335"/>
      <c r="B2636" s="118" t="s">
        <v>12</v>
      </c>
      <c r="C2636" s="334" t="s">
        <v>10025</v>
      </c>
      <c r="D2636" s="124" t="s">
        <v>9831</v>
      </c>
      <c r="E2636" s="125"/>
      <c r="F2636" s="118" t="s">
        <v>828</v>
      </c>
      <c r="G2636" s="126" t="s">
        <v>9800</v>
      </c>
      <c r="H2636" s="255">
        <v>1</v>
      </c>
      <c r="I2636" s="361">
        <v>1</v>
      </c>
      <c r="J2636" s="362" t="s">
        <v>310</v>
      </c>
      <c r="K2636" s="363"/>
      <c r="L2636" s="129"/>
      <c r="M2636" s="129"/>
      <c r="N2636" s="129"/>
      <c r="O2636" s="129"/>
      <c r="P2636" s="364"/>
      <c r="Q2636" s="364"/>
      <c r="R2636" s="129"/>
      <c r="S2636" s="129"/>
      <c r="T2636" s="129"/>
      <c r="W2636" s="129" t="s">
        <v>4876</v>
      </c>
      <c r="X2636" s="337" t="b">
        <f t="shared" si="75"/>
        <v>0</v>
      </c>
    </row>
    <row r="2637" spans="1:24" s="337" customFormat="1" ht="12" customHeight="1" outlineLevel="1">
      <c r="A2637" s="335"/>
      <c r="B2637" s="118" t="s">
        <v>12</v>
      </c>
      <c r="C2637" s="334" t="s">
        <v>10026</v>
      </c>
      <c r="D2637" s="124" t="s">
        <v>9833</v>
      </c>
      <c r="E2637" s="125"/>
      <c r="F2637" s="118" t="s">
        <v>828</v>
      </c>
      <c r="G2637" s="126" t="s">
        <v>9800</v>
      </c>
      <c r="H2637" s="255">
        <v>1</v>
      </c>
      <c r="I2637" s="361">
        <v>1</v>
      </c>
      <c r="J2637" s="362" t="s">
        <v>310</v>
      </c>
      <c r="K2637" s="363"/>
      <c r="L2637" s="129"/>
      <c r="M2637" s="129"/>
      <c r="N2637" s="129"/>
      <c r="O2637" s="129"/>
      <c r="P2637" s="364"/>
      <c r="Q2637" s="364"/>
      <c r="R2637" s="129"/>
      <c r="S2637" s="129"/>
      <c r="T2637" s="129"/>
      <c r="W2637" s="129" t="s">
        <v>4876</v>
      </c>
      <c r="X2637" s="337" t="b">
        <f t="shared" si="75"/>
        <v>0</v>
      </c>
    </row>
    <row r="2638" spans="1:24" s="337" customFormat="1" ht="12" customHeight="1" outlineLevel="1">
      <c r="A2638" s="335"/>
      <c r="B2638" s="118" t="s">
        <v>12</v>
      </c>
      <c r="C2638" s="334" t="s">
        <v>10027</v>
      </c>
      <c r="D2638" s="124" t="s">
        <v>9835</v>
      </c>
      <c r="E2638" s="125"/>
      <c r="F2638" s="118" t="s">
        <v>828</v>
      </c>
      <c r="G2638" s="126" t="s">
        <v>9800</v>
      </c>
      <c r="H2638" s="255">
        <v>1</v>
      </c>
      <c r="I2638" s="361">
        <v>1</v>
      </c>
      <c r="J2638" s="362" t="s">
        <v>310</v>
      </c>
      <c r="K2638" s="363"/>
      <c r="L2638" s="129"/>
      <c r="M2638" s="129"/>
      <c r="N2638" s="129"/>
      <c r="O2638" s="129"/>
      <c r="P2638" s="364"/>
      <c r="Q2638" s="364"/>
      <c r="R2638" s="129"/>
      <c r="S2638" s="129"/>
      <c r="T2638" s="129"/>
      <c r="W2638" s="129" t="s">
        <v>4876</v>
      </c>
      <c r="X2638" s="337" t="b">
        <f t="shared" si="75"/>
        <v>0</v>
      </c>
    </row>
    <row r="2639" spans="1:24" s="337" customFormat="1" ht="12" customHeight="1" outlineLevel="1">
      <c r="A2639" s="335"/>
      <c r="B2639" s="118" t="s">
        <v>12</v>
      </c>
      <c r="C2639" s="334" t="s">
        <v>10028</v>
      </c>
      <c r="D2639" s="124" t="s">
        <v>10029</v>
      </c>
      <c r="E2639" s="125"/>
      <c r="F2639" s="118" t="s">
        <v>828</v>
      </c>
      <c r="G2639" s="126" t="s">
        <v>9800</v>
      </c>
      <c r="H2639" s="255">
        <v>1</v>
      </c>
      <c r="I2639" s="361">
        <v>1</v>
      </c>
      <c r="J2639" s="362" t="s">
        <v>310</v>
      </c>
      <c r="K2639" s="363"/>
      <c r="L2639" s="129"/>
      <c r="M2639" s="129"/>
      <c r="N2639" s="129"/>
      <c r="O2639" s="129"/>
      <c r="P2639" s="364"/>
      <c r="Q2639" s="364"/>
      <c r="R2639" s="129"/>
      <c r="S2639" s="129"/>
      <c r="T2639" s="129"/>
      <c r="W2639" s="129" t="s">
        <v>4876</v>
      </c>
      <c r="X2639" s="337" t="b">
        <f t="shared" si="75"/>
        <v>0</v>
      </c>
    </row>
    <row r="2640" spans="1:24" s="337" customFormat="1" ht="12" customHeight="1" outlineLevel="1">
      <c r="A2640" s="335"/>
      <c r="B2640" s="118" t="s">
        <v>12</v>
      </c>
      <c r="C2640" s="334" t="s">
        <v>10030</v>
      </c>
      <c r="D2640" s="124" t="s">
        <v>9841</v>
      </c>
      <c r="E2640" s="125"/>
      <c r="F2640" s="118" t="s">
        <v>828</v>
      </c>
      <c r="G2640" s="126" t="s">
        <v>9800</v>
      </c>
      <c r="H2640" s="255">
        <v>1</v>
      </c>
      <c r="I2640" s="361">
        <v>1</v>
      </c>
      <c r="J2640" s="362" t="s">
        <v>310</v>
      </c>
      <c r="K2640" s="363"/>
      <c r="L2640" s="129"/>
      <c r="M2640" s="129"/>
      <c r="N2640" s="129"/>
      <c r="O2640" s="129"/>
      <c r="P2640" s="364"/>
      <c r="Q2640" s="364"/>
      <c r="R2640" s="129"/>
      <c r="S2640" s="129"/>
      <c r="T2640" s="129"/>
      <c r="W2640" s="129" t="s">
        <v>4876</v>
      </c>
      <c r="X2640" s="337" t="b">
        <f t="shared" si="75"/>
        <v>0</v>
      </c>
    </row>
    <row r="2641" spans="1:24" s="337" customFormat="1" ht="12" customHeight="1" outlineLevel="1">
      <c r="A2641" s="335"/>
      <c r="B2641" s="118" t="s">
        <v>12</v>
      </c>
      <c r="C2641" s="334" t="s">
        <v>10031</v>
      </c>
      <c r="D2641" s="124" t="s">
        <v>9843</v>
      </c>
      <c r="E2641" s="125"/>
      <c r="F2641" s="118" t="s">
        <v>828</v>
      </c>
      <c r="G2641" s="126" t="s">
        <v>9800</v>
      </c>
      <c r="H2641" s="255">
        <v>1</v>
      </c>
      <c r="I2641" s="361">
        <v>1</v>
      </c>
      <c r="J2641" s="362" t="s">
        <v>310</v>
      </c>
      <c r="K2641" s="363"/>
      <c r="L2641" s="129"/>
      <c r="M2641" s="129"/>
      <c r="N2641" s="129"/>
      <c r="O2641" s="129"/>
      <c r="P2641" s="364"/>
      <c r="Q2641" s="364"/>
      <c r="R2641" s="129"/>
      <c r="S2641" s="129"/>
      <c r="T2641" s="129"/>
      <c r="W2641" s="129" t="s">
        <v>4876</v>
      </c>
      <c r="X2641" s="337" t="b">
        <f t="shared" si="75"/>
        <v>0</v>
      </c>
    </row>
    <row r="2642" spans="1:24" s="337" customFormat="1" ht="12" customHeight="1" outlineLevel="1">
      <c r="A2642" s="335"/>
      <c r="B2642" s="118" t="s">
        <v>12</v>
      </c>
      <c r="C2642" s="334" t="s">
        <v>10032</v>
      </c>
      <c r="D2642" s="124" t="s">
        <v>10033</v>
      </c>
      <c r="E2642" s="125"/>
      <c r="F2642" s="118" t="s">
        <v>828</v>
      </c>
      <c r="G2642" s="126" t="s">
        <v>9800</v>
      </c>
      <c r="H2642" s="255">
        <v>1</v>
      </c>
      <c r="I2642" s="361">
        <v>1</v>
      </c>
      <c r="J2642" s="362" t="s">
        <v>286</v>
      </c>
      <c r="K2642" s="363"/>
      <c r="L2642" s="129"/>
      <c r="M2642" s="129"/>
      <c r="N2642" s="129"/>
      <c r="O2642" s="129"/>
      <c r="P2642" s="364"/>
      <c r="Q2642" s="364"/>
      <c r="R2642" s="129"/>
      <c r="S2642" s="129"/>
      <c r="T2642" s="129"/>
      <c r="W2642" s="129" t="s">
        <v>4876</v>
      </c>
      <c r="X2642" s="337" t="b">
        <f t="shared" si="75"/>
        <v>0</v>
      </c>
    </row>
    <row r="2643" spans="1:24" s="337" customFormat="1" ht="12" customHeight="1" outlineLevel="1">
      <c r="A2643" s="335"/>
      <c r="B2643" s="118" t="s">
        <v>12</v>
      </c>
      <c r="C2643" s="334" t="s">
        <v>10034</v>
      </c>
      <c r="D2643" s="124" t="s">
        <v>9847</v>
      </c>
      <c r="E2643" s="125"/>
      <c r="F2643" s="118" t="s">
        <v>828</v>
      </c>
      <c r="G2643" s="126" t="s">
        <v>9800</v>
      </c>
      <c r="H2643" s="255">
        <v>1</v>
      </c>
      <c r="I2643" s="361">
        <v>1</v>
      </c>
      <c r="J2643" s="362" t="s">
        <v>310</v>
      </c>
      <c r="K2643" s="363"/>
      <c r="L2643" s="129"/>
      <c r="M2643" s="129"/>
      <c r="N2643" s="129"/>
      <c r="O2643" s="129"/>
      <c r="P2643" s="364"/>
      <c r="Q2643" s="364"/>
      <c r="R2643" s="129"/>
      <c r="S2643" s="129"/>
      <c r="T2643" s="129"/>
      <c r="W2643" s="129" t="s">
        <v>4876</v>
      </c>
      <c r="X2643" s="337" t="b">
        <f t="shared" ref="X2643:X2706" si="76">W2643=J2643</f>
        <v>0</v>
      </c>
    </row>
    <row r="2644" spans="1:24" s="337" customFormat="1" ht="12" customHeight="1" outlineLevel="1">
      <c r="A2644" s="335"/>
      <c r="B2644" s="118" t="s">
        <v>12</v>
      </c>
      <c r="C2644" s="334" t="s">
        <v>10035</v>
      </c>
      <c r="D2644" s="124" t="s">
        <v>9849</v>
      </c>
      <c r="E2644" s="125"/>
      <c r="F2644" s="118" t="s">
        <v>828</v>
      </c>
      <c r="G2644" s="126" t="s">
        <v>9800</v>
      </c>
      <c r="H2644" s="255">
        <v>1</v>
      </c>
      <c r="I2644" s="361">
        <v>1</v>
      </c>
      <c r="J2644" s="362" t="s">
        <v>286</v>
      </c>
      <c r="K2644" s="363"/>
      <c r="L2644" s="129"/>
      <c r="M2644" s="129"/>
      <c r="N2644" s="129"/>
      <c r="O2644" s="129"/>
      <c r="P2644" s="364"/>
      <c r="Q2644" s="364"/>
      <c r="R2644" s="129"/>
      <c r="S2644" s="129"/>
      <c r="T2644" s="129"/>
      <c r="W2644" s="129" t="s">
        <v>4876</v>
      </c>
      <c r="X2644" s="337" t="b">
        <f t="shared" si="76"/>
        <v>0</v>
      </c>
    </row>
    <row r="2645" spans="1:24" s="337" customFormat="1" ht="12" customHeight="1" outlineLevel="1">
      <c r="A2645" s="335"/>
      <c r="B2645" s="118" t="s">
        <v>12</v>
      </c>
      <c r="C2645" s="334" t="s">
        <v>10036</v>
      </c>
      <c r="D2645" s="124" t="s">
        <v>10037</v>
      </c>
      <c r="E2645" s="125"/>
      <c r="F2645" s="118" t="s">
        <v>828</v>
      </c>
      <c r="G2645" s="126" t="s">
        <v>9800</v>
      </c>
      <c r="H2645" s="255">
        <v>1</v>
      </c>
      <c r="I2645" s="361">
        <v>1</v>
      </c>
      <c r="J2645" s="362" t="s">
        <v>286</v>
      </c>
      <c r="K2645" s="363"/>
      <c r="L2645" s="129"/>
      <c r="M2645" s="129"/>
      <c r="N2645" s="129"/>
      <c r="O2645" s="129"/>
      <c r="P2645" s="364"/>
      <c r="Q2645" s="364"/>
      <c r="R2645" s="129"/>
      <c r="S2645" s="129"/>
      <c r="T2645" s="129"/>
      <c r="W2645" s="129" t="s">
        <v>4876</v>
      </c>
      <c r="X2645" s="337" t="b">
        <f t="shared" si="76"/>
        <v>0</v>
      </c>
    </row>
    <row r="2646" spans="1:24" s="337" customFormat="1" ht="12" customHeight="1" outlineLevel="1">
      <c r="A2646" s="335"/>
      <c r="B2646" s="118" t="s">
        <v>12</v>
      </c>
      <c r="C2646" s="334" t="s">
        <v>10038</v>
      </c>
      <c r="D2646" s="124" t="s">
        <v>9853</v>
      </c>
      <c r="E2646" s="125"/>
      <c r="F2646" s="118" t="s">
        <v>828</v>
      </c>
      <c r="G2646" s="126" t="s">
        <v>9800</v>
      </c>
      <c r="H2646" s="255">
        <v>1</v>
      </c>
      <c r="I2646" s="361">
        <v>1</v>
      </c>
      <c r="J2646" s="362" t="s">
        <v>310</v>
      </c>
      <c r="K2646" s="363"/>
      <c r="L2646" s="129"/>
      <c r="M2646" s="129"/>
      <c r="N2646" s="129"/>
      <c r="O2646" s="129"/>
      <c r="P2646" s="364"/>
      <c r="Q2646" s="364"/>
      <c r="R2646" s="129"/>
      <c r="S2646" s="129"/>
      <c r="T2646" s="129"/>
      <c r="W2646" s="129" t="s">
        <v>4876</v>
      </c>
      <c r="X2646" s="337" t="b">
        <f t="shared" si="76"/>
        <v>0</v>
      </c>
    </row>
    <row r="2647" spans="1:24" s="337" customFormat="1" ht="12" customHeight="1" outlineLevel="1">
      <c r="A2647" s="335"/>
      <c r="B2647" s="118" t="s">
        <v>12</v>
      </c>
      <c r="C2647" s="334" t="s">
        <v>10039</v>
      </c>
      <c r="D2647" s="124" t="s">
        <v>9855</v>
      </c>
      <c r="E2647" s="125"/>
      <c r="F2647" s="118" t="s">
        <v>828</v>
      </c>
      <c r="G2647" s="126" t="s">
        <v>9800</v>
      </c>
      <c r="H2647" s="255">
        <v>1</v>
      </c>
      <c r="I2647" s="361">
        <v>1</v>
      </c>
      <c r="J2647" s="362" t="s">
        <v>286</v>
      </c>
      <c r="K2647" s="363"/>
      <c r="L2647" s="129"/>
      <c r="M2647" s="129"/>
      <c r="N2647" s="129"/>
      <c r="O2647" s="129"/>
      <c r="P2647" s="364"/>
      <c r="Q2647" s="364"/>
      <c r="R2647" s="129"/>
      <c r="S2647" s="129"/>
      <c r="T2647" s="129"/>
      <c r="W2647" s="129" t="s">
        <v>4876</v>
      </c>
      <c r="X2647" s="337" t="b">
        <f t="shared" si="76"/>
        <v>0</v>
      </c>
    </row>
    <row r="2648" spans="1:24" s="337" customFormat="1" ht="12" customHeight="1" outlineLevel="1">
      <c r="A2648" s="335"/>
      <c r="B2648" s="118" t="s">
        <v>12</v>
      </c>
      <c r="C2648" s="334" t="s">
        <v>10040</v>
      </c>
      <c r="D2648" s="124" t="s">
        <v>9857</v>
      </c>
      <c r="E2648" s="125"/>
      <c r="F2648" s="118" t="s">
        <v>828</v>
      </c>
      <c r="G2648" s="126" t="s">
        <v>9800</v>
      </c>
      <c r="H2648" s="255">
        <v>1</v>
      </c>
      <c r="I2648" s="361">
        <v>1</v>
      </c>
      <c r="J2648" s="362" t="s">
        <v>286</v>
      </c>
      <c r="K2648" s="363"/>
      <c r="L2648" s="129"/>
      <c r="M2648" s="129"/>
      <c r="N2648" s="129"/>
      <c r="O2648" s="129"/>
      <c r="P2648" s="364"/>
      <c r="Q2648" s="364"/>
      <c r="R2648" s="129"/>
      <c r="S2648" s="129"/>
      <c r="T2648" s="129"/>
      <c r="W2648" s="129" t="s">
        <v>4876</v>
      </c>
      <c r="X2648" s="337" t="b">
        <f t="shared" si="76"/>
        <v>0</v>
      </c>
    </row>
    <row r="2649" spans="1:24" s="337" customFormat="1" ht="12" customHeight="1" outlineLevel="1">
      <c r="A2649" s="335"/>
      <c r="B2649" s="118" t="s">
        <v>12</v>
      </c>
      <c r="C2649" s="334" t="s">
        <v>10041</v>
      </c>
      <c r="D2649" s="124" t="s">
        <v>9859</v>
      </c>
      <c r="E2649" s="125"/>
      <c r="F2649" s="118" t="s">
        <v>828</v>
      </c>
      <c r="G2649" s="126" t="s">
        <v>9800</v>
      </c>
      <c r="H2649" s="255">
        <v>1</v>
      </c>
      <c r="I2649" s="361">
        <v>1</v>
      </c>
      <c r="J2649" s="362" t="s">
        <v>286</v>
      </c>
      <c r="K2649" s="363"/>
      <c r="L2649" s="129"/>
      <c r="M2649" s="129"/>
      <c r="N2649" s="129"/>
      <c r="O2649" s="129"/>
      <c r="P2649" s="364"/>
      <c r="Q2649" s="364"/>
      <c r="R2649" s="129"/>
      <c r="S2649" s="129"/>
      <c r="T2649" s="129"/>
      <c r="W2649" s="129" t="s">
        <v>4876</v>
      </c>
      <c r="X2649" s="337" t="b">
        <f t="shared" si="76"/>
        <v>0</v>
      </c>
    </row>
    <row r="2650" spans="1:24" s="337" customFormat="1" ht="12" customHeight="1" outlineLevel="1">
      <c r="A2650" s="335"/>
      <c r="B2650" s="118" t="s">
        <v>12</v>
      </c>
      <c r="C2650" s="334" t="s">
        <v>10042</v>
      </c>
      <c r="D2650" s="124" t="s">
        <v>10043</v>
      </c>
      <c r="E2650" s="125"/>
      <c r="F2650" s="118" t="s">
        <v>828</v>
      </c>
      <c r="G2650" s="126" t="s">
        <v>9800</v>
      </c>
      <c r="H2650" s="255">
        <v>1</v>
      </c>
      <c r="I2650" s="361">
        <v>1</v>
      </c>
      <c r="J2650" s="362" t="s">
        <v>286</v>
      </c>
      <c r="K2650" s="363"/>
      <c r="L2650" s="129"/>
      <c r="M2650" s="129"/>
      <c r="N2650" s="129"/>
      <c r="O2650" s="129"/>
      <c r="P2650" s="364"/>
      <c r="Q2650" s="364"/>
      <c r="R2650" s="129"/>
      <c r="S2650" s="129"/>
      <c r="T2650" s="129"/>
      <c r="W2650" s="129" t="s">
        <v>4876</v>
      </c>
      <c r="X2650" s="337" t="b">
        <f t="shared" si="76"/>
        <v>0</v>
      </c>
    </row>
    <row r="2651" spans="1:24" s="337" customFormat="1" ht="12" customHeight="1" outlineLevel="1">
      <c r="A2651" s="335"/>
      <c r="B2651" s="118" t="s">
        <v>12</v>
      </c>
      <c r="C2651" s="334" t="s">
        <v>10044</v>
      </c>
      <c r="D2651" s="124" t="s">
        <v>9861</v>
      </c>
      <c r="E2651" s="125"/>
      <c r="F2651" s="118" t="s">
        <v>828</v>
      </c>
      <c r="G2651" s="126" t="s">
        <v>9800</v>
      </c>
      <c r="H2651" s="255">
        <v>1</v>
      </c>
      <c r="I2651" s="361">
        <v>1</v>
      </c>
      <c r="J2651" s="362" t="s">
        <v>310</v>
      </c>
      <c r="K2651" s="363"/>
      <c r="L2651" s="129"/>
      <c r="M2651" s="129"/>
      <c r="N2651" s="129"/>
      <c r="O2651" s="129"/>
      <c r="P2651" s="364"/>
      <c r="Q2651" s="364"/>
      <c r="R2651" s="129"/>
      <c r="S2651" s="129"/>
      <c r="T2651" s="129"/>
      <c r="W2651" s="129" t="s">
        <v>4876</v>
      </c>
      <c r="X2651" s="337" t="b">
        <f t="shared" si="76"/>
        <v>0</v>
      </c>
    </row>
    <row r="2652" spans="1:24" s="337" customFormat="1" ht="12" customHeight="1" outlineLevel="1">
      <c r="A2652" s="335"/>
      <c r="B2652" s="118" t="s">
        <v>12</v>
      </c>
      <c r="C2652" s="334" t="s">
        <v>10045</v>
      </c>
      <c r="D2652" s="124" t="s">
        <v>9863</v>
      </c>
      <c r="E2652" s="125"/>
      <c r="F2652" s="118" t="s">
        <v>828</v>
      </c>
      <c r="G2652" s="126" t="s">
        <v>9800</v>
      </c>
      <c r="H2652" s="255">
        <v>1</v>
      </c>
      <c r="I2652" s="361">
        <v>1</v>
      </c>
      <c r="J2652" s="362" t="s">
        <v>310</v>
      </c>
      <c r="K2652" s="363"/>
      <c r="L2652" s="129"/>
      <c r="M2652" s="129"/>
      <c r="N2652" s="129"/>
      <c r="O2652" s="129"/>
      <c r="P2652" s="364"/>
      <c r="Q2652" s="364"/>
      <c r="R2652" s="129"/>
      <c r="S2652" s="129"/>
      <c r="T2652" s="129"/>
      <c r="W2652" s="129" t="s">
        <v>4876</v>
      </c>
      <c r="X2652" s="337" t="b">
        <f t="shared" si="76"/>
        <v>0</v>
      </c>
    </row>
    <row r="2653" spans="1:24" s="337" customFormat="1" ht="12" customHeight="1" outlineLevel="1">
      <c r="A2653" s="335"/>
      <c r="B2653" s="118" t="s">
        <v>12</v>
      </c>
      <c r="C2653" s="334" t="s">
        <v>10046</v>
      </c>
      <c r="D2653" s="124" t="s">
        <v>9865</v>
      </c>
      <c r="E2653" s="125"/>
      <c r="F2653" s="118" t="s">
        <v>828</v>
      </c>
      <c r="G2653" s="126" t="s">
        <v>9800</v>
      </c>
      <c r="H2653" s="255">
        <v>1</v>
      </c>
      <c r="I2653" s="361">
        <v>1</v>
      </c>
      <c r="J2653" s="362" t="s">
        <v>310</v>
      </c>
      <c r="K2653" s="363"/>
      <c r="L2653" s="129"/>
      <c r="M2653" s="129"/>
      <c r="N2653" s="129"/>
      <c r="O2653" s="129"/>
      <c r="P2653" s="364"/>
      <c r="Q2653" s="364"/>
      <c r="R2653" s="129"/>
      <c r="S2653" s="129"/>
      <c r="T2653" s="129"/>
      <c r="W2653" s="129" t="s">
        <v>4876</v>
      </c>
      <c r="X2653" s="337" t="b">
        <f t="shared" si="76"/>
        <v>0</v>
      </c>
    </row>
    <row r="2654" spans="1:24" s="337" customFormat="1" ht="12" customHeight="1" outlineLevel="1">
      <c r="A2654" s="335"/>
      <c r="B2654" s="118" t="s">
        <v>12</v>
      </c>
      <c r="C2654" s="334" t="s">
        <v>10047</v>
      </c>
      <c r="D2654" s="124" t="s">
        <v>9867</v>
      </c>
      <c r="E2654" s="125"/>
      <c r="F2654" s="118" t="s">
        <v>828</v>
      </c>
      <c r="G2654" s="126" t="s">
        <v>9800</v>
      </c>
      <c r="H2654" s="255">
        <v>1</v>
      </c>
      <c r="I2654" s="361">
        <v>1</v>
      </c>
      <c r="J2654" s="362" t="s">
        <v>310</v>
      </c>
      <c r="K2654" s="363"/>
      <c r="L2654" s="129"/>
      <c r="M2654" s="129"/>
      <c r="N2654" s="129"/>
      <c r="O2654" s="129"/>
      <c r="P2654" s="364"/>
      <c r="Q2654" s="364"/>
      <c r="R2654" s="129"/>
      <c r="S2654" s="129"/>
      <c r="T2654" s="129"/>
      <c r="W2654" s="129" t="s">
        <v>4876</v>
      </c>
      <c r="X2654" s="337" t="b">
        <f t="shared" si="76"/>
        <v>0</v>
      </c>
    </row>
    <row r="2655" spans="1:24" s="337" customFormat="1" ht="12" customHeight="1" outlineLevel="1">
      <c r="A2655" s="335"/>
      <c r="B2655" s="118" t="s">
        <v>12</v>
      </c>
      <c r="C2655" s="334" t="s">
        <v>10048</v>
      </c>
      <c r="D2655" s="124" t="s">
        <v>9869</v>
      </c>
      <c r="E2655" s="125"/>
      <c r="F2655" s="118" t="s">
        <v>828</v>
      </c>
      <c r="G2655" s="126" t="s">
        <v>9800</v>
      </c>
      <c r="H2655" s="255">
        <v>1</v>
      </c>
      <c r="I2655" s="361">
        <v>1</v>
      </c>
      <c r="J2655" s="362" t="s">
        <v>310</v>
      </c>
      <c r="K2655" s="363"/>
      <c r="L2655" s="129"/>
      <c r="M2655" s="129"/>
      <c r="N2655" s="129"/>
      <c r="O2655" s="129"/>
      <c r="P2655" s="364"/>
      <c r="Q2655" s="364"/>
      <c r="R2655" s="129"/>
      <c r="S2655" s="129"/>
      <c r="T2655" s="129"/>
      <c r="W2655" s="129" t="s">
        <v>4876</v>
      </c>
      <c r="X2655" s="337" t="b">
        <f t="shared" si="76"/>
        <v>0</v>
      </c>
    </row>
    <row r="2656" spans="1:24" s="337" customFormat="1" ht="12" customHeight="1" outlineLevel="1">
      <c r="A2656" s="335"/>
      <c r="B2656" s="118" t="s">
        <v>12</v>
      </c>
      <c r="C2656" s="334" t="s">
        <v>10049</v>
      </c>
      <c r="D2656" s="124" t="s">
        <v>9871</v>
      </c>
      <c r="E2656" s="125"/>
      <c r="F2656" s="118" t="s">
        <v>828</v>
      </c>
      <c r="G2656" s="126" t="s">
        <v>9800</v>
      </c>
      <c r="H2656" s="255">
        <v>1</v>
      </c>
      <c r="I2656" s="361">
        <v>1</v>
      </c>
      <c r="J2656" s="362" t="s">
        <v>310</v>
      </c>
      <c r="K2656" s="363"/>
      <c r="L2656" s="129"/>
      <c r="M2656" s="129"/>
      <c r="N2656" s="129"/>
      <c r="O2656" s="129"/>
      <c r="P2656" s="364"/>
      <c r="Q2656" s="364"/>
      <c r="R2656" s="129"/>
      <c r="S2656" s="129"/>
      <c r="T2656" s="129"/>
      <c r="W2656" s="129" t="s">
        <v>4876</v>
      </c>
      <c r="X2656" s="337" t="b">
        <f t="shared" si="76"/>
        <v>0</v>
      </c>
    </row>
    <row r="2657" spans="1:24" s="337" customFormat="1" ht="12" customHeight="1" outlineLevel="1">
      <c r="A2657" s="335"/>
      <c r="B2657" s="118" t="s">
        <v>12</v>
      </c>
      <c r="C2657" s="334" t="s">
        <v>10050</v>
      </c>
      <c r="D2657" s="124" t="s">
        <v>9875</v>
      </c>
      <c r="E2657" s="125"/>
      <c r="F2657" s="118" t="s">
        <v>828</v>
      </c>
      <c r="G2657" s="126" t="s">
        <v>9800</v>
      </c>
      <c r="H2657" s="255">
        <v>1</v>
      </c>
      <c r="I2657" s="361">
        <v>1</v>
      </c>
      <c r="J2657" s="362" t="s">
        <v>286</v>
      </c>
      <c r="K2657" s="363"/>
      <c r="L2657" s="129"/>
      <c r="M2657" s="129"/>
      <c r="N2657" s="129"/>
      <c r="O2657" s="129"/>
      <c r="P2657" s="364"/>
      <c r="Q2657" s="364"/>
      <c r="R2657" s="129"/>
      <c r="S2657" s="129"/>
      <c r="T2657" s="129"/>
      <c r="W2657" s="129" t="s">
        <v>286</v>
      </c>
      <c r="X2657" s="337" t="b">
        <f t="shared" si="76"/>
        <v>1</v>
      </c>
    </row>
    <row r="2658" spans="1:24" s="337" customFormat="1" ht="12" customHeight="1" outlineLevel="1">
      <c r="A2658" s="335"/>
      <c r="B2658" s="118" t="s">
        <v>12</v>
      </c>
      <c r="C2658" s="334" t="s">
        <v>10051</v>
      </c>
      <c r="D2658" s="124" t="s">
        <v>10052</v>
      </c>
      <c r="E2658" s="125"/>
      <c r="F2658" s="118" t="s">
        <v>828</v>
      </c>
      <c r="G2658" s="126" t="s">
        <v>9800</v>
      </c>
      <c r="H2658" s="255">
        <v>1</v>
      </c>
      <c r="I2658" s="361">
        <v>1</v>
      </c>
      <c r="J2658" s="362" t="s">
        <v>286</v>
      </c>
      <c r="K2658" s="363"/>
      <c r="L2658" s="129"/>
      <c r="M2658" s="129"/>
      <c r="N2658" s="129"/>
      <c r="O2658" s="129"/>
      <c r="P2658" s="364"/>
      <c r="Q2658" s="364"/>
      <c r="R2658" s="129"/>
      <c r="S2658" s="129"/>
      <c r="T2658" s="129"/>
      <c r="W2658" s="129" t="s">
        <v>286</v>
      </c>
      <c r="X2658" s="337" t="b">
        <f t="shared" si="76"/>
        <v>1</v>
      </c>
    </row>
    <row r="2659" spans="1:24" s="337" customFormat="1" ht="12" customHeight="1" outlineLevel="1">
      <c r="A2659" s="335"/>
      <c r="B2659" s="118" t="s">
        <v>12</v>
      </c>
      <c r="C2659" s="334" t="s">
        <v>10053</v>
      </c>
      <c r="D2659" s="124" t="s">
        <v>10054</v>
      </c>
      <c r="E2659" s="125"/>
      <c r="F2659" s="118" t="s">
        <v>828</v>
      </c>
      <c r="G2659" s="126" t="s">
        <v>9800</v>
      </c>
      <c r="H2659" s="255">
        <v>1</v>
      </c>
      <c r="I2659" s="361">
        <v>1</v>
      </c>
      <c r="J2659" s="362" t="s">
        <v>286</v>
      </c>
      <c r="K2659" s="363"/>
      <c r="L2659" s="129"/>
      <c r="M2659" s="129"/>
      <c r="N2659" s="129"/>
      <c r="O2659" s="129"/>
      <c r="P2659" s="364"/>
      <c r="Q2659" s="364"/>
      <c r="R2659" s="129"/>
      <c r="S2659" s="129"/>
      <c r="T2659" s="129"/>
      <c r="W2659" s="129" t="s">
        <v>286</v>
      </c>
      <c r="X2659" s="337" t="b">
        <f t="shared" si="76"/>
        <v>1</v>
      </c>
    </row>
    <row r="2660" spans="1:24" s="337" customFormat="1" ht="12" customHeight="1" outlineLevel="1">
      <c r="A2660" s="335"/>
      <c r="B2660" s="118" t="s">
        <v>12</v>
      </c>
      <c r="C2660" s="334" t="s">
        <v>10055</v>
      </c>
      <c r="D2660" s="124" t="s">
        <v>9876</v>
      </c>
      <c r="E2660" s="125"/>
      <c r="F2660" s="118" t="s">
        <v>828</v>
      </c>
      <c r="G2660" s="126" t="s">
        <v>9800</v>
      </c>
      <c r="H2660" s="255">
        <v>1</v>
      </c>
      <c r="I2660" s="361">
        <v>1</v>
      </c>
      <c r="J2660" s="362" t="s">
        <v>310</v>
      </c>
      <c r="K2660" s="363"/>
      <c r="L2660" s="129"/>
      <c r="M2660" s="129"/>
      <c r="N2660" s="129"/>
      <c r="O2660" s="129"/>
      <c r="P2660" s="364"/>
      <c r="Q2660" s="364"/>
      <c r="R2660" s="129"/>
      <c r="S2660" s="129"/>
      <c r="T2660" s="129"/>
      <c r="W2660" s="129" t="s">
        <v>286</v>
      </c>
      <c r="X2660" s="337" t="b">
        <f t="shared" si="76"/>
        <v>0</v>
      </c>
    </row>
    <row r="2661" spans="1:24" s="337" customFormat="1" ht="12" customHeight="1" outlineLevel="1">
      <c r="A2661" s="335"/>
      <c r="B2661" s="118" t="s">
        <v>12</v>
      </c>
      <c r="C2661" s="334" t="s">
        <v>10056</v>
      </c>
      <c r="D2661" s="124" t="s">
        <v>9878</v>
      </c>
      <c r="E2661" s="125"/>
      <c r="F2661" s="118" t="s">
        <v>828</v>
      </c>
      <c r="G2661" s="126" t="s">
        <v>9800</v>
      </c>
      <c r="H2661" s="255">
        <v>1</v>
      </c>
      <c r="I2661" s="361">
        <v>1</v>
      </c>
      <c r="J2661" s="362" t="s">
        <v>6148</v>
      </c>
      <c r="K2661" s="363"/>
      <c r="L2661" s="129"/>
      <c r="M2661" s="129"/>
      <c r="N2661" s="129"/>
      <c r="O2661" s="129"/>
      <c r="P2661" s="364"/>
      <c r="Q2661" s="364"/>
      <c r="R2661" s="129"/>
      <c r="S2661" s="129"/>
      <c r="T2661" s="129"/>
      <c r="W2661" s="129" t="s">
        <v>4876</v>
      </c>
      <c r="X2661" s="337" t="b">
        <f t="shared" si="76"/>
        <v>0</v>
      </c>
    </row>
    <row r="2662" spans="1:24" s="337" customFormat="1" ht="12" customHeight="1" outlineLevel="1">
      <c r="A2662" s="335"/>
      <c r="B2662" s="118" t="s">
        <v>12</v>
      </c>
      <c r="C2662" s="334" t="s">
        <v>10057</v>
      </c>
      <c r="D2662" s="124" t="s">
        <v>9880</v>
      </c>
      <c r="E2662" s="125"/>
      <c r="F2662" s="118" t="s">
        <v>828</v>
      </c>
      <c r="G2662" s="126" t="s">
        <v>9800</v>
      </c>
      <c r="H2662" s="255">
        <v>1</v>
      </c>
      <c r="I2662" s="361">
        <v>1</v>
      </c>
      <c r="J2662" s="362" t="s">
        <v>325</v>
      </c>
      <c r="K2662" s="363"/>
      <c r="L2662" s="129"/>
      <c r="M2662" s="129"/>
      <c r="N2662" s="129"/>
      <c r="O2662" s="129"/>
      <c r="P2662" s="364"/>
      <c r="Q2662" s="364"/>
      <c r="R2662" s="129"/>
      <c r="S2662" s="129"/>
      <c r="T2662" s="129"/>
      <c r="W2662" s="129" t="s">
        <v>4876</v>
      </c>
      <c r="X2662" s="337" t="b">
        <f t="shared" si="76"/>
        <v>0</v>
      </c>
    </row>
    <row r="2663" spans="1:24" s="337" customFormat="1" ht="12" customHeight="1" outlineLevel="1">
      <c r="A2663" s="335"/>
      <c r="B2663" s="118" t="s">
        <v>12</v>
      </c>
      <c r="C2663" s="334" t="s">
        <v>10058</v>
      </c>
      <c r="D2663" s="124" t="s">
        <v>9882</v>
      </c>
      <c r="E2663" s="125"/>
      <c r="F2663" s="118" t="s">
        <v>828</v>
      </c>
      <c r="G2663" s="126" t="s">
        <v>9800</v>
      </c>
      <c r="H2663" s="255">
        <v>1</v>
      </c>
      <c r="I2663" s="361">
        <v>1</v>
      </c>
      <c r="J2663" s="362" t="s">
        <v>307</v>
      </c>
      <c r="K2663" s="363"/>
      <c r="L2663" s="129"/>
      <c r="M2663" s="129"/>
      <c r="N2663" s="129"/>
      <c r="O2663" s="129"/>
      <c r="P2663" s="364"/>
      <c r="Q2663" s="364"/>
      <c r="R2663" s="129"/>
      <c r="S2663" s="129"/>
      <c r="T2663" s="129"/>
      <c r="W2663" s="129" t="s">
        <v>4876</v>
      </c>
      <c r="X2663" s="337" t="b">
        <f t="shared" si="76"/>
        <v>0</v>
      </c>
    </row>
    <row r="2664" spans="1:24" s="337" customFormat="1" ht="12" customHeight="1" outlineLevel="1">
      <c r="A2664" s="335"/>
      <c r="B2664" s="118" t="s">
        <v>12</v>
      </c>
      <c r="C2664" s="334" t="s">
        <v>10059</v>
      </c>
      <c r="D2664" s="124" t="s">
        <v>9884</v>
      </c>
      <c r="E2664" s="125"/>
      <c r="F2664" s="118" t="s">
        <v>828</v>
      </c>
      <c r="G2664" s="126" t="s">
        <v>9800</v>
      </c>
      <c r="H2664" s="255">
        <v>1</v>
      </c>
      <c r="I2664" s="361">
        <v>1</v>
      </c>
      <c r="J2664" s="362" t="s">
        <v>325</v>
      </c>
      <c r="K2664" s="363"/>
      <c r="L2664" s="129"/>
      <c r="M2664" s="129"/>
      <c r="N2664" s="129"/>
      <c r="O2664" s="129"/>
      <c r="P2664" s="364"/>
      <c r="Q2664" s="364"/>
      <c r="R2664" s="129"/>
      <c r="S2664" s="129"/>
      <c r="T2664" s="129"/>
      <c r="W2664" s="129" t="s">
        <v>4876</v>
      </c>
      <c r="X2664" s="337" t="b">
        <f t="shared" si="76"/>
        <v>0</v>
      </c>
    </row>
    <row r="2665" spans="1:24" s="337" customFormat="1" ht="12" customHeight="1" outlineLevel="1">
      <c r="A2665" s="335"/>
      <c r="B2665" s="118" t="s">
        <v>12</v>
      </c>
      <c r="C2665" s="334" t="s">
        <v>10060</v>
      </c>
      <c r="D2665" s="124" t="s">
        <v>9886</v>
      </c>
      <c r="E2665" s="125"/>
      <c r="F2665" s="118" t="s">
        <v>828</v>
      </c>
      <c r="G2665" s="126" t="s">
        <v>9800</v>
      </c>
      <c r="H2665" s="255">
        <v>1</v>
      </c>
      <c r="I2665" s="361">
        <v>1</v>
      </c>
      <c r="J2665" s="362" t="s">
        <v>6147</v>
      </c>
      <c r="K2665" s="363"/>
      <c r="L2665" s="129"/>
      <c r="M2665" s="129"/>
      <c r="N2665" s="129"/>
      <c r="O2665" s="129"/>
      <c r="P2665" s="364"/>
      <c r="Q2665" s="364"/>
      <c r="R2665" s="129"/>
      <c r="S2665" s="129"/>
      <c r="T2665" s="129"/>
      <c r="W2665" s="129" t="s">
        <v>4876</v>
      </c>
      <c r="X2665" s="337" t="b">
        <f t="shared" si="76"/>
        <v>0</v>
      </c>
    </row>
    <row r="2666" spans="1:24" s="337" customFormat="1" ht="12" customHeight="1" outlineLevel="1">
      <c r="A2666" s="335"/>
      <c r="B2666" s="118" t="s">
        <v>12</v>
      </c>
      <c r="C2666" s="334" t="s">
        <v>10061</v>
      </c>
      <c r="D2666" s="124" t="s">
        <v>9888</v>
      </c>
      <c r="E2666" s="125"/>
      <c r="F2666" s="118" t="s">
        <v>828</v>
      </c>
      <c r="G2666" s="126" t="s">
        <v>9800</v>
      </c>
      <c r="H2666" s="255">
        <v>1</v>
      </c>
      <c r="I2666" s="361">
        <v>1</v>
      </c>
      <c r="J2666" s="362" t="s">
        <v>310</v>
      </c>
      <c r="K2666" s="363"/>
      <c r="L2666" s="129"/>
      <c r="M2666" s="129"/>
      <c r="N2666" s="129"/>
      <c r="O2666" s="129"/>
      <c r="P2666" s="364"/>
      <c r="Q2666" s="364"/>
      <c r="R2666" s="129"/>
      <c r="S2666" s="129"/>
      <c r="T2666" s="129"/>
      <c r="W2666" s="129" t="s">
        <v>4876</v>
      </c>
      <c r="X2666" s="337" t="b">
        <f t="shared" si="76"/>
        <v>0</v>
      </c>
    </row>
    <row r="2667" spans="1:24" s="337" customFormat="1" ht="12" customHeight="1" outlineLevel="1">
      <c r="A2667" s="335"/>
      <c r="B2667" s="118" t="s">
        <v>12</v>
      </c>
      <c r="C2667" s="334" t="s">
        <v>10062</v>
      </c>
      <c r="D2667" s="124" t="s">
        <v>9890</v>
      </c>
      <c r="E2667" s="125"/>
      <c r="F2667" s="118" t="s">
        <v>828</v>
      </c>
      <c r="G2667" s="126" t="s">
        <v>9800</v>
      </c>
      <c r="H2667" s="255">
        <v>1</v>
      </c>
      <c r="I2667" s="361">
        <v>1</v>
      </c>
      <c r="J2667" s="362" t="s">
        <v>743</v>
      </c>
      <c r="K2667" s="363"/>
      <c r="L2667" s="129"/>
      <c r="M2667" s="129"/>
      <c r="N2667" s="129"/>
      <c r="O2667" s="129"/>
      <c r="P2667" s="364"/>
      <c r="Q2667" s="364"/>
      <c r="R2667" s="129"/>
      <c r="S2667" s="129"/>
      <c r="T2667" s="129"/>
      <c r="W2667" s="129" t="s">
        <v>4876</v>
      </c>
      <c r="X2667" s="337" t="b">
        <f t="shared" si="76"/>
        <v>0</v>
      </c>
    </row>
    <row r="2668" spans="1:24" s="337" customFormat="1" ht="12" customHeight="1" outlineLevel="1">
      <c r="A2668" s="335"/>
      <c r="B2668" s="118" t="s">
        <v>12</v>
      </c>
      <c r="C2668" s="334" t="s">
        <v>10063</v>
      </c>
      <c r="D2668" s="124" t="s">
        <v>9892</v>
      </c>
      <c r="E2668" s="125"/>
      <c r="F2668" s="118" t="s">
        <v>828</v>
      </c>
      <c r="G2668" s="126" t="s">
        <v>9800</v>
      </c>
      <c r="H2668" s="255">
        <v>1</v>
      </c>
      <c r="I2668" s="361">
        <v>1</v>
      </c>
      <c r="J2668" s="362" t="s">
        <v>6147</v>
      </c>
      <c r="K2668" s="363"/>
      <c r="L2668" s="129"/>
      <c r="M2668" s="129"/>
      <c r="N2668" s="129"/>
      <c r="O2668" s="129"/>
      <c r="P2668" s="364"/>
      <c r="Q2668" s="364"/>
      <c r="R2668" s="129"/>
      <c r="S2668" s="129"/>
      <c r="T2668" s="129"/>
      <c r="W2668" s="129" t="s">
        <v>4876</v>
      </c>
      <c r="X2668" s="337" t="b">
        <f t="shared" si="76"/>
        <v>0</v>
      </c>
    </row>
    <row r="2669" spans="1:24" s="337" customFormat="1" ht="12" customHeight="1" outlineLevel="1">
      <c r="A2669" s="335"/>
      <c r="B2669" s="118" t="s">
        <v>12</v>
      </c>
      <c r="C2669" s="334" t="s">
        <v>10064</v>
      </c>
      <c r="D2669" s="124" t="s">
        <v>9894</v>
      </c>
      <c r="E2669" s="125"/>
      <c r="F2669" s="118" t="s">
        <v>828</v>
      </c>
      <c r="G2669" s="126" t="s">
        <v>9800</v>
      </c>
      <c r="H2669" s="255">
        <v>1</v>
      </c>
      <c r="I2669" s="361">
        <v>1</v>
      </c>
      <c r="J2669" s="362" t="s">
        <v>310</v>
      </c>
      <c r="K2669" s="363"/>
      <c r="L2669" s="129"/>
      <c r="M2669" s="129"/>
      <c r="N2669" s="129"/>
      <c r="O2669" s="129"/>
      <c r="P2669" s="364"/>
      <c r="Q2669" s="364"/>
      <c r="R2669" s="129"/>
      <c r="S2669" s="129"/>
      <c r="T2669" s="129"/>
      <c r="W2669" s="129" t="s">
        <v>4876</v>
      </c>
      <c r="X2669" s="337" t="b">
        <f t="shared" si="76"/>
        <v>0</v>
      </c>
    </row>
    <row r="2670" spans="1:24" s="337" customFormat="1" ht="12" customHeight="1" outlineLevel="1">
      <c r="A2670" s="335"/>
      <c r="B2670" s="118" t="s">
        <v>12</v>
      </c>
      <c r="C2670" s="334" t="s">
        <v>10065</v>
      </c>
      <c r="D2670" s="124" t="s">
        <v>9896</v>
      </c>
      <c r="E2670" s="125"/>
      <c r="F2670" s="118" t="s">
        <v>828</v>
      </c>
      <c r="G2670" s="126" t="s">
        <v>9800</v>
      </c>
      <c r="H2670" s="255">
        <v>1</v>
      </c>
      <c r="I2670" s="361">
        <v>1</v>
      </c>
      <c r="J2670" s="362" t="s">
        <v>743</v>
      </c>
      <c r="K2670" s="363"/>
      <c r="L2670" s="129"/>
      <c r="M2670" s="129"/>
      <c r="N2670" s="129"/>
      <c r="O2670" s="129"/>
      <c r="P2670" s="364"/>
      <c r="Q2670" s="364"/>
      <c r="R2670" s="129"/>
      <c r="S2670" s="129"/>
      <c r="T2670" s="129"/>
      <c r="W2670" s="129" t="s">
        <v>4876</v>
      </c>
      <c r="X2670" s="337" t="b">
        <f t="shared" si="76"/>
        <v>0</v>
      </c>
    </row>
    <row r="2671" spans="1:24" s="337" customFormat="1" ht="12" customHeight="1" outlineLevel="1">
      <c r="A2671" s="335"/>
      <c r="B2671" s="118" t="s">
        <v>12</v>
      </c>
      <c r="C2671" s="334" t="s">
        <v>10066</v>
      </c>
      <c r="D2671" s="124" t="s">
        <v>9898</v>
      </c>
      <c r="E2671" s="125"/>
      <c r="F2671" s="118" t="s">
        <v>828</v>
      </c>
      <c r="G2671" s="126" t="s">
        <v>9800</v>
      </c>
      <c r="H2671" s="255">
        <v>1</v>
      </c>
      <c r="I2671" s="361">
        <v>1</v>
      </c>
      <c r="J2671" s="362" t="s">
        <v>6148</v>
      </c>
      <c r="K2671" s="363"/>
      <c r="L2671" s="129"/>
      <c r="M2671" s="129"/>
      <c r="N2671" s="129"/>
      <c r="O2671" s="129"/>
      <c r="P2671" s="364"/>
      <c r="Q2671" s="364"/>
      <c r="R2671" s="129"/>
      <c r="S2671" s="129"/>
      <c r="T2671" s="129"/>
      <c r="W2671" s="129" t="s">
        <v>4876</v>
      </c>
      <c r="X2671" s="337" t="b">
        <f t="shared" si="76"/>
        <v>0</v>
      </c>
    </row>
    <row r="2672" spans="1:24" s="337" customFormat="1" ht="12" customHeight="1" outlineLevel="1">
      <c r="A2672" s="335"/>
      <c r="B2672" s="118" t="s">
        <v>12</v>
      </c>
      <c r="C2672" s="334" t="s">
        <v>10067</v>
      </c>
      <c r="D2672" s="124" t="s">
        <v>9900</v>
      </c>
      <c r="E2672" s="125"/>
      <c r="F2672" s="118" t="s">
        <v>828</v>
      </c>
      <c r="G2672" s="126" t="s">
        <v>9800</v>
      </c>
      <c r="H2672" s="255">
        <v>1</v>
      </c>
      <c r="I2672" s="361">
        <v>1</v>
      </c>
      <c r="J2672" s="362" t="s">
        <v>307</v>
      </c>
      <c r="K2672" s="363"/>
      <c r="L2672" s="129"/>
      <c r="M2672" s="129"/>
      <c r="N2672" s="129"/>
      <c r="O2672" s="129"/>
      <c r="P2672" s="364"/>
      <c r="Q2672" s="364"/>
      <c r="R2672" s="129"/>
      <c r="S2672" s="129"/>
      <c r="T2672" s="129"/>
      <c r="W2672" s="129" t="s">
        <v>4876</v>
      </c>
      <c r="X2672" s="337" t="b">
        <f t="shared" si="76"/>
        <v>0</v>
      </c>
    </row>
    <row r="2673" spans="1:24" s="337" customFormat="1" ht="12" customHeight="1" outlineLevel="1">
      <c r="A2673" s="335"/>
      <c r="B2673" s="118" t="s">
        <v>12</v>
      </c>
      <c r="C2673" s="334" t="s">
        <v>10068</v>
      </c>
      <c r="D2673" s="124" t="s">
        <v>9902</v>
      </c>
      <c r="E2673" s="125"/>
      <c r="F2673" s="118" t="s">
        <v>828</v>
      </c>
      <c r="G2673" s="126" t="s">
        <v>9800</v>
      </c>
      <c r="H2673" s="255">
        <v>1</v>
      </c>
      <c r="I2673" s="361">
        <v>1</v>
      </c>
      <c r="J2673" s="362" t="s">
        <v>743</v>
      </c>
      <c r="K2673" s="363"/>
      <c r="L2673" s="129"/>
      <c r="M2673" s="129"/>
      <c r="N2673" s="129"/>
      <c r="O2673" s="129"/>
      <c r="P2673" s="364"/>
      <c r="Q2673" s="364"/>
      <c r="R2673" s="129"/>
      <c r="S2673" s="129"/>
      <c r="T2673" s="129"/>
      <c r="W2673" s="129" t="s">
        <v>4876</v>
      </c>
      <c r="X2673" s="337" t="b">
        <f t="shared" si="76"/>
        <v>0</v>
      </c>
    </row>
    <row r="2674" spans="1:24" s="337" customFormat="1" ht="12" customHeight="1" outlineLevel="1">
      <c r="A2674" s="335"/>
      <c r="B2674" s="118" t="s">
        <v>12</v>
      </c>
      <c r="C2674" s="334" t="s">
        <v>10069</v>
      </c>
      <c r="D2674" s="124" t="s">
        <v>9904</v>
      </c>
      <c r="E2674" s="125"/>
      <c r="F2674" s="118" t="s">
        <v>828</v>
      </c>
      <c r="G2674" s="126" t="s">
        <v>9800</v>
      </c>
      <c r="H2674" s="255">
        <v>1</v>
      </c>
      <c r="I2674" s="361">
        <v>1</v>
      </c>
      <c r="J2674" s="362" t="s">
        <v>6147</v>
      </c>
      <c r="K2674" s="363"/>
      <c r="L2674" s="129"/>
      <c r="M2674" s="129"/>
      <c r="N2674" s="129"/>
      <c r="O2674" s="129"/>
      <c r="P2674" s="364"/>
      <c r="Q2674" s="364"/>
      <c r="R2674" s="129"/>
      <c r="S2674" s="129"/>
      <c r="T2674" s="129"/>
      <c r="W2674" s="129" t="s">
        <v>4876</v>
      </c>
      <c r="X2674" s="337" t="b">
        <f t="shared" si="76"/>
        <v>0</v>
      </c>
    </row>
    <row r="2675" spans="1:24" s="337" customFormat="1" ht="12" customHeight="1" outlineLevel="1">
      <c r="A2675" s="335"/>
      <c r="B2675" s="118" t="s">
        <v>12</v>
      </c>
      <c r="C2675" s="334" t="s">
        <v>10070</v>
      </c>
      <c r="D2675" s="124" t="s">
        <v>10071</v>
      </c>
      <c r="E2675" s="125"/>
      <c r="F2675" s="118" t="s">
        <v>828</v>
      </c>
      <c r="G2675" s="126" t="s">
        <v>9800</v>
      </c>
      <c r="H2675" s="255">
        <v>1</v>
      </c>
      <c r="I2675" s="361">
        <v>1</v>
      </c>
      <c r="J2675" s="362" t="s">
        <v>6148</v>
      </c>
      <c r="K2675" s="363"/>
      <c r="L2675" s="129"/>
      <c r="M2675" s="129"/>
      <c r="N2675" s="129"/>
      <c r="O2675" s="129"/>
      <c r="P2675" s="364"/>
      <c r="Q2675" s="364"/>
      <c r="R2675" s="129"/>
      <c r="S2675" s="129"/>
      <c r="T2675" s="129"/>
      <c r="W2675" s="129" t="s">
        <v>4876</v>
      </c>
      <c r="X2675" s="337" t="b">
        <f t="shared" si="76"/>
        <v>0</v>
      </c>
    </row>
    <row r="2676" spans="1:24" s="337" customFormat="1" ht="12" customHeight="1" outlineLevel="1">
      <c r="A2676" s="335"/>
      <c r="B2676" s="118" t="s">
        <v>12</v>
      </c>
      <c r="C2676" s="334" t="s">
        <v>10072</v>
      </c>
      <c r="D2676" s="124" t="s">
        <v>9910</v>
      </c>
      <c r="E2676" s="125"/>
      <c r="F2676" s="118" t="s">
        <v>828</v>
      </c>
      <c r="G2676" s="126" t="s">
        <v>9800</v>
      </c>
      <c r="H2676" s="255">
        <v>1</v>
      </c>
      <c r="I2676" s="361">
        <v>1</v>
      </c>
      <c r="J2676" s="362" t="s">
        <v>310</v>
      </c>
      <c r="K2676" s="363"/>
      <c r="L2676" s="129"/>
      <c r="M2676" s="129"/>
      <c r="N2676" s="129"/>
      <c r="O2676" s="129"/>
      <c r="P2676" s="364"/>
      <c r="Q2676" s="364"/>
      <c r="R2676" s="129"/>
      <c r="S2676" s="129"/>
      <c r="T2676" s="129"/>
      <c r="W2676" s="129" t="s">
        <v>4876</v>
      </c>
      <c r="X2676" s="337" t="b">
        <f t="shared" si="76"/>
        <v>0</v>
      </c>
    </row>
    <row r="2677" spans="1:24" s="337" customFormat="1" ht="12" customHeight="1" outlineLevel="1">
      <c r="A2677" s="335"/>
      <c r="B2677" s="118" t="s">
        <v>12</v>
      </c>
      <c r="C2677" s="334" t="s">
        <v>10073</v>
      </c>
      <c r="D2677" s="124" t="s">
        <v>9912</v>
      </c>
      <c r="E2677" s="125"/>
      <c r="F2677" s="118" t="s">
        <v>828</v>
      </c>
      <c r="G2677" s="126" t="s">
        <v>9800</v>
      </c>
      <c r="H2677" s="255">
        <v>1</v>
      </c>
      <c r="I2677" s="361">
        <v>1</v>
      </c>
      <c r="J2677" s="362" t="s">
        <v>743</v>
      </c>
      <c r="K2677" s="363"/>
      <c r="L2677" s="129"/>
      <c r="M2677" s="129"/>
      <c r="N2677" s="129"/>
      <c r="O2677" s="129"/>
      <c r="P2677" s="364"/>
      <c r="Q2677" s="364"/>
      <c r="R2677" s="129"/>
      <c r="S2677" s="129"/>
      <c r="T2677" s="129"/>
      <c r="W2677" s="129" t="s">
        <v>4876</v>
      </c>
      <c r="X2677" s="337" t="b">
        <f t="shared" si="76"/>
        <v>0</v>
      </c>
    </row>
    <row r="2678" spans="1:24" s="337" customFormat="1" ht="12" customHeight="1" outlineLevel="1">
      <c r="A2678" s="335"/>
      <c r="B2678" s="118" t="s">
        <v>12</v>
      </c>
      <c r="C2678" s="334" t="s">
        <v>10074</v>
      </c>
      <c r="D2678" s="124" t="s">
        <v>9914</v>
      </c>
      <c r="E2678" s="125"/>
      <c r="F2678" s="118" t="s">
        <v>828</v>
      </c>
      <c r="G2678" s="126" t="s">
        <v>9800</v>
      </c>
      <c r="H2678" s="255">
        <v>1</v>
      </c>
      <c r="I2678" s="361">
        <v>1</v>
      </c>
      <c r="J2678" s="362" t="s">
        <v>6148</v>
      </c>
      <c r="K2678" s="363"/>
      <c r="L2678" s="129"/>
      <c r="M2678" s="129"/>
      <c r="N2678" s="129"/>
      <c r="O2678" s="129"/>
      <c r="P2678" s="364"/>
      <c r="Q2678" s="364"/>
      <c r="R2678" s="129"/>
      <c r="S2678" s="129"/>
      <c r="T2678" s="129"/>
      <c r="W2678" s="129" t="s">
        <v>4876</v>
      </c>
      <c r="X2678" s="337" t="b">
        <f t="shared" si="76"/>
        <v>0</v>
      </c>
    </row>
    <row r="2679" spans="1:24" s="337" customFormat="1" ht="12" customHeight="1" outlineLevel="1">
      <c r="A2679" s="335"/>
      <c r="B2679" s="118" t="s">
        <v>12</v>
      </c>
      <c r="C2679" s="334" t="s">
        <v>10075</v>
      </c>
      <c r="D2679" s="124" t="s">
        <v>9916</v>
      </c>
      <c r="E2679" s="125"/>
      <c r="F2679" s="118" t="s">
        <v>828</v>
      </c>
      <c r="G2679" s="126" t="s">
        <v>9800</v>
      </c>
      <c r="H2679" s="255">
        <v>1</v>
      </c>
      <c r="I2679" s="361">
        <v>1</v>
      </c>
      <c r="J2679" s="362" t="s">
        <v>743</v>
      </c>
      <c r="K2679" s="363"/>
      <c r="L2679" s="129"/>
      <c r="M2679" s="129"/>
      <c r="N2679" s="129"/>
      <c r="O2679" s="129"/>
      <c r="P2679" s="364"/>
      <c r="Q2679" s="364"/>
      <c r="R2679" s="129"/>
      <c r="S2679" s="129"/>
      <c r="T2679" s="129"/>
      <c r="W2679" s="129" t="s">
        <v>4876</v>
      </c>
      <c r="X2679" s="337" t="b">
        <f t="shared" si="76"/>
        <v>0</v>
      </c>
    </row>
    <row r="2680" spans="1:24" s="337" customFormat="1" ht="12" customHeight="1" outlineLevel="1">
      <c r="A2680" s="335"/>
      <c r="B2680" s="118" t="s">
        <v>12</v>
      </c>
      <c r="C2680" s="334" t="s">
        <v>10076</v>
      </c>
      <c r="D2680" s="124" t="s">
        <v>9918</v>
      </c>
      <c r="E2680" s="125"/>
      <c r="F2680" s="118" t="s">
        <v>828</v>
      </c>
      <c r="G2680" s="126" t="s">
        <v>9800</v>
      </c>
      <c r="H2680" s="255">
        <v>1</v>
      </c>
      <c r="I2680" s="361">
        <v>1</v>
      </c>
      <c r="J2680" s="362" t="s">
        <v>6147</v>
      </c>
      <c r="K2680" s="363"/>
      <c r="L2680" s="129"/>
      <c r="M2680" s="129"/>
      <c r="N2680" s="129"/>
      <c r="O2680" s="129"/>
      <c r="P2680" s="364"/>
      <c r="Q2680" s="364"/>
      <c r="R2680" s="129"/>
      <c r="S2680" s="129"/>
      <c r="T2680" s="129"/>
      <c r="W2680" s="129" t="s">
        <v>4876</v>
      </c>
      <c r="X2680" s="337" t="b">
        <f t="shared" si="76"/>
        <v>0</v>
      </c>
    </row>
    <row r="2681" spans="1:24" s="337" customFormat="1" ht="12" customHeight="1" outlineLevel="1">
      <c r="A2681" s="335"/>
      <c r="B2681" s="118" t="s">
        <v>12</v>
      </c>
      <c r="C2681" s="334" t="s">
        <v>10077</v>
      </c>
      <c r="D2681" s="124" t="s">
        <v>9920</v>
      </c>
      <c r="E2681" s="125"/>
      <c r="F2681" s="118" t="s">
        <v>828</v>
      </c>
      <c r="G2681" s="126" t="s">
        <v>9800</v>
      </c>
      <c r="H2681" s="255">
        <v>1</v>
      </c>
      <c r="I2681" s="361">
        <v>1</v>
      </c>
      <c r="J2681" s="362" t="s">
        <v>6147</v>
      </c>
      <c r="K2681" s="363"/>
      <c r="L2681" s="129"/>
      <c r="M2681" s="129"/>
      <c r="N2681" s="129"/>
      <c r="O2681" s="129"/>
      <c r="P2681" s="364"/>
      <c r="Q2681" s="364"/>
      <c r="R2681" s="129"/>
      <c r="S2681" s="129"/>
      <c r="T2681" s="129"/>
      <c r="W2681" s="129" t="s">
        <v>4876</v>
      </c>
      <c r="X2681" s="337" t="b">
        <f t="shared" si="76"/>
        <v>0</v>
      </c>
    </row>
    <row r="2682" spans="1:24" s="337" customFormat="1" ht="12" customHeight="1" outlineLevel="1">
      <c r="A2682" s="335"/>
      <c r="B2682" s="118" t="s">
        <v>12</v>
      </c>
      <c r="C2682" s="334" t="s">
        <v>10078</v>
      </c>
      <c r="D2682" s="124" t="s">
        <v>10079</v>
      </c>
      <c r="E2682" s="125"/>
      <c r="F2682" s="118" t="s">
        <v>828</v>
      </c>
      <c r="G2682" s="126" t="s">
        <v>9800</v>
      </c>
      <c r="H2682" s="255">
        <v>1</v>
      </c>
      <c r="I2682" s="361">
        <v>1</v>
      </c>
      <c r="J2682" s="362" t="s">
        <v>6147</v>
      </c>
      <c r="K2682" s="363"/>
      <c r="L2682" s="129"/>
      <c r="M2682" s="129"/>
      <c r="N2682" s="129"/>
      <c r="O2682" s="129"/>
      <c r="P2682" s="364"/>
      <c r="Q2682" s="364"/>
      <c r="R2682" s="129"/>
      <c r="S2682" s="129"/>
      <c r="T2682" s="129"/>
      <c r="W2682" s="129" t="s">
        <v>4876</v>
      </c>
      <c r="X2682" s="337" t="b">
        <f t="shared" si="76"/>
        <v>0</v>
      </c>
    </row>
    <row r="2683" spans="1:24" s="337" customFormat="1" ht="12" customHeight="1" outlineLevel="1">
      <c r="A2683" s="335"/>
      <c r="B2683" s="118" t="s">
        <v>12</v>
      </c>
      <c r="C2683" s="334" t="s">
        <v>10080</v>
      </c>
      <c r="D2683" s="124" t="s">
        <v>9926</v>
      </c>
      <c r="E2683" s="125"/>
      <c r="F2683" s="118" t="s">
        <v>828</v>
      </c>
      <c r="G2683" s="126" t="s">
        <v>9800</v>
      </c>
      <c r="H2683" s="255">
        <v>1</v>
      </c>
      <c r="I2683" s="361">
        <v>1</v>
      </c>
      <c r="J2683" s="362" t="s">
        <v>6148</v>
      </c>
      <c r="K2683" s="363"/>
      <c r="L2683" s="129"/>
      <c r="M2683" s="129"/>
      <c r="N2683" s="129"/>
      <c r="O2683" s="129"/>
      <c r="P2683" s="364"/>
      <c r="Q2683" s="364"/>
      <c r="R2683" s="129"/>
      <c r="S2683" s="129"/>
      <c r="T2683" s="129"/>
      <c r="W2683" s="129" t="s">
        <v>4876</v>
      </c>
      <c r="X2683" s="337" t="b">
        <f t="shared" si="76"/>
        <v>0</v>
      </c>
    </row>
    <row r="2684" spans="1:24" s="337" customFormat="1" ht="12" customHeight="1" outlineLevel="1">
      <c r="A2684" s="335"/>
      <c r="B2684" s="118" t="s">
        <v>12</v>
      </c>
      <c r="C2684" s="334" t="s">
        <v>10081</v>
      </c>
      <c r="D2684" s="124" t="s">
        <v>9930</v>
      </c>
      <c r="E2684" s="125"/>
      <c r="F2684" s="118" t="s">
        <v>828</v>
      </c>
      <c r="G2684" s="126" t="s">
        <v>9800</v>
      </c>
      <c r="H2684" s="255">
        <v>1</v>
      </c>
      <c r="I2684" s="361">
        <v>1</v>
      </c>
      <c r="J2684" s="362" t="s">
        <v>310</v>
      </c>
      <c r="K2684" s="363"/>
      <c r="L2684" s="129"/>
      <c r="M2684" s="129"/>
      <c r="N2684" s="129"/>
      <c r="O2684" s="129"/>
      <c r="P2684" s="364"/>
      <c r="Q2684" s="364"/>
      <c r="R2684" s="129"/>
      <c r="S2684" s="129"/>
      <c r="T2684" s="129"/>
      <c r="W2684" s="129" t="s">
        <v>4876</v>
      </c>
      <c r="X2684" s="337" t="b">
        <f t="shared" si="76"/>
        <v>0</v>
      </c>
    </row>
    <row r="2685" spans="1:24" s="337" customFormat="1" ht="12" customHeight="1" outlineLevel="1">
      <c r="A2685" s="335"/>
      <c r="B2685" s="118" t="s">
        <v>12</v>
      </c>
      <c r="C2685" s="334" t="s">
        <v>10082</v>
      </c>
      <c r="D2685" s="124" t="s">
        <v>9932</v>
      </c>
      <c r="E2685" s="125"/>
      <c r="F2685" s="118" t="s">
        <v>828</v>
      </c>
      <c r="G2685" s="126" t="s">
        <v>9800</v>
      </c>
      <c r="H2685" s="255">
        <v>1</v>
      </c>
      <c r="I2685" s="361">
        <v>1</v>
      </c>
      <c r="J2685" s="362" t="s">
        <v>743</v>
      </c>
      <c r="K2685" s="363"/>
      <c r="L2685" s="129"/>
      <c r="M2685" s="129"/>
      <c r="N2685" s="129"/>
      <c r="O2685" s="129"/>
      <c r="P2685" s="364"/>
      <c r="Q2685" s="364"/>
      <c r="R2685" s="129"/>
      <c r="S2685" s="129"/>
      <c r="T2685" s="129"/>
      <c r="W2685" s="129" t="s">
        <v>4876</v>
      </c>
      <c r="X2685" s="337" t="b">
        <f t="shared" si="76"/>
        <v>0</v>
      </c>
    </row>
    <row r="2686" spans="1:24" s="337" customFormat="1" ht="12" customHeight="1" outlineLevel="1">
      <c r="A2686" s="335"/>
      <c r="B2686" s="118" t="s">
        <v>12</v>
      </c>
      <c r="C2686" s="334" t="s">
        <v>10083</v>
      </c>
      <c r="D2686" s="124" t="s">
        <v>9934</v>
      </c>
      <c r="E2686" s="125"/>
      <c r="F2686" s="118" t="s">
        <v>828</v>
      </c>
      <c r="G2686" s="126" t="s">
        <v>9800</v>
      </c>
      <c r="H2686" s="255">
        <v>1</v>
      </c>
      <c r="I2686" s="361">
        <v>1</v>
      </c>
      <c r="J2686" s="362" t="s">
        <v>6147</v>
      </c>
      <c r="K2686" s="363"/>
      <c r="L2686" s="129"/>
      <c r="M2686" s="129"/>
      <c r="N2686" s="129"/>
      <c r="O2686" s="129"/>
      <c r="P2686" s="364"/>
      <c r="Q2686" s="364"/>
      <c r="R2686" s="129"/>
      <c r="S2686" s="129"/>
      <c r="T2686" s="129"/>
      <c r="W2686" s="129" t="s">
        <v>4876</v>
      </c>
      <c r="X2686" s="337" t="b">
        <f t="shared" si="76"/>
        <v>0</v>
      </c>
    </row>
    <row r="2687" spans="1:24" s="337" customFormat="1" ht="12" customHeight="1" outlineLevel="1">
      <c r="A2687" s="335"/>
      <c r="B2687" s="118" t="s">
        <v>12</v>
      </c>
      <c r="C2687" s="334" t="s">
        <v>10084</v>
      </c>
      <c r="D2687" s="124" t="s">
        <v>9938</v>
      </c>
      <c r="E2687" s="125"/>
      <c r="F2687" s="118" t="s">
        <v>828</v>
      </c>
      <c r="G2687" s="126" t="s">
        <v>9800</v>
      </c>
      <c r="H2687" s="255">
        <v>1</v>
      </c>
      <c r="I2687" s="361">
        <v>1</v>
      </c>
      <c r="J2687" s="362" t="s">
        <v>307</v>
      </c>
      <c r="K2687" s="363"/>
      <c r="L2687" s="129"/>
      <c r="M2687" s="129"/>
      <c r="N2687" s="129"/>
      <c r="O2687" s="129"/>
      <c r="P2687" s="364"/>
      <c r="Q2687" s="364"/>
      <c r="R2687" s="129"/>
      <c r="S2687" s="129"/>
      <c r="T2687" s="129"/>
      <c r="W2687" s="129" t="s">
        <v>4876</v>
      </c>
      <c r="X2687" s="337" t="b">
        <f t="shared" si="76"/>
        <v>0</v>
      </c>
    </row>
    <row r="2688" spans="1:24" s="337" customFormat="1" ht="12" customHeight="1" outlineLevel="1">
      <c r="A2688" s="335"/>
      <c r="B2688" s="118" t="s">
        <v>12</v>
      </c>
      <c r="C2688" s="334" t="s">
        <v>10085</v>
      </c>
      <c r="D2688" s="124" t="s">
        <v>9940</v>
      </c>
      <c r="E2688" s="125"/>
      <c r="F2688" s="118" t="s">
        <v>828</v>
      </c>
      <c r="G2688" s="126" t="s">
        <v>9800</v>
      </c>
      <c r="H2688" s="255">
        <v>1</v>
      </c>
      <c r="I2688" s="361">
        <v>1</v>
      </c>
      <c r="J2688" s="362" t="s">
        <v>743</v>
      </c>
      <c r="K2688" s="363"/>
      <c r="L2688" s="129"/>
      <c r="M2688" s="129"/>
      <c r="N2688" s="129"/>
      <c r="O2688" s="129"/>
      <c r="P2688" s="364"/>
      <c r="Q2688" s="364"/>
      <c r="R2688" s="129"/>
      <c r="S2688" s="129"/>
      <c r="T2688" s="129"/>
      <c r="W2688" s="129" t="s">
        <v>4876</v>
      </c>
      <c r="X2688" s="337" t="b">
        <f t="shared" si="76"/>
        <v>0</v>
      </c>
    </row>
    <row r="2689" spans="1:24" s="337" customFormat="1" ht="12" customHeight="1" outlineLevel="1">
      <c r="A2689" s="335"/>
      <c r="B2689" s="118" t="s">
        <v>12</v>
      </c>
      <c r="C2689" s="334" t="s">
        <v>10086</v>
      </c>
      <c r="D2689" s="124" t="s">
        <v>9942</v>
      </c>
      <c r="E2689" s="125"/>
      <c r="F2689" s="118" t="s">
        <v>828</v>
      </c>
      <c r="G2689" s="126" t="s">
        <v>9800</v>
      </c>
      <c r="H2689" s="255">
        <v>1</v>
      </c>
      <c r="I2689" s="361">
        <v>1</v>
      </c>
      <c r="J2689" s="362" t="s">
        <v>6147</v>
      </c>
      <c r="K2689" s="363"/>
      <c r="L2689" s="129"/>
      <c r="M2689" s="129"/>
      <c r="N2689" s="129"/>
      <c r="O2689" s="129"/>
      <c r="P2689" s="364"/>
      <c r="Q2689" s="364"/>
      <c r="R2689" s="129"/>
      <c r="S2689" s="129"/>
      <c r="T2689" s="129"/>
      <c r="W2689" s="129" t="s">
        <v>4876</v>
      </c>
      <c r="X2689" s="337" t="b">
        <f t="shared" si="76"/>
        <v>0</v>
      </c>
    </row>
    <row r="2690" spans="1:24" s="337" customFormat="1" ht="12" customHeight="1" outlineLevel="1">
      <c r="A2690" s="335"/>
      <c r="B2690" s="118" t="s">
        <v>12</v>
      </c>
      <c r="C2690" s="334" t="s">
        <v>10087</v>
      </c>
      <c r="D2690" s="124" t="s">
        <v>9944</v>
      </c>
      <c r="E2690" s="125"/>
      <c r="F2690" s="118" t="s">
        <v>828</v>
      </c>
      <c r="G2690" s="126" t="s">
        <v>9800</v>
      </c>
      <c r="H2690" s="255">
        <v>1</v>
      </c>
      <c r="I2690" s="361">
        <v>1</v>
      </c>
      <c r="J2690" s="362" t="s">
        <v>307</v>
      </c>
      <c r="K2690" s="363"/>
      <c r="L2690" s="129"/>
      <c r="M2690" s="129"/>
      <c r="N2690" s="129"/>
      <c r="O2690" s="129"/>
      <c r="P2690" s="364"/>
      <c r="Q2690" s="364"/>
      <c r="R2690" s="129"/>
      <c r="S2690" s="129"/>
      <c r="T2690" s="129"/>
      <c r="W2690" s="129" t="s">
        <v>4876</v>
      </c>
      <c r="X2690" s="337" t="b">
        <f t="shared" si="76"/>
        <v>0</v>
      </c>
    </row>
    <row r="2691" spans="1:24" s="337" customFormat="1" ht="12" customHeight="1" outlineLevel="1">
      <c r="A2691" s="335"/>
      <c r="B2691" s="118" t="s">
        <v>12</v>
      </c>
      <c r="C2691" s="334" t="s">
        <v>10088</v>
      </c>
      <c r="D2691" s="124" t="s">
        <v>9946</v>
      </c>
      <c r="E2691" s="125"/>
      <c r="F2691" s="118" t="s">
        <v>828</v>
      </c>
      <c r="G2691" s="126" t="s">
        <v>9800</v>
      </c>
      <c r="H2691" s="255">
        <v>1</v>
      </c>
      <c r="I2691" s="361">
        <v>1</v>
      </c>
      <c r="J2691" s="362" t="s">
        <v>307</v>
      </c>
      <c r="K2691" s="363"/>
      <c r="L2691" s="129"/>
      <c r="M2691" s="129"/>
      <c r="N2691" s="129"/>
      <c r="O2691" s="129"/>
      <c r="P2691" s="364"/>
      <c r="Q2691" s="364"/>
      <c r="R2691" s="129"/>
      <c r="S2691" s="129"/>
      <c r="T2691" s="129"/>
      <c r="W2691" s="129" t="s">
        <v>4876</v>
      </c>
      <c r="X2691" s="337" t="b">
        <f t="shared" si="76"/>
        <v>0</v>
      </c>
    </row>
    <row r="2692" spans="1:24" s="337" customFormat="1" ht="12" customHeight="1" outlineLevel="1">
      <c r="A2692" s="335"/>
      <c r="B2692" s="118" t="s">
        <v>12</v>
      </c>
      <c r="C2692" s="334" t="s">
        <v>10089</v>
      </c>
      <c r="D2692" s="124" t="s">
        <v>9948</v>
      </c>
      <c r="E2692" s="125"/>
      <c r="F2692" s="118" t="s">
        <v>828</v>
      </c>
      <c r="G2692" s="126" t="s">
        <v>9800</v>
      </c>
      <c r="H2692" s="255">
        <v>1</v>
      </c>
      <c r="I2692" s="361">
        <v>1</v>
      </c>
      <c r="J2692" s="362" t="s">
        <v>6148</v>
      </c>
      <c r="K2692" s="363"/>
      <c r="L2692" s="129"/>
      <c r="M2692" s="129"/>
      <c r="N2692" s="129"/>
      <c r="O2692" s="129"/>
      <c r="P2692" s="364"/>
      <c r="Q2692" s="364"/>
      <c r="R2692" s="129"/>
      <c r="S2692" s="129"/>
      <c r="T2692" s="129"/>
      <c r="W2692" s="129" t="s">
        <v>4876</v>
      </c>
      <c r="X2692" s="337" t="b">
        <f t="shared" si="76"/>
        <v>0</v>
      </c>
    </row>
    <row r="2693" spans="1:24" s="337" customFormat="1" ht="12" customHeight="1" outlineLevel="1">
      <c r="A2693" s="335"/>
      <c r="B2693" s="118" t="s">
        <v>12</v>
      </c>
      <c r="C2693" s="334" t="s">
        <v>10090</v>
      </c>
      <c r="D2693" s="124" t="s">
        <v>9950</v>
      </c>
      <c r="E2693" s="125"/>
      <c r="F2693" s="118" t="s">
        <v>828</v>
      </c>
      <c r="G2693" s="126" t="s">
        <v>9800</v>
      </c>
      <c r="H2693" s="255">
        <v>1</v>
      </c>
      <c r="I2693" s="361">
        <v>1</v>
      </c>
      <c r="J2693" s="362" t="s">
        <v>307</v>
      </c>
      <c r="K2693" s="363"/>
      <c r="L2693" s="129"/>
      <c r="M2693" s="129"/>
      <c r="N2693" s="129"/>
      <c r="O2693" s="129"/>
      <c r="P2693" s="364"/>
      <c r="Q2693" s="364"/>
      <c r="R2693" s="129"/>
      <c r="S2693" s="129"/>
      <c r="T2693" s="129"/>
      <c r="W2693" s="129" t="s">
        <v>4876</v>
      </c>
      <c r="X2693" s="337" t="b">
        <f t="shared" si="76"/>
        <v>0</v>
      </c>
    </row>
    <row r="2694" spans="1:24" s="337" customFormat="1" ht="12" customHeight="1" outlineLevel="1">
      <c r="A2694" s="335"/>
      <c r="B2694" s="118" t="s">
        <v>12</v>
      </c>
      <c r="C2694" s="334" t="s">
        <v>10091</v>
      </c>
      <c r="D2694" s="124" t="s">
        <v>9952</v>
      </c>
      <c r="E2694" s="125"/>
      <c r="F2694" s="118" t="s">
        <v>828</v>
      </c>
      <c r="G2694" s="126" t="s">
        <v>9800</v>
      </c>
      <c r="H2694" s="255">
        <v>1</v>
      </c>
      <c r="I2694" s="361">
        <v>1</v>
      </c>
      <c r="J2694" s="362" t="s">
        <v>310</v>
      </c>
      <c r="K2694" s="363"/>
      <c r="L2694" s="129"/>
      <c r="M2694" s="129"/>
      <c r="N2694" s="129"/>
      <c r="O2694" s="129"/>
      <c r="P2694" s="364"/>
      <c r="Q2694" s="364"/>
      <c r="R2694" s="129"/>
      <c r="S2694" s="129"/>
      <c r="T2694" s="129"/>
      <c r="W2694" s="129" t="s">
        <v>4876</v>
      </c>
      <c r="X2694" s="337" t="b">
        <f t="shared" si="76"/>
        <v>0</v>
      </c>
    </row>
    <row r="2695" spans="1:24" s="337" customFormat="1" ht="12" customHeight="1" outlineLevel="1">
      <c r="A2695" s="335"/>
      <c r="B2695" s="118" t="s">
        <v>12</v>
      </c>
      <c r="C2695" s="334" t="s">
        <v>10092</v>
      </c>
      <c r="D2695" s="124" t="s">
        <v>9954</v>
      </c>
      <c r="E2695" s="125"/>
      <c r="F2695" s="118" t="s">
        <v>828</v>
      </c>
      <c r="G2695" s="126" t="s">
        <v>9800</v>
      </c>
      <c r="H2695" s="255">
        <v>1</v>
      </c>
      <c r="I2695" s="361">
        <v>1</v>
      </c>
      <c r="J2695" s="362" t="s">
        <v>6147</v>
      </c>
      <c r="K2695" s="363"/>
      <c r="L2695" s="129"/>
      <c r="M2695" s="129"/>
      <c r="N2695" s="129"/>
      <c r="O2695" s="129"/>
      <c r="P2695" s="364"/>
      <c r="Q2695" s="364"/>
      <c r="R2695" s="129"/>
      <c r="S2695" s="129"/>
      <c r="T2695" s="129"/>
      <c r="W2695" s="129" t="s">
        <v>4876</v>
      </c>
      <c r="X2695" s="337" t="b">
        <f t="shared" si="76"/>
        <v>0</v>
      </c>
    </row>
    <row r="2696" spans="1:24" s="337" customFormat="1" ht="12" customHeight="1" outlineLevel="1">
      <c r="A2696" s="335"/>
      <c r="B2696" s="118" t="s">
        <v>12</v>
      </c>
      <c r="C2696" s="334" t="s">
        <v>10093</v>
      </c>
      <c r="D2696" s="124" t="s">
        <v>9956</v>
      </c>
      <c r="E2696" s="125"/>
      <c r="F2696" s="118" t="s">
        <v>828</v>
      </c>
      <c r="G2696" s="126" t="s">
        <v>9800</v>
      </c>
      <c r="H2696" s="255">
        <v>1</v>
      </c>
      <c r="I2696" s="361">
        <v>1</v>
      </c>
      <c r="J2696" s="362" t="s">
        <v>310</v>
      </c>
      <c r="K2696" s="363"/>
      <c r="L2696" s="129"/>
      <c r="M2696" s="129"/>
      <c r="N2696" s="129"/>
      <c r="O2696" s="129"/>
      <c r="P2696" s="364"/>
      <c r="Q2696" s="364"/>
      <c r="R2696" s="129"/>
      <c r="S2696" s="129"/>
      <c r="T2696" s="129"/>
      <c r="W2696" s="129" t="s">
        <v>4876</v>
      </c>
      <c r="X2696" s="337" t="b">
        <f t="shared" si="76"/>
        <v>0</v>
      </c>
    </row>
    <row r="2697" spans="1:24" s="337" customFormat="1" ht="12" customHeight="1" outlineLevel="1">
      <c r="A2697" s="335"/>
      <c r="B2697" s="118" t="s">
        <v>12</v>
      </c>
      <c r="C2697" s="334" t="s">
        <v>10094</v>
      </c>
      <c r="D2697" s="124" t="s">
        <v>9958</v>
      </c>
      <c r="E2697" s="125"/>
      <c r="F2697" s="118" t="s">
        <v>828</v>
      </c>
      <c r="G2697" s="126" t="s">
        <v>9800</v>
      </c>
      <c r="H2697" s="255">
        <v>1</v>
      </c>
      <c r="I2697" s="361">
        <v>1</v>
      </c>
      <c r="J2697" s="362" t="s">
        <v>310</v>
      </c>
      <c r="K2697" s="363"/>
      <c r="L2697" s="129"/>
      <c r="M2697" s="129"/>
      <c r="N2697" s="129"/>
      <c r="O2697" s="129"/>
      <c r="P2697" s="364"/>
      <c r="Q2697" s="364"/>
      <c r="R2697" s="129"/>
      <c r="S2697" s="129"/>
      <c r="T2697" s="129"/>
      <c r="W2697" s="129" t="s">
        <v>4876</v>
      </c>
      <c r="X2697" s="337" t="b">
        <f t="shared" si="76"/>
        <v>0</v>
      </c>
    </row>
    <row r="2698" spans="1:24" s="337" customFormat="1" ht="12" customHeight="1" outlineLevel="1">
      <c r="A2698" s="335"/>
      <c r="B2698" s="118" t="s">
        <v>12</v>
      </c>
      <c r="C2698" s="334" t="s">
        <v>10095</v>
      </c>
      <c r="D2698" s="124" t="s">
        <v>9960</v>
      </c>
      <c r="E2698" s="125"/>
      <c r="F2698" s="118" t="s">
        <v>828</v>
      </c>
      <c r="G2698" s="126" t="s">
        <v>9800</v>
      </c>
      <c r="H2698" s="255">
        <v>1</v>
      </c>
      <c r="I2698" s="361">
        <v>1</v>
      </c>
      <c r="J2698" s="362" t="s">
        <v>310</v>
      </c>
      <c r="K2698" s="363"/>
      <c r="L2698" s="129"/>
      <c r="M2698" s="129"/>
      <c r="N2698" s="129"/>
      <c r="O2698" s="129"/>
      <c r="P2698" s="364"/>
      <c r="Q2698" s="364"/>
      <c r="R2698" s="129"/>
      <c r="S2698" s="129"/>
      <c r="T2698" s="129"/>
      <c r="W2698" s="129" t="s">
        <v>4876</v>
      </c>
      <c r="X2698" s="337" t="b">
        <f t="shared" si="76"/>
        <v>0</v>
      </c>
    </row>
    <row r="2699" spans="1:24" s="337" customFormat="1" ht="12" customHeight="1" outlineLevel="1">
      <c r="A2699" s="335"/>
      <c r="B2699" s="118" t="s">
        <v>12</v>
      </c>
      <c r="C2699" s="334" t="s">
        <v>10096</v>
      </c>
      <c r="D2699" s="124" t="s">
        <v>9962</v>
      </c>
      <c r="E2699" s="125"/>
      <c r="F2699" s="118" t="s">
        <v>828</v>
      </c>
      <c r="G2699" s="126" t="s">
        <v>9800</v>
      </c>
      <c r="H2699" s="255">
        <v>1</v>
      </c>
      <c r="I2699" s="361">
        <v>1</v>
      </c>
      <c r="J2699" s="362" t="s">
        <v>743</v>
      </c>
      <c r="K2699" s="363"/>
      <c r="L2699" s="129"/>
      <c r="M2699" s="129"/>
      <c r="N2699" s="129"/>
      <c r="O2699" s="129"/>
      <c r="P2699" s="364"/>
      <c r="Q2699" s="364"/>
      <c r="R2699" s="129"/>
      <c r="S2699" s="129"/>
      <c r="T2699" s="129"/>
      <c r="W2699" s="129" t="s">
        <v>4876</v>
      </c>
      <c r="X2699" s="337" t="b">
        <f t="shared" si="76"/>
        <v>0</v>
      </c>
    </row>
    <row r="2700" spans="1:24" s="337" customFormat="1" ht="12" customHeight="1" outlineLevel="1">
      <c r="A2700" s="335"/>
      <c r="B2700" s="118" t="s">
        <v>12</v>
      </c>
      <c r="C2700" s="334" t="s">
        <v>10097</v>
      </c>
      <c r="D2700" s="124" t="s">
        <v>9964</v>
      </c>
      <c r="E2700" s="125"/>
      <c r="F2700" s="118" t="s">
        <v>828</v>
      </c>
      <c r="G2700" s="126" t="s">
        <v>9800</v>
      </c>
      <c r="H2700" s="255">
        <v>1</v>
      </c>
      <c r="I2700" s="361">
        <v>1</v>
      </c>
      <c r="J2700" s="362" t="s">
        <v>743</v>
      </c>
      <c r="K2700" s="363"/>
      <c r="L2700" s="129"/>
      <c r="M2700" s="129"/>
      <c r="N2700" s="129"/>
      <c r="O2700" s="129"/>
      <c r="P2700" s="364"/>
      <c r="Q2700" s="364"/>
      <c r="R2700" s="129"/>
      <c r="S2700" s="129"/>
      <c r="T2700" s="129"/>
      <c r="W2700" s="129" t="s">
        <v>4876</v>
      </c>
      <c r="X2700" s="337" t="b">
        <f t="shared" si="76"/>
        <v>0</v>
      </c>
    </row>
    <row r="2701" spans="1:24" s="337" customFormat="1" ht="12" customHeight="1" outlineLevel="1">
      <c r="A2701" s="335"/>
      <c r="B2701" s="118" t="s">
        <v>12</v>
      </c>
      <c r="C2701" s="334" t="s">
        <v>10098</v>
      </c>
      <c r="D2701" s="124" t="s">
        <v>9967</v>
      </c>
      <c r="E2701" s="125"/>
      <c r="F2701" s="118" t="s">
        <v>828</v>
      </c>
      <c r="G2701" s="126" t="s">
        <v>9800</v>
      </c>
      <c r="H2701" s="255">
        <v>1</v>
      </c>
      <c r="I2701" s="361">
        <v>1</v>
      </c>
      <c r="J2701" s="362" t="s">
        <v>310</v>
      </c>
      <c r="K2701" s="363"/>
      <c r="L2701" s="129"/>
      <c r="M2701" s="129"/>
      <c r="N2701" s="129"/>
      <c r="O2701" s="129"/>
      <c r="P2701" s="364"/>
      <c r="Q2701" s="364"/>
      <c r="R2701" s="129"/>
      <c r="S2701" s="129"/>
      <c r="T2701" s="129"/>
      <c r="W2701" s="129" t="s">
        <v>4876</v>
      </c>
      <c r="X2701" s="337" t="b">
        <f t="shared" si="76"/>
        <v>0</v>
      </c>
    </row>
    <row r="2702" spans="1:24" s="337" customFormat="1" ht="12" customHeight="1" outlineLevel="1">
      <c r="A2702" s="335"/>
      <c r="B2702" s="118" t="s">
        <v>12</v>
      </c>
      <c r="C2702" s="334" t="s">
        <v>10099</v>
      </c>
      <c r="D2702" s="124" t="s">
        <v>9969</v>
      </c>
      <c r="E2702" s="125"/>
      <c r="F2702" s="118" t="s">
        <v>828</v>
      </c>
      <c r="G2702" s="126" t="s">
        <v>9800</v>
      </c>
      <c r="H2702" s="255">
        <v>1</v>
      </c>
      <c r="I2702" s="361">
        <v>1</v>
      </c>
      <c r="J2702" s="362" t="s">
        <v>310</v>
      </c>
      <c r="K2702" s="363"/>
      <c r="L2702" s="129"/>
      <c r="M2702" s="129"/>
      <c r="N2702" s="129"/>
      <c r="O2702" s="129"/>
      <c r="P2702" s="364"/>
      <c r="Q2702" s="364"/>
      <c r="R2702" s="129"/>
      <c r="S2702" s="129"/>
      <c r="T2702" s="129"/>
      <c r="W2702" s="129" t="s">
        <v>4876</v>
      </c>
      <c r="X2702" s="337" t="b">
        <f t="shared" si="76"/>
        <v>0</v>
      </c>
    </row>
    <row r="2703" spans="1:24" s="337" customFormat="1" ht="12" customHeight="1" outlineLevel="1">
      <c r="A2703" s="335"/>
      <c r="B2703" s="118" t="s">
        <v>12</v>
      </c>
      <c r="C2703" s="334" t="s">
        <v>10100</v>
      </c>
      <c r="D2703" s="124" t="s">
        <v>9971</v>
      </c>
      <c r="E2703" s="125"/>
      <c r="F2703" s="118" t="s">
        <v>828</v>
      </c>
      <c r="G2703" s="126" t="s">
        <v>9800</v>
      </c>
      <c r="H2703" s="255">
        <v>1</v>
      </c>
      <c r="I2703" s="361">
        <v>1</v>
      </c>
      <c r="J2703" s="362" t="s">
        <v>310</v>
      </c>
      <c r="K2703" s="363"/>
      <c r="L2703" s="129"/>
      <c r="M2703" s="129"/>
      <c r="N2703" s="129"/>
      <c r="O2703" s="129"/>
      <c r="P2703" s="364"/>
      <c r="Q2703" s="364"/>
      <c r="R2703" s="129"/>
      <c r="S2703" s="129"/>
      <c r="T2703" s="129"/>
      <c r="W2703" s="129" t="s">
        <v>4876</v>
      </c>
      <c r="X2703" s="337" t="b">
        <f t="shared" si="76"/>
        <v>0</v>
      </c>
    </row>
    <row r="2704" spans="1:24" s="337" customFormat="1" ht="12" customHeight="1" outlineLevel="1">
      <c r="A2704" s="335"/>
      <c r="B2704" s="118" t="s">
        <v>12</v>
      </c>
      <c r="C2704" s="334" t="s">
        <v>10101</v>
      </c>
      <c r="D2704" s="124" t="s">
        <v>9973</v>
      </c>
      <c r="E2704" s="125"/>
      <c r="F2704" s="118" t="s">
        <v>828</v>
      </c>
      <c r="G2704" s="126" t="s">
        <v>9800</v>
      </c>
      <c r="H2704" s="255">
        <v>1</v>
      </c>
      <c r="I2704" s="361">
        <v>1</v>
      </c>
      <c r="J2704" s="362" t="s">
        <v>743</v>
      </c>
      <c r="K2704" s="363"/>
      <c r="L2704" s="129"/>
      <c r="M2704" s="129"/>
      <c r="N2704" s="129"/>
      <c r="O2704" s="129"/>
      <c r="P2704" s="364"/>
      <c r="Q2704" s="364"/>
      <c r="R2704" s="129"/>
      <c r="S2704" s="129"/>
      <c r="T2704" s="129"/>
      <c r="W2704" s="129" t="s">
        <v>4876</v>
      </c>
      <c r="X2704" s="337" t="b">
        <f t="shared" si="76"/>
        <v>0</v>
      </c>
    </row>
    <row r="2705" spans="1:24" s="337" customFormat="1" ht="12" customHeight="1" outlineLevel="1">
      <c r="A2705" s="335"/>
      <c r="B2705" s="118" t="s">
        <v>12</v>
      </c>
      <c r="C2705" s="334" t="s">
        <v>10102</v>
      </c>
      <c r="D2705" s="124" t="s">
        <v>9975</v>
      </c>
      <c r="E2705" s="125"/>
      <c r="F2705" s="118" t="s">
        <v>828</v>
      </c>
      <c r="G2705" s="126" t="s">
        <v>9800</v>
      </c>
      <c r="H2705" s="255">
        <v>1</v>
      </c>
      <c r="I2705" s="361">
        <v>1</v>
      </c>
      <c r="J2705" s="362" t="s">
        <v>743</v>
      </c>
      <c r="K2705" s="363"/>
      <c r="L2705" s="129"/>
      <c r="M2705" s="129"/>
      <c r="N2705" s="129"/>
      <c r="O2705" s="129"/>
      <c r="P2705" s="364"/>
      <c r="Q2705" s="364"/>
      <c r="R2705" s="129"/>
      <c r="S2705" s="129"/>
      <c r="T2705" s="129"/>
      <c r="W2705" s="129" t="s">
        <v>4876</v>
      </c>
      <c r="X2705" s="337" t="b">
        <f t="shared" si="76"/>
        <v>0</v>
      </c>
    </row>
    <row r="2706" spans="1:24" s="337" customFormat="1" ht="12" customHeight="1" outlineLevel="1">
      <c r="A2706" s="335"/>
      <c r="B2706" s="118" t="s">
        <v>12</v>
      </c>
      <c r="C2706" s="334" t="s">
        <v>10103</v>
      </c>
      <c r="D2706" s="124" t="s">
        <v>10104</v>
      </c>
      <c r="E2706" s="125"/>
      <c r="F2706" s="118" t="s">
        <v>828</v>
      </c>
      <c r="G2706" s="126" t="s">
        <v>9800</v>
      </c>
      <c r="H2706" s="255">
        <v>1</v>
      </c>
      <c r="I2706" s="361">
        <v>1</v>
      </c>
      <c r="J2706" s="362" t="s">
        <v>286</v>
      </c>
      <c r="K2706" s="363"/>
      <c r="L2706" s="129"/>
      <c r="M2706" s="129"/>
      <c r="N2706" s="129"/>
      <c r="O2706" s="129"/>
      <c r="P2706" s="364"/>
      <c r="Q2706" s="364"/>
      <c r="R2706" s="129"/>
      <c r="S2706" s="129"/>
      <c r="T2706" s="129"/>
      <c r="W2706" s="129" t="s">
        <v>286</v>
      </c>
      <c r="X2706" s="337" t="b">
        <f t="shared" si="76"/>
        <v>1</v>
      </c>
    </row>
    <row r="2707" spans="1:24" s="337" customFormat="1" ht="12" customHeight="1" outlineLevel="1">
      <c r="A2707" s="335"/>
      <c r="B2707" s="118" t="s">
        <v>12</v>
      </c>
      <c r="C2707" s="334" t="s">
        <v>10105</v>
      </c>
      <c r="D2707" s="124" t="s">
        <v>9986</v>
      </c>
      <c r="E2707" s="125"/>
      <c r="F2707" s="118" t="s">
        <v>828</v>
      </c>
      <c r="G2707" s="126" t="s">
        <v>9800</v>
      </c>
      <c r="H2707" s="255">
        <v>1</v>
      </c>
      <c r="I2707" s="361">
        <v>1</v>
      </c>
      <c r="J2707" s="362" t="s">
        <v>286</v>
      </c>
      <c r="K2707" s="363"/>
      <c r="L2707" s="129"/>
      <c r="M2707" s="129"/>
      <c r="N2707" s="129"/>
      <c r="O2707" s="129"/>
      <c r="P2707" s="364"/>
      <c r="Q2707" s="364"/>
      <c r="R2707" s="129"/>
      <c r="S2707" s="129"/>
      <c r="T2707" s="129"/>
      <c r="W2707" s="129" t="s">
        <v>286</v>
      </c>
      <c r="X2707" s="337" t="b">
        <f t="shared" ref="X2707:X2770" si="77">W2707=J2707</f>
        <v>1</v>
      </c>
    </row>
    <row r="2708" spans="1:24" s="337" customFormat="1" ht="12" customHeight="1" outlineLevel="1">
      <c r="A2708" s="335"/>
      <c r="B2708" s="118" t="s">
        <v>12</v>
      </c>
      <c r="C2708" s="334" t="s">
        <v>10106</v>
      </c>
      <c r="D2708" s="124" t="s">
        <v>9988</v>
      </c>
      <c r="E2708" s="125"/>
      <c r="F2708" s="118" t="s">
        <v>828</v>
      </c>
      <c r="G2708" s="126" t="s">
        <v>9800</v>
      </c>
      <c r="H2708" s="255">
        <v>1</v>
      </c>
      <c r="I2708" s="361">
        <v>1</v>
      </c>
      <c r="J2708" s="362" t="s">
        <v>286</v>
      </c>
      <c r="K2708" s="363"/>
      <c r="L2708" s="129"/>
      <c r="M2708" s="129"/>
      <c r="N2708" s="129"/>
      <c r="O2708" s="129"/>
      <c r="P2708" s="364"/>
      <c r="Q2708" s="364"/>
      <c r="R2708" s="129"/>
      <c r="S2708" s="129"/>
      <c r="T2708" s="129"/>
      <c r="W2708" s="129" t="s">
        <v>286</v>
      </c>
      <c r="X2708" s="337" t="b">
        <f t="shared" si="77"/>
        <v>1</v>
      </c>
    </row>
    <row r="2709" spans="1:24" s="337" customFormat="1" ht="12" customHeight="1" outlineLevel="1">
      <c r="A2709" s="335"/>
      <c r="B2709" s="118" t="s">
        <v>12</v>
      </c>
      <c r="C2709" s="334" t="s">
        <v>10107</v>
      </c>
      <c r="D2709" s="124" t="s">
        <v>9990</v>
      </c>
      <c r="E2709" s="125"/>
      <c r="F2709" s="118" t="s">
        <v>828</v>
      </c>
      <c r="G2709" s="126" t="s">
        <v>9800</v>
      </c>
      <c r="H2709" s="255">
        <v>1</v>
      </c>
      <c r="I2709" s="361">
        <v>1</v>
      </c>
      <c r="J2709" s="362" t="s">
        <v>286</v>
      </c>
      <c r="K2709" s="363"/>
      <c r="L2709" s="129"/>
      <c r="M2709" s="129"/>
      <c r="N2709" s="129"/>
      <c r="O2709" s="129"/>
      <c r="P2709" s="364"/>
      <c r="Q2709" s="364"/>
      <c r="R2709" s="129"/>
      <c r="S2709" s="129"/>
      <c r="T2709" s="129"/>
      <c r="W2709" s="129" t="s">
        <v>286</v>
      </c>
      <c r="X2709" s="337" t="b">
        <f t="shared" si="77"/>
        <v>1</v>
      </c>
    </row>
    <row r="2710" spans="1:24" s="337" customFormat="1" ht="12" customHeight="1" outlineLevel="1">
      <c r="A2710" s="335"/>
      <c r="B2710" s="118" t="s">
        <v>12</v>
      </c>
      <c r="C2710" s="334" t="s">
        <v>10108</v>
      </c>
      <c r="D2710" s="124" t="s">
        <v>9992</v>
      </c>
      <c r="E2710" s="125"/>
      <c r="F2710" s="118" t="s">
        <v>828</v>
      </c>
      <c r="G2710" s="126" t="s">
        <v>9800</v>
      </c>
      <c r="H2710" s="255">
        <v>1</v>
      </c>
      <c r="I2710" s="361">
        <v>1</v>
      </c>
      <c r="J2710" s="362" t="s">
        <v>286</v>
      </c>
      <c r="K2710" s="363"/>
      <c r="L2710" s="129"/>
      <c r="M2710" s="129"/>
      <c r="N2710" s="129"/>
      <c r="O2710" s="129"/>
      <c r="P2710" s="364"/>
      <c r="Q2710" s="364"/>
      <c r="R2710" s="129"/>
      <c r="S2710" s="129"/>
      <c r="T2710" s="129"/>
      <c r="W2710" s="129" t="s">
        <v>286</v>
      </c>
      <c r="X2710" s="337" t="b">
        <f t="shared" si="77"/>
        <v>1</v>
      </c>
    </row>
    <row r="2711" spans="1:24" s="337" customFormat="1" ht="12" customHeight="1" outlineLevel="1">
      <c r="A2711" s="335"/>
      <c r="B2711" s="118" t="s">
        <v>12</v>
      </c>
      <c r="C2711" s="334" t="s">
        <v>10109</v>
      </c>
      <c r="D2711" s="124" t="s">
        <v>9994</v>
      </c>
      <c r="E2711" s="125"/>
      <c r="F2711" s="118" t="s">
        <v>828</v>
      </c>
      <c r="G2711" s="126" t="s">
        <v>9800</v>
      </c>
      <c r="H2711" s="255">
        <v>1</v>
      </c>
      <c r="I2711" s="361">
        <v>1</v>
      </c>
      <c r="J2711" s="362" t="s">
        <v>286</v>
      </c>
      <c r="K2711" s="363"/>
      <c r="L2711" s="129"/>
      <c r="M2711" s="129"/>
      <c r="N2711" s="129"/>
      <c r="O2711" s="129"/>
      <c r="P2711" s="364"/>
      <c r="Q2711" s="364"/>
      <c r="R2711" s="129"/>
      <c r="S2711" s="129"/>
      <c r="T2711" s="129"/>
      <c r="W2711" s="129" t="s">
        <v>286</v>
      </c>
      <c r="X2711" s="337" t="b">
        <f t="shared" si="77"/>
        <v>1</v>
      </c>
    </row>
    <row r="2712" spans="1:24" s="337" customFormat="1" ht="12" customHeight="1" outlineLevel="1">
      <c r="A2712" s="335"/>
      <c r="B2712" s="118" t="s">
        <v>12</v>
      </c>
      <c r="C2712" s="334" t="s">
        <v>10110</v>
      </c>
      <c r="D2712" s="124" t="s">
        <v>9996</v>
      </c>
      <c r="E2712" s="125"/>
      <c r="F2712" s="118" t="s">
        <v>828</v>
      </c>
      <c r="G2712" s="126" t="s">
        <v>9800</v>
      </c>
      <c r="H2712" s="255">
        <v>1</v>
      </c>
      <c r="I2712" s="361">
        <v>1</v>
      </c>
      <c r="J2712" s="362" t="s">
        <v>286</v>
      </c>
      <c r="K2712" s="363"/>
      <c r="L2712" s="129"/>
      <c r="M2712" s="129"/>
      <c r="N2712" s="129"/>
      <c r="O2712" s="129"/>
      <c r="P2712" s="364"/>
      <c r="Q2712" s="364"/>
      <c r="R2712" s="129"/>
      <c r="S2712" s="129"/>
      <c r="T2712" s="129"/>
      <c r="W2712" s="129" t="s">
        <v>286</v>
      </c>
      <c r="X2712" s="337" t="b">
        <f t="shared" si="77"/>
        <v>1</v>
      </c>
    </row>
    <row r="2713" spans="1:24" s="337" customFormat="1" ht="12" customHeight="1" outlineLevel="1">
      <c r="A2713" s="335"/>
      <c r="B2713" s="118" t="s">
        <v>12</v>
      </c>
      <c r="C2713" s="334" t="s">
        <v>10111</v>
      </c>
      <c r="D2713" s="124" t="s">
        <v>9998</v>
      </c>
      <c r="E2713" s="125"/>
      <c r="F2713" s="118" t="s">
        <v>828</v>
      </c>
      <c r="G2713" s="126" t="s">
        <v>9800</v>
      </c>
      <c r="H2713" s="255">
        <v>1</v>
      </c>
      <c r="I2713" s="361">
        <v>1</v>
      </c>
      <c r="J2713" s="362" t="s">
        <v>286</v>
      </c>
      <c r="K2713" s="363"/>
      <c r="L2713" s="129"/>
      <c r="M2713" s="129"/>
      <c r="N2713" s="129"/>
      <c r="O2713" s="129"/>
      <c r="P2713" s="364"/>
      <c r="Q2713" s="364"/>
      <c r="R2713" s="129"/>
      <c r="S2713" s="129"/>
      <c r="T2713" s="129"/>
      <c r="W2713" s="129" t="s">
        <v>286</v>
      </c>
      <c r="X2713" s="337" t="b">
        <f t="shared" si="77"/>
        <v>1</v>
      </c>
    </row>
    <row r="2714" spans="1:24" s="337" customFormat="1" ht="12" customHeight="1" outlineLevel="1">
      <c r="A2714" s="335"/>
      <c r="B2714" s="118" t="s">
        <v>12</v>
      </c>
      <c r="C2714" s="334" t="s">
        <v>10112</v>
      </c>
      <c r="D2714" s="124" t="s">
        <v>10000</v>
      </c>
      <c r="E2714" s="125"/>
      <c r="F2714" s="118" t="s">
        <v>828</v>
      </c>
      <c r="G2714" s="126" t="s">
        <v>9800</v>
      </c>
      <c r="H2714" s="255">
        <v>1</v>
      </c>
      <c r="I2714" s="361">
        <v>1</v>
      </c>
      <c r="J2714" s="362" t="s">
        <v>286</v>
      </c>
      <c r="K2714" s="363"/>
      <c r="L2714" s="129"/>
      <c r="M2714" s="129"/>
      <c r="N2714" s="129"/>
      <c r="O2714" s="129"/>
      <c r="P2714" s="364"/>
      <c r="Q2714" s="364"/>
      <c r="R2714" s="129"/>
      <c r="S2714" s="129"/>
      <c r="T2714" s="129"/>
      <c r="W2714" s="129" t="s">
        <v>286</v>
      </c>
      <c r="X2714" s="337" t="b">
        <f t="shared" si="77"/>
        <v>1</v>
      </c>
    </row>
    <row r="2715" spans="1:24" s="337" customFormat="1" ht="12" customHeight="1" outlineLevel="1">
      <c r="A2715" s="335"/>
      <c r="B2715" s="118" t="s">
        <v>12</v>
      </c>
      <c r="C2715" s="334" t="s">
        <v>10113</v>
      </c>
      <c r="D2715" s="124" t="s">
        <v>10002</v>
      </c>
      <c r="E2715" s="125"/>
      <c r="F2715" s="118" t="s">
        <v>828</v>
      </c>
      <c r="G2715" s="126" t="s">
        <v>9800</v>
      </c>
      <c r="H2715" s="255">
        <v>1</v>
      </c>
      <c r="I2715" s="361">
        <v>1</v>
      </c>
      <c r="J2715" s="362" t="s">
        <v>286</v>
      </c>
      <c r="K2715" s="363"/>
      <c r="L2715" s="129"/>
      <c r="M2715" s="129"/>
      <c r="N2715" s="129"/>
      <c r="O2715" s="129"/>
      <c r="P2715" s="364"/>
      <c r="Q2715" s="364"/>
      <c r="R2715" s="129"/>
      <c r="S2715" s="129"/>
      <c r="T2715" s="129"/>
      <c r="W2715" s="129" t="s">
        <v>286</v>
      </c>
      <c r="X2715" s="337" t="b">
        <f t="shared" si="77"/>
        <v>1</v>
      </c>
    </row>
    <row r="2716" spans="1:24" s="337" customFormat="1" ht="12" customHeight="1" outlineLevel="1">
      <c r="A2716" s="335"/>
      <c r="B2716" s="118" t="s">
        <v>12</v>
      </c>
      <c r="C2716" s="334" t="s">
        <v>10114</v>
      </c>
      <c r="D2716" s="124" t="s">
        <v>10004</v>
      </c>
      <c r="E2716" s="125"/>
      <c r="F2716" s="118" t="s">
        <v>828</v>
      </c>
      <c r="G2716" s="126" t="s">
        <v>9800</v>
      </c>
      <c r="H2716" s="255">
        <v>1</v>
      </c>
      <c r="I2716" s="361">
        <v>1</v>
      </c>
      <c r="J2716" s="362" t="s">
        <v>286</v>
      </c>
      <c r="K2716" s="363"/>
      <c r="L2716" s="129"/>
      <c r="M2716" s="129"/>
      <c r="N2716" s="129"/>
      <c r="O2716" s="129"/>
      <c r="P2716" s="364"/>
      <c r="Q2716" s="364"/>
      <c r="R2716" s="129"/>
      <c r="S2716" s="129"/>
      <c r="T2716" s="129"/>
      <c r="W2716" s="129" t="s">
        <v>286</v>
      </c>
      <c r="X2716" s="337" t="b">
        <f t="shared" si="77"/>
        <v>1</v>
      </c>
    </row>
    <row r="2717" spans="1:24" s="337" customFormat="1" ht="12" customHeight="1" outlineLevel="1">
      <c r="A2717" s="335"/>
      <c r="B2717" s="118" t="s">
        <v>12</v>
      </c>
      <c r="C2717" s="334" t="s">
        <v>10115</v>
      </c>
      <c r="D2717" s="124" t="s">
        <v>10006</v>
      </c>
      <c r="E2717" s="125"/>
      <c r="F2717" s="118" t="s">
        <v>828</v>
      </c>
      <c r="G2717" s="126" t="s">
        <v>9800</v>
      </c>
      <c r="H2717" s="255">
        <v>1</v>
      </c>
      <c r="I2717" s="361">
        <v>1</v>
      </c>
      <c r="J2717" s="362" t="s">
        <v>286</v>
      </c>
      <c r="K2717" s="363"/>
      <c r="L2717" s="129"/>
      <c r="M2717" s="129"/>
      <c r="N2717" s="129"/>
      <c r="O2717" s="129"/>
      <c r="P2717" s="364"/>
      <c r="Q2717" s="364"/>
      <c r="R2717" s="129"/>
      <c r="S2717" s="129"/>
      <c r="T2717" s="129"/>
      <c r="W2717" s="129" t="s">
        <v>286</v>
      </c>
      <c r="X2717" s="337" t="b">
        <f t="shared" si="77"/>
        <v>1</v>
      </c>
    </row>
    <row r="2718" spans="1:24" s="337" customFormat="1" ht="12" customHeight="1" outlineLevel="1">
      <c r="A2718" s="335"/>
      <c r="B2718" s="118" t="s">
        <v>12</v>
      </c>
      <c r="C2718" s="334" t="s">
        <v>10116</v>
      </c>
      <c r="D2718" s="124" t="s">
        <v>10008</v>
      </c>
      <c r="E2718" s="125"/>
      <c r="F2718" s="118" t="s">
        <v>828</v>
      </c>
      <c r="G2718" s="126" t="s">
        <v>9800</v>
      </c>
      <c r="H2718" s="255">
        <v>1</v>
      </c>
      <c r="I2718" s="361">
        <v>1</v>
      </c>
      <c r="J2718" s="362" t="s">
        <v>286</v>
      </c>
      <c r="K2718" s="363"/>
      <c r="L2718" s="129"/>
      <c r="M2718" s="129"/>
      <c r="N2718" s="129"/>
      <c r="O2718" s="129"/>
      <c r="P2718" s="364"/>
      <c r="Q2718" s="364"/>
      <c r="R2718" s="129"/>
      <c r="S2718" s="129"/>
      <c r="T2718" s="129"/>
      <c r="W2718" s="129" t="s">
        <v>286</v>
      </c>
      <c r="X2718" s="337" t="b">
        <f t="shared" si="77"/>
        <v>1</v>
      </c>
    </row>
    <row r="2719" spans="1:24" s="337" customFormat="1" ht="12" customHeight="1" outlineLevel="1">
      <c r="A2719" s="335"/>
      <c r="B2719" s="118" t="s">
        <v>12</v>
      </c>
      <c r="C2719" s="334" t="s">
        <v>10117</v>
      </c>
      <c r="D2719" s="124" t="s">
        <v>10118</v>
      </c>
      <c r="E2719" s="125"/>
      <c r="F2719" s="118" t="s">
        <v>828</v>
      </c>
      <c r="G2719" s="126" t="s">
        <v>9800</v>
      </c>
      <c r="H2719" s="255">
        <v>1</v>
      </c>
      <c r="I2719" s="361">
        <v>1</v>
      </c>
      <c r="J2719" s="362" t="s">
        <v>310</v>
      </c>
      <c r="K2719" s="363"/>
      <c r="L2719" s="129"/>
      <c r="M2719" s="129"/>
      <c r="N2719" s="129"/>
      <c r="O2719" s="129"/>
      <c r="P2719" s="364"/>
      <c r="Q2719" s="364"/>
      <c r="R2719" s="129"/>
      <c r="S2719" s="129"/>
      <c r="T2719" s="129"/>
      <c r="W2719" s="129" t="s">
        <v>310</v>
      </c>
      <c r="X2719" s="337" t="b">
        <f t="shared" si="77"/>
        <v>1</v>
      </c>
    </row>
    <row r="2720" spans="1:24" s="337" customFormat="1" ht="12" customHeight="1" outlineLevel="1">
      <c r="A2720" s="335"/>
      <c r="B2720" s="118" t="s">
        <v>12</v>
      </c>
      <c r="C2720" s="334" t="s">
        <v>10119</v>
      </c>
      <c r="D2720" s="124" t="s">
        <v>6275</v>
      </c>
      <c r="E2720" s="125"/>
      <c r="F2720" s="118" t="s">
        <v>828</v>
      </c>
      <c r="G2720" s="126" t="s">
        <v>9800</v>
      </c>
      <c r="H2720" s="255">
        <v>1</v>
      </c>
      <c r="I2720" s="361">
        <v>1</v>
      </c>
      <c r="J2720" s="362" t="s">
        <v>307</v>
      </c>
      <c r="K2720" s="363"/>
      <c r="L2720" s="129"/>
      <c r="M2720" s="129"/>
      <c r="N2720" s="129"/>
      <c r="O2720" s="129"/>
      <c r="P2720" s="364"/>
      <c r="Q2720" s="364"/>
      <c r="R2720" s="129"/>
      <c r="S2720" s="129"/>
      <c r="T2720" s="129"/>
      <c r="W2720" s="129" t="s">
        <v>307</v>
      </c>
      <c r="X2720" s="337" t="b">
        <f t="shared" si="77"/>
        <v>1</v>
      </c>
    </row>
    <row r="2721" spans="1:24" s="337" customFormat="1" ht="12" customHeight="1" outlineLevel="1">
      <c r="A2721" s="335"/>
      <c r="B2721" s="118" t="s">
        <v>12</v>
      </c>
      <c r="C2721" s="334" t="s">
        <v>10120</v>
      </c>
      <c r="D2721" s="124" t="s">
        <v>9803</v>
      </c>
      <c r="E2721" s="125"/>
      <c r="F2721" s="118" t="s">
        <v>828</v>
      </c>
      <c r="G2721" s="126" t="s">
        <v>9800</v>
      </c>
      <c r="H2721" s="255">
        <v>1</v>
      </c>
      <c r="I2721" s="361">
        <v>1</v>
      </c>
      <c r="J2721" s="362" t="s">
        <v>286</v>
      </c>
      <c r="K2721" s="363"/>
      <c r="L2721" s="129"/>
      <c r="M2721" s="129"/>
      <c r="N2721" s="129"/>
      <c r="O2721" s="129"/>
      <c r="P2721" s="364"/>
      <c r="Q2721" s="364"/>
      <c r="R2721" s="129"/>
      <c r="S2721" s="129"/>
      <c r="T2721" s="129"/>
      <c r="W2721" s="129" t="s">
        <v>286</v>
      </c>
      <c r="X2721" s="337" t="b">
        <f t="shared" si="77"/>
        <v>1</v>
      </c>
    </row>
    <row r="2722" spans="1:24" s="337" customFormat="1" ht="12" customHeight="1" outlineLevel="1">
      <c r="A2722" s="335"/>
      <c r="B2722" s="118" t="s">
        <v>12</v>
      </c>
      <c r="C2722" s="334" t="s">
        <v>10121</v>
      </c>
      <c r="D2722" s="124" t="s">
        <v>10122</v>
      </c>
      <c r="E2722" s="125"/>
      <c r="F2722" s="118" t="s">
        <v>828</v>
      </c>
      <c r="G2722" s="126" t="s">
        <v>9800</v>
      </c>
      <c r="H2722" s="255">
        <v>1</v>
      </c>
      <c r="I2722" s="361">
        <v>1</v>
      </c>
      <c r="J2722" s="362" t="s">
        <v>286</v>
      </c>
      <c r="K2722" s="363"/>
      <c r="L2722" s="129"/>
      <c r="M2722" s="129"/>
      <c r="N2722" s="129"/>
      <c r="O2722" s="129"/>
      <c r="P2722" s="364"/>
      <c r="Q2722" s="364"/>
      <c r="R2722" s="129"/>
      <c r="S2722" s="129"/>
      <c r="T2722" s="129"/>
      <c r="W2722" s="129" t="s">
        <v>286</v>
      </c>
      <c r="X2722" s="337" t="b">
        <f t="shared" si="77"/>
        <v>1</v>
      </c>
    </row>
    <row r="2723" spans="1:24" s="337" customFormat="1" ht="12" customHeight="1" outlineLevel="1">
      <c r="A2723" s="335"/>
      <c r="B2723" s="118" t="s">
        <v>12</v>
      </c>
      <c r="C2723" s="334" t="s">
        <v>10123</v>
      </c>
      <c r="D2723" s="124" t="s">
        <v>9807</v>
      </c>
      <c r="E2723" s="125"/>
      <c r="F2723" s="118" t="s">
        <v>828</v>
      </c>
      <c r="G2723" s="126" t="s">
        <v>9800</v>
      </c>
      <c r="H2723" s="255">
        <v>1</v>
      </c>
      <c r="I2723" s="361">
        <v>1</v>
      </c>
      <c r="J2723" s="362" t="s">
        <v>310</v>
      </c>
      <c r="K2723" s="363"/>
      <c r="L2723" s="129"/>
      <c r="M2723" s="129"/>
      <c r="N2723" s="129"/>
      <c r="O2723" s="129"/>
      <c r="P2723" s="364"/>
      <c r="Q2723" s="364"/>
      <c r="R2723" s="129"/>
      <c r="S2723" s="129"/>
      <c r="T2723" s="129"/>
      <c r="W2723" s="129" t="s">
        <v>4876</v>
      </c>
      <c r="X2723" s="337" t="b">
        <f t="shared" si="77"/>
        <v>0</v>
      </c>
    </row>
    <row r="2724" spans="1:24" s="337" customFormat="1" ht="12" customHeight="1" outlineLevel="1">
      <c r="A2724" s="335"/>
      <c r="B2724" s="118" t="s">
        <v>12</v>
      </c>
      <c r="C2724" s="334" t="s">
        <v>10124</v>
      </c>
      <c r="D2724" s="124" t="s">
        <v>9809</v>
      </c>
      <c r="E2724" s="125"/>
      <c r="F2724" s="118" t="s">
        <v>828</v>
      </c>
      <c r="G2724" s="126" t="s">
        <v>9800</v>
      </c>
      <c r="H2724" s="255">
        <v>1</v>
      </c>
      <c r="I2724" s="361">
        <v>1</v>
      </c>
      <c r="J2724" s="362" t="s">
        <v>310</v>
      </c>
      <c r="K2724" s="363"/>
      <c r="L2724" s="129"/>
      <c r="M2724" s="129"/>
      <c r="N2724" s="129"/>
      <c r="O2724" s="129"/>
      <c r="P2724" s="364"/>
      <c r="Q2724" s="364"/>
      <c r="R2724" s="129"/>
      <c r="S2724" s="129"/>
      <c r="T2724" s="129"/>
      <c r="W2724" s="129" t="s">
        <v>4876</v>
      </c>
      <c r="X2724" s="337" t="b">
        <f t="shared" si="77"/>
        <v>0</v>
      </c>
    </row>
    <row r="2725" spans="1:24" s="337" customFormat="1" ht="12" customHeight="1" outlineLevel="1">
      <c r="A2725" s="335"/>
      <c r="B2725" s="118" t="s">
        <v>12</v>
      </c>
      <c r="C2725" s="334" t="s">
        <v>10125</v>
      </c>
      <c r="D2725" s="124" t="s">
        <v>9811</v>
      </c>
      <c r="E2725" s="125"/>
      <c r="F2725" s="118" t="s">
        <v>828</v>
      </c>
      <c r="G2725" s="126" t="s">
        <v>9800</v>
      </c>
      <c r="H2725" s="255">
        <v>1</v>
      </c>
      <c r="I2725" s="361">
        <v>1</v>
      </c>
      <c r="J2725" s="362" t="s">
        <v>310</v>
      </c>
      <c r="K2725" s="363"/>
      <c r="L2725" s="129"/>
      <c r="M2725" s="129"/>
      <c r="N2725" s="129"/>
      <c r="O2725" s="129"/>
      <c r="P2725" s="364"/>
      <c r="Q2725" s="364"/>
      <c r="R2725" s="129"/>
      <c r="S2725" s="129"/>
      <c r="T2725" s="129"/>
      <c r="W2725" s="129" t="s">
        <v>4876</v>
      </c>
      <c r="X2725" s="337" t="b">
        <f t="shared" si="77"/>
        <v>0</v>
      </c>
    </row>
    <row r="2726" spans="1:24" s="337" customFormat="1" ht="12" customHeight="1" outlineLevel="1">
      <c r="A2726" s="335"/>
      <c r="B2726" s="118" t="s">
        <v>12</v>
      </c>
      <c r="C2726" s="334" t="s">
        <v>10126</v>
      </c>
      <c r="D2726" s="124" t="s">
        <v>9813</v>
      </c>
      <c r="E2726" s="125"/>
      <c r="F2726" s="118" t="s">
        <v>828</v>
      </c>
      <c r="G2726" s="126" t="s">
        <v>9800</v>
      </c>
      <c r="H2726" s="255">
        <v>1</v>
      </c>
      <c r="I2726" s="361">
        <v>1</v>
      </c>
      <c r="J2726" s="362" t="s">
        <v>310</v>
      </c>
      <c r="K2726" s="363"/>
      <c r="L2726" s="129"/>
      <c r="M2726" s="129"/>
      <c r="N2726" s="129"/>
      <c r="O2726" s="129"/>
      <c r="P2726" s="364"/>
      <c r="Q2726" s="364"/>
      <c r="R2726" s="129"/>
      <c r="S2726" s="129"/>
      <c r="T2726" s="129"/>
      <c r="W2726" s="129" t="s">
        <v>4876</v>
      </c>
      <c r="X2726" s="337" t="b">
        <f t="shared" si="77"/>
        <v>0</v>
      </c>
    </row>
    <row r="2727" spans="1:24" s="337" customFormat="1" ht="12" customHeight="1" outlineLevel="1">
      <c r="A2727" s="335"/>
      <c r="B2727" s="118" t="s">
        <v>12</v>
      </c>
      <c r="C2727" s="334" t="s">
        <v>10127</v>
      </c>
      <c r="D2727" s="124" t="s">
        <v>9815</v>
      </c>
      <c r="E2727" s="125"/>
      <c r="F2727" s="118" t="s">
        <v>828</v>
      </c>
      <c r="G2727" s="126" t="s">
        <v>9800</v>
      </c>
      <c r="H2727" s="255">
        <v>1</v>
      </c>
      <c r="I2727" s="361">
        <v>1</v>
      </c>
      <c r="J2727" s="362" t="s">
        <v>310</v>
      </c>
      <c r="K2727" s="363"/>
      <c r="L2727" s="129"/>
      <c r="M2727" s="129"/>
      <c r="N2727" s="129"/>
      <c r="O2727" s="129"/>
      <c r="P2727" s="364"/>
      <c r="Q2727" s="364"/>
      <c r="R2727" s="129"/>
      <c r="S2727" s="129"/>
      <c r="T2727" s="129"/>
      <c r="W2727" s="129" t="s">
        <v>4876</v>
      </c>
      <c r="X2727" s="337" t="b">
        <f t="shared" si="77"/>
        <v>0</v>
      </c>
    </row>
    <row r="2728" spans="1:24" s="337" customFormat="1" ht="12" customHeight="1" outlineLevel="1">
      <c r="A2728" s="335"/>
      <c r="B2728" s="118" t="s">
        <v>12</v>
      </c>
      <c r="C2728" s="334" t="s">
        <v>10128</v>
      </c>
      <c r="D2728" s="124" t="s">
        <v>9819</v>
      </c>
      <c r="E2728" s="125"/>
      <c r="F2728" s="118" t="s">
        <v>828</v>
      </c>
      <c r="G2728" s="126" t="s">
        <v>9800</v>
      </c>
      <c r="H2728" s="255">
        <v>1</v>
      </c>
      <c r="I2728" s="361">
        <v>1</v>
      </c>
      <c r="J2728" s="362" t="s">
        <v>310</v>
      </c>
      <c r="K2728" s="363"/>
      <c r="L2728" s="129"/>
      <c r="M2728" s="129"/>
      <c r="N2728" s="129"/>
      <c r="O2728" s="129"/>
      <c r="P2728" s="364"/>
      <c r="Q2728" s="364"/>
      <c r="R2728" s="129"/>
      <c r="S2728" s="129"/>
      <c r="T2728" s="129"/>
      <c r="W2728" s="129" t="s">
        <v>4876</v>
      </c>
      <c r="X2728" s="337" t="b">
        <f t="shared" si="77"/>
        <v>0</v>
      </c>
    </row>
    <row r="2729" spans="1:24" s="337" customFormat="1" ht="12" customHeight="1" outlineLevel="1">
      <c r="A2729" s="335"/>
      <c r="B2729" s="118" t="s">
        <v>12</v>
      </c>
      <c r="C2729" s="334" t="s">
        <v>10129</v>
      </c>
      <c r="D2729" s="124" t="s">
        <v>9821</v>
      </c>
      <c r="E2729" s="125"/>
      <c r="F2729" s="118" t="s">
        <v>828</v>
      </c>
      <c r="G2729" s="126" t="s">
        <v>9800</v>
      </c>
      <c r="H2729" s="255">
        <v>1</v>
      </c>
      <c r="I2729" s="361">
        <v>1</v>
      </c>
      <c r="J2729" s="362" t="s">
        <v>310</v>
      </c>
      <c r="K2729" s="363"/>
      <c r="L2729" s="129"/>
      <c r="M2729" s="129"/>
      <c r="N2729" s="129"/>
      <c r="O2729" s="129"/>
      <c r="P2729" s="364"/>
      <c r="Q2729" s="364"/>
      <c r="R2729" s="129"/>
      <c r="S2729" s="129"/>
      <c r="T2729" s="129"/>
      <c r="W2729" s="129" t="s">
        <v>4876</v>
      </c>
      <c r="X2729" s="337" t="b">
        <f t="shared" si="77"/>
        <v>0</v>
      </c>
    </row>
    <row r="2730" spans="1:24" s="337" customFormat="1" ht="12" customHeight="1" outlineLevel="1">
      <c r="A2730" s="335"/>
      <c r="B2730" s="118" t="s">
        <v>12</v>
      </c>
      <c r="C2730" s="334" t="s">
        <v>10130</v>
      </c>
      <c r="D2730" s="124" t="s">
        <v>9825</v>
      </c>
      <c r="E2730" s="125"/>
      <c r="F2730" s="118" t="s">
        <v>828</v>
      </c>
      <c r="G2730" s="126" t="s">
        <v>9800</v>
      </c>
      <c r="H2730" s="255">
        <v>1</v>
      </c>
      <c r="I2730" s="361">
        <v>1</v>
      </c>
      <c r="J2730" s="362" t="s">
        <v>325</v>
      </c>
      <c r="K2730" s="363"/>
      <c r="L2730" s="129"/>
      <c r="M2730" s="129"/>
      <c r="N2730" s="129"/>
      <c r="O2730" s="129"/>
      <c r="P2730" s="364"/>
      <c r="Q2730" s="364"/>
      <c r="R2730" s="129"/>
      <c r="S2730" s="129"/>
      <c r="T2730" s="129"/>
      <c r="W2730" s="129" t="s">
        <v>4876</v>
      </c>
      <c r="X2730" s="337" t="b">
        <f t="shared" si="77"/>
        <v>0</v>
      </c>
    </row>
    <row r="2731" spans="1:24" s="337" customFormat="1" ht="12" customHeight="1" outlineLevel="1">
      <c r="A2731" s="335"/>
      <c r="B2731" s="118" t="s">
        <v>12</v>
      </c>
      <c r="C2731" s="334" t="s">
        <v>10131</v>
      </c>
      <c r="D2731" s="124" t="s">
        <v>9827</v>
      </c>
      <c r="E2731" s="125"/>
      <c r="F2731" s="118" t="s">
        <v>828</v>
      </c>
      <c r="G2731" s="126" t="s">
        <v>9800</v>
      </c>
      <c r="H2731" s="255">
        <v>1</v>
      </c>
      <c r="I2731" s="361">
        <v>1</v>
      </c>
      <c r="J2731" s="362" t="s">
        <v>310</v>
      </c>
      <c r="K2731" s="363"/>
      <c r="L2731" s="129"/>
      <c r="M2731" s="129"/>
      <c r="N2731" s="129"/>
      <c r="O2731" s="129"/>
      <c r="P2731" s="364"/>
      <c r="Q2731" s="364"/>
      <c r="R2731" s="129"/>
      <c r="S2731" s="129"/>
      <c r="T2731" s="129"/>
      <c r="W2731" s="129" t="s">
        <v>4876</v>
      </c>
      <c r="X2731" s="337" t="b">
        <f t="shared" si="77"/>
        <v>0</v>
      </c>
    </row>
    <row r="2732" spans="1:24" s="337" customFormat="1" ht="12" customHeight="1" outlineLevel="1">
      <c r="A2732" s="335"/>
      <c r="B2732" s="118" t="s">
        <v>12</v>
      </c>
      <c r="C2732" s="334" t="s">
        <v>10132</v>
      </c>
      <c r="D2732" s="124" t="s">
        <v>9829</v>
      </c>
      <c r="E2732" s="125"/>
      <c r="F2732" s="118" t="s">
        <v>828</v>
      </c>
      <c r="G2732" s="126" t="s">
        <v>9800</v>
      </c>
      <c r="H2732" s="255">
        <v>1</v>
      </c>
      <c r="I2732" s="361">
        <v>1</v>
      </c>
      <c r="J2732" s="362" t="s">
        <v>310</v>
      </c>
      <c r="K2732" s="363"/>
      <c r="L2732" s="129"/>
      <c r="M2732" s="129"/>
      <c r="N2732" s="129"/>
      <c r="O2732" s="129"/>
      <c r="P2732" s="364"/>
      <c r="Q2732" s="364"/>
      <c r="R2732" s="129"/>
      <c r="S2732" s="129"/>
      <c r="T2732" s="129"/>
      <c r="W2732" s="129" t="s">
        <v>4876</v>
      </c>
      <c r="X2732" s="337" t="b">
        <f t="shared" si="77"/>
        <v>0</v>
      </c>
    </row>
    <row r="2733" spans="1:24" s="337" customFormat="1" ht="12" customHeight="1" outlineLevel="1">
      <c r="A2733" s="335"/>
      <c r="B2733" s="118" t="s">
        <v>12</v>
      </c>
      <c r="C2733" s="334" t="s">
        <v>10133</v>
      </c>
      <c r="D2733" s="124" t="s">
        <v>9831</v>
      </c>
      <c r="E2733" s="125"/>
      <c r="F2733" s="118" t="s">
        <v>828</v>
      </c>
      <c r="G2733" s="126" t="s">
        <v>9800</v>
      </c>
      <c r="H2733" s="255">
        <v>1</v>
      </c>
      <c r="I2733" s="361">
        <v>1</v>
      </c>
      <c r="J2733" s="362" t="s">
        <v>310</v>
      </c>
      <c r="K2733" s="363"/>
      <c r="L2733" s="129"/>
      <c r="M2733" s="129"/>
      <c r="N2733" s="129"/>
      <c r="O2733" s="129"/>
      <c r="P2733" s="364"/>
      <c r="Q2733" s="364"/>
      <c r="R2733" s="129"/>
      <c r="S2733" s="129"/>
      <c r="T2733" s="129"/>
      <c r="W2733" s="129" t="s">
        <v>4876</v>
      </c>
      <c r="X2733" s="337" t="b">
        <f t="shared" si="77"/>
        <v>0</v>
      </c>
    </row>
    <row r="2734" spans="1:24" s="337" customFormat="1" ht="12" customHeight="1" outlineLevel="1">
      <c r="A2734" s="335"/>
      <c r="B2734" s="118" t="s">
        <v>12</v>
      </c>
      <c r="C2734" s="334" t="s">
        <v>10134</v>
      </c>
      <c r="D2734" s="124" t="s">
        <v>9833</v>
      </c>
      <c r="E2734" s="125"/>
      <c r="F2734" s="118" t="s">
        <v>828</v>
      </c>
      <c r="G2734" s="126" t="s">
        <v>9800</v>
      </c>
      <c r="H2734" s="255">
        <v>1</v>
      </c>
      <c r="I2734" s="361">
        <v>1</v>
      </c>
      <c r="J2734" s="362" t="s">
        <v>310</v>
      </c>
      <c r="K2734" s="363"/>
      <c r="L2734" s="129"/>
      <c r="M2734" s="129"/>
      <c r="N2734" s="129"/>
      <c r="O2734" s="129"/>
      <c r="P2734" s="364"/>
      <c r="Q2734" s="364"/>
      <c r="R2734" s="129"/>
      <c r="S2734" s="129"/>
      <c r="T2734" s="129"/>
      <c r="W2734" s="129" t="s">
        <v>4876</v>
      </c>
      <c r="X2734" s="337" t="b">
        <f t="shared" si="77"/>
        <v>0</v>
      </c>
    </row>
    <row r="2735" spans="1:24" s="337" customFormat="1" ht="12" customHeight="1" outlineLevel="1">
      <c r="A2735" s="335"/>
      <c r="B2735" s="118" t="s">
        <v>12</v>
      </c>
      <c r="C2735" s="334" t="s">
        <v>10135</v>
      </c>
      <c r="D2735" s="124" t="s">
        <v>9835</v>
      </c>
      <c r="E2735" s="125"/>
      <c r="F2735" s="118" t="s">
        <v>828</v>
      </c>
      <c r="G2735" s="126" t="s">
        <v>9800</v>
      </c>
      <c r="H2735" s="255">
        <v>1</v>
      </c>
      <c r="I2735" s="361">
        <v>1</v>
      </c>
      <c r="J2735" s="362" t="s">
        <v>310</v>
      </c>
      <c r="K2735" s="363"/>
      <c r="L2735" s="129"/>
      <c r="M2735" s="129"/>
      <c r="N2735" s="129"/>
      <c r="O2735" s="129"/>
      <c r="P2735" s="364"/>
      <c r="Q2735" s="364"/>
      <c r="R2735" s="129"/>
      <c r="S2735" s="129"/>
      <c r="T2735" s="129"/>
      <c r="W2735" s="129" t="s">
        <v>4876</v>
      </c>
      <c r="X2735" s="337" t="b">
        <f t="shared" si="77"/>
        <v>0</v>
      </c>
    </row>
    <row r="2736" spans="1:24" s="337" customFormat="1" ht="12" customHeight="1" outlineLevel="1">
      <c r="A2736" s="335"/>
      <c r="B2736" s="118" t="s">
        <v>12</v>
      </c>
      <c r="C2736" s="334" t="s">
        <v>10136</v>
      </c>
      <c r="D2736" s="124" t="s">
        <v>10029</v>
      </c>
      <c r="E2736" s="125"/>
      <c r="F2736" s="118" t="s">
        <v>828</v>
      </c>
      <c r="G2736" s="126" t="s">
        <v>9800</v>
      </c>
      <c r="H2736" s="255">
        <v>1</v>
      </c>
      <c r="I2736" s="361">
        <v>1</v>
      </c>
      <c r="J2736" s="362" t="s">
        <v>307</v>
      </c>
      <c r="K2736" s="363"/>
      <c r="L2736" s="129"/>
      <c r="M2736" s="129"/>
      <c r="N2736" s="129"/>
      <c r="O2736" s="129"/>
      <c r="P2736" s="364"/>
      <c r="Q2736" s="364"/>
      <c r="R2736" s="129"/>
      <c r="S2736" s="129"/>
      <c r="T2736" s="129"/>
      <c r="W2736" s="129" t="s">
        <v>4876</v>
      </c>
      <c r="X2736" s="337" t="b">
        <f t="shared" si="77"/>
        <v>0</v>
      </c>
    </row>
    <row r="2737" spans="1:24" s="337" customFormat="1" ht="12" customHeight="1" outlineLevel="1">
      <c r="A2737" s="335"/>
      <c r="B2737" s="118" t="s">
        <v>12</v>
      </c>
      <c r="C2737" s="334" t="s">
        <v>10137</v>
      </c>
      <c r="D2737" s="124" t="s">
        <v>9841</v>
      </c>
      <c r="E2737" s="125"/>
      <c r="F2737" s="118" t="s">
        <v>828</v>
      </c>
      <c r="G2737" s="126" t="s">
        <v>9800</v>
      </c>
      <c r="H2737" s="255">
        <v>1</v>
      </c>
      <c r="I2737" s="361">
        <v>1</v>
      </c>
      <c r="J2737" s="362" t="s">
        <v>307</v>
      </c>
      <c r="K2737" s="363"/>
      <c r="L2737" s="129"/>
      <c r="M2737" s="129"/>
      <c r="N2737" s="129"/>
      <c r="O2737" s="129"/>
      <c r="P2737" s="364"/>
      <c r="Q2737" s="364"/>
      <c r="R2737" s="129"/>
      <c r="S2737" s="129"/>
      <c r="T2737" s="129"/>
      <c r="W2737" s="129" t="s">
        <v>4876</v>
      </c>
      <c r="X2737" s="337" t="b">
        <f t="shared" si="77"/>
        <v>0</v>
      </c>
    </row>
    <row r="2738" spans="1:24" s="337" customFormat="1" ht="12" customHeight="1" outlineLevel="1">
      <c r="A2738" s="335"/>
      <c r="B2738" s="118" t="s">
        <v>12</v>
      </c>
      <c r="C2738" s="334" t="s">
        <v>10138</v>
      </c>
      <c r="D2738" s="124" t="s">
        <v>9843</v>
      </c>
      <c r="E2738" s="125"/>
      <c r="F2738" s="118" t="s">
        <v>828</v>
      </c>
      <c r="G2738" s="126" t="s">
        <v>9800</v>
      </c>
      <c r="H2738" s="255">
        <v>1</v>
      </c>
      <c r="I2738" s="361">
        <v>1</v>
      </c>
      <c r="J2738" s="362" t="s">
        <v>307</v>
      </c>
      <c r="K2738" s="363"/>
      <c r="L2738" s="129"/>
      <c r="M2738" s="129"/>
      <c r="N2738" s="129"/>
      <c r="O2738" s="129"/>
      <c r="P2738" s="364"/>
      <c r="Q2738" s="364"/>
      <c r="R2738" s="129"/>
      <c r="S2738" s="129"/>
      <c r="T2738" s="129"/>
      <c r="W2738" s="129" t="s">
        <v>4876</v>
      </c>
      <c r="X2738" s="337" t="b">
        <f t="shared" si="77"/>
        <v>0</v>
      </c>
    </row>
    <row r="2739" spans="1:24" s="337" customFormat="1" ht="12" customHeight="1" outlineLevel="1">
      <c r="A2739" s="335"/>
      <c r="B2739" s="118" t="s">
        <v>12</v>
      </c>
      <c r="C2739" s="334" t="s">
        <v>10139</v>
      </c>
      <c r="D2739" s="124" t="s">
        <v>10033</v>
      </c>
      <c r="E2739" s="125"/>
      <c r="F2739" s="118" t="s">
        <v>828</v>
      </c>
      <c r="G2739" s="126" t="s">
        <v>9800</v>
      </c>
      <c r="H2739" s="255">
        <v>1</v>
      </c>
      <c r="I2739" s="361">
        <v>1</v>
      </c>
      <c r="J2739" s="362" t="s">
        <v>310</v>
      </c>
      <c r="K2739" s="363"/>
      <c r="L2739" s="129"/>
      <c r="M2739" s="129"/>
      <c r="N2739" s="129"/>
      <c r="O2739" s="129"/>
      <c r="P2739" s="364"/>
      <c r="Q2739" s="364"/>
      <c r="R2739" s="129"/>
      <c r="S2739" s="129"/>
      <c r="T2739" s="129"/>
      <c r="W2739" s="129" t="s">
        <v>4876</v>
      </c>
      <c r="X2739" s="337" t="b">
        <f t="shared" si="77"/>
        <v>0</v>
      </c>
    </row>
    <row r="2740" spans="1:24" s="337" customFormat="1" ht="12" customHeight="1" outlineLevel="1">
      <c r="A2740" s="335"/>
      <c r="B2740" s="118" t="s">
        <v>12</v>
      </c>
      <c r="C2740" s="334" t="s">
        <v>10140</v>
      </c>
      <c r="D2740" s="124" t="s">
        <v>9847</v>
      </c>
      <c r="E2740" s="125"/>
      <c r="F2740" s="118" t="s">
        <v>828</v>
      </c>
      <c r="G2740" s="126" t="s">
        <v>9800</v>
      </c>
      <c r="H2740" s="255">
        <v>1</v>
      </c>
      <c r="I2740" s="361">
        <v>1</v>
      </c>
      <c r="J2740" s="362" t="s">
        <v>307</v>
      </c>
      <c r="K2740" s="363"/>
      <c r="L2740" s="129"/>
      <c r="M2740" s="129"/>
      <c r="N2740" s="129"/>
      <c r="O2740" s="129"/>
      <c r="P2740" s="364"/>
      <c r="Q2740" s="364"/>
      <c r="R2740" s="129"/>
      <c r="S2740" s="129"/>
      <c r="T2740" s="129"/>
      <c r="W2740" s="129" t="s">
        <v>4876</v>
      </c>
      <c r="X2740" s="337" t="b">
        <f t="shared" si="77"/>
        <v>0</v>
      </c>
    </row>
    <row r="2741" spans="1:24" s="337" customFormat="1" ht="12" customHeight="1" outlineLevel="1">
      <c r="A2741" s="335"/>
      <c r="B2741" s="118" t="s">
        <v>12</v>
      </c>
      <c r="C2741" s="334" t="s">
        <v>10141</v>
      </c>
      <c r="D2741" s="124" t="s">
        <v>9849</v>
      </c>
      <c r="E2741" s="125"/>
      <c r="F2741" s="118" t="s">
        <v>828</v>
      </c>
      <c r="G2741" s="126" t="s">
        <v>9800</v>
      </c>
      <c r="H2741" s="255">
        <v>1</v>
      </c>
      <c r="I2741" s="361">
        <v>1</v>
      </c>
      <c r="J2741" s="362" t="s">
        <v>307</v>
      </c>
      <c r="K2741" s="363"/>
      <c r="L2741" s="129"/>
      <c r="M2741" s="129"/>
      <c r="N2741" s="129"/>
      <c r="O2741" s="129"/>
      <c r="P2741" s="364"/>
      <c r="Q2741" s="364"/>
      <c r="R2741" s="129"/>
      <c r="S2741" s="129"/>
      <c r="T2741" s="129"/>
      <c r="W2741" s="129" t="s">
        <v>4876</v>
      </c>
      <c r="X2741" s="337" t="b">
        <f t="shared" si="77"/>
        <v>0</v>
      </c>
    </row>
    <row r="2742" spans="1:24" s="337" customFormat="1" ht="12" customHeight="1" outlineLevel="1">
      <c r="A2742" s="335"/>
      <c r="B2742" s="118" t="s">
        <v>12</v>
      </c>
      <c r="C2742" s="334" t="s">
        <v>10142</v>
      </c>
      <c r="D2742" s="124" t="s">
        <v>10037</v>
      </c>
      <c r="E2742" s="125"/>
      <c r="F2742" s="118" t="s">
        <v>828</v>
      </c>
      <c r="G2742" s="126" t="s">
        <v>9800</v>
      </c>
      <c r="H2742" s="255">
        <v>1</v>
      </c>
      <c r="I2742" s="361">
        <v>1</v>
      </c>
      <c r="J2742" s="362" t="s">
        <v>307</v>
      </c>
      <c r="K2742" s="363"/>
      <c r="L2742" s="129"/>
      <c r="M2742" s="129"/>
      <c r="N2742" s="129"/>
      <c r="O2742" s="129"/>
      <c r="P2742" s="364"/>
      <c r="Q2742" s="364"/>
      <c r="R2742" s="129"/>
      <c r="S2742" s="129"/>
      <c r="T2742" s="129"/>
      <c r="W2742" s="129" t="s">
        <v>4876</v>
      </c>
      <c r="X2742" s="337" t="b">
        <f t="shared" si="77"/>
        <v>0</v>
      </c>
    </row>
    <row r="2743" spans="1:24" s="337" customFormat="1" ht="12" customHeight="1" outlineLevel="1">
      <c r="A2743" s="335"/>
      <c r="B2743" s="118" t="s">
        <v>12</v>
      </c>
      <c r="C2743" s="334" t="s">
        <v>10143</v>
      </c>
      <c r="D2743" s="124" t="s">
        <v>9853</v>
      </c>
      <c r="E2743" s="125"/>
      <c r="F2743" s="118" t="s">
        <v>828</v>
      </c>
      <c r="G2743" s="126" t="s">
        <v>9800</v>
      </c>
      <c r="H2743" s="255">
        <v>1</v>
      </c>
      <c r="I2743" s="361">
        <v>1</v>
      </c>
      <c r="J2743" s="362" t="s">
        <v>307</v>
      </c>
      <c r="K2743" s="363"/>
      <c r="L2743" s="129"/>
      <c r="M2743" s="129"/>
      <c r="N2743" s="129"/>
      <c r="O2743" s="129"/>
      <c r="P2743" s="364"/>
      <c r="Q2743" s="364"/>
      <c r="R2743" s="129"/>
      <c r="S2743" s="129"/>
      <c r="T2743" s="129"/>
      <c r="W2743" s="129" t="s">
        <v>4876</v>
      </c>
      <c r="X2743" s="337" t="b">
        <f t="shared" si="77"/>
        <v>0</v>
      </c>
    </row>
    <row r="2744" spans="1:24" s="337" customFormat="1" ht="12" customHeight="1" outlineLevel="1">
      <c r="A2744" s="335"/>
      <c r="B2744" s="118" t="s">
        <v>12</v>
      </c>
      <c r="C2744" s="334" t="s">
        <v>10144</v>
      </c>
      <c r="D2744" s="124" t="s">
        <v>9855</v>
      </c>
      <c r="E2744" s="125"/>
      <c r="F2744" s="118" t="s">
        <v>828</v>
      </c>
      <c r="G2744" s="126" t="s">
        <v>9800</v>
      </c>
      <c r="H2744" s="255">
        <v>1</v>
      </c>
      <c r="I2744" s="361">
        <v>1</v>
      </c>
      <c r="J2744" s="362" t="s">
        <v>307</v>
      </c>
      <c r="K2744" s="363"/>
      <c r="L2744" s="129"/>
      <c r="M2744" s="129"/>
      <c r="N2744" s="129"/>
      <c r="O2744" s="129"/>
      <c r="P2744" s="364"/>
      <c r="Q2744" s="364"/>
      <c r="R2744" s="129"/>
      <c r="S2744" s="129"/>
      <c r="T2744" s="129"/>
      <c r="W2744" s="129" t="s">
        <v>4876</v>
      </c>
      <c r="X2744" s="337" t="b">
        <f t="shared" si="77"/>
        <v>0</v>
      </c>
    </row>
    <row r="2745" spans="1:24" s="337" customFormat="1" ht="12" customHeight="1" outlineLevel="1">
      <c r="A2745" s="335"/>
      <c r="B2745" s="118" t="s">
        <v>12</v>
      </c>
      <c r="C2745" s="334" t="s">
        <v>10145</v>
      </c>
      <c r="D2745" s="124" t="s">
        <v>9857</v>
      </c>
      <c r="E2745" s="125"/>
      <c r="F2745" s="118" t="s">
        <v>828</v>
      </c>
      <c r="G2745" s="126" t="s">
        <v>9800</v>
      </c>
      <c r="H2745" s="255">
        <v>1</v>
      </c>
      <c r="I2745" s="361">
        <v>1</v>
      </c>
      <c r="J2745" s="362" t="s">
        <v>310</v>
      </c>
      <c r="K2745" s="363"/>
      <c r="L2745" s="129"/>
      <c r="M2745" s="129"/>
      <c r="N2745" s="129"/>
      <c r="O2745" s="129"/>
      <c r="P2745" s="364"/>
      <c r="Q2745" s="364"/>
      <c r="R2745" s="129"/>
      <c r="S2745" s="129"/>
      <c r="T2745" s="129"/>
      <c r="W2745" s="129" t="s">
        <v>4876</v>
      </c>
      <c r="X2745" s="337" t="b">
        <f t="shared" si="77"/>
        <v>0</v>
      </c>
    </row>
    <row r="2746" spans="1:24" s="337" customFormat="1" ht="12" customHeight="1" outlineLevel="1">
      <c r="A2746" s="335"/>
      <c r="B2746" s="118" t="s">
        <v>12</v>
      </c>
      <c r="C2746" s="334" t="s">
        <v>10146</v>
      </c>
      <c r="D2746" s="124" t="s">
        <v>9859</v>
      </c>
      <c r="E2746" s="125"/>
      <c r="F2746" s="118" t="s">
        <v>828</v>
      </c>
      <c r="G2746" s="126" t="s">
        <v>9800</v>
      </c>
      <c r="H2746" s="255">
        <v>1</v>
      </c>
      <c r="I2746" s="361">
        <v>1</v>
      </c>
      <c r="J2746" s="362" t="s">
        <v>286</v>
      </c>
      <c r="K2746" s="363"/>
      <c r="L2746" s="129"/>
      <c r="M2746" s="129"/>
      <c r="N2746" s="129"/>
      <c r="O2746" s="129"/>
      <c r="P2746" s="364"/>
      <c r="Q2746" s="364"/>
      <c r="R2746" s="129"/>
      <c r="S2746" s="129"/>
      <c r="T2746" s="129"/>
      <c r="W2746" s="129" t="s">
        <v>4876</v>
      </c>
      <c r="X2746" s="337" t="b">
        <f t="shared" si="77"/>
        <v>0</v>
      </c>
    </row>
    <row r="2747" spans="1:24" s="337" customFormat="1" ht="12" customHeight="1" outlineLevel="1">
      <c r="A2747" s="335"/>
      <c r="B2747" s="118" t="s">
        <v>12</v>
      </c>
      <c r="C2747" s="334" t="s">
        <v>10147</v>
      </c>
      <c r="D2747" s="124" t="s">
        <v>10043</v>
      </c>
      <c r="E2747" s="125"/>
      <c r="F2747" s="118" t="s">
        <v>828</v>
      </c>
      <c r="G2747" s="126" t="s">
        <v>9800</v>
      </c>
      <c r="H2747" s="255">
        <v>1</v>
      </c>
      <c r="I2747" s="361">
        <v>1</v>
      </c>
      <c r="J2747" s="362" t="s">
        <v>286</v>
      </c>
      <c r="K2747" s="363"/>
      <c r="L2747" s="129"/>
      <c r="M2747" s="129"/>
      <c r="N2747" s="129"/>
      <c r="O2747" s="129"/>
      <c r="P2747" s="364"/>
      <c r="Q2747" s="364"/>
      <c r="R2747" s="129"/>
      <c r="S2747" s="129"/>
      <c r="T2747" s="129"/>
      <c r="W2747" s="129" t="s">
        <v>4876</v>
      </c>
      <c r="X2747" s="337" t="b">
        <f t="shared" si="77"/>
        <v>0</v>
      </c>
    </row>
    <row r="2748" spans="1:24" s="337" customFormat="1" ht="12" customHeight="1" outlineLevel="1">
      <c r="A2748" s="335"/>
      <c r="B2748" s="118" t="s">
        <v>12</v>
      </c>
      <c r="C2748" s="334" t="s">
        <v>10148</v>
      </c>
      <c r="D2748" s="124" t="s">
        <v>9861</v>
      </c>
      <c r="E2748" s="125"/>
      <c r="F2748" s="118" t="s">
        <v>828</v>
      </c>
      <c r="G2748" s="126" t="s">
        <v>9800</v>
      </c>
      <c r="H2748" s="255">
        <v>1</v>
      </c>
      <c r="I2748" s="361">
        <v>1</v>
      </c>
      <c r="J2748" s="362" t="s">
        <v>310</v>
      </c>
      <c r="K2748" s="363"/>
      <c r="L2748" s="129"/>
      <c r="M2748" s="129"/>
      <c r="N2748" s="129"/>
      <c r="O2748" s="129"/>
      <c r="P2748" s="364"/>
      <c r="Q2748" s="364"/>
      <c r="R2748" s="129"/>
      <c r="S2748" s="129"/>
      <c r="T2748" s="129"/>
      <c r="W2748" s="129" t="s">
        <v>4876</v>
      </c>
      <c r="X2748" s="337" t="b">
        <f t="shared" si="77"/>
        <v>0</v>
      </c>
    </row>
    <row r="2749" spans="1:24" s="337" customFormat="1" ht="12" customHeight="1" outlineLevel="1">
      <c r="A2749" s="335"/>
      <c r="B2749" s="118" t="s">
        <v>12</v>
      </c>
      <c r="C2749" s="334" t="s">
        <v>10149</v>
      </c>
      <c r="D2749" s="124" t="s">
        <v>9863</v>
      </c>
      <c r="E2749" s="125"/>
      <c r="F2749" s="118" t="s">
        <v>828</v>
      </c>
      <c r="G2749" s="126" t="s">
        <v>9800</v>
      </c>
      <c r="H2749" s="255">
        <v>1</v>
      </c>
      <c r="I2749" s="361">
        <v>1</v>
      </c>
      <c r="J2749" s="362" t="s">
        <v>310</v>
      </c>
      <c r="K2749" s="363"/>
      <c r="L2749" s="129"/>
      <c r="M2749" s="129"/>
      <c r="N2749" s="129"/>
      <c r="O2749" s="129"/>
      <c r="P2749" s="364"/>
      <c r="Q2749" s="364"/>
      <c r="R2749" s="129"/>
      <c r="S2749" s="129"/>
      <c r="T2749" s="129"/>
      <c r="W2749" s="129" t="s">
        <v>4876</v>
      </c>
      <c r="X2749" s="337" t="b">
        <f t="shared" si="77"/>
        <v>0</v>
      </c>
    </row>
    <row r="2750" spans="1:24" s="337" customFormat="1" ht="12" customHeight="1" outlineLevel="1">
      <c r="A2750" s="335"/>
      <c r="B2750" s="118" t="s">
        <v>12</v>
      </c>
      <c r="C2750" s="334" t="s">
        <v>10150</v>
      </c>
      <c r="D2750" s="124" t="s">
        <v>9865</v>
      </c>
      <c r="E2750" s="125"/>
      <c r="F2750" s="118" t="s">
        <v>828</v>
      </c>
      <c r="G2750" s="126" t="s">
        <v>9800</v>
      </c>
      <c r="H2750" s="255">
        <v>1</v>
      </c>
      <c r="I2750" s="361">
        <v>1</v>
      </c>
      <c r="J2750" s="362" t="s">
        <v>310</v>
      </c>
      <c r="K2750" s="363"/>
      <c r="L2750" s="129"/>
      <c r="M2750" s="129"/>
      <c r="N2750" s="129"/>
      <c r="O2750" s="129"/>
      <c r="P2750" s="364"/>
      <c r="Q2750" s="364"/>
      <c r="R2750" s="129"/>
      <c r="S2750" s="129"/>
      <c r="T2750" s="129"/>
      <c r="W2750" s="129" t="s">
        <v>4876</v>
      </c>
      <c r="X2750" s="337" t="b">
        <f t="shared" si="77"/>
        <v>0</v>
      </c>
    </row>
    <row r="2751" spans="1:24" s="337" customFormat="1" ht="12" customHeight="1" outlineLevel="1">
      <c r="A2751" s="335"/>
      <c r="B2751" s="118" t="s">
        <v>12</v>
      </c>
      <c r="C2751" s="334" t="s">
        <v>10151</v>
      </c>
      <c r="D2751" s="124" t="s">
        <v>9867</v>
      </c>
      <c r="E2751" s="125"/>
      <c r="F2751" s="118" t="s">
        <v>828</v>
      </c>
      <c r="G2751" s="126" t="s">
        <v>9800</v>
      </c>
      <c r="H2751" s="255">
        <v>1</v>
      </c>
      <c r="I2751" s="361">
        <v>1</v>
      </c>
      <c r="J2751" s="362" t="s">
        <v>307</v>
      </c>
      <c r="K2751" s="363"/>
      <c r="L2751" s="129"/>
      <c r="M2751" s="129"/>
      <c r="N2751" s="129"/>
      <c r="O2751" s="129"/>
      <c r="P2751" s="364"/>
      <c r="Q2751" s="364"/>
      <c r="R2751" s="129"/>
      <c r="S2751" s="129"/>
      <c r="T2751" s="129"/>
      <c r="W2751" s="129" t="s">
        <v>4876</v>
      </c>
      <c r="X2751" s="337" t="b">
        <f t="shared" si="77"/>
        <v>0</v>
      </c>
    </row>
    <row r="2752" spans="1:24" s="337" customFormat="1" ht="12" customHeight="1" outlineLevel="1">
      <c r="A2752" s="335"/>
      <c r="B2752" s="118" t="s">
        <v>12</v>
      </c>
      <c r="C2752" s="334" t="s">
        <v>10152</v>
      </c>
      <c r="D2752" s="124" t="s">
        <v>9869</v>
      </c>
      <c r="E2752" s="125"/>
      <c r="F2752" s="118" t="s">
        <v>828</v>
      </c>
      <c r="G2752" s="126" t="s">
        <v>9800</v>
      </c>
      <c r="H2752" s="255">
        <v>1</v>
      </c>
      <c r="I2752" s="361">
        <v>1</v>
      </c>
      <c r="J2752" s="362" t="s">
        <v>310</v>
      </c>
      <c r="K2752" s="363"/>
      <c r="L2752" s="129"/>
      <c r="M2752" s="129"/>
      <c r="N2752" s="129"/>
      <c r="O2752" s="129"/>
      <c r="P2752" s="364"/>
      <c r="Q2752" s="364"/>
      <c r="R2752" s="129"/>
      <c r="S2752" s="129"/>
      <c r="T2752" s="129"/>
      <c r="W2752" s="129" t="s">
        <v>4876</v>
      </c>
      <c r="X2752" s="337" t="b">
        <f t="shared" si="77"/>
        <v>0</v>
      </c>
    </row>
    <row r="2753" spans="1:24" s="337" customFormat="1" ht="12" customHeight="1" outlineLevel="1">
      <c r="A2753" s="335"/>
      <c r="B2753" s="118" t="s">
        <v>12</v>
      </c>
      <c r="C2753" s="334" t="s">
        <v>10153</v>
      </c>
      <c r="D2753" s="124" t="s">
        <v>9871</v>
      </c>
      <c r="E2753" s="125"/>
      <c r="F2753" s="118" t="s">
        <v>828</v>
      </c>
      <c r="G2753" s="126" t="s">
        <v>9800</v>
      </c>
      <c r="H2753" s="255">
        <v>1</v>
      </c>
      <c r="I2753" s="361">
        <v>1</v>
      </c>
      <c r="J2753" s="362" t="s">
        <v>286</v>
      </c>
      <c r="K2753" s="363"/>
      <c r="L2753" s="129"/>
      <c r="M2753" s="129"/>
      <c r="N2753" s="129"/>
      <c r="O2753" s="129"/>
      <c r="P2753" s="364"/>
      <c r="Q2753" s="364"/>
      <c r="R2753" s="129"/>
      <c r="S2753" s="129"/>
      <c r="T2753" s="129"/>
      <c r="W2753" s="129" t="s">
        <v>4876</v>
      </c>
      <c r="X2753" s="337" t="b">
        <f t="shared" si="77"/>
        <v>0</v>
      </c>
    </row>
    <row r="2754" spans="1:24" s="337" customFormat="1" ht="12" customHeight="1" outlineLevel="1">
      <c r="A2754" s="335"/>
      <c r="B2754" s="118" t="s">
        <v>12</v>
      </c>
      <c r="C2754" s="334" t="s">
        <v>10154</v>
      </c>
      <c r="D2754" s="124" t="s">
        <v>10155</v>
      </c>
      <c r="E2754" s="125"/>
      <c r="F2754" s="118" t="s">
        <v>828</v>
      </c>
      <c r="G2754" s="126" t="s">
        <v>9800</v>
      </c>
      <c r="H2754" s="255">
        <v>1</v>
      </c>
      <c r="I2754" s="361">
        <v>1</v>
      </c>
      <c r="J2754" s="362" t="s">
        <v>286</v>
      </c>
      <c r="K2754" s="363"/>
      <c r="L2754" s="129"/>
      <c r="M2754" s="129"/>
      <c r="N2754" s="129"/>
      <c r="O2754" s="129"/>
      <c r="P2754" s="364"/>
      <c r="Q2754" s="364"/>
      <c r="R2754" s="129"/>
      <c r="S2754" s="129"/>
      <c r="T2754" s="129"/>
      <c r="W2754" s="129" t="s">
        <v>286</v>
      </c>
      <c r="X2754" s="337" t="b">
        <f t="shared" si="77"/>
        <v>1</v>
      </c>
    </row>
    <row r="2755" spans="1:24" s="337" customFormat="1" ht="12" customHeight="1" outlineLevel="1">
      <c r="A2755" s="335"/>
      <c r="B2755" s="118" t="s">
        <v>12</v>
      </c>
      <c r="C2755" s="334" t="s">
        <v>10156</v>
      </c>
      <c r="D2755" s="124" t="s">
        <v>9876</v>
      </c>
      <c r="E2755" s="125"/>
      <c r="F2755" s="118" t="s">
        <v>828</v>
      </c>
      <c r="G2755" s="126" t="s">
        <v>9800</v>
      </c>
      <c r="H2755" s="255">
        <v>1</v>
      </c>
      <c r="I2755" s="361">
        <v>1</v>
      </c>
      <c r="J2755" s="362" t="s">
        <v>310</v>
      </c>
      <c r="K2755" s="363"/>
      <c r="L2755" s="129"/>
      <c r="M2755" s="129"/>
      <c r="N2755" s="129"/>
      <c r="O2755" s="129"/>
      <c r="P2755" s="364"/>
      <c r="Q2755" s="364"/>
      <c r="R2755" s="129"/>
      <c r="S2755" s="129"/>
      <c r="T2755" s="129"/>
      <c r="W2755" s="129" t="s">
        <v>310</v>
      </c>
      <c r="X2755" s="337" t="b">
        <f t="shared" si="77"/>
        <v>1</v>
      </c>
    </row>
    <row r="2756" spans="1:24" s="337" customFormat="1" ht="12" customHeight="1" outlineLevel="1">
      <c r="A2756" s="335"/>
      <c r="B2756" s="118" t="s">
        <v>12</v>
      </c>
      <c r="C2756" s="334" t="s">
        <v>10157</v>
      </c>
      <c r="D2756" s="124" t="s">
        <v>9878</v>
      </c>
      <c r="E2756" s="125"/>
      <c r="F2756" s="118" t="s">
        <v>828</v>
      </c>
      <c r="G2756" s="126" t="s">
        <v>9800</v>
      </c>
      <c r="H2756" s="255">
        <v>1</v>
      </c>
      <c r="I2756" s="361">
        <v>1</v>
      </c>
      <c r="J2756" s="362" t="s">
        <v>307</v>
      </c>
      <c r="K2756" s="363"/>
      <c r="L2756" s="129"/>
      <c r="M2756" s="129"/>
      <c r="N2756" s="129"/>
      <c r="O2756" s="129"/>
      <c r="P2756" s="364"/>
      <c r="Q2756" s="364"/>
      <c r="R2756" s="129"/>
      <c r="S2756" s="129"/>
      <c r="T2756" s="129"/>
      <c r="W2756" s="129" t="s">
        <v>4876</v>
      </c>
      <c r="X2756" s="337" t="b">
        <f t="shared" si="77"/>
        <v>0</v>
      </c>
    </row>
    <row r="2757" spans="1:24" s="337" customFormat="1" ht="12" customHeight="1" outlineLevel="1">
      <c r="A2757" s="335"/>
      <c r="B2757" s="118" t="s">
        <v>12</v>
      </c>
      <c r="C2757" s="334" t="s">
        <v>10158</v>
      </c>
      <c r="D2757" s="124" t="s">
        <v>9880</v>
      </c>
      <c r="E2757" s="125"/>
      <c r="F2757" s="118" t="s">
        <v>828</v>
      </c>
      <c r="G2757" s="126" t="s">
        <v>9800</v>
      </c>
      <c r="H2757" s="255">
        <v>1</v>
      </c>
      <c r="I2757" s="361">
        <v>1</v>
      </c>
      <c r="J2757" s="362" t="s">
        <v>307</v>
      </c>
      <c r="K2757" s="363"/>
      <c r="L2757" s="129"/>
      <c r="M2757" s="129"/>
      <c r="N2757" s="129"/>
      <c r="O2757" s="129"/>
      <c r="P2757" s="364"/>
      <c r="Q2757" s="364"/>
      <c r="R2757" s="129"/>
      <c r="S2757" s="129"/>
      <c r="T2757" s="129"/>
      <c r="W2757" s="129" t="s">
        <v>4876</v>
      </c>
      <c r="X2757" s="337" t="b">
        <f t="shared" si="77"/>
        <v>0</v>
      </c>
    </row>
    <row r="2758" spans="1:24" s="337" customFormat="1" ht="12" customHeight="1" outlineLevel="1">
      <c r="A2758" s="335"/>
      <c r="B2758" s="118" t="s">
        <v>12</v>
      </c>
      <c r="C2758" s="334" t="s">
        <v>10159</v>
      </c>
      <c r="D2758" s="124" t="s">
        <v>9882</v>
      </c>
      <c r="E2758" s="125"/>
      <c r="F2758" s="118" t="s">
        <v>828</v>
      </c>
      <c r="G2758" s="126" t="s">
        <v>9800</v>
      </c>
      <c r="H2758" s="255">
        <v>1</v>
      </c>
      <c r="I2758" s="361">
        <v>1</v>
      </c>
      <c r="J2758" s="362" t="s">
        <v>310</v>
      </c>
      <c r="K2758" s="363"/>
      <c r="L2758" s="129"/>
      <c r="M2758" s="129"/>
      <c r="N2758" s="129"/>
      <c r="O2758" s="129"/>
      <c r="P2758" s="364"/>
      <c r="Q2758" s="364"/>
      <c r="R2758" s="129"/>
      <c r="S2758" s="129"/>
      <c r="T2758" s="129"/>
      <c r="W2758" s="129" t="s">
        <v>4876</v>
      </c>
      <c r="X2758" s="337" t="b">
        <f t="shared" si="77"/>
        <v>0</v>
      </c>
    </row>
    <row r="2759" spans="1:24" s="337" customFormat="1" ht="12" customHeight="1" outlineLevel="1">
      <c r="A2759" s="335"/>
      <c r="B2759" s="118" t="s">
        <v>12</v>
      </c>
      <c r="C2759" s="334" t="s">
        <v>10160</v>
      </c>
      <c r="D2759" s="124" t="s">
        <v>9884</v>
      </c>
      <c r="E2759" s="125"/>
      <c r="F2759" s="118" t="s">
        <v>828</v>
      </c>
      <c r="G2759" s="126" t="s">
        <v>9800</v>
      </c>
      <c r="H2759" s="255">
        <v>1</v>
      </c>
      <c r="I2759" s="361">
        <v>1</v>
      </c>
      <c r="J2759" s="362" t="s">
        <v>307</v>
      </c>
      <c r="K2759" s="363"/>
      <c r="L2759" s="129"/>
      <c r="M2759" s="129"/>
      <c r="N2759" s="129"/>
      <c r="O2759" s="129"/>
      <c r="P2759" s="364"/>
      <c r="Q2759" s="364"/>
      <c r="R2759" s="129"/>
      <c r="S2759" s="129"/>
      <c r="T2759" s="129"/>
      <c r="W2759" s="129" t="s">
        <v>4876</v>
      </c>
      <c r="X2759" s="337" t="b">
        <f t="shared" si="77"/>
        <v>0</v>
      </c>
    </row>
    <row r="2760" spans="1:24" s="337" customFormat="1" ht="12" customHeight="1" outlineLevel="1">
      <c r="A2760" s="335"/>
      <c r="B2760" s="118" t="s">
        <v>12</v>
      </c>
      <c r="C2760" s="334" t="s">
        <v>10161</v>
      </c>
      <c r="D2760" s="124" t="s">
        <v>9886</v>
      </c>
      <c r="E2760" s="125"/>
      <c r="F2760" s="118" t="s">
        <v>828</v>
      </c>
      <c r="G2760" s="126" t="s">
        <v>9800</v>
      </c>
      <c r="H2760" s="255">
        <v>1</v>
      </c>
      <c r="I2760" s="361">
        <v>1</v>
      </c>
      <c r="J2760" s="362" t="s">
        <v>325</v>
      </c>
      <c r="K2760" s="363"/>
      <c r="L2760" s="129"/>
      <c r="M2760" s="129"/>
      <c r="N2760" s="129"/>
      <c r="O2760" s="129"/>
      <c r="P2760" s="364"/>
      <c r="Q2760" s="364"/>
      <c r="R2760" s="129"/>
      <c r="S2760" s="129"/>
      <c r="T2760" s="129"/>
      <c r="W2760" s="129" t="s">
        <v>4876</v>
      </c>
      <c r="X2760" s="337" t="b">
        <f t="shared" si="77"/>
        <v>0</v>
      </c>
    </row>
    <row r="2761" spans="1:24" s="337" customFormat="1" ht="12" customHeight="1" outlineLevel="1">
      <c r="A2761" s="335"/>
      <c r="B2761" s="118" t="s">
        <v>12</v>
      </c>
      <c r="C2761" s="334" t="s">
        <v>10162</v>
      </c>
      <c r="D2761" s="124" t="s">
        <v>9888</v>
      </c>
      <c r="E2761" s="125"/>
      <c r="F2761" s="118" t="s">
        <v>828</v>
      </c>
      <c r="G2761" s="126" t="s">
        <v>9800</v>
      </c>
      <c r="H2761" s="255">
        <v>1</v>
      </c>
      <c r="I2761" s="361">
        <v>1</v>
      </c>
      <c r="J2761" s="362" t="s">
        <v>310</v>
      </c>
      <c r="K2761" s="363"/>
      <c r="L2761" s="129"/>
      <c r="M2761" s="129"/>
      <c r="N2761" s="129"/>
      <c r="O2761" s="129"/>
      <c r="P2761" s="364"/>
      <c r="Q2761" s="364"/>
      <c r="R2761" s="129"/>
      <c r="S2761" s="129"/>
      <c r="T2761" s="129"/>
      <c r="W2761" s="129" t="s">
        <v>4876</v>
      </c>
      <c r="X2761" s="337" t="b">
        <f t="shared" si="77"/>
        <v>0</v>
      </c>
    </row>
    <row r="2762" spans="1:24" s="337" customFormat="1" ht="12" customHeight="1" outlineLevel="1">
      <c r="A2762" s="335"/>
      <c r="B2762" s="118" t="s">
        <v>12</v>
      </c>
      <c r="C2762" s="334" t="s">
        <v>10163</v>
      </c>
      <c r="D2762" s="124" t="s">
        <v>9890</v>
      </c>
      <c r="E2762" s="125"/>
      <c r="F2762" s="118" t="s">
        <v>828</v>
      </c>
      <c r="G2762" s="126" t="s">
        <v>9800</v>
      </c>
      <c r="H2762" s="255">
        <v>1</v>
      </c>
      <c r="I2762" s="361">
        <v>1</v>
      </c>
      <c r="J2762" s="362" t="s">
        <v>325</v>
      </c>
      <c r="K2762" s="363"/>
      <c r="L2762" s="129"/>
      <c r="M2762" s="129"/>
      <c r="N2762" s="129"/>
      <c r="O2762" s="129"/>
      <c r="P2762" s="364"/>
      <c r="Q2762" s="364"/>
      <c r="R2762" s="129"/>
      <c r="S2762" s="129"/>
      <c r="T2762" s="129"/>
      <c r="W2762" s="129" t="s">
        <v>4876</v>
      </c>
      <c r="X2762" s="337" t="b">
        <f t="shared" si="77"/>
        <v>0</v>
      </c>
    </row>
    <row r="2763" spans="1:24" s="337" customFormat="1" ht="12" customHeight="1" outlineLevel="1">
      <c r="A2763" s="335"/>
      <c r="B2763" s="118" t="s">
        <v>12</v>
      </c>
      <c r="C2763" s="334" t="s">
        <v>10164</v>
      </c>
      <c r="D2763" s="124" t="s">
        <v>9892</v>
      </c>
      <c r="E2763" s="125"/>
      <c r="F2763" s="118" t="s">
        <v>828</v>
      </c>
      <c r="G2763" s="126" t="s">
        <v>9800</v>
      </c>
      <c r="H2763" s="255">
        <v>1</v>
      </c>
      <c r="I2763" s="361">
        <v>1</v>
      </c>
      <c r="J2763" s="362" t="s">
        <v>325</v>
      </c>
      <c r="K2763" s="363"/>
      <c r="L2763" s="129"/>
      <c r="M2763" s="129"/>
      <c r="N2763" s="129"/>
      <c r="O2763" s="129"/>
      <c r="P2763" s="364"/>
      <c r="Q2763" s="364"/>
      <c r="R2763" s="129"/>
      <c r="S2763" s="129"/>
      <c r="T2763" s="129"/>
      <c r="W2763" s="129" t="s">
        <v>4876</v>
      </c>
      <c r="X2763" s="337" t="b">
        <f t="shared" si="77"/>
        <v>0</v>
      </c>
    </row>
    <row r="2764" spans="1:24" s="337" customFormat="1" ht="12" customHeight="1" outlineLevel="1">
      <c r="A2764" s="335"/>
      <c r="B2764" s="118" t="s">
        <v>12</v>
      </c>
      <c r="C2764" s="334" t="s">
        <v>10165</v>
      </c>
      <c r="D2764" s="124" t="s">
        <v>9894</v>
      </c>
      <c r="E2764" s="125"/>
      <c r="F2764" s="118" t="s">
        <v>828</v>
      </c>
      <c r="G2764" s="126" t="s">
        <v>9800</v>
      </c>
      <c r="H2764" s="255">
        <v>1</v>
      </c>
      <c r="I2764" s="361">
        <v>1</v>
      </c>
      <c r="J2764" s="362" t="s">
        <v>310</v>
      </c>
      <c r="K2764" s="363"/>
      <c r="L2764" s="129"/>
      <c r="M2764" s="129"/>
      <c r="N2764" s="129"/>
      <c r="O2764" s="129"/>
      <c r="P2764" s="364"/>
      <c r="Q2764" s="364"/>
      <c r="R2764" s="129"/>
      <c r="S2764" s="129"/>
      <c r="T2764" s="129"/>
      <c r="W2764" s="129" t="s">
        <v>4876</v>
      </c>
      <c r="X2764" s="337" t="b">
        <f t="shared" si="77"/>
        <v>0</v>
      </c>
    </row>
    <row r="2765" spans="1:24" s="337" customFormat="1" ht="12" customHeight="1" outlineLevel="1">
      <c r="A2765" s="335"/>
      <c r="B2765" s="118" t="s">
        <v>12</v>
      </c>
      <c r="C2765" s="334" t="s">
        <v>10166</v>
      </c>
      <c r="D2765" s="124" t="s">
        <v>9896</v>
      </c>
      <c r="E2765" s="125"/>
      <c r="F2765" s="118" t="s">
        <v>828</v>
      </c>
      <c r="G2765" s="126" t="s">
        <v>9800</v>
      </c>
      <c r="H2765" s="255">
        <v>1</v>
      </c>
      <c r="I2765" s="361">
        <v>1</v>
      </c>
      <c r="J2765" s="362" t="s">
        <v>325</v>
      </c>
      <c r="K2765" s="363"/>
      <c r="L2765" s="129"/>
      <c r="M2765" s="129"/>
      <c r="N2765" s="129"/>
      <c r="O2765" s="129"/>
      <c r="P2765" s="364"/>
      <c r="Q2765" s="364"/>
      <c r="R2765" s="129"/>
      <c r="S2765" s="129"/>
      <c r="T2765" s="129"/>
      <c r="W2765" s="129" t="s">
        <v>4876</v>
      </c>
      <c r="X2765" s="337" t="b">
        <f t="shared" si="77"/>
        <v>0</v>
      </c>
    </row>
    <row r="2766" spans="1:24" s="337" customFormat="1" ht="12" customHeight="1" outlineLevel="1">
      <c r="A2766" s="335"/>
      <c r="B2766" s="118" t="s">
        <v>12</v>
      </c>
      <c r="C2766" s="334" t="s">
        <v>10167</v>
      </c>
      <c r="D2766" s="124" t="s">
        <v>9898</v>
      </c>
      <c r="E2766" s="125"/>
      <c r="F2766" s="118" t="s">
        <v>828</v>
      </c>
      <c r="G2766" s="126" t="s">
        <v>9800</v>
      </c>
      <c r="H2766" s="255">
        <v>1</v>
      </c>
      <c r="I2766" s="361">
        <v>1</v>
      </c>
      <c r="J2766" s="362" t="s">
        <v>325</v>
      </c>
      <c r="K2766" s="363"/>
      <c r="L2766" s="129"/>
      <c r="M2766" s="129"/>
      <c r="N2766" s="129"/>
      <c r="O2766" s="129"/>
      <c r="P2766" s="364"/>
      <c r="Q2766" s="364"/>
      <c r="R2766" s="129"/>
      <c r="S2766" s="129"/>
      <c r="T2766" s="129"/>
      <c r="W2766" s="129" t="s">
        <v>4876</v>
      </c>
      <c r="X2766" s="337" t="b">
        <f t="shared" si="77"/>
        <v>0</v>
      </c>
    </row>
    <row r="2767" spans="1:24" s="337" customFormat="1" ht="12" customHeight="1" outlineLevel="1">
      <c r="A2767" s="335"/>
      <c r="B2767" s="118" t="s">
        <v>12</v>
      </c>
      <c r="C2767" s="334" t="s">
        <v>10168</v>
      </c>
      <c r="D2767" s="124" t="s">
        <v>9900</v>
      </c>
      <c r="E2767" s="125"/>
      <c r="F2767" s="118" t="s">
        <v>828</v>
      </c>
      <c r="G2767" s="126" t="s">
        <v>9800</v>
      </c>
      <c r="H2767" s="255">
        <v>1</v>
      </c>
      <c r="I2767" s="361">
        <v>1</v>
      </c>
      <c r="J2767" s="362" t="s">
        <v>310</v>
      </c>
      <c r="K2767" s="363"/>
      <c r="L2767" s="129"/>
      <c r="M2767" s="129"/>
      <c r="N2767" s="129"/>
      <c r="O2767" s="129"/>
      <c r="P2767" s="364"/>
      <c r="Q2767" s="364"/>
      <c r="R2767" s="129"/>
      <c r="S2767" s="129"/>
      <c r="T2767" s="129"/>
      <c r="W2767" s="129" t="s">
        <v>4876</v>
      </c>
      <c r="X2767" s="337" t="b">
        <f t="shared" si="77"/>
        <v>0</v>
      </c>
    </row>
    <row r="2768" spans="1:24" s="337" customFormat="1" ht="12" customHeight="1" outlineLevel="1">
      <c r="A2768" s="335"/>
      <c r="B2768" s="118" t="s">
        <v>12</v>
      </c>
      <c r="C2768" s="334" t="s">
        <v>10169</v>
      </c>
      <c r="D2768" s="124" t="s">
        <v>9902</v>
      </c>
      <c r="E2768" s="125"/>
      <c r="F2768" s="118" t="s">
        <v>828</v>
      </c>
      <c r="G2768" s="126" t="s">
        <v>9800</v>
      </c>
      <c r="H2768" s="255">
        <v>1</v>
      </c>
      <c r="I2768" s="361">
        <v>1</v>
      </c>
      <c r="J2768" s="362" t="s">
        <v>325</v>
      </c>
      <c r="K2768" s="363"/>
      <c r="L2768" s="129"/>
      <c r="M2768" s="129"/>
      <c r="N2768" s="129"/>
      <c r="O2768" s="129"/>
      <c r="P2768" s="364"/>
      <c r="Q2768" s="364"/>
      <c r="R2768" s="129"/>
      <c r="S2768" s="129"/>
      <c r="T2768" s="129"/>
      <c r="W2768" s="129" t="s">
        <v>4876</v>
      </c>
      <c r="X2768" s="337" t="b">
        <f t="shared" si="77"/>
        <v>0</v>
      </c>
    </row>
    <row r="2769" spans="1:24" s="337" customFormat="1" ht="12" customHeight="1" outlineLevel="1">
      <c r="A2769" s="335"/>
      <c r="B2769" s="118" t="s">
        <v>12</v>
      </c>
      <c r="C2769" s="334" t="s">
        <v>10170</v>
      </c>
      <c r="D2769" s="124" t="s">
        <v>9904</v>
      </c>
      <c r="E2769" s="125"/>
      <c r="F2769" s="118" t="s">
        <v>828</v>
      </c>
      <c r="G2769" s="126" t="s">
        <v>9800</v>
      </c>
      <c r="H2769" s="255">
        <v>1</v>
      </c>
      <c r="I2769" s="361">
        <v>1</v>
      </c>
      <c r="J2769" s="362" t="s">
        <v>6147</v>
      </c>
      <c r="K2769" s="363"/>
      <c r="L2769" s="129"/>
      <c r="M2769" s="129"/>
      <c r="N2769" s="129"/>
      <c r="O2769" s="129"/>
      <c r="P2769" s="364"/>
      <c r="Q2769" s="364"/>
      <c r="R2769" s="129"/>
      <c r="S2769" s="129"/>
      <c r="T2769" s="129"/>
      <c r="W2769" s="129" t="s">
        <v>4876</v>
      </c>
      <c r="X2769" s="337" t="b">
        <f t="shared" si="77"/>
        <v>0</v>
      </c>
    </row>
    <row r="2770" spans="1:24" s="337" customFormat="1" ht="12" customHeight="1" outlineLevel="1">
      <c r="A2770" s="335"/>
      <c r="B2770" s="118" t="s">
        <v>12</v>
      </c>
      <c r="C2770" s="334" t="s">
        <v>10171</v>
      </c>
      <c r="D2770" s="124" t="s">
        <v>10071</v>
      </c>
      <c r="E2770" s="125"/>
      <c r="F2770" s="118" t="s">
        <v>828</v>
      </c>
      <c r="G2770" s="126" t="s">
        <v>9800</v>
      </c>
      <c r="H2770" s="255">
        <v>1</v>
      </c>
      <c r="I2770" s="361">
        <v>1</v>
      </c>
      <c r="J2770" s="362" t="s">
        <v>325</v>
      </c>
      <c r="K2770" s="363"/>
      <c r="L2770" s="129"/>
      <c r="M2770" s="129"/>
      <c r="N2770" s="129"/>
      <c r="O2770" s="129"/>
      <c r="P2770" s="364"/>
      <c r="Q2770" s="364"/>
      <c r="R2770" s="129"/>
      <c r="S2770" s="129"/>
      <c r="T2770" s="129"/>
      <c r="W2770" s="129" t="s">
        <v>4876</v>
      </c>
      <c r="X2770" s="337" t="b">
        <f t="shared" si="77"/>
        <v>0</v>
      </c>
    </row>
    <row r="2771" spans="1:24" s="337" customFormat="1" ht="12" customHeight="1" outlineLevel="1">
      <c r="A2771" s="335"/>
      <c r="B2771" s="118" t="s">
        <v>12</v>
      </c>
      <c r="C2771" s="334" t="s">
        <v>10172</v>
      </c>
      <c r="D2771" s="124" t="s">
        <v>9910</v>
      </c>
      <c r="E2771" s="125"/>
      <c r="F2771" s="118" t="s">
        <v>828</v>
      </c>
      <c r="G2771" s="126" t="s">
        <v>9800</v>
      </c>
      <c r="H2771" s="255">
        <v>1</v>
      </c>
      <c r="I2771" s="361">
        <v>1</v>
      </c>
      <c r="J2771" s="362" t="s">
        <v>286</v>
      </c>
      <c r="K2771" s="363"/>
      <c r="L2771" s="129"/>
      <c r="M2771" s="129"/>
      <c r="N2771" s="129"/>
      <c r="O2771" s="129"/>
      <c r="P2771" s="364"/>
      <c r="Q2771" s="364"/>
      <c r="R2771" s="129"/>
      <c r="S2771" s="129"/>
      <c r="T2771" s="129"/>
      <c r="W2771" s="129" t="s">
        <v>4876</v>
      </c>
      <c r="X2771" s="337" t="b">
        <f t="shared" ref="X2771:X2834" si="78">W2771=J2771</f>
        <v>0</v>
      </c>
    </row>
    <row r="2772" spans="1:24" s="337" customFormat="1" ht="12" customHeight="1" outlineLevel="1">
      <c r="A2772" s="335"/>
      <c r="B2772" s="118" t="s">
        <v>12</v>
      </c>
      <c r="C2772" s="334" t="s">
        <v>10173</v>
      </c>
      <c r="D2772" s="124" t="s">
        <v>9912</v>
      </c>
      <c r="E2772" s="125"/>
      <c r="F2772" s="118" t="s">
        <v>828</v>
      </c>
      <c r="G2772" s="126" t="s">
        <v>9800</v>
      </c>
      <c r="H2772" s="255">
        <v>1</v>
      </c>
      <c r="I2772" s="361">
        <v>1</v>
      </c>
      <c r="J2772" s="362" t="s">
        <v>325</v>
      </c>
      <c r="K2772" s="363"/>
      <c r="L2772" s="129"/>
      <c r="M2772" s="129"/>
      <c r="N2772" s="129"/>
      <c r="O2772" s="129"/>
      <c r="P2772" s="364"/>
      <c r="Q2772" s="364"/>
      <c r="R2772" s="129"/>
      <c r="S2772" s="129"/>
      <c r="T2772" s="129"/>
      <c r="W2772" s="129" t="s">
        <v>4876</v>
      </c>
      <c r="X2772" s="337" t="b">
        <f t="shared" si="78"/>
        <v>0</v>
      </c>
    </row>
    <row r="2773" spans="1:24" s="337" customFormat="1" ht="12" customHeight="1" outlineLevel="1">
      <c r="A2773" s="335"/>
      <c r="B2773" s="118" t="s">
        <v>12</v>
      </c>
      <c r="C2773" s="334" t="s">
        <v>10174</v>
      </c>
      <c r="D2773" s="124" t="s">
        <v>9914</v>
      </c>
      <c r="E2773" s="125"/>
      <c r="F2773" s="118" t="s">
        <v>828</v>
      </c>
      <c r="G2773" s="126" t="s">
        <v>9800</v>
      </c>
      <c r="H2773" s="255">
        <v>1</v>
      </c>
      <c r="I2773" s="361">
        <v>1</v>
      </c>
      <c r="J2773" s="362" t="s">
        <v>325</v>
      </c>
      <c r="K2773" s="363"/>
      <c r="L2773" s="129"/>
      <c r="M2773" s="129"/>
      <c r="N2773" s="129"/>
      <c r="O2773" s="129"/>
      <c r="P2773" s="364"/>
      <c r="Q2773" s="364"/>
      <c r="R2773" s="129"/>
      <c r="S2773" s="129"/>
      <c r="T2773" s="129"/>
      <c r="W2773" s="129" t="s">
        <v>4876</v>
      </c>
      <c r="X2773" s="337" t="b">
        <f t="shared" si="78"/>
        <v>0</v>
      </c>
    </row>
    <row r="2774" spans="1:24" s="337" customFormat="1" ht="12" customHeight="1" outlineLevel="1">
      <c r="A2774" s="335"/>
      <c r="B2774" s="118" t="s">
        <v>12</v>
      </c>
      <c r="C2774" s="334" t="s">
        <v>10175</v>
      </c>
      <c r="D2774" s="124" t="s">
        <v>9916</v>
      </c>
      <c r="E2774" s="125"/>
      <c r="F2774" s="118" t="s">
        <v>828</v>
      </c>
      <c r="G2774" s="126" t="s">
        <v>9800</v>
      </c>
      <c r="H2774" s="255">
        <v>1</v>
      </c>
      <c r="I2774" s="361">
        <v>1</v>
      </c>
      <c r="J2774" s="362" t="s">
        <v>325</v>
      </c>
      <c r="K2774" s="363"/>
      <c r="L2774" s="129"/>
      <c r="M2774" s="129"/>
      <c r="N2774" s="129"/>
      <c r="O2774" s="129"/>
      <c r="P2774" s="364"/>
      <c r="Q2774" s="364"/>
      <c r="R2774" s="129"/>
      <c r="S2774" s="129"/>
      <c r="T2774" s="129"/>
      <c r="W2774" s="129" t="s">
        <v>4876</v>
      </c>
      <c r="X2774" s="337" t="b">
        <f t="shared" si="78"/>
        <v>0</v>
      </c>
    </row>
    <row r="2775" spans="1:24" s="337" customFormat="1" ht="12" customHeight="1" outlineLevel="1">
      <c r="A2775" s="335"/>
      <c r="B2775" s="118" t="s">
        <v>12</v>
      </c>
      <c r="C2775" s="334" t="s">
        <v>10176</v>
      </c>
      <c r="D2775" s="124" t="s">
        <v>9918</v>
      </c>
      <c r="E2775" s="125"/>
      <c r="F2775" s="118" t="s">
        <v>828</v>
      </c>
      <c r="G2775" s="126" t="s">
        <v>9800</v>
      </c>
      <c r="H2775" s="255">
        <v>1</v>
      </c>
      <c r="I2775" s="361">
        <v>1</v>
      </c>
      <c r="J2775" s="362" t="s">
        <v>6148</v>
      </c>
      <c r="K2775" s="363"/>
      <c r="L2775" s="129"/>
      <c r="M2775" s="129"/>
      <c r="N2775" s="129"/>
      <c r="O2775" s="129"/>
      <c r="P2775" s="364"/>
      <c r="Q2775" s="364"/>
      <c r="R2775" s="129"/>
      <c r="S2775" s="129"/>
      <c r="T2775" s="129"/>
      <c r="W2775" s="129" t="s">
        <v>4876</v>
      </c>
      <c r="X2775" s="337" t="b">
        <f t="shared" si="78"/>
        <v>0</v>
      </c>
    </row>
    <row r="2776" spans="1:24" s="337" customFormat="1" ht="12" customHeight="1" outlineLevel="1">
      <c r="A2776" s="335"/>
      <c r="B2776" s="118" t="s">
        <v>12</v>
      </c>
      <c r="C2776" s="334" t="s">
        <v>10177</v>
      </c>
      <c r="D2776" s="124" t="s">
        <v>9920</v>
      </c>
      <c r="E2776" s="125"/>
      <c r="F2776" s="118" t="s">
        <v>828</v>
      </c>
      <c r="G2776" s="126" t="s">
        <v>9800</v>
      </c>
      <c r="H2776" s="255">
        <v>1</v>
      </c>
      <c r="I2776" s="361">
        <v>1</v>
      </c>
      <c r="J2776" s="362" t="s">
        <v>743</v>
      </c>
      <c r="K2776" s="363"/>
      <c r="L2776" s="129"/>
      <c r="M2776" s="129"/>
      <c r="N2776" s="129"/>
      <c r="O2776" s="129"/>
      <c r="P2776" s="364"/>
      <c r="Q2776" s="364"/>
      <c r="R2776" s="129"/>
      <c r="S2776" s="129"/>
      <c r="T2776" s="129"/>
      <c r="W2776" s="129" t="s">
        <v>4876</v>
      </c>
      <c r="X2776" s="337" t="b">
        <f t="shared" si="78"/>
        <v>0</v>
      </c>
    </row>
    <row r="2777" spans="1:24" s="337" customFormat="1" ht="12" customHeight="1" outlineLevel="1">
      <c r="A2777" s="335"/>
      <c r="B2777" s="118" t="s">
        <v>12</v>
      </c>
      <c r="C2777" s="334" t="s">
        <v>10178</v>
      </c>
      <c r="D2777" s="124" t="s">
        <v>10079</v>
      </c>
      <c r="E2777" s="125"/>
      <c r="F2777" s="118" t="s">
        <v>828</v>
      </c>
      <c r="G2777" s="126" t="s">
        <v>9800</v>
      </c>
      <c r="H2777" s="255">
        <v>1</v>
      </c>
      <c r="I2777" s="361">
        <v>1</v>
      </c>
      <c r="J2777" s="362" t="s">
        <v>325</v>
      </c>
      <c r="K2777" s="363"/>
      <c r="L2777" s="129"/>
      <c r="M2777" s="129"/>
      <c r="N2777" s="129"/>
      <c r="O2777" s="129"/>
      <c r="P2777" s="364"/>
      <c r="Q2777" s="364"/>
      <c r="R2777" s="129"/>
      <c r="S2777" s="129"/>
      <c r="T2777" s="129"/>
      <c r="W2777" s="129" t="s">
        <v>4876</v>
      </c>
      <c r="X2777" s="337" t="b">
        <f t="shared" si="78"/>
        <v>0</v>
      </c>
    </row>
    <row r="2778" spans="1:24" s="337" customFormat="1" ht="12" customHeight="1" outlineLevel="1">
      <c r="A2778" s="335"/>
      <c r="B2778" s="118" t="s">
        <v>12</v>
      </c>
      <c r="C2778" s="334" t="s">
        <v>10179</v>
      </c>
      <c r="D2778" s="124" t="s">
        <v>9926</v>
      </c>
      <c r="E2778" s="125"/>
      <c r="F2778" s="118" t="s">
        <v>828</v>
      </c>
      <c r="G2778" s="126" t="s">
        <v>9800</v>
      </c>
      <c r="H2778" s="255">
        <v>1</v>
      </c>
      <c r="I2778" s="361">
        <v>1</v>
      </c>
      <c r="J2778" s="362" t="s">
        <v>325</v>
      </c>
      <c r="K2778" s="363"/>
      <c r="L2778" s="129"/>
      <c r="M2778" s="129"/>
      <c r="N2778" s="129"/>
      <c r="O2778" s="129"/>
      <c r="P2778" s="364"/>
      <c r="Q2778" s="364"/>
      <c r="R2778" s="129"/>
      <c r="S2778" s="129"/>
      <c r="T2778" s="129"/>
      <c r="W2778" s="129" t="s">
        <v>4876</v>
      </c>
      <c r="X2778" s="337" t="b">
        <f t="shared" si="78"/>
        <v>0</v>
      </c>
    </row>
    <row r="2779" spans="1:24" s="337" customFormat="1" ht="12" customHeight="1" outlineLevel="1">
      <c r="A2779" s="335"/>
      <c r="B2779" s="118" t="s">
        <v>12</v>
      </c>
      <c r="C2779" s="334" t="s">
        <v>10180</v>
      </c>
      <c r="D2779" s="124" t="s">
        <v>9930</v>
      </c>
      <c r="E2779" s="125"/>
      <c r="F2779" s="118" t="s">
        <v>828</v>
      </c>
      <c r="G2779" s="126" t="s">
        <v>9800</v>
      </c>
      <c r="H2779" s="255">
        <v>1</v>
      </c>
      <c r="I2779" s="361">
        <v>1</v>
      </c>
      <c r="J2779" s="362" t="s">
        <v>286</v>
      </c>
      <c r="K2779" s="363"/>
      <c r="L2779" s="129"/>
      <c r="M2779" s="129"/>
      <c r="N2779" s="129"/>
      <c r="O2779" s="129"/>
      <c r="P2779" s="364"/>
      <c r="Q2779" s="364"/>
      <c r="R2779" s="129"/>
      <c r="S2779" s="129"/>
      <c r="T2779" s="129"/>
      <c r="W2779" s="129" t="s">
        <v>4876</v>
      </c>
      <c r="X2779" s="337" t="b">
        <f t="shared" si="78"/>
        <v>0</v>
      </c>
    </row>
    <row r="2780" spans="1:24" s="337" customFormat="1" ht="12" customHeight="1" outlineLevel="1">
      <c r="A2780" s="335"/>
      <c r="B2780" s="118" t="s">
        <v>12</v>
      </c>
      <c r="C2780" s="334" t="s">
        <v>10181</v>
      </c>
      <c r="D2780" s="124" t="s">
        <v>9932</v>
      </c>
      <c r="E2780" s="125"/>
      <c r="F2780" s="118" t="s">
        <v>828</v>
      </c>
      <c r="G2780" s="126" t="s">
        <v>9800</v>
      </c>
      <c r="H2780" s="255">
        <v>1</v>
      </c>
      <c r="I2780" s="361">
        <v>1</v>
      </c>
      <c r="J2780" s="362" t="s">
        <v>307</v>
      </c>
      <c r="K2780" s="363"/>
      <c r="L2780" s="129"/>
      <c r="M2780" s="129"/>
      <c r="N2780" s="129"/>
      <c r="O2780" s="129"/>
      <c r="P2780" s="364"/>
      <c r="Q2780" s="364"/>
      <c r="R2780" s="129"/>
      <c r="S2780" s="129"/>
      <c r="T2780" s="129"/>
      <c r="W2780" s="129" t="s">
        <v>4876</v>
      </c>
      <c r="X2780" s="337" t="b">
        <f t="shared" si="78"/>
        <v>0</v>
      </c>
    </row>
    <row r="2781" spans="1:24" s="337" customFormat="1" ht="12" customHeight="1" outlineLevel="1">
      <c r="A2781" s="335"/>
      <c r="B2781" s="118" t="s">
        <v>12</v>
      </c>
      <c r="C2781" s="334" t="s">
        <v>10182</v>
      </c>
      <c r="D2781" s="124" t="s">
        <v>9934</v>
      </c>
      <c r="E2781" s="125"/>
      <c r="F2781" s="118" t="s">
        <v>828</v>
      </c>
      <c r="G2781" s="126" t="s">
        <v>9800</v>
      </c>
      <c r="H2781" s="255">
        <v>1</v>
      </c>
      <c r="I2781" s="361">
        <v>1</v>
      </c>
      <c r="J2781" s="362" t="s">
        <v>325</v>
      </c>
      <c r="K2781" s="363"/>
      <c r="L2781" s="129"/>
      <c r="M2781" s="129"/>
      <c r="N2781" s="129"/>
      <c r="O2781" s="129"/>
      <c r="P2781" s="364"/>
      <c r="Q2781" s="364"/>
      <c r="R2781" s="129"/>
      <c r="S2781" s="129"/>
      <c r="T2781" s="129"/>
      <c r="W2781" s="129" t="s">
        <v>4876</v>
      </c>
      <c r="X2781" s="337" t="b">
        <f t="shared" si="78"/>
        <v>0</v>
      </c>
    </row>
    <row r="2782" spans="1:24" s="337" customFormat="1" ht="12" customHeight="1" outlineLevel="1">
      <c r="A2782" s="335"/>
      <c r="B2782" s="118" t="s">
        <v>12</v>
      </c>
      <c r="C2782" s="334" t="s">
        <v>10183</v>
      </c>
      <c r="D2782" s="124" t="s">
        <v>9938</v>
      </c>
      <c r="E2782" s="125"/>
      <c r="F2782" s="118" t="s">
        <v>828</v>
      </c>
      <c r="G2782" s="126" t="s">
        <v>9800</v>
      </c>
      <c r="H2782" s="255">
        <v>1</v>
      </c>
      <c r="I2782" s="361">
        <v>1</v>
      </c>
      <c r="J2782" s="362" t="s">
        <v>310</v>
      </c>
      <c r="K2782" s="363"/>
      <c r="L2782" s="129"/>
      <c r="M2782" s="129"/>
      <c r="N2782" s="129"/>
      <c r="O2782" s="129"/>
      <c r="P2782" s="364"/>
      <c r="Q2782" s="364"/>
      <c r="R2782" s="129"/>
      <c r="S2782" s="129"/>
      <c r="T2782" s="129"/>
      <c r="W2782" s="129" t="s">
        <v>4876</v>
      </c>
      <c r="X2782" s="337" t="b">
        <f t="shared" si="78"/>
        <v>0</v>
      </c>
    </row>
    <row r="2783" spans="1:24" s="337" customFormat="1" ht="12" customHeight="1" outlineLevel="1">
      <c r="A2783" s="335"/>
      <c r="B2783" s="118" t="s">
        <v>12</v>
      </c>
      <c r="C2783" s="334" t="s">
        <v>10184</v>
      </c>
      <c r="D2783" s="124" t="s">
        <v>9940</v>
      </c>
      <c r="E2783" s="125"/>
      <c r="F2783" s="118" t="s">
        <v>828</v>
      </c>
      <c r="G2783" s="126" t="s">
        <v>9800</v>
      </c>
      <c r="H2783" s="255">
        <v>1</v>
      </c>
      <c r="I2783" s="361">
        <v>1</v>
      </c>
      <c r="J2783" s="362" t="s">
        <v>307</v>
      </c>
      <c r="K2783" s="363"/>
      <c r="L2783" s="129"/>
      <c r="M2783" s="129"/>
      <c r="N2783" s="129"/>
      <c r="O2783" s="129"/>
      <c r="P2783" s="364"/>
      <c r="Q2783" s="364"/>
      <c r="R2783" s="129"/>
      <c r="S2783" s="129"/>
      <c r="T2783" s="129"/>
      <c r="W2783" s="129" t="s">
        <v>4876</v>
      </c>
      <c r="X2783" s="337" t="b">
        <f t="shared" si="78"/>
        <v>0</v>
      </c>
    </row>
    <row r="2784" spans="1:24" s="337" customFormat="1" ht="12" customHeight="1" outlineLevel="1">
      <c r="A2784" s="335"/>
      <c r="B2784" s="118" t="s">
        <v>12</v>
      </c>
      <c r="C2784" s="334" t="s">
        <v>10185</v>
      </c>
      <c r="D2784" s="124" t="s">
        <v>9942</v>
      </c>
      <c r="E2784" s="125"/>
      <c r="F2784" s="118" t="s">
        <v>828</v>
      </c>
      <c r="G2784" s="126" t="s">
        <v>9800</v>
      </c>
      <c r="H2784" s="255">
        <v>1</v>
      </c>
      <c r="I2784" s="361">
        <v>1</v>
      </c>
      <c r="J2784" s="362" t="s">
        <v>325</v>
      </c>
      <c r="K2784" s="363"/>
      <c r="L2784" s="129"/>
      <c r="M2784" s="129"/>
      <c r="N2784" s="129"/>
      <c r="O2784" s="129"/>
      <c r="P2784" s="364"/>
      <c r="Q2784" s="364"/>
      <c r="R2784" s="129"/>
      <c r="S2784" s="129"/>
      <c r="T2784" s="129"/>
      <c r="W2784" s="129" t="s">
        <v>4876</v>
      </c>
      <c r="X2784" s="337" t="b">
        <f t="shared" si="78"/>
        <v>0</v>
      </c>
    </row>
    <row r="2785" spans="1:24" s="337" customFormat="1" ht="12" customHeight="1" outlineLevel="1">
      <c r="A2785" s="335"/>
      <c r="B2785" s="118" t="s">
        <v>12</v>
      </c>
      <c r="C2785" s="334" t="s">
        <v>10186</v>
      </c>
      <c r="D2785" s="124" t="s">
        <v>9944</v>
      </c>
      <c r="E2785" s="125"/>
      <c r="F2785" s="118" t="s">
        <v>828</v>
      </c>
      <c r="G2785" s="126" t="s">
        <v>9800</v>
      </c>
      <c r="H2785" s="255">
        <v>1</v>
      </c>
      <c r="I2785" s="361">
        <v>1</v>
      </c>
      <c r="J2785" s="362" t="s">
        <v>325</v>
      </c>
      <c r="K2785" s="363"/>
      <c r="L2785" s="129"/>
      <c r="M2785" s="129"/>
      <c r="N2785" s="129"/>
      <c r="O2785" s="129"/>
      <c r="P2785" s="364"/>
      <c r="Q2785" s="364"/>
      <c r="R2785" s="129"/>
      <c r="S2785" s="129"/>
      <c r="T2785" s="129"/>
      <c r="W2785" s="129" t="s">
        <v>4876</v>
      </c>
      <c r="X2785" s="337" t="b">
        <f t="shared" si="78"/>
        <v>0</v>
      </c>
    </row>
    <row r="2786" spans="1:24" s="337" customFormat="1" ht="12" customHeight="1" outlineLevel="1">
      <c r="A2786" s="335"/>
      <c r="B2786" s="118" t="s">
        <v>12</v>
      </c>
      <c r="C2786" s="334" t="s">
        <v>10187</v>
      </c>
      <c r="D2786" s="124" t="s">
        <v>9946</v>
      </c>
      <c r="E2786" s="125"/>
      <c r="F2786" s="118" t="s">
        <v>828</v>
      </c>
      <c r="G2786" s="126" t="s">
        <v>9800</v>
      </c>
      <c r="H2786" s="255">
        <v>1</v>
      </c>
      <c r="I2786" s="361">
        <v>1</v>
      </c>
      <c r="J2786" s="362" t="s">
        <v>310</v>
      </c>
      <c r="K2786" s="363"/>
      <c r="L2786" s="129"/>
      <c r="M2786" s="129"/>
      <c r="N2786" s="129"/>
      <c r="O2786" s="129"/>
      <c r="P2786" s="364"/>
      <c r="Q2786" s="364"/>
      <c r="R2786" s="129"/>
      <c r="S2786" s="129"/>
      <c r="T2786" s="129"/>
      <c r="W2786" s="129" t="s">
        <v>4876</v>
      </c>
      <c r="X2786" s="337" t="b">
        <f t="shared" si="78"/>
        <v>0</v>
      </c>
    </row>
    <row r="2787" spans="1:24" s="337" customFormat="1" ht="12" customHeight="1" outlineLevel="1">
      <c r="A2787" s="335"/>
      <c r="B2787" s="118" t="s">
        <v>12</v>
      </c>
      <c r="C2787" s="334" t="s">
        <v>10188</v>
      </c>
      <c r="D2787" s="124" t="s">
        <v>9948</v>
      </c>
      <c r="E2787" s="125"/>
      <c r="F2787" s="118" t="s">
        <v>828</v>
      </c>
      <c r="G2787" s="126" t="s">
        <v>9800</v>
      </c>
      <c r="H2787" s="255">
        <v>1</v>
      </c>
      <c r="I2787" s="361">
        <v>1</v>
      </c>
      <c r="J2787" s="362" t="s">
        <v>6148</v>
      </c>
      <c r="K2787" s="363"/>
      <c r="L2787" s="129"/>
      <c r="M2787" s="129"/>
      <c r="N2787" s="129"/>
      <c r="O2787" s="129"/>
      <c r="P2787" s="364"/>
      <c r="Q2787" s="364"/>
      <c r="R2787" s="129"/>
      <c r="S2787" s="129"/>
      <c r="T2787" s="129"/>
      <c r="W2787" s="129" t="s">
        <v>4876</v>
      </c>
      <c r="X2787" s="337" t="b">
        <f t="shared" si="78"/>
        <v>0</v>
      </c>
    </row>
    <row r="2788" spans="1:24" s="337" customFormat="1" ht="12" customHeight="1" outlineLevel="1">
      <c r="A2788" s="335"/>
      <c r="B2788" s="118" t="s">
        <v>12</v>
      </c>
      <c r="C2788" s="334" t="s">
        <v>10189</v>
      </c>
      <c r="D2788" s="124" t="s">
        <v>9950</v>
      </c>
      <c r="E2788" s="125"/>
      <c r="F2788" s="118" t="s">
        <v>828</v>
      </c>
      <c r="G2788" s="126" t="s">
        <v>9800</v>
      </c>
      <c r="H2788" s="255">
        <v>1</v>
      </c>
      <c r="I2788" s="361">
        <v>1</v>
      </c>
      <c r="J2788" s="362" t="s">
        <v>307</v>
      </c>
      <c r="K2788" s="363"/>
      <c r="L2788" s="129"/>
      <c r="M2788" s="129"/>
      <c r="N2788" s="129"/>
      <c r="O2788" s="129"/>
      <c r="P2788" s="364"/>
      <c r="Q2788" s="364"/>
      <c r="R2788" s="129"/>
      <c r="S2788" s="129"/>
      <c r="T2788" s="129"/>
      <c r="W2788" s="129" t="s">
        <v>4876</v>
      </c>
      <c r="X2788" s="337" t="b">
        <f t="shared" si="78"/>
        <v>0</v>
      </c>
    </row>
    <row r="2789" spans="1:24" s="337" customFormat="1" ht="12" customHeight="1" outlineLevel="1">
      <c r="A2789" s="335"/>
      <c r="B2789" s="118" t="s">
        <v>12</v>
      </c>
      <c r="C2789" s="334" t="s">
        <v>10190</v>
      </c>
      <c r="D2789" s="124" t="s">
        <v>9952</v>
      </c>
      <c r="E2789" s="125"/>
      <c r="F2789" s="118" t="s">
        <v>828</v>
      </c>
      <c r="G2789" s="126" t="s">
        <v>9800</v>
      </c>
      <c r="H2789" s="255">
        <v>1</v>
      </c>
      <c r="I2789" s="361">
        <v>1</v>
      </c>
      <c r="J2789" s="362" t="s">
        <v>307</v>
      </c>
      <c r="K2789" s="363"/>
      <c r="L2789" s="129"/>
      <c r="M2789" s="129"/>
      <c r="N2789" s="129"/>
      <c r="O2789" s="129"/>
      <c r="P2789" s="364"/>
      <c r="Q2789" s="364"/>
      <c r="R2789" s="129"/>
      <c r="S2789" s="129"/>
      <c r="T2789" s="129"/>
      <c r="W2789" s="129" t="s">
        <v>4876</v>
      </c>
      <c r="X2789" s="337" t="b">
        <f t="shared" si="78"/>
        <v>0</v>
      </c>
    </row>
    <row r="2790" spans="1:24" s="337" customFormat="1" ht="12" customHeight="1" outlineLevel="1">
      <c r="A2790" s="335"/>
      <c r="B2790" s="118" t="s">
        <v>12</v>
      </c>
      <c r="C2790" s="334" t="s">
        <v>10191</v>
      </c>
      <c r="D2790" s="124" t="s">
        <v>9954</v>
      </c>
      <c r="E2790" s="125"/>
      <c r="F2790" s="118" t="s">
        <v>828</v>
      </c>
      <c r="G2790" s="126" t="s">
        <v>9800</v>
      </c>
      <c r="H2790" s="255">
        <v>1</v>
      </c>
      <c r="I2790" s="361">
        <v>1</v>
      </c>
      <c r="J2790" s="362" t="s">
        <v>743</v>
      </c>
      <c r="K2790" s="363"/>
      <c r="L2790" s="129"/>
      <c r="M2790" s="129"/>
      <c r="N2790" s="129"/>
      <c r="O2790" s="129"/>
      <c r="P2790" s="364"/>
      <c r="Q2790" s="364"/>
      <c r="R2790" s="129"/>
      <c r="S2790" s="129"/>
      <c r="T2790" s="129"/>
      <c r="W2790" s="129" t="s">
        <v>4876</v>
      </c>
      <c r="X2790" s="337" t="b">
        <f t="shared" si="78"/>
        <v>0</v>
      </c>
    </row>
    <row r="2791" spans="1:24" s="337" customFormat="1" ht="12" customHeight="1" outlineLevel="1">
      <c r="A2791" s="335"/>
      <c r="B2791" s="118" t="s">
        <v>12</v>
      </c>
      <c r="C2791" s="334" t="s">
        <v>10192</v>
      </c>
      <c r="D2791" s="124" t="s">
        <v>9956</v>
      </c>
      <c r="E2791" s="125"/>
      <c r="F2791" s="118" t="s">
        <v>828</v>
      </c>
      <c r="G2791" s="126" t="s">
        <v>9800</v>
      </c>
      <c r="H2791" s="255">
        <v>1</v>
      </c>
      <c r="I2791" s="361">
        <v>1</v>
      </c>
      <c r="J2791" s="362" t="s">
        <v>310</v>
      </c>
      <c r="K2791" s="363"/>
      <c r="L2791" s="129"/>
      <c r="M2791" s="129"/>
      <c r="N2791" s="129"/>
      <c r="O2791" s="129"/>
      <c r="P2791" s="364"/>
      <c r="Q2791" s="364"/>
      <c r="R2791" s="129"/>
      <c r="S2791" s="129"/>
      <c r="T2791" s="129"/>
      <c r="W2791" s="129" t="s">
        <v>4876</v>
      </c>
      <c r="X2791" s="337" t="b">
        <f t="shared" si="78"/>
        <v>0</v>
      </c>
    </row>
    <row r="2792" spans="1:24" s="337" customFormat="1" ht="12" customHeight="1" outlineLevel="1">
      <c r="A2792" s="335"/>
      <c r="B2792" s="118" t="s">
        <v>12</v>
      </c>
      <c r="C2792" s="334" t="s">
        <v>10193</v>
      </c>
      <c r="D2792" s="124" t="s">
        <v>9958</v>
      </c>
      <c r="E2792" s="125"/>
      <c r="F2792" s="118" t="s">
        <v>828</v>
      </c>
      <c r="G2792" s="126" t="s">
        <v>9800</v>
      </c>
      <c r="H2792" s="255">
        <v>1</v>
      </c>
      <c r="I2792" s="361">
        <v>1</v>
      </c>
      <c r="J2792" s="362" t="s">
        <v>310</v>
      </c>
      <c r="K2792" s="363"/>
      <c r="L2792" s="129"/>
      <c r="M2792" s="129"/>
      <c r="N2792" s="129"/>
      <c r="O2792" s="129"/>
      <c r="P2792" s="364"/>
      <c r="Q2792" s="364"/>
      <c r="R2792" s="129"/>
      <c r="S2792" s="129"/>
      <c r="T2792" s="129"/>
      <c r="W2792" s="129" t="s">
        <v>4876</v>
      </c>
      <c r="X2792" s="337" t="b">
        <f t="shared" si="78"/>
        <v>0</v>
      </c>
    </row>
    <row r="2793" spans="1:24" s="337" customFormat="1" ht="12" customHeight="1" outlineLevel="1">
      <c r="A2793" s="335"/>
      <c r="B2793" s="118" t="s">
        <v>12</v>
      </c>
      <c r="C2793" s="334" t="s">
        <v>10194</v>
      </c>
      <c r="D2793" s="124" t="s">
        <v>9960</v>
      </c>
      <c r="E2793" s="125"/>
      <c r="F2793" s="118" t="s">
        <v>828</v>
      </c>
      <c r="G2793" s="126" t="s">
        <v>9800</v>
      </c>
      <c r="H2793" s="255">
        <v>1</v>
      </c>
      <c r="I2793" s="361">
        <v>1</v>
      </c>
      <c r="J2793" s="362" t="s">
        <v>310</v>
      </c>
      <c r="K2793" s="363"/>
      <c r="L2793" s="129"/>
      <c r="M2793" s="129"/>
      <c r="N2793" s="129"/>
      <c r="O2793" s="129"/>
      <c r="P2793" s="364"/>
      <c r="Q2793" s="364"/>
      <c r="R2793" s="129"/>
      <c r="S2793" s="129"/>
      <c r="T2793" s="129"/>
      <c r="W2793" s="129" t="s">
        <v>4876</v>
      </c>
      <c r="X2793" s="337" t="b">
        <f t="shared" si="78"/>
        <v>0</v>
      </c>
    </row>
    <row r="2794" spans="1:24" s="337" customFormat="1" ht="12" customHeight="1" outlineLevel="1">
      <c r="A2794" s="335"/>
      <c r="B2794" s="118" t="s">
        <v>12</v>
      </c>
      <c r="C2794" s="334" t="s">
        <v>10195</v>
      </c>
      <c r="D2794" s="124" t="s">
        <v>9962</v>
      </c>
      <c r="E2794" s="125"/>
      <c r="F2794" s="118" t="s">
        <v>828</v>
      </c>
      <c r="G2794" s="126" t="s">
        <v>9800</v>
      </c>
      <c r="H2794" s="255">
        <v>1</v>
      </c>
      <c r="I2794" s="361">
        <v>1</v>
      </c>
      <c r="J2794" s="362" t="s">
        <v>743</v>
      </c>
      <c r="K2794" s="363"/>
      <c r="L2794" s="129"/>
      <c r="M2794" s="129"/>
      <c r="N2794" s="129"/>
      <c r="O2794" s="129"/>
      <c r="P2794" s="364"/>
      <c r="Q2794" s="364"/>
      <c r="R2794" s="129"/>
      <c r="S2794" s="129"/>
      <c r="T2794" s="129"/>
      <c r="W2794" s="129" t="s">
        <v>4876</v>
      </c>
      <c r="X2794" s="337" t="b">
        <f t="shared" si="78"/>
        <v>0</v>
      </c>
    </row>
    <row r="2795" spans="1:24" s="337" customFormat="1" ht="12" customHeight="1" outlineLevel="1">
      <c r="A2795" s="335"/>
      <c r="B2795" s="118" t="s">
        <v>12</v>
      </c>
      <c r="C2795" s="334" t="s">
        <v>10196</v>
      </c>
      <c r="D2795" s="124" t="s">
        <v>9964</v>
      </c>
      <c r="E2795" s="125"/>
      <c r="F2795" s="118" t="s">
        <v>828</v>
      </c>
      <c r="G2795" s="126" t="s">
        <v>9800</v>
      </c>
      <c r="H2795" s="255">
        <v>1</v>
      </c>
      <c r="I2795" s="361">
        <v>1</v>
      </c>
      <c r="J2795" s="362" t="s">
        <v>743</v>
      </c>
      <c r="K2795" s="363"/>
      <c r="L2795" s="129"/>
      <c r="M2795" s="129"/>
      <c r="N2795" s="129"/>
      <c r="O2795" s="129"/>
      <c r="P2795" s="364"/>
      <c r="Q2795" s="364"/>
      <c r="R2795" s="129"/>
      <c r="S2795" s="129"/>
      <c r="T2795" s="129"/>
      <c r="W2795" s="129" t="s">
        <v>4876</v>
      </c>
      <c r="X2795" s="337" t="b">
        <f t="shared" si="78"/>
        <v>0</v>
      </c>
    </row>
    <row r="2796" spans="1:24" s="337" customFormat="1" ht="12" customHeight="1" outlineLevel="1">
      <c r="A2796" s="335"/>
      <c r="B2796" s="118" t="s">
        <v>12</v>
      </c>
      <c r="C2796" s="334" t="s">
        <v>10197</v>
      </c>
      <c r="D2796" s="124" t="s">
        <v>9967</v>
      </c>
      <c r="E2796" s="125"/>
      <c r="F2796" s="118" t="s">
        <v>828</v>
      </c>
      <c r="G2796" s="126" t="s">
        <v>9800</v>
      </c>
      <c r="H2796" s="255">
        <v>1</v>
      </c>
      <c r="I2796" s="361">
        <v>1</v>
      </c>
      <c r="J2796" s="362" t="s">
        <v>310</v>
      </c>
      <c r="K2796" s="363"/>
      <c r="L2796" s="129"/>
      <c r="M2796" s="129"/>
      <c r="N2796" s="129"/>
      <c r="O2796" s="129"/>
      <c r="P2796" s="364"/>
      <c r="Q2796" s="364"/>
      <c r="R2796" s="129"/>
      <c r="S2796" s="129"/>
      <c r="T2796" s="129"/>
      <c r="W2796" s="129" t="s">
        <v>4876</v>
      </c>
      <c r="X2796" s="337" t="b">
        <f t="shared" si="78"/>
        <v>0</v>
      </c>
    </row>
    <row r="2797" spans="1:24" s="337" customFormat="1" ht="12" customHeight="1" outlineLevel="1">
      <c r="A2797" s="335"/>
      <c r="B2797" s="118" t="s">
        <v>12</v>
      </c>
      <c r="C2797" s="334" t="s">
        <v>10198</v>
      </c>
      <c r="D2797" s="124" t="s">
        <v>9969</v>
      </c>
      <c r="E2797" s="125"/>
      <c r="F2797" s="118" t="s">
        <v>828</v>
      </c>
      <c r="G2797" s="126" t="s">
        <v>9800</v>
      </c>
      <c r="H2797" s="255">
        <v>1</v>
      </c>
      <c r="I2797" s="361">
        <v>1</v>
      </c>
      <c r="J2797" s="362" t="s">
        <v>310</v>
      </c>
      <c r="K2797" s="363"/>
      <c r="L2797" s="129"/>
      <c r="M2797" s="129"/>
      <c r="N2797" s="129"/>
      <c r="O2797" s="129"/>
      <c r="P2797" s="364"/>
      <c r="Q2797" s="364"/>
      <c r="R2797" s="129"/>
      <c r="S2797" s="129"/>
      <c r="T2797" s="129"/>
      <c r="W2797" s="129" t="s">
        <v>4876</v>
      </c>
      <c r="X2797" s="337" t="b">
        <f t="shared" si="78"/>
        <v>0</v>
      </c>
    </row>
    <row r="2798" spans="1:24" s="337" customFormat="1" ht="12" customHeight="1" outlineLevel="1">
      <c r="A2798" s="335"/>
      <c r="B2798" s="118" t="s">
        <v>12</v>
      </c>
      <c r="C2798" s="334" t="s">
        <v>10199</v>
      </c>
      <c r="D2798" s="124" t="s">
        <v>9971</v>
      </c>
      <c r="E2798" s="125"/>
      <c r="F2798" s="118" t="s">
        <v>828</v>
      </c>
      <c r="G2798" s="126" t="s">
        <v>9800</v>
      </c>
      <c r="H2798" s="255">
        <v>1</v>
      </c>
      <c r="I2798" s="361">
        <v>1</v>
      </c>
      <c r="J2798" s="362" t="s">
        <v>310</v>
      </c>
      <c r="K2798" s="363"/>
      <c r="L2798" s="129"/>
      <c r="M2798" s="129"/>
      <c r="N2798" s="129"/>
      <c r="O2798" s="129"/>
      <c r="P2798" s="364"/>
      <c r="Q2798" s="364"/>
      <c r="R2798" s="129"/>
      <c r="S2798" s="129"/>
      <c r="T2798" s="129"/>
      <c r="W2798" s="129" t="s">
        <v>4876</v>
      </c>
      <c r="X2798" s="337" t="b">
        <f t="shared" si="78"/>
        <v>0</v>
      </c>
    </row>
    <row r="2799" spans="1:24" s="337" customFormat="1" ht="12" customHeight="1" outlineLevel="1">
      <c r="A2799" s="335"/>
      <c r="B2799" s="118" t="s">
        <v>12</v>
      </c>
      <c r="C2799" s="334" t="s">
        <v>10200</v>
      </c>
      <c r="D2799" s="124" t="s">
        <v>9973</v>
      </c>
      <c r="E2799" s="125"/>
      <c r="F2799" s="118" t="s">
        <v>828</v>
      </c>
      <c r="G2799" s="126" t="s">
        <v>9800</v>
      </c>
      <c r="H2799" s="255">
        <v>1</v>
      </c>
      <c r="I2799" s="361">
        <v>1</v>
      </c>
      <c r="J2799" s="362" t="s">
        <v>743</v>
      </c>
      <c r="K2799" s="363"/>
      <c r="L2799" s="129"/>
      <c r="M2799" s="129"/>
      <c r="N2799" s="129"/>
      <c r="O2799" s="129"/>
      <c r="P2799" s="364"/>
      <c r="Q2799" s="364"/>
      <c r="R2799" s="129"/>
      <c r="S2799" s="129"/>
      <c r="T2799" s="129"/>
      <c r="W2799" s="129" t="s">
        <v>4876</v>
      </c>
      <c r="X2799" s="337" t="b">
        <f t="shared" si="78"/>
        <v>0</v>
      </c>
    </row>
    <row r="2800" spans="1:24" s="337" customFormat="1" ht="12" customHeight="1" outlineLevel="1">
      <c r="A2800" s="335"/>
      <c r="B2800" s="118" t="s">
        <v>12</v>
      </c>
      <c r="C2800" s="334" t="s">
        <v>10201</v>
      </c>
      <c r="D2800" s="124" t="s">
        <v>9975</v>
      </c>
      <c r="E2800" s="125"/>
      <c r="F2800" s="118" t="s">
        <v>828</v>
      </c>
      <c r="G2800" s="126" t="s">
        <v>9800</v>
      </c>
      <c r="H2800" s="255">
        <v>1</v>
      </c>
      <c r="I2800" s="361">
        <v>1</v>
      </c>
      <c r="J2800" s="362" t="s">
        <v>743</v>
      </c>
      <c r="K2800" s="363"/>
      <c r="L2800" s="129"/>
      <c r="M2800" s="129"/>
      <c r="N2800" s="129"/>
      <c r="O2800" s="129"/>
      <c r="P2800" s="364"/>
      <c r="Q2800" s="364"/>
      <c r="R2800" s="129"/>
      <c r="S2800" s="129"/>
      <c r="T2800" s="129"/>
      <c r="W2800" s="129" t="s">
        <v>4876</v>
      </c>
      <c r="X2800" s="337" t="b">
        <f t="shared" si="78"/>
        <v>0</v>
      </c>
    </row>
    <row r="2801" spans="1:24" s="337" customFormat="1" ht="12" customHeight="1" outlineLevel="1">
      <c r="A2801" s="335"/>
      <c r="B2801" s="118" t="s">
        <v>12</v>
      </c>
      <c r="C2801" s="334" t="s">
        <v>10202</v>
      </c>
      <c r="D2801" s="124" t="s">
        <v>10203</v>
      </c>
      <c r="E2801" s="125"/>
      <c r="F2801" s="118" t="s">
        <v>828</v>
      </c>
      <c r="G2801" s="126" t="s">
        <v>9800</v>
      </c>
      <c r="H2801" s="255">
        <v>1</v>
      </c>
      <c r="I2801" s="361">
        <v>1</v>
      </c>
      <c r="J2801" s="362" t="s">
        <v>286</v>
      </c>
      <c r="K2801" s="363"/>
      <c r="L2801" s="129"/>
      <c r="M2801" s="129"/>
      <c r="N2801" s="129"/>
      <c r="O2801" s="129"/>
      <c r="P2801" s="364"/>
      <c r="Q2801" s="364"/>
      <c r="R2801" s="129"/>
      <c r="S2801" s="129"/>
      <c r="T2801" s="129"/>
      <c r="W2801" s="129" t="s">
        <v>4876</v>
      </c>
      <c r="X2801" s="337" t="b">
        <f t="shared" si="78"/>
        <v>0</v>
      </c>
    </row>
    <row r="2802" spans="1:24" s="337" customFormat="1" ht="12" customHeight="1" outlineLevel="1">
      <c r="A2802" s="335"/>
      <c r="B2802" s="118" t="s">
        <v>12</v>
      </c>
      <c r="C2802" s="334" t="s">
        <v>10204</v>
      </c>
      <c r="D2802" s="124" t="s">
        <v>10205</v>
      </c>
      <c r="E2802" s="125"/>
      <c r="F2802" s="118" t="s">
        <v>828</v>
      </c>
      <c r="G2802" s="126" t="s">
        <v>9800</v>
      </c>
      <c r="H2802" s="255">
        <v>1</v>
      </c>
      <c r="I2802" s="361">
        <v>1</v>
      </c>
      <c r="J2802" s="362" t="s">
        <v>286</v>
      </c>
      <c r="K2802" s="363"/>
      <c r="L2802" s="129"/>
      <c r="M2802" s="129"/>
      <c r="N2802" s="129"/>
      <c r="O2802" s="129"/>
      <c r="P2802" s="364"/>
      <c r="Q2802" s="364"/>
      <c r="R2802" s="129"/>
      <c r="S2802" s="129"/>
      <c r="T2802" s="129"/>
      <c r="W2802" s="129" t="s">
        <v>4876</v>
      </c>
      <c r="X2802" s="337" t="b">
        <f t="shared" si="78"/>
        <v>0</v>
      </c>
    </row>
    <row r="2803" spans="1:24" s="337" customFormat="1" ht="12" customHeight="1" outlineLevel="1">
      <c r="A2803" s="335"/>
      <c r="B2803" s="118" t="s">
        <v>12</v>
      </c>
      <c r="C2803" s="334" t="s">
        <v>10206</v>
      </c>
      <c r="D2803" s="124" t="s">
        <v>9986</v>
      </c>
      <c r="E2803" s="125"/>
      <c r="F2803" s="118" t="s">
        <v>828</v>
      </c>
      <c r="G2803" s="126" t="s">
        <v>9800</v>
      </c>
      <c r="H2803" s="255">
        <v>1</v>
      </c>
      <c r="I2803" s="361">
        <v>1</v>
      </c>
      <c r="J2803" s="362" t="s">
        <v>286</v>
      </c>
      <c r="K2803" s="363"/>
      <c r="L2803" s="129"/>
      <c r="M2803" s="129"/>
      <c r="N2803" s="129"/>
      <c r="O2803" s="129"/>
      <c r="P2803" s="364"/>
      <c r="Q2803" s="364"/>
      <c r="R2803" s="129"/>
      <c r="S2803" s="129"/>
      <c r="T2803" s="129"/>
      <c r="W2803" s="129" t="s">
        <v>286</v>
      </c>
      <c r="X2803" s="337" t="b">
        <f t="shared" si="78"/>
        <v>1</v>
      </c>
    </row>
    <row r="2804" spans="1:24" s="337" customFormat="1" ht="12" customHeight="1" outlineLevel="1">
      <c r="A2804" s="335"/>
      <c r="B2804" s="118" t="s">
        <v>12</v>
      </c>
      <c r="C2804" s="334" t="s">
        <v>10207</v>
      </c>
      <c r="D2804" s="124" t="s">
        <v>9988</v>
      </c>
      <c r="E2804" s="125"/>
      <c r="F2804" s="118" t="s">
        <v>828</v>
      </c>
      <c r="G2804" s="126" t="s">
        <v>9800</v>
      </c>
      <c r="H2804" s="255">
        <v>1</v>
      </c>
      <c r="I2804" s="361">
        <v>1</v>
      </c>
      <c r="J2804" s="362" t="s">
        <v>286</v>
      </c>
      <c r="K2804" s="363"/>
      <c r="L2804" s="129"/>
      <c r="M2804" s="129"/>
      <c r="N2804" s="129"/>
      <c r="O2804" s="129"/>
      <c r="P2804" s="364"/>
      <c r="Q2804" s="364"/>
      <c r="R2804" s="129"/>
      <c r="S2804" s="129"/>
      <c r="T2804" s="129"/>
      <c r="W2804" s="129" t="s">
        <v>286</v>
      </c>
      <c r="X2804" s="337" t="b">
        <f t="shared" si="78"/>
        <v>1</v>
      </c>
    </row>
    <row r="2805" spans="1:24" s="337" customFormat="1" ht="12" customHeight="1" outlineLevel="1">
      <c r="A2805" s="335"/>
      <c r="B2805" s="118" t="s">
        <v>12</v>
      </c>
      <c r="C2805" s="334" t="s">
        <v>10208</v>
      </c>
      <c r="D2805" s="124" t="s">
        <v>9990</v>
      </c>
      <c r="E2805" s="125"/>
      <c r="F2805" s="118" t="s">
        <v>828</v>
      </c>
      <c r="G2805" s="126" t="s">
        <v>9800</v>
      </c>
      <c r="H2805" s="255">
        <v>1</v>
      </c>
      <c r="I2805" s="361">
        <v>1</v>
      </c>
      <c r="J2805" s="362" t="s">
        <v>286</v>
      </c>
      <c r="K2805" s="363"/>
      <c r="L2805" s="129"/>
      <c r="M2805" s="129"/>
      <c r="N2805" s="129"/>
      <c r="O2805" s="129"/>
      <c r="P2805" s="364"/>
      <c r="Q2805" s="364"/>
      <c r="R2805" s="129"/>
      <c r="S2805" s="129"/>
      <c r="T2805" s="129"/>
      <c r="W2805" s="129" t="s">
        <v>286</v>
      </c>
      <c r="X2805" s="337" t="b">
        <f t="shared" si="78"/>
        <v>1</v>
      </c>
    </row>
    <row r="2806" spans="1:24" s="337" customFormat="1" ht="12" customHeight="1" outlineLevel="1">
      <c r="A2806" s="335"/>
      <c r="B2806" s="118" t="s">
        <v>12</v>
      </c>
      <c r="C2806" s="334" t="s">
        <v>10209</v>
      </c>
      <c r="D2806" s="124" t="s">
        <v>9992</v>
      </c>
      <c r="E2806" s="125"/>
      <c r="F2806" s="118" t="s">
        <v>828</v>
      </c>
      <c r="G2806" s="126" t="s">
        <v>9800</v>
      </c>
      <c r="H2806" s="255">
        <v>1</v>
      </c>
      <c r="I2806" s="361">
        <v>1</v>
      </c>
      <c r="J2806" s="362" t="s">
        <v>286</v>
      </c>
      <c r="K2806" s="363"/>
      <c r="L2806" s="129"/>
      <c r="M2806" s="129"/>
      <c r="N2806" s="129"/>
      <c r="O2806" s="129"/>
      <c r="P2806" s="364"/>
      <c r="Q2806" s="364"/>
      <c r="R2806" s="129"/>
      <c r="S2806" s="129"/>
      <c r="T2806" s="129"/>
      <c r="W2806" s="129" t="s">
        <v>286</v>
      </c>
      <c r="X2806" s="337" t="b">
        <f t="shared" si="78"/>
        <v>1</v>
      </c>
    </row>
    <row r="2807" spans="1:24" s="337" customFormat="1" ht="12" customHeight="1" outlineLevel="1">
      <c r="A2807" s="335"/>
      <c r="B2807" s="118" t="s">
        <v>12</v>
      </c>
      <c r="C2807" s="334" t="s">
        <v>10210</v>
      </c>
      <c r="D2807" s="124" t="s">
        <v>9994</v>
      </c>
      <c r="E2807" s="125"/>
      <c r="F2807" s="118" t="s">
        <v>828</v>
      </c>
      <c r="G2807" s="126" t="s">
        <v>9800</v>
      </c>
      <c r="H2807" s="255">
        <v>1</v>
      </c>
      <c r="I2807" s="361">
        <v>1</v>
      </c>
      <c r="J2807" s="362" t="s">
        <v>286</v>
      </c>
      <c r="K2807" s="363"/>
      <c r="L2807" s="129"/>
      <c r="M2807" s="129"/>
      <c r="N2807" s="129"/>
      <c r="O2807" s="129"/>
      <c r="P2807" s="364"/>
      <c r="Q2807" s="364"/>
      <c r="R2807" s="129"/>
      <c r="S2807" s="129"/>
      <c r="T2807" s="129"/>
      <c r="W2807" s="129" t="s">
        <v>286</v>
      </c>
      <c r="X2807" s="337" t="b">
        <f t="shared" si="78"/>
        <v>1</v>
      </c>
    </row>
    <row r="2808" spans="1:24" s="337" customFormat="1" ht="12" customHeight="1" outlineLevel="1">
      <c r="A2808" s="335"/>
      <c r="B2808" s="118" t="s">
        <v>12</v>
      </c>
      <c r="C2808" s="334" t="s">
        <v>10211</v>
      </c>
      <c r="D2808" s="124" t="s">
        <v>9996</v>
      </c>
      <c r="E2808" s="125"/>
      <c r="F2808" s="118" t="s">
        <v>828</v>
      </c>
      <c r="G2808" s="126" t="s">
        <v>9800</v>
      </c>
      <c r="H2808" s="255">
        <v>1</v>
      </c>
      <c r="I2808" s="361">
        <v>1</v>
      </c>
      <c r="J2808" s="362" t="s">
        <v>286</v>
      </c>
      <c r="K2808" s="363"/>
      <c r="L2808" s="129"/>
      <c r="M2808" s="129"/>
      <c r="N2808" s="129"/>
      <c r="O2808" s="129"/>
      <c r="P2808" s="364"/>
      <c r="Q2808" s="364"/>
      <c r="R2808" s="129"/>
      <c r="S2808" s="129"/>
      <c r="T2808" s="129"/>
      <c r="W2808" s="129" t="s">
        <v>286</v>
      </c>
      <c r="X2808" s="337" t="b">
        <f t="shared" si="78"/>
        <v>1</v>
      </c>
    </row>
    <row r="2809" spans="1:24" s="337" customFormat="1" ht="12" customHeight="1" outlineLevel="1">
      <c r="A2809" s="335"/>
      <c r="B2809" s="118" t="s">
        <v>12</v>
      </c>
      <c r="C2809" s="334" t="s">
        <v>10212</v>
      </c>
      <c r="D2809" s="124" t="s">
        <v>9998</v>
      </c>
      <c r="E2809" s="125"/>
      <c r="F2809" s="118" t="s">
        <v>828</v>
      </c>
      <c r="G2809" s="126" t="s">
        <v>9800</v>
      </c>
      <c r="H2809" s="255">
        <v>1</v>
      </c>
      <c r="I2809" s="361">
        <v>1</v>
      </c>
      <c r="J2809" s="362" t="s">
        <v>286</v>
      </c>
      <c r="K2809" s="363"/>
      <c r="L2809" s="129"/>
      <c r="M2809" s="129"/>
      <c r="N2809" s="129"/>
      <c r="O2809" s="129"/>
      <c r="P2809" s="364"/>
      <c r="Q2809" s="364"/>
      <c r="R2809" s="129"/>
      <c r="S2809" s="129"/>
      <c r="T2809" s="129"/>
      <c r="W2809" s="129" t="s">
        <v>286</v>
      </c>
      <c r="X2809" s="337" t="b">
        <f t="shared" si="78"/>
        <v>1</v>
      </c>
    </row>
    <row r="2810" spans="1:24" s="337" customFormat="1" ht="12" customHeight="1" outlineLevel="1">
      <c r="A2810" s="335"/>
      <c r="B2810" s="118" t="s">
        <v>12</v>
      </c>
      <c r="C2810" s="334" t="s">
        <v>10213</v>
      </c>
      <c r="D2810" s="124" t="s">
        <v>10000</v>
      </c>
      <c r="E2810" s="125"/>
      <c r="F2810" s="118" t="s">
        <v>828</v>
      </c>
      <c r="G2810" s="126" t="s">
        <v>9800</v>
      </c>
      <c r="H2810" s="255">
        <v>1</v>
      </c>
      <c r="I2810" s="361">
        <v>1</v>
      </c>
      <c r="J2810" s="362" t="s">
        <v>286</v>
      </c>
      <c r="K2810" s="363"/>
      <c r="L2810" s="129"/>
      <c r="M2810" s="129"/>
      <c r="N2810" s="129"/>
      <c r="O2810" s="129"/>
      <c r="P2810" s="364"/>
      <c r="Q2810" s="364"/>
      <c r="R2810" s="129"/>
      <c r="S2810" s="129"/>
      <c r="T2810" s="129"/>
      <c r="W2810" s="129" t="s">
        <v>286</v>
      </c>
      <c r="X2810" s="337" t="b">
        <f t="shared" si="78"/>
        <v>1</v>
      </c>
    </row>
    <row r="2811" spans="1:24" s="337" customFormat="1" ht="12" customHeight="1" outlineLevel="1">
      <c r="A2811" s="335"/>
      <c r="B2811" s="118" t="s">
        <v>12</v>
      </c>
      <c r="C2811" s="334" t="s">
        <v>10214</v>
      </c>
      <c r="D2811" s="124" t="s">
        <v>10002</v>
      </c>
      <c r="E2811" s="125"/>
      <c r="F2811" s="118" t="s">
        <v>828</v>
      </c>
      <c r="G2811" s="126" t="s">
        <v>9800</v>
      </c>
      <c r="H2811" s="255">
        <v>1</v>
      </c>
      <c r="I2811" s="361">
        <v>1</v>
      </c>
      <c r="J2811" s="362" t="s">
        <v>286</v>
      </c>
      <c r="K2811" s="363"/>
      <c r="L2811" s="129"/>
      <c r="M2811" s="129"/>
      <c r="N2811" s="129"/>
      <c r="O2811" s="129"/>
      <c r="P2811" s="364"/>
      <c r="Q2811" s="364"/>
      <c r="R2811" s="129"/>
      <c r="S2811" s="129"/>
      <c r="T2811" s="129"/>
      <c r="W2811" s="129" t="s">
        <v>286</v>
      </c>
      <c r="X2811" s="337" t="b">
        <f t="shared" si="78"/>
        <v>1</v>
      </c>
    </row>
    <row r="2812" spans="1:24" s="337" customFormat="1" ht="12" customHeight="1" outlineLevel="1">
      <c r="A2812" s="335"/>
      <c r="B2812" s="118" t="s">
        <v>12</v>
      </c>
      <c r="C2812" s="334" t="s">
        <v>10215</v>
      </c>
      <c r="D2812" s="124" t="s">
        <v>10004</v>
      </c>
      <c r="E2812" s="125"/>
      <c r="F2812" s="118" t="s">
        <v>828</v>
      </c>
      <c r="G2812" s="126" t="s">
        <v>9800</v>
      </c>
      <c r="H2812" s="255">
        <v>1</v>
      </c>
      <c r="I2812" s="361">
        <v>1</v>
      </c>
      <c r="J2812" s="362" t="s">
        <v>286</v>
      </c>
      <c r="K2812" s="363"/>
      <c r="L2812" s="129"/>
      <c r="M2812" s="129"/>
      <c r="N2812" s="129"/>
      <c r="O2812" s="129"/>
      <c r="P2812" s="364"/>
      <c r="Q2812" s="364"/>
      <c r="R2812" s="129"/>
      <c r="S2812" s="129"/>
      <c r="T2812" s="129"/>
      <c r="W2812" s="129" t="s">
        <v>286</v>
      </c>
      <c r="X2812" s="337" t="b">
        <f t="shared" si="78"/>
        <v>1</v>
      </c>
    </row>
    <row r="2813" spans="1:24" s="337" customFormat="1" ht="12" customHeight="1" outlineLevel="1">
      <c r="A2813" s="335"/>
      <c r="B2813" s="118" t="s">
        <v>12</v>
      </c>
      <c r="C2813" s="334" t="s">
        <v>10216</v>
      </c>
      <c r="D2813" s="124" t="s">
        <v>10006</v>
      </c>
      <c r="E2813" s="125"/>
      <c r="F2813" s="118" t="s">
        <v>828</v>
      </c>
      <c r="G2813" s="126" t="s">
        <v>9800</v>
      </c>
      <c r="H2813" s="255">
        <v>1</v>
      </c>
      <c r="I2813" s="361">
        <v>1</v>
      </c>
      <c r="J2813" s="362" t="s">
        <v>286</v>
      </c>
      <c r="K2813" s="363"/>
      <c r="L2813" s="129"/>
      <c r="M2813" s="129"/>
      <c r="N2813" s="129"/>
      <c r="O2813" s="129"/>
      <c r="P2813" s="364"/>
      <c r="Q2813" s="364"/>
      <c r="R2813" s="129"/>
      <c r="S2813" s="129"/>
      <c r="T2813" s="129"/>
      <c r="W2813" s="129" t="s">
        <v>286</v>
      </c>
      <c r="X2813" s="337" t="b">
        <f t="shared" si="78"/>
        <v>1</v>
      </c>
    </row>
    <row r="2814" spans="1:24" s="337" customFormat="1" ht="12" customHeight="1" outlineLevel="1">
      <c r="A2814" s="335"/>
      <c r="B2814" s="118" t="s">
        <v>12</v>
      </c>
      <c r="C2814" s="334" t="s">
        <v>10217</v>
      </c>
      <c r="D2814" s="124" t="s">
        <v>10008</v>
      </c>
      <c r="E2814" s="125"/>
      <c r="F2814" s="118" t="s">
        <v>828</v>
      </c>
      <c r="G2814" s="126" t="s">
        <v>9800</v>
      </c>
      <c r="H2814" s="255">
        <v>1</v>
      </c>
      <c r="I2814" s="361">
        <v>1</v>
      </c>
      <c r="J2814" s="362" t="s">
        <v>286</v>
      </c>
      <c r="K2814" s="363"/>
      <c r="L2814" s="129"/>
      <c r="M2814" s="129"/>
      <c r="N2814" s="129"/>
      <c r="O2814" s="129"/>
      <c r="P2814" s="364"/>
      <c r="Q2814" s="364"/>
      <c r="R2814" s="129"/>
      <c r="S2814" s="129"/>
      <c r="T2814" s="129"/>
      <c r="W2814" s="129" t="s">
        <v>286</v>
      </c>
      <c r="X2814" s="337" t="b">
        <f t="shared" si="78"/>
        <v>1</v>
      </c>
    </row>
    <row r="2815" spans="1:24" s="337" customFormat="1" ht="12" customHeight="1" outlineLevel="1">
      <c r="A2815" s="335"/>
      <c r="B2815" s="118" t="s">
        <v>12</v>
      </c>
      <c r="C2815" s="334" t="s">
        <v>10218</v>
      </c>
      <c r="D2815" s="124" t="s">
        <v>10219</v>
      </c>
      <c r="E2815" s="125"/>
      <c r="F2815" s="118" t="s">
        <v>828</v>
      </c>
      <c r="G2815" s="126" t="s">
        <v>9800</v>
      </c>
      <c r="H2815" s="255">
        <v>1</v>
      </c>
      <c r="I2815" s="361">
        <v>1</v>
      </c>
      <c r="J2815" s="362" t="s">
        <v>286</v>
      </c>
      <c r="K2815" s="363"/>
      <c r="L2815" s="129"/>
      <c r="M2815" s="129"/>
      <c r="N2815" s="129"/>
      <c r="O2815" s="129"/>
      <c r="P2815" s="364"/>
      <c r="Q2815" s="364"/>
      <c r="R2815" s="129"/>
      <c r="S2815" s="129"/>
      <c r="T2815" s="129"/>
      <c r="W2815" s="129" t="s">
        <v>286</v>
      </c>
      <c r="X2815" s="337" t="b">
        <f t="shared" si="78"/>
        <v>1</v>
      </c>
    </row>
    <row r="2816" spans="1:24" s="337" customFormat="1" ht="12" customHeight="1" outlineLevel="1">
      <c r="A2816" s="335"/>
      <c r="B2816" s="118" t="s">
        <v>12</v>
      </c>
      <c r="C2816" s="334" t="s">
        <v>10220</v>
      </c>
      <c r="D2816" s="124" t="s">
        <v>7266</v>
      </c>
      <c r="E2816" s="125"/>
      <c r="F2816" s="118" t="s">
        <v>828</v>
      </c>
      <c r="G2816" s="126" t="s">
        <v>9800</v>
      </c>
      <c r="H2816" s="255">
        <v>1</v>
      </c>
      <c r="I2816" s="361">
        <v>1</v>
      </c>
      <c r="J2816" s="362" t="s">
        <v>310</v>
      </c>
      <c r="K2816" s="363"/>
      <c r="L2816" s="129"/>
      <c r="M2816" s="129"/>
      <c r="N2816" s="129"/>
      <c r="O2816" s="129"/>
      <c r="P2816" s="364"/>
      <c r="Q2816" s="364"/>
      <c r="R2816" s="129"/>
      <c r="S2816" s="129"/>
      <c r="T2816" s="129"/>
      <c r="W2816" s="129" t="s">
        <v>286</v>
      </c>
      <c r="X2816" s="337" t="b">
        <f t="shared" si="78"/>
        <v>0</v>
      </c>
    </row>
    <row r="2817" spans="1:24" s="337" customFormat="1" ht="12" customHeight="1" outlineLevel="1">
      <c r="A2817" s="335"/>
      <c r="B2817" s="118" t="s">
        <v>12</v>
      </c>
      <c r="C2817" s="334" t="s">
        <v>10221</v>
      </c>
      <c r="D2817" s="124" t="s">
        <v>7268</v>
      </c>
      <c r="E2817" s="125"/>
      <c r="F2817" s="118" t="s">
        <v>828</v>
      </c>
      <c r="G2817" s="126" t="s">
        <v>9800</v>
      </c>
      <c r="H2817" s="255">
        <v>1</v>
      </c>
      <c r="I2817" s="361">
        <v>1</v>
      </c>
      <c r="J2817" s="362" t="s">
        <v>286</v>
      </c>
      <c r="K2817" s="363"/>
      <c r="L2817" s="129"/>
      <c r="M2817" s="129"/>
      <c r="N2817" s="129"/>
      <c r="O2817" s="129"/>
      <c r="P2817" s="364"/>
      <c r="Q2817" s="364"/>
      <c r="R2817" s="129"/>
      <c r="S2817" s="129"/>
      <c r="T2817" s="129"/>
      <c r="W2817" s="129" t="s">
        <v>4876</v>
      </c>
      <c r="X2817" s="337" t="b">
        <f t="shared" si="78"/>
        <v>0</v>
      </c>
    </row>
    <row r="2818" spans="1:24" s="337" customFormat="1" ht="12" customHeight="1" outlineLevel="1">
      <c r="A2818" s="335"/>
      <c r="B2818" s="118" t="s">
        <v>12</v>
      </c>
      <c r="C2818" s="334" t="s">
        <v>10222</v>
      </c>
      <c r="D2818" s="124" t="s">
        <v>10223</v>
      </c>
      <c r="E2818" s="125"/>
      <c r="F2818" s="118" t="s">
        <v>828</v>
      </c>
      <c r="G2818" s="126" t="s">
        <v>9800</v>
      </c>
      <c r="H2818" s="255">
        <v>1</v>
      </c>
      <c r="I2818" s="361">
        <v>1</v>
      </c>
      <c r="J2818" s="362" t="s">
        <v>310</v>
      </c>
      <c r="K2818" s="363"/>
      <c r="L2818" s="129"/>
      <c r="M2818" s="129"/>
      <c r="N2818" s="129"/>
      <c r="O2818" s="129"/>
      <c r="P2818" s="364"/>
      <c r="Q2818" s="364"/>
      <c r="R2818" s="129"/>
      <c r="S2818" s="129"/>
      <c r="T2818" s="129"/>
      <c r="W2818" s="129" t="s">
        <v>286</v>
      </c>
      <c r="X2818" s="337" t="b">
        <f t="shared" si="78"/>
        <v>0</v>
      </c>
    </row>
    <row r="2819" spans="1:24" s="337" customFormat="1" ht="12" customHeight="1" outlineLevel="1">
      <c r="A2819" s="335"/>
      <c r="B2819" s="118" t="s">
        <v>12</v>
      </c>
      <c r="C2819" s="334" t="s">
        <v>10224</v>
      </c>
      <c r="D2819" s="124" t="s">
        <v>10225</v>
      </c>
      <c r="E2819" s="125"/>
      <c r="F2819" s="118" t="s">
        <v>828</v>
      </c>
      <c r="G2819" s="126" t="s">
        <v>9800</v>
      </c>
      <c r="H2819" s="255">
        <v>1</v>
      </c>
      <c r="I2819" s="361">
        <v>1</v>
      </c>
      <c r="J2819" s="362" t="s">
        <v>286</v>
      </c>
      <c r="K2819" s="363"/>
      <c r="L2819" s="129"/>
      <c r="M2819" s="129"/>
      <c r="N2819" s="129"/>
      <c r="O2819" s="129"/>
      <c r="P2819" s="364"/>
      <c r="Q2819" s="364"/>
      <c r="R2819" s="129"/>
      <c r="S2819" s="129"/>
      <c r="T2819" s="129"/>
      <c r="W2819" s="129" t="s">
        <v>286</v>
      </c>
      <c r="X2819" s="337" t="b">
        <f t="shared" si="78"/>
        <v>1</v>
      </c>
    </row>
    <row r="2820" spans="1:24" s="337" customFormat="1" ht="12" customHeight="1" outlineLevel="1">
      <c r="A2820" s="335"/>
      <c r="B2820" s="118" t="s">
        <v>12</v>
      </c>
      <c r="C2820" s="334" t="s">
        <v>10226</v>
      </c>
      <c r="D2820" s="124" t="s">
        <v>10227</v>
      </c>
      <c r="E2820" s="125"/>
      <c r="F2820" s="118" t="s">
        <v>828</v>
      </c>
      <c r="G2820" s="126" t="s">
        <v>9800</v>
      </c>
      <c r="H2820" s="255">
        <v>1</v>
      </c>
      <c r="I2820" s="361">
        <v>1</v>
      </c>
      <c r="J2820" s="362" t="s">
        <v>286</v>
      </c>
      <c r="K2820" s="363"/>
      <c r="L2820" s="129"/>
      <c r="M2820" s="129"/>
      <c r="N2820" s="129"/>
      <c r="O2820" s="129"/>
      <c r="P2820" s="364"/>
      <c r="Q2820" s="364"/>
      <c r="R2820" s="129"/>
      <c r="S2820" s="129"/>
      <c r="T2820" s="129"/>
      <c r="W2820" s="129" t="s">
        <v>286</v>
      </c>
      <c r="X2820" s="337" t="b">
        <f t="shared" si="78"/>
        <v>1</v>
      </c>
    </row>
    <row r="2821" spans="1:24" s="337" customFormat="1" ht="12" customHeight="1" outlineLevel="1">
      <c r="A2821" s="335"/>
      <c r="B2821" s="118" t="s">
        <v>12</v>
      </c>
      <c r="C2821" s="334" t="s">
        <v>10228</v>
      </c>
      <c r="D2821" s="124" t="s">
        <v>10229</v>
      </c>
      <c r="E2821" s="125"/>
      <c r="F2821" s="118" t="s">
        <v>828</v>
      </c>
      <c r="G2821" s="126" t="s">
        <v>9800</v>
      </c>
      <c r="H2821" s="255">
        <v>1</v>
      </c>
      <c r="I2821" s="361">
        <v>1</v>
      </c>
      <c r="J2821" s="362" t="s">
        <v>286</v>
      </c>
      <c r="K2821" s="363"/>
      <c r="L2821" s="129"/>
      <c r="M2821" s="129"/>
      <c r="N2821" s="129"/>
      <c r="O2821" s="129"/>
      <c r="P2821" s="364"/>
      <c r="Q2821" s="364"/>
      <c r="R2821" s="129"/>
      <c r="S2821" s="129"/>
      <c r="T2821" s="129"/>
      <c r="W2821" s="129" t="s">
        <v>286</v>
      </c>
      <c r="X2821" s="337" t="b">
        <f t="shared" si="78"/>
        <v>1</v>
      </c>
    </row>
    <row r="2822" spans="1:24" s="337" customFormat="1" ht="12" customHeight="1" outlineLevel="1">
      <c r="A2822" s="335"/>
      <c r="B2822" s="118" t="s">
        <v>12</v>
      </c>
      <c r="C2822" s="334" t="s">
        <v>10230</v>
      </c>
      <c r="D2822" s="124" t="s">
        <v>10231</v>
      </c>
      <c r="E2822" s="125"/>
      <c r="F2822" s="118" t="s">
        <v>828</v>
      </c>
      <c r="G2822" s="126" t="s">
        <v>10232</v>
      </c>
      <c r="H2822" s="255">
        <v>2</v>
      </c>
      <c r="I2822" s="361">
        <v>1</v>
      </c>
      <c r="J2822" s="362" t="s">
        <v>307</v>
      </c>
      <c r="K2822" s="363"/>
      <c r="L2822" s="129"/>
      <c r="M2822" s="129"/>
      <c r="N2822" s="129"/>
      <c r="O2822" s="129"/>
      <c r="P2822" s="364"/>
      <c r="Q2822" s="364"/>
      <c r="R2822" s="129"/>
      <c r="S2822" s="129"/>
      <c r="T2822" s="129"/>
      <c r="W2822" s="129" t="s">
        <v>286</v>
      </c>
      <c r="X2822" s="337" t="b">
        <f t="shared" si="78"/>
        <v>0</v>
      </c>
    </row>
    <row r="2823" spans="1:24" s="337" customFormat="1" ht="12" customHeight="1" outlineLevel="1">
      <c r="A2823" s="335"/>
      <c r="B2823" s="118" t="s">
        <v>12</v>
      </c>
      <c r="C2823" s="334" t="s">
        <v>10233</v>
      </c>
      <c r="D2823" s="124" t="s">
        <v>10234</v>
      </c>
      <c r="E2823" s="125"/>
      <c r="F2823" s="118" t="s">
        <v>828</v>
      </c>
      <c r="G2823" s="126" t="s">
        <v>10232</v>
      </c>
      <c r="H2823" s="255">
        <v>2</v>
      </c>
      <c r="I2823" s="361">
        <v>1</v>
      </c>
      <c r="J2823" s="362" t="s">
        <v>286</v>
      </c>
      <c r="K2823" s="363"/>
      <c r="L2823" s="129"/>
      <c r="M2823" s="129"/>
      <c r="N2823" s="129"/>
      <c r="O2823" s="129"/>
      <c r="P2823" s="364"/>
      <c r="Q2823" s="364"/>
      <c r="R2823" s="129"/>
      <c r="S2823" s="129"/>
      <c r="T2823" s="129"/>
      <c r="W2823" s="129" t="s">
        <v>4876</v>
      </c>
      <c r="X2823" s="337" t="b">
        <f t="shared" si="78"/>
        <v>0</v>
      </c>
    </row>
    <row r="2824" spans="1:24" s="337" customFormat="1" ht="12" customHeight="1" outlineLevel="1">
      <c r="A2824" s="335"/>
      <c r="B2824" s="118" t="s">
        <v>12</v>
      </c>
      <c r="C2824" s="334" t="s">
        <v>10235</v>
      </c>
      <c r="D2824" s="124" t="s">
        <v>10236</v>
      </c>
      <c r="E2824" s="125"/>
      <c r="F2824" s="118" t="s">
        <v>828</v>
      </c>
      <c r="G2824" s="126" t="s">
        <v>10232</v>
      </c>
      <c r="H2824" s="255">
        <v>2</v>
      </c>
      <c r="I2824" s="361">
        <v>1</v>
      </c>
      <c r="J2824" s="362" t="s">
        <v>310</v>
      </c>
      <c r="K2824" s="363"/>
      <c r="L2824" s="129"/>
      <c r="M2824" s="129"/>
      <c r="N2824" s="129"/>
      <c r="O2824" s="129"/>
      <c r="P2824" s="364"/>
      <c r="Q2824" s="364"/>
      <c r="R2824" s="129"/>
      <c r="S2824" s="129"/>
      <c r="T2824" s="129"/>
      <c r="W2824" s="129" t="s">
        <v>286</v>
      </c>
      <c r="X2824" s="337" t="b">
        <f t="shared" si="78"/>
        <v>0</v>
      </c>
    </row>
    <row r="2825" spans="1:24" s="337" customFormat="1" ht="12" customHeight="1" outlineLevel="1">
      <c r="A2825" s="335"/>
      <c r="B2825" s="118" t="s">
        <v>12</v>
      </c>
      <c r="C2825" s="334" t="s">
        <v>10237</v>
      </c>
      <c r="D2825" s="124" t="s">
        <v>10238</v>
      </c>
      <c r="E2825" s="125"/>
      <c r="F2825" s="118" t="s">
        <v>828</v>
      </c>
      <c r="G2825" s="126" t="s">
        <v>10232</v>
      </c>
      <c r="H2825" s="255">
        <v>2</v>
      </c>
      <c r="I2825" s="361">
        <v>1</v>
      </c>
      <c r="J2825" s="362" t="s">
        <v>310</v>
      </c>
      <c r="K2825" s="363"/>
      <c r="L2825" s="129"/>
      <c r="M2825" s="129"/>
      <c r="N2825" s="129"/>
      <c r="O2825" s="129"/>
      <c r="P2825" s="364"/>
      <c r="Q2825" s="364"/>
      <c r="R2825" s="129"/>
      <c r="S2825" s="129"/>
      <c r="T2825" s="129"/>
      <c r="W2825" s="129" t="s">
        <v>286</v>
      </c>
      <c r="X2825" s="337" t="b">
        <f t="shared" si="78"/>
        <v>0</v>
      </c>
    </row>
    <row r="2826" spans="1:24" s="337" customFormat="1" ht="12" customHeight="1" outlineLevel="1">
      <c r="A2826" s="335"/>
      <c r="B2826" s="118" t="s">
        <v>12</v>
      </c>
      <c r="C2826" s="334" t="s">
        <v>10239</v>
      </c>
      <c r="D2826" s="124" t="s">
        <v>10240</v>
      </c>
      <c r="E2826" s="125"/>
      <c r="F2826" s="118" t="s">
        <v>828</v>
      </c>
      <c r="G2826" s="126" t="s">
        <v>10232</v>
      </c>
      <c r="H2826" s="255">
        <v>2</v>
      </c>
      <c r="I2826" s="361">
        <v>1</v>
      </c>
      <c r="J2826" s="362" t="s">
        <v>286</v>
      </c>
      <c r="K2826" s="363"/>
      <c r="L2826" s="129"/>
      <c r="M2826" s="129"/>
      <c r="N2826" s="129"/>
      <c r="O2826" s="129"/>
      <c r="P2826" s="364"/>
      <c r="Q2826" s="364"/>
      <c r="R2826" s="129"/>
      <c r="S2826" s="129"/>
      <c r="T2826" s="129"/>
      <c r="W2826" s="129" t="s">
        <v>4876</v>
      </c>
      <c r="X2826" s="337" t="b">
        <f t="shared" si="78"/>
        <v>0</v>
      </c>
    </row>
    <row r="2827" spans="1:24" s="337" customFormat="1" ht="12" customHeight="1" outlineLevel="1">
      <c r="A2827" s="335"/>
      <c r="B2827" s="118" t="s">
        <v>12</v>
      </c>
      <c r="C2827" s="334" t="s">
        <v>10241</v>
      </c>
      <c r="D2827" s="124" t="s">
        <v>10242</v>
      </c>
      <c r="E2827" s="125"/>
      <c r="F2827" s="118" t="s">
        <v>828</v>
      </c>
      <c r="G2827" s="126" t="s">
        <v>10232</v>
      </c>
      <c r="H2827" s="255">
        <v>2</v>
      </c>
      <c r="I2827" s="361">
        <v>1</v>
      </c>
      <c r="J2827" s="362" t="s">
        <v>286</v>
      </c>
      <c r="K2827" s="363"/>
      <c r="L2827" s="129"/>
      <c r="M2827" s="129"/>
      <c r="N2827" s="129"/>
      <c r="O2827" s="129"/>
      <c r="P2827" s="364"/>
      <c r="Q2827" s="364"/>
      <c r="R2827" s="129"/>
      <c r="S2827" s="129"/>
      <c r="T2827" s="129"/>
      <c r="W2827" s="129" t="s">
        <v>286</v>
      </c>
      <c r="X2827" s="337" t="b">
        <f t="shared" si="78"/>
        <v>1</v>
      </c>
    </row>
    <row r="2828" spans="1:24" s="337" customFormat="1" ht="12" customHeight="1" outlineLevel="1">
      <c r="A2828" s="335"/>
      <c r="B2828" s="118" t="s">
        <v>12</v>
      </c>
      <c r="C2828" s="334" t="s">
        <v>10243</v>
      </c>
      <c r="D2828" s="124" t="s">
        <v>10244</v>
      </c>
      <c r="E2828" s="125"/>
      <c r="F2828" s="118" t="s">
        <v>828</v>
      </c>
      <c r="G2828" s="126" t="s">
        <v>10232</v>
      </c>
      <c r="H2828" s="255">
        <v>2</v>
      </c>
      <c r="I2828" s="361">
        <v>1</v>
      </c>
      <c r="J2828" s="362" t="s">
        <v>286</v>
      </c>
      <c r="K2828" s="363"/>
      <c r="L2828" s="129"/>
      <c r="M2828" s="129"/>
      <c r="N2828" s="129"/>
      <c r="O2828" s="129"/>
      <c r="P2828" s="364"/>
      <c r="Q2828" s="364"/>
      <c r="R2828" s="129"/>
      <c r="S2828" s="129"/>
      <c r="T2828" s="129"/>
      <c r="W2828" s="129" t="s">
        <v>4876</v>
      </c>
      <c r="X2828" s="337" t="b">
        <f t="shared" si="78"/>
        <v>0</v>
      </c>
    </row>
    <row r="2829" spans="1:24" s="337" customFormat="1" ht="12" customHeight="1" outlineLevel="1">
      <c r="A2829" s="335"/>
      <c r="B2829" s="118" t="s">
        <v>12</v>
      </c>
      <c r="C2829" s="334" t="s">
        <v>10245</v>
      </c>
      <c r="D2829" s="124" t="s">
        <v>10246</v>
      </c>
      <c r="E2829" s="125"/>
      <c r="F2829" s="118" t="s">
        <v>828</v>
      </c>
      <c r="G2829" s="126" t="s">
        <v>10232</v>
      </c>
      <c r="H2829" s="255">
        <v>2</v>
      </c>
      <c r="I2829" s="361">
        <v>1</v>
      </c>
      <c r="J2829" s="362" t="s">
        <v>325</v>
      </c>
      <c r="K2829" s="363"/>
      <c r="L2829" s="129"/>
      <c r="M2829" s="129"/>
      <c r="N2829" s="129"/>
      <c r="O2829" s="129"/>
      <c r="P2829" s="364"/>
      <c r="Q2829" s="364"/>
      <c r="R2829" s="129"/>
      <c r="S2829" s="129"/>
      <c r="T2829" s="129"/>
      <c r="W2829" s="129" t="s">
        <v>4876</v>
      </c>
      <c r="X2829" s="337" t="b">
        <f t="shared" si="78"/>
        <v>0</v>
      </c>
    </row>
    <row r="2830" spans="1:24" s="337" customFormat="1" ht="12" customHeight="1" outlineLevel="1">
      <c r="A2830" s="335"/>
      <c r="B2830" s="118" t="s">
        <v>12</v>
      </c>
      <c r="C2830" s="334" t="s">
        <v>10247</v>
      </c>
      <c r="D2830" s="124" t="s">
        <v>10248</v>
      </c>
      <c r="E2830" s="125"/>
      <c r="F2830" s="118" t="s">
        <v>828</v>
      </c>
      <c r="G2830" s="126" t="s">
        <v>10232</v>
      </c>
      <c r="H2830" s="255">
        <v>2</v>
      </c>
      <c r="I2830" s="361">
        <v>1</v>
      </c>
      <c r="J2830" s="362" t="s">
        <v>743</v>
      </c>
      <c r="K2830" s="363"/>
      <c r="L2830" s="129"/>
      <c r="M2830" s="129"/>
      <c r="N2830" s="129"/>
      <c r="O2830" s="129"/>
      <c r="P2830" s="364"/>
      <c r="Q2830" s="364"/>
      <c r="R2830" s="129"/>
      <c r="S2830" s="129"/>
      <c r="T2830" s="129"/>
      <c r="W2830" s="129" t="s">
        <v>4876</v>
      </c>
      <c r="X2830" s="337" t="b">
        <f t="shared" si="78"/>
        <v>0</v>
      </c>
    </row>
    <row r="2831" spans="1:24" s="337" customFormat="1" ht="12" customHeight="1" outlineLevel="1">
      <c r="A2831" s="335"/>
      <c r="B2831" s="118" t="s">
        <v>12</v>
      </c>
      <c r="C2831" s="334" t="s">
        <v>10249</v>
      </c>
      <c r="D2831" s="124" t="s">
        <v>10250</v>
      </c>
      <c r="E2831" s="125"/>
      <c r="F2831" s="118" t="s">
        <v>828</v>
      </c>
      <c r="G2831" s="126" t="s">
        <v>10232</v>
      </c>
      <c r="H2831" s="255">
        <v>2</v>
      </c>
      <c r="I2831" s="361">
        <v>1</v>
      </c>
      <c r="J2831" s="362" t="s">
        <v>743</v>
      </c>
      <c r="K2831" s="363"/>
      <c r="L2831" s="129"/>
      <c r="M2831" s="129"/>
      <c r="N2831" s="129"/>
      <c r="O2831" s="129"/>
      <c r="P2831" s="364"/>
      <c r="Q2831" s="364"/>
      <c r="R2831" s="129"/>
      <c r="S2831" s="129"/>
      <c r="T2831" s="129"/>
      <c r="W2831" s="129" t="s">
        <v>4876</v>
      </c>
      <c r="X2831" s="337" t="b">
        <f t="shared" si="78"/>
        <v>0</v>
      </c>
    </row>
    <row r="2832" spans="1:24" s="337" customFormat="1" ht="12" customHeight="1" outlineLevel="1">
      <c r="A2832" s="335"/>
      <c r="B2832" s="118" t="s">
        <v>12</v>
      </c>
      <c r="C2832" s="334" t="s">
        <v>10251</v>
      </c>
      <c r="D2832" s="124" t="s">
        <v>10252</v>
      </c>
      <c r="E2832" s="125"/>
      <c r="F2832" s="118" t="s">
        <v>828</v>
      </c>
      <c r="G2832" s="126" t="s">
        <v>10232</v>
      </c>
      <c r="H2832" s="255">
        <v>2</v>
      </c>
      <c r="I2832" s="361">
        <v>1</v>
      </c>
      <c r="J2832" s="362" t="s">
        <v>307</v>
      </c>
      <c r="K2832" s="363"/>
      <c r="L2832" s="129"/>
      <c r="M2832" s="129"/>
      <c r="N2832" s="129"/>
      <c r="O2832" s="129"/>
      <c r="P2832" s="364"/>
      <c r="Q2832" s="364"/>
      <c r="R2832" s="129"/>
      <c r="S2832" s="129"/>
      <c r="T2832" s="129"/>
      <c r="W2832" s="129" t="s">
        <v>4876</v>
      </c>
      <c r="X2832" s="337" t="b">
        <f t="shared" si="78"/>
        <v>0</v>
      </c>
    </row>
    <row r="2833" spans="1:24" s="337" customFormat="1" ht="12" customHeight="1" outlineLevel="1">
      <c r="A2833" s="335"/>
      <c r="B2833" s="118" t="s">
        <v>12</v>
      </c>
      <c r="C2833" s="334" t="s">
        <v>10253</v>
      </c>
      <c r="D2833" s="124" t="s">
        <v>10254</v>
      </c>
      <c r="E2833" s="125"/>
      <c r="F2833" s="118" t="s">
        <v>828</v>
      </c>
      <c r="G2833" s="126" t="s">
        <v>10232</v>
      </c>
      <c r="H2833" s="255">
        <v>2</v>
      </c>
      <c r="I2833" s="361">
        <v>1</v>
      </c>
      <c r="J2833" s="362" t="s">
        <v>310</v>
      </c>
      <c r="K2833" s="363"/>
      <c r="L2833" s="129"/>
      <c r="M2833" s="129"/>
      <c r="N2833" s="129"/>
      <c r="O2833" s="129"/>
      <c r="P2833" s="364"/>
      <c r="Q2833" s="364"/>
      <c r="R2833" s="129"/>
      <c r="S2833" s="129"/>
      <c r="T2833" s="129"/>
      <c r="W2833" s="129" t="s">
        <v>286</v>
      </c>
      <c r="X2833" s="337" t="b">
        <f t="shared" si="78"/>
        <v>0</v>
      </c>
    </row>
    <row r="2834" spans="1:24" s="337" customFormat="1" ht="12" customHeight="1" outlineLevel="1">
      <c r="A2834" s="335"/>
      <c r="B2834" s="118" t="s">
        <v>12</v>
      </c>
      <c r="C2834" s="334" t="s">
        <v>10255</v>
      </c>
      <c r="D2834" s="124" t="s">
        <v>7328</v>
      </c>
      <c r="E2834" s="125"/>
      <c r="F2834" s="118" t="s">
        <v>828</v>
      </c>
      <c r="G2834" s="126" t="s">
        <v>10232</v>
      </c>
      <c r="H2834" s="255">
        <v>2</v>
      </c>
      <c r="I2834" s="361">
        <v>1</v>
      </c>
      <c r="J2834" s="362" t="s">
        <v>310</v>
      </c>
      <c r="K2834" s="363"/>
      <c r="L2834" s="129"/>
      <c r="M2834" s="129"/>
      <c r="N2834" s="129"/>
      <c r="O2834" s="129"/>
      <c r="P2834" s="364"/>
      <c r="Q2834" s="364"/>
      <c r="R2834" s="129"/>
      <c r="S2834" s="129"/>
      <c r="T2834" s="129"/>
      <c r="W2834" s="129" t="s">
        <v>286</v>
      </c>
      <c r="X2834" s="337" t="b">
        <f t="shared" si="78"/>
        <v>0</v>
      </c>
    </row>
    <row r="2835" spans="1:24" s="337" customFormat="1" ht="12" customHeight="1" outlineLevel="1">
      <c r="A2835" s="335"/>
      <c r="B2835" s="118" t="s">
        <v>12</v>
      </c>
      <c r="C2835" s="334" t="s">
        <v>10256</v>
      </c>
      <c r="D2835" s="124" t="s">
        <v>6193</v>
      </c>
      <c r="E2835" s="125"/>
      <c r="F2835" s="118" t="s">
        <v>828</v>
      </c>
      <c r="G2835" s="126" t="s">
        <v>10232</v>
      </c>
      <c r="H2835" s="255">
        <v>2</v>
      </c>
      <c r="I2835" s="361">
        <v>1</v>
      </c>
      <c r="J2835" s="362" t="s">
        <v>307</v>
      </c>
      <c r="K2835" s="363"/>
      <c r="L2835" s="129"/>
      <c r="M2835" s="129"/>
      <c r="N2835" s="129"/>
      <c r="O2835" s="129"/>
      <c r="P2835" s="364"/>
      <c r="Q2835" s="364"/>
      <c r="R2835" s="129"/>
      <c r="S2835" s="129"/>
      <c r="T2835" s="129"/>
      <c r="W2835" s="129" t="s">
        <v>4876</v>
      </c>
      <c r="X2835" s="337" t="b">
        <f t="shared" ref="X2835:X2898" si="79">W2835=J2835</f>
        <v>0</v>
      </c>
    </row>
    <row r="2836" spans="1:24" s="337" customFormat="1" ht="12" customHeight="1" outlineLevel="1">
      <c r="A2836" s="335"/>
      <c r="B2836" s="118" t="s">
        <v>12</v>
      </c>
      <c r="C2836" s="334" t="s">
        <v>10257</v>
      </c>
      <c r="D2836" s="124" t="s">
        <v>9980</v>
      </c>
      <c r="E2836" s="125"/>
      <c r="F2836" s="118" t="s">
        <v>828</v>
      </c>
      <c r="G2836" s="126" t="s">
        <v>10232</v>
      </c>
      <c r="H2836" s="255">
        <v>2</v>
      </c>
      <c r="I2836" s="361">
        <v>1</v>
      </c>
      <c r="J2836" s="362" t="s">
        <v>310</v>
      </c>
      <c r="K2836" s="363"/>
      <c r="L2836" s="129"/>
      <c r="M2836" s="129"/>
      <c r="N2836" s="129"/>
      <c r="O2836" s="129"/>
      <c r="P2836" s="364"/>
      <c r="Q2836" s="364"/>
      <c r="R2836" s="129"/>
      <c r="S2836" s="129"/>
      <c r="T2836" s="129"/>
      <c r="W2836" s="129" t="s">
        <v>286</v>
      </c>
      <c r="X2836" s="337" t="b">
        <f t="shared" si="79"/>
        <v>0</v>
      </c>
    </row>
    <row r="2837" spans="1:24" s="337" customFormat="1" ht="12" customHeight="1" outlineLevel="1">
      <c r="A2837" s="335"/>
      <c r="B2837" s="118" t="s">
        <v>12</v>
      </c>
      <c r="C2837" s="334" t="s">
        <v>10258</v>
      </c>
      <c r="D2837" s="124" t="s">
        <v>9982</v>
      </c>
      <c r="E2837" s="125"/>
      <c r="F2837" s="118" t="s">
        <v>828</v>
      </c>
      <c r="G2837" s="126" t="s">
        <v>10232</v>
      </c>
      <c r="H2837" s="255">
        <v>2</v>
      </c>
      <c r="I2837" s="361">
        <v>1</v>
      </c>
      <c r="J2837" s="362" t="s">
        <v>286</v>
      </c>
      <c r="K2837" s="363"/>
      <c r="L2837" s="129"/>
      <c r="M2837" s="129"/>
      <c r="N2837" s="129"/>
      <c r="O2837" s="129"/>
      <c r="P2837" s="364"/>
      <c r="Q2837" s="364"/>
      <c r="R2837" s="129"/>
      <c r="S2837" s="129"/>
      <c r="T2837" s="129"/>
      <c r="W2837" s="129" t="s">
        <v>4876</v>
      </c>
      <c r="X2837" s="337" t="b">
        <f t="shared" si="79"/>
        <v>0</v>
      </c>
    </row>
    <row r="2838" spans="1:24" s="337" customFormat="1" ht="12" customHeight="1" outlineLevel="1">
      <c r="A2838" s="335"/>
      <c r="B2838" s="118" t="s">
        <v>12</v>
      </c>
      <c r="C2838" s="334" t="s">
        <v>10259</v>
      </c>
      <c r="D2838" s="124" t="s">
        <v>10260</v>
      </c>
      <c r="E2838" s="125"/>
      <c r="F2838" s="118" t="s">
        <v>828</v>
      </c>
      <c r="G2838" s="126" t="s">
        <v>10232</v>
      </c>
      <c r="H2838" s="255">
        <v>2</v>
      </c>
      <c r="I2838" s="361">
        <v>1</v>
      </c>
      <c r="J2838" s="362" t="s">
        <v>310</v>
      </c>
      <c r="K2838" s="363"/>
      <c r="L2838" s="129"/>
      <c r="M2838" s="129"/>
      <c r="N2838" s="129"/>
      <c r="O2838" s="129"/>
      <c r="P2838" s="364"/>
      <c r="Q2838" s="364"/>
      <c r="R2838" s="129"/>
      <c r="S2838" s="129"/>
      <c r="T2838" s="129"/>
      <c r="W2838" s="129" t="s">
        <v>310</v>
      </c>
      <c r="X2838" s="337" t="b">
        <f t="shared" si="79"/>
        <v>1</v>
      </c>
    </row>
    <row r="2839" spans="1:24" s="337" customFormat="1" ht="12" customHeight="1" outlineLevel="1">
      <c r="A2839" s="335"/>
      <c r="B2839" s="118" t="s">
        <v>12</v>
      </c>
      <c r="C2839" s="334" t="s">
        <v>10261</v>
      </c>
      <c r="D2839" s="124" t="s">
        <v>10234</v>
      </c>
      <c r="E2839" s="125"/>
      <c r="F2839" s="118" t="s">
        <v>828</v>
      </c>
      <c r="G2839" s="126" t="s">
        <v>10232</v>
      </c>
      <c r="H2839" s="255">
        <v>2</v>
      </c>
      <c r="I2839" s="361">
        <v>1</v>
      </c>
      <c r="J2839" s="362" t="s">
        <v>286</v>
      </c>
      <c r="K2839" s="363"/>
      <c r="L2839" s="129"/>
      <c r="M2839" s="129"/>
      <c r="N2839" s="129"/>
      <c r="O2839" s="129"/>
      <c r="P2839" s="364"/>
      <c r="Q2839" s="364"/>
      <c r="R2839" s="129"/>
      <c r="S2839" s="129"/>
      <c r="T2839" s="129"/>
      <c r="W2839" s="129" t="s">
        <v>4876</v>
      </c>
      <c r="X2839" s="337" t="b">
        <f t="shared" si="79"/>
        <v>0</v>
      </c>
    </row>
    <row r="2840" spans="1:24" s="337" customFormat="1" ht="12" customHeight="1" outlineLevel="1">
      <c r="A2840" s="335"/>
      <c r="B2840" s="118" t="s">
        <v>12</v>
      </c>
      <c r="C2840" s="334" t="s">
        <v>10262</v>
      </c>
      <c r="D2840" s="124" t="s">
        <v>10236</v>
      </c>
      <c r="E2840" s="125"/>
      <c r="F2840" s="118" t="s">
        <v>828</v>
      </c>
      <c r="G2840" s="126" t="s">
        <v>10232</v>
      </c>
      <c r="H2840" s="255">
        <v>2</v>
      </c>
      <c r="I2840" s="361">
        <v>1</v>
      </c>
      <c r="J2840" s="362" t="s">
        <v>286</v>
      </c>
      <c r="K2840" s="363"/>
      <c r="L2840" s="129"/>
      <c r="M2840" s="129"/>
      <c r="N2840" s="129"/>
      <c r="O2840" s="129"/>
      <c r="P2840" s="364"/>
      <c r="Q2840" s="364"/>
      <c r="R2840" s="129"/>
      <c r="S2840" s="129"/>
      <c r="T2840" s="129"/>
      <c r="W2840" s="129" t="s">
        <v>286</v>
      </c>
      <c r="X2840" s="337" t="b">
        <f t="shared" si="79"/>
        <v>1</v>
      </c>
    </row>
    <row r="2841" spans="1:24" s="337" customFormat="1" ht="12" customHeight="1" outlineLevel="1">
      <c r="A2841" s="335"/>
      <c r="B2841" s="118" t="s">
        <v>12</v>
      </c>
      <c r="C2841" s="334" t="s">
        <v>10263</v>
      </c>
      <c r="D2841" s="124" t="s">
        <v>10238</v>
      </c>
      <c r="E2841" s="125"/>
      <c r="F2841" s="118" t="s">
        <v>828</v>
      </c>
      <c r="G2841" s="126" t="s">
        <v>10232</v>
      </c>
      <c r="H2841" s="255">
        <v>2</v>
      </c>
      <c r="I2841" s="361">
        <v>1</v>
      </c>
      <c r="J2841" s="362" t="s">
        <v>286</v>
      </c>
      <c r="K2841" s="363"/>
      <c r="L2841" s="129"/>
      <c r="M2841" s="129"/>
      <c r="N2841" s="129"/>
      <c r="O2841" s="129"/>
      <c r="P2841" s="364"/>
      <c r="Q2841" s="364"/>
      <c r="R2841" s="129"/>
      <c r="S2841" s="129"/>
      <c r="T2841" s="129"/>
      <c r="W2841" s="129" t="s">
        <v>286</v>
      </c>
      <c r="X2841" s="337" t="b">
        <f t="shared" si="79"/>
        <v>1</v>
      </c>
    </row>
    <row r="2842" spans="1:24" s="337" customFormat="1" ht="12" customHeight="1" outlineLevel="1">
      <c r="A2842" s="335"/>
      <c r="B2842" s="118" t="s">
        <v>12</v>
      </c>
      <c r="C2842" s="334" t="s">
        <v>10264</v>
      </c>
      <c r="D2842" s="124" t="s">
        <v>10240</v>
      </c>
      <c r="E2842" s="125"/>
      <c r="F2842" s="118" t="s">
        <v>828</v>
      </c>
      <c r="G2842" s="126" t="s">
        <v>10232</v>
      </c>
      <c r="H2842" s="255">
        <v>2</v>
      </c>
      <c r="I2842" s="361">
        <v>1</v>
      </c>
      <c r="J2842" s="362" t="s">
        <v>286</v>
      </c>
      <c r="K2842" s="363"/>
      <c r="L2842" s="129"/>
      <c r="M2842" s="129"/>
      <c r="N2842" s="129"/>
      <c r="O2842" s="129"/>
      <c r="P2842" s="364"/>
      <c r="Q2842" s="364"/>
      <c r="R2842" s="129"/>
      <c r="S2842" s="129"/>
      <c r="T2842" s="129"/>
      <c r="W2842" s="129" t="s">
        <v>286</v>
      </c>
      <c r="X2842" s="337" t="b">
        <f t="shared" si="79"/>
        <v>1</v>
      </c>
    </row>
    <row r="2843" spans="1:24" s="337" customFormat="1" ht="12" customHeight="1" outlineLevel="1">
      <c r="A2843" s="335"/>
      <c r="B2843" s="118" t="s">
        <v>12</v>
      </c>
      <c r="C2843" s="334" t="s">
        <v>10265</v>
      </c>
      <c r="D2843" s="124" t="s">
        <v>10242</v>
      </c>
      <c r="E2843" s="125"/>
      <c r="F2843" s="118" t="s">
        <v>828</v>
      </c>
      <c r="G2843" s="126" t="s">
        <v>10232</v>
      </c>
      <c r="H2843" s="255">
        <v>2</v>
      </c>
      <c r="I2843" s="361">
        <v>1</v>
      </c>
      <c r="J2843" s="362" t="s">
        <v>286</v>
      </c>
      <c r="K2843" s="363"/>
      <c r="L2843" s="129"/>
      <c r="M2843" s="129"/>
      <c r="N2843" s="129"/>
      <c r="O2843" s="129"/>
      <c r="P2843" s="364"/>
      <c r="Q2843" s="364"/>
      <c r="R2843" s="129"/>
      <c r="S2843" s="129"/>
      <c r="T2843" s="129"/>
      <c r="W2843" s="129" t="s">
        <v>286</v>
      </c>
      <c r="X2843" s="337" t="b">
        <f t="shared" si="79"/>
        <v>1</v>
      </c>
    </row>
    <row r="2844" spans="1:24" s="337" customFormat="1" ht="12" customHeight="1" outlineLevel="1">
      <c r="A2844" s="335"/>
      <c r="B2844" s="118" t="s">
        <v>12</v>
      </c>
      <c r="C2844" s="334" t="s">
        <v>10266</v>
      </c>
      <c r="D2844" s="124" t="s">
        <v>10246</v>
      </c>
      <c r="E2844" s="125"/>
      <c r="F2844" s="118" t="s">
        <v>828</v>
      </c>
      <c r="G2844" s="126" t="s">
        <v>10232</v>
      </c>
      <c r="H2844" s="255">
        <v>2</v>
      </c>
      <c r="I2844" s="361">
        <v>1</v>
      </c>
      <c r="J2844" s="362" t="s">
        <v>286</v>
      </c>
      <c r="K2844" s="363"/>
      <c r="L2844" s="129"/>
      <c r="M2844" s="129"/>
      <c r="N2844" s="129"/>
      <c r="O2844" s="129"/>
      <c r="P2844" s="364"/>
      <c r="Q2844" s="364"/>
      <c r="R2844" s="129"/>
      <c r="S2844" s="129"/>
      <c r="T2844" s="129"/>
      <c r="W2844" s="129" t="s">
        <v>4876</v>
      </c>
      <c r="X2844" s="337" t="b">
        <f t="shared" si="79"/>
        <v>0</v>
      </c>
    </row>
    <row r="2845" spans="1:24" s="337" customFormat="1" ht="12" customHeight="1" outlineLevel="1">
      <c r="A2845" s="335"/>
      <c r="B2845" s="118" t="s">
        <v>12</v>
      </c>
      <c r="C2845" s="334" t="s">
        <v>10267</v>
      </c>
      <c r="D2845" s="124" t="s">
        <v>10268</v>
      </c>
      <c r="E2845" s="125"/>
      <c r="F2845" s="118" t="s">
        <v>828</v>
      </c>
      <c r="G2845" s="126" t="s">
        <v>10232</v>
      </c>
      <c r="H2845" s="255">
        <v>2</v>
      </c>
      <c r="I2845" s="361">
        <v>1</v>
      </c>
      <c r="J2845" s="362" t="s">
        <v>286</v>
      </c>
      <c r="K2845" s="363"/>
      <c r="L2845" s="129"/>
      <c r="M2845" s="129"/>
      <c r="N2845" s="129"/>
      <c r="O2845" s="129"/>
      <c r="P2845" s="364"/>
      <c r="Q2845" s="364"/>
      <c r="R2845" s="129"/>
      <c r="S2845" s="129"/>
      <c r="T2845" s="129"/>
      <c r="W2845" s="129" t="s">
        <v>4876</v>
      </c>
      <c r="X2845" s="337" t="b">
        <f t="shared" si="79"/>
        <v>0</v>
      </c>
    </row>
    <row r="2846" spans="1:24" s="337" customFormat="1" ht="12" customHeight="1" outlineLevel="1">
      <c r="A2846" s="335"/>
      <c r="B2846" s="118" t="s">
        <v>12</v>
      </c>
      <c r="C2846" s="334" t="s">
        <v>10269</v>
      </c>
      <c r="D2846" s="124" t="s">
        <v>10248</v>
      </c>
      <c r="E2846" s="125"/>
      <c r="F2846" s="118" t="s">
        <v>828</v>
      </c>
      <c r="G2846" s="126" t="s">
        <v>10232</v>
      </c>
      <c r="H2846" s="255">
        <v>2</v>
      </c>
      <c r="I2846" s="361">
        <v>1</v>
      </c>
      <c r="J2846" s="362" t="s">
        <v>286</v>
      </c>
      <c r="K2846" s="363"/>
      <c r="L2846" s="129"/>
      <c r="M2846" s="129"/>
      <c r="N2846" s="129"/>
      <c r="O2846" s="129"/>
      <c r="P2846" s="364"/>
      <c r="Q2846" s="364"/>
      <c r="R2846" s="129"/>
      <c r="S2846" s="129"/>
      <c r="T2846" s="129"/>
      <c r="W2846" s="129" t="s">
        <v>4876</v>
      </c>
      <c r="X2846" s="337" t="b">
        <f t="shared" si="79"/>
        <v>0</v>
      </c>
    </row>
    <row r="2847" spans="1:24" s="337" customFormat="1" ht="12" customHeight="1" outlineLevel="1">
      <c r="A2847" s="335"/>
      <c r="B2847" s="118" t="s">
        <v>12</v>
      </c>
      <c r="C2847" s="334" t="s">
        <v>10270</v>
      </c>
      <c r="D2847" s="124" t="s">
        <v>10271</v>
      </c>
      <c r="E2847" s="125"/>
      <c r="F2847" s="118" t="s">
        <v>828</v>
      </c>
      <c r="G2847" s="126" t="s">
        <v>10232</v>
      </c>
      <c r="H2847" s="255">
        <v>2</v>
      </c>
      <c r="I2847" s="361">
        <v>1</v>
      </c>
      <c r="J2847" s="362" t="s">
        <v>286</v>
      </c>
      <c r="K2847" s="363"/>
      <c r="L2847" s="129"/>
      <c r="M2847" s="129"/>
      <c r="N2847" s="129"/>
      <c r="O2847" s="129"/>
      <c r="P2847" s="364"/>
      <c r="Q2847" s="364"/>
      <c r="R2847" s="129"/>
      <c r="S2847" s="129"/>
      <c r="T2847" s="129"/>
      <c r="W2847" s="129" t="s">
        <v>286</v>
      </c>
      <c r="X2847" s="337" t="b">
        <f t="shared" si="79"/>
        <v>1</v>
      </c>
    </row>
    <row r="2848" spans="1:24" s="337" customFormat="1" ht="12" customHeight="1" outlineLevel="1">
      <c r="A2848" s="335"/>
      <c r="B2848" s="118" t="s">
        <v>12</v>
      </c>
      <c r="C2848" s="334" t="s">
        <v>10272</v>
      </c>
      <c r="D2848" s="124" t="s">
        <v>10254</v>
      </c>
      <c r="E2848" s="125"/>
      <c r="F2848" s="118" t="s">
        <v>828</v>
      </c>
      <c r="G2848" s="126" t="s">
        <v>10232</v>
      </c>
      <c r="H2848" s="255">
        <v>2</v>
      </c>
      <c r="I2848" s="361">
        <v>1</v>
      </c>
      <c r="J2848" s="362" t="s">
        <v>286</v>
      </c>
      <c r="K2848" s="363"/>
      <c r="L2848" s="129"/>
      <c r="M2848" s="129"/>
      <c r="N2848" s="129"/>
      <c r="O2848" s="129"/>
      <c r="P2848" s="364"/>
      <c r="Q2848" s="364"/>
      <c r="R2848" s="129"/>
      <c r="S2848" s="129"/>
      <c r="T2848" s="129"/>
      <c r="W2848" s="129" t="s">
        <v>286</v>
      </c>
      <c r="X2848" s="337" t="b">
        <f t="shared" si="79"/>
        <v>1</v>
      </c>
    </row>
    <row r="2849" spans="1:24" s="337" customFormat="1" ht="12" customHeight="1" outlineLevel="1">
      <c r="A2849" s="335"/>
      <c r="B2849" s="118" t="s">
        <v>12</v>
      </c>
      <c r="C2849" s="334" t="s">
        <v>10273</v>
      </c>
      <c r="D2849" s="124" t="s">
        <v>7328</v>
      </c>
      <c r="E2849" s="125"/>
      <c r="F2849" s="118" t="s">
        <v>828</v>
      </c>
      <c r="G2849" s="126" t="s">
        <v>10232</v>
      </c>
      <c r="H2849" s="255">
        <v>2</v>
      </c>
      <c r="I2849" s="361">
        <v>1</v>
      </c>
      <c r="J2849" s="362" t="s">
        <v>286</v>
      </c>
      <c r="K2849" s="363"/>
      <c r="L2849" s="129"/>
      <c r="M2849" s="129"/>
      <c r="N2849" s="129"/>
      <c r="O2849" s="129"/>
      <c r="P2849" s="364"/>
      <c r="Q2849" s="364"/>
      <c r="R2849" s="129"/>
      <c r="S2849" s="129"/>
      <c r="T2849" s="129"/>
      <c r="W2849" s="129" t="s">
        <v>286</v>
      </c>
      <c r="X2849" s="337" t="b">
        <f t="shared" si="79"/>
        <v>1</v>
      </c>
    </row>
    <row r="2850" spans="1:24" s="337" customFormat="1" ht="12" customHeight="1" outlineLevel="1">
      <c r="A2850" s="335"/>
      <c r="B2850" s="118" t="s">
        <v>12</v>
      </c>
      <c r="C2850" s="334" t="s">
        <v>10274</v>
      </c>
      <c r="D2850" s="124" t="s">
        <v>6193</v>
      </c>
      <c r="E2850" s="125"/>
      <c r="F2850" s="118" t="s">
        <v>828</v>
      </c>
      <c r="G2850" s="126" t="s">
        <v>10232</v>
      </c>
      <c r="H2850" s="255">
        <v>2</v>
      </c>
      <c r="I2850" s="361">
        <v>1</v>
      </c>
      <c r="J2850" s="362" t="s">
        <v>310</v>
      </c>
      <c r="K2850" s="363"/>
      <c r="L2850" s="129"/>
      <c r="M2850" s="129"/>
      <c r="N2850" s="129"/>
      <c r="O2850" s="129"/>
      <c r="P2850" s="364"/>
      <c r="Q2850" s="364"/>
      <c r="R2850" s="129"/>
      <c r="S2850" s="129"/>
      <c r="T2850" s="129"/>
      <c r="W2850" s="129" t="s">
        <v>4876</v>
      </c>
      <c r="X2850" s="337" t="b">
        <f t="shared" si="79"/>
        <v>0</v>
      </c>
    </row>
    <row r="2851" spans="1:24" s="337" customFormat="1" ht="12" customHeight="1" outlineLevel="1">
      <c r="A2851" s="335"/>
      <c r="B2851" s="118" t="s">
        <v>12</v>
      </c>
      <c r="C2851" s="334" t="s">
        <v>10275</v>
      </c>
      <c r="D2851" s="124" t="s">
        <v>9980</v>
      </c>
      <c r="E2851" s="125"/>
      <c r="F2851" s="118" t="s">
        <v>828</v>
      </c>
      <c r="G2851" s="126" t="s">
        <v>10232</v>
      </c>
      <c r="H2851" s="255">
        <v>2</v>
      </c>
      <c r="I2851" s="361">
        <v>1</v>
      </c>
      <c r="J2851" s="362" t="s">
        <v>307</v>
      </c>
      <c r="K2851" s="363"/>
      <c r="L2851" s="129"/>
      <c r="M2851" s="129"/>
      <c r="N2851" s="129"/>
      <c r="O2851" s="129"/>
      <c r="P2851" s="364"/>
      <c r="Q2851" s="364"/>
      <c r="R2851" s="129"/>
      <c r="S2851" s="129"/>
      <c r="T2851" s="129"/>
      <c r="W2851" s="129" t="s">
        <v>286</v>
      </c>
      <c r="X2851" s="337" t="b">
        <f t="shared" si="79"/>
        <v>0</v>
      </c>
    </row>
    <row r="2852" spans="1:24" s="337" customFormat="1" ht="12" customHeight="1" outlineLevel="1">
      <c r="A2852" s="335"/>
      <c r="B2852" s="118" t="s">
        <v>12</v>
      </c>
      <c r="C2852" s="334" t="s">
        <v>10276</v>
      </c>
      <c r="D2852" s="124" t="s">
        <v>10277</v>
      </c>
      <c r="E2852" s="125"/>
      <c r="F2852" s="118" t="s">
        <v>828</v>
      </c>
      <c r="G2852" s="126" t="s">
        <v>10232</v>
      </c>
      <c r="H2852" s="255">
        <v>2</v>
      </c>
      <c r="I2852" s="361">
        <v>1</v>
      </c>
      <c r="J2852" s="362" t="s">
        <v>310</v>
      </c>
      <c r="K2852" s="363"/>
      <c r="L2852" s="129"/>
      <c r="M2852" s="129"/>
      <c r="N2852" s="129"/>
      <c r="O2852" s="129"/>
      <c r="P2852" s="364"/>
      <c r="Q2852" s="364"/>
      <c r="R2852" s="129"/>
      <c r="S2852" s="129"/>
      <c r="T2852" s="129"/>
      <c r="W2852" s="129" t="s">
        <v>286</v>
      </c>
      <c r="X2852" s="337" t="b">
        <f t="shared" si="79"/>
        <v>0</v>
      </c>
    </row>
    <row r="2853" spans="1:24" s="337" customFormat="1" ht="12" customHeight="1" outlineLevel="1">
      <c r="A2853" s="335"/>
      <c r="B2853" s="118" t="s">
        <v>12</v>
      </c>
      <c r="C2853" s="334" t="s">
        <v>10278</v>
      </c>
      <c r="D2853" s="124" t="s">
        <v>10260</v>
      </c>
      <c r="E2853" s="125"/>
      <c r="F2853" s="118" t="s">
        <v>828</v>
      </c>
      <c r="G2853" s="126" t="s">
        <v>10232</v>
      </c>
      <c r="H2853" s="255">
        <v>2</v>
      </c>
      <c r="I2853" s="361">
        <v>1</v>
      </c>
      <c r="J2853" s="362" t="s">
        <v>307</v>
      </c>
      <c r="K2853" s="363"/>
      <c r="L2853" s="129"/>
      <c r="M2853" s="129"/>
      <c r="N2853" s="129"/>
      <c r="O2853" s="129"/>
      <c r="P2853" s="364"/>
      <c r="Q2853" s="364"/>
      <c r="R2853" s="129"/>
      <c r="S2853" s="129"/>
      <c r="T2853" s="129"/>
      <c r="W2853" s="129" t="s">
        <v>286</v>
      </c>
      <c r="X2853" s="337" t="b">
        <f t="shared" si="79"/>
        <v>0</v>
      </c>
    </row>
    <row r="2854" spans="1:24" s="337" customFormat="1" ht="12" customHeight="1" outlineLevel="1">
      <c r="A2854" s="335"/>
      <c r="B2854" s="118" t="s">
        <v>12</v>
      </c>
      <c r="C2854" s="334" t="s">
        <v>10279</v>
      </c>
      <c r="D2854" s="124" t="s">
        <v>9980</v>
      </c>
      <c r="E2854" s="125"/>
      <c r="F2854" s="118" t="s">
        <v>828</v>
      </c>
      <c r="G2854" s="126" t="s">
        <v>10232</v>
      </c>
      <c r="H2854" s="255">
        <v>2</v>
      </c>
      <c r="I2854" s="361">
        <v>1</v>
      </c>
      <c r="J2854" s="362" t="s">
        <v>325</v>
      </c>
      <c r="K2854" s="363"/>
      <c r="L2854" s="129"/>
      <c r="M2854" s="129"/>
      <c r="N2854" s="129"/>
      <c r="O2854" s="129"/>
      <c r="P2854" s="364"/>
      <c r="Q2854" s="364"/>
      <c r="R2854" s="129"/>
      <c r="S2854" s="129"/>
      <c r="T2854" s="129"/>
      <c r="W2854" s="129" t="s">
        <v>286</v>
      </c>
      <c r="X2854" s="337" t="b">
        <f t="shared" si="79"/>
        <v>0</v>
      </c>
    </row>
    <row r="2855" spans="1:24" s="337" customFormat="1" ht="12" customHeight="1" outlineLevel="1">
      <c r="A2855" s="335"/>
      <c r="B2855" s="118" t="s">
        <v>12</v>
      </c>
      <c r="C2855" s="334" t="s">
        <v>10280</v>
      </c>
      <c r="D2855" s="124" t="s">
        <v>10277</v>
      </c>
      <c r="E2855" s="125"/>
      <c r="F2855" s="118" t="s">
        <v>828</v>
      </c>
      <c r="G2855" s="126" t="s">
        <v>10232</v>
      </c>
      <c r="H2855" s="255">
        <v>2</v>
      </c>
      <c r="I2855" s="361">
        <v>1</v>
      </c>
      <c r="J2855" s="362" t="s">
        <v>310</v>
      </c>
      <c r="K2855" s="363"/>
      <c r="L2855" s="129"/>
      <c r="M2855" s="129"/>
      <c r="N2855" s="129"/>
      <c r="O2855" s="129"/>
      <c r="P2855" s="364"/>
      <c r="Q2855" s="364"/>
      <c r="R2855" s="129"/>
      <c r="S2855" s="129"/>
      <c r="T2855" s="129"/>
      <c r="W2855" s="129" t="s">
        <v>286</v>
      </c>
      <c r="X2855" s="337" t="b">
        <f t="shared" si="79"/>
        <v>0</v>
      </c>
    </row>
    <row r="2856" spans="1:24" s="337" customFormat="1" ht="12" customHeight="1" outlineLevel="1">
      <c r="A2856" s="335"/>
      <c r="B2856" s="118" t="s">
        <v>12</v>
      </c>
      <c r="C2856" s="334" t="s">
        <v>10281</v>
      </c>
      <c r="D2856" s="124" t="s">
        <v>10260</v>
      </c>
      <c r="E2856" s="125"/>
      <c r="F2856" s="118" t="s">
        <v>828</v>
      </c>
      <c r="G2856" s="126" t="s">
        <v>10232</v>
      </c>
      <c r="H2856" s="255">
        <v>2</v>
      </c>
      <c r="I2856" s="361">
        <v>1</v>
      </c>
      <c r="J2856" s="362" t="s">
        <v>310</v>
      </c>
      <c r="K2856" s="363"/>
      <c r="L2856" s="129"/>
      <c r="M2856" s="129"/>
      <c r="N2856" s="129"/>
      <c r="O2856" s="129"/>
      <c r="P2856" s="364"/>
      <c r="Q2856" s="364"/>
      <c r="R2856" s="129"/>
      <c r="S2856" s="129"/>
      <c r="T2856" s="129"/>
      <c r="W2856" s="129" t="s">
        <v>286</v>
      </c>
      <c r="X2856" s="337" t="b">
        <f t="shared" si="79"/>
        <v>0</v>
      </c>
    </row>
    <row r="2857" spans="1:24" s="337" customFormat="1" ht="12" customHeight="1" outlineLevel="1">
      <c r="A2857" s="335"/>
      <c r="B2857" s="118" t="s">
        <v>12</v>
      </c>
      <c r="C2857" s="334" t="s">
        <v>10282</v>
      </c>
      <c r="D2857" s="124" t="s">
        <v>10234</v>
      </c>
      <c r="E2857" s="125"/>
      <c r="F2857" s="118" t="s">
        <v>828</v>
      </c>
      <c r="G2857" s="126" t="s">
        <v>10232</v>
      </c>
      <c r="H2857" s="255">
        <v>2</v>
      </c>
      <c r="I2857" s="361">
        <v>1</v>
      </c>
      <c r="J2857" s="362" t="s">
        <v>286</v>
      </c>
      <c r="K2857" s="363"/>
      <c r="L2857" s="129"/>
      <c r="M2857" s="129"/>
      <c r="N2857" s="129"/>
      <c r="O2857" s="129"/>
      <c r="P2857" s="364"/>
      <c r="Q2857" s="364"/>
      <c r="R2857" s="129"/>
      <c r="S2857" s="129"/>
      <c r="T2857" s="129"/>
      <c r="W2857" s="129" t="s">
        <v>4876</v>
      </c>
      <c r="X2857" s="337" t="b">
        <f t="shared" si="79"/>
        <v>0</v>
      </c>
    </row>
    <row r="2858" spans="1:24" s="337" customFormat="1" ht="12" customHeight="1" outlineLevel="1">
      <c r="A2858" s="335"/>
      <c r="B2858" s="118" t="s">
        <v>12</v>
      </c>
      <c r="C2858" s="334" t="s">
        <v>10283</v>
      </c>
      <c r="D2858" s="124" t="s">
        <v>10236</v>
      </c>
      <c r="E2858" s="125"/>
      <c r="F2858" s="118" t="s">
        <v>828</v>
      </c>
      <c r="G2858" s="126" t="s">
        <v>10232</v>
      </c>
      <c r="H2858" s="255">
        <v>2</v>
      </c>
      <c r="I2858" s="361">
        <v>1</v>
      </c>
      <c r="J2858" s="362" t="s">
        <v>286</v>
      </c>
      <c r="K2858" s="363"/>
      <c r="L2858" s="129"/>
      <c r="M2858" s="129"/>
      <c r="N2858" s="129"/>
      <c r="O2858" s="129"/>
      <c r="P2858" s="364"/>
      <c r="Q2858" s="364"/>
      <c r="R2858" s="129"/>
      <c r="S2858" s="129"/>
      <c r="T2858" s="129"/>
      <c r="W2858" s="129" t="s">
        <v>286</v>
      </c>
      <c r="X2858" s="337" t="b">
        <f t="shared" si="79"/>
        <v>1</v>
      </c>
    </row>
    <row r="2859" spans="1:24" s="337" customFormat="1" ht="12" customHeight="1" outlineLevel="1">
      <c r="A2859" s="335"/>
      <c r="B2859" s="118" t="s">
        <v>12</v>
      </c>
      <c r="C2859" s="334" t="s">
        <v>10284</v>
      </c>
      <c r="D2859" s="124" t="s">
        <v>10238</v>
      </c>
      <c r="E2859" s="125"/>
      <c r="F2859" s="118" t="s">
        <v>828</v>
      </c>
      <c r="G2859" s="126" t="s">
        <v>10232</v>
      </c>
      <c r="H2859" s="255">
        <v>2</v>
      </c>
      <c r="I2859" s="361">
        <v>1</v>
      </c>
      <c r="J2859" s="362" t="s">
        <v>286</v>
      </c>
      <c r="K2859" s="363"/>
      <c r="L2859" s="129"/>
      <c r="M2859" s="129"/>
      <c r="N2859" s="129"/>
      <c r="O2859" s="129"/>
      <c r="P2859" s="364"/>
      <c r="Q2859" s="364"/>
      <c r="R2859" s="129"/>
      <c r="S2859" s="129"/>
      <c r="T2859" s="129"/>
      <c r="W2859" s="129" t="s">
        <v>286</v>
      </c>
      <c r="X2859" s="337" t="b">
        <f t="shared" si="79"/>
        <v>1</v>
      </c>
    </row>
    <row r="2860" spans="1:24" s="337" customFormat="1" ht="12" customHeight="1" outlineLevel="1">
      <c r="A2860" s="335"/>
      <c r="B2860" s="118" t="s">
        <v>12</v>
      </c>
      <c r="C2860" s="334" t="s">
        <v>10285</v>
      </c>
      <c r="D2860" s="124" t="s">
        <v>10240</v>
      </c>
      <c r="E2860" s="125"/>
      <c r="F2860" s="118" t="s">
        <v>828</v>
      </c>
      <c r="G2860" s="126" t="s">
        <v>10232</v>
      </c>
      <c r="H2860" s="255">
        <v>2</v>
      </c>
      <c r="I2860" s="361">
        <v>1</v>
      </c>
      <c r="J2860" s="362" t="s">
        <v>310</v>
      </c>
      <c r="K2860" s="363"/>
      <c r="L2860" s="129"/>
      <c r="M2860" s="129"/>
      <c r="N2860" s="129"/>
      <c r="O2860" s="129"/>
      <c r="P2860" s="364"/>
      <c r="Q2860" s="364"/>
      <c r="R2860" s="129"/>
      <c r="S2860" s="129"/>
      <c r="T2860" s="129"/>
      <c r="W2860" s="129" t="s">
        <v>286</v>
      </c>
      <c r="X2860" s="337" t="b">
        <f t="shared" si="79"/>
        <v>0</v>
      </c>
    </row>
    <row r="2861" spans="1:24" s="337" customFormat="1" ht="12" customHeight="1" outlineLevel="1">
      <c r="A2861" s="335"/>
      <c r="B2861" s="118" t="s">
        <v>12</v>
      </c>
      <c r="C2861" s="334" t="s">
        <v>10286</v>
      </c>
      <c r="D2861" s="124" t="s">
        <v>10242</v>
      </c>
      <c r="E2861" s="125"/>
      <c r="F2861" s="118" t="s">
        <v>828</v>
      </c>
      <c r="G2861" s="126" t="s">
        <v>10232</v>
      </c>
      <c r="H2861" s="255">
        <v>2</v>
      </c>
      <c r="I2861" s="361">
        <v>1</v>
      </c>
      <c r="J2861" s="362" t="s">
        <v>286</v>
      </c>
      <c r="K2861" s="363"/>
      <c r="L2861" s="129"/>
      <c r="M2861" s="129"/>
      <c r="N2861" s="129"/>
      <c r="O2861" s="129"/>
      <c r="P2861" s="364"/>
      <c r="Q2861" s="364"/>
      <c r="R2861" s="129"/>
      <c r="S2861" s="129"/>
      <c r="T2861" s="129"/>
      <c r="W2861" s="129" t="s">
        <v>286</v>
      </c>
      <c r="X2861" s="337" t="b">
        <f t="shared" si="79"/>
        <v>1</v>
      </c>
    </row>
    <row r="2862" spans="1:24" s="337" customFormat="1" ht="12" customHeight="1" outlineLevel="1">
      <c r="A2862" s="335"/>
      <c r="B2862" s="118" t="s">
        <v>12</v>
      </c>
      <c r="C2862" s="334" t="s">
        <v>10287</v>
      </c>
      <c r="D2862" s="124" t="s">
        <v>10246</v>
      </c>
      <c r="E2862" s="125"/>
      <c r="F2862" s="118" t="s">
        <v>828</v>
      </c>
      <c r="G2862" s="126" t="s">
        <v>10232</v>
      </c>
      <c r="H2862" s="255">
        <v>2</v>
      </c>
      <c r="I2862" s="361">
        <v>1</v>
      </c>
      <c r="J2862" s="362" t="s">
        <v>310</v>
      </c>
      <c r="K2862" s="363"/>
      <c r="L2862" s="129"/>
      <c r="M2862" s="129"/>
      <c r="N2862" s="129"/>
      <c r="O2862" s="129"/>
      <c r="P2862" s="364"/>
      <c r="Q2862" s="364"/>
      <c r="R2862" s="129"/>
      <c r="S2862" s="129"/>
      <c r="T2862" s="129"/>
      <c r="W2862" s="129" t="s">
        <v>4876</v>
      </c>
      <c r="X2862" s="337" t="b">
        <f t="shared" si="79"/>
        <v>0</v>
      </c>
    </row>
    <row r="2863" spans="1:24" s="337" customFormat="1" ht="12" customHeight="1" outlineLevel="1">
      <c r="A2863" s="335"/>
      <c r="B2863" s="118" t="s">
        <v>12</v>
      </c>
      <c r="C2863" s="334" t="s">
        <v>10288</v>
      </c>
      <c r="D2863" s="124" t="s">
        <v>10289</v>
      </c>
      <c r="E2863" s="125"/>
      <c r="F2863" s="118" t="s">
        <v>828</v>
      </c>
      <c r="G2863" s="126" t="s">
        <v>10232</v>
      </c>
      <c r="H2863" s="255">
        <v>2</v>
      </c>
      <c r="I2863" s="361">
        <v>1</v>
      </c>
      <c r="J2863" s="362" t="s">
        <v>310</v>
      </c>
      <c r="K2863" s="363"/>
      <c r="L2863" s="129"/>
      <c r="M2863" s="129"/>
      <c r="N2863" s="129"/>
      <c r="O2863" s="129"/>
      <c r="P2863" s="364"/>
      <c r="Q2863" s="364"/>
      <c r="R2863" s="129"/>
      <c r="S2863" s="129"/>
      <c r="T2863" s="129"/>
      <c r="W2863" s="129" t="s">
        <v>4876</v>
      </c>
      <c r="X2863" s="337" t="b">
        <f t="shared" si="79"/>
        <v>0</v>
      </c>
    </row>
    <row r="2864" spans="1:24" s="337" customFormat="1" ht="12" customHeight="1" outlineLevel="1">
      <c r="A2864" s="335"/>
      <c r="B2864" s="118" t="s">
        <v>12</v>
      </c>
      <c r="C2864" s="334" t="s">
        <v>10290</v>
      </c>
      <c r="D2864" s="124" t="s">
        <v>10248</v>
      </c>
      <c r="E2864" s="125"/>
      <c r="F2864" s="118" t="s">
        <v>828</v>
      </c>
      <c r="G2864" s="126" t="s">
        <v>10232</v>
      </c>
      <c r="H2864" s="255">
        <v>2</v>
      </c>
      <c r="I2864" s="361">
        <v>1</v>
      </c>
      <c r="J2864" s="362" t="s">
        <v>310</v>
      </c>
      <c r="K2864" s="363"/>
      <c r="L2864" s="129"/>
      <c r="M2864" s="129"/>
      <c r="N2864" s="129"/>
      <c r="O2864" s="129"/>
      <c r="P2864" s="364"/>
      <c r="Q2864" s="364"/>
      <c r="R2864" s="129"/>
      <c r="S2864" s="129"/>
      <c r="T2864" s="129"/>
      <c r="W2864" s="129" t="s">
        <v>4876</v>
      </c>
      <c r="X2864" s="337" t="b">
        <f t="shared" si="79"/>
        <v>0</v>
      </c>
    </row>
    <row r="2865" spans="1:24" s="337" customFormat="1" ht="12" customHeight="1" outlineLevel="1">
      <c r="A2865" s="335"/>
      <c r="B2865" s="118" t="s">
        <v>12</v>
      </c>
      <c r="C2865" s="334" t="s">
        <v>10291</v>
      </c>
      <c r="D2865" s="124" t="s">
        <v>10271</v>
      </c>
      <c r="E2865" s="125"/>
      <c r="F2865" s="118" t="s">
        <v>828</v>
      </c>
      <c r="G2865" s="126" t="s">
        <v>10232</v>
      </c>
      <c r="H2865" s="255">
        <v>2</v>
      </c>
      <c r="I2865" s="361">
        <v>1</v>
      </c>
      <c r="J2865" s="362" t="s">
        <v>286</v>
      </c>
      <c r="K2865" s="363"/>
      <c r="L2865" s="129"/>
      <c r="M2865" s="129"/>
      <c r="N2865" s="129"/>
      <c r="O2865" s="129"/>
      <c r="P2865" s="364"/>
      <c r="Q2865" s="364"/>
      <c r="R2865" s="129"/>
      <c r="S2865" s="129"/>
      <c r="T2865" s="129"/>
      <c r="W2865" s="129" t="s">
        <v>286</v>
      </c>
      <c r="X2865" s="337" t="b">
        <f t="shared" si="79"/>
        <v>1</v>
      </c>
    </row>
    <row r="2866" spans="1:24" s="337" customFormat="1" ht="12" customHeight="1" outlineLevel="1">
      <c r="A2866" s="335"/>
      <c r="B2866" s="118" t="s">
        <v>12</v>
      </c>
      <c r="C2866" s="334" t="s">
        <v>10292</v>
      </c>
      <c r="D2866" s="124" t="s">
        <v>10293</v>
      </c>
      <c r="E2866" s="125"/>
      <c r="F2866" s="118" t="s">
        <v>828</v>
      </c>
      <c r="G2866" s="126" t="s">
        <v>10232</v>
      </c>
      <c r="H2866" s="255">
        <v>2</v>
      </c>
      <c r="I2866" s="361">
        <v>1</v>
      </c>
      <c r="J2866" s="362" t="s">
        <v>286</v>
      </c>
      <c r="K2866" s="363"/>
      <c r="L2866" s="129"/>
      <c r="M2866" s="129"/>
      <c r="N2866" s="129"/>
      <c r="O2866" s="129"/>
      <c r="P2866" s="364"/>
      <c r="Q2866" s="364"/>
      <c r="R2866" s="129"/>
      <c r="S2866" s="129"/>
      <c r="T2866" s="129"/>
      <c r="W2866" s="129" t="s">
        <v>4876</v>
      </c>
      <c r="X2866" s="337" t="b">
        <f t="shared" si="79"/>
        <v>0</v>
      </c>
    </row>
    <row r="2867" spans="1:24" s="337" customFormat="1" ht="12" customHeight="1" outlineLevel="1">
      <c r="A2867" s="335"/>
      <c r="B2867" s="118" t="s">
        <v>12</v>
      </c>
      <c r="C2867" s="334" t="s">
        <v>10294</v>
      </c>
      <c r="D2867" s="124" t="s">
        <v>10295</v>
      </c>
      <c r="E2867" s="125"/>
      <c r="F2867" s="118" t="s">
        <v>828</v>
      </c>
      <c r="G2867" s="126" t="s">
        <v>10232</v>
      </c>
      <c r="H2867" s="255">
        <v>2</v>
      </c>
      <c r="I2867" s="361">
        <v>1</v>
      </c>
      <c r="J2867" s="362" t="s">
        <v>286</v>
      </c>
      <c r="K2867" s="363"/>
      <c r="L2867" s="129"/>
      <c r="M2867" s="129"/>
      <c r="N2867" s="129"/>
      <c r="O2867" s="129"/>
      <c r="P2867" s="364"/>
      <c r="Q2867" s="364"/>
      <c r="R2867" s="129"/>
      <c r="S2867" s="129"/>
      <c r="T2867" s="129"/>
      <c r="W2867" s="129" t="s">
        <v>4876</v>
      </c>
      <c r="X2867" s="337" t="b">
        <f t="shared" si="79"/>
        <v>0</v>
      </c>
    </row>
    <row r="2868" spans="1:24" s="337" customFormat="1" ht="12" customHeight="1" outlineLevel="1">
      <c r="A2868" s="335"/>
      <c r="B2868" s="118" t="s">
        <v>12</v>
      </c>
      <c r="C2868" s="334" t="s">
        <v>10296</v>
      </c>
      <c r="D2868" s="124" t="s">
        <v>10297</v>
      </c>
      <c r="E2868" s="125"/>
      <c r="F2868" s="118" t="s">
        <v>828</v>
      </c>
      <c r="G2868" s="126" t="s">
        <v>10232</v>
      </c>
      <c r="H2868" s="255">
        <v>2</v>
      </c>
      <c r="I2868" s="361">
        <v>1</v>
      </c>
      <c r="J2868" s="362" t="s">
        <v>286</v>
      </c>
      <c r="K2868" s="363"/>
      <c r="L2868" s="129"/>
      <c r="M2868" s="129"/>
      <c r="N2868" s="129"/>
      <c r="O2868" s="129"/>
      <c r="P2868" s="364"/>
      <c r="Q2868" s="364"/>
      <c r="R2868" s="129"/>
      <c r="S2868" s="129"/>
      <c r="T2868" s="129"/>
      <c r="W2868" s="129" t="s">
        <v>4876</v>
      </c>
      <c r="X2868" s="337" t="b">
        <f t="shared" si="79"/>
        <v>0</v>
      </c>
    </row>
    <row r="2869" spans="1:24" s="337" customFormat="1" ht="12" customHeight="1" outlineLevel="1">
      <c r="A2869" s="335"/>
      <c r="B2869" s="118" t="s">
        <v>12</v>
      </c>
      <c r="C2869" s="334" t="s">
        <v>10298</v>
      </c>
      <c r="D2869" s="124" t="s">
        <v>10299</v>
      </c>
      <c r="E2869" s="125"/>
      <c r="F2869" s="118" t="s">
        <v>828</v>
      </c>
      <c r="G2869" s="126" t="s">
        <v>10232</v>
      </c>
      <c r="H2869" s="255">
        <v>2</v>
      </c>
      <c r="I2869" s="361">
        <v>1</v>
      </c>
      <c r="J2869" s="362" t="s">
        <v>286</v>
      </c>
      <c r="K2869" s="363"/>
      <c r="L2869" s="129"/>
      <c r="M2869" s="129"/>
      <c r="N2869" s="129"/>
      <c r="O2869" s="129"/>
      <c r="P2869" s="364"/>
      <c r="Q2869" s="364"/>
      <c r="R2869" s="129"/>
      <c r="S2869" s="129"/>
      <c r="T2869" s="129"/>
      <c r="W2869" s="129" t="s">
        <v>4876</v>
      </c>
      <c r="X2869" s="337" t="b">
        <f t="shared" si="79"/>
        <v>0</v>
      </c>
    </row>
    <row r="2870" spans="1:24" s="337" customFormat="1" ht="12" customHeight="1" outlineLevel="1">
      <c r="A2870" s="335"/>
      <c r="B2870" s="118" t="s">
        <v>12</v>
      </c>
      <c r="C2870" s="334" t="s">
        <v>10300</v>
      </c>
      <c r="D2870" s="124" t="s">
        <v>10254</v>
      </c>
      <c r="E2870" s="125"/>
      <c r="F2870" s="118" t="s">
        <v>828</v>
      </c>
      <c r="G2870" s="126" t="s">
        <v>10232</v>
      </c>
      <c r="H2870" s="255">
        <v>2</v>
      </c>
      <c r="I2870" s="361">
        <v>1</v>
      </c>
      <c r="J2870" s="362" t="s">
        <v>286</v>
      </c>
      <c r="K2870" s="363"/>
      <c r="L2870" s="129"/>
      <c r="M2870" s="129"/>
      <c r="N2870" s="129"/>
      <c r="O2870" s="129"/>
      <c r="P2870" s="364"/>
      <c r="Q2870" s="364"/>
      <c r="R2870" s="129"/>
      <c r="S2870" s="129"/>
      <c r="T2870" s="129"/>
      <c r="W2870" s="129" t="s">
        <v>286</v>
      </c>
      <c r="X2870" s="337" t="b">
        <f t="shared" si="79"/>
        <v>1</v>
      </c>
    </row>
    <row r="2871" spans="1:24" s="337" customFormat="1" ht="12" customHeight="1" outlineLevel="1">
      <c r="A2871" s="335"/>
      <c r="B2871" s="118" t="s">
        <v>12</v>
      </c>
      <c r="C2871" s="334" t="s">
        <v>10301</v>
      </c>
      <c r="D2871" s="124" t="s">
        <v>7328</v>
      </c>
      <c r="E2871" s="125"/>
      <c r="F2871" s="118" t="s">
        <v>828</v>
      </c>
      <c r="G2871" s="126" t="s">
        <v>10232</v>
      </c>
      <c r="H2871" s="255">
        <v>2</v>
      </c>
      <c r="I2871" s="361">
        <v>1</v>
      </c>
      <c r="J2871" s="362" t="s">
        <v>286</v>
      </c>
      <c r="K2871" s="363"/>
      <c r="L2871" s="129"/>
      <c r="M2871" s="129"/>
      <c r="N2871" s="129"/>
      <c r="O2871" s="129"/>
      <c r="P2871" s="364"/>
      <c r="Q2871" s="364"/>
      <c r="R2871" s="129"/>
      <c r="S2871" s="129"/>
      <c r="T2871" s="129"/>
      <c r="W2871" s="129" t="s">
        <v>286</v>
      </c>
      <c r="X2871" s="337" t="b">
        <f t="shared" si="79"/>
        <v>1</v>
      </c>
    </row>
    <row r="2872" spans="1:24" s="337" customFormat="1" ht="12" customHeight="1" outlineLevel="1">
      <c r="A2872" s="335"/>
      <c r="B2872" s="118" t="s">
        <v>12</v>
      </c>
      <c r="C2872" s="334" t="s">
        <v>10302</v>
      </c>
      <c r="D2872" s="124" t="s">
        <v>10303</v>
      </c>
      <c r="E2872" s="125"/>
      <c r="F2872" s="118" t="s">
        <v>828</v>
      </c>
      <c r="G2872" s="126" t="s">
        <v>10304</v>
      </c>
      <c r="H2872" s="255">
        <v>5</v>
      </c>
      <c r="I2872" s="361">
        <v>1</v>
      </c>
      <c r="J2872" s="362" t="s">
        <v>307</v>
      </c>
      <c r="K2872" s="363"/>
      <c r="L2872" s="129"/>
      <c r="M2872" s="129"/>
      <c r="N2872" s="129"/>
      <c r="O2872" s="129"/>
      <c r="P2872" s="364"/>
      <c r="Q2872" s="364"/>
      <c r="R2872" s="129"/>
      <c r="S2872" s="129"/>
      <c r="T2872" s="129"/>
      <c r="W2872" s="129" t="s">
        <v>286</v>
      </c>
      <c r="X2872" s="337" t="b">
        <f t="shared" si="79"/>
        <v>0</v>
      </c>
    </row>
    <row r="2873" spans="1:24" s="337" customFormat="1" ht="12" customHeight="1" outlineLevel="1">
      <c r="A2873" s="335"/>
      <c r="B2873" s="118" t="s">
        <v>12</v>
      </c>
      <c r="C2873" s="334" t="s">
        <v>10305</v>
      </c>
      <c r="D2873" s="124" t="s">
        <v>10306</v>
      </c>
      <c r="E2873" s="125"/>
      <c r="F2873" s="118" t="s">
        <v>828</v>
      </c>
      <c r="G2873" s="126" t="s">
        <v>10304</v>
      </c>
      <c r="H2873" s="255">
        <v>5</v>
      </c>
      <c r="I2873" s="361">
        <v>1</v>
      </c>
      <c r="J2873" s="362" t="s">
        <v>310</v>
      </c>
      <c r="K2873" s="363"/>
      <c r="L2873" s="129"/>
      <c r="M2873" s="129"/>
      <c r="N2873" s="129"/>
      <c r="O2873" s="129"/>
      <c r="P2873" s="364"/>
      <c r="Q2873" s="364"/>
      <c r="R2873" s="129"/>
      <c r="S2873" s="129"/>
      <c r="T2873" s="129"/>
      <c r="W2873" s="129" t="s">
        <v>286</v>
      </c>
      <c r="X2873" s="337" t="b">
        <f t="shared" si="79"/>
        <v>0</v>
      </c>
    </row>
    <row r="2874" spans="1:24" s="337" customFormat="1" ht="12" customHeight="1" outlineLevel="1">
      <c r="A2874" s="335"/>
      <c r="B2874" s="118" t="s">
        <v>12</v>
      </c>
      <c r="C2874" s="334" t="s">
        <v>10307</v>
      </c>
      <c r="D2874" s="124" t="s">
        <v>10308</v>
      </c>
      <c r="E2874" s="125"/>
      <c r="F2874" s="118" t="s">
        <v>828</v>
      </c>
      <c r="G2874" s="126" t="s">
        <v>10304</v>
      </c>
      <c r="H2874" s="255">
        <v>5</v>
      </c>
      <c r="I2874" s="361">
        <v>1</v>
      </c>
      <c r="J2874" s="362" t="s">
        <v>310</v>
      </c>
      <c r="K2874" s="363"/>
      <c r="L2874" s="129"/>
      <c r="M2874" s="129"/>
      <c r="N2874" s="129"/>
      <c r="O2874" s="129"/>
      <c r="P2874" s="364"/>
      <c r="Q2874" s="364"/>
      <c r="R2874" s="129"/>
      <c r="S2874" s="129"/>
      <c r="T2874" s="129"/>
      <c r="W2874" s="129" t="s">
        <v>286</v>
      </c>
      <c r="X2874" s="337" t="b">
        <f t="shared" si="79"/>
        <v>0</v>
      </c>
    </row>
    <row r="2875" spans="1:24" s="337" customFormat="1" ht="12" customHeight="1" outlineLevel="1">
      <c r="A2875" s="335"/>
      <c r="B2875" s="118" t="s">
        <v>12</v>
      </c>
      <c r="C2875" s="334" t="s">
        <v>10309</v>
      </c>
      <c r="D2875" s="124" t="s">
        <v>10310</v>
      </c>
      <c r="E2875" s="125"/>
      <c r="F2875" s="118" t="s">
        <v>828</v>
      </c>
      <c r="G2875" s="126" t="s">
        <v>10304</v>
      </c>
      <c r="H2875" s="255">
        <v>5</v>
      </c>
      <c r="I2875" s="361">
        <v>1</v>
      </c>
      <c r="J2875" s="362" t="s">
        <v>310</v>
      </c>
      <c r="K2875" s="363"/>
      <c r="L2875" s="129"/>
      <c r="M2875" s="129"/>
      <c r="N2875" s="129"/>
      <c r="O2875" s="129"/>
      <c r="P2875" s="364"/>
      <c r="Q2875" s="364"/>
      <c r="R2875" s="129"/>
      <c r="S2875" s="129"/>
      <c r="T2875" s="129"/>
      <c r="W2875" s="129" t="s">
        <v>286</v>
      </c>
      <c r="X2875" s="337" t="b">
        <f t="shared" si="79"/>
        <v>0</v>
      </c>
    </row>
    <row r="2876" spans="1:24" s="337" customFormat="1" ht="12" customHeight="1" outlineLevel="1">
      <c r="A2876" s="335"/>
      <c r="B2876" s="118" t="s">
        <v>12</v>
      </c>
      <c r="C2876" s="334" t="s">
        <v>10311</v>
      </c>
      <c r="D2876" s="124" t="s">
        <v>10312</v>
      </c>
      <c r="E2876" s="125"/>
      <c r="F2876" s="118" t="s">
        <v>828</v>
      </c>
      <c r="G2876" s="126" t="s">
        <v>10304</v>
      </c>
      <c r="H2876" s="255">
        <v>5</v>
      </c>
      <c r="I2876" s="361">
        <v>1</v>
      </c>
      <c r="J2876" s="362" t="s">
        <v>286</v>
      </c>
      <c r="K2876" s="363"/>
      <c r="L2876" s="129"/>
      <c r="M2876" s="129"/>
      <c r="N2876" s="129"/>
      <c r="O2876" s="129"/>
      <c r="P2876" s="364"/>
      <c r="Q2876" s="364"/>
      <c r="R2876" s="129"/>
      <c r="S2876" s="129"/>
      <c r="T2876" s="129"/>
      <c r="W2876" s="129" t="s">
        <v>286</v>
      </c>
      <c r="X2876" s="337" t="b">
        <f t="shared" si="79"/>
        <v>1</v>
      </c>
    </row>
    <row r="2877" spans="1:24" s="337" customFormat="1" ht="12" customHeight="1" outlineLevel="1">
      <c r="A2877" s="335"/>
      <c r="B2877" s="118" t="s">
        <v>12</v>
      </c>
      <c r="C2877" s="334" t="s">
        <v>10313</v>
      </c>
      <c r="D2877" s="124" t="s">
        <v>10314</v>
      </c>
      <c r="E2877" s="125"/>
      <c r="F2877" s="118" t="s">
        <v>828</v>
      </c>
      <c r="G2877" s="126" t="s">
        <v>10304</v>
      </c>
      <c r="H2877" s="255">
        <v>5</v>
      </c>
      <c r="I2877" s="361">
        <v>1</v>
      </c>
      <c r="J2877" s="362" t="s">
        <v>286</v>
      </c>
      <c r="K2877" s="363"/>
      <c r="L2877" s="129"/>
      <c r="M2877" s="129"/>
      <c r="N2877" s="129"/>
      <c r="O2877" s="129"/>
      <c r="P2877" s="364"/>
      <c r="Q2877" s="364"/>
      <c r="R2877" s="129"/>
      <c r="S2877" s="129"/>
      <c r="T2877" s="129"/>
      <c r="W2877" s="129" t="s">
        <v>4876</v>
      </c>
      <c r="X2877" s="337" t="b">
        <f t="shared" si="79"/>
        <v>0</v>
      </c>
    </row>
    <row r="2878" spans="1:24" s="337" customFormat="1" ht="12" customHeight="1" outlineLevel="1">
      <c r="A2878" s="335"/>
      <c r="B2878" s="118" t="s">
        <v>12</v>
      </c>
      <c r="C2878" s="334" t="s">
        <v>10315</v>
      </c>
      <c r="D2878" s="124" t="s">
        <v>10316</v>
      </c>
      <c r="E2878" s="125"/>
      <c r="F2878" s="118" t="s">
        <v>828</v>
      </c>
      <c r="G2878" s="126" t="s">
        <v>10304</v>
      </c>
      <c r="H2878" s="255">
        <v>5</v>
      </c>
      <c r="I2878" s="361">
        <v>1</v>
      </c>
      <c r="J2878" s="362" t="s">
        <v>286</v>
      </c>
      <c r="K2878" s="363"/>
      <c r="L2878" s="129"/>
      <c r="M2878" s="129"/>
      <c r="N2878" s="129"/>
      <c r="O2878" s="129"/>
      <c r="P2878" s="364"/>
      <c r="Q2878" s="364"/>
      <c r="R2878" s="129"/>
      <c r="S2878" s="129"/>
      <c r="T2878" s="129"/>
      <c r="W2878" s="129" t="s">
        <v>4876</v>
      </c>
      <c r="X2878" s="337" t="b">
        <f t="shared" si="79"/>
        <v>0</v>
      </c>
    </row>
    <row r="2879" spans="1:24" s="337" customFormat="1" ht="12" customHeight="1" outlineLevel="1">
      <c r="A2879" s="335"/>
      <c r="B2879" s="118" t="s">
        <v>12</v>
      </c>
      <c r="C2879" s="334" t="s">
        <v>10317</v>
      </c>
      <c r="D2879" s="124" t="s">
        <v>10318</v>
      </c>
      <c r="E2879" s="125"/>
      <c r="F2879" s="118" t="s">
        <v>828</v>
      </c>
      <c r="G2879" s="126" t="s">
        <v>10304</v>
      </c>
      <c r="H2879" s="255">
        <v>5</v>
      </c>
      <c r="I2879" s="361">
        <v>1</v>
      </c>
      <c r="J2879" s="362" t="s">
        <v>310</v>
      </c>
      <c r="K2879" s="363"/>
      <c r="L2879" s="129"/>
      <c r="M2879" s="129"/>
      <c r="N2879" s="129"/>
      <c r="O2879" s="129"/>
      <c r="P2879" s="364"/>
      <c r="Q2879" s="364"/>
      <c r="R2879" s="129"/>
      <c r="S2879" s="129"/>
      <c r="T2879" s="129"/>
      <c r="W2879" s="129" t="s">
        <v>286</v>
      </c>
      <c r="X2879" s="337" t="b">
        <f t="shared" si="79"/>
        <v>0</v>
      </c>
    </row>
    <row r="2880" spans="1:24" s="337" customFormat="1" ht="12" customHeight="1" outlineLevel="1">
      <c r="A2880" s="335"/>
      <c r="B2880" s="118" t="s">
        <v>12</v>
      </c>
      <c r="C2880" s="334" t="s">
        <v>10319</v>
      </c>
      <c r="D2880" s="124" t="s">
        <v>10320</v>
      </c>
      <c r="E2880" s="125"/>
      <c r="F2880" s="118" t="s">
        <v>828</v>
      </c>
      <c r="G2880" s="126" t="s">
        <v>10304</v>
      </c>
      <c r="H2880" s="255">
        <v>5</v>
      </c>
      <c r="I2880" s="361">
        <v>1</v>
      </c>
      <c r="J2880" s="362" t="s">
        <v>310</v>
      </c>
      <c r="K2880" s="363"/>
      <c r="L2880" s="129"/>
      <c r="M2880" s="129"/>
      <c r="N2880" s="129"/>
      <c r="O2880" s="129"/>
      <c r="P2880" s="364"/>
      <c r="Q2880" s="364"/>
      <c r="R2880" s="129"/>
      <c r="S2880" s="129"/>
      <c r="T2880" s="129"/>
      <c r="W2880" s="129" t="s">
        <v>286</v>
      </c>
      <c r="X2880" s="337" t="b">
        <f t="shared" si="79"/>
        <v>0</v>
      </c>
    </row>
    <row r="2881" spans="1:24" s="337" customFormat="1" ht="12" customHeight="1" outlineLevel="1">
      <c r="A2881" s="335"/>
      <c r="B2881" s="118" t="s">
        <v>12</v>
      </c>
      <c r="C2881" s="334" t="s">
        <v>10321</v>
      </c>
      <c r="D2881" s="124" t="s">
        <v>10322</v>
      </c>
      <c r="E2881" s="125"/>
      <c r="F2881" s="118" t="s">
        <v>828</v>
      </c>
      <c r="G2881" s="126" t="s">
        <v>10304</v>
      </c>
      <c r="H2881" s="255">
        <v>5</v>
      </c>
      <c r="I2881" s="361">
        <v>1</v>
      </c>
      <c r="J2881" s="362" t="s">
        <v>310</v>
      </c>
      <c r="K2881" s="363"/>
      <c r="L2881" s="129"/>
      <c r="M2881" s="129"/>
      <c r="N2881" s="129"/>
      <c r="O2881" s="129"/>
      <c r="P2881" s="364"/>
      <c r="Q2881" s="364"/>
      <c r="R2881" s="129"/>
      <c r="S2881" s="129"/>
      <c r="T2881" s="129"/>
      <c r="W2881" s="129" t="s">
        <v>286</v>
      </c>
      <c r="X2881" s="337" t="b">
        <f t="shared" si="79"/>
        <v>0</v>
      </c>
    </row>
    <row r="2882" spans="1:24" s="337" customFormat="1" ht="12" customHeight="1" outlineLevel="1">
      <c r="A2882" s="335"/>
      <c r="B2882" s="118" t="s">
        <v>12</v>
      </c>
      <c r="C2882" s="334" t="s">
        <v>10323</v>
      </c>
      <c r="D2882" s="124" t="s">
        <v>10324</v>
      </c>
      <c r="E2882" s="125"/>
      <c r="F2882" s="118" t="s">
        <v>828</v>
      </c>
      <c r="G2882" s="126" t="s">
        <v>10304</v>
      </c>
      <c r="H2882" s="255">
        <v>5</v>
      </c>
      <c r="I2882" s="361">
        <v>1</v>
      </c>
      <c r="J2882" s="362" t="s">
        <v>286</v>
      </c>
      <c r="K2882" s="363"/>
      <c r="L2882" s="129"/>
      <c r="M2882" s="129"/>
      <c r="N2882" s="129"/>
      <c r="O2882" s="129"/>
      <c r="P2882" s="364"/>
      <c r="Q2882" s="364"/>
      <c r="R2882" s="129"/>
      <c r="S2882" s="129"/>
      <c r="T2882" s="129"/>
      <c r="W2882" s="129" t="s">
        <v>4876</v>
      </c>
      <c r="X2882" s="337" t="b">
        <f t="shared" si="79"/>
        <v>0</v>
      </c>
    </row>
    <row r="2883" spans="1:24" s="337" customFormat="1" ht="12" customHeight="1" outlineLevel="1">
      <c r="A2883" s="335"/>
      <c r="B2883" s="118" t="s">
        <v>12</v>
      </c>
      <c r="C2883" s="334" t="s">
        <v>10325</v>
      </c>
      <c r="D2883" s="124" t="s">
        <v>10326</v>
      </c>
      <c r="E2883" s="125"/>
      <c r="F2883" s="118" t="s">
        <v>828</v>
      </c>
      <c r="G2883" s="126" t="s">
        <v>10304</v>
      </c>
      <c r="H2883" s="255">
        <v>5</v>
      </c>
      <c r="I2883" s="361">
        <v>1</v>
      </c>
      <c r="J2883" s="362" t="s">
        <v>310</v>
      </c>
      <c r="K2883" s="363"/>
      <c r="L2883" s="129"/>
      <c r="M2883" s="129"/>
      <c r="N2883" s="129"/>
      <c r="O2883" s="129"/>
      <c r="P2883" s="364"/>
      <c r="Q2883" s="364"/>
      <c r="R2883" s="129"/>
      <c r="S2883" s="129"/>
      <c r="T2883" s="129"/>
      <c r="W2883" s="129" t="s">
        <v>286</v>
      </c>
      <c r="X2883" s="337" t="b">
        <f t="shared" si="79"/>
        <v>0</v>
      </c>
    </row>
    <row r="2884" spans="1:24" s="337" customFormat="1" ht="12" customHeight="1" outlineLevel="1">
      <c r="A2884" s="335"/>
      <c r="B2884" s="118" t="s">
        <v>12</v>
      </c>
      <c r="C2884" s="334" t="s">
        <v>10327</v>
      </c>
      <c r="D2884" s="124" t="s">
        <v>10328</v>
      </c>
      <c r="E2884" s="125"/>
      <c r="F2884" s="118" t="s">
        <v>828</v>
      </c>
      <c r="G2884" s="126" t="s">
        <v>10304</v>
      </c>
      <c r="H2884" s="255">
        <v>5</v>
      </c>
      <c r="I2884" s="361">
        <v>1</v>
      </c>
      <c r="J2884" s="362" t="s">
        <v>286</v>
      </c>
      <c r="K2884" s="363"/>
      <c r="L2884" s="129"/>
      <c r="M2884" s="129"/>
      <c r="N2884" s="129"/>
      <c r="O2884" s="129"/>
      <c r="P2884" s="364"/>
      <c r="Q2884" s="364"/>
      <c r="R2884" s="129"/>
      <c r="S2884" s="129"/>
      <c r="T2884" s="129"/>
      <c r="W2884" s="129" t="s">
        <v>4876</v>
      </c>
      <c r="X2884" s="337" t="b">
        <f t="shared" si="79"/>
        <v>0</v>
      </c>
    </row>
    <row r="2885" spans="1:24" s="337" customFormat="1" ht="12" customHeight="1" outlineLevel="1">
      <c r="A2885" s="335"/>
      <c r="B2885" s="118" t="s">
        <v>12</v>
      </c>
      <c r="C2885" s="334" t="s">
        <v>10329</v>
      </c>
      <c r="D2885" s="124" t="s">
        <v>10330</v>
      </c>
      <c r="E2885" s="125"/>
      <c r="F2885" s="118" t="s">
        <v>828</v>
      </c>
      <c r="G2885" s="126" t="s">
        <v>10304</v>
      </c>
      <c r="H2885" s="255">
        <v>5</v>
      </c>
      <c r="I2885" s="361">
        <v>1</v>
      </c>
      <c r="J2885" s="362" t="s">
        <v>310</v>
      </c>
      <c r="K2885" s="363"/>
      <c r="L2885" s="129"/>
      <c r="M2885" s="129"/>
      <c r="N2885" s="129"/>
      <c r="O2885" s="129"/>
      <c r="P2885" s="364"/>
      <c r="Q2885" s="364"/>
      <c r="R2885" s="129"/>
      <c r="S2885" s="129"/>
      <c r="T2885" s="129"/>
      <c r="W2885" s="129" t="s">
        <v>286</v>
      </c>
      <c r="X2885" s="337" t="b">
        <f t="shared" si="79"/>
        <v>0</v>
      </c>
    </row>
    <row r="2886" spans="1:24" s="337" customFormat="1" ht="12" customHeight="1" outlineLevel="1">
      <c r="A2886" s="335"/>
      <c r="B2886" s="118" t="s">
        <v>12</v>
      </c>
      <c r="C2886" s="334" t="s">
        <v>10331</v>
      </c>
      <c r="D2886" s="124" t="s">
        <v>10332</v>
      </c>
      <c r="E2886" s="125"/>
      <c r="F2886" s="118" t="s">
        <v>828</v>
      </c>
      <c r="G2886" s="126" t="s">
        <v>10304</v>
      </c>
      <c r="H2886" s="255">
        <v>5</v>
      </c>
      <c r="I2886" s="361">
        <v>1</v>
      </c>
      <c r="J2886" s="362" t="s">
        <v>286</v>
      </c>
      <c r="K2886" s="363"/>
      <c r="L2886" s="129"/>
      <c r="M2886" s="129"/>
      <c r="N2886" s="129"/>
      <c r="O2886" s="129"/>
      <c r="P2886" s="364"/>
      <c r="Q2886" s="364"/>
      <c r="R2886" s="129"/>
      <c r="S2886" s="129"/>
      <c r="T2886" s="129"/>
      <c r="W2886" s="129" t="s">
        <v>4876</v>
      </c>
      <c r="X2886" s="337" t="b">
        <f t="shared" si="79"/>
        <v>0</v>
      </c>
    </row>
    <row r="2887" spans="1:24" s="337" customFormat="1" ht="12" customHeight="1" outlineLevel="1">
      <c r="A2887" s="335"/>
      <c r="B2887" s="118" t="s">
        <v>12</v>
      </c>
      <c r="C2887" s="334" t="s">
        <v>10333</v>
      </c>
      <c r="D2887" s="124" t="s">
        <v>10334</v>
      </c>
      <c r="E2887" s="125"/>
      <c r="F2887" s="118" t="s">
        <v>828</v>
      </c>
      <c r="G2887" s="126" t="s">
        <v>10304</v>
      </c>
      <c r="H2887" s="255">
        <v>5</v>
      </c>
      <c r="I2887" s="361">
        <v>1</v>
      </c>
      <c r="J2887" s="362" t="s">
        <v>310</v>
      </c>
      <c r="K2887" s="363"/>
      <c r="L2887" s="129"/>
      <c r="M2887" s="129"/>
      <c r="N2887" s="129"/>
      <c r="O2887" s="129"/>
      <c r="P2887" s="364"/>
      <c r="Q2887" s="364"/>
      <c r="R2887" s="129"/>
      <c r="S2887" s="129"/>
      <c r="T2887" s="129"/>
      <c r="W2887" s="129" t="s">
        <v>286</v>
      </c>
      <c r="X2887" s="337" t="b">
        <f t="shared" si="79"/>
        <v>0</v>
      </c>
    </row>
    <row r="2888" spans="1:24" s="337" customFormat="1" ht="12" customHeight="1" outlineLevel="1">
      <c r="A2888" s="335"/>
      <c r="B2888" s="118" t="s">
        <v>12</v>
      </c>
      <c r="C2888" s="334" t="s">
        <v>10335</v>
      </c>
      <c r="D2888" s="124" t="s">
        <v>10336</v>
      </c>
      <c r="E2888" s="125"/>
      <c r="F2888" s="118" t="s">
        <v>828</v>
      </c>
      <c r="G2888" s="126" t="s">
        <v>10304</v>
      </c>
      <c r="H2888" s="255">
        <v>5</v>
      </c>
      <c r="I2888" s="361">
        <v>1</v>
      </c>
      <c r="J2888" s="362" t="s">
        <v>307</v>
      </c>
      <c r="K2888" s="363"/>
      <c r="L2888" s="129"/>
      <c r="M2888" s="129"/>
      <c r="N2888" s="129"/>
      <c r="O2888" s="129"/>
      <c r="P2888" s="364"/>
      <c r="Q2888" s="364"/>
      <c r="R2888" s="129"/>
      <c r="S2888" s="129"/>
      <c r="T2888" s="129"/>
      <c r="W2888" s="129" t="s">
        <v>310</v>
      </c>
      <c r="X2888" s="337" t="b">
        <f t="shared" si="79"/>
        <v>0</v>
      </c>
    </row>
    <row r="2889" spans="1:24" s="337" customFormat="1" ht="12" customHeight="1" outlineLevel="1">
      <c r="A2889" s="335"/>
      <c r="B2889" s="118" t="s">
        <v>12</v>
      </c>
      <c r="C2889" s="334" t="s">
        <v>10337</v>
      </c>
      <c r="D2889" s="124" t="s">
        <v>10338</v>
      </c>
      <c r="E2889" s="125"/>
      <c r="F2889" s="118" t="s">
        <v>828</v>
      </c>
      <c r="G2889" s="126" t="s">
        <v>10304</v>
      </c>
      <c r="H2889" s="255">
        <v>5</v>
      </c>
      <c r="I2889" s="361">
        <v>1</v>
      </c>
      <c r="J2889" s="362" t="s">
        <v>286</v>
      </c>
      <c r="K2889" s="363"/>
      <c r="L2889" s="129"/>
      <c r="M2889" s="129"/>
      <c r="N2889" s="129"/>
      <c r="O2889" s="129"/>
      <c r="P2889" s="364"/>
      <c r="Q2889" s="364"/>
      <c r="R2889" s="129"/>
      <c r="S2889" s="129"/>
      <c r="T2889" s="129"/>
      <c r="W2889" s="129" t="s">
        <v>4876</v>
      </c>
      <c r="X2889" s="337" t="b">
        <f t="shared" si="79"/>
        <v>0</v>
      </c>
    </row>
    <row r="2890" spans="1:24" s="337" customFormat="1" ht="12" customHeight="1" outlineLevel="1">
      <c r="A2890" s="335"/>
      <c r="B2890" s="118" t="s">
        <v>12</v>
      </c>
      <c r="C2890" s="334" t="s">
        <v>10339</v>
      </c>
      <c r="D2890" s="124" t="s">
        <v>10340</v>
      </c>
      <c r="E2890" s="125"/>
      <c r="F2890" s="118" t="s">
        <v>828</v>
      </c>
      <c r="G2890" s="126" t="s">
        <v>10304</v>
      </c>
      <c r="H2890" s="255">
        <v>5</v>
      </c>
      <c r="I2890" s="361">
        <v>1</v>
      </c>
      <c r="J2890" s="362" t="s">
        <v>286</v>
      </c>
      <c r="K2890" s="363"/>
      <c r="L2890" s="129"/>
      <c r="M2890" s="129"/>
      <c r="N2890" s="129"/>
      <c r="O2890" s="129"/>
      <c r="P2890" s="364"/>
      <c r="Q2890" s="364"/>
      <c r="R2890" s="129"/>
      <c r="S2890" s="129"/>
      <c r="T2890" s="129"/>
      <c r="W2890" s="129" t="s">
        <v>4876</v>
      </c>
      <c r="X2890" s="337" t="b">
        <f t="shared" si="79"/>
        <v>0</v>
      </c>
    </row>
    <row r="2891" spans="1:24" s="337" customFormat="1" ht="12" customHeight="1" outlineLevel="1">
      <c r="A2891" s="335"/>
      <c r="B2891" s="118" t="s">
        <v>12</v>
      </c>
      <c r="C2891" s="334" t="s">
        <v>10341</v>
      </c>
      <c r="D2891" s="124" t="s">
        <v>10342</v>
      </c>
      <c r="E2891" s="125"/>
      <c r="F2891" s="118" t="s">
        <v>828</v>
      </c>
      <c r="G2891" s="126" t="s">
        <v>10304</v>
      </c>
      <c r="H2891" s="255">
        <v>5</v>
      </c>
      <c r="I2891" s="361">
        <v>1</v>
      </c>
      <c r="J2891" s="362" t="s">
        <v>307</v>
      </c>
      <c r="K2891" s="363"/>
      <c r="L2891" s="129"/>
      <c r="M2891" s="129"/>
      <c r="N2891" s="129"/>
      <c r="O2891" s="129"/>
      <c r="P2891" s="364"/>
      <c r="Q2891" s="364"/>
      <c r="R2891" s="129"/>
      <c r="S2891" s="129"/>
      <c r="T2891" s="129"/>
      <c r="W2891" s="129" t="s">
        <v>286</v>
      </c>
      <c r="X2891" s="337" t="b">
        <f t="shared" si="79"/>
        <v>0</v>
      </c>
    </row>
    <row r="2892" spans="1:24" s="337" customFormat="1" ht="12" customHeight="1" outlineLevel="1">
      <c r="A2892" s="335"/>
      <c r="B2892" s="118" t="s">
        <v>12</v>
      </c>
      <c r="C2892" s="334" t="s">
        <v>10343</v>
      </c>
      <c r="D2892" s="124" t="s">
        <v>10344</v>
      </c>
      <c r="E2892" s="125"/>
      <c r="F2892" s="118" t="s">
        <v>828</v>
      </c>
      <c r="G2892" s="126" t="s">
        <v>10304</v>
      </c>
      <c r="H2892" s="255">
        <v>5</v>
      </c>
      <c r="I2892" s="361">
        <v>1</v>
      </c>
      <c r="J2892" s="362" t="s">
        <v>307</v>
      </c>
      <c r="K2892" s="363"/>
      <c r="L2892" s="129"/>
      <c r="M2892" s="129"/>
      <c r="N2892" s="129"/>
      <c r="O2892" s="129"/>
      <c r="P2892" s="364"/>
      <c r="Q2892" s="364"/>
      <c r="R2892" s="129"/>
      <c r="S2892" s="129"/>
      <c r="T2892" s="129"/>
      <c r="W2892" s="129" t="s">
        <v>310</v>
      </c>
      <c r="X2892" s="337" t="b">
        <f t="shared" si="79"/>
        <v>0</v>
      </c>
    </row>
    <row r="2893" spans="1:24" s="337" customFormat="1" ht="12" customHeight="1" outlineLevel="1">
      <c r="A2893" s="335"/>
      <c r="B2893" s="118" t="s">
        <v>12</v>
      </c>
      <c r="C2893" s="334" t="s">
        <v>10345</v>
      </c>
      <c r="D2893" s="124" t="s">
        <v>10346</v>
      </c>
      <c r="E2893" s="125"/>
      <c r="F2893" s="118" t="s">
        <v>828</v>
      </c>
      <c r="G2893" s="126" t="s">
        <v>10304</v>
      </c>
      <c r="H2893" s="255">
        <v>5</v>
      </c>
      <c r="I2893" s="361">
        <v>1</v>
      </c>
      <c r="J2893" s="362" t="s">
        <v>307</v>
      </c>
      <c r="K2893" s="363"/>
      <c r="L2893" s="129"/>
      <c r="M2893" s="129"/>
      <c r="N2893" s="129"/>
      <c r="O2893" s="129"/>
      <c r="P2893" s="364"/>
      <c r="Q2893" s="364"/>
      <c r="R2893" s="129"/>
      <c r="S2893" s="129"/>
      <c r="T2893" s="129"/>
      <c r="W2893" s="129" t="s">
        <v>310</v>
      </c>
      <c r="X2893" s="337" t="b">
        <f t="shared" si="79"/>
        <v>0</v>
      </c>
    </row>
    <row r="2894" spans="1:24" s="337" customFormat="1" ht="12" customHeight="1" outlineLevel="1">
      <c r="A2894" s="335"/>
      <c r="B2894" s="118" t="s">
        <v>12</v>
      </c>
      <c r="C2894" s="334" t="s">
        <v>10347</v>
      </c>
      <c r="D2894" s="124" t="s">
        <v>10348</v>
      </c>
      <c r="E2894" s="125"/>
      <c r="F2894" s="118" t="s">
        <v>828</v>
      </c>
      <c r="G2894" s="126" t="s">
        <v>10304</v>
      </c>
      <c r="H2894" s="255">
        <v>5</v>
      </c>
      <c r="I2894" s="361">
        <v>1</v>
      </c>
      <c r="J2894" s="362" t="s">
        <v>307</v>
      </c>
      <c r="K2894" s="363"/>
      <c r="L2894" s="129"/>
      <c r="M2894" s="129"/>
      <c r="N2894" s="129"/>
      <c r="O2894" s="129"/>
      <c r="P2894" s="364"/>
      <c r="Q2894" s="364"/>
      <c r="R2894" s="129"/>
      <c r="S2894" s="129"/>
      <c r="T2894" s="129"/>
      <c r="W2894" s="129" t="s">
        <v>310</v>
      </c>
      <c r="X2894" s="337" t="b">
        <f t="shared" si="79"/>
        <v>0</v>
      </c>
    </row>
    <row r="2895" spans="1:24" s="337" customFormat="1" ht="12" customHeight="1" outlineLevel="1">
      <c r="A2895" s="335"/>
      <c r="B2895" s="118" t="s">
        <v>12</v>
      </c>
      <c r="C2895" s="334" t="s">
        <v>10349</v>
      </c>
      <c r="D2895" s="124" t="s">
        <v>10350</v>
      </c>
      <c r="E2895" s="125"/>
      <c r="F2895" s="118" t="s">
        <v>828</v>
      </c>
      <c r="G2895" s="126" t="s">
        <v>10304</v>
      </c>
      <c r="H2895" s="255">
        <v>5</v>
      </c>
      <c r="I2895" s="361">
        <v>1</v>
      </c>
      <c r="J2895" s="362" t="s">
        <v>307</v>
      </c>
      <c r="K2895" s="363"/>
      <c r="L2895" s="129"/>
      <c r="M2895" s="129"/>
      <c r="N2895" s="129"/>
      <c r="O2895" s="129"/>
      <c r="P2895" s="364"/>
      <c r="Q2895" s="364"/>
      <c r="R2895" s="129"/>
      <c r="S2895" s="129"/>
      <c r="T2895" s="129"/>
      <c r="W2895" s="129" t="s">
        <v>310</v>
      </c>
      <c r="X2895" s="337" t="b">
        <f t="shared" si="79"/>
        <v>0</v>
      </c>
    </row>
    <row r="2896" spans="1:24" s="337" customFormat="1" ht="12" customHeight="1" outlineLevel="1">
      <c r="A2896" s="335"/>
      <c r="B2896" s="118" t="s">
        <v>12</v>
      </c>
      <c r="C2896" s="334" t="s">
        <v>10351</v>
      </c>
      <c r="D2896" s="124" t="s">
        <v>10352</v>
      </c>
      <c r="E2896" s="125"/>
      <c r="F2896" s="118" t="s">
        <v>828</v>
      </c>
      <c r="G2896" s="126" t="s">
        <v>10304</v>
      </c>
      <c r="H2896" s="255">
        <v>5</v>
      </c>
      <c r="I2896" s="361">
        <v>1</v>
      </c>
      <c r="J2896" s="362" t="s">
        <v>310</v>
      </c>
      <c r="K2896" s="363"/>
      <c r="L2896" s="129"/>
      <c r="M2896" s="129"/>
      <c r="N2896" s="129"/>
      <c r="O2896" s="129"/>
      <c r="P2896" s="364"/>
      <c r="Q2896" s="364"/>
      <c r="R2896" s="129"/>
      <c r="S2896" s="129"/>
      <c r="T2896" s="129"/>
      <c r="W2896" s="129" t="s">
        <v>286</v>
      </c>
      <c r="X2896" s="337" t="b">
        <f t="shared" si="79"/>
        <v>0</v>
      </c>
    </row>
    <row r="2897" spans="1:24" s="337" customFormat="1" ht="12" customHeight="1" outlineLevel="1">
      <c r="A2897" s="335"/>
      <c r="B2897" s="118" t="s">
        <v>12</v>
      </c>
      <c r="C2897" s="334" t="s">
        <v>10353</v>
      </c>
      <c r="D2897" s="124" t="s">
        <v>10354</v>
      </c>
      <c r="E2897" s="125"/>
      <c r="F2897" s="118" t="s">
        <v>828</v>
      </c>
      <c r="G2897" s="126" t="s">
        <v>10304</v>
      </c>
      <c r="H2897" s="255">
        <v>5</v>
      </c>
      <c r="I2897" s="361">
        <v>1</v>
      </c>
      <c r="J2897" s="362" t="s">
        <v>310</v>
      </c>
      <c r="K2897" s="363"/>
      <c r="L2897" s="129"/>
      <c r="M2897" s="129"/>
      <c r="N2897" s="129"/>
      <c r="O2897" s="129"/>
      <c r="P2897" s="364"/>
      <c r="Q2897" s="364"/>
      <c r="R2897" s="129"/>
      <c r="S2897" s="129"/>
      <c r="T2897" s="129"/>
      <c r="W2897" s="129" t="s">
        <v>286</v>
      </c>
      <c r="X2897" s="337" t="b">
        <f t="shared" si="79"/>
        <v>0</v>
      </c>
    </row>
    <row r="2898" spans="1:24" s="337" customFormat="1" ht="12" customHeight="1" outlineLevel="1">
      <c r="A2898" s="335"/>
      <c r="B2898" s="118" t="s">
        <v>12</v>
      </c>
      <c r="C2898" s="334" t="s">
        <v>10355</v>
      </c>
      <c r="D2898" s="124" t="s">
        <v>10356</v>
      </c>
      <c r="E2898" s="125"/>
      <c r="F2898" s="118" t="s">
        <v>828</v>
      </c>
      <c r="G2898" s="126" t="s">
        <v>10304</v>
      </c>
      <c r="H2898" s="255">
        <v>5</v>
      </c>
      <c r="I2898" s="361">
        <v>1</v>
      </c>
      <c r="J2898" s="362" t="s">
        <v>286</v>
      </c>
      <c r="K2898" s="363"/>
      <c r="L2898" s="129"/>
      <c r="M2898" s="129"/>
      <c r="N2898" s="129"/>
      <c r="O2898" s="129"/>
      <c r="P2898" s="364"/>
      <c r="Q2898" s="364"/>
      <c r="R2898" s="129"/>
      <c r="S2898" s="129"/>
      <c r="T2898" s="129"/>
      <c r="W2898" s="129" t="s">
        <v>4876</v>
      </c>
      <c r="X2898" s="337" t="b">
        <f t="shared" si="79"/>
        <v>0</v>
      </c>
    </row>
    <row r="2899" spans="1:24" s="337" customFormat="1" ht="12" customHeight="1" outlineLevel="1">
      <c r="A2899" s="335"/>
      <c r="B2899" s="118" t="s">
        <v>12</v>
      </c>
      <c r="C2899" s="334" t="s">
        <v>10357</v>
      </c>
      <c r="D2899" s="124" t="s">
        <v>10358</v>
      </c>
      <c r="E2899" s="125"/>
      <c r="F2899" s="118" t="s">
        <v>828</v>
      </c>
      <c r="G2899" s="126" t="s">
        <v>10304</v>
      </c>
      <c r="H2899" s="255">
        <v>5</v>
      </c>
      <c r="I2899" s="361">
        <v>1</v>
      </c>
      <c r="J2899" s="362" t="s">
        <v>286</v>
      </c>
      <c r="K2899" s="363"/>
      <c r="L2899" s="129"/>
      <c r="M2899" s="129"/>
      <c r="N2899" s="129"/>
      <c r="O2899" s="129"/>
      <c r="P2899" s="364"/>
      <c r="Q2899" s="364"/>
      <c r="R2899" s="129"/>
      <c r="S2899" s="129"/>
      <c r="T2899" s="129"/>
      <c r="W2899" s="129" t="s">
        <v>4876</v>
      </c>
      <c r="X2899" s="337" t="b">
        <f t="shared" ref="X2899:X2962" si="80">W2899=J2899</f>
        <v>0</v>
      </c>
    </row>
    <row r="2900" spans="1:24" s="337" customFormat="1" ht="12" customHeight="1" outlineLevel="1">
      <c r="A2900" s="335"/>
      <c r="B2900" s="118" t="s">
        <v>12</v>
      </c>
      <c r="C2900" s="334" t="s">
        <v>10359</v>
      </c>
      <c r="D2900" s="124" t="s">
        <v>10360</v>
      </c>
      <c r="E2900" s="125"/>
      <c r="F2900" s="118" t="s">
        <v>828</v>
      </c>
      <c r="G2900" s="126" t="s">
        <v>10304</v>
      </c>
      <c r="H2900" s="255">
        <v>5</v>
      </c>
      <c r="I2900" s="361">
        <v>1</v>
      </c>
      <c r="J2900" s="362" t="s">
        <v>310</v>
      </c>
      <c r="K2900" s="363"/>
      <c r="L2900" s="129"/>
      <c r="M2900" s="129"/>
      <c r="N2900" s="129"/>
      <c r="O2900" s="129"/>
      <c r="P2900" s="364"/>
      <c r="Q2900" s="364"/>
      <c r="R2900" s="129"/>
      <c r="S2900" s="129"/>
      <c r="T2900" s="129"/>
      <c r="W2900" s="129" t="s">
        <v>286</v>
      </c>
      <c r="X2900" s="337" t="b">
        <f t="shared" si="80"/>
        <v>0</v>
      </c>
    </row>
    <row r="2901" spans="1:24" s="337" customFormat="1" ht="12" customHeight="1" outlineLevel="1">
      <c r="A2901" s="335"/>
      <c r="B2901" s="118" t="s">
        <v>12</v>
      </c>
      <c r="C2901" s="334" t="s">
        <v>10361</v>
      </c>
      <c r="D2901" s="124" t="s">
        <v>10362</v>
      </c>
      <c r="E2901" s="125"/>
      <c r="F2901" s="118" t="s">
        <v>828</v>
      </c>
      <c r="G2901" s="126" t="s">
        <v>10304</v>
      </c>
      <c r="H2901" s="255">
        <v>5</v>
      </c>
      <c r="I2901" s="361">
        <v>1</v>
      </c>
      <c r="J2901" s="362" t="s">
        <v>286</v>
      </c>
      <c r="K2901" s="363"/>
      <c r="L2901" s="129"/>
      <c r="M2901" s="129"/>
      <c r="N2901" s="129"/>
      <c r="O2901" s="129"/>
      <c r="P2901" s="364"/>
      <c r="Q2901" s="364"/>
      <c r="R2901" s="129"/>
      <c r="S2901" s="129"/>
      <c r="T2901" s="129"/>
      <c r="W2901" s="129" t="s">
        <v>4876</v>
      </c>
      <c r="X2901" s="337" t="b">
        <f t="shared" si="80"/>
        <v>0</v>
      </c>
    </row>
    <row r="2902" spans="1:24" s="337" customFormat="1" ht="12" customHeight="1" outlineLevel="1">
      <c r="A2902" s="335"/>
      <c r="B2902" s="118" t="s">
        <v>12</v>
      </c>
      <c r="C2902" s="334" t="s">
        <v>10363</v>
      </c>
      <c r="D2902" s="124" t="s">
        <v>10364</v>
      </c>
      <c r="E2902" s="125"/>
      <c r="F2902" s="118" t="s">
        <v>828</v>
      </c>
      <c r="G2902" s="126" t="s">
        <v>10304</v>
      </c>
      <c r="H2902" s="255">
        <v>5</v>
      </c>
      <c r="I2902" s="361">
        <v>1</v>
      </c>
      <c r="J2902" s="362" t="s">
        <v>286</v>
      </c>
      <c r="K2902" s="363"/>
      <c r="L2902" s="129"/>
      <c r="M2902" s="129"/>
      <c r="N2902" s="129"/>
      <c r="O2902" s="129"/>
      <c r="P2902" s="364"/>
      <c r="Q2902" s="364"/>
      <c r="R2902" s="129"/>
      <c r="S2902" s="129"/>
      <c r="T2902" s="129"/>
      <c r="W2902" s="129" t="s">
        <v>4876</v>
      </c>
      <c r="X2902" s="337" t="b">
        <f t="shared" si="80"/>
        <v>0</v>
      </c>
    </row>
    <row r="2903" spans="1:24" s="337" customFormat="1" ht="12" customHeight="1" outlineLevel="1">
      <c r="A2903" s="335"/>
      <c r="B2903" s="118" t="s">
        <v>12</v>
      </c>
      <c r="C2903" s="334" t="s">
        <v>10365</v>
      </c>
      <c r="D2903" s="124" t="s">
        <v>10366</v>
      </c>
      <c r="E2903" s="125"/>
      <c r="F2903" s="118" t="s">
        <v>828</v>
      </c>
      <c r="G2903" s="126" t="s">
        <v>10304</v>
      </c>
      <c r="H2903" s="255">
        <v>5</v>
      </c>
      <c r="I2903" s="361">
        <v>1</v>
      </c>
      <c r="J2903" s="362" t="s">
        <v>310</v>
      </c>
      <c r="K2903" s="363"/>
      <c r="L2903" s="129"/>
      <c r="M2903" s="129"/>
      <c r="N2903" s="129"/>
      <c r="O2903" s="129"/>
      <c r="P2903" s="364"/>
      <c r="Q2903" s="364"/>
      <c r="R2903" s="129"/>
      <c r="S2903" s="129"/>
      <c r="T2903" s="129"/>
      <c r="W2903" s="129" t="s">
        <v>286</v>
      </c>
      <c r="X2903" s="337" t="b">
        <f t="shared" si="80"/>
        <v>0</v>
      </c>
    </row>
    <row r="2904" spans="1:24" s="337" customFormat="1" ht="12" customHeight="1" outlineLevel="1">
      <c r="A2904" s="335"/>
      <c r="B2904" s="118" t="s">
        <v>12</v>
      </c>
      <c r="C2904" s="334" t="s">
        <v>10367</v>
      </c>
      <c r="D2904" s="124" t="s">
        <v>10368</v>
      </c>
      <c r="E2904" s="125"/>
      <c r="F2904" s="118" t="s">
        <v>828</v>
      </c>
      <c r="G2904" s="126" t="s">
        <v>10304</v>
      </c>
      <c r="H2904" s="255">
        <v>5</v>
      </c>
      <c r="I2904" s="361">
        <v>1</v>
      </c>
      <c r="J2904" s="362" t="s">
        <v>310</v>
      </c>
      <c r="K2904" s="363"/>
      <c r="L2904" s="129"/>
      <c r="M2904" s="129"/>
      <c r="N2904" s="129"/>
      <c r="O2904" s="129"/>
      <c r="P2904" s="364"/>
      <c r="Q2904" s="364"/>
      <c r="R2904" s="129"/>
      <c r="S2904" s="129"/>
      <c r="T2904" s="129"/>
      <c r="W2904" s="129" t="s">
        <v>286</v>
      </c>
      <c r="X2904" s="337" t="b">
        <f t="shared" si="80"/>
        <v>0</v>
      </c>
    </row>
    <row r="2905" spans="1:24" s="337" customFormat="1" ht="12" customHeight="1" outlineLevel="1">
      <c r="A2905" s="335"/>
      <c r="B2905" s="118" t="s">
        <v>12</v>
      </c>
      <c r="C2905" s="334" t="s">
        <v>10369</v>
      </c>
      <c r="D2905" s="124" t="s">
        <v>10370</v>
      </c>
      <c r="E2905" s="125"/>
      <c r="F2905" s="118" t="s">
        <v>828</v>
      </c>
      <c r="G2905" s="126" t="s">
        <v>10304</v>
      </c>
      <c r="H2905" s="255">
        <v>5</v>
      </c>
      <c r="I2905" s="361">
        <v>1</v>
      </c>
      <c r="J2905" s="362" t="s">
        <v>286</v>
      </c>
      <c r="K2905" s="363"/>
      <c r="L2905" s="129"/>
      <c r="M2905" s="129"/>
      <c r="N2905" s="129"/>
      <c r="O2905" s="129"/>
      <c r="P2905" s="364"/>
      <c r="Q2905" s="364"/>
      <c r="R2905" s="129"/>
      <c r="S2905" s="129"/>
      <c r="T2905" s="129"/>
      <c r="W2905" s="129" t="s">
        <v>4876</v>
      </c>
      <c r="X2905" s="337" t="b">
        <f t="shared" si="80"/>
        <v>0</v>
      </c>
    </row>
    <row r="2906" spans="1:24" s="337" customFormat="1" ht="12" customHeight="1" outlineLevel="1">
      <c r="A2906" s="335"/>
      <c r="B2906" s="118" t="s">
        <v>12</v>
      </c>
      <c r="C2906" s="334" t="s">
        <v>10371</v>
      </c>
      <c r="D2906" s="124" t="s">
        <v>10372</v>
      </c>
      <c r="E2906" s="125"/>
      <c r="F2906" s="118" t="s">
        <v>828</v>
      </c>
      <c r="G2906" s="126" t="s">
        <v>10304</v>
      </c>
      <c r="H2906" s="255">
        <v>5</v>
      </c>
      <c r="I2906" s="361">
        <v>1</v>
      </c>
      <c r="J2906" s="362" t="s">
        <v>310</v>
      </c>
      <c r="K2906" s="363"/>
      <c r="L2906" s="129"/>
      <c r="M2906" s="129"/>
      <c r="N2906" s="129"/>
      <c r="O2906" s="129"/>
      <c r="P2906" s="364"/>
      <c r="Q2906" s="364"/>
      <c r="R2906" s="129"/>
      <c r="S2906" s="129"/>
      <c r="T2906" s="129"/>
      <c r="W2906" s="129" t="s">
        <v>286</v>
      </c>
      <c r="X2906" s="337" t="b">
        <f t="shared" si="80"/>
        <v>0</v>
      </c>
    </row>
    <row r="2907" spans="1:24" s="337" customFormat="1" ht="12" customHeight="1" outlineLevel="1">
      <c r="A2907" s="335"/>
      <c r="B2907" s="118" t="s">
        <v>12</v>
      </c>
      <c r="C2907" s="334" t="s">
        <v>10373</v>
      </c>
      <c r="D2907" s="124" t="s">
        <v>10374</v>
      </c>
      <c r="E2907" s="125"/>
      <c r="F2907" s="118" t="s">
        <v>828</v>
      </c>
      <c r="G2907" s="126" t="s">
        <v>10304</v>
      </c>
      <c r="H2907" s="255">
        <v>5</v>
      </c>
      <c r="I2907" s="361">
        <v>1</v>
      </c>
      <c r="J2907" s="362" t="s">
        <v>307</v>
      </c>
      <c r="K2907" s="363"/>
      <c r="L2907" s="129"/>
      <c r="M2907" s="129"/>
      <c r="N2907" s="129"/>
      <c r="O2907" s="129"/>
      <c r="P2907" s="364"/>
      <c r="Q2907" s="364"/>
      <c r="R2907" s="129"/>
      <c r="S2907" s="129"/>
      <c r="T2907" s="129"/>
      <c r="W2907" s="129" t="s">
        <v>310</v>
      </c>
      <c r="X2907" s="337" t="b">
        <f t="shared" si="80"/>
        <v>0</v>
      </c>
    </row>
    <row r="2908" spans="1:24" s="337" customFormat="1" ht="12" customHeight="1" outlineLevel="1">
      <c r="A2908" s="335"/>
      <c r="B2908" s="118" t="s">
        <v>12</v>
      </c>
      <c r="C2908" s="334" t="s">
        <v>10375</v>
      </c>
      <c r="D2908" s="124" t="s">
        <v>10376</v>
      </c>
      <c r="E2908" s="125"/>
      <c r="F2908" s="118" t="s">
        <v>828</v>
      </c>
      <c r="G2908" s="126" t="s">
        <v>10304</v>
      </c>
      <c r="H2908" s="255">
        <v>5</v>
      </c>
      <c r="I2908" s="361">
        <v>1</v>
      </c>
      <c r="J2908" s="362" t="s">
        <v>310</v>
      </c>
      <c r="K2908" s="363"/>
      <c r="L2908" s="129"/>
      <c r="M2908" s="129"/>
      <c r="N2908" s="129"/>
      <c r="O2908" s="129"/>
      <c r="P2908" s="364"/>
      <c r="Q2908" s="364"/>
      <c r="R2908" s="129"/>
      <c r="S2908" s="129"/>
      <c r="T2908" s="129"/>
      <c r="W2908" s="129" t="s">
        <v>286</v>
      </c>
      <c r="X2908" s="337" t="b">
        <f t="shared" si="80"/>
        <v>0</v>
      </c>
    </row>
    <row r="2909" spans="1:24" s="337" customFormat="1" ht="12" customHeight="1" outlineLevel="1">
      <c r="A2909" s="335"/>
      <c r="B2909" s="118" t="s">
        <v>12</v>
      </c>
      <c r="C2909" s="334" t="s">
        <v>10377</v>
      </c>
      <c r="D2909" s="124" t="s">
        <v>10378</v>
      </c>
      <c r="E2909" s="125"/>
      <c r="F2909" s="118" t="s">
        <v>828</v>
      </c>
      <c r="G2909" s="126" t="s">
        <v>10304</v>
      </c>
      <c r="H2909" s="255">
        <v>5</v>
      </c>
      <c r="I2909" s="361">
        <v>1</v>
      </c>
      <c r="J2909" s="362" t="s">
        <v>286</v>
      </c>
      <c r="K2909" s="363"/>
      <c r="L2909" s="129"/>
      <c r="M2909" s="129"/>
      <c r="N2909" s="129"/>
      <c r="O2909" s="129"/>
      <c r="P2909" s="364"/>
      <c r="Q2909" s="364"/>
      <c r="R2909" s="129"/>
      <c r="S2909" s="129"/>
      <c r="T2909" s="129"/>
      <c r="W2909" s="129" t="s">
        <v>286</v>
      </c>
      <c r="X2909" s="337" t="b">
        <f t="shared" si="80"/>
        <v>1</v>
      </c>
    </row>
    <row r="2910" spans="1:24" s="337" customFormat="1" ht="12" customHeight="1" outlineLevel="1">
      <c r="A2910" s="335"/>
      <c r="B2910" s="118" t="s">
        <v>12</v>
      </c>
      <c r="C2910" s="334" t="s">
        <v>10379</v>
      </c>
      <c r="D2910" s="124" t="s">
        <v>10380</v>
      </c>
      <c r="E2910" s="125"/>
      <c r="F2910" s="118" t="s">
        <v>828</v>
      </c>
      <c r="G2910" s="126" t="s">
        <v>10304</v>
      </c>
      <c r="H2910" s="255">
        <v>5</v>
      </c>
      <c r="I2910" s="361">
        <v>1</v>
      </c>
      <c r="J2910" s="362" t="s">
        <v>310</v>
      </c>
      <c r="K2910" s="363"/>
      <c r="L2910" s="129"/>
      <c r="M2910" s="129"/>
      <c r="N2910" s="129"/>
      <c r="O2910" s="129"/>
      <c r="P2910" s="364"/>
      <c r="Q2910" s="364"/>
      <c r="R2910" s="129"/>
      <c r="S2910" s="129"/>
      <c r="T2910" s="129"/>
      <c r="W2910" s="129" t="s">
        <v>310</v>
      </c>
      <c r="X2910" s="337" t="b">
        <f t="shared" si="80"/>
        <v>1</v>
      </c>
    </row>
    <row r="2911" spans="1:24" s="337" customFormat="1" ht="12" customHeight="1" outlineLevel="1">
      <c r="A2911" s="335"/>
      <c r="B2911" s="118" t="s">
        <v>12</v>
      </c>
      <c r="C2911" s="334" t="s">
        <v>10381</v>
      </c>
      <c r="D2911" s="124" t="s">
        <v>10382</v>
      </c>
      <c r="E2911" s="125"/>
      <c r="F2911" s="118" t="s">
        <v>828</v>
      </c>
      <c r="G2911" s="126" t="s">
        <v>10383</v>
      </c>
      <c r="H2911" s="255">
        <v>4</v>
      </c>
      <c r="I2911" s="361">
        <v>1</v>
      </c>
      <c r="J2911" s="362" t="s">
        <v>310</v>
      </c>
      <c r="K2911" s="363"/>
      <c r="L2911" s="129"/>
      <c r="M2911" s="129"/>
      <c r="N2911" s="129"/>
      <c r="O2911" s="129"/>
      <c r="P2911" s="364"/>
      <c r="Q2911" s="364"/>
      <c r="R2911" s="129"/>
      <c r="S2911" s="129"/>
      <c r="T2911" s="129"/>
      <c r="W2911" s="129" t="s">
        <v>310</v>
      </c>
      <c r="X2911" s="337" t="b">
        <f t="shared" si="80"/>
        <v>1</v>
      </c>
    </row>
    <row r="2912" spans="1:24" s="337" customFormat="1" ht="12" customHeight="1" outlineLevel="1">
      <c r="A2912" s="335"/>
      <c r="B2912" s="118" t="s">
        <v>12</v>
      </c>
      <c r="C2912" s="334" t="s">
        <v>10384</v>
      </c>
      <c r="D2912" s="124" t="s">
        <v>10385</v>
      </c>
      <c r="E2912" s="125"/>
      <c r="F2912" s="118" t="s">
        <v>828</v>
      </c>
      <c r="G2912" s="126" t="s">
        <v>10383</v>
      </c>
      <c r="H2912" s="255">
        <v>4</v>
      </c>
      <c r="I2912" s="361">
        <v>1</v>
      </c>
      <c r="J2912" s="362" t="s">
        <v>310</v>
      </c>
      <c r="K2912" s="363"/>
      <c r="L2912" s="129"/>
      <c r="M2912" s="129"/>
      <c r="N2912" s="129"/>
      <c r="O2912" s="129"/>
      <c r="P2912" s="364"/>
      <c r="Q2912" s="364"/>
      <c r="R2912" s="129"/>
      <c r="S2912" s="129"/>
      <c r="T2912" s="129"/>
      <c r="W2912" s="129" t="s">
        <v>310</v>
      </c>
      <c r="X2912" s="337" t="b">
        <f t="shared" si="80"/>
        <v>1</v>
      </c>
    </row>
    <row r="2913" spans="1:24" s="337" customFormat="1" ht="12" customHeight="1" outlineLevel="1">
      <c r="A2913" s="335"/>
      <c r="B2913" s="118" t="s">
        <v>12</v>
      </c>
      <c r="C2913" s="334" t="s">
        <v>10386</v>
      </c>
      <c r="D2913" s="124" t="s">
        <v>10387</v>
      </c>
      <c r="E2913" s="125"/>
      <c r="F2913" s="118" t="s">
        <v>828</v>
      </c>
      <c r="G2913" s="126" t="s">
        <v>10383</v>
      </c>
      <c r="H2913" s="255">
        <v>4</v>
      </c>
      <c r="I2913" s="361">
        <v>1</v>
      </c>
      <c r="J2913" s="362" t="s">
        <v>310</v>
      </c>
      <c r="K2913" s="363"/>
      <c r="L2913" s="129"/>
      <c r="M2913" s="129"/>
      <c r="N2913" s="129"/>
      <c r="O2913" s="129"/>
      <c r="P2913" s="364"/>
      <c r="Q2913" s="364"/>
      <c r="R2913" s="129"/>
      <c r="S2913" s="129"/>
      <c r="T2913" s="129"/>
      <c r="W2913" s="129" t="s">
        <v>310</v>
      </c>
      <c r="X2913" s="337" t="b">
        <f t="shared" si="80"/>
        <v>1</v>
      </c>
    </row>
    <row r="2914" spans="1:24" s="337" customFormat="1" ht="12" customHeight="1" outlineLevel="1">
      <c r="A2914" s="335"/>
      <c r="B2914" s="118" t="s">
        <v>12</v>
      </c>
      <c r="C2914" s="334" t="s">
        <v>10388</v>
      </c>
      <c r="D2914" s="124" t="s">
        <v>10389</v>
      </c>
      <c r="E2914" s="125"/>
      <c r="F2914" s="118" t="s">
        <v>828</v>
      </c>
      <c r="G2914" s="126" t="s">
        <v>10383</v>
      </c>
      <c r="H2914" s="255">
        <v>4</v>
      </c>
      <c r="I2914" s="361">
        <v>1</v>
      </c>
      <c r="J2914" s="362" t="s">
        <v>310</v>
      </c>
      <c r="K2914" s="363"/>
      <c r="L2914" s="129"/>
      <c r="M2914" s="129"/>
      <c r="N2914" s="129"/>
      <c r="O2914" s="129"/>
      <c r="P2914" s="364"/>
      <c r="Q2914" s="364"/>
      <c r="R2914" s="129"/>
      <c r="S2914" s="129"/>
      <c r="T2914" s="129"/>
      <c r="W2914" s="129" t="s">
        <v>310</v>
      </c>
      <c r="X2914" s="337" t="b">
        <f t="shared" si="80"/>
        <v>1</v>
      </c>
    </row>
    <row r="2915" spans="1:24" s="337" customFormat="1" ht="12" customHeight="1" outlineLevel="1">
      <c r="A2915" s="335"/>
      <c r="B2915" s="118" t="s">
        <v>12</v>
      </c>
      <c r="C2915" s="334" t="s">
        <v>10390</v>
      </c>
      <c r="D2915" s="124" t="s">
        <v>10391</v>
      </c>
      <c r="E2915" s="125"/>
      <c r="F2915" s="118" t="s">
        <v>828</v>
      </c>
      <c r="G2915" s="126" t="s">
        <v>10383</v>
      </c>
      <c r="H2915" s="255">
        <v>4</v>
      </c>
      <c r="I2915" s="361">
        <v>1</v>
      </c>
      <c r="J2915" s="362" t="s">
        <v>310</v>
      </c>
      <c r="K2915" s="363"/>
      <c r="L2915" s="129"/>
      <c r="M2915" s="129"/>
      <c r="N2915" s="129"/>
      <c r="O2915" s="129"/>
      <c r="P2915" s="364"/>
      <c r="Q2915" s="364"/>
      <c r="R2915" s="129"/>
      <c r="S2915" s="129"/>
      <c r="T2915" s="129"/>
      <c r="W2915" s="129" t="s">
        <v>310</v>
      </c>
      <c r="X2915" s="337" t="b">
        <f t="shared" si="80"/>
        <v>1</v>
      </c>
    </row>
    <row r="2916" spans="1:24" s="337" customFormat="1" ht="12" customHeight="1" outlineLevel="1">
      <c r="A2916" s="335"/>
      <c r="B2916" s="118" t="s">
        <v>12</v>
      </c>
      <c r="C2916" s="334" t="s">
        <v>10392</v>
      </c>
      <c r="D2916" s="124" t="s">
        <v>10393</v>
      </c>
      <c r="E2916" s="125"/>
      <c r="F2916" s="118" t="s">
        <v>828</v>
      </c>
      <c r="G2916" s="126" t="s">
        <v>10383</v>
      </c>
      <c r="H2916" s="255">
        <v>4</v>
      </c>
      <c r="I2916" s="361">
        <v>1</v>
      </c>
      <c r="J2916" s="362" t="s">
        <v>310</v>
      </c>
      <c r="K2916" s="363"/>
      <c r="L2916" s="129"/>
      <c r="M2916" s="129"/>
      <c r="N2916" s="129"/>
      <c r="O2916" s="129"/>
      <c r="P2916" s="364"/>
      <c r="Q2916" s="364"/>
      <c r="R2916" s="129"/>
      <c r="S2916" s="129"/>
      <c r="T2916" s="129"/>
      <c r="W2916" s="129" t="s">
        <v>310</v>
      </c>
      <c r="X2916" s="337" t="b">
        <f t="shared" si="80"/>
        <v>1</v>
      </c>
    </row>
    <row r="2917" spans="1:24" s="337" customFormat="1" ht="12" customHeight="1" outlineLevel="1">
      <c r="A2917" s="335"/>
      <c r="B2917" s="118" t="s">
        <v>12</v>
      </c>
      <c r="C2917" s="334" t="s">
        <v>10394</v>
      </c>
      <c r="D2917" s="124" t="s">
        <v>10395</v>
      </c>
      <c r="E2917" s="125"/>
      <c r="F2917" s="118" t="s">
        <v>828</v>
      </c>
      <c r="G2917" s="126" t="s">
        <v>10383</v>
      </c>
      <c r="H2917" s="255">
        <v>4</v>
      </c>
      <c r="I2917" s="361">
        <v>1</v>
      </c>
      <c r="J2917" s="362" t="s">
        <v>310</v>
      </c>
      <c r="K2917" s="363"/>
      <c r="L2917" s="129"/>
      <c r="M2917" s="129"/>
      <c r="N2917" s="129"/>
      <c r="O2917" s="129"/>
      <c r="P2917" s="364"/>
      <c r="Q2917" s="364"/>
      <c r="R2917" s="129"/>
      <c r="S2917" s="129"/>
      <c r="T2917" s="129"/>
      <c r="W2917" s="129" t="s">
        <v>310</v>
      </c>
      <c r="X2917" s="337" t="b">
        <f t="shared" si="80"/>
        <v>1</v>
      </c>
    </row>
    <row r="2918" spans="1:24" s="337" customFormat="1" ht="12" customHeight="1" outlineLevel="1">
      <c r="A2918" s="335"/>
      <c r="B2918" s="118" t="s">
        <v>12</v>
      </c>
      <c r="C2918" s="334" t="s">
        <v>10396</v>
      </c>
      <c r="D2918" s="124" t="s">
        <v>10397</v>
      </c>
      <c r="E2918" s="125"/>
      <c r="F2918" s="118" t="s">
        <v>828</v>
      </c>
      <c r="G2918" s="126" t="s">
        <v>10383</v>
      </c>
      <c r="H2918" s="255">
        <v>4</v>
      </c>
      <c r="I2918" s="361">
        <v>1</v>
      </c>
      <c r="J2918" s="362" t="s">
        <v>286</v>
      </c>
      <c r="K2918" s="363"/>
      <c r="L2918" s="129"/>
      <c r="M2918" s="129"/>
      <c r="N2918" s="129"/>
      <c r="O2918" s="129"/>
      <c r="P2918" s="364"/>
      <c r="Q2918" s="364"/>
      <c r="R2918" s="129"/>
      <c r="S2918" s="129"/>
      <c r="T2918" s="129"/>
      <c r="W2918" s="129" t="s">
        <v>286</v>
      </c>
      <c r="X2918" s="337" t="b">
        <f t="shared" si="80"/>
        <v>1</v>
      </c>
    </row>
    <row r="2919" spans="1:24" s="337" customFormat="1" ht="12" customHeight="1" outlineLevel="1">
      <c r="A2919" s="335"/>
      <c r="B2919" s="118" t="s">
        <v>12</v>
      </c>
      <c r="C2919" s="334" t="s">
        <v>10398</v>
      </c>
      <c r="D2919" s="124" t="s">
        <v>10399</v>
      </c>
      <c r="E2919" s="125"/>
      <c r="F2919" s="118" t="s">
        <v>828</v>
      </c>
      <c r="G2919" s="126" t="s">
        <v>10383</v>
      </c>
      <c r="H2919" s="255">
        <v>4</v>
      </c>
      <c r="I2919" s="361">
        <v>1</v>
      </c>
      <c r="J2919" s="362" t="s">
        <v>286</v>
      </c>
      <c r="K2919" s="363"/>
      <c r="L2919" s="129"/>
      <c r="M2919" s="129"/>
      <c r="N2919" s="129"/>
      <c r="O2919" s="129"/>
      <c r="P2919" s="364"/>
      <c r="Q2919" s="364"/>
      <c r="R2919" s="129"/>
      <c r="S2919" s="129"/>
      <c r="T2919" s="129"/>
      <c r="W2919" s="129" t="s">
        <v>286</v>
      </c>
      <c r="X2919" s="337" t="b">
        <f t="shared" si="80"/>
        <v>1</v>
      </c>
    </row>
    <row r="2920" spans="1:24" s="337" customFormat="1" ht="12" customHeight="1" outlineLevel="1">
      <c r="A2920" s="335"/>
      <c r="B2920" s="118" t="s">
        <v>12</v>
      </c>
      <c r="C2920" s="334" t="s">
        <v>10400</v>
      </c>
      <c r="D2920" s="124" t="s">
        <v>10401</v>
      </c>
      <c r="E2920" s="125"/>
      <c r="F2920" s="118" t="s">
        <v>828</v>
      </c>
      <c r="G2920" s="126" t="s">
        <v>10304</v>
      </c>
      <c r="H2920" s="255">
        <v>5</v>
      </c>
      <c r="I2920" s="361">
        <v>1</v>
      </c>
      <c r="J2920" s="362" t="s">
        <v>286</v>
      </c>
      <c r="K2920" s="363"/>
      <c r="L2920" s="129"/>
      <c r="M2920" s="129"/>
      <c r="N2920" s="129"/>
      <c r="O2920" s="129"/>
      <c r="P2920" s="364"/>
      <c r="Q2920" s="364"/>
      <c r="R2920" s="129"/>
      <c r="S2920" s="129"/>
      <c r="T2920" s="129"/>
      <c r="W2920" s="129" t="s">
        <v>286</v>
      </c>
      <c r="X2920" s="337" t="b">
        <f t="shared" si="80"/>
        <v>1</v>
      </c>
    </row>
    <row r="2921" spans="1:24" s="337" customFormat="1" ht="12" customHeight="1" outlineLevel="1">
      <c r="A2921" s="335"/>
      <c r="B2921" s="118" t="s">
        <v>12</v>
      </c>
      <c r="C2921" s="334" t="s">
        <v>10402</v>
      </c>
      <c r="D2921" s="124" t="s">
        <v>10403</v>
      </c>
      <c r="E2921" s="125"/>
      <c r="F2921" s="118" t="s">
        <v>828</v>
      </c>
      <c r="G2921" s="126" t="s">
        <v>10304</v>
      </c>
      <c r="H2921" s="255">
        <v>5</v>
      </c>
      <c r="I2921" s="361">
        <v>1</v>
      </c>
      <c r="J2921" s="362" t="s">
        <v>286</v>
      </c>
      <c r="K2921" s="363"/>
      <c r="L2921" s="129"/>
      <c r="M2921" s="129"/>
      <c r="N2921" s="129"/>
      <c r="O2921" s="129"/>
      <c r="P2921" s="364"/>
      <c r="Q2921" s="364"/>
      <c r="R2921" s="129"/>
      <c r="S2921" s="129"/>
      <c r="T2921" s="129"/>
      <c r="W2921" s="129" t="s">
        <v>286</v>
      </c>
      <c r="X2921" s="337" t="b">
        <f t="shared" si="80"/>
        <v>1</v>
      </c>
    </row>
    <row r="2922" spans="1:24" s="337" customFormat="1" ht="12" customHeight="1" outlineLevel="1">
      <c r="A2922" s="335"/>
      <c r="B2922" s="118" t="s">
        <v>12</v>
      </c>
      <c r="C2922" s="334" t="s">
        <v>10404</v>
      </c>
      <c r="D2922" s="124" t="s">
        <v>10405</v>
      </c>
      <c r="E2922" s="125"/>
      <c r="F2922" s="118" t="s">
        <v>828</v>
      </c>
      <c r="G2922" s="126" t="s">
        <v>10383</v>
      </c>
      <c r="H2922" s="255">
        <v>4</v>
      </c>
      <c r="I2922" s="361">
        <v>1</v>
      </c>
      <c r="J2922" s="362" t="s">
        <v>286</v>
      </c>
      <c r="K2922" s="363"/>
      <c r="L2922" s="129"/>
      <c r="M2922" s="129"/>
      <c r="N2922" s="129"/>
      <c r="O2922" s="129"/>
      <c r="P2922" s="364"/>
      <c r="Q2922" s="364"/>
      <c r="R2922" s="129"/>
      <c r="S2922" s="129"/>
      <c r="T2922" s="129"/>
      <c r="W2922" s="129" t="s">
        <v>286</v>
      </c>
      <c r="X2922" s="337" t="b">
        <f t="shared" si="80"/>
        <v>1</v>
      </c>
    </row>
    <row r="2923" spans="1:24" s="337" customFormat="1" ht="12" customHeight="1" outlineLevel="1">
      <c r="A2923" s="335"/>
      <c r="B2923" s="118" t="s">
        <v>12</v>
      </c>
      <c r="C2923" s="334" t="s">
        <v>10406</v>
      </c>
      <c r="D2923" s="124" t="s">
        <v>10407</v>
      </c>
      <c r="E2923" s="125"/>
      <c r="F2923" s="118" t="s">
        <v>828</v>
      </c>
      <c r="G2923" s="126" t="s">
        <v>10304</v>
      </c>
      <c r="H2923" s="255">
        <v>5</v>
      </c>
      <c r="I2923" s="361">
        <v>1</v>
      </c>
      <c r="J2923" s="362" t="s">
        <v>286</v>
      </c>
      <c r="K2923" s="363"/>
      <c r="L2923" s="129"/>
      <c r="M2923" s="129"/>
      <c r="N2923" s="129"/>
      <c r="O2923" s="129"/>
      <c r="P2923" s="364"/>
      <c r="Q2923" s="364"/>
      <c r="R2923" s="129"/>
      <c r="S2923" s="129"/>
      <c r="T2923" s="129"/>
      <c r="W2923" s="129" t="s">
        <v>286</v>
      </c>
      <c r="X2923" s="337" t="b">
        <f t="shared" si="80"/>
        <v>1</v>
      </c>
    </row>
    <row r="2924" spans="1:24" s="337" customFormat="1" ht="12" customHeight="1" outlineLevel="1">
      <c r="A2924" s="335"/>
      <c r="B2924" s="118" t="s">
        <v>12</v>
      </c>
      <c r="C2924" s="334" t="s">
        <v>10408</v>
      </c>
      <c r="D2924" s="124" t="s">
        <v>10409</v>
      </c>
      <c r="E2924" s="125"/>
      <c r="F2924" s="118" t="s">
        <v>828</v>
      </c>
      <c r="G2924" s="126" t="s">
        <v>10304</v>
      </c>
      <c r="H2924" s="255">
        <v>5</v>
      </c>
      <c r="I2924" s="361">
        <v>1</v>
      </c>
      <c r="J2924" s="362" t="s">
        <v>286</v>
      </c>
      <c r="K2924" s="363"/>
      <c r="L2924" s="129"/>
      <c r="M2924" s="129"/>
      <c r="N2924" s="129"/>
      <c r="O2924" s="129"/>
      <c r="P2924" s="364"/>
      <c r="Q2924" s="364"/>
      <c r="R2924" s="129"/>
      <c r="S2924" s="129"/>
      <c r="T2924" s="129"/>
      <c r="W2924" s="129" t="s">
        <v>286</v>
      </c>
      <c r="X2924" s="337" t="b">
        <f t="shared" si="80"/>
        <v>1</v>
      </c>
    </row>
    <row r="2925" spans="1:24" s="337" customFormat="1" ht="12" customHeight="1" outlineLevel="1">
      <c r="A2925" s="335"/>
      <c r="B2925" s="118" t="s">
        <v>12</v>
      </c>
      <c r="C2925" s="334" t="s">
        <v>10410</v>
      </c>
      <c r="D2925" s="124" t="s">
        <v>10411</v>
      </c>
      <c r="E2925" s="125"/>
      <c r="F2925" s="118" t="s">
        <v>828</v>
      </c>
      <c r="G2925" s="126" t="s">
        <v>10304</v>
      </c>
      <c r="H2925" s="255">
        <v>5</v>
      </c>
      <c r="I2925" s="361">
        <v>1</v>
      </c>
      <c r="J2925" s="362" t="s">
        <v>286</v>
      </c>
      <c r="K2925" s="363"/>
      <c r="L2925" s="129"/>
      <c r="M2925" s="129"/>
      <c r="N2925" s="129"/>
      <c r="O2925" s="129"/>
      <c r="P2925" s="364"/>
      <c r="Q2925" s="364"/>
      <c r="R2925" s="129"/>
      <c r="S2925" s="129"/>
      <c r="T2925" s="129"/>
      <c r="W2925" s="129" t="s">
        <v>286</v>
      </c>
      <c r="X2925" s="337" t="b">
        <f t="shared" si="80"/>
        <v>1</v>
      </c>
    </row>
    <row r="2926" spans="1:24" s="337" customFormat="1" ht="12" customHeight="1" outlineLevel="1">
      <c r="A2926" s="335"/>
      <c r="B2926" s="118" t="s">
        <v>12</v>
      </c>
      <c r="C2926" s="334" t="s">
        <v>10412</v>
      </c>
      <c r="D2926" s="124" t="s">
        <v>10413</v>
      </c>
      <c r="E2926" s="125"/>
      <c r="F2926" s="118" t="s">
        <v>828</v>
      </c>
      <c r="G2926" s="126" t="s">
        <v>10304</v>
      </c>
      <c r="H2926" s="255">
        <v>5</v>
      </c>
      <c r="I2926" s="361">
        <v>1</v>
      </c>
      <c r="J2926" s="362" t="s">
        <v>286</v>
      </c>
      <c r="K2926" s="363"/>
      <c r="L2926" s="129"/>
      <c r="M2926" s="129"/>
      <c r="N2926" s="129"/>
      <c r="O2926" s="129"/>
      <c r="P2926" s="364"/>
      <c r="Q2926" s="364"/>
      <c r="R2926" s="129"/>
      <c r="S2926" s="129"/>
      <c r="T2926" s="129"/>
      <c r="W2926" s="129" t="s">
        <v>286</v>
      </c>
      <c r="X2926" s="337" t="b">
        <f t="shared" si="80"/>
        <v>1</v>
      </c>
    </row>
    <row r="2927" spans="1:24" s="337" customFormat="1" ht="12" customHeight="1" outlineLevel="1">
      <c r="A2927" s="335"/>
      <c r="B2927" s="118" t="s">
        <v>12</v>
      </c>
      <c r="C2927" s="334" t="s">
        <v>10414</v>
      </c>
      <c r="D2927" s="124" t="s">
        <v>10415</v>
      </c>
      <c r="E2927" s="125"/>
      <c r="F2927" s="118" t="s">
        <v>828</v>
      </c>
      <c r="G2927" s="126" t="s">
        <v>10304</v>
      </c>
      <c r="H2927" s="255">
        <v>5</v>
      </c>
      <c r="I2927" s="361">
        <v>1</v>
      </c>
      <c r="J2927" s="362" t="s">
        <v>286</v>
      </c>
      <c r="K2927" s="363"/>
      <c r="L2927" s="129"/>
      <c r="M2927" s="129"/>
      <c r="N2927" s="129"/>
      <c r="O2927" s="129"/>
      <c r="P2927" s="364"/>
      <c r="Q2927" s="364"/>
      <c r="R2927" s="129"/>
      <c r="S2927" s="129"/>
      <c r="T2927" s="129"/>
      <c r="W2927" s="129" t="s">
        <v>286</v>
      </c>
      <c r="X2927" s="337" t="b">
        <f t="shared" si="80"/>
        <v>1</v>
      </c>
    </row>
    <row r="2928" spans="1:24" s="337" customFormat="1" ht="12" customHeight="1" outlineLevel="1">
      <c r="A2928" s="335"/>
      <c r="B2928" s="118" t="s">
        <v>12</v>
      </c>
      <c r="C2928" s="334" t="s">
        <v>10416</v>
      </c>
      <c r="D2928" s="124" t="s">
        <v>10417</v>
      </c>
      <c r="E2928" s="125"/>
      <c r="F2928" s="118" t="s">
        <v>828</v>
      </c>
      <c r="G2928" s="126" t="s">
        <v>10304</v>
      </c>
      <c r="H2928" s="255">
        <v>5</v>
      </c>
      <c r="I2928" s="361">
        <v>1</v>
      </c>
      <c r="J2928" s="362" t="s">
        <v>286</v>
      </c>
      <c r="K2928" s="363"/>
      <c r="L2928" s="129"/>
      <c r="M2928" s="129"/>
      <c r="N2928" s="129"/>
      <c r="O2928" s="129"/>
      <c r="P2928" s="364"/>
      <c r="Q2928" s="364"/>
      <c r="R2928" s="129"/>
      <c r="S2928" s="129"/>
      <c r="T2928" s="129"/>
      <c r="W2928" s="129" t="s">
        <v>286</v>
      </c>
      <c r="X2928" s="337" t="b">
        <f t="shared" si="80"/>
        <v>1</v>
      </c>
    </row>
    <row r="2929" spans="1:24" s="337" customFormat="1" ht="12" customHeight="1" outlineLevel="1">
      <c r="A2929" s="335"/>
      <c r="B2929" s="118" t="s">
        <v>12</v>
      </c>
      <c r="C2929" s="334" t="s">
        <v>10418</v>
      </c>
      <c r="D2929" s="124" t="s">
        <v>10419</v>
      </c>
      <c r="E2929" s="125"/>
      <c r="F2929" s="118" t="s">
        <v>828</v>
      </c>
      <c r="G2929" s="126" t="s">
        <v>10304</v>
      </c>
      <c r="H2929" s="255">
        <v>5</v>
      </c>
      <c r="I2929" s="361">
        <v>1</v>
      </c>
      <c r="J2929" s="362" t="s">
        <v>286</v>
      </c>
      <c r="K2929" s="363"/>
      <c r="L2929" s="129"/>
      <c r="M2929" s="129"/>
      <c r="N2929" s="129"/>
      <c r="O2929" s="129"/>
      <c r="P2929" s="364"/>
      <c r="Q2929" s="364"/>
      <c r="R2929" s="129"/>
      <c r="S2929" s="129"/>
      <c r="T2929" s="129"/>
      <c r="W2929" s="129" t="s">
        <v>286</v>
      </c>
      <c r="X2929" s="337" t="b">
        <f t="shared" si="80"/>
        <v>1</v>
      </c>
    </row>
    <row r="2930" spans="1:24" s="337" customFormat="1" ht="12" customHeight="1" outlineLevel="1">
      <c r="A2930" s="335"/>
      <c r="B2930" s="118" t="s">
        <v>12</v>
      </c>
      <c r="C2930" s="334" t="s">
        <v>10420</v>
      </c>
      <c r="D2930" s="124" t="s">
        <v>10421</v>
      </c>
      <c r="E2930" s="125"/>
      <c r="F2930" s="118" t="s">
        <v>828</v>
      </c>
      <c r="G2930" s="126" t="s">
        <v>10304</v>
      </c>
      <c r="H2930" s="255">
        <v>5</v>
      </c>
      <c r="I2930" s="361">
        <v>1</v>
      </c>
      <c r="J2930" s="362" t="s">
        <v>286</v>
      </c>
      <c r="K2930" s="363"/>
      <c r="L2930" s="129"/>
      <c r="M2930" s="129"/>
      <c r="N2930" s="129"/>
      <c r="O2930" s="129"/>
      <c r="P2930" s="364"/>
      <c r="Q2930" s="364"/>
      <c r="R2930" s="129"/>
      <c r="S2930" s="129"/>
      <c r="T2930" s="129"/>
      <c r="W2930" s="129" t="s">
        <v>286</v>
      </c>
      <c r="X2930" s="337" t="b">
        <f t="shared" si="80"/>
        <v>1</v>
      </c>
    </row>
    <row r="2931" spans="1:24" s="337" customFormat="1" ht="12" customHeight="1" outlineLevel="1">
      <c r="A2931" s="335"/>
      <c r="B2931" s="118" t="s">
        <v>12</v>
      </c>
      <c r="C2931" s="334" t="s">
        <v>10422</v>
      </c>
      <c r="D2931" s="124" t="s">
        <v>10423</v>
      </c>
      <c r="E2931" s="125"/>
      <c r="F2931" s="118" t="s">
        <v>828</v>
      </c>
      <c r="G2931" s="126" t="s">
        <v>10304</v>
      </c>
      <c r="H2931" s="255">
        <v>5</v>
      </c>
      <c r="I2931" s="361">
        <v>1</v>
      </c>
      <c r="J2931" s="362" t="s">
        <v>286</v>
      </c>
      <c r="K2931" s="363"/>
      <c r="L2931" s="129"/>
      <c r="M2931" s="129"/>
      <c r="N2931" s="129"/>
      <c r="O2931" s="129"/>
      <c r="P2931" s="364"/>
      <c r="Q2931" s="364"/>
      <c r="R2931" s="129"/>
      <c r="S2931" s="129"/>
      <c r="T2931" s="129"/>
      <c r="W2931" s="129" t="s">
        <v>286</v>
      </c>
      <c r="X2931" s="337" t="b">
        <f t="shared" si="80"/>
        <v>1</v>
      </c>
    </row>
    <row r="2932" spans="1:24" s="337" customFormat="1" ht="12" customHeight="1" outlineLevel="1">
      <c r="A2932" s="335"/>
      <c r="B2932" s="118" t="s">
        <v>12</v>
      </c>
      <c r="C2932" s="334" t="s">
        <v>10424</v>
      </c>
      <c r="D2932" s="124" t="s">
        <v>10425</v>
      </c>
      <c r="E2932" s="125"/>
      <c r="F2932" s="118" t="s">
        <v>828</v>
      </c>
      <c r="G2932" s="126" t="s">
        <v>10304</v>
      </c>
      <c r="H2932" s="255">
        <v>5</v>
      </c>
      <c r="I2932" s="361">
        <v>1</v>
      </c>
      <c r="J2932" s="362" t="s">
        <v>286</v>
      </c>
      <c r="K2932" s="363"/>
      <c r="L2932" s="129"/>
      <c r="M2932" s="129"/>
      <c r="N2932" s="129"/>
      <c r="O2932" s="129"/>
      <c r="P2932" s="364"/>
      <c r="Q2932" s="364"/>
      <c r="R2932" s="129"/>
      <c r="S2932" s="129"/>
      <c r="T2932" s="129"/>
      <c r="W2932" s="129" t="s">
        <v>286</v>
      </c>
      <c r="X2932" s="337" t="b">
        <f t="shared" si="80"/>
        <v>1</v>
      </c>
    </row>
    <row r="2933" spans="1:24" s="337" customFormat="1" ht="12" customHeight="1" outlineLevel="1">
      <c r="A2933" s="335"/>
      <c r="B2933" s="118" t="s">
        <v>12</v>
      </c>
      <c r="C2933" s="334" t="s">
        <v>10426</v>
      </c>
      <c r="D2933" s="124" t="s">
        <v>10427</v>
      </c>
      <c r="E2933" s="125"/>
      <c r="F2933" s="118" t="s">
        <v>828</v>
      </c>
      <c r="G2933" s="126" t="s">
        <v>10304</v>
      </c>
      <c r="H2933" s="255">
        <v>5</v>
      </c>
      <c r="I2933" s="361">
        <v>1</v>
      </c>
      <c r="J2933" s="362" t="s">
        <v>286</v>
      </c>
      <c r="K2933" s="363"/>
      <c r="L2933" s="129"/>
      <c r="M2933" s="129"/>
      <c r="N2933" s="129"/>
      <c r="O2933" s="129"/>
      <c r="P2933" s="364"/>
      <c r="Q2933" s="364"/>
      <c r="R2933" s="129"/>
      <c r="S2933" s="129"/>
      <c r="T2933" s="129"/>
      <c r="W2933" s="129" t="s">
        <v>286</v>
      </c>
      <c r="X2933" s="337" t="b">
        <f t="shared" si="80"/>
        <v>1</v>
      </c>
    </row>
    <row r="2934" spans="1:24" s="337" customFormat="1" ht="12" customHeight="1" outlineLevel="1">
      <c r="A2934" s="335"/>
      <c r="B2934" s="118" t="s">
        <v>12</v>
      </c>
      <c r="C2934" s="334" t="s">
        <v>10428</v>
      </c>
      <c r="D2934" s="124" t="s">
        <v>10429</v>
      </c>
      <c r="E2934" s="125"/>
      <c r="F2934" s="118" t="s">
        <v>828</v>
      </c>
      <c r="G2934" s="126" t="s">
        <v>10304</v>
      </c>
      <c r="H2934" s="255">
        <v>5</v>
      </c>
      <c r="I2934" s="361">
        <v>1</v>
      </c>
      <c r="J2934" s="362" t="s">
        <v>286</v>
      </c>
      <c r="K2934" s="363"/>
      <c r="L2934" s="129"/>
      <c r="M2934" s="129"/>
      <c r="N2934" s="129"/>
      <c r="O2934" s="129"/>
      <c r="P2934" s="364"/>
      <c r="Q2934" s="364"/>
      <c r="R2934" s="129"/>
      <c r="S2934" s="129"/>
      <c r="T2934" s="129"/>
      <c r="W2934" s="129" t="s">
        <v>286</v>
      </c>
      <c r="X2934" s="337" t="b">
        <f t="shared" si="80"/>
        <v>1</v>
      </c>
    </row>
    <row r="2935" spans="1:24" s="337" customFormat="1" ht="12" customHeight="1" outlineLevel="1">
      <c r="A2935" s="335"/>
      <c r="B2935" s="118" t="s">
        <v>12</v>
      </c>
      <c r="C2935" s="334" t="s">
        <v>10430</v>
      </c>
      <c r="D2935" s="124" t="s">
        <v>10431</v>
      </c>
      <c r="E2935" s="125"/>
      <c r="F2935" s="118" t="s">
        <v>828</v>
      </c>
      <c r="G2935" s="126" t="s">
        <v>10304</v>
      </c>
      <c r="H2935" s="255">
        <v>5</v>
      </c>
      <c r="I2935" s="361">
        <v>1</v>
      </c>
      <c r="J2935" s="362" t="s">
        <v>286</v>
      </c>
      <c r="K2935" s="363"/>
      <c r="L2935" s="129"/>
      <c r="M2935" s="129"/>
      <c r="N2935" s="129"/>
      <c r="O2935" s="129"/>
      <c r="P2935" s="364"/>
      <c r="Q2935" s="364"/>
      <c r="R2935" s="129"/>
      <c r="S2935" s="129"/>
      <c r="T2935" s="129"/>
      <c r="W2935" s="129" t="s">
        <v>286</v>
      </c>
      <c r="X2935" s="337" t="b">
        <f t="shared" si="80"/>
        <v>1</v>
      </c>
    </row>
    <row r="2936" spans="1:24" s="337" customFormat="1" ht="12" customHeight="1" outlineLevel="1">
      <c r="A2936" s="335"/>
      <c r="B2936" s="118" t="s">
        <v>12</v>
      </c>
      <c r="C2936" s="334" t="s">
        <v>10432</v>
      </c>
      <c r="D2936" s="124" t="s">
        <v>10433</v>
      </c>
      <c r="E2936" s="125"/>
      <c r="F2936" s="118" t="s">
        <v>828</v>
      </c>
      <c r="G2936" s="126" t="s">
        <v>10304</v>
      </c>
      <c r="H2936" s="255">
        <v>5</v>
      </c>
      <c r="I2936" s="361">
        <v>1</v>
      </c>
      <c r="J2936" s="362" t="s">
        <v>286</v>
      </c>
      <c r="K2936" s="363"/>
      <c r="L2936" s="129"/>
      <c r="M2936" s="129"/>
      <c r="N2936" s="129"/>
      <c r="O2936" s="129"/>
      <c r="P2936" s="364"/>
      <c r="Q2936" s="364"/>
      <c r="R2936" s="129"/>
      <c r="S2936" s="129"/>
      <c r="T2936" s="129"/>
      <c r="W2936" s="129" t="s">
        <v>286</v>
      </c>
      <c r="X2936" s="337" t="b">
        <f t="shared" si="80"/>
        <v>1</v>
      </c>
    </row>
    <row r="2937" spans="1:24" s="337" customFormat="1" ht="12" customHeight="1" outlineLevel="1">
      <c r="A2937" s="335"/>
      <c r="B2937" s="118" t="s">
        <v>12</v>
      </c>
      <c r="C2937" s="334" t="s">
        <v>10434</v>
      </c>
      <c r="D2937" s="124" t="s">
        <v>10435</v>
      </c>
      <c r="E2937" s="125"/>
      <c r="F2937" s="118" t="s">
        <v>828</v>
      </c>
      <c r="G2937" s="126" t="s">
        <v>10304</v>
      </c>
      <c r="H2937" s="255">
        <v>5</v>
      </c>
      <c r="I2937" s="361">
        <v>1</v>
      </c>
      <c r="J2937" s="362" t="s">
        <v>286</v>
      </c>
      <c r="K2937" s="363"/>
      <c r="L2937" s="129"/>
      <c r="M2937" s="129"/>
      <c r="N2937" s="129"/>
      <c r="O2937" s="129"/>
      <c r="P2937" s="364"/>
      <c r="Q2937" s="364"/>
      <c r="R2937" s="129"/>
      <c r="S2937" s="129"/>
      <c r="T2937" s="129"/>
      <c r="W2937" s="129" t="s">
        <v>286</v>
      </c>
      <c r="X2937" s="337" t="b">
        <f t="shared" si="80"/>
        <v>1</v>
      </c>
    </row>
    <row r="2938" spans="1:24" s="337" customFormat="1" ht="12" customHeight="1" outlineLevel="1">
      <c r="A2938" s="335"/>
      <c r="B2938" s="118" t="s">
        <v>12</v>
      </c>
      <c r="C2938" s="334" t="s">
        <v>10436</v>
      </c>
      <c r="D2938" s="124" t="s">
        <v>10437</v>
      </c>
      <c r="E2938" s="125"/>
      <c r="F2938" s="118" t="s">
        <v>828</v>
      </c>
      <c r="G2938" s="126" t="s">
        <v>10304</v>
      </c>
      <c r="H2938" s="255">
        <v>5</v>
      </c>
      <c r="I2938" s="361">
        <v>1</v>
      </c>
      <c r="J2938" s="362" t="s">
        <v>286</v>
      </c>
      <c r="K2938" s="363"/>
      <c r="L2938" s="129"/>
      <c r="M2938" s="129"/>
      <c r="N2938" s="129"/>
      <c r="O2938" s="129"/>
      <c r="P2938" s="364"/>
      <c r="Q2938" s="364"/>
      <c r="R2938" s="129"/>
      <c r="S2938" s="129"/>
      <c r="T2938" s="129"/>
      <c r="W2938" s="129" t="s">
        <v>286</v>
      </c>
      <c r="X2938" s="337" t="b">
        <f t="shared" si="80"/>
        <v>1</v>
      </c>
    </row>
    <row r="2939" spans="1:24" s="337" customFormat="1" ht="12" customHeight="1" outlineLevel="1">
      <c r="A2939" s="335"/>
      <c r="B2939" s="118" t="s">
        <v>12</v>
      </c>
      <c r="C2939" s="334" t="s">
        <v>10438</v>
      </c>
      <c r="D2939" s="124" t="s">
        <v>10439</v>
      </c>
      <c r="E2939" s="125"/>
      <c r="F2939" s="118" t="s">
        <v>828</v>
      </c>
      <c r="G2939" s="126" t="s">
        <v>10304</v>
      </c>
      <c r="H2939" s="255">
        <v>5</v>
      </c>
      <c r="I2939" s="361">
        <v>1</v>
      </c>
      <c r="J2939" s="362" t="s">
        <v>286</v>
      </c>
      <c r="K2939" s="363"/>
      <c r="L2939" s="129"/>
      <c r="M2939" s="129"/>
      <c r="N2939" s="129"/>
      <c r="O2939" s="129"/>
      <c r="P2939" s="364"/>
      <c r="Q2939" s="364"/>
      <c r="R2939" s="129"/>
      <c r="S2939" s="129"/>
      <c r="T2939" s="129"/>
      <c r="W2939" s="129" t="s">
        <v>286</v>
      </c>
      <c r="X2939" s="337" t="b">
        <f t="shared" si="80"/>
        <v>1</v>
      </c>
    </row>
    <row r="2940" spans="1:24" s="337" customFormat="1" ht="12" customHeight="1" outlineLevel="1">
      <c r="A2940" s="335"/>
      <c r="B2940" s="118" t="s">
        <v>12</v>
      </c>
      <c r="C2940" s="334" t="s">
        <v>10440</v>
      </c>
      <c r="D2940" s="124" t="s">
        <v>10441</v>
      </c>
      <c r="E2940" s="125"/>
      <c r="F2940" s="118" t="s">
        <v>828</v>
      </c>
      <c r="G2940" s="126" t="s">
        <v>10304</v>
      </c>
      <c r="H2940" s="255">
        <v>5</v>
      </c>
      <c r="I2940" s="361">
        <v>1</v>
      </c>
      <c r="J2940" s="362" t="s">
        <v>286</v>
      </c>
      <c r="K2940" s="363"/>
      <c r="L2940" s="129"/>
      <c r="M2940" s="129"/>
      <c r="N2940" s="129"/>
      <c r="O2940" s="129"/>
      <c r="P2940" s="364"/>
      <c r="Q2940" s="364"/>
      <c r="R2940" s="129"/>
      <c r="S2940" s="129"/>
      <c r="T2940" s="129"/>
      <c r="W2940" s="129" t="s">
        <v>286</v>
      </c>
      <c r="X2940" s="337" t="b">
        <f t="shared" si="80"/>
        <v>1</v>
      </c>
    </row>
    <row r="2941" spans="1:24" s="337" customFormat="1" ht="12" customHeight="1" outlineLevel="1">
      <c r="A2941" s="335"/>
      <c r="B2941" s="118" t="s">
        <v>12</v>
      </c>
      <c r="C2941" s="334" t="s">
        <v>10442</v>
      </c>
      <c r="D2941" s="124" t="s">
        <v>10443</v>
      </c>
      <c r="E2941" s="125"/>
      <c r="F2941" s="118" t="s">
        <v>828</v>
      </c>
      <c r="G2941" s="126" t="s">
        <v>10304</v>
      </c>
      <c r="H2941" s="255">
        <v>5</v>
      </c>
      <c r="I2941" s="361">
        <v>1</v>
      </c>
      <c r="J2941" s="362" t="s">
        <v>286</v>
      </c>
      <c r="K2941" s="363"/>
      <c r="L2941" s="129"/>
      <c r="M2941" s="129"/>
      <c r="N2941" s="129"/>
      <c r="O2941" s="129"/>
      <c r="P2941" s="364"/>
      <c r="Q2941" s="364"/>
      <c r="R2941" s="129"/>
      <c r="S2941" s="129"/>
      <c r="T2941" s="129"/>
      <c r="W2941" s="129" t="s">
        <v>310</v>
      </c>
      <c r="X2941" s="337" t="b">
        <f t="shared" si="80"/>
        <v>0</v>
      </c>
    </row>
    <row r="2942" spans="1:24" s="337" customFormat="1" ht="12" customHeight="1" outlineLevel="1">
      <c r="A2942" s="335"/>
      <c r="B2942" s="118" t="s">
        <v>12</v>
      </c>
      <c r="C2942" s="334" t="s">
        <v>10444</v>
      </c>
      <c r="D2942" s="124" t="s">
        <v>10445</v>
      </c>
      <c r="E2942" s="125"/>
      <c r="F2942" s="118" t="s">
        <v>828</v>
      </c>
      <c r="G2942" s="126" t="s">
        <v>10304</v>
      </c>
      <c r="H2942" s="255">
        <v>5</v>
      </c>
      <c r="I2942" s="361">
        <v>1</v>
      </c>
      <c r="J2942" s="362" t="s">
        <v>286</v>
      </c>
      <c r="K2942" s="363"/>
      <c r="L2942" s="129"/>
      <c r="M2942" s="129"/>
      <c r="N2942" s="129"/>
      <c r="O2942" s="129"/>
      <c r="P2942" s="364"/>
      <c r="Q2942" s="364"/>
      <c r="R2942" s="129"/>
      <c r="S2942" s="129"/>
      <c r="T2942" s="129"/>
      <c r="W2942" s="129" t="s">
        <v>310</v>
      </c>
      <c r="X2942" s="337" t="b">
        <f t="shared" si="80"/>
        <v>0</v>
      </c>
    </row>
    <row r="2943" spans="1:24" s="337" customFormat="1" ht="12" customHeight="1" outlineLevel="1">
      <c r="A2943" s="335"/>
      <c r="B2943" s="118" t="s">
        <v>12</v>
      </c>
      <c r="C2943" s="334" t="s">
        <v>10446</v>
      </c>
      <c r="D2943" s="124" t="s">
        <v>10447</v>
      </c>
      <c r="E2943" s="125"/>
      <c r="F2943" s="118" t="s">
        <v>828</v>
      </c>
      <c r="G2943" s="126" t="s">
        <v>10304</v>
      </c>
      <c r="H2943" s="255">
        <v>5</v>
      </c>
      <c r="I2943" s="361">
        <v>1</v>
      </c>
      <c r="J2943" s="362" t="s">
        <v>286</v>
      </c>
      <c r="K2943" s="363"/>
      <c r="L2943" s="129"/>
      <c r="M2943" s="129"/>
      <c r="N2943" s="129"/>
      <c r="O2943" s="129"/>
      <c r="P2943" s="364"/>
      <c r="Q2943" s="364"/>
      <c r="R2943" s="129"/>
      <c r="S2943" s="129"/>
      <c r="T2943" s="129"/>
      <c r="W2943" s="129" t="s">
        <v>310</v>
      </c>
      <c r="X2943" s="337" t="b">
        <f t="shared" si="80"/>
        <v>0</v>
      </c>
    </row>
    <row r="2944" spans="1:24" s="337" customFormat="1" ht="12" customHeight="1" outlineLevel="1">
      <c r="A2944" s="335"/>
      <c r="B2944" s="118" t="s">
        <v>12</v>
      </c>
      <c r="C2944" s="334" t="s">
        <v>10448</v>
      </c>
      <c r="D2944" s="124" t="s">
        <v>10449</v>
      </c>
      <c r="E2944" s="125"/>
      <c r="F2944" s="118" t="s">
        <v>828</v>
      </c>
      <c r="G2944" s="126" t="s">
        <v>10304</v>
      </c>
      <c r="H2944" s="255">
        <v>5</v>
      </c>
      <c r="I2944" s="361">
        <v>1</v>
      </c>
      <c r="J2944" s="362" t="s">
        <v>286</v>
      </c>
      <c r="K2944" s="363"/>
      <c r="L2944" s="129"/>
      <c r="M2944" s="129"/>
      <c r="N2944" s="129"/>
      <c r="O2944" s="129"/>
      <c r="P2944" s="364"/>
      <c r="Q2944" s="364"/>
      <c r="R2944" s="129"/>
      <c r="S2944" s="129"/>
      <c r="T2944" s="129"/>
      <c r="W2944" s="129" t="s">
        <v>310</v>
      </c>
      <c r="X2944" s="337" t="b">
        <f t="shared" si="80"/>
        <v>0</v>
      </c>
    </row>
    <row r="2945" spans="1:24" s="337" customFormat="1" ht="12" customHeight="1" outlineLevel="1">
      <c r="A2945" s="335"/>
      <c r="B2945" s="118" t="s">
        <v>12</v>
      </c>
      <c r="C2945" s="334" t="s">
        <v>10450</v>
      </c>
      <c r="D2945" s="124" t="s">
        <v>10451</v>
      </c>
      <c r="E2945" s="125"/>
      <c r="F2945" s="118" t="s">
        <v>828</v>
      </c>
      <c r="G2945" s="126" t="s">
        <v>10304</v>
      </c>
      <c r="H2945" s="255">
        <v>5</v>
      </c>
      <c r="I2945" s="361">
        <v>1</v>
      </c>
      <c r="J2945" s="362" t="s">
        <v>286</v>
      </c>
      <c r="K2945" s="363"/>
      <c r="L2945" s="129"/>
      <c r="M2945" s="129"/>
      <c r="N2945" s="129"/>
      <c r="O2945" s="129"/>
      <c r="P2945" s="364"/>
      <c r="Q2945" s="364"/>
      <c r="R2945" s="129"/>
      <c r="S2945" s="129"/>
      <c r="T2945" s="129"/>
      <c r="W2945" s="129" t="s">
        <v>310</v>
      </c>
      <c r="X2945" s="337" t="b">
        <f t="shared" si="80"/>
        <v>0</v>
      </c>
    </row>
    <row r="2946" spans="1:24" s="337" customFormat="1" ht="12" customHeight="1" outlineLevel="1">
      <c r="A2946" s="335"/>
      <c r="B2946" s="118" t="s">
        <v>12</v>
      </c>
      <c r="C2946" s="334" t="s">
        <v>10452</v>
      </c>
      <c r="D2946" s="124" t="s">
        <v>10453</v>
      </c>
      <c r="E2946" s="125"/>
      <c r="F2946" s="118" t="s">
        <v>828</v>
      </c>
      <c r="G2946" s="126" t="s">
        <v>10304</v>
      </c>
      <c r="H2946" s="255">
        <v>5</v>
      </c>
      <c r="I2946" s="361">
        <v>1</v>
      </c>
      <c r="J2946" s="362" t="s">
        <v>286</v>
      </c>
      <c r="K2946" s="363"/>
      <c r="L2946" s="129"/>
      <c r="M2946" s="129"/>
      <c r="N2946" s="129"/>
      <c r="O2946" s="129"/>
      <c r="P2946" s="364"/>
      <c r="Q2946" s="364"/>
      <c r="R2946" s="129"/>
      <c r="S2946" s="129"/>
      <c r="T2946" s="129"/>
      <c r="W2946" s="129" t="s">
        <v>310</v>
      </c>
      <c r="X2946" s="337" t="b">
        <f t="shared" si="80"/>
        <v>0</v>
      </c>
    </row>
    <row r="2947" spans="1:24" s="337" customFormat="1" ht="12" customHeight="1" outlineLevel="1">
      <c r="A2947" s="335"/>
      <c r="B2947" s="118" t="s">
        <v>12</v>
      </c>
      <c r="C2947" s="334" t="s">
        <v>10454</v>
      </c>
      <c r="D2947" s="124" t="s">
        <v>10455</v>
      </c>
      <c r="E2947" s="125"/>
      <c r="F2947" s="118" t="s">
        <v>828</v>
      </c>
      <c r="G2947" s="126" t="s">
        <v>10304</v>
      </c>
      <c r="H2947" s="255">
        <v>5</v>
      </c>
      <c r="I2947" s="361">
        <v>1</v>
      </c>
      <c r="J2947" s="362" t="s">
        <v>286</v>
      </c>
      <c r="K2947" s="363"/>
      <c r="L2947" s="129"/>
      <c r="M2947" s="129"/>
      <c r="N2947" s="129"/>
      <c r="O2947" s="129"/>
      <c r="P2947" s="364"/>
      <c r="Q2947" s="364"/>
      <c r="R2947" s="129"/>
      <c r="S2947" s="129"/>
      <c r="T2947" s="129"/>
      <c r="W2947" s="129" t="s">
        <v>310</v>
      </c>
      <c r="X2947" s="337" t="b">
        <f t="shared" si="80"/>
        <v>0</v>
      </c>
    </row>
    <row r="2948" spans="1:24" s="337" customFormat="1" ht="12" customHeight="1" outlineLevel="1">
      <c r="A2948" s="335"/>
      <c r="B2948" s="118" t="s">
        <v>12</v>
      </c>
      <c r="C2948" s="334" t="s">
        <v>10456</v>
      </c>
      <c r="D2948" s="124" t="s">
        <v>10457</v>
      </c>
      <c r="E2948" s="125"/>
      <c r="F2948" s="118" t="s">
        <v>828</v>
      </c>
      <c r="G2948" s="126" t="s">
        <v>10304</v>
      </c>
      <c r="H2948" s="255">
        <v>5</v>
      </c>
      <c r="I2948" s="361">
        <v>1</v>
      </c>
      <c r="J2948" s="362" t="s">
        <v>286</v>
      </c>
      <c r="K2948" s="363"/>
      <c r="L2948" s="129"/>
      <c r="M2948" s="129"/>
      <c r="N2948" s="129"/>
      <c r="O2948" s="129"/>
      <c r="P2948" s="364"/>
      <c r="Q2948" s="364"/>
      <c r="R2948" s="129"/>
      <c r="S2948" s="129"/>
      <c r="T2948" s="129"/>
      <c r="W2948" s="129" t="s">
        <v>310</v>
      </c>
      <c r="X2948" s="337" t="b">
        <f t="shared" si="80"/>
        <v>0</v>
      </c>
    </row>
    <row r="2949" spans="1:24" s="337" customFormat="1" ht="12" customHeight="1" outlineLevel="1">
      <c r="A2949" s="335"/>
      <c r="B2949" s="118" t="s">
        <v>12</v>
      </c>
      <c r="C2949" s="334" t="s">
        <v>10458</v>
      </c>
      <c r="D2949" s="124" t="s">
        <v>10459</v>
      </c>
      <c r="E2949" s="125"/>
      <c r="F2949" s="118" t="s">
        <v>828</v>
      </c>
      <c r="G2949" s="126" t="s">
        <v>10304</v>
      </c>
      <c r="H2949" s="255">
        <v>5</v>
      </c>
      <c r="I2949" s="361">
        <v>1</v>
      </c>
      <c r="J2949" s="362" t="s">
        <v>286</v>
      </c>
      <c r="K2949" s="363"/>
      <c r="L2949" s="129"/>
      <c r="M2949" s="129"/>
      <c r="N2949" s="129"/>
      <c r="O2949" s="129"/>
      <c r="P2949" s="364"/>
      <c r="Q2949" s="364"/>
      <c r="R2949" s="129"/>
      <c r="S2949" s="129"/>
      <c r="T2949" s="129"/>
      <c r="W2949" s="129" t="s">
        <v>310</v>
      </c>
      <c r="X2949" s="337" t="b">
        <f t="shared" si="80"/>
        <v>0</v>
      </c>
    </row>
    <row r="2950" spans="1:24" s="337" customFormat="1" ht="12" customHeight="1" outlineLevel="1">
      <c r="A2950" s="335"/>
      <c r="B2950" s="118" t="s">
        <v>12</v>
      </c>
      <c r="C2950" s="334" t="s">
        <v>10460</v>
      </c>
      <c r="D2950" s="124" t="s">
        <v>10461</v>
      </c>
      <c r="E2950" s="125"/>
      <c r="F2950" s="118" t="s">
        <v>828</v>
      </c>
      <c r="G2950" s="126" t="s">
        <v>10304</v>
      </c>
      <c r="H2950" s="255">
        <v>5</v>
      </c>
      <c r="I2950" s="361">
        <v>1</v>
      </c>
      <c r="J2950" s="362" t="s">
        <v>286</v>
      </c>
      <c r="K2950" s="363"/>
      <c r="L2950" s="129"/>
      <c r="M2950" s="129"/>
      <c r="N2950" s="129"/>
      <c r="O2950" s="129"/>
      <c r="P2950" s="364"/>
      <c r="Q2950" s="364"/>
      <c r="R2950" s="129"/>
      <c r="S2950" s="129"/>
      <c r="T2950" s="129"/>
      <c r="W2950" s="129" t="s">
        <v>310</v>
      </c>
      <c r="X2950" s="337" t="b">
        <f t="shared" si="80"/>
        <v>0</v>
      </c>
    </row>
    <row r="2951" spans="1:24" s="337" customFormat="1" ht="12" customHeight="1" outlineLevel="1">
      <c r="A2951" s="335"/>
      <c r="B2951" s="118" t="s">
        <v>12</v>
      </c>
      <c r="C2951" s="334" t="s">
        <v>10462</v>
      </c>
      <c r="D2951" s="124" t="s">
        <v>10463</v>
      </c>
      <c r="E2951" s="125"/>
      <c r="F2951" s="118" t="s">
        <v>828</v>
      </c>
      <c r="G2951" s="126" t="s">
        <v>10304</v>
      </c>
      <c r="H2951" s="255">
        <v>5</v>
      </c>
      <c r="I2951" s="361">
        <v>1</v>
      </c>
      <c r="J2951" s="362" t="s">
        <v>286</v>
      </c>
      <c r="K2951" s="363"/>
      <c r="L2951" s="129"/>
      <c r="M2951" s="129"/>
      <c r="N2951" s="129"/>
      <c r="O2951" s="129"/>
      <c r="P2951" s="364"/>
      <c r="Q2951" s="364"/>
      <c r="R2951" s="129"/>
      <c r="S2951" s="129"/>
      <c r="T2951" s="129"/>
      <c r="W2951" s="129" t="s">
        <v>310</v>
      </c>
      <c r="X2951" s="337" t="b">
        <f t="shared" si="80"/>
        <v>0</v>
      </c>
    </row>
    <row r="2952" spans="1:24" s="337" customFormat="1" ht="12" customHeight="1" outlineLevel="1">
      <c r="A2952" s="335"/>
      <c r="B2952" s="118" t="s">
        <v>12</v>
      </c>
      <c r="C2952" s="334" t="s">
        <v>10464</v>
      </c>
      <c r="D2952" s="124" t="s">
        <v>10465</v>
      </c>
      <c r="E2952" s="125"/>
      <c r="F2952" s="118" t="s">
        <v>828</v>
      </c>
      <c r="G2952" s="126" t="s">
        <v>10304</v>
      </c>
      <c r="H2952" s="255">
        <v>5</v>
      </c>
      <c r="I2952" s="361">
        <v>1</v>
      </c>
      <c r="J2952" s="362" t="s">
        <v>286</v>
      </c>
      <c r="K2952" s="363"/>
      <c r="L2952" s="129"/>
      <c r="M2952" s="129"/>
      <c r="N2952" s="129"/>
      <c r="O2952" s="129"/>
      <c r="P2952" s="364"/>
      <c r="Q2952" s="364"/>
      <c r="R2952" s="129"/>
      <c r="S2952" s="129"/>
      <c r="T2952" s="129"/>
      <c r="W2952" s="129" t="s">
        <v>310</v>
      </c>
      <c r="X2952" s="337" t="b">
        <f t="shared" si="80"/>
        <v>0</v>
      </c>
    </row>
    <row r="2953" spans="1:24" s="337" customFormat="1" ht="12" customHeight="1" outlineLevel="1">
      <c r="A2953" s="335"/>
      <c r="B2953" s="118" t="s">
        <v>12</v>
      </c>
      <c r="C2953" s="334" t="s">
        <v>10466</v>
      </c>
      <c r="D2953" s="124" t="s">
        <v>10467</v>
      </c>
      <c r="E2953" s="125"/>
      <c r="F2953" s="118" t="s">
        <v>828</v>
      </c>
      <c r="G2953" s="126" t="s">
        <v>10304</v>
      </c>
      <c r="H2953" s="255">
        <v>5</v>
      </c>
      <c r="I2953" s="361">
        <v>1</v>
      </c>
      <c r="J2953" s="362" t="s">
        <v>286</v>
      </c>
      <c r="K2953" s="363"/>
      <c r="L2953" s="129"/>
      <c r="M2953" s="129"/>
      <c r="N2953" s="129"/>
      <c r="O2953" s="129"/>
      <c r="P2953" s="364"/>
      <c r="Q2953" s="364"/>
      <c r="R2953" s="129"/>
      <c r="S2953" s="129"/>
      <c r="T2953" s="129"/>
      <c r="W2953" s="129" t="s">
        <v>310</v>
      </c>
      <c r="X2953" s="337" t="b">
        <f t="shared" si="80"/>
        <v>0</v>
      </c>
    </row>
    <row r="2954" spans="1:24" s="337" customFormat="1" ht="12" customHeight="1" outlineLevel="1">
      <c r="A2954" s="335"/>
      <c r="B2954" s="118" t="s">
        <v>12</v>
      </c>
      <c r="C2954" s="334" t="s">
        <v>10468</v>
      </c>
      <c r="D2954" s="124" t="s">
        <v>10469</v>
      </c>
      <c r="E2954" s="125"/>
      <c r="F2954" s="118" t="s">
        <v>828</v>
      </c>
      <c r="G2954" s="126" t="s">
        <v>10304</v>
      </c>
      <c r="H2954" s="255">
        <v>5</v>
      </c>
      <c r="I2954" s="361">
        <v>1</v>
      </c>
      <c r="J2954" s="362" t="s">
        <v>286</v>
      </c>
      <c r="K2954" s="363"/>
      <c r="L2954" s="129"/>
      <c r="M2954" s="129"/>
      <c r="N2954" s="129"/>
      <c r="O2954" s="129"/>
      <c r="P2954" s="364"/>
      <c r="Q2954" s="364"/>
      <c r="R2954" s="129"/>
      <c r="S2954" s="129"/>
      <c r="T2954" s="129"/>
      <c r="W2954" s="129" t="s">
        <v>310</v>
      </c>
      <c r="X2954" s="337" t="b">
        <f t="shared" si="80"/>
        <v>0</v>
      </c>
    </row>
    <row r="2955" spans="1:24" s="337" customFormat="1" ht="12" customHeight="1" outlineLevel="1">
      <c r="A2955" s="335"/>
      <c r="B2955" s="118" t="s">
        <v>12</v>
      </c>
      <c r="C2955" s="334" t="s">
        <v>10470</v>
      </c>
      <c r="D2955" s="124" t="s">
        <v>10471</v>
      </c>
      <c r="E2955" s="125"/>
      <c r="F2955" s="118" t="s">
        <v>828</v>
      </c>
      <c r="G2955" s="126" t="s">
        <v>10304</v>
      </c>
      <c r="H2955" s="255">
        <v>5</v>
      </c>
      <c r="I2955" s="361">
        <v>1</v>
      </c>
      <c r="J2955" s="362" t="s">
        <v>286</v>
      </c>
      <c r="K2955" s="363"/>
      <c r="L2955" s="129"/>
      <c r="M2955" s="129"/>
      <c r="N2955" s="129"/>
      <c r="O2955" s="129"/>
      <c r="P2955" s="364"/>
      <c r="Q2955" s="364"/>
      <c r="R2955" s="129"/>
      <c r="S2955" s="129"/>
      <c r="T2955" s="129"/>
      <c r="W2955" s="129" t="s">
        <v>310</v>
      </c>
      <c r="X2955" s="337" t="b">
        <f t="shared" si="80"/>
        <v>0</v>
      </c>
    </row>
    <row r="2956" spans="1:24" s="337" customFormat="1" ht="12" customHeight="1" outlineLevel="1">
      <c r="A2956" s="335"/>
      <c r="B2956" s="118" t="s">
        <v>12</v>
      </c>
      <c r="C2956" s="334" t="s">
        <v>10472</v>
      </c>
      <c r="D2956" s="124" t="s">
        <v>10473</v>
      </c>
      <c r="E2956" s="125"/>
      <c r="F2956" s="118" t="s">
        <v>828</v>
      </c>
      <c r="G2956" s="126" t="s">
        <v>10304</v>
      </c>
      <c r="H2956" s="255">
        <v>5</v>
      </c>
      <c r="I2956" s="361">
        <v>1</v>
      </c>
      <c r="J2956" s="362" t="s">
        <v>286</v>
      </c>
      <c r="K2956" s="363"/>
      <c r="L2956" s="129"/>
      <c r="M2956" s="129"/>
      <c r="N2956" s="129"/>
      <c r="O2956" s="129"/>
      <c r="P2956" s="364"/>
      <c r="Q2956" s="364"/>
      <c r="R2956" s="129"/>
      <c r="S2956" s="129"/>
      <c r="T2956" s="129"/>
      <c r="W2956" s="129" t="s">
        <v>310</v>
      </c>
      <c r="X2956" s="337" t="b">
        <f t="shared" si="80"/>
        <v>0</v>
      </c>
    </row>
    <row r="2957" spans="1:24" s="337" customFormat="1" ht="12" customHeight="1" outlineLevel="1">
      <c r="A2957" s="335"/>
      <c r="B2957" s="118" t="s">
        <v>12</v>
      </c>
      <c r="C2957" s="334" t="s">
        <v>10474</v>
      </c>
      <c r="D2957" s="124" t="s">
        <v>10475</v>
      </c>
      <c r="E2957" s="125"/>
      <c r="F2957" s="118" t="s">
        <v>828</v>
      </c>
      <c r="G2957" s="126" t="s">
        <v>10304</v>
      </c>
      <c r="H2957" s="255">
        <v>5</v>
      </c>
      <c r="I2957" s="361">
        <v>1</v>
      </c>
      <c r="J2957" s="362" t="s">
        <v>286</v>
      </c>
      <c r="K2957" s="363"/>
      <c r="L2957" s="129"/>
      <c r="M2957" s="129"/>
      <c r="N2957" s="129"/>
      <c r="O2957" s="129"/>
      <c r="P2957" s="364"/>
      <c r="Q2957" s="364"/>
      <c r="R2957" s="129"/>
      <c r="S2957" s="129"/>
      <c r="T2957" s="129"/>
      <c r="W2957" s="129" t="s">
        <v>310</v>
      </c>
      <c r="X2957" s="337" t="b">
        <f t="shared" si="80"/>
        <v>0</v>
      </c>
    </row>
    <row r="2958" spans="1:24" s="337" customFormat="1" ht="12" customHeight="1" outlineLevel="1">
      <c r="A2958" s="335"/>
      <c r="B2958" s="118" t="s">
        <v>12</v>
      </c>
      <c r="C2958" s="334" t="s">
        <v>10476</v>
      </c>
      <c r="D2958" s="124" t="s">
        <v>10477</v>
      </c>
      <c r="E2958" s="125"/>
      <c r="F2958" s="118" t="s">
        <v>828</v>
      </c>
      <c r="G2958" s="126" t="s">
        <v>10304</v>
      </c>
      <c r="H2958" s="255">
        <v>5</v>
      </c>
      <c r="I2958" s="361">
        <v>1</v>
      </c>
      <c r="J2958" s="362" t="s">
        <v>286</v>
      </c>
      <c r="K2958" s="363"/>
      <c r="L2958" s="129"/>
      <c r="M2958" s="129"/>
      <c r="N2958" s="129"/>
      <c r="O2958" s="129"/>
      <c r="P2958" s="364"/>
      <c r="Q2958" s="364"/>
      <c r="R2958" s="129"/>
      <c r="S2958" s="129"/>
      <c r="T2958" s="129"/>
      <c r="W2958" s="129" t="s">
        <v>310</v>
      </c>
      <c r="X2958" s="337" t="b">
        <f t="shared" si="80"/>
        <v>0</v>
      </c>
    </row>
    <row r="2959" spans="1:24" s="337" customFormat="1" ht="12" customHeight="1" outlineLevel="1">
      <c r="A2959" s="335"/>
      <c r="B2959" s="118" t="s">
        <v>12</v>
      </c>
      <c r="C2959" s="334" t="s">
        <v>10478</v>
      </c>
      <c r="D2959" s="124" t="s">
        <v>10479</v>
      </c>
      <c r="E2959" s="125"/>
      <c r="F2959" s="118" t="s">
        <v>828</v>
      </c>
      <c r="G2959" s="126" t="s">
        <v>10304</v>
      </c>
      <c r="H2959" s="255">
        <v>5</v>
      </c>
      <c r="I2959" s="361">
        <v>1</v>
      </c>
      <c r="J2959" s="362" t="s">
        <v>286</v>
      </c>
      <c r="K2959" s="363"/>
      <c r="L2959" s="129"/>
      <c r="M2959" s="129"/>
      <c r="N2959" s="129"/>
      <c r="O2959" s="129"/>
      <c r="P2959" s="364"/>
      <c r="Q2959" s="364"/>
      <c r="R2959" s="129"/>
      <c r="S2959" s="129"/>
      <c r="T2959" s="129"/>
      <c r="W2959" s="129" t="s">
        <v>310</v>
      </c>
      <c r="X2959" s="337" t="b">
        <f t="shared" si="80"/>
        <v>0</v>
      </c>
    </row>
    <row r="2960" spans="1:24" s="337" customFormat="1" ht="12" customHeight="1" outlineLevel="1">
      <c r="A2960" s="335"/>
      <c r="B2960" s="118" t="s">
        <v>12</v>
      </c>
      <c r="C2960" s="334" t="s">
        <v>10480</v>
      </c>
      <c r="D2960" s="124" t="s">
        <v>10481</v>
      </c>
      <c r="E2960" s="125"/>
      <c r="F2960" s="118" t="s">
        <v>828</v>
      </c>
      <c r="G2960" s="126" t="s">
        <v>10304</v>
      </c>
      <c r="H2960" s="255">
        <v>5</v>
      </c>
      <c r="I2960" s="361">
        <v>1</v>
      </c>
      <c r="J2960" s="362" t="s">
        <v>286</v>
      </c>
      <c r="K2960" s="363"/>
      <c r="L2960" s="129"/>
      <c r="M2960" s="129"/>
      <c r="N2960" s="129"/>
      <c r="O2960" s="129"/>
      <c r="P2960" s="364"/>
      <c r="Q2960" s="364"/>
      <c r="R2960" s="129"/>
      <c r="S2960" s="129"/>
      <c r="T2960" s="129"/>
      <c r="W2960" s="129" t="s">
        <v>310</v>
      </c>
      <c r="X2960" s="337" t="b">
        <f t="shared" si="80"/>
        <v>0</v>
      </c>
    </row>
    <row r="2961" spans="1:24" s="337" customFormat="1" ht="12" customHeight="1" outlineLevel="1">
      <c r="A2961" s="335"/>
      <c r="B2961" s="118" t="s">
        <v>12</v>
      </c>
      <c r="C2961" s="334" t="s">
        <v>10482</v>
      </c>
      <c r="D2961" s="124" t="s">
        <v>10483</v>
      </c>
      <c r="E2961" s="125"/>
      <c r="F2961" s="118" t="s">
        <v>828</v>
      </c>
      <c r="G2961" s="126" t="s">
        <v>10304</v>
      </c>
      <c r="H2961" s="255">
        <v>5</v>
      </c>
      <c r="I2961" s="361">
        <v>1</v>
      </c>
      <c r="J2961" s="362" t="s">
        <v>286</v>
      </c>
      <c r="K2961" s="363"/>
      <c r="L2961" s="129"/>
      <c r="M2961" s="129"/>
      <c r="N2961" s="129"/>
      <c r="O2961" s="129"/>
      <c r="P2961" s="364"/>
      <c r="Q2961" s="364"/>
      <c r="R2961" s="129"/>
      <c r="S2961" s="129"/>
      <c r="T2961" s="129"/>
      <c r="W2961" s="129" t="s">
        <v>310</v>
      </c>
      <c r="X2961" s="337" t="b">
        <f t="shared" si="80"/>
        <v>0</v>
      </c>
    </row>
    <row r="2962" spans="1:24" s="337" customFormat="1" ht="12" customHeight="1" outlineLevel="1">
      <c r="A2962" s="335"/>
      <c r="B2962" s="118" t="s">
        <v>12</v>
      </c>
      <c r="C2962" s="334" t="s">
        <v>10484</v>
      </c>
      <c r="D2962" s="124" t="s">
        <v>10485</v>
      </c>
      <c r="E2962" s="125"/>
      <c r="F2962" s="118" t="s">
        <v>828</v>
      </c>
      <c r="G2962" s="126" t="s">
        <v>10304</v>
      </c>
      <c r="H2962" s="255">
        <v>5</v>
      </c>
      <c r="I2962" s="361">
        <v>1</v>
      </c>
      <c r="J2962" s="362" t="s">
        <v>286</v>
      </c>
      <c r="K2962" s="363"/>
      <c r="L2962" s="129"/>
      <c r="M2962" s="129"/>
      <c r="N2962" s="129"/>
      <c r="O2962" s="129"/>
      <c r="P2962" s="364"/>
      <c r="Q2962" s="364"/>
      <c r="R2962" s="129"/>
      <c r="S2962" s="129"/>
      <c r="T2962" s="129"/>
      <c r="W2962" s="129" t="s">
        <v>286</v>
      </c>
      <c r="X2962" s="337" t="b">
        <f t="shared" si="80"/>
        <v>1</v>
      </c>
    </row>
    <row r="2963" spans="1:24" s="337" customFormat="1" ht="12" customHeight="1" outlineLevel="1">
      <c r="A2963" s="335"/>
      <c r="B2963" s="118" t="s">
        <v>12</v>
      </c>
      <c r="C2963" s="334" t="s">
        <v>10486</v>
      </c>
      <c r="D2963" s="124" t="s">
        <v>10487</v>
      </c>
      <c r="E2963" s="125"/>
      <c r="F2963" s="118" t="s">
        <v>828</v>
      </c>
      <c r="G2963" s="126" t="s">
        <v>10304</v>
      </c>
      <c r="H2963" s="255">
        <v>5</v>
      </c>
      <c r="I2963" s="361">
        <v>1</v>
      </c>
      <c r="J2963" s="362" t="s">
        <v>286</v>
      </c>
      <c r="K2963" s="363"/>
      <c r="L2963" s="129"/>
      <c r="M2963" s="129"/>
      <c r="N2963" s="129"/>
      <c r="O2963" s="129"/>
      <c r="P2963" s="364"/>
      <c r="Q2963" s="364"/>
      <c r="R2963" s="129"/>
      <c r="S2963" s="129"/>
      <c r="T2963" s="129"/>
      <c r="W2963" s="129" t="s">
        <v>286</v>
      </c>
      <c r="X2963" s="337" t="b">
        <f t="shared" ref="X2963:X3026" si="81">W2963=J2963</f>
        <v>1</v>
      </c>
    </row>
    <row r="2964" spans="1:24" s="337" customFormat="1" ht="12" customHeight="1" outlineLevel="1">
      <c r="A2964" s="335"/>
      <c r="B2964" s="118" t="s">
        <v>12</v>
      </c>
      <c r="C2964" s="334" t="s">
        <v>10488</v>
      </c>
      <c r="D2964" s="124" t="s">
        <v>10489</v>
      </c>
      <c r="E2964" s="125"/>
      <c r="F2964" s="118" t="s">
        <v>828</v>
      </c>
      <c r="G2964" s="126" t="s">
        <v>10304</v>
      </c>
      <c r="H2964" s="255">
        <v>5</v>
      </c>
      <c r="I2964" s="361">
        <v>1</v>
      </c>
      <c r="J2964" s="362" t="s">
        <v>286</v>
      </c>
      <c r="K2964" s="363"/>
      <c r="L2964" s="129"/>
      <c r="M2964" s="129"/>
      <c r="N2964" s="129"/>
      <c r="O2964" s="129"/>
      <c r="P2964" s="364"/>
      <c r="Q2964" s="364"/>
      <c r="R2964" s="129"/>
      <c r="S2964" s="129"/>
      <c r="T2964" s="129"/>
      <c r="W2964" s="129" t="s">
        <v>286</v>
      </c>
      <c r="X2964" s="337" t="b">
        <f t="shared" si="81"/>
        <v>1</v>
      </c>
    </row>
    <row r="2965" spans="1:24" s="337" customFormat="1" ht="12" customHeight="1" outlineLevel="1">
      <c r="A2965" s="335"/>
      <c r="B2965" s="118" t="s">
        <v>12</v>
      </c>
      <c r="C2965" s="334" t="s">
        <v>10490</v>
      </c>
      <c r="D2965" s="124" t="s">
        <v>10491</v>
      </c>
      <c r="E2965" s="125"/>
      <c r="F2965" s="118" t="s">
        <v>828</v>
      </c>
      <c r="G2965" s="126" t="s">
        <v>10304</v>
      </c>
      <c r="H2965" s="255">
        <v>5</v>
      </c>
      <c r="I2965" s="361">
        <v>1</v>
      </c>
      <c r="J2965" s="362" t="s">
        <v>286</v>
      </c>
      <c r="K2965" s="363"/>
      <c r="L2965" s="129"/>
      <c r="M2965" s="129"/>
      <c r="N2965" s="129"/>
      <c r="O2965" s="129"/>
      <c r="P2965" s="364"/>
      <c r="Q2965" s="364"/>
      <c r="R2965" s="129"/>
      <c r="S2965" s="129"/>
      <c r="T2965" s="129"/>
      <c r="W2965" s="129" t="s">
        <v>286</v>
      </c>
      <c r="X2965" s="337" t="b">
        <f t="shared" si="81"/>
        <v>1</v>
      </c>
    </row>
    <row r="2966" spans="1:24" s="337" customFormat="1" ht="12" customHeight="1" outlineLevel="1">
      <c r="A2966" s="335"/>
      <c r="B2966" s="118" t="s">
        <v>12</v>
      </c>
      <c r="C2966" s="334" t="s">
        <v>10492</v>
      </c>
      <c r="D2966" s="124" t="s">
        <v>10493</v>
      </c>
      <c r="E2966" s="125"/>
      <c r="F2966" s="118" t="s">
        <v>828</v>
      </c>
      <c r="G2966" s="126" t="s">
        <v>10304</v>
      </c>
      <c r="H2966" s="255">
        <v>5</v>
      </c>
      <c r="I2966" s="361">
        <v>1</v>
      </c>
      <c r="J2966" s="362" t="s">
        <v>286</v>
      </c>
      <c r="K2966" s="363"/>
      <c r="L2966" s="129"/>
      <c r="M2966" s="129"/>
      <c r="N2966" s="129"/>
      <c r="O2966" s="129"/>
      <c r="P2966" s="364"/>
      <c r="Q2966" s="364"/>
      <c r="R2966" s="129"/>
      <c r="S2966" s="129"/>
      <c r="T2966" s="129"/>
      <c r="W2966" s="129" t="s">
        <v>286</v>
      </c>
      <c r="X2966" s="337" t="b">
        <f t="shared" si="81"/>
        <v>1</v>
      </c>
    </row>
    <row r="2967" spans="1:24" s="337" customFormat="1" ht="12" customHeight="1" outlineLevel="1">
      <c r="A2967" s="335"/>
      <c r="B2967" s="118" t="s">
        <v>12</v>
      </c>
      <c r="C2967" s="334" t="s">
        <v>10494</v>
      </c>
      <c r="D2967" s="124" t="s">
        <v>10495</v>
      </c>
      <c r="E2967" s="125"/>
      <c r="F2967" s="118" t="s">
        <v>828</v>
      </c>
      <c r="G2967" s="126" t="s">
        <v>10304</v>
      </c>
      <c r="H2967" s="255">
        <v>5</v>
      </c>
      <c r="I2967" s="361">
        <v>1</v>
      </c>
      <c r="J2967" s="362" t="s">
        <v>286</v>
      </c>
      <c r="K2967" s="363"/>
      <c r="L2967" s="129"/>
      <c r="M2967" s="129"/>
      <c r="N2967" s="129"/>
      <c r="O2967" s="129"/>
      <c r="P2967" s="364"/>
      <c r="Q2967" s="364"/>
      <c r="R2967" s="129"/>
      <c r="S2967" s="129"/>
      <c r="T2967" s="129"/>
      <c r="W2967" s="129" t="s">
        <v>286</v>
      </c>
      <c r="X2967" s="337" t="b">
        <f t="shared" si="81"/>
        <v>1</v>
      </c>
    </row>
    <row r="2968" spans="1:24" s="337" customFormat="1" ht="12" customHeight="1" outlineLevel="1">
      <c r="A2968" s="335"/>
      <c r="B2968" s="118" t="s">
        <v>12</v>
      </c>
      <c r="C2968" s="334" t="s">
        <v>10496</v>
      </c>
      <c r="D2968" s="124" t="s">
        <v>10497</v>
      </c>
      <c r="E2968" s="125"/>
      <c r="F2968" s="118" t="s">
        <v>828</v>
      </c>
      <c r="G2968" s="126" t="s">
        <v>10304</v>
      </c>
      <c r="H2968" s="255">
        <v>5</v>
      </c>
      <c r="I2968" s="361">
        <v>1</v>
      </c>
      <c r="J2968" s="362" t="s">
        <v>286</v>
      </c>
      <c r="K2968" s="363"/>
      <c r="L2968" s="129"/>
      <c r="M2968" s="129"/>
      <c r="N2968" s="129"/>
      <c r="O2968" s="129"/>
      <c r="P2968" s="364"/>
      <c r="Q2968" s="364"/>
      <c r="R2968" s="129"/>
      <c r="S2968" s="129"/>
      <c r="T2968" s="129"/>
      <c r="W2968" s="129" t="s">
        <v>286</v>
      </c>
      <c r="X2968" s="337" t="b">
        <f t="shared" si="81"/>
        <v>1</v>
      </c>
    </row>
    <row r="2969" spans="1:24" s="337" customFormat="1" ht="12" customHeight="1" outlineLevel="1">
      <c r="A2969" s="335"/>
      <c r="B2969" s="118" t="s">
        <v>12</v>
      </c>
      <c r="C2969" s="334" t="s">
        <v>10498</v>
      </c>
      <c r="D2969" s="124" t="s">
        <v>10499</v>
      </c>
      <c r="E2969" s="125"/>
      <c r="F2969" s="118" t="s">
        <v>828</v>
      </c>
      <c r="G2969" s="126" t="s">
        <v>10304</v>
      </c>
      <c r="H2969" s="255">
        <v>5</v>
      </c>
      <c r="I2969" s="361">
        <v>1</v>
      </c>
      <c r="J2969" s="362" t="s">
        <v>286</v>
      </c>
      <c r="K2969" s="363"/>
      <c r="L2969" s="129"/>
      <c r="M2969" s="129"/>
      <c r="N2969" s="129"/>
      <c r="O2969" s="129"/>
      <c r="P2969" s="364"/>
      <c r="Q2969" s="364"/>
      <c r="R2969" s="129"/>
      <c r="S2969" s="129"/>
      <c r="T2969" s="129"/>
      <c r="W2969" s="129" t="s">
        <v>286</v>
      </c>
      <c r="X2969" s="337" t="b">
        <f t="shared" si="81"/>
        <v>1</v>
      </c>
    </row>
    <row r="2970" spans="1:24" s="337" customFormat="1" ht="12" customHeight="1" outlineLevel="1">
      <c r="A2970" s="335"/>
      <c r="B2970" s="118" t="s">
        <v>12</v>
      </c>
      <c r="C2970" s="334" t="s">
        <v>10500</v>
      </c>
      <c r="D2970" s="124" t="s">
        <v>10501</v>
      </c>
      <c r="E2970" s="125"/>
      <c r="F2970" s="118" t="s">
        <v>828</v>
      </c>
      <c r="G2970" s="126" t="s">
        <v>10304</v>
      </c>
      <c r="H2970" s="255">
        <v>5</v>
      </c>
      <c r="I2970" s="361">
        <v>1</v>
      </c>
      <c r="J2970" s="362" t="s">
        <v>286</v>
      </c>
      <c r="K2970" s="363"/>
      <c r="L2970" s="129"/>
      <c r="M2970" s="129"/>
      <c r="N2970" s="129"/>
      <c r="O2970" s="129"/>
      <c r="P2970" s="364"/>
      <c r="Q2970" s="364"/>
      <c r="R2970" s="129"/>
      <c r="S2970" s="129"/>
      <c r="T2970" s="129"/>
      <c r="W2970" s="129" t="s">
        <v>286</v>
      </c>
      <c r="X2970" s="337" t="b">
        <f t="shared" si="81"/>
        <v>1</v>
      </c>
    </row>
    <row r="2971" spans="1:24" s="337" customFormat="1" ht="12" customHeight="1" outlineLevel="1">
      <c r="A2971" s="335"/>
      <c r="B2971" s="118" t="s">
        <v>12</v>
      </c>
      <c r="C2971" s="334" t="s">
        <v>10502</v>
      </c>
      <c r="D2971" s="124" t="s">
        <v>10503</v>
      </c>
      <c r="E2971" s="125"/>
      <c r="F2971" s="118" t="s">
        <v>828</v>
      </c>
      <c r="G2971" s="126" t="s">
        <v>10304</v>
      </c>
      <c r="H2971" s="255">
        <v>5</v>
      </c>
      <c r="I2971" s="361">
        <v>1</v>
      </c>
      <c r="J2971" s="362" t="s">
        <v>286</v>
      </c>
      <c r="K2971" s="363"/>
      <c r="L2971" s="129"/>
      <c r="M2971" s="129"/>
      <c r="N2971" s="129"/>
      <c r="O2971" s="129"/>
      <c r="P2971" s="364"/>
      <c r="Q2971" s="364"/>
      <c r="R2971" s="129"/>
      <c r="S2971" s="129"/>
      <c r="T2971" s="129"/>
      <c r="W2971" s="129" t="s">
        <v>286</v>
      </c>
      <c r="X2971" s="337" t="b">
        <f t="shared" si="81"/>
        <v>1</v>
      </c>
    </row>
    <row r="2972" spans="1:24" s="337" customFormat="1" ht="12" customHeight="1" outlineLevel="1">
      <c r="A2972" s="335"/>
      <c r="B2972" s="118" t="s">
        <v>12</v>
      </c>
      <c r="C2972" s="334" t="s">
        <v>10504</v>
      </c>
      <c r="D2972" s="124" t="s">
        <v>10505</v>
      </c>
      <c r="E2972" s="125"/>
      <c r="F2972" s="118" t="s">
        <v>828</v>
      </c>
      <c r="G2972" s="126" t="s">
        <v>10304</v>
      </c>
      <c r="H2972" s="255">
        <v>5</v>
      </c>
      <c r="I2972" s="361">
        <v>1</v>
      </c>
      <c r="J2972" s="362" t="s">
        <v>286</v>
      </c>
      <c r="K2972" s="363"/>
      <c r="L2972" s="129"/>
      <c r="M2972" s="129"/>
      <c r="N2972" s="129"/>
      <c r="O2972" s="129"/>
      <c r="P2972" s="364"/>
      <c r="Q2972" s="364"/>
      <c r="R2972" s="129"/>
      <c r="S2972" s="129"/>
      <c r="T2972" s="129"/>
      <c r="W2972" s="129" t="s">
        <v>286</v>
      </c>
      <c r="X2972" s="337" t="b">
        <f t="shared" si="81"/>
        <v>1</v>
      </c>
    </row>
    <row r="2973" spans="1:24" s="337" customFormat="1" ht="12" customHeight="1" outlineLevel="1">
      <c r="A2973" s="335"/>
      <c r="B2973" s="118" t="s">
        <v>12</v>
      </c>
      <c r="C2973" s="334" t="s">
        <v>10506</v>
      </c>
      <c r="D2973" s="124" t="s">
        <v>10507</v>
      </c>
      <c r="E2973" s="125"/>
      <c r="F2973" s="118" t="s">
        <v>828</v>
      </c>
      <c r="G2973" s="126" t="s">
        <v>10304</v>
      </c>
      <c r="H2973" s="255">
        <v>5</v>
      </c>
      <c r="I2973" s="361">
        <v>1</v>
      </c>
      <c r="J2973" s="362" t="s">
        <v>286</v>
      </c>
      <c r="K2973" s="363"/>
      <c r="L2973" s="129"/>
      <c r="M2973" s="129"/>
      <c r="N2973" s="129"/>
      <c r="O2973" s="129"/>
      <c r="P2973" s="364"/>
      <c r="Q2973" s="364"/>
      <c r="R2973" s="129"/>
      <c r="S2973" s="129"/>
      <c r="T2973" s="129"/>
      <c r="W2973" s="129" t="s">
        <v>286</v>
      </c>
      <c r="X2973" s="337" t="b">
        <f t="shared" si="81"/>
        <v>1</v>
      </c>
    </row>
    <row r="2974" spans="1:24" s="337" customFormat="1" ht="12" customHeight="1" outlineLevel="1">
      <c r="A2974" s="335"/>
      <c r="B2974" s="118" t="s">
        <v>12</v>
      </c>
      <c r="C2974" s="334" t="s">
        <v>10508</v>
      </c>
      <c r="D2974" s="124" t="s">
        <v>10509</v>
      </c>
      <c r="E2974" s="125"/>
      <c r="F2974" s="118" t="s">
        <v>828</v>
      </c>
      <c r="G2974" s="126" t="s">
        <v>10304</v>
      </c>
      <c r="H2974" s="255">
        <v>5</v>
      </c>
      <c r="I2974" s="361">
        <v>1</v>
      </c>
      <c r="J2974" s="362" t="s">
        <v>286</v>
      </c>
      <c r="K2974" s="363"/>
      <c r="L2974" s="129"/>
      <c r="M2974" s="129"/>
      <c r="N2974" s="129"/>
      <c r="O2974" s="129"/>
      <c r="P2974" s="364"/>
      <c r="Q2974" s="364"/>
      <c r="R2974" s="129"/>
      <c r="S2974" s="129"/>
      <c r="T2974" s="129"/>
      <c r="W2974" s="129" t="s">
        <v>286</v>
      </c>
      <c r="X2974" s="337" t="b">
        <f t="shared" si="81"/>
        <v>1</v>
      </c>
    </row>
    <row r="2975" spans="1:24" s="337" customFormat="1" ht="12" customHeight="1" outlineLevel="1">
      <c r="A2975" s="335"/>
      <c r="B2975" s="118" t="s">
        <v>12</v>
      </c>
      <c r="C2975" s="334" t="s">
        <v>10510</v>
      </c>
      <c r="D2975" s="124" t="s">
        <v>10511</v>
      </c>
      <c r="E2975" s="125"/>
      <c r="F2975" s="118" t="s">
        <v>828</v>
      </c>
      <c r="G2975" s="126" t="s">
        <v>10304</v>
      </c>
      <c r="H2975" s="255">
        <v>5</v>
      </c>
      <c r="I2975" s="361">
        <v>1</v>
      </c>
      <c r="J2975" s="362" t="s">
        <v>286</v>
      </c>
      <c r="K2975" s="363"/>
      <c r="L2975" s="129"/>
      <c r="M2975" s="129"/>
      <c r="N2975" s="129"/>
      <c r="O2975" s="129"/>
      <c r="P2975" s="364"/>
      <c r="Q2975" s="364"/>
      <c r="R2975" s="129"/>
      <c r="S2975" s="129"/>
      <c r="T2975" s="129"/>
      <c r="W2975" s="129" t="s">
        <v>286</v>
      </c>
      <c r="X2975" s="337" t="b">
        <f t="shared" si="81"/>
        <v>1</v>
      </c>
    </row>
    <row r="2976" spans="1:24" s="337" customFormat="1" ht="12" customHeight="1" outlineLevel="1">
      <c r="A2976" s="335"/>
      <c r="B2976" s="118" t="s">
        <v>12</v>
      </c>
      <c r="C2976" s="334" t="s">
        <v>10512</v>
      </c>
      <c r="D2976" s="124" t="s">
        <v>10513</v>
      </c>
      <c r="E2976" s="125"/>
      <c r="F2976" s="118" t="s">
        <v>828</v>
      </c>
      <c r="G2976" s="126" t="s">
        <v>10304</v>
      </c>
      <c r="H2976" s="255">
        <v>5</v>
      </c>
      <c r="I2976" s="361">
        <v>1</v>
      </c>
      <c r="J2976" s="362" t="s">
        <v>286</v>
      </c>
      <c r="K2976" s="363"/>
      <c r="L2976" s="129"/>
      <c r="M2976" s="129"/>
      <c r="N2976" s="129"/>
      <c r="O2976" s="129"/>
      <c r="P2976" s="364"/>
      <c r="Q2976" s="364"/>
      <c r="R2976" s="129"/>
      <c r="S2976" s="129"/>
      <c r="T2976" s="129"/>
      <c r="W2976" s="129" t="s">
        <v>286</v>
      </c>
      <c r="X2976" s="337" t="b">
        <f t="shared" si="81"/>
        <v>1</v>
      </c>
    </row>
    <row r="2977" spans="1:24" s="337" customFormat="1" ht="12" customHeight="1" outlineLevel="1">
      <c r="A2977" s="335"/>
      <c r="B2977" s="118" t="s">
        <v>12</v>
      </c>
      <c r="C2977" s="334" t="s">
        <v>10514</v>
      </c>
      <c r="D2977" s="124" t="s">
        <v>10515</v>
      </c>
      <c r="E2977" s="125"/>
      <c r="F2977" s="118" t="s">
        <v>828</v>
      </c>
      <c r="G2977" s="126" t="s">
        <v>10304</v>
      </c>
      <c r="H2977" s="255">
        <v>5</v>
      </c>
      <c r="I2977" s="361">
        <v>1</v>
      </c>
      <c r="J2977" s="362" t="s">
        <v>286</v>
      </c>
      <c r="K2977" s="363"/>
      <c r="L2977" s="129"/>
      <c r="M2977" s="129"/>
      <c r="N2977" s="129"/>
      <c r="O2977" s="129"/>
      <c r="P2977" s="364"/>
      <c r="Q2977" s="364"/>
      <c r="R2977" s="129"/>
      <c r="S2977" s="129"/>
      <c r="T2977" s="129"/>
      <c r="W2977" s="129" t="s">
        <v>286</v>
      </c>
      <c r="X2977" s="337" t="b">
        <f t="shared" si="81"/>
        <v>1</v>
      </c>
    </row>
    <row r="2978" spans="1:24" s="337" customFormat="1" ht="12" customHeight="1" outlineLevel="1">
      <c r="A2978" s="335"/>
      <c r="B2978" s="118" t="s">
        <v>12</v>
      </c>
      <c r="C2978" s="334" t="s">
        <v>10516</v>
      </c>
      <c r="D2978" s="124" t="s">
        <v>10517</v>
      </c>
      <c r="E2978" s="125"/>
      <c r="F2978" s="118" t="s">
        <v>828</v>
      </c>
      <c r="G2978" s="126" t="s">
        <v>10304</v>
      </c>
      <c r="H2978" s="255">
        <v>5</v>
      </c>
      <c r="I2978" s="361">
        <v>1</v>
      </c>
      <c r="J2978" s="362" t="s">
        <v>286</v>
      </c>
      <c r="K2978" s="363"/>
      <c r="L2978" s="129"/>
      <c r="M2978" s="129"/>
      <c r="N2978" s="129"/>
      <c r="O2978" s="129"/>
      <c r="P2978" s="364"/>
      <c r="Q2978" s="364"/>
      <c r="R2978" s="129"/>
      <c r="S2978" s="129"/>
      <c r="T2978" s="129"/>
      <c r="W2978" s="129" t="s">
        <v>286</v>
      </c>
      <c r="X2978" s="337" t="b">
        <f t="shared" si="81"/>
        <v>1</v>
      </c>
    </row>
    <row r="2979" spans="1:24" s="337" customFormat="1" ht="12" customHeight="1" outlineLevel="1">
      <c r="A2979" s="335"/>
      <c r="B2979" s="118" t="s">
        <v>12</v>
      </c>
      <c r="C2979" s="334" t="s">
        <v>10518</v>
      </c>
      <c r="D2979" s="124" t="s">
        <v>10519</v>
      </c>
      <c r="E2979" s="125"/>
      <c r="F2979" s="118" t="s">
        <v>828</v>
      </c>
      <c r="G2979" s="126" t="s">
        <v>10304</v>
      </c>
      <c r="H2979" s="255">
        <v>5</v>
      </c>
      <c r="I2979" s="361">
        <v>1</v>
      </c>
      <c r="J2979" s="362" t="s">
        <v>286</v>
      </c>
      <c r="K2979" s="363"/>
      <c r="L2979" s="129"/>
      <c r="M2979" s="129"/>
      <c r="N2979" s="129"/>
      <c r="O2979" s="129"/>
      <c r="P2979" s="364"/>
      <c r="Q2979" s="364"/>
      <c r="R2979" s="129"/>
      <c r="S2979" s="129"/>
      <c r="T2979" s="129"/>
      <c r="W2979" s="129" t="s">
        <v>286</v>
      </c>
      <c r="X2979" s="337" t="b">
        <f t="shared" si="81"/>
        <v>1</v>
      </c>
    </row>
    <row r="2980" spans="1:24" s="337" customFormat="1" ht="12" customHeight="1" outlineLevel="1">
      <c r="A2980" s="335"/>
      <c r="B2980" s="118" t="s">
        <v>12</v>
      </c>
      <c r="C2980" s="334" t="s">
        <v>10520</v>
      </c>
      <c r="D2980" s="124" t="s">
        <v>10521</v>
      </c>
      <c r="E2980" s="125"/>
      <c r="F2980" s="118" t="s">
        <v>828</v>
      </c>
      <c r="G2980" s="126" t="s">
        <v>10304</v>
      </c>
      <c r="H2980" s="255">
        <v>5</v>
      </c>
      <c r="I2980" s="361">
        <v>1</v>
      </c>
      <c r="J2980" s="362" t="s">
        <v>286</v>
      </c>
      <c r="K2980" s="363"/>
      <c r="L2980" s="129"/>
      <c r="M2980" s="129"/>
      <c r="N2980" s="129"/>
      <c r="O2980" s="129"/>
      <c r="P2980" s="364"/>
      <c r="Q2980" s="364"/>
      <c r="R2980" s="129"/>
      <c r="S2980" s="129"/>
      <c r="T2980" s="129"/>
      <c r="W2980" s="129" t="s">
        <v>286</v>
      </c>
      <c r="X2980" s="337" t="b">
        <f t="shared" si="81"/>
        <v>1</v>
      </c>
    </row>
    <row r="2981" spans="1:24" s="337" customFormat="1" ht="12" customHeight="1" outlineLevel="1">
      <c r="A2981" s="335"/>
      <c r="B2981" s="118" t="s">
        <v>12</v>
      </c>
      <c r="C2981" s="334" t="s">
        <v>10522</v>
      </c>
      <c r="D2981" s="124" t="s">
        <v>10523</v>
      </c>
      <c r="E2981" s="125"/>
      <c r="F2981" s="118" t="s">
        <v>828</v>
      </c>
      <c r="G2981" s="126" t="s">
        <v>10304</v>
      </c>
      <c r="H2981" s="255">
        <v>5</v>
      </c>
      <c r="I2981" s="361">
        <v>1</v>
      </c>
      <c r="J2981" s="362" t="s">
        <v>286</v>
      </c>
      <c r="K2981" s="363"/>
      <c r="L2981" s="129"/>
      <c r="M2981" s="129"/>
      <c r="N2981" s="129"/>
      <c r="O2981" s="129"/>
      <c r="P2981" s="364"/>
      <c r="Q2981" s="364"/>
      <c r="R2981" s="129"/>
      <c r="S2981" s="129"/>
      <c r="T2981" s="129"/>
      <c r="W2981" s="129" t="s">
        <v>286</v>
      </c>
      <c r="X2981" s="337" t="b">
        <f t="shared" si="81"/>
        <v>1</v>
      </c>
    </row>
    <row r="2982" spans="1:24" s="337" customFormat="1" ht="12" customHeight="1" outlineLevel="1">
      <c r="A2982" s="335"/>
      <c r="B2982" s="118" t="s">
        <v>12</v>
      </c>
      <c r="C2982" s="334" t="s">
        <v>10524</v>
      </c>
      <c r="D2982" s="124" t="s">
        <v>10525</v>
      </c>
      <c r="E2982" s="125"/>
      <c r="F2982" s="118" t="s">
        <v>828</v>
      </c>
      <c r="G2982" s="126" t="s">
        <v>10304</v>
      </c>
      <c r="H2982" s="255">
        <v>5</v>
      </c>
      <c r="I2982" s="361">
        <v>1</v>
      </c>
      <c r="J2982" s="362" t="s">
        <v>286</v>
      </c>
      <c r="K2982" s="363"/>
      <c r="L2982" s="129"/>
      <c r="M2982" s="129"/>
      <c r="N2982" s="129"/>
      <c r="O2982" s="129"/>
      <c r="P2982" s="364"/>
      <c r="Q2982" s="364"/>
      <c r="R2982" s="129"/>
      <c r="S2982" s="129"/>
      <c r="T2982" s="129"/>
      <c r="W2982" s="129" t="s">
        <v>286</v>
      </c>
      <c r="X2982" s="337" t="b">
        <f t="shared" si="81"/>
        <v>1</v>
      </c>
    </row>
    <row r="2983" spans="1:24" s="337" customFormat="1" ht="12" customHeight="1" outlineLevel="1">
      <c r="A2983" s="335"/>
      <c r="B2983" s="118" t="s">
        <v>12</v>
      </c>
      <c r="C2983" s="334" t="s">
        <v>10526</v>
      </c>
      <c r="D2983" s="124" t="s">
        <v>10527</v>
      </c>
      <c r="E2983" s="125"/>
      <c r="F2983" s="118" t="s">
        <v>828</v>
      </c>
      <c r="G2983" s="126" t="s">
        <v>10304</v>
      </c>
      <c r="H2983" s="255">
        <v>5</v>
      </c>
      <c r="I2983" s="361">
        <v>1</v>
      </c>
      <c r="J2983" s="362" t="s">
        <v>286</v>
      </c>
      <c r="K2983" s="363"/>
      <c r="L2983" s="129"/>
      <c r="M2983" s="129"/>
      <c r="N2983" s="129"/>
      <c r="O2983" s="129"/>
      <c r="P2983" s="364"/>
      <c r="Q2983" s="364"/>
      <c r="R2983" s="129"/>
      <c r="S2983" s="129"/>
      <c r="T2983" s="129"/>
      <c r="W2983" s="129" t="s">
        <v>286</v>
      </c>
      <c r="X2983" s="337" t="b">
        <f t="shared" si="81"/>
        <v>1</v>
      </c>
    </row>
    <row r="2984" spans="1:24" s="337" customFormat="1" ht="12" customHeight="1" outlineLevel="1">
      <c r="A2984" s="335"/>
      <c r="B2984" s="118" t="s">
        <v>12</v>
      </c>
      <c r="C2984" s="334" t="s">
        <v>10528</v>
      </c>
      <c r="D2984" s="124" t="s">
        <v>10529</v>
      </c>
      <c r="E2984" s="125"/>
      <c r="F2984" s="118" t="s">
        <v>828</v>
      </c>
      <c r="G2984" s="126" t="s">
        <v>10304</v>
      </c>
      <c r="H2984" s="255">
        <v>5</v>
      </c>
      <c r="I2984" s="361">
        <v>1</v>
      </c>
      <c r="J2984" s="362" t="s">
        <v>286</v>
      </c>
      <c r="K2984" s="363"/>
      <c r="L2984" s="129"/>
      <c r="M2984" s="129"/>
      <c r="N2984" s="129"/>
      <c r="O2984" s="129"/>
      <c r="P2984" s="364"/>
      <c r="Q2984" s="364"/>
      <c r="R2984" s="129"/>
      <c r="S2984" s="129"/>
      <c r="T2984" s="129"/>
      <c r="W2984" s="129" t="s">
        <v>286</v>
      </c>
      <c r="X2984" s="337" t="b">
        <f t="shared" si="81"/>
        <v>1</v>
      </c>
    </row>
    <row r="2985" spans="1:24" s="337" customFormat="1" ht="12" customHeight="1" outlineLevel="1">
      <c r="A2985" s="335"/>
      <c r="B2985" s="118" t="s">
        <v>12</v>
      </c>
      <c r="C2985" s="334" t="s">
        <v>10530</v>
      </c>
      <c r="D2985" s="124" t="s">
        <v>10531</v>
      </c>
      <c r="E2985" s="125"/>
      <c r="F2985" s="118" t="s">
        <v>828</v>
      </c>
      <c r="G2985" s="126" t="s">
        <v>10304</v>
      </c>
      <c r="H2985" s="255">
        <v>5</v>
      </c>
      <c r="I2985" s="361">
        <v>1</v>
      </c>
      <c r="J2985" s="362" t="s">
        <v>286</v>
      </c>
      <c r="K2985" s="363"/>
      <c r="L2985" s="129"/>
      <c r="M2985" s="129"/>
      <c r="N2985" s="129"/>
      <c r="O2985" s="129"/>
      <c r="P2985" s="364"/>
      <c r="Q2985" s="364"/>
      <c r="R2985" s="129"/>
      <c r="S2985" s="129"/>
      <c r="T2985" s="129"/>
      <c r="W2985" s="129" t="s">
        <v>286</v>
      </c>
      <c r="X2985" s="337" t="b">
        <f t="shared" si="81"/>
        <v>1</v>
      </c>
    </row>
    <row r="2986" spans="1:24" s="337" customFormat="1" ht="12" customHeight="1" outlineLevel="1">
      <c r="A2986" s="335"/>
      <c r="B2986" s="118" t="s">
        <v>12</v>
      </c>
      <c r="C2986" s="334" t="s">
        <v>10532</v>
      </c>
      <c r="D2986" s="124" t="s">
        <v>10533</v>
      </c>
      <c r="E2986" s="125"/>
      <c r="F2986" s="118" t="s">
        <v>828</v>
      </c>
      <c r="G2986" s="126" t="s">
        <v>10304</v>
      </c>
      <c r="H2986" s="255">
        <v>5</v>
      </c>
      <c r="I2986" s="361">
        <v>1</v>
      </c>
      <c r="J2986" s="362" t="s">
        <v>286</v>
      </c>
      <c r="K2986" s="363"/>
      <c r="L2986" s="129"/>
      <c r="M2986" s="129"/>
      <c r="N2986" s="129"/>
      <c r="O2986" s="129"/>
      <c r="P2986" s="364"/>
      <c r="Q2986" s="364"/>
      <c r="R2986" s="129"/>
      <c r="S2986" s="129"/>
      <c r="T2986" s="129"/>
      <c r="W2986" s="129" t="s">
        <v>286</v>
      </c>
      <c r="X2986" s="337" t="b">
        <f t="shared" si="81"/>
        <v>1</v>
      </c>
    </row>
    <row r="2987" spans="1:24" s="337" customFormat="1" ht="12" customHeight="1" outlineLevel="1">
      <c r="A2987" s="335"/>
      <c r="B2987" s="118" t="s">
        <v>12</v>
      </c>
      <c r="C2987" s="334" t="s">
        <v>10534</v>
      </c>
      <c r="D2987" s="124" t="s">
        <v>10535</v>
      </c>
      <c r="E2987" s="125"/>
      <c r="F2987" s="118" t="s">
        <v>828</v>
      </c>
      <c r="G2987" s="126" t="s">
        <v>10304</v>
      </c>
      <c r="H2987" s="255">
        <v>5</v>
      </c>
      <c r="I2987" s="361">
        <v>1</v>
      </c>
      <c r="J2987" s="362" t="s">
        <v>286</v>
      </c>
      <c r="K2987" s="363"/>
      <c r="L2987" s="129"/>
      <c r="M2987" s="129"/>
      <c r="N2987" s="129"/>
      <c r="O2987" s="129"/>
      <c r="P2987" s="364"/>
      <c r="Q2987" s="364"/>
      <c r="R2987" s="129"/>
      <c r="S2987" s="129"/>
      <c r="T2987" s="129"/>
      <c r="W2987" s="129" t="s">
        <v>286</v>
      </c>
      <c r="X2987" s="337" t="b">
        <f t="shared" si="81"/>
        <v>1</v>
      </c>
    </row>
    <row r="2988" spans="1:24" s="337" customFormat="1" ht="12" customHeight="1" outlineLevel="1">
      <c r="A2988" s="335"/>
      <c r="B2988" s="118" t="s">
        <v>12</v>
      </c>
      <c r="C2988" s="334" t="s">
        <v>10536</v>
      </c>
      <c r="D2988" s="124" t="s">
        <v>10537</v>
      </c>
      <c r="E2988" s="125"/>
      <c r="F2988" s="118" t="s">
        <v>828</v>
      </c>
      <c r="G2988" s="126" t="s">
        <v>10304</v>
      </c>
      <c r="H2988" s="255">
        <v>5</v>
      </c>
      <c r="I2988" s="361">
        <v>1</v>
      </c>
      <c r="J2988" s="362" t="s">
        <v>286</v>
      </c>
      <c r="K2988" s="363"/>
      <c r="L2988" s="129"/>
      <c r="M2988" s="129"/>
      <c r="N2988" s="129"/>
      <c r="O2988" s="129"/>
      <c r="P2988" s="364"/>
      <c r="Q2988" s="364"/>
      <c r="R2988" s="129"/>
      <c r="S2988" s="129"/>
      <c r="T2988" s="129"/>
      <c r="W2988" s="129" t="s">
        <v>286</v>
      </c>
      <c r="X2988" s="337" t="b">
        <f t="shared" si="81"/>
        <v>1</v>
      </c>
    </row>
    <row r="2989" spans="1:24" s="337" customFormat="1" ht="12" customHeight="1" outlineLevel="1">
      <c r="A2989" s="335"/>
      <c r="B2989" s="118" t="s">
        <v>12</v>
      </c>
      <c r="C2989" s="334" t="s">
        <v>10538</v>
      </c>
      <c r="D2989" s="124" t="s">
        <v>10539</v>
      </c>
      <c r="E2989" s="125"/>
      <c r="F2989" s="118" t="s">
        <v>828</v>
      </c>
      <c r="G2989" s="126" t="s">
        <v>10304</v>
      </c>
      <c r="H2989" s="255">
        <v>5</v>
      </c>
      <c r="I2989" s="361">
        <v>1</v>
      </c>
      <c r="J2989" s="362" t="s">
        <v>286</v>
      </c>
      <c r="K2989" s="363"/>
      <c r="L2989" s="129"/>
      <c r="M2989" s="129"/>
      <c r="N2989" s="129"/>
      <c r="O2989" s="129"/>
      <c r="P2989" s="364"/>
      <c r="Q2989" s="364"/>
      <c r="R2989" s="129"/>
      <c r="S2989" s="129"/>
      <c r="T2989" s="129"/>
      <c r="W2989" s="129" t="s">
        <v>286</v>
      </c>
      <c r="X2989" s="337" t="b">
        <f t="shared" si="81"/>
        <v>1</v>
      </c>
    </row>
    <row r="2990" spans="1:24" s="337" customFormat="1" ht="12" customHeight="1" outlineLevel="1">
      <c r="A2990" s="335"/>
      <c r="B2990" s="118" t="s">
        <v>12</v>
      </c>
      <c r="C2990" s="334" t="s">
        <v>10540</v>
      </c>
      <c r="D2990" s="124" t="s">
        <v>10541</v>
      </c>
      <c r="E2990" s="125"/>
      <c r="F2990" s="118" t="s">
        <v>828</v>
      </c>
      <c r="G2990" s="126" t="s">
        <v>10304</v>
      </c>
      <c r="H2990" s="255">
        <v>5</v>
      </c>
      <c r="I2990" s="361">
        <v>1</v>
      </c>
      <c r="J2990" s="362" t="s">
        <v>286</v>
      </c>
      <c r="K2990" s="363"/>
      <c r="L2990" s="129"/>
      <c r="M2990" s="129"/>
      <c r="N2990" s="129"/>
      <c r="O2990" s="129"/>
      <c r="P2990" s="364"/>
      <c r="Q2990" s="364"/>
      <c r="R2990" s="129"/>
      <c r="S2990" s="129"/>
      <c r="T2990" s="129"/>
      <c r="W2990" s="129" t="s">
        <v>286</v>
      </c>
      <c r="X2990" s="337" t="b">
        <f t="shared" si="81"/>
        <v>1</v>
      </c>
    </row>
    <row r="2991" spans="1:24" s="337" customFormat="1" ht="12" customHeight="1" outlineLevel="1">
      <c r="A2991" s="335"/>
      <c r="B2991" s="118" t="s">
        <v>12</v>
      </c>
      <c r="C2991" s="334" t="s">
        <v>10542</v>
      </c>
      <c r="D2991" s="124" t="s">
        <v>10543</v>
      </c>
      <c r="E2991" s="125"/>
      <c r="F2991" s="118" t="s">
        <v>828</v>
      </c>
      <c r="G2991" s="126" t="s">
        <v>10304</v>
      </c>
      <c r="H2991" s="255">
        <v>5</v>
      </c>
      <c r="I2991" s="361">
        <v>1</v>
      </c>
      <c r="J2991" s="362" t="s">
        <v>286</v>
      </c>
      <c r="K2991" s="363"/>
      <c r="L2991" s="129"/>
      <c r="M2991" s="129"/>
      <c r="N2991" s="129"/>
      <c r="O2991" s="129"/>
      <c r="P2991" s="364"/>
      <c r="Q2991" s="364"/>
      <c r="R2991" s="129"/>
      <c r="S2991" s="129"/>
      <c r="T2991" s="129"/>
      <c r="W2991" s="129" t="s">
        <v>286</v>
      </c>
      <c r="X2991" s="337" t="b">
        <f t="shared" si="81"/>
        <v>1</v>
      </c>
    </row>
    <row r="2992" spans="1:24" s="337" customFormat="1" ht="12" customHeight="1" outlineLevel="1">
      <c r="A2992" s="335"/>
      <c r="B2992" s="118" t="s">
        <v>12</v>
      </c>
      <c r="C2992" s="334" t="s">
        <v>10544</v>
      </c>
      <c r="D2992" s="124" t="s">
        <v>10545</v>
      </c>
      <c r="E2992" s="125"/>
      <c r="F2992" s="118" t="s">
        <v>828</v>
      </c>
      <c r="G2992" s="126" t="s">
        <v>10304</v>
      </c>
      <c r="H2992" s="255">
        <v>5</v>
      </c>
      <c r="I2992" s="361">
        <v>1</v>
      </c>
      <c r="J2992" s="362" t="s">
        <v>310</v>
      </c>
      <c r="K2992" s="363"/>
      <c r="L2992" s="129"/>
      <c r="M2992" s="129"/>
      <c r="N2992" s="129"/>
      <c r="O2992" s="129"/>
      <c r="P2992" s="364"/>
      <c r="Q2992" s="364"/>
      <c r="R2992" s="129"/>
      <c r="S2992" s="129"/>
      <c r="T2992" s="129"/>
      <c r="W2992" s="129" t="s">
        <v>310</v>
      </c>
      <c r="X2992" s="337" t="b">
        <f t="shared" si="81"/>
        <v>1</v>
      </c>
    </row>
    <row r="2993" spans="1:24" s="337" customFormat="1" ht="12" customHeight="1" outlineLevel="1">
      <c r="A2993" s="335"/>
      <c r="B2993" s="118" t="s">
        <v>12</v>
      </c>
      <c r="C2993" s="334" t="s">
        <v>10546</v>
      </c>
      <c r="D2993" s="124" t="s">
        <v>10547</v>
      </c>
      <c r="E2993" s="125"/>
      <c r="F2993" s="118" t="s">
        <v>828</v>
      </c>
      <c r="G2993" s="126" t="s">
        <v>10304</v>
      </c>
      <c r="H2993" s="255">
        <v>5</v>
      </c>
      <c r="I2993" s="361">
        <v>1</v>
      </c>
      <c r="J2993" s="362" t="s">
        <v>286</v>
      </c>
      <c r="K2993" s="363"/>
      <c r="L2993" s="129"/>
      <c r="M2993" s="129"/>
      <c r="N2993" s="129"/>
      <c r="O2993" s="129"/>
      <c r="P2993" s="364"/>
      <c r="Q2993" s="364"/>
      <c r="R2993" s="129"/>
      <c r="S2993" s="129"/>
      <c r="T2993" s="129"/>
      <c r="W2993" s="129" t="s">
        <v>286</v>
      </c>
      <c r="X2993" s="337" t="b">
        <f t="shared" si="81"/>
        <v>1</v>
      </c>
    </row>
    <row r="2994" spans="1:24" s="337" customFormat="1" ht="12" customHeight="1" outlineLevel="1">
      <c r="A2994" s="335"/>
      <c r="B2994" s="118" t="s">
        <v>12</v>
      </c>
      <c r="C2994" s="334" t="s">
        <v>10548</v>
      </c>
      <c r="D2994" s="124" t="s">
        <v>10549</v>
      </c>
      <c r="E2994" s="125"/>
      <c r="F2994" s="118" t="s">
        <v>828</v>
      </c>
      <c r="G2994" s="126" t="s">
        <v>10304</v>
      </c>
      <c r="H2994" s="255">
        <v>5</v>
      </c>
      <c r="I2994" s="361">
        <v>1</v>
      </c>
      <c r="J2994" s="362" t="s">
        <v>286</v>
      </c>
      <c r="K2994" s="363"/>
      <c r="L2994" s="129"/>
      <c r="M2994" s="129"/>
      <c r="N2994" s="129"/>
      <c r="O2994" s="129"/>
      <c r="P2994" s="364"/>
      <c r="Q2994" s="364"/>
      <c r="R2994" s="129"/>
      <c r="S2994" s="129"/>
      <c r="T2994" s="129"/>
      <c r="W2994" s="129" t="s">
        <v>286</v>
      </c>
      <c r="X2994" s="337" t="b">
        <f t="shared" si="81"/>
        <v>1</v>
      </c>
    </row>
    <row r="2995" spans="1:24" s="337" customFormat="1" ht="12" customHeight="1" outlineLevel="1">
      <c r="A2995" s="335"/>
      <c r="B2995" s="118" t="s">
        <v>12</v>
      </c>
      <c r="C2995" s="334" t="s">
        <v>10550</v>
      </c>
      <c r="D2995" s="124" t="s">
        <v>10551</v>
      </c>
      <c r="E2995" s="125"/>
      <c r="F2995" s="118" t="s">
        <v>828</v>
      </c>
      <c r="G2995" s="126" t="s">
        <v>10304</v>
      </c>
      <c r="H2995" s="255">
        <v>5</v>
      </c>
      <c r="I2995" s="361">
        <v>1</v>
      </c>
      <c r="J2995" s="362" t="s">
        <v>286</v>
      </c>
      <c r="K2995" s="363"/>
      <c r="L2995" s="129"/>
      <c r="M2995" s="129"/>
      <c r="N2995" s="129"/>
      <c r="O2995" s="129"/>
      <c r="P2995" s="364"/>
      <c r="Q2995" s="364"/>
      <c r="R2995" s="129"/>
      <c r="S2995" s="129"/>
      <c r="T2995" s="129"/>
      <c r="W2995" s="129" t="s">
        <v>286</v>
      </c>
      <c r="X2995" s="337" t="b">
        <f t="shared" si="81"/>
        <v>1</v>
      </c>
    </row>
    <row r="2996" spans="1:24" s="337" customFormat="1" ht="12" customHeight="1" outlineLevel="1">
      <c r="A2996" s="335"/>
      <c r="B2996" s="118" t="s">
        <v>12</v>
      </c>
      <c r="C2996" s="334" t="s">
        <v>10552</v>
      </c>
      <c r="D2996" s="124" t="s">
        <v>10553</v>
      </c>
      <c r="E2996" s="125"/>
      <c r="F2996" s="118" t="s">
        <v>828</v>
      </c>
      <c r="G2996" s="126" t="s">
        <v>10304</v>
      </c>
      <c r="H2996" s="255">
        <v>5</v>
      </c>
      <c r="I2996" s="361">
        <v>1</v>
      </c>
      <c r="J2996" s="362" t="s">
        <v>286</v>
      </c>
      <c r="K2996" s="363"/>
      <c r="L2996" s="129"/>
      <c r="M2996" s="129"/>
      <c r="N2996" s="129"/>
      <c r="O2996" s="129"/>
      <c r="P2996" s="364"/>
      <c r="Q2996" s="364"/>
      <c r="R2996" s="129"/>
      <c r="S2996" s="129"/>
      <c r="T2996" s="129"/>
      <c r="W2996" s="129" t="s">
        <v>286</v>
      </c>
      <c r="X2996" s="337" t="b">
        <f t="shared" si="81"/>
        <v>1</v>
      </c>
    </row>
    <row r="2997" spans="1:24" s="337" customFormat="1" ht="12" customHeight="1" outlineLevel="1">
      <c r="A2997" s="335"/>
      <c r="B2997" s="118" t="s">
        <v>12</v>
      </c>
      <c r="C2997" s="334" t="s">
        <v>10554</v>
      </c>
      <c r="D2997" s="124" t="s">
        <v>10555</v>
      </c>
      <c r="E2997" s="125"/>
      <c r="F2997" s="118" t="s">
        <v>828</v>
      </c>
      <c r="G2997" s="126" t="s">
        <v>10304</v>
      </c>
      <c r="H2997" s="255">
        <v>5</v>
      </c>
      <c r="I2997" s="361">
        <v>1</v>
      </c>
      <c r="J2997" s="362" t="s">
        <v>286</v>
      </c>
      <c r="K2997" s="363"/>
      <c r="L2997" s="129"/>
      <c r="M2997" s="129"/>
      <c r="N2997" s="129"/>
      <c r="O2997" s="129"/>
      <c r="P2997" s="364"/>
      <c r="Q2997" s="364"/>
      <c r="R2997" s="129"/>
      <c r="S2997" s="129"/>
      <c r="T2997" s="129"/>
      <c r="W2997" s="129" t="s">
        <v>286</v>
      </c>
      <c r="X2997" s="337" t="b">
        <f t="shared" si="81"/>
        <v>1</v>
      </c>
    </row>
    <row r="2998" spans="1:24" s="337" customFormat="1" ht="12" customHeight="1" outlineLevel="1">
      <c r="A2998" s="335"/>
      <c r="B2998" s="118" t="s">
        <v>12</v>
      </c>
      <c r="C2998" s="334" t="s">
        <v>10556</v>
      </c>
      <c r="D2998" s="124" t="s">
        <v>10557</v>
      </c>
      <c r="E2998" s="125"/>
      <c r="F2998" s="118" t="s">
        <v>828</v>
      </c>
      <c r="G2998" s="126" t="s">
        <v>10304</v>
      </c>
      <c r="H2998" s="255">
        <v>5</v>
      </c>
      <c r="I2998" s="361">
        <v>1</v>
      </c>
      <c r="J2998" s="362" t="s">
        <v>286</v>
      </c>
      <c r="K2998" s="363"/>
      <c r="L2998" s="129"/>
      <c r="M2998" s="129"/>
      <c r="N2998" s="129"/>
      <c r="O2998" s="129"/>
      <c r="P2998" s="364"/>
      <c r="Q2998" s="364"/>
      <c r="R2998" s="129"/>
      <c r="S2998" s="129"/>
      <c r="T2998" s="129"/>
      <c r="W2998" s="129" t="s">
        <v>310</v>
      </c>
      <c r="X2998" s="337" t="b">
        <f t="shared" si="81"/>
        <v>0</v>
      </c>
    </row>
    <row r="2999" spans="1:24" s="337" customFormat="1" ht="12" customHeight="1" outlineLevel="1">
      <c r="A2999" s="335"/>
      <c r="B2999" s="118" t="s">
        <v>12</v>
      </c>
      <c r="C2999" s="334" t="s">
        <v>10558</v>
      </c>
      <c r="D2999" s="124" t="s">
        <v>10559</v>
      </c>
      <c r="E2999" s="125"/>
      <c r="F2999" s="118" t="s">
        <v>828</v>
      </c>
      <c r="G2999" s="126" t="s">
        <v>10304</v>
      </c>
      <c r="H2999" s="255">
        <v>5</v>
      </c>
      <c r="I2999" s="361">
        <v>1</v>
      </c>
      <c r="J2999" s="362" t="s">
        <v>286</v>
      </c>
      <c r="K2999" s="363"/>
      <c r="L2999" s="129"/>
      <c r="M2999" s="129"/>
      <c r="N2999" s="129"/>
      <c r="O2999" s="129"/>
      <c r="P2999" s="364"/>
      <c r="Q2999" s="364"/>
      <c r="R2999" s="129"/>
      <c r="S2999" s="129"/>
      <c r="T2999" s="129"/>
      <c r="W2999" s="129" t="s">
        <v>286</v>
      </c>
      <c r="X2999" s="337" t="b">
        <f t="shared" si="81"/>
        <v>1</v>
      </c>
    </row>
    <row r="3000" spans="1:24" s="337" customFormat="1" ht="12" customHeight="1" outlineLevel="1">
      <c r="A3000" s="335"/>
      <c r="B3000" s="118" t="s">
        <v>12</v>
      </c>
      <c r="C3000" s="334" t="s">
        <v>10560</v>
      </c>
      <c r="D3000" s="124" t="s">
        <v>10561</v>
      </c>
      <c r="E3000" s="125"/>
      <c r="F3000" s="118" t="s">
        <v>828</v>
      </c>
      <c r="G3000" s="126" t="s">
        <v>10304</v>
      </c>
      <c r="H3000" s="255">
        <v>5</v>
      </c>
      <c r="I3000" s="361">
        <v>1</v>
      </c>
      <c r="J3000" s="362" t="s">
        <v>286</v>
      </c>
      <c r="K3000" s="363"/>
      <c r="L3000" s="129"/>
      <c r="M3000" s="129"/>
      <c r="N3000" s="129"/>
      <c r="O3000" s="129"/>
      <c r="P3000" s="364"/>
      <c r="Q3000" s="364"/>
      <c r="R3000" s="129"/>
      <c r="S3000" s="129"/>
      <c r="T3000" s="129"/>
      <c r="W3000" s="129" t="s">
        <v>286</v>
      </c>
      <c r="X3000" s="337" t="b">
        <f t="shared" si="81"/>
        <v>1</v>
      </c>
    </row>
    <row r="3001" spans="1:24" s="337" customFormat="1" ht="12" customHeight="1" outlineLevel="1">
      <c r="A3001" s="335"/>
      <c r="B3001" s="118" t="s">
        <v>12</v>
      </c>
      <c r="C3001" s="334" t="s">
        <v>10562</v>
      </c>
      <c r="D3001" s="124" t="s">
        <v>10563</v>
      </c>
      <c r="E3001" s="125"/>
      <c r="F3001" s="118" t="s">
        <v>828</v>
      </c>
      <c r="G3001" s="126" t="s">
        <v>10304</v>
      </c>
      <c r="H3001" s="255">
        <v>5</v>
      </c>
      <c r="I3001" s="361">
        <v>1</v>
      </c>
      <c r="J3001" s="362" t="s">
        <v>286</v>
      </c>
      <c r="K3001" s="363"/>
      <c r="L3001" s="129"/>
      <c r="M3001" s="129"/>
      <c r="N3001" s="129"/>
      <c r="O3001" s="129"/>
      <c r="P3001" s="364"/>
      <c r="Q3001" s="364"/>
      <c r="R3001" s="129"/>
      <c r="S3001" s="129"/>
      <c r="T3001" s="129"/>
      <c r="W3001" s="129" t="s">
        <v>286</v>
      </c>
      <c r="X3001" s="337" t="b">
        <f t="shared" si="81"/>
        <v>1</v>
      </c>
    </row>
    <row r="3002" spans="1:24" s="337" customFormat="1" ht="12" customHeight="1" outlineLevel="1">
      <c r="A3002" s="335"/>
      <c r="B3002" s="118" t="s">
        <v>12</v>
      </c>
      <c r="C3002" s="334" t="s">
        <v>10564</v>
      </c>
      <c r="D3002" s="124" t="s">
        <v>10565</v>
      </c>
      <c r="E3002" s="125"/>
      <c r="F3002" s="118" t="s">
        <v>828</v>
      </c>
      <c r="G3002" s="126" t="s">
        <v>10304</v>
      </c>
      <c r="H3002" s="255">
        <v>5</v>
      </c>
      <c r="I3002" s="361">
        <v>1</v>
      </c>
      <c r="J3002" s="362" t="s">
        <v>286</v>
      </c>
      <c r="K3002" s="363"/>
      <c r="L3002" s="129"/>
      <c r="M3002" s="129"/>
      <c r="N3002" s="129"/>
      <c r="O3002" s="129"/>
      <c r="P3002" s="364"/>
      <c r="Q3002" s="364"/>
      <c r="R3002" s="129"/>
      <c r="S3002" s="129"/>
      <c r="T3002" s="129"/>
      <c r="W3002" s="129" t="s">
        <v>286</v>
      </c>
      <c r="X3002" s="337" t="b">
        <f t="shared" si="81"/>
        <v>1</v>
      </c>
    </row>
    <row r="3003" spans="1:24" s="337" customFormat="1" ht="12" customHeight="1" outlineLevel="1">
      <c r="A3003" s="335"/>
      <c r="B3003" s="118" t="s">
        <v>12</v>
      </c>
      <c r="C3003" s="334" t="s">
        <v>10566</v>
      </c>
      <c r="D3003" s="124" t="s">
        <v>10567</v>
      </c>
      <c r="E3003" s="125"/>
      <c r="F3003" s="118" t="s">
        <v>828</v>
      </c>
      <c r="G3003" s="126" t="s">
        <v>10304</v>
      </c>
      <c r="H3003" s="255">
        <v>5</v>
      </c>
      <c r="I3003" s="361">
        <v>1</v>
      </c>
      <c r="J3003" s="362" t="s">
        <v>286</v>
      </c>
      <c r="K3003" s="363"/>
      <c r="L3003" s="129"/>
      <c r="M3003" s="129"/>
      <c r="N3003" s="129"/>
      <c r="O3003" s="129"/>
      <c r="P3003" s="364"/>
      <c r="Q3003" s="364"/>
      <c r="R3003" s="129"/>
      <c r="S3003" s="129"/>
      <c r="T3003" s="129"/>
      <c r="W3003" s="129" t="s">
        <v>286</v>
      </c>
      <c r="X3003" s="337" t="b">
        <f t="shared" si="81"/>
        <v>1</v>
      </c>
    </row>
    <row r="3004" spans="1:24" s="337" customFormat="1" ht="12" customHeight="1" outlineLevel="1">
      <c r="A3004" s="335"/>
      <c r="B3004" s="118" t="s">
        <v>12</v>
      </c>
      <c r="C3004" s="334" t="s">
        <v>10568</v>
      </c>
      <c r="D3004" s="124" t="s">
        <v>10569</v>
      </c>
      <c r="E3004" s="125"/>
      <c r="F3004" s="118" t="s">
        <v>828</v>
      </c>
      <c r="G3004" s="126" t="s">
        <v>10304</v>
      </c>
      <c r="H3004" s="255">
        <v>5</v>
      </c>
      <c r="I3004" s="361">
        <v>1</v>
      </c>
      <c r="J3004" s="362" t="s">
        <v>286</v>
      </c>
      <c r="K3004" s="363"/>
      <c r="L3004" s="129"/>
      <c r="M3004" s="129"/>
      <c r="N3004" s="129"/>
      <c r="O3004" s="129"/>
      <c r="P3004" s="364"/>
      <c r="Q3004" s="364"/>
      <c r="R3004" s="129"/>
      <c r="S3004" s="129"/>
      <c r="T3004" s="129"/>
      <c r="W3004" s="129" t="s">
        <v>286</v>
      </c>
      <c r="X3004" s="337" t="b">
        <f t="shared" si="81"/>
        <v>1</v>
      </c>
    </row>
    <row r="3005" spans="1:24" s="337" customFormat="1" ht="12" customHeight="1" outlineLevel="1">
      <c r="A3005" s="335"/>
      <c r="B3005" s="118" t="s">
        <v>12</v>
      </c>
      <c r="C3005" s="334" t="s">
        <v>10570</v>
      </c>
      <c r="D3005" s="124" t="s">
        <v>10571</v>
      </c>
      <c r="E3005" s="125"/>
      <c r="F3005" s="118" t="s">
        <v>828</v>
      </c>
      <c r="G3005" s="126" t="s">
        <v>10304</v>
      </c>
      <c r="H3005" s="255">
        <v>5</v>
      </c>
      <c r="I3005" s="361">
        <v>1</v>
      </c>
      <c r="J3005" s="362" t="s">
        <v>286</v>
      </c>
      <c r="K3005" s="363"/>
      <c r="L3005" s="129"/>
      <c r="M3005" s="129"/>
      <c r="N3005" s="129"/>
      <c r="O3005" s="129"/>
      <c r="P3005" s="364"/>
      <c r="Q3005" s="364"/>
      <c r="R3005" s="129"/>
      <c r="S3005" s="129"/>
      <c r="T3005" s="129"/>
      <c r="W3005" s="129" t="s">
        <v>286</v>
      </c>
      <c r="X3005" s="337" t="b">
        <f t="shared" si="81"/>
        <v>1</v>
      </c>
    </row>
    <row r="3006" spans="1:24" s="337" customFormat="1" ht="12" customHeight="1" outlineLevel="1">
      <c r="A3006" s="335"/>
      <c r="B3006" s="118" t="s">
        <v>12</v>
      </c>
      <c r="C3006" s="334" t="s">
        <v>10572</v>
      </c>
      <c r="D3006" s="124" t="s">
        <v>10573</v>
      </c>
      <c r="E3006" s="125"/>
      <c r="F3006" s="118" t="s">
        <v>828</v>
      </c>
      <c r="G3006" s="126" t="s">
        <v>10304</v>
      </c>
      <c r="H3006" s="255">
        <v>5</v>
      </c>
      <c r="I3006" s="361">
        <v>1</v>
      </c>
      <c r="J3006" s="362" t="s">
        <v>286</v>
      </c>
      <c r="K3006" s="363"/>
      <c r="L3006" s="129"/>
      <c r="M3006" s="129"/>
      <c r="N3006" s="129"/>
      <c r="O3006" s="129"/>
      <c r="P3006" s="364"/>
      <c r="Q3006" s="364"/>
      <c r="R3006" s="129"/>
      <c r="S3006" s="129"/>
      <c r="T3006" s="129"/>
      <c r="W3006" s="129" t="s">
        <v>286</v>
      </c>
      <c r="X3006" s="337" t="b">
        <f t="shared" si="81"/>
        <v>1</v>
      </c>
    </row>
    <row r="3007" spans="1:24" s="337" customFormat="1" ht="12" customHeight="1" outlineLevel="1">
      <c r="A3007" s="335"/>
      <c r="B3007" s="118" t="s">
        <v>12</v>
      </c>
      <c r="C3007" s="334" t="s">
        <v>10574</v>
      </c>
      <c r="D3007" s="124" t="s">
        <v>10575</v>
      </c>
      <c r="E3007" s="125"/>
      <c r="F3007" s="118" t="s">
        <v>828</v>
      </c>
      <c r="G3007" s="126" t="s">
        <v>10304</v>
      </c>
      <c r="H3007" s="255">
        <v>5</v>
      </c>
      <c r="I3007" s="361">
        <v>1</v>
      </c>
      <c r="J3007" s="362" t="s">
        <v>286</v>
      </c>
      <c r="K3007" s="363"/>
      <c r="L3007" s="129"/>
      <c r="M3007" s="129"/>
      <c r="N3007" s="129"/>
      <c r="O3007" s="129"/>
      <c r="P3007" s="364"/>
      <c r="Q3007" s="364"/>
      <c r="R3007" s="129"/>
      <c r="S3007" s="129"/>
      <c r="T3007" s="129"/>
      <c r="W3007" s="129" t="s">
        <v>286</v>
      </c>
      <c r="X3007" s="337" t="b">
        <f t="shared" si="81"/>
        <v>1</v>
      </c>
    </row>
    <row r="3008" spans="1:24" s="337" customFormat="1" ht="12" customHeight="1" outlineLevel="1">
      <c r="A3008" s="335"/>
      <c r="B3008" s="118" t="s">
        <v>12</v>
      </c>
      <c r="C3008" s="334" t="s">
        <v>10576</v>
      </c>
      <c r="D3008" s="124" t="s">
        <v>10577</v>
      </c>
      <c r="E3008" s="125"/>
      <c r="F3008" s="118" t="s">
        <v>828</v>
      </c>
      <c r="G3008" s="126" t="s">
        <v>10304</v>
      </c>
      <c r="H3008" s="255">
        <v>5</v>
      </c>
      <c r="I3008" s="361">
        <v>1</v>
      </c>
      <c r="J3008" s="362" t="s">
        <v>286</v>
      </c>
      <c r="K3008" s="363"/>
      <c r="L3008" s="129"/>
      <c r="M3008" s="129"/>
      <c r="N3008" s="129"/>
      <c r="O3008" s="129"/>
      <c r="P3008" s="364"/>
      <c r="Q3008" s="364"/>
      <c r="R3008" s="129"/>
      <c r="S3008" s="129"/>
      <c r="T3008" s="129"/>
      <c r="W3008" s="129" t="s">
        <v>286</v>
      </c>
      <c r="X3008" s="337" t="b">
        <f t="shared" si="81"/>
        <v>1</v>
      </c>
    </row>
    <row r="3009" spans="1:24" s="337" customFormat="1" ht="12" customHeight="1" outlineLevel="1">
      <c r="A3009" s="335"/>
      <c r="B3009" s="118" t="s">
        <v>12</v>
      </c>
      <c r="C3009" s="334" t="s">
        <v>10578</v>
      </c>
      <c r="D3009" s="124" t="s">
        <v>10579</v>
      </c>
      <c r="E3009" s="125"/>
      <c r="F3009" s="118" t="s">
        <v>828</v>
      </c>
      <c r="G3009" s="126" t="s">
        <v>10304</v>
      </c>
      <c r="H3009" s="255">
        <v>5</v>
      </c>
      <c r="I3009" s="361">
        <v>1</v>
      </c>
      <c r="J3009" s="362" t="s">
        <v>286</v>
      </c>
      <c r="K3009" s="363"/>
      <c r="L3009" s="129"/>
      <c r="M3009" s="129"/>
      <c r="N3009" s="129"/>
      <c r="O3009" s="129"/>
      <c r="P3009" s="364"/>
      <c r="Q3009" s="364"/>
      <c r="R3009" s="129"/>
      <c r="S3009" s="129"/>
      <c r="T3009" s="129"/>
      <c r="W3009" s="129" t="s">
        <v>286</v>
      </c>
      <c r="X3009" s="337" t="b">
        <f t="shared" si="81"/>
        <v>1</v>
      </c>
    </row>
    <row r="3010" spans="1:24" s="337" customFormat="1" ht="12" customHeight="1" outlineLevel="1">
      <c r="A3010" s="335"/>
      <c r="B3010" s="118" t="s">
        <v>12</v>
      </c>
      <c r="C3010" s="334" t="s">
        <v>10580</v>
      </c>
      <c r="D3010" s="124" t="s">
        <v>10581</v>
      </c>
      <c r="E3010" s="125"/>
      <c r="F3010" s="118" t="s">
        <v>828</v>
      </c>
      <c r="G3010" s="126" t="s">
        <v>10304</v>
      </c>
      <c r="H3010" s="255">
        <v>5</v>
      </c>
      <c r="I3010" s="361">
        <v>1</v>
      </c>
      <c r="J3010" s="362" t="s">
        <v>286</v>
      </c>
      <c r="K3010" s="363"/>
      <c r="L3010" s="129"/>
      <c r="M3010" s="129"/>
      <c r="N3010" s="129"/>
      <c r="O3010" s="129"/>
      <c r="P3010" s="364"/>
      <c r="Q3010" s="364"/>
      <c r="R3010" s="129"/>
      <c r="S3010" s="129"/>
      <c r="T3010" s="129"/>
      <c r="W3010" s="129" t="s">
        <v>286</v>
      </c>
      <c r="X3010" s="337" t="b">
        <f t="shared" si="81"/>
        <v>1</v>
      </c>
    </row>
    <row r="3011" spans="1:24" s="337" customFormat="1" ht="12" customHeight="1" outlineLevel="1">
      <c r="A3011" s="335"/>
      <c r="B3011" s="118" t="s">
        <v>12</v>
      </c>
      <c r="C3011" s="334" t="s">
        <v>10582</v>
      </c>
      <c r="D3011" s="124" t="s">
        <v>10583</v>
      </c>
      <c r="E3011" s="125"/>
      <c r="F3011" s="118" t="s">
        <v>828</v>
      </c>
      <c r="G3011" s="126" t="s">
        <v>10304</v>
      </c>
      <c r="H3011" s="255">
        <v>5</v>
      </c>
      <c r="I3011" s="361">
        <v>1</v>
      </c>
      <c r="J3011" s="362" t="s">
        <v>286</v>
      </c>
      <c r="K3011" s="363"/>
      <c r="L3011" s="129"/>
      <c r="M3011" s="129"/>
      <c r="N3011" s="129"/>
      <c r="O3011" s="129"/>
      <c r="P3011" s="364"/>
      <c r="Q3011" s="364"/>
      <c r="R3011" s="129"/>
      <c r="S3011" s="129"/>
      <c r="T3011" s="129"/>
      <c r="W3011" s="129" t="s">
        <v>286</v>
      </c>
      <c r="X3011" s="337" t="b">
        <f t="shared" si="81"/>
        <v>1</v>
      </c>
    </row>
    <row r="3012" spans="1:24" s="337" customFormat="1" ht="12" customHeight="1" outlineLevel="1">
      <c r="A3012" s="335"/>
      <c r="B3012" s="118" t="s">
        <v>12</v>
      </c>
      <c r="C3012" s="334" t="s">
        <v>10584</v>
      </c>
      <c r="D3012" s="124" t="s">
        <v>10585</v>
      </c>
      <c r="E3012" s="125"/>
      <c r="F3012" s="118" t="s">
        <v>828</v>
      </c>
      <c r="G3012" s="126" t="s">
        <v>10304</v>
      </c>
      <c r="H3012" s="255">
        <v>5</v>
      </c>
      <c r="I3012" s="361">
        <v>1</v>
      </c>
      <c r="J3012" s="362" t="s">
        <v>286</v>
      </c>
      <c r="K3012" s="363"/>
      <c r="L3012" s="129"/>
      <c r="M3012" s="129"/>
      <c r="N3012" s="129"/>
      <c r="O3012" s="129"/>
      <c r="P3012" s="364"/>
      <c r="Q3012" s="364"/>
      <c r="R3012" s="129"/>
      <c r="S3012" s="129"/>
      <c r="T3012" s="129"/>
      <c r="W3012" s="129" t="s">
        <v>286</v>
      </c>
      <c r="X3012" s="337" t="b">
        <f t="shared" si="81"/>
        <v>1</v>
      </c>
    </row>
    <row r="3013" spans="1:24" s="337" customFormat="1" ht="12" customHeight="1" outlineLevel="1">
      <c r="A3013" s="335"/>
      <c r="B3013" s="118" t="s">
        <v>12</v>
      </c>
      <c r="C3013" s="334" t="s">
        <v>10586</v>
      </c>
      <c r="D3013" s="124" t="s">
        <v>10587</v>
      </c>
      <c r="E3013" s="125"/>
      <c r="F3013" s="118" t="s">
        <v>828</v>
      </c>
      <c r="G3013" s="126" t="s">
        <v>10304</v>
      </c>
      <c r="H3013" s="255">
        <v>5</v>
      </c>
      <c r="I3013" s="361">
        <v>1</v>
      </c>
      <c r="J3013" s="362" t="s">
        <v>286</v>
      </c>
      <c r="K3013" s="363"/>
      <c r="L3013" s="129"/>
      <c r="M3013" s="129"/>
      <c r="N3013" s="129"/>
      <c r="O3013" s="129"/>
      <c r="P3013" s="364"/>
      <c r="Q3013" s="364"/>
      <c r="R3013" s="129"/>
      <c r="S3013" s="129"/>
      <c r="T3013" s="129"/>
      <c r="W3013" s="129" t="s">
        <v>286</v>
      </c>
      <c r="X3013" s="337" t="b">
        <f t="shared" si="81"/>
        <v>1</v>
      </c>
    </row>
    <row r="3014" spans="1:24" s="337" customFormat="1" ht="12" customHeight="1" outlineLevel="1">
      <c r="A3014" s="335"/>
      <c r="B3014" s="118" t="s">
        <v>12</v>
      </c>
      <c r="C3014" s="334" t="s">
        <v>10588</v>
      </c>
      <c r="D3014" s="124" t="s">
        <v>10589</v>
      </c>
      <c r="E3014" s="125"/>
      <c r="F3014" s="118" t="s">
        <v>828</v>
      </c>
      <c r="G3014" s="126" t="s">
        <v>10304</v>
      </c>
      <c r="H3014" s="255">
        <v>5</v>
      </c>
      <c r="I3014" s="361">
        <v>1</v>
      </c>
      <c r="J3014" s="362" t="s">
        <v>286</v>
      </c>
      <c r="K3014" s="363"/>
      <c r="L3014" s="129"/>
      <c r="M3014" s="129"/>
      <c r="N3014" s="129"/>
      <c r="O3014" s="129"/>
      <c r="P3014" s="364"/>
      <c r="Q3014" s="364"/>
      <c r="R3014" s="129"/>
      <c r="S3014" s="129"/>
      <c r="T3014" s="129"/>
      <c r="W3014" s="129" t="s">
        <v>286</v>
      </c>
      <c r="X3014" s="337" t="b">
        <f t="shared" si="81"/>
        <v>1</v>
      </c>
    </row>
    <row r="3015" spans="1:24" s="337" customFormat="1" ht="12" customHeight="1" outlineLevel="1">
      <c r="A3015" s="335"/>
      <c r="B3015" s="118" t="s">
        <v>12</v>
      </c>
      <c r="C3015" s="334" t="s">
        <v>10590</v>
      </c>
      <c r="D3015" s="124" t="s">
        <v>10591</v>
      </c>
      <c r="E3015" s="125"/>
      <c r="F3015" s="118" t="s">
        <v>828</v>
      </c>
      <c r="G3015" s="126" t="s">
        <v>10304</v>
      </c>
      <c r="H3015" s="255">
        <v>5</v>
      </c>
      <c r="I3015" s="361">
        <v>1</v>
      </c>
      <c r="J3015" s="362" t="s">
        <v>286</v>
      </c>
      <c r="K3015" s="363"/>
      <c r="L3015" s="129"/>
      <c r="M3015" s="129"/>
      <c r="N3015" s="129"/>
      <c r="O3015" s="129"/>
      <c r="P3015" s="364"/>
      <c r="Q3015" s="364"/>
      <c r="R3015" s="129"/>
      <c r="S3015" s="129"/>
      <c r="T3015" s="129"/>
      <c r="W3015" s="129" t="s">
        <v>286</v>
      </c>
      <c r="X3015" s="337" t="b">
        <f t="shared" si="81"/>
        <v>1</v>
      </c>
    </row>
    <row r="3016" spans="1:24" s="337" customFormat="1" ht="12" customHeight="1" outlineLevel="1">
      <c r="A3016" s="335"/>
      <c r="B3016" s="118" t="s">
        <v>12</v>
      </c>
      <c r="C3016" s="334" t="s">
        <v>10592</v>
      </c>
      <c r="D3016" s="124" t="s">
        <v>10593</v>
      </c>
      <c r="E3016" s="125"/>
      <c r="F3016" s="118" t="s">
        <v>828</v>
      </c>
      <c r="G3016" s="126" t="s">
        <v>10304</v>
      </c>
      <c r="H3016" s="255">
        <v>5</v>
      </c>
      <c r="I3016" s="361">
        <v>1</v>
      </c>
      <c r="J3016" s="362" t="s">
        <v>286</v>
      </c>
      <c r="K3016" s="363"/>
      <c r="L3016" s="129"/>
      <c r="M3016" s="129"/>
      <c r="N3016" s="129"/>
      <c r="O3016" s="129"/>
      <c r="P3016" s="364"/>
      <c r="Q3016" s="364"/>
      <c r="R3016" s="129"/>
      <c r="S3016" s="129"/>
      <c r="T3016" s="129"/>
      <c r="W3016" s="129" t="s">
        <v>286</v>
      </c>
      <c r="X3016" s="337" t="b">
        <f t="shared" si="81"/>
        <v>1</v>
      </c>
    </row>
    <row r="3017" spans="1:24" s="337" customFormat="1" ht="12" customHeight="1" outlineLevel="1">
      <c r="A3017" s="335"/>
      <c r="B3017" s="118" t="s">
        <v>12</v>
      </c>
      <c r="C3017" s="334" t="s">
        <v>10594</v>
      </c>
      <c r="D3017" s="124" t="s">
        <v>10595</v>
      </c>
      <c r="E3017" s="125"/>
      <c r="F3017" s="118" t="s">
        <v>828</v>
      </c>
      <c r="G3017" s="126" t="s">
        <v>10304</v>
      </c>
      <c r="H3017" s="255">
        <v>5</v>
      </c>
      <c r="I3017" s="361">
        <v>1</v>
      </c>
      <c r="J3017" s="362" t="s">
        <v>286</v>
      </c>
      <c r="K3017" s="363"/>
      <c r="L3017" s="129"/>
      <c r="M3017" s="129"/>
      <c r="N3017" s="129"/>
      <c r="O3017" s="129"/>
      <c r="P3017" s="364"/>
      <c r="Q3017" s="364"/>
      <c r="R3017" s="129"/>
      <c r="S3017" s="129"/>
      <c r="T3017" s="129"/>
      <c r="W3017" s="129" t="s">
        <v>286</v>
      </c>
      <c r="X3017" s="337" t="b">
        <f t="shared" si="81"/>
        <v>1</v>
      </c>
    </row>
    <row r="3018" spans="1:24" s="337" customFormat="1" ht="12" customHeight="1" outlineLevel="1">
      <c r="A3018" s="335"/>
      <c r="B3018" s="118" t="s">
        <v>12</v>
      </c>
      <c r="C3018" s="334" t="s">
        <v>10596</v>
      </c>
      <c r="D3018" s="124" t="s">
        <v>10597</v>
      </c>
      <c r="E3018" s="125"/>
      <c r="F3018" s="118" t="s">
        <v>828</v>
      </c>
      <c r="G3018" s="126" t="s">
        <v>10304</v>
      </c>
      <c r="H3018" s="255">
        <v>5</v>
      </c>
      <c r="I3018" s="361">
        <v>1</v>
      </c>
      <c r="J3018" s="362" t="s">
        <v>286</v>
      </c>
      <c r="K3018" s="363"/>
      <c r="L3018" s="129"/>
      <c r="M3018" s="129"/>
      <c r="N3018" s="129"/>
      <c r="O3018" s="129"/>
      <c r="P3018" s="364"/>
      <c r="Q3018" s="364"/>
      <c r="R3018" s="129"/>
      <c r="S3018" s="129"/>
      <c r="T3018" s="129"/>
      <c r="W3018" s="129" t="s">
        <v>286</v>
      </c>
      <c r="X3018" s="337" t="b">
        <f t="shared" si="81"/>
        <v>1</v>
      </c>
    </row>
    <row r="3019" spans="1:24" s="337" customFormat="1" ht="12" customHeight="1" outlineLevel="1">
      <c r="A3019" s="335"/>
      <c r="B3019" s="118" t="s">
        <v>12</v>
      </c>
      <c r="C3019" s="334" t="s">
        <v>10598</v>
      </c>
      <c r="D3019" s="124" t="s">
        <v>10599</v>
      </c>
      <c r="E3019" s="125"/>
      <c r="F3019" s="118" t="s">
        <v>828</v>
      </c>
      <c r="G3019" s="126" t="s">
        <v>10304</v>
      </c>
      <c r="H3019" s="255">
        <v>5</v>
      </c>
      <c r="I3019" s="361">
        <v>1</v>
      </c>
      <c r="J3019" s="362" t="s">
        <v>310</v>
      </c>
      <c r="K3019" s="363"/>
      <c r="L3019" s="129"/>
      <c r="M3019" s="129"/>
      <c r="N3019" s="129"/>
      <c r="O3019" s="129"/>
      <c r="P3019" s="364"/>
      <c r="Q3019" s="364"/>
      <c r="R3019" s="129"/>
      <c r="S3019" s="129"/>
      <c r="T3019" s="129"/>
      <c r="W3019" s="129" t="s">
        <v>310</v>
      </c>
      <c r="X3019" s="337" t="b">
        <f t="shared" si="81"/>
        <v>1</v>
      </c>
    </row>
    <row r="3020" spans="1:24" s="337" customFormat="1" ht="12" customHeight="1" outlineLevel="1">
      <c r="A3020" s="335"/>
      <c r="B3020" s="118" t="s">
        <v>12</v>
      </c>
      <c r="C3020" s="334" t="s">
        <v>10600</v>
      </c>
      <c r="D3020" s="124" t="s">
        <v>10601</v>
      </c>
      <c r="E3020" s="125"/>
      <c r="F3020" s="118" t="s">
        <v>828</v>
      </c>
      <c r="G3020" s="126" t="s">
        <v>10304</v>
      </c>
      <c r="H3020" s="255">
        <v>5</v>
      </c>
      <c r="I3020" s="361">
        <v>1</v>
      </c>
      <c r="J3020" s="362" t="s">
        <v>310</v>
      </c>
      <c r="K3020" s="363"/>
      <c r="L3020" s="129"/>
      <c r="M3020" s="129"/>
      <c r="N3020" s="129"/>
      <c r="O3020" s="129"/>
      <c r="P3020" s="364"/>
      <c r="Q3020" s="364"/>
      <c r="R3020" s="129"/>
      <c r="S3020" s="129"/>
      <c r="T3020" s="129"/>
      <c r="W3020" s="129" t="s">
        <v>310</v>
      </c>
      <c r="X3020" s="337" t="b">
        <f t="shared" si="81"/>
        <v>1</v>
      </c>
    </row>
    <row r="3021" spans="1:24" s="337" customFormat="1" ht="12" customHeight="1" outlineLevel="1">
      <c r="A3021" s="335"/>
      <c r="B3021" s="118" t="s">
        <v>12</v>
      </c>
      <c r="C3021" s="334" t="s">
        <v>10602</v>
      </c>
      <c r="D3021" s="124" t="s">
        <v>10603</v>
      </c>
      <c r="E3021" s="125"/>
      <c r="F3021" s="118" t="s">
        <v>828</v>
      </c>
      <c r="G3021" s="126" t="s">
        <v>10304</v>
      </c>
      <c r="H3021" s="255">
        <v>5</v>
      </c>
      <c r="I3021" s="361">
        <v>1</v>
      </c>
      <c r="J3021" s="362" t="s">
        <v>286</v>
      </c>
      <c r="K3021" s="363"/>
      <c r="L3021" s="129"/>
      <c r="M3021" s="129"/>
      <c r="N3021" s="129"/>
      <c r="O3021" s="129"/>
      <c r="P3021" s="364"/>
      <c r="Q3021" s="364"/>
      <c r="R3021" s="129"/>
      <c r="S3021" s="129"/>
      <c r="T3021" s="129"/>
      <c r="W3021" s="129" t="s">
        <v>286</v>
      </c>
      <c r="X3021" s="337" t="b">
        <f t="shared" si="81"/>
        <v>1</v>
      </c>
    </row>
    <row r="3022" spans="1:24" s="337" customFormat="1" ht="12" customHeight="1" outlineLevel="1">
      <c r="A3022" s="335"/>
      <c r="B3022" s="118" t="s">
        <v>12</v>
      </c>
      <c r="C3022" s="334" t="s">
        <v>10604</v>
      </c>
      <c r="D3022" s="124" t="s">
        <v>10605</v>
      </c>
      <c r="E3022" s="125"/>
      <c r="F3022" s="118" t="s">
        <v>828</v>
      </c>
      <c r="G3022" s="126" t="s">
        <v>10304</v>
      </c>
      <c r="H3022" s="255">
        <v>5</v>
      </c>
      <c r="I3022" s="361">
        <v>1</v>
      </c>
      <c r="J3022" s="362" t="s">
        <v>286</v>
      </c>
      <c r="K3022" s="363"/>
      <c r="L3022" s="129"/>
      <c r="M3022" s="129"/>
      <c r="N3022" s="129"/>
      <c r="O3022" s="129"/>
      <c r="P3022" s="364"/>
      <c r="Q3022" s="364"/>
      <c r="R3022" s="129"/>
      <c r="S3022" s="129"/>
      <c r="T3022" s="129"/>
      <c r="W3022" s="129" t="s">
        <v>286</v>
      </c>
      <c r="X3022" s="337" t="b">
        <f t="shared" si="81"/>
        <v>1</v>
      </c>
    </row>
    <row r="3023" spans="1:24" s="337" customFormat="1" ht="12" customHeight="1" outlineLevel="1">
      <c r="A3023" s="335"/>
      <c r="B3023" s="118" t="s">
        <v>12</v>
      </c>
      <c r="C3023" s="334" t="s">
        <v>10606</v>
      </c>
      <c r="D3023" s="124" t="s">
        <v>10607</v>
      </c>
      <c r="E3023" s="125"/>
      <c r="F3023" s="118" t="s">
        <v>828</v>
      </c>
      <c r="G3023" s="126" t="s">
        <v>10304</v>
      </c>
      <c r="H3023" s="255">
        <v>5</v>
      </c>
      <c r="I3023" s="361">
        <v>1</v>
      </c>
      <c r="J3023" s="362" t="s">
        <v>286</v>
      </c>
      <c r="K3023" s="363"/>
      <c r="L3023" s="129"/>
      <c r="M3023" s="129"/>
      <c r="N3023" s="129"/>
      <c r="O3023" s="129"/>
      <c r="P3023" s="364"/>
      <c r="Q3023" s="364"/>
      <c r="R3023" s="129"/>
      <c r="S3023" s="129"/>
      <c r="T3023" s="129"/>
      <c r="W3023" s="129" t="s">
        <v>286</v>
      </c>
      <c r="X3023" s="337" t="b">
        <f t="shared" si="81"/>
        <v>1</v>
      </c>
    </row>
    <row r="3024" spans="1:24" s="337" customFormat="1" ht="12" customHeight="1" outlineLevel="1">
      <c r="A3024" s="335"/>
      <c r="B3024" s="118" t="s">
        <v>12</v>
      </c>
      <c r="C3024" s="334" t="s">
        <v>10608</v>
      </c>
      <c r="D3024" s="124" t="s">
        <v>10609</v>
      </c>
      <c r="E3024" s="125"/>
      <c r="F3024" s="118" t="s">
        <v>828</v>
      </c>
      <c r="G3024" s="126" t="s">
        <v>10304</v>
      </c>
      <c r="H3024" s="255">
        <v>5</v>
      </c>
      <c r="I3024" s="361">
        <v>1</v>
      </c>
      <c r="J3024" s="362" t="s">
        <v>286</v>
      </c>
      <c r="K3024" s="363"/>
      <c r="L3024" s="129"/>
      <c r="M3024" s="129"/>
      <c r="N3024" s="129"/>
      <c r="O3024" s="129"/>
      <c r="P3024" s="364"/>
      <c r="Q3024" s="364"/>
      <c r="R3024" s="129"/>
      <c r="S3024" s="129"/>
      <c r="T3024" s="129"/>
      <c r="W3024" s="129" t="s">
        <v>286</v>
      </c>
      <c r="X3024" s="337" t="b">
        <f t="shared" si="81"/>
        <v>1</v>
      </c>
    </row>
    <row r="3025" spans="1:24" s="337" customFormat="1" ht="12" customHeight="1" outlineLevel="1">
      <c r="A3025" s="335"/>
      <c r="B3025" s="118" t="s">
        <v>12</v>
      </c>
      <c r="C3025" s="334" t="s">
        <v>10610</v>
      </c>
      <c r="D3025" s="124" t="s">
        <v>10611</v>
      </c>
      <c r="E3025" s="125"/>
      <c r="F3025" s="118" t="s">
        <v>828</v>
      </c>
      <c r="G3025" s="126" t="s">
        <v>10304</v>
      </c>
      <c r="H3025" s="255">
        <v>5</v>
      </c>
      <c r="I3025" s="361">
        <v>1</v>
      </c>
      <c r="J3025" s="362" t="s">
        <v>286</v>
      </c>
      <c r="K3025" s="363"/>
      <c r="L3025" s="129"/>
      <c r="M3025" s="129"/>
      <c r="N3025" s="129"/>
      <c r="O3025" s="129"/>
      <c r="P3025" s="364"/>
      <c r="Q3025" s="364"/>
      <c r="R3025" s="129"/>
      <c r="S3025" s="129"/>
      <c r="T3025" s="129"/>
      <c r="W3025" s="129" t="s">
        <v>286</v>
      </c>
      <c r="X3025" s="337" t="b">
        <f t="shared" si="81"/>
        <v>1</v>
      </c>
    </row>
    <row r="3026" spans="1:24" s="337" customFormat="1" ht="12" customHeight="1" outlineLevel="1">
      <c r="A3026" s="335"/>
      <c r="B3026" s="118" t="s">
        <v>12</v>
      </c>
      <c r="C3026" s="334" t="s">
        <v>10612</v>
      </c>
      <c r="D3026" s="124" t="s">
        <v>10613</v>
      </c>
      <c r="E3026" s="125"/>
      <c r="F3026" s="118" t="s">
        <v>828</v>
      </c>
      <c r="G3026" s="126" t="s">
        <v>10304</v>
      </c>
      <c r="H3026" s="255">
        <v>5</v>
      </c>
      <c r="I3026" s="361">
        <v>1</v>
      </c>
      <c r="J3026" s="362" t="s">
        <v>286</v>
      </c>
      <c r="K3026" s="363"/>
      <c r="L3026" s="129"/>
      <c r="M3026" s="129"/>
      <c r="N3026" s="129"/>
      <c r="O3026" s="129"/>
      <c r="P3026" s="364"/>
      <c r="Q3026" s="364"/>
      <c r="R3026" s="129"/>
      <c r="S3026" s="129"/>
      <c r="T3026" s="129"/>
      <c r="W3026" s="129" t="s">
        <v>286</v>
      </c>
      <c r="X3026" s="337" t="b">
        <f t="shared" si="81"/>
        <v>1</v>
      </c>
    </row>
    <row r="3027" spans="1:24" s="337" customFormat="1" ht="12" customHeight="1" outlineLevel="1">
      <c r="A3027" s="335"/>
      <c r="B3027" s="118" t="s">
        <v>12</v>
      </c>
      <c r="C3027" s="334" t="s">
        <v>10614</v>
      </c>
      <c r="D3027" s="124" t="s">
        <v>10615</v>
      </c>
      <c r="E3027" s="125"/>
      <c r="F3027" s="118" t="s">
        <v>828</v>
      </c>
      <c r="G3027" s="126" t="s">
        <v>10304</v>
      </c>
      <c r="H3027" s="255">
        <v>5</v>
      </c>
      <c r="I3027" s="361">
        <v>1</v>
      </c>
      <c r="J3027" s="362" t="s">
        <v>286</v>
      </c>
      <c r="K3027" s="363"/>
      <c r="L3027" s="129"/>
      <c r="M3027" s="129"/>
      <c r="N3027" s="129"/>
      <c r="O3027" s="129"/>
      <c r="P3027" s="364"/>
      <c r="Q3027" s="364"/>
      <c r="R3027" s="129"/>
      <c r="S3027" s="129"/>
      <c r="T3027" s="129"/>
      <c r="W3027" s="129" t="s">
        <v>286</v>
      </c>
      <c r="X3027" s="337" t="b">
        <f t="shared" ref="X3027:X3090" si="82">W3027=J3027</f>
        <v>1</v>
      </c>
    </row>
    <row r="3028" spans="1:24" s="337" customFormat="1" ht="12" customHeight="1" outlineLevel="1">
      <c r="A3028" s="335"/>
      <c r="B3028" s="118" t="s">
        <v>12</v>
      </c>
      <c r="C3028" s="334" t="s">
        <v>10616</v>
      </c>
      <c r="D3028" s="124" t="s">
        <v>10617</v>
      </c>
      <c r="E3028" s="125"/>
      <c r="F3028" s="118" t="s">
        <v>828</v>
      </c>
      <c r="G3028" s="126" t="s">
        <v>10304</v>
      </c>
      <c r="H3028" s="255">
        <v>5</v>
      </c>
      <c r="I3028" s="361">
        <v>1</v>
      </c>
      <c r="J3028" s="362" t="s">
        <v>286</v>
      </c>
      <c r="K3028" s="363"/>
      <c r="L3028" s="129"/>
      <c r="M3028" s="129"/>
      <c r="N3028" s="129"/>
      <c r="O3028" s="129"/>
      <c r="P3028" s="364"/>
      <c r="Q3028" s="364"/>
      <c r="R3028" s="129"/>
      <c r="S3028" s="129"/>
      <c r="T3028" s="129"/>
      <c r="W3028" s="129" t="s">
        <v>286</v>
      </c>
      <c r="X3028" s="337" t="b">
        <f t="shared" si="82"/>
        <v>1</v>
      </c>
    </row>
    <row r="3029" spans="1:24" s="337" customFormat="1" ht="12" customHeight="1" outlineLevel="1">
      <c r="A3029" s="335"/>
      <c r="B3029" s="118" t="s">
        <v>12</v>
      </c>
      <c r="C3029" s="334" t="s">
        <v>10618</v>
      </c>
      <c r="D3029" s="124" t="s">
        <v>10619</v>
      </c>
      <c r="E3029" s="125"/>
      <c r="F3029" s="118" t="s">
        <v>828</v>
      </c>
      <c r="G3029" s="126" t="s">
        <v>10304</v>
      </c>
      <c r="H3029" s="255">
        <v>5</v>
      </c>
      <c r="I3029" s="361">
        <v>1</v>
      </c>
      <c r="J3029" s="362" t="s">
        <v>286</v>
      </c>
      <c r="K3029" s="363"/>
      <c r="L3029" s="129"/>
      <c r="M3029" s="129"/>
      <c r="N3029" s="129"/>
      <c r="O3029" s="129"/>
      <c r="P3029" s="364"/>
      <c r="Q3029" s="364"/>
      <c r="R3029" s="129"/>
      <c r="S3029" s="129"/>
      <c r="T3029" s="129"/>
      <c r="W3029" s="129" t="s">
        <v>286</v>
      </c>
      <c r="X3029" s="337" t="b">
        <f t="shared" si="82"/>
        <v>1</v>
      </c>
    </row>
    <row r="3030" spans="1:24" s="337" customFormat="1" ht="12" customHeight="1" outlineLevel="1">
      <c r="A3030" s="335"/>
      <c r="B3030" s="118" t="s">
        <v>12</v>
      </c>
      <c r="C3030" s="334" t="s">
        <v>10620</v>
      </c>
      <c r="D3030" s="124" t="s">
        <v>10621</v>
      </c>
      <c r="E3030" s="125"/>
      <c r="F3030" s="118" t="s">
        <v>828</v>
      </c>
      <c r="G3030" s="126" t="s">
        <v>10304</v>
      </c>
      <c r="H3030" s="255">
        <v>5</v>
      </c>
      <c r="I3030" s="361">
        <v>1</v>
      </c>
      <c r="J3030" s="362" t="s">
        <v>286</v>
      </c>
      <c r="K3030" s="363"/>
      <c r="L3030" s="129"/>
      <c r="M3030" s="129"/>
      <c r="N3030" s="129"/>
      <c r="O3030" s="129"/>
      <c r="P3030" s="364"/>
      <c r="Q3030" s="364"/>
      <c r="R3030" s="129"/>
      <c r="S3030" s="129"/>
      <c r="T3030" s="129"/>
      <c r="W3030" s="129" t="s">
        <v>286</v>
      </c>
      <c r="X3030" s="337" t="b">
        <f t="shared" si="82"/>
        <v>1</v>
      </c>
    </row>
    <row r="3031" spans="1:24" s="337" customFormat="1" ht="12" customHeight="1" outlineLevel="1">
      <c r="A3031" s="335"/>
      <c r="B3031" s="118" t="s">
        <v>12</v>
      </c>
      <c r="C3031" s="334" t="s">
        <v>10622</v>
      </c>
      <c r="D3031" s="124" t="s">
        <v>10623</v>
      </c>
      <c r="E3031" s="125"/>
      <c r="F3031" s="118" t="s">
        <v>828</v>
      </c>
      <c r="G3031" s="126" t="s">
        <v>10304</v>
      </c>
      <c r="H3031" s="255">
        <v>5</v>
      </c>
      <c r="I3031" s="361">
        <v>1</v>
      </c>
      <c r="J3031" s="362" t="s">
        <v>286</v>
      </c>
      <c r="K3031" s="363"/>
      <c r="L3031" s="129"/>
      <c r="M3031" s="129"/>
      <c r="N3031" s="129"/>
      <c r="O3031" s="129"/>
      <c r="P3031" s="364"/>
      <c r="Q3031" s="364"/>
      <c r="R3031" s="129"/>
      <c r="S3031" s="129"/>
      <c r="T3031" s="129"/>
      <c r="W3031" s="129" t="s">
        <v>286</v>
      </c>
      <c r="X3031" s="337" t="b">
        <f t="shared" si="82"/>
        <v>1</v>
      </c>
    </row>
    <row r="3032" spans="1:24" s="337" customFormat="1" ht="12" customHeight="1" outlineLevel="1">
      <c r="A3032" s="335"/>
      <c r="B3032" s="118" t="s">
        <v>12</v>
      </c>
      <c r="C3032" s="334" t="s">
        <v>10624</v>
      </c>
      <c r="D3032" s="124" t="s">
        <v>10625</v>
      </c>
      <c r="E3032" s="125"/>
      <c r="F3032" s="118" t="s">
        <v>828</v>
      </c>
      <c r="G3032" s="126" t="s">
        <v>10304</v>
      </c>
      <c r="H3032" s="255">
        <v>5</v>
      </c>
      <c r="I3032" s="361">
        <v>1</v>
      </c>
      <c r="J3032" s="362" t="s">
        <v>286</v>
      </c>
      <c r="K3032" s="363"/>
      <c r="L3032" s="129"/>
      <c r="M3032" s="129"/>
      <c r="N3032" s="129"/>
      <c r="O3032" s="129"/>
      <c r="P3032" s="364"/>
      <c r="Q3032" s="364"/>
      <c r="R3032" s="129"/>
      <c r="S3032" s="129"/>
      <c r="T3032" s="129"/>
      <c r="W3032" s="129" t="s">
        <v>286</v>
      </c>
      <c r="X3032" s="337" t="b">
        <f t="shared" si="82"/>
        <v>1</v>
      </c>
    </row>
    <row r="3033" spans="1:24" s="337" customFormat="1" ht="12" customHeight="1" outlineLevel="1">
      <c r="A3033" s="335"/>
      <c r="B3033" s="118" t="s">
        <v>12</v>
      </c>
      <c r="C3033" s="334" t="s">
        <v>10626</v>
      </c>
      <c r="D3033" s="124" t="s">
        <v>10627</v>
      </c>
      <c r="E3033" s="125"/>
      <c r="F3033" s="118" t="s">
        <v>828</v>
      </c>
      <c r="G3033" s="126" t="s">
        <v>10304</v>
      </c>
      <c r="H3033" s="255">
        <v>5</v>
      </c>
      <c r="I3033" s="361">
        <v>1</v>
      </c>
      <c r="J3033" s="362" t="s">
        <v>286</v>
      </c>
      <c r="K3033" s="363"/>
      <c r="L3033" s="129"/>
      <c r="M3033" s="129"/>
      <c r="N3033" s="129"/>
      <c r="O3033" s="129"/>
      <c r="P3033" s="364"/>
      <c r="Q3033" s="364"/>
      <c r="R3033" s="129"/>
      <c r="S3033" s="129"/>
      <c r="T3033" s="129"/>
      <c r="W3033" s="129" t="s">
        <v>286</v>
      </c>
      <c r="X3033" s="337" t="b">
        <f t="shared" si="82"/>
        <v>1</v>
      </c>
    </row>
    <row r="3034" spans="1:24" s="337" customFormat="1" ht="12" customHeight="1" outlineLevel="1">
      <c r="A3034" s="335"/>
      <c r="B3034" s="118" t="s">
        <v>12</v>
      </c>
      <c r="C3034" s="334" t="s">
        <v>10628</v>
      </c>
      <c r="D3034" s="124" t="s">
        <v>10629</v>
      </c>
      <c r="E3034" s="125"/>
      <c r="F3034" s="118" t="s">
        <v>828</v>
      </c>
      <c r="G3034" s="126" t="s">
        <v>10304</v>
      </c>
      <c r="H3034" s="255">
        <v>5</v>
      </c>
      <c r="I3034" s="361">
        <v>1</v>
      </c>
      <c r="J3034" s="362" t="s">
        <v>286</v>
      </c>
      <c r="K3034" s="363"/>
      <c r="L3034" s="129"/>
      <c r="M3034" s="129"/>
      <c r="N3034" s="129"/>
      <c r="O3034" s="129"/>
      <c r="P3034" s="364"/>
      <c r="Q3034" s="364"/>
      <c r="R3034" s="129"/>
      <c r="S3034" s="129"/>
      <c r="T3034" s="129"/>
      <c r="W3034" s="129" t="s">
        <v>286</v>
      </c>
      <c r="X3034" s="337" t="b">
        <f t="shared" si="82"/>
        <v>1</v>
      </c>
    </row>
    <row r="3035" spans="1:24" s="337" customFormat="1" ht="12" customHeight="1" outlineLevel="1">
      <c r="A3035" s="335"/>
      <c r="B3035" s="118" t="s">
        <v>12</v>
      </c>
      <c r="C3035" s="334" t="s">
        <v>10630</v>
      </c>
      <c r="D3035" s="124" t="s">
        <v>10631</v>
      </c>
      <c r="E3035" s="125"/>
      <c r="F3035" s="118" t="s">
        <v>828</v>
      </c>
      <c r="G3035" s="126" t="s">
        <v>10304</v>
      </c>
      <c r="H3035" s="255">
        <v>5</v>
      </c>
      <c r="I3035" s="361">
        <v>1</v>
      </c>
      <c r="J3035" s="362" t="s">
        <v>286</v>
      </c>
      <c r="K3035" s="363"/>
      <c r="L3035" s="129"/>
      <c r="M3035" s="129"/>
      <c r="N3035" s="129"/>
      <c r="O3035" s="129"/>
      <c r="P3035" s="364"/>
      <c r="Q3035" s="364"/>
      <c r="R3035" s="129"/>
      <c r="S3035" s="129"/>
      <c r="T3035" s="129"/>
      <c r="W3035" s="129" t="s">
        <v>286</v>
      </c>
      <c r="X3035" s="337" t="b">
        <f t="shared" si="82"/>
        <v>1</v>
      </c>
    </row>
    <row r="3036" spans="1:24" s="337" customFormat="1" ht="12" customHeight="1" outlineLevel="1">
      <c r="A3036" s="335"/>
      <c r="B3036" s="118" t="s">
        <v>12</v>
      </c>
      <c r="C3036" s="334" t="s">
        <v>10632</v>
      </c>
      <c r="D3036" s="124" t="s">
        <v>10633</v>
      </c>
      <c r="E3036" s="125"/>
      <c r="F3036" s="118" t="s">
        <v>828</v>
      </c>
      <c r="G3036" s="126" t="s">
        <v>10304</v>
      </c>
      <c r="H3036" s="255">
        <v>5</v>
      </c>
      <c r="I3036" s="361">
        <v>1</v>
      </c>
      <c r="J3036" s="362" t="s">
        <v>286</v>
      </c>
      <c r="K3036" s="363"/>
      <c r="L3036" s="129"/>
      <c r="M3036" s="129"/>
      <c r="N3036" s="129"/>
      <c r="O3036" s="129"/>
      <c r="P3036" s="364"/>
      <c r="Q3036" s="364"/>
      <c r="R3036" s="129"/>
      <c r="S3036" s="129"/>
      <c r="T3036" s="129"/>
      <c r="W3036" s="129" t="s">
        <v>286</v>
      </c>
      <c r="X3036" s="337" t="b">
        <f t="shared" si="82"/>
        <v>1</v>
      </c>
    </row>
    <row r="3037" spans="1:24" s="337" customFormat="1" ht="12" customHeight="1" outlineLevel="1">
      <c r="A3037" s="335"/>
      <c r="B3037" s="118" t="s">
        <v>12</v>
      </c>
      <c r="C3037" s="334" t="s">
        <v>10634</v>
      </c>
      <c r="D3037" s="124" t="s">
        <v>10635</v>
      </c>
      <c r="E3037" s="125"/>
      <c r="F3037" s="118" t="s">
        <v>828</v>
      </c>
      <c r="G3037" s="126" t="s">
        <v>10304</v>
      </c>
      <c r="H3037" s="255">
        <v>5</v>
      </c>
      <c r="I3037" s="361">
        <v>1</v>
      </c>
      <c r="J3037" s="362" t="s">
        <v>286</v>
      </c>
      <c r="K3037" s="363"/>
      <c r="L3037" s="129"/>
      <c r="M3037" s="129"/>
      <c r="N3037" s="129"/>
      <c r="O3037" s="129"/>
      <c r="P3037" s="364"/>
      <c r="Q3037" s="364"/>
      <c r="R3037" s="129"/>
      <c r="S3037" s="129"/>
      <c r="T3037" s="129"/>
      <c r="W3037" s="129" t="s">
        <v>286</v>
      </c>
      <c r="X3037" s="337" t="b">
        <f t="shared" si="82"/>
        <v>1</v>
      </c>
    </row>
    <row r="3038" spans="1:24" s="337" customFormat="1" ht="12" customHeight="1" outlineLevel="1">
      <c r="A3038" s="335"/>
      <c r="B3038" s="118" t="s">
        <v>12</v>
      </c>
      <c r="C3038" s="334" t="s">
        <v>10636</v>
      </c>
      <c r="D3038" s="124" t="s">
        <v>10637</v>
      </c>
      <c r="E3038" s="125"/>
      <c r="F3038" s="118" t="s">
        <v>828</v>
      </c>
      <c r="G3038" s="126" t="s">
        <v>10304</v>
      </c>
      <c r="H3038" s="255">
        <v>5</v>
      </c>
      <c r="I3038" s="361">
        <v>1</v>
      </c>
      <c r="J3038" s="362" t="s">
        <v>286</v>
      </c>
      <c r="K3038" s="363"/>
      <c r="L3038" s="129"/>
      <c r="M3038" s="129"/>
      <c r="N3038" s="129"/>
      <c r="O3038" s="129"/>
      <c r="P3038" s="364"/>
      <c r="Q3038" s="364"/>
      <c r="R3038" s="129"/>
      <c r="S3038" s="129"/>
      <c r="T3038" s="129"/>
      <c r="W3038" s="129" t="s">
        <v>286</v>
      </c>
      <c r="X3038" s="337" t="b">
        <f t="shared" si="82"/>
        <v>1</v>
      </c>
    </row>
    <row r="3039" spans="1:24" s="337" customFormat="1" ht="12" customHeight="1" outlineLevel="1">
      <c r="A3039" s="335"/>
      <c r="B3039" s="118" t="s">
        <v>12</v>
      </c>
      <c r="C3039" s="334" t="s">
        <v>10638</v>
      </c>
      <c r="D3039" s="124" t="s">
        <v>10639</v>
      </c>
      <c r="E3039" s="125"/>
      <c r="F3039" s="118" t="s">
        <v>828</v>
      </c>
      <c r="G3039" s="126" t="s">
        <v>10304</v>
      </c>
      <c r="H3039" s="255">
        <v>5</v>
      </c>
      <c r="I3039" s="361">
        <v>1</v>
      </c>
      <c r="J3039" s="362" t="s">
        <v>286</v>
      </c>
      <c r="K3039" s="363"/>
      <c r="L3039" s="129"/>
      <c r="M3039" s="129"/>
      <c r="N3039" s="129"/>
      <c r="O3039" s="129"/>
      <c r="P3039" s="364"/>
      <c r="Q3039" s="364"/>
      <c r="R3039" s="129"/>
      <c r="S3039" s="129"/>
      <c r="T3039" s="129"/>
      <c r="W3039" s="129" t="s">
        <v>286</v>
      </c>
      <c r="X3039" s="337" t="b">
        <f t="shared" si="82"/>
        <v>1</v>
      </c>
    </row>
    <row r="3040" spans="1:24" s="337" customFormat="1" ht="12" customHeight="1" outlineLevel="1">
      <c r="A3040" s="335"/>
      <c r="B3040" s="118" t="s">
        <v>12</v>
      </c>
      <c r="C3040" s="334" t="s">
        <v>10640</v>
      </c>
      <c r="D3040" s="124" t="s">
        <v>10641</v>
      </c>
      <c r="E3040" s="125"/>
      <c r="F3040" s="118" t="s">
        <v>828</v>
      </c>
      <c r="G3040" s="126" t="s">
        <v>10304</v>
      </c>
      <c r="H3040" s="255">
        <v>5</v>
      </c>
      <c r="I3040" s="361">
        <v>1</v>
      </c>
      <c r="J3040" s="362" t="s">
        <v>286</v>
      </c>
      <c r="K3040" s="363"/>
      <c r="L3040" s="129"/>
      <c r="M3040" s="129"/>
      <c r="N3040" s="129"/>
      <c r="O3040" s="129"/>
      <c r="P3040" s="364"/>
      <c r="Q3040" s="364"/>
      <c r="R3040" s="129"/>
      <c r="S3040" s="129"/>
      <c r="T3040" s="129"/>
      <c r="W3040" s="129" t="s">
        <v>286</v>
      </c>
      <c r="X3040" s="337" t="b">
        <f t="shared" si="82"/>
        <v>1</v>
      </c>
    </row>
    <row r="3041" spans="1:24" s="337" customFormat="1" ht="12" customHeight="1" outlineLevel="1">
      <c r="A3041" s="335"/>
      <c r="B3041" s="118" t="s">
        <v>12</v>
      </c>
      <c r="C3041" s="334" t="s">
        <v>10642</v>
      </c>
      <c r="D3041" s="124" t="s">
        <v>10643</v>
      </c>
      <c r="E3041" s="125"/>
      <c r="F3041" s="118" t="s">
        <v>828</v>
      </c>
      <c r="G3041" s="126" t="s">
        <v>10304</v>
      </c>
      <c r="H3041" s="255">
        <v>5</v>
      </c>
      <c r="I3041" s="361">
        <v>1</v>
      </c>
      <c r="J3041" s="362" t="s">
        <v>286</v>
      </c>
      <c r="K3041" s="363"/>
      <c r="L3041" s="129"/>
      <c r="M3041" s="129"/>
      <c r="N3041" s="129"/>
      <c r="O3041" s="129"/>
      <c r="P3041" s="364"/>
      <c r="Q3041" s="364"/>
      <c r="R3041" s="129"/>
      <c r="S3041" s="129"/>
      <c r="T3041" s="129"/>
      <c r="W3041" s="129" t="s">
        <v>286</v>
      </c>
      <c r="X3041" s="337" t="b">
        <f t="shared" si="82"/>
        <v>1</v>
      </c>
    </row>
    <row r="3042" spans="1:24" s="337" customFormat="1" ht="12" customHeight="1" outlineLevel="1">
      <c r="A3042" s="335"/>
      <c r="B3042" s="118" t="s">
        <v>12</v>
      </c>
      <c r="C3042" s="334" t="s">
        <v>10644</v>
      </c>
      <c r="D3042" s="124" t="s">
        <v>10645</v>
      </c>
      <c r="E3042" s="125"/>
      <c r="F3042" s="118" t="s">
        <v>828</v>
      </c>
      <c r="G3042" s="126" t="s">
        <v>10304</v>
      </c>
      <c r="H3042" s="255">
        <v>5</v>
      </c>
      <c r="I3042" s="361">
        <v>1</v>
      </c>
      <c r="J3042" s="362" t="s">
        <v>286</v>
      </c>
      <c r="K3042" s="363"/>
      <c r="L3042" s="129"/>
      <c r="M3042" s="129"/>
      <c r="N3042" s="129"/>
      <c r="O3042" s="129"/>
      <c r="P3042" s="364"/>
      <c r="Q3042" s="364"/>
      <c r="R3042" s="129"/>
      <c r="S3042" s="129"/>
      <c r="T3042" s="129"/>
      <c r="W3042" s="129" t="s">
        <v>286</v>
      </c>
      <c r="X3042" s="337" t="b">
        <f t="shared" si="82"/>
        <v>1</v>
      </c>
    </row>
    <row r="3043" spans="1:24" s="337" customFormat="1" ht="12" customHeight="1" outlineLevel="1">
      <c r="A3043" s="335"/>
      <c r="B3043" s="118" t="s">
        <v>12</v>
      </c>
      <c r="C3043" s="334" t="s">
        <v>10646</v>
      </c>
      <c r="D3043" s="124" t="s">
        <v>10647</v>
      </c>
      <c r="E3043" s="125"/>
      <c r="F3043" s="118" t="s">
        <v>828</v>
      </c>
      <c r="G3043" s="126" t="s">
        <v>10304</v>
      </c>
      <c r="H3043" s="255">
        <v>5</v>
      </c>
      <c r="I3043" s="361">
        <v>1</v>
      </c>
      <c r="J3043" s="362" t="s">
        <v>286</v>
      </c>
      <c r="K3043" s="363"/>
      <c r="L3043" s="129"/>
      <c r="M3043" s="129"/>
      <c r="N3043" s="129"/>
      <c r="O3043" s="129"/>
      <c r="P3043" s="364"/>
      <c r="Q3043" s="364"/>
      <c r="R3043" s="129"/>
      <c r="S3043" s="129"/>
      <c r="T3043" s="129"/>
      <c r="W3043" s="129" t="s">
        <v>286</v>
      </c>
      <c r="X3043" s="337" t="b">
        <f t="shared" si="82"/>
        <v>1</v>
      </c>
    </row>
    <row r="3044" spans="1:24" s="337" customFormat="1" ht="12" customHeight="1" outlineLevel="1">
      <c r="A3044" s="335"/>
      <c r="B3044" s="118" t="s">
        <v>12</v>
      </c>
      <c r="C3044" s="334" t="s">
        <v>10648</v>
      </c>
      <c r="D3044" s="124" t="s">
        <v>10649</v>
      </c>
      <c r="E3044" s="125"/>
      <c r="F3044" s="118" t="s">
        <v>828</v>
      </c>
      <c r="G3044" s="126" t="s">
        <v>10304</v>
      </c>
      <c r="H3044" s="255">
        <v>5</v>
      </c>
      <c r="I3044" s="361">
        <v>1</v>
      </c>
      <c r="J3044" s="362" t="s">
        <v>286</v>
      </c>
      <c r="K3044" s="363"/>
      <c r="L3044" s="129"/>
      <c r="M3044" s="129"/>
      <c r="N3044" s="129"/>
      <c r="O3044" s="129"/>
      <c r="P3044" s="364"/>
      <c r="Q3044" s="364"/>
      <c r="R3044" s="129"/>
      <c r="S3044" s="129"/>
      <c r="T3044" s="129"/>
      <c r="W3044" s="129" t="s">
        <v>286</v>
      </c>
      <c r="X3044" s="337" t="b">
        <f t="shared" si="82"/>
        <v>1</v>
      </c>
    </row>
    <row r="3045" spans="1:24" s="337" customFormat="1" ht="12" customHeight="1" outlineLevel="1">
      <c r="A3045" s="335"/>
      <c r="B3045" s="118" t="s">
        <v>12</v>
      </c>
      <c r="C3045" s="334" t="s">
        <v>10650</v>
      </c>
      <c r="D3045" s="124" t="s">
        <v>10651</v>
      </c>
      <c r="E3045" s="125"/>
      <c r="F3045" s="118" t="s">
        <v>828</v>
      </c>
      <c r="G3045" s="126" t="s">
        <v>10304</v>
      </c>
      <c r="H3045" s="255">
        <v>5</v>
      </c>
      <c r="I3045" s="361">
        <v>1</v>
      </c>
      <c r="J3045" s="362" t="s">
        <v>286</v>
      </c>
      <c r="K3045" s="363"/>
      <c r="L3045" s="129"/>
      <c r="M3045" s="129"/>
      <c r="N3045" s="129"/>
      <c r="O3045" s="129"/>
      <c r="P3045" s="364"/>
      <c r="Q3045" s="364"/>
      <c r="R3045" s="129"/>
      <c r="S3045" s="129"/>
      <c r="T3045" s="129"/>
      <c r="W3045" s="129" t="s">
        <v>286</v>
      </c>
      <c r="X3045" s="337" t="b">
        <f t="shared" si="82"/>
        <v>1</v>
      </c>
    </row>
    <row r="3046" spans="1:24" s="337" customFormat="1" ht="12" customHeight="1" outlineLevel="1">
      <c r="A3046" s="335"/>
      <c r="B3046" s="118" t="s">
        <v>12</v>
      </c>
      <c r="C3046" s="334" t="s">
        <v>10652</v>
      </c>
      <c r="D3046" s="124" t="s">
        <v>10653</v>
      </c>
      <c r="E3046" s="125"/>
      <c r="F3046" s="118" t="s">
        <v>828</v>
      </c>
      <c r="G3046" s="126" t="s">
        <v>10304</v>
      </c>
      <c r="H3046" s="255">
        <v>5</v>
      </c>
      <c r="I3046" s="361">
        <v>1</v>
      </c>
      <c r="J3046" s="362" t="s">
        <v>286</v>
      </c>
      <c r="K3046" s="363"/>
      <c r="L3046" s="129"/>
      <c r="M3046" s="129"/>
      <c r="N3046" s="129"/>
      <c r="O3046" s="129"/>
      <c r="P3046" s="364"/>
      <c r="Q3046" s="364"/>
      <c r="R3046" s="129"/>
      <c r="S3046" s="129"/>
      <c r="T3046" s="129"/>
      <c r="W3046" s="129" t="s">
        <v>286</v>
      </c>
      <c r="X3046" s="337" t="b">
        <f t="shared" si="82"/>
        <v>1</v>
      </c>
    </row>
    <row r="3047" spans="1:24" s="337" customFormat="1" ht="12" customHeight="1" outlineLevel="1">
      <c r="A3047" s="335"/>
      <c r="B3047" s="118" t="s">
        <v>12</v>
      </c>
      <c r="C3047" s="334" t="s">
        <v>10654</v>
      </c>
      <c r="D3047" s="124" t="s">
        <v>10655</v>
      </c>
      <c r="E3047" s="125"/>
      <c r="F3047" s="118" t="s">
        <v>828</v>
      </c>
      <c r="G3047" s="126" t="s">
        <v>10304</v>
      </c>
      <c r="H3047" s="255">
        <v>5</v>
      </c>
      <c r="I3047" s="361">
        <v>1</v>
      </c>
      <c r="J3047" s="362" t="s">
        <v>286</v>
      </c>
      <c r="K3047" s="363"/>
      <c r="L3047" s="129"/>
      <c r="M3047" s="129"/>
      <c r="N3047" s="129"/>
      <c r="O3047" s="129"/>
      <c r="P3047" s="364"/>
      <c r="Q3047" s="364"/>
      <c r="R3047" s="129"/>
      <c r="S3047" s="129"/>
      <c r="T3047" s="129"/>
      <c r="W3047" s="129" t="s">
        <v>286</v>
      </c>
      <c r="X3047" s="337" t="b">
        <f t="shared" si="82"/>
        <v>1</v>
      </c>
    </row>
    <row r="3048" spans="1:24" s="337" customFormat="1" ht="12" customHeight="1" outlineLevel="1">
      <c r="A3048" s="335"/>
      <c r="B3048" s="118" t="s">
        <v>12</v>
      </c>
      <c r="C3048" s="334" t="s">
        <v>10656</v>
      </c>
      <c r="D3048" s="124" t="s">
        <v>10657</v>
      </c>
      <c r="E3048" s="125"/>
      <c r="F3048" s="118" t="s">
        <v>828</v>
      </c>
      <c r="G3048" s="126" t="s">
        <v>10304</v>
      </c>
      <c r="H3048" s="255">
        <v>5</v>
      </c>
      <c r="I3048" s="361">
        <v>1</v>
      </c>
      <c r="J3048" s="362" t="s">
        <v>286</v>
      </c>
      <c r="K3048" s="363"/>
      <c r="L3048" s="129"/>
      <c r="M3048" s="129"/>
      <c r="N3048" s="129"/>
      <c r="O3048" s="129"/>
      <c r="P3048" s="364"/>
      <c r="Q3048" s="364"/>
      <c r="R3048" s="129"/>
      <c r="S3048" s="129"/>
      <c r="T3048" s="129"/>
      <c r="W3048" s="129" t="s">
        <v>286</v>
      </c>
      <c r="X3048" s="337" t="b">
        <f t="shared" si="82"/>
        <v>1</v>
      </c>
    </row>
    <row r="3049" spans="1:24" s="337" customFormat="1" ht="12" customHeight="1" outlineLevel="1">
      <c r="A3049" s="335"/>
      <c r="B3049" s="118" t="s">
        <v>12</v>
      </c>
      <c r="C3049" s="334" t="s">
        <v>10658</v>
      </c>
      <c r="D3049" s="124" t="s">
        <v>10659</v>
      </c>
      <c r="E3049" s="125"/>
      <c r="F3049" s="118" t="s">
        <v>828</v>
      </c>
      <c r="G3049" s="126" t="s">
        <v>10304</v>
      </c>
      <c r="H3049" s="255">
        <v>5</v>
      </c>
      <c r="I3049" s="361">
        <v>1</v>
      </c>
      <c r="J3049" s="362" t="s">
        <v>286</v>
      </c>
      <c r="K3049" s="363"/>
      <c r="L3049" s="129"/>
      <c r="M3049" s="129"/>
      <c r="N3049" s="129"/>
      <c r="O3049" s="129"/>
      <c r="P3049" s="364"/>
      <c r="Q3049" s="364"/>
      <c r="R3049" s="129"/>
      <c r="S3049" s="129"/>
      <c r="T3049" s="129"/>
      <c r="W3049" s="129" t="s">
        <v>286</v>
      </c>
      <c r="X3049" s="337" t="b">
        <f t="shared" si="82"/>
        <v>1</v>
      </c>
    </row>
    <row r="3050" spans="1:24" s="337" customFormat="1" ht="12" customHeight="1" outlineLevel="1">
      <c r="A3050" s="335"/>
      <c r="B3050" s="118" t="s">
        <v>12</v>
      </c>
      <c r="C3050" s="334" t="s">
        <v>10660</v>
      </c>
      <c r="D3050" s="124" t="s">
        <v>10661</v>
      </c>
      <c r="E3050" s="125"/>
      <c r="F3050" s="118" t="s">
        <v>828</v>
      </c>
      <c r="G3050" s="126" t="s">
        <v>10304</v>
      </c>
      <c r="H3050" s="255">
        <v>5</v>
      </c>
      <c r="I3050" s="361">
        <v>1</v>
      </c>
      <c r="J3050" s="362" t="s">
        <v>286</v>
      </c>
      <c r="K3050" s="363"/>
      <c r="L3050" s="129"/>
      <c r="M3050" s="129"/>
      <c r="N3050" s="129"/>
      <c r="O3050" s="129"/>
      <c r="P3050" s="364"/>
      <c r="Q3050" s="364"/>
      <c r="R3050" s="129"/>
      <c r="S3050" s="129"/>
      <c r="T3050" s="129"/>
      <c r="W3050" s="129" t="s">
        <v>286</v>
      </c>
      <c r="X3050" s="337" t="b">
        <f t="shared" si="82"/>
        <v>1</v>
      </c>
    </row>
    <row r="3051" spans="1:24" s="337" customFormat="1" ht="12" customHeight="1" outlineLevel="1">
      <c r="A3051" s="335"/>
      <c r="B3051" s="118" t="s">
        <v>12</v>
      </c>
      <c r="C3051" s="334" t="s">
        <v>10662</v>
      </c>
      <c r="D3051" s="124" t="s">
        <v>10663</v>
      </c>
      <c r="E3051" s="125"/>
      <c r="F3051" s="118" t="s">
        <v>828</v>
      </c>
      <c r="G3051" s="126" t="s">
        <v>10304</v>
      </c>
      <c r="H3051" s="255">
        <v>5</v>
      </c>
      <c r="I3051" s="361">
        <v>1</v>
      </c>
      <c r="J3051" s="362" t="s">
        <v>286</v>
      </c>
      <c r="K3051" s="363"/>
      <c r="L3051" s="129"/>
      <c r="M3051" s="129"/>
      <c r="N3051" s="129"/>
      <c r="O3051" s="129"/>
      <c r="P3051" s="364"/>
      <c r="Q3051" s="364"/>
      <c r="R3051" s="129"/>
      <c r="S3051" s="129"/>
      <c r="T3051" s="129"/>
      <c r="W3051" s="129" t="s">
        <v>286</v>
      </c>
      <c r="X3051" s="337" t="b">
        <f t="shared" si="82"/>
        <v>1</v>
      </c>
    </row>
    <row r="3052" spans="1:24" s="337" customFormat="1" ht="12" customHeight="1" outlineLevel="1">
      <c r="A3052" s="335"/>
      <c r="B3052" s="118" t="s">
        <v>12</v>
      </c>
      <c r="C3052" s="334" t="s">
        <v>10664</v>
      </c>
      <c r="D3052" s="124" t="s">
        <v>10665</v>
      </c>
      <c r="E3052" s="125"/>
      <c r="F3052" s="118" t="s">
        <v>828</v>
      </c>
      <c r="G3052" s="126" t="s">
        <v>10304</v>
      </c>
      <c r="H3052" s="255">
        <v>5</v>
      </c>
      <c r="I3052" s="361">
        <v>1</v>
      </c>
      <c r="J3052" s="362" t="s">
        <v>286</v>
      </c>
      <c r="K3052" s="363"/>
      <c r="L3052" s="129"/>
      <c r="M3052" s="129"/>
      <c r="N3052" s="129"/>
      <c r="O3052" s="129"/>
      <c r="P3052" s="364"/>
      <c r="Q3052" s="364"/>
      <c r="R3052" s="129"/>
      <c r="S3052" s="129"/>
      <c r="T3052" s="129"/>
      <c r="W3052" s="129" t="s">
        <v>286</v>
      </c>
      <c r="X3052" s="337" t="b">
        <f t="shared" si="82"/>
        <v>1</v>
      </c>
    </row>
    <row r="3053" spans="1:24" s="337" customFormat="1" ht="12" customHeight="1" outlineLevel="1">
      <c r="A3053" s="335"/>
      <c r="B3053" s="118" t="s">
        <v>12</v>
      </c>
      <c r="C3053" s="334" t="s">
        <v>10666</v>
      </c>
      <c r="D3053" s="124" t="s">
        <v>10667</v>
      </c>
      <c r="E3053" s="125"/>
      <c r="F3053" s="118" t="s">
        <v>828</v>
      </c>
      <c r="G3053" s="126" t="s">
        <v>10304</v>
      </c>
      <c r="H3053" s="255">
        <v>5</v>
      </c>
      <c r="I3053" s="361">
        <v>1</v>
      </c>
      <c r="J3053" s="362" t="s">
        <v>286</v>
      </c>
      <c r="K3053" s="363"/>
      <c r="L3053" s="129"/>
      <c r="M3053" s="129"/>
      <c r="N3053" s="129"/>
      <c r="O3053" s="129"/>
      <c r="P3053" s="364"/>
      <c r="Q3053" s="364"/>
      <c r="R3053" s="129"/>
      <c r="S3053" s="129"/>
      <c r="T3053" s="129"/>
      <c r="W3053" s="129" t="s">
        <v>286</v>
      </c>
      <c r="X3053" s="337" t="b">
        <f t="shared" si="82"/>
        <v>1</v>
      </c>
    </row>
    <row r="3054" spans="1:24" s="337" customFormat="1" ht="12" customHeight="1" outlineLevel="1">
      <c r="A3054" s="335"/>
      <c r="B3054" s="118" t="s">
        <v>12</v>
      </c>
      <c r="C3054" s="334" t="s">
        <v>10668</v>
      </c>
      <c r="D3054" s="124" t="s">
        <v>10669</v>
      </c>
      <c r="E3054" s="125"/>
      <c r="F3054" s="118" t="s">
        <v>828</v>
      </c>
      <c r="G3054" s="126" t="s">
        <v>10304</v>
      </c>
      <c r="H3054" s="255">
        <v>5</v>
      </c>
      <c r="I3054" s="361">
        <v>1</v>
      </c>
      <c r="J3054" s="362" t="s">
        <v>286</v>
      </c>
      <c r="K3054" s="363"/>
      <c r="L3054" s="129"/>
      <c r="M3054" s="129"/>
      <c r="N3054" s="129"/>
      <c r="O3054" s="129"/>
      <c r="P3054" s="364"/>
      <c r="Q3054" s="364"/>
      <c r="R3054" s="129"/>
      <c r="S3054" s="129"/>
      <c r="T3054" s="129"/>
      <c r="W3054" s="129" t="s">
        <v>286</v>
      </c>
      <c r="X3054" s="337" t="b">
        <f t="shared" si="82"/>
        <v>1</v>
      </c>
    </row>
    <row r="3055" spans="1:24" s="337" customFormat="1" ht="12" customHeight="1" outlineLevel="1">
      <c r="A3055" s="335"/>
      <c r="B3055" s="118" t="s">
        <v>12</v>
      </c>
      <c r="C3055" s="334" t="s">
        <v>10670</v>
      </c>
      <c r="D3055" s="124" t="s">
        <v>10671</v>
      </c>
      <c r="E3055" s="125"/>
      <c r="F3055" s="118" t="s">
        <v>828</v>
      </c>
      <c r="G3055" s="126" t="s">
        <v>10304</v>
      </c>
      <c r="H3055" s="255">
        <v>5</v>
      </c>
      <c r="I3055" s="361">
        <v>1</v>
      </c>
      <c r="J3055" s="362" t="s">
        <v>286</v>
      </c>
      <c r="K3055" s="363"/>
      <c r="L3055" s="129"/>
      <c r="M3055" s="129"/>
      <c r="N3055" s="129"/>
      <c r="O3055" s="129"/>
      <c r="P3055" s="364"/>
      <c r="Q3055" s="364"/>
      <c r="R3055" s="129"/>
      <c r="S3055" s="129"/>
      <c r="T3055" s="129"/>
      <c r="W3055" s="129" t="s">
        <v>286</v>
      </c>
      <c r="X3055" s="337" t="b">
        <f t="shared" si="82"/>
        <v>1</v>
      </c>
    </row>
    <row r="3056" spans="1:24" s="337" customFormat="1" ht="12" customHeight="1" outlineLevel="1">
      <c r="A3056" s="335"/>
      <c r="B3056" s="118" t="s">
        <v>12</v>
      </c>
      <c r="C3056" s="334" t="s">
        <v>10672</v>
      </c>
      <c r="D3056" s="124" t="s">
        <v>10673</v>
      </c>
      <c r="E3056" s="125"/>
      <c r="F3056" s="118" t="s">
        <v>828</v>
      </c>
      <c r="G3056" s="126" t="s">
        <v>10304</v>
      </c>
      <c r="H3056" s="255">
        <v>5</v>
      </c>
      <c r="I3056" s="361">
        <v>1</v>
      </c>
      <c r="J3056" s="362" t="s">
        <v>286</v>
      </c>
      <c r="K3056" s="363"/>
      <c r="L3056" s="129"/>
      <c r="M3056" s="129"/>
      <c r="N3056" s="129"/>
      <c r="O3056" s="129"/>
      <c r="P3056" s="364"/>
      <c r="Q3056" s="364"/>
      <c r="R3056" s="129"/>
      <c r="S3056" s="129"/>
      <c r="T3056" s="129"/>
      <c r="W3056" s="129" t="s">
        <v>286</v>
      </c>
      <c r="X3056" s="337" t="b">
        <f t="shared" si="82"/>
        <v>1</v>
      </c>
    </row>
    <row r="3057" spans="1:24" s="337" customFormat="1" ht="12" customHeight="1" outlineLevel="1">
      <c r="A3057" s="335"/>
      <c r="B3057" s="118" t="s">
        <v>12</v>
      </c>
      <c r="C3057" s="334" t="s">
        <v>10674</v>
      </c>
      <c r="D3057" s="124" t="s">
        <v>10675</v>
      </c>
      <c r="E3057" s="125"/>
      <c r="F3057" s="118" t="s">
        <v>828</v>
      </c>
      <c r="G3057" s="126" t="s">
        <v>10304</v>
      </c>
      <c r="H3057" s="255">
        <v>5</v>
      </c>
      <c r="I3057" s="361">
        <v>1</v>
      </c>
      <c r="J3057" s="362" t="s">
        <v>286</v>
      </c>
      <c r="K3057" s="363"/>
      <c r="L3057" s="129"/>
      <c r="M3057" s="129"/>
      <c r="N3057" s="129"/>
      <c r="O3057" s="129"/>
      <c r="P3057" s="364"/>
      <c r="Q3057" s="364"/>
      <c r="R3057" s="129"/>
      <c r="S3057" s="129"/>
      <c r="T3057" s="129"/>
      <c r="W3057" s="129" t="s">
        <v>286</v>
      </c>
      <c r="X3057" s="337" t="b">
        <f t="shared" si="82"/>
        <v>1</v>
      </c>
    </row>
    <row r="3058" spans="1:24" s="337" customFormat="1" ht="12" customHeight="1" outlineLevel="1">
      <c r="A3058" s="335"/>
      <c r="B3058" s="118" t="s">
        <v>12</v>
      </c>
      <c r="C3058" s="334" t="s">
        <v>10676</v>
      </c>
      <c r="D3058" s="124" t="s">
        <v>10677</v>
      </c>
      <c r="E3058" s="125"/>
      <c r="F3058" s="118" t="s">
        <v>828</v>
      </c>
      <c r="G3058" s="126" t="s">
        <v>10304</v>
      </c>
      <c r="H3058" s="255">
        <v>5</v>
      </c>
      <c r="I3058" s="361">
        <v>1</v>
      </c>
      <c r="J3058" s="362" t="s">
        <v>286</v>
      </c>
      <c r="K3058" s="363"/>
      <c r="L3058" s="129"/>
      <c r="M3058" s="129"/>
      <c r="N3058" s="129"/>
      <c r="O3058" s="129"/>
      <c r="P3058" s="364"/>
      <c r="Q3058" s="364"/>
      <c r="R3058" s="129"/>
      <c r="S3058" s="129"/>
      <c r="T3058" s="129"/>
      <c r="W3058" s="129" t="s">
        <v>286</v>
      </c>
      <c r="X3058" s="337" t="b">
        <f t="shared" si="82"/>
        <v>1</v>
      </c>
    </row>
    <row r="3059" spans="1:24" s="337" customFormat="1" ht="12" customHeight="1" outlineLevel="1">
      <c r="A3059" s="335"/>
      <c r="B3059" s="118" t="s">
        <v>12</v>
      </c>
      <c r="C3059" s="334" t="s">
        <v>10678</v>
      </c>
      <c r="D3059" s="124" t="s">
        <v>10679</v>
      </c>
      <c r="E3059" s="125"/>
      <c r="F3059" s="118" t="s">
        <v>828</v>
      </c>
      <c r="G3059" s="126" t="s">
        <v>10304</v>
      </c>
      <c r="H3059" s="255">
        <v>5</v>
      </c>
      <c r="I3059" s="361">
        <v>1</v>
      </c>
      <c r="J3059" s="362" t="s">
        <v>286</v>
      </c>
      <c r="K3059" s="363"/>
      <c r="L3059" s="129"/>
      <c r="M3059" s="129"/>
      <c r="N3059" s="129"/>
      <c r="O3059" s="129"/>
      <c r="P3059" s="364"/>
      <c r="Q3059" s="364"/>
      <c r="R3059" s="129"/>
      <c r="S3059" s="129"/>
      <c r="T3059" s="129"/>
      <c r="W3059" s="129" t="s">
        <v>286</v>
      </c>
      <c r="X3059" s="337" t="b">
        <f t="shared" si="82"/>
        <v>1</v>
      </c>
    </row>
    <row r="3060" spans="1:24" s="337" customFormat="1" ht="12" customHeight="1" outlineLevel="1">
      <c r="A3060" s="335"/>
      <c r="B3060" s="118" t="s">
        <v>12</v>
      </c>
      <c r="C3060" s="334" t="s">
        <v>10680</v>
      </c>
      <c r="D3060" s="124" t="s">
        <v>10681</v>
      </c>
      <c r="E3060" s="125"/>
      <c r="F3060" s="118" t="s">
        <v>828</v>
      </c>
      <c r="G3060" s="126" t="s">
        <v>10304</v>
      </c>
      <c r="H3060" s="255">
        <v>5</v>
      </c>
      <c r="I3060" s="361">
        <v>1</v>
      </c>
      <c r="J3060" s="362" t="s">
        <v>286</v>
      </c>
      <c r="K3060" s="363"/>
      <c r="L3060" s="129"/>
      <c r="M3060" s="129"/>
      <c r="N3060" s="129"/>
      <c r="O3060" s="129"/>
      <c r="P3060" s="364"/>
      <c r="Q3060" s="364"/>
      <c r="R3060" s="129"/>
      <c r="S3060" s="129"/>
      <c r="T3060" s="129"/>
      <c r="W3060" s="129" t="s">
        <v>286</v>
      </c>
      <c r="X3060" s="337" t="b">
        <f t="shared" si="82"/>
        <v>1</v>
      </c>
    </row>
    <row r="3061" spans="1:24" s="337" customFormat="1" ht="12" customHeight="1" outlineLevel="1">
      <c r="A3061" s="335"/>
      <c r="B3061" s="118" t="s">
        <v>12</v>
      </c>
      <c r="C3061" s="334" t="s">
        <v>10682</v>
      </c>
      <c r="D3061" s="124" t="s">
        <v>10683</v>
      </c>
      <c r="E3061" s="125"/>
      <c r="F3061" s="118" t="s">
        <v>828</v>
      </c>
      <c r="G3061" s="126" t="s">
        <v>10304</v>
      </c>
      <c r="H3061" s="255">
        <v>5</v>
      </c>
      <c r="I3061" s="361">
        <v>1</v>
      </c>
      <c r="J3061" s="362" t="s">
        <v>286</v>
      </c>
      <c r="K3061" s="363"/>
      <c r="L3061" s="129"/>
      <c r="M3061" s="129"/>
      <c r="N3061" s="129"/>
      <c r="O3061" s="129"/>
      <c r="P3061" s="364"/>
      <c r="Q3061" s="364"/>
      <c r="R3061" s="129"/>
      <c r="S3061" s="129"/>
      <c r="T3061" s="129"/>
      <c r="W3061" s="129" t="s">
        <v>286</v>
      </c>
      <c r="X3061" s="337" t="b">
        <f t="shared" si="82"/>
        <v>1</v>
      </c>
    </row>
    <row r="3062" spans="1:24" s="337" customFormat="1" ht="12" customHeight="1" outlineLevel="1">
      <c r="A3062" s="335"/>
      <c r="B3062" s="118" t="s">
        <v>12</v>
      </c>
      <c r="C3062" s="334" t="s">
        <v>10684</v>
      </c>
      <c r="D3062" s="124" t="s">
        <v>10685</v>
      </c>
      <c r="E3062" s="125"/>
      <c r="F3062" s="118" t="s">
        <v>828</v>
      </c>
      <c r="G3062" s="126" t="s">
        <v>10304</v>
      </c>
      <c r="H3062" s="255">
        <v>5</v>
      </c>
      <c r="I3062" s="361">
        <v>1</v>
      </c>
      <c r="J3062" s="362" t="s">
        <v>286</v>
      </c>
      <c r="K3062" s="363"/>
      <c r="L3062" s="129"/>
      <c r="M3062" s="129"/>
      <c r="N3062" s="129"/>
      <c r="O3062" s="129"/>
      <c r="P3062" s="364"/>
      <c r="Q3062" s="364"/>
      <c r="R3062" s="129"/>
      <c r="S3062" s="129"/>
      <c r="T3062" s="129"/>
      <c r="W3062" s="129" t="s">
        <v>286</v>
      </c>
      <c r="X3062" s="337" t="b">
        <f t="shared" si="82"/>
        <v>1</v>
      </c>
    </row>
    <row r="3063" spans="1:24" s="337" customFormat="1" ht="12" customHeight="1" outlineLevel="1">
      <c r="A3063" s="335"/>
      <c r="B3063" s="118" t="s">
        <v>12</v>
      </c>
      <c r="C3063" s="334" t="s">
        <v>10686</v>
      </c>
      <c r="D3063" s="124" t="s">
        <v>10687</v>
      </c>
      <c r="E3063" s="125"/>
      <c r="F3063" s="118" t="s">
        <v>828</v>
      </c>
      <c r="G3063" s="126" t="s">
        <v>10304</v>
      </c>
      <c r="H3063" s="255">
        <v>5</v>
      </c>
      <c r="I3063" s="361">
        <v>1</v>
      </c>
      <c r="J3063" s="362" t="s">
        <v>286</v>
      </c>
      <c r="K3063" s="363"/>
      <c r="L3063" s="129"/>
      <c r="M3063" s="129"/>
      <c r="N3063" s="129"/>
      <c r="O3063" s="129"/>
      <c r="P3063" s="364"/>
      <c r="Q3063" s="364"/>
      <c r="R3063" s="129"/>
      <c r="S3063" s="129"/>
      <c r="T3063" s="129"/>
      <c r="W3063" s="129" t="s">
        <v>286</v>
      </c>
      <c r="X3063" s="337" t="b">
        <f t="shared" si="82"/>
        <v>1</v>
      </c>
    </row>
    <row r="3064" spans="1:24" s="337" customFormat="1" ht="12" customHeight="1" outlineLevel="1">
      <c r="A3064" s="335"/>
      <c r="B3064" s="118" t="s">
        <v>12</v>
      </c>
      <c r="C3064" s="334" t="s">
        <v>10688</v>
      </c>
      <c r="D3064" s="124" t="s">
        <v>10689</v>
      </c>
      <c r="E3064" s="125"/>
      <c r="F3064" s="118" t="s">
        <v>828</v>
      </c>
      <c r="G3064" s="126" t="s">
        <v>10304</v>
      </c>
      <c r="H3064" s="255">
        <v>5</v>
      </c>
      <c r="I3064" s="361">
        <v>1</v>
      </c>
      <c r="J3064" s="362" t="s">
        <v>286</v>
      </c>
      <c r="K3064" s="363"/>
      <c r="L3064" s="129"/>
      <c r="M3064" s="129"/>
      <c r="N3064" s="129"/>
      <c r="O3064" s="129"/>
      <c r="P3064" s="364"/>
      <c r="Q3064" s="364"/>
      <c r="R3064" s="129"/>
      <c r="S3064" s="129"/>
      <c r="T3064" s="129"/>
      <c r="W3064" s="129" t="s">
        <v>286</v>
      </c>
      <c r="X3064" s="337" t="b">
        <f t="shared" si="82"/>
        <v>1</v>
      </c>
    </row>
    <row r="3065" spans="1:24" s="337" customFormat="1" ht="12" customHeight="1" outlineLevel="1">
      <c r="A3065" s="335"/>
      <c r="B3065" s="118" t="s">
        <v>12</v>
      </c>
      <c r="C3065" s="334" t="s">
        <v>10690</v>
      </c>
      <c r="D3065" s="124" t="s">
        <v>10691</v>
      </c>
      <c r="E3065" s="125"/>
      <c r="F3065" s="118" t="s">
        <v>828</v>
      </c>
      <c r="G3065" s="126" t="s">
        <v>10304</v>
      </c>
      <c r="H3065" s="255">
        <v>5</v>
      </c>
      <c r="I3065" s="361">
        <v>1</v>
      </c>
      <c r="J3065" s="362" t="s">
        <v>286</v>
      </c>
      <c r="K3065" s="363"/>
      <c r="L3065" s="129"/>
      <c r="M3065" s="129"/>
      <c r="N3065" s="129"/>
      <c r="O3065" s="129"/>
      <c r="P3065" s="364"/>
      <c r="Q3065" s="364"/>
      <c r="R3065" s="129"/>
      <c r="S3065" s="129"/>
      <c r="T3065" s="129"/>
      <c r="W3065" s="129" t="s">
        <v>286</v>
      </c>
      <c r="X3065" s="337" t="b">
        <f t="shared" si="82"/>
        <v>1</v>
      </c>
    </row>
    <row r="3066" spans="1:24" s="337" customFormat="1" ht="12" customHeight="1" outlineLevel="1">
      <c r="A3066" s="335"/>
      <c r="B3066" s="118" t="s">
        <v>12</v>
      </c>
      <c r="C3066" s="334" t="s">
        <v>10692</v>
      </c>
      <c r="D3066" s="124" t="s">
        <v>10693</v>
      </c>
      <c r="E3066" s="125"/>
      <c r="F3066" s="118" t="s">
        <v>828</v>
      </c>
      <c r="G3066" s="126" t="s">
        <v>10304</v>
      </c>
      <c r="H3066" s="255">
        <v>5</v>
      </c>
      <c r="I3066" s="361">
        <v>1</v>
      </c>
      <c r="J3066" s="362" t="s">
        <v>286</v>
      </c>
      <c r="K3066" s="363"/>
      <c r="L3066" s="129"/>
      <c r="M3066" s="129"/>
      <c r="N3066" s="129"/>
      <c r="O3066" s="129"/>
      <c r="P3066" s="364"/>
      <c r="Q3066" s="364"/>
      <c r="R3066" s="129"/>
      <c r="S3066" s="129"/>
      <c r="T3066" s="129"/>
      <c r="W3066" s="129" t="s">
        <v>286</v>
      </c>
      <c r="X3066" s="337" t="b">
        <f t="shared" si="82"/>
        <v>1</v>
      </c>
    </row>
    <row r="3067" spans="1:24" s="337" customFormat="1" ht="12" customHeight="1" outlineLevel="1">
      <c r="A3067" s="335"/>
      <c r="B3067" s="118" t="s">
        <v>12</v>
      </c>
      <c r="C3067" s="334" t="s">
        <v>10694</v>
      </c>
      <c r="D3067" s="124" t="s">
        <v>10695</v>
      </c>
      <c r="E3067" s="125"/>
      <c r="F3067" s="118" t="s">
        <v>828</v>
      </c>
      <c r="G3067" s="126" t="s">
        <v>10304</v>
      </c>
      <c r="H3067" s="255">
        <v>5</v>
      </c>
      <c r="I3067" s="361">
        <v>1</v>
      </c>
      <c r="J3067" s="362" t="s">
        <v>286</v>
      </c>
      <c r="K3067" s="363"/>
      <c r="L3067" s="129"/>
      <c r="M3067" s="129"/>
      <c r="N3067" s="129"/>
      <c r="O3067" s="129"/>
      <c r="P3067" s="364"/>
      <c r="Q3067" s="364"/>
      <c r="R3067" s="129"/>
      <c r="S3067" s="129"/>
      <c r="T3067" s="129"/>
      <c r="W3067" s="129" t="s">
        <v>286</v>
      </c>
      <c r="X3067" s="337" t="b">
        <f t="shared" si="82"/>
        <v>1</v>
      </c>
    </row>
    <row r="3068" spans="1:24" s="337" customFormat="1" ht="12" customHeight="1" outlineLevel="1">
      <c r="A3068" s="335"/>
      <c r="B3068" s="118" t="s">
        <v>12</v>
      </c>
      <c r="C3068" s="334" t="s">
        <v>10696</v>
      </c>
      <c r="D3068" s="124" t="s">
        <v>10697</v>
      </c>
      <c r="E3068" s="125"/>
      <c r="F3068" s="118" t="s">
        <v>828</v>
      </c>
      <c r="G3068" s="126" t="s">
        <v>10304</v>
      </c>
      <c r="H3068" s="255">
        <v>5</v>
      </c>
      <c r="I3068" s="361">
        <v>1</v>
      </c>
      <c r="J3068" s="362" t="s">
        <v>286</v>
      </c>
      <c r="K3068" s="363"/>
      <c r="L3068" s="129"/>
      <c r="M3068" s="129"/>
      <c r="N3068" s="129"/>
      <c r="O3068" s="129"/>
      <c r="P3068" s="364"/>
      <c r="Q3068" s="364"/>
      <c r="R3068" s="129"/>
      <c r="S3068" s="129"/>
      <c r="T3068" s="129"/>
      <c r="W3068" s="129" t="s">
        <v>286</v>
      </c>
      <c r="X3068" s="337" t="b">
        <f t="shared" si="82"/>
        <v>1</v>
      </c>
    </row>
    <row r="3069" spans="1:24" s="337" customFormat="1" ht="12" customHeight="1" outlineLevel="1">
      <c r="A3069" s="335"/>
      <c r="B3069" s="118" t="s">
        <v>12</v>
      </c>
      <c r="C3069" s="334" t="s">
        <v>10698</v>
      </c>
      <c r="D3069" s="124" t="s">
        <v>10699</v>
      </c>
      <c r="E3069" s="125"/>
      <c r="F3069" s="118" t="s">
        <v>828</v>
      </c>
      <c r="G3069" s="126" t="s">
        <v>10304</v>
      </c>
      <c r="H3069" s="255">
        <v>5</v>
      </c>
      <c r="I3069" s="361">
        <v>1</v>
      </c>
      <c r="J3069" s="362" t="s">
        <v>286</v>
      </c>
      <c r="K3069" s="363"/>
      <c r="L3069" s="129"/>
      <c r="M3069" s="129"/>
      <c r="N3069" s="129"/>
      <c r="O3069" s="129"/>
      <c r="P3069" s="364"/>
      <c r="Q3069" s="364"/>
      <c r="R3069" s="129"/>
      <c r="S3069" s="129"/>
      <c r="T3069" s="129"/>
      <c r="W3069" s="129" t="s">
        <v>286</v>
      </c>
      <c r="X3069" s="337" t="b">
        <f t="shared" si="82"/>
        <v>1</v>
      </c>
    </row>
    <row r="3070" spans="1:24" s="337" customFormat="1" ht="12" customHeight="1" outlineLevel="1">
      <c r="A3070" s="335"/>
      <c r="B3070" s="118" t="s">
        <v>12</v>
      </c>
      <c r="C3070" s="334" t="s">
        <v>10700</v>
      </c>
      <c r="D3070" s="124" t="s">
        <v>10701</v>
      </c>
      <c r="E3070" s="125"/>
      <c r="F3070" s="118" t="s">
        <v>828</v>
      </c>
      <c r="G3070" s="126" t="s">
        <v>10304</v>
      </c>
      <c r="H3070" s="255">
        <v>5</v>
      </c>
      <c r="I3070" s="361">
        <v>1</v>
      </c>
      <c r="J3070" s="362" t="s">
        <v>286</v>
      </c>
      <c r="K3070" s="363"/>
      <c r="L3070" s="129"/>
      <c r="M3070" s="129"/>
      <c r="N3070" s="129"/>
      <c r="O3070" s="129"/>
      <c r="P3070" s="364"/>
      <c r="Q3070" s="364"/>
      <c r="R3070" s="129"/>
      <c r="S3070" s="129"/>
      <c r="T3070" s="129"/>
      <c r="W3070" s="129" t="s">
        <v>286</v>
      </c>
      <c r="X3070" s="337" t="b">
        <f t="shared" si="82"/>
        <v>1</v>
      </c>
    </row>
    <row r="3071" spans="1:24" s="337" customFormat="1" ht="12" customHeight="1" outlineLevel="1">
      <c r="A3071" s="335"/>
      <c r="B3071" s="118" t="s">
        <v>12</v>
      </c>
      <c r="C3071" s="334" t="s">
        <v>10702</v>
      </c>
      <c r="D3071" s="124" t="s">
        <v>10703</v>
      </c>
      <c r="E3071" s="125"/>
      <c r="F3071" s="118" t="s">
        <v>828</v>
      </c>
      <c r="G3071" s="126" t="s">
        <v>10304</v>
      </c>
      <c r="H3071" s="255">
        <v>5</v>
      </c>
      <c r="I3071" s="361">
        <v>1</v>
      </c>
      <c r="J3071" s="362" t="s">
        <v>286</v>
      </c>
      <c r="K3071" s="363"/>
      <c r="L3071" s="129"/>
      <c r="M3071" s="129"/>
      <c r="N3071" s="129"/>
      <c r="O3071" s="129"/>
      <c r="P3071" s="364"/>
      <c r="Q3071" s="364"/>
      <c r="R3071" s="129"/>
      <c r="S3071" s="129"/>
      <c r="T3071" s="129"/>
      <c r="W3071" s="129" t="s">
        <v>286</v>
      </c>
      <c r="X3071" s="337" t="b">
        <f t="shared" si="82"/>
        <v>1</v>
      </c>
    </row>
    <row r="3072" spans="1:24" s="337" customFormat="1" ht="12" customHeight="1" outlineLevel="1">
      <c r="A3072" s="335"/>
      <c r="B3072" s="118" t="s">
        <v>12</v>
      </c>
      <c r="C3072" s="334" t="s">
        <v>10704</v>
      </c>
      <c r="D3072" s="124" t="s">
        <v>10705</v>
      </c>
      <c r="E3072" s="125"/>
      <c r="F3072" s="118" t="s">
        <v>828</v>
      </c>
      <c r="G3072" s="126" t="s">
        <v>10304</v>
      </c>
      <c r="H3072" s="255">
        <v>5</v>
      </c>
      <c r="I3072" s="361">
        <v>1</v>
      </c>
      <c r="J3072" s="362" t="s">
        <v>286</v>
      </c>
      <c r="K3072" s="363"/>
      <c r="L3072" s="129"/>
      <c r="M3072" s="129"/>
      <c r="N3072" s="129"/>
      <c r="O3072" s="129"/>
      <c r="P3072" s="364"/>
      <c r="Q3072" s="364"/>
      <c r="R3072" s="129"/>
      <c r="S3072" s="129"/>
      <c r="T3072" s="129"/>
      <c r="W3072" s="129" t="s">
        <v>286</v>
      </c>
      <c r="X3072" s="337" t="b">
        <f t="shared" si="82"/>
        <v>1</v>
      </c>
    </row>
    <row r="3073" spans="1:24" s="337" customFormat="1" ht="12" customHeight="1" outlineLevel="1">
      <c r="A3073" s="335"/>
      <c r="B3073" s="118" t="s">
        <v>12</v>
      </c>
      <c r="C3073" s="334" t="s">
        <v>10706</v>
      </c>
      <c r="D3073" s="124" t="s">
        <v>10707</v>
      </c>
      <c r="E3073" s="125"/>
      <c r="F3073" s="118" t="s">
        <v>828</v>
      </c>
      <c r="G3073" s="126" t="s">
        <v>10304</v>
      </c>
      <c r="H3073" s="255">
        <v>5</v>
      </c>
      <c r="I3073" s="361">
        <v>1</v>
      </c>
      <c r="J3073" s="362" t="s">
        <v>286</v>
      </c>
      <c r="K3073" s="363"/>
      <c r="L3073" s="129"/>
      <c r="M3073" s="129"/>
      <c r="N3073" s="129"/>
      <c r="O3073" s="129"/>
      <c r="P3073" s="364"/>
      <c r="Q3073" s="364"/>
      <c r="R3073" s="129"/>
      <c r="S3073" s="129"/>
      <c r="T3073" s="129"/>
      <c r="W3073" s="129" t="s">
        <v>286</v>
      </c>
      <c r="X3073" s="337" t="b">
        <f t="shared" si="82"/>
        <v>1</v>
      </c>
    </row>
    <row r="3074" spans="1:24" s="337" customFormat="1" ht="12" customHeight="1" outlineLevel="1">
      <c r="A3074" s="335"/>
      <c r="B3074" s="118" t="s">
        <v>12</v>
      </c>
      <c r="C3074" s="334" t="s">
        <v>10708</v>
      </c>
      <c r="D3074" s="124" t="s">
        <v>10709</v>
      </c>
      <c r="E3074" s="125"/>
      <c r="F3074" s="118" t="s">
        <v>828</v>
      </c>
      <c r="G3074" s="126" t="s">
        <v>10304</v>
      </c>
      <c r="H3074" s="255">
        <v>5</v>
      </c>
      <c r="I3074" s="361">
        <v>1</v>
      </c>
      <c r="J3074" s="362" t="s">
        <v>286</v>
      </c>
      <c r="K3074" s="363"/>
      <c r="L3074" s="129"/>
      <c r="M3074" s="129"/>
      <c r="N3074" s="129"/>
      <c r="O3074" s="129"/>
      <c r="P3074" s="364"/>
      <c r="Q3074" s="364"/>
      <c r="R3074" s="129"/>
      <c r="S3074" s="129"/>
      <c r="T3074" s="129"/>
      <c r="W3074" s="129" t="s">
        <v>286</v>
      </c>
      <c r="X3074" s="337" t="b">
        <f t="shared" si="82"/>
        <v>1</v>
      </c>
    </row>
    <row r="3075" spans="1:24" s="337" customFormat="1" ht="12" customHeight="1" outlineLevel="1">
      <c r="A3075" s="335"/>
      <c r="B3075" s="118" t="s">
        <v>12</v>
      </c>
      <c r="C3075" s="334" t="s">
        <v>10710</v>
      </c>
      <c r="D3075" s="124" t="s">
        <v>10711</v>
      </c>
      <c r="E3075" s="125"/>
      <c r="F3075" s="118" t="s">
        <v>828</v>
      </c>
      <c r="G3075" s="126" t="s">
        <v>10304</v>
      </c>
      <c r="H3075" s="255">
        <v>5</v>
      </c>
      <c r="I3075" s="361">
        <v>1</v>
      </c>
      <c r="J3075" s="362" t="s">
        <v>286</v>
      </c>
      <c r="K3075" s="363"/>
      <c r="L3075" s="129"/>
      <c r="M3075" s="129"/>
      <c r="N3075" s="129"/>
      <c r="O3075" s="129"/>
      <c r="P3075" s="364"/>
      <c r="Q3075" s="364"/>
      <c r="R3075" s="129"/>
      <c r="S3075" s="129"/>
      <c r="T3075" s="129"/>
      <c r="W3075" s="129" t="s">
        <v>286</v>
      </c>
      <c r="X3075" s="337" t="b">
        <f t="shared" si="82"/>
        <v>1</v>
      </c>
    </row>
    <row r="3076" spans="1:24" s="337" customFormat="1" ht="12" customHeight="1" outlineLevel="1">
      <c r="A3076" s="335"/>
      <c r="B3076" s="118" t="s">
        <v>12</v>
      </c>
      <c r="C3076" s="334" t="s">
        <v>10712</v>
      </c>
      <c r="D3076" s="124" t="s">
        <v>10713</v>
      </c>
      <c r="E3076" s="125"/>
      <c r="F3076" s="118" t="s">
        <v>828</v>
      </c>
      <c r="G3076" s="126" t="s">
        <v>10304</v>
      </c>
      <c r="H3076" s="255">
        <v>5</v>
      </c>
      <c r="I3076" s="361">
        <v>1</v>
      </c>
      <c r="J3076" s="362" t="s">
        <v>286</v>
      </c>
      <c r="K3076" s="363"/>
      <c r="L3076" s="129"/>
      <c r="M3076" s="129"/>
      <c r="N3076" s="129"/>
      <c r="O3076" s="129"/>
      <c r="P3076" s="364"/>
      <c r="Q3076" s="364"/>
      <c r="R3076" s="129"/>
      <c r="S3076" s="129"/>
      <c r="T3076" s="129"/>
      <c r="W3076" s="129" t="s">
        <v>286</v>
      </c>
      <c r="X3076" s="337" t="b">
        <f t="shared" si="82"/>
        <v>1</v>
      </c>
    </row>
    <row r="3077" spans="1:24" s="337" customFormat="1" ht="12" customHeight="1" outlineLevel="1">
      <c r="A3077" s="335"/>
      <c r="B3077" s="118" t="s">
        <v>12</v>
      </c>
      <c r="C3077" s="334" t="s">
        <v>10714</v>
      </c>
      <c r="D3077" s="124" t="s">
        <v>10715</v>
      </c>
      <c r="E3077" s="125"/>
      <c r="F3077" s="118" t="s">
        <v>828</v>
      </c>
      <c r="G3077" s="126" t="s">
        <v>10304</v>
      </c>
      <c r="H3077" s="255">
        <v>5</v>
      </c>
      <c r="I3077" s="361">
        <v>1</v>
      </c>
      <c r="J3077" s="362" t="s">
        <v>286</v>
      </c>
      <c r="K3077" s="363"/>
      <c r="L3077" s="129"/>
      <c r="M3077" s="129"/>
      <c r="N3077" s="129"/>
      <c r="O3077" s="129"/>
      <c r="P3077" s="364"/>
      <c r="Q3077" s="364"/>
      <c r="R3077" s="129"/>
      <c r="S3077" s="129"/>
      <c r="T3077" s="129"/>
      <c r="W3077" s="129" t="s">
        <v>286</v>
      </c>
      <c r="X3077" s="337" t="b">
        <f t="shared" si="82"/>
        <v>1</v>
      </c>
    </row>
    <row r="3078" spans="1:24" s="337" customFormat="1" ht="12" customHeight="1" outlineLevel="1">
      <c r="A3078" s="335"/>
      <c r="B3078" s="118" t="s">
        <v>12</v>
      </c>
      <c r="C3078" s="334" t="s">
        <v>10716</v>
      </c>
      <c r="D3078" s="124" t="s">
        <v>10717</v>
      </c>
      <c r="E3078" s="125"/>
      <c r="F3078" s="118" t="s">
        <v>828</v>
      </c>
      <c r="G3078" s="126" t="s">
        <v>10304</v>
      </c>
      <c r="H3078" s="255">
        <v>5</v>
      </c>
      <c r="I3078" s="361">
        <v>1</v>
      </c>
      <c r="J3078" s="362" t="s">
        <v>286</v>
      </c>
      <c r="K3078" s="363"/>
      <c r="L3078" s="129"/>
      <c r="M3078" s="129"/>
      <c r="N3078" s="129"/>
      <c r="O3078" s="129"/>
      <c r="P3078" s="364"/>
      <c r="Q3078" s="364"/>
      <c r="R3078" s="129"/>
      <c r="S3078" s="129"/>
      <c r="T3078" s="129"/>
      <c r="W3078" s="129" t="s">
        <v>286</v>
      </c>
      <c r="X3078" s="337" t="b">
        <f t="shared" si="82"/>
        <v>1</v>
      </c>
    </row>
    <row r="3079" spans="1:24" s="337" customFormat="1" ht="12" customHeight="1" outlineLevel="1">
      <c r="A3079" s="335"/>
      <c r="B3079" s="118" t="s">
        <v>12</v>
      </c>
      <c r="C3079" s="334" t="s">
        <v>10718</v>
      </c>
      <c r="D3079" s="124" t="s">
        <v>10719</v>
      </c>
      <c r="E3079" s="125"/>
      <c r="F3079" s="118" t="s">
        <v>828</v>
      </c>
      <c r="G3079" s="126" t="s">
        <v>10304</v>
      </c>
      <c r="H3079" s="255">
        <v>5</v>
      </c>
      <c r="I3079" s="361">
        <v>1</v>
      </c>
      <c r="J3079" s="362" t="s">
        <v>286</v>
      </c>
      <c r="K3079" s="363"/>
      <c r="L3079" s="129"/>
      <c r="M3079" s="129"/>
      <c r="N3079" s="129"/>
      <c r="O3079" s="129"/>
      <c r="P3079" s="364"/>
      <c r="Q3079" s="364"/>
      <c r="R3079" s="129"/>
      <c r="S3079" s="129"/>
      <c r="T3079" s="129"/>
      <c r="W3079" s="129" t="s">
        <v>286</v>
      </c>
      <c r="X3079" s="337" t="b">
        <f t="shared" si="82"/>
        <v>1</v>
      </c>
    </row>
    <row r="3080" spans="1:24" s="337" customFormat="1" ht="12" customHeight="1" outlineLevel="1">
      <c r="A3080" s="335"/>
      <c r="B3080" s="118" t="s">
        <v>12</v>
      </c>
      <c r="C3080" s="334" t="s">
        <v>10720</v>
      </c>
      <c r="D3080" s="124" t="s">
        <v>10721</v>
      </c>
      <c r="E3080" s="125"/>
      <c r="F3080" s="118" t="s">
        <v>828</v>
      </c>
      <c r="G3080" s="126" t="s">
        <v>10304</v>
      </c>
      <c r="H3080" s="255">
        <v>5</v>
      </c>
      <c r="I3080" s="361">
        <v>1</v>
      </c>
      <c r="J3080" s="362" t="s">
        <v>286</v>
      </c>
      <c r="K3080" s="363"/>
      <c r="L3080" s="129"/>
      <c r="M3080" s="129"/>
      <c r="N3080" s="129"/>
      <c r="O3080" s="129"/>
      <c r="P3080" s="364"/>
      <c r="Q3080" s="364"/>
      <c r="R3080" s="129"/>
      <c r="S3080" s="129"/>
      <c r="T3080" s="129"/>
      <c r="W3080" s="129" t="s">
        <v>286</v>
      </c>
      <c r="X3080" s="337" t="b">
        <f t="shared" si="82"/>
        <v>1</v>
      </c>
    </row>
    <row r="3081" spans="1:24" s="337" customFormat="1" ht="12" customHeight="1" outlineLevel="1">
      <c r="A3081" s="335"/>
      <c r="B3081" s="118" t="s">
        <v>12</v>
      </c>
      <c r="C3081" s="334" t="s">
        <v>10722</v>
      </c>
      <c r="D3081" s="124" t="s">
        <v>10723</v>
      </c>
      <c r="E3081" s="125"/>
      <c r="F3081" s="118" t="s">
        <v>828</v>
      </c>
      <c r="G3081" s="126" t="s">
        <v>10304</v>
      </c>
      <c r="H3081" s="255">
        <v>5</v>
      </c>
      <c r="I3081" s="361">
        <v>1</v>
      </c>
      <c r="J3081" s="362" t="s">
        <v>286</v>
      </c>
      <c r="K3081" s="363"/>
      <c r="L3081" s="129"/>
      <c r="M3081" s="129"/>
      <c r="N3081" s="129"/>
      <c r="O3081" s="129"/>
      <c r="P3081" s="364"/>
      <c r="Q3081" s="364"/>
      <c r="R3081" s="129"/>
      <c r="S3081" s="129"/>
      <c r="T3081" s="129"/>
      <c r="W3081" s="129" t="s">
        <v>286</v>
      </c>
      <c r="X3081" s="337" t="b">
        <f t="shared" si="82"/>
        <v>1</v>
      </c>
    </row>
    <row r="3082" spans="1:24" s="337" customFormat="1" ht="12" customHeight="1" outlineLevel="1">
      <c r="A3082" s="335"/>
      <c r="B3082" s="118" t="s">
        <v>12</v>
      </c>
      <c r="C3082" s="334" t="s">
        <v>10724</v>
      </c>
      <c r="D3082" s="124" t="s">
        <v>7724</v>
      </c>
      <c r="E3082" s="125"/>
      <c r="F3082" s="118" t="s">
        <v>828</v>
      </c>
      <c r="G3082" s="126" t="s">
        <v>10304</v>
      </c>
      <c r="H3082" s="255">
        <v>5</v>
      </c>
      <c r="I3082" s="361">
        <v>1</v>
      </c>
      <c r="J3082" s="362" t="s">
        <v>286</v>
      </c>
      <c r="K3082" s="363"/>
      <c r="L3082" s="129"/>
      <c r="M3082" s="129"/>
      <c r="N3082" s="129"/>
      <c r="O3082" s="129"/>
      <c r="P3082" s="364"/>
      <c r="Q3082" s="364"/>
      <c r="R3082" s="129"/>
      <c r="S3082" s="129"/>
      <c r="T3082" s="129"/>
      <c r="W3082" s="129" t="s">
        <v>286</v>
      </c>
      <c r="X3082" s="337" t="b">
        <f t="shared" si="82"/>
        <v>1</v>
      </c>
    </row>
    <row r="3083" spans="1:24" s="337" customFormat="1" ht="12" customHeight="1" outlineLevel="1">
      <c r="A3083" s="335"/>
      <c r="B3083" s="118" t="s">
        <v>12</v>
      </c>
      <c r="C3083" s="334" t="s">
        <v>10725</v>
      </c>
      <c r="D3083" s="124" t="s">
        <v>7726</v>
      </c>
      <c r="E3083" s="125"/>
      <c r="F3083" s="118" t="s">
        <v>828</v>
      </c>
      <c r="G3083" s="126" t="s">
        <v>10304</v>
      </c>
      <c r="H3083" s="255">
        <v>5</v>
      </c>
      <c r="I3083" s="361">
        <v>1</v>
      </c>
      <c r="J3083" s="362" t="s">
        <v>286</v>
      </c>
      <c r="K3083" s="363"/>
      <c r="L3083" s="129"/>
      <c r="M3083" s="129"/>
      <c r="N3083" s="129"/>
      <c r="O3083" s="129"/>
      <c r="P3083" s="364"/>
      <c r="Q3083" s="364"/>
      <c r="R3083" s="129"/>
      <c r="S3083" s="129"/>
      <c r="T3083" s="129"/>
      <c r="W3083" s="129" t="s">
        <v>286</v>
      </c>
      <c r="X3083" s="337" t="b">
        <f t="shared" si="82"/>
        <v>1</v>
      </c>
    </row>
    <row r="3084" spans="1:24" s="337" customFormat="1" ht="12" customHeight="1" outlineLevel="1">
      <c r="A3084" s="335"/>
      <c r="B3084" s="118" t="s">
        <v>12</v>
      </c>
      <c r="C3084" s="334" t="s">
        <v>10726</v>
      </c>
      <c r="D3084" s="124" t="s">
        <v>10727</v>
      </c>
      <c r="E3084" s="125"/>
      <c r="F3084" s="118" t="s">
        <v>828</v>
      </c>
      <c r="G3084" s="126" t="s">
        <v>10304</v>
      </c>
      <c r="H3084" s="255">
        <v>5</v>
      </c>
      <c r="I3084" s="361">
        <v>1</v>
      </c>
      <c r="J3084" s="362" t="s">
        <v>286</v>
      </c>
      <c r="K3084" s="363"/>
      <c r="L3084" s="129"/>
      <c r="M3084" s="129"/>
      <c r="N3084" s="129"/>
      <c r="O3084" s="129"/>
      <c r="P3084" s="364"/>
      <c r="Q3084" s="364"/>
      <c r="R3084" s="129"/>
      <c r="S3084" s="129"/>
      <c r="T3084" s="129"/>
      <c r="W3084" s="129" t="s">
        <v>286</v>
      </c>
      <c r="X3084" s="337" t="b">
        <f t="shared" si="82"/>
        <v>1</v>
      </c>
    </row>
    <row r="3085" spans="1:24" s="337" customFormat="1" ht="12" customHeight="1" outlineLevel="1">
      <c r="A3085" s="335"/>
      <c r="B3085" s="118" t="s">
        <v>12</v>
      </c>
      <c r="C3085" s="334" t="s">
        <v>10728</v>
      </c>
      <c r="D3085" s="124" t="s">
        <v>10729</v>
      </c>
      <c r="E3085" s="125"/>
      <c r="F3085" s="118" t="s">
        <v>828</v>
      </c>
      <c r="G3085" s="126" t="s">
        <v>10304</v>
      </c>
      <c r="H3085" s="255">
        <v>5</v>
      </c>
      <c r="I3085" s="361">
        <v>1</v>
      </c>
      <c r="J3085" s="362" t="s">
        <v>286</v>
      </c>
      <c r="K3085" s="363"/>
      <c r="L3085" s="129"/>
      <c r="M3085" s="129"/>
      <c r="N3085" s="129"/>
      <c r="O3085" s="129"/>
      <c r="P3085" s="364"/>
      <c r="Q3085" s="364"/>
      <c r="R3085" s="129"/>
      <c r="S3085" s="129"/>
      <c r="T3085" s="129"/>
      <c r="W3085" s="129" t="s">
        <v>286</v>
      </c>
      <c r="X3085" s="337" t="b">
        <f t="shared" si="82"/>
        <v>1</v>
      </c>
    </row>
    <row r="3086" spans="1:24" s="337" customFormat="1" ht="12" customHeight="1" outlineLevel="1">
      <c r="A3086" s="335"/>
      <c r="B3086" s="118" t="s">
        <v>12</v>
      </c>
      <c r="C3086" s="334" t="s">
        <v>10730</v>
      </c>
      <c r="D3086" s="124" t="s">
        <v>10731</v>
      </c>
      <c r="E3086" s="125"/>
      <c r="F3086" s="118" t="s">
        <v>828</v>
      </c>
      <c r="G3086" s="126" t="s">
        <v>10304</v>
      </c>
      <c r="H3086" s="255">
        <v>5</v>
      </c>
      <c r="I3086" s="361">
        <v>1</v>
      </c>
      <c r="J3086" s="362" t="s">
        <v>286</v>
      </c>
      <c r="K3086" s="363"/>
      <c r="L3086" s="129"/>
      <c r="M3086" s="129"/>
      <c r="N3086" s="129"/>
      <c r="O3086" s="129"/>
      <c r="P3086" s="364"/>
      <c r="Q3086" s="364"/>
      <c r="R3086" s="129"/>
      <c r="S3086" s="129"/>
      <c r="T3086" s="129"/>
      <c r="W3086" s="129" t="s">
        <v>286</v>
      </c>
      <c r="X3086" s="337" t="b">
        <f t="shared" si="82"/>
        <v>1</v>
      </c>
    </row>
    <row r="3087" spans="1:24" s="337" customFormat="1" ht="12" customHeight="1" outlineLevel="1">
      <c r="A3087" s="335"/>
      <c r="B3087" s="118" t="s">
        <v>12</v>
      </c>
      <c r="C3087" s="334" t="s">
        <v>10732</v>
      </c>
      <c r="D3087" s="124" t="s">
        <v>7736</v>
      </c>
      <c r="E3087" s="125"/>
      <c r="F3087" s="118" t="s">
        <v>828</v>
      </c>
      <c r="G3087" s="126" t="s">
        <v>10304</v>
      </c>
      <c r="H3087" s="255">
        <v>5</v>
      </c>
      <c r="I3087" s="361">
        <v>1</v>
      </c>
      <c r="J3087" s="362" t="s">
        <v>286</v>
      </c>
      <c r="K3087" s="363"/>
      <c r="L3087" s="129"/>
      <c r="M3087" s="129"/>
      <c r="N3087" s="129"/>
      <c r="O3087" s="129"/>
      <c r="P3087" s="364"/>
      <c r="Q3087" s="364"/>
      <c r="R3087" s="129"/>
      <c r="S3087" s="129"/>
      <c r="T3087" s="129"/>
      <c r="W3087" s="129" t="s">
        <v>286</v>
      </c>
      <c r="X3087" s="337" t="b">
        <f t="shared" si="82"/>
        <v>1</v>
      </c>
    </row>
    <row r="3088" spans="1:24" s="337" customFormat="1" ht="12" customHeight="1" outlineLevel="1">
      <c r="A3088" s="335"/>
      <c r="B3088" s="118" t="s">
        <v>12</v>
      </c>
      <c r="C3088" s="334" t="s">
        <v>10733</v>
      </c>
      <c r="D3088" s="124" t="s">
        <v>7738</v>
      </c>
      <c r="E3088" s="125"/>
      <c r="F3088" s="118" t="s">
        <v>828</v>
      </c>
      <c r="G3088" s="126" t="s">
        <v>10304</v>
      </c>
      <c r="H3088" s="255">
        <v>5</v>
      </c>
      <c r="I3088" s="361">
        <v>1</v>
      </c>
      <c r="J3088" s="362" t="s">
        <v>286</v>
      </c>
      <c r="K3088" s="363"/>
      <c r="L3088" s="129"/>
      <c r="M3088" s="129"/>
      <c r="N3088" s="129"/>
      <c r="O3088" s="129"/>
      <c r="P3088" s="364"/>
      <c r="Q3088" s="364"/>
      <c r="R3088" s="129"/>
      <c r="S3088" s="129"/>
      <c r="T3088" s="129"/>
      <c r="W3088" s="129" t="s">
        <v>286</v>
      </c>
      <c r="X3088" s="337" t="b">
        <f t="shared" si="82"/>
        <v>1</v>
      </c>
    </row>
    <row r="3089" spans="1:24" s="337" customFormat="1" ht="12" customHeight="1" outlineLevel="1">
      <c r="A3089" s="335"/>
      <c r="B3089" s="118" t="s">
        <v>12</v>
      </c>
      <c r="C3089" s="334" t="s">
        <v>10734</v>
      </c>
      <c r="D3089" s="124" t="s">
        <v>10735</v>
      </c>
      <c r="E3089" s="125"/>
      <c r="F3089" s="118" t="s">
        <v>828</v>
      </c>
      <c r="G3089" s="126" t="s">
        <v>10304</v>
      </c>
      <c r="H3089" s="255">
        <v>5</v>
      </c>
      <c r="I3089" s="361">
        <v>1</v>
      </c>
      <c r="J3089" s="362" t="s">
        <v>286</v>
      </c>
      <c r="K3089" s="363"/>
      <c r="L3089" s="129"/>
      <c r="M3089" s="129"/>
      <c r="N3089" s="129"/>
      <c r="O3089" s="129"/>
      <c r="P3089" s="364"/>
      <c r="Q3089" s="364"/>
      <c r="R3089" s="129"/>
      <c r="S3089" s="129"/>
      <c r="T3089" s="129"/>
      <c r="W3089" s="129" t="s">
        <v>286</v>
      </c>
      <c r="X3089" s="337" t="b">
        <f t="shared" si="82"/>
        <v>1</v>
      </c>
    </row>
    <row r="3090" spans="1:24" s="337" customFormat="1" ht="12" customHeight="1" outlineLevel="1">
      <c r="A3090" s="335"/>
      <c r="B3090" s="118" t="s">
        <v>12</v>
      </c>
      <c r="C3090" s="334" t="s">
        <v>10736</v>
      </c>
      <c r="D3090" s="124" t="s">
        <v>10737</v>
      </c>
      <c r="E3090" s="125"/>
      <c r="F3090" s="118" t="s">
        <v>828</v>
      </c>
      <c r="G3090" s="126" t="s">
        <v>10304</v>
      </c>
      <c r="H3090" s="255">
        <v>5</v>
      </c>
      <c r="I3090" s="361">
        <v>1</v>
      </c>
      <c r="J3090" s="362" t="s">
        <v>286</v>
      </c>
      <c r="K3090" s="363"/>
      <c r="L3090" s="129"/>
      <c r="M3090" s="129"/>
      <c r="N3090" s="129"/>
      <c r="O3090" s="129"/>
      <c r="P3090" s="364"/>
      <c r="Q3090" s="364"/>
      <c r="R3090" s="129"/>
      <c r="S3090" s="129"/>
      <c r="T3090" s="129"/>
      <c r="W3090" s="129" t="s">
        <v>286</v>
      </c>
      <c r="X3090" s="337" t="b">
        <f t="shared" si="82"/>
        <v>1</v>
      </c>
    </row>
    <row r="3091" spans="1:24" s="337" customFormat="1" ht="12" customHeight="1" outlineLevel="1">
      <c r="A3091" s="335"/>
      <c r="B3091" s="118" t="s">
        <v>12</v>
      </c>
      <c r="C3091" s="334" t="s">
        <v>10738</v>
      </c>
      <c r="D3091" s="124" t="s">
        <v>10739</v>
      </c>
      <c r="E3091" s="125"/>
      <c r="F3091" s="118" t="s">
        <v>828</v>
      </c>
      <c r="G3091" s="126" t="s">
        <v>10304</v>
      </c>
      <c r="H3091" s="255">
        <v>5</v>
      </c>
      <c r="I3091" s="361">
        <v>1</v>
      </c>
      <c r="J3091" s="362" t="s">
        <v>286</v>
      </c>
      <c r="K3091" s="363"/>
      <c r="L3091" s="129"/>
      <c r="M3091" s="129"/>
      <c r="N3091" s="129"/>
      <c r="O3091" s="129"/>
      <c r="P3091" s="364"/>
      <c r="Q3091" s="364"/>
      <c r="R3091" s="129"/>
      <c r="S3091" s="129"/>
      <c r="T3091" s="129"/>
      <c r="W3091" s="129" t="s">
        <v>286</v>
      </c>
      <c r="X3091" s="337" t="b">
        <f t="shared" ref="X3091:X3154" si="83">W3091=J3091</f>
        <v>1</v>
      </c>
    </row>
    <row r="3092" spans="1:24" s="337" customFormat="1" ht="12" customHeight="1" outlineLevel="1">
      <c r="A3092" s="335"/>
      <c r="B3092" s="118" t="s">
        <v>12</v>
      </c>
      <c r="C3092" s="334" t="s">
        <v>10740</v>
      </c>
      <c r="D3092" s="124" t="s">
        <v>10741</v>
      </c>
      <c r="E3092" s="125"/>
      <c r="F3092" s="118" t="s">
        <v>828</v>
      </c>
      <c r="G3092" s="126" t="s">
        <v>10304</v>
      </c>
      <c r="H3092" s="255">
        <v>5</v>
      </c>
      <c r="I3092" s="361">
        <v>1</v>
      </c>
      <c r="J3092" s="362" t="s">
        <v>286</v>
      </c>
      <c r="K3092" s="363"/>
      <c r="L3092" s="129"/>
      <c r="M3092" s="129"/>
      <c r="N3092" s="129"/>
      <c r="O3092" s="129"/>
      <c r="P3092" s="364"/>
      <c r="Q3092" s="364"/>
      <c r="R3092" s="129"/>
      <c r="S3092" s="129"/>
      <c r="T3092" s="129"/>
      <c r="W3092" s="129" t="s">
        <v>286</v>
      </c>
      <c r="X3092" s="337" t="b">
        <f t="shared" si="83"/>
        <v>1</v>
      </c>
    </row>
    <row r="3093" spans="1:24" s="337" customFormat="1" ht="12" customHeight="1" outlineLevel="1">
      <c r="A3093" s="335"/>
      <c r="B3093" s="118" t="s">
        <v>12</v>
      </c>
      <c r="C3093" s="334" t="s">
        <v>10742</v>
      </c>
      <c r="D3093" s="124" t="s">
        <v>10743</v>
      </c>
      <c r="E3093" s="125"/>
      <c r="F3093" s="118" t="s">
        <v>828</v>
      </c>
      <c r="G3093" s="126" t="s">
        <v>10304</v>
      </c>
      <c r="H3093" s="255">
        <v>5</v>
      </c>
      <c r="I3093" s="361">
        <v>1</v>
      </c>
      <c r="J3093" s="362" t="s">
        <v>286</v>
      </c>
      <c r="K3093" s="363"/>
      <c r="L3093" s="129"/>
      <c r="M3093" s="129"/>
      <c r="N3093" s="129"/>
      <c r="O3093" s="129"/>
      <c r="P3093" s="364"/>
      <c r="Q3093" s="364"/>
      <c r="R3093" s="129"/>
      <c r="S3093" s="129"/>
      <c r="T3093" s="129"/>
      <c r="W3093" s="129" t="s">
        <v>286</v>
      </c>
      <c r="X3093" s="337" t="b">
        <f t="shared" si="83"/>
        <v>1</v>
      </c>
    </row>
    <row r="3094" spans="1:24" s="337" customFormat="1" ht="12" customHeight="1" outlineLevel="1">
      <c r="A3094" s="335"/>
      <c r="B3094" s="118" t="s">
        <v>12</v>
      </c>
      <c r="C3094" s="334" t="s">
        <v>10744</v>
      </c>
      <c r="D3094" s="124" t="s">
        <v>10745</v>
      </c>
      <c r="E3094" s="125"/>
      <c r="F3094" s="118" t="s">
        <v>828</v>
      </c>
      <c r="G3094" s="126" t="s">
        <v>10304</v>
      </c>
      <c r="H3094" s="255">
        <v>5</v>
      </c>
      <c r="I3094" s="361">
        <v>1</v>
      </c>
      <c r="J3094" s="362" t="s">
        <v>286</v>
      </c>
      <c r="K3094" s="363"/>
      <c r="L3094" s="129"/>
      <c r="M3094" s="129"/>
      <c r="N3094" s="129"/>
      <c r="O3094" s="129"/>
      <c r="P3094" s="364"/>
      <c r="Q3094" s="364"/>
      <c r="R3094" s="129"/>
      <c r="S3094" s="129"/>
      <c r="T3094" s="129"/>
      <c r="W3094" s="129" t="s">
        <v>286</v>
      </c>
      <c r="X3094" s="337" t="b">
        <f t="shared" si="83"/>
        <v>1</v>
      </c>
    </row>
    <row r="3095" spans="1:24" s="337" customFormat="1" ht="12" customHeight="1" outlineLevel="1">
      <c r="A3095" s="335"/>
      <c r="B3095" s="118" t="s">
        <v>12</v>
      </c>
      <c r="C3095" s="334" t="s">
        <v>10746</v>
      </c>
      <c r="D3095" s="124" t="s">
        <v>7754</v>
      </c>
      <c r="E3095" s="125"/>
      <c r="F3095" s="118" t="s">
        <v>828</v>
      </c>
      <c r="G3095" s="126" t="s">
        <v>10304</v>
      </c>
      <c r="H3095" s="255">
        <v>5</v>
      </c>
      <c r="I3095" s="361">
        <v>1</v>
      </c>
      <c r="J3095" s="362" t="s">
        <v>286</v>
      </c>
      <c r="K3095" s="363"/>
      <c r="L3095" s="129"/>
      <c r="M3095" s="129"/>
      <c r="N3095" s="129"/>
      <c r="O3095" s="129"/>
      <c r="P3095" s="364"/>
      <c r="Q3095" s="364"/>
      <c r="R3095" s="129"/>
      <c r="S3095" s="129"/>
      <c r="T3095" s="129"/>
      <c r="W3095" s="129" t="s">
        <v>286</v>
      </c>
      <c r="X3095" s="337" t="b">
        <f t="shared" si="83"/>
        <v>1</v>
      </c>
    </row>
    <row r="3096" spans="1:24" s="337" customFormat="1" ht="12" customHeight="1" outlineLevel="1">
      <c r="A3096" s="335"/>
      <c r="B3096" s="118" t="s">
        <v>12</v>
      </c>
      <c r="C3096" s="334" t="s">
        <v>10747</v>
      </c>
      <c r="D3096" s="124" t="s">
        <v>10748</v>
      </c>
      <c r="E3096" s="125"/>
      <c r="F3096" s="118" t="s">
        <v>828</v>
      </c>
      <c r="G3096" s="126" t="s">
        <v>10304</v>
      </c>
      <c r="H3096" s="255">
        <v>5</v>
      </c>
      <c r="I3096" s="361">
        <v>1</v>
      </c>
      <c r="J3096" s="362" t="s">
        <v>286</v>
      </c>
      <c r="K3096" s="363"/>
      <c r="L3096" s="129"/>
      <c r="M3096" s="129"/>
      <c r="N3096" s="129"/>
      <c r="O3096" s="129"/>
      <c r="P3096" s="364"/>
      <c r="Q3096" s="364"/>
      <c r="R3096" s="129"/>
      <c r="S3096" s="129"/>
      <c r="T3096" s="129"/>
      <c r="W3096" s="129" t="s">
        <v>286</v>
      </c>
      <c r="X3096" s="337" t="b">
        <f t="shared" si="83"/>
        <v>1</v>
      </c>
    </row>
    <row r="3097" spans="1:24" s="337" customFormat="1" ht="12" customHeight="1" outlineLevel="1">
      <c r="A3097" s="335"/>
      <c r="B3097" s="118" t="s">
        <v>12</v>
      </c>
      <c r="C3097" s="334" t="s">
        <v>10749</v>
      </c>
      <c r="D3097" s="124" t="s">
        <v>7760</v>
      </c>
      <c r="E3097" s="125"/>
      <c r="F3097" s="118" t="s">
        <v>828</v>
      </c>
      <c r="G3097" s="126" t="s">
        <v>10304</v>
      </c>
      <c r="H3097" s="255">
        <v>5</v>
      </c>
      <c r="I3097" s="361">
        <v>1</v>
      </c>
      <c r="J3097" s="362" t="s">
        <v>286</v>
      </c>
      <c r="K3097" s="363"/>
      <c r="L3097" s="129"/>
      <c r="M3097" s="129"/>
      <c r="N3097" s="129"/>
      <c r="O3097" s="129"/>
      <c r="P3097" s="364"/>
      <c r="Q3097" s="364"/>
      <c r="R3097" s="129"/>
      <c r="S3097" s="129"/>
      <c r="T3097" s="129"/>
      <c r="W3097" s="129" t="s">
        <v>286</v>
      </c>
      <c r="X3097" s="337" t="b">
        <f t="shared" si="83"/>
        <v>1</v>
      </c>
    </row>
    <row r="3098" spans="1:24" s="337" customFormat="1" ht="12" customHeight="1" outlineLevel="1">
      <c r="A3098" s="335"/>
      <c r="B3098" s="118" t="s">
        <v>12</v>
      </c>
      <c r="C3098" s="334" t="s">
        <v>10750</v>
      </c>
      <c r="D3098" s="124" t="s">
        <v>7762</v>
      </c>
      <c r="E3098" s="125"/>
      <c r="F3098" s="118" t="s">
        <v>828</v>
      </c>
      <c r="G3098" s="126" t="s">
        <v>10304</v>
      </c>
      <c r="H3098" s="255">
        <v>5</v>
      </c>
      <c r="I3098" s="361">
        <v>1</v>
      </c>
      <c r="J3098" s="362" t="s">
        <v>286</v>
      </c>
      <c r="K3098" s="363"/>
      <c r="L3098" s="129"/>
      <c r="M3098" s="129"/>
      <c r="N3098" s="129"/>
      <c r="O3098" s="129"/>
      <c r="P3098" s="364"/>
      <c r="Q3098" s="364"/>
      <c r="R3098" s="129"/>
      <c r="S3098" s="129"/>
      <c r="T3098" s="129"/>
      <c r="W3098" s="129" t="s">
        <v>286</v>
      </c>
      <c r="X3098" s="337" t="b">
        <f t="shared" si="83"/>
        <v>1</v>
      </c>
    </row>
    <row r="3099" spans="1:24" s="337" customFormat="1" ht="12" customHeight="1" outlineLevel="1">
      <c r="A3099" s="335"/>
      <c r="B3099" s="118" t="s">
        <v>12</v>
      </c>
      <c r="C3099" s="334" t="s">
        <v>10751</v>
      </c>
      <c r="D3099" s="124" t="s">
        <v>10752</v>
      </c>
      <c r="E3099" s="125"/>
      <c r="F3099" s="118" t="s">
        <v>828</v>
      </c>
      <c r="G3099" s="126" t="s">
        <v>10304</v>
      </c>
      <c r="H3099" s="255">
        <v>5</v>
      </c>
      <c r="I3099" s="361">
        <v>1</v>
      </c>
      <c r="J3099" s="362" t="s">
        <v>286</v>
      </c>
      <c r="K3099" s="363"/>
      <c r="L3099" s="129"/>
      <c r="M3099" s="129"/>
      <c r="N3099" s="129"/>
      <c r="O3099" s="129"/>
      <c r="P3099" s="364"/>
      <c r="Q3099" s="364"/>
      <c r="R3099" s="129"/>
      <c r="S3099" s="129"/>
      <c r="T3099" s="129"/>
      <c r="W3099" s="129" t="s">
        <v>286</v>
      </c>
      <c r="X3099" s="337" t="b">
        <f t="shared" si="83"/>
        <v>1</v>
      </c>
    </row>
    <row r="3100" spans="1:24" s="337" customFormat="1" ht="12" customHeight="1" outlineLevel="1">
      <c r="A3100" s="335"/>
      <c r="B3100" s="118" t="s">
        <v>12</v>
      </c>
      <c r="C3100" s="334" t="s">
        <v>10753</v>
      </c>
      <c r="D3100" s="124" t="s">
        <v>7766</v>
      </c>
      <c r="E3100" s="125"/>
      <c r="F3100" s="118" t="s">
        <v>828</v>
      </c>
      <c r="G3100" s="126" t="s">
        <v>10304</v>
      </c>
      <c r="H3100" s="255">
        <v>5</v>
      </c>
      <c r="I3100" s="361">
        <v>1</v>
      </c>
      <c r="J3100" s="362" t="s">
        <v>286</v>
      </c>
      <c r="K3100" s="363"/>
      <c r="L3100" s="129"/>
      <c r="M3100" s="129"/>
      <c r="N3100" s="129"/>
      <c r="O3100" s="129"/>
      <c r="P3100" s="364"/>
      <c r="Q3100" s="364"/>
      <c r="R3100" s="129"/>
      <c r="S3100" s="129"/>
      <c r="T3100" s="129"/>
      <c r="W3100" s="129" t="s">
        <v>286</v>
      </c>
      <c r="X3100" s="337" t="b">
        <f t="shared" si="83"/>
        <v>1</v>
      </c>
    </row>
    <row r="3101" spans="1:24" s="337" customFormat="1" ht="12" customHeight="1" outlineLevel="1">
      <c r="A3101" s="335"/>
      <c r="B3101" s="118" t="s">
        <v>12</v>
      </c>
      <c r="C3101" s="334" t="s">
        <v>10754</v>
      </c>
      <c r="D3101" s="124" t="s">
        <v>7768</v>
      </c>
      <c r="E3101" s="125"/>
      <c r="F3101" s="118" t="s">
        <v>828</v>
      </c>
      <c r="G3101" s="126" t="s">
        <v>10304</v>
      </c>
      <c r="H3101" s="255">
        <v>5</v>
      </c>
      <c r="I3101" s="361">
        <v>1</v>
      </c>
      <c r="J3101" s="362" t="s">
        <v>286</v>
      </c>
      <c r="K3101" s="363"/>
      <c r="L3101" s="129"/>
      <c r="M3101" s="129"/>
      <c r="N3101" s="129"/>
      <c r="O3101" s="129"/>
      <c r="P3101" s="364"/>
      <c r="Q3101" s="364"/>
      <c r="R3101" s="129"/>
      <c r="S3101" s="129"/>
      <c r="T3101" s="129"/>
      <c r="W3101" s="129" t="s">
        <v>286</v>
      </c>
      <c r="X3101" s="337" t="b">
        <f t="shared" si="83"/>
        <v>1</v>
      </c>
    </row>
    <row r="3102" spans="1:24" s="337" customFormat="1" ht="12" customHeight="1" outlineLevel="1">
      <c r="A3102" s="335"/>
      <c r="B3102" s="118" t="s">
        <v>12</v>
      </c>
      <c r="C3102" s="334" t="s">
        <v>10755</v>
      </c>
      <c r="D3102" s="124" t="s">
        <v>10756</v>
      </c>
      <c r="E3102" s="125"/>
      <c r="F3102" s="118" t="s">
        <v>828</v>
      </c>
      <c r="G3102" s="126" t="s">
        <v>10304</v>
      </c>
      <c r="H3102" s="255">
        <v>5</v>
      </c>
      <c r="I3102" s="361">
        <v>1</v>
      </c>
      <c r="J3102" s="362" t="s">
        <v>286</v>
      </c>
      <c r="K3102" s="363"/>
      <c r="L3102" s="129"/>
      <c r="M3102" s="129"/>
      <c r="N3102" s="129"/>
      <c r="O3102" s="129"/>
      <c r="P3102" s="364"/>
      <c r="Q3102" s="364"/>
      <c r="R3102" s="129"/>
      <c r="S3102" s="129"/>
      <c r="T3102" s="129"/>
      <c r="W3102" s="129" t="s">
        <v>286</v>
      </c>
      <c r="X3102" s="337" t="b">
        <f t="shared" si="83"/>
        <v>1</v>
      </c>
    </row>
    <row r="3103" spans="1:24" s="337" customFormat="1" ht="12" customHeight="1" outlineLevel="1">
      <c r="A3103" s="335"/>
      <c r="B3103" s="118" t="s">
        <v>12</v>
      </c>
      <c r="C3103" s="334" t="s">
        <v>10757</v>
      </c>
      <c r="D3103" s="124" t="s">
        <v>10758</v>
      </c>
      <c r="E3103" s="125"/>
      <c r="F3103" s="118" t="s">
        <v>828</v>
      </c>
      <c r="G3103" s="126" t="s">
        <v>10304</v>
      </c>
      <c r="H3103" s="255">
        <v>5</v>
      </c>
      <c r="I3103" s="361">
        <v>1</v>
      </c>
      <c r="J3103" s="362" t="s">
        <v>286</v>
      </c>
      <c r="K3103" s="363"/>
      <c r="L3103" s="129"/>
      <c r="M3103" s="129"/>
      <c r="N3103" s="129"/>
      <c r="O3103" s="129"/>
      <c r="P3103" s="364"/>
      <c r="Q3103" s="364"/>
      <c r="R3103" s="129"/>
      <c r="S3103" s="129"/>
      <c r="T3103" s="129"/>
      <c r="W3103" s="129" t="s">
        <v>286</v>
      </c>
      <c r="X3103" s="337" t="b">
        <f t="shared" si="83"/>
        <v>1</v>
      </c>
    </row>
    <row r="3104" spans="1:24" s="337" customFormat="1" ht="12" customHeight="1" outlineLevel="1">
      <c r="A3104" s="335"/>
      <c r="B3104" s="118" t="s">
        <v>12</v>
      </c>
      <c r="C3104" s="334" t="s">
        <v>10759</v>
      </c>
      <c r="D3104" s="124" t="s">
        <v>7778</v>
      </c>
      <c r="E3104" s="125"/>
      <c r="F3104" s="118" t="s">
        <v>828</v>
      </c>
      <c r="G3104" s="126" t="s">
        <v>10304</v>
      </c>
      <c r="H3104" s="255">
        <v>5</v>
      </c>
      <c r="I3104" s="361">
        <v>1</v>
      </c>
      <c r="J3104" s="362" t="s">
        <v>286</v>
      </c>
      <c r="K3104" s="363"/>
      <c r="L3104" s="129"/>
      <c r="M3104" s="129"/>
      <c r="N3104" s="129"/>
      <c r="O3104" s="129"/>
      <c r="P3104" s="364"/>
      <c r="Q3104" s="364"/>
      <c r="R3104" s="129"/>
      <c r="S3104" s="129"/>
      <c r="T3104" s="129"/>
      <c r="W3104" s="129" t="s">
        <v>286</v>
      </c>
      <c r="X3104" s="337" t="b">
        <f t="shared" si="83"/>
        <v>1</v>
      </c>
    </row>
    <row r="3105" spans="1:24" s="337" customFormat="1" ht="12" customHeight="1" outlineLevel="1">
      <c r="A3105" s="335"/>
      <c r="B3105" s="118" t="s">
        <v>12</v>
      </c>
      <c r="C3105" s="334" t="s">
        <v>10760</v>
      </c>
      <c r="D3105" s="124" t="s">
        <v>10761</v>
      </c>
      <c r="E3105" s="125"/>
      <c r="F3105" s="118" t="s">
        <v>828</v>
      </c>
      <c r="G3105" s="126" t="s">
        <v>10304</v>
      </c>
      <c r="H3105" s="255">
        <v>5</v>
      </c>
      <c r="I3105" s="361">
        <v>1</v>
      </c>
      <c r="J3105" s="362" t="s">
        <v>286</v>
      </c>
      <c r="K3105" s="363"/>
      <c r="L3105" s="129"/>
      <c r="M3105" s="129"/>
      <c r="N3105" s="129"/>
      <c r="O3105" s="129"/>
      <c r="P3105" s="364"/>
      <c r="Q3105" s="364"/>
      <c r="R3105" s="129"/>
      <c r="S3105" s="129"/>
      <c r="T3105" s="129"/>
      <c r="W3105" s="129" t="s">
        <v>286</v>
      </c>
      <c r="X3105" s="337" t="b">
        <f t="shared" si="83"/>
        <v>1</v>
      </c>
    </row>
    <row r="3106" spans="1:24" s="337" customFormat="1" ht="12" customHeight="1" outlineLevel="1">
      <c r="A3106" s="335"/>
      <c r="B3106" s="118" t="s">
        <v>12</v>
      </c>
      <c r="C3106" s="334" t="s">
        <v>10762</v>
      </c>
      <c r="D3106" s="124" t="s">
        <v>7782</v>
      </c>
      <c r="E3106" s="125"/>
      <c r="F3106" s="118" t="s">
        <v>828</v>
      </c>
      <c r="G3106" s="126" t="s">
        <v>10304</v>
      </c>
      <c r="H3106" s="255">
        <v>5</v>
      </c>
      <c r="I3106" s="361">
        <v>1</v>
      </c>
      <c r="J3106" s="362" t="s">
        <v>286</v>
      </c>
      <c r="K3106" s="363"/>
      <c r="L3106" s="129"/>
      <c r="M3106" s="129"/>
      <c r="N3106" s="129"/>
      <c r="O3106" s="129"/>
      <c r="P3106" s="364"/>
      <c r="Q3106" s="364"/>
      <c r="R3106" s="129"/>
      <c r="S3106" s="129"/>
      <c r="T3106" s="129"/>
      <c r="W3106" s="129" t="s">
        <v>286</v>
      </c>
      <c r="X3106" s="337" t="b">
        <f t="shared" si="83"/>
        <v>1</v>
      </c>
    </row>
    <row r="3107" spans="1:24" s="337" customFormat="1" ht="12" customHeight="1" outlineLevel="1">
      <c r="A3107" s="335"/>
      <c r="B3107" s="118" t="s">
        <v>12</v>
      </c>
      <c r="C3107" s="334" t="s">
        <v>10763</v>
      </c>
      <c r="D3107" s="124" t="s">
        <v>10764</v>
      </c>
      <c r="E3107" s="125"/>
      <c r="F3107" s="118" t="s">
        <v>828</v>
      </c>
      <c r="G3107" s="126" t="s">
        <v>10304</v>
      </c>
      <c r="H3107" s="255">
        <v>5</v>
      </c>
      <c r="I3107" s="361">
        <v>1</v>
      </c>
      <c r="J3107" s="362" t="s">
        <v>286</v>
      </c>
      <c r="K3107" s="363"/>
      <c r="L3107" s="129"/>
      <c r="M3107" s="129"/>
      <c r="N3107" s="129"/>
      <c r="O3107" s="129"/>
      <c r="P3107" s="364"/>
      <c r="Q3107" s="364"/>
      <c r="R3107" s="129"/>
      <c r="S3107" s="129"/>
      <c r="T3107" s="129"/>
      <c r="W3107" s="129" t="s">
        <v>286</v>
      </c>
      <c r="X3107" s="337" t="b">
        <f t="shared" si="83"/>
        <v>1</v>
      </c>
    </row>
    <row r="3108" spans="1:24" s="337" customFormat="1" ht="12" customHeight="1" outlineLevel="1">
      <c r="A3108" s="335"/>
      <c r="B3108" s="118" t="s">
        <v>12</v>
      </c>
      <c r="C3108" s="334" t="s">
        <v>10765</v>
      </c>
      <c r="D3108" s="124" t="s">
        <v>10766</v>
      </c>
      <c r="E3108" s="125"/>
      <c r="F3108" s="118" t="s">
        <v>828</v>
      </c>
      <c r="G3108" s="126" t="s">
        <v>10304</v>
      </c>
      <c r="H3108" s="255">
        <v>5</v>
      </c>
      <c r="I3108" s="361">
        <v>1</v>
      </c>
      <c r="J3108" s="362" t="s">
        <v>310</v>
      </c>
      <c r="K3108" s="363"/>
      <c r="L3108" s="129"/>
      <c r="M3108" s="129"/>
      <c r="N3108" s="129"/>
      <c r="O3108" s="129"/>
      <c r="P3108" s="364"/>
      <c r="Q3108" s="364"/>
      <c r="R3108" s="129"/>
      <c r="S3108" s="129"/>
      <c r="T3108" s="129"/>
      <c r="W3108" s="129" t="s">
        <v>4876</v>
      </c>
      <c r="X3108" s="337" t="b">
        <f t="shared" si="83"/>
        <v>0</v>
      </c>
    </row>
    <row r="3109" spans="1:24" s="337" customFormat="1" ht="12" customHeight="1" outlineLevel="1">
      <c r="A3109" s="335"/>
      <c r="B3109" s="118" t="s">
        <v>12</v>
      </c>
      <c r="C3109" s="334" t="s">
        <v>10767</v>
      </c>
      <c r="D3109" s="124" t="s">
        <v>10768</v>
      </c>
      <c r="E3109" s="125"/>
      <c r="F3109" s="118" t="s">
        <v>828</v>
      </c>
      <c r="G3109" s="126" t="s">
        <v>10304</v>
      </c>
      <c r="H3109" s="255">
        <v>5</v>
      </c>
      <c r="I3109" s="361">
        <v>1</v>
      </c>
      <c r="J3109" s="362" t="s">
        <v>310</v>
      </c>
      <c r="K3109" s="363"/>
      <c r="L3109" s="129"/>
      <c r="M3109" s="129"/>
      <c r="N3109" s="129"/>
      <c r="O3109" s="129"/>
      <c r="P3109" s="364"/>
      <c r="Q3109" s="364"/>
      <c r="R3109" s="129"/>
      <c r="S3109" s="129"/>
      <c r="T3109" s="129"/>
      <c r="W3109" s="129" t="s">
        <v>4876</v>
      </c>
      <c r="X3109" s="337" t="b">
        <f t="shared" si="83"/>
        <v>0</v>
      </c>
    </row>
    <row r="3110" spans="1:24" s="337" customFormat="1" ht="12" customHeight="1" outlineLevel="1">
      <c r="A3110" s="335"/>
      <c r="B3110" s="118" t="s">
        <v>12</v>
      </c>
      <c r="C3110" s="334" t="s">
        <v>10769</v>
      </c>
      <c r="D3110" s="124" t="s">
        <v>10770</v>
      </c>
      <c r="E3110" s="125"/>
      <c r="F3110" s="118" t="s">
        <v>828</v>
      </c>
      <c r="G3110" s="126" t="s">
        <v>10304</v>
      </c>
      <c r="H3110" s="255">
        <v>5</v>
      </c>
      <c r="I3110" s="361">
        <v>1</v>
      </c>
      <c r="J3110" s="362" t="s">
        <v>310</v>
      </c>
      <c r="K3110" s="363"/>
      <c r="L3110" s="129"/>
      <c r="M3110" s="129"/>
      <c r="N3110" s="129"/>
      <c r="O3110" s="129"/>
      <c r="P3110" s="364"/>
      <c r="Q3110" s="364"/>
      <c r="R3110" s="129"/>
      <c r="S3110" s="129"/>
      <c r="T3110" s="129"/>
      <c r="W3110" s="129" t="s">
        <v>4876</v>
      </c>
      <c r="X3110" s="337" t="b">
        <f t="shared" si="83"/>
        <v>0</v>
      </c>
    </row>
    <row r="3111" spans="1:24" s="337" customFormat="1" ht="12" customHeight="1" outlineLevel="1">
      <c r="A3111" s="335"/>
      <c r="B3111" s="118" t="s">
        <v>12</v>
      </c>
      <c r="C3111" s="334" t="s">
        <v>10771</v>
      </c>
      <c r="D3111" s="124" t="s">
        <v>10772</v>
      </c>
      <c r="E3111" s="125"/>
      <c r="F3111" s="118" t="s">
        <v>828</v>
      </c>
      <c r="G3111" s="126" t="s">
        <v>10304</v>
      </c>
      <c r="H3111" s="255">
        <v>5</v>
      </c>
      <c r="I3111" s="361">
        <v>1</v>
      </c>
      <c r="J3111" s="362" t="s">
        <v>310</v>
      </c>
      <c r="K3111" s="363"/>
      <c r="L3111" s="129"/>
      <c r="M3111" s="129"/>
      <c r="N3111" s="129"/>
      <c r="O3111" s="129"/>
      <c r="P3111" s="364"/>
      <c r="Q3111" s="364"/>
      <c r="R3111" s="129"/>
      <c r="S3111" s="129"/>
      <c r="T3111" s="129"/>
      <c r="W3111" s="129" t="s">
        <v>4876</v>
      </c>
      <c r="X3111" s="337" t="b">
        <f t="shared" si="83"/>
        <v>0</v>
      </c>
    </row>
    <row r="3112" spans="1:24" s="337" customFormat="1" ht="12" customHeight="1" outlineLevel="1">
      <c r="A3112" s="335"/>
      <c r="B3112" s="118" t="s">
        <v>12</v>
      </c>
      <c r="C3112" s="334" t="s">
        <v>10773</v>
      </c>
      <c r="D3112" s="124" t="s">
        <v>10774</v>
      </c>
      <c r="E3112" s="125"/>
      <c r="F3112" s="118" t="s">
        <v>828</v>
      </c>
      <c r="G3112" s="126" t="s">
        <v>10304</v>
      </c>
      <c r="H3112" s="255">
        <v>5</v>
      </c>
      <c r="I3112" s="361">
        <v>1</v>
      </c>
      <c r="J3112" s="362" t="s">
        <v>310</v>
      </c>
      <c r="K3112" s="363"/>
      <c r="L3112" s="129"/>
      <c r="M3112" s="129"/>
      <c r="N3112" s="129"/>
      <c r="O3112" s="129"/>
      <c r="P3112" s="364"/>
      <c r="Q3112" s="364"/>
      <c r="R3112" s="129"/>
      <c r="S3112" s="129"/>
      <c r="T3112" s="129"/>
      <c r="W3112" s="129" t="s">
        <v>4876</v>
      </c>
      <c r="X3112" s="337" t="b">
        <f t="shared" si="83"/>
        <v>0</v>
      </c>
    </row>
    <row r="3113" spans="1:24" s="337" customFormat="1" ht="12" customHeight="1" outlineLevel="1">
      <c r="A3113" s="335"/>
      <c r="B3113" s="118" t="s">
        <v>12</v>
      </c>
      <c r="C3113" s="334" t="s">
        <v>10775</v>
      </c>
      <c r="D3113" s="124" t="s">
        <v>10776</v>
      </c>
      <c r="E3113" s="125"/>
      <c r="F3113" s="118" t="s">
        <v>828</v>
      </c>
      <c r="G3113" s="126" t="s">
        <v>10304</v>
      </c>
      <c r="H3113" s="255">
        <v>5</v>
      </c>
      <c r="I3113" s="361">
        <v>1</v>
      </c>
      <c r="J3113" s="362" t="s">
        <v>286</v>
      </c>
      <c r="K3113" s="363"/>
      <c r="L3113" s="129"/>
      <c r="M3113" s="129"/>
      <c r="N3113" s="129"/>
      <c r="O3113" s="129"/>
      <c r="P3113" s="364"/>
      <c r="Q3113" s="364"/>
      <c r="R3113" s="129"/>
      <c r="S3113" s="129"/>
      <c r="T3113" s="129"/>
      <c r="W3113" s="129" t="s">
        <v>4876</v>
      </c>
      <c r="X3113" s="337" t="b">
        <f t="shared" si="83"/>
        <v>0</v>
      </c>
    </row>
    <row r="3114" spans="1:24" s="337" customFormat="1" ht="12" customHeight="1" outlineLevel="1">
      <c r="A3114" s="335"/>
      <c r="B3114" s="118" t="s">
        <v>12</v>
      </c>
      <c r="C3114" s="334" t="s">
        <v>10777</v>
      </c>
      <c r="D3114" s="124" t="s">
        <v>10778</v>
      </c>
      <c r="E3114" s="125"/>
      <c r="F3114" s="118" t="s">
        <v>828</v>
      </c>
      <c r="G3114" s="126" t="s">
        <v>10304</v>
      </c>
      <c r="H3114" s="255">
        <v>5</v>
      </c>
      <c r="I3114" s="361">
        <v>1</v>
      </c>
      <c r="J3114" s="362" t="s">
        <v>286</v>
      </c>
      <c r="K3114" s="363"/>
      <c r="L3114" s="129"/>
      <c r="M3114" s="129"/>
      <c r="N3114" s="129"/>
      <c r="O3114" s="129"/>
      <c r="P3114" s="364"/>
      <c r="Q3114" s="364"/>
      <c r="R3114" s="129"/>
      <c r="S3114" s="129"/>
      <c r="T3114" s="129"/>
      <c r="W3114" s="129" t="s">
        <v>310</v>
      </c>
      <c r="X3114" s="337" t="b">
        <f t="shared" si="83"/>
        <v>0</v>
      </c>
    </row>
    <row r="3115" spans="1:24" s="337" customFormat="1" ht="12" customHeight="1" outlineLevel="1">
      <c r="A3115" s="335"/>
      <c r="B3115" s="118" t="s">
        <v>12</v>
      </c>
      <c r="C3115" s="334" t="s">
        <v>10779</v>
      </c>
      <c r="D3115" s="124" t="s">
        <v>10780</v>
      </c>
      <c r="E3115" s="125"/>
      <c r="F3115" s="118" t="s">
        <v>828</v>
      </c>
      <c r="G3115" s="126" t="s">
        <v>10304</v>
      </c>
      <c r="H3115" s="255">
        <v>5</v>
      </c>
      <c r="I3115" s="361">
        <v>1</v>
      </c>
      <c r="J3115" s="362" t="s">
        <v>286</v>
      </c>
      <c r="K3115" s="363"/>
      <c r="L3115" s="129"/>
      <c r="M3115" s="129"/>
      <c r="N3115" s="129"/>
      <c r="O3115" s="129"/>
      <c r="P3115" s="364"/>
      <c r="Q3115" s="364"/>
      <c r="R3115" s="129"/>
      <c r="S3115" s="129"/>
      <c r="T3115" s="129"/>
      <c r="W3115" s="129" t="s">
        <v>286</v>
      </c>
      <c r="X3115" s="337" t="b">
        <f t="shared" si="83"/>
        <v>1</v>
      </c>
    </row>
    <row r="3116" spans="1:24" s="337" customFormat="1" ht="12" customHeight="1" outlineLevel="1">
      <c r="A3116" s="335"/>
      <c r="B3116" s="118" t="s">
        <v>12</v>
      </c>
      <c r="C3116" s="334" t="s">
        <v>10781</v>
      </c>
      <c r="D3116" s="124" t="s">
        <v>10782</v>
      </c>
      <c r="E3116" s="125"/>
      <c r="F3116" s="118" t="s">
        <v>828</v>
      </c>
      <c r="G3116" s="126" t="s">
        <v>10304</v>
      </c>
      <c r="H3116" s="255">
        <v>5</v>
      </c>
      <c r="I3116" s="361">
        <v>1</v>
      </c>
      <c r="J3116" s="362" t="s">
        <v>286</v>
      </c>
      <c r="K3116" s="363"/>
      <c r="L3116" s="129"/>
      <c r="M3116" s="129"/>
      <c r="N3116" s="129"/>
      <c r="O3116" s="129"/>
      <c r="P3116" s="364"/>
      <c r="Q3116" s="364"/>
      <c r="R3116" s="129"/>
      <c r="S3116" s="129"/>
      <c r="T3116" s="129"/>
      <c r="W3116" s="129" t="s">
        <v>286</v>
      </c>
      <c r="X3116" s="337" t="b">
        <f t="shared" si="83"/>
        <v>1</v>
      </c>
    </row>
    <row r="3117" spans="1:24" s="337" customFormat="1" ht="12" customHeight="1" outlineLevel="1">
      <c r="A3117" s="335"/>
      <c r="B3117" s="118" t="s">
        <v>12</v>
      </c>
      <c r="C3117" s="334" t="s">
        <v>10783</v>
      </c>
      <c r="D3117" s="124" t="s">
        <v>10784</v>
      </c>
      <c r="E3117" s="125"/>
      <c r="F3117" s="118" t="s">
        <v>828</v>
      </c>
      <c r="G3117" s="126" t="s">
        <v>10304</v>
      </c>
      <c r="H3117" s="255">
        <v>5</v>
      </c>
      <c r="I3117" s="361">
        <v>1</v>
      </c>
      <c r="J3117" s="362" t="s">
        <v>286</v>
      </c>
      <c r="K3117" s="363"/>
      <c r="L3117" s="129"/>
      <c r="M3117" s="129"/>
      <c r="N3117" s="129"/>
      <c r="O3117" s="129"/>
      <c r="P3117" s="364"/>
      <c r="Q3117" s="364"/>
      <c r="R3117" s="129"/>
      <c r="S3117" s="129"/>
      <c r="T3117" s="129"/>
      <c r="W3117" s="129" t="s">
        <v>286</v>
      </c>
      <c r="X3117" s="337" t="b">
        <f t="shared" si="83"/>
        <v>1</v>
      </c>
    </row>
    <row r="3118" spans="1:24" s="337" customFormat="1" ht="12" customHeight="1" outlineLevel="1">
      <c r="A3118" s="335"/>
      <c r="B3118" s="118" t="s">
        <v>12</v>
      </c>
      <c r="C3118" s="334" t="s">
        <v>10785</v>
      </c>
      <c r="D3118" s="124" t="s">
        <v>10786</v>
      </c>
      <c r="E3118" s="125"/>
      <c r="F3118" s="118" t="s">
        <v>828</v>
      </c>
      <c r="G3118" s="126" t="s">
        <v>10304</v>
      </c>
      <c r="H3118" s="255">
        <v>5</v>
      </c>
      <c r="I3118" s="361">
        <v>1</v>
      </c>
      <c r="J3118" s="362" t="s">
        <v>286</v>
      </c>
      <c r="K3118" s="363"/>
      <c r="L3118" s="129"/>
      <c r="M3118" s="129"/>
      <c r="N3118" s="129"/>
      <c r="O3118" s="129"/>
      <c r="P3118" s="364"/>
      <c r="Q3118" s="364"/>
      <c r="R3118" s="129"/>
      <c r="S3118" s="129"/>
      <c r="T3118" s="129"/>
      <c r="W3118" s="129" t="s">
        <v>4876</v>
      </c>
      <c r="X3118" s="337" t="b">
        <f t="shared" si="83"/>
        <v>0</v>
      </c>
    </row>
    <row r="3119" spans="1:24" s="337" customFormat="1" ht="12" customHeight="1" outlineLevel="1">
      <c r="A3119" s="335"/>
      <c r="B3119" s="118" t="s">
        <v>12</v>
      </c>
      <c r="C3119" s="334" t="s">
        <v>10787</v>
      </c>
      <c r="D3119" s="124" t="s">
        <v>10788</v>
      </c>
      <c r="E3119" s="125"/>
      <c r="F3119" s="118" t="s">
        <v>828</v>
      </c>
      <c r="G3119" s="126" t="s">
        <v>10304</v>
      </c>
      <c r="H3119" s="255">
        <v>5</v>
      </c>
      <c r="I3119" s="361">
        <v>1</v>
      </c>
      <c r="J3119" s="362" t="s">
        <v>286</v>
      </c>
      <c r="K3119" s="363"/>
      <c r="L3119" s="129"/>
      <c r="M3119" s="129"/>
      <c r="N3119" s="129"/>
      <c r="O3119" s="129"/>
      <c r="P3119" s="364"/>
      <c r="Q3119" s="364"/>
      <c r="R3119" s="129"/>
      <c r="S3119" s="129"/>
      <c r="T3119" s="129"/>
      <c r="W3119" s="129" t="s">
        <v>4876</v>
      </c>
      <c r="X3119" s="337" t="b">
        <f t="shared" si="83"/>
        <v>0</v>
      </c>
    </row>
    <row r="3120" spans="1:24" s="337" customFormat="1" ht="12" customHeight="1" outlineLevel="1">
      <c r="A3120" s="335"/>
      <c r="B3120" s="118" t="s">
        <v>12</v>
      </c>
      <c r="C3120" s="334" t="s">
        <v>10789</v>
      </c>
      <c r="D3120" s="124" t="s">
        <v>10790</v>
      </c>
      <c r="E3120" s="125"/>
      <c r="F3120" s="118" t="s">
        <v>828</v>
      </c>
      <c r="G3120" s="126" t="s">
        <v>10304</v>
      </c>
      <c r="H3120" s="255">
        <v>5</v>
      </c>
      <c r="I3120" s="361">
        <v>1</v>
      </c>
      <c r="J3120" s="362" t="s">
        <v>286</v>
      </c>
      <c r="K3120" s="363"/>
      <c r="L3120" s="129"/>
      <c r="M3120" s="129"/>
      <c r="N3120" s="129"/>
      <c r="O3120" s="129"/>
      <c r="P3120" s="364"/>
      <c r="Q3120" s="364"/>
      <c r="R3120" s="129"/>
      <c r="S3120" s="129"/>
      <c r="T3120" s="129"/>
      <c r="W3120" s="129" t="s">
        <v>4876</v>
      </c>
      <c r="X3120" s="337" t="b">
        <f t="shared" si="83"/>
        <v>0</v>
      </c>
    </row>
    <row r="3121" spans="1:24" s="337" customFormat="1" ht="12" customHeight="1" outlineLevel="1">
      <c r="A3121" s="335"/>
      <c r="B3121" s="118" t="s">
        <v>12</v>
      </c>
      <c r="C3121" s="334" t="s">
        <v>10791</v>
      </c>
      <c r="D3121" s="124" t="s">
        <v>10792</v>
      </c>
      <c r="E3121" s="125"/>
      <c r="F3121" s="118" t="s">
        <v>828</v>
      </c>
      <c r="G3121" s="126" t="s">
        <v>10304</v>
      </c>
      <c r="H3121" s="255">
        <v>5</v>
      </c>
      <c r="I3121" s="361">
        <v>1</v>
      </c>
      <c r="J3121" s="362" t="s">
        <v>286</v>
      </c>
      <c r="K3121" s="363"/>
      <c r="L3121" s="129"/>
      <c r="M3121" s="129"/>
      <c r="N3121" s="129"/>
      <c r="O3121" s="129"/>
      <c r="P3121" s="364"/>
      <c r="Q3121" s="364"/>
      <c r="R3121" s="129"/>
      <c r="S3121" s="129"/>
      <c r="T3121" s="129"/>
      <c r="W3121" s="129" t="s">
        <v>4876</v>
      </c>
      <c r="X3121" s="337" t="b">
        <f t="shared" si="83"/>
        <v>0</v>
      </c>
    </row>
    <row r="3122" spans="1:24" s="337" customFormat="1" ht="12" customHeight="1" outlineLevel="1">
      <c r="A3122" s="335"/>
      <c r="B3122" s="118" t="s">
        <v>12</v>
      </c>
      <c r="C3122" s="334" t="s">
        <v>10793</v>
      </c>
      <c r="D3122" s="124" t="s">
        <v>10794</v>
      </c>
      <c r="E3122" s="125"/>
      <c r="F3122" s="118" t="s">
        <v>828</v>
      </c>
      <c r="G3122" s="126" t="s">
        <v>10304</v>
      </c>
      <c r="H3122" s="255">
        <v>5</v>
      </c>
      <c r="I3122" s="361">
        <v>1</v>
      </c>
      <c r="J3122" s="362" t="s">
        <v>286</v>
      </c>
      <c r="K3122" s="363"/>
      <c r="L3122" s="129"/>
      <c r="M3122" s="129"/>
      <c r="N3122" s="129"/>
      <c r="O3122" s="129"/>
      <c r="P3122" s="364"/>
      <c r="Q3122" s="364"/>
      <c r="R3122" s="129"/>
      <c r="S3122" s="129"/>
      <c r="T3122" s="129"/>
      <c r="W3122" s="129" t="s">
        <v>4876</v>
      </c>
      <c r="X3122" s="337" t="b">
        <f t="shared" si="83"/>
        <v>0</v>
      </c>
    </row>
    <row r="3123" spans="1:24" s="337" customFormat="1" ht="12" customHeight="1" outlineLevel="1">
      <c r="A3123" s="335"/>
      <c r="B3123" s="118" t="s">
        <v>12</v>
      </c>
      <c r="C3123" s="334" t="s">
        <v>10795</v>
      </c>
      <c r="D3123" s="124" t="s">
        <v>10796</v>
      </c>
      <c r="E3123" s="125"/>
      <c r="F3123" s="118" t="s">
        <v>828</v>
      </c>
      <c r="G3123" s="126" t="s">
        <v>10304</v>
      </c>
      <c r="H3123" s="255">
        <v>5</v>
      </c>
      <c r="I3123" s="361">
        <v>1</v>
      </c>
      <c r="J3123" s="362" t="s">
        <v>286</v>
      </c>
      <c r="K3123" s="363"/>
      <c r="L3123" s="129"/>
      <c r="M3123" s="129"/>
      <c r="N3123" s="129"/>
      <c r="O3123" s="129"/>
      <c r="P3123" s="364"/>
      <c r="Q3123" s="364"/>
      <c r="R3123" s="129"/>
      <c r="S3123" s="129"/>
      <c r="T3123" s="129"/>
      <c r="W3123" s="129" t="s">
        <v>4876</v>
      </c>
      <c r="X3123" s="337" t="b">
        <f t="shared" si="83"/>
        <v>0</v>
      </c>
    </row>
    <row r="3124" spans="1:24" s="337" customFormat="1" ht="12" customHeight="1" outlineLevel="1">
      <c r="A3124" s="335"/>
      <c r="B3124" s="118" t="s">
        <v>12</v>
      </c>
      <c r="C3124" s="334" t="s">
        <v>10795</v>
      </c>
      <c r="D3124" s="124" t="s">
        <v>10797</v>
      </c>
      <c r="E3124" s="125"/>
      <c r="F3124" s="118" t="s">
        <v>828</v>
      </c>
      <c r="G3124" s="126" t="s">
        <v>10304</v>
      </c>
      <c r="H3124" s="255">
        <v>5</v>
      </c>
      <c r="I3124" s="361">
        <v>1</v>
      </c>
      <c r="J3124" s="362" t="s">
        <v>286</v>
      </c>
      <c r="K3124" s="363"/>
      <c r="L3124" s="129"/>
      <c r="M3124" s="129"/>
      <c r="N3124" s="129"/>
      <c r="O3124" s="129"/>
      <c r="P3124" s="364"/>
      <c r="Q3124" s="364"/>
      <c r="R3124" s="129"/>
      <c r="S3124" s="129"/>
      <c r="T3124" s="129"/>
      <c r="W3124" s="129" t="s">
        <v>4876</v>
      </c>
      <c r="X3124" s="337" t="b">
        <f t="shared" si="83"/>
        <v>0</v>
      </c>
    </row>
    <row r="3125" spans="1:24" s="337" customFormat="1" ht="12" customHeight="1" outlineLevel="1">
      <c r="A3125" s="335"/>
      <c r="B3125" s="118" t="s">
        <v>12</v>
      </c>
      <c r="C3125" s="334" t="s">
        <v>10798</v>
      </c>
      <c r="D3125" s="124" t="s">
        <v>10799</v>
      </c>
      <c r="E3125" s="125"/>
      <c r="F3125" s="118" t="s">
        <v>828</v>
      </c>
      <c r="G3125" s="126" t="s">
        <v>10304</v>
      </c>
      <c r="H3125" s="255">
        <v>5</v>
      </c>
      <c r="I3125" s="361">
        <v>1</v>
      </c>
      <c r="J3125" s="362" t="s">
        <v>286</v>
      </c>
      <c r="K3125" s="363"/>
      <c r="L3125" s="129"/>
      <c r="M3125" s="129"/>
      <c r="N3125" s="129"/>
      <c r="O3125" s="129"/>
      <c r="P3125" s="364"/>
      <c r="Q3125" s="364"/>
      <c r="R3125" s="129"/>
      <c r="S3125" s="129"/>
      <c r="T3125" s="129"/>
      <c r="W3125" s="129" t="s">
        <v>4876</v>
      </c>
      <c r="X3125" s="337" t="b">
        <f t="shared" si="83"/>
        <v>0</v>
      </c>
    </row>
    <row r="3126" spans="1:24" s="337" customFormat="1" ht="12" customHeight="1" outlineLevel="1">
      <c r="A3126" s="335"/>
      <c r="B3126" s="118" t="s">
        <v>12</v>
      </c>
      <c r="C3126" s="334" t="s">
        <v>10800</v>
      </c>
      <c r="D3126" s="124" t="s">
        <v>10801</v>
      </c>
      <c r="E3126" s="125"/>
      <c r="F3126" s="118" t="s">
        <v>828</v>
      </c>
      <c r="G3126" s="126" t="s">
        <v>10304</v>
      </c>
      <c r="H3126" s="255">
        <v>5</v>
      </c>
      <c r="I3126" s="361">
        <v>1</v>
      </c>
      <c r="J3126" s="362" t="s">
        <v>286</v>
      </c>
      <c r="K3126" s="363"/>
      <c r="L3126" s="129"/>
      <c r="M3126" s="129"/>
      <c r="N3126" s="129"/>
      <c r="O3126" s="129"/>
      <c r="P3126" s="364"/>
      <c r="Q3126" s="364"/>
      <c r="R3126" s="129"/>
      <c r="S3126" s="129"/>
      <c r="T3126" s="129"/>
      <c r="W3126" s="129" t="s">
        <v>4876</v>
      </c>
      <c r="X3126" s="337" t="b">
        <f t="shared" si="83"/>
        <v>0</v>
      </c>
    </row>
    <row r="3127" spans="1:24" s="337" customFormat="1" ht="12" customHeight="1" outlineLevel="1">
      <c r="A3127" s="335"/>
      <c r="B3127" s="118" t="s">
        <v>12</v>
      </c>
      <c r="C3127" s="334" t="s">
        <v>10802</v>
      </c>
      <c r="D3127" s="124" t="s">
        <v>10803</v>
      </c>
      <c r="E3127" s="125"/>
      <c r="F3127" s="118" t="s">
        <v>828</v>
      </c>
      <c r="G3127" s="126" t="s">
        <v>10304</v>
      </c>
      <c r="H3127" s="255">
        <v>5</v>
      </c>
      <c r="I3127" s="361">
        <v>1</v>
      </c>
      <c r="J3127" s="362" t="s">
        <v>286</v>
      </c>
      <c r="K3127" s="363"/>
      <c r="L3127" s="129"/>
      <c r="M3127" s="129"/>
      <c r="N3127" s="129"/>
      <c r="O3127" s="129"/>
      <c r="P3127" s="364"/>
      <c r="Q3127" s="364"/>
      <c r="R3127" s="129"/>
      <c r="S3127" s="129"/>
      <c r="T3127" s="129"/>
      <c r="W3127" s="129" t="s">
        <v>4876</v>
      </c>
      <c r="X3127" s="337" t="b">
        <f t="shared" si="83"/>
        <v>0</v>
      </c>
    </row>
    <row r="3128" spans="1:24" s="337" customFormat="1" ht="12" customHeight="1" outlineLevel="1">
      <c r="A3128" s="335"/>
      <c r="B3128" s="118" t="s">
        <v>12</v>
      </c>
      <c r="C3128" s="334" t="s">
        <v>10804</v>
      </c>
      <c r="D3128" s="124" t="s">
        <v>10805</v>
      </c>
      <c r="E3128" s="125"/>
      <c r="F3128" s="118" t="s">
        <v>828</v>
      </c>
      <c r="G3128" s="126" t="s">
        <v>10304</v>
      </c>
      <c r="H3128" s="255">
        <v>5</v>
      </c>
      <c r="I3128" s="361">
        <v>1</v>
      </c>
      <c r="J3128" s="362" t="s">
        <v>286</v>
      </c>
      <c r="K3128" s="363"/>
      <c r="L3128" s="129"/>
      <c r="M3128" s="129"/>
      <c r="N3128" s="129"/>
      <c r="O3128" s="129"/>
      <c r="P3128" s="364"/>
      <c r="Q3128" s="364"/>
      <c r="R3128" s="129"/>
      <c r="S3128" s="129"/>
      <c r="T3128" s="129"/>
      <c r="W3128" s="129" t="s">
        <v>4876</v>
      </c>
      <c r="X3128" s="337" t="b">
        <f t="shared" si="83"/>
        <v>0</v>
      </c>
    </row>
    <row r="3129" spans="1:24" s="337" customFormat="1" ht="12" customHeight="1" outlineLevel="1">
      <c r="A3129" s="335"/>
      <c r="B3129" s="118" t="s">
        <v>12</v>
      </c>
      <c r="C3129" s="334" t="s">
        <v>10806</v>
      </c>
      <c r="D3129" s="124" t="s">
        <v>10807</v>
      </c>
      <c r="E3129" s="125"/>
      <c r="F3129" s="118" t="s">
        <v>828</v>
      </c>
      <c r="G3129" s="126" t="s">
        <v>10304</v>
      </c>
      <c r="H3129" s="255">
        <v>5</v>
      </c>
      <c r="I3129" s="361">
        <v>1</v>
      </c>
      <c r="J3129" s="362" t="s">
        <v>286</v>
      </c>
      <c r="K3129" s="363"/>
      <c r="L3129" s="129"/>
      <c r="M3129" s="129"/>
      <c r="N3129" s="129"/>
      <c r="O3129" s="129"/>
      <c r="P3129" s="364"/>
      <c r="Q3129" s="364"/>
      <c r="R3129" s="129"/>
      <c r="S3129" s="129"/>
      <c r="T3129" s="129"/>
      <c r="W3129" s="129" t="s">
        <v>4876</v>
      </c>
      <c r="X3129" s="337" t="b">
        <f t="shared" si="83"/>
        <v>0</v>
      </c>
    </row>
    <row r="3130" spans="1:24" s="337" customFormat="1" ht="12" customHeight="1" outlineLevel="1">
      <c r="A3130" s="335"/>
      <c r="B3130" s="118" t="s">
        <v>12</v>
      </c>
      <c r="C3130" s="334" t="s">
        <v>10808</v>
      </c>
      <c r="D3130" s="124" t="s">
        <v>10809</v>
      </c>
      <c r="E3130" s="125"/>
      <c r="F3130" s="118" t="s">
        <v>828</v>
      </c>
      <c r="G3130" s="126" t="s">
        <v>10304</v>
      </c>
      <c r="H3130" s="255">
        <v>5</v>
      </c>
      <c r="I3130" s="361">
        <v>1</v>
      </c>
      <c r="J3130" s="362" t="s">
        <v>286</v>
      </c>
      <c r="K3130" s="363"/>
      <c r="L3130" s="129"/>
      <c r="M3130" s="129"/>
      <c r="N3130" s="129"/>
      <c r="O3130" s="129"/>
      <c r="P3130" s="364"/>
      <c r="Q3130" s="364"/>
      <c r="R3130" s="129"/>
      <c r="S3130" s="129"/>
      <c r="T3130" s="129"/>
      <c r="W3130" s="129" t="s">
        <v>4876</v>
      </c>
      <c r="X3130" s="337" t="b">
        <f t="shared" si="83"/>
        <v>0</v>
      </c>
    </row>
    <row r="3131" spans="1:24" s="337" customFormat="1" ht="12" customHeight="1" outlineLevel="1">
      <c r="A3131" s="335"/>
      <c r="B3131" s="118" t="s">
        <v>12</v>
      </c>
      <c r="C3131" s="334" t="s">
        <v>10810</v>
      </c>
      <c r="D3131" s="124" t="s">
        <v>10811</v>
      </c>
      <c r="E3131" s="125"/>
      <c r="F3131" s="118" t="s">
        <v>828</v>
      </c>
      <c r="G3131" s="126" t="s">
        <v>10304</v>
      </c>
      <c r="H3131" s="255">
        <v>5</v>
      </c>
      <c r="I3131" s="361">
        <v>1</v>
      </c>
      <c r="J3131" s="362" t="s">
        <v>310</v>
      </c>
      <c r="K3131" s="363"/>
      <c r="L3131" s="129"/>
      <c r="M3131" s="129"/>
      <c r="N3131" s="129"/>
      <c r="O3131" s="129"/>
      <c r="P3131" s="364"/>
      <c r="Q3131" s="364"/>
      <c r="R3131" s="129"/>
      <c r="S3131" s="129"/>
      <c r="T3131" s="129"/>
      <c r="W3131" s="129" t="s">
        <v>286</v>
      </c>
      <c r="X3131" s="337" t="b">
        <f t="shared" si="83"/>
        <v>0</v>
      </c>
    </row>
    <row r="3132" spans="1:24" s="337" customFormat="1" ht="12" customHeight="1" outlineLevel="1">
      <c r="A3132" s="335"/>
      <c r="B3132" s="118" t="s">
        <v>12</v>
      </c>
      <c r="C3132" s="334" t="s">
        <v>10812</v>
      </c>
      <c r="D3132" s="124" t="s">
        <v>10813</v>
      </c>
      <c r="E3132" s="125"/>
      <c r="F3132" s="118" t="s">
        <v>828</v>
      </c>
      <c r="G3132" s="126" t="s">
        <v>10304</v>
      </c>
      <c r="H3132" s="255">
        <v>5</v>
      </c>
      <c r="I3132" s="361">
        <v>1</v>
      </c>
      <c r="J3132" s="362" t="s">
        <v>286</v>
      </c>
      <c r="K3132" s="363"/>
      <c r="L3132" s="129"/>
      <c r="M3132" s="129"/>
      <c r="N3132" s="129"/>
      <c r="O3132" s="129"/>
      <c r="P3132" s="364"/>
      <c r="Q3132" s="364"/>
      <c r="R3132" s="129"/>
      <c r="S3132" s="129"/>
      <c r="T3132" s="129"/>
      <c r="W3132" s="129" t="s">
        <v>286</v>
      </c>
      <c r="X3132" s="337" t="b">
        <f t="shared" si="83"/>
        <v>1</v>
      </c>
    </row>
    <row r="3133" spans="1:24" s="337" customFormat="1" ht="12" customHeight="1" outlineLevel="1">
      <c r="A3133" s="335"/>
      <c r="B3133" s="118" t="s">
        <v>12</v>
      </c>
      <c r="C3133" s="334" t="s">
        <v>10814</v>
      </c>
      <c r="D3133" s="124" t="s">
        <v>10815</v>
      </c>
      <c r="E3133" s="125"/>
      <c r="F3133" s="118" t="s">
        <v>828</v>
      </c>
      <c r="G3133" s="126" t="s">
        <v>10304</v>
      </c>
      <c r="H3133" s="255">
        <v>5</v>
      </c>
      <c r="I3133" s="361">
        <v>1</v>
      </c>
      <c r="J3133" s="362" t="s">
        <v>286</v>
      </c>
      <c r="K3133" s="363"/>
      <c r="L3133" s="129"/>
      <c r="M3133" s="129"/>
      <c r="N3133" s="129"/>
      <c r="O3133" s="129"/>
      <c r="P3133" s="364"/>
      <c r="Q3133" s="364"/>
      <c r="R3133" s="129"/>
      <c r="S3133" s="129"/>
      <c r="T3133" s="129"/>
      <c r="W3133" s="129" t="s">
        <v>286</v>
      </c>
      <c r="X3133" s="337" t="b">
        <f t="shared" si="83"/>
        <v>1</v>
      </c>
    </row>
    <row r="3134" spans="1:24" s="337" customFormat="1" ht="12" customHeight="1" outlineLevel="1">
      <c r="A3134" s="335"/>
      <c r="B3134" s="118" t="s">
        <v>12</v>
      </c>
      <c r="C3134" s="334" t="s">
        <v>10816</v>
      </c>
      <c r="D3134" s="124" t="s">
        <v>10817</v>
      </c>
      <c r="E3134" s="125"/>
      <c r="F3134" s="118" t="s">
        <v>828</v>
      </c>
      <c r="G3134" s="126" t="s">
        <v>10304</v>
      </c>
      <c r="H3134" s="255">
        <v>5</v>
      </c>
      <c r="I3134" s="361">
        <v>1</v>
      </c>
      <c r="J3134" s="362" t="s">
        <v>310</v>
      </c>
      <c r="K3134" s="363"/>
      <c r="L3134" s="129"/>
      <c r="M3134" s="129"/>
      <c r="N3134" s="129"/>
      <c r="O3134" s="129"/>
      <c r="P3134" s="364"/>
      <c r="Q3134" s="364"/>
      <c r="R3134" s="129"/>
      <c r="S3134" s="129"/>
      <c r="T3134" s="129"/>
      <c r="W3134" s="129" t="s">
        <v>4876</v>
      </c>
      <c r="X3134" s="337" t="b">
        <f t="shared" si="83"/>
        <v>0</v>
      </c>
    </row>
    <row r="3135" spans="1:24" s="337" customFormat="1" ht="12" customHeight="1" outlineLevel="1">
      <c r="A3135" s="335"/>
      <c r="B3135" s="118" t="s">
        <v>12</v>
      </c>
      <c r="C3135" s="334" t="s">
        <v>10818</v>
      </c>
      <c r="D3135" s="124" t="s">
        <v>10303</v>
      </c>
      <c r="E3135" s="125"/>
      <c r="F3135" s="118" t="s">
        <v>828</v>
      </c>
      <c r="G3135" s="126" t="s">
        <v>10304</v>
      </c>
      <c r="H3135" s="255">
        <v>5</v>
      </c>
      <c r="I3135" s="361">
        <v>1</v>
      </c>
      <c r="J3135" s="362" t="s">
        <v>286</v>
      </c>
      <c r="K3135" s="363"/>
      <c r="L3135" s="129"/>
      <c r="M3135" s="129"/>
      <c r="N3135" s="129"/>
      <c r="O3135" s="129"/>
      <c r="P3135" s="364"/>
      <c r="Q3135" s="364"/>
      <c r="R3135" s="129"/>
      <c r="S3135" s="129"/>
      <c r="T3135" s="129"/>
      <c r="W3135" s="129" t="s">
        <v>286</v>
      </c>
      <c r="X3135" s="337" t="b">
        <f t="shared" si="83"/>
        <v>1</v>
      </c>
    </row>
    <row r="3136" spans="1:24" s="337" customFormat="1" ht="12" customHeight="1" outlineLevel="1">
      <c r="A3136" s="335"/>
      <c r="B3136" s="118" t="s">
        <v>12</v>
      </c>
      <c r="C3136" s="334" t="s">
        <v>10819</v>
      </c>
      <c r="D3136" s="124" t="s">
        <v>10820</v>
      </c>
      <c r="E3136" s="125"/>
      <c r="F3136" s="118" t="s">
        <v>828</v>
      </c>
      <c r="G3136" s="126" t="s">
        <v>10304</v>
      </c>
      <c r="H3136" s="255">
        <v>5</v>
      </c>
      <c r="I3136" s="361">
        <v>1</v>
      </c>
      <c r="J3136" s="362" t="s">
        <v>286</v>
      </c>
      <c r="K3136" s="363"/>
      <c r="L3136" s="129"/>
      <c r="M3136" s="129"/>
      <c r="N3136" s="129"/>
      <c r="O3136" s="129"/>
      <c r="P3136" s="364"/>
      <c r="Q3136" s="364"/>
      <c r="R3136" s="129"/>
      <c r="S3136" s="129"/>
      <c r="T3136" s="129"/>
      <c r="W3136" s="129" t="s">
        <v>286</v>
      </c>
      <c r="X3136" s="337" t="b">
        <f t="shared" si="83"/>
        <v>1</v>
      </c>
    </row>
    <row r="3137" spans="1:24" s="337" customFormat="1" ht="12" customHeight="1" outlineLevel="1">
      <c r="A3137" s="335"/>
      <c r="B3137" s="118" t="s">
        <v>12</v>
      </c>
      <c r="C3137" s="334" t="s">
        <v>10821</v>
      </c>
      <c r="D3137" s="124" t="s">
        <v>10822</v>
      </c>
      <c r="E3137" s="125"/>
      <c r="F3137" s="118" t="s">
        <v>828</v>
      </c>
      <c r="G3137" s="126" t="s">
        <v>10304</v>
      </c>
      <c r="H3137" s="255">
        <v>5</v>
      </c>
      <c r="I3137" s="361">
        <v>1</v>
      </c>
      <c r="J3137" s="362" t="s">
        <v>286</v>
      </c>
      <c r="K3137" s="363"/>
      <c r="L3137" s="129"/>
      <c r="M3137" s="129"/>
      <c r="N3137" s="129"/>
      <c r="O3137" s="129"/>
      <c r="P3137" s="364"/>
      <c r="Q3137" s="364"/>
      <c r="R3137" s="129"/>
      <c r="S3137" s="129"/>
      <c r="T3137" s="129"/>
      <c r="W3137" s="129" t="s">
        <v>286</v>
      </c>
      <c r="X3137" s="337" t="b">
        <f t="shared" si="83"/>
        <v>1</v>
      </c>
    </row>
    <row r="3138" spans="1:24" s="337" customFormat="1" ht="12" customHeight="1" outlineLevel="1">
      <c r="A3138" s="335"/>
      <c r="B3138" s="118" t="s">
        <v>12</v>
      </c>
      <c r="C3138" s="334" t="s">
        <v>10823</v>
      </c>
      <c r="D3138" s="124" t="s">
        <v>10314</v>
      </c>
      <c r="E3138" s="125"/>
      <c r="F3138" s="118" t="s">
        <v>828</v>
      </c>
      <c r="G3138" s="126" t="s">
        <v>10304</v>
      </c>
      <c r="H3138" s="255">
        <v>5</v>
      </c>
      <c r="I3138" s="361">
        <v>1</v>
      </c>
      <c r="J3138" s="362" t="s">
        <v>286</v>
      </c>
      <c r="K3138" s="363"/>
      <c r="L3138" s="129"/>
      <c r="M3138" s="129"/>
      <c r="N3138" s="129"/>
      <c r="O3138" s="129"/>
      <c r="P3138" s="364"/>
      <c r="Q3138" s="364"/>
      <c r="R3138" s="129"/>
      <c r="S3138" s="129"/>
      <c r="T3138" s="129"/>
      <c r="W3138" s="129" t="s">
        <v>286</v>
      </c>
      <c r="X3138" s="337" t="b">
        <f t="shared" si="83"/>
        <v>1</v>
      </c>
    </row>
    <row r="3139" spans="1:24" s="337" customFormat="1" ht="12" customHeight="1" outlineLevel="1">
      <c r="A3139" s="335"/>
      <c r="B3139" s="118" t="s">
        <v>12</v>
      </c>
      <c r="C3139" s="334" t="s">
        <v>10824</v>
      </c>
      <c r="D3139" s="124" t="s">
        <v>10316</v>
      </c>
      <c r="E3139" s="125"/>
      <c r="F3139" s="118" t="s">
        <v>828</v>
      </c>
      <c r="G3139" s="126" t="s">
        <v>10304</v>
      </c>
      <c r="H3139" s="255">
        <v>5</v>
      </c>
      <c r="I3139" s="361">
        <v>1</v>
      </c>
      <c r="J3139" s="362" t="s">
        <v>286</v>
      </c>
      <c r="K3139" s="363"/>
      <c r="L3139" s="129"/>
      <c r="M3139" s="129"/>
      <c r="N3139" s="129"/>
      <c r="O3139" s="129"/>
      <c r="P3139" s="364"/>
      <c r="Q3139" s="364"/>
      <c r="R3139" s="129"/>
      <c r="S3139" s="129"/>
      <c r="T3139" s="129"/>
      <c r="W3139" s="129" t="s">
        <v>286</v>
      </c>
      <c r="X3139" s="337" t="b">
        <f t="shared" si="83"/>
        <v>1</v>
      </c>
    </row>
    <row r="3140" spans="1:24" s="337" customFormat="1" ht="12" customHeight="1" outlineLevel="1">
      <c r="A3140" s="335"/>
      <c r="B3140" s="118" t="s">
        <v>12</v>
      </c>
      <c r="C3140" s="334" t="s">
        <v>10825</v>
      </c>
      <c r="D3140" s="124" t="s">
        <v>10318</v>
      </c>
      <c r="E3140" s="125"/>
      <c r="F3140" s="118" t="s">
        <v>828</v>
      </c>
      <c r="G3140" s="126" t="s">
        <v>10304</v>
      </c>
      <c r="H3140" s="255">
        <v>5</v>
      </c>
      <c r="I3140" s="361">
        <v>1</v>
      </c>
      <c r="J3140" s="362" t="s">
        <v>286</v>
      </c>
      <c r="K3140" s="363"/>
      <c r="L3140" s="129"/>
      <c r="M3140" s="129"/>
      <c r="N3140" s="129"/>
      <c r="O3140" s="129"/>
      <c r="P3140" s="364"/>
      <c r="Q3140" s="364"/>
      <c r="R3140" s="129"/>
      <c r="S3140" s="129"/>
      <c r="T3140" s="129"/>
      <c r="W3140" s="129" t="s">
        <v>286</v>
      </c>
      <c r="X3140" s="337" t="b">
        <f t="shared" si="83"/>
        <v>1</v>
      </c>
    </row>
    <row r="3141" spans="1:24" s="337" customFormat="1" ht="12" customHeight="1" outlineLevel="1">
      <c r="A3141" s="335"/>
      <c r="B3141" s="118" t="s">
        <v>12</v>
      </c>
      <c r="C3141" s="334" t="s">
        <v>10826</v>
      </c>
      <c r="D3141" s="124" t="s">
        <v>10320</v>
      </c>
      <c r="E3141" s="125"/>
      <c r="F3141" s="118" t="s">
        <v>828</v>
      </c>
      <c r="G3141" s="126" t="s">
        <v>10304</v>
      </c>
      <c r="H3141" s="255">
        <v>5</v>
      </c>
      <c r="I3141" s="361">
        <v>1</v>
      </c>
      <c r="J3141" s="362" t="s">
        <v>286</v>
      </c>
      <c r="K3141" s="363"/>
      <c r="L3141" s="129"/>
      <c r="M3141" s="129"/>
      <c r="N3141" s="129"/>
      <c r="O3141" s="129"/>
      <c r="P3141" s="364"/>
      <c r="Q3141" s="364"/>
      <c r="R3141" s="129"/>
      <c r="S3141" s="129"/>
      <c r="T3141" s="129"/>
      <c r="W3141" s="129" t="s">
        <v>286</v>
      </c>
      <c r="X3141" s="337" t="b">
        <f t="shared" si="83"/>
        <v>1</v>
      </c>
    </row>
    <row r="3142" spans="1:24" s="337" customFormat="1" ht="12" customHeight="1" outlineLevel="1">
      <c r="A3142" s="335"/>
      <c r="B3142" s="118" t="s">
        <v>12</v>
      </c>
      <c r="C3142" s="334" t="s">
        <v>10827</v>
      </c>
      <c r="D3142" s="124" t="s">
        <v>10322</v>
      </c>
      <c r="E3142" s="125"/>
      <c r="F3142" s="118" t="s">
        <v>828</v>
      </c>
      <c r="G3142" s="126" t="s">
        <v>10304</v>
      </c>
      <c r="H3142" s="255">
        <v>5</v>
      </c>
      <c r="I3142" s="361">
        <v>1</v>
      </c>
      <c r="J3142" s="362" t="s">
        <v>286</v>
      </c>
      <c r="K3142" s="363"/>
      <c r="L3142" s="129"/>
      <c r="M3142" s="129"/>
      <c r="N3142" s="129"/>
      <c r="O3142" s="129"/>
      <c r="P3142" s="364"/>
      <c r="Q3142" s="364"/>
      <c r="R3142" s="129"/>
      <c r="S3142" s="129"/>
      <c r="T3142" s="129"/>
      <c r="W3142" s="129" t="s">
        <v>286</v>
      </c>
      <c r="X3142" s="337" t="b">
        <f t="shared" si="83"/>
        <v>1</v>
      </c>
    </row>
    <row r="3143" spans="1:24" s="337" customFormat="1" ht="12" customHeight="1" outlineLevel="1">
      <c r="A3143" s="335"/>
      <c r="B3143" s="118" t="s">
        <v>12</v>
      </c>
      <c r="C3143" s="334" t="s">
        <v>10828</v>
      </c>
      <c r="D3143" s="124" t="s">
        <v>10324</v>
      </c>
      <c r="E3143" s="125"/>
      <c r="F3143" s="118" t="s">
        <v>828</v>
      </c>
      <c r="G3143" s="126" t="s">
        <v>10304</v>
      </c>
      <c r="H3143" s="255">
        <v>5</v>
      </c>
      <c r="I3143" s="361">
        <v>1</v>
      </c>
      <c r="J3143" s="362" t="s">
        <v>286</v>
      </c>
      <c r="K3143" s="363"/>
      <c r="L3143" s="129"/>
      <c r="M3143" s="129"/>
      <c r="N3143" s="129"/>
      <c r="O3143" s="129"/>
      <c r="P3143" s="364"/>
      <c r="Q3143" s="364"/>
      <c r="R3143" s="129"/>
      <c r="S3143" s="129"/>
      <c r="T3143" s="129"/>
      <c r="W3143" s="129" t="s">
        <v>286</v>
      </c>
      <c r="X3143" s="337" t="b">
        <f t="shared" si="83"/>
        <v>1</v>
      </c>
    </row>
    <row r="3144" spans="1:24" s="337" customFormat="1" ht="12" customHeight="1" outlineLevel="1">
      <c r="A3144" s="335"/>
      <c r="B3144" s="118" t="s">
        <v>12</v>
      </c>
      <c r="C3144" s="334" t="s">
        <v>10829</v>
      </c>
      <c r="D3144" s="124" t="s">
        <v>10326</v>
      </c>
      <c r="E3144" s="125"/>
      <c r="F3144" s="118" t="s">
        <v>828</v>
      </c>
      <c r="G3144" s="126" t="s">
        <v>10304</v>
      </c>
      <c r="H3144" s="255">
        <v>5</v>
      </c>
      <c r="I3144" s="361">
        <v>1</v>
      </c>
      <c r="J3144" s="362" t="s">
        <v>286</v>
      </c>
      <c r="K3144" s="363"/>
      <c r="L3144" s="129"/>
      <c r="M3144" s="129"/>
      <c r="N3144" s="129"/>
      <c r="O3144" s="129"/>
      <c r="P3144" s="364"/>
      <c r="Q3144" s="364"/>
      <c r="R3144" s="129"/>
      <c r="S3144" s="129"/>
      <c r="T3144" s="129"/>
      <c r="W3144" s="129" t="s">
        <v>286</v>
      </c>
      <c r="X3144" s="337" t="b">
        <f t="shared" si="83"/>
        <v>1</v>
      </c>
    </row>
    <row r="3145" spans="1:24" s="337" customFormat="1" ht="12" customHeight="1" outlineLevel="1">
      <c r="A3145" s="335"/>
      <c r="B3145" s="118" t="s">
        <v>12</v>
      </c>
      <c r="C3145" s="334" t="s">
        <v>10830</v>
      </c>
      <c r="D3145" s="124" t="s">
        <v>10328</v>
      </c>
      <c r="E3145" s="125"/>
      <c r="F3145" s="118" t="s">
        <v>828</v>
      </c>
      <c r="G3145" s="126" t="s">
        <v>10304</v>
      </c>
      <c r="H3145" s="255">
        <v>5</v>
      </c>
      <c r="I3145" s="361">
        <v>1</v>
      </c>
      <c r="J3145" s="362" t="s">
        <v>286</v>
      </c>
      <c r="K3145" s="363"/>
      <c r="L3145" s="129"/>
      <c r="M3145" s="129"/>
      <c r="N3145" s="129"/>
      <c r="O3145" s="129"/>
      <c r="P3145" s="364"/>
      <c r="Q3145" s="364"/>
      <c r="R3145" s="129"/>
      <c r="S3145" s="129"/>
      <c r="T3145" s="129"/>
      <c r="W3145" s="129" t="s">
        <v>4876</v>
      </c>
      <c r="X3145" s="337" t="b">
        <f t="shared" si="83"/>
        <v>0</v>
      </c>
    </row>
    <row r="3146" spans="1:24" s="337" customFormat="1" ht="12" customHeight="1" outlineLevel="1">
      <c r="A3146" s="335"/>
      <c r="B3146" s="118" t="s">
        <v>12</v>
      </c>
      <c r="C3146" s="334" t="s">
        <v>10831</v>
      </c>
      <c r="D3146" s="124" t="s">
        <v>10330</v>
      </c>
      <c r="E3146" s="125"/>
      <c r="F3146" s="118" t="s">
        <v>828</v>
      </c>
      <c r="G3146" s="126" t="s">
        <v>10304</v>
      </c>
      <c r="H3146" s="255">
        <v>5</v>
      </c>
      <c r="I3146" s="361">
        <v>1</v>
      </c>
      <c r="J3146" s="362" t="s">
        <v>286</v>
      </c>
      <c r="K3146" s="363"/>
      <c r="L3146" s="129"/>
      <c r="M3146" s="129"/>
      <c r="N3146" s="129"/>
      <c r="O3146" s="129"/>
      <c r="P3146" s="364"/>
      <c r="Q3146" s="364"/>
      <c r="R3146" s="129"/>
      <c r="S3146" s="129"/>
      <c r="T3146" s="129"/>
      <c r="W3146" s="129" t="s">
        <v>4876</v>
      </c>
      <c r="X3146" s="337" t="b">
        <f t="shared" si="83"/>
        <v>0</v>
      </c>
    </row>
    <row r="3147" spans="1:24" s="337" customFormat="1" ht="12" customHeight="1" outlineLevel="1">
      <c r="A3147" s="335"/>
      <c r="B3147" s="118" t="s">
        <v>12</v>
      </c>
      <c r="C3147" s="334" t="s">
        <v>10832</v>
      </c>
      <c r="D3147" s="124" t="s">
        <v>10332</v>
      </c>
      <c r="E3147" s="125"/>
      <c r="F3147" s="118" t="s">
        <v>828</v>
      </c>
      <c r="G3147" s="126" t="s">
        <v>10304</v>
      </c>
      <c r="H3147" s="255">
        <v>5</v>
      </c>
      <c r="I3147" s="361">
        <v>1</v>
      </c>
      <c r="J3147" s="362" t="s">
        <v>286</v>
      </c>
      <c r="K3147" s="363"/>
      <c r="L3147" s="129"/>
      <c r="M3147" s="129"/>
      <c r="N3147" s="129"/>
      <c r="O3147" s="129"/>
      <c r="P3147" s="364"/>
      <c r="Q3147" s="364"/>
      <c r="R3147" s="129"/>
      <c r="S3147" s="129"/>
      <c r="T3147" s="129"/>
      <c r="W3147" s="129" t="s">
        <v>286</v>
      </c>
      <c r="X3147" s="337" t="b">
        <f t="shared" si="83"/>
        <v>1</v>
      </c>
    </row>
    <row r="3148" spans="1:24" s="337" customFormat="1" ht="12" customHeight="1" outlineLevel="1">
      <c r="A3148" s="335"/>
      <c r="B3148" s="118" t="s">
        <v>12</v>
      </c>
      <c r="C3148" s="334" t="s">
        <v>10833</v>
      </c>
      <c r="D3148" s="124" t="s">
        <v>10334</v>
      </c>
      <c r="E3148" s="125"/>
      <c r="F3148" s="118" t="s">
        <v>828</v>
      </c>
      <c r="G3148" s="126" t="s">
        <v>10304</v>
      </c>
      <c r="H3148" s="255">
        <v>5</v>
      </c>
      <c r="I3148" s="361">
        <v>1</v>
      </c>
      <c r="J3148" s="362" t="s">
        <v>286</v>
      </c>
      <c r="K3148" s="363"/>
      <c r="L3148" s="129"/>
      <c r="M3148" s="129"/>
      <c r="N3148" s="129"/>
      <c r="O3148" s="129"/>
      <c r="P3148" s="364"/>
      <c r="Q3148" s="364"/>
      <c r="R3148" s="129"/>
      <c r="S3148" s="129"/>
      <c r="T3148" s="129"/>
      <c r="W3148" s="129" t="s">
        <v>286</v>
      </c>
      <c r="X3148" s="337" t="b">
        <f t="shared" si="83"/>
        <v>1</v>
      </c>
    </row>
    <row r="3149" spans="1:24" s="337" customFormat="1" ht="12" customHeight="1" outlineLevel="1">
      <c r="A3149" s="335"/>
      <c r="B3149" s="118" t="s">
        <v>12</v>
      </c>
      <c r="C3149" s="334" t="s">
        <v>10834</v>
      </c>
      <c r="D3149" s="124" t="s">
        <v>10336</v>
      </c>
      <c r="E3149" s="125"/>
      <c r="F3149" s="118" t="s">
        <v>828</v>
      </c>
      <c r="G3149" s="126" t="s">
        <v>10304</v>
      </c>
      <c r="H3149" s="255">
        <v>5</v>
      </c>
      <c r="I3149" s="361">
        <v>1</v>
      </c>
      <c r="J3149" s="362" t="s">
        <v>286</v>
      </c>
      <c r="K3149" s="363"/>
      <c r="L3149" s="129"/>
      <c r="M3149" s="129"/>
      <c r="N3149" s="129"/>
      <c r="O3149" s="129"/>
      <c r="P3149" s="364"/>
      <c r="Q3149" s="364"/>
      <c r="R3149" s="129"/>
      <c r="S3149" s="129"/>
      <c r="T3149" s="129"/>
      <c r="W3149" s="129" t="s">
        <v>286</v>
      </c>
      <c r="X3149" s="337" t="b">
        <f t="shared" si="83"/>
        <v>1</v>
      </c>
    </row>
    <row r="3150" spans="1:24" s="337" customFormat="1" ht="12" customHeight="1" outlineLevel="1">
      <c r="A3150" s="335"/>
      <c r="B3150" s="118" t="s">
        <v>12</v>
      </c>
      <c r="C3150" s="334" t="s">
        <v>10835</v>
      </c>
      <c r="D3150" s="124" t="s">
        <v>10338</v>
      </c>
      <c r="E3150" s="125"/>
      <c r="F3150" s="118" t="s">
        <v>828</v>
      </c>
      <c r="G3150" s="126" t="s">
        <v>10304</v>
      </c>
      <c r="H3150" s="255">
        <v>5</v>
      </c>
      <c r="I3150" s="361">
        <v>1</v>
      </c>
      <c r="J3150" s="362" t="s">
        <v>286</v>
      </c>
      <c r="K3150" s="363"/>
      <c r="L3150" s="129"/>
      <c r="M3150" s="129"/>
      <c r="N3150" s="129"/>
      <c r="O3150" s="129"/>
      <c r="P3150" s="364"/>
      <c r="Q3150" s="364"/>
      <c r="R3150" s="129"/>
      <c r="S3150" s="129"/>
      <c r="T3150" s="129"/>
      <c r="W3150" s="129" t="s">
        <v>286</v>
      </c>
      <c r="X3150" s="337" t="b">
        <f t="shared" si="83"/>
        <v>1</v>
      </c>
    </row>
    <row r="3151" spans="1:24" s="337" customFormat="1" ht="12" customHeight="1" outlineLevel="1">
      <c r="A3151" s="335"/>
      <c r="B3151" s="118" t="s">
        <v>12</v>
      </c>
      <c r="C3151" s="334" t="s">
        <v>10836</v>
      </c>
      <c r="D3151" s="124" t="s">
        <v>10340</v>
      </c>
      <c r="E3151" s="125"/>
      <c r="F3151" s="118" t="s">
        <v>828</v>
      </c>
      <c r="G3151" s="126" t="s">
        <v>10304</v>
      </c>
      <c r="H3151" s="255">
        <v>5</v>
      </c>
      <c r="I3151" s="361">
        <v>1</v>
      </c>
      <c r="J3151" s="362" t="s">
        <v>286</v>
      </c>
      <c r="K3151" s="363"/>
      <c r="L3151" s="129"/>
      <c r="M3151" s="129"/>
      <c r="N3151" s="129"/>
      <c r="O3151" s="129"/>
      <c r="P3151" s="364"/>
      <c r="Q3151" s="364"/>
      <c r="R3151" s="129"/>
      <c r="S3151" s="129"/>
      <c r="T3151" s="129"/>
      <c r="W3151" s="129" t="s">
        <v>286</v>
      </c>
      <c r="X3151" s="337" t="b">
        <f t="shared" si="83"/>
        <v>1</v>
      </c>
    </row>
    <row r="3152" spans="1:24" s="337" customFormat="1" ht="12" customHeight="1" outlineLevel="1">
      <c r="A3152" s="335"/>
      <c r="B3152" s="118" t="s">
        <v>12</v>
      </c>
      <c r="C3152" s="334" t="s">
        <v>10837</v>
      </c>
      <c r="D3152" s="124" t="s">
        <v>10342</v>
      </c>
      <c r="E3152" s="125"/>
      <c r="F3152" s="118" t="s">
        <v>828</v>
      </c>
      <c r="G3152" s="126" t="s">
        <v>10304</v>
      </c>
      <c r="H3152" s="255">
        <v>5</v>
      </c>
      <c r="I3152" s="361">
        <v>1</v>
      </c>
      <c r="J3152" s="362" t="s">
        <v>310</v>
      </c>
      <c r="K3152" s="363"/>
      <c r="L3152" s="129"/>
      <c r="M3152" s="129"/>
      <c r="N3152" s="129"/>
      <c r="O3152" s="129"/>
      <c r="P3152" s="364"/>
      <c r="Q3152" s="364"/>
      <c r="R3152" s="129"/>
      <c r="S3152" s="129"/>
      <c r="T3152" s="129"/>
      <c r="W3152" s="129" t="s">
        <v>310</v>
      </c>
      <c r="X3152" s="337" t="b">
        <f t="shared" si="83"/>
        <v>1</v>
      </c>
    </row>
    <row r="3153" spans="1:24" s="337" customFormat="1" ht="12" customHeight="1" outlineLevel="1">
      <c r="A3153" s="335"/>
      <c r="B3153" s="118" t="s">
        <v>12</v>
      </c>
      <c r="C3153" s="334" t="s">
        <v>10838</v>
      </c>
      <c r="D3153" s="124" t="s">
        <v>10344</v>
      </c>
      <c r="E3153" s="125"/>
      <c r="F3153" s="118" t="s">
        <v>828</v>
      </c>
      <c r="G3153" s="126" t="s">
        <v>10304</v>
      </c>
      <c r="H3153" s="255">
        <v>5</v>
      </c>
      <c r="I3153" s="361">
        <v>1</v>
      </c>
      <c r="J3153" s="362" t="s">
        <v>286</v>
      </c>
      <c r="K3153" s="363"/>
      <c r="L3153" s="129"/>
      <c r="M3153" s="129"/>
      <c r="N3153" s="129"/>
      <c r="O3153" s="129"/>
      <c r="P3153" s="364"/>
      <c r="Q3153" s="364"/>
      <c r="R3153" s="129"/>
      <c r="S3153" s="129"/>
      <c r="T3153" s="129"/>
      <c r="W3153" s="129" t="s">
        <v>286</v>
      </c>
      <c r="X3153" s="337" t="b">
        <f t="shared" si="83"/>
        <v>1</v>
      </c>
    </row>
    <row r="3154" spans="1:24" s="337" customFormat="1" ht="12" customHeight="1" outlineLevel="1">
      <c r="A3154" s="335"/>
      <c r="B3154" s="118" t="s">
        <v>12</v>
      </c>
      <c r="C3154" s="334" t="s">
        <v>10839</v>
      </c>
      <c r="D3154" s="124" t="s">
        <v>10346</v>
      </c>
      <c r="E3154" s="125"/>
      <c r="F3154" s="118" t="s">
        <v>828</v>
      </c>
      <c r="G3154" s="126" t="s">
        <v>10304</v>
      </c>
      <c r="H3154" s="255">
        <v>5</v>
      </c>
      <c r="I3154" s="361">
        <v>1</v>
      </c>
      <c r="J3154" s="362" t="s">
        <v>286</v>
      </c>
      <c r="K3154" s="363"/>
      <c r="L3154" s="129"/>
      <c r="M3154" s="129"/>
      <c r="N3154" s="129"/>
      <c r="O3154" s="129"/>
      <c r="P3154" s="364"/>
      <c r="Q3154" s="364"/>
      <c r="R3154" s="129"/>
      <c r="S3154" s="129"/>
      <c r="T3154" s="129"/>
      <c r="W3154" s="129" t="s">
        <v>286</v>
      </c>
      <c r="X3154" s="337" t="b">
        <f t="shared" si="83"/>
        <v>1</v>
      </c>
    </row>
    <row r="3155" spans="1:24" s="337" customFormat="1" ht="12" customHeight="1" outlineLevel="1">
      <c r="A3155" s="335"/>
      <c r="B3155" s="118" t="s">
        <v>12</v>
      </c>
      <c r="C3155" s="334" t="s">
        <v>10840</v>
      </c>
      <c r="D3155" s="124" t="s">
        <v>10348</v>
      </c>
      <c r="E3155" s="125"/>
      <c r="F3155" s="118" t="s">
        <v>828</v>
      </c>
      <c r="G3155" s="126" t="s">
        <v>10304</v>
      </c>
      <c r="H3155" s="255">
        <v>5</v>
      </c>
      <c r="I3155" s="361">
        <v>1</v>
      </c>
      <c r="J3155" s="362" t="s">
        <v>310</v>
      </c>
      <c r="K3155" s="363"/>
      <c r="L3155" s="129"/>
      <c r="M3155" s="129"/>
      <c r="N3155" s="129"/>
      <c r="O3155" s="129"/>
      <c r="P3155" s="364"/>
      <c r="Q3155" s="364"/>
      <c r="R3155" s="129"/>
      <c r="S3155" s="129"/>
      <c r="T3155" s="129"/>
      <c r="W3155" s="129" t="s">
        <v>310</v>
      </c>
      <c r="X3155" s="337" t="b">
        <f t="shared" ref="X3155:X3218" si="84">W3155=J3155</f>
        <v>1</v>
      </c>
    </row>
    <row r="3156" spans="1:24" s="337" customFormat="1" ht="12" customHeight="1" outlineLevel="1">
      <c r="A3156" s="335"/>
      <c r="B3156" s="118" t="s">
        <v>12</v>
      </c>
      <c r="C3156" s="334" t="s">
        <v>10841</v>
      </c>
      <c r="D3156" s="124" t="s">
        <v>10350</v>
      </c>
      <c r="E3156" s="125"/>
      <c r="F3156" s="118" t="s">
        <v>828</v>
      </c>
      <c r="G3156" s="126" t="s">
        <v>10304</v>
      </c>
      <c r="H3156" s="255">
        <v>5</v>
      </c>
      <c r="I3156" s="361">
        <v>1</v>
      </c>
      <c r="J3156" s="362" t="s">
        <v>310</v>
      </c>
      <c r="K3156" s="363"/>
      <c r="L3156" s="129"/>
      <c r="M3156" s="129"/>
      <c r="N3156" s="129"/>
      <c r="O3156" s="129"/>
      <c r="P3156" s="364"/>
      <c r="Q3156" s="364"/>
      <c r="R3156" s="129"/>
      <c r="S3156" s="129"/>
      <c r="T3156" s="129"/>
      <c r="W3156" s="129" t="s">
        <v>310</v>
      </c>
      <c r="X3156" s="337" t="b">
        <f t="shared" si="84"/>
        <v>1</v>
      </c>
    </row>
    <row r="3157" spans="1:24" s="337" customFormat="1" ht="12" customHeight="1" outlineLevel="1">
      <c r="A3157" s="335"/>
      <c r="B3157" s="118" t="s">
        <v>12</v>
      </c>
      <c r="C3157" s="334" t="s">
        <v>10842</v>
      </c>
      <c r="D3157" s="124" t="s">
        <v>10352</v>
      </c>
      <c r="E3157" s="125"/>
      <c r="F3157" s="118" t="s">
        <v>828</v>
      </c>
      <c r="G3157" s="126" t="s">
        <v>10304</v>
      </c>
      <c r="H3157" s="255">
        <v>5</v>
      </c>
      <c r="I3157" s="361">
        <v>1</v>
      </c>
      <c r="J3157" s="362" t="s">
        <v>310</v>
      </c>
      <c r="K3157" s="363"/>
      <c r="L3157" s="129"/>
      <c r="M3157" s="129"/>
      <c r="N3157" s="129"/>
      <c r="O3157" s="129"/>
      <c r="P3157" s="364"/>
      <c r="Q3157" s="364"/>
      <c r="R3157" s="129"/>
      <c r="S3157" s="129"/>
      <c r="T3157" s="129"/>
      <c r="W3157" s="129" t="s">
        <v>310</v>
      </c>
      <c r="X3157" s="337" t="b">
        <f t="shared" si="84"/>
        <v>1</v>
      </c>
    </row>
    <row r="3158" spans="1:24" s="337" customFormat="1" ht="12" customHeight="1" outlineLevel="1">
      <c r="A3158" s="335"/>
      <c r="B3158" s="118" t="s">
        <v>12</v>
      </c>
      <c r="C3158" s="334" t="s">
        <v>10843</v>
      </c>
      <c r="D3158" s="124" t="s">
        <v>10354</v>
      </c>
      <c r="E3158" s="125"/>
      <c r="F3158" s="118" t="s">
        <v>828</v>
      </c>
      <c r="G3158" s="126" t="s">
        <v>10304</v>
      </c>
      <c r="H3158" s="255">
        <v>5</v>
      </c>
      <c r="I3158" s="361">
        <v>1</v>
      </c>
      <c r="J3158" s="362" t="s">
        <v>310</v>
      </c>
      <c r="K3158" s="363"/>
      <c r="L3158" s="129"/>
      <c r="M3158" s="129"/>
      <c r="N3158" s="129"/>
      <c r="O3158" s="129"/>
      <c r="P3158" s="364"/>
      <c r="Q3158" s="364"/>
      <c r="R3158" s="129"/>
      <c r="S3158" s="129"/>
      <c r="T3158" s="129"/>
      <c r="W3158" s="129" t="s">
        <v>310</v>
      </c>
      <c r="X3158" s="337" t="b">
        <f t="shared" si="84"/>
        <v>1</v>
      </c>
    </row>
    <row r="3159" spans="1:24" s="337" customFormat="1" ht="12" customHeight="1" outlineLevel="1">
      <c r="A3159" s="335"/>
      <c r="B3159" s="118" t="s">
        <v>12</v>
      </c>
      <c r="C3159" s="334" t="s">
        <v>10844</v>
      </c>
      <c r="D3159" s="124" t="s">
        <v>10356</v>
      </c>
      <c r="E3159" s="125"/>
      <c r="F3159" s="118" t="s">
        <v>828</v>
      </c>
      <c r="G3159" s="126" t="s">
        <v>10304</v>
      </c>
      <c r="H3159" s="255">
        <v>5</v>
      </c>
      <c r="I3159" s="361">
        <v>1</v>
      </c>
      <c r="J3159" s="362" t="s">
        <v>286</v>
      </c>
      <c r="K3159" s="363"/>
      <c r="L3159" s="129"/>
      <c r="M3159" s="129"/>
      <c r="N3159" s="129"/>
      <c r="O3159" s="129"/>
      <c r="P3159" s="364"/>
      <c r="Q3159" s="364"/>
      <c r="R3159" s="129"/>
      <c r="S3159" s="129"/>
      <c r="T3159" s="129"/>
      <c r="W3159" s="129" t="s">
        <v>286</v>
      </c>
      <c r="X3159" s="337" t="b">
        <f t="shared" si="84"/>
        <v>1</v>
      </c>
    </row>
    <row r="3160" spans="1:24" s="337" customFormat="1" ht="12" customHeight="1" outlineLevel="1">
      <c r="A3160" s="335"/>
      <c r="B3160" s="118" t="s">
        <v>12</v>
      </c>
      <c r="C3160" s="334" t="s">
        <v>10845</v>
      </c>
      <c r="D3160" s="124" t="s">
        <v>10358</v>
      </c>
      <c r="E3160" s="125"/>
      <c r="F3160" s="118" t="s">
        <v>828</v>
      </c>
      <c r="G3160" s="126" t="s">
        <v>10304</v>
      </c>
      <c r="H3160" s="255">
        <v>5</v>
      </c>
      <c r="I3160" s="361">
        <v>1</v>
      </c>
      <c r="J3160" s="362" t="s">
        <v>286</v>
      </c>
      <c r="K3160" s="363"/>
      <c r="L3160" s="129"/>
      <c r="M3160" s="129"/>
      <c r="N3160" s="129"/>
      <c r="O3160" s="129"/>
      <c r="P3160" s="364"/>
      <c r="Q3160" s="364"/>
      <c r="R3160" s="129"/>
      <c r="S3160" s="129"/>
      <c r="T3160" s="129"/>
      <c r="W3160" s="129" t="s">
        <v>286</v>
      </c>
      <c r="X3160" s="337" t="b">
        <f t="shared" si="84"/>
        <v>1</v>
      </c>
    </row>
    <row r="3161" spans="1:24" s="337" customFormat="1" ht="12" customHeight="1" outlineLevel="1">
      <c r="A3161" s="335"/>
      <c r="B3161" s="118" t="s">
        <v>12</v>
      </c>
      <c r="C3161" s="334" t="s">
        <v>10846</v>
      </c>
      <c r="D3161" s="124" t="s">
        <v>10847</v>
      </c>
      <c r="E3161" s="125"/>
      <c r="F3161" s="118" t="s">
        <v>828</v>
      </c>
      <c r="G3161" s="126" t="s">
        <v>10304</v>
      </c>
      <c r="H3161" s="255">
        <v>5</v>
      </c>
      <c r="I3161" s="361">
        <v>1</v>
      </c>
      <c r="J3161" s="362" t="s">
        <v>286</v>
      </c>
      <c r="K3161" s="363"/>
      <c r="L3161" s="129"/>
      <c r="M3161" s="129"/>
      <c r="N3161" s="129"/>
      <c r="O3161" s="129"/>
      <c r="P3161" s="364"/>
      <c r="Q3161" s="364"/>
      <c r="R3161" s="129"/>
      <c r="S3161" s="129"/>
      <c r="T3161" s="129"/>
      <c r="W3161" s="129" t="s">
        <v>286</v>
      </c>
      <c r="X3161" s="337" t="b">
        <f t="shared" si="84"/>
        <v>1</v>
      </c>
    </row>
    <row r="3162" spans="1:24" s="337" customFormat="1" ht="12" customHeight="1" outlineLevel="1">
      <c r="A3162" s="335"/>
      <c r="B3162" s="118" t="s">
        <v>12</v>
      </c>
      <c r="C3162" s="334" t="s">
        <v>10848</v>
      </c>
      <c r="D3162" s="124" t="s">
        <v>10362</v>
      </c>
      <c r="E3162" s="125"/>
      <c r="F3162" s="118" t="s">
        <v>828</v>
      </c>
      <c r="G3162" s="126" t="s">
        <v>10304</v>
      </c>
      <c r="H3162" s="255">
        <v>5</v>
      </c>
      <c r="I3162" s="361">
        <v>1</v>
      </c>
      <c r="J3162" s="362" t="s">
        <v>286</v>
      </c>
      <c r="K3162" s="363"/>
      <c r="L3162" s="129"/>
      <c r="M3162" s="129"/>
      <c r="N3162" s="129"/>
      <c r="O3162" s="129"/>
      <c r="P3162" s="364"/>
      <c r="Q3162" s="364"/>
      <c r="R3162" s="129"/>
      <c r="S3162" s="129"/>
      <c r="T3162" s="129"/>
      <c r="W3162" s="129" t="s">
        <v>286</v>
      </c>
      <c r="X3162" s="337" t="b">
        <f t="shared" si="84"/>
        <v>1</v>
      </c>
    </row>
    <row r="3163" spans="1:24" s="337" customFormat="1" ht="12" customHeight="1" outlineLevel="1">
      <c r="A3163" s="335"/>
      <c r="B3163" s="118" t="s">
        <v>12</v>
      </c>
      <c r="C3163" s="334" t="s">
        <v>10849</v>
      </c>
      <c r="D3163" s="124" t="s">
        <v>10364</v>
      </c>
      <c r="E3163" s="125"/>
      <c r="F3163" s="118" t="s">
        <v>828</v>
      </c>
      <c r="G3163" s="126" t="s">
        <v>10304</v>
      </c>
      <c r="H3163" s="255">
        <v>5</v>
      </c>
      <c r="I3163" s="361">
        <v>1</v>
      </c>
      <c r="J3163" s="362" t="s">
        <v>286</v>
      </c>
      <c r="K3163" s="363"/>
      <c r="L3163" s="129"/>
      <c r="M3163" s="129"/>
      <c r="N3163" s="129"/>
      <c r="O3163" s="129"/>
      <c r="P3163" s="364"/>
      <c r="Q3163" s="364"/>
      <c r="R3163" s="129"/>
      <c r="S3163" s="129"/>
      <c r="T3163" s="129"/>
      <c r="W3163" s="129" t="s">
        <v>286</v>
      </c>
      <c r="X3163" s="337" t="b">
        <f t="shared" si="84"/>
        <v>1</v>
      </c>
    </row>
    <row r="3164" spans="1:24" s="337" customFormat="1" ht="12" customHeight="1" outlineLevel="1">
      <c r="A3164" s="335"/>
      <c r="B3164" s="118" t="s">
        <v>12</v>
      </c>
      <c r="C3164" s="334" t="s">
        <v>10850</v>
      </c>
      <c r="D3164" s="124" t="s">
        <v>10366</v>
      </c>
      <c r="E3164" s="125"/>
      <c r="F3164" s="118" t="s">
        <v>828</v>
      </c>
      <c r="G3164" s="126" t="s">
        <v>10304</v>
      </c>
      <c r="H3164" s="255">
        <v>5</v>
      </c>
      <c r="I3164" s="361">
        <v>1</v>
      </c>
      <c r="J3164" s="362" t="s">
        <v>286</v>
      </c>
      <c r="K3164" s="363"/>
      <c r="L3164" s="129"/>
      <c r="M3164" s="129"/>
      <c r="N3164" s="129"/>
      <c r="O3164" s="129"/>
      <c r="P3164" s="364"/>
      <c r="Q3164" s="364"/>
      <c r="R3164" s="129"/>
      <c r="S3164" s="129"/>
      <c r="T3164" s="129"/>
      <c r="W3164" s="129" t="s">
        <v>286</v>
      </c>
      <c r="X3164" s="337" t="b">
        <f t="shared" si="84"/>
        <v>1</v>
      </c>
    </row>
    <row r="3165" spans="1:24" s="337" customFormat="1" ht="12" customHeight="1" outlineLevel="1">
      <c r="A3165" s="335"/>
      <c r="B3165" s="118" t="s">
        <v>12</v>
      </c>
      <c r="C3165" s="334" t="s">
        <v>10851</v>
      </c>
      <c r="D3165" s="124" t="s">
        <v>10368</v>
      </c>
      <c r="E3165" s="125"/>
      <c r="F3165" s="118" t="s">
        <v>828</v>
      </c>
      <c r="G3165" s="126" t="s">
        <v>10304</v>
      </c>
      <c r="H3165" s="255">
        <v>5</v>
      </c>
      <c r="I3165" s="361">
        <v>1</v>
      </c>
      <c r="J3165" s="362" t="s">
        <v>286</v>
      </c>
      <c r="K3165" s="363"/>
      <c r="L3165" s="129"/>
      <c r="M3165" s="129"/>
      <c r="N3165" s="129"/>
      <c r="O3165" s="129"/>
      <c r="P3165" s="364"/>
      <c r="Q3165" s="364"/>
      <c r="R3165" s="129"/>
      <c r="S3165" s="129"/>
      <c r="T3165" s="129"/>
      <c r="W3165" s="129" t="s">
        <v>286</v>
      </c>
      <c r="X3165" s="337" t="b">
        <f t="shared" si="84"/>
        <v>1</v>
      </c>
    </row>
    <row r="3166" spans="1:24" s="337" customFormat="1" ht="12" customHeight="1" outlineLevel="1">
      <c r="A3166" s="335"/>
      <c r="B3166" s="118" t="s">
        <v>12</v>
      </c>
      <c r="C3166" s="334" t="s">
        <v>10852</v>
      </c>
      <c r="D3166" s="124" t="s">
        <v>10370</v>
      </c>
      <c r="E3166" s="125"/>
      <c r="F3166" s="118" t="s">
        <v>828</v>
      </c>
      <c r="G3166" s="126" t="s">
        <v>10304</v>
      </c>
      <c r="H3166" s="255">
        <v>5</v>
      </c>
      <c r="I3166" s="361">
        <v>1</v>
      </c>
      <c r="J3166" s="362" t="s">
        <v>286</v>
      </c>
      <c r="K3166" s="363"/>
      <c r="L3166" s="129"/>
      <c r="M3166" s="129"/>
      <c r="N3166" s="129"/>
      <c r="O3166" s="129"/>
      <c r="P3166" s="364"/>
      <c r="Q3166" s="364"/>
      <c r="R3166" s="129"/>
      <c r="S3166" s="129"/>
      <c r="T3166" s="129"/>
      <c r="W3166" s="129" t="s">
        <v>286</v>
      </c>
      <c r="X3166" s="337" t="b">
        <f t="shared" si="84"/>
        <v>1</v>
      </c>
    </row>
    <row r="3167" spans="1:24" s="337" customFormat="1" ht="12" customHeight="1" outlineLevel="1">
      <c r="A3167" s="335"/>
      <c r="B3167" s="118" t="s">
        <v>12</v>
      </c>
      <c r="C3167" s="334" t="s">
        <v>10853</v>
      </c>
      <c r="D3167" s="124" t="s">
        <v>10372</v>
      </c>
      <c r="E3167" s="125"/>
      <c r="F3167" s="118" t="s">
        <v>828</v>
      </c>
      <c r="G3167" s="126" t="s">
        <v>10304</v>
      </c>
      <c r="H3167" s="255">
        <v>5</v>
      </c>
      <c r="I3167" s="361">
        <v>1</v>
      </c>
      <c r="J3167" s="362" t="s">
        <v>286</v>
      </c>
      <c r="K3167" s="363"/>
      <c r="L3167" s="129"/>
      <c r="M3167" s="129"/>
      <c r="N3167" s="129"/>
      <c r="O3167" s="129"/>
      <c r="P3167" s="364"/>
      <c r="Q3167" s="364"/>
      <c r="R3167" s="129"/>
      <c r="S3167" s="129"/>
      <c r="T3167" s="129"/>
      <c r="W3167" s="129" t="s">
        <v>286</v>
      </c>
      <c r="X3167" s="337" t="b">
        <f t="shared" si="84"/>
        <v>1</v>
      </c>
    </row>
    <row r="3168" spans="1:24" s="337" customFormat="1" ht="12" customHeight="1" outlineLevel="1">
      <c r="A3168" s="335"/>
      <c r="B3168" s="118" t="s">
        <v>12</v>
      </c>
      <c r="C3168" s="334" t="s">
        <v>10854</v>
      </c>
      <c r="D3168" s="124" t="s">
        <v>10374</v>
      </c>
      <c r="E3168" s="125"/>
      <c r="F3168" s="118" t="s">
        <v>828</v>
      </c>
      <c r="G3168" s="126" t="s">
        <v>10304</v>
      </c>
      <c r="H3168" s="255">
        <v>5</v>
      </c>
      <c r="I3168" s="361">
        <v>1</v>
      </c>
      <c r="J3168" s="362" t="s">
        <v>310</v>
      </c>
      <c r="K3168" s="363"/>
      <c r="L3168" s="129"/>
      <c r="M3168" s="129"/>
      <c r="N3168" s="129"/>
      <c r="O3168" s="129"/>
      <c r="P3168" s="364"/>
      <c r="Q3168" s="364"/>
      <c r="R3168" s="129"/>
      <c r="S3168" s="129"/>
      <c r="T3168" s="129"/>
      <c r="W3168" s="129" t="s">
        <v>310</v>
      </c>
      <c r="X3168" s="337" t="b">
        <f t="shared" si="84"/>
        <v>1</v>
      </c>
    </row>
    <row r="3169" spans="1:24" s="337" customFormat="1" ht="12" customHeight="1" outlineLevel="1">
      <c r="A3169" s="335"/>
      <c r="B3169" s="118" t="s">
        <v>12</v>
      </c>
      <c r="C3169" s="334" t="s">
        <v>10855</v>
      </c>
      <c r="D3169" s="124" t="s">
        <v>10376</v>
      </c>
      <c r="E3169" s="125"/>
      <c r="F3169" s="118" t="s">
        <v>828</v>
      </c>
      <c r="G3169" s="126" t="s">
        <v>10304</v>
      </c>
      <c r="H3169" s="255">
        <v>5</v>
      </c>
      <c r="I3169" s="361">
        <v>1</v>
      </c>
      <c r="J3169" s="362" t="s">
        <v>310</v>
      </c>
      <c r="K3169" s="363"/>
      <c r="L3169" s="129"/>
      <c r="M3169" s="129"/>
      <c r="N3169" s="129"/>
      <c r="O3169" s="129"/>
      <c r="P3169" s="364"/>
      <c r="Q3169" s="364"/>
      <c r="R3169" s="129"/>
      <c r="S3169" s="129"/>
      <c r="T3169" s="129"/>
      <c r="W3169" s="129" t="s">
        <v>310</v>
      </c>
      <c r="X3169" s="337" t="b">
        <f t="shared" si="84"/>
        <v>1</v>
      </c>
    </row>
    <row r="3170" spans="1:24" s="337" customFormat="1" ht="12" customHeight="1" outlineLevel="1">
      <c r="A3170" s="335"/>
      <c r="B3170" s="118" t="s">
        <v>12</v>
      </c>
      <c r="C3170" s="334" t="s">
        <v>10856</v>
      </c>
      <c r="D3170" s="124" t="s">
        <v>10378</v>
      </c>
      <c r="E3170" s="125"/>
      <c r="F3170" s="118" t="s">
        <v>828</v>
      </c>
      <c r="G3170" s="126" t="s">
        <v>10304</v>
      </c>
      <c r="H3170" s="255">
        <v>5</v>
      </c>
      <c r="I3170" s="361">
        <v>1</v>
      </c>
      <c r="J3170" s="362" t="s">
        <v>286</v>
      </c>
      <c r="K3170" s="363"/>
      <c r="L3170" s="129"/>
      <c r="M3170" s="129"/>
      <c r="N3170" s="129"/>
      <c r="O3170" s="129"/>
      <c r="P3170" s="364"/>
      <c r="Q3170" s="364"/>
      <c r="R3170" s="129"/>
      <c r="S3170" s="129"/>
      <c r="T3170" s="129"/>
      <c r="W3170" s="129" t="s">
        <v>286</v>
      </c>
      <c r="X3170" s="337" t="b">
        <f t="shared" si="84"/>
        <v>1</v>
      </c>
    </row>
    <row r="3171" spans="1:24" s="337" customFormat="1" ht="12" customHeight="1" outlineLevel="1">
      <c r="A3171" s="335"/>
      <c r="B3171" s="118" t="s">
        <v>12</v>
      </c>
      <c r="C3171" s="334" t="s">
        <v>10857</v>
      </c>
      <c r="D3171" s="124" t="s">
        <v>10382</v>
      </c>
      <c r="E3171" s="125"/>
      <c r="F3171" s="118" t="s">
        <v>828</v>
      </c>
      <c r="G3171" s="126" t="s">
        <v>10304</v>
      </c>
      <c r="H3171" s="255">
        <v>5</v>
      </c>
      <c r="I3171" s="361">
        <v>1</v>
      </c>
      <c r="J3171" s="362" t="s">
        <v>286</v>
      </c>
      <c r="K3171" s="363"/>
      <c r="L3171" s="129"/>
      <c r="M3171" s="129"/>
      <c r="N3171" s="129"/>
      <c r="O3171" s="129"/>
      <c r="P3171" s="364"/>
      <c r="Q3171" s="364"/>
      <c r="R3171" s="129"/>
      <c r="S3171" s="129"/>
      <c r="T3171" s="129"/>
      <c r="W3171" s="129" t="s">
        <v>286</v>
      </c>
      <c r="X3171" s="337" t="b">
        <f t="shared" si="84"/>
        <v>1</v>
      </c>
    </row>
    <row r="3172" spans="1:24" s="337" customFormat="1" ht="12" customHeight="1" outlineLevel="1">
      <c r="A3172" s="335"/>
      <c r="B3172" s="118" t="s">
        <v>12</v>
      </c>
      <c r="C3172" s="334" t="s">
        <v>10858</v>
      </c>
      <c r="D3172" s="124" t="s">
        <v>10385</v>
      </c>
      <c r="E3172" s="125"/>
      <c r="F3172" s="118" t="s">
        <v>828</v>
      </c>
      <c r="G3172" s="126" t="s">
        <v>10383</v>
      </c>
      <c r="H3172" s="255">
        <v>4</v>
      </c>
      <c r="I3172" s="361">
        <v>1</v>
      </c>
      <c r="J3172" s="362" t="s">
        <v>286</v>
      </c>
      <c r="K3172" s="363"/>
      <c r="L3172" s="129"/>
      <c r="M3172" s="129"/>
      <c r="N3172" s="129"/>
      <c r="O3172" s="129"/>
      <c r="P3172" s="364"/>
      <c r="Q3172" s="364"/>
      <c r="R3172" s="129"/>
      <c r="S3172" s="129"/>
      <c r="T3172" s="129"/>
      <c r="W3172" s="129" t="s">
        <v>286</v>
      </c>
      <c r="X3172" s="337" t="b">
        <f t="shared" si="84"/>
        <v>1</v>
      </c>
    </row>
    <row r="3173" spans="1:24" s="337" customFormat="1" ht="12" customHeight="1" outlineLevel="1">
      <c r="A3173" s="335"/>
      <c r="B3173" s="118" t="s">
        <v>12</v>
      </c>
      <c r="C3173" s="334" t="s">
        <v>10859</v>
      </c>
      <c r="D3173" s="124" t="s">
        <v>10387</v>
      </c>
      <c r="E3173" s="125"/>
      <c r="F3173" s="118" t="s">
        <v>828</v>
      </c>
      <c r="G3173" s="126" t="s">
        <v>10383</v>
      </c>
      <c r="H3173" s="255">
        <v>4</v>
      </c>
      <c r="I3173" s="361">
        <v>1</v>
      </c>
      <c r="J3173" s="362" t="s">
        <v>286</v>
      </c>
      <c r="K3173" s="363"/>
      <c r="L3173" s="129"/>
      <c r="M3173" s="129"/>
      <c r="N3173" s="129"/>
      <c r="O3173" s="129"/>
      <c r="P3173" s="364"/>
      <c r="Q3173" s="364"/>
      <c r="R3173" s="129"/>
      <c r="S3173" s="129"/>
      <c r="T3173" s="129"/>
      <c r="W3173" s="129" t="s">
        <v>286</v>
      </c>
      <c r="X3173" s="337" t="b">
        <f t="shared" si="84"/>
        <v>1</v>
      </c>
    </row>
    <row r="3174" spans="1:24" s="337" customFormat="1" ht="12" customHeight="1" outlineLevel="1">
      <c r="A3174" s="335"/>
      <c r="B3174" s="118" t="s">
        <v>12</v>
      </c>
      <c r="C3174" s="334" t="s">
        <v>10860</v>
      </c>
      <c r="D3174" s="124" t="s">
        <v>10389</v>
      </c>
      <c r="E3174" s="125"/>
      <c r="F3174" s="118" t="s">
        <v>828</v>
      </c>
      <c r="G3174" s="126" t="s">
        <v>10383</v>
      </c>
      <c r="H3174" s="255">
        <v>4</v>
      </c>
      <c r="I3174" s="361">
        <v>1</v>
      </c>
      <c r="J3174" s="362" t="s">
        <v>286</v>
      </c>
      <c r="K3174" s="363"/>
      <c r="L3174" s="129"/>
      <c r="M3174" s="129"/>
      <c r="N3174" s="129"/>
      <c r="O3174" s="129"/>
      <c r="P3174" s="364"/>
      <c r="Q3174" s="364"/>
      <c r="R3174" s="129"/>
      <c r="S3174" s="129"/>
      <c r="T3174" s="129"/>
      <c r="W3174" s="129" t="s">
        <v>286</v>
      </c>
      <c r="X3174" s="337" t="b">
        <f t="shared" si="84"/>
        <v>1</v>
      </c>
    </row>
    <row r="3175" spans="1:24" s="337" customFormat="1" ht="12" customHeight="1" outlineLevel="1">
      <c r="A3175" s="335"/>
      <c r="B3175" s="118" t="s">
        <v>12</v>
      </c>
      <c r="C3175" s="334" t="s">
        <v>10861</v>
      </c>
      <c r="D3175" s="124" t="s">
        <v>10391</v>
      </c>
      <c r="E3175" s="125"/>
      <c r="F3175" s="118" t="s">
        <v>828</v>
      </c>
      <c r="G3175" s="126" t="s">
        <v>10383</v>
      </c>
      <c r="H3175" s="255">
        <v>4</v>
      </c>
      <c r="I3175" s="361">
        <v>1</v>
      </c>
      <c r="J3175" s="362" t="s">
        <v>286</v>
      </c>
      <c r="K3175" s="363"/>
      <c r="L3175" s="129"/>
      <c r="M3175" s="129"/>
      <c r="N3175" s="129"/>
      <c r="O3175" s="129"/>
      <c r="P3175" s="364"/>
      <c r="Q3175" s="364"/>
      <c r="R3175" s="129"/>
      <c r="S3175" s="129"/>
      <c r="T3175" s="129"/>
      <c r="W3175" s="129" t="s">
        <v>286</v>
      </c>
      <c r="X3175" s="337" t="b">
        <f t="shared" si="84"/>
        <v>1</v>
      </c>
    </row>
    <row r="3176" spans="1:24" s="337" customFormat="1" ht="12" customHeight="1" outlineLevel="1">
      <c r="A3176" s="335"/>
      <c r="B3176" s="118" t="s">
        <v>12</v>
      </c>
      <c r="C3176" s="334" t="s">
        <v>10862</v>
      </c>
      <c r="D3176" s="124" t="s">
        <v>10393</v>
      </c>
      <c r="E3176" s="125"/>
      <c r="F3176" s="118" t="s">
        <v>828</v>
      </c>
      <c r="G3176" s="126" t="s">
        <v>10383</v>
      </c>
      <c r="H3176" s="255">
        <v>4</v>
      </c>
      <c r="I3176" s="361">
        <v>1</v>
      </c>
      <c r="J3176" s="362" t="s">
        <v>286</v>
      </c>
      <c r="K3176" s="363"/>
      <c r="L3176" s="129"/>
      <c r="M3176" s="129"/>
      <c r="N3176" s="129"/>
      <c r="O3176" s="129"/>
      <c r="P3176" s="364"/>
      <c r="Q3176" s="364"/>
      <c r="R3176" s="129"/>
      <c r="S3176" s="129"/>
      <c r="T3176" s="129"/>
      <c r="W3176" s="129" t="s">
        <v>286</v>
      </c>
      <c r="X3176" s="337" t="b">
        <f t="shared" si="84"/>
        <v>1</v>
      </c>
    </row>
    <row r="3177" spans="1:24" s="337" customFormat="1" ht="12" customHeight="1" outlineLevel="1">
      <c r="A3177" s="335"/>
      <c r="B3177" s="118" t="s">
        <v>12</v>
      </c>
      <c r="C3177" s="334" t="s">
        <v>10863</v>
      </c>
      <c r="D3177" s="124" t="s">
        <v>10395</v>
      </c>
      <c r="E3177" s="125"/>
      <c r="F3177" s="118" t="s">
        <v>828</v>
      </c>
      <c r="G3177" s="126" t="s">
        <v>10383</v>
      </c>
      <c r="H3177" s="255">
        <v>4</v>
      </c>
      <c r="I3177" s="361">
        <v>1</v>
      </c>
      <c r="J3177" s="362" t="s">
        <v>286</v>
      </c>
      <c r="K3177" s="363"/>
      <c r="L3177" s="129"/>
      <c r="M3177" s="129"/>
      <c r="N3177" s="129"/>
      <c r="O3177" s="129"/>
      <c r="P3177" s="364"/>
      <c r="Q3177" s="364"/>
      <c r="R3177" s="129"/>
      <c r="S3177" s="129"/>
      <c r="T3177" s="129"/>
      <c r="W3177" s="129" t="s">
        <v>286</v>
      </c>
      <c r="X3177" s="337" t="b">
        <f t="shared" si="84"/>
        <v>1</v>
      </c>
    </row>
    <row r="3178" spans="1:24" s="337" customFormat="1" ht="12" customHeight="1" outlineLevel="1">
      <c r="A3178" s="335"/>
      <c r="B3178" s="118" t="s">
        <v>12</v>
      </c>
      <c r="C3178" s="334" t="s">
        <v>10864</v>
      </c>
      <c r="D3178" s="124" t="s">
        <v>10413</v>
      </c>
      <c r="E3178" s="125"/>
      <c r="F3178" s="118" t="s">
        <v>828</v>
      </c>
      <c r="G3178" s="126" t="s">
        <v>10383</v>
      </c>
      <c r="H3178" s="255">
        <v>4</v>
      </c>
      <c r="I3178" s="361">
        <v>1</v>
      </c>
      <c r="J3178" s="362" t="s">
        <v>286</v>
      </c>
      <c r="K3178" s="363"/>
      <c r="L3178" s="129"/>
      <c r="M3178" s="129"/>
      <c r="N3178" s="129"/>
      <c r="O3178" s="129"/>
      <c r="P3178" s="364"/>
      <c r="Q3178" s="364"/>
      <c r="R3178" s="129"/>
      <c r="S3178" s="129"/>
      <c r="T3178" s="129"/>
      <c r="W3178" s="129" t="s">
        <v>286</v>
      </c>
      <c r="X3178" s="337" t="b">
        <f t="shared" si="84"/>
        <v>1</v>
      </c>
    </row>
    <row r="3179" spans="1:24" s="337" customFormat="1" ht="12" customHeight="1" outlineLevel="1">
      <c r="A3179" s="335"/>
      <c r="B3179" s="118" t="s">
        <v>12</v>
      </c>
      <c r="C3179" s="334" t="s">
        <v>10865</v>
      </c>
      <c r="D3179" s="124" t="s">
        <v>10415</v>
      </c>
      <c r="E3179" s="125"/>
      <c r="F3179" s="118" t="s">
        <v>828</v>
      </c>
      <c r="G3179" s="126" t="s">
        <v>10304</v>
      </c>
      <c r="H3179" s="255">
        <v>5</v>
      </c>
      <c r="I3179" s="361">
        <v>1</v>
      </c>
      <c r="J3179" s="362" t="s">
        <v>286</v>
      </c>
      <c r="K3179" s="363"/>
      <c r="L3179" s="129"/>
      <c r="M3179" s="129"/>
      <c r="N3179" s="129"/>
      <c r="O3179" s="129"/>
      <c r="P3179" s="364"/>
      <c r="Q3179" s="364"/>
      <c r="R3179" s="129"/>
      <c r="S3179" s="129"/>
      <c r="T3179" s="129"/>
      <c r="W3179" s="129" t="s">
        <v>286</v>
      </c>
      <c r="X3179" s="337" t="b">
        <f t="shared" si="84"/>
        <v>1</v>
      </c>
    </row>
    <row r="3180" spans="1:24" s="337" customFormat="1" ht="12" customHeight="1" outlineLevel="1">
      <c r="A3180" s="335"/>
      <c r="B3180" s="118" t="s">
        <v>12</v>
      </c>
      <c r="C3180" s="334" t="s">
        <v>10866</v>
      </c>
      <c r="D3180" s="124" t="s">
        <v>10417</v>
      </c>
      <c r="E3180" s="125"/>
      <c r="F3180" s="118" t="s">
        <v>828</v>
      </c>
      <c r="G3180" s="126" t="s">
        <v>10304</v>
      </c>
      <c r="H3180" s="255">
        <v>5</v>
      </c>
      <c r="I3180" s="361">
        <v>1</v>
      </c>
      <c r="J3180" s="362" t="s">
        <v>286</v>
      </c>
      <c r="K3180" s="363"/>
      <c r="L3180" s="129"/>
      <c r="M3180" s="129"/>
      <c r="N3180" s="129"/>
      <c r="O3180" s="129"/>
      <c r="P3180" s="364"/>
      <c r="Q3180" s="364"/>
      <c r="R3180" s="129"/>
      <c r="S3180" s="129"/>
      <c r="T3180" s="129"/>
      <c r="W3180" s="129" t="s">
        <v>286</v>
      </c>
      <c r="X3180" s="337" t="b">
        <f t="shared" si="84"/>
        <v>1</v>
      </c>
    </row>
    <row r="3181" spans="1:24" s="337" customFormat="1" ht="12" customHeight="1" outlineLevel="1">
      <c r="A3181" s="335"/>
      <c r="B3181" s="118" t="s">
        <v>12</v>
      </c>
      <c r="C3181" s="334" t="s">
        <v>10867</v>
      </c>
      <c r="D3181" s="124" t="s">
        <v>10419</v>
      </c>
      <c r="E3181" s="125"/>
      <c r="F3181" s="118" t="s">
        <v>828</v>
      </c>
      <c r="G3181" s="126" t="s">
        <v>10304</v>
      </c>
      <c r="H3181" s="255">
        <v>5</v>
      </c>
      <c r="I3181" s="361">
        <v>1</v>
      </c>
      <c r="J3181" s="362" t="s">
        <v>286</v>
      </c>
      <c r="K3181" s="363"/>
      <c r="L3181" s="129"/>
      <c r="M3181" s="129"/>
      <c r="N3181" s="129"/>
      <c r="O3181" s="129"/>
      <c r="P3181" s="364"/>
      <c r="Q3181" s="364"/>
      <c r="R3181" s="129"/>
      <c r="S3181" s="129"/>
      <c r="T3181" s="129"/>
      <c r="W3181" s="129" t="s">
        <v>286</v>
      </c>
      <c r="X3181" s="337" t="b">
        <f t="shared" si="84"/>
        <v>1</v>
      </c>
    </row>
    <row r="3182" spans="1:24" s="337" customFormat="1" ht="12" customHeight="1" outlineLevel="1">
      <c r="A3182" s="335"/>
      <c r="B3182" s="118" t="s">
        <v>12</v>
      </c>
      <c r="C3182" s="334" t="s">
        <v>10868</v>
      </c>
      <c r="D3182" s="124" t="s">
        <v>10421</v>
      </c>
      <c r="E3182" s="125"/>
      <c r="F3182" s="118" t="s">
        <v>828</v>
      </c>
      <c r="G3182" s="126" t="s">
        <v>10304</v>
      </c>
      <c r="H3182" s="255">
        <v>5</v>
      </c>
      <c r="I3182" s="361">
        <v>1</v>
      </c>
      <c r="J3182" s="362" t="s">
        <v>286</v>
      </c>
      <c r="K3182" s="363"/>
      <c r="L3182" s="129"/>
      <c r="M3182" s="129"/>
      <c r="N3182" s="129"/>
      <c r="O3182" s="129"/>
      <c r="P3182" s="364"/>
      <c r="Q3182" s="364"/>
      <c r="R3182" s="129"/>
      <c r="S3182" s="129"/>
      <c r="T3182" s="129"/>
      <c r="W3182" s="129" t="s">
        <v>286</v>
      </c>
      <c r="X3182" s="337" t="b">
        <f t="shared" si="84"/>
        <v>1</v>
      </c>
    </row>
    <row r="3183" spans="1:24" s="337" customFormat="1" ht="12" customHeight="1" outlineLevel="1">
      <c r="A3183" s="335"/>
      <c r="B3183" s="118" t="s">
        <v>12</v>
      </c>
      <c r="C3183" s="334" t="s">
        <v>10869</v>
      </c>
      <c r="D3183" s="124" t="s">
        <v>10423</v>
      </c>
      <c r="E3183" s="125"/>
      <c r="F3183" s="118" t="s">
        <v>828</v>
      </c>
      <c r="G3183" s="126" t="s">
        <v>10304</v>
      </c>
      <c r="H3183" s="255">
        <v>5</v>
      </c>
      <c r="I3183" s="361">
        <v>1</v>
      </c>
      <c r="J3183" s="362" t="s">
        <v>286</v>
      </c>
      <c r="K3183" s="363"/>
      <c r="L3183" s="129"/>
      <c r="M3183" s="129"/>
      <c r="N3183" s="129"/>
      <c r="O3183" s="129"/>
      <c r="P3183" s="364"/>
      <c r="Q3183" s="364"/>
      <c r="R3183" s="129"/>
      <c r="S3183" s="129"/>
      <c r="T3183" s="129"/>
      <c r="W3183" s="129" t="s">
        <v>286</v>
      </c>
      <c r="X3183" s="337" t="b">
        <f t="shared" si="84"/>
        <v>1</v>
      </c>
    </row>
    <row r="3184" spans="1:24" s="337" customFormat="1" ht="12" customHeight="1" outlineLevel="1">
      <c r="A3184" s="335"/>
      <c r="B3184" s="118" t="s">
        <v>12</v>
      </c>
      <c r="C3184" s="334" t="s">
        <v>10870</v>
      </c>
      <c r="D3184" s="124" t="s">
        <v>10425</v>
      </c>
      <c r="E3184" s="125"/>
      <c r="F3184" s="118" t="s">
        <v>828</v>
      </c>
      <c r="G3184" s="126" t="s">
        <v>10304</v>
      </c>
      <c r="H3184" s="255">
        <v>5</v>
      </c>
      <c r="I3184" s="361">
        <v>1</v>
      </c>
      <c r="J3184" s="362" t="s">
        <v>286</v>
      </c>
      <c r="K3184" s="363"/>
      <c r="L3184" s="129"/>
      <c r="M3184" s="129"/>
      <c r="N3184" s="129"/>
      <c r="O3184" s="129"/>
      <c r="P3184" s="364"/>
      <c r="Q3184" s="364"/>
      <c r="R3184" s="129"/>
      <c r="S3184" s="129"/>
      <c r="T3184" s="129"/>
      <c r="W3184" s="129" t="s">
        <v>286</v>
      </c>
      <c r="X3184" s="337" t="b">
        <f t="shared" si="84"/>
        <v>1</v>
      </c>
    </row>
    <row r="3185" spans="1:24" s="337" customFormat="1" ht="12" customHeight="1" outlineLevel="1">
      <c r="A3185" s="335"/>
      <c r="B3185" s="118" t="s">
        <v>12</v>
      </c>
      <c r="C3185" s="334" t="s">
        <v>10871</v>
      </c>
      <c r="D3185" s="124" t="s">
        <v>10427</v>
      </c>
      <c r="E3185" s="125"/>
      <c r="F3185" s="118" t="s">
        <v>828</v>
      </c>
      <c r="G3185" s="126" t="s">
        <v>10304</v>
      </c>
      <c r="H3185" s="255">
        <v>5</v>
      </c>
      <c r="I3185" s="361">
        <v>1</v>
      </c>
      <c r="J3185" s="362" t="s">
        <v>286</v>
      </c>
      <c r="K3185" s="363"/>
      <c r="L3185" s="129"/>
      <c r="M3185" s="129"/>
      <c r="N3185" s="129"/>
      <c r="O3185" s="129"/>
      <c r="P3185" s="364"/>
      <c r="Q3185" s="364"/>
      <c r="R3185" s="129"/>
      <c r="S3185" s="129"/>
      <c r="T3185" s="129"/>
      <c r="W3185" s="129" t="s">
        <v>286</v>
      </c>
      <c r="X3185" s="337" t="b">
        <f t="shared" si="84"/>
        <v>1</v>
      </c>
    </row>
    <row r="3186" spans="1:24" s="337" customFormat="1" ht="12" customHeight="1" outlineLevel="1">
      <c r="A3186" s="335"/>
      <c r="B3186" s="118" t="s">
        <v>12</v>
      </c>
      <c r="C3186" s="334" t="s">
        <v>10872</v>
      </c>
      <c r="D3186" s="124" t="s">
        <v>10429</v>
      </c>
      <c r="E3186" s="125"/>
      <c r="F3186" s="118" t="s">
        <v>828</v>
      </c>
      <c r="G3186" s="126" t="s">
        <v>10304</v>
      </c>
      <c r="H3186" s="255">
        <v>5</v>
      </c>
      <c r="I3186" s="361">
        <v>1</v>
      </c>
      <c r="J3186" s="362" t="s">
        <v>286</v>
      </c>
      <c r="K3186" s="363"/>
      <c r="L3186" s="129"/>
      <c r="M3186" s="129"/>
      <c r="N3186" s="129"/>
      <c r="O3186" s="129"/>
      <c r="P3186" s="364"/>
      <c r="Q3186" s="364"/>
      <c r="R3186" s="129"/>
      <c r="S3186" s="129"/>
      <c r="T3186" s="129"/>
      <c r="W3186" s="129" t="s">
        <v>286</v>
      </c>
      <c r="X3186" s="337" t="b">
        <f t="shared" si="84"/>
        <v>1</v>
      </c>
    </row>
    <row r="3187" spans="1:24" s="337" customFormat="1" ht="12" customHeight="1" outlineLevel="1">
      <c r="A3187" s="335"/>
      <c r="B3187" s="118" t="s">
        <v>12</v>
      </c>
      <c r="C3187" s="334" t="s">
        <v>10873</v>
      </c>
      <c r="D3187" s="124" t="s">
        <v>10431</v>
      </c>
      <c r="E3187" s="125"/>
      <c r="F3187" s="118" t="s">
        <v>828</v>
      </c>
      <c r="G3187" s="126" t="s">
        <v>10304</v>
      </c>
      <c r="H3187" s="255">
        <v>5</v>
      </c>
      <c r="I3187" s="361">
        <v>1</v>
      </c>
      <c r="J3187" s="362" t="s">
        <v>286</v>
      </c>
      <c r="K3187" s="363"/>
      <c r="L3187" s="129"/>
      <c r="M3187" s="129"/>
      <c r="N3187" s="129"/>
      <c r="O3187" s="129"/>
      <c r="P3187" s="364"/>
      <c r="Q3187" s="364"/>
      <c r="R3187" s="129"/>
      <c r="S3187" s="129"/>
      <c r="T3187" s="129"/>
      <c r="W3187" s="129" t="s">
        <v>286</v>
      </c>
      <c r="X3187" s="337" t="b">
        <f t="shared" si="84"/>
        <v>1</v>
      </c>
    </row>
    <row r="3188" spans="1:24" s="337" customFormat="1" ht="12" customHeight="1" outlineLevel="1">
      <c r="A3188" s="335"/>
      <c r="B3188" s="118" t="s">
        <v>12</v>
      </c>
      <c r="C3188" s="334" t="s">
        <v>10874</v>
      </c>
      <c r="D3188" s="124" t="s">
        <v>10433</v>
      </c>
      <c r="E3188" s="125"/>
      <c r="F3188" s="118" t="s">
        <v>828</v>
      </c>
      <c r="G3188" s="126" t="s">
        <v>10304</v>
      </c>
      <c r="H3188" s="255">
        <v>5</v>
      </c>
      <c r="I3188" s="361">
        <v>1</v>
      </c>
      <c r="J3188" s="362" t="s">
        <v>286</v>
      </c>
      <c r="K3188" s="363"/>
      <c r="L3188" s="129"/>
      <c r="M3188" s="129"/>
      <c r="N3188" s="129"/>
      <c r="O3188" s="129"/>
      <c r="P3188" s="364"/>
      <c r="Q3188" s="364"/>
      <c r="R3188" s="129"/>
      <c r="S3188" s="129"/>
      <c r="T3188" s="129"/>
      <c r="W3188" s="129" t="s">
        <v>286</v>
      </c>
      <c r="X3188" s="337" t="b">
        <f t="shared" si="84"/>
        <v>1</v>
      </c>
    </row>
    <row r="3189" spans="1:24" s="337" customFormat="1" ht="12" customHeight="1" outlineLevel="1">
      <c r="A3189" s="335"/>
      <c r="B3189" s="118" t="s">
        <v>12</v>
      </c>
      <c r="C3189" s="334" t="s">
        <v>10875</v>
      </c>
      <c r="D3189" s="124" t="s">
        <v>10435</v>
      </c>
      <c r="E3189" s="125"/>
      <c r="F3189" s="118" t="s">
        <v>828</v>
      </c>
      <c r="G3189" s="126" t="s">
        <v>10304</v>
      </c>
      <c r="H3189" s="255">
        <v>5</v>
      </c>
      <c r="I3189" s="361">
        <v>1</v>
      </c>
      <c r="J3189" s="362" t="s">
        <v>286</v>
      </c>
      <c r="K3189" s="363"/>
      <c r="L3189" s="129"/>
      <c r="M3189" s="129"/>
      <c r="N3189" s="129"/>
      <c r="O3189" s="129"/>
      <c r="P3189" s="364"/>
      <c r="Q3189" s="364"/>
      <c r="R3189" s="129"/>
      <c r="S3189" s="129"/>
      <c r="T3189" s="129"/>
      <c r="W3189" s="129" t="s">
        <v>286</v>
      </c>
      <c r="X3189" s="337" t="b">
        <f t="shared" si="84"/>
        <v>1</v>
      </c>
    </row>
    <row r="3190" spans="1:24" s="337" customFormat="1" ht="12" customHeight="1" outlineLevel="1">
      <c r="A3190" s="335"/>
      <c r="B3190" s="118" t="s">
        <v>12</v>
      </c>
      <c r="C3190" s="334" t="s">
        <v>10876</v>
      </c>
      <c r="D3190" s="124" t="s">
        <v>10437</v>
      </c>
      <c r="E3190" s="125"/>
      <c r="F3190" s="118" t="s">
        <v>828</v>
      </c>
      <c r="G3190" s="126" t="s">
        <v>10304</v>
      </c>
      <c r="H3190" s="255">
        <v>5</v>
      </c>
      <c r="I3190" s="361">
        <v>1</v>
      </c>
      <c r="J3190" s="362" t="s">
        <v>286</v>
      </c>
      <c r="K3190" s="363"/>
      <c r="L3190" s="129"/>
      <c r="M3190" s="129"/>
      <c r="N3190" s="129"/>
      <c r="O3190" s="129"/>
      <c r="P3190" s="364"/>
      <c r="Q3190" s="364"/>
      <c r="R3190" s="129"/>
      <c r="S3190" s="129"/>
      <c r="T3190" s="129"/>
      <c r="W3190" s="129" t="s">
        <v>286</v>
      </c>
      <c r="X3190" s="337" t="b">
        <f t="shared" si="84"/>
        <v>1</v>
      </c>
    </row>
    <row r="3191" spans="1:24" s="337" customFormat="1" ht="12" customHeight="1" outlineLevel="1">
      <c r="A3191" s="335"/>
      <c r="B3191" s="118" t="s">
        <v>12</v>
      </c>
      <c r="C3191" s="334" t="s">
        <v>10877</v>
      </c>
      <c r="D3191" s="124" t="s">
        <v>10439</v>
      </c>
      <c r="E3191" s="125"/>
      <c r="F3191" s="118" t="s">
        <v>828</v>
      </c>
      <c r="G3191" s="126" t="s">
        <v>10304</v>
      </c>
      <c r="H3191" s="255">
        <v>5</v>
      </c>
      <c r="I3191" s="361">
        <v>1</v>
      </c>
      <c r="J3191" s="362" t="s">
        <v>286</v>
      </c>
      <c r="K3191" s="363"/>
      <c r="L3191" s="129"/>
      <c r="M3191" s="129"/>
      <c r="N3191" s="129"/>
      <c r="O3191" s="129"/>
      <c r="P3191" s="364"/>
      <c r="Q3191" s="364"/>
      <c r="R3191" s="129"/>
      <c r="S3191" s="129"/>
      <c r="T3191" s="129"/>
      <c r="W3191" s="129" t="s">
        <v>286</v>
      </c>
      <c r="X3191" s="337" t="b">
        <f t="shared" si="84"/>
        <v>1</v>
      </c>
    </row>
    <row r="3192" spans="1:24" s="337" customFormat="1" ht="12" customHeight="1" outlineLevel="1">
      <c r="A3192" s="335"/>
      <c r="B3192" s="118" t="s">
        <v>12</v>
      </c>
      <c r="C3192" s="334" t="s">
        <v>10878</v>
      </c>
      <c r="D3192" s="124" t="s">
        <v>10441</v>
      </c>
      <c r="E3192" s="125"/>
      <c r="F3192" s="118" t="s">
        <v>828</v>
      </c>
      <c r="G3192" s="126" t="s">
        <v>10304</v>
      </c>
      <c r="H3192" s="255">
        <v>5</v>
      </c>
      <c r="I3192" s="361">
        <v>1</v>
      </c>
      <c r="J3192" s="362" t="s">
        <v>286</v>
      </c>
      <c r="K3192" s="363"/>
      <c r="L3192" s="129"/>
      <c r="M3192" s="129"/>
      <c r="N3192" s="129"/>
      <c r="O3192" s="129"/>
      <c r="P3192" s="364"/>
      <c r="Q3192" s="364"/>
      <c r="R3192" s="129"/>
      <c r="S3192" s="129"/>
      <c r="T3192" s="129"/>
      <c r="W3192" s="129" t="s">
        <v>286</v>
      </c>
      <c r="X3192" s="337" t="b">
        <f t="shared" si="84"/>
        <v>1</v>
      </c>
    </row>
    <row r="3193" spans="1:24" s="337" customFormat="1" ht="12" customHeight="1" outlineLevel="1">
      <c r="A3193" s="335"/>
      <c r="B3193" s="118" t="s">
        <v>12</v>
      </c>
      <c r="C3193" s="334" t="s">
        <v>10879</v>
      </c>
      <c r="D3193" s="124" t="s">
        <v>10443</v>
      </c>
      <c r="E3193" s="125"/>
      <c r="F3193" s="118" t="s">
        <v>828</v>
      </c>
      <c r="G3193" s="126" t="s">
        <v>10304</v>
      </c>
      <c r="H3193" s="255">
        <v>5</v>
      </c>
      <c r="I3193" s="361">
        <v>1</v>
      </c>
      <c r="J3193" s="362" t="s">
        <v>286</v>
      </c>
      <c r="K3193" s="363"/>
      <c r="L3193" s="129"/>
      <c r="M3193" s="129"/>
      <c r="N3193" s="129"/>
      <c r="O3193" s="129"/>
      <c r="P3193" s="364"/>
      <c r="Q3193" s="364"/>
      <c r="R3193" s="129"/>
      <c r="S3193" s="129"/>
      <c r="T3193" s="129"/>
      <c r="W3193" s="129" t="s">
        <v>286</v>
      </c>
      <c r="X3193" s="337" t="b">
        <f t="shared" si="84"/>
        <v>1</v>
      </c>
    </row>
    <row r="3194" spans="1:24" s="337" customFormat="1" ht="12" customHeight="1" outlineLevel="1">
      <c r="A3194" s="335"/>
      <c r="B3194" s="118" t="s">
        <v>12</v>
      </c>
      <c r="C3194" s="334" t="s">
        <v>10880</v>
      </c>
      <c r="D3194" s="124" t="s">
        <v>10445</v>
      </c>
      <c r="E3194" s="125"/>
      <c r="F3194" s="118" t="s">
        <v>828</v>
      </c>
      <c r="G3194" s="126" t="s">
        <v>10304</v>
      </c>
      <c r="H3194" s="255">
        <v>5</v>
      </c>
      <c r="I3194" s="361">
        <v>1</v>
      </c>
      <c r="J3194" s="362" t="s">
        <v>286</v>
      </c>
      <c r="K3194" s="363"/>
      <c r="L3194" s="129"/>
      <c r="M3194" s="129"/>
      <c r="N3194" s="129"/>
      <c r="O3194" s="129"/>
      <c r="P3194" s="364"/>
      <c r="Q3194" s="364"/>
      <c r="R3194" s="129"/>
      <c r="S3194" s="129"/>
      <c r="T3194" s="129"/>
      <c r="W3194" s="129" t="s">
        <v>286</v>
      </c>
      <c r="X3194" s="337" t="b">
        <f t="shared" si="84"/>
        <v>1</v>
      </c>
    </row>
    <row r="3195" spans="1:24" s="337" customFormat="1" ht="12" customHeight="1" outlineLevel="1">
      <c r="A3195" s="335"/>
      <c r="B3195" s="118" t="s">
        <v>12</v>
      </c>
      <c r="C3195" s="334" t="s">
        <v>10881</v>
      </c>
      <c r="D3195" s="124" t="s">
        <v>10447</v>
      </c>
      <c r="E3195" s="125"/>
      <c r="F3195" s="118" t="s">
        <v>828</v>
      </c>
      <c r="G3195" s="126" t="s">
        <v>10304</v>
      </c>
      <c r="H3195" s="255">
        <v>5</v>
      </c>
      <c r="I3195" s="361">
        <v>1</v>
      </c>
      <c r="J3195" s="362" t="s">
        <v>286</v>
      </c>
      <c r="K3195" s="363"/>
      <c r="L3195" s="129"/>
      <c r="M3195" s="129"/>
      <c r="N3195" s="129"/>
      <c r="O3195" s="129"/>
      <c r="P3195" s="364"/>
      <c r="Q3195" s="364"/>
      <c r="R3195" s="129"/>
      <c r="S3195" s="129"/>
      <c r="T3195" s="129"/>
      <c r="W3195" s="129" t="s">
        <v>286</v>
      </c>
      <c r="X3195" s="337" t="b">
        <f t="shared" si="84"/>
        <v>1</v>
      </c>
    </row>
    <row r="3196" spans="1:24" s="337" customFormat="1" ht="12" customHeight="1" outlineLevel="1">
      <c r="A3196" s="335"/>
      <c r="B3196" s="118" t="s">
        <v>12</v>
      </c>
      <c r="C3196" s="334" t="s">
        <v>10882</v>
      </c>
      <c r="D3196" s="124" t="s">
        <v>10449</v>
      </c>
      <c r="E3196" s="125"/>
      <c r="F3196" s="118" t="s">
        <v>828</v>
      </c>
      <c r="G3196" s="126" t="s">
        <v>10304</v>
      </c>
      <c r="H3196" s="255">
        <v>5</v>
      </c>
      <c r="I3196" s="361">
        <v>1</v>
      </c>
      <c r="J3196" s="362" t="s">
        <v>286</v>
      </c>
      <c r="K3196" s="363"/>
      <c r="L3196" s="129"/>
      <c r="M3196" s="129"/>
      <c r="N3196" s="129"/>
      <c r="O3196" s="129"/>
      <c r="P3196" s="364"/>
      <c r="Q3196" s="364"/>
      <c r="R3196" s="129"/>
      <c r="S3196" s="129"/>
      <c r="T3196" s="129"/>
      <c r="W3196" s="129" t="s">
        <v>286</v>
      </c>
      <c r="X3196" s="337" t="b">
        <f t="shared" si="84"/>
        <v>1</v>
      </c>
    </row>
    <row r="3197" spans="1:24" s="337" customFormat="1" ht="12" customHeight="1" outlineLevel="1">
      <c r="A3197" s="335"/>
      <c r="B3197" s="118" t="s">
        <v>12</v>
      </c>
      <c r="C3197" s="334" t="s">
        <v>10883</v>
      </c>
      <c r="D3197" s="124" t="s">
        <v>10451</v>
      </c>
      <c r="E3197" s="125"/>
      <c r="F3197" s="118" t="s">
        <v>828</v>
      </c>
      <c r="G3197" s="126" t="s">
        <v>10304</v>
      </c>
      <c r="H3197" s="255">
        <v>5</v>
      </c>
      <c r="I3197" s="361">
        <v>1</v>
      </c>
      <c r="J3197" s="362" t="s">
        <v>286</v>
      </c>
      <c r="K3197" s="363"/>
      <c r="L3197" s="129"/>
      <c r="M3197" s="129"/>
      <c r="N3197" s="129"/>
      <c r="O3197" s="129"/>
      <c r="P3197" s="364"/>
      <c r="Q3197" s="364"/>
      <c r="R3197" s="129"/>
      <c r="S3197" s="129"/>
      <c r="T3197" s="129"/>
      <c r="W3197" s="129" t="s">
        <v>286</v>
      </c>
      <c r="X3197" s="337" t="b">
        <f t="shared" si="84"/>
        <v>1</v>
      </c>
    </row>
    <row r="3198" spans="1:24" s="337" customFormat="1" ht="12" customHeight="1" outlineLevel="1">
      <c r="A3198" s="335"/>
      <c r="B3198" s="118" t="s">
        <v>12</v>
      </c>
      <c r="C3198" s="334" t="s">
        <v>10884</v>
      </c>
      <c r="D3198" s="124" t="s">
        <v>10453</v>
      </c>
      <c r="E3198" s="125"/>
      <c r="F3198" s="118" t="s">
        <v>828</v>
      </c>
      <c r="G3198" s="126" t="s">
        <v>10304</v>
      </c>
      <c r="H3198" s="255">
        <v>5</v>
      </c>
      <c r="I3198" s="361">
        <v>1</v>
      </c>
      <c r="J3198" s="362" t="s">
        <v>286</v>
      </c>
      <c r="K3198" s="363"/>
      <c r="L3198" s="129"/>
      <c r="M3198" s="129"/>
      <c r="N3198" s="129"/>
      <c r="O3198" s="129"/>
      <c r="P3198" s="364"/>
      <c r="Q3198" s="364"/>
      <c r="R3198" s="129"/>
      <c r="S3198" s="129"/>
      <c r="T3198" s="129"/>
      <c r="W3198" s="129" t="s">
        <v>286</v>
      </c>
      <c r="X3198" s="337" t="b">
        <f t="shared" si="84"/>
        <v>1</v>
      </c>
    </row>
    <row r="3199" spans="1:24" s="337" customFormat="1" ht="12" customHeight="1" outlineLevel="1">
      <c r="A3199" s="335"/>
      <c r="B3199" s="118" t="s">
        <v>12</v>
      </c>
      <c r="C3199" s="334" t="s">
        <v>10885</v>
      </c>
      <c r="D3199" s="124" t="s">
        <v>10455</v>
      </c>
      <c r="E3199" s="125"/>
      <c r="F3199" s="118" t="s">
        <v>828</v>
      </c>
      <c r="G3199" s="126" t="s">
        <v>10304</v>
      </c>
      <c r="H3199" s="255">
        <v>5</v>
      </c>
      <c r="I3199" s="361">
        <v>1</v>
      </c>
      <c r="J3199" s="362" t="s">
        <v>286</v>
      </c>
      <c r="K3199" s="363"/>
      <c r="L3199" s="129"/>
      <c r="M3199" s="129"/>
      <c r="N3199" s="129"/>
      <c r="O3199" s="129"/>
      <c r="P3199" s="364"/>
      <c r="Q3199" s="364"/>
      <c r="R3199" s="129"/>
      <c r="S3199" s="129"/>
      <c r="T3199" s="129"/>
      <c r="W3199" s="129" t="s">
        <v>286</v>
      </c>
      <c r="X3199" s="337" t="b">
        <f t="shared" si="84"/>
        <v>1</v>
      </c>
    </row>
    <row r="3200" spans="1:24" s="337" customFormat="1" ht="12" customHeight="1" outlineLevel="1">
      <c r="A3200" s="335"/>
      <c r="B3200" s="118" t="s">
        <v>12</v>
      </c>
      <c r="C3200" s="334" t="s">
        <v>10886</v>
      </c>
      <c r="D3200" s="124" t="s">
        <v>10457</v>
      </c>
      <c r="E3200" s="125"/>
      <c r="F3200" s="118" t="s">
        <v>828</v>
      </c>
      <c r="G3200" s="126" t="s">
        <v>10304</v>
      </c>
      <c r="H3200" s="255">
        <v>5</v>
      </c>
      <c r="I3200" s="361">
        <v>1</v>
      </c>
      <c r="J3200" s="362" t="s">
        <v>286</v>
      </c>
      <c r="K3200" s="363"/>
      <c r="L3200" s="129"/>
      <c r="M3200" s="129"/>
      <c r="N3200" s="129"/>
      <c r="O3200" s="129"/>
      <c r="P3200" s="364"/>
      <c r="Q3200" s="364"/>
      <c r="R3200" s="129"/>
      <c r="S3200" s="129"/>
      <c r="T3200" s="129"/>
      <c r="W3200" s="129" t="s">
        <v>286</v>
      </c>
      <c r="X3200" s="337" t="b">
        <f t="shared" si="84"/>
        <v>1</v>
      </c>
    </row>
    <row r="3201" spans="1:24" s="337" customFormat="1" ht="12" customHeight="1" outlineLevel="1">
      <c r="A3201" s="335"/>
      <c r="B3201" s="118" t="s">
        <v>12</v>
      </c>
      <c r="C3201" s="334" t="s">
        <v>10887</v>
      </c>
      <c r="D3201" s="124" t="s">
        <v>10459</v>
      </c>
      <c r="E3201" s="125"/>
      <c r="F3201" s="118" t="s">
        <v>828</v>
      </c>
      <c r="G3201" s="126" t="s">
        <v>10304</v>
      </c>
      <c r="H3201" s="255">
        <v>5</v>
      </c>
      <c r="I3201" s="361">
        <v>1</v>
      </c>
      <c r="J3201" s="362" t="s">
        <v>286</v>
      </c>
      <c r="K3201" s="363"/>
      <c r="L3201" s="129"/>
      <c r="M3201" s="129"/>
      <c r="N3201" s="129"/>
      <c r="O3201" s="129"/>
      <c r="P3201" s="364"/>
      <c r="Q3201" s="364"/>
      <c r="R3201" s="129"/>
      <c r="S3201" s="129"/>
      <c r="T3201" s="129"/>
      <c r="W3201" s="129" t="s">
        <v>286</v>
      </c>
      <c r="X3201" s="337" t="b">
        <f t="shared" si="84"/>
        <v>1</v>
      </c>
    </row>
    <row r="3202" spans="1:24" s="337" customFormat="1" ht="12" customHeight="1" outlineLevel="1">
      <c r="A3202" s="335"/>
      <c r="B3202" s="118" t="s">
        <v>12</v>
      </c>
      <c r="C3202" s="334" t="s">
        <v>10888</v>
      </c>
      <c r="D3202" s="124" t="s">
        <v>10461</v>
      </c>
      <c r="E3202" s="125"/>
      <c r="F3202" s="118" t="s">
        <v>828</v>
      </c>
      <c r="G3202" s="126" t="s">
        <v>10304</v>
      </c>
      <c r="H3202" s="255">
        <v>5</v>
      </c>
      <c r="I3202" s="361">
        <v>1</v>
      </c>
      <c r="J3202" s="362" t="s">
        <v>286</v>
      </c>
      <c r="K3202" s="363"/>
      <c r="L3202" s="129"/>
      <c r="M3202" s="129"/>
      <c r="N3202" s="129"/>
      <c r="O3202" s="129"/>
      <c r="P3202" s="364"/>
      <c r="Q3202" s="364"/>
      <c r="R3202" s="129"/>
      <c r="S3202" s="129"/>
      <c r="T3202" s="129"/>
      <c r="W3202" s="129" t="s">
        <v>286</v>
      </c>
      <c r="X3202" s="337" t="b">
        <f t="shared" si="84"/>
        <v>1</v>
      </c>
    </row>
    <row r="3203" spans="1:24" s="337" customFormat="1" ht="12" customHeight="1" outlineLevel="1">
      <c r="A3203" s="335"/>
      <c r="B3203" s="118" t="s">
        <v>12</v>
      </c>
      <c r="C3203" s="334" t="s">
        <v>10889</v>
      </c>
      <c r="D3203" s="124" t="s">
        <v>10463</v>
      </c>
      <c r="E3203" s="125"/>
      <c r="F3203" s="118" t="s">
        <v>828</v>
      </c>
      <c r="G3203" s="126" t="s">
        <v>10304</v>
      </c>
      <c r="H3203" s="255">
        <v>5</v>
      </c>
      <c r="I3203" s="361">
        <v>1</v>
      </c>
      <c r="J3203" s="362" t="s">
        <v>286</v>
      </c>
      <c r="K3203" s="363"/>
      <c r="L3203" s="129"/>
      <c r="M3203" s="129"/>
      <c r="N3203" s="129"/>
      <c r="O3203" s="129"/>
      <c r="P3203" s="364"/>
      <c r="Q3203" s="364"/>
      <c r="R3203" s="129"/>
      <c r="S3203" s="129"/>
      <c r="T3203" s="129"/>
      <c r="W3203" s="129" t="s">
        <v>286</v>
      </c>
      <c r="X3203" s="337" t="b">
        <f t="shared" si="84"/>
        <v>1</v>
      </c>
    </row>
    <row r="3204" spans="1:24" s="337" customFormat="1" ht="12" customHeight="1" outlineLevel="1">
      <c r="A3204" s="335"/>
      <c r="B3204" s="118" t="s">
        <v>12</v>
      </c>
      <c r="C3204" s="334" t="s">
        <v>10890</v>
      </c>
      <c r="D3204" s="124" t="s">
        <v>10465</v>
      </c>
      <c r="E3204" s="125"/>
      <c r="F3204" s="118" t="s">
        <v>828</v>
      </c>
      <c r="G3204" s="126" t="s">
        <v>10304</v>
      </c>
      <c r="H3204" s="255">
        <v>5</v>
      </c>
      <c r="I3204" s="361">
        <v>1</v>
      </c>
      <c r="J3204" s="362" t="s">
        <v>286</v>
      </c>
      <c r="K3204" s="363"/>
      <c r="L3204" s="129"/>
      <c r="M3204" s="129"/>
      <c r="N3204" s="129"/>
      <c r="O3204" s="129"/>
      <c r="P3204" s="364"/>
      <c r="Q3204" s="364"/>
      <c r="R3204" s="129"/>
      <c r="S3204" s="129"/>
      <c r="T3204" s="129"/>
      <c r="W3204" s="129" t="s">
        <v>286</v>
      </c>
      <c r="X3204" s="337" t="b">
        <f t="shared" si="84"/>
        <v>1</v>
      </c>
    </row>
    <row r="3205" spans="1:24" s="337" customFormat="1" ht="12" customHeight="1" outlineLevel="1">
      <c r="A3205" s="335"/>
      <c r="B3205" s="118" t="s">
        <v>12</v>
      </c>
      <c r="C3205" s="334" t="s">
        <v>10891</v>
      </c>
      <c r="D3205" s="124" t="s">
        <v>10467</v>
      </c>
      <c r="E3205" s="125"/>
      <c r="F3205" s="118" t="s">
        <v>828</v>
      </c>
      <c r="G3205" s="126" t="s">
        <v>10304</v>
      </c>
      <c r="H3205" s="255">
        <v>5</v>
      </c>
      <c r="I3205" s="361">
        <v>1</v>
      </c>
      <c r="J3205" s="362" t="s">
        <v>286</v>
      </c>
      <c r="K3205" s="363"/>
      <c r="L3205" s="129"/>
      <c r="M3205" s="129"/>
      <c r="N3205" s="129"/>
      <c r="O3205" s="129"/>
      <c r="P3205" s="364"/>
      <c r="Q3205" s="364"/>
      <c r="R3205" s="129"/>
      <c r="S3205" s="129"/>
      <c r="T3205" s="129"/>
      <c r="W3205" s="129" t="s">
        <v>286</v>
      </c>
      <c r="X3205" s="337" t="b">
        <f t="shared" si="84"/>
        <v>1</v>
      </c>
    </row>
    <row r="3206" spans="1:24" s="337" customFormat="1" ht="12" customHeight="1" outlineLevel="1">
      <c r="A3206" s="335"/>
      <c r="B3206" s="118" t="s">
        <v>12</v>
      </c>
      <c r="C3206" s="334" t="s">
        <v>10892</v>
      </c>
      <c r="D3206" s="124" t="s">
        <v>10469</v>
      </c>
      <c r="E3206" s="125"/>
      <c r="F3206" s="118" t="s">
        <v>828</v>
      </c>
      <c r="G3206" s="126" t="s">
        <v>10304</v>
      </c>
      <c r="H3206" s="255">
        <v>5</v>
      </c>
      <c r="I3206" s="361">
        <v>1</v>
      </c>
      <c r="J3206" s="362" t="s">
        <v>286</v>
      </c>
      <c r="K3206" s="363"/>
      <c r="L3206" s="129"/>
      <c r="M3206" s="129"/>
      <c r="N3206" s="129"/>
      <c r="O3206" s="129"/>
      <c r="P3206" s="364"/>
      <c r="Q3206" s="364"/>
      <c r="R3206" s="129"/>
      <c r="S3206" s="129"/>
      <c r="T3206" s="129"/>
      <c r="W3206" s="129" t="s">
        <v>286</v>
      </c>
      <c r="X3206" s="337" t="b">
        <f t="shared" si="84"/>
        <v>1</v>
      </c>
    </row>
    <row r="3207" spans="1:24" s="337" customFormat="1" ht="12" customHeight="1" outlineLevel="1">
      <c r="A3207" s="335"/>
      <c r="B3207" s="118" t="s">
        <v>12</v>
      </c>
      <c r="C3207" s="334" t="s">
        <v>10893</v>
      </c>
      <c r="D3207" s="124" t="s">
        <v>10471</v>
      </c>
      <c r="E3207" s="125"/>
      <c r="F3207" s="118" t="s">
        <v>828</v>
      </c>
      <c r="G3207" s="126" t="s">
        <v>10304</v>
      </c>
      <c r="H3207" s="255">
        <v>5</v>
      </c>
      <c r="I3207" s="361">
        <v>1</v>
      </c>
      <c r="J3207" s="362" t="s">
        <v>286</v>
      </c>
      <c r="K3207" s="363"/>
      <c r="L3207" s="129"/>
      <c r="M3207" s="129"/>
      <c r="N3207" s="129"/>
      <c r="O3207" s="129"/>
      <c r="P3207" s="364"/>
      <c r="Q3207" s="364"/>
      <c r="R3207" s="129"/>
      <c r="S3207" s="129"/>
      <c r="T3207" s="129"/>
      <c r="W3207" s="129" t="s">
        <v>286</v>
      </c>
      <c r="X3207" s="337" t="b">
        <f t="shared" si="84"/>
        <v>1</v>
      </c>
    </row>
    <row r="3208" spans="1:24" s="337" customFormat="1" ht="12" customHeight="1" outlineLevel="1">
      <c r="A3208" s="335"/>
      <c r="B3208" s="118" t="s">
        <v>12</v>
      </c>
      <c r="C3208" s="334" t="s">
        <v>10894</v>
      </c>
      <c r="D3208" s="124" t="s">
        <v>10473</v>
      </c>
      <c r="E3208" s="125"/>
      <c r="F3208" s="118" t="s">
        <v>828</v>
      </c>
      <c r="G3208" s="126" t="s">
        <v>10304</v>
      </c>
      <c r="H3208" s="255">
        <v>5</v>
      </c>
      <c r="I3208" s="361">
        <v>1</v>
      </c>
      <c r="J3208" s="362" t="s">
        <v>286</v>
      </c>
      <c r="K3208" s="363"/>
      <c r="L3208" s="129"/>
      <c r="M3208" s="129"/>
      <c r="N3208" s="129"/>
      <c r="O3208" s="129"/>
      <c r="P3208" s="364"/>
      <c r="Q3208" s="364"/>
      <c r="R3208" s="129"/>
      <c r="S3208" s="129"/>
      <c r="T3208" s="129"/>
      <c r="W3208" s="129" t="s">
        <v>286</v>
      </c>
      <c r="X3208" s="337" t="b">
        <f t="shared" si="84"/>
        <v>1</v>
      </c>
    </row>
    <row r="3209" spans="1:24" s="337" customFormat="1" ht="12" customHeight="1" outlineLevel="1">
      <c r="A3209" s="335"/>
      <c r="B3209" s="118" t="s">
        <v>12</v>
      </c>
      <c r="C3209" s="334" t="s">
        <v>10895</v>
      </c>
      <c r="D3209" s="124" t="s">
        <v>10475</v>
      </c>
      <c r="E3209" s="125"/>
      <c r="F3209" s="118" t="s">
        <v>828</v>
      </c>
      <c r="G3209" s="126" t="s">
        <v>10304</v>
      </c>
      <c r="H3209" s="255">
        <v>5</v>
      </c>
      <c r="I3209" s="361">
        <v>1</v>
      </c>
      <c r="J3209" s="362" t="s">
        <v>286</v>
      </c>
      <c r="K3209" s="363"/>
      <c r="L3209" s="129"/>
      <c r="M3209" s="129"/>
      <c r="N3209" s="129"/>
      <c r="O3209" s="129"/>
      <c r="P3209" s="364"/>
      <c r="Q3209" s="364"/>
      <c r="R3209" s="129"/>
      <c r="S3209" s="129"/>
      <c r="T3209" s="129"/>
      <c r="W3209" s="129" t="s">
        <v>286</v>
      </c>
      <c r="X3209" s="337" t="b">
        <f t="shared" si="84"/>
        <v>1</v>
      </c>
    </row>
    <row r="3210" spans="1:24" s="337" customFormat="1" ht="12" customHeight="1" outlineLevel="1">
      <c r="A3210" s="335"/>
      <c r="B3210" s="118" t="s">
        <v>12</v>
      </c>
      <c r="C3210" s="334" t="s">
        <v>10896</v>
      </c>
      <c r="D3210" s="124" t="s">
        <v>10477</v>
      </c>
      <c r="E3210" s="125"/>
      <c r="F3210" s="118" t="s">
        <v>828</v>
      </c>
      <c r="G3210" s="126" t="s">
        <v>10304</v>
      </c>
      <c r="H3210" s="255">
        <v>5</v>
      </c>
      <c r="I3210" s="361">
        <v>1</v>
      </c>
      <c r="J3210" s="362" t="s">
        <v>286</v>
      </c>
      <c r="K3210" s="363"/>
      <c r="L3210" s="129"/>
      <c r="M3210" s="129"/>
      <c r="N3210" s="129"/>
      <c r="O3210" s="129"/>
      <c r="P3210" s="364"/>
      <c r="Q3210" s="364"/>
      <c r="R3210" s="129"/>
      <c r="S3210" s="129"/>
      <c r="T3210" s="129"/>
      <c r="W3210" s="129" t="s">
        <v>286</v>
      </c>
      <c r="X3210" s="337" t="b">
        <f t="shared" si="84"/>
        <v>1</v>
      </c>
    </row>
    <row r="3211" spans="1:24" s="337" customFormat="1" ht="12" customHeight="1" outlineLevel="1">
      <c r="A3211" s="335"/>
      <c r="B3211" s="118" t="s">
        <v>12</v>
      </c>
      <c r="C3211" s="334" t="s">
        <v>10897</v>
      </c>
      <c r="D3211" s="124" t="s">
        <v>10479</v>
      </c>
      <c r="E3211" s="125"/>
      <c r="F3211" s="118" t="s">
        <v>828</v>
      </c>
      <c r="G3211" s="126" t="s">
        <v>10304</v>
      </c>
      <c r="H3211" s="255">
        <v>5</v>
      </c>
      <c r="I3211" s="361">
        <v>1</v>
      </c>
      <c r="J3211" s="362" t="s">
        <v>286</v>
      </c>
      <c r="K3211" s="363"/>
      <c r="L3211" s="129"/>
      <c r="M3211" s="129"/>
      <c r="N3211" s="129"/>
      <c r="O3211" s="129"/>
      <c r="P3211" s="364"/>
      <c r="Q3211" s="364"/>
      <c r="R3211" s="129"/>
      <c r="S3211" s="129"/>
      <c r="T3211" s="129"/>
      <c r="W3211" s="129" t="s">
        <v>286</v>
      </c>
      <c r="X3211" s="337" t="b">
        <f t="shared" si="84"/>
        <v>1</v>
      </c>
    </row>
    <row r="3212" spans="1:24" s="337" customFormat="1" ht="12" customHeight="1" outlineLevel="1">
      <c r="A3212" s="335"/>
      <c r="B3212" s="118" t="s">
        <v>12</v>
      </c>
      <c r="C3212" s="334" t="s">
        <v>10898</v>
      </c>
      <c r="D3212" s="124" t="s">
        <v>10481</v>
      </c>
      <c r="E3212" s="125"/>
      <c r="F3212" s="118" t="s">
        <v>828</v>
      </c>
      <c r="G3212" s="126" t="s">
        <v>10304</v>
      </c>
      <c r="H3212" s="255">
        <v>5</v>
      </c>
      <c r="I3212" s="361">
        <v>1</v>
      </c>
      <c r="J3212" s="362" t="s">
        <v>286</v>
      </c>
      <c r="K3212" s="363"/>
      <c r="L3212" s="129"/>
      <c r="M3212" s="129"/>
      <c r="N3212" s="129"/>
      <c r="O3212" s="129"/>
      <c r="P3212" s="364"/>
      <c r="Q3212" s="364"/>
      <c r="R3212" s="129"/>
      <c r="S3212" s="129"/>
      <c r="T3212" s="129"/>
      <c r="W3212" s="129" t="s">
        <v>286</v>
      </c>
      <c r="X3212" s="337" t="b">
        <f t="shared" si="84"/>
        <v>1</v>
      </c>
    </row>
    <row r="3213" spans="1:24" s="337" customFormat="1" ht="12" customHeight="1" outlineLevel="1">
      <c r="A3213" s="335"/>
      <c r="B3213" s="118" t="s">
        <v>12</v>
      </c>
      <c r="C3213" s="334" t="s">
        <v>10899</v>
      </c>
      <c r="D3213" s="124" t="s">
        <v>10483</v>
      </c>
      <c r="E3213" s="125"/>
      <c r="F3213" s="118" t="s">
        <v>828</v>
      </c>
      <c r="G3213" s="126" t="s">
        <v>10304</v>
      </c>
      <c r="H3213" s="255">
        <v>5</v>
      </c>
      <c r="I3213" s="361">
        <v>1</v>
      </c>
      <c r="J3213" s="362" t="s">
        <v>286</v>
      </c>
      <c r="K3213" s="363"/>
      <c r="L3213" s="129"/>
      <c r="M3213" s="129"/>
      <c r="N3213" s="129"/>
      <c r="O3213" s="129"/>
      <c r="P3213" s="364"/>
      <c r="Q3213" s="364"/>
      <c r="R3213" s="129"/>
      <c r="S3213" s="129"/>
      <c r="T3213" s="129"/>
      <c r="W3213" s="129" t="s">
        <v>286</v>
      </c>
      <c r="X3213" s="337" t="b">
        <f t="shared" si="84"/>
        <v>1</v>
      </c>
    </row>
    <row r="3214" spans="1:24" s="337" customFormat="1" ht="12" customHeight="1" outlineLevel="1">
      <c r="A3214" s="335"/>
      <c r="B3214" s="118" t="s">
        <v>12</v>
      </c>
      <c r="C3214" s="334" t="s">
        <v>10900</v>
      </c>
      <c r="D3214" s="124" t="s">
        <v>10537</v>
      </c>
      <c r="E3214" s="125"/>
      <c r="F3214" s="118" t="s">
        <v>828</v>
      </c>
      <c r="G3214" s="126" t="s">
        <v>10304</v>
      </c>
      <c r="H3214" s="255">
        <v>5</v>
      </c>
      <c r="I3214" s="361">
        <v>1</v>
      </c>
      <c r="J3214" s="362" t="s">
        <v>286</v>
      </c>
      <c r="K3214" s="363"/>
      <c r="L3214" s="129"/>
      <c r="M3214" s="129"/>
      <c r="N3214" s="129"/>
      <c r="O3214" s="129"/>
      <c r="P3214" s="364"/>
      <c r="Q3214" s="364"/>
      <c r="R3214" s="129"/>
      <c r="S3214" s="129"/>
      <c r="T3214" s="129"/>
      <c r="W3214" s="129" t="s">
        <v>286</v>
      </c>
      <c r="X3214" s="337" t="b">
        <f t="shared" si="84"/>
        <v>1</v>
      </c>
    </row>
    <row r="3215" spans="1:24" s="337" customFormat="1" ht="12" customHeight="1" outlineLevel="1">
      <c r="A3215" s="335"/>
      <c r="B3215" s="118" t="s">
        <v>12</v>
      </c>
      <c r="C3215" s="334" t="s">
        <v>10901</v>
      </c>
      <c r="D3215" s="124" t="s">
        <v>10539</v>
      </c>
      <c r="E3215" s="125"/>
      <c r="F3215" s="118" t="s">
        <v>828</v>
      </c>
      <c r="G3215" s="126" t="s">
        <v>10304</v>
      </c>
      <c r="H3215" s="255">
        <v>5</v>
      </c>
      <c r="I3215" s="361">
        <v>1</v>
      </c>
      <c r="J3215" s="362" t="s">
        <v>286</v>
      </c>
      <c r="K3215" s="363"/>
      <c r="L3215" s="129"/>
      <c r="M3215" s="129"/>
      <c r="N3215" s="129"/>
      <c r="O3215" s="129"/>
      <c r="P3215" s="364"/>
      <c r="Q3215" s="364"/>
      <c r="R3215" s="129"/>
      <c r="S3215" s="129"/>
      <c r="T3215" s="129"/>
      <c r="W3215" s="129" t="s">
        <v>286</v>
      </c>
      <c r="X3215" s="337" t="b">
        <f t="shared" si="84"/>
        <v>1</v>
      </c>
    </row>
    <row r="3216" spans="1:24" s="337" customFormat="1" ht="12" customHeight="1" outlineLevel="1">
      <c r="A3216" s="335"/>
      <c r="B3216" s="118" t="s">
        <v>12</v>
      </c>
      <c r="C3216" s="334" t="s">
        <v>10902</v>
      </c>
      <c r="D3216" s="124" t="s">
        <v>10541</v>
      </c>
      <c r="E3216" s="125"/>
      <c r="F3216" s="118" t="s">
        <v>828</v>
      </c>
      <c r="G3216" s="126" t="s">
        <v>10304</v>
      </c>
      <c r="H3216" s="255">
        <v>5</v>
      </c>
      <c r="I3216" s="361">
        <v>1</v>
      </c>
      <c r="J3216" s="362" t="s">
        <v>286</v>
      </c>
      <c r="K3216" s="363"/>
      <c r="L3216" s="129"/>
      <c r="M3216" s="129"/>
      <c r="N3216" s="129"/>
      <c r="O3216" s="129"/>
      <c r="P3216" s="364"/>
      <c r="Q3216" s="364"/>
      <c r="R3216" s="129"/>
      <c r="S3216" s="129"/>
      <c r="T3216" s="129"/>
      <c r="W3216" s="129" t="s">
        <v>286</v>
      </c>
      <c r="X3216" s="337" t="b">
        <f t="shared" si="84"/>
        <v>1</v>
      </c>
    </row>
    <row r="3217" spans="1:24" s="337" customFormat="1" ht="12" customHeight="1" outlineLevel="1">
      <c r="A3217" s="335"/>
      <c r="B3217" s="118" t="s">
        <v>12</v>
      </c>
      <c r="C3217" s="334" t="s">
        <v>10903</v>
      </c>
      <c r="D3217" s="124" t="s">
        <v>10543</v>
      </c>
      <c r="E3217" s="125"/>
      <c r="F3217" s="118" t="s">
        <v>828</v>
      </c>
      <c r="G3217" s="126" t="s">
        <v>10304</v>
      </c>
      <c r="H3217" s="255">
        <v>5</v>
      </c>
      <c r="I3217" s="361">
        <v>1</v>
      </c>
      <c r="J3217" s="362" t="s">
        <v>286</v>
      </c>
      <c r="K3217" s="363"/>
      <c r="L3217" s="129"/>
      <c r="M3217" s="129"/>
      <c r="N3217" s="129"/>
      <c r="O3217" s="129"/>
      <c r="P3217" s="364"/>
      <c r="Q3217" s="364"/>
      <c r="R3217" s="129"/>
      <c r="S3217" s="129"/>
      <c r="T3217" s="129"/>
      <c r="W3217" s="129" t="s">
        <v>286</v>
      </c>
      <c r="X3217" s="337" t="b">
        <f t="shared" si="84"/>
        <v>1</v>
      </c>
    </row>
    <row r="3218" spans="1:24" s="337" customFormat="1" ht="12" customHeight="1" outlineLevel="1">
      <c r="A3218" s="335"/>
      <c r="B3218" s="118" t="s">
        <v>12</v>
      </c>
      <c r="C3218" s="334" t="s">
        <v>10904</v>
      </c>
      <c r="D3218" s="124" t="s">
        <v>10545</v>
      </c>
      <c r="E3218" s="125"/>
      <c r="F3218" s="118" t="s">
        <v>828</v>
      </c>
      <c r="G3218" s="126" t="s">
        <v>10304</v>
      </c>
      <c r="H3218" s="255">
        <v>5</v>
      </c>
      <c r="I3218" s="361">
        <v>1</v>
      </c>
      <c r="J3218" s="362" t="s">
        <v>310</v>
      </c>
      <c r="K3218" s="363"/>
      <c r="L3218" s="129"/>
      <c r="M3218" s="129"/>
      <c r="N3218" s="129"/>
      <c r="O3218" s="129"/>
      <c r="P3218" s="364"/>
      <c r="Q3218" s="364"/>
      <c r="R3218" s="129"/>
      <c r="S3218" s="129"/>
      <c r="T3218" s="129"/>
      <c r="W3218" s="129" t="s">
        <v>310</v>
      </c>
      <c r="X3218" s="337" t="b">
        <f t="shared" si="84"/>
        <v>1</v>
      </c>
    </row>
    <row r="3219" spans="1:24" s="337" customFormat="1" ht="12" customHeight="1" outlineLevel="1">
      <c r="A3219" s="335"/>
      <c r="B3219" s="118" t="s">
        <v>12</v>
      </c>
      <c r="C3219" s="334" t="s">
        <v>10905</v>
      </c>
      <c r="D3219" s="124" t="s">
        <v>10547</v>
      </c>
      <c r="E3219" s="125"/>
      <c r="F3219" s="118" t="s">
        <v>828</v>
      </c>
      <c r="G3219" s="126" t="s">
        <v>10304</v>
      </c>
      <c r="H3219" s="255">
        <v>5</v>
      </c>
      <c r="I3219" s="361">
        <v>1</v>
      </c>
      <c r="J3219" s="362" t="s">
        <v>286</v>
      </c>
      <c r="K3219" s="363"/>
      <c r="L3219" s="129"/>
      <c r="M3219" s="129"/>
      <c r="N3219" s="129"/>
      <c r="O3219" s="129"/>
      <c r="P3219" s="364"/>
      <c r="Q3219" s="364"/>
      <c r="R3219" s="129"/>
      <c r="S3219" s="129"/>
      <c r="T3219" s="129"/>
      <c r="W3219" s="129" t="s">
        <v>286</v>
      </c>
      <c r="X3219" s="337" t="b">
        <f t="shared" ref="X3219:X3282" si="85">W3219=J3219</f>
        <v>1</v>
      </c>
    </row>
    <row r="3220" spans="1:24" s="337" customFormat="1" ht="12" customHeight="1" outlineLevel="1">
      <c r="A3220" s="335"/>
      <c r="B3220" s="118" t="s">
        <v>12</v>
      </c>
      <c r="C3220" s="334" t="s">
        <v>10906</v>
      </c>
      <c r="D3220" s="124" t="s">
        <v>10549</v>
      </c>
      <c r="E3220" s="125"/>
      <c r="F3220" s="118" t="s">
        <v>828</v>
      </c>
      <c r="G3220" s="126" t="s">
        <v>10304</v>
      </c>
      <c r="H3220" s="255">
        <v>5</v>
      </c>
      <c r="I3220" s="361">
        <v>1</v>
      </c>
      <c r="J3220" s="362" t="s">
        <v>286</v>
      </c>
      <c r="K3220" s="363"/>
      <c r="L3220" s="129"/>
      <c r="M3220" s="129"/>
      <c r="N3220" s="129"/>
      <c r="O3220" s="129"/>
      <c r="P3220" s="364"/>
      <c r="Q3220" s="364"/>
      <c r="R3220" s="129"/>
      <c r="S3220" s="129"/>
      <c r="T3220" s="129"/>
      <c r="W3220" s="129" t="s">
        <v>286</v>
      </c>
      <c r="X3220" s="337" t="b">
        <f t="shared" si="85"/>
        <v>1</v>
      </c>
    </row>
    <row r="3221" spans="1:24" s="337" customFormat="1" ht="12" customHeight="1" outlineLevel="1">
      <c r="A3221" s="335"/>
      <c r="B3221" s="118" t="s">
        <v>12</v>
      </c>
      <c r="C3221" s="334" t="s">
        <v>10907</v>
      </c>
      <c r="D3221" s="124" t="s">
        <v>10603</v>
      </c>
      <c r="E3221" s="125"/>
      <c r="F3221" s="118" t="s">
        <v>828</v>
      </c>
      <c r="G3221" s="126" t="s">
        <v>10304</v>
      </c>
      <c r="H3221" s="255">
        <v>5</v>
      </c>
      <c r="I3221" s="361">
        <v>1</v>
      </c>
      <c r="J3221" s="362" t="s">
        <v>286</v>
      </c>
      <c r="K3221" s="363"/>
      <c r="L3221" s="129"/>
      <c r="M3221" s="129"/>
      <c r="N3221" s="129"/>
      <c r="O3221" s="129"/>
      <c r="P3221" s="364"/>
      <c r="Q3221" s="364"/>
      <c r="R3221" s="129"/>
      <c r="S3221" s="129"/>
      <c r="T3221" s="129"/>
      <c r="W3221" s="129" t="s">
        <v>286</v>
      </c>
      <c r="X3221" s="337" t="b">
        <f t="shared" si="85"/>
        <v>1</v>
      </c>
    </row>
    <row r="3222" spans="1:24" s="337" customFormat="1" ht="12" customHeight="1" outlineLevel="1">
      <c r="A3222" s="335"/>
      <c r="B3222" s="118" t="s">
        <v>12</v>
      </c>
      <c r="C3222" s="334" t="s">
        <v>10908</v>
      </c>
      <c r="D3222" s="124" t="s">
        <v>10605</v>
      </c>
      <c r="E3222" s="125"/>
      <c r="F3222" s="118" t="s">
        <v>828</v>
      </c>
      <c r="G3222" s="126" t="s">
        <v>10304</v>
      </c>
      <c r="H3222" s="255">
        <v>5</v>
      </c>
      <c r="I3222" s="361">
        <v>1</v>
      </c>
      <c r="J3222" s="362" t="s">
        <v>286</v>
      </c>
      <c r="K3222" s="363"/>
      <c r="L3222" s="129"/>
      <c r="M3222" s="129"/>
      <c r="N3222" s="129"/>
      <c r="O3222" s="129"/>
      <c r="P3222" s="364"/>
      <c r="Q3222" s="364"/>
      <c r="R3222" s="129"/>
      <c r="S3222" s="129"/>
      <c r="T3222" s="129"/>
      <c r="W3222" s="129" t="s">
        <v>286</v>
      </c>
      <c r="X3222" s="337" t="b">
        <f t="shared" si="85"/>
        <v>1</v>
      </c>
    </row>
    <row r="3223" spans="1:24" s="337" customFormat="1" ht="12" customHeight="1" outlineLevel="1">
      <c r="A3223" s="335"/>
      <c r="B3223" s="118" t="s">
        <v>12</v>
      </c>
      <c r="C3223" s="334" t="s">
        <v>10909</v>
      </c>
      <c r="D3223" s="124" t="s">
        <v>10607</v>
      </c>
      <c r="E3223" s="125"/>
      <c r="F3223" s="118" t="s">
        <v>828</v>
      </c>
      <c r="G3223" s="126" t="s">
        <v>10304</v>
      </c>
      <c r="H3223" s="255">
        <v>5</v>
      </c>
      <c r="I3223" s="361">
        <v>1</v>
      </c>
      <c r="J3223" s="362" t="s">
        <v>286</v>
      </c>
      <c r="K3223" s="363"/>
      <c r="L3223" s="129"/>
      <c r="M3223" s="129"/>
      <c r="N3223" s="129"/>
      <c r="O3223" s="129"/>
      <c r="P3223" s="364"/>
      <c r="Q3223" s="364"/>
      <c r="R3223" s="129"/>
      <c r="S3223" s="129"/>
      <c r="T3223" s="129"/>
      <c r="W3223" s="129" t="s">
        <v>286</v>
      </c>
      <c r="X3223" s="337" t="b">
        <f t="shared" si="85"/>
        <v>1</v>
      </c>
    </row>
    <row r="3224" spans="1:24" s="337" customFormat="1" ht="12" customHeight="1" outlineLevel="1">
      <c r="A3224" s="335"/>
      <c r="B3224" s="118" t="s">
        <v>12</v>
      </c>
      <c r="C3224" s="334" t="s">
        <v>10910</v>
      </c>
      <c r="D3224" s="124" t="s">
        <v>10609</v>
      </c>
      <c r="E3224" s="125"/>
      <c r="F3224" s="118" t="s">
        <v>828</v>
      </c>
      <c r="G3224" s="126" t="s">
        <v>10304</v>
      </c>
      <c r="H3224" s="255">
        <v>5</v>
      </c>
      <c r="I3224" s="361">
        <v>1</v>
      </c>
      <c r="J3224" s="362" t="s">
        <v>286</v>
      </c>
      <c r="K3224" s="363"/>
      <c r="L3224" s="129"/>
      <c r="M3224" s="129"/>
      <c r="N3224" s="129"/>
      <c r="O3224" s="129"/>
      <c r="P3224" s="364"/>
      <c r="Q3224" s="364"/>
      <c r="R3224" s="129"/>
      <c r="S3224" s="129"/>
      <c r="T3224" s="129"/>
      <c r="W3224" s="129" t="s">
        <v>286</v>
      </c>
      <c r="X3224" s="337" t="b">
        <f t="shared" si="85"/>
        <v>1</v>
      </c>
    </row>
    <row r="3225" spans="1:24" s="337" customFormat="1" ht="12" customHeight="1" outlineLevel="1">
      <c r="A3225" s="335"/>
      <c r="B3225" s="118" t="s">
        <v>12</v>
      </c>
      <c r="C3225" s="334" t="s">
        <v>10911</v>
      </c>
      <c r="D3225" s="124" t="s">
        <v>10611</v>
      </c>
      <c r="E3225" s="125"/>
      <c r="F3225" s="118" t="s">
        <v>828</v>
      </c>
      <c r="G3225" s="126" t="s">
        <v>10304</v>
      </c>
      <c r="H3225" s="255">
        <v>5</v>
      </c>
      <c r="I3225" s="361">
        <v>1</v>
      </c>
      <c r="J3225" s="362" t="s">
        <v>286</v>
      </c>
      <c r="K3225" s="363"/>
      <c r="L3225" s="129"/>
      <c r="M3225" s="129"/>
      <c r="N3225" s="129"/>
      <c r="O3225" s="129"/>
      <c r="P3225" s="364"/>
      <c r="Q3225" s="364"/>
      <c r="R3225" s="129"/>
      <c r="S3225" s="129"/>
      <c r="T3225" s="129"/>
      <c r="W3225" s="129" t="s">
        <v>286</v>
      </c>
      <c r="X3225" s="337" t="b">
        <f t="shared" si="85"/>
        <v>1</v>
      </c>
    </row>
    <row r="3226" spans="1:24" s="337" customFormat="1" ht="12" customHeight="1" outlineLevel="1">
      <c r="A3226" s="335"/>
      <c r="B3226" s="118" t="s">
        <v>12</v>
      </c>
      <c r="C3226" s="334" t="s">
        <v>10912</v>
      </c>
      <c r="D3226" s="124" t="s">
        <v>10613</v>
      </c>
      <c r="E3226" s="125"/>
      <c r="F3226" s="118" t="s">
        <v>828</v>
      </c>
      <c r="G3226" s="126" t="s">
        <v>10304</v>
      </c>
      <c r="H3226" s="255">
        <v>5</v>
      </c>
      <c r="I3226" s="361">
        <v>1</v>
      </c>
      <c r="J3226" s="362" t="s">
        <v>286</v>
      </c>
      <c r="K3226" s="363"/>
      <c r="L3226" s="129"/>
      <c r="M3226" s="129"/>
      <c r="N3226" s="129"/>
      <c r="O3226" s="129"/>
      <c r="P3226" s="364"/>
      <c r="Q3226" s="364"/>
      <c r="R3226" s="129"/>
      <c r="S3226" s="129"/>
      <c r="T3226" s="129"/>
      <c r="W3226" s="129" t="s">
        <v>286</v>
      </c>
      <c r="X3226" s="337" t="b">
        <f t="shared" si="85"/>
        <v>1</v>
      </c>
    </row>
    <row r="3227" spans="1:24" s="337" customFormat="1" ht="12" customHeight="1" outlineLevel="1">
      <c r="A3227" s="335"/>
      <c r="B3227" s="118" t="s">
        <v>12</v>
      </c>
      <c r="C3227" s="334" t="s">
        <v>10913</v>
      </c>
      <c r="D3227" s="124" t="s">
        <v>10615</v>
      </c>
      <c r="E3227" s="125"/>
      <c r="F3227" s="118" t="s">
        <v>828</v>
      </c>
      <c r="G3227" s="126" t="s">
        <v>10304</v>
      </c>
      <c r="H3227" s="255">
        <v>5</v>
      </c>
      <c r="I3227" s="361">
        <v>1</v>
      </c>
      <c r="J3227" s="362" t="s">
        <v>286</v>
      </c>
      <c r="K3227" s="363"/>
      <c r="L3227" s="129"/>
      <c r="M3227" s="129"/>
      <c r="N3227" s="129"/>
      <c r="O3227" s="129"/>
      <c r="P3227" s="364"/>
      <c r="Q3227" s="364"/>
      <c r="R3227" s="129"/>
      <c r="S3227" s="129"/>
      <c r="T3227" s="129"/>
      <c r="W3227" s="129" t="s">
        <v>286</v>
      </c>
      <c r="X3227" s="337" t="b">
        <f t="shared" si="85"/>
        <v>1</v>
      </c>
    </row>
    <row r="3228" spans="1:24" s="337" customFormat="1" ht="12" customHeight="1" outlineLevel="1">
      <c r="A3228" s="335"/>
      <c r="B3228" s="118" t="s">
        <v>12</v>
      </c>
      <c r="C3228" s="334" t="s">
        <v>10914</v>
      </c>
      <c r="D3228" s="124" t="s">
        <v>10617</v>
      </c>
      <c r="E3228" s="125"/>
      <c r="F3228" s="118" t="s">
        <v>828</v>
      </c>
      <c r="G3228" s="126" t="s">
        <v>10304</v>
      </c>
      <c r="H3228" s="255">
        <v>5</v>
      </c>
      <c r="I3228" s="361">
        <v>1</v>
      </c>
      <c r="J3228" s="362" t="s">
        <v>286</v>
      </c>
      <c r="K3228" s="363"/>
      <c r="L3228" s="129"/>
      <c r="M3228" s="129"/>
      <c r="N3228" s="129"/>
      <c r="O3228" s="129"/>
      <c r="P3228" s="364"/>
      <c r="Q3228" s="364"/>
      <c r="R3228" s="129"/>
      <c r="S3228" s="129"/>
      <c r="T3228" s="129"/>
      <c r="W3228" s="129" t="s">
        <v>286</v>
      </c>
      <c r="X3228" s="337" t="b">
        <f t="shared" si="85"/>
        <v>1</v>
      </c>
    </row>
    <row r="3229" spans="1:24" s="337" customFormat="1" ht="12" customHeight="1" outlineLevel="1">
      <c r="A3229" s="335"/>
      <c r="B3229" s="118" t="s">
        <v>12</v>
      </c>
      <c r="C3229" s="334" t="s">
        <v>10915</v>
      </c>
      <c r="D3229" s="124" t="s">
        <v>10619</v>
      </c>
      <c r="E3229" s="125"/>
      <c r="F3229" s="118" t="s">
        <v>828</v>
      </c>
      <c r="G3229" s="126" t="s">
        <v>10304</v>
      </c>
      <c r="H3229" s="255">
        <v>5</v>
      </c>
      <c r="I3229" s="361">
        <v>1</v>
      </c>
      <c r="J3229" s="362" t="s">
        <v>286</v>
      </c>
      <c r="K3229" s="363"/>
      <c r="L3229" s="129"/>
      <c r="M3229" s="129"/>
      <c r="N3229" s="129"/>
      <c r="O3229" s="129"/>
      <c r="P3229" s="364"/>
      <c r="Q3229" s="364"/>
      <c r="R3229" s="129"/>
      <c r="S3229" s="129"/>
      <c r="T3229" s="129"/>
      <c r="W3229" s="129" t="s">
        <v>286</v>
      </c>
      <c r="X3229" s="337" t="b">
        <f t="shared" si="85"/>
        <v>1</v>
      </c>
    </row>
    <row r="3230" spans="1:24" s="337" customFormat="1" ht="12" customHeight="1" outlineLevel="1">
      <c r="A3230" s="335"/>
      <c r="B3230" s="118" t="s">
        <v>12</v>
      </c>
      <c r="C3230" s="334" t="s">
        <v>10916</v>
      </c>
      <c r="D3230" s="124" t="s">
        <v>10621</v>
      </c>
      <c r="E3230" s="125"/>
      <c r="F3230" s="118" t="s">
        <v>828</v>
      </c>
      <c r="G3230" s="126" t="s">
        <v>10304</v>
      </c>
      <c r="H3230" s="255">
        <v>5</v>
      </c>
      <c r="I3230" s="361">
        <v>1</v>
      </c>
      <c r="J3230" s="362" t="s">
        <v>286</v>
      </c>
      <c r="K3230" s="363"/>
      <c r="L3230" s="129"/>
      <c r="M3230" s="129"/>
      <c r="N3230" s="129"/>
      <c r="O3230" s="129"/>
      <c r="P3230" s="364"/>
      <c r="Q3230" s="364"/>
      <c r="R3230" s="129"/>
      <c r="S3230" s="129"/>
      <c r="T3230" s="129"/>
      <c r="W3230" s="129" t="s">
        <v>286</v>
      </c>
      <c r="X3230" s="337" t="b">
        <f t="shared" si="85"/>
        <v>1</v>
      </c>
    </row>
    <row r="3231" spans="1:24" s="337" customFormat="1" ht="12" customHeight="1" outlineLevel="1">
      <c r="A3231" s="335"/>
      <c r="B3231" s="118" t="s">
        <v>12</v>
      </c>
      <c r="C3231" s="334" t="s">
        <v>10917</v>
      </c>
      <c r="D3231" s="124" t="s">
        <v>10623</v>
      </c>
      <c r="E3231" s="125"/>
      <c r="F3231" s="118" t="s">
        <v>828</v>
      </c>
      <c r="G3231" s="126" t="s">
        <v>10304</v>
      </c>
      <c r="H3231" s="255">
        <v>5</v>
      </c>
      <c r="I3231" s="361">
        <v>1</v>
      </c>
      <c r="J3231" s="362" t="s">
        <v>286</v>
      </c>
      <c r="K3231" s="363"/>
      <c r="L3231" s="129"/>
      <c r="M3231" s="129"/>
      <c r="N3231" s="129"/>
      <c r="O3231" s="129"/>
      <c r="P3231" s="364"/>
      <c r="Q3231" s="364"/>
      <c r="R3231" s="129"/>
      <c r="S3231" s="129"/>
      <c r="T3231" s="129"/>
      <c r="W3231" s="129" t="s">
        <v>286</v>
      </c>
      <c r="X3231" s="337" t="b">
        <f t="shared" si="85"/>
        <v>1</v>
      </c>
    </row>
    <row r="3232" spans="1:24" s="337" customFormat="1" ht="12" customHeight="1" outlineLevel="1">
      <c r="A3232" s="335"/>
      <c r="B3232" s="118" t="s">
        <v>12</v>
      </c>
      <c r="C3232" s="334" t="s">
        <v>10918</v>
      </c>
      <c r="D3232" s="124" t="s">
        <v>10625</v>
      </c>
      <c r="E3232" s="125"/>
      <c r="F3232" s="118" t="s">
        <v>828</v>
      </c>
      <c r="G3232" s="126" t="s">
        <v>10304</v>
      </c>
      <c r="H3232" s="255">
        <v>5</v>
      </c>
      <c r="I3232" s="361">
        <v>1</v>
      </c>
      <c r="J3232" s="362" t="s">
        <v>286</v>
      </c>
      <c r="K3232" s="363"/>
      <c r="L3232" s="129"/>
      <c r="M3232" s="129"/>
      <c r="N3232" s="129"/>
      <c r="O3232" s="129"/>
      <c r="P3232" s="364"/>
      <c r="Q3232" s="364"/>
      <c r="R3232" s="129"/>
      <c r="S3232" s="129"/>
      <c r="T3232" s="129"/>
      <c r="W3232" s="129" t="s">
        <v>286</v>
      </c>
      <c r="X3232" s="337" t="b">
        <f t="shared" si="85"/>
        <v>1</v>
      </c>
    </row>
    <row r="3233" spans="1:24" s="337" customFormat="1" ht="12" customHeight="1" outlineLevel="1">
      <c r="A3233" s="335"/>
      <c r="B3233" s="118" t="s">
        <v>12</v>
      </c>
      <c r="C3233" s="334" t="s">
        <v>10919</v>
      </c>
      <c r="D3233" s="124" t="s">
        <v>10627</v>
      </c>
      <c r="E3233" s="125"/>
      <c r="F3233" s="118" t="s">
        <v>828</v>
      </c>
      <c r="G3233" s="126" t="s">
        <v>10304</v>
      </c>
      <c r="H3233" s="255">
        <v>5</v>
      </c>
      <c r="I3233" s="361">
        <v>1</v>
      </c>
      <c r="J3233" s="362" t="s">
        <v>286</v>
      </c>
      <c r="K3233" s="363"/>
      <c r="L3233" s="129"/>
      <c r="M3233" s="129"/>
      <c r="N3233" s="129"/>
      <c r="O3233" s="129"/>
      <c r="P3233" s="364"/>
      <c r="Q3233" s="364"/>
      <c r="R3233" s="129"/>
      <c r="S3233" s="129"/>
      <c r="T3233" s="129"/>
      <c r="W3233" s="129" t="s">
        <v>286</v>
      </c>
      <c r="X3233" s="337" t="b">
        <f t="shared" si="85"/>
        <v>1</v>
      </c>
    </row>
    <row r="3234" spans="1:24" s="337" customFormat="1" ht="12" customHeight="1" outlineLevel="1">
      <c r="A3234" s="335"/>
      <c r="B3234" s="118" t="s">
        <v>12</v>
      </c>
      <c r="C3234" s="334" t="s">
        <v>10920</v>
      </c>
      <c r="D3234" s="124" t="s">
        <v>10629</v>
      </c>
      <c r="E3234" s="125"/>
      <c r="F3234" s="118" t="s">
        <v>828</v>
      </c>
      <c r="G3234" s="126" t="s">
        <v>10304</v>
      </c>
      <c r="H3234" s="255">
        <v>5</v>
      </c>
      <c r="I3234" s="361">
        <v>1</v>
      </c>
      <c r="J3234" s="362" t="s">
        <v>286</v>
      </c>
      <c r="K3234" s="363"/>
      <c r="L3234" s="129"/>
      <c r="M3234" s="129"/>
      <c r="N3234" s="129"/>
      <c r="O3234" s="129"/>
      <c r="P3234" s="364"/>
      <c r="Q3234" s="364"/>
      <c r="R3234" s="129"/>
      <c r="S3234" s="129"/>
      <c r="T3234" s="129"/>
      <c r="W3234" s="129" t="s">
        <v>286</v>
      </c>
      <c r="X3234" s="337" t="b">
        <f t="shared" si="85"/>
        <v>1</v>
      </c>
    </row>
    <row r="3235" spans="1:24" s="337" customFormat="1" ht="12" customHeight="1" outlineLevel="1">
      <c r="A3235" s="335"/>
      <c r="B3235" s="118" t="s">
        <v>12</v>
      </c>
      <c r="C3235" s="334" t="s">
        <v>10921</v>
      </c>
      <c r="D3235" s="124" t="s">
        <v>10631</v>
      </c>
      <c r="E3235" s="125"/>
      <c r="F3235" s="118" t="s">
        <v>828</v>
      </c>
      <c r="G3235" s="126" t="s">
        <v>10304</v>
      </c>
      <c r="H3235" s="255">
        <v>5</v>
      </c>
      <c r="I3235" s="361">
        <v>1</v>
      </c>
      <c r="J3235" s="362" t="s">
        <v>286</v>
      </c>
      <c r="K3235" s="363"/>
      <c r="L3235" s="129"/>
      <c r="M3235" s="129"/>
      <c r="N3235" s="129"/>
      <c r="O3235" s="129"/>
      <c r="P3235" s="364"/>
      <c r="Q3235" s="364"/>
      <c r="R3235" s="129"/>
      <c r="S3235" s="129"/>
      <c r="T3235" s="129"/>
      <c r="W3235" s="129" t="s">
        <v>286</v>
      </c>
      <c r="X3235" s="337" t="b">
        <f t="shared" si="85"/>
        <v>1</v>
      </c>
    </row>
    <row r="3236" spans="1:24" s="337" customFormat="1" ht="12" customHeight="1" outlineLevel="1">
      <c r="A3236" s="335"/>
      <c r="B3236" s="118" t="s">
        <v>12</v>
      </c>
      <c r="C3236" s="334" t="s">
        <v>10922</v>
      </c>
      <c r="D3236" s="124" t="s">
        <v>10633</v>
      </c>
      <c r="E3236" s="125"/>
      <c r="F3236" s="118" t="s">
        <v>828</v>
      </c>
      <c r="G3236" s="126" t="s">
        <v>10304</v>
      </c>
      <c r="H3236" s="255">
        <v>5</v>
      </c>
      <c r="I3236" s="361">
        <v>1</v>
      </c>
      <c r="J3236" s="362" t="s">
        <v>286</v>
      </c>
      <c r="K3236" s="363"/>
      <c r="L3236" s="129"/>
      <c r="M3236" s="129"/>
      <c r="N3236" s="129"/>
      <c r="O3236" s="129"/>
      <c r="P3236" s="364"/>
      <c r="Q3236" s="364"/>
      <c r="R3236" s="129"/>
      <c r="S3236" s="129"/>
      <c r="T3236" s="129"/>
      <c r="W3236" s="129" t="s">
        <v>286</v>
      </c>
      <c r="X3236" s="337" t="b">
        <f t="shared" si="85"/>
        <v>1</v>
      </c>
    </row>
    <row r="3237" spans="1:24" s="337" customFormat="1" ht="12" customHeight="1" outlineLevel="1">
      <c r="A3237" s="335"/>
      <c r="B3237" s="118" t="s">
        <v>12</v>
      </c>
      <c r="C3237" s="334" t="s">
        <v>10923</v>
      </c>
      <c r="D3237" s="124" t="s">
        <v>10635</v>
      </c>
      <c r="E3237" s="125"/>
      <c r="F3237" s="118" t="s">
        <v>828</v>
      </c>
      <c r="G3237" s="126" t="s">
        <v>10304</v>
      </c>
      <c r="H3237" s="255">
        <v>5</v>
      </c>
      <c r="I3237" s="361">
        <v>1</v>
      </c>
      <c r="J3237" s="362" t="s">
        <v>286</v>
      </c>
      <c r="K3237" s="363"/>
      <c r="L3237" s="129"/>
      <c r="M3237" s="129"/>
      <c r="N3237" s="129"/>
      <c r="O3237" s="129"/>
      <c r="P3237" s="364"/>
      <c r="Q3237" s="364"/>
      <c r="R3237" s="129"/>
      <c r="S3237" s="129"/>
      <c r="T3237" s="129"/>
      <c r="W3237" s="129" t="s">
        <v>286</v>
      </c>
      <c r="X3237" s="337" t="b">
        <f t="shared" si="85"/>
        <v>1</v>
      </c>
    </row>
    <row r="3238" spans="1:24" s="337" customFormat="1" ht="12" customHeight="1" outlineLevel="1">
      <c r="A3238" s="335"/>
      <c r="B3238" s="118" t="s">
        <v>12</v>
      </c>
      <c r="C3238" s="334" t="s">
        <v>10924</v>
      </c>
      <c r="D3238" s="124" t="s">
        <v>10637</v>
      </c>
      <c r="E3238" s="125"/>
      <c r="F3238" s="118" t="s">
        <v>828</v>
      </c>
      <c r="G3238" s="126" t="s">
        <v>10304</v>
      </c>
      <c r="H3238" s="255">
        <v>5</v>
      </c>
      <c r="I3238" s="361">
        <v>1</v>
      </c>
      <c r="J3238" s="362" t="s">
        <v>286</v>
      </c>
      <c r="K3238" s="363"/>
      <c r="L3238" s="129"/>
      <c r="M3238" s="129"/>
      <c r="N3238" s="129"/>
      <c r="O3238" s="129"/>
      <c r="P3238" s="364"/>
      <c r="Q3238" s="364"/>
      <c r="R3238" s="129"/>
      <c r="S3238" s="129"/>
      <c r="T3238" s="129"/>
      <c r="W3238" s="129" t="s">
        <v>286</v>
      </c>
      <c r="X3238" s="337" t="b">
        <f t="shared" si="85"/>
        <v>1</v>
      </c>
    </row>
    <row r="3239" spans="1:24" s="337" customFormat="1" ht="12" customHeight="1" outlineLevel="1">
      <c r="A3239" s="335"/>
      <c r="B3239" s="118" t="s">
        <v>12</v>
      </c>
      <c r="C3239" s="334" t="s">
        <v>10925</v>
      </c>
      <c r="D3239" s="124" t="s">
        <v>10639</v>
      </c>
      <c r="E3239" s="125"/>
      <c r="F3239" s="118" t="s">
        <v>828</v>
      </c>
      <c r="G3239" s="126" t="s">
        <v>10304</v>
      </c>
      <c r="H3239" s="255">
        <v>5</v>
      </c>
      <c r="I3239" s="361">
        <v>1</v>
      </c>
      <c r="J3239" s="362" t="s">
        <v>286</v>
      </c>
      <c r="K3239" s="363"/>
      <c r="L3239" s="129"/>
      <c r="M3239" s="129"/>
      <c r="N3239" s="129"/>
      <c r="O3239" s="129"/>
      <c r="P3239" s="364"/>
      <c r="Q3239" s="364"/>
      <c r="R3239" s="129"/>
      <c r="S3239" s="129"/>
      <c r="T3239" s="129"/>
      <c r="W3239" s="129" t="s">
        <v>286</v>
      </c>
      <c r="X3239" s="337" t="b">
        <f t="shared" si="85"/>
        <v>1</v>
      </c>
    </row>
    <row r="3240" spans="1:24" s="337" customFormat="1" ht="12" customHeight="1" outlineLevel="1">
      <c r="A3240" s="335"/>
      <c r="B3240" s="118" t="s">
        <v>12</v>
      </c>
      <c r="C3240" s="334" t="s">
        <v>10926</v>
      </c>
      <c r="D3240" s="124" t="s">
        <v>10641</v>
      </c>
      <c r="E3240" s="125"/>
      <c r="F3240" s="118" t="s">
        <v>828</v>
      </c>
      <c r="G3240" s="126" t="s">
        <v>10304</v>
      </c>
      <c r="H3240" s="255">
        <v>5</v>
      </c>
      <c r="I3240" s="361">
        <v>1</v>
      </c>
      <c r="J3240" s="362" t="s">
        <v>286</v>
      </c>
      <c r="K3240" s="363"/>
      <c r="L3240" s="129"/>
      <c r="M3240" s="129"/>
      <c r="N3240" s="129"/>
      <c r="O3240" s="129"/>
      <c r="P3240" s="364"/>
      <c r="Q3240" s="364"/>
      <c r="R3240" s="129"/>
      <c r="S3240" s="129"/>
      <c r="T3240" s="129"/>
      <c r="W3240" s="129" t="s">
        <v>286</v>
      </c>
      <c r="X3240" s="337" t="b">
        <f t="shared" si="85"/>
        <v>1</v>
      </c>
    </row>
    <row r="3241" spans="1:24" s="337" customFormat="1" ht="12" customHeight="1" outlineLevel="1">
      <c r="A3241" s="335"/>
      <c r="B3241" s="118" t="s">
        <v>12</v>
      </c>
      <c r="C3241" s="334" t="s">
        <v>10927</v>
      </c>
      <c r="D3241" s="124" t="s">
        <v>10643</v>
      </c>
      <c r="E3241" s="125"/>
      <c r="F3241" s="118" t="s">
        <v>828</v>
      </c>
      <c r="G3241" s="126" t="s">
        <v>10304</v>
      </c>
      <c r="H3241" s="255">
        <v>5</v>
      </c>
      <c r="I3241" s="361">
        <v>1</v>
      </c>
      <c r="J3241" s="362" t="s">
        <v>286</v>
      </c>
      <c r="K3241" s="363"/>
      <c r="L3241" s="129"/>
      <c r="M3241" s="129"/>
      <c r="N3241" s="129"/>
      <c r="O3241" s="129"/>
      <c r="P3241" s="364"/>
      <c r="Q3241" s="364"/>
      <c r="R3241" s="129"/>
      <c r="S3241" s="129"/>
      <c r="T3241" s="129"/>
      <c r="W3241" s="129" t="s">
        <v>286</v>
      </c>
      <c r="X3241" s="337" t="b">
        <f t="shared" si="85"/>
        <v>1</v>
      </c>
    </row>
    <row r="3242" spans="1:24" s="337" customFormat="1" ht="12" customHeight="1" outlineLevel="1">
      <c r="A3242" s="335"/>
      <c r="B3242" s="118" t="s">
        <v>12</v>
      </c>
      <c r="C3242" s="334" t="s">
        <v>10928</v>
      </c>
      <c r="D3242" s="124" t="s">
        <v>10645</v>
      </c>
      <c r="E3242" s="125"/>
      <c r="F3242" s="118" t="s">
        <v>828</v>
      </c>
      <c r="G3242" s="126" t="s">
        <v>10304</v>
      </c>
      <c r="H3242" s="255">
        <v>5</v>
      </c>
      <c r="I3242" s="361">
        <v>1</v>
      </c>
      <c r="J3242" s="362" t="s">
        <v>286</v>
      </c>
      <c r="K3242" s="363"/>
      <c r="L3242" s="129"/>
      <c r="M3242" s="129"/>
      <c r="N3242" s="129"/>
      <c r="O3242" s="129"/>
      <c r="P3242" s="364"/>
      <c r="Q3242" s="364"/>
      <c r="R3242" s="129"/>
      <c r="S3242" s="129"/>
      <c r="T3242" s="129"/>
      <c r="W3242" s="129" t="s">
        <v>286</v>
      </c>
      <c r="X3242" s="337" t="b">
        <f t="shared" si="85"/>
        <v>1</v>
      </c>
    </row>
    <row r="3243" spans="1:24" s="337" customFormat="1" ht="12" customHeight="1" outlineLevel="1">
      <c r="A3243" s="335"/>
      <c r="B3243" s="118" t="s">
        <v>12</v>
      </c>
      <c r="C3243" s="334" t="s">
        <v>10929</v>
      </c>
      <c r="D3243" s="124" t="s">
        <v>10647</v>
      </c>
      <c r="E3243" s="125"/>
      <c r="F3243" s="118" t="s">
        <v>828</v>
      </c>
      <c r="G3243" s="126" t="s">
        <v>10304</v>
      </c>
      <c r="H3243" s="255">
        <v>5</v>
      </c>
      <c r="I3243" s="361">
        <v>1</v>
      </c>
      <c r="J3243" s="362" t="s">
        <v>286</v>
      </c>
      <c r="K3243" s="363"/>
      <c r="L3243" s="129"/>
      <c r="M3243" s="129"/>
      <c r="N3243" s="129"/>
      <c r="O3243" s="129"/>
      <c r="P3243" s="364"/>
      <c r="Q3243" s="364"/>
      <c r="R3243" s="129"/>
      <c r="S3243" s="129"/>
      <c r="T3243" s="129"/>
      <c r="W3243" s="129" t="s">
        <v>286</v>
      </c>
      <c r="X3243" s="337" t="b">
        <f t="shared" si="85"/>
        <v>1</v>
      </c>
    </row>
    <row r="3244" spans="1:24" s="337" customFormat="1" ht="12" customHeight="1" outlineLevel="1">
      <c r="A3244" s="335"/>
      <c r="B3244" s="118" t="s">
        <v>12</v>
      </c>
      <c r="C3244" s="334" t="s">
        <v>10930</v>
      </c>
      <c r="D3244" s="124" t="s">
        <v>10649</v>
      </c>
      <c r="E3244" s="125"/>
      <c r="F3244" s="118" t="s">
        <v>828</v>
      </c>
      <c r="G3244" s="126" t="s">
        <v>10304</v>
      </c>
      <c r="H3244" s="255">
        <v>5</v>
      </c>
      <c r="I3244" s="361">
        <v>1</v>
      </c>
      <c r="J3244" s="362" t="s">
        <v>286</v>
      </c>
      <c r="K3244" s="363"/>
      <c r="L3244" s="129"/>
      <c r="M3244" s="129"/>
      <c r="N3244" s="129"/>
      <c r="O3244" s="129"/>
      <c r="P3244" s="364"/>
      <c r="Q3244" s="364"/>
      <c r="R3244" s="129"/>
      <c r="S3244" s="129"/>
      <c r="T3244" s="129"/>
      <c r="W3244" s="129" t="s">
        <v>286</v>
      </c>
      <c r="X3244" s="337" t="b">
        <f t="shared" si="85"/>
        <v>1</v>
      </c>
    </row>
    <row r="3245" spans="1:24" s="337" customFormat="1" ht="12" customHeight="1" outlineLevel="1">
      <c r="A3245" s="335"/>
      <c r="B3245" s="118" t="s">
        <v>12</v>
      </c>
      <c r="C3245" s="334" t="s">
        <v>10931</v>
      </c>
      <c r="D3245" s="124" t="s">
        <v>10651</v>
      </c>
      <c r="E3245" s="125"/>
      <c r="F3245" s="118" t="s">
        <v>828</v>
      </c>
      <c r="G3245" s="126" t="s">
        <v>10304</v>
      </c>
      <c r="H3245" s="255">
        <v>5</v>
      </c>
      <c r="I3245" s="361">
        <v>1</v>
      </c>
      <c r="J3245" s="362" t="s">
        <v>286</v>
      </c>
      <c r="K3245" s="363"/>
      <c r="L3245" s="129"/>
      <c r="M3245" s="129"/>
      <c r="N3245" s="129"/>
      <c r="O3245" s="129"/>
      <c r="P3245" s="364"/>
      <c r="Q3245" s="364"/>
      <c r="R3245" s="129"/>
      <c r="S3245" s="129"/>
      <c r="T3245" s="129"/>
      <c r="W3245" s="129" t="s">
        <v>286</v>
      </c>
      <c r="X3245" s="337" t="b">
        <f t="shared" si="85"/>
        <v>1</v>
      </c>
    </row>
    <row r="3246" spans="1:24" s="337" customFormat="1" ht="12" customHeight="1" outlineLevel="1">
      <c r="A3246" s="335"/>
      <c r="B3246" s="118" t="s">
        <v>12</v>
      </c>
      <c r="C3246" s="334" t="s">
        <v>10932</v>
      </c>
      <c r="D3246" s="124" t="s">
        <v>10653</v>
      </c>
      <c r="E3246" s="125"/>
      <c r="F3246" s="118" t="s">
        <v>828</v>
      </c>
      <c r="G3246" s="126" t="s">
        <v>10304</v>
      </c>
      <c r="H3246" s="255">
        <v>5</v>
      </c>
      <c r="I3246" s="361">
        <v>1</v>
      </c>
      <c r="J3246" s="362" t="s">
        <v>286</v>
      </c>
      <c r="K3246" s="363"/>
      <c r="L3246" s="129"/>
      <c r="M3246" s="129"/>
      <c r="N3246" s="129"/>
      <c r="O3246" s="129"/>
      <c r="P3246" s="364"/>
      <c r="Q3246" s="364"/>
      <c r="R3246" s="129"/>
      <c r="S3246" s="129"/>
      <c r="T3246" s="129"/>
      <c r="W3246" s="129" t="s">
        <v>286</v>
      </c>
      <c r="X3246" s="337" t="b">
        <f t="shared" si="85"/>
        <v>1</v>
      </c>
    </row>
    <row r="3247" spans="1:24" s="337" customFormat="1" ht="12" customHeight="1" outlineLevel="1">
      <c r="A3247" s="335"/>
      <c r="B3247" s="118" t="s">
        <v>12</v>
      </c>
      <c r="C3247" s="334" t="s">
        <v>10933</v>
      </c>
      <c r="D3247" s="124" t="s">
        <v>10655</v>
      </c>
      <c r="E3247" s="125"/>
      <c r="F3247" s="118" t="s">
        <v>828</v>
      </c>
      <c r="G3247" s="126" t="s">
        <v>10304</v>
      </c>
      <c r="H3247" s="255">
        <v>5</v>
      </c>
      <c r="I3247" s="361">
        <v>1</v>
      </c>
      <c r="J3247" s="362" t="s">
        <v>286</v>
      </c>
      <c r="K3247" s="363"/>
      <c r="L3247" s="129"/>
      <c r="M3247" s="129"/>
      <c r="N3247" s="129"/>
      <c r="O3247" s="129"/>
      <c r="P3247" s="364"/>
      <c r="Q3247" s="364"/>
      <c r="R3247" s="129"/>
      <c r="S3247" s="129"/>
      <c r="T3247" s="129"/>
      <c r="W3247" s="129" t="s">
        <v>286</v>
      </c>
      <c r="X3247" s="337" t="b">
        <f t="shared" si="85"/>
        <v>1</v>
      </c>
    </row>
    <row r="3248" spans="1:24" s="337" customFormat="1" ht="12" customHeight="1" outlineLevel="1">
      <c r="A3248" s="335"/>
      <c r="B3248" s="118" t="s">
        <v>12</v>
      </c>
      <c r="C3248" s="334" t="s">
        <v>10934</v>
      </c>
      <c r="D3248" s="124" t="s">
        <v>10657</v>
      </c>
      <c r="E3248" s="125"/>
      <c r="F3248" s="118" t="s">
        <v>828</v>
      </c>
      <c r="G3248" s="126" t="s">
        <v>10304</v>
      </c>
      <c r="H3248" s="255">
        <v>5</v>
      </c>
      <c r="I3248" s="361">
        <v>1</v>
      </c>
      <c r="J3248" s="362" t="s">
        <v>286</v>
      </c>
      <c r="K3248" s="363"/>
      <c r="L3248" s="129"/>
      <c r="M3248" s="129"/>
      <c r="N3248" s="129"/>
      <c r="O3248" s="129"/>
      <c r="P3248" s="364"/>
      <c r="Q3248" s="364"/>
      <c r="R3248" s="129"/>
      <c r="S3248" s="129"/>
      <c r="T3248" s="129"/>
      <c r="W3248" s="129" t="s">
        <v>286</v>
      </c>
      <c r="X3248" s="337" t="b">
        <f t="shared" si="85"/>
        <v>1</v>
      </c>
    </row>
    <row r="3249" spans="1:24" s="337" customFormat="1" ht="12" customHeight="1" outlineLevel="1">
      <c r="A3249" s="335"/>
      <c r="B3249" s="118" t="s">
        <v>12</v>
      </c>
      <c r="C3249" s="334" t="s">
        <v>10935</v>
      </c>
      <c r="D3249" s="124" t="s">
        <v>10659</v>
      </c>
      <c r="E3249" s="125"/>
      <c r="F3249" s="118" t="s">
        <v>828</v>
      </c>
      <c r="G3249" s="126" t="s">
        <v>10304</v>
      </c>
      <c r="H3249" s="255">
        <v>5</v>
      </c>
      <c r="I3249" s="361">
        <v>1</v>
      </c>
      <c r="J3249" s="362" t="s">
        <v>286</v>
      </c>
      <c r="K3249" s="363"/>
      <c r="L3249" s="129"/>
      <c r="M3249" s="129"/>
      <c r="N3249" s="129"/>
      <c r="O3249" s="129"/>
      <c r="P3249" s="364"/>
      <c r="Q3249" s="364"/>
      <c r="R3249" s="129"/>
      <c r="S3249" s="129"/>
      <c r="T3249" s="129"/>
      <c r="W3249" s="129" t="s">
        <v>286</v>
      </c>
      <c r="X3249" s="337" t="b">
        <f t="shared" si="85"/>
        <v>1</v>
      </c>
    </row>
    <row r="3250" spans="1:24" s="337" customFormat="1" ht="12" customHeight="1" outlineLevel="1">
      <c r="A3250" s="335"/>
      <c r="B3250" s="118" t="s">
        <v>12</v>
      </c>
      <c r="C3250" s="334" t="s">
        <v>10936</v>
      </c>
      <c r="D3250" s="124" t="s">
        <v>10661</v>
      </c>
      <c r="E3250" s="125"/>
      <c r="F3250" s="118" t="s">
        <v>828</v>
      </c>
      <c r="G3250" s="126" t="s">
        <v>10304</v>
      </c>
      <c r="H3250" s="255">
        <v>5</v>
      </c>
      <c r="I3250" s="361">
        <v>1</v>
      </c>
      <c r="J3250" s="362" t="s">
        <v>286</v>
      </c>
      <c r="K3250" s="363"/>
      <c r="L3250" s="129"/>
      <c r="M3250" s="129"/>
      <c r="N3250" s="129"/>
      <c r="O3250" s="129"/>
      <c r="P3250" s="364"/>
      <c r="Q3250" s="364"/>
      <c r="R3250" s="129"/>
      <c r="S3250" s="129"/>
      <c r="T3250" s="129"/>
      <c r="W3250" s="129" t="s">
        <v>286</v>
      </c>
      <c r="X3250" s="337" t="b">
        <f t="shared" si="85"/>
        <v>1</v>
      </c>
    </row>
    <row r="3251" spans="1:24" s="337" customFormat="1" ht="12" customHeight="1" outlineLevel="1">
      <c r="A3251" s="335"/>
      <c r="B3251" s="118" t="s">
        <v>12</v>
      </c>
      <c r="C3251" s="334" t="s">
        <v>10937</v>
      </c>
      <c r="D3251" s="124" t="s">
        <v>10663</v>
      </c>
      <c r="E3251" s="125"/>
      <c r="F3251" s="118" t="s">
        <v>828</v>
      </c>
      <c r="G3251" s="126" t="s">
        <v>10304</v>
      </c>
      <c r="H3251" s="255">
        <v>5</v>
      </c>
      <c r="I3251" s="361">
        <v>1</v>
      </c>
      <c r="J3251" s="362" t="s">
        <v>286</v>
      </c>
      <c r="K3251" s="363"/>
      <c r="L3251" s="129"/>
      <c r="M3251" s="129"/>
      <c r="N3251" s="129"/>
      <c r="O3251" s="129"/>
      <c r="P3251" s="364"/>
      <c r="Q3251" s="364"/>
      <c r="R3251" s="129"/>
      <c r="S3251" s="129"/>
      <c r="T3251" s="129"/>
      <c r="W3251" s="129" t="s">
        <v>286</v>
      </c>
      <c r="X3251" s="337" t="b">
        <f t="shared" si="85"/>
        <v>1</v>
      </c>
    </row>
    <row r="3252" spans="1:24" s="337" customFormat="1" ht="12" customHeight="1" outlineLevel="1">
      <c r="A3252" s="335"/>
      <c r="B3252" s="118" t="s">
        <v>12</v>
      </c>
      <c r="C3252" s="334" t="s">
        <v>10938</v>
      </c>
      <c r="D3252" s="124" t="s">
        <v>10665</v>
      </c>
      <c r="E3252" s="125"/>
      <c r="F3252" s="118" t="s">
        <v>828</v>
      </c>
      <c r="G3252" s="126" t="s">
        <v>10304</v>
      </c>
      <c r="H3252" s="255">
        <v>5</v>
      </c>
      <c r="I3252" s="361">
        <v>1</v>
      </c>
      <c r="J3252" s="362" t="s">
        <v>286</v>
      </c>
      <c r="K3252" s="363"/>
      <c r="L3252" s="129"/>
      <c r="M3252" s="129"/>
      <c r="N3252" s="129"/>
      <c r="O3252" s="129"/>
      <c r="P3252" s="364"/>
      <c r="Q3252" s="364"/>
      <c r="R3252" s="129"/>
      <c r="S3252" s="129"/>
      <c r="T3252" s="129"/>
      <c r="W3252" s="129" t="s">
        <v>286</v>
      </c>
      <c r="X3252" s="337" t="b">
        <f t="shared" si="85"/>
        <v>1</v>
      </c>
    </row>
    <row r="3253" spans="1:24" s="337" customFormat="1" ht="12" customHeight="1" outlineLevel="1">
      <c r="A3253" s="335"/>
      <c r="B3253" s="118" t="s">
        <v>12</v>
      </c>
      <c r="C3253" s="334" t="s">
        <v>10939</v>
      </c>
      <c r="D3253" s="124" t="s">
        <v>10667</v>
      </c>
      <c r="E3253" s="125"/>
      <c r="F3253" s="118" t="s">
        <v>828</v>
      </c>
      <c r="G3253" s="126" t="s">
        <v>10304</v>
      </c>
      <c r="H3253" s="255">
        <v>5</v>
      </c>
      <c r="I3253" s="361">
        <v>1</v>
      </c>
      <c r="J3253" s="362" t="s">
        <v>286</v>
      </c>
      <c r="K3253" s="363"/>
      <c r="L3253" s="129"/>
      <c r="M3253" s="129"/>
      <c r="N3253" s="129"/>
      <c r="O3253" s="129"/>
      <c r="P3253" s="364"/>
      <c r="Q3253" s="364"/>
      <c r="R3253" s="129"/>
      <c r="S3253" s="129"/>
      <c r="T3253" s="129"/>
      <c r="W3253" s="129" t="s">
        <v>286</v>
      </c>
      <c r="X3253" s="337" t="b">
        <f t="shared" si="85"/>
        <v>1</v>
      </c>
    </row>
    <row r="3254" spans="1:24" s="337" customFormat="1" ht="12" customHeight="1" outlineLevel="1">
      <c r="A3254" s="335"/>
      <c r="B3254" s="118" t="s">
        <v>12</v>
      </c>
      <c r="C3254" s="334" t="s">
        <v>10940</v>
      </c>
      <c r="D3254" s="124" t="s">
        <v>10669</v>
      </c>
      <c r="E3254" s="125"/>
      <c r="F3254" s="118" t="s">
        <v>828</v>
      </c>
      <c r="G3254" s="126" t="s">
        <v>10304</v>
      </c>
      <c r="H3254" s="255">
        <v>5</v>
      </c>
      <c r="I3254" s="361">
        <v>1</v>
      </c>
      <c r="J3254" s="362" t="s">
        <v>286</v>
      </c>
      <c r="K3254" s="363"/>
      <c r="L3254" s="129"/>
      <c r="M3254" s="129"/>
      <c r="N3254" s="129"/>
      <c r="O3254" s="129"/>
      <c r="P3254" s="364"/>
      <c r="Q3254" s="364"/>
      <c r="R3254" s="129"/>
      <c r="S3254" s="129"/>
      <c r="T3254" s="129"/>
      <c r="W3254" s="129" t="s">
        <v>286</v>
      </c>
      <c r="X3254" s="337" t="b">
        <f t="shared" si="85"/>
        <v>1</v>
      </c>
    </row>
    <row r="3255" spans="1:24" s="337" customFormat="1" ht="12" customHeight="1" outlineLevel="1">
      <c r="A3255" s="335"/>
      <c r="B3255" s="118" t="s">
        <v>12</v>
      </c>
      <c r="C3255" s="334" t="s">
        <v>10941</v>
      </c>
      <c r="D3255" s="124" t="s">
        <v>10551</v>
      </c>
      <c r="E3255" s="125"/>
      <c r="F3255" s="118" t="s">
        <v>828</v>
      </c>
      <c r="G3255" s="126" t="s">
        <v>10304</v>
      </c>
      <c r="H3255" s="255">
        <v>5</v>
      </c>
      <c r="I3255" s="361">
        <v>1</v>
      </c>
      <c r="J3255" s="362" t="s">
        <v>286</v>
      </c>
      <c r="K3255" s="363"/>
      <c r="L3255" s="129"/>
      <c r="M3255" s="129"/>
      <c r="N3255" s="129"/>
      <c r="O3255" s="129"/>
      <c r="P3255" s="364"/>
      <c r="Q3255" s="364"/>
      <c r="R3255" s="129"/>
      <c r="S3255" s="129"/>
      <c r="T3255" s="129"/>
      <c r="W3255" s="129" t="s">
        <v>286</v>
      </c>
      <c r="X3255" s="337" t="b">
        <f t="shared" si="85"/>
        <v>1</v>
      </c>
    </row>
    <row r="3256" spans="1:24" s="337" customFormat="1" ht="12" customHeight="1" outlineLevel="1">
      <c r="A3256" s="335"/>
      <c r="B3256" s="118" t="s">
        <v>12</v>
      </c>
      <c r="C3256" s="334" t="s">
        <v>10942</v>
      </c>
      <c r="D3256" s="124" t="s">
        <v>10553</v>
      </c>
      <c r="E3256" s="125"/>
      <c r="F3256" s="118" t="s">
        <v>828</v>
      </c>
      <c r="G3256" s="126" t="s">
        <v>10304</v>
      </c>
      <c r="H3256" s="255">
        <v>5</v>
      </c>
      <c r="I3256" s="361">
        <v>1</v>
      </c>
      <c r="J3256" s="362" t="s">
        <v>286</v>
      </c>
      <c r="K3256" s="363"/>
      <c r="L3256" s="129"/>
      <c r="M3256" s="129"/>
      <c r="N3256" s="129"/>
      <c r="O3256" s="129"/>
      <c r="P3256" s="364"/>
      <c r="Q3256" s="364"/>
      <c r="R3256" s="129"/>
      <c r="S3256" s="129"/>
      <c r="T3256" s="129"/>
      <c r="W3256" s="129" t="s">
        <v>286</v>
      </c>
      <c r="X3256" s="337" t="b">
        <f t="shared" si="85"/>
        <v>1</v>
      </c>
    </row>
    <row r="3257" spans="1:24" s="337" customFormat="1" ht="12" customHeight="1" outlineLevel="1">
      <c r="A3257" s="335"/>
      <c r="B3257" s="118" t="s">
        <v>12</v>
      </c>
      <c r="C3257" s="334" t="s">
        <v>10943</v>
      </c>
      <c r="D3257" s="124" t="s">
        <v>10555</v>
      </c>
      <c r="E3257" s="125"/>
      <c r="F3257" s="118" t="s">
        <v>828</v>
      </c>
      <c r="G3257" s="126" t="s">
        <v>10304</v>
      </c>
      <c r="H3257" s="255">
        <v>5</v>
      </c>
      <c r="I3257" s="361">
        <v>1</v>
      </c>
      <c r="J3257" s="362" t="s">
        <v>286</v>
      </c>
      <c r="K3257" s="363"/>
      <c r="L3257" s="129"/>
      <c r="M3257" s="129"/>
      <c r="N3257" s="129"/>
      <c r="O3257" s="129"/>
      <c r="P3257" s="364"/>
      <c r="Q3257" s="364"/>
      <c r="R3257" s="129"/>
      <c r="S3257" s="129"/>
      <c r="T3257" s="129"/>
      <c r="W3257" s="129" t="s">
        <v>286</v>
      </c>
      <c r="X3257" s="337" t="b">
        <f t="shared" si="85"/>
        <v>1</v>
      </c>
    </row>
    <row r="3258" spans="1:24" s="337" customFormat="1" ht="12" customHeight="1" outlineLevel="1">
      <c r="A3258" s="335"/>
      <c r="B3258" s="118" t="s">
        <v>12</v>
      </c>
      <c r="C3258" s="334" t="s">
        <v>10944</v>
      </c>
      <c r="D3258" s="124" t="s">
        <v>10557</v>
      </c>
      <c r="E3258" s="125"/>
      <c r="F3258" s="118" t="s">
        <v>828</v>
      </c>
      <c r="G3258" s="126" t="s">
        <v>10304</v>
      </c>
      <c r="H3258" s="255">
        <v>5</v>
      </c>
      <c r="I3258" s="361">
        <v>1</v>
      </c>
      <c r="J3258" s="362" t="s">
        <v>286</v>
      </c>
      <c r="K3258" s="363"/>
      <c r="L3258" s="129"/>
      <c r="M3258" s="129"/>
      <c r="N3258" s="129"/>
      <c r="O3258" s="129"/>
      <c r="P3258" s="364"/>
      <c r="Q3258" s="364"/>
      <c r="R3258" s="129"/>
      <c r="S3258" s="129"/>
      <c r="T3258" s="129"/>
      <c r="W3258" s="129" t="s">
        <v>286</v>
      </c>
      <c r="X3258" s="337" t="b">
        <f t="shared" si="85"/>
        <v>1</v>
      </c>
    </row>
    <row r="3259" spans="1:24" s="337" customFormat="1" ht="12" customHeight="1" outlineLevel="1">
      <c r="A3259" s="335"/>
      <c r="B3259" s="118" t="s">
        <v>12</v>
      </c>
      <c r="C3259" s="334" t="s">
        <v>10945</v>
      </c>
      <c r="D3259" s="124" t="s">
        <v>10559</v>
      </c>
      <c r="E3259" s="125"/>
      <c r="F3259" s="118" t="s">
        <v>828</v>
      </c>
      <c r="G3259" s="126" t="s">
        <v>10304</v>
      </c>
      <c r="H3259" s="255">
        <v>5</v>
      </c>
      <c r="I3259" s="361">
        <v>1</v>
      </c>
      <c r="J3259" s="362" t="s">
        <v>286</v>
      </c>
      <c r="K3259" s="363"/>
      <c r="L3259" s="129"/>
      <c r="M3259" s="129"/>
      <c r="N3259" s="129"/>
      <c r="O3259" s="129"/>
      <c r="P3259" s="364"/>
      <c r="Q3259" s="364"/>
      <c r="R3259" s="129"/>
      <c r="S3259" s="129"/>
      <c r="T3259" s="129"/>
      <c r="W3259" s="129" t="s">
        <v>286</v>
      </c>
      <c r="X3259" s="337" t="b">
        <f t="shared" si="85"/>
        <v>1</v>
      </c>
    </row>
    <row r="3260" spans="1:24" s="337" customFormat="1" ht="12" customHeight="1" outlineLevel="1">
      <c r="A3260" s="335"/>
      <c r="B3260" s="118" t="s">
        <v>12</v>
      </c>
      <c r="C3260" s="334" t="s">
        <v>10946</v>
      </c>
      <c r="D3260" s="124" t="s">
        <v>10561</v>
      </c>
      <c r="E3260" s="125"/>
      <c r="F3260" s="118" t="s">
        <v>828</v>
      </c>
      <c r="G3260" s="126" t="s">
        <v>10304</v>
      </c>
      <c r="H3260" s="255">
        <v>5</v>
      </c>
      <c r="I3260" s="361">
        <v>1</v>
      </c>
      <c r="J3260" s="362" t="s">
        <v>286</v>
      </c>
      <c r="K3260" s="363"/>
      <c r="L3260" s="129"/>
      <c r="M3260" s="129"/>
      <c r="N3260" s="129"/>
      <c r="O3260" s="129"/>
      <c r="P3260" s="364"/>
      <c r="Q3260" s="364"/>
      <c r="R3260" s="129"/>
      <c r="S3260" s="129"/>
      <c r="T3260" s="129"/>
      <c r="W3260" s="129" t="s">
        <v>286</v>
      </c>
      <c r="X3260" s="337" t="b">
        <f t="shared" si="85"/>
        <v>1</v>
      </c>
    </row>
    <row r="3261" spans="1:24" s="337" customFormat="1" ht="12" customHeight="1" outlineLevel="1">
      <c r="A3261" s="335"/>
      <c r="B3261" s="118" t="s">
        <v>12</v>
      </c>
      <c r="C3261" s="334" t="s">
        <v>10947</v>
      </c>
      <c r="D3261" s="124" t="s">
        <v>10563</v>
      </c>
      <c r="E3261" s="125"/>
      <c r="F3261" s="118" t="s">
        <v>828</v>
      </c>
      <c r="G3261" s="126" t="s">
        <v>10304</v>
      </c>
      <c r="H3261" s="255">
        <v>5</v>
      </c>
      <c r="I3261" s="361">
        <v>1</v>
      </c>
      <c r="J3261" s="362" t="s">
        <v>286</v>
      </c>
      <c r="K3261" s="363"/>
      <c r="L3261" s="129"/>
      <c r="M3261" s="129"/>
      <c r="N3261" s="129"/>
      <c r="O3261" s="129"/>
      <c r="P3261" s="364"/>
      <c r="Q3261" s="364"/>
      <c r="R3261" s="129"/>
      <c r="S3261" s="129"/>
      <c r="T3261" s="129"/>
      <c r="W3261" s="129" t="s">
        <v>286</v>
      </c>
      <c r="X3261" s="337" t="b">
        <f t="shared" si="85"/>
        <v>1</v>
      </c>
    </row>
    <row r="3262" spans="1:24" s="337" customFormat="1" ht="12" customHeight="1" outlineLevel="1">
      <c r="A3262" s="335"/>
      <c r="B3262" s="118" t="s">
        <v>12</v>
      </c>
      <c r="C3262" s="334" t="s">
        <v>10948</v>
      </c>
      <c r="D3262" s="124" t="s">
        <v>10565</v>
      </c>
      <c r="E3262" s="125"/>
      <c r="F3262" s="118" t="s">
        <v>828</v>
      </c>
      <c r="G3262" s="126" t="s">
        <v>10304</v>
      </c>
      <c r="H3262" s="255">
        <v>5</v>
      </c>
      <c r="I3262" s="361">
        <v>1</v>
      </c>
      <c r="J3262" s="362" t="s">
        <v>286</v>
      </c>
      <c r="K3262" s="363"/>
      <c r="L3262" s="129"/>
      <c r="M3262" s="129"/>
      <c r="N3262" s="129"/>
      <c r="O3262" s="129"/>
      <c r="P3262" s="364"/>
      <c r="Q3262" s="364"/>
      <c r="R3262" s="129"/>
      <c r="S3262" s="129"/>
      <c r="T3262" s="129"/>
      <c r="W3262" s="129" t="s">
        <v>286</v>
      </c>
      <c r="X3262" s="337" t="b">
        <f t="shared" si="85"/>
        <v>1</v>
      </c>
    </row>
    <row r="3263" spans="1:24" s="337" customFormat="1" ht="12" customHeight="1" outlineLevel="1">
      <c r="A3263" s="335"/>
      <c r="B3263" s="118" t="s">
        <v>12</v>
      </c>
      <c r="C3263" s="334" t="s">
        <v>10949</v>
      </c>
      <c r="D3263" s="124" t="s">
        <v>10567</v>
      </c>
      <c r="E3263" s="125"/>
      <c r="F3263" s="118" t="s">
        <v>828</v>
      </c>
      <c r="G3263" s="126" t="s">
        <v>10304</v>
      </c>
      <c r="H3263" s="255">
        <v>5</v>
      </c>
      <c r="I3263" s="361">
        <v>1</v>
      </c>
      <c r="J3263" s="362" t="s">
        <v>286</v>
      </c>
      <c r="K3263" s="363"/>
      <c r="L3263" s="129"/>
      <c r="M3263" s="129"/>
      <c r="N3263" s="129"/>
      <c r="O3263" s="129"/>
      <c r="P3263" s="364"/>
      <c r="Q3263" s="364"/>
      <c r="R3263" s="129"/>
      <c r="S3263" s="129"/>
      <c r="T3263" s="129"/>
      <c r="W3263" s="129" t="s">
        <v>286</v>
      </c>
      <c r="X3263" s="337" t="b">
        <f t="shared" si="85"/>
        <v>1</v>
      </c>
    </row>
    <row r="3264" spans="1:24" s="337" customFormat="1" ht="12" customHeight="1" outlineLevel="1">
      <c r="A3264" s="335"/>
      <c r="B3264" s="118" t="s">
        <v>12</v>
      </c>
      <c r="C3264" s="334" t="s">
        <v>10950</v>
      </c>
      <c r="D3264" s="124" t="s">
        <v>10569</v>
      </c>
      <c r="E3264" s="125"/>
      <c r="F3264" s="118" t="s">
        <v>828</v>
      </c>
      <c r="G3264" s="126" t="s">
        <v>10304</v>
      </c>
      <c r="H3264" s="255">
        <v>5</v>
      </c>
      <c r="I3264" s="361">
        <v>1</v>
      </c>
      <c r="J3264" s="362" t="s">
        <v>286</v>
      </c>
      <c r="K3264" s="363"/>
      <c r="L3264" s="129"/>
      <c r="M3264" s="129"/>
      <c r="N3264" s="129"/>
      <c r="O3264" s="129"/>
      <c r="P3264" s="364"/>
      <c r="Q3264" s="364"/>
      <c r="R3264" s="129"/>
      <c r="S3264" s="129"/>
      <c r="T3264" s="129"/>
      <c r="W3264" s="129" t="s">
        <v>286</v>
      </c>
      <c r="X3264" s="337" t="b">
        <f t="shared" si="85"/>
        <v>1</v>
      </c>
    </row>
    <row r="3265" spans="1:24" s="337" customFormat="1" ht="12" customHeight="1" outlineLevel="1">
      <c r="A3265" s="335"/>
      <c r="B3265" s="118" t="s">
        <v>12</v>
      </c>
      <c r="C3265" s="334" t="s">
        <v>10951</v>
      </c>
      <c r="D3265" s="124" t="s">
        <v>10571</v>
      </c>
      <c r="E3265" s="125"/>
      <c r="F3265" s="118" t="s">
        <v>828</v>
      </c>
      <c r="G3265" s="126" t="s">
        <v>10304</v>
      </c>
      <c r="H3265" s="255">
        <v>5</v>
      </c>
      <c r="I3265" s="361">
        <v>1</v>
      </c>
      <c r="J3265" s="362" t="s">
        <v>286</v>
      </c>
      <c r="K3265" s="363"/>
      <c r="L3265" s="129"/>
      <c r="M3265" s="129"/>
      <c r="N3265" s="129"/>
      <c r="O3265" s="129"/>
      <c r="P3265" s="364"/>
      <c r="Q3265" s="364"/>
      <c r="R3265" s="129"/>
      <c r="S3265" s="129"/>
      <c r="T3265" s="129"/>
      <c r="W3265" s="129" t="s">
        <v>286</v>
      </c>
      <c r="X3265" s="337" t="b">
        <f t="shared" si="85"/>
        <v>1</v>
      </c>
    </row>
    <row r="3266" spans="1:24" s="337" customFormat="1" ht="12" customHeight="1" outlineLevel="1">
      <c r="A3266" s="335"/>
      <c r="B3266" s="118" t="s">
        <v>12</v>
      </c>
      <c r="C3266" s="334" t="s">
        <v>10952</v>
      </c>
      <c r="D3266" s="124" t="s">
        <v>10573</v>
      </c>
      <c r="E3266" s="125"/>
      <c r="F3266" s="118" t="s">
        <v>828</v>
      </c>
      <c r="G3266" s="126" t="s">
        <v>10304</v>
      </c>
      <c r="H3266" s="255">
        <v>5</v>
      </c>
      <c r="I3266" s="361">
        <v>1</v>
      </c>
      <c r="J3266" s="362" t="s">
        <v>286</v>
      </c>
      <c r="K3266" s="363"/>
      <c r="L3266" s="129"/>
      <c r="M3266" s="129"/>
      <c r="N3266" s="129"/>
      <c r="O3266" s="129"/>
      <c r="P3266" s="364"/>
      <c r="Q3266" s="364"/>
      <c r="R3266" s="129"/>
      <c r="S3266" s="129"/>
      <c r="T3266" s="129"/>
      <c r="W3266" s="129" t="s">
        <v>286</v>
      </c>
      <c r="X3266" s="337" t="b">
        <f t="shared" si="85"/>
        <v>1</v>
      </c>
    </row>
    <row r="3267" spans="1:24" s="337" customFormat="1" ht="12" customHeight="1" outlineLevel="1">
      <c r="A3267" s="335"/>
      <c r="B3267" s="118" t="s">
        <v>12</v>
      </c>
      <c r="C3267" s="334" t="s">
        <v>10953</v>
      </c>
      <c r="D3267" s="124" t="s">
        <v>10575</v>
      </c>
      <c r="E3267" s="125"/>
      <c r="F3267" s="118" t="s">
        <v>828</v>
      </c>
      <c r="G3267" s="126" t="s">
        <v>10304</v>
      </c>
      <c r="H3267" s="255">
        <v>5</v>
      </c>
      <c r="I3267" s="361">
        <v>1</v>
      </c>
      <c r="J3267" s="362" t="s">
        <v>286</v>
      </c>
      <c r="K3267" s="363"/>
      <c r="L3267" s="129"/>
      <c r="M3267" s="129"/>
      <c r="N3267" s="129"/>
      <c r="O3267" s="129"/>
      <c r="P3267" s="364"/>
      <c r="Q3267" s="364"/>
      <c r="R3267" s="129"/>
      <c r="S3267" s="129"/>
      <c r="T3267" s="129"/>
      <c r="W3267" s="129" t="s">
        <v>286</v>
      </c>
      <c r="X3267" s="337" t="b">
        <f t="shared" si="85"/>
        <v>1</v>
      </c>
    </row>
    <row r="3268" spans="1:24" s="337" customFormat="1" ht="12" customHeight="1" outlineLevel="1">
      <c r="A3268" s="335"/>
      <c r="B3268" s="118" t="s">
        <v>12</v>
      </c>
      <c r="C3268" s="334" t="s">
        <v>10954</v>
      </c>
      <c r="D3268" s="124" t="s">
        <v>10577</v>
      </c>
      <c r="E3268" s="125"/>
      <c r="F3268" s="118" t="s">
        <v>828</v>
      </c>
      <c r="G3268" s="126" t="s">
        <v>10304</v>
      </c>
      <c r="H3268" s="255">
        <v>5</v>
      </c>
      <c r="I3268" s="361">
        <v>1</v>
      </c>
      <c r="J3268" s="362" t="s">
        <v>286</v>
      </c>
      <c r="K3268" s="363"/>
      <c r="L3268" s="129"/>
      <c r="M3268" s="129"/>
      <c r="N3268" s="129"/>
      <c r="O3268" s="129"/>
      <c r="P3268" s="364"/>
      <c r="Q3268" s="364"/>
      <c r="R3268" s="129"/>
      <c r="S3268" s="129"/>
      <c r="T3268" s="129"/>
      <c r="W3268" s="129" t="s">
        <v>286</v>
      </c>
      <c r="X3268" s="337" t="b">
        <f t="shared" si="85"/>
        <v>1</v>
      </c>
    </row>
    <row r="3269" spans="1:24" s="337" customFormat="1" ht="12" customHeight="1" outlineLevel="1">
      <c r="A3269" s="335"/>
      <c r="B3269" s="118" t="s">
        <v>12</v>
      </c>
      <c r="C3269" s="334" t="s">
        <v>10955</v>
      </c>
      <c r="D3269" s="124" t="s">
        <v>10579</v>
      </c>
      <c r="E3269" s="125"/>
      <c r="F3269" s="118" t="s">
        <v>828</v>
      </c>
      <c r="G3269" s="126" t="s">
        <v>10304</v>
      </c>
      <c r="H3269" s="255">
        <v>5</v>
      </c>
      <c r="I3269" s="361">
        <v>1</v>
      </c>
      <c r="J3269" s="362" t="s">
        <v>286</v>
      </c>
      <c r="K3269" s="363"/>
      <c r="L3269" s="129"/>
      <c r="M3269" s="129"/>
      <c r="N3269" s="129"/>
      <c r="O3269" s="129"/>
      <c r="P3269" s="364"/>
      <c r="Q3269" s="364"/>
      <c r="R3269" s="129"/>
      <c r="S3269" s="129"/>
      <c r="T3269" s="129"/>
      <c r="W3269" s="129" t="s">
        <v>286</v>
      </c>
      <c r="X3269" s="337" t="b">
        <f t="shared" si="85"/>
        <v>1</v>
      </c>
    </row>
    <row r="3270" spans="1:24" s="337" customFormat="1" ht="12" customHeight="1" outlineLevel="1">
      <c r="A3270" s="335"/>
      <c r="B3270" s="118" t="s">
        <v>12</v>
      </c>
      <c r="C3270" s="334" t="s">
        <v>10956</v>
      </c>
      <c r="D3270" s="124" t="s">
        <v>10581</v>
      </c>
      <c r="E3270" s="125"/>
      <c r="F3270" s="118" t="s">
        <v>828</v>
      </c>
      <c r="G3270" s="126" t="s">
        <v>10304</v>
      </c>
      <c r="H3270" s="255">
        <v>5</v>
      </c>
      <c r="I3270" s="361">
        <v>1</v>
      </c>
      <c r="J3270" s="362" t="s">
        <v>286</v>
      </c>
      <c r="K3270" s="363"/>
      <c r="L3270" s="129"/>
      <c r="M3270" s="129"/>
      <c r="N3270" s="129"/>
      <c r="O3270" s="129"/>
      <c r="P3270" s="364"/>
      <c r="Q3270" s="364"/>
      <c r="R3270" s="129"/>
      <c r="S3270" s="129"/>
      <c r="T3270" s="129"/>
      <c r="W3270" s="129" t="s">
        <v>286</v>
      </c>
      <c r="X3270" s="337" t="b">
        <f t="shared" si="85"/>
        <v>1</v>
      </c>
    </row>
    <row r="3271" spans="1:24" s="337" customFormat="1" ht="12" customHeight="1" outlineLevel="1">
      <c r="A3271" s="335"/>
      <c r="B3271" s="118" t="s">
        <v>12</v>
      </c>
      <c r="C3271" s="334" t="s">
        <v>10957</v>
      </c>
      <c r="D3271" s="124" t="s">
        <v>10583</v>
      </c>
      <c r="E3271" s="125"/>
      <c r="F3271" s="118" t="s">
        <v>828</v>
      </c>
      <c r="G3271" s="126" t="s">
        <v>10304</v>
      </c>
      <c r="H3271" s="255">
        <v>5</v>
      </c>
      <c r="I3271" s="361">
        <v>1</v>
      </c>
      <c r="J3271" s="362" t="s">
        <v>286</v>
      </c>
      <c r="K3271" s="363"/>
      <c r="L3271" s="129"/>
      <c r="M3271" s="129"/>
      <c r="N3271" s="129"/>
      <c r="O3271" s="129"/>
      <c r="P3271" s="364"/>
      <c r="Q3271" s="364"/>
      <c r="R3271" s="129"/>
      <c r="S3271" s="129"/>
      <c r="T3271" s="129"/>
      <c r="W3271" s="129" t="s">
        <v>286</v>
      </c>
      <c r="X3271" s="337" t="b">
        <f t="shared" si="85"/>
        <v>1</v>
      </c>
    </row>
    <row r="3272" spans="1:24" s="337" customFormat="1" ht="12" customHeight="1" outlineLevel="1">
      <c r="A3272" s="335"/>
      <c r="B3272" s="118" t="s">
        <v>12</v>
      </c>
      <c r="C3272" s="334" t="s">
        <v>10958</v>
      </c>
      <c r="D3272" s="124" t="s">
        <v>10585</v>
      </c>
      <c r="E3272" s="125"/>
      <c r="F3272" s="118" t="s">
        <v>828</v>
      </c>
      <c r="G3272" s="126" t="s">
        <v>10304</v>
      </c>
      <c r="H3272" s="255">
        <v>5</v>
      </c>
      <c r="I3272" s="361">
        <v>1</v>
      </c>
      <c r="J3272" s="362" t="s">
        <v>286</v>
      </c>
      <c r="K3272" s="363"/>
      <c r="L3272" s="129"/>
      <c r="M3272" s="129"/>
      <c r="N3272" s="129"/>
      <c r="O3272" s="129"/>
      <c r="P3272" s="364"/>
      <c r="Q3272" s="364"/>
      <c r="R3272" s="129"/>
      <c r="S3272" s="129"/>
      <c r="T3272" s="129"/>
      <c r="W3272" s="129" t="s">
        <v>286</v>
      </c>
      <c r="X3272" s="337" t="b">
        <f t="shared" si="85"/>
        <v>1</v>
      </c>
    </row>
    <row r="3273" spans="1:24" s="337" customFormat="1" ht="12" customHeight="1" outlineLevel="1">
      <c r="A3273" s="335"/>
      <c r="B3273" s="118" t="s">
        <v>12</v>
      </c>
      <c r="C3273" s="334" t="s">
        <v>10959</v>
      </c>
      <c r="D3273" s="124" t="s">
        <v>10587</v>
      </c>
      <c r="E3273" s="125"/>
      <c r="F3273" s="118" t="s">
        <v>828</v>
      </c>
      <c r="G3273" s="126" t="s">
        <v>10304</v>
      </c>
      <c r="H3273" s="255">
        <v>5</v>
      </c>
      <c r="I3273" s="361">
        <v>1</v>
      </c>
      <c r="J3273" s="362" t="s">
        <v>286</v>
      </c>
      <c r="K3273" s="363"/>
      <c r="L3273" s="129"/>
      <c r="M3273" s="129"/>
      <c r="N3273" s="129"/>
      <c r="O3273" s="129"/>
      <c r="P3273" s="364"/>
      <c r="Q3273" s="364"/>
      <c r="R3273" s="129"/>
      <c r="S3273" s="129"/>
      <c r="T3273" s="129"/>
      <c r="W3273" s="129" t="s">
        <v>286</v>
      </c>
      <c r="X3273" s="337" t="b">
        <f t="shared" si="85"/>
        <v>1</v>
      </c>
    </row>
    <row r="3274" spans="1:24" s="337" customFormat="1" ht="12" customHeight="1" outlineLevel="1">
      <c r="A3274" s="335"/>
      <c r="B3274" s="118" t="s">
        <v>12</v>
      </c>
      <c r="C3274" s="334" t="s">
        <v>10960</v>
      </c>
      <c r="D3274" s="124" t="s">
        <v>10589</v>
      </c>
      <c r="E3274" s="125"/>
      <c r="F3274" s="118" t="s">
        <v>828</v>
      </c>
      <c r="G3274" s="126" t="s">
        <v>10304</v>
      </c>
      <c r="H3274" s="255">
        <v>5</v>
      </c>
      <c r="I3274" s="361">
        <v>1</v>
      </c>
      <c r="J3274" s="362" t="s">
        <v>286</v>
      </c>
      <c r="K3274" s="363"/>
      <c r="L3274" s="129"/>
      <c r="M3274" s="129"/>
      <c r="N3274" s="129"/>
      <c r="O3274" s="129"/>
      <c r="P3274" s="364"/>
      <c r="Q3274" s="364"/>
      <c r="R3274" s="129"/>
      <c r="S3274" s="129"/>
      <c r="T3274" s="129"/>
      <c r="W3274" s="129" t="s">
        <v>286</v>
      </c>
      <c r="X3274" s="337" t="b">
        <f t="shared" si="85"/>
        <v>1</v>
      </c>
    </row>
    <row r="3275" spans="1:24" s="337" customFormat="1" ht="12" customHeight="1" outlineLevel="1">
      <c r="A3275" s="335"/>
      <c r="B3275" s="118" t="s">
        <v>12</v>
      </c>
      <c r="C3275" s="334" t="s">
        <v>10961</v>
      </c>
      <c r="D3275" s="124" t="s">
        <v>10591</v>
      </c>
      <c r="E3275" s="125"/>
      <c r="F3275" s="118" t="s">
        <v>828</v>
      </c>
      <c r="G3275" s="126" t="s">
        <v>10304</v>
      </c>
      <c r="H3275" s="255">
        <v>5</v>
      </c>
      <c r="I3275" s="361">
        <v>1</v>
      </c>
      <c r="J3275" s="362" t="s">
        <v>286</v>
      </c>
      <c r="K3275" s="363"/>
      <c r="L3275" s="129"/>
      <c r="M3275" s="129"/>
      <c r="N3275" s="129"/>
      <c r="O3275" s="129"/>
      <c r="P3275" s="364"/>
      <c r="Q3275" s="364"/>
      <c r="R3275" s="129"/>
      <c r="S3275" s="129"/>
      <c r="T3275" s="129"/>
      <c r="W3275" s="129" t="s">
        <v>286</v>
      </c>
      <c r="X3275" s="337" t="b">
        <f t="shared" si="85"/>
        <v>1</v>
      </c>
    </row>
    <row r="3276" spans="1:24" s="337" customFormat="1" ht="12" customHeight="1" outlineLevel="1">
      <c r="A3276" s="335"/>
      <c r="B3276" s="118" t="s">
        <v>12</v>
      </c>
      <c r="C3276" s="334" t="s">
        <v>10962</v>
      </c>
      <c r="D3276" s="124" t="s">
        <v>10593</v>
      </c>
      <c r="E3276" s="125"/>
      <c r="F3276" s="118" t="s">
        <v>828</v>
      </c>
      <c r="G3276" s="126" t="s">
        <v>10304</v>
      </c>
      <c r="H3276" s="255">
        <v>5</v>
      </c>
      <c r="I3276" s="361">
        <v>1</v>
      </c>
      <c r="J3276" s="362" t="s">
        <v>286</v>
      </c>
      <c r="K3276" s="363"/>
      <c r="L3276" s="129"/>
      <c r="M3276" s="129"/>
      <c r="N3276" s="129"/>
      <c r="O3276" s="129"/>
      <c r="P3276" s="364"/>
      <c r="Q3276" s="364"/>
      <c r="R3276" s="129"/>
      <c r="S3276" s="129"/>
      <c r="T3276" s="129"/>
      <c r="W3276" s="129" t="s">
        <v>286</v>
      </c>
      <c r="X3276" s="337" t="b">
        <f t="shared" si="85"/>
        <v>1</v>
      </c>
    </row>
    <row r="3277" spans="1:24" s="337" customFormat="1" ht="12" customHeight="1" outlineLevel="1">
      <c r="A3277" s="335"/>
      <c r="B3277" s="118" t="s">
        <v>12</v>
      </c>
      <c r="C3277" s="334" t="s">
        <v>10963</v>
      </c>
      <c r="D3277" s="124" t="s">
        <v>10595</v>
      </c>
      <c r="E3277" s="125"/>
      <c r="F3277" s="118" t="s">
        <v>828</v>
      </c>
      <c r="G3277" s="126" t="s">
        <v>10304</v>
      </c>
      <c r="H3277" s="255">
        <v>5</v>
      </c>
      <c r="I3277" s="361">
        <v>1</v>
      </c>
      <c r="J3277" s="362" t="s">
        <v>286</v>
      </c>
      <c r="K3277" s="363"/>
      <c r="L3277" s="129"/>
      <c r="M3277" s="129"/>
      <c r="N3277" s="129"/>
      <c r="O3277" s="129"/>
      <c r="P3277" s="364"/>
      <c r="Q3277" s="364"/>
      <c r="R3277" s="129"/>
      <c r="S3277" s="129"/>
      <c r="T3277" s="129"/>
      <c r="W3277" s="129" t="s">
        <v>286</v>
      </c>
      <c r="X3277" s="337" t="b">
        <f t="shared" si="85"/>
        <v>1</v>
      </c>
    </row>
    <row r="3278" spans="1:24" s="337" customFormat="1" ht="12" customHeight="1" outlineLevel="1">
      <c r="A3278" s="335"/>
      <c r="B3278" s="118" t="s">
        <v>12</v>
      </c>
      <c r="C3278" s="334" t="s">
        <v>10964</v>
      </c>
      <c r="D3278" s="124" t="s">
        <v>10597</v>
      </c>
      <c r="E3278" s="125"/>
      <c r="F3278" s="118" t="s">
        <v>828</v>
      </c>
      <c r="G3278" s="126" t="s">
        <v>10304</v>
      </c>
      <c r="H3278" s="255">
        <v>5</v>
      </c>
      <c r="I3278" s="361">
        <v>1</v>
      </c>
      <c r="J3278" s="362" t="s">
        <v>286</v>
      </c>
      <c r="K3278" s="363"/>
      <c r="L3278" s="129"/>
      <c r="M3278" s="129"/>
      <c r="N3278" s="129"/>
      <c r="O3278" s="129"/>
      <c r="P3278" s="364"/>
      <c r="Q3278" s="364"/>
      <c r="R3278" s="129"/>
      <c r="S3278" s="129"/>
      <c r="T3278" s="129"/>
      <c r="W3278" s="129" t="s">
        <v>286</v>
      </c>
      <c r="X3278" s="337" t="b">
        <f t="shared" si="85"/>
        <v>1</v>
      </c>
    </row>
    <row r="3279" spans="1:24" s="337" customFormat="1" ht="12" customHeight="1" outlineLevel="1">
      <c r="A3279" s="335"/>
      <c r="B3279" s="118" t="s">
        <v>12</v>
      </c>
      <c r="C3279" s="334" t="s">
        <v>10965</v>
      </c>
      <c r="D3279" s="124" t="s">
        <v>10599</v>
      </c>
      <c r="E3279" s="125"/>
      <c r="F3279" s="118" t="s">
        <v>828</v>
      </c>
      <c r="G3279" s="126" t="s">
        <v>10304</v>
      </c>
      <c r="H3279" s="255">
        <v>5</v>
      </c>
      <c r="I3279" s="361">
        <v>1</v>
      </c>
      <c r="J3279" s="362" t="s">
        <v>310</v>
      </c>
      <c r="K3279" s="363"/>
      <c r="L3279" s="129"/>
      <c r="M3279" s="129"/>
      <c r="N3279" s="129"/>
      <c r="O3279" s="129"/>
      <c r="P3279" s="364"/>
      <c r="Q3279" s="364"/>
      <c r="R3279" s="129"/>
      <c r="S3279" s="129"/>
      <c r="T3279" s="129"/>
      <c r="W3279" s="129" t="s">
        <v>310</v>
      </c>
      <c r="X3279" s="337" t="b">
        <f t="shared" si="85"/>
        <v>1</v>
      </c>
    </row>
    <row r="3280" spans="1:24" s="337" customFormat="1" ht="12" customHeight="1" outlineLevel="1">
      <c r="A3280" s="335"/>
      <c r="B3280" s="118" t="s">
        <v>12</v>
      </c>
      <c r="C3280" s="334" t="s">
        <v>10966</v>
      </c>
      <c r="D3280" s="124" t="s">
        <v>10601</v>
      </c>
      <c r="E3280" s="125"/>
      <c r="F3280" s="118" t="s">
        <v>828</v>
      </c>
      <c r="G3280" s="126" t="s">
        <v>10304</v>
      </c>
      <c r="H3280" s="255">
        <v>5</v>
      </c>
      <c r="I3280" s="361">
        <v>1</v>
      </c>
      <c r="J3280" s="362" t="s">
        <v>310</v>
      </c>
      <c r="K3280" s="363"/>
      <c r="L3280" s="129"/>
      <c r="M3280" s="129"/>
      <c r="N3280" s="129"/>
      <c r="O3280" s="129"/>
      <c r="P3280" s="364"/>
      <c r="Q3280" s="364"/>
      <c r="R3280" s="129"/>
      <c r="S3280" s="129"/>
      <c r="T3280" s="129"/>
      <c r="W3280" s="129" t="s">
        <v>310</v>
      </c>
      <c r="X3280" s="337" t="b">
        <f t="shared" si="85"/>
        <v>1</v>
      </c>
    </row>
    <row r="3281" spans="1:24" s="337" customFormat="1" ht="12" customHeight="1" outlineLevel="1">
      <c r="A3281" s="335"/>
      <c r="B3281" s="118" t="s">
        <v>12</v>
      </c>
      <c r="C3281" s="334" t="s">
        <v>10967</v>
      </c>
      <c r="D3281" s="124" t="s">
        <v>10671</v>
      </c>
      <c r="E3281" s="125"/>
      <c r="F3281" s="118" t="s">
        <v>828</v>
      </c>
      <c r="G3281" s="126" t="s">
        <v>10304</v>
      </c>
      <c r="H3281" s="255">
        <v>5</v>
      </c>
      <c r="I3281" s="361">
        <v>1</v>
      </c>
      <c r="J3281" s="362" t="s">
        <v>286</v>
      </c>
      <c r="K3281" s="363"/>
      <c r="L3281" s="129"/>
      <c r="M3281" s="129"/>
      <c r="N3281" s="129"/>
      <c r="O3281" s="129"/>
      <c r="P3281" s="364"/>
      <c r="Q3281" s="364"/>
      <c r="R3281" s="129"/>
      <c r="S3281" s="129"/>
      <c r="T3281" s="129"/>
      <c r="W3281" s="129" t="s">
        <v>286</v>
      </c>
      <c r="X3281" s="337" t="b">
        <f t="shared" si="85"/>
        <v>1</v>
      </c>
    </row>
    <row r="3282" spans="1:24" s="337" customFormat="1" ht="12" customHeight="1" outlineLevel="1">
      <c r="A3282" s="335"/>
      <c r="B3282" s="118" t="s">
        <v>12</v>
      </c>
      <c r="C3282" s="334" t="s">
        <v>10968</v>
      </c>
      <c r="D3282" s="124" t="s">
        <v>10673</v>
      </c>
      <c r="E3282" s="125"/>
      <c r="F3282" s="118" t="s">
        <v>828</v>
      </c>
      <c r="G3282" s="126" t="s">
        <v>10304</v>
      </c>
      <c r="H3282" s="255">
        <v>5</v>
      </c>
      <c r="I3282" s="361">
        <v>1</v>
      </c>
      <c r="J3282" s="362" t="s">
        <v>286</v>
      </c>
      <c r="K3282" s="363"/>
      <c r="L3282" s="129"/>
      <c r="M3282" s="129"/>
      <c r="N3282" s="129"/>
      <c r="O3282" s="129"/>
      <c r="P3282" s="364"/>
      <c r="Q3282" s="364"/>
      <c r="R3282" s="129"/>
      <c r="S3282" s="129"/>
      <c r="T3282" s="129"/>
      <c r="W3282" s="129" t="s">
        <v>286</v>
      </c>
      <c r="X3282" s="337" t="b">
        <f t="shared" si="85"/>
        <v>1</v>
      </c>
    </row>
    <row r="3283" spans="1:24" s="337" customFormat="1" ht="12" customHeight="1" outlineLevel="1">
      <c r="A3283" s="335"/>
      <c r="B3283" s="118" t="s">
        <v>12</v>
      </c>
      <c r="C3283" s="334" t="s">
        <v>10969</v>
      </c>
      <c r="D3283" s="124" t="s">
        <v>10675</v>
      </c>
      <c r="E3283" s="125"/>
      <c r="F3283" s="118" t="s">
        <v>828</v>
      </c>
      <c r="G3283" s="126" t="s">
        <v>10304</v>
      </c>
      <c r="H3283" s="255">
        <v>5</v>
      </c>
      <c r="I3283" s="361">
        <v>1</v>
      </c>
      <c r="J3283" s="362" t="s">
        <v>286</v>
      </c>
      <c r="K3283" s="363"/>
      <c r="L3283" s="129"/>
      <c r="M3283" s="129"/>
      <c r="N3283" s="129"/>
      <c r="O3283" s="129"/>
      <c r="P3283" s="364"/>
      <c r="Q3283" s="364"/>
      <c r="R3283" s="129"/>
      <c r="S3283" s="129"/>
      <c r="T3283" s="129"/>
      <c r="W3283" s="129" t="s">
        <v>286</v>
      </c>
      <c r="X3283" s="337" t="b">
        <f t="shared" ref="X3283:X3346" si="86">W3283=J3283</f>
        <v>1</v>
      </c>
    </row>
    <row r="3284" spans="1:24" s="337" customFormat="1" ht="12" customHeight="1" outlineLevel="1">
      <c r="A3284" s="335"/>
      <c r="B3284" s="118" t="s">
        <v>12</v>
      </c>
      <c r="C3284" s="334" t="s">
        <v>10970</v>
      </c>
      <c r="D3284" s="124" t="s">
        <v>10677</v>
      </c>
      <c r="E3284" s="125"/>
      <c r="F3284" s="118" t="s">
        <v>828</v>
      </c>
      <c r="G3284" s="126" t="s">
        <v>10304</v>
      </c>
      <c r="H3284" s="255">
        <v>5</v>
      </c>
      <c r="I3284" s="361">
        <v>1</v>
      </c>
      <c r="J3284" s="362" t="s">
        <v>286</v>
      </c>
      <c r="K3284" s="363"/>
      <c r="L3284" s="129"/>
      <c r="M3284" s="129"/>
      <c r="N3284" s="129"/>
      <c r="O3284" s="129"/>
      <c r="P3284" s="364"/>
      <c r="Q3284" s="364"/>
      <c r="R3284" s="129"/>
      <c r="S3284" s="129"/>
      <c r="T3284" s="129"/>
      <c r="W3284" s="129" t="s">
        <v>286</v>
      </c>
      <c r="X3284" s="337" t="b">
        <f t="shared" si="86"/>
        <v>1</v>
      </c>
    </row>
    <row r="3285" spans="1:24" s="337" customFormat="1" ht="12" customHeight="1" outlineLevel="1">
      <c r="A3285" s="335"/>
      <c r="B3285" s="118" t="s">
        <v>12</v>
      </c>
      <c r="C3285" s="334" t="s">
        <v>10971</v>
      </c>
      <c r="D3285" s="124" t="s">
        <v>10679</v>
      </c>
      <c r="E3285" s="125"/>
      <c r="F3285" s="118" t="s">
        <v>828</v>
      </c>
      <c r="G3285" s="126" t="s">
        <v>10304</v>
      </c>
      <c r="H3285" s="255">
        <v>5</v>
      </c>
      <c r="I3285" s="361">
        <v>1</v>
      </c>
      <c r="J3285" s="362" t="s">
        <v>286</v>
      </c>
      <c r="K3285" s="363"/>
      <c r="L3285" s="129"/>
      <c r="M3285" s="129"/>
      <c r="N3285" s="129"/>
      <c r="O3285" s="129"/>
      <c r="P3285" s="364"/>
      <c r="Q3285" s="364"/>
      <c r="R3285" s="129"/>
      <c r="S3285" s="129"/>
      <c r="T3285" s="129"/>
      <c r="W3285" s="129" t="s">
        <v>286</v>
      </c>
      <c r="X3285" s="337" t="b">
        <f t="shared" si="86"/>
        <v>1</v>
      </c>
    </row>
    <row r="3286" spans="1:24" s="337" customFormat="1" ht="12" customHeight="1" outlineLevel="1">
      <c r="A3286" s="335"/>
      <c r="B3286" s="118" t="s">
        <v>12</v>
      </c>
      <c r="C3286" s="334" t="s">
        <v>10972</v>
      </c>
      <c r="D3286" s="124" t="s">
        <v>10681</v>
      </c>
      <c r="E3286" s="125"/>
      <c r="F3286" s="118" t="s">
        <v>828</v>
      </c>
      <c r="G3286" s="126" t="s">
        <v>10304</v>
      </c>
      <c r="H3286" s="255">
        <v>5</v>
      </c>
      <c r="I3286" s="361">
        <v>1</v>
      </c>
      <c r="J3286" s="362" t="s">
        <v>286</v>
      </c>
      <c r="K3286" s="363"/>
      <c r="L3286" s="129"/>
      <c r="M3286" s="129"/>
      <c r="N3286" s="129"/>
      <c r="O3286" s="129"/>
      <c r="P3286" s="364"/>
      <c r="Q3286" s="364"/>
      <c r="R3286" s="129"/>
      <c r="S3286" s="129"/>
      <c r="T3286" s="129"/>
      <c r="W3286" s="129" t="s">
        <v>286</v>
      </c>
      <c r="X3286" s="337" t="b">
        <f t="shared" si="86"/>
        <v>1</v>
      </c>
    </row>
    <row r="3287" spans="1:24" s="337" customFormat="1" ht="12" customHeight="1" outlineLevel="1">
      <c r="A3287" s="335"/>
      <c r="B3287" s="118" t="s">
        <v>12</v>
      </c>
      <c r="C3287" s="334" t="s">
        <v>10973</v>
      </c>
      <c r="D3287" s="124" t="s">
        <v>10683</v>
      </c>
      <c r="E3287" s="125"/>
      <c r="F3287" s="118" t="s">
        <v>828</v>
      </c>
      <c r="G3287" s="126" t="s">
        <v>10304</v>
      </c>
      <c r="H3287" s="255">
        <v>5</v>
      </c>
      <c r="I3287" s="361">
        <v>1</v>
      </c>
      <c r="J3287" s="362" t="s">
        <v>286</v>
      </c>
      <c r="K3287" s="363"/>
      <c r="L3287" s="129"/>
      <c r="M3287" s="129"/>
      <c r="N3287" s="129"/>
      <c r="O3287" s="129"/>
      <c r="P3287" s="364"/>
      <c r="Q3287" s="364"/>
      <c r="R3287" s="129"/>
      <c r="S3287" s="129"/>
      <c r="T3287" s="129"/>
      <c r="W3287" s="129" t="s">
        <v>286</v>
      </c>
      <c r="X3287" s="337" t="b">
        <f t="shared" si="86"/>
        <v>1</v>
      </c>
    </row>
    <row r="3288" spans="1:24" s="337" customFormat="1" ht="12" customHeight="1" outlineLevel="1">
      <c r="A3288" s="335"/>
      <c r="B3288" s="118" t="s">
        <v>12</v>
      </c>
      <c r="C3288" s="334" t="s">
        <v>10974</v>
      </c>
      <c r="D3288" s="124" t="s">
        <v>10685</v>
      </c>
      <c r="E3288" s="125"/>
      <c r="F3288" s="118" t="s">
        <v>828</v>
      </c>
      <c r="G3288" s="126" t="s">
        <v>10304</v>
      </c>
      <c r="H3288" s="255">
        <v>5</v>
      </c>
      <c r="I3288" s="361">
        <v>1</v>
      </c>
      <c r="J3288" s="362" t="s">
        <v>286</v>
      </c>
      <c r="K3288" s="363"/>
      <c r="L3288" s="129"/>
      <c r="M3288" s="129"/>
      <c r="N3288" s="129"/>
      <c r="O3288" s="129"/>
      <c r="P3288" s="364"/>
      <c r="Q3288" s="364"/>
      <c r="R3288" s="129"/>
      <c r="S3288" s="129"/>
      <c r="T3288" s="129"/>
      <c r="W3288" s="129" t="s">
        <v>286</v>
      </c>
      <c r="X3288" s="337" t="b">
        <f t="shared" si="86"/>
        <v>1</v>
      </c>
    </row>
    <row r="3289" spans="1:24" s="337" customFormat="1" ht="12" customHeight="1" outlineLevel="1">
      <c r="A3289" s="335"/>
      <c r="B3289" s="118" t="s">
        <v>12</v>
      </c>
      <c r="C3289" s="334" t="s">
        <v>10975</v>
      </c>
      <c r="D3289" s="124" t="s">
        <v>10687</v>
      </c>
      <c r="E3289" s="125"/>
      <c r="F3289" s="118" t="s">
        <v>828</v>
      </c>
      <c r="G3289" s="126" t="s">
        <v>10304</v>
      </c>
      <c r="H3289" s="255">
        <v>5</v>
      </c>
      <c r="I3289" s="361">
        <v>1</v>
      </c>
      <c r="J3289" s="362" t="s">
        <v>286</v>
      </c>
      <c r="K3289" s="363"/>
      <c r="L3289" s="129"/>
      <c r="M3289" s="129"/>
      <c r="N3289" s="129"/>
      <c r="O3289" s="129"/>
      <c r="P3289" s="364"/>
      <c r="Q3289" s="364"/>
      <c r="R3289" s="129"/>
      <c r="S3289" s="129"/>
      <c r="T3289" s="129"/>
      <c r="W3289" s="129" t="s">
        <v>286</v>
      </c>
      <c r="X3289" s="337" t="b">
        <f t="shared" si="86"/>
        <v>1</v>
      </c>
    </row>
    <row r="3290" spans="1:24" s="337" customFormat="1" ht="12" customHeight="1" outlineLevel="1">
      <c r="A3290" s="335"/>
      <c r="B3290" s="118" t="s">
        <v>12</v>
      </c>
      <c r="C3290" s="334" t="s">
        <v>10976</v>
      </c>
      <c r="D3290" s="124" t="s">
        <v>10689</v>
      </c>
      <c r="E3290" s="125"/>
      <c r="F3290" s="118" t="s">
        <v>828</v>
      </c>
      <c r="G3290" s="126" t="s">
        <v>10304</v>
      </c>
      <c r="H3290" s="255">
        <v>5</v>
      </c>
      <c r="I3290" s="361">
        <v>1</v>
      </c>
      <c r="J3290" s="362" t="s">
        <v>286</v>
      </c>
      <c r="K3290" s="363"/>
      <c r="L3290" s="129"/>
      <c r="M3290" s="129"/>
      <c r="N3290" s="129"/>
      <c r="O3290" s="129"/>
      <c r="P3290" s="364"/>
      <c r="Q3290" s="364"/>
      <c r="R3290" s="129"/>
      <c r="S3290" s="129"/>
      <c r="T3290" s="129"/>
      <c r="W3290" s="129" t="s">
        <v>286</v>
      </c>
      <c r="X3290" s="337" t="b">
        <f t="shared" si="86"/>
        <v>1</v>
      </c>
    </row>
    <row r="3291" spans="1:24" s="337" customFormat="1" ht="12" customHeight="1" outlineLevel="1">
      <c r="A3291" s="335"/>
      <c r="B3291" s="118" t="s">
        <v>12</v>
      </c>
      <c r="C3291" s="334" t="s">
        <v>10977</v>
      </c>
      <c r="D3291" s="124" t="s">
        <v>10691</v>
      </c>
      <c r="E3291" s="125"/>
      <c r="F3291" s="118" t="s">
        <v>828</v>
      </c>
      <c r="G3291" s="126" t="s">
        <v>10304</v>
      </c>
      <c r="H3291" s="255">
        <v>5</v>
      </c>
      <c r="I3291" s="361">
        <v>1</v>
      </c>
      <c r="J3291" s="362" t="s">
        <v>286</v>
      </c>
      <c r="K3291" s="363"/>
      <c r="L3291" s="129"/>
      <c r="M3291" s="129"/>
      <c r="N3291" s="129"/>
      <c r="O3291" s="129"/>
      <c r="P3291" s="364"/>
      <c r="Q3291" s="364"/>
      <c r="R3291" s="129"/>
      <c r="S3291" s="129"/>
      <c r="T3291" s="129"/>
      <c r="W3291" s="129" t="s">
        <v>286</v>
      </c>
      <c r="X3291" s="337" t="b">
        <f t="shared" si="86"/>
        <v>1</v>
      </c>
    </row>
    <row r="3292" spans="1:24" s="337" customFormat="1" ht="12" customHeight="1" outlineLevel="1">
      <c r="A3292" s="335"/>
      <c r="B3292" s="118" t="s">
        <v>12</v>
      </c>
      <c r="C3292" s="334" t="s">
        <v>10978</v>
      </c>
      <c r="D3292" s="124" t="s">
        <v>10693</v>
      </c>
      <c r="E3292" s="125"/>
      <c r="F3292" s="118" t="s">
        <v>828</v>
      </c>
      <c r="G3292" s="126" t="s">
        <v>10304</v>
      </c>
      <c r="H3292" s="255">
        <v>5</v>
      </c>
      <c r="I3292" s="361">
        <v>1</v>
      </c>
      <c r="J3292" s="362" t="s">
        <v>286</v>
      </c>
      <c r="K3292" s="363"/>
      <c r="L3292" s="129"/>
      <c r="M3292" s="129"/>
      <c r="N3292" s="129"/>
      <c r="O3292" s="129"/>
      <c r="P3292" s="364"/>
      <c r="Q3292" s="364"/>
      <c r="R3292" s="129"/>
      <c r="S3292" s="129"/>
      <c r="T3292" s="129"/>
      <c r="W3292" s="129" t="s">
        <v>286</v>
      </c>
      <c r="X3292" s="337" t="b">
        <f t="shared" si="86"/>
        <v>1</v>
      </c>
    </row>
    <row r="3293" spans="1:24" s="337" customFormat="1" ht="12" customHeight="1" outlineLevel="1">
      <c r="A3293" s="335"/>
      <c r="B3293" s="118" t="s">
        <v>12</v>
      </c>
      <c r="C3293" s="334" t="s">
        <v>10979</v>
      </c>
      <c r="D3293" s="124" t="s">
        <v>10695</v>
      </c>
      <c r="E3293" s="125"/>
      <c r="F3293" s="118" t="s">
        <v>828</v>
      </c>
      <c r="G3293" s="126" t="s">
        <v>10304</v>
      </c>
      <c r="H3293" s="255">
        <v>5</v>
      </c>
      <c r="I3293" s="361">
        <v>1</v>
      </c>
      <c r="J3293" s="362" t="s">
        <v>286</v>
      </c>
      <c r="K3293" s="363"/>
      <c r="L3293" s="129"/>
      <c r="M3293" s="129"/>
      <c r="N3293" s="129"/>
      <c r="O3293" s="129"/>
      <c r="P3293" s="364"/>
      <c r="Q3293" s="364"/>
      <c r="R3293" s="129"/>
      <c r="S3293" s="129"/>
      <c r="T3293" s="129"/>
      <c r="W3293" s="129" t="s">
        <v>286</v>
      </c>
      <c r="X3293" s="337" t="b">
        <f t="shared" si="86"/>
        <v>1</v>
      </c>
    </row>
    <row r="3294" spans="1:24" s="337" customFormat="1" ht="12" customHeight="1" outlineLevel="1">
      <c r="A3294" s="335"/>
      <c r="B3294" s="118" t="s">
        <v>12</v>
      </c>
      <c r="C3294" s="334" t="s">
        <v>10980</v>
      </c>
      <c r="D3294" s="124" t="s">
        <v>10697</v>
      </c>
      <c r="E3294" s="125"/>
      <c r="F3294" s="118" t="s">
        <v>828</v>
      </c>
      <c r="G3294" s="126" t="s">
        <v>10304</v>
      </c>
      <c r="H3294" s="255">
        <v>5</v>
      </c>
      <c r="I3294" s="361">
        <v>1</v>
      </c>
      <c r="J3294" s="362" t="s">
        <v>286</v>
      </c>
      <c r="K3294" s="363"/>
      <c r="L3294" s="129"/>
      <c r="M3294" s="129"/>
      <c r="N3294" s="129"/>
      <c r="O3294" s="129"/>
      <c r="P3294" s="364"/>
      <c r="Q3294" s="364"/>
      <c r="R3294" s="129"/>
      <c r="S3294" s="129"/>
      <c r="T3294" s="129"/>
      <c r="W3294" s="129" t="s">
        <v>286</v>
      </c>
      <c r="X3294" s="337" t="b">
        <f t="shared" si="86"/>
        <v>1</v>
      </c>
    </row>
    <row r="3295" spans="1:24" s="337" customFormat="1" ht="12" customHeight="1" outlineLevel="1">
      <c r="A3295" s="335"/>
      <c r="B3295" s="118" t="s">
        <v>12</v>
      </c>
      <c r="C3295" s="334" t="s">
        <v>10981</v>
      </c>
      <c r="D3295" s="124" t="s">
        <v>10699</v>
      </c>
      <c r="E3295" s="125"/>
      <c r="F3295" s="118" t="s">
        <v>828</v>
      </c>
      <c r="G3295" s="126" t="s">
        <v>10304</v>
      </c>
      <c r="H3295" s="255">
        <v>5</v>
      </c>
      <c r="I3295" s="361">
        <v>1</v>
      </c>
      <c r="J3295" s="362" t="s">
        <v>286</v>
      </c>
      <c r="K3295" s="363"/>
      <c r="L3295" s="129"/>
      <c r="M3295" s="129"/>
      <c r="N3295" s="129"/>
      <c r="O3295" s="129"/>
      <c r="P3295" s="364"/>
      <c r="Q3295" s="364"/>
      <c r="R3295" s="129"/>
      <c r="S3295" s="129"/>
      <c r="T3295" s="129"/>
      <c r="W3295" s="129" t="s">
        <v>286</v>
      </c>
      <c r="X3295" s="337" t="b">
        <f t="shared" si="86"/>
        <v>1</v>
      </c>
    </row>
    <row r="3296" spans="1:24" s="337" customFormat="1" ht="12" customHeight="1" outlineLevel="1">
      <c r="A3296" s="335"/>
      <c r="B3296" s="118" t="s">
        <v>12</v>
      </c>
      <c r="C3296" s="334" t="s">
        <v>10982</v>
      </c>
      <c r="D3296" s="124" t="s">
        <v>10701</v>
      </c>
      <c r="E3296" s="125"/>
      <c r="F3296" s="118" t="s">
        <v>828</v>
      </c>
      <c r="G3296" s="126" t="s">
        <v>10304</v>
      </c>
      <c r="H3296" s="255">
        <v>5</v>
      </c>
      <c r="I3296" s="361">
        <v>1</v>
      </c>
      <c r="J3296" s="362" t="s">
        <v>286</v>
      </c>
      <c r="K3296" s="363"/>
      <c r="L3296" s="129"/>
      <c r="M3296" s="129"/>
      <c r="N3296" s="129"/>
      <c r="O3296" s="129"/>
      <c r="P3296" s="364"/>
      <c r="Q3296" s="364"/>
      <c r="R3296" s="129"/>
      <c r="S3296" s="129"/>
      <c r="T3296" s="129"/>
      <c r="W3296" s="129" t="s">
        <v>286</v>
      </c>
      <c r="X3296" s="337" t="b">
        <f t="shared" si="86"/>
        <v>1</v>
      </c>
    </row>
    <row r="3297" spans="1:24" s="337" customFormat="1" ht="12" customHeight="1" outlineLevel="1">
      <c r="A3297" s="335"/>
      <c r="B3297" s="118" t="s">
        <v>12</v>
      </c>
      <c r="C3297" s="334" t="s">
        <v>10983</v>
      </c>
      <c r="D3297" s="124" t="s">
        <v>10703</v>
      </c>
      <c r="E3297" s="125"/>
      <c r="F3297" s="118" t="s">
        <v>828</v>
      </c>
      <c r="G3297" s="126" t="s">
        <v>10304</v>
      </c>
      <c r="H3297" s="255">
        <v>5</v>
      </c>
      <c r="I3297" s="361">
        <v>1</v>
      </c>
      <c r="J3297" s="362" t="s">
        <v>286</v>
      </c>
      <c r="K3297" s="363"/>
      <c r="L3297" s="129"/>
      <c r="M3297" s="129"/>
      <c r="N3297" s="129"/>
      <c r="O3297" s="129"/>
      <c r="P3297" s="364"/>
      <c r="Q3297" s="364"/>
      <c r="R3297" s="129"/>
      <c r="S3297" s="129"/>
      <c r="T3297" s="129"/>
      <c r="W3297" s="129" t="s">
        <v>286</v>
      </c>
      <c r="X3297" s="337" t="b">
        <f t="shared" si="86"/>
        <v>1</v>
      </c>
    </row>
    <row r="3298" spans="1:24" s="337" customFormat="1" ht="12" customHeight="1" outlineLevel="1">
      <c r="A3298" s="335"/>
      <c r="B3298" s="118" t="s">
        <v>12</v>
      </c>
      <c r="C3298" s="334" t="s">
        <v>10984</v>
      </c>
      <c r="D3298" s="124" t="s">
        <v>10705</v>
      </c>
      <c r="E3298" s="125"/>
      <c r="F3298" s="118" t="s">
        <v>828</v>
      </c>
      <c r="G3298" s="126" t="s">
        <v>10304</v>
      </c>
      <c r="H3298" s="255">
        <v>5</v>
      </c>
      <c r="I3298" s="361">
        <v>1</v>
      </c>
      <c r="J3298" s="362" t="s">
        <v>286</v>
      </c>
      <c r="K3298" s="363"/>
      <c r="L3298" s="129"/>
      <c r="M3298" s="129"/>
      <c r="N3298" s="129"/>
      <c r="O3298" s="129"/>
      <c r="P3298" s="364"/>
      <c r="Q3298" s="364"/>
      <c r="R3298" s="129"/>
      <c r="S3298" s="129"/>
      <c r="T3298" s="129"/>
      <c r="W3298" s="129" t="s">
        <v>286</v>
      </c>
      <c r="X3298" s="337" t="b">
        <f t="shared" si="86"/>
        <v>1</v>
      </c>
    </row>
    <row r="3299" spans="1:24" s="337" customFormat="1" ht="12" customHeight="1" outlineLevel="1">
      <c r="A3299" s="335"/>
      <c r="B3299" s="118" t="s">
        <v>12</v>
      </c>
      <c r="C3299" s="334" t="s">
        <v>10985</v>
      </c>
      <c r="D3299" s="124" t="s">
        <v>10707</v>
      </c>
      <c r="E3299" s="125"/>
      <c r="F3299" s="118" t="s">
        <v>828</v>
      </c>
      <c r="G3299" s="126" t="s">
        <v>10304</v>
      </c>
      <c r="H3299" s="255">
        <v>5</v>
      </c>
      <c r="I3299" s="361">
        <v>1</v>
      </c>
      <c r="J3299" s="362" t="s">
        <v>286</v>
      </c>
      <c r="K3299" s="363"/>
      <c r="L3299" s="129"/>
      <c r="M3299" s="129"/>
      <c r="N3299" s="129"/>
      <c r="O3299" s="129"/>
      <c r="P3299" s="364"/>
      <c r="Q3299" s="364"/>
      <c r="R3299" s="129"/>
      <c r="S3299" s="129"/>
      <c r="T3299" s="129"/>
      <c r="W3299" s="129" t="s">
        <v>286</v>
      </c>
      <c r="X3299" s="337" t="b">
        <f t="shared" si="86"/>
        <v>1</v>
      </c>
    </row>
    <row r="3300" spans="1:24" s="337" customFormat="1" ht="12" customHeight="1" outlineLevel="1">
      <c r="A3300" s="335"/>
      <c r="B3300" s="118" t="s">
        <v>12</v>
      </c>
      <c r="C3300" s="334" t="s">
        <v>10986</v>
      </c>
      <c r="D3300" s="124" t="s">
        <v>10709</v>
      </c>
      <c r="E3300" s="125"/>
      <c r="F3300" s="118" t="s">
        <v>828</v>
      </c>
      <c r="G3300" s="126" t="s">
        <v>10304</v>
      </c>
      <c r="H3300" s="255">
        <v>5</v>
      </c>
      <c r="I3300" s="361">
        <v>1</v>
      </c>
      <c r="J3300" s="362" t="s">
        <v>286</v>
      </c>
      <c r="K3300" s="363"/>
      <c r="L3300" s="129"/>
      <c r="M3300" s="129"/>
      <c r="N3300" s="129"/>
      <c r="O3300" s="129"/>
      <c r="P3300" s="364"/>
      <c r="Q3300" s="364"/>
      <c r="R3300" s="129"/>
      <c r="S3300" s="129"/>
      <c r="T3300" s="129"/>
      <c r="W3300" s="129" t="s">
        <v>286</v>
      </c>
      <c r="X3300" s="337" t="b">
        <f t="shared" si="86"/>
        <v>1</v>
      </c>
    </row>
    <row r="3301" spans="1:24" s="337" customFormat="1" ht="12" customHeight="1" outlineLevel="1">
      <c r="A3301" s="335"/>
      <c r="B3301" s="118" t="s">
        <v>12</v>
      </c>
      <c r="C3301" s="334" t="s">
        <v>10987</v>
      </c>
      <c r="D3301" s="124" t="s">
        <v>10711</v>
      </c>
      <c r="E3301" s="125"/>
      <c r="F3301" s="118" t="s">
        <v>828</v>
      </c>
      <c r="G3301" s="126" t="s">
        <v>10304</v>
      </c>
      <c r="H3301" s="255">
        <v>5</v>
      </c>
      <c r="I3301" s="361">
        <v>1</v>
      </c>
      <c r="J3301" s="362" t="s">
        <v>286</v>
      </c>
      <c r="K3301" s="363"/>
      <c r="L3301" s="129"/>
      <c r="M3301" s="129"/>
      <c r="N3301" s="129"/>
      <c r="O3301" s="129"/>
      <c r="P3301" s="364"/>
      <c r="Q3301" s="364"/>
      <c r="R3301" s="129"/>
      <c r="S3301" s="129"/>
      <c r="T3301" s="129"/>
      <c r="W3301" s="129" t="s">
        <v>286</v>
      </c>
      <c r="X3301" s="337" t="b">
        <f t="shared" si="86"/>
        <v>1</v>
      </c>
    </row>
    <row r="3302" spans="1:24" s="337" customFormat="1" ht="12" customHeight="1" outlineLevel="1">
      <c r="A3302" s="335"/>
      <c r="B3302" s="118" t="s">
        <v>12</v>
      </c>
      <c r="C3302" s="334" t="s">
        <v>10988</v>
      </c>
      <c r="D3302" s="124" t="s">
        <v>10713</v>
      </c>
      <c r="E3302" s="125"/>
      <c r="F3302" s="118" t="s">
        <v>828</v>
      </c>
      <c r="G3302" s="126" t="s">
        <v>10304</v>
      </c>
      <c r="H3302" s="255">
        <v>5</v>
      </c>
      <c r="I3302" s="361">
        <v>1</v>
      </c>
      <c r="J3302" s="362" t="s">
        <v>286</v>
      </c>
      <c r="K3302" s="363"/>
      <c r="L3302" s="129"/>
      <c r="M3302" s="129"/>
      <c r="N3302" s="129"/>
      <c r="O3302" s="129"/>
      <c r="P3302" s="364"/>
      <c r="Q3302" s="364"/>
      <c r="R3302" s="129"/>
      <c r="S3302" s="129"/>
      <c r="T3302" s="129"/>
      <c r="W3302" s="129" t="s">
        <v>286</v>
      </c>
      <c r="X3302" s="337" t="b">
        <f t="shared" si="86"/>
        <v>1</v>
      </c>
    </row>
    <row r="3303" spans="1:24" s="337" customFormat="1" ht="12" customHeight="1" outlineLevel="1">
      <c r="A3303" s="335"/>
      <c r="B3303" s="118" t="s">
        <v>12</v>
      </c>
      <c r="C3303" s="334" t="s">
        <v>10989</v>
      </c>
      <c r="D3303" s="124" t="s">
        <v>10715</v>
      </c>
      <c r="E3303" s="125"/>
      <c r="F3303" s="118" t="s">
        <v>828</v>
      </c>
      <c r="G3303" s="126" t="s">
        <v>10304</v>
      </c>
      <c r="H3303" s="255">
        <v>5</v>
      </c>
      <c r="I3303" s="361">
        <v>1</v>
      </c>
      <c r="J3303" s="362" t="s">
        <v>286</v>
      </c>
      <c r="K3303" s="363"/>
      <c r="L3303" s="129"/>
      <c r="M3303" s="129"/>
      <c r="N3303" s="129"/>
      <c r="O3303" s="129"/>
      <c r="P3303" s="364"/>
      <c r="Q3303" s="364"/>
      <c r="R3303" s="129"/>
      <c r="S3303" s="129"/>
      <c r="T3303" s="129"/>
      <c r="W3303" s="129" t="s">
        <v>286</v>
      </c>
      <c r="X3303" s="337" t="b">
        <f t="shared" si="86"/>
        <v>1</v>
      </c>
    </row>
    <row r="3304" spans="1:24" s="337" customFormat="1" ht="12" customHeight="1" outlineLevel="1">
      <c r="A3304" s="335"/>
      <c r="B3304" s="118" t="s">
        <v>12</v>
      </c>
      <c r="C3304" s="334" t="s">
        <v>10990</v>
      </c>
      <c r="D3304" s="124" t="s">
        <v>10717</v>
      </c>
      <c r="E3304" s="125"/>
      <c r="F3304" s="118" t="s">
        <v>828</v>
      </c>
      <c r="G3304" s="126" t="s">
        <v>10304</v>
      </c>
      <c r="H3304" s="255">
        <v>5</v>
      </c>
      <c r="I3304" s="361">
        <v>1</v>
      </c>
      <c r="J3304" s="362" t="s">
        <v>286</v>
      </c>
      <c r="K3304" s="363"/>
      <c r="L3304" s="129"/>
      <c r="M3304" s="129"/>
      <c r="N3304" s="129"/>
      <c r="O3304" s="129"/>
      <c r="P3304" s="364"/>
      <c r="Q3304" s="364"/>
      <c r="R3304" s="129"/>
      <c r="S3304" s="129"/>
      <c r="T3304" s="129"/>
      <c r="W3304" s="129" t="s">
        <v>286</v>
      </c>
      <c r="X3304" s="337" t="b">
        <f t="shared" si="86"/>
        <v>1</v>
      </c>
    </row>
    <row r="3305" spans="1:24" s="337" customFormat="1" ht="12" customHeight="1" outlineLevel="1">
      <c r="A3305" s="335"/>
      <c r="B3305" s="118" t="s">
        <v>12</v>
      </c>
      <c r="C3305" s="334" t="s">
        <v>10991</v>
      </c>
      <c r="D3305" s="124" t="s">
        <v>10719</v>
      </c>
      <c r="E3305" s="125"/>
      <c r="F3305" s="118" t="s">
        <v>828</v>
      </c>
      <c r="G3305" s="126" t="s">
        <v>10304</v>
      </c>
      <c r="H3305" s="255">
        <v>5</v>
      </c>
      <c r="I3305" s="361">
        <v>1</v>
      </c>
      <c r="J3305" s="362" t="s">
        <v>286</v>
      </c>
      <c r="K3305" s="363"/>
      <c r="L3305" s="129"/>
      <c r="M3305" s="129"/>
      <c r="N3305" s="129"/>
      <c r="O3305" s="129"/>
      <c r="P3305" s="364"/>
      <c r="Q3305" s="364"/>
      <c r="R3305" s="129"/>
      <c r="S3305" s="129"/>
      <c r="T3305" s="129"/>
      <c r="W3305" s="129" t="s">
        <v>286</v>
      </c>
      <c r="X3305" s="337" t="b">
        <f t="shared" si="86"/>
        <v>1</v>
      </c>
    </row>
    <row r="3306" spans="1:24" s="337" customFormat="1" ht="12" customHeight="1" outlineLevel="1">
      <c r="A3306" s="335"/>
      <c r="B3306" s="118" t="s">
        <v>12</v>
      </c>
      <c r="C3306" s="334" t="s">
        <v>10992</v>
      </c>
      <c r="D3306" s="124" t="s">
        <v>10721</v>
      </c>
      <c r="E3306" s="125"/>
      <c r="F3306" s="118" t="s">
        <v>828</v>
      </c>
      <c r="G3306" s="126" t="s">
        <v>10304</v>
      </c>
      <c r="H3306" s="255">
        <v>5</v>
      </c>
      <c r="I3306" s="361">
        <v>1</v>
      </c>
      <c r="J3306" s="362" t="s">
        <v>286</v>
      </c>
      <c r="K3306" s="363"/>
      <c r="L3306" s="129"/>
      <c r="M3306" s="129"/>
      <c r="N3306" s="129"/>
      <c r="O3306" s="129"/>
      <c r="P3306" s="364"/>
      <c r="Q3306" s="364"/>
      <c r="R3306" s="129"/>
      <c r="S3306" s="129"/>
      <c r="T3306" s="129"/>
      <c r="W3306" s="129" t="s">
        <v>286</v>
      </c>
      <c r="X3306" s="337" t="b">
        <f t="shared" si="86"/>
        <v>1</v>
      </c>
    </row>
    <row r="3307" spans="1:24" s="337" customFormat="1" ht="12" customHeight="1" outlineLevel="1">
      <c r="A3307" s="335"/>
      <c r="B3307" s="118" t="s">
        <v>12</v>
      </c>
      <c r="C3307" s="334" t="s">
        <v>10993</v>
      </c>
      <c r="D3307" s="124" t="s">
        <v>10723</v>
      </c>
      <c r="E3307" s="125"/>
      <c r="F3307" s="118" t="s">
        <v>828</v>
      </c>
      <c r="G3307" s="126" t="s">
        <v>10304</v>
      </c>
      <c r="H3307" s="255">
        <v>5</v>
      </c>
      <c r="I3307" s="361">
        <v>1</v>
      </c>
      <c r="J3307" s="362" t="s">
        <v>286</v>
      </c>
      <c r="K3307" s="363"/>
      <c r="L3307" s="129"/>
      <c r="M3307" s="129"/>
      <c r="N3307" s="129"/>
      <c r="O3307" s="129"/>
      <c r="P3307" s="364"/>
      <c r="Q3307" s="364"/>
      <c r="R3307" s="129"/>
      <c r="S3307" s="129"/>
      <c r="T3307" s="129"/>
      <c r="W3307" s="129" t="s">
        <v>286</v>
      </c>
      <c r="X3307" s="337" t="b">
        <f t="shared" si="86"/>
        <v>1</v>
      </c>
    </row>
    <row r="3308" spans="1:24" s="337" customFormat="1" ht="12" customHeight="1" outlineLevel="1">
      <c r="A3308" s="335"/>
      <c r="B3308" s="118" t="s">
        <v>12</v>
      </c>
      <c r="C3308" s="334" t="s">
        <v>10994</v>
      </c>
      <c r="D3308" s="124" t="s">
        <v>7724</v>
      </c>
      <c r="E3308" s="125"/>
      <c r="F3308" s="118" t="s">
        <v>828</v>
      </c>
      <c r="G3308" s="126" t="s">
        <v>10304</v>
      </c>
      <c r="H3308" s="255">
        <v>5</v>
      </c>
      <c r="I3308" s="361">
        <v>1</v>
      </c>
      <c r="J3308" s="362" t="s">
        <v>286</v>
      </c>
      <c r="K3308" s="363"/>
      <c r="L3308" s="129"/>
      <c r="M3308" s="129"/>
      <c r="N3308" s="129"/>
      <c r="O3308" s="129"/>
      <c r="P3308" s="364"/>
      <c r="Q3308" s="364"/>
      <c r="R3308" s="129"/>
      <c r="S3308" s="129"/>
      <c r="T3308" s="129"/>
      <c r="W3308" s="129" t="s">
        <v>286</v>
      </c>
      <c r="X3308" s="337" t="b">
        <f t="shared" si="86"/>
        <v>1</v>
      </c>
    </row>
    <row r="3309" spans="1:24" s="337" customFormat="1" ht="12" customHeight="1" outlineLevel="1">
      <c r="A3309" s="335"/>
      <c r="B3309" s="118" t="s">
        <v>12</v>
      </c>
      <c r="C3309" s="334" t="s">
        <v>10995</v>
      </c>
      <c r="D3309" s="124" t="s">
        <v>7726</v>
      </c>
      <c r="E3309" s="125"/>
      <c r="F3309" s="118" t="s">
        <v>828</v>
      </c>
      <c r="G3309" s="126" t="s">
        <v>10304</v>
      </c>
      <c r="H3309" s="255">
        <v>5</v>
      </c>
      <c r="I3309" s="361">
        <v>1</v>
      </c>
      <c r="J3309" s="362" t="s">
        <v>286</v>
      </c>
      <c r="K3309" s="363"/>
      <c r="L3309" s="129"/>
      <c r="M3309" s="129"/>
      <c r="N3309" s="129"/>
      <c r="O3309" s="129"/>
      <c r="P3309" s="364"/>
      <c r="Q3309" s="364"/>
      <c r="R3309" s="129"/>
      <c r="S3309" s="129"/>
      <c r="T3309" s="129"/>
      <c r="W3309" s="129" t="s">
        <v>286</v>
      </c>
      <c r="X3309" s="337" t="b">
        <f t="shared" si="86"/>
        <v>1</v>
      </c>
    </row>
    <row r="3310" spans="1:24" s="337" customFormat="1" ht="12" customHeight="1" outlineLevel="1">
      <c r="A3310" s="335"/>
      <c r="B3310" s="118" t="s">
        <v>12</v>
      </c>
      <c r="C3310" s="334" t="s">
        <v>10996</v>
      </c>
      <c r="D3310" s="124" t="s">
        <v>10727</v>
      </c>
      <c r="E3310" s="125"/>
      <c r="F3310" s="118" t="s">
        <v>828</v>
      </c>
      <c r="G3310" s="126" t="s">
        <v>10304</v>
      </c>
      <c r="H3310" s="255">
        <v>5</v>
      </c>
      <c r="I3310" s="361">
        <v>1</v>
      </c>
      <c r="J3310" s="362" t="s">
        <v>286</v>
      </c>
      <c r="K3310" s="363"/>
      <c r="L3310" s="129"/>
      <c r="M3310" s="129"/>
      <c r="N3310" s="129"/>
      <c r="O3310" s="129"/>
      <c r="P3310" s="364"/>
      <c r="Q3310" s="364"/>
      <c r="R3310" s="129"/>
      <c r="S3310" s="129"/>
      <c r="T3310" s="129"/>
      <c r="W3310" s="129" t="s">
        <v>286</v>
      </c>
      <c r="X3310" s="337" t="b">
        <f t="shared" si="86"/>
        <v>1</v>
      </c>
    </row>
    <row r="3311" spans="1:24" s="337" customFormat="1" ht="12" customHeight="1" outlineLevel="1">
      <c r="A3311" s="335"/>
      <c r="B3311" s="118" t="s">
        <v>12</v>
      </c>
      <c r="C3311" s="334" t="s">
        <v>10997</v>
      </c>
      <c r="D3311" s="124" t="s">
        <v>10729</v>
      </c>
      <c r="E3311" s="125"/>
      <c r="F3311" s="118" t="s">
        <v>828</v>
      </c>
      <c r="G3311" s="126" t="s">
        <v>10304</v>
      </c>
      <c r="H3311" s="255">
        <v>5</v>
      </c>
      <c r="I3311" s="361">
        <v>1</v>
      </c>
      <c r="J3311" s="362" t="s">
        <v>286</v>
      </c>
      <c r="K3311" s="363"/>
      <c r="L3311" s="129"/>
      <c r="M3311" s="129"/>
      <c r="N3311" s="129"/>
      <c r="O3311" s="129"/>
      <c r="P3311" s="364"/>
      <c r="Q3311" s="364"/>
      <c r="R3311" s="129"/>
      <c r="S3311" s="129"/>
      <c r="T3311" s="129"/>
      <c r="W3311" s="129" t="s">
        <v>286</v>
      </c>
      <c r="X3311" s="337" t="b">
        <f t="shared" si="86"/>
        <v>1</v>
      </c>
    </row>
    <row r="3312" spans="1:24" s="337" customFormat="1" ht="12" customHeight="1" outlineLevel="1">
      <c r="A3312" s="335"/>
      <c r="B3312" s="118" t="s">
        <v>12</v>
      </c>
      <c r="C3312" s="334" t="s">
        <v>10998</v>
      </c>
      <c r="D3312" s="124" t="s">
        <v>10731</v>
      </c>
      <c r="E3312" s="125"/>
      <c r="F3312" s="118" t="s">
        <v>828</v>
      </c>
      <c r="G3312" s="126" t="s">
        <v>10304</v>
      </c>
      <c r="H3312" s="255">
        <v>5</v>
      </c>
      <c r="I3312" s="361">
        <v>1</v>
      </c>
      <c r="J3312" s="362" t="s">
        <v>286</v>
      </c>
      <c r="K3312" s="363"/>
      <c r="L3312" s="129"/>
      <c r="M3312" s="129"/>
      <c r="N3312" s="129"/>
      <c r="O3312" s="129"/>
      <c r="P3312" s="364"/>
      <c r="Q3312" s="364"/>
      <c r="R3312" s="129"/>
      <c r="S3312" s="129"/>
      <c r="T3312" s="129"/>
      <c r="W3312" s="129" t="s">
        <v>286</v>
      </c>
      <c r="X3312" s="337" t="b">
        <f t="shared" si="86"/>
        <v>1</v>
      </c>
    </row>
    <row r="3313" spans="1:24" s="337" customFormat="1" ht="12" customHeight="1" outlineLevel="1">
      <c r="A3313" s="335"/>
      <c r="B3313" s="118" t="s">
        <v>12</v>
      </c>
      <c r="C3313" s="334" t="s">
        <v>10999</v>
      </c>
      <c r="D3313" s="124" t="s">
        <v>7736</v>
      </c>
      <c r="E3313" s="125"/>
      <c r="F3313" s="118" t="s">
        <v>828</v>
      </c>
      <c r="G3313" s="126" t="s">
        <v>10304</v>
      </c>
      <c r="H3313" s="255">
        <v>5</v>
      </c>
      <c r="I3313" s="361">
        <v>1</v>
      </c>
      <c r="J3313" s="362" t="s">
        <v>286</v>
      </c>
      <c r="K3313" s="363"/>
      <c r="L3313" s="129"/>
      <c r="M3313" s="129"/>
      <c r="N3313" s="129"/>
      <c r="O3313" s="129"/>
      <c r="P3313" s="364"/>
      <c r="Q3313" s="364"/>
      <c r="R3313" s="129"/>
      <c r="S3313" s="129"/>
      <c r="T3313" s="129"/>
      <c r="W3313" s="129" t="s">
        <v>286</v>
      </c>
      <c r="X3313" s="337" t="b">
        <f t="shared" si="86"/>
        <v>1</v>
      </c>
    </row>
    <row r="3314" spans="1:24" s="337" customFormat="1" ht="12" customHeight="1" outlineLevel="1">
      <c r="A3314" s="335"/>
      <c r="B3314" s="118" t="s">
        <v>12</v>
      </c>
      <c r="C3314" s="334" t="s">
        <v>11000</v>
      </c>
      <c r="D3314" s="124" t="s">
        <v>7738</v>
      </c>
      <c r="E3314" s="125"/>
      <c r="F3314" s="118" t="s">
        <v>828</v>
      </c>
      <c r="G3314" s="126" t="s">
        <v>10304</v>
      </c>
      <c r="H3314" s="255">
        <v>5</v>
      </c>
      <c r="I3314" s="361">
        <v>1</v>
      </c>
      <c r="J3314" s="362" t="s">
        <v>286</v>
      </c>
      <c r="K3314" s="363"/>
      <c r="L3314" s="129"/>
      <c r="M3314" s="129"/>
      <c r="N3314" s="129"/>
      <c r="O3314" s="129"/>
      <c r="P3314" s="364"/>
      <c r="Q3314" s="364"/>
      <c r="R3314" s="129"/>
      <c r="S3314" s="129"/>
      <c r="T3314" s="129"/>
      <c r="W3314" s="129" t="s">
        <v>286</v>
      </c>
      <c r="X3314" s="337" t="b">
        <f t="shared" si="86"/>
        <v>1</v>
      </c>
    </row>
    <row r="3315" spans="1:24" s="337" customFormat="1" ht="12" customHeight="1" outlineLevel="1">
      <c r="A3315" s="335"/>
      <c r="B3315" s="118" t="s">
        <v>12</v>
      </c>
      <c r="C3315" s="334" t="s">
        <v>11001</v>
      </c>
      <c r="D3315" s="124" t="s">
        <v>10735</v>
      </c>
      <c r="E3315" s="125"/>
      <c r="F3315" s="118" t="s">
        <v>828</v>
      </c>
      <c r="G3315" s="126" t="s">
        <v>10304</v>
      </c>
      <c r="H3315" s="255">
        <v>5</v>
      </c>
      <c r="I3315" s="361">
        <v>1</v>
      </c>
      <c r="J3315" s="362" t="s">
        <v>286</v>
      </c>
      <c r="K3315" s="363"/>
      <c r="L3315" s="129"/>
      <c r="M3315" s="129"/>
      <c r="N3315" s="129"/>
      <c r="O3315" s="129"/>
      <c r="P3315" s="364"/>
      <c r="Q3315" s="364"/>
      <c r="R3315" s="129"/>
      <c r="S3315" s="129"/>
      <c r="T3315" s="129"/>
      <c r="W3315" s="129" t="s">
        <v>286</v>
      </c>
      <c r="X3315" s="337" t="b">
        <f t="shared" si="86"/>
        <v>1</v>
      </c>
    </row>
    <row r="3316" spans="1:24" s="337" customFormat="1" ht="12" customHeight="1" outlineLevel="1">
      <c r="A3316" s="335"/>
      <c r="B3316" s="118" t="s">
        <v>12</v>
      </c>
      <c r="C3316" s="334" t="s">
        <v>11002</v>
      </c>
      <c r="D3316" s="124" t="s">
        <v>10737</v>
      </c>
      <c r="E3316" s="125"/>
      <c r="F3316" s="118" t="s">
        <v>828</v>
      </c>
      <c r="G3316" s="126" t="s">
        <v>10304</v>
      </c>
      <c r="H3316" s="255">
        <v>5</v>
      </c>
      <c r="I3316" s="361">
        <v>1</v>
      </c>
      <c r="J3316" s="362" t="s">
        <v>286</v>
      </c>
      <c r="K3316" s="363"/>
      <c r="L3316" s="129"/>
      <c r="M3316" s="129"/>
      <c r="N3316" s="129"/>
      <c r="O3316" s="129"/>
      <c r="P3316" s="364"/>
      <c r="Q3316" s="364"/>
      <c r="R3316" s="129"/>
      <c r="S3316" s="129"/>
      <c r="T3316" s="129"/>
      <c r="W3316" s="129" t="s">
        <v>286</v>
      </c>
      <c r="X3316" s="337" t="b">
        <f t="shared" si="86"/>
        <v>1</v>
      </c>
    </row>
    <row r="3317" spans="1:24" s="337" customFormat="1" ht="12" customHeight="1" outlineLevel="1">
      <c r="A3317" s="335"/>
      <c r="B3317" s="118" t="s">
        <v>12</v>
      </c>
      <c r="C3317" s="334" t="s">
        <v>11003</v>
      </c>
      <c r="D3317" s="124" t="s">
        <v>10739</v>
      </c>
      <c r="E3317" s="125"/>
      <c r="F3317" s="118" t="s">
        <v>828</v>
      </c>
      <c r="G3317" s="126" t="s">
        <v>10304</v>
      </c>
      <c r="H3317" s="255">
        <v>5</v>
      </c>
      <c r="I3317" s="361">
        <v>1</v>
      </c>
      <c r="J3317" s="362" t="s">
        <v>286</v>
      </c>
      <c r="K3317" s="363"/>
      <c r="L3317" s="129"/>
      <c r="M3317" s="129"/>
      <c r="N3317" s="129"/>
      <c r="O3317" s="129"/>
      <c r="P3317" s="364"/>
      <c r="Q3317" s="364"/>
      <c r="R3317" s="129"/>
      <c r="S3317" s="129"/>
      <c r="T3317" s="129"/>
      <c r="W3317" s="129" t="s">
        <v>286</v>
      </c>
      <c r="X3317" s="337" t="b">
        <f t="shared" si="86"/>
        <v>1</v>
      </c>
    </row>
    <row r="3318" spans="1:24" s="337" customFormat="1" ht="12" customHeight="1" outlineLevel="1">
      <c r="A3318" s="335"/>
      <c r="B3318" s="118" t="s">
        <v>12</v>
      </c>
      <c r="C3318" s="334" t="s">
        <v>11004</v>
      </c>
      <c r="D3318" s="124" t="s">
        <v>10741</v>
      </c>
      <c r="E3318" s="125"/>
      <c r="F3318" s="118" t="s">
        <v>828</v>
      </c>
      <c r="G3318" s="126" t="s">
        <v>10304</v>
      </c>
      <c r="H3318" s="255">
        <v>5</v>
      </c>
      <c r="I3318" s="361">
        <v>1</v>
      </c>
      <c r="J3318" s="362" t="s">
        <v>286</v>
      </c>
      <c r="K3318" s="363"/>
      <c r="L3318" s="129"/>
      <c r="M3318" s="129"/>
      <c r="N3318" s="129"/>
      <c r="O3318" s="129"/>
      <c r="P3318" s="364"/>
      <c r="Q3318" s="364"/>
      <c r="R3318" s="129"/>
      <c r="S3318" s="129"/>
      <c r="T3318" s="129"/>
      <c r="W3318" s="129" t="s">
        <v>286</v>
      </c>
      <c r="X3318" s="337" t="b">
        <f t="shared" si="86"/>
        <v>1</v>
      </c>
    </row>
    <row r="3319" spans="1:24" s="337" customFormat="1" ht="12" customHeight="1" outlineLevel="1">
      <c r="A3319" s="335"/>
      <c r="B3319" s="118" t="s">
        <v>12</v>
      </c>
      <c r="C3319" s="334" t="s">
        <v>11005</v>
      </c>
      <c r="D3319" s="124" t="s">
        <v>10743</v>
      </c>
      <c r="E3319" s="125"/>
      <c r="F3319" s="118" t="s">
        <v>828</v>
      </c>
      <c r="G3319" s="126" t="s">
        <v>10304</v>
      </c>
      <c r="H3319" s="255">
        <v>5</v>
      </c>
      <c r="I3319" s="361">
        <v>1</v>
      </c>
      <c r="J3319" s="362" t="s">
        <v>286</v>
      </c>
      <c r="K3319" s="363"/>
      <c r="L3319" s="129"/>
      <c r="M3319" s="129"/>
      <c r="N3319" s="129"/>
      <c r="O3319" s="129"/>
      <c r="P3319" s="364"/>
      <c r="Q3319" s="364"/>
      <c r="R3319" s="129"/>
      <c r="S3319" s="129"/>
      <c r="T3319" s="129"/>
      <c r="W3319" s="129" t="s">
        <v>286</v>
      </c>
      <c r="X3319" s="337" t="b">
        <f t="shared" si="86"/>
        <v>1</v>
      </c>
    </row>
    <row r="3320" spans="1:24" s="337" customFormat="1" ht="12" customHeight="1" outlineLevel="1">
      <c r="A3320" s="335"/>
      <c r="B3320" s="118" t="s">
        <v>12</v>
      </c>
      <c r="C3320" s="334" t="s">
        <v>11006</v>
      </c>
      <c r="D3320" s="124" t="s">
        <v>10745</v>
      </c>
      <c r="E3320" s="125"/>
      <c r="F3320" s="118" t="s">
        <v>828</v>
      </c>
      <c r="G3320" s="126" t="s">
        <v>10304</v>
      </c>
      <c r="H3320" s="255">
        <v>5</v>
      </c>
      <c r="I3320" s="361">
        <v>1</v>
      </c>
      <c r="J3320" s="362" t="s">
        <v>286</v>
      </c>
      <c r="K3320" s="363"/>
      <c r="L3320" s="129"/>
      <c r="M3320" s="129"/>
      <c r="N3320" s="129"/>
      <c r="O3320" s="129"/>
      <c r="P3320" s="364"/>
      <c r="Q3320" s="364"/>
      <c r="R3320" s="129"/>
      <c r="S3320" s="129"/>
      <c r="T3320" s="129"/>
      <c r="W3320" s="129" t="s">
        <v>286</v>
      </c>
      <c r="X3320" s="337" t="b">
        <f t="shared" si="86"/>
        <v>1</v>
      </c>
    </row>
    <row r="3321" spans="1:24" s="337" customFormat="1" ht="12" customHeight="1" outlineLevel="1">
      <c r="A3321" s="335"/>
      <c r="B3321" s="118" t="s">
        <v>12</v>
      </c>
      <c r="C3321" s="334" t="s">
        <v>11007</v>
      </c>
      <c r="D3321" s="124" t="s">
        <v>7754</v>
      </c>
      <c r="E3321" s="125"/>
      <c r="F3321" s="118" t="s">
        <v>828</v>
      </c>
      <c r="G3321" s="126" t="s">
        <v>10304</v>
      </c>
      <c r="H3321" s="255">
        <v>5</v>
      </c>
      <c r="I3321" s="361">
        <v>1</v>
      </c>
      <c r="J3321" s="362" t="s">
        <v>286</v>
      </c>
      <c r="K3321" s="363"/>
      <c r="L3321" s="129"/>
      <c r="M3321" s="129"/>
      <c r="N3321" s="129"/>
      <c r="O3321" s="129"/>
      <c r="P3321" s="364"/>
      <c r="Q3321" s="364"/>
      <c r="R3321" s="129"/>
      <c r="S3321" s="129"/>
      <c r="T3321" s="129"/>
      <c r="W3321" s="129" t="s">
        <v>286</v>
      </c>
      <c r="X3321" s="337" t="b">
        <f t="shared" si="86"/>
        <v>1</v>
      </c>
    </row>
    <row r="3322" spans="1:24" s="337" customFormat="1" ht="12" customHeight="1" outlineLevel="1">
      <c r="A3322" s="335"/>
      <c r="B3322" s="118" t="s">
        <v>12</v>
      </c>
      <c r="C3322" s="334" t="s">
        <v>11008</v>
      </c>
      <c r="D3322" s="124" t="s">
        <v>10748</v>
      </c>
      <c r="E3322" s="125"/>
      <c r="F3322" s="118" t="s">
        <v>828</v>
      </c>
      <c r="G3322" s="126" t="s">
        <v>10304</v>
      </c>
      <c r="H3322" s="255">
        <v>5</v>
      </c>
      <c r="I3322" s="361">
        <v>1</v>
      </c>
      <c r="J3322" s="362" t="s">
        <v>286</v>
      </c>
      <c r="K3322" s="363"/>
      <c r="L3322" s="129"/>
      <c r="M3322" s="129"/>
      <c r="N3322" s="129"/>
      <c r="O3322" s="129"/>
      <c r="P3322" s="364"/>
      <c r="Q3322" s="364"/>
      <c r="R3322" s="129"/>
      <c r="S3322" s="129"/>
      <c r="T3322" s="129"/>
      <c r="W3322" s="129" t="s">
        <v>286</v>
      </c>
      <c r="X3322" s="337" t="b">
        <f t="shared" si="86"/>
        <v>1</v>
      </c>
    </row>
    <row r="3323" spans="1:24" s="337" customFormat="1" ht="12" customHeight="1" outlineLevel="1">
      <c r="A3323" s="335"/>
      <c r="B3323" s="118" t="s">
        <v>12</v>
      </c>
      <c r="C3323" s="334" t="s">
        <v>11009</v>
      </c>
      <c r="D3323" s="124" t="s">
        <v>7760</v>
      </c>
      <c r="E3323" s="125"/>
      <c r="F3323" s="118" t="s">
        <v>828</v>
      </c>
      <c r="G3323" s="126" t="s">
        <v>10304</v>
      </c>
      <c r="H3323" s="255">
        <v>5</v>
      </c>
      <c r="I3323" s="361">
        <v>1</v>
      </c>
      <c r="J3323" s="362" t="s">
        <v>286</v>
      </c>
      <c r="K3323" s="363"/>
      <c r="L3323" s="129"/>
      <c r="M3323" s="129"/>
      <c r="N3323" s="129"/>
      <c r="O3323" s="129"/>
      <c r="P3323" s="364"/>
      <c r="Q3323" s="364"/>
      <c r="R3323" s="129"/>
      <c r="S3323" s="129"/>
      <c r="T3323" s="129"/>
      <c r="W3323" s="129" t="s">
        <v>286</v>
      </c>
      <c r="X3323" s="337" t="b">
        <f t="shared" si="86"/>
        <v>1</v>
      </c>
    </row>
    <row r="3324" spans="1:24" s="337" customFormat="1" ht="12" customHeight="1" outlineLevel="1">
      <c r="A3324" s="335"/>
      <c r="B3324" s="118" t="s">
        <v>12</v>
      </c>
      <c r="C3324" s="334" t="s">
        <v>11010</v>
      </c>
      <c r="D3324" s="124" t="s">
        <v>7762</v>
      </c>
      <c r="E3324" s="125"/>
      <c r="F3324" s="118" t="s">
        <v>828</v>
      </c>
      <c r="G3324" s="126" t="s">
        <v>10304</v>
      </c>
      <c r="H3324" s="255">
        <v>5</v>
      </c>
      <c r="I3324" s="361">
        <v>1</v>
      </c>
      <c r="J3324" s="362" t="s">
        <v>286</v>
      </c>
      <c r="K3324" s="363"/>
      <c r="L3324" s="129"/>
      <c r="M3324" s="129"/>
      <c r="N3324" s="129"/>
      <c r="O3324" s="129"/>
      <c r="P3324" s="364"/>
      <c r="Q3324" s="364"/>
      <c r="R3324" s="129"/>
      <c r="S3324" s="129"/>
      <c r="T3324" s="129"/>
      <c r="W3324" s="129" t="s">
        <v>286</v>
      </c>
      <c r="X3324" s="337" t="b">
        <f t="shared" si="86"/>
        <v>1</v>
      </c>
    </row>
    <row r="3325" spans="1:24" s="337" customFormat="1" ht="12" customHeight="1" outlineLevel="1">
      <c r="A3325" s="335"/>
      <c r="B3325" s="118" t="s">
        <v>12</v>
      </c>
      <c r="C3325" s="334" t="s">
        <v>11011</v>
      </c>
      <c r="D3325" s="124" t="s">
        <v>10752</v>
      </c>
      <c r="E3325" s="125"/>
      <c r="F3325" s="118" t="s">
        <v>828</v>
      </c>
      <c r="G3325" s="126" t="s">
        <v>10304</v>
      </c>
      <c r="H3325" s="255">
        <v>5</v>
      </c>
      <c r="I3325" s="361">
        <v>1</v>
      </c>
      <c r="J3325" s="362" t="s">
        <v>286</v>
      </c>
      <c r="K3325" s="363"/>
      <c r="L3325" s="129"/>
      <c r="M3325" s="129"/>
      <c r="N3325" s="129"/>
      <c r="O3325" s="129"/>
      <c r="P3325" s="364"/>
      <c r="Q3325" s="364"/>
      <c r="R3325" s="129"/>
      <c r="S3325" s="129"/>
      <c r="T3325" s="129"/>
      <c r="W3325" s="129" t="s">
        <v>286</v>
      </c>
      <c r="X3325" s="337" t="b">
        <f t="shared" si="86"/>
        <v>1</v>
      </c>
    </row>
    <row r="3326" spans="1:24" s="337" customFormat="1" ht="12" customHeight="1" outlineLevel="1">
      <c r="A3326" s="335"/>
      <c r="B3326" s="118" t="s">
        <v>12</v>
      </c>
      <c r="C3326" s="334" t="s">
        <v>11012</v>
      </c>
      <c r="D3326" s="124" t="s">
        <v>7766</v>
      </c>
      <c r="E3326" s="125"/>
      <c r="F3326" s="118" t="s">
        <v>828</v>
      </c>
      <c r="G3326" s="126" t="s">
        <v>10304</v>
      </c>
      <c r="H3326" s="255">
        <v>5</v>
      </c>
      <c r="I3326" s="361">
        <v>1</v>
      </c>
      <c r="J3326" s="362" t="s">
        <v>286</v>
      </c>
      <c r="K3326" s="363"/>
      <c r="L3326" s="129"/>
      <c r="M3326" s="129"/>
      <c r="N3326" s="129"/>
      <c r="O3326" s="129"/>
      <c r="P3326" s="364"/>
      <c r="Q3326" s="364"/>
      <c r="R3326" s="129"/>
      <c r="S3326" s="129"/>
      <c r="T3326" s="129"/>
      <c r="W3326" s="129" t="s">
        <v>286</v>
      </c>
      <c r="X3326" s="337" t="b">
        <f t="shared" si="86"/>
        <v>1</v>
      </c>
    </row>
    <row r="3327" spans="1:24" s="337" customFormat="1" ht="12" customHeight="1" outlineLevel="1">
      <c r="A3327" s="335"/>
      <c r="B3327" s="118" t="s">
        <v>12</v>
      </c>
      <c r="C3327" s="334" t="s">
        <v>11013</v>
      </c>
      <c r="D3327" s="124" t="s">
        <v>7768</v>
      </c>
      <c r="E3327" s="125"/>
      <c r="F3327" s="118" t="s">
        <v>828</v>
      </c>
      <c r="G3327" s="126" t="s">
        <v>10304</v>
      </c>
      <c r="H3327" s="255">
        <v>5</v>
      </c>
      <c r="I3327" s="361">
        <v>1</v>
      </c>
      <c r="J3327" s="362" t="s">
        <v>286</v>
      </c>
      <c r="K3327" s="363"/>
      <c r="L3327" s="129"/>
      <c r="M3327" s="129"/>
      <c r="N3327" s="129"/>
      <c r="O3327" s="129"/>
      <c r="P3327" s="364"/>
      <c r="Q3327" s="364"/>
      <c r="R3327" s="129"/>
      <c r="S3327" s="129"/>
      <c r="T3327" s="129"/>
      <c r="W3327" s="129" t="s">
        <v>286</v>
      </c>
      <c r="X3327" s="337" t="b">
        <f t="shared" si="86"/>
        <v>1</v>
      </c>
    </row>
    <row r="3328" spans="1:24" s="337" customFormat="1" ht="12" customHeight="1" outlineLevel="1">
      <c r="A3328" s="335"/>
      <c r="B3328" s="118" t="s">
        <v>12</v>
      </c>
      <c r="C3328" s="334" t="s">
        <v>11014</v>
      </c>
      <c r="D3328" s="124" t="s">
        <v>10756</v>
      </c>
      <c r="E3328" s="125"/>
      <c r="F3328" s="118" t="s">
        <v>828</v>
      </c>
      <c r="G3328" s="126" t="s">
        <v>10304</v>
      </c>
      <c r="H3328" s="255">
        <v>5</v>
      </c>
      <c r="I3328" s="361">
        <v>1</v>
      </c>
      <c r="J3328" s="362" t="s">
        <v>286</v>
      </c>
      <c r="K3328" s="363"/>
      <c r="L3328" s="129"/>
      <c r="M3328" s="129"/>
      <c r="N3328" s="129"/>
      <c r="O3328" s="129"/>
      <c r="P3328" s="364"/>
      <c r="Q3328" s="364"/>
      <c r="R3328" s="129"/>
      <c r="S3328" s="129"/>
      <c r="T3328" s="129"/>
      <c r="W3328" s="129" t="s">
        <v>286</v>
      </c>
      <c r="X3328" s="337" t="b">
        <f t="shared" si="86"/>
        <v>1</v>
      </c>
    </row>
    <row r="3329" spans="1:24" s="337" customFormat="1" ht="12" customHeight="1" outlineLevel="1">
      <c r="A3329" s="335"/>
      <c r="B3329" s="118" t="s">
        <v>12</v>
      </c>
      <c r="C3329" s="334" t="s">
        <v>11015</v>
      </c>
      <c r="D3329" s="124" t="s">
        <v>10758</v>
      </c>
      <c r="E3329" s="125"/>
      <c r="F3329" s="118" t="s">
        <v>828</v>
      </c>
      <c r="G3329" s="126" t="s">
        <v>10304</v>
      </c>
      <c r="H3329" s="255">
        <v>5</v>
      </c>
      <c r="I3329" s="361">
        <v>1</v>
      </c>
      <c r="J3329" s="362" t="s">
        <v>286</v>
      </c>
      <c r="K3329" s="363"/>
      <c r="L3329" s="129"/>
      <c r="M3329" s="129"/>
      <c r="N3329" s="129"/>
      <c r="O3329" s="129"/>
      <c r="P3329" s="364"/>
      <c r="Q3329" s="364"/>
      <c r="R3329" s="129"/>
      <c r="S3329" s="129"/>
      <c r="T3329" s="129"/>
      <c r="W3329" s="129" t="s">
        <v>286</v>
      </c>
      <c r="X3329" s="337" t="b">
        <f t="shared" si="86"/>
        <v>1</v>
      </c>
    </row>
    <row r="3330" spans="1:24" s="337" customFormat="1" ht="12" customHeight="1" outlineLevel="1">
      <c r="A3330" s="335"/>
      <c r="B3330" s="118" t="s">
        <v>12</v>
      </c>
      <c r="C3330" s="334" t="s">
        <v>11016</v>
      </c>
      <c r="D3330" s="124" t="s">
        <v>7778</v>
      </c>
      <c r="E3330" s="125"/>
      <c r="F3330" s="118" t="s">
        <v>828</v>
      </c>
      <c r="G3330" s="126" t="s">
        <v>10304</v>
      </c>
      <c r="H3330" s="255">
        <v>5</v>
      </c>
      <c r="I3330" s="361">
        <v>1</v>
      </c>
      <c r="J3330" s="362" t="s">
        <v>286</v>
      </c>
      <c r="K3330" s="363"/>
      <c r="L3330" s="129"/>
      <c r="M3330" s="129"/>
      <c r="N3330" s="129"/>
      <c r="O3330" s="129"/>
      <c r="P3330" s="364"/>
      <c r="Q3330" s="364"/>
      <c r="R3330" s="129"/>
      <c r="S3330" s="129"/>
      <c r="T3330" s="129"/>
      <c r="W3330" s="129" t="s">
        <v>286</v>
      </c>
      <c r="X3330" s="337" t="b">
        <f t="shared" si="86"/>
        <v>1</v>
      </c>
    </row>
    <row r="3331" spans="1:24" s="337" customFormat="1" ht="12" customHeight="1" outlineLevel="1">
      <c r="A3331" s="335"/>
      <c r="B3331" s="118" t="s">
        <v>12</v>
      </c>
      <c r="C3331" s="334" t="s">
        <v>11017</v>
      </c>
      <c r="D3331" s="124" t="s">
        <v>10761</v>
      </c>
      <c r="E3331" s="125"/>
      <c r="F3331" s="118" t="s">
        <v>828</v>
      </c>
      <c r="G3331" s="126" t="s">
        <v>10304</v>
      </c>
      <c r="H3331" s="255">
        <v>5</v>
      </c>
      <c r="I3331" s="361">
        <v>1</v>
      </c>
      <c r="J3331" s="362" t="s">
        <v>286</v>
      </c>
      <c r="K3331" s="363"/>
      <c r="L3331" s="129"/>
      <c r="M3331" s="129"/>
      <c r="N3331" s="129"/>
      <c r="O3331" s="129"/>
      <c r="P3331" s="364"/>
      <c r="Q3331" s="364"/>
      <c r="R3331" s="129"/>
      <c r="S3331" s="129"/>
      <c r="T3331" s="129"/>
      <c r="W3331" s="129" t="s">
        <v>286</v>
      </c>
      <c r="X3331" s="337" t="b">
        <f t="shared" si="86"/>
        <v>1</v>
      </c>
    </row>
    <row r="3332" spans="1:24" s="337" customFormat="1" ht="12" customHeight="1" outlineLevel="1">
      <c r="A3332" s="335"/>
      <c r="B3332" s="118" t="s">
        <v>12</v>
      </c>
      <c r="C3332" s="334" t="s">
        <v>11018</v>
      </c>
      <c r="D3332" s="124" t="s">
        <v>7782</v>
      </c>
      <c r="E3332" s="125"/>
      <c r="F3332" s="118" t="s">
        <v>828</v>
      </c>
      <c r="G3332" s="126" t="s">
        <v>10304</v>
      </c>
      <c r="H3332" s="255">
        <v>5</v>
      </c>
      <c r="I3332" s="361">
        <v>1</v>
      </c>
      <c r="J3332" s="362" t="s">
        <v>286</v>
      </c>
      <c r="K3332" s="363"/>
      <c r="L3332" s="129"/>
      <c r="M3332" s="129"/>
      <c r="N3332" s="129"/>
      <c r="O3332" s="129"/>
      <c r="P3332" s="364"/>
      <c r="Q3332" s="364"/>
      <c r="R3332" s="129"/>
      <c r="S3332" s="129"/>
      <c r="T3332" s="129"/>
      <c r="W3332" s="129" t="s">
        <v>286</v>
      </c>
      <c r="X3332" s="337" t="b">
        <f t="shared" si="86"/>
        <v>1</v>
      </c>
    </row>
    <row r="3333" spans="1:24" s="337" customFormat="1" ht="12" customHeight="1" outlineLevel="1">
      <c r="A3333" s="335"/>
      <c r="B3333" s="118" t="s">
        <v>12</v>
      </c>
      <c r="C3333" s="334" t="s">
        <v>11019</v>
      </c>
      <c r="D3333" s="124" t="s">
        <v>10764</v>
      </c>
      <c r="E3333" s="125"/>
      <c r="F3333" s="118" t="s">
        <v>828</v>
      </c>
      <c r="G3333" s="126" t="s">
        <v>10304</v>
      </c>
      <c r="H3333" s="255">
        <v>5</v>
      </c>
      <c r="I3333" s="361">
        <v>1</v>
      </c>
      <c r="J3333" s="362" t="s">
        <v>286</v>
      </c>
      <c r="K3333" s="363"/>
      <c r="L3333" s="129"/>
      <c r="M3333" s="129"/>
      <c r="N3333" s="129"/>
      <c r="O3333" s="129"/>
      <c r="P3333" s="364"/>
      <c r="Q3333" s="364"/>
      <c r="R3333" s="129"/>
      <c r="S3333" s="129"/>
      <c r="T3333" s="129"/>
      <c r="W3333" s="129" t="s">
        <v>286</v>
      </c>
      <c r="X3333" s="337" t="b">
        <f t="shared" si="86"/>
        <v>1</v>
      </c>
    </row>
    <row r="3334" spans="1:24" s="337" customFormat="1" ht="12" customHeight="1" outlineLevel="1">
      <c r="A3334" s="335"/>
      <c r="B3334" s="118" t="s">
        <v>12</v>
      </c>
      <c r="C3334" s="334" t="s">
        <v>11020</v>
      </c>
      <c r="D3334" s="124" t="s">
        <v>11021</v>
      </c>
      <c r="E3334" s="125"/>
      <c r="F3334" s="118" t="s">
        <v>828</v>
      </c>
      <c r="G3334" s="126" t="s">
        <v>10304</v>
      </c>
      <c r="H3334" s="255">
        <v>5</v>
      </c>
      <c r="I3334" s="361">
        <v>1</v>
      </c>
      <c r="J3334" s="362" t="s">
        <v>286</v>
      </c>
      <c r="K3334" s="363"/>
      <c r="L3334" s="129"/>
      <c r="M3334" s="129"/>
      <c r="N3334" s="129"/>
      <c r="O3334" s="129"/>
      <c r="P3334" s="364"/>
      <c r="Q3334" s="364"/>
      <c r="R3334" s="129"/>
      <c r="S3334" s="129"/>
      <c r="T3334" s="129"/>
      <c r="W3334" s="129" t="s">
        <v>4876</v>
      </c>
      <c r="X3334" s="337" t="b">
        <f t="shared" si="86"/>
        <v>0</v>
      </c>
    </row>
    <row r="3335" spans="1:24" s="337" customFormat="1" ht="12" customHeight="1" outlineLevel="1">
      <c r="A3335" s="335"/>
      <c r="B3335" s="118" t="s">
        <v>12</v>
      </c>
      <c r="C3335" s="334" t="s">
        <v>11022</v>
      </c>
      <c r="D3335" s="124" t="s">
        <v>10768</v>
      </c>
      <c r="E3335" s="125"/>
      <c r="F3335" s="118" t="s">
        <v>828</v>
      </c>
      <c r="G3335" s="126" t="s">
        <v>10304</v>
      </c>
      <c r="H3335" s="255">
        <v>5</v>
      </c>
      <c r="I3335" s="361">
        <v>1</v>
      </c>
      <c r="J3335" s="362" t="s">
        <v>286</v>
      </c>
      <c r="K3335" s="363"/>
      <c r="L3335" s="129"/>
      <c r="M3335" s="129"/>
      <c r="N3335" s="129"/>
      <c r="O3335" s="129"/>
      <c r="P3335" s="364"/>
      <c r="Q3335" s="364"/>
      <c r="R3335" s="129"/>
      <c r="S3335" s="129"/>
      <c r="T3335" s="129"/>
      <c r="W3335" s="129" t="s">
        <v>4876</v>
      </c>
      <c r="X3335" s="337" t="b">
        <f t="shared" si="86"/>
        <v>0</v>
      </c>
    </row>
    <row r="3336" spans="1:24" s="337" customFormat="1" ht="12" customHeight="1" outlineLevel="1">
      <c r="A3336" s="335"/>
      <c r="B3336" s="118" t="s">
        <v>12</v>
      </c>
      <c r="C3336" s="334" t="s">
        <v>11023</v>
      </c>
      <c r="D3336" s="124" t="s">
        <v>10770</v>
      </c>
      <c r="E3336" s="125"/>
      <c r="F3336" s="118" t="s">
        <v>828</v>
      </c>
      <c r="G3336" s="126" t="s">
        <v>10304</v>
      </c>
      <c r="H3336" s="255">
        <v>5</v>
      </c>
      <c r="I3336" s="361">
        <v>1</v>
      </c>
      <c r="J3336" s="362" t="s">
        <v>286</v>
      </c>
      <c r="K3336" s="363"/>
      <c r="L3336" s="129"/>
      <c r="M3336" s="129"/>
      <c r="N3336" s="129"/>
      <c r="O3336" s="129"/>
      <c r="P3336" s="364"/>
      <c r="Q3336" s="364"/>
      <c r="R3336" s="129"/>
      <c r="S3336" s="129"/>
      <c r="T3336" s="129"/>
      <c r="W3336" s="129" t="s">
        <v>4876</v>
      </c>
      <c r="X3336" s="337" t="b">
        <f t="shared" si="86"/>
        <v>0</v>
      </c>
    </row>
    <row r="3337" spans="1:24" s="337" customFormat="1" ht="12" customHeight="1" outlineLevel="1">
      <c r="A3337" s="335"/>
      <c r="B3337" s="118" t="s">
        <v>12</v>
      </c>
      <c r="C3337" s="334" t="s">
        <v>11024</v>
      </c>
      <c r="D3337" s="124" t="s">
        <v>10772</v>
      </c>
      <c r="E3337" s="125"/>
      <c r="F3337" s="118" t="s">
        <v>828</v>
      </c>
      <c r="G3337" s="126" t="s">
        <v>10304</v>
      </c>
      <c r="H3337" s="255">
        <v>5</v>
      </c>
      <c r="I3337" s="361">
        <v>1</v>
      </c>
      <c r="J3337" s="362" t="s">
        <v>286</v>
      </c>
      <c r="K3337" s="363"/>
      <c r="L3337" s="129"/>
      <c r="M3337" s="129"/>
      <c r="N3337" s="129"/>
      <c r="O3337" s="129"/>
      <c r="P3337" s="364"/>
      <c r="Q3337" s="364"/>
      <c r="R3337" s="129"/>
      <c r="S3337" s="129"/>
      <c r="T3337" s="129"/>
      <c r="W3337" s="129" t="s">
        <v>4876</v>
      </c>
      <c r="X3337" s="337" t="b">
        <f t="shared" si="86"/>
        <v>0</v>
      </c>
    </row>
    <row r="3338" spans="1:24" s="337" customFormat="1" ht="12" customHeight="1" outlineLevel="1">
      <c r="A3338" s="335"/>
      <c r="B3338" s="118" t="s">
        <v>12</v>
      </c>
      <c r="C3338" s="334" t="s">
        <v>11025</v>
      </c>
      <c r="D3338" s="124" t="s">
        <v>10774</v>
      </c>
      <c r="E3338" s="125"/>
      <c r="F3338" s="118" t="s">
        <v>828</v>
      </c>
      <c r="G3338" s="126" t="s">
        <v>10304</v>
      </c>
      <c r="H3338" s="255">
        <v>5</v>
      </c>
      <c r="I3338" s="361">
        <v>1</v>
      </c>
      <c r="J3338" s="362" t="s">
        <v>286</v>
      </c>
      <c r="K3338" s="363"/>
      <c r="L3338" s="129"/>
      <c r="M3338" s="129"/>
      <c r="N3338" s="129"/>
      <c r="O3338" s="129"/>
      <c r="P3338" s="364"/>
      <c r="Q3338" s="364"/>
      <c r="R3338" s="129"/>
      <c r="S3338" s="129"/>
      <c r="T3338" s="129"/>
      <c r="W3338" s="129" t="s">
        <v>4876</v>
      </c>
      <c r="X3338" s="337" t="b">
        <f t="shared" si="86"/>
        <v>0</v>
      </c>
    </row>
    <row r="3339" spans="1:24" s="337" customFormat="1" ht="12" customHeight="1" outlineLevel="1">
      <c r="A3339" s="335"/>
      <c r="B3339" s="118" t="s">
        <v>12</v>
      </c>
      <c r="C3339" s="334" t="s">
        <v>11026</v>
      </c>
      <c r="D3339" s="124" t="s">
        <v>10778</v>
      </c>
      <c r="E3339" s="125"/>
      <c r="F3339" s="118" t="s">
        <v>828</v>
      </c>
      <c r="G3339" s="126" t="s">
        <v>10304</v>
      </c>
      <c r="H3339" s="255">
        <v>5</v>
      </c>
      <c r="I3339" s="361">
        <v>1</v>
      </c>
      <c r="J3339" s="362" t="s">
        <v>286</v>
      </c>
      <c r="K3339" s="363"/>
      <c r="L3339" s="129"/>
      <c r="M3339" s="129"/>
      <c r="N3339" s="129"/>
      <c r="O3339" s="129"/>
      <c r="P3339" s="364"/>
      <c r="Q3339" s="364"/>
      <c r="R3339" s="129"/>
      <c r="S3339" s="129"/>
      <c r="T3339" s="129"/>
      <c r="W3339" s="129" t="s">
        <v>4876</v>
      </c>
      <c r="X3339" s="337" t="b">
        <f t="shared" si="86"/>
        <v>0</v>
      </c>
    </row>
    <row r="3340" spans="1:24" s="337" customFormat="1" ht="12" customHeight="1" outlineLevel="1">
      <c r="A3340" s="335"/>
      <c r="B3340" s="118" t="s">
        <v>12</v>
      </c>
      <c r="C3340" s="334" t="s">
        <v>11027</v>
      </c>
      <c r="D3340" s="124" t="s">
        <v>11028</v>
      </c>
      <c r="E3340" s="125"/>
      <c r="F3340" s="118" t="s">
        <v>828</v>
      </c>
      <c r="G3340" s="126" t="s">
        <v>10304</v>
      </c>
      <c r="H3340" s="255">
        <v>5</v>
      </c>
      <c r="I3340" s="361">
        <v>1</v>
      </c>
      <c r="J3340" s="362" t="s">
        <v>286</v>
      </c>
      <c r="K3340" s="363"/>
      <c r="L3340" s="129"/>
      <c r="M3340" s="129"/>
      <c r="N3340" s="129"/>
      <c r="O3340" s="129"/>
      <c r="P3340" s="364"/>
      <c r="Q3340" s="364"/>
      <c r="R3340" s="129"/>
      <c r="S3340" s="129"/>
      <c r="T3340" s="129"/>
      <c r="W3340" s="129" t="s">
        <v>286</v>
      </c>
      <c r="X3340" s="337" t="b">
        <f t="shared" si="86"/>
        <v>1</v>
      </c>
    </row>
    <row r="3341" spans="1:24" s="337" customFormat="1" ht="12" customHeight="1" outlineLevel="1">
      <c r="A3341" s="335"/>
      <c r="B3341" s="118" t="s">
        <v>12</v>
      </c>
      <c r="C3341" s="334" t="s">
        <v>11029</v>
      </c>
      <c r="D3341" s="124" t="s">
        <v>10786</v>
      </c>
      <c r="E3341" s="125"/>
      <c r="F3341" s="118" t="s">
        <v>828</v>
      </c>
      <c r="G3341" s="126" t="s">
        <v>10304</v>
      </c>
      <c r="H3341" s="255">
        <v>5</v>
      </c>
      <c r="I3341" s="361">
        <v>1</v>
      </c>
      <c r="J3341" s="362" t="s">
        <v>286</v>
      </c>
      <c r="K3341" s="363"/>
      <c r="L3341" s="129"/>
      <c r="M3341" s="129"/>
      <c r="N3341" s="129"/>
      <c r="O3341" s="129"/>
      <c r="P3341" s="364"/>
      <c r="Q3341" s="364"/>
      <c r="R3341" s="129"/>
      <c r="S3341" s="129"/>
      <c r="T3341" s="129"/>
      <c r="W3341" s="129" t="s">
        <v>4876</v>
      </c>
      <c r="X3341" s="337" t="b">
        <f t="shared" si="86"/>
        <v>0</v>
      </c>
    </row>
    <row r="3342" spans="1:24" s="337" customFormat="1" ht="12" customHeight="1" outlineLevel="1">
      <c r="A3342" s="335"/>
      <c r="B3342" s="118" t="s">
        <v>12</v>
      </c>
      <c r="C3342" s="334" t="s">
        <v>11030</v>
      </c>
      <c r="D3342" s="124" t="s">
        <v>10788</v>
      </c>
      <c r="E3342" s="125"/>
      <c r="F3342" s="118" t="s">
        <v>828</v>
      </c>
      <c r="G3342" s="126" t="s">
        <v>10304</v>
      </c>
      <c r="H3342" s="255">
        <v>5</v>
      </c>
      <c r="I3342" s="361">
        <v>1</v>
      </c>
      <c r="J3342" s="362" t="s">
        <v>286</v>
      </c>
      <c r="K3342" s="363"/>
      <c r="L3342" s="129"/>
      <c r="M3342" s="129"/>
      <c r="N3342" s="129"/>
      <c r="O3342" s="129"/>
      <c r="P3342" s="364"/>
      <c r="Q3342" s="364"/>
      <c r="R3342" s="129"/>
      <c r="S3342" s="129"/>
      <c r="T3342" s="129"/>
      <c r="W3342" s="129" t="s">
        <v>4876</v>
      </c>
      <c r="X3342" s="337" t="b">
        <f t="shared" si="86"/>
        <v>0</v>
      </c>
    </row>
    <row r="3343" spans="1:24" s="337" customFormat="1" ht="12" customHeight="1" outlineLevel="1">
      <c r="A3343" s="335"/>
      <c r="B3343" s="118" t="s">
        <v>12</v>
      </c>
      <c r="C3343" s="334" t="s">
        <v>11031</v>
      </c>
      <c r="D3343" s="124" t="s">
        <v>10790</v>
      </c>
      <c r="E3343" s="125"/>
      <c r="F3343" s="118" t="s">
        <v>828</v>
      </c>
      <c r="G3343" s="126" t="s">
        <v>10304</v>
      </c>
      <c r="H3343" s="255">
        <v>5</v>
      </c>
      <c r="I3343" s="361">
        <v>1</v>
      </c>
      <c r="J3343" s="362" t="s">
        <v>286</v>
      </c>
      <c r="K3343" s="363"/>
      <c r="L3343" s="129"/>
      <c r="M3343" s="129"/>
      <c r="N3343" s="129"/>
      <c r="O3343" s="129"/>
      <c r="P3343" s="364"/>
      <c r="Q3343" s="364"/>
      <c r="R3343" s="129"/>
      <c r="S3343" s="129"/>
      <c r="T3343" s="129"/>
      <c r="W3343" s="129" t="s">
        <v>4876</v>
      </c>
      <c r="X3343" s="337" t="b">
        <f t="shared" si="86"/>
        <v>0</v>
      </c>
    </row>
    <row r="3344" spans="1:24" s="337" customFormat="1" ht="12" customHeight="1" outlineLevel="1">
      <c r="A3344" s="335"/>
      <c r="B3344" s="118" t="s">
        <v>12</v>
      </c>
      <c r="C3344" s="334" t="s">
        <v>11032</v>
      </c>
      <c r="D3344" s="124" t="s">
        <v>10792</v>
      </c>
      <c r="E3344" s="125"/>
      <c r="F3344" s="118" t="s">
        <v>828</v>
      </c>
      <c r="G3344" s="126" t="s">
        <v>10304</v>
      </c>
      <c r="H3344" s="255">
        <v>5</v>
      </c>
      <c r="I3344" s="361">
        <v>1</v>
      </c>
      <c r="J3344" s="362" t="s">
        <v>286</v>
      </c>
      <c r="K3344" s="363"/>
      <c r="L3344" s="129"/>
      <c r="M3344" s="129"/>
      <c r="N3344" s="129"/>
      <c r="O3344" s="129"/>
      <c r="P3344" s="364"/>
      <c r="Q3344" s="364"/>
      <c r="R3344" s="129"/>
      <c r="S3344" s="129"/>
      <c r="T3344" s="129"/>
      <c r="W3344" s="129" t="s">
        <v>4876</v>
      </c>
      <c r="X3344" s="337" t="b">
        <f t="shared" si="86"/>
        <v>0</v>
      </c>
    </row>
    <row r="3345" spans="1:24" s="337" customFormat="1" ht="12" customHeight="1" outlineLevel="1">
      <c r="A3345" s="335"/>
      <c r="B3345" s="118" t="s">
        <v>12</v>
      </c>
      <c r="C3345" s="334" t="s">
        <v>11033</v>
      </c>
      <c r="D3345" s="124" t="s">
        <v>10794</v>
      </c>
      <c r="E3345" s="125"/>
      <c r="F3345" s="118" t="s">
        <v>828</v>
      </c>
      <c r="G3345" s="126" t="s">
        <v>10304</v>
      </c>
      <c r="H3345" s="255">
        <v>5</v>
      </c>
      <c r="I3345" s="361">
        <v>1</v>
      </c>
      <c r="J3345" s="362" t="s">
        <v>286</v>
      </c>
      <c r="K3345" s="363"/>
      <c r="L3345" s="129"/>
      <c r="M3345" s="129"/>
      <c r="N3345" s="129"/>
      <c r="O3345" s="129"/>
      <c r="P3345" s="364"/>
      <c r="Q3345" s="364"/>
      <c r="R3345" s="129"/>
      <c r="S3345" s="129"/>
      <c r="T3345" s="129"/>
      <c r="W3345" s="129" t="s">
        <v>4876</v>
      </c>
      <c r="X3345" s="337" t="b">
        <f t="shared" si="86"/>
        <v>0</v>
      </c>
    </row>
    <row r="3346" spans="1:24" s="337" customFormat="1" ht="12" customHeight="1" outlineLevel="1">
      <c r="A3346" s="335"/>
      <c r="B3346" s="118" t="s">
        <v>12</v>
      </c>
      <c r="C3346" s="334" t="s">
        <v>11034</v>
      </c>
      <c r="D3346" s="124" t="s">
        <v>10796</v>
      </c>
      <c r="E3346" s="125"/>
      <c r="F3346" s="118" t="s">
        <v>828</v>
      </c>
      <c r="G3346" s="126" t="s">
        <v>10304</v>
      </c>
      <c r="H3346" s="255">
        <v>5</v>
      </c>
      <c r="I3346" s="361">
        <v>1</v>
      </c>
      <c r="J3346" s="362" t="s">
        <v>286</v>
      </c>
      <c r="K3346" s="363"/>
      <c r="L3346" s="129"/>
      <c r="M3346" s="129"/>
      <c r="N3346" s="129"/>
      <c r="O3346" s="129"/>
      <c r="P3346" s="364"/>
      <c r="Q3346" s="364"/>
      <c r="R3346" s="129"/>
      <c r="S3346" s="129"/>
      <c r="T3346" s="129"/>
      <c r="W3346" s="129" t="s">
        <v>4876</v>
      </c>
      <c r="X3346" s="337" t="b">
        <f t="shared" si="86"/>
        <v>0</v>
      </c>
    </row>
    <row r="3347" spans="1:24" s="337" customFormat="1" ht="12" customHeight="1" outlineLevel="1">
      <c r="A3347" s="335"/>
      <c r="B3347" s="118" t="s">
        <v>12</v>
      </c>
      <c r="C3347" s="334" t="s">
        <v>11034</v>
      </c>
      <c r="D3347" s="124" t="s">
        <v>10797</v>
      </c>
      <c r="E3347" s="125"/>
      <c r="F3347" s="118" t="s">
        <v>828</v>
      </c>
      <c r="G3347" s="126" t="s">
        <v>10304</v>
      </c>
      <c r="H3347" s="255">
        <v>5</v>
      </c>
      <c r="I3347" s="361">
        <v>1</v>
      </c>
      <c r="J3347" s="362" t="s">
        <v>286</v>
      </c>
      <c r="K3347" s="363"/>
      <c r="L3347" s="129"/>
      <c r="M3347" s="129"/>
      <c r="N3347" s="129"/>
      <c r="O3347" s="129"/>
      <c r="P3347" s="364"/>
      <c r="Q3347" s="364"/>
      <c r="R3347" s="129"/>
      <c r="S3347" s="129"/>
      <c r="T3347" s="129"/>
      <c r="W3347" s="129" t="s">
        <v>4876</v>
      </c>
      <c r="X3347" s="337" t="b">
        <f t="shared" ref="X3347:X3410" si="87">W3347=J3347</f>
        <v>0</v>
      </c>
    </row>
    <row r="3348" spans="1:24" s="337" customFormat="1" ht="12" customHeight="1" outlineLevel="1">
      <c r="A3348" s="335"/>
      <c r="B3348" s="118" t="s">
        <v>12</v>
      </c>
      <c r="C3348" s="334" t="s">
        <v>11035</v>
      </c>
      <c r="D3348" s="124" t="s">
        <v>10799</v>
      </c>
      <c r="E3348" s="125"/>
      <c r="F3348" s="118" t="s">
        <v>828</v>
      </c>
      <c r="G3348" s="126" t="s">
        <v>10304</v>
      </c>
      <c r="H3348" s="255">
        <v>5</v>
      </c>
      <c r="I3348" s="361">
        <v>1</v>
      </c>
      <c r="J3348" s="362" t="s">
        <v>286</v>
      </c>
      <c r="K3348" s="363"/>
      <c r="L3348" s="129"/>
      <c r="M3348" s="129"/>
      <c r="N3348" s="129"/>
      <c r="O3348" s="129"/>
      <c r="P3348" s="364"/>
      <c r="Q3348" s="364"/>
      <c r="R3348" s="129"/>
      <c r="S3348" s="129"/>
      <c r="T3348" s="129"/>
      <c r="W3348" s="129" t="s">
        <v>4876</v>
      </c>
      <c r="X3348" s="337" t="b">
        <f t="shared" si="87"/>
        <v>0</v>
      </c>
    </row>
    <row r="3349" spans="1:24" s="337" customFormat="1" ht="12" customHeight="1" outlineLevel="1">
      <c r="A3349" s="335"/>
      <c r="B3349" s="118" t="s">
        <v>12</v>
      </c>
      <c r="C3349" s="334" t="s">
        <v>11036</v>
      </c>
      <c r="D3349" s="124" t="s">
        <v>10801</v>
      </c>
      <c r="E3349" s="125"/>
      <c r="F3349" s="118" t="s">
        <v>828</v>
      </c>
      <c r="G3349" s="126" t="s">
        <v>10304</v>
      </c>
      <c r="H3349" s="255">
        <v>5</v>
      </c>
      <c r="I3349" s="361">
        <v>1</v>
      </c>
      <c r="J3349" s="362" t="s">
        <v>286</v>
      </c>
      <c r="K3349" s="363"/>
      <c r="L3349" s="129"/>
      <c r="M3349" s="129"/>
      <c r="N3349" s="129"/>
      <c r="O3349" s="129"/>
      <c r="P3349" s="364"/>
      <c r="Q3349" s="364"/>
      <c r="R3349" s="129"/>
      <c r="S3349" s="129"/>
      <c r="T3349" s="129"/>
      <c r="W3349" s="129" t="s">
        <v>4876</v>
      </c>
      <c r="X3349" s="337" t="b">
        <f t="shared" si="87"/>
        <v>0</v>
      </c>
    </row>
    <row r="3350" spans="1:24" s="337" customFormat="1" ht="12" customHeight="1" outlineLevel="1">
      <c r="A3350" s="335"/>
      <c r="B3350" s="118" t="s">
        <v>12</v>
      </c>
      <c r="C3350" s="334" t="s">
        <v>11037</v>
      </c>
      <c r="D3350" s="124" t="s">
        <v>10803</v>
      </c>
      <c r="E3350" s="125"/>
      <c r="F3350" s="118" t="s">
        <v>828</v>
      </c>
      <c r="G3350" s="126" t="s">
        <v>10304</v>
      </c>
      <c r="H3350" s="255">
        <v>5</v>
      </c>
      <c r="I3350" s="361">
        <v>1</v>
      </c>
      <c r="J3350" s="362" t="s">
        <v>286</v>
      </c>
      <c r="K3350" s="363"/>
      <c r="L3350" s="129"/>
      <c r="M3350" s="129"/>
      <c r="N3350" s="129"/>
      <c r="O3350" s="129"/>
      <c r="P3350" s="364"/>
      <c r="Q3350" s="364"/>
      <c r="R3350" s="129"/>
      <c r="S3350" s="129"/>
      <c r="T3350" s="129"/>
      <c r="W3350" s="129" t="s">
        <v>4876</v>
      </c>
      <c r="X3350" s="337" t="b">
        <f t="shared" si="87"/>
        <v>0</v>
      </c>
    </row>
    <row r="3351" spans="1:24" s="337" customFormat="1" ht="12" customHeight="1" outlineLevel="1">
      <c r="A3351" s="335"/>
      <c r="B3351" s="118" t="s">
        <v>12</v>
      </c>
      <c r="C3351" s="334" t="s">
        <v>11038</v>
      </c>
      <c r="D3351" s="124" t="s">
        <v>10805</v>
      </c>
      <c r="E3351" s="125"/>
      <c r="F3351" s="118" t="s">
        <v>828</v>
      </c>
      <c r="G3351" s="126" t="s">
        <v>10304</v>
      </c>
      <c r="H3351" s="255">
        <v>5</v>
      </c>
      <c r="I3351" s="361">
        <v>1</v>
      </c>
      <c r="J3351" s="362" t="s">
        <v>286</v>
      </c>
      <c r="K3351" s="363"/>
      <c r="L3351" s="129"/>
      <c r="M3351" s="129"/>
      <c r="N3351" s="129"/>
      <c r="O3351" s="129"/>
      <c r="P3351" s="364"/>
      <c r="Q3351" s="364"/>
      <c r="R3351" s="129"/>
      <c r="S3351" s="129"/>
      <c r="T3351" s="129"/>
      <c r="W3351" s="129" t="s">
        <v>4876</v>
      </c>
      <c r="X3351" s="337" t="b">
        <f t="shared" si="87"/>
        <v>0</v>
      </c>
    </row>
    <row r="3352" spans="1:24" s="337" customFormat="1" ht="12" customHeight="1" outlineLevel="1">
      <c r="A3352" s="335"/>
      <c r="B3352" s="118" t="s">
        <v>12</v>
      </c>
      <c r="C3352" s="334" t="s">
        <v>11039</v>
      </c>
      <c r="D3352" s="124" t="s">
        <v>10807</v>
      </c>
      <c r="E3352" s="125"/>
      <c r="F3352" s="118" t="s">
        <v>828</v>
      </c>
      <c r="G3352" s="126" t="s">
        <v>10304</v>
      </c>
      <c r="H3352" s="255">
        <v>5</v>
      </c>
      <c r="I3352" s="361">
        <v>1</v>
      </c>
      <c r="J3352" s="362" t="s">
        <v>286</v>
      </c>
      <c r="K3352" s="363"/>
      <c r="L3352" s="129"/>
      <c r="M3352" s="129"/>
      <c r="N3352" s="129"/>
      <c r="O3352" s="129"/>
      <c r="P3352" s="364"/>
      <c r="Q3352" s="364"/>
      <c r="R3352" s="129"/>
      <c r="S3352" s="129"/>
      <c r="T3352" s="129"/>
      <c r="W3352" s="129" t="s">
        <v>4876</v>
      </c>
      <c r="X3352" s="337" t="b">
        <f t="shared" si="87"/>
        <v>0</v>
      </c>
    </row>
    <row r="3353" spans="1:24" s="337" customFormat="1" ht="12" customHeight="1" outlineLevel="1">
      <c r="A3353" s="335"/>
      <c r="B3353" s="118" t="s">
        <v>12</v>
      </c>
      <c r="C3353" s="334" t="s">
        <v>11040</v>
      </c>
      <c r="D3353" s="124" t="s">
        <v>10809</v>
      </c>
      <c r="E3353" s="125"/>
      <c r="F3353" s="118" t="s">
        <v>828</v>
      </c>
      <c r="G3353" s="126" t="s">
        <v>10304</v>
      </c>
      <c r="H3353" s="255">
        <v>5</v>
      </c>
      <c r="I3353" s="361">
        <v>1</v>
      </c>
      <c r="J3353" s="362" t="s">
        <v>286</v>
      </c>
      <c r="K3353" s="363"/>
      <c r="L3353" s="129"/>
      <c r="M3353" s="129"/>
      <c r="N3353" s="129"/>
      <c r="O3353" s="129"/>
      <c r="P3353" s="364"/>
      <c r="Q3353" s="364"/>
      <c r="R3353" s="129"/>
      <c r="S3353" s="129"/>
      <c r="T3353" s="129"/>
      <c r="W3353" s="129" t="s">
        <v>4876</v>
      </c>
      <c r="X3353" s="337" t="b">
        <f t="shared" si="87"/>
        <v>0</v>
      </c>
    </row>
    <row r="3354" spans="1:24" s="337" customFormat="1" ht="12" customHeight="1" outlineLevel="1">
      <c r="A3354" s="335"/>
      <c r="B3354" s="118" t="s">
        <v>12</v>
      </c>
      <c r="C3354" s="334" t="s">
        <v>11041</v>
      </c>
      <c r="D3354" s="124" t="s">
        <v>11042</v>
      </c>
      <c r="E3354" s="125"/>
      <c r="F3354" s="118" t="s">
        <v>828</v>
      </c>
      <c r="G3354" s="126" t="s">
        <v>10304</v>
      </c>
      <c r="H3354" s="255">
        <v>5</v>
      </c>
      <c r="I3354" s="361">
        <v>1</v>
      </c>
      <c r="J3354" s="362" t="s">
        <v>310</v>
      </c>
      <c r="K3354" s="363"/>
      <c r="L3354" s="129"/>
      <c r="M3354" s="129"/>
      <c r="N3354" s="129"/>
      <c r="O3354" s="129"/>
      <c r="P3354" s="364"/>
      <c r="Q3354" s="364"/>
      <c r="R3354" s="129"/>
      <c r="S3354" s="129"/>
      <c r="T3354" s="129"/>
      <c r="W3354" s="129" t="s">
        <v>286</v>
      </c>
      <c r="X3354" s="337" t="b">
        <f t="shared" si="87"/>
        <v>0</v>
      </c>
    </row>
    <row r="3355" spans="1:24" s="337" customFormat="1" ht="12" customHeight="1" outlineLevel="1">
      <c r="A3355" s="335"/>
      <c r="B3355" s="118" t="s">
        <v>12</v>
      </c>
      <c r="C3355" s="334" t="s">
        <v>11043</v>
      </c>
      <c r="D3355" s="124" t="s">
        <v>10813</v>
      </c>
      <c r="E3355" s="125"/>
      <c r="F3355" s="118" t="s">
        <v>828</v>
      </c>
      <c r="G3355" s="126" t="s">
        <v>10304</v>
      </c>
      <c r="H3355" s="255">
        <v>5</v>
      </c>
      <c r="I3355" s="361">
        <v>1</v>
      </c>
      <c r="J3355" s="362" t="s">
        <v>286</v>
      </c>
      <c r="K3355" s="363"/>
      <c r="L3355" s="129"/>
      <c r="M3355" s="129"/>
      <c r="N3355" s="129"/>
      <c r="O3355" s="129"/>
      <c r="P3355" s="364"/>
      <c r="Q3355" s="364"/>
      <c r="R3355" s="129"/>
      <c r="S3355" s="129"/>
      <c r="T3355" s="129"/>
      <c r="W3355" s="129" t="s">
        <v>286</v>
      </c>
      <c r="X3355" s="337" t="b">
        <f t="shared" si="87"/>
        <v>1</v>
      </c>
    </row>
    <row r="3356" spans="1:24" s="337" customFormat="1" ht="12" customHeight="1" outlineLevel="1">
      <c r="A3356" s="335"/>
      <c r="B3356" s="118" t="s">
        <v>12</v>
      </c>
      <c r="C3356" s="334" t="s">
        <v>11044</v>
      </c>
      <c r="D3356" s="124" t="s">
        <v>10815</v>
      </c>
      <c r="E3356" s="125"/>
      <c r="F3356" s="118" t="s">
        <v>828</v>
      </c>
      <c r="G3356" s="126" t="s">
        <v>10304</v>
      </c>
      <c r="H3356" s="255">
        <v>5</v>
      </c>
      <c r="I3356" s="361">
        <v>1</v>
      </c>
      <c r="J3356" s="362" t="s">
        <v>286</v>
      </c>
      <c r="K3356" s="363"/>
      <c r="L3356" s="129"/>
      <c r="M3356" s="129"/>
      <c r="N3356" s="129"/>
      <c r="O3356" s="129"/>
      <c r="P3356" s="364"/>
      <c r="Q3356" s="364"/>
      <c r="R3356" s="129"/>
      <c r="S3356" s="129"/>
      <c r="T3356" s="129"/>
      <c r="W3356" s="129" t="s">
        <v>286</v>
      </c>
      <c r="X3356" s="337" t="b">
        <f t="shared" si="87"/>
        <v>1</v>
      </c>
    </row>
    <row r="3357" spans="1:24" s="337" customFormat="1" ht="12" customHeight="1" outlineLevel="1">
      <c r="A3357" s="335"/>
      <c r="B3357" s="118" t="s">
        <v>12</v>
      </c>
      <c r="C3357" s="334" t="s">
        <v>11045</v>
      </c>
      <c r="D3357" s="124" t="s">
        <v>10303</v>
      </c>
      <c r="E3357" s="125"/>
      <c r="F3357" s="118" t="s">
        <v>828</v>
      </c>
      <c r="G3357" s="126" t="s">
        <v>10304</v>
      </c>
      <c r="H3357" s="255">
        <v>5</v>
      </c>
      <c r="I3357" s="361">
        <v>1</v>
      </c>
      <c r="J3357" s="362" t="s">
        <v>286</v>
      </c>
      <c r="K3357" s="363"/>
      <c r="L3357" s="129"/>
      <c r="M3357" s="129"/>
      <c r="N3357" s="129"/>
      <c r="O3357" s="129"/>
      <c r="P3357" s="364"/>
      <c r="Q3357" s="364"/>
      <c r="R3357" s="129"/>
      <c r="S3357" s="129"/>
      <c r="T3357" s="129"/>
      <c r="W3357" s="129" t="s">
        <v>286</v>
      </c>
      <c r="X3357" s="337" t="b">
        <f t="shared" si="87"/>
        <v>1</v>
      </c>
    </row>
    <row r="3358" spans="1:24" s="337" customFormat="1" ht="12" customHeight="1" outlineLevel="1">
      <c r="A3358" s="335"/>
      <c r="B3358" s="118" t="s">
        <v>12</v>
      </c>
      <c r="C3358" s="334" t="s">
        <v>11046</v>
      </c>
      <c r="D3358" s="124" t="s">
        <v>10820</v>
      </c>
      <c r="E3358" s="125"/>
      <c r="F3358" s="118" t="s">
        <v>828</v>
      </c>
      <c r="G3358" s="126" t="s">
        <v>10304</v>
      </c>
      <c r="H3358" s="255">
        <v>5</v>
      </c>
      <c r="I3358" s="361">
        <v>1</v>
      </c>
      <c r="J3358" s="362" t="s">
        <v>310</v>
      </c>
      <c r="K3358" s="363"/>
      <c r="L3358" s="129"/>
      <c r="M3358" s="129"/>
      <c r="N3358" s="129"/>
      <c r="O3358" s="129"/>
      <c r="P3358" s="364"/>
      <c r="Q3358" s="364"/>
      <c r="R3358" s="129"/>
      <c r="S3358" s="129"/>
      <c r="T3358" s="129"/>
      <c r="W3358" s="129" t="s">
        <v>286</v>
      </c>
      <c r="X3358" s="337" t="b">
        <f t="shared" si="87"/>
        <v>0</v>
      </c>
    </row>
    <row r="3359" spans="1:24" s="337" customFormat="1" ht="12" customHeight="1" outlineLevel="1">
      <c r="A3359" s="335"/>
      <c r="B3359" s="118" t="s">
        <v>12</v>
      </c>
      <c r="C3359" s="334" t="s">
        <v>11047</v>
      </c>
      <c r="D3359" s="124" t="s">
        <v>10822</v>
      </c>
      <c r="E3359" s="125"/>
      <c r="F3359" s="118" t="s">
        <v>828</v>
      </c>
      <c r="G3359" s="126" t="s">
        <v>10304</v>
      </c>
      <c r="H3359" s="255">
        <v>5</v>
      </c>
      <c r="I3359" s="361">
        <v>1</v>
      </c>
      <c r="J3359" s="362" t="s">
        <v>310</v>
      </c>
      <c r="K3359" s="363"/>
      <c r="L3359" s="129"/>
      <c r="M3359" s="129"/>
      <c r="N3359" s="129"/>
      <c r="O3359" s="129"/>
      <c r="P3359" s="364"/>
      <c r="Q3359" s="364"/>
      <c r="R3359" s="129"/>
      <c r="S3359" s="129"/>
      <c r="T3359" s="129"/>
      <c r="W3359" s="129" t="s">
        <v>286</v>
      </c>
      <c r="X3359" s="337" t="b">
        <f t="shared" si="87"/>
        <v>0</v>
      </c>
    </row>
    <row r="3360" spans="1:24" s="337" customFormat="1" ht="12" customHeight="1" outlineLevel="1">
      <c r="A3360" s="335"/>
      <c r="B3360" s="118" t="s">
        <v>12</v>
      </c>
      <c r="C3360" s="334" t="s">
        <v>11048</v>
      </c>
      <c r="D3360" s="124" t="s">
        <v>10303</v>
      </c>
      <c r="E3360" s="125"/>
      <c r="F3360" s="118" t="s">
        <v>828</v>
      </c>
      <c r="G3360" s="126" t="s">
        <v>10304</v>
      </c>
      <c r="H3360" s="255">
        <v>5</v>
      </c>
      <c r="I3360" s="361">
        <v>1</v>
      </c>
      <c r="J3360" s="362" t="s">
        <v>286</v>
      </c>
      <c r="K3360" s="363"/>
      <c r="L3360" s="129"/>
      <c r="M3360" s="129"/>
      <c r="N3360" s="129"/>
      <c r="O3360" s="129"/>
      <c r="P3360" s="364"/>
      <c r="Q3360" s="364"/>
      <c r="R3360" s="129"/>
      <c r="S3360" s="129"/>
      <c r="T3360" s="129"/>
      <c r="W3360" s="129" t="s">
        <v>310</v>
      </c>
      <c r="X3360" s="337" t="b">
        <f t="shared" si="87"/>
        <v>0</v>
      </c>
    </row>
    <row r="3361" spans="1:24" s="337" customFormat="1" ht="12" customHeight="1" outlineLevel="1">
      <c r="A3361" s="335"/>
      <c r="B3361" s="118" t="s">
        <v>12</v>
      </c>
      <c r="C3361" s="334" t="s">
        <v>11049</v>
      </c>
      <c r="D3361" s="124" t="s">
        <v>10820</v>
      </c>
      <c r="E3361" s="125"/>
      <c r="F3361" s="118" t="s">
        <v>828</v>
      </c>
      <c r="G3361" s="126" t="s">
        <v>10304</v>
      </c>
      <c r="H3361" s="255">
        <v>5</v>
      </c>
      <c r="I3361" s="361">
        <v>1</v>
      </c>
      <c r="J3361" s="362" t="s">
        <v>286</v>
      </c>
      <c r="K3361" s="363"/>
      <c r="L3361" s="129"/>
      <c r="M3361" s="129"/>
      <c r="N3361" s="129"/>
      <c r="O3361" s="129"/>
      <c r="P3361" s="364"/>
      <c r="Q3361" s="364"/>
      <c r="R3361" s="129"/>
      <c r="S3361" s="129"/>
      <c r="T3361" s="129"/>
      <c r="W3361" s="129" t="s">
        <v>286</v>
      </c>
      <c r="X3361" s="337" t="b">
        <f t="shared" si="87"/>
        <v>1</v>
      </c>
    </row>
    <row r="3362" spans="1:24" s="337" customFormat="1" ht="12" customHeight="1" outlineLevel="1">
      <c r="A3362" s="335"/>
      <c r="B3362" s="118" t="s">
        <v>12</v>
      </c>
      <c r="C3362" s="334" t="s">
        <v>11050</v>
      </c>
      <c r="D3362" s="124" t="s">
        <v>10822</v>
      </c>
      <c r="E3362" s="125"/>
      <c r="F3362" s="118" t="s">
        <v>828</v>
      </c>
      <c r="G3362" s="126" t="s">
        <v>10304</v>
      </c>
      <c r="H3362" s="255">
        <v>5</v>
      </c>
      <c r="I3362" s="361">
        <v>1</v>
      </c>
      <c r="J3362" s="362" t="s">
        <v>286</v>
      </c>
      <c r="K3362" s="363"/>
      <c r="L3362" s="129"/>
      <c r="M3362" s="129"/>
      <c r="N3362" s="129"/>
      <c r="O3362" s="129"/>
      <c r="P3362" s="364"/>
      <c r="Q3362" s="364"/>
      <c r="R3362" s="129"/>
      <c r="S3362" s="129"/>
      <c r="T3362" s="129"/>
      <c r="W3362" s="129" t="s">
        <v>286</v>
      </c>
      <c r="X3362" s="337" t="b">
        <f t="shared" si="87"/>
        <v>1</v>
      </c>
    </row>
    <row r="3363" spans="1:24" s="337" customFormat="1" ht="12" customHeight="1" outlineLevel="1">
      <c r="A3363" s="335"/>
      <c r="B3363" s="118" t="s">
        <v>12</v>
      </c>
      <c r="C3363" s="334" t="s">
        <v>11051</v>
      </c>
      <c r="D3363" s="124" t="s">
        <v>10314</v>
      </c>
      <c r="E3363" s="125"/>
      <c r="F3363" s="118" t="s">
        <v>828</v>
      </c>
      <c r="G3363" s="126" t="s">
        <v>10304</v>
      </c>
      <c r="H3363" s="255">
        <v>5</v>
      </c>
      <c r="I3363" s="361">
        <v>1</v>
      </c>
      <c r="J3363" s="362" t="s">
        <v>286</v>
      </c>
      <c r="K3363" s="363"/>
      <c r="L3363" s="129"/>
      <c r="M3363" s="129"/>
      <c r="N3363" s="129"/>
      <c r="O3363" s="129"/>
      <c r="P3363" s="364"/>
      <c r="Q3363" s="364"/>
      <c r="R3363" s="129"/>
      <c r="S3363" s="129"/>
      <c r="T3363" s="129"/>
      <c r="W3363" s="129" t="s">
        <v>286</v>
      </c>
      <c r="X3363" s="337" t="b">
        <f t="shared" si="87"/>
        <v>1</v>
      </c>
    </row>
    <row r="3364" spans="1:24" s="337" customFormat="1" ht="12" customHeight="1" outlineLevel="1">
      <c r="A3364" s="335"/>
      <c r="B3364" s="118" t="s">
        <v>12</v>
      </c>
      <c r="C3364" s="334" t="s">
        <v>11052</v>
      </c>
      <c r="D3364" s="124" t="s">
        <v>10316</v>
      </c>
      <c r="E3364" s="125"/>
      <c r="F3364" s="118" t="s">
        <v>828</v>
      </c>
      <c r="G3364" s="126" t="s">
        <v>10304</v>
      </c>
      <c r="H3364" s="255">
        <v>5</v>
      </c>
      <c r="I3364" s="361">
        <v>1</v>
      </c>
      <c r="J3364" s="362" t="s">
        <v>286</v>
      </c>
      <c r="K3364" s="363"/>
      <c r="L3364" s="129"/>
      <c r="M3364" s="129"/>
      <c r="N3364" s="129"/>
      <c r="O3364" s="129"/>
      <c r="P3364" s="364"/>
      <c r="Q3364" s="364"/>
      <c r="R3364" s="129"/>
      <c r="S3364" s="129"/>
      <c r="T3364" s="129"/>
      <c r="W3364" s="129" t="s">
        <v>286</v>
      </c>
      <c r="X3364" s="337" t="b">
        <f t="shared" si="87"/>
        <v>1</v>
      </c>
    </row>
    <row r="3365" spans="1:24" s="337" customFormat="1" ht="12" customHeight="1" outlineLevel="1">
      <c r="A3365" s="335"/>
      <c r="B3365" s="118" t="s">
        <v>12</v>
      </c>
      <c r="C3365" s="334" t="s">
        <v>11053</v>
      </c>
      <c r="D3365" s="124" t="s">
        <v>10318</v>
      </c>
      <c r="E3365" s="125"/>
      <c r="F3365" s="118" t="s">
        <v>828</v>
      </c>
      <c r="G3365" s="126" t="s">
        <v>10304</v>
      </c>
      <c r="H3365" s="255">
        <v>5</v>
      </c>
      <c r="I3365" s="361">
        <v>1</v>
      </c>
      <c r="J3365" s="362" t="s">
        <v>286</v>
      </c>
      <c r="K3365" s="363"/>
      <c r="L3365" s="129"/>
      <c r="M3365" s="129"/>
      <c r="N3365" s="129"/>
      <c r="O3365" s="129"/>
      <c r="P3365" s="364"/>
      <c r="Q3365" s="364"/>
      <c r="R3365" s="129"/>
      <c r="S3365" s="129"/>
      <c r="T3365" s="129"/>
      <c r="W3365" s="129" t="s">
        <v>286</v>
      </c>
      <c r="X3365" s="337" t="b">
        <f t="shared" si="87"/>
        <v>1</v>
      </c>
    </row>
    <row r="3366" spans="1:24" s="337" customFormat="1" ht="12" customHeight="1" outlineLevel="1">
      <c r="A3366" s="335"/>
      <c r="B3366" s="118" t="s">
        <v>12</v>
      </c>
      <c r="C3366" s="334" t="s">
        <v>11054</v>
      </c>
      <c r="D3366" s="124" t="s">
        <v>10320</v>
      </c>
      <c r="E3366" s="125"/>
      <c r="F3366" s="118" t="s">
        <v>828</v>
      </c>
      <c r="G3366" s="126" t="s">
        <v>10304</v>
      </c>
      <c r="H3366" s="255">
        <v>5</v>
      </c>
      <c r="I3366" s="361">
        <v>1</v>
      </c>
      <c r="J3366" s="362" t="s">
        <v>286</v>
      </c>
      <c r="K3366" s="363"/>
      <c r="L3366" s="129"/>
      <c r="M3366" s="129"/>
      <c r="N3366" s="129"/>
      <c r="O3366" s="129"/>
      <c r="P3366" s="364"/>
      <c r="Q3366" s="364"/>
      <c r="R3366" s="129"/>
      <c r="S3366" s="129"/>
      <c r="T3366" s="129"/>
      <c r="W3366" s="129" t="s">
        <v>286</v>
      </c>
      <c r="X3366" s="337" t="b">
        <f t="shared" si="87"/>
        <v>1</v>
      </c>
    </row>
    <row r="3367" spans="1:24" s="337" customFormat="1" ht="12" customHeight="1" outlineLevel="1">
      <c r="A3367" s="335"/>
      <c r="B3367" s="118" t="s">
        <v>12</v>
      </c>
      <c r="C3367" s="334" t="s">
        <v>11055</v>
      </c>
      <c r="D3367" s="124" t="s">
        <v>10322</v>
      </c>
      <c r="E3367" s="125"/>
      <c r="F3367" s="118" t="s">
        <v>828</v>
      </c>
      <c r="G3367" s="126" t="s">
        <v>10304</v>
      </c>
      <c r="H3367" s="255">
        <v>5</v>
      </c>
      <c r="I3367" s="361">
        <v>1</v>
      </c>
      <c r="J3367" s="362" t="s">
        <v>286</v>
      </c>
      <c r="K3367" s="363"/>
      <c r="L3367" s="129"/>
      <c r="M3367" s="129"/>
      <c r="N3367" s="129"/>
      <c r="O3367" s="129"/>
      <c r="P3367" s="364"/>
      <c r="Q3367" s="364"/>
      <c r="R3367" s="129"/>
      <c r="S3367" s="129"/>
      <c r="T3367" s="129"/>
      <c r="W3367" s="129" t="s">
        <v>286</v>
      </c>
      <c r="X3367" s="337" t="b">
        <f t="shared" si="87"/>
        <v>1</v>
      </c>
    </row>
    <row r="3368" spans="1:24" s="337" customFormat="1" ht="12" customHeight="1" outlineLevel="1">
      <c r="A3368" s="335"/>
      <c r="B3368" s="118" t="s">
        <v>12</v>
      </c>
      <c r="C3368" s="334" t="s">
        <v>11056</v>
      </c>
      <c r="D3368" s="124" t="s">
        <v>10324</v>
      </c>
      <c r="E3368" s="125"/>
      <c r="F3368" s="118" t="s">
        <v>828</v>
      </c>
      <c r="G3368" s="126" t="s">
        <v>10304</v>
      </c>
      <c r="H3368" s="255">
        <v>5</v>
      </c>
      <c r="I3368" s="361">
        <v>1</v>
      </c>
      <c r="J3368" s="362" t="s">
        <v>286</v>
      </c>
      <c r="K3368" s="363"/>
      <c r="L3368" s="129"/>
      <c r="M3368" s="129"/>
      <c r="N3368" s="129"/>
      <c r="O3368" s="129"/>
      <c r="P3368" s="364"/>
      <c r="Q3368" s="364"/>
      <c r="R3368" s="129"/>
      <c r="S3368" s="129"/>
      <c r="T3368" s="129"/>
      <c r="W3368" s="129" t="s">
        <v>286</v>
      </c>
      <c r="X3368" s="337" t="b">
        <f t="shared" si="87"/>
        <v>1</v>
      </c>
    </row>
    <row r="3369" spans="1:24" s="337" customFormat="1" ht="12" customHeight="1" outlineLevel="1">
      <c r="A3369" s="335"/>
      <c r="B3369" s="118" t="s">
        <v>12</v>
      </c>
      <c r="C3369" s="334" t="s">
        <v>11057</v>
      </c>
      <c r="D3369" s="124" t="s">
        <v>10326</v>
      </c>
      <c r="E3369" s="125"/>
      <c r="F3369" s="118" t="s">
        <v>828</v>
      </c>
      <c r="G3369" s="126" t="s">
        <v>10304</v>
      </c>
      <c r="H3369" s="255">
        <v>5</v>
      </c>
      <c r="I3369" s="361">
        <v>1</v>
      </c>
      <c r="J3369" s="362" t="s">
        <v>286</v>
      </c>
      <c r="K3369" s="363"/>
      <c r="L3369" s="129"/>
      <c r="M3369" s="129"/>
      <c r="N3369" s="129"/>
      <c r="O3369" s="129"/>
      <c r="P3369" s="364"/>
      <c r="Q3369" s="364"/>
      <c r="R3369" s="129"/>
      <c r="S3369" s="129"/>
      <c r="T3369" s="129"/>
      <c r="W3369" s="129" t="s">
        <v>286</v>
      </c>
      <c r="X3369" s="337" t="b">
        <f t="shared" si="87"/>
        <v>1</v>
      </c>
    </row>
    <row r="3370" spans="1:24" s="337" customFormat="1" ht="12" customHeight="1" outlineLevel="1">
      <c r="A3370" s="335"/>
      <c r="B3370" s="118" t="s">
        <v>12</v>
      </c>
      <c r="C3370" s="334" t="s">
        <v>11058</v>
      </c>
      <c r="D3370" s="124" t="s">
        <v>10328</v>
      </c>
      <c r="E3370" s="125"/>
      <c r="F3370" s="118" t="s">
        <v>828</v>
      </c>
      <c r="G3370" s="126" t="s">
        <v>10304</v>
      </c>
      <c r="H3370" s="255">
        <v>5</v>
      </c>
      <c r="I3370" s="361">
        <v>1</v>
      </c>
      <c r="J3370" s="362" t="s">
        <v>286</v>
      </c>
      <c r="K3370" s="363"/>
      <c r="L3370" s="129"/>
      <c r="M3370" s="129"/>
      <c r="N3370" s="129"/>
      <c r="O3370" s="129"/>
      <c r="P3370" s="364"/>
      <c r="Q3370" s="364"/>
      <c r="R3370" s="129"/>
      <c r="S3370" s="129"/>
      <c r="T3370" s="129"/>
      <c r="W3370" s="129" t="s">
        <v>286</v>
      </c>
      <c r="X3370" s="337" t="b">
        <f t="shared" si="87"/>
        <v>1</v>
      </c>
    </row>
    <row r="3371" spans="1:24" s="337" customFormat="1" ht="12" customHeight="1" outlineLevel="1">
      <c r="A3371" s="335"/>
      <c r="B3371" s="118" t="s">
        <v>12</v>
      </c>
      <c r="C3371" s="334" t="s">
        <v>11059</v>
      </c>
      <c r="D3371" s="124" t="s">
        <v>10330</v>
      </c>
      <c r="E3371" s="125"/>
      <c r="F3371" s="118" t="s">
        <v>828</v>
      </c>
      <c r="G3371" s="126" t="s">
        <v>10304</v>
      </c>
      <c r="H3371" s="255">
        <v>5</v>
      </c>
      <c r="I3371" s="361">
        <v>1</v>
      </c>
      <c r="J3371" s="362" t="s">
        <v>286</v>
      </c>
      <c r="K3371" s="363"/>
      <c r="L3371" s="129"/>
      <c r="M3371" s="129"/>
      <c r="N3371" s="129"/>
      <c r="O3371" s="129"/>
      <c r="P3371" s="364"/>
      <c r="Q3371" s="364"/>
      <c r="R3371" s="129"/>
      <c r="S3371" s="129"/>
      <c r="T3371" s="129"/>
      <c r="W3371" s="129" t="s">
        <v>286</v>
      </c>
      <c r="X3371" s="337" t="b">
        <f t="shared" si="87"/>
        <v>1</v>
      </c>
    </row>
    <row r="3372" spans="1:24" s="337" customFormat="1" ht="12" customHeight="1" outlineLevel="1">
      <c r="A3372" s="335"/>
      <c r="B3372" s="118" t="s">
        <v>12</v>
      </c>
      <c r="C3372" s="334" t="s">
        <v>11060</v>
      </c>
      <c r="D3372" s="124" t="s">
        <v>10332</v>
      </c>
      <c r="E3372" s="125"/>
      <c r="F3372" s="118" t="s">
        <v>828</v>
      </c>
      <c r="G3372" s="126" t="s">
        <v>10304</v>
      </c>
      <c r="H3372" s="255">
        <v>5</v>
      </c>
      <c r="I3372" s="361">
        <v>1</v>
      </c>
      <c r="J3372" s="362" t="s">
        <v>286</v>
      </c>
      <c r="K3372" s="363"/>
      <c r="L3372" s="129"/>
      <c r="M3372" s="129"/>
      <c r="N3372" s="129"/>
      <c r="O3372" s="129"/>
      <c r="P3372" s="364"/>
      <c r="Q3372" s="364"/>
      <c r="R3372" s="129"/>
      <c r="S3372" s="129"/>
      <c r="T3372" s="129"/>
      <c r="W3372" s="129" t="s">
        <v>286</v>
      </c>
      <c r="X3372" s="337" t="b">
        <f t="shared" si="87"/>
        <v>1</v>
      </c>
    </row>
    <row r="3373" spans="1:24" s="337" customFormat="1" ht="12" customHeight="1" outlineLevel="1">
      <c r="A3373" s="335"/>
      <c r="B3373" s="118" t="s">
        <v>12</v>
      </c>
      <c r="C3373" s="334" t="s">
        <v>11061</v>
      </c>
      <c r="D3373" s="124" t="s">
        <v>10334</v>
      </c>
      <c r="E3373" s="125"/>
      <c r="F3373" s="118" t="s">
        <v>828</v>
      </c>
      <c r="G3373" s="126" t="s">
        <v>10304</v>
      </c>
      <c r="H3373" s="255">
        <v>5</v>
      </c>
      <c r="I3373" s="361">
        <v>1</v>
      </c>
      <c r="J3373" s="362" t="s">
        <v>310</v>
      </c>
      <c r="K3373" s="363"/>
      <c r="L3373" s="129"/>
      <c r="M3373" s="129"/>
      <c r="N3373" s="129"/>
      <c r="O3373" s="129"/>
      <c r="P3373" s="364"/>
      <c r="Q3373" s="364"/>
      <c r="R3373" s="129"/>
      <c r="S3373" s="129"/>
      <c r="T3373" s="129"/>
      <c r="W3373" s="129" t="s">
        <v>286</v>
      </c>
      <c r="X3373" s="337" t="b">
        <f t="shared" si="87"/>
        <v>0</v>
      </c>
    </row>
    <row r="3374" spans="1:24" s="337" customFormat="1" ht="12" customHeight="1" outlineLevel="1">
      <c r="A3374" s="335"/>
      <c r="B3374" s="118" t="s">
        <v>12</v>
      </c>
      <c r="C3374" s="334" t="s">
        <v>11062</v>
      </c>
      <c r="D3374" s="124" t="s">
        <v>10336</v>
      </c>
      <c r="E3374" s="125"/>
      <c r="F3374" s="118" t="s">
        <v>828</v>
      </c>
      <c r="G3374" s="126" t="s">
        <v>10304</v>
      </c>
      <c r="H3374" s="255">
        <v>5</v>
      </c>
      <c r="I3374" s="361">
        <v>1</v>
      </c>
      <c r="J3374" s="362" t="s">
        <v>286</v>
      </c>
      <c r="K3374" s="363"/>
      <c r="L3374" s="129"/>
      <c r="M3374" s="129"/>
      <c r="N3374" s="129"/>
      <c r="O3374" s="129"/>
      <c r="P3374" s="364"/>
      <c r="Q3374" s="364"/>
      <c r="R3374" s="129"/>
      <c r="S3374" s="129"/>
      <c r="T3374" s="129"/>
      <c r="W3374" s="129" t="s">
        <v>286</v>
      </c>
      <c r="X3374" s="337" t="b">
        <f t="shared" si="87"/>
        <v>1</v>
      </c>
    </row>
    <row r="3375" spans="1:24" s="337" customFormat="1" ht="12" customHeight="1" outlineLevel="1">
      <c r="A3375" s="335"/>
      <c r="B3375" s="118" t="s">
        <v>12</v>
      </c>
      <c r="C3375" s="334" t="s">
        <v>11063</v>
      </c>
      <c r="D3375" s="124" t="s">
        <v>10338</v>
      </c>
      <c r="E3375" s="125"/>
      <c r="F3375" s="118" t="s">
        <v>828</v>
      </c>
      <c r="G3375" s="126" t="s">
        <v>10304</v>
      </c>
      <c r="H3375" s="255">
        <v>5</v>
      </c>
      <c r="I3375" s="361">
        <v>1</v>
      </c>
      <c r="J3375" s="362" t="s">
        <v>310</v>
      </c>
      <c r="K3375" s="363"/>
      <c r="L3375" s="129"/>
      <c r="M3375" s="129"/>
      <c r="N3375" s="129"/>
      <c r="O3375" s="129"/>
      <c r="P3375" s="364"/>
      <c r="Q3375" s="364"/>
      <c r="R3375" s="129"/>
      <c r="S3375" s="129"/>
      <c r="T3375" s="129"/>
      <c r="W3375" s="129" t="s">
        <v>286</v>
      </c>
      <c r="X3375" s="337" t="b">
        <f t="shared" si="87"/>
        <v>0</v>
      </c>
    </row>
    <row r="3376" spans="1:24" s="337" customFormat="1" ht="12" customHeight="1" outlineLevel="1">
      <c r="A3376" s="335"/>
      <c r="B3376" s="118" t="s">
        <v>12</v>
      </c>
      <c r="C3376" s="334" t="s">
        <v>11064</v>
      </c>
      <c r="D3376" s="124" t="s">
        <v>10340</v>
      </c>
      <c r="E3376" s="125"/>
      <c r="F3376" s="118" t="s">
        <v>828</v>
      </c>
      <c r="G3376" s="126" t="s">
        <v>10304</v>
      </c>
      <c r="H3376" s="255">
        <v>5</v>
      </c>
      <c r="I3376" s="361">
        <v>1</v>
      </c>
      <c r="J3376" s="362" t="s">
        <v>310</v>
      </c>
      <c r="K3376" s="363"/>
      <c r="L3376" s="129"/>
      <c r="M3376" s="129"/>
      <c r="N3376" s="129"/>
      <c r="O3376" s="129"/>
      <c r="P3376" s="364"/>
      <c r="Q3376" s="364"/>
      <c r="R3376" s="129"/>
      <c r="S3376" s="129"/>
      <c r="T3376" s="129"/>
      <c r="W3376" s="129" t="s">
        <v>286</v>
      </c>
      <c r="X3376" s="337" t="b">
        <f t="shared" si="87"/>
        <v>0</v>
      </c>
    </row>
    <row r="3377" spans="1:24" s="337" customFormat="1" ht="12" customHeight="1" outlineLevel="1">
      <c r="A3377" s="335"/>
      <c r="B3377" s="118" t="s">
        <v>12</v>
      </c>
      <c r="C3377" s="334" t="s">
        <v>11065</v>
      </c>
      <c r="D3377" s="124" t="s">
        <v>10342</v>
      </c>
      <c r="E3377" s="125"/>
      <c r="F3377" s="118" t="s">
        <v>828</v>
      </c>
      <c r="G3377" s="126" t="s">
        <v>10304</v>
      </c>
      <c r="H3377" s="255">
        <v>5</v>
      </c>
      <c r="I3377" s="361">
        <v>1</v>
      </c>
      <c r="J3377" s="362" t="s">
        <v>310</v>
      </c>
      <c r="K3377" s="363"/>
      <c r="L3377" s="129"/>
      <c r="M3377" s="129"/>
      <c r="N3377" s="129"/>
      <c r="O3377" s="129"/>
      <c r="P3377" s="364"/>
      <c r="Q3377" s="364"/>
      <c r="R3377" s="129"/>
      <c r="S3377" s="129"/>
      <c r="T3377" s="129"/>
      <c r="W3377" s="129" t="s">
        <v>286</v>
      </c>
      <c r="X3377" s="337" t="b">
        <f t="shared" si="87"/>
        <v>0</v>
      </c>
    </row>
    <row r="3378" spans="1:24" s="337" customFormat="1" ht="12" customHeight="1" outlineLevel="1">
      <c r="A3378" s="335"/>
      <c r="B3378" s="118" t="s">
        <v>12</v>
      </c>
      <c r="C3378" s="334" t="s">
        <v>11066</v>
      </c>
      <c r="D3378" s="124" t="s">
        <v>10344</v>
      </c>
      <c r="E3378" s="125"/>
      <c r="F3378" s="118" t="s">
        <v>828</v>
      </c>
      <c r="G3378" s="126" t="s">
        <v>10304</v>
      </c>
      <c r="H3378" s="255">
        <v>5</v>
      </c>
      <c r="I3378" s="361">
        <v>1</v>
      </c>
      <c r="J3378" s="362" t="s">
        <v>310</v>
      </c>
      <c r="K3378" s="363"/>
      <c r="L3378" s="129"/>
      <c r="M3378" s="129"/>
      <c r="N3378" s="129"/>
      <c r="O3378" s="129"/>
      <c r="P3378" s="364"/>
      <c r="Q3378" s="364"/>
      <c r="R3378" s="129"/>
      <c r="S3378" s="129"/>
      <c r="T3378" s="129"/>
      <c r="W3378" s="129" t="s">
        <v>286</v>
      </c>
      <c r="X3378" s="337" t="b">
        <f t="shared" si="87"/>
        <v>0</v>
      </c>
    </row>
    <row r="3379" spans="1:24" s="337" customFormat="1" ht="12" customHeight="1" outlineLevel="1">
      <c r="A3379" s="335"/>
      <c r="B3379" s="118" t="s">
        <v>12</v>
      </c>
      <c r="C3379" s="334" t="s">
        <v>11067</v>
      </c>
      <c r="D3379" s="124" t="s">
        <v>10346</v>
      </c>
      <c r="E3379" s="125"/>
      <c r="F3379" s="118" t="s">
        <v>828</v>
      </c>
      <c r="G3379" s="126" t="s">
        <v>10304</v>
      </c>
      <c r="H3379" s="255">
        <v>5</v>
      </c>
      <c r="I3379" s="361">
        <v>1</v>
      </c>
      <c r="J3379" s="362" t="s">
        <v>310</v>
      </c>
      <c r="K3379" s="363"/>
      <c r="L3379" s="129"/>
      <c r="M3379" s="129"/>
      <c r="N3379" s="129"/>
      <c r="O3379" s="129"/>
      <c r="P3379" s="364"/>
      <c r="Q3379" s="364"/>
      <c r="R3379" s="129"/>
      <c r="S3379" s="129"/>
      <c r="T3379" s="129"/>
      <c r="W3379" s="129" t="s">
        <v>286</v>
      </c>
      <c r="X3379" s="337" t="b">
        <f t="shared" si="87"/>
        <v>0</v>
      </c>
    </row>
    <row r="3380" spans="1:24" s="337" customFormat="1" ht="12" customHeight="1" outlineLevel="1">
      <c r="A3380" s="335"/>
      <c r="B3380" s="118" t="s">
        <v>12</v>
      </c>
      <c r="C3380" s="334" t="s">
        <v>11068</v>
      </c>
      <c r="D3380" s="124" t="s">
        <v>10348</v>
      </c>
      <c r="E3380" s="125"/>
      <c r="F3380" s="118" t="s">
        <v>828</v>
      </c>
      <c r="G3380" s="126" t="s">
        <v>10304</v>
      </c>
      <c r="H3380" s="255">
        <v>5</v>
      </c>
      <c r="I3380" s="361">
        <v>1</v>
      </c>
      <c r="J3380" s="362" t="s">
        <v>310</v>
      </c>
      <c r="K3380" s="363"/>
      <c r="L3380" s="129"/>
      <c r="M3380" s="129"/>
      <c r="N3380" s="129"/>
      <c r="O3380" s="129"/>
      <c r="P3380" s="364"/>
      <c r="Q3380" s="364"/>
      <c r="R3380" s="129"/>
      <c r="S3380" s="129"/>
      <c r="T3380" s="129"/>
      <c r="W3380" s="129" t="s">
        <v>286</v>
      </c>
      <c r="X3380" s="337" t="b">
        <f t="shared" si="87"/>
        <v>0</v>
      </c>
    </row>
    <row r="3381" spans="1:24" s="337" customFormat="1" ht="12" customHeight="1" outlineLevel="1">
      <c r="A3381" s="335"/>
      <c r="B3381" s="118" t="s">
        <v>12</v>
      </c>
      <c r="C3381" s="334" t="s">
        <v>11069</v>
      </c>
      <c r="D3381" s="124" t="s">
        <v>10350</v>
      </c>
      <c r="E3381" s="125"/>
      <c r="F3381" s="118" t="s">
        <v>828</v>
      </c>
      <c r="G3381" s="126" t="s">
        <v>10304</v>
      </c>
      <c r="H3381" s="255">
        <v>5</v>
      </c>
      <c r="I3381" s="361">
        <v>1</v>
      </c>
      <c r="J3381" s="362" t="s">
        <v>310</v>
      </c>
      <c r="K3381" s="363"/>
      <c r="L3381" s="129"/>
      <c r="M3381" s="129"/>
      <c r="N3381" s="129"/>
      <c r="O3381" s="129"/>
      <c r="P3381" s="364"/>
      <c r="Q3381" s="364"/>
      <c r="R3381" s="129"/>
      <c r="S3381" s="129"/>
      <c r="T3381" s="129"/>
      <c r="W3381" s="129" t="s">
        <v>286</v>
      </c>
      <c r="X3381" s="337" t="b">
        <f t="shared" si="87"/>
        <v>0</v>
      </c>
    </row>
    <row r="3382" spans="1:24" s="337" customFormat="1" ht="12" customHeight="1" outlineLevel="1">
      <c r="A3382" s="335"/>
      <c r="B3382" s="118" t="s">
        <v>12</v>
      </c>
      <c r="C3382" s="334" t="s">
        <v>11070</v>
      </c>
      <c r="D3382" s="124" t="s">
        <v>10352</v>
      </c>
      <c r="E3382" s="125"/>
      <c r="F3382" s="118" t="s">
        <v>828</v>
      </c>
      <c r="G3382" s="126" t="s">
        <v>10304</v>
      </c>
      <c r="H3382" s="255">
        <v>5</v>
      </c>
      <c r="I3382" s="361">
        <v>1</v>
      </c>
      <c r="J3382" s="362" t="s">
        <v>310</v>
      </c>
      <c r="K3382" s="363"/>
      <c r="L3382" s="129"/>
      <c r="M3382" s="129"/>
      <c r="N3382" s="129"/>
      <c r="O3382" s="129"/>
      <c r="P3382" s="364"/>
      <c r="Q3382" s="364"/>
      <c r="R3382" s="129"/>
      <c r="S3382" s="129"/>
      <c r="T3382" s="129"/>
      <c r="W3382" s="129" t="s">
        <v>286</v>
      </c>
      <c r="X3382" s="337" t="b">
        <f t="shared" si="87"/>
        <v>0</v>
      </c>
    </row>
    <row r="3383" spans="1:24" s="337" customFormat="1" ht="12" customHeight="1" outlineLevel="1">
      <c r="A3383" s="335"/>
      <c r="B3383" s="118" t="s">
        <v>12</v>
      </c>
      <c r="C3383" s="334" t="s">
        <v>11071</v>
      </c>
      <c r="D3383" s="124" t="s">
        <v>10354</v>
      </c>
      <c r="E3383" s="125"/>
      <c r="F3383" s="118" t="s">
        <v>828</v>
      </c>
      <c r="G3383" s="126" t="s">
        <v>10304</v>
      </c>
      <c r="H3383" s="255">
        <v>5</v>
      </c>
      <c r="I3383" s="361">
        <v>1</v>
      </c>
      <c r="J3383" s="362" t="s">
        <v>310</v>
      </c>
      <c r="K3383" s="363"/>
      <c r="L3383" s="129"/>
      <c r="M3383" s="129"/>
      <c r="N3383" s="129"/>
      <c r="O3383" s="129"/>
      <c r="P3383" s="364"/>
      <c r="Q3383" s="364"/>
      <c r="R3383" s="129"/>
      <c r="S3383" s="129"/>
      <c r="T3383" s="129"/>
      <c r="W3383" s="129" t="s">
        <v>286</v>
      </c>
      <c r="X3383" s="337" t="b">
        <f t="shared" si="87"/>
        <v>0</v>
      </c>
    </row>
    <row r="3384" spans="1:24" s="337" customFormat="1" ht="12" customHeight="1" outlineLevel="1">
      <c r="A3384" s="335"/>
      <c r="B3384" s="118" t="s">
        <v>12</v>
      </c>
      <c r="C3384" s="334" t="s">
        <v>11072</v>
      </c>
      <c r="D3384" s="124" t="s">
        <v>10356</v>
      </c>
      <c r="E3384" s="125"/>
      <c r="F3384" s="118" t="s">
        <v>828</v>
      </c>
      <c r="G3384" s="126" t="s">
        <v>10304</v>
      </c>
      <c r="H3384" s="255">
        <v>5</v>
      </c>
      <c r="I3384" s="361">
        <v>1</v>
      </c>
      <c r="J3384" s="362" t="s">
        <v>310</v>
      </c>
      <c r="K3384" s="363"/>
      <c r="L3384" s="129"/>
      <c r="M3384" s="129"/>
      <c r="N3384" s="129"/>
      <c r="O3384" s="129"/>
      <c r="P3384" s="364"/>
      <c r="Q3384" s="364"/>
      <c r="R3384" s="129"/>
      <c r="S3384" s="129"/>
      <c r="T3384" s="129"/>
      <c r="W3384" s="129" t="s">
        <v>286</v>
      </c>
      <c r="X3384" s="337" t="b">
        <f t="shared" si="87"/>
        <v>0</v>
      </c>
    </row>
    <row r="3385" spans="1:24" s="337" customFormat="1" ht="12" customHeight="1" outlineLevel="1">
      <c r="A3385" s="335"/>
      <c r="B3385" s="118" t="s">
        <v>12</v>
      </c>
      <c r="C3385" s="334" t="s">
        <v>11073</v>
      </c>
      <c r="D3385" s="124" t="s">
        <v>10358</v>
      </c>
      <c r="E3385" s="125"/>
      <c r="F3385" s="118" t="s">
        <v>828</v>
      </c>
      <c r="G3385" s="126" t="s">
        <v>10304</v>
      </c>
      <c r="H3385" s="255">
        <v>5</v>
      </c>
      <c r="I3385" s="361">
        <v>1</v>
      </c>
      <c r="J3385" s="362" t="s">
        <v>310</v>
      </c>
      <c r="K3385" s="363"/>
      <c r="L3385" s="129"/>
      <c r="M3385" s="129"/>
      <c r="N3385" s="129"/>
      <c r="O3385" s="129"/>
      <c r="P3385" s="364"/>
      <c r="Q3385" s="364"/>
      <c r="R3385" s="129"/>
      <c r="S3385" s="129"/>
      <c r="T3385" s="129"/>
      <c r="W3385" s="129" t="s">
        <v>286</v>
      </c>
      <c r="X3385" s="337" t="b">
        <f t="shared" si="87"/>
        <v>0</v>
      </c>
    </row>
    <row r="3386" spans="1:24" s="337" customFormat="1" ht="12" customHeight="1" outlineLevel="1">
      <c r="A3386" s="335"/>
      <c r="B3386" s="118" t="s">
        <v>12</v>
      </c>
      <c r="C3386" s="334" t="s">
        <v>11074</v>
      </c>
      <c r="D3386" s="124" t="s">
        <v>10847</v>
      </c>
      <c r="E3386" s="125"/>
      <c r="F3386" s="118" t="s">
        <v>828</v>
      </c>
      <c r="G3386" s="126" t="s">
        <v>10304</v>
      </c>
      <c r="H3386" s="255">
        <v>5</v>
      </c>
      <c r="I3386" s="361">
        <v>1</v>
      </c>
      <c r="J3386" s="362" t="s">
        <v>286</v>
      </c>
      <c r="K3386" s="363"/>
      <c r="L3386" s="129"/>
      <c r="M3386" s="129"/>
      <c r="N3386" s="129"/>
      <c r="O3386" s="129"/>
      <c r="P3386" s="364"/>
      <c r="Q3386" s="364"/>
      <c r="R3386" s="129"/>
      <c r="S3386" s="129"/>
      <c r="T3386" s="129"/>
      <c r="W3386" s="129" t="s">
        <v>286</v>
      </c>
      <c r="X3386" s="337" t="b">
        <f t="shared" si="87"/>
        <v>1</v>
      </c>
    </row>
    <row r="3387" spans="1:24" s="337" customFormat="1" ht="12" customHeight="1" outlineLevel="1">
      <c r="A3387" s="335"/>
      <c r="B3387" s="118" t="s">
        <v>12</v>
      </c>
      <c r="C3387" s="334" t="s">
        <v>11075</v>
      </c>
      <c r="D3387" s="124" t="s">
        <v>10362</v>
      </c>
      <c r="E3387" s="125"/>
      <c r="F3387" s="118" t="s">
        <v>828</v>
      </c>
      <c r="G3387" s="126" t="s">
        <v>10304</v>
      </c>
      <c r="H3387" s="255">
        <v>5</v>
      </c>
      <c r="I3387" s="361">
        <v>1</v>
      </c>
      <c r="J3387" s="362" t="s">
        <v>310</v>
      </c>
      <c r="K3387" s="363"/>
      <c r="L3387" s="129"/>
      <c r="M3387" s="129"/>
      <c r="N3387" s="129"/>
      <c r="O3387" s="129"/>
      <c r="P3387" s="364"/>
      <c r="Q3387" s="364"/>
      <c r="R3387" s="129"/>
      <c r="S3387" s="129"/>
      <c r="T3387" s="129"/>
      <c r="W3387" s="129" t="s">
        <v>286</v>
      </c>
      <c r="X3387" s="337" t="b">
        <f t="shared" si="87"/>
        <v>0</v>
      </c>
    </row>
    <row r="3388" spans="1:24" s="337" customFormat="1" ht="12" customHeight="1" outlineLevel="1">
      <c r="A3388" s="335"/>
      <c r="B3388" s="118" t="s">
        <v>12</v>
      </c>
      <c r="C3388" s="334" t="s">
        <v>11076</v>
      </c>
      <c r="D3388" s="124" t="s">
        <v>10364</v>
      </c>
      <c r="E3388" s="125"/>
      <c r="F3388" s="118" t="s">
        <v>828</v>
      </c>
      <c r="G3388" s="126" t="s">
        <v>10304</v>
      </c>
      <c r="H3388" s="255">
        <v>5</v>
      </c>
      <c r="I3388" s="361">
        <v>1</v>
      </c>
      <c r="J3388" s="362" t="s">
        <v>310</v>
      </c>
      <c r="K3388" s="363"/>
      <c r="L3388" s="129"/>
      <c r="M3388" s="129"/>
      <c r="N3388" s="129"/>
      <c r="O3388" s="129"/>
      <c r="P3388" s="364"/>
      <c r="Q3388" s="364"/>
      <c r="R3388" s="129"/>
      <c r="S3388" s="129"/>
      <c r="T3388" s="129"/>
      <c r="W3388" s="129" t="s">
        <v>286</v>
      </c>
      <c r="X3388" s="337" t="b">
        <f t="shared" si="87"/>
        <v>0</v>
      </c>
    </row>
    <row r="3389" spans="1:24" s="337" customFormat="1" ht="12" customHeight="1" outlineLevel="1">
      <c r="A3389" s="335"/>
      <c r="B3389" s="118" t="s">
        <v>12</v>
      </c>
      <c r="C3389" s="334" t="s">
        <v>11077</v>
      </c>
      <c r="D3389" s="124" t="s">
        <v>10366</v>
      </c>
      <c r="E3389" s="125"/>
      <c r="F3389" s="118" t="s">
        <v>828</v>
      </c>
      <c r="G3389" s="126" t="s">
        <v>10304</v>
      </c>
      <c r="H3389" s="255">
        <v>5</v>
      </c>
      <c r="I3389" s="361">
        <v>1</v>
      </c>
      <c r="J3389" s="362" t="s">
        <v>310</v>
      </c>
      <c r="K3389" s="363"/>
      <c r="L3389" s="129"/>
      <c r="M3389" s="129"/>
      <c r="N3389" s="129"/>
      <c r="O3389" s="129"/>
      <c r="P3389" s="364"/>
      <c r="Q3389" s="364"/>
      <c r="R3389" s="129"/>
      <c r="S3389" s="129"/>
      <c r="T3389" s="129"/>
      <c r="W3389" s="129" t="s">
        <v>286</v>
      </c>
      <c r="X3389" s="337" t="b">
        <f t="shared" si="87"/>
        <v>0</v>
      </c>
    </row>
    <row r="3390" spans="1:24" s="337" customFormat="1" ht="12" customHeight="1" outlineLevel="1">
      <c r="A3390" s="335"/>
      <c r="B3390" s="118" t="s">
        <v>12</v>
      </c>
      <c r="C3390" s="334" t="s">
        <v>11078</v>
      </c>
      <c r="D3390" s="124" t="s">
        <v>10368</v>
      </c>
      <c r="E3390" s="125"/>
      <c r="F3390" s="118" t="s">
        <v>828</v>
      </c>
      <c r="G3390" s="126" t="s">
        <v>10304</v>
      </c>
      <c r="H3390" s="255">
        <v>5</v>
      </c>
      <c r="I3390" s="361">
        <v>1</v>
      </c>
      <c r="J3390" s="362" t="s">
        <v>310</v>
      </c>
      <c r="K3390" s="363"/>
      <c r="L3390" s="129"/>
      <c r="M3390" s="129"/>
      <c r="N3390" s="129"/>
      <c r="O3390" s="129"/>
      <c r="P3390" s="364"/>
      <c r="Q3390" s="364"/>
      <c r="R3390" s="129"/>
      <c r="S3390" s="129"/>
      <c r="T3390" s="129"/>
      <c r="W3390" s="129" t="s">
        <v>286</v>
      </c>
      <c r="X3390" s="337" t="b">
        <f t="shared" si="87"/>
        <v>0</v>
      </c>
    </row>
    <row r="3391" spans="1:24" s="337" customFormat="1" ht="12" customHeight="1" outlineLevel="1">
      <c r="A3391" s="335"/>
      <c r="B3391" s="118" t="s">
        <v>12</v>
      </c>
      <c r="C3391" s="334" t="s">
        <v>11079</v>
      </c>
      <c r="D3391" s="124" t="s">
        <v>10370</v>
      </c>
      <c r="E3391" s="125"/>
      <c r="F3391" s="118" t="s">
        <v>828</v>
      </c>
      <c r="G3391" s="126" t="s">
        <v>10304</v>
      </c>
      <c r="H3391" s="255">
        <v>5</v>
      </c>
      <c r="I3391" s="361">
        <v>1</v>
      </c>
      <c r="J3391" s="362" t="s">
        <v>286</v>
      </c>
      <c r="K3391" s="363"/>
      <c r="L3391" s="129"/>
      <c r="M3391" s="129"/>
      <c r="N3391" s="129"/>
      <c r="O3391" s="129"/>
      <c r="P3391" s="364"/>
      <c r="Q3391" s="364"/>
      <c r="R3391" s="129"/>
      <c r="S3391" s="129"/>
      <c r="T3391" s="129"/>
      <c r="W3391" s="129" t="s">
        <v>286</v>
      </c>
      <c r="X3391" s="337" t="b">
        <f t="shared" si="87"/>
        <v>1</v>
      </c>
    </row>
    <row r="3392" spans="1:24" s="337" customFormat="1" ht="12" customHeight="1" outlineLevel="1">
      <c r="A3392" s="335"/>
      <c r="B3392" s="118" t="s">
        <v>12</v>
      </c>
      <c r="C3392" s="334" t="s">
        <v>11080</v>
      </c>
      <c r="D3392" s="124" t="s">
        <v>10372</v>
      </c>
      <c r="E3392" s="125"/>
      <c r="F3392" s="118" t="s">
        <v>828</v>
      </c>
      <c r="G3392" s="126" t="s">
        <v>10304</v>
      </c>
      <c r="H3392" s="255">
        <v>5</v>
      </c>
      <c r="I3392" s="361">
        <v>1</v>
      </c>
      <c r="J3392" s="362" t="s">
        <v>286</v>
      </c>
      <c r="K3392" s="363"/>
      <c r="L3392" s="129"/>
      <c r="M3392" s="129"/>
      <c r="N3392" s="129"/>
      <c r="O3392" s="129"/>
      <c r="P3392" s="364"/>
      <c r="Q3392" s="364"/>
      <c r="R3392" s="129"/>
      <c r="S3392" s="129"/>
      <c r="T3392" s="129"/>
      <c r="W3392" s="129" t="s">
        <v>286</v>
      </c>
      <c r="X3392" s="337" t="b">
        <f t="shared" si="87"/>
        <v>1</v>
      </c>
    </row>
    <row r="3393" spans="1:24" s="337" customFormat="1" ht="12" customHeight="1" outlineLevel="1">
      <c r="A3393" s="335"/>
      <c r="B3393" s="118" t="s">
        <v>12</v>
      </c>
      <c r="C3393" s="334" t="s">
        <v>11081</v>
      </c>
      <c r="D3393" s="124" t="s">
        <v>10374</v>
      </c>
      <c r="E3393" s="125"/>
      <c r="F3393" s="118" t="s">
        <v>828</v>
      </c>
      <c r="G3393" s="126" t="s">
        <v>10304</v>
      </c>
      <c r="H3393" s="255">
        <v>5</v>
      </c>
      <c r="I3393" s="361">
        <v>1</v>
      </c>
      <c r="J3393" s="362" t="s">
        <v>310</v>
      </c>
      <c r="K3393" s="363"/>
      <c r="L3393" s="129"/>
      <c r="M3393" s="129"/>
      <c r="N3393" s="129"/>
      <c r="O3393" s="129"/>
      <c r="P3393" s="364"/>
      <c r="Q3393" s="364"/>
      <c r="R3393" s="129"/>
      <c r="S3393" s="129"/>
      <c r="T3393" s="129"/>
      <c r="W3393" s="129" t="s">
        <v>286</v>
      </c>
      <c r="X3393" s="337" t="b">
        <f t="shared" si="87"/>
        <v>0</v>
      </c>
    </row>
    <row r="3394" spans="1:24" s="337" customFormat="1" ht="12" customHeight="1" outlineLevel="1">
      <c r="A3394" s="335"/>
      <c r="B3394" s="118" t="s">
        <v>12</v>
      </c>
      <c r="C3394" s="334" t="s">
        <v>11082</v>
      </c>
      <c r="D3394" s="124" t="s">
        <v>10376</v>
      </c>
      <c r="E3394" s="125"/>
      <c r="F3394" s="118" t="s">
        <v>828</v>
      </c>
      <c r="G3394" s="126" t="s">
        <v>10304</v>
      </c>
      <c r="H3394" s="255">
        <v>5</v>
      </c>
      <c r="I3394" s="361">
        <v>1</v>
      </c>
      <c r="J3394" s="362" t="s">
        <v>310</v>
      </c>
      <c r="K3394" s="363"/>
      <c r="L3394" s="129"/>
      <c r="M3394" s="129"/>
      <c r="N3394" s="129"/>
      <c r="O3394" s="129"/>
      <c r="P3394" s="364"/>
      <c r="Q3394" s="364"/>
      <c r="R3394" s="129"/>
      <c r="S3394" s="129"/>
      <c r="T3394" s="129"/>
      <c r="W3394" s="129" t="s">
        <v>286</v>
      </c>
      <c r="X3394" s="337" t="b">
        <f t="shared" si="87"/>
        <v>0</v>
      </c>
    </row>
    <row r="3395" spans="1:24" s="337" customFormat="1" ht="12" customHeight="1" outlineLevel="1">
      <c r="A3395" s="335"/>
      <c r="B3395" s="118" t="s">
        <v>12</v>
      </c>
      <c r="C3395" s="334" t="s">
        <v>11083</v>
      </c>
      <c r="D3395" s="124" t="s">
        <v>10378</v>
      </c>
      <c r="E3395" s="125"/>
      <c r="F3395" s="118" t="s">
        <v>828</v>
      </c>
      <c r="G3395" s="126" t="s">
        <v>10304</v>
      </c>
      <c r="H3395" s="255">
        <v>5</v>
      </c>
      <c r="I3395" s="361">
        <v>1</v>
      </c>
      <c r="J3395" s="362" t="s">
        <v>286</v>
      </c>
      <c r="K3395" s="363"/>
      <c r="L3395" s="129"/>
      <c r="M3395" s="129"/>
      <c r="N3395" s="129"/>
      <c r="O3395" s="129"/>
      <c r="P3395" s="364"/>
      <c r="Q3395" s="364"/>
      <c r="R3395" s="129"/>
      <c r="S3395" s="129"/>
      <c r="T3395" s="129"/>
      <c r="W3395" s="129" t="s">
        <v>286</v>
      </c>
      <c r="X3395" s="337" t="b">
        <f t="shared" si="87"/>
        <v>1</v>
      </c>
    </row>
    <row r="3396" spans="1:24" s="337" customFormat="1" ht="12" customHeight="1" outlineLevel="1">
      <c r="A3396" s="335"/>
      <c r="B3396" s="118" t="s">
        <v>12</v>
      </c>
      <c r="C3396" s="334" t="s">
        <v>11084</v>
      </c>
      <c r="D3396" s="124" t="s">
        <v>10382</v>
      </c>
      <c r="E3396" s="125"/>
      <c r="F3396" s="118" t="s">
        <v>828</v>
      </c>
      <c r="G3396" s="126" t="s">
        <v>10304</v>
      </c>
      <c r="H3396" s="255">
        <v>5</v>
      </c>
      <c r="I3396" s="361">
        <v>1</v>
      </c>
      <c r="J3396" s="362" t="s">
        <v>310</v>
      </c>
      <c r="K3396" s="363"/>
      <c r="L3396" s="129"/>
      <c r="M3396" s="129"/>
      <c r="N3396" s="129"/>
      <c r="O3396" s="129"/>
      <c r="P3396" s="364"/>
      <c r="Q3396" s="364"/>
      <c r="R3396" s="129"/>
      <c r="S3396" s="129"/>
      <c r="T3396" s="129"/>
      <c r="W3396" s="129" t="s">
        <v>286</v>
      </c>
      <c r="X3396" s="337" t="b">
        <f t="shared" si="87"/>
        <v>0</v>
      </c>
    </row>
    <row r="3397" spans="1:24" s="337" customFormat="1" ht="12" customHeight="1" outlineLevel="1">
      <c r="A3397" s="335"/>
      <c r="B3397" s="118" t="s">
        <v>12</v>
      </c>
      <c r="C3397" s="334" t="s">
        <v>11085</v>
      </c>
      <c r="D3397" s="124" t="s">
        <v>10385</v>
      </c>
      <c r="E3397" s="125"/>
      <c r="F3397" s="118" t="s">
        <v>828</v>
      </c>
      <c r="G3397" s="126" t="s">
        <v>10383</v>
      </c>
      <c r="H3397" s="255">
        <v>4</v>
      </c>
      <c r="I3397" s="361">
        <v>1</v>
      </c>
      <c r="J3397" s="362" t="s">
        <v>310</v>
      </c>
      <c r="K3397" s="363"/>
      <c r="L3397" s="129"/>
      <c r="M3397" s="129"/>
      <c r="N3397" s="129"/>
      <c r="O3397" s="129"/>
      <c r="P3397" s="364"/>
      <c r="Q3397" s="364"/>
      <c r="R3397" s="129"/>
      <c r="S3397" s="129"/>
      <c r="T3397" s="129"/>
      <c r="W3397" s="129" t="s">
        <v>286</v>
      </c>
      <c r="X3397" s="337" t="b">
        <f t="shared" si="87"/>
        <v>0</v>
      </c>
    </row>
    <row r="3398" spans="1:24" s="337" customFormat="1" ht="12" customHeight="1" outlineLevel="1">
      <c r="A3398" s="335"/>
      <c r="B3398" s="118" t="s">
        <v>12</v>
      </c>
      <c r="C3398" s="334" t="s">
        <v>11086</v>
      </c>
      <c r="D3398" s="124" t="s">
        <v>10387</v>
      </c>
      <c r="E3398" s="125"/>
      <c r="F3398" s="118" t="s">
        <v>828</v>
      </c>
      <c r="G3398" s="126" t="s">
        <v>10383</v>
      </c>
      <c r="H3398" s="255">
        <v>4</v>
      </c>
      <c r="I3398" s="361">
        <v>1</v>
      </c>
      <c r="J3398" s="362" t="s">
        <v>310</v>
      </c>
      <c r="K3398" s="363"/>
      <c r="L3398" s="129"/>
      <c r="M3398" s="129"/>
      <c r="N3398" s="129"/>
      <c r="O3398" s="129"/>
      <c r="P3398" s="364"/>
      <c r="Q3398" s="364"/>
      <c r="R3398" s="129"/>
      <c r="S3398" s="129"/>
      <c r="T3398" s="129"/>
      <c r="W3398" s="129" t="s">
        <v>286</v>
      </c>
      <c r="X3398" s="337" t="b">
        <f t="shared" si="87"/>
        <v>0</v>
      </c>
    </row>
    <row r="3399" spans="1:24" s="337" customFormat="1" ht="12" customHeight="1" outlineLevel="1">
      <c r="A3399" s="335"/>
      <c r="B3399" s="118" t="s">
        <v>12</v>
      </c>
      <c r="C3399" s="334" t="s">
        <v>11087</v>
      </c>
      <c r="D3399" s="124" t="s">
        <v>10389</v>
      </c>
      <c r="E3399" s="125"/>
      <c r="F3399" s="118" t="s">
        <v>828</v>
      </c>
      <c r="G3399" s="126" t="s">
        <v>10383</v>
      </c>
      <c r="H3399" s="255">
        <v>4</v>
      </c>
      <c r="I3399" s="361">
        <v>1</v>
      </c>
      <c r="J3399" s="362" t="s">
        <v>310</v>
      </c>
      <c r="K3399" s="363"/>
      <c r="L3399" s="129"/>
      <c r="M3399" s="129"/>
      <c r="N3399" s="129"/>
      <c r="O3399" s="129"/>
      <c r="P3399" s="364"/>
      <c r="Q3399" s="364"/>
      <c r="R3399" s="129"/>
      <c r="S3399" s="129"/>
      <c r="T3399" s="129"/>
      <c r="W3399" s="129" t="s">
        <v>286</v>
      </c>
      <c r="X3399" s="337" t="b">
        <f t="shared" si="87"/>
        <v>0</v>
      </c>
    </row>
    <row r="3400" spans="1:24" s="337" customFormat="1" ht="12" customHeight="1" outlineLevel="1">
      <c r="A3400" s="335"/>
      <c r="B3400" s="118" t="s">
        <v>12</v>
      </c>
      <c r="C3400" s="334" t="s">
        <v>11088</v>
      </c>
      <c r="D3400" s="124" t="s">
        <v>10391</v>
      </c>
      <c r="E3400" s="125"/>
      <c r="F3400" s="118" t="s">
        <v>828</v>
      </c>
      <c r="G3400" s="126" t="s">
        <v>10383</v>
      </c>
      <c r="H3400" s="255">
        <v>4</v>
      </c>
      <c r="I3400" s="361">
        <v>1</v>
      </c>
      <c r="J3400" s="362" t="s">
        <v>310</v>
      </c>
      <c r="K3400" s="363"/>
      <c r="L3400" s="129"/>
      <c r="M3400" s="129"/>
      <c r="N3400" s="129"/>
      <c r="O3400" s="129"/>
      <c r="P3400" s="364"/>
      <c r="Q3400" s="364"/>
      <c r="R3400" s="129"/>
      <c r="S3400" s="129"/>
      <c r="T3400" s="129"/>
      <c r="W3400" s="129" t="s">
        <v>286</v>
      </c>
      <c r="X3400" s="337" t="b">
        <f t="shared" si="87"/>
        <v>0</v>
      </c>
    </row>
    <row r="3401" spans="1:24" s="337" customFormat="1" ht="12" customHeight="1" outlineLevel="1">
      <c r="A3401" s="335"/>
      <c r="B3401" s="118" t="s">
        <v>12</v>
      </c>
      <c r="C3401" s="334" t="s">
        <v>11089</v>
      </c>
      <c r="D3401" s="124" t="s">
        <v>10393</v>
      </c>
      <c r="E3401" s="125"/>
      <c r="F3401" s="118" t="s">
        <v>828</v>
      </c>
      <c r="G3401" s="126" t="s">
        <v>10383</v>
      </c>
      <c r="H3401" s="255">
        <v>4</v>
      </c>
      <c r="I3401" s="361">
        <v>1</v>
      </c>
      <c r="J3401" s="362" t="s">
        <v>310</v>
      </c>
      <c r="K3401" s="363"/>
      <c r="L3401" s="129"/>
      <c r="M3401" s="129"/>
      <c r="N3401" s="129"/>
      <c r="O3401" s="129"/>
      <c r="P3401" s="364"/>
      <c r="Q3401" s="364"/>
      <c r="R3401" s="129"/>
      <c r="S3401" s="129"/>
      <c r="T3401" s="129"/>
      <c r="W3401" s="129" t="s">
        <v>286</v>
      </c>
      <c r="X3401" s="337" t="b">
        <f t="shared" si="87"/>
        <v>0</v>
      </c>
    </row>
    <row r="3402" spans="1:24" s="337" customFormat="1" ht="12" customHeight="1" outlineLevel="1">
      <c r="A3402" s="335"/>
      <c r="B3402" s="118" t="s">
        <v>12</v>
      </c>
      <c r="C3402" s="334" t="s">
        <v>11090</v>
      </c>
      <c r="D3402" s="124" t="s">
        <v>10395</v>
      </c>
      <c r="E3402" s="125"/>
      <c r="F3402" s="118" t="s">
        <v>828</v>
      </c>
      <c r="G3402" s="126" t="s">
        <v>10383</v>
      </c>
      <c r="H3402" s="255">
        <v>4</v>
      </c>
      <c r="I3402" s="361">
        <v>1</v>
      </c>
      <c r="J3402" s="362" t="s">
        <v>310</v>
      </c>
      <c r="K3402" s="363"/>
      <c r="L3402" s="129"/>
      <c r="M3402" s="129"/>
      <c r="N3402" s="129"/>
      <c r="O3402" s="129"/>
      <c r="P3402" s="364"/>
      <c r="Q3402" s="364"/>
      <c r="R3402" s="129"/>
      <c r="S3402" s="129"/>
      <c r="T3402" s="129"/>
      <c r="W3402" s="129" t="s">
        <v>286</v>
      </c>
      <c r="X3402" s="337" t="b">
        <f t="shared" si="87"/>
        <v>0</v>
      </c>
    </row>
    <row r="3403" spans="1:24" s="337" customFormat="1" ht="12" customHeight="1" outlineLevel="1">
      <c r="A3403" s="335"/>
      <c r="B3403" s="118" t="s">
        <v>12</v>
      </c>
      <c r="C3403" s="334" t="s">
        <v>11091</v>
      </c>
      <c r="D3403" s="124" t="s">
        <v>11092</v>
      </c>
      <c r="E3403" s="125"/>
      <c r="F3403" s="118" t="s">
        <v>828</v>
      </c>
      <c r="G3403" s="126" t="s">
        <v>10383</v>
      </c>
      <c r="H3403" s="255">
        <v>4</v>
      </c>
      <c r="I3403" s="361">
        <v>1</v>
      </c>
      <c r="J3403" s="362" t="s">
        <v>286</v>
      </c>
      <c r="K3403" s="363"/>
      <c r="L3403" s="129"/>
      <c r="M3403" s="129"/>
      <c r="N3403" s="129"/>
      <c r="O3403" s="129"/>
      <c r="P3403" s="364"/>
      <c r="Q3403" s="364"/>
      <c r="R3403" s="129"/>
      <c r="S3403" s="129"/>
      <c r="T3403" s="129"/>
      <c r="W3403" s="129" t="s">
        <v>286</v>
      </c>
      <c r="X3403" s="337" t="b">
        <f t="shared" si="87"/>
        <v>1</v>
      </c>
    </row>
    <row r="3404" spans="1:24" s="337" customFormat="1" ht="12" customHeight="1" outlineLevel="1">
      <c r="A3404" s="335"/>
      <c r="B3404" s="118" t="s">
        <v>12</v>
      </c>
      <c r="C3404" s="334" t="s">
        <v>11093</v>
      </c>
      <c r="D3404" s="124" t="s">
        <v>11094</v>
      </c>
      <c r="E3404" s="125"/>
      <c r="F3404" s="118" t="s">
        <v>828</v>
      </c>
      <c r="G3404" s="126" t="s">
        <v>10383</v>
      </c>
      <c r="H3404" s="255">
        <v>4</v>
      </c>
      <c r="I3404" s="361">
        <v>1</v>
      </c>
      <c r="J3404" s="362" t="s">
        <v>286</v>
      </c>
      <c r="K3404" s="363"/>
      <c r="L3404" s="129"/>
      <c r="M3404" s="129"/>
      <c r="N3404" s="129"/>
      <c r="O3404" s="129"/>
      <c r="P3404" s="364"/>
      <c r="Q3404" s="364"/>
      <c r="R3404" s="129"/>
      <c r="S3404" s="129"/>
      <c r="T3404" s="129"/>
      <c r="W3404" s="129" t="s">
        <v>286</v>
      </c>
      <c r="X3404" s="337" t="b">
        <f t="shared" si="87"/>
        <v>1</v>
      </c>
    </row>
    <row r="3405" spans="1:24" s="337" customFormat="1" ht="12" customHeight="1" outlineLevel="1">
      <c r="A3405" s="335"/>
      <c r="B3405" s="118" t="s">
        <v>12</v>
      </c>
      <c r="C3405" s="334" t="s">
        <v>11095</v>
      </c>
      <c r="D3405" s="124" t="s">
        <v>11096</v>
      </c>
      <c r="E3405" s="125"/>
      <c r="F3405" s="118" t="s">
        <v>828</v>
      </c>
      <c r="G3405" s="126" t="s">
        <v>10383</v>
      </c>
      <c r="H3405" s="255">
        <v>4</v>
      </c>
      <c r="I3405" s="361">
        <v>1</v>
      </c>
      <c r="J3405" s="362" t="s">
        <v>286</v>
      </c>
      <c r="K3405" s="363"/>
      <c r="L3405" s="129"/>
      <c r="M3405" s="129"/>
      <c r="N3405" s="129"/>
      <c r="O3405" s="129"/>
      <c r="P3405" s="364"/>
      <c r="Q3405" s="364"/>
      <c r="R3405" s="129"/>
      <c r="S3405" s="129"/>
      <c r="T3405" s="129"/>
      <c r="W3405" s="129" t="s">
        <v>286</v>
      </c>
      <c r="X3405" s="337" t="b">
        <f t="shared" si="87"/>
        <v>1</v>
      </c>
    </row>
    <row r="3406" spans="1:24" s="337" customFormat="1" ht="12" customHeight="1" outlineLevel="1">
      <c r="A3406" s="335"/>
      <c r="B3406" s="118" t="s">
        <v>12</v>
      </c>
      <c r="C3406" s="334" t="s">
        <v>11097</v>
      </c>
      <c r="D3406" s="124" t="s">
        <v>11098</v>
      </c>
      <c r="E3406" s="125"/>
      <c r="F3406" s="118" t="s">
        <v>828</v>
      </c>
      <c r="G3406" s="126" t="s">
        <v>10383</v>
      </c>
      <c r="H3406" s="255">
        <v>4</v>
      </c>
      <c r="I3406" s="361">
        <v>1</v>
      </c>
      <c r="J3406" s="362" t="s">
        <v>286</v>
      </c>
      <c r="K3406" s="363"/>
      <c r="L3406" s="129"/>
      <c r="M3406" s="129"/>
      <c r="N3406" s="129"/>
      <c r="O3406" s="129"/>
      <c r="P3406" s="364"/>
      <c r="Q3406" s="364"/>
      <c r="R3406" s="129"/>
      <c r="S3406" s="129"/>
      <c r="T3406" s="129"/>
      <c r="W3406" s="129" t="s">
        <v>286</v>
      </c>
      <c r="X3406" s="337" t="b">
        <f t="shared" si="87"/>
        <v>1</v>
      </c>
    </row>
    <row r="3407" spans="1:24" s="337" customFormat="1" ht="12" customHeight="1" outlineLevel="1">
      <c r="A3407" s="335"/>
      <c r="B3407" s="118" t="s">
        <v>12</v>
      </c>
      <c r="C3407" s="334" t="s">
        <v>11099</v>
      </c>
      <c r="D3407" s="124" t="s">
        <v>11100</v>
      </c>
      <c r="E3407" s="125"/>
      <c r="F3407" s="118" t="s">
        <v>828</v>
      </c>
      <c r="G3407" s="126" t="s">
        <v>10383</v>
      </c>
      <c r="H3407" s="255">
        <v>4</v>
      </c>
      <c r="I3407" s="361">
        <v>1</v>
      </c>
      <c r="J3407" s="362" t="s">
        <v>286</v>
      </c>
      <c r="K3407" s="363"/>
      <c r="L3407" s="129"/>
      <c r="M3407" s="129"/>
      <c r="N3407" s="129"/>
      <c r="O3407" s="129"/>
      <c r="P3407" s="364"/>
      <c r="Q3407" s="364"/>
      <c r="R3407" s="129"/>
      <c r="S3407" s="129"/>
      <c r="T3407" s="129"/>
      <c r="W3407" s="129" t="s">
        <v>286</v>
      </c>
      <c r="X3407" s="337" t="b">
        <f t="shared" si="87"/>
        <v>1</v>
      </c>
    </row>
    <row r="3408" spans="1:24" s="337" customFormat="1" ht="12" customHeight="1" outlineLevel="1">
      <c r="A3408" s="335"/>
      <c r="B3408" s="118" t="s">
        <v>12</v>
      </c>
      <c r="C3408" s="334" t="s">
        <v>11101</v>
      </c>
      <c r="D3408" s="124" t="s">
        <v>11102</v>
      </c>
      <c r="E3408" s="125"/>
      <c r="F3408" s="118" t="s">
        <v>828</v>
      </c>
      <c r="G3408" s="126" t="s">
        <v>10383</v>
      </c>
      <c r="H3408" s="255">
        <v>4</v>
      </c>
      <c r="I3408" s="361">
        <v>1</v>
      </c>
      <c r="J3408" s="362" t="s">
        <v>286</v>
      </c>
      <c r="K3408" s="363"/>
      <c r="L3408" s="129"/>
      <c r="M3408" s="129"/>
      <c r="N3408" s="129"/>
      <c r="O3408" s="129"/>
      <c r="P3408" s="364"/>
      <c r="Q3408" s="364"/>
      <c r="R3408" s="129"/>
      <c r="S3408" s="129"/>
      <c r="T3408" s="129"/>
      <c r="W3408" s="129" t="s">
        <v>286</v>
      </c>
      <c r="X3408" s="337" t="b">
        <f t="shared" si="87"/>
        <v>1</v>
      </c>
    </row>
    <row r="3409" spans="1:24" s="337" customFormat="1" ht="12" customHeight="1" outlineLevel="1">
      <c r="A3409" s="335"/>
      <c r="B3409" s="118" t="s">
        <v>12</v>
      </c>
      <c r="C3409" s="334" t="s">
        <v>11103</v>
      </c>
      <c r="D3409" s="124" t="s">
        <v>11104</v>
      </c>
      <c r="E3409" s="125"/>
      <c r="F3409" s="118" t="s">
        <v>828</v>
      </c>
      <c r="G3409" s="126" t="s">
        <v>10383</v>
      </c>
      <c r="H3409" s="255">
        <v>4</v>
      </c>
      <c r="I3409" s="361">
        <v>1</v>
      </c>
      <c r="J3409" s="362" t="s">
        <v>286</v>
      </c>
      <c r="K3409" s="363"/>
      <c r="L3409" s="129"/>
      <c r="M3409" s="129"/>
      <c r="N3409" s="129"/>
      <c r="O3409" s="129"/>
      <c r="P3409" s="364"/>
      <c r="Q3409" s="364"/>
      <c r="R3409" s="129"/>
      <c r="S3409" s="129"/>
      <c r="T3409" s="129"/>
      <c r="W3409" s="129" t="s">
        <v>286</v>
      </c>
      <c r="X3409" s="337" t="b">
        <f t="shared" si="87"/>
        <v>1</v>
      </c>
    </row>
    <row r="3410" spans="1:24" s="337" customFormat="1" ht="12" customHeight="1" outlineLevel="1">
      <c r="A3410" s="335"/>
      <c r="B3410" s="118" t="s">
        <v>12</v>
      </c>
      <c r="C3410" s="334" t="s">
        <v>11105</v>
      </c>
      <c r="D3410" s="124" t="s">
        <v>11106</v>
      </c>
      <c r="E3410" s="125"/>
      <c r="F3410" s="118" t="s">
        <v>828</v>
      </c>
      <c r="G3410" s="126" t="s">
        <v>10383</v>
      </c>
      <c r="H3410" s="255">
        <v>4</v>
      </c>
      <c r="I3410" s="361">
        <v>1</v>
      </c>
      <c r="J3410" s="362" t="s">
        <v>286</v>
      </c>
      <c r="K3410" s="363"/>
      <c r="L3410" s="129"/>
      <c r="M3410" s="129"/>
      <c r="N3410" s="129"/>
      <c r="O3410" s="129"/>
      <c r="P3410" s="364"/>
      <c r="Q3410" s="364"/>
      <c r="R3410" s="129"/>
      <c r="S3410" s="129"/>
      <c r="T3410" s="129"/>
      <c r="W3410" s="129" t="s">
        <v>286</v>
      </c>
      <c r="X3410" s="337" t="b">
        <f t="shared" si="87"/>
        <v>1</v>
      </c>
    </row>
    <row r="3411" spans="1:24" s="337" customFormat="1" ht="12" customHeight="1" outlineLevel="1">
      <c r="A3411" s="335"/>
      <c r="B3411" s="118" t="s">
        <v>12</v>
      </c>
      <c r="C3411" s="334" t="s">
        <v>11107</v>
      </c>
      <c r="D3411" s="124" t="s">
        <v>11108</v>
      </c>
      <c r="E3411" s="125"/>
      <c r="F3411" s="118" t="s">
        <v>828</v>
      </c>
      <c r="G3411" s="126" t="s">
        <v>10383</v>
      </c>
      <c r="H3411" s="255">
        <v>4</v>
      </c>
      <c r="I3411" s="361">
        <v>1</v>
      </c>
      <c r="J3411" s="362" t="s">
        <v>286</v>
      </c>
      <c r="K3411" s="363"/>
      <c r="L3411" s="129"/>
      <c r="M3411" s="129"/>
      <c r="N3411" s="129"/>
      <c r="O3411" s="129"/>
      <c r="P3411" s="364"/>
      <c r="Q3411" s="364"/>
      <c r="R3411" s="129"/>
      <c r="S3411" s="129"/>
      <c r="T3411" s="129"/>
      <c r="W3411" s="129" t="s">
        <v>286</v>
      </c>
      <c r="X3411" s="337" t="b">
        <f t="shared" ref="X3411:X3474" si="88">W3411=J3411</f>
        <v>1</v>
      </c>
    </row>
    <row r="3412" spans="1:24" s="337" customFormat="1" ht="12" customHeight="1" outlineLevel="1">
      <c r="A3412" s="335"/>
      <c r="B3412" s="118" t="s">
        <v>12</v>
      </c>
      <c r="C3412" s="334" t="s">
        <v>11109</v>
      </c>
      <c r="D3412" s="124" t="s">
        <v>11110</v>
      </c>
      <c r="E3412" s="125"/>
      <c r="F3412" s="118" t="s">
        <v>828</v>
      </c>
      <c r="G3412" s="126" t="s">
        <v>10383</v>
      </c>
      <c r="H3412" s="255">
        <v>4</v>
      </c>
      <c r="I3412" s="361">
        <v>1</v>
      </c>
      <c r="J3412" s="362" t="s">
        <v>286</v>
      </c>
      <c r="K3412" s="363"/>
      <c r="L3412" s="129"/>
      <c r="M3412" s="129"/>
      <c r="N3412" s="129"/>
      <c r="O3412" s="129"/>
      <c r="P3412" s="364"/>
      <c r="Q3412" s="364"/>
      <c r="R3412" s="129"/>
      <c r="S3412" s="129"/>
      <c r="T3412" s="129"/>
      <c r="W3412" s="129" t="s">
        <v>286</v>
      </c>
      <c r="X3412" s="337" t="b">
        <f t="shared" si="88"/>
        <v>1</v>
      </c>
    </row>
    <row r="3413" spans="1:24" s="337" customFormat="1" ht="12" customHeight="1" outlineLevel="1">
      <c r="A3413" s="335"/>
      <c r="B3413" s="118" t="s">
        <v>12</v>
      </c>
      <c r="C3413" s="334" t="s">
        <v>11111</v>
      </c>
      <c r="D3413" s="124" t="s">
        <v>11112</v>
      </c>
      <c r="E3413" s="125"/>
      <c r="F3413" s="118" t="s">
        <v>828</v>
      </c>
      <c r="G3413" s="126" t="s">
        <v>10383</v>
      </c>
      <c r="H3413" s="255">
        <v>4</v>
      </c>
      <c r="I3413" s="361">
        <v>1</v>
      </c>
      <c r="J3413" s="362" t="s">
        <v>286</v>
      </c>
      <c r="K3413" s="363"/>
      <c r="L3413" s="129"/>
      <c r="M3413" s="129"/>
      <c r="N3413" s="129"/>
      <c r="O3413" s="129"/>
      <c r="P3413" s="364"/>
      <c r="Q3413" s="364"/>
      <c r="R3413" s="129"/>
      <c r="S3413" s="129"/>
      <c r="T3413" s="129"/>
      <c r="W3413" s="129" t="s">
        <v>286</v>
      </c>
      <c r="X3413" s="337" t="b">
        <f t="shared" si="88"/>
        <v>1</v>
      </c>
    </row>
    <row r="3414" spans="1:24" s="337" customFormat="1" ht="12" customHeight="1" outlineLevel="1">
      <c r="A3414" s="335"/>
      <c r="B3414" s="118" t="s">
        <v>12</v>
      </c>
      <c r="C3414" s="334" t="s">
        <v>11113</v>
      </c>
      <c r="D3414" s="124" t="s">
        <v>11114</v>
      </c>
      <c r="E3414" s="125"/>
      <c r="F3414" s="118" t="s">
        <v>828</v>
      </c>
      <c r="G3414" s="126" t="s">
        <v>10383</v>
      </c>
      <c r="H3414" s="255">
        <v>4</v>
      </c>
      <c r="I3414" s="361">
        <v>1</v>
      </c>
      <c r="J3414" s="362" t="s">
        <v>286</v>
      </c>
      <c r="K3414" s="363"/>
      <c r="L3414" s="129"/>
      <c r="M3414" s="129"/>
      <c r="N3414" s="129"/>
      <c r="O3414" s="129"/>
      <c r="P3414" s="364"/>
      <c r="Q3414" s="364"/>
      <c r="R3414" s="129"/>
      <c r="S3414" s="129"/>
      <c r="T3414" s="129"/>
      <c r="W3414" s="129" t="s">
        <v>286</v>
      </c>
      <c r="X3414" s="337" t="b">
        <f t="shared" si="88"/>
        <v>1</v>
      </c>
    </row>
    <row r="3415" spans="1:24" s="337" customFormat="1" ht="12" customHeight="1" outlineLevel="1">
      <c r="A3415" s="335"/>
      <c r="B3415" s="118" t="s">
        <v>12</v>
      </c>
      <c r="C3415" s="334" t="s">
        <v>11115</v>
      </c>
      <c r="D3415" s="124" t="s">
        <v>11116</v>
      </c>
      <c r="E3415" s="125"/>
      <c r="F3415" s="118" t="s">
        <v>828</v>
      </c>
      <c r="G3415" s="126" t="s">
        <v>10383</v>
      </c>
      <c r="H3415" s="255">
        <v>4</v>
      </c>
      <c r="I3415" s="361">
        <v>1</v>
      </c>
      <c r="J3415" s="362" t="s">
        <v>286</v>
      </c>
      <c r="K3415" s="363"/>
      <c r="L3415" s="129"/>
      <c r="M3415" s="129"/>
      <c r="N3415" s="129"/>
      <c r="O3415" s="129"/>
      <c r="P3415" s="364"/>
      <c r="Q3415" s="364"/>
      <c r="R3415" s="129"/>
      <c r="S3415" s="129"/>
      <c r="T3415" s="129"/>
      <c r="W3415" s="129" t="s">
        <v>286</v>
      </c>
      <c r="X3415" s="337" t="b">
        <f t="shared" si="88"/>
        <v>1</v>
      </c>
    </row>
    <row r="3416" spans="1:24" s="337" customFormat="1" ht="12" customHeight="1" outlineLevel="1">
      <c r="A3416" s="335"/>
      <c r="B3416" s="118" t="s">
        <v>12</v>
      </c>
      <c r="C3416" s="334" t="s">
        <v>11117</v>
      </c>
      <c r="D3416" s="124" t="s">
        <v>11118</v>
      </c>
      <c r="E3416" s="125"/>
      <c r="F3416" s="118" t="s">
        <v>828</v>
      </c>
      <c r="G3416" s="126" t="s">
        <v>10383</v>
      </c>
      <c r="H3416" s="255">
        <v>4</v>
      </c>
      <c r="I3416" s="361">
        <v>1</v>
      </c>
      <c r="J3416" s="362" t="s">
        <v>286</v>
      </c>
      <c r="K3416" s="363"/>
      <c r="L3416" s="129"/>
      <c r="M3416" s="129"/>
      <c r="N3416" s="129"/>
      <c r="O3416" s="129"/>
      <c r="P3416" s="364"/>
      <c r="Q3416" s="364"/>
      <c r="R3416" s="129"/>
      <c r="S3416" s="129"/>
      <c r="T3416" s="129"/>
      <c r="W3416" s="129" t="s">
        <v>286</v>
      </c>
      <c r="X3416" s="337" t="b">
        <f t="shared" si="88"/>
        <v>1</v>
      </c>
    </row>
    <row r="3417" spans="1:24" s="337" customFormat="1" ht="12" customHeight="1" outlineLevel="1">
      <c r="A3417" s="335"/>
      <c r="B3417" s="118" t="s">
        <v>12</v>
      </c>
      <c r="C3417" s="334" t="s">
        <v>11119</v>
      </c>
      <c r="D3417" s="124" t="s">
        <v>11120</v>
      </c>
      <c r="E3417" s="125"/>
      <c r="F3417" s="118" t="s">
        <v>828</v>
      </c>
      <c r="G3417" s="126" t="s">
        <v>10383</v>
      </c>
      <c r="H3417" s="255">
        <v>4</v>
      </c>
      <c r="I3417" s="361">
        <v>1</v>
      </c>
      <c r="J3417" s="362" t="s">
        <v>286</v>
      </c>
      <c r="K3417" s="363"/>
      <c r="L3417" s="129"/>
      <c r="M3417" s="129"/>
      <c r="N3417" s="129"/>
      <c r="O3417" s="129"/>
      <c r="P3417" s="364"/>
      <c r="Q3417" s="364"/>
      <c r="R3417" s="129"/>
      <c r="S3417" s="129"/>
      <c r="T3417" s="129"/>
      <c r="W3417" s="129" t="s">
        <v>286</v>
      </c>
      <c r="X3417" s="337" t="b">
        <f t="shared" si="88"/>
        <v>1</v>
      </c>
    </row>
    <row r="3418" spans="1:24" s="337" customFormat="1" ht="12" customHeight="1" outlineLevel="1">
      <c r="A3418" s="335"/>
      <c r="B3418" s="118" t="s">
        <v>12</v>
      </c>
      <c r="C3418" s="334" t="s">
        <v>11121</v>
      </c>
      <c r="D3418" s="124" t="s">
        <v>11122</v>
      </c>
      <c r="E3418" s="125"/>
      <c r="F3418" s="118" t="s">
        <v>828</v>
      </c>
      <c r="G3418" s="126" t="s">
        <v>10383</v>
      </c>
      <c r="H3418" s="255">
        <v>4</v>
      </c>
      <c r="I3418" s="361">
        <v>1</v>
      </c>
      <c r="J3418" s="362" t="s">
        <v>286</v>
      </c>
      <c r="K3418" s="363"/>
      <c r="L3418" s="129"/>
      <c r="M3418" s="129"/>
      <c r="N3418" s="129"/>
      <c r="O3418" s="129"/>
      <c r="P3418" s="364"/>
      <c r="Q3418" s="364"/>
      <c r="R3418" s="129"/>
      <c r="S3418" s="129"/>
      <c r="T3418" s="129"/>
      <c r="W3418" s="129" t="s">
        <v>286</v>
      </c>
      <c r="X3418" s="337" t="b">
        <f t="shared" si="88"/>
        <v>1</v>
      </c>
    </row>
    <row r="3419" spans="1:24" s="337" customFormat="1" ht="12" customHeight="1" outlineLevel="1">
      <c r="A3419" s="335"/>
      <c r="B3419" s="118" t="s">
        <v>12</v>
      </c>
      <c r="C3419" s="334" t="s">
        <v>11123</v>
      </c>
      <c r="D3419" s="124" t="s">
        <v>11124</v>
      </c>
      <c r="E3419" s="125"/>
      <c r="F3419" s="118" t="s">
        <v>828</v>
      </c>
      <c r="G3419" s="126" t="s">
        <v>10383</v>
      </c>
      <c r="H3419" s="255">
        <v>4</v>
      </c>
      <c r="I3419" s="361">
        <v>1</v>
      </c>
      <c r="J3419" s="362" t="s">
        <v>286</v>
      </c>
      <c r="K3419" s="363"/>
      <c r="L3419" s="129"/>
      <c r="M3419" s="129"/>
      <c r="N3419" s="129"/>
      <c r="O3419" s="129"/>
      <c r="P3419" s="364"/>
      <c r="Q3419" s="364"/>
      <c r="R3419" s="129"/>
      <c r="S3419" s="129"/>
      <c r="T3419" s="129"/>
      <c r="W3419" s="129" t="s">
        <v>286</v>
      </c>
      <c r="X3419" s="337" t="b">
        <f t="shared" si="88"/>
        <v>1</v>
      </c>
    </row>
    <row r="3420" spans="1:24" s="337" customFormat="1" ht="12" customHeight="1" outlineLevel="1">
      <c r="A3420" s="335"/>
      <c r="B3420" s="118" t="s">
        <v>12</v>
      </c>
      <c r="C3420" s="334" t="s">
        <v>11125</v>
      </c>
      <c r="D3420" s="124" t="s">
        <v>11126</v>
      </c>
      <c r="E3420" s="125"/>
      <c r="F3420" s="118" t="s">
        <v>828</v>
      </c>
      <c r="G3420" s="126" t="s">
        <v>10383</v>
      </c>
      <c r="H3420" s="255">
        <v>4</v>
      </c>
      <c r="I3420" s="361">
        <v>1</v>
      </c>
      <c r="J3420" s="362" t="s">
        <v>286</v>
      </c>
      <c r="K3420" s="363"/>
      <c r="L3420" s="129"/>
      <c r="M3420" s="129"/>
      <c r="N3420" s="129"/>
      <c r="O3420" s="129"/>
      <c r="P3420" s="364"/>
      <c r="Q3420" s="364"/>
      <c r="R3420" s="129"/>
      <c r="S3420" s="129"/>
      <c r="T3420" s="129"/>
      <c r="W3420" s="129" t="s">
        <v>286</v>
      </c>
      <c r="X3420" s="337" t="b">
        <f t="shared" si="88"/>
        <v>1</v>
      </c>
    </row>
    <row r="3421" spans="1:24" s="337" customFormat="1" ht="12" customHeight="1" outlineLevel="1">
      <c r="A3421" s="335"/>
      <c r="B3421" s="118" t="s">
        <v>12</v>
      </c>
      <c r="C3421" s="334" t="s">
        <v>11127</v>
      </c>
      <c r="D3421" s="124" t="s">
        <v>11128</v>
      </c>
      <c r="E3421" s="125"/>
      <c r="F3421" s="118" t="s">
        <v>828</v>
      </c>
      <c r="G3421" s="126" t="s">
        <v>10383</v>
      </c>
      <c r="H3421" s="255">
        <v>4</v>
      </c>
      <c r="I3421" s="361">
        <v>1</v>
      </c>
      <c r="J3421" s="362" t="s">
        <v>286</v>
      </c>
      <c r="K3421" s="363"/>
      <c r="L3421" s="129"/>
      <c r="M3421" s="129"/>
      <c r="N3421" s="129"/>
      <c r="O3421" s="129"/>
      <c r="P3421" s="364"/>
      <c r="Q3421" s="364"/>
      <c r="R3421" s="129"/>
      <c r="S3421" s="129"/>
      <c r="T3421" s="129"/>
      <c r="W3421" s="129" t="s">
        <v>286</v>
      </c>
      <c r="X3421" s="337" t="b">
        <f t="shared" si="88"/>
        <v>1</v>
      </c>
    </row>
    <row r="3422" spans="1:24" s="337" customFormat="1" ht="12" customHeight="1" outlineLevel="1">
      <c r="A3422" s="335"/>
      <c r="B3422" s="118" t="s">
        <v>12</v>
      </c>
      <c r="C3422" s="334" t="s">
        <v>11129</v>
      </c>
      <c r="D3422" s="124" t="s">
        <v>11130</v>
      </c>
      <c r="E3422" s="125"/>
      <c r="F3422" s="118" t="s">
        <v>828</v>
      </c>
      <c r="G3422" s="126" t="s">
        <v>10383</v>
      </c>
      <c r="H3422" s="255">
        <v>4</v>
      </c>
      <c r="I3422" s="361">
        <v>1</v>
      </c>
      <c r="J3422" s="362" t="s">
        <v>286</v>
      </c>
      <c r="K3422" s="363"/>
      <c r="L3422" s="129"/>
      <c r="M3422" s="129"/>
      <c r="N3422" s="129"/>
      <c r="O3422" s="129"/>
      <c r="P3422" s="364"/>
      <c r="Q3422" s="364"/>
      <c r="R3422" s="129"/>
      <c r="S3422" s="129"/>
      <c r="T3422" s="129"/>
      <c r="W3422" s="129" t="s">
        <v>286</v>
      </c>
      <c r="X3422" s="337" t="b">
        <f t="shared" si="88"/>
        <v>1</v>
      </c>
    </row>
    <row r="3423" spans="1:24" s="337" customFormat="1" ht="12" customHeight="1" outlineLevel="1">
      <c r="A3423" s="335"/>
      <c r="B3423" s="118" t="s">
        <v>12</v>
      </c>
      <c r="C3423" s="334" t="s">
        <v>11131</v>
      </c>
      <c r="D3423" s="124" t="s">
        <v>11132</v>
      </c>
      <c r="E3423" s="125"/>
      <c r="F3423" s="118" t="s">
        <v>828</v>
      </c>
      <c r="G3423" s="126" t="s">
        <v>10383</v>
      </c>
      <c r="H3423" s="255">
        <v>4</v>
      </c>
      <c r="I3423" s="361">
        <v>1</v>
      </c>
      <c r="J3423" s="362" t="s">
        <v>286</v>
      </c>
      <c r="K3423" s="363"/>
      <c r="L3423" s="129"/>
      <c r="M3423" s="129"/>
      <c r="N3423" s="129"/>
      <c r="O3423" s="129"/>
      <c r="P3423" s="364"/>
      <c r="Q3423" s="364"/>
      <c r="R3423" s="129"/>
      <c r="S3423" s="129"/>
      <c r="T3423" s="129"/>
      <c r="W3423" s="129" t="s">
        <v>286</v>
      </c>
      <c r="X3423" s="337" t="b">
        <f t="shared" si="88"/>
        <v>1</v>
      </c>
    </row>
    <row r="3424" spans="1:24" s="337" customFormat="1" ht="12" customHeight="1" outlineLevel="1">
      <c r="A3424" s="335"/>
      <c r="B3424" s="118" t="s">
        <v>12</v>
      </c>
      <c r="C3424" s="334" t="s">
        <v>11133</v>
      </c>
      <c r="D3424" s="124" t="s">
        <v>11134</v>
      </c>
      <c r="E3424" s="125"/>
      <c r="F3424" s="118" t="s">
        <v>828</v>
      </c>
      <c r="G3424" s="126" t="s">
        <v>10383</v>
      </c>
      <c r="H3424" s="255">
        <v>4</v>
      </c>
      <c r="I3424" s="361">
        <v>1</v>
      </c>
      <c r="J3424" s="362" t="s">
        <v>286</v>
      </c>
      <c r="K3424" s="363"/>
      <c r="L3424" s="129"/>
      <c r="M3424" s="129"/>
      <c r="N3424" s="129"/>
      <c r="O3424" s="129"/>
      <c r="P3424" s="364"/>
      <c r="Q3424" s="364"/>
      <c r="R3424" s="129"/>
      <c r="S3424" s="129"/>
      <c r="T3424" s="129"/>
      <c r="W3424" s="129" t="s">
        <v>286</v>
      </c>
      <c r="X3424" s="337" t="b">
        <f t="shared" si="88"/>
        <v>1</v>
      </c>
    </row>
    <row r="3425" spans="1:24" s="337" customFormat="1" ht="12" customHeight="1" outlineLevel="1">
      <c r="A3425" s="335"/>
      <c r="B3425" s="118" t="s">
        <v>12</v>
      </c>
      <c r="C3425" s="334" t="s">
        <v>11135</v>
      </c>
      <c r="D3425" s="124" t="s">
        <v>11136</v>
      </c>
      <c r="E3425" s="125"/>
      <c r="F3425" s="118" t="s">
        <v>828</v>
      </c>
      <c r="G3425" s="126" t="s">
        <v>10383</v>
      </c>
      <c r="H3425" s="255">
        <v>4</v>
      </c>
      <c r="I3425" s="361">
        <v>1</v>
      </c>
      <c r="J3425" s="362" t="s">
        <v>286</v>
      </c>
      <c r="K3425" s="363"/>
      <c r="L3425" s="129"/>
      <c r="M3425" s="129"/>
      <c r="N3425" s="129"/>
      <c r="O3425" s="129"/>
      <c r="P3425" s="364"/>
      <c r="Q3425" s="364"/>
      <c r="R3425" s="129"/>
      <c r="S3425" s="129"/>
      <c r="T3425" s="129"/>
      <c r="W3425" s="129" t="s">
        <v>286</v>
      </c>
      <c r="X3425" s="337" t="b">
        <f t="shared" si="88"/>
        <v>1</v>
      </c>
    </row>
    <row r="3426" spans="1:24" s="337" customFormat="1" ht="12" customHeight="1" outlineLevel="1">
      <c r="A3426" s="335"/>
      <c r="B3426" s="118" t="s">
        <v>12</v>
      </c>
      <c r="C3426" s="334" t="s">
        <v>11137</v>
      </c>
      <c r="D3426" s="124" t="s">
        <v>11138</v>
      </c>
      <c r="E3426" s="125"/>
      <c r="F3426" s="118" t="s">
        <v>828</v>
      </c>
      <c r="G3426" s="126" t="s">
        <v>10383</v>
      </c>
      <c r="H3426" s="255">
        <v>4</v>
      </c>
      <c r="I3426" s="361">
        <v>1</v>
      </c>
      <c r="J3426" s="362" t="s">
        <v>286</v>
      </c>
      <c r="K3426" s="363"/>
      <c r="L3426" s="129"/>
      <c r="M3426" s="129"/>
      <c r="N3426" s="129"/>
      <c r="O3426" s="129"/>
      <c r="P3426" s="364"/>
      <c r="Q3426" s="364"/>
      <c r="R3426" s="129"/>
      <c r="S3426" s="129"/>
      <c r="T3426" s="129"/>
      <c r="W3426" s="129" t="s">
        <v>286</v>
      </c>
      <c r="X3426" s="337" t="b">
        <f t="shared" si="88"/>
        <v>1</v>
      </c>
    </row>
    <row r="3427" spans="1:24" s="337" customFormat="1" ht="12" customHeight="1" outlineLevel="1">
      <c r="A3427" s="335"/>
      <c r="B3427" s="118" t="s">
        <v>12</v>
      </c>
      <c r="C3427" s="334" t="s">
        <v>11139</v>
      </c>
      <c r="D3427" s="124" t="s">
        <v>11140</v>
      </c>
      <c r="E3427" s="125"/>
      <c r="F3427" s="118" t="s">
        <v>828</v>
      </c>
      <c r="G3427" s="126" t="s">
        <v>10383</v>
      </c>
      <c r="H3427" s="255">
        <v>4</v>
      </c>
      <c r="I3427" s="361">
        <v>1</v>
      </c>
      <c r="J3427" s="362" t="s">
        <v>286</v>
      </c>
      <c r="K3427" s="363"/>
      <c r="L3427" s="129"/>
      <c r="M3427" s="129"/>
      <c r="N3427" s="129"/>
      <c r="O3427" s="129"/>
      <c r="P3427" s="364"/>
      <c r="Q3427" s="364"/>
      <c r="R3427" s="129"/>
      <c r="S3427" s="129"/>
      <c r="T3427" s="129"/>
      <c r="W3427" s="129" t="s">
        <v>286</v>
      </c>
      <c r="X3427" s="337" t="b">
        <f t="shared" si="88"/>
        <v>1</v>
      </c>
    </row>
    <row r="3428" spans="1:24" s="337" customFormat="1" ht="12" customHeight="1" outlineLevel="1">
      <c r="A3428" s="335"/>
      <c r="B3428" s="118" t="s">
        <v>12</v>
      </c>
      <c r="C3428" s="334" t="s">
        <v>11141</v>
      </c>
      <c r="D3428" s="124" t="s">
        <v>11142</v>
      </c>
      <c r="E3428" s="125"/>
      <c r="F3428" s="118" t="s">
        <v>828</v>
      </c>
      <c r="G3428" s="126" t="s">
        <v>10383</v>
      </c>
      <c r="H3428" s="255">
        <v>4</v>
      </c>
      <c r="I3428" s="361">
        <v>1</v>
      </c>
      <c r="J3428" s="362" t="s">
        <v>286</v>
      </c>
      <c r="K3428" s="363"/>
      <c r="L3428" s="129"/>
      <c r="M3428" s="129"/>
      <c r="N3428" s="129"/>
      <c r="O3428" s="129"/>
      <c r="P3428" s="364"/>
      <c r="Q3428" s="364"/>
      <c r="R3428" s="129"/>
      <c r="S3428" s="129"/>
      <c r="T3428" s="129"/>
      <c r="W3428" s="129" t="s">
        <v>286</v>
      </c>
      <c r="X3428" s="337" t="b">
        <f t="shared" si="88"/>
        <v>1</v>
      </c>
    </row>
    <row r="3429" spans="1:24" s="337" customFormat="1" ht="12" customHeight="1" outlineLevel="1">
      <c r="A3429" s="335"/>
      <c r="B3429" s="118" t="s">
        <v>12</v>
      </c>
      <c r="C3429" s="334" t="s">
        <v>11143</v>
      </c>
      <c r="D3429" s="124" t="s">
        <v>11144</v>
      </c>
      <c r="E3429" s="125"/>
      <c r="F3429" s="118" t="s">
        <v>828</v>
      </c>
      <c r="G3429" s="126" t="s">
        <v>10383</v>
      </c>
      <c r="H3429" s="255">
        <v>4</v>
      </c>
      <c r="I3429" s="361">
        <v>1</v>
      </c>
      <c r="J3429" s="362" t="s">
        <v>286</v>
      </c>
      <c r="K3429" s="363"/>
      <c r="L3429" s="129"/>
      <c r="M3429" s="129"/>
      <c r="N3429" s="129"/>
      <c r="O3429" s="129"/>
      <c r="P3429" s="364"/>
      <c r="Q3429" s="364"/>
      <c r="R3429" s="129"/>
      <c r="S3429" s="129"/>
      <c r="T3429" s="129"/>
      <c r="W3429" s="129" t="s">
        <v>286</v>
      </c>
      <c r="X3429" s="337" t="b">
        <f t="shared" si="88"/>
        <v>1</v>
      </c>
    </row>
    <row r="3430" spans="1:24" s="337" customFormat="1" ht="12" customHeight="1" outlineLevel="1">
      <c r="A3430" s="335"/>
      <c r="B3430" s="118" t="s">
        <v>12</v>
      </c>
      <c r="C3430" s="334" t="s">
        <v>11145</v>
      </c>
      <c r="D3430" s="124" t="s">
        <v>11146</v>
      </c>
      <c r="E3430" s="125"/>
      <c r="F3430" s="118" t="s">
        <v>828</v>
      </c>
      <c r="G3430" s="126" t="s">
        <v>10383</v>
      </c>
      <c r="H3430" s="255">
        <v>4</v>
      </c>
      <c r="I3430" s="361">
        <v>1</v>
      </c>
      <c r="J3430" s="362" t="s">
        <v>286</v>
      </c>
      <c r="K3430" s="363"/>
      <c r="L3430" s="129"/>
      <c r="M3430" s="129"/>
      <c r="N3430" s="129"/>
      <c r="O3430" s="129"/>
      <c r="P3430" s="364"/>
      <c r="Q3430" s="364"/>
      <c r="R3430" s="129"/>
      <c r="S3430" s="129"/>
      <c r="T3430" s="129"/>
      <c r="W3430" s="129" t="s">
        <v>286</v>
      </c>
      <c r="X3430" s="337" t="b">
        <f t="shared" si="88"/>
        <v>1</v>
      </c>
    </row>
    <row r="3431" spans="1:24" s="337" customFormat="1" ht="12" customHeight="1" outlineLevel="1">
      <c r="A3431" s="335"/>
      <c r="B3431" s="118" t="s">
        <v>12</v>
      </c>
      <c r="C3431" s="334" t="s">
        <v>11147</v>
      </c>
      <c r="D3431" s="124" t="s">
        <v>11148</v>
      </c>
      <c r="E3431" s="125"/>
      <c r="F3431" s="118" t="s">
        <v>828</v>
      </c>
      <c r="G3431" s="126" t="s">
        <v>10383</v>
      </c>
      <c r="H3431" s="255">
        <v>4</v>
      </c>
      <c r="I3431" s="361">
        <v>1</v>
      </c>
      <c r="J3431" s="362" t="s">
        <v>286</v>
      </c>
      <c r="K3431" s="363"/>
      <c r="L3431" s="129"/>
      <c r="M3431" s="129"/>
      <c r="N3431" s="129"/>
      <c r="O3431" s="129"/>
      <c r="P3431" s="364"/>
      <c r="Q3431" s="364"/>
      <c r="R3431" s="129"/>
      <c r="S3431" s="129"/>
      <c r="T3431" s="129"/>
      <c r="W3431" s="129" t="s">
        <v>286</v>
      </c>
      <c r="X3431" s="337" t="b">
        <f t="shared" si="88"/>
        <v>1</v>
      </c>
    </row>
    <row r="3432" spans="1:24" s="337" customFormat="1" ht="12" customHeight="1" outlineLevel="1">
      <c r="A3432" s="335"/>
      <c r="B3432" s="118" t="s">
        <v>12</v>
      </c>
      <c r="C3432" s="334" t="s">
        <v>11149</v>
      </c>
      <c r="D3432" s="124" t="s">
        <v>11150</v>
      </c>
      <c r="E3432" s="125"/>
      <c r="F3432" s="118" t="s">
        <v>828</v>
      </c>
      <c r="G3432" s="126" t="s">
        <v>10383</v>
      </c>
      <c r="H3432" s="255">
        <v>4</v>
      </c>
      <c r="I3432" s="361">
        <v>1</v>
      </c>
      <c r="J3432" s="362" t="s">
        <v>286</v>
      </c>
      <c r="K3432" s="363"/>
      <c r="L3432" s="129"/>
      <c r="M3432" s="129"/>
      <c r="N3432" s="129"/>
      <c r="O3432" s="129"/>
      <c r="P3432" s="364"/>
      <c r="Q3432" s="364"/>
      <c r="R3432" s="129"/>
      <c r="S3432" s="129"/>
      <c r="T3432" s="129"/>
      <c r="W3432" s="129" t="s">
        <v>286</v>
      </c>
      <c r="X3432" s="337" t="b">
        <f t="shared" si="88"/>
        <v>1</v>
      </c>
    </row>
    <row r="3433" spans="1:24" s="337" customFormat="1" ht="12" customHeight="1" outlineLevel="1">
      <c r="A3433" s="335"/>
      <c r="B3433" s="118" t="s">
        <v>12</v>
      </c>
      <c r="C3433" s="334" t="s">
        <v>11151</v>
      </c>
      <c r="D3433" s="124" t="s">
        <v>11152</v>
      </c>
      <c r="E3433" s="125"/>
      <c r="F3433" s="118" t="s">
        <v>828</v>
      </c>
      <c r="G3433" s="126" t="s">
        <v>10383</v>
      </c>
      <c r="H3433" s="255">
        <v>4</v>
      </c>
      <c r="I3433" s="361">
        <v>1</v>
      </c>
      <c r="J3433" s="362" t="s">
        <v>286</v>
      </c>
      <c r="K3433" s="363"/>
      <c r="L3433" s="129"/>
      <c r="M3433" s="129"/>
      <c r="N3433" s="129"/>
      <c r="O3433" s="129"/>
      <c r="P3433" s="364"/>
      <c r="Q3433" s="364"/>
      <c r="R3433" s="129"/>
      <c r="S3433" s="129"/>
      <c r="T3433" s="129"/>
      <c r="W3433" s="129" t="s">
        <v>286</v>
      </c>
      <c r="X3433" s="337" t="b">
        <f t="shared" si="88"/>
        <v>1</v>
      </c>
    </row>
    <row r="3434" spans="1:24" s="337" customFormat="1" ht="12" customHeight="1" outlineLevel="1">
      <c r="A3434" s="335"/>
      <c r="B3434" s="118" t="s">
        <v>12</v>
      </c>
      <c r="C3434" s="334" t="s">
        <v>11153</v>
      </c>
      <c r="D3434" s="124" t="s">
        <v>11154</v>
      </c>
      <c r="E3434" s="125"/>
      <c r="F3434" s="118" t="s">
        <v>828</v>
      </c>
      <c r="G3434" s="126" t="s">
        <v>10383</v>
      </c>
      <c r="H3434" s="255">
        <v>4</v>
      </c>
      <c r="I3434" s="361">
        <v>1</v>
      </c>
      <c r="J3434" s="362" t="s">
        <v>286</v>
      </c>
      <c r="K3434" s="363"/>
      <c r="L3434" s="129"/>
      <c r="M3434" s="129"/>
      <c r="N3434" s="129"/>
      <c r="O3434" s="129"/>
      <c r="P3434" s="364"/>
      <c r="Q3434" s="364"/>
      <c r="R3434" s="129"/>
      <c r="S3434" s="129"/>
      <c r="T3434" s="129"/>
      <c r="W3434" s="129" t="s">
        <v>286</v>
      </c>
      <c r="X3434" s="337" t="b">
        <f t="shared" si="88"/>
        <v>1</v>
      </c>
    </row>
    <row r="3435" spans="1:24" s="337" customFormat="1" ht="12" customHeight="1" outlineLevel="1">
      <c r="A3435" s="335"/>
      <c r="B3435" s="118" t="s">
        <v>12</v>
      </c>
      <c r="C3435" s="334" t="s">
        <v>11155</v>
      </c>
      <c r="D3435" s="124" t="s">
        <v>10413</v>
      </c>
      <c r="E3435" s="125"/>
      <c r="F3435" s="118" t="s">
        <v>828</v>
      </c>
      <c r="G3435" s="126" t="s">
        <v>10383</v>
      </c>
      <c r="H3435" s="255">
        <v>4</v>
      </c>
      <c r="I3435" s="361">
        <v>1</v>
      </c>
      <c r="J3435" s="362" t="s">
        <v>286</v>
      </c>
      <c r="K3435" s="363"/>
      <c r="L3435" s="129"/>
      <c r="M3435" s="129"/>
      <c r="N3435" s="129"/>
      <c r="O3435" s="129"/>
      <c r="P3435" s="364"/>
      <c r="Q3435" s="364"/>
      <c r="R3435" s="129"/>
      <c r="S3435" s="129"/>
      <c r="T3435" s="129"/>
      <c r="W3435" s="129" t="s">
        <v>286</v>
      </c>
      <c r="X3435" s="337" t="b">
        <f t="shared" si="88"/>
        <v>1</v>
      </c>
    </row>
    <row r="3436" spans="1:24" s="337" customFormat="1" ht="12" customHeight="1" outlineLevel="1">
      <c r="A3436" s="335"/>
      <c r="B3436" s="118" t="s">
        <v>12</v>
      </c>
      <c r="C3436" s="334" t="s">
        <v>11156</v>
      </c>
      <c r="D3436" s="124" t="s">
        <v>10415</v>
      </c>
      <c r="E3436" s="125"/>
      <c r="F3436" s="118" t="s">
        <v>828</v>
      </c>
      <c r="G3436" s="126" t="s">
        <v>10304</v>
      </c>
      <c r="H3436" s="255">
        <v>5</v>
      </c>
      <c r="I3436" s="361">
        <v>1</v>
      </c>
      <c r="J3436" s="362" t="s">
        <v>286</v>
      </c>
      <c r="K3436" s="363"/>
      <c r="L3436" s="129"/>
      <c r="M3436" s="129"/>
      <c r="N3436" s="129"/>
      <c r="O3436" s="129"/>
      <c r="P3436" s="364"/>
      <c r="Q3436" s="364"/>
      <c r="R3436" s="129"/>
      <c r="S3436" s="129"/>
      <c r="T3436" s="129"/>
      <c r="W3436" s="129" t="s">
        <v>286</v>
      </c>
      <c r="X3436" s="337" t="b">
        <f t="shared" si="88"/>
        <v>1</v>
      </c>
    </row>
    <row r="3437" spans="1:24" s="337" customFormat="1" ht="12" customHeight="1" outlineLevel="1">
      <c r="A3437" s="335"/>
      <c r="B3437" s="118" t="s">
        <v>12</v>
      </c>
      <c r="C3437" s="334" t="s">
        <v>11157</v>
      </c>
      <c r="D3437" s="124" t="s">
        <v>10417</v>
      </c>
      <c r="E3437" s="125"/>
      <c r="F3437" s="118" t="s">
        <v>828</v>
      </c>
      <c r="G3437" s="126" t="s">
        <v>10304</v>
      </c>
      <c r="H3437" s="255">
        <v>5</v>
      </c>
      <c r="I3437" s="361">
        <v>1</v>
      </c>
      <c r="J3437" s="362" t="s">
        <v>286</v>
      </c>
      <c r="K3437" s="363"/>
      <c r="L3437" s="129"/>
      <c r="M3437" s="129"/>
      <c r="N3437" s="129"/>
      <c r="O3437" s="129"/>
      <c r="P3437" s="364"/>
      <c r="Q3437" s="364"/>
      <c r="R3437" s="129"/>
      <c r="S3437" s="129"/>
      <c r="T3437" s="129"/>
      <c r="W3437" s="129" t="s">
        <v>286</v>
      </c>
      <c r="X3437" s="337" t="b">
        <f t="shared" si="88"/>
        <v>1</v>
      </c>
    </row>
    <row r="3438" spans="1:24" s="337" customFormat="1" ht="12" customHeight="1" outlineLevel="1">
      <c r="A3438" s="335"/>
      <c r="B3438" s="118" t="s">
        <v>12</v>
      </c>
      <c r="C3438" s="334" t="s">
        <v>11158</v>
      </c>
      <c r="D3438" s="124" t="s">
        <v>10419</v>
      </c>
      <c r="E3438" s="125"/>
      <c r="F3438" s="118" t="s">
        <v>828</v>
      </c>
      <c r="G3438" s="126" t="s">
        <v>10304</v>
      </c>
      <c r="H3438" s="255">
        <v>5</v>
      </c>
      <c r="I3438" s="361">
        <v>1</v>
      </c>
      <c r="J3438" s="362" t="s">
        <v>286</v>
      </c>
      <c r="K3438" s="363"/>
      <c r="L3438" s="129"/>
      <c r="M3438" s="129"/>
      <c r="N3438" s="129"/>
      <c r="O3438" s="129"/>
      <c r="P3438" s="364"/>
      <c r="Q3438" s="364"/>
      <c r="R3438" s="129"/>
      <c r="S3438" s="129"/>
      <c r="T3438" s="129"/>
      <c r="W3438" s="129" t="s">
        <v>286</v>
      </c>
      <c r="X3438" s="337" t="b">
        <f t="shared" si="88"/>
        <v>1</v>
      </c>
    </row>
    <row r="3439" spans="1:24" s="337" customFormat="1" ht="12" customHeight="1" outlineLevel="1">
      <c r="A3439" s="335"/>
      <c r="B3439" s="118" t="s">
        <v>12</v>
      </c>
      <c r="C3439" s="334" t="s">
        <v>11159</v>
      </c>
      <c r="D3439" s="124" t="s">
        <v>10421</v>
      </c>
      <c r="E3439" s="125"/>
      <c r="F3439" s="118" t="s">
        <v>828</v>
      </c>
      <c r="G3439" s="126" t="s">
        <v>10304</v>
      </c>
      <c r="H3439" s="255">
        <v>5</v>
      </c>
      <c r="I3439" s="361">
        <v>1</v>
      </c>
      <c r="J3439" s="362" t="s">
        <v>310</v>
      </c>
      <c r="K3439" s="363"/>
      <c r="L3439" s="129"/>
      <c r="M3439" s="129"/>
      <c r="N3439" s="129"/>
      <c r="O3439" s="129"/>
      <c r="P3439" s="364"/>
      <c r="Q3439" s="364"/>
      <c r="R3439" s="129"/>
      <c r="S3439" s="129"/>
      <c r="T3439" s="129"/>
      <c r="W3439" s="129" t="s">
        <v>286</v>
      </c>
      <c r="X3439" s="337" t="b">
        <f t="shared" si="88"/>
        <v>0</v>
      </c>
    </row>
    <row r="3440" spans="1:24" s="337" customFormat="1" ht="12" customHeight="1" outlineLevel="1">
      <c r="A3440" s="335"/>
      <c r="B3440" s="118" t="s">
        <v>12</v>
      </c>
      <c r="C3440" s="334" t="s">
        <v>11160</v>
      </c>
      <c r="D3440" s="124" t="s">
        <v>10423</v>
      </c>
      <c r="E3440" s="125"/>
      <c r="F3440" s="118" t="s">
        <v>828</v>
      </c>
      <c r="G3440" s="126" t="s">
        <v>10304</v>
      </c>
      <c r="H3440" s="255">
        <v>5</v>
      </c>
      <c r="I3440" s="361">
        <v>1</v>
      </c>
      <c r="J3440" s="362" t="s">
        <v>310</v>
      </c>
      <c r="K3440" s="363"/>
      <c r="L3440" s="129"/>
      <c r="M3440" s="129"/>
      <c r="N3440" s="129"/>
      <c r="O3440" s="129"/>
      <c r="P3440" s="364"/>
      <c r="Q3440" s="364"/>
      <c r="R3440" s="129"/>
      <c r="S3440" s="129"/>
      <c r="T3440" s="129"/>
      <c r="W3440" s="129" t="s">
        <v>286</v>
      </c>
      <c r="X3440" s="337" t="b">
        <f t="shared" si="88"/>
        <v>0</v>
      </c>
    </row>
    <row r="3441" spans="1:24" s="337" customFormat="1" ht="12" customHeight="1" outlineLevel="1">
      <c r="A3441" s="335"/>
      <c r="B3441" s="118" t="s">
        <v>12</v>
      </c>
      <c r="C3441" s="334" t="s">
        <v>11161</v>
      </c>
      <c r="D3441" s="124" t="s">
        <v>10425</v>
      </c>
      <c r="E3441" s="125"/>
      <c r="F3441" s="118" t="s">
        <v>828</v>
      </c>
      <c r="G3441" s="126" t="s">
        <v>10304</v>
      </c>
      <c r="H3441" s="255">
        <v>5</v>
      </c>
      <c r="I3441" s="361">
        <v>1</v>
      </c>
      <c r="J3441" s="362" t="s">
        <v>310</v>
      </c>
      <c r="K3441" s="363"/>
      <c r="L3441" s="129"/>
      <c r="M3441" s="129"/>
      <c r="N3441" s="129"/>
      <c r="O3441" s="129"/>
      <c r="P3441" s="364"/>
      <c r="Q3441" s="364"/>
      <c r="R3441" s="129"/>
      <c r="S3441" s="129"/>
      <c r="T3441" s="129"/>
      <c r="W3441" s="129" t="s">
        <v>286</v>
      </c>
      <c r="X3441" s="337" t="b">
        <f t="shared" si="88"/>
        <v>0</v>
      </c>
    </row>
    <row r="3442" spans="1:24" s="337" customFormat="1" ht="12" customHeight="1" outlineLevel="1">
      <c r="A3442" s="335"/>
      <c r="B3442" s="118" t="s">
        <v>12</v>
      </c>
      <c r="C3442" s="334" t="s">
        <v>11162</v>
      </c>
      <c r="D3442" s="124" t="s">
        <v>10427</v>
      </c>
      <c r="E3442" s="125"/>
      <c r="F3442" s="118" t="s">
        <v>828</v>
      </c>
      <c r="G3442" s="126" t="s">
        <v>10304</v>
      </c>
      <c r="H3442" s="255">
        <v>5</v>
      </c>
      <c r="I3442" s="361">
        <v>1</v>
      </c>
      <c r="J3442" s="362" t="s">
        <v>286</v>
      </c>
      <c r="K3442" s="363"/>
      <c r="L3442" s="129"/>
      <c r="M3442" s="129"/>
      <c r="N3442" s="129"/>
      <c r="O3442" s="129"/>
      <c r="P3442" s="364"/>
      <c r="Q3442" s="364"/>
      <c r="R3442" s="129"/>
      <c r="S3442" s="129"/>
      <c r="T3442" s="129"/>
      <c r="W3442" s="129" t="s">
        <v>286</v>
      </c>
      <c r="X3442" s="337" t="b">
        <f t="shared" si="88"/>
        <v>1</v>
      </c>
    </row>
    <row r="3443" spans="1:24" s="337" customFormat="1" ht="12" customHeight="1" outlineLevel="1">
      <c r="A3443" s="335"/>
      <c r="B3443" s="118" t="s">
        <v>12</v>
      </c>
      <c r="C3443" s="334" t="s">
        <v>11163</v>
      </c>
      <c r="D3443" s="124" t="s">
        <v>10429</v>
      </c>
      <c r="E3443" s="125"/>
      <c r="F3443" s="118" t="s">
        <v>828</v>
      </c>
      <c r="G3443" s="126" t="s">
        <v>10304</v>
      </c>
      <c r="H3443" s="255">
        <v>5</v>
      </c>
      <c r="I3443" s="361">
        <v>1</v>
      </c>
      <c r="J3443" s="362" t="s">
        <v>310</v>
      </c>
      <c r="K3443" s="363"/>
      <c r="L3443" s="129"/>
      <c r="M3443" s="129"/>
      <c r="N3443" s="129"/>
      <c r="O3443" s="129"/>
      <c r="P3443" s="364"/>
      <c r="Q3443" s="364"/>
      <c r="R3443" s="129"/>
      <c r="S3443" s="129"/>
      <c r="T3443" s="129"/>
      <c r="W3443" s="129" t="s">
        <v>286</v>
      </c>
      <c r="X3443" s="337" t="b">
        <f t="shared" si="88"/>
        <v>0</v>
      </c>
    </row>
    <row r="3444" spans="1:24" s="337" customFormat="1" ht="12" customHeight="1" outlineLevel="1">
      <c r="A3444" s="335"/>
      <c r="B3444" s="118" t="s">
        <v>12</v>
      </c>
      <c r="C3444" s="334" t="s">
        <v>11164</v>
      </c>
      <c r="D3444" s="124" t="s">
        <v>10431</v>
      </c>
      <c r="E3444" s="125"/>
      <c r="F3444" s="118" t="s">
        <v>828</v>
      </c>
      <c r="G3444" s="126" t="s">
        <v>10304</v>
      </c>
      <c r="H3444" s="255">
        <v>5</v>
      </c>
      <c r="I3444" s="361">
        <v>1</v>
      </c>
      <c r="J3444" s="362" t="s">
        <v>310</v>
      </c>
      <c r="K3444" s="363"/>
      <c r="L3444" s="129"/>
      <c r="M3444" s="129"/>
      <c r="N3444" s="129"/>
      <c r="O3444" s="129"/>
      <c r="P3444" s="364"/>
      <c r="Q3444" s="364"/>
      <c r="R3444" s="129"/>
      <c r="S3444" s="129"/>
      <c r="T3444" s="129"/>
      <c r="W3444" s="129" t="s">
        <v>286</v>
      </c>
      <c r="X3444" s="337" t="b">
        <f t="shared" si="88"/>
        <v>0</v>
      </c>
    </row>
    <row r="3445" spans="1:24" s="337" customFormat="1" ht="12" customHeight="1" outlineLevel="1">
      <c r="A3445" s="335"/>
      <c r="B3445" s="118" t="s">
        <v>12</v>
      </c>
      <c r="C3445" s="334" t="s">
        <v>11165</v>
      </c>
      <c r="D3445" s="124" t="s">
        <v>10433</v>
      </c>
      <c r="E3445" s="125"/>
      <c r="F3445" s="118" t="s">
        <v>828</v>
      </c>
      <c r="G3445" s="126" t="s">
        <v>10304</v>
      </c>
      <c r="H3445" s="255">
        <v>5</v>
      </c>
      <c r="I3445" s="361">
        <v>1</v>
      </c>
      <c r="J3445" s="362" t="s">
        <v>286</v>
      </c>
      <c r="K3445" s="363"/>
      <c r="L3445" s="129"/>
      <c r="M3445" s="129"/>
      <c r="N3445" s="129"/>
      <c r="O3445" s="129"/>
      <c r="P3445" s="364"/>
      <c r="Q3445" s="364"/>
      <c r="R3445" s="129"/>
      <c r="S3445" s="129"/>
      <c r="T3445" s="129"/>
      <c r="W3445" s="129" t="s">
        <v>286</v>
      </c>
      <c r="X3445" s="337" t="b">
        <f t="shared" si="88"/>
        <v>1</v>
      </c>
    </row>
    <row r="3446" spans="1:24" s="337" customFormat="1" ht="12" customHeight="1" outlineLevel="1">
      <c r="A3446" s="335"/>
      <c r="B3446" s="118" t="s">
        <v>12</v>
      </c>
      <c r="C3446" s="334" t="s">
        <v>11166</v>
      </c>
      <c r="D3446" s="124" t="s">
        <v>10435</v>
      </c>
      <c r="E3446" s="125"/>
      <c r="F3446" s="118" t="s">
        <v>828</v>
      </c>
      <c r="G3446" s="126" t="s">
        <v>10304</v>
      </c>
      <c r="H3446" s="255">
        <v>5</v>
      </c>
      <c r="I3446" s="361">
        <v>1</v>
      </c>
      <c r="J3446" s="362" t="s">
        <v>310</v>
      </c>
      <c r="K3446" s="363"/>
      <c r="L3446" s="129"/>
      <c r="M3446" s="129"/>
      <c r="N3446" s="129"/>
      <c r="O3446" s="129"/>
      <c r="P3446" s="364"/>
      <c r="Q3446" s="364"/>
      <c r="R3446" s="129"/>
      <c r="S3446" s="129"/>
      <c r="T3446" s="129"/>
      <c r="W3446" s="129" t="s">
        <v>286</v>
      </c>
      <c r="X3446" s="337" t="b">
        <f t="shared" si="88"/>
        <v>0</v>
      </c>
    </row>
    <row r="3447" spans="1:24" s="337" customFormat="1" ht="12" customHeight="1" outlineLevel="1">
      <c r="A3447" s="335"/>
      <c r="B3447" s="118" t="s">
        <v>12</v>
      </c>
      <c r="C3447" s="334" t="s">
        <v>11167</v>
      </c>
      <c r="D3447" s="124" t="s">
        <v>10437</v>
      </c>
      <c r="E3447" s="125"/>
      <c r="F3447" s="118" t="s">
        <v>828</v>
      </c>
      <c r="G3447" s="126" t="s">
        <v>10304</v>
      </c>
      <c r="H3447" s="255">
        <v>5</v>
      </c>
      <c r="I3447" s="361">
        <v>1</v>
      </c>
      <c r="J3447" s="362" t="s">
        <v>310</v>
      </c>
      <c r="K3447" s="363"/>
      <c r="L3447" s="129"/>
      <c r="M3447" s="129"/>
      <c r="N3447" s="129"/>
      <c r="O3447" s="129"/>
      <c r="P3447" s="364"/>
      <c r="Q3447" s="364"/>
      <c r="R3447" s="129"/>
      <c r="S3447" s="129"/>
      <c r="T3447" s="129"/>
      <c r="W3447" s="129" t="s">
        <v>286</v>
      </c>
      <c r="X3447" s="337" t="b">
        <f t="shared" si="88"/>
        <v>0</v>
      </c>
    </row>
    <row r="3448" spans="1:24" s="337" customFormat="1" ht="12" customHeight="1" outlineLevel="1">
      <c r="A3448" s="335"/>
      <c r="B3448" s="118" t="s">
        <v>12</v>
      </c>
      <c r="C3448" s="334" t="s">
        <v>11168</v>
      </c>
      <c r="D3448" s="124" t="s">
        <v>10439</v>
      </c>
      <c r="E3448" s="125"/>
      <c r="F3448" s="118" t="s">
        <v>828</v>
      </c>
      <c r="G3448" s="126" t="s">
        <v>10304</v>
      </c>
      <c r="H3448" s="255">
        <v>5</v>
      </c>
      <c r="I3448" s="361">
        <v>1</v>
      </c>
      <c r="J3448" s="362" t="s">
        <v>286</v>
      </c>
      <c r="K3448" s="363"/>
      <c r="L3448" s="129"/>
      <c r="M3448" s="129"/>
      <c r="N3448" s="129"/>
      <c r="O3448" s="129"/>
      <c r="P3448" s="364"/>
      <c r="Q3448" s="364"/>
      <c r="R3448" s="129"/>
      <c r="S3448" s="129"/>
      <c r="T3448" s="129"/>
      <c r="W3448" s="129" t="s">
        <v>286</v>
      </c>
      <c r="X3448" s="337" t="b">
        <f t="shared" si="88"/>
        <v>1</v>
      </c>
    </row>
    <row r="3449" spans="1:24" s="337" customFormat="1" ht="12" customHeight="1" outlineLevel="1">
      <c r="A3449" s="335"/>
      <c r="B3449" s="118" t="s">
        <v>12</v>
      </c>
      <c r="C3449" s="334" t="s">
        <v>11169</v>
      </c>
      <c r="D3449" s="124" t="s">
        <v>10441</v>
      </c>
      <c r="E3449" s="125"/>
      <c r="F3449" s="118" t="s">
        <v>828</v>
      </c>
      <c r="G3449" s="126" t="s">
        <v>10304</v>
      </c>
      <c r="H3449" s="255">
        <v>5</v>
      </c>
      <c r="I3449" s="361">
        <v>1</v>
      </c>
      <c r="J3449" s="362" t="s">
        <v>286</v>
      </c>
      <c r="K3449" s="363"/>
      <c r="L3449" s="129"/>
      <c r="M3449" s="129"/>
      <c r="N3449" s="129"/>
      <c r="O3449" s="129"/>
      <c r="P3449" s="364"/>
      <c r="Q3449" s="364"/>
      <c r="R3449" s="129"/>
      <c r="S3449" s="129"/>
      <c r="T3449" s="129"/>
      <c r="W3449" s="129" t="s">
        <v>286</v>
      </c>
      <c r="X3449" s="337" t="b">
        <f t="shared" si="88"/>
        <v>1</v>
      </c>
    </row>
    <row r="3450" spans="1:24" s="337" customFormat="1" ht="12" customHeight="1" outlineLevel="1">
      <c r="A3450" s="335"/>
      <c r="B3450" s="118" t="s">
        <v>12</v>
      </c>
      <c r="C3450" s="334" t="s">
        <v>11170</v>
      </c>
      <c r="D3450" s="124" t="s">
        <v>10443</v>
      </c>
      <c r="E3450" s="125"/>
      <c r="F3450" s="118" t="s">
        <v>828</v>
      </c>
      <c r="G3450" s="126" t="s">
        <v>10304</v>
      </c>
      <c r="H3450" s="255">
        <v>5</v>
      </c>
      <c r="I3450" s="361">
        <v>1</v>
      </c>
      <c r="J3450" s="362" t="s">
        <v>286</v>
      </c>
      <c r="K3450" s="363"/>
      <c r="L3450" s="129"/>
      <c r="M3450" s="129"/>
      <c r="N3450" s="129"/>
      <c r="O3450" s="129"/>
      <c r="P3450" s="364"/>
      <c r="Q3450" s="364"/>
      <c r="R3450" s="129"/>
      <c r="S3450" s="129"/>
      <c r="T3450" s="129"/>
      <c r="W3450" s="129" t="s">
        <v>286</v>
      </c>
      <c r="X3450" s="337" t="b">
        <f t="shared" si="88"/>
        <v>1</v>
      </c>
    </row>
    <row r="3451" spans="1:24" s="337" customFormat="1" ht="12" customHeight="1" outlineLevel="1">
      <c r="A3451" s="335"/>
      <c r="B3451" s="118" t="s">
        <v>12</v>
      </c>
      <c r="C3451" s="334" t="s">
        <v>11171</v>
      </c>
      <c r="D3451" s="124" t="s">
        <v>10445</v>
      </c>
      <c r="E3451" s="125"/>
      <c r="F3451" s="118" t="s">
        <v>828</v>
      </c>
      <c r="G3451" s="126" t="s">
        <v>10304</v>
      </c>
      <c r="H3451" s="255">
        <v>5</v>
      </c>
      <c r="I3451" s="361">
        <v>1</v>
      </c>
      <c r="J3451" s="362" t="s">
        <v>286</v>
      </c>
      <c r="K3451" s="363"/>
      <c r="L3451" s="129"/>
      <c r="M3451" s="129"/>
      <c r="N3451" s="129"/>
      <c r="O3451" s="129"/>
      <c r="P3451" s="364"/>
      <c r="Q3451" s="364"/>
      <c r="R3451" s="129"/>
      <c r="S3451" s="129"/>
      <c r="T3451" s="129"/>
      <c r="W3451" s="129" t="s">
        <v>286</v>
      </c>
      <c r="X3451" s="337" t="b">
        <f t="shared" si="88"/>
        <v>1</v>
      </c>
    </row>
    <row r="3452" spans="1:24" s="337" customFormat="1" ht="12" customHeight="1" outlineLevel="1">
      <c r="A3452" s="335"/>
      <c r="B3452" s="118" t="s">
        <v>12</v>
      </c>
      <c r="C3452" s="334" t="s">
        <v>11172</v>
      </c>
      <c r="D3452" s="124" t="s">
        <v>10447</v>
      </c>
      <c r="E3452" s="125"/>
      <c r="F3452" s="118" t="s">
        <v>828</v>
      </c>
      <c r="G3452" s="126" t="s">
        <v>10304</v>
      </c>
      <c r="H3452" s="255">
        <v>5</v>
      </c>
      <c r="I3452" s="361">
        <v>1</v>
      </c>
      <c r="J3452" s="362" t="s">
        <v>286</v>
      </c>
      <c r="K3452" s="363"/>
      <c r="L3452" s="129"/>
      <c r="M3452" s="129"/>
      <c r="N3452" s="129"/>
      <c r="O3452" s="129"/>
      <c r="P3452" s="364"/>
      <c r="Q3452" s="364"/>
      <c r="R3452" s="129"/>
      <c r="S3452" s="129"/>
      <c r="T3452" s="129"/>
      <c r="W3452" s="129" t="s">
        <v>286</v>
      </c>
      <c r="X3452" s="337" t="b">
        <f t="shared" si="88"/>
        <v>1</v>
      </c>
    </row>
    <row r="3453" spans="1:24" s="337" customFormat="1" ht="12" customHeight="1" outlineLevel="1">
      <c r="A3453" s="335"/>
      <c r="B3453" s="118" t="s">
        <v>12</v>
      </c>
      <c r="C3453" s="334" t="s">
        <v>11173</v>
      </c>
      <c r="D3453" s="124" t="s">
        <v>10449</v>
      </c>
      <c r="E3453" s="125"/>
      <c r="F3453" s="118" t="s">
        <v>828</v>
      </c>
      <c r="G3453" s="126" t="s">
        <v>10304</v>
      </c>
      <c r="H3453" s="255">
        <v>5</v>
      </c>
      <c r="I3453" s="361">
        <v>1</v>
      </c>
      <c r="J3453" s="362" t="s">
        <v>286</v>
      </c>
      <c r="K3453" s="363"/>
      <c r="L3453" s="129"/>
      <c r="M3453" s="129"/>
      <c r="N3453" s="129"/>
      <c r="O3453" s="129"/>
      <c r="P3453" s="364"/>
      <c r="Q3453" s="364"/>
      <c r="R3453" s="129"/>
      <c r="S3453" s="129"/>
      <c r="T3453" s="129"/>
      <c r="W3453" s="129" t="s">
        <v>286</v>
      </c>
      <c r="X3453" s="337" t="b">
        <f t="shared" si="88"/>
        <v>1</v>
      </c>
    </row>
    <row r="3454" spans="1:24" s="337" customFormat="1" ht="12" customHeight="1" outlineLevel="1">
      <c r="A3454" s="335"/>
      <c r="B3454" s="118" t="s">
        <v>12</v>
      </c>
      <c r="C3454" s="334" t="s">
        <v>11174</v>
      </c>
      <c r="D3454" s="124" t="s">
        <v>10451</v>
      </c>
      <c r="E3454" s="125"/>
      <c r="F3454" s="118" t="s">
        <v>828</v>
      </c>
      <c r="G3454" s="126" t="s">
        <v>10304</v>
      </c>
      <c r="H3454" s="255">
        <v>5</v>
      </c>
      <c r="I3454" s="361">
        <v>1</v>
      </c>
      <c r="J3454" s="362" t="s">
        <v>286</v>
      </c>
      <c r="K3454" s="363"/>
      <c r="L3454" s="129"/>
      <c r="M3454" s="129"/>
      <c r="N3454" s="129"/>
      <c r="O3454" s="129"/>
      <c r="P3454" s="364"/>
      <c r="Q3454" s="364"/>
      <c r="R3454" s="129"/>
      <c r="S3454" s="129"/>
      <c r="T3454" s="129"/>
      <c r="W3454" s="129" t="s">
        <v>286</v>
      </c>
      <c r="X3454" s="337" t="b">
        <f t="shared" si="88"/>
        <v>1</v>
      </c>
    </row>
    <row r="3455" spans="1:24" s="337" customFormat="1" ht="12" customHeight="1" outlineLevel="1">
      <c r="A3455" s="335"/>
      <c r="B3455" s="118" t="s">
        <v>12</v>
      </c>
      <c r="C3455" s="334" t="s">
        <v>11175</v>
      </c>
      <c r="D3455" s="124" t="s">
        <v>10453</v>
      </c>
      <c r="E3455" s="125"/>
      <c r="F3455" s="118" t="s">
        <v>828</v>
      </c>
      <c r="G3455" s="126" t="s">
        <v>10304</v>
      </c>
      <c r="H3455" s="255">
        <v>5</v>
      </c>
      <c r="I3455" s="361">
        <v>1</v>
      </c>
      <c r="J3455" s="362" t="s">
        <v>286</v>
      </c>
      <c r="K3455" s="363"/>
      <c r="L3455" s="129"/>
      <c r="M3455" s="129"/>
      <c r="N3455" s="129"/>
      <c r="O3455" s="129"/>
      <c r="P3455" s="364"/>
      <c r="Q3455" s="364"/>
      <c r="R3455" s="129"/>
      <c r="S3455" s="129"/>
      <c r="T3455" s="129"/>
      <c r="W3455" s="129" t="s">
        <v>286</v>
      </c>
      <c r="X3455" s="337" t="b">
        <f t="shared" si="88"/>
        <v>1</v>
      </c>
    </row>
    <row r="3456" spans="1:24" s="337" customFormat="1" ht="12" customHeight="1" outlineLevel="1">
      <c r="A3456" s="335"/>
      <c r="B3456" s="118" t="s">
        <v>12</v>
      </c>
      <c r="C3456" s="334" t="s">
        <v>11176</v>
      </c>
      <c r="D3456" s="124" t="s">
        <v>10455</v>
      </c>
      <c r="E3456" s="125"/>
      <c r="F3456" s="118" t="s">
        <v>828</v>
      </c>
      <c r="G3456" s="126" t="s">
        <v>10304</v>
      </c>
      <c r="H3456" s="255">
        <v>5</v>
      </c>
      <c r="I3456" s="361">
        <v>1</v>
      </c>
      <c r="J3456" s="362" t="s">
        <v>286</v>
      </c>
      <c r="K3456" s="363"/>
      <c r="L3456" s="129"/>
      <c r="M3456" s="129"/>
      <c r="N3456" s="129"/>
      <c r="O3456" s="129"/>
      <c r="P3456" s="364"/>
      <c r="Q3456" s="364"/>
      <c r="R3456" s="129"/>
      <c r="S3456" s="129"/>
      <c r="T3456" s="129"/>
      <c r="W3456" s="129" t="s">
        <v>286</v>
      </c>
      <c r="X3456" s="337" t="b">
        <f t="shared" si="88"/>
        <v>1</v>
      </c>
    </row>
    <row r="3457" spans="1:24" s="337" customFormat="1" ht="12" customHeight="1" outlineLevel="1">
      <c r="A3457" s="335"/>
      <c r="B3457" s="118" t="s">
        <v>12</v>
      </c>
      <c r="C3457" s="334" t="s">
        <v>11177</v>
      </c>
      <c r="D3457" s="124" t="s">
        <v>10457</v>
      </c>
      <c r="E3457" s="125"/>
      <c r="F3457" s="118" t="s">
        <v>828</v>
      </c>
      <c r="G3457" s="126" t="s">
        <v>10304</v>
      </c>
      <c r="H3457" s="255">
        <v>5</v>
      </c>
      <c r="I3457" s="361">
        <v>1</v>
      </c>
      <c r="J3457" s="362" t="s">
        <v>286</v>
      </c>
      <c r="K3457" s="363"/>
      <c r="L3457" s="129"/>
      <c r="M3457" s="129"/>
      <c r="N3457" s="129"/>
      <c r="O3457" s="129"/>
      <c r="P3457" s="364"/>
      <c r="Q3457" s="364"/>
      <c r="R3457" s="129"/>
      <c r="S3457" s="129"/>
      <c r="T3457" s="129"/>
      <c r="W3457" s="129" t="s">
        <v>286</v>
      </c>
      <c r="X3457" s="337" t="b">
        <f t="shared" si="88"/>
        <v>1</v>
      </c>
    </row>
    <row r="3458" spans="1:24" s="337" customFormat="1" ht="12" customHeight="1" outlineLevel="1">
      <c r="A3458" s="335"/>
      <c r="B3458" s="118" t="s">
        <v>12</v>
      </c>
      <c r="C3458" s="334" t="s">
        <v>11178</v>
      </c>
      <c r="D3458" s="124" t="s">
        <v>10459</v>
      </c>
      <c r="E3458" s="125"/>
      <c r="F3458" s="118" t="s">
        <v>828</v>
      </c>
      <c r="G3458" s="126" t="s">
        <v>10304</v>
      </c>
      <c r="H3458" s="255">
        <v>5</v>
      </c>
      <c r="I3458" s="361">
        <v>1</v>
      </c>
      <c r="J3458" s="362" t="s">
        <v>286</v>
      </c>
      <c r="K3458" s="363"/>
      <c r="L3458" s="129"/>
      <c r="M3458" s="129"/>
      <c r="N3458" s="129"/>
      <c r="O3458" s="129"/>
      <c r="P3458" s="364"/>
      <c r="Q3458" s="364"/>
      <c r="R3458" s="129"/>
      <c r="S3458" s="129"/>
      <c r="T3458" s="129"/>
      <c r="W3458" s="129" t="s">
        <v>286</v>
      </c>
      <c r="X3458" s="337" t="b">
        <f t="shared" si="88"/>
        <v>1</v>
      </c>
    </row>
    <row r="3459" spans="1:24" s="337" customFormat="1" ht="12" customHeight="1" outlineLevel="1">
      <c r="A3459" s="335"/>
      <c r="B3459" s="118" t="s">
        <v>12</v>
      </c>
      <c r="C3459" s="334" t="s">
        <v>11179</v>
      </c>
      <c r="D3459" s="124" t="s">
        <v>10461</v>
      </c>
      <c r="E3459" s="125"/>
      <c r="F3459" s="118" t="s">
        <v>828</v>
      </c>
      <c r="G3459" s="126" t="s">
        <v>10304</v>
      </c>
      <c r="H3459" s="255">
        <v>5</v>
      </c>
      <c r="I3459" s="361">
        <v>1</v>
      </c>
      <c r="J3459" s="362" t="s">
        <v>286</v>
      </c>
      <c r="K3459" s="363"/>
      <c r="L3459" s="129"/>
      <c r="M3459" s="129"/>
      <c r="N3459" s="129"/>
      <c r="O3459" s="129"/>
      <c r="P3459" s="364"/>
      <c r="Q3459" s="364"/>
      <c r="R3459" s="129"/>
      <c r="S3459" s="129"/>
      <c r="T3459" s="129"/>
      <c r="W3459" s="129" t="s">
        <v>286</v>
      </c>
      <c r="X3459" s="337" t="b">
        <f t="shared" si="88"/>
        <v>1</v>
      </c>
    </row>
    <row r="3460" spans="1:24" s="337" customFormat="1" ht="12" customHeight="1" outlineLevel="1">
      <c r="A3460" s="335"/>
      <c r="B3460" s="118" t="s">
        <v>12</v>
      </c>
      <c r="C3460" s="334" t="s">
        <v>11180</v>
      </c>
      <c r="D3460" s="124" t="s">
        <v>10463</v>
      </c>
      <c r="E3460" s="125"/>
      <c r="F3460" s="118" t="s">
        <v>828</v>
      </c>
      <c r="G3460" s="126" t="s">
        <v>10304</v>
      </c>
      <c r="H3460" s="255">
        <v>5</v>
      </c>
      <c r="I3460" s="361">
        <v>1</v>
      </c>
      <c r="J3460" s="362" t="s">
        <v>286</v>
      </c>
      <c r="K3460" s="363"/>
      <c r="L3460" s="129"/>
      <c r="M3460" s="129"/>
      <c r="N3460" s="129"/>
      <c r="O3460" s="129"/>
      <c r="P3460" s="364"/>
      <c r="Q3460" s="364"/>
      <c r="R3460" s="129"/>
      <c r="S3460" s="129"/>
      <c r="T3460" s="129"/>
      <c r="W3460" s="129" t="s">
        <v>286</v>
      </c>
      <c r="X3460" s="337" t="b">
        <f t="shared" si="88"/>
        <v>1</v>
      </c>
    </row>
    <row r="3461" spans="1:24" s="337" customFormat="1" ht="12" customHeight="1" outlineLevel="1">
      <c r="A3461" s="335"/>
      <c r="B3461" s="118" t="s">
        <v>12</v>
      </c>
      <c r="C3461" s="334" t="s">
        <v>11181</v>
      </c>
      <c r="D3461" s="124" t="s">
        <v>10465</v>
      </c>
      <c r="E3461" s="125"/>
      <c r="F3461" s="118" t="s">
        <v>828</v>
      </c>
      <c r="G3461" s="126" t="s">
        <v>10304</v>
      </c>
      <c r="H3461" s="255">
        <v>5</v>
      </c>
      <c r="I3461" s="361">
        <v>1</v>
      </c>
      <c r="J3461" s="362" t="s">
        <v>286</v>
      </c>
      <c r="K3461" s="363"/>
      <c r="L3461" s="129"/>
      <c r="M3461" s="129"/>
      <c r="N3461" s="129"/>
      <c r="O3461" s="129"/>
      <c r="P3461" s="364"/>
      <c r="Q3461" s="364"/>
      <c r="R3461" s="129"/>
      <c r="S3461" s="129"/>
      <c r="T3461" s="129"/>
      <c r="W3461" s="129" t="s">
        <v>286</v>
      </c>
      <c r="X3461" s="337" t="b">
        <f t="shared" si="88"/>
        <v>1</v>
      </c>
    </row>
    <row r="3462" spans="1:24" s="337" customFormat="1" ht="12" customHeight="1" outlineLevel="1">
      <c r="A3462" s="335"/>
      <c r="B3462" s="118" t="s">
        <v>12</v>
      </c>
      <c r="C3462" s="334" t="s">
        <v>11182</v>
      </c>
      <c r="D3462" s="124" t="s">
        <v>10467</v>
      </c>
      <c r="E3462" s="125"/>
      <c r="F3462" s="118" t="s">
        <v>828</v>
      </c>
      <c r="G3462" s="126" t="s">
        <v>10304</v>
      </c>
      <c r="H3462" s="255">
        <v>5</v>
      </c>
      <c r="I3462" s="361">
        <v>1</v>
      </c>
      <c r="J3462" s="362" t="s">
        <v>286</v>
      </c>
      <c r="K3462" s="363"/>
      <c r="L3462" s="129"/>
      <c r="M3462" s="129"/>
      <c r="N3462" s="129"/>
      <c r="O3462" s="129"/>
      <c r="P3462" s="364"/>
      <c r="Q3462" s="364"/>
      <c r="R3462" s="129"/>
      <c r="S3462" s="129"/>
      <c r="T3462" s="129"/>
      <c r="W3462" s="129" t="s">
        <v>286</v>
      </c>
      <c r="X3462" s="337" t="b">
        <f t="shared" si="88"/>
        <v>1</v>
      </c>
    </row>
    <row r="3463" spans="1:24" s="337" customFormat="1" ht="12" customHeight="1" outlineLevel="1">
      <c r="A3463" s="335"/>
      <c r="B3463" s="118" t="s">
        <v>12</v>
      </c>
      <c r="C3463" s="334" t="s">
        <v>11183</v>
      </c>
      <c r="D3463" s="124" t="s">
        <v>10469</v>
      </c>
      <c r="E3463" s="125"/>
      <c r="F3463" s="118" t="s">
        <v>828</v>
      </c>
      <c r="G3463" s="126" t="s">
        <v>10304</v>
      </c>
      <c r="H3463" s="255">
        <v>5</v>
      </c>
      <c r="I3463" s="361">
        <v>1</v>
      </c>
      <c r="J3463" s="362" t="s">
        <v>286</v>
      </c>
      <c r="K3463" s="363"/>
      <c r="L3463" s="129"/>
      <c r="M3463" s="129"/>
      <c r="N3463" s="129"/>
      <c r="O3463" s="129"/>
      <c r="P3463" s="364"/>
      <c r="Q3463" s="364"/>
      <c r="R3463" s="129"/>
      <c r="S3463" s="129"/>
      <c r="T3463" s="129"/>
      <c r="W3463" s="129" t="s">
        <v>286</v>
      </c>
      <c r="X3463" s="337" t="b">
        <f t="shared" si="88"/>
        <v>1</v>
      </c>
    </row>
    <row r="3464" spans="1:24" s="337" customFormat="1" ht="12" customHeight="1" outlineLevel="1">
      <c r="A3464" s="335"/>
      <c r="B3464" s="118" t="s">
        <v>12</v>
      </c>
      <c r="C3464" s="334" t="s">
        <v>11184</v>
      </c>
      <c r="D3464" s="124" t="s">
        <v>10471</v>
      </c>
      <c r="E3464" s="125"/>
      <c r="F3464" s="118" t="s">
        <v>828</v>
      </c>
      <c r="G3464" s="126" t="s">
        <v>10304</v>
      </c>
      <c r="H3464" s="255">
        <v>5</v>
      </c>
      <c r="I3464" s="361">
        <v>1</v>
      </c>
      <c r="J3464" s="362" t="s">
        <v>286</v>
      </c>
      <c r="K3464" s="363"/>
      <c r="L3464" s="129"/>
      <c r="M3464" s="129"/>
      <c r="N3464" s="129"/>
      <c r="O3464" s="129"/>
      <c r="P3464" s="364"/>
      <c r="Q3464" s="364"/>
      <c r="R3464" s="129"/>
      <c r="S3464" s="129"/>
      <c r="T3464" s="129"/>
      <c r="W3464" s="129" t="s">
        <v>286</v>
      </c>
      <c r="X3464" s="337" t="b">
        <f t="shared" si="88"/>
        <v>1</v>
      </c>
    </row>
    <row r="3465" spans="1:24" s="337" customFormat="1" ht="12" customHeight="1" outlineLevel="1">
      <c r="A3465" s="335"/>
      <c r="B3465" s="118" t="s">
        <v>12</v>
      </c>
      <c r="C3465" s="334" t="s">
        <v>11185</v>
      </c>
      <c r="D3465" s="124" t="s">
        <v>10473</v>
      </c>
      <c r="E3465" s="125"/>
      <c r="F3465" s="118" t="s">
        <v>828</v>
      </c>
      <c r="G3465" s="126" t="s">
        <v>10304</v>
      </c>
      <c r="H3465" s="255">
        <v>5</v>
      </c>
      <c r="I3465" s="361">
        <v>1</v>
      </c>
      <c r="J3465" s="362" t="s">
        <v>286</v>
      </c>
      <c r="K3465" s="363"/>
      <c r="L3465" s="129"/>
      <c r="M3465" s="129"/>
      <c r="N3465" s="129"/>
      <c r="O3465" s="129"/>
      <c r="P3465" s="364"/>
      <c r="Q3465" s="364"/>
      <c r="R3465" s="129"/>
      <c r="S3465" s="129"/>
      <c r="T3465" s="129"/>
      <c r="W3465" s="129" t="s">
        <v>286</v>
      </c>
      <c r="X3465" s="337" t="b">
        <f t="shared" si="88"/>
        <v>1</v>
      </c>
    </row>
    <row r="3466" spans="1:24" s="337" customFormat="1" ht="12" customHeight="1" outlineLevel="1">
      <c r="A3466" s="335"/>
      <c r="B3466" s="118" t="s">
        <v>12</v>
      </c>
      <c r="C3466" s="334" t="s">
        <v>11186</v>
      </c>
      <c r="D3466" s="124" t="s">
        <v>10475</v>
      </c>
      <c r="E3466" s="125"/>
      <c r="F3466" s="118" t="s">
        <v>828</v>
      </c>
      <c r="G3466" s="126" t="s">
        <v>10304</v>
      </c>
      <c r="H3466" s="255">
        <v>5</v>
      </c>
      <c r="I3466" s="361">
        <v>1</v>
      </c>
      <c r="J3466" s="362" t="s">
        <v>286</v>
      </c>
      <c r="K3466" s="363"/>
      <c r="L3466" s="129"/>
      <c r="M3466" s="129"/>
      <c r="N3466" s="129"/>
      <c r="O3466" s="129"/>
      <c r="P3466" s="364"/>
      <c r="Q3466" s="364"/>
      <c r="R3466" s="129"/>
      <c r="S3466" s="129"/>
      <c r="T3466" s="129"/>
      <c r="W3466" s="129" t="s">
        <v>286</v>
      </c>
      <c r="X3466" s="337" t="b">
        <f t="shared" si="88"/>
        <v>1</v>
      </c>
    </row>
    <row r="3467" spans="1:24" s="337" customFormat="1" ht="12" customHeight="1" outlineLevel="1">
      <c r="A3467" s="335"/>
      <c r="B3467" s="118" t="s">
        <v>12</v>
      </c>
      <c r="C3467" s="334" t="s">
        <v>11187</v>
      </c>
      <c r="D3467" s="124" t="s">
        <v>10477</v>
      </c>
      <c r="E3467" s="125"/>
      <c r="F3467" s="118" t="s">
        <v>828</v>
      </c>
      <c r="G3467" s="126" t="s">
        <v>10304</v>
      </c>
      <c r="H3467" s="255">
        <v>5</v>
      </c>
      <c r="I3467" s="361">
        <v>1</v>
      </c>
      <c r="J3467" s="362" t="s">
        <v>286</v>
      </c>
      <c r="K3467" s="363"/>
      <c r="L3467" s="129"/>
      <c r="M3467" s="129"/>
      <c r="N3467" s="129"/>
      <c r="O3467" s="129"/>
      <c r="P3467" s="372"/>
      <c r="Q3467" s="372"/>
      <c r="R3467" s="129"/>
      <c r="S3467" s="129"/>
      <c r="T3467" s="129"/>
      <c r="W3467" s="129" t="s">
        <v>286</v>
      </c>
      <c r="X3467" s="337" t="b">
        <f t="shared" si="88"/>
        <v>1</v>
      </c>
    </row>
    <row r="3468" spans="1:24" s="360" customFormat="1" ht="12" customHeight="1" outlineLevel="1">
      <c r="A3468" s="365"/>
      <c r="B3468" s="118" t="s">
        <v>12</v>
      </c>
      <c r="C3468" s="334" t="s">
        <v>11188</v>
      </c>
      <c r="D3468" s="124" t="s">
        <v>10479</v>
      </c>
      <c r="E3468" s="125"/>
      <c r="F3468" s="118" t="s">
        <v>828</v>
      </c>
      <c r="G3468" s="126" t="s">
        <v>10304</v>
      </c>
      <c r="H3468" s="255">
        <v>5</v>
      </c>
      <c r="I3468" s="361">
        <v>1</v>
      </c>
      <c r="J3468" s="368" t="s">
        <v>286</v>
      </c>
      <c r="K3468" s="329"/>
      <c r="L3468" s="129"/>
      <c r="M3468" s="129"/>
      <c r="N3468" s="129"/>
      <c r="O3468" s="129"/>
      <c r="P3468" s="372"/>
      <c r="Q3468" s="372"/>
      <c r="R3468" s="129"/>
      <c r="S3468" s="129"/>
      <c r="T3468" s="129"/>
      <c r="W3468" s="129" t="s">
        <v>286</v>
      </c>
      <c r="X3468" s="337" t="b">
        <f t="shared" si="88"/>
        <v>1</v>
      </c>
    </row>
    <row r="3469" spans="1:24" s="337" customFormat="1" ht="12" customHeight="1" outlineLevel="1">
      <c r="A3469" s="335"/>
      <c r="B3469" s="118" t="s">
        <v>12</v>
      </c>
      <c r="C3469" s="334" t="s">
        <v>11189</v>
      </c>
      <c r="D3469" s="124" t="s">
        <v>10481</v>
      </c>
      <c r="E3469" s="125"/>
      <c r="F3469" s="118" t="s">
        <v>828</v>
      </c>
      <c r="G3469" s="126" t="s">
        <v>10304</v>
      </c>
      <c r="H3469" s="255">
        <v>5</v>
      </c>
      <c r="I3469" s="361">
        <v>1</v>
      </c>
      <c r="J3469" s="362" t="s">
        <v>286</v>
      </c>
      <c r="K3469" s="363"/>
      <c r="L3469" s="129"/>
      <c r="M3469" s="129"/>
      <c r="N3469" s="129"/>
      <c r="O3469" s="129"/>
      <c r="P3469" s="372"/>
      <c r="Q3469" s="372"/>
      <c r="R3469" s="129"/>
      <c r="S3469" s="129"/>
      <c r="T3469" s="129"/>
      <c r="W3469" s="129" t="s">
        <v>286</v>
      </c>
      <c r="X3469" s="337" t="b">
        <f t="shared" si="88"/>
        <v>1</v>
      </c>
    </row>
    <row r="3470" spans="1:24" s="337" customFormat="1" ht="12" customHeight="1" outlineLevel="1">
      <c r="A3470" s="335"/>
      <c r="B3470" s="118" t="s">
        <v>12</v>
      </c>
      <c r="C3470" s="334" t="s">
        <v>11190</v>
      </c>
      <c r="D3470" s="124" t="s">
        <v>10483</v>
      </c>
      <c r="E3470" s="125"/>
      <c r="F3470" s="118" t="s">
        <v>828</v>
      </c>
      <c r="G3470" s="126" t="s">
        <v>10304</v>
      </c>
      <c r="H3470" s="255">
        <v>5</v>
      </c>
      <c r="I3470" s="361">
        <v>1</v>
      </c>
      <c r="J3470" s="362" t="s">
        <v>286</v>
      </c>
      <c r="K3470" s="363"/>
      <c r="L3470" s="129"/>
      <c r="M3470" s="129"/>
      <c r="N3470" s="129"/>
      <c r="O3470" s="129"/>
      <c r="P3470" s="372"/>
      <c r="Q3470" s="372"/>
      <c r="R3470" s="129"/>
      <c r="S3470" s="129"/>
      <c r="T3470" s="129"/>
      <c r="W3470" s="129" t="s">
        <v>286</v>
      </c>
      <c r="X3470" s="337" t="b">
        <f t="shared" si="88"/>
        <v>1</v>
      </c>
    </row>
    <row r="3471" spans="1:24" s="337" customFormat="1" ht="12" customHeight="1" outlineLevel="1">
      <c r="A3471" s="335"/>
      <c r="B3471" s="118" t="s">
        <v>12</v>
      </c>
      <c r="C3471" s="334" t="s">
        <v>11191</v>
      </c>
      <c r="D3471" s="124" t="s">
        <v>10537</v>
      </c>
      <c r="E3471" s="125"/>
      <c r="F3471" s="118" t="s">
        <v>828</v>
      </c>
      <c r="G3471" s="126" t="s">
        <v>10304</v>
      </c>
      <c r="H3471" s="255">
        <v>5</v>
      </c>
      <c r="I3471" s="361">
        <v>1</v>
      </c>
      <c r="J3471" s="362" t="s">
        <v>286</v>
      </c>
      <c r="K3471" s="363"/>
      <c r="L3471" s="129"/>
      <c r="M3471" s="129"/>
      <c r="N3471" s="129"/>
      <c r="O3471" s="129"/>
      <c r="P3471" s="372"/>
      <c r="Q3471" s="372"/>
      <c r="R3471" s="129"/>
      <c r="S3471" s="129"/>
      <c r="T3471" s="129"/>
      <c r="W3471" s="129" t="s">
        <v>286</v>
      </c>
      <c r="X3471" s="337" t="b">
        <f t="shared" si="88"/>
        <v>1</v>
      </c>
    </row>
    <row r="3472" spans="1:24" s="337" customFormat="1" ht="12" customHeight="1" outlineLevel="1">
      <c r="A3472" s="335"/>
      <c r="B3472" s="118" t="s">
        <v>12</v>
      </c>
      <c r="C3472" s="334" t="s">
        <v>11192</v>
      </c>
      <c r="D3472" s="124" t="s">
        <v>10539</v>
      </c>
      <c r="E3472" s="125"/>
      <c r="F3472" s="118" t="s">
        <v>828</v>
      </c>
      <c r="G3472" s="126" t="s">
        <v>10304</v>
      </c>
      <c r="H3472" s="255">
        <v>5</v>
      </c>
      <c r="I3472" s="361">
        <v>1</v>
      </c>
      <c r="J3472" s="336" t="s">
        <v>286</v>
      </c>
      <c r="W3472" s="129" t="s">
        <v>286</v>
      </c>
      <c r="X3472" s="337" t="b">
        <f t="shared" si="88"/>
        <v>1</v>
      </c>
    </row>
    <row r="3473" spans="1:24" s="337" customFormat="1" ht="12" customHeight="1" outlineLevel="1">
      <c r="A3473" s="335"/>
      <c r="B3473" s="118" t="s">
        <v>12</v>
      </c>
      <c r="C3473" s="334" t="s">
        <v>11193</v>
      </c>
      <c r="D3473" s="124" t="s">
        <v>10541</v>
      </c>
      <c r="E3473" s="125"/>
      <c r="F3473" s="118" t="s">
        <v>828</v>
      </c>
      <c r="G3473" s="126" t="s">
        <v>10304</v>
      </c>
      <c r="H3473" s="255">
        <v>5</v>
      </c>
      <c r="I3473" s="361">
        <v>1</v>
      </c>
      <c r="J3473" s="336" t="s">
        <v>286</v>
      </c>
      <c r="W3473" s="129" t="s">
        <v>286</v>
      </c>
      <c r="X3473" s="337" t="b">
        <f t="shared" si="88"/>
        <v>1</v>
      </c>
    </row>
    <row r="3474" spans="1:24" s="337" customFormat="1" ht="12" customHeight="1" outlineLevel="1">
      <c r="A3474" s="335"/>
      <c r="B3474" s="118" t="s">
        <v>12</v>
      </c>
      <c r="C3474" s="334" t="s">
        <v>11194</v>
      </c>
      <c r="D3474" s="124" t="s">
        <v>10543</v>
      </c>
      <c r="E3474" s="125"/>
      <c r="F3474" s="118" t="s">
        <v>828</v>
      </c>
      <c r="G3474" s="126" t="s">
        <v>10304</v>
      </c>
      <c r="H3474" s="255">
        <v>5</v>
      </c>
      <c r="I3474" s="361">
        <v>1</v>
      </c>
      <c r="J3474" s="336" t="s">
        <v>286</v>
      </c>
      <c r="W3474" s="129" t="s">
        <v>286</v>
      </c>
      <c r="X3474" s="337" t="b">
        <f t="shared" si="88"/>
        <v>1</v>
      </c>
    </row>
    <row r="3475" spans="1:24" s="337" customFormat="1" ht="12" customHeight="1" outlineLevel="1">
      <c r="A3475" s="335"/>
      <c r="B3475" s="118" t="s">
        <v>12</v>
      </c>
      <c r="C3475" s="334" t="s">
        <v>11195</v>
      </c>
      <c r="D3475" s="124" t="s">
        <v>10545</v>
      </c>
      <c r="E3475" s="125"/>
      <c r="F3475" s="118" t="s">
        <v>828</v>
      </c>
      <c r="G3475" s="126" t="s">
        <v>10304</v>
      </c>
      <c r="H3475" s="255">
        <v>5</v>
      </c>
      <c r="I3475" s="361">
        <v>1</v>
      </c>
      <c r="J3475" s="336" t="s">
        <v>310</v>
      </c>
      <c r="W3475" s="129" t="s">
        <v>310</v>
      </c>
      <c r="X3475" s="337" t="b">
        <f t="shared" ref="X3475:X3538" si="89">W3475=J3475</f>
        <v>1</v>
      </c>
    </row>
    <row r="3476" spans="1:24" s="337" customFormat="1" ht="12" customHeight="1" outlineLevel="1">
      <c r="A3476" s="335"/>
      <c r="B3476" s="118" t="s">
        <v>12</v>
      </c>
      <c r="C3476" s="334" t="s">
        <v>11196</v>
      </c>
      <c r="D3476" s="124" t="s">
        <v>10547</v>
      </c>
      <c r="E3476" s="125"/>
      <c r="F3476" s="118" t="s">
        <v>828</v>
      </c>
      <c r="G3476" s="126" t="s">
        <v>10304</v>
      </c>
      <c r="H3476" s="255">
        <v>5</v>
      </c>
      <c r="I3476" s="361">
        <v>1</v>
      </c>
      <c r="J3476" s="336" t="s">
        <v>286</v>
      </c>
      <c r="W3476" s="129" t="s">
        <v>286</v>
      </c>
      <c r="X3476" s="337" t="b">
        <f t="shared" si="89"/>
        <v>1</v>
      </c>
    </row>
    <row r="3477" spans="1:24" s="360" customFormat="1" ht="12" customHeight="1" outlineLevel="1">
      <c r="A3477" s="365"/>
      <c r="B3477" s="118" t="s">
        <v>12</v>
      </c>
      <c r="C3477" s="334" t="s">
        <v>11197</v>
      </c>
      <c r="D3477" s="124" t="s">
        <v>10549</v>
      </c>
      <c r="E3477" s="125"/>
      <c r="F3477" s="118" t="s">
        <v>828</v>
      </c>
      <c r="G3477" s="126" t="s">
        <v>10304</v>
      </c>
      <c r="H3477" s="253">
        <v>5</v>
      </c>
      <c r="I3477" s="361">
        <v>1</v>
      </c>
      <c r="J3477" s="366" t="s">
        <v>286</v>
      </c>
      <c r="W3477" s="129" t="s">
        <v>286</v>
      </c>
      <c r="X3477" s="337" t="b">
        <f t="shared" si="89"/>
        <v>1</v>
      </c>
    </row>
    <row r="3478" spans="1:24" s="337" customFormat="1" ht="12" customHeight="1" outlineLevel="1">
      <c r="A3478" s="335"/>
      <c r="B3478" s="118" t="s">
        <v>12</v>
      </c>
      <c r="C3478" s="334" t="s">
        <v>11198</v>
      </c>
      <c r="D3478" s="124" t="s">
        <v>10603</v>
      </c>
      <c r="E3478" s="125"/>
      <c r="F3478" s="118" t="s">
        <v>828</v>
      </c>
      <c r="G3478" s="126" t="s">
        <v>10304</v>
      </c>
      <c r="H3478" s="255">
        <v>5</v>
      </c>
      <c r="I3478" s="361">
        <v>1</v>
      </c>
      <c r="J3478" s="336" t="s">
        <v>286</v>
      </c>
      <c r="W3478" s="129" t="s">
        <v>4876</v>
      </c>
      <c r="X3478" s="337" t="b">
        <f t="shared" si="89"/>
        <v>0</v>
      </c>
    </row>
    <row r="3479" spans="1:24" s="337" customFormat="1" ht="12" customHeight="1" outlineLevel="1">
      <c r="A3479" s="335"/>
      <c r="B3479" s="118" t="s">
        <v>12</v>
      </c>
      <c r="C3479" s="334" t="s">
        <v>11199</v>
      </c>
      <c r="D3479" s="124" t="s">
        <v>10605</v>
      </c>
      <c r="E3479" s="125"/>
      <c r="F3479" s="118" t="s">
        <v>828</v>
      </c>
      <c r="G3479" s="126" t="s">
        <v>10304</v>
      </c>
      <c r="H3479" s="255">
        <v>5</v>
      </c>
      <c r="I3479" s="361">
        <v>1</v>
      </c>
      <c r="J3479" s="336" t="s">
        <v>286</v>
      </c>
      <c r="W3479" s="129" t="s">
        <v>4876</v>
      </c>
      <c r="X3479" s="337" t="b">
        <f t="shared" si="89"/>
        <v>0</v>
      </c>
    </row>
    <row r="3480" spans="1:24" s="337" customFormat="1" ht="12" customHeight="1" outlineLevel="1">
      <c r="A3480" s="335"/>
      <c r="B3480" s="118" t="s">
        <v>12</v>
      </c>
      <c r="C3480" s="334" t="s">
        <v>11200</v>
      </c>
      <c r="D3480" s="124" t="s">
        <v>10607</v>
      </c>
      <c r="E3480" s="125"/>
      <c r="F3480" s="118" t="s">
        <v>828</v>
      </c>
      <c r="G3480" s="126" t="s">
        <v>10304</v>
      </c>
      <c r="H3480" s="255">
        <v>5</v>
      </c>
      <c r="I3480" s="361">
        <v>1</v>
      </c>
      <c r="J3480" s="336" t="s">
        <v>286</v>
      </c>
      <c r="W3480" s="129" t="s">
        <v>4876</v>
      </c>
      <c r="X3480" s="337" t="b">
        <f t="shared" si="89"/>
        <v>0</v>
      </c>
    </row>
    <row r="3481" spans="1:24" s="337" customFormat="1" ht="12" customHeight="1" outlineLevel="1">
      <c r="A3481" s="335"/>
      <c r="B3481" s="118" t="s">
        <v>12</v>
      </c>
      <c r="C3481" s="334" t="s">
        <v>11201</v>
      </c>
      <c r="D3481" s="124" t="s">
        <v>10609</v>
      </c>
      <c r="E3481" s="125"/>
      <c r="F3481" s="118" t="s">
        <v>828</v>
      </c>
      <c r="G3481" s="126" t="s">
        <v>10304</v>
      </c>
      <c r="H3481" s="255">
        <v>5</v>
      </c>
      <c r="I3481" s="361">
        <v>1</v>
      </c>
      <c r="J3481" s="336" t="s">
        <v>286</v>
      </c>
      <c r="W3481" s="129" t="s">
        <v>4876</v>
      </c>
      <c r="X3481" s="337" t="b">
        <f t="shared" si="89"/>
        <v>0</v>
      </c>
    </row>
    <row r="3482" spans="1:24" s="337" customFormat="1" ht="12" customHeight="1" outlineLevel="1">
      <c r="A3482" s="335"/>
      <c r="B3482" s="118" t="s">
        <v>12</v>
      </c>
      <c r="C3482" s="334" t="s">
        <v>11202</v>
      </c>
      <c r="D3482" s="124" t="s">
        <v>10611</v>
      </c>
      <c r="E3482" s="125"/>
      <c r="F3482" s="118" t="s">
        <v>828</v>
      </c>
      <c r="G3482" s="126" t="s">
        <v>10304</v>
      </c>
      <c r="H3482" s="255">
        <v>5</v>
      </c>
      <c r="I3482" s="361">
        <v>1</v>
      </c>
      <c r="J3482" s="336" t="s">
        <v>286</v>
      </c>
      <c r="W3482" s="129" t="s">
        <v>4876</v>
      </c>
      <c r="X3482" s="337" t="b">
        <f t="shared" si="89"/>
        <v>0</v>
      </c>
    </row>
    <row r="3483" spans="1:24" s="337" customFormat="1" ht="12" customHeight="1" outlineLevel="1">
      <c r="A3483" s="335"/>
      <c r="B3483" s="118" t="s">
        <v>12</v>
      </c>
      <c r="C3483" s="334" t="s">
        <v>11203</v>
      </c>
      <c r="D3483" s="124" t="s">
        <v>10613</v>
      </c>
      <c r="E3483" s="125"/>
      <c r="F3483" s="118" t="s">
        <v>828</v>
      </c>
      <c r="G3483" s="126" t="s">
        <v>10304</v>
      </c>
      <c r="H3483" s="255">
        <v>5</v>
      </c>
      <c r="I3483" s="361">
        <v>1</v>
      </c>
      <c r="J3483" s="336" t="s">
        <v>286</v>
      </c>
      <c r="W3483" s="129" t="s">
        <v>4876</v>
      </c>
      <c r="X3483" s="337" t="b">
        <f t="shared" si="89"/>
        <v>0</v>
      </c>
    </row>
    <row r="3484" spans="1:24" s="360" customFormat="1" ht="12" customHeight="1" outlineLevel="1">
      <c r="A3484" s="365"/>
      <c r="B3484" s="118" t="s">
        <v>12</v>
      </c>
      <c r="C3484" s="334" t="s">
        <v>11204</v>
      </c>
      <c r="D3484" s="124" t="s">
        <v>10615</v>
      </c>
      <c r="E3484" s="125"/>
      <c r="F3484" s="118" t="s">
        <v>828</v>
      </c>
      <c r="G3484" s="126" t="s">
        <v>10304</v>
      </c>
      <c r="H3484" s="253">
        <v>5</v>
      </c>
      <c r="I3484" s="361">
        <v>1</v>
      </c>
      <c r="J3484" s="366" t="s">
        <v>286</v>
      </c>
      <c r="W3484" s="129" t="s">
        <v>4876</v>
      </c>
      <c r="X3484" s="337" t="b">
        <f t="shared" si="89"/>
        <v>0</v>
      </c>
    </row>
    <row r="3485" spans="1:24" s="337" customFormat="1" ht="12" customHeight="1" outlineLevel="1">
      <c r="A3485" s="335"/>
      <c r="B3485" s="118" t="s">
        <v>12</v>
      </c>
      <c r="C3485" s="334" t="s">
        <v>11205</v>
      </c>
      <c r="D3485" s="124" t="s">
        <v>10617</v>
      </c>
      <c r="E3485" s="125"/>
      <c r="F3485" s="118" t="s">
        <v>828</v>
      </c>
      <c r="G3485" s="126" t="s">
        <v>10304</v>
      </c>
      <c r="H3485" s="255">
        <v>5</v>
      </c>
      <c r="I3485" s="361">
        <v>1</v>
      </c>
      <c r="J3485" s="336" t="s">
        <v>286</v>
      </c>
      <c r="W3485" s="129" t="s">
        <v>4876</v>
      </c>
      <c r="X3485" s="337" t="b">
        <f t="shared" si="89"/>
        <v>0</v>
      </c>
    </row>
    <row r="3486" spans="1:24" s="337" customFormat="1" ht="12" customHeight="1" outlineLevel="1">
      <c r="A3486" s="335"/>
      <c r="B3486" s="118" t="s">
        <v>12</v>
      </c>
      <c r="C3486" s="334" t="s">
        <v>11206</v>
      </c>
      <c r="D3486" s="124" t="s">
        <v>10619</v>
      </c>
      <c r="E3486" s="125"/>
      <c r="F3486" s="118" t="s">
        <v>828</v>
      </c>
      <c r="G3486" s="126" t="s">
        <v>10304</v>
      </c>
      <c r="H3486" s="255">
        <v>5</v>
      </c>
      <c r="I3486" s="361">
        <v>1</v>
      </c>
      <c r="J3486" s="336" t="s">
        <v>286</v>
      </c>
      <c r="W3486" s="129" t="s">
        <v>4876</v>
      </c>
      <c r="X3486" s="337" t="b">
        <f t="shared" si="89"/>
        <v>0</v>
      </c>
    </row>
    <row r="3487" spans="1:24" s="337" customFormat="1" ht="12" customHeight="1" outlineLevel="1">
      <c r="A3487" s="335"/>
      <c r="B3487" s="118" t="s">
        <v>12</v>
      </c>
      <c r="C3487" s="334" t="s">
        <v>11207</v>
      </c>
      <c r="D3487" s="124" t="s">
        <v>10621</v>
      </c>
      <c r="E3487" s="125"/>
      <c r="F3487" s="118" t="s">
        <v>828</v>
      </c>
      <c r="G3487" s="126" t="s">
        <v>10304</v>
      </c>
      <c r="H3487" s="255">
        <v>5</v>
      </c>
      <c r="I3487" s="361">
        <v>1</v>
      </c>
      <c r="J3487" s="336" t="s">
        <v>286</v>
      </c>
      <c r="W3487" s="129" t="s">
        <v>4876</v>
      </c>
      <c r="X3487" s="337" t="b">
        <f t="shared" si="89"/>
        <v>0</v>
      </c>
    </row>
    <row r="3488" spans="1:24" s="337" customFormat="1" ht="12" customHeight="1" outlineLevel="1">
      <c r="A3488" s="335"/>
      <c r="B3488" s="118" t="s">
        <v>12</v>
      </c>
      <c r="C3488" s="334" t="s">
        <v>11208</v>
      </c>
      <c r="D3488" s="124" t="s">
        <v>10623</v>
      </c>
      <c r="E3488" s="125"/>
      <c r="F3488" s="118" t="s">
        <v>828</v>
      </c>
      <c r="G3488" s="126" t="s">
        <v>10304</v>
      </c>
      <c r="H3488" s="255">
        <v>5</v>
      </c>
      <c r="I3488" s="361">
        <v>1</v>
      </c>
      <c r="J3488" s="336" t="s">
        <v>286</v>
      </c>
      <c r="W3488" s="129" t="s">
        <v>4876</v>
      </c>
      <c r="X3488" s="337" t="b">
        <f t="shared" si="89"/>
        <v>0</v>
      </c>
    </row>
    <row r="3489" spans="1:24" s="337" customFormat="1" ht="12" customHeight="1" outlineLevel="1">
      <c r="A3489" s="335"/>
      <c r="B3489" s="118" t="s">
        <v>12</v>
      </c>
      <c r="C3489" s="334" t="s">
        <v>11209</v>
      </c>
      <c r="D3489" s="124" t="s">
        <v>10625</v>
      </c>
      <c r="E3489" s="125"/>
      <c r="F3489" s="118" t="s">
        <v>828</v>
      </c>
      <c r="G3489" s="126" t="s">
        <v>10304</v>
      </c>
      <c r="H3489" s="255">
        <v>5</v>
      </c>
      <c r="I3489" s="361">
        <v>1</v>
      </c>
      <c r="J3489" s="336" t="s">
        <v>286</v>
      </c>
      <c r="W3489" s="129" t="s">
        <v>4876</v>
      </c>
      <c r="X3489" s="337" t="b">
        <f t="shared" si="89"/>
        <v>0</v>
      </c>
    </row>
    <row r="3490" spans="1:24" s="337" customFormat="1" ht="12" customHeight="1" outlineLevel="1">
      <c r="A3490" s="335"/>
      <c r="B3490" s="118" t="s">
        <v>12</v>
      </c>
      <c r="C3490" s="334" t="s">
        <v>11210</v>
      </c>
      <c r="D3490" s="124" t="s">
        <v>10627</v>
      </c>
      <c r="E3490" s="125"/>
      <c r="F3490" s="118" t="s">
        <v>828</v>
      </c>
      <c r="G3490" s="126" t="s">
        <v>10304</v>
      </c>
      <c r="H3490" s="255">
        <v>5</v>
      </c>
      <c r="I3490" s="361">
        <v>1</v>
      </c>
      <c r="J3490" s="336" t="s">
        <v>286</v>
      </c>
      <c r="W3490" s="129" t="s">
        <v>4876</v>
      </c>
      <c r="X3490" s="337" t="b">
        <f t="shared" si="89"/>
        <v>0</v>
      </c>
    </row>
    <row r="3491" spans="1:24" s="337" customFormat="1" ht="12" customHeight="1" outlineLevel="1">
      <c r="A3491" s="335"/>
      <c r="B3491" s="118" t="s">
        <v>12</v>
      </c>
      <c r="C3491" s="334" t="s">
        <v>11211</v>
      </c>
      <c r="D3491" s="124" t="s">
        <v>10629</v>
      </c>
      <c r="E3491" s="125"/>
      <c r="F3491" s="118" t="s">
        <v>828</v>
      </c>
      <c r="G3491" s="126" t="s">
        <v>10304</v>
      </c>
      <c r="H3491" s="255">
        <v>5</v>
      </c>
      <c r="I3491" s="361">
        <v>1</v>
      </c>
      <c r="J3491" s="336" t="s">
        <v>286</v>
      </c>
      <c r="W3491" s="129" t="s">
        <v>4876</v>
      </c>
      <c r="X3491" s="337" t="b">
        <f t="shared" si="89"/>
        <v>0</v>
      </c>
    </row>
    <row r="3492" spans="1:24" s="337" customFormat="1" ht="12" customHeight="1" outlineLevel="1">
      <c r="A3492" s="335"/>
      <c r="B3492" s="118" t="s">
        <v>12</v>
      </c>
      <c r="C3492" s="334" t="s">
        <v>11212</v>
      </c>
      <c r="D3492" s="124" t="s">
        <v>10631</v>
      </c>
      <c r="E3492" s="125"/>
      <c r="F3492" s="118" t="s">
        <v>828</v>
      </c>
      <c r="G3492" s="126" t="s">
        <v>10304</v>
      </c>
      <c r="H3492" s="255">
        <v>5</v>
      </c>
      <c r="I3492" s="361">
        <v>1</v>
      </c>
      <c r="J3492" s="336" t="s">
        <v>286</v>
      </c>
      <c r="W3492" s="129" t="s">
        <v>4876</v>
      </c>
      <c r="X3492" s="337" t="b">
        <f t="shared" si="89"/>
        <v>0</v>
      </c>
    </row>
    <row r="3493" spans="1:24" s="337" customFormat="1" ht="12" customHeight="1" outlineLevel="1">
      <c r="A3493" s="335"/>
      <c r="B3493" s="118" t="s">
        <v>12</v>
      </c>
      <c r="C3493" s="334" t="s">
        <v>11213</v>
      </c>
      <c r="D3493" s="124" t="s">
        <v>10633</v>
      </c>
      <c r="E3493" s="125"/>
      <c r="F3493" s="118" t="s">
        <v>828</v>
      </c>
      <c r="G3493" s="126" t="s">
        <v>10304</v>
      </c>
      <c r="H3493" s="255">
        <v>5</v>
      </c>
      <c r="I3493" s="361">
        <v>1</v>
      </c>
      <c r="J3493" s="336" t="s">
        <v>286</v>
      </c>
      <c r="W3493" s="129" t="s">
        <v>4876</v>
      </c>
      <c r="X3493" s="337" t="b">
        <f t="shared" si="89"/>
        <v>0</v>
      </c>
    </row>
    <row r="3494" spans="1:24" s="337" customFormat="1" ht="12" customHeight="1" outlineLevel="1">
      <c r="A3494" s="335"/>
      <c r="B3494" s="118" t="s">
        <v>12</v>
      </c>
      <c r="C3494" s="334" t="s">
        <v>11214</v>
      </c>
      <c r="D3494" s="124" t="s">
        <v>10635</v>
      </c>
      <c r="E3494" s="125"/>
      <c r="F3494" s="118" t="s">
        <v>828</v>
      </c>
      <c r="G3494" s="126" t="s">
        <v>10304</v>
      </c>
      <c r="H3494" s="255">
        <v>5</v>
      </c>
      <c r="I3494" s="361">
        <v>1</v>
      </c>
      <c r="J3494" s="336" t="s">
        <v>286</v>
      </c>
      <c r="W3494" s="129" t="s">
        <v>4876</v>
      </c>
      <c r="X3494" s="337" t="b">
        <f t="shared" si="89"/>
        <v>0</v>
      </c>
    </row>
    <row r="3495" spans="1:24" s="337" customFormat="1" ht="12" customHeight="1" outlineLevel="1">
      <c r="A3495" s="335"/>
      <c r="B3495" s="118" t="s">
        <v>12</v>
      </c>
      <c r="C3495" s="334" t="s">
        <v>11215</v>
      </c>
      <c r="D3495" s="124" t="s">
        <v>10637</v>
      </c>
      <c r="E3495" s="125"/>
      <c r="F3495" s="118" t="s">
        <v>828</v>
      </c>
      <c r="G3495" s="126" t="s">
        <v>10304</v>
      </c>
      <c r="H3495" s="255">
        <v>5</v>
      </c>
      <c r="I3495" s="361">
        <v>1</v>
      </c>
      <c r="J3495" s="336" t="s">
        <v>286</v>
      </c>
      <c r="W3495" s="129" t="s">
        <v>4876</v>
      </c>
      <c r="X3495" s="337" t="b">
        <f t="shared" si="89"/>
        <v>0</v>
      </c>
    </row>
    <row r="3496" spans="1:24" s="360" customFormat="1" ht="12" customHeight="1" outlineLevel="1">
      <c r="A3496" s="365"/>
      <c r="B3496" s="118" t="s">
        <v>12</v>
      </c>
      <c r="C3496" s="334" t="s">
        <v>11216</v>
      </c>
      <c r="D3496" s="124" t="s">
        <v>10639</v>
      </c>
      <c r="E3496" s="125"/>
      <c r="F3496" s="118" t="s">
        <v>828</v>
      </c>
      <c r="G3496" s="126" t="s">
        <v>10304</v>
      </c>
      <c r="H3496" s="255">
        <v>5</v>
      </c>
      <c r="I3496" s="361">
        <v>1</v>
      </c>
      <c r="J3496" s="366" t="s">
        <v>286</v>
      </c>
      <c r="W3496" s="129" t="s">
        <v>4876</v>
      </c>
      <c r="X3496" s="337" t="b">
        <f t="shared" si="89"/>
        <v>0</v>
      </c>
    </row>
    <row r="3497" spans="1:24" s="337" customFormat="1" ht="12" customHeight="1" outlineLevel="1">
      <c r="A3497" s="335"/>
      <c r="B3497" s="118" t="s">
        <v>12</v>
      </c>
      <c r="C3497" s="334" t="s">
        <v>11217</v>
      </c>
      <c r="D3497" s="124" t="s">
        <v>10641</v>
      </c>
      <c r="E3497" s="125"/>
      <c r="F3497" s="118" t="s">
        <v>828</v>
      </c>
      <c r="G3497" s="126" t="s">
        <v>10304</v>
      </c>
      <c r="H3497" s="255">
        <v>5</v>
      </c>
      <c r="I3497" s="361">
        <v>1</v>
      </c>
      <c r="J3497" s="336" t="s">
        <v>286</v>
      </c>
      <c r="W3497" s="129" t="s">
        <v>4876</v>
      </c>
      <c r="X3497" s="337" t="b">
        <f t="shared" si="89"/>
        <v>0</v>
      </c>
    </row>
    <row r="3498" spans="1:24" s="337" customFormat="1" ht="12" customHeight="1" outlineLevel="1">
      <c r="A3498" s="335"/>
      <c r="B3498" s="118" t="s">
        <v>12</v>
      </c>
      <c r="C3498" s="334" t="s">
        <v>11218</v>
      </c>
      <c r="D3498" s="124" t="s">
        <v>10643</v>
      </c>
      <c r="E3498" s="125"/>
      <c r="F3498" s="118" t="s">
        <v>828</v>
      </c>
      <c r="G3498" s="126" t="s">
        <v>10304</v>
      </c>
      <c r="H3498" s="255">
        <v>5</v>
      </c>
      <c r="I3498" s="361">
        <v>1</v>
      </c>
      <c r="J3498" s="336" t="s">
        <v>286</v>
      </c>
      <c r="W3498" s="129" t="s">
        <v>4876</v>
      </c>
      <c r="X3498" s="337" t="b">
        <f t="shared" si="89"/>
        <v>0</v>
      </c>
    </row>
    <row r="3499" spans="1:24" s="337" customFormat="1" ht="12" customHeight="1" outlineLevel="1">
      <c r="A3499" s="335"/>
      <c r="B3499" s="118" t="s">
        <v>12</v>
      </c>
      <c r="C3499" s="334" t="s">
        <v>11219</v>
      </c>
      <c r="D3499" s="124" t="s">
        <v>10645</v>
      </c>
      <c r="E3499" s="125"/>
      <c r="F3499" s="118" t="s">
        <v>828</v>
      </c>
      <c r="G3499" s="126" t="s">
        <v>10304</v>
      </c>
      <c r="H3499" s="255">
        <v>5</v>
      </c>
      <c r="I3499" s="361">
        <v>1</v>
      </c>
      <c r="J3499" s="336" t="s">
        <v>286</v>
      </c>
      <c r="W3499" s="129" t="s">
        <v>4876</v>
      </c>
      <c r="X3499" s="337" t="b">
        <f t="shared" si="89"/>
        <v>0</v>
      </c>
    </row>
    <row r="3500" spans="1:24" s="337" customFormat="1" ht="12" customHeight="1" outlineLevel="1">
      <c r="A3500" s="335"/>
      <c r="B3500" s="118" t="s">
        <v>12</v>
      </c>
      <c r="C3500" s="334" t="s">
        <v>11220</v>
      </c>
      <c r="D3500" s="124" t="s">
        <v>10647</v>
      </c>
      <c r="E3500" s="125"/>
      <c r="F3500" s="118" t="s">
        <v>828</v>
      </c>
      <c r="G3500" s="126" t="s">
        <v>10304</v>
      </c>
      <c r="H3500" s="255">
        <v>5</v>
      </c>
      <c r="I3500" s="361">
        <v>1</v>
      </c>
      <c r="J3500" s="336" t="s">
        <v>286</v>
      </c>
      <c r="W3500" s="129" t="s">
        <v>4876</v>
      </c>
      <c r="X3500" s="337" t="b">
        <f t="shared" si="89"/>
        <v>0</v>
      </c>
    </row>
    <row r="3501" spans="1:24" s="337" customFormat="1" ht="12" customHeight="1" outlineLevel="1">
      <c r="A3501" s="335"/>
      <c r="B3501" s="118" t="s">
        <v>12</v>
      </c>
      <c r="C3501" s="334" t="s">
        <v>11221</v>
      </c>
      <c r="D3501" s="124" t="s">
        <v>10649</v>
      </c>
      <c r="E3501" s="125"/>
      <c r="F3501" s="118" t="s">
        <v>828</v>
      </c>
      <c r="G3501" s="126" t="s">
        <v>10304</v>
      </c>
      <c r="H3501" s="255">
        <v>5</v>
      </c>
      <c r="I3501" s="361">
        <v>1</v>
      </c>
      <c r="J3501" s="336" t="s">
        <v>286</v>
      </c>
      <c r="W3501" s="129" t="s">
        <v>4876</v>
      </c>
      <c r="X3501" s="337" t="b">
        <f t="shared" si="89"/>
        <v>0</v>
      </c>
    </row>
    <row r="3502" spans="1:24" s="337" customFormat="1" ht="12" customHeight="1" outlineLevel="1">
      <c r="A3502" s="335"/>
      <c r="B3502" s="118" t="s">
        <v>12</v>
      </c>
      <c r="C3502" s="334" t="s">
        <v>11222</v>
      </c>
      <c r="D3502" s="124" t="s">
        <v>10651</v>
      </c>
      <c r="E3502" s="125"/>
      <c r="F3502" s="118" t="s">
        <v>828</v>
      </c>
      <c r="G3502" s="126" t="s">
        <v>10304</v>
      </c>
      <c r="H3502" s="255">
        <v>5</v>
      </c>
      <c r="I3502" s="361">
        <v>1</v>
      </c>
      <c r="J3502" s="336" t="s">
        <v>286</v>
      </c>
      <c r="W3502" s="129" t="s">
        <v>4876</v>
      </c>
      <c r="X3502" s="337" t="b">
        <f t="shared" si="89"/>
        <v>0</v>
      </c>
    </row>
    <row r="3503" spans="1:24" s="337" customFormat="1" ht="12" customHeight="1" outlineLevel="1">
      <c r="A3503" s="335"/>
      <c r="B3503" s="118" t="s">
        <v>12</v>
      </c>
      <c r="C3503" s="334" t="s">
        <v>11223</v>
      </c>
      <c r="D3503" s="124" t="s">
        <v>10653</v>
      </c>
      <c r="E3503" s="125"/>
      <c r="F3503" s="118" t="s">
        <v>828</v>
      </c>
      <c r="G3503" s="126" t="s">
        <v>10304</v>
      </c>
      <c r="H3503" s="255">
        <v>5</v>
      </c>
      <c r="I3503" s="361">
        <v>1</v>
      </c>
      <c r="J3503" s="336" t="s">
        <v>286</v>
      </c>
      <c r="W3503" s="129" t="s">
        <v>4876</v>
      </c>
      <c r="X3503" s="337" t="b">
        <f t="shared" si="89"/>
        <v>0</v>
      </c>
    </row>
    <row r="3504" spans="1:24" s="337" customFormat="1" ht="12" customHeight="1" outlineLevel="1">
      <c r="A3504" s="335"/>
      <c r="B3504" s="118" t="s">
        <v>12</v>
      </c>
      <c r="C3504" s="334" t="s">
        <v>11224</v>
      </c>
      <c r="D3504" s="124" t="s">
        <v>10655</v>
      </c>
      <c r="E3504" s="125"/>
      <c r="F3504" s="118" t="s">
        <v>828</v>
      </c>
      <c r="G3504" s="126" t="s">
        <v>10304</v>
      </c>
      <c r="H3504" s="255">
        <v>5</v>
      </c>
      <c r="I3504" s="361">
        <v>1</v>
      </c>
      <c r="J3504" s="336" t="s">
        <v>286</v>
      </c>
      <c r="W3504" s="129" t="s">
        <v>4876</v>
      </c>
      <c r="X3504" s="337" t="b">
        <f t="shared" si="89"/>
        <v>0</v>
      </c>
    </row>
    <row r="3505" spans="1:24" s="337" customFormat="1" ht="12" customHeight="1" outlineLevel="1">
      <c r="A3505" s="335"/>
      <c r="B3505" s="118" t="s">
        <v>12</v>
      </c>
      <c r="C3505" s="334" t="s">
        <v>11225</v>
      </c>
      <c r="D3505" s="124" t="s">
        <v>10657</v>
      </c>
      <c r="E3505" s="125"/>
      <c r="F3505" s="118" t="s">
        <v>828</v>
      </c>
      <c r="G3505" s="126" t="s">
        <v>10304</v>
      </c>
      <c r="H3505" s="255">
        <v>5</v>
      </c>
      <c r="I3505" s="361">
        <v>1</v>
      </c>
      <c r="J3505" s="336" t="s">
        <v>286</v>
      </c>
      <c r="W3505" s="129" t="s">
        <v>4876</v>
      </c>
      <c r="X3505" s="337" t="b">
        <f t="shared" si="89"/>
        <v>0</v>
      </c>
    </row>
    <row r="3506" spans="1:24" s="337" customFormat="1" ht="12" customHeight="1" outlineLevel="1">
      <c r="A3506" s="335"/>
      <c r="B3506" s="118" t="s">
        <v>12</v>
      </c>
      <c r="C3506" s="334" t="s">
        <v>11226</v>
      </c>
      <c r="D3506" s="124" t="s">
        <v>10659</v>
      </c>
      <c r="E3506" s="125"/>
      <c r="F3506" s="118" t="s">
        <v>828</v>
      </c>
      <c r="G3506" s="126" t="s">
        <v>10304</v>
      </c>
      <c r="H3506" s="255">
        <v>5</v>
      </c>
      <c r="I3506" s="361">
        <v>1</v>
      </c>
      <c r="J3506" s="336" t="s">
        <v>286</v>
      </c>
      <c r="W3506" s="129" t="s">
        <v>4876</v>
      </c>
      <c r="X3506" s="337" t="b">
        <f t="shared" si="89"/>
        <v>0</v>
      </c>
    </row>
    <row r="3507" spans="1:24" s="337" customFormat="1" ht="12" customHeight="1" outlineLevel="1">
      <c r="A3507" s="335"/>
      <c r="B3507" s="118" t="s">
        <v>12</v>
      </c>
      <c r="C3507" s="334" t="s">
        <v>11227</v>
      </c>
      <c r="D3507" s="124" t="s">
        <v>10661</v>
      </c>
      <c r="E3507" s="125"/>
      <c r="F3507" s="118" t="s">
        <v>828</v>
      </c>
      <c r="G3507" s="126" t="s">
        <v>10304</v>
      </c>
      <c r="H3507" s="255">
        <v>5</v>
      </c>
      <c r="I3507" s="361">
        <v>1</v>
      </c>
      <c r="J3507" s="336" t="s">
        <v>286</v>
      </c>
      <c r="W3507" s="129" t="s">
        <v>4876</v>
      </c>
      <c r="X3507" s="337" t="b">
        <f t="shared" si="89"/>
        <v>0</v>
      </c>
    </row>
    <row r="3508" spans="1:24" s="337" customFormat="1" ht="12" customHeight="1" outlineLevel="1">
      <c r="A3508" s="335"/>
      <c r="B3508" s="118" t="s">
        <v>12</v>
      </c>
      <c r="C3508" s="334" t="s">
        <v>11228</v>
      </c>
      <c r="D3508" s="124" t="s">
        <v>10663</v>
      </c>
      <c r="E3508" s="125"/>
      <c r="F3508" s="118" t="s">
        <v>828</v>
      </c>
      <c r="G3508" s="126" t="s">
        <v>10304</v>
      </c>
      <c r="H3508" s="255">
        <v>5</v>
      </c>
      <c r="I3508" s="361">
        <v>1</v>
      </c>
      <c r="J3508" s="336" t="s">
        <v>286</v>
      </c>
      <c r="W3508" s="129" t="s">
        <v>4876</v>
      </c>
      <c r="X3508" s="337" t="b">
        <f t="shared" si="89"/>
        <v>0</v>
      </c>
    </row>
    <row r="3509" spans="1:24" s="360" customFormat="1" ht="12" customHeight="1" outlineLevel="1">
      <c r="A3509" s="365"/>
      <c r="B3509" s="118" t="s">
        <v>12</v>
      </c>
      <c r="C3509" s="334" t="s">
        <v>11229</v>
      </c>
      <c r="D3509" s="124" t="s">
        <v>10665</v>
      </c>
      <c r="E3509" s="125"/>
      <c r="F3509" s="118" t="s">
        <v>828</v>
      </c>
      <c r="G3509" s="126" t="s">
        <v>10304</v>
      </c>
      <c r="H3509" s="255">
        <v>5</v>
      </c>
      <c r="I3509" s="361">
        <v>1</v>
      </c>
      <c r="J3509" s="366" t="s">
        <v>286</v>
      </c>
      <c r="W3509" s="129" t="s">
        <v>4876</v>
      </c>
      <c r="X3509" s="337" t="b">
        <f t="shared" si="89"/>
        <v>0</v>
      </c>
    </row>
    <row r="3510" spans="1:24" s="337" customFormat="1" ht="12" customHeight="1" outlineLevel="1">
      <c r="A3510" s="335"/>
      <c r="B3510" s="118" t="s">
        <v>12</v>
      </c>
      <c r="C3510" s="334" t="s">
        <v>11230</v>
      </c>
      <c r="D3510" s="124" t="s">
        <v>10667</v>
      </c>
      <c r="E3510" s="125"/>
      <c r="F3510" s="118" t="s">
        <v>828</v>
      </c>
      <c r="G3510" s="126" t="s">
        <v>10304</v>
      </c>
      <c r="H3510" s="255">
        <v>5</v>
      </c>
      <c r="I3510" s="361">
        <v>1</v>
      </c>
      <c r="J3510" s="336" t="s">
        <v>286</v>
      </c>
      <c r="W3510" s="129" t="s">
        <v>4876</v>
      </c>
      <c r="X3510" s="337" t="b">
        <f t="shared" si="89"/>
        <v>0</v>
      </c>
    </row>
    <row r="3511" spans="1:24" s="337" customFormat="1" ht="12" customHeight="1" outlineLevel="1">
      <c r="A3511" s="335"/>
      <c r="B3511" s="118" t="s">
        <v>12</v>
      </c>
      <c r="C3511" s="334" t="s">
        <v>11231</v>
      </c>
      <c r="D3511" s="124" t="s">
        <v>10669</v>
      </c>
      <c r="E3511" s="125"/>
      <c r="F3511" s="118" t="s">
        <v>828</v>
      </c>
      <c r="G3511" s="126" t="s">
        <v>10304</v>
      </c>
      <c r="H3511" s="255">
        <v>5</v>
      </c>
      <c r="I3511" s="361">
        <v>1</v>
      </c>
      <c r="J3511" s="336" t="s">
        <v>286</v>
      </c>
      <c r="W3511" s="129" t="s">
        <v>4876</v>
      </c>
      <c r="X3511" s="337" t="b">
        <f t="shared" si="89"/>
        <v>0</v>
      </c>
    </row>
    <row r="3512" spans="1:24" s="337" customFormat="1" ht="12" customHeight="1" outlineLevel="1">
      <c r="A3512" s="335"/>
      <c r="B3512" s="118" t="s">
        <v>12</v>
      </c>
      <c r="C3512" s="334" t="s">
        <v>11232</v>
      </c>
      <c r="D3512" s="124" t="s">
        <v>11233</v>
      </c>
      <c r="E3512" s="125"/>
      <c r="F3512" s="118" t="s">
        <v>828</v>
      </c>
      <c r="G3512" s="126" t="s">
        <v>10304</v>
      </c>
      <c r="H3512" s="255">
        <v>5</v>
      </c>
      <c r="I3512" s="361">
        <v>1</v>
      </c>
      <c r="J3512" s="336" t="s">
        <v>286</v>
      </c>
      <c r="W3512" s="129" t="s">
        <v>4876</v>
      </c>
      <c r="X3512" s="337" t="b">
        <f t="shared" si="89"/>
        <v>0</v>
      </c>
    </row>
    <row r="3513" spans="1:24" s="337" customFormat="1" ht="12" customHeight="1" outlineLevel="1">
      <c r="A3513" s="335"/>
      <c r="B3513" s="118" t="s">
        <v>12</v>
      </c>
      <c r="C3513" s="334" t="s">
        <v>11234</v>
      </c>
      <c r="D3513" s="124" t="s">
        <v>10551</v>
      </c>
      <c r="E3513" s="125"/>
      <c r="F3513" s="118" t="s">
        <v>828</v>
      </c>
      <c r="G3513" s="126" t="s">
        <v>10304</v>
      </c>
      <c r="H3513" s="255">
        <v>5</v>
      </c>
      <c r="I3513" s="361">
        <v>1</v>
      </c>
      <c r="J3513" s="336" t="s">
        <v>286</v>
      </c>
      <c r="W3513" s="129" t="s">
        <v>286</v>
      </c>
      <c r="X3513" s="337" t="b">
        <f t="shared" si="89"/>
        <v>1</v>
      </c>
    </row>
    <row r="3514" spans="1:24" s="337" customFormat="1" ht="12" customHeight="1" outlineLevel="1">
      <c r="A3514" s="335"/>
      <c r="B3514" s="118" t="s">
        <v>12</v>
      </c>
      <c r="C3514" s="334" t="s">
        <v>11235</v>
      </c>
      <c r="D3514" s="124" t="s">
        <v>10553</v>
      </c>
      <c r="E3514" s="125"/>
      <c r="F3514" s="118" t="s">
        <v>828</v>
      </c>
      <c r="G3514" s="126" t="s">
        <v>10304</v>
      </c>
      <c r="H3514" s="255">
        <v>5</v>
      </c>
      <c r="I3514" s="361">
        <v>1</v>
      </c>
      <c r="J3514" s="336" t="s">
        <v>286</v>
      </c>
      <c r="W3514" s="129" t="s">
        <v>286</v>
      </c>
      <c r="X3514" s="337" t="b">
        <f t="shared" si="89"/>
        <v>1</v>
      </c>
    </row>
    <row r="3515" spans="1:24" s="337" customFormat="1" ht="12" customHeight="1" outlineLevel="1">
      <c r="A3515" s="335"/>
      <c r="B3515" s="118" t="s">
        <v>12</v>
      </c>
      <c r="C3515" s="334" t="s">
        <v>11236</v>
      </c>
      <c r="D3515" s="124" t="s">
        <v>10555</v>
      </c>
      <c r="E3515" s="125"/>
      <c r="F3515" s="118" t="s">
        <v>828</v>
      </c>
      <c r="G3515" s="126" t="s">
        <v>10304</v>
      </c>
      <c r="H3515" s="255">
        <v>5</v>
      </c>
      <c r="I3515" s="361">
        <v>1</v>
      </c>
      <c r="J3515" s="336" t="s">
        <v>286</v>
      </c>
      <c r="W3515" s="129" t="s">
        <v>286</v>
      </c>
      <c r="X3515" s="337" t="b">
        <f t="shared" si="89"/>
        <v>1</v>
      </c>
    </row>
    <row r="3516" spans="1:24" s="337" customFormat="1" ht="12" customHeight="1" outlineLevel="1">
      <c r="A3516" s="335"/>
      <c r="B3516" s="118" t="s">
        <v>12</v>
      </c>
      <c r="C3516" s="334" t="s">
        <v>11237</v>
      </c>
      <c r="D3516" s="124" t="s">
        <v>10557</v>
      </c>
      <c r="E3516" s="125"/>
      <c r="F3516" s="118" t="s">
        <v>828</v>
      </c>
      <c r="G3516" s="126" t="s">
        <v>10304</v>
      </c>
      <c r="H3516" s="255">
        <v>5</v>
      </c>
      <c r="I3516" s="361">
        <v>1</v>
      </c>
      <c r="J3516" s="336" t="s">
        <v>286</v>
      </c>
      <c r="W3516" s="129" t="s">
        <v>286</v>
      </c>
      <c r="X3516" s="337" t="b">
        <f t="shared" si="89"/>
        <v>1</v>
      </c>
    </row>
    <row r="3517" spans="1:24" s="337" customFormat="1" ht="12" customHeight="1" outlineLevel="1">
      <c r="A3517" s="335"/>
      <c r="B3517" s="118" t="s">
        <v>12</v>
      </c>
      <c r="C3517" s="334" t="s">
        <v>11238</v>
      </c>
      <c r="D3517" s="124" t="s">
        <v>10559</v>
      </c>
      <c r="E3517" s="125"/>
      <c r="F3517" s="118" t="s">
        <v>828</v>
      </c>
      <c r="G3517" s="126" t="s">
        <v>10304</v>
      </c>
      <c r="H3517" s="255">
        <v>5</v>
      </c>
      <c r="I3517" s="361">
        <v>1</v>
      </c>
      <c r="J3517" s="336" t="s">
        <v>286</v>
      </c>
      <c r="W3517" s="129" t="s">
        <v>286</v>
      </c>
      <c r="X3517" s="337" t="b">
        <f t="shared" si="89"/>
        <v>1</v>
      </c>
    </row>
    <row r="3518" spans="1:24" s="360" customFormat="1" ht="12" customHeight="1" outlineLevel="1">
      <c r="A3518" s="365"/>
      <c r="B3518" s="118" t="s">
        <v>12</v>
      </c>
      <c r="C3518" s="334" t="s">
        <v>11239</v>
      </c>
      <c r="D3518" s="124" t="s">
        <v>10561</v>
      </c>
      <c r="E3518" s="125"/>
      <c r="F3518" s="118" t="s">
        <v>828</v>
      </c>
      <c r="G3518" s="126" t="s">
        <v>10304</v>
      </c>
      <c r="H3518" s="255">
        <v>5</v>
      </c>
      <c r="I3518" s="361">
        <v>1</v>
      </c>
      <c r="J3518" s="366" t="s">
        <v>286</v>
      </c>
      <c r="W3518" s="129" t="s">
        <v>286</v>
      </c>
      <c r="X3518" s="337" t="b">
        <f t="shared" si="89"/>
        <v>1</v>
      </c>
    </row>
    <row r="3519" spans="1:24" s="337" customFormat="1" ht="12" customHeight="1" outlineLevel="1">
      <c r="A3519" s="335"/>
      <c r="B3519" s="118" t="s">
        <v>12</v>
      </c>
      <c r="C3519" s="334" t="s">
        <v>11240</v>
      </c>
      <c r="D3519" s="124" t="s">
        <v>10563</v>
      </c>
      <c r="E3519" s="125"/>
      <c r="F3519" s="118" t="s">
        <v>828</v>
      </c>
      <c r="G3519" s="126" t="s">
        <v>10304</v>
      </c>
      <c r="H3519" s="255">
        <v>5</v>
      </c>
      <c r="I3519" s="361">
        <v>1</v>
      </c>
      <c r="J3519" s="336" t="s">
        <v>286</v>
      </c>
      <c r="W3519" s="129" t="s">
        <v>286</v>
      </c>
      <c r="X3519" s="337" t="b">
        <f t="shared" si="89"/>
        <v>1</v>
      </c>
    </row>
    <row r="3520" spans="1:24" s="337" customFormat="1" ht="12" customHeight="1" outlineLevel="1">
      <c r="A3520" s="335"/>
      <c r="B3520" s="118" t="s">
        <v>12</v>
      </c>
      <c r="C3520" s="334" t="s">
        <v>11241</v>
      </c>
      <c r="D3520" s="124" t="s">
        <v>10565</v>
      </c>
      <c r="E3520" s="125"/>
      <c r="F3520" s="118" t="s">
        <v>828</v>
      </c>
      <c r="G3520" s="126" t="s">
        <v>10304</v>
      </c>
      <c r="H3520" s="255">
        <v>5</v>
      </c>
      <c r="I3520" s="361">
        <v>1</v>
      </c>
      <c r="J3520" s="336" t="s">
        <v>286</v>
      </c>
      <c r="W3520" s="129" t="s">
        <v>286</v>
      </c>
      <c r="X3520" s="337" t="b">
        <f t="shared" si="89"/>
        <v>1</v>
      </c>
    </row>
    <row r="3521" spans="1:24" s="337" customFormat="1" ht="12" customHeight="1" outlineLevel="1">
      <c r="A3521" s="335"/>
      <c r="B3521" s="118" t="s">
        <v>12</v>
      </c>
      <c r="C3521" s="334" t="s">
        <v>11242</v>
      </c>
      <c r="D3521" s="124" t="s">
        <v>10567</v>
      </c>
      <c r="E3521" s="125"/>
      <c r="F3521" s="118" t="s">
        <v>828</v>
      </c>
      <c r="G3521" s="126" t="s">
        <v>10304</v>
      </c>
      <c r="H3521" s="255">
        <v>5</v>
      </c>
      <c r="I3521" s="361">
        <v>1</v>
      </c>
      <c r="J3521" s="336" t="s">
        <v>286</v>
      </c>
      <c r="W3521" s="129" t="s">
        <v>286</v>
      </c>
      <c r="X3521" s="337" t="b">
        <f t="shared" si="89"/>
        <v>1</v>
      </c>
    </row>
    <row r="3522" spans="1:24" s="337" customFormat="1" ht="12" customHeight="1" outlineLevel="1">
      <c r="A3522" s="335"/>
      <c r="B3522" s="118" t="s">
        <v>12</v>
      </c>
      <c r="C3522" s="334" t="s">
        <v>11243</v>
      </c>
      <c r="D3522" s="124" t="s">
        <v>10569</v>
      </c>
      <c r="E3522" s="125"/>
      <c r="F3522" s="118" t="s">
        <v>828</v>
      </c>
      <c r="G3522" s="126" t="s">
        <v>10304</v>
      </c>
      <c r="H3522" s="255">
        <v>5</v>
      </c>
      <c r="I3522" s="361">
        <v>1</v>
      </c>
      <c r="J3522" s="336" t="s">
        <v>286</v>
      </c>
      <c r="W3522" s="129" t="s">
        <v>286</v>
      </c>
      <c r="X3522" s="337" t="b">
        <f t="shared" si="89"/>
        <v>1</v>
      </c>
    </row>
    <row r="3523" spans="1:24" s="337" customFormat="1" ht="12" customHeight="1" outlineLevel="1">
      <c r="A3523" s="335"/>
      <c r="B3523" s="118" t="s">
        <v>12</v>
      </c>
      <c r="C3523" s="334" t="s">
        <v>11244</v>
      </c>
      <c r="D3523" s="124" t="s">
        <v>10571</v>
      </c>
      <c r="E3523" s="125"/>
      <c r="F3523" s="118" t="s">
        <v>828</v>
      </c>
      <c r="G3523" s="126" t="s">
        <v>10304</v>
      </c>
      <c r="H3523" s="255">
        <v>5</v>
      </c>
      <c r="I3523" s="361">
        <v>1</v>
      </c>
      <c r="J3523" s="336" t="s">
        <v>286</v>
      </c>
      <c r="W3523" s="129" t="s">
        <v>286</v>
      </c>
      <c r="X3523" s="337" t="b">
        <f t="shared" si="89"/>
        <v>1</v>
      </c>
    </row>
    <row r="3524" spans="1:24" s="337" customFormat="1" ht="12" customHeight="1" outlineLevel="1">
      <c r="A3524" s="335"/>
      <c r="B3524" s="118" t="s">
        <v>12</v>
      </c>
      <c r="C3524" s="334" t="s">
        <v>11245</v>
      </c>
      <c r="D3524" s="124" t="s">
        <v>10573</v>
      </c>
      <c r="E3524" s="125"/>
      <c r="F3524" s="118" t="s">
        <v>828</v>
      </c>
      <c r="G3524" s="126" t="s">
        <v>10304</v>
      </c>
      <c r="H3524" s="255">
        <v>5</v>
      </c>
      <c r="I3524" s="361">
        <v>1</v>
      </c>
      <c r="J3524" s="336" t="s">
        <v>286</v>
      </c>
      <c r="W3524" s="129" t="s">
        <v>286</v>
      </c>
      <c r="X3524" s="337" t="b">
        <f t="shared" si="89"/>
        <v>1</v>
      </c>
    </row>
    <row r="3525" spans="1:24" s="337" customFormat="1" ht="12" customHeight="1" outlineLevel="1">
      <c r="A3525" s="335"/>
      <c r="B3525" s="118" t="s">
        <v>12</v>
      </c>
      <c r="C3525" s="334" t="s">
        <v>11246</v>
      </c>
      <c r="D3525" s="124" t="s">
        <v>10575</v>
      </c>
      <c r="E3525" s="125"/>
      <c r="F3525" s="118" t="s">
        <v>828</v>
      </c>
      <c r="G3525" s="126" t="s">
        <v>10304</v>
      </c>
      <c r="H3525" s="255">
        <v>5</v>
      </c>
      <c r="I3525" s="361">
        <v>1</v>
      </c>
      <c r="J3525" s="336" t="s">
        <v>286</v>
      </c>
      <c r="W3525" s="129" t="s">
        <v>286</v>
      </c>
      <c r="X3525" s="337" t="b">
        <f t="shared" si="89"/>
        <v>1</v>
      </c>
    </row>
    <row r="3526" spans="1:24" s="337" customFormat="1" ht="12" customHeight="1" outlineLevel="1">
      <c r="A3526" s="335"/>
      <c r="B3526" s="118" t="s">
        <v>12</v>
      </c>
      <c r="C3526" s="334" t="s">
        <v>11247</v>
      </c>
      <c r="D3526" s="124" t="s">
        <v>10577</v>
      </c>
      <c r="E3526" s="125"/>
      <c r="F3526" s="118" t="s">
        <v>828</v>
      </c>
      <c r="G3526" s="126" t="s">
        <v>10304</v>
      </c>
      <c r="H3526" s="255">
        <v>5</v>
      </c>
      <c r="I3526" s="361">
        <v>1</v>
      </c>
      <c r="J3526" s="336" t="s">
        <v>286</v>
      </c>
      <c r="W3526" s="129" t="s">
        <v>286</v>
      </c>
      <c r="X3526" s="337" t="b">
        <f t="shared" si="89"/>
        <v>1</v>
      </c>
    </row>
    <row r="3527" spans="1:24" s="337" customFormat="1" ht="12" customHeight="1" outlineLevel="1">
      <c r="A3527" s="335"/>
      <c r="B3527" s="118" t="s">
        <v>12</v>
      </c>
      <c r="C3527" s="334" t="s">
        <v>11248</v>
      </c>
      <c r="D3527" s="124" t="s">
        <v>10579</v>
      </c>
      <c r="E3527" s="125"/>
      <c r="F3527" s="118" t="s">
        <v>828</v>
      </c>
      <c r="G3527" s="126" t="s">
        <v>10304</v>
      </c>
      <c r="H3527" s="255">
        <v>5</v>
      </c>
      <c r="I3527" s="361">
        <v>1</v>
      </c>
      <c r="J3527" s="336" t="s">
        <v>286</v>
      </c>
      <c r="W3527" s="129" t="s">
        <v>286</v>
      </c>
      <c r="X3527" s="337" t="b">
        <f t="shared" si="89"/>
        <v>1</v>
      </c>
    </row>
    <row r="3528" spans="1:24" s="337" customFormat="1" ht="12" customHeight="1" outlineLevel="1">
      <c r="A3528" s="335"/>
      <c r="B3528" s="118" t="s">
        <v>12</v>
      </c>
      <c r="C3528" s="334" t="s">
        <v>11249</v>
      </c>
      <c r="D3528" s="124" t="s">
        <v>10581</v>
      </c>
      <c r="E3528" s="125"/>
      <c r="F3528" s="118" t="s">
        <v>828</v>
      </c>
      <c r="G3528" s="126" t="s">
        <v>10304</v>
      </c>
      <c r="H3528" s="255">
        <v>5</v>
      </c>
      <c r="I3528" s="361">
        <v>1</v>
      </c>
      <c r="J3528" s="336" t="s">
        <v>286</v>
      </c>
      <c r="W3528" s="129" t="s">
        <v>286</v>
      </c>
      <c r="X3528" s="337" t="b">
        <f t="shared" si="89"/>
        <v>1</v>
      </c>
    </row>
    <row r="3529" spans="1:24" s="337" customFormat="1" ht="12" customHeight="1" outlineLevel="1">
      <c r="A3529" s="335"/>
      <c r="B3529" s="118" t="s">
        <v>12</v>
      </c>
      <c r="C3529" s="334" t="s">
        <v>11250</v>
      </c>
      <c r="D3529" s="124" t="s">
        <v>10583</v>
      </c>
      <c r="E3529" s="125"/>
      <c r="F3529" s="118" t="s">
        <v>828</v>
      </c>
      <c r="G3529" s="126" t="s">
        <v>10304</v>
      </c>
      <c r="H3529" s="255">
        <v>5</v>
      </c>
      <c r="I3529" s="361">
        <v>1</v>
      </c>
      <c r="J3529" s="336" t="s">
        <v>310</v>
      </c>
      <c r="W3529" s="129" t="s">
        <v>286</v>
      </c>
      <c r="X3529" s="337" t="b">
        <f t="shared" si="89"/>
        <v>0</v>
      </c>
    </row>
    <row r="3530" spans="1:24" s="337" customFormat="1" ht="12" customHeight="1" outlineLevel="1">
      <c r="A3530" s="335"/>
      <c r="B3530" s="118" t="s">
        <v>12</v>
      </c>
      <c r="C3530" s="334" t="s">
        <v>11251</v>
      </c>
      <c r="D3530" s="124" t="s">
        <v>10585</v>
      </c>
      <c r="E3530" s="125"/>
      <c r="F3530" s="118" t="s">
        <v>828</v>
      </c>
      <c r="G3530" s="126" t="s">
        <v>10304</v>
      </c>
      <c r="H3530" s="255">
        <v>5</v>
      </c>
      <c r="I3530" s="361">
        <v>1</v>
      </c>
      <c r="J3530" s="336" t="s">
        <v>286</v>
      </c>
      <c r="W3530" s="129" t="s">
        <v>286</v>
      </c>
      <c r="X3530" s="337" t="b">
        <f t="shared" si="89"/>
        <v>1</v>
      </c>
    </row>
    <row r="3531" spans="1:24" s="360" customFormat="1" ht="12" customHeight="1" outlineLevel="1">
      <c r="A3531" s="365"/>
      <c r="B3531" s="118" t="s">
        <v>12</v>
      </c>
      <c r="C3531" s="334" t="s">
        <v>11252</v>
      </c>
      <c r="D3531" s="124" t="s">
        <v>10587</v>
      </c>
      <c r="E3531" s="125"/>
      <c r="F3531" s="118" t="s">
        <v>828</v>
      </c>
      <c r="G3531" s="126" t="s">
        <v>10304</v>
      </c>
      <c r="H3531" s="255">
        <v>5</v>
      </c>
      <c r="I3531" s="361">
        <v>1</v>
      </c>
      <c r="J3531" s="366" t="s">
        <v>286</v>
      </c>
      <c r="W3531" s="129" t="s">
        <v>286</v>
      </c>
      <c r="X3531" s="337" t="b">
        <f t="shared" si="89"/>
        <v>1</v>
      </c>
    </row>
    <row r="3532" spans="1:24" s="337" customFormat="1" ht="12" customHeight="1" outlineLevel="1">
      <c r="A3532" s="335"/>
      <c r="B3532" s="118" t="s">
        <v>12</v>
      </c>
      <c r="C3532" s="334" t="s">
        <v>11253</v>
      </c>
      <c r="D3532" s="124" t="s">
        <v>10589</v>
      </c>
      <c r="E3532" s="125"/>
      <c r="F3532" s="118" t="s">
        <v>828</v>
      </c>
      <c r="G3532" s="126" t="s">
        <v>10304</v>
      </c>
      <c r="H3532" s="255">
        <v>5</v>
      </c>
      <c r="I3532" s="361">
        <v>1</v>
      </c>
      <c r="J3532" s="336" t="s">
        <v>286</v>
      </c>
      <c r="W3532" s="129" t="s">
        <v>286</v>
      </c>
      <c r="X3532" s="337" t="b">
        <f t="shared" si="89"/>
        <v>1</v>
      </c>
    </row>
    <row r="3533" spans="1:24" s="337" customFormat="1" ht="12" customHeight="1" outlineLevel="1">
      <c r="A3533" s="335"/>
      <c r="B3533" s="118" t="s">
        <v>12</v>
      </c>
      <c r="C3533" s="334" t="s">
        <v>11254</v>
      </c>
      <c r="D3533" s="124" t="s">
        <v>10591</v>
      </c>
      <c r="E3533" s="125"/>
      <c r="F3533" s="118" t="s">
        <v>828</v>
      </c>
      <c r="G3533" s="126" t="s">
        <v>10304</v>
      </c>
      <c r="H3533" s="255">
        <v>5</v>
      </c>
      <c r="I3533" s="361">
        <v>1</v>
      </c>
      <c r="J3533" s="336" t="s">
        <v>286</v>
      </c>
      <c r="W3533" s="129" t="s">
        <v>286</v>
      </c>
      <c r="X3533" s="337" t="b">
        <f t="shared" si="89"/>
        <v>1</v>
      </c>
    </row>
    <row r="3534" spans="1:24" s="337" customFormat="1" ht="12" customHeight="1" outlineLevel="1">
      <c r="A3534" s="335"/>
      <c r="B3534" s="118" t="s">
        <v>12</v>
      </c>
      <c r="C3534" s="334" t="s">
        <v>11255</v>
      </c>
      <c r="D3534" s="124" t="s">
        <v>10593</v>
      </c>
      <c r="E3534" s="125"/>
      <c r="F3534" s="118" t="s">
        <v>828</v>
      </c>
      <c r="G3534" s="126" t="s">
        <v>10304</v>
      </c>
      <c r="H3534" s="255">
        <v>5</v>
      </c>
      <c r="I3534" s="361">
        <v>1</v>
      </c>
      <c r="J3534" s="336" t="s">
        <v>286</v>
      </c>
      <c r="W3534" s="129" t="s">
        <v>286</v>
      </c>
      <c r="X3534" s="337" t="b">
        <f t="shared" si="89"/>
        <v>1</v>
      </c>
    </row>
    <row r="3535" spans="1:24" s="337" customFormat="1" ht="12" customHeight="1" outlineLevel="1">
      <c r="A3535" s="335"/>
      <c r="B3535" s="118" t="s">
        <v>12</v>
      </c>
      <c r="C3535" s="334" t="s">
        <v>11256</v>
      </c>
      <c r="D3535" s="124" t="s">
        <v>10595</v>
      </c>
      <c r="E3535" s="125"/>
      <c r="F3535" s="118" t="s">
        <v>828</v>
      </c>
      <c r="G3535" s="126" t="s">
        <v>10304</v>
      </c>
      <c r="H3535" s="255">
        <v>5</v>
      </c>
      <c r="I3535" s="361">
        <v>1</v>
      </c>
      <c r="J3535" s="336" t="s">
        <v>286</v>
      </c>
      <c r="W3535" s="129" t="s">
        <v>286</v>
      </c>
      <c r="X3535" s="337" t="b">
        <f t="shared" si="89"/>
        <v>1</v>
      </c>
    </row>
    <row r="3536" spans="1:24" s="337" customFormat="1" ht="12" customHeight="1" outlineLevel="1">
      <c r="A3536" s="335"/>
      <c r="B3536" s="118" t="s">
        <v>12</v>
      </c>
      <c r="C3536" s="334" t="s">
        <v>11257</v>
      </c>
      <c r="D3536" s="124" t="s">
        <v>10597</v>
      </c>
      <c r="E3536" s="125"/>
      <c r="F3536" s="118" t="s">
        <v>828</v>
      </c>
      <c r="G3536" s="126" t="s">
        <v>10304</v>
      </c>
      <c r="H3536" s="255">
        <v>5</v>
      </c>
      <c r="I3536" s="361">
        <v>1</v>
      </c>
      <c r="J3536" s="336" t="s">
        <v>286</v>
      </c>
      <c r="W3536" s="129" t="s">
        <v>286</v>
      </c>
      <c r="X3536" s="337" t="b">
        <f t="shared" si="89"/>
        <v>1</v>
      </c>
    </row>
    <row r="3537" spans="1:24" s="337" customFormat="1" ht="12" customHeight="1" outlineLevel="1">
      <c r="A3537" s="335"/>
      <c r="B3537" s="118" t="s">
        <v>12</v>
      </c>
      <c r="C3537" s="334" t="s">
        <v>11258</v>
      </c>
      <c r="D3537" s="124" t="s">
        <v>10599</v>
      </c>
      <c r="E3537" s="125"/>
      <c r="F3537" s="118" t="s">
        <v>828</v>
      </c>
      <c r="G3537" s="126" t="s">
        <v>10304</v>
      </c>
      <c r="H3537" s="255">
        <v>5</v>
      </c>
      <c r="I3537" s="361">
        <v>1</v>
      </c>
      <c r="J3537" s="336" t="s">
        <v>310</v>
      </c>
      <c r="W3537" s="129" t="s">
        <v>310</v>
      </c>
      <c r="X3537" s="337" t="b">
        <f t="shared" si="89"/>
        <v>1</v>
      </c>
    </row>
    <row r="3538" spans="1:24" s="360" customFormat="1" ht="12" customHeight="1" outlineLevel="1">
      <c r="A3538" s="365"/>
      <c r="B3538" s="118" t="s">
        <v>12</v>
      </c>
      <c r="C3538" s="334" t="s">
        <v>11259</v>
      </c>
      <c r="D3538" s="124" t="s">
        <v>10601</v>
      </c>
      <c r="E3538" s="125"/>
      <c r="F3538" s="118" t="s">
        <v>828</v>
      </c>
      <c r="G3538" s="126" t="s">
        <v>10304</v>
      </c>
      <c r="H3538" s="253">
        <v>5</v>
      </c>
      <c r="I3538" s="361">
        <v>1</v>
      </c>
      <c r="J3538" s="366" t="s">
        <v>310</v>
      </c>
      <c r="W3538" s="129" t="s">
        <v>310</v>
      </c>
      <c r="X3538" s="337" t="b">
        <f t="shared" si="89"/>
        <v>1</v>
      </c>
    </row>
    <row r="3539" spans="1:24" ht="12" customHeight="1" outlineLevel="1">
      <c r="A3539" s="370"/>
      <c r="B3539" s="118" t="s">
        <v>12</v>
      </c>
      <c r="C3539" s="334" t="s">
        <v>11260</v>
      </c>
      <c r="D3539" s="124" t="s">
        <v>10671</v>
      </c>
      <c r="E3539" s="125"/>
      <c r="F3539" s="118" t="s">
        <v>828</v>
      </c>
      <c r="G3539" s="126" t="s">
        <v>10304</v>
      </c>
      <c r="H3539" s="255">
        <v>5</v>
      </c>
      <c r="I3539" s="361">
        <v>1</v>
      </c>
      <c r="J3539" s="371" t="s">
        <v>286</v>
      </c>
      <c r="W3539" s="129" t="s">
        <v>286</v>
      </c>
      <c r="X3539" s="337" t="b">
        <f t="shared" ref="X3539:X3602" si="90">W3539=J3539</f>
        <v>1</v>
      </c>
    </row>
    <row r="3540" spans="1:24" ht="12" customHeight="1" outlineLevel="1">
      <c r="A3540" s="370"/>
      <c r="B3540" s="118" t="s">
        <v>12</v>
      </c>
      <c r="C3540" s="334" t="s">
        <v>11261</v>
      </c>
      <c r="D3540" s="124" t="s">
        <v>10673</v>
      </c>
      <c r="E3540" s="125"/>
      <c r="F3540" s="118" t="s">
        <v>828</v>
      </c>
      <c r="G3540" s="126" t="s">
        <v>10304</v>
      </c>
      <c r="H3540" s="255">
        <v>5</v>
      </c>
      <c r="I3540" s="361">
        <v>1</v>
      </c>
      <c r="J3540" s="371" t="s">
        <v>286</v>
      </c>
      <c r="W3540" s="129" t="s">
        <v>286</v>
      </c>
      <c r="X3540" s="337" t="b">
        <f t="shared" si="90"/>
        <v>1</v>
      </c>
    </row>
    <row r="3541" spans="1:24" ht="12" customHeight="1" outlineLevel="1">
      <c r="A3541" s="370"/>
      <c r="B3541" s="118" t="s">
        <v>12</v>
      </c>
      <c r="C3541" s="334" t="s">
        <v>11262</v>
      </c>
      <c r="D3541" s="124" t="s">
        <v>10675</v>
      </c>
      <c r="E3541" s="125"/>
      <c r="F3541" s="118" t="s">
        <v>828</v>
      </c>
      <c r="G3541" s="126" t="s">
        <v>10304</v>
      </c>
      <c r="H3541" s="255">
        <v>5</v>
      </c>
      <c r="I3541" s="361">
        <v>1</v>
      </c>
      <c r="J3541" s="371" t="s">
        <v>286</v>
      </c>
      <c r="W3541" s="129" t="s">
        <v>286</v>
      </c>
      <c r="X3541" s="337" t="b">
        <f t="shared" si="90"/>
        <v>1</v>
      </c>
    </row>
    <row r="3542" spans="1:24" ht="12" customHeight="1" outlineLevel="1">
      <c r="A3542" s="370"/>
      <c r="B3542" s="118" t="s">
        <v>12</v>
      </c>
      <c r="C3542" s="334" t="s">
        <v>11263</v>
      </c>
      <c r="D3542" s="124" t="s">
        <v>10677</v>
      </c>
      <c r="E3542" s="125"/>
      <c r="F3542" s="118" t="s">
        <v>828</v>
      </c>
      <c r="G3542" s="126" t="s">
        <v>10304</v>
      </c>
      <c r="H3542" s="255">
        <v>5</v>
      </c>
      <c r="I3542" s="361">
        <v>1</v>
      </c>
      <c r="J3542" s="371" t="s">
        <v>286</v>
      </c>
      <c r="W3542" s="129" t="s">
        <v>286</v>
      </c>
      <c r="X3542" s="337" t="b">
        <f t="shared" si="90"/>
        <v>1</v>
      </c>
    </row>
    <row r="3543" spans="1:24" ht="12" customHeight="1" outlineLevel="1">
      <c r="A3543" s="370"/>
      <c r="B3543" s="118" t="s">
        <v>12</v>
      </c>
      <c r="C3543" s="334" t="s">
        <v>11264</v>
      </c>
      <c r="D3543" s="124" t="s">
        <v>10679</v>
      </c>
      <c r="E3543" s="125"/>
      <c r="F3543" s="118" t="s">
        <v>828</v>
      </c>
      <c r="G3543" s="126" t="s">
        <v>10304</v>
      </c>
      <c r="H3543" s="255">
        <v>5</v>
      </c>
      <c r="I3543" s="361">
        <v>1</v>
      </c>
      <c r="J3543" s="371" t="s">
        <v>286</v>
      </c>
      <c r="W3543" s="129" t="s">
        <v>286</v>
      </c>
      <c r="X3543" s="337" t="b">
        <f t="shared" si="90"/>
        <v>1</v>
      </c>
    </row>
    <row r="3544" spans="1:24" ht="12" customHeight="1" outlineLevel="1">
      <c r="A3544" s="370"/>
      <c r="B3544" s="118" t="s">
        <v>12</v>
      </c>
      <c r="C3544" s="334" t="s">
        <v>11265</v>
      </c>
      <c r="D3544" s="124" t="s">
        <v>10681</v>
      </c>
      <c r="E3544" s="125"/>
      <c r="F3544" s="118" t="s">
        <v>828</v>
      </c>
      <c r="G3544" s="126" t="s">
        <v>10304</v>
      </c>
      <c r="H3544" s="255">
        <v>5</v>
      </c>
      <c r="I3544" s="361">
        <v>1</v>
      </c>
      <c r="J3544" s="371" t="s">
        <v>286</v>
      </c>
      <c r="W3544" s="129" t="s">
        <v>286</v>
      </c>
      <c r="X3544" s="337" t="b">
        <f t="shared" si="90"/>
        <v>1</v>
      </c>
    </row>
    <row r="3545" spans="1:24" ht="12" customHeight="1" outlineLevel="1">
      <c r="A3545" s="370"/>
      <c r="B3545" s="118" t="s">
        <v>12</v>
      </c>
      <c r="C3545" s="334" t="s">
        <v>11266</v>
      </c>
      <c r="D3545" s="124" t="s">
        <v>10683</v>
      </c>
      <c r="E3545" s="125"/>
      <c r="F3545" s="118" t="s">
        <v>828</v>
      </c>
      <c r="G3545" s="126" t="s">
        <v>10304</v>
      </c>
      <c r="H3545" s="255">
        <v>5</v>
      </c>
      <c r="I3545" s="361">
        <v>1</v>
      </c>
      <c r="J3545" s="371" t="s">
        <v>286</v>
      </c>
      <c r="W3545" s="129" t="s">
        <v>286</v>
      </c>
      <c r="X3545" s="337" t="b">
        <f t="shared" si="90"/>
        <v>1</v>
      </c>
    </row>
    <row r="3546" spans="1:24" s="360" customFormat="1" ht="12" customHeight="1" outlineLevel="1">
      <c r="A3546" s="365"/>
      <c r="B3546" s="118" t="s">
        <v>12</v>
      </c>
      <c r="C3546" s="334" t="s">
        <v>11267</v>
      </c>
      <c r="D3546" s="124" t="s">
        <v>10685</v>
      </c>
      <c r="E3546" s="125"/>
      <c r="F3546" s="118" t="s">
        <v>828</v>
      </c>
      <c r="G3546" s="126" t="s">
        <v>10304</v>
      </c>
      <c r="H3546" s="255">
        <v>5</v>
      </c>
      <c r="I3546" s="361">
        <v>1</v>
      </c>
      <c r="J3546" s="366" t="s">
        <v>286</v>
      </c>
      <c r="W3546" s="129" t="s">
        <v>286</v>
      </c>
      <c r="X3546" s="337" t="b">
        <f t="shared" si="90"/>
        <v>1</v>
      </c>
    </row>
    <row r="3547" spans="1:24" ht="12" customHeight="1" outlineLevel="1">
      <c r="A3547" s="370"/>
      <c r="B3547" s="118" t="s">
        <v>12</v>
      </c>
      <c r="C3547" s="334" t="s">
        <v>11268</v>
      </c>
      <c r="D3547" s="124" t="s">
        <v>10687</v>
      </c>
      <c r="E3547" s="125"/>
      <c r="F3547" s="118" t="s">
        <v>828</v>
      </c>
      <c r="G3547" s="126" t="s">
        <v>10304</v>
      </c>
      <c r="H3547" s="255">
        <v>5</v>
      </c>
      <c r="I3547" s="361">
        <v>1</v>
      </c>
      <c r="J3547" s="371" t="s">
        <v>286</v>
      </c>
      <c r="W3547" s="129" t="s">
        <v>286</v>
      </c>
      <c r="X3547" s="337" t="b">
        <f t="shared" si="90"/>
        <v>1</v>
      </c>
    </row>
    <row r="3548" spans="1:24" ht="12" customHeight="1" outlineLevel="1">
      <c r="A3548" s="370"/>
      <c r="B3548" s="118" t="s">
        <v>12</v>
      </c>
      <c r="C3548" s="334" t="s">
        <v>11269</v>
      </c>
      <c r="D3548" s="124" t="s">
        <v>10689</v>
      </c>
      <c r="E3548" s="125"/>
      <c r="F3548" s="118" t="s">
        <v>828</v>
      </c>
      <c r="G3548" s="126" t="s">
        <v>10304</v>
      </c>
      <c r="H3548" s="255">
        <v>5</v>
      </c>
      <c r="I3548" s="361">
        <v>1</v>
      </c>
      <c r="J3548" s="371" t="s">
        <v>286</v>
      </c>
      <c r="W3548" s="129" t="s">
        <v>286</v>
      </c>
      <c r="X3548" s="337" t="b">
        <f t="shared" si="90"/>
        <v>1</v>
      </c>
    </row>
    <row r="3549" spans="1:24" ht="12" customHeight="1" outlineLevel="1">
      <c r="A3549" s="370"/>
      <c r="B3549" s="118" t="s">
        <v>12</v>
      </c>
      <c r="C3549" s="334" t="s">
        <v>11270</v>
      </c>
      <c r="D3549" s="124" t="s">
        <v>10691</v>
      </c>
      <c r="E3549" s="125"/>
      <c r="F3549" s="118" t="s">
        <v>828</v>
      </c>
      <c r="G3549" s="126" t="s">
        <v>10304</v>
      </c>
      <c r="H3549" s="255">
        <v>5</v>
      </c>
      <c r="I3549" s="361">
        <v>1</v>
      </c>
      <c r="J3549" s="371" t="s">
        <v>286</v>
      </c>
      <c r="W3549" s="129" t="s">
        <v>286</v>
      </c>
      <c r="X3549" s="337" t="b">
        <f t="shared" si="90"/>
        <v>1</v>
      </c>
    </row>
    <row r="3550" spans="1:24" ht="12" customHeight="1" outlineLevel="1">
      <c r="A3550" s="370"/>
      <c r="B3550" s="118" t="s">
        <v>12</v>
      </c>
      <c r="C3550" s="334" t="s">
        <v>11271</v>
      </c>
      <c r="D3550" s="124" t="s">
        <v>10693</v>
      </c>
      <c r="E3550" s="125"/>
      <c r="F3550" s="118" t="s">
        <v>828</v>
      </c>
      <c r="G3550" s="126" t="s">
        <v>10304</v>
      </c>
      <c r="H3550" s="255">
        <v>5</v>
      </c>
      <c r="I3550" s="361">
        <v>1</v>
      </c>
      <c r="J3550" s="371" t="s">
        <v>286</v>
      </c>
      <c r="W3550" s="129" t="s">
        <v>286</v>
      </c>
      <c r="X3550" s="337" t="b">
        <f t="shared" si="90"/>
        <v>1</v>
      </c>
    </row>
    <row r="3551" spans="1:24" s="360" customFormat="1" ht="12" customHeight="1" outlineLevel="1">
      <c r="A3551" s="365"/>
      <c r="B3551" s="118" t="s">
        <v>12</v>
      </c>
      <c r="C3551" s="334" t="s">
        <v>11272</v>
      </c>
      <c r="D3551" s="124" t="s">
        <v>10695</v>
      </c>
      <c r="E3551" s="125"/>
      <c r="F3551" s="118" t="s">
        <v>828</v>
      </c>
      <c r="G3551" s="126" t="s">
        <v>10304</v>
      </c>
      <c r="H3551" s="255">
        <v>5</v>
      </c>
      <c r="I3551" s="361">
        <v>1</v>
      </c>
      <c r="J3551" s="366" t="s">
        <v>286</v>
      </c>
      <c r="W3551" s="129" t="s">
        <v>286</v>
      </c>
      <c r="X3551" s="337" t="b">
        <f t="shared" si="90"/>
        <v>1</v>
      </c>
    </row>
    <row r="3552" spans="1:24" ht="12" customHeight="1" outlineLevel="1">
      <c r="A3552" s="370"/>
      <c r="B3552" s="118" t="s">
        <v>12</v>
      </c>
      <c r="C3552" s="334" t="s">
        <v>11273</v>
      </c>
      <c r="D3552" s="124" t="s">
        <v>10697</v>
      </c>
      <c r="E3552" s="125"/>
      <c r="F3552" s="118" t="s">
        <v>828</v>
      </c>
      <c r="G3552" s="126" t="s">
        <v>10304</v>
      </c>
      <c r="H3552" s="255">
        <v>5</v>
      </c>
      <c r="I3552" s="361">
        <v>1</v>
      </c>
      <c r="J3552" s="371" t="s">
        <v>286</v>
      </c>
      <c r="K3552" s="363"/>
      <c r="L3552" s="129"/>
      <c r="M3552" s="129"/>
      <c r="N3552" s="129"/>
      <c r="O3552" s="129"/>
      <c r="P3552" s="376"/>
      <c r="Q3552" s="376"/>
      <c r="R3552" s="129"/>
      <c r="S3552" s="129"/>
      <c r="T3552" s="129"/>
      <c r="W3552" s="129" t="s">
        <v>286</v>
      </c>
      <c r="X3552" s="337" t="b">
        <f t="shared" si="90"/>
        <v>1</v>
      </c>
    </row>
    <row r="3553" spans="1:24" ht="12" customHeight="1" outlineLevel="1">
      <c r="A3553" s="370"/>
      <c r="B3553" s="118" t="s">
        <v>12</v>
      </c>
      <c r="C3553" s="334" t="s">
        <v>11274</v>
      </c>
      <c r="D3553" s="124" t="s">
        <v>10699</v>
      </c>
      <c r="E3553" s="125"/>
      <c r="F3553" s="118" t="s">
        <v>828</v>
      </c>
      <c r="G3553" s="126" t="s">
        <v>10304</v>
      </c>
      <c r="H3553" s="255">
        <v>5</v>
      </c>
      <c r="I3553" s="361">
        <v>1</v>
      </c>
      <c r="J3553" s="371" t="s">
        <v>286</v>
      </c>
      <c r="K3553" s="377"/>
      <c r="L3553" s="129"/>
      <c r="M3553" s="378"/>
      <c r="N3553" s="129"/>
      <c r="O3553" s="129"/>
      <c r="P3553" s="379"/>
      <c r="Q3553" s="129"/>
      <c r="R3553" s="380"/>
      <c r="S3553" s="129"/>
      <c r="T3553" s="129"/>
      <c r="W3553" s="129" t="s">
        <v>286</v>
      </c>
      <c r="X3553" s="337" t="b">
        <f t="shared" si="90"/>
        <v>1</v>
      </c>
    </row>
    <row r="3554" spans="1:24" ht="12" customHeight="1" outlineLevel="1">
      <c r="A3554" s="370"/>
      <c r="B3554" s="118" t="s">
        <v>12</v>
      </c>
      <c r="C3554" s="334" t="s">
        <v>11275</v>
      </c>
      <c r="D3554" s="124" t="s">
        <v>10701</v>
      </c>
      <c r="E3554" s="125"/>
      <c r="F3554" s="118" t="s">
        <v>828</v>
      </c>
      <c r="G3554" s="126" t="s">
        <v>10304</v>
      </c>
      <c r="H3554" s="255">
        <v>5</v>
      </c>
      <c r="I3554" s="361">
        <v>1</v>
      </c>
      <c r="J3554" s="371" t="s">
        <v>286</v>
      </c>
      <c r="K3554" s="377"/>
      <c r="L3554" s="129"/>
      <c r="M3554" s="378"/>
      <c r="N3554" s="129"/>
      <c r="O3554" s="129"/>
      <c r="P3554" s="379"/>
      <c r="Q3554" s="129"/>
      <c r="R3554" s="380"/>
      <c r="S3554" s="129"/>
      <c r="T3554" s="129"/>
      <c r="W3554" s="129" t="s">
        <v>286</v>
      </c>
      <c r="X3554" s="337" t="b">
        <f t="shared" si="90"/>
        <v>1</v>
      </c>
    </row>
    <row r="3555" spans="1:24" s="360" customFormat="1" ht="12" customHeight="1" outlineLevel="1">
      <c r="A3555" s="365"/>
      <c r="B3555" s="118" t="s">
        <v>12</v>
      </c>
      <c r="C3555" s="334" t="s">
        <v>11276</v>
      </c>
      <c r="D3555" s="124" t="s">
        <v>10703</v>
      </c>
      <c r="E3555" s="125"/>
      <c r="F3555" s="118" t="s">
        <v>828</v>
      </c>
      <c r="G3555" s="126" t="s">
        <v>10304</v>
      </c>
      <c r="H3555" s="255">
        <v>5</v>
      </c>
      <c r="I3555" s="361">
        <v>1</v>
      </c>
      <c r="J3555" s="368" t="s">
        <v>286</v>
      </c>
      <c r="K3555" s="329"/>
      <c r="L3555" s="129"/>
      <c r="M3555" s="129"/>
      <c r="N3555" s="129"/>
      <c r="O3555" s="129"/>
      <c r="P3555" s="372"/>
      <c r="Q3555" s="372"/>
      <c r="R3555" s="129"/>
      <c r="S3555" s="129"/>
      <c r="T3555" s="129"/>
      <c r="W3555" s="129" t="s">
        <v>286</v>
      </c>
      <c r="X3555" s="337" t="b">
        <f t="shared" si="90"/>
        <v>1</v>
      </c>
    </row>
    <row r="3556" spans="1:24" ht="12" customHeight="1" outlineLevel="1">
      <c r="A3556" s="370"/>
      <c r="B3556" s="118" t="s">
        <v>12</v>
      </c>
      <c r="C3556" s="334" t="s">
        <v>11277</v>
      </c>
      <c r="D3556" s="124" t="s">
        <v>10705</v>
      </c>
      <c r="E3556" s="125"/>
      <c r="F3556" s="118" t="s">
        <v>828</v>
      </c>
      <c r="G3556" s="126" t="s">
        <v>10304</v>
      </c>
      <c r="H3556" s="255">
        <v>5</v>
      </c>
      <c r="I3556" s="361">
        <v>1</v>
      </c>
      <c r="J3556" s="371" t="s">
        <v>286</v>
      </c>
      <c r="K3556" s="377"/>
      <c r="L3556" s="129"/>
      <c r="M3556" s="378"/>
      <c r="N3556" s="129"/>
      <c r="O3556" s="129"/>
      <c r="P3556" s="379"/>
      <c r="Q3556" s="129"/>
      <c r="R3556" s="380"/>
      <c r="S3556" s="129"/>
      <c r="T3556" s="129"/>
      <c r="W3556" s="129" t="s">
        <v>286</v>
      </c>
      <c r="X3556" s="337" t="b">
        <f t="shared" si="90"/>
        <v>1</v>
      </c>
    </row>
    <row r="3557" spans="1:24" ht="12" customHeight="1" outlineLevel="1">
      <c r="A3557" s="370"/>
      <c r="B3557" s="118" t="s">
        <v>12</v>
      </c>
      <c r="C3557" s="334" t="s">
        <v>11278</v>
      </c>
      <c r="D3557" s="124" t="s">
        <v>10707</v>
      </c>
      <c r="E3557" s="125"/>
      <c r="F3557" s="118" t="s">
        <v>828</v>
      </c>
      <c r="G3557" s="126" t="s">
        <v>10304</v>
      </c>
      <c r="H3557" s="255">
        <v>5</v>
      </c>
      <c r="I3557" s="361">
        <v>1</v>
      </c>
      <c r="J3557" s="371" t="s">
        <v>286</v>
      </c>
      <c r="K3557" s="377"/>
      <c r="L3557" s="129"/>
      <c r="M3557" s="378"/>
      <c r="N3557" s="129"/>
      <c r="O3557" s="129"/>
      <c r="P3557" s="379"/>
      <c r="Q3557" s="129"/>
      <c r="R3557" s="380"/>
      <c r="S3557" s="129"/>
      <c r="T3557" s="129"/>
      <c r="W3557" s="129" t="s">
        <v>286</v>
      </c>
      <c r="X3557" s="337" t="b">
        <f t="shared" si="90"/>
        <v>1</v>
      </c>
    </row>
    <row r="3558" spans="1:24" ht="12" customHeight="1" outlineLevel="1">
      <c r="A3558" s="370"/>
      <c r="B3558" s="118" t="s">
        <v>12</v>
      </c>
      <c r="C3558" s="334" t="s">
        <v>11279</v>
      </c>
      <c r="D3558" s="124" t="s">
        <v>10709</v>
      </c>
      <c r="E3558" s="125"/>
      <c r="F3558" s="118" t="s">
        <v>828</v>
      </c>
      <c r="G3558" s="126" t="s">
        <v>10304</v>
      </c>
      <c r="H3558" s="255">
        <v>5</v>
      </c>
      <c r="I3558" s="361">
        <v>1</v>
      </c>
      <c r="J3558" s="371" t="s">
        <v>286</v>
      </c>
      <c r="K3558" s="377"/>
      <c r="L3558" s="129"/>
      <c r="M3558" s="378"/>
      <c r="N3558" s="129"/>
      <c r="O3558" s="129"/>
      <c r="P3558" s="379"/>
      <c r="Q3558" s="129"/>
      <c r="R3558" s="380"/>
      <c r="S3558" s="129"/>
      <c r="T3558" s="129"/>
      <c r="W3558" s="129" t="s">
        <v>286</v>
      </c>
      <c r="X3558" s="337" t="b">
        <f t="shared" si="90"/>
        <v>1</v>
      </c>
    </row>
    <row r="3559" spans="1:24" ht="12" customHeight="1" outlineLevel="1">
      <c r="A3559" s="370"/>
      <c r="B3559" s="118" t="s">
        <v>12</v>
      </c>
      <c r="C3559" s="334" t="s">
        <v>11280</v>
      </c>
      <c r="D3559" s="124" t="s">
        <v>10711</v>
      </c>
      <c r="E3559" s="125"/>
      <c r="F3559" s="118" t="s">
        <v>828</v>
      </c>
      <c r="G3559" s="126" t="s">
        <v>10304</v>
      </c>
      <c r="H3559" s="255">
        <v>5</v>
      </c>
      <c r="I3559" s="361">
        <v>1</v>
      </c>
      <c r="J3559" s="371" t="s">
        <v>286</v>
      </c>
      <c r="K3559" s="377"/>
      <c r="L3559" s="129"/>
      <c r="M3559" s="378"/>
      <c r="N3559" s="129"/>
      <c r="O3559" s="129"/>
      <c r="P3559" s="379"/>
      <c r="Q3559" s="129"/>
      <c r="R3559" s="380"/>
      <c r="S3559" s="129"/>
      <c r="T3559" s="129"/>
      <c r="W3559" s="129" t="s">
        <v>286</v>
      </c>
      <c r="X3559" s="337" t="b">
        <f t="shared" si="90"/>
        <v>1</v>
      </c>
    </row>
    <row r="3560" spans="1:24" ht="12" customHeight="1" outlineLevel="1">
      <c r="A3560" s="370"/>
      <c r="B3560" s="118" t="s">
        <v>12</v>
      </c>
      <c r="C3560" s="334" t="s">
        <v>11281</v>
      </c>
      <c r="D3560" s="124" t="s">
        <v>10713</v>
      </c>
      <c r="E3560" s="125"/>
      <c r="F3560" s="118" t="s">
        <v>828</v>
      </c>
      <c r="G3560" s="126" t="s">
        <v>10304</v>
      </c>
      <c r="H3560" s="255">
        <v>5</v>
      </c>
      <c r="I3560" s="361">
        <v>1</v>
      </c>
      <c r="J3560" s="371" t="s">
        <v>286</v>
      </c>
      <c r="K3560" s="377"/>
      <c r="L3560" s="129"/>
      <c r="M3560" s="378"/>
      <c r="N3560" s="129"/>
      <c r="O3560" s="129"/>
      <c r="P3560" s="379"/>
      <c r="Q3560" s="129"/>
      <c r="R3560" s="380"/>
      <c r="S3560" s="129"/>
      <c r="T3560" s="129"/>
      <c r="W3560" s="129" t="s">
        <v>286</v>
      </c>
      <c r="X3560" s="337" t="b">
        <f t="shared" si="90"/>
        <v>1</v>
      </c>
    </row>
    <row r="3561" spans="1:24" ht="12" customHeight="1" outlineLevel="1">
      <c r="A3561" s="370"/>
      <c r="B3561" s="118" t="s">
        <v>12</v>
      </c>
      <c r="C3561" s="334" t="s">
        <v>11282</v>
      </c>
      <c r="D3561" s="124" t="s">
        <v>10715</v>
      </c>
      <c r="E3561" s="125"/>
      <c r="F3561" s="118" t="s">
        <v>828</v>
      </c>
      <c r="G3561" s="126" t="s">
        <v>10304</v>
      </c>
      <c r="H3561" s="255">
        <v>5</v>
      </c>
      <c r="I3561" s="361">
        <v>1</v>
      </c>
      <c r="J3561" s="371" t="s">
        <v>286</v>
      </c>
      <c r="K3561" s="377"/>
      <c r="L3561" s="129"/>
      <c r="M3561" s="378"/>
      <c r="N3561" s="129"/>
      <c r="O3561" s="129"/>
      <c r="P3561" s="379"/>
      <c r="Q3561" s="129"/>
      <c r="R3561" s="380"/>
      <c r="S3561" s="129"/>
      <c r="T3561" s="129"/>
      <c r="W3561" s="129" t="s">
        <v>286</v>
      </c>
      <c r="X3561" s="337" t="b">
        <f t="shared" si="90"/>
        <v>1</v>
      </c>
    </row>
    <row r="3562" spans="1:24" ht="12" customHeight="1" outlineLevel="1">
      <c r="A3562" s="370"/>
      <c r="B3562" s="118" t="s">
        <v>12</v>
      </c>
      <c r="C3562" s="334" t="s">
        <v>11283</v>
      </c>
      <c r="D3562" s="124" t="s">
        <v>10717</v>
      </c>
      <c r="E3562" s="125"/>
      <c r="F3562" s="118" t="s">
        <v>828</v>
      </c>
      <c r="G3562" s="126" t="s">
        <v>10304</v>
      </c>
      <c r="H3562" s="255">
        <v>5</v>
      </c>
      <c r="I3562" s="361">
        <v>1</v>
      </c>
      <c r="J3562" s="371" t="s">
        <v>286</v>
      </c>
      <c r="K3562" s="377"/>
      <c r="L3562" s="129"/>
      <c r="M3562" s="378"/>
      <c r="N3562" s="129"/>
      <c r="O3562" s="129"/>
      <c r="P3562" s="379"/>
      <c r="Q3562" s="129"/>
      <c r="R3562" s="380"/>
      <c r="S3562" s="129"/>
      <c r="T3562" s="129"/>
      <c r="W3562" s="129" t="s">
        <v>286</v>
      </c>
      <c r="X3562" s="337" t="b">
        <f t="shared" si="90"/>
        <v>1</v>
      </c>
    </row>
    <row r="3563" spans="1:24" ht="12" customHeight="1" outlineLevel="1">
      <c r="A3563" s="370"/>
      <c r="B3563" s="118" t="s">
        <v>12</v>
      </c>
      <c r="C3563" s="334" t="s">
        <v>11284</v>
      </c>
      <c r="D3563" s="124" t="s">
        <v>10719</v>
      </c>
      <c r="E3563" s="125"/>
      <c r="F3563" s="118" t="s">
        <v>828</v>
      </c>
      <c r="G3563" s="126" t="s">
        <v>10304</v>
      </c>
      <c r="H3563" s="255">
        <v>5</v>
      </c>
      <c r="I3563" s="361">
        <v>1</v>
      </c>
      <c r="J3563" s="371" t="s">
        <v>286</v>
      </c>
      <c r="K3563" s="377"/>
      <c r="L3563" s="129"/>
      <c r="M3563" s="378"/>
      <c r="N3563" s="129"/>
      <c r="O3563" s="129"/>
      <c r="P3563" s="379"/>
      <c r="Q3563" s="129"/>
      <c r="R3563" s="380"/>
      <c r="S3563" s="129"/>
      <c r="T3563" s="129"/>
      <c r="W3563" s="129" t="s">
        <v>286</v>
      </c>
      <c r="X3563" s="337" t="b">
        <f t="shared" si="90"/>
        <v>1</v>
      </c>
    </row>
    <row r="3564" spans="1:24" ht="12" customHeight="1" outlineLevel="1">
      <c r="A3564" s="370"/>
      <c r="B3564" s="118" t="s">
        <v>12</v>
      </c>
      <c r="C3564" s="334" t="s">
        <v>11285</v>
      </c>
      <c r="D3564" s="124" t="s">
        <v>10721</v>
      </c>
      <c r="E3564" s="125"/>
      <c r="F3564" s="118" t="s">
        <v>828</v>
      </c>
      <c r="G3564" s="126" t="s">
        <v>10304</v>
      </c>
      <c r="H3564" s="255">
        <v>5</v>
      </c>
      <c r="I3564" s="361">
        <v>1</v>
      </c>
      <c r="J3564" s="371" t="s">
        <v>286</v>
      </c>
      <c r="K3564" s="377"/>
      <c r="L3564" s="129"/>
      <c r="M3564" s="378"/>
      <c r="N3564" s="129"/>
      <c r="O3564" s="129"/>
      <c r="P3564" s="379"/>
      <c r="Q3564" s="129"/>
      <c r="R3564" s="380"/>
      <c r="S3564" s="129"/>
      <c r="T3564" s="129"/>
      <c r="W3564" s="129" t="s">
        <v>286</v>
      </c>
      <c r="X3564" s="337" t="b">
        <f t="shared" si="90"/>
        <v>1</v>
      </c>
    </row>
    <row r="3565" spans="1:24" ht="12" customHeight="1" outlineLevel="1">
      <c r="A3565" s="370"/>
      <c r="B3565" s="118" t="s">
        <v>12</v>
      </c>
      <c r="C3565" s="334" t="s">
        <v>11286</v>
      </c>
      <c r="D3565" s="124" t="s">
        <v>10723</v>
      </c>
      <c r="E3565" s="125"/>
      <c r="F3565" s="118" t="s">
        <v>828</v>
      </c>
      <c r="G3565" s="126" t="s">
        <v>10304</v>
      </c>
      <c r="H3565" s="255">
        <v>5</v>
      </c>
      <c r="I3565" s="361">
        <v>1</v>
      </c>
      <c r="J3565" s="371" t="s">
        <v>286</v>
      </c>
      <c r="K3565" s="377"/>
      <c r="L3565" s="129"/>
      <c r="M3565" s="378"/>
      <c r="N3565" s="129"/>
      <c r="O3565" s="129"/>
      <c r="P3565" s="379"/>
      <c r="Q3565" s="129"/>
      <c r="R3565" s="380"/>
      <c r="S3565" s="129"/>
      <c r="T3565" s="129"/>
      <c r="W3565" s="129" t="s">
        <v>286</v>
      </c>
      <c r="X3565" s="337" t="b">
        <f t="shared" si="90"/>
        <v>1</v>
      </c>
    </row>
    <row r="3566" spans="1:24" ht="12" customHeight="1" outlineLevel="1">
      <c r="A3566" s="370"/>
      <c r="B3566" s="118" t="s">
        <v>12</v>
      </c>
      <c r="C3566" s="334" t="s">
        <v>11287</v>
      </c>
      <c r="D3566" s="124" t="s">
        <v>7724</v>
      </c>
      <c r="E3566" s="125"/>
      <c r="F3566" s="118" t="s">
        <v>828</v>
      </c>
      <c r="G3566" s="126" t="s">
        <v>10304</v>
      </c>
      <c r="H3566" s="255">
        <v>5</v>
      </c>
      <c r="I3566" s="361">
        <v>1</v>
      </c>
      <c r="J3566" s="371" t="s">
        <v>286</v>
      </c>
      <c r="K3566" s="377"/>
      <c r="L3566" s="129"/>
      <c r="M3566" s="378"/>
      <c r="N3566" s="129"/>
      <c r="O3566" s="129"/>
      <c r="P3566" s="379"/>
      <c r="Q3566" s="129"/>
      <c r="R3566" s="380"/>
      <c r="S3566" s="129"/>
      <c r="T3566" s="129"/>
      <c r="W3566" s="129" t="s">
        <v>286</v>
      </c>
      <c r="X3566" s="337" t="b">
        <f t="shared" si="90"/>
        <v>1</v>
      </c>
    </row>
    <row r="3567" spans="1:24" ht="12" customHeight="1" outlineLevel="1">
      <c r="A3567" s="370"/>
      <c r="B3567" s="118" t="s">
        <v>12</v>
      </c>
      <c r="C3567" s="334" t="s">
        <v>11288</v>
      </c>
      <c r="D3567" s="124" t="s">
        <v>7726</v>
      </c>
      <c r="E3567" s="125"/>
      <c r="F3567" s="118" t="s">
        <v>828</v>
      </c>
      <c r="G3567" s="126" t="s">
        <v>10304</v>
      </c>
      <c r="H3567" s="255">
        <v>5</v>
      </c>
      <c r="I3567" s="361">
        <v>1</v>
      </c>
      <c r="J3567" s="371" t="s">
        <v>286</v>
      </c>
      <c r="K3567" s="377"/>
      <c r="L3567" s="129"/>
      <c r="M3567" s="378"/>
      <c r="N3567" s="129"/>
      <c r="O3567" s="129"/>
      <c r="P3567" s="379"/>
      <c r="Q3567" s="129"/>
      <c r="R3567" s="380"/>
      <c r="S3567" s="129"/>
      <c r="T3567" s="129"/>
      <c r="W3567" s="129" t="s">
        <v>286</v>
      </c>
      <c r="X3567" s="337" t="b">
        <f t="shared" si="90"/>
        <v>1</v>
      </c>
    </row>
    <row r="3568" spans="1:24" ht="12" customHeight="1" outlineLevel="1">
      <c r="A3568" s="370"/>
      <c r="B3568" s="118" t="s">
        <v>12</v>
      </c>
      <c r="C3568" s="334" t="s">
        <v>11289</v>
      </c>
      <c r="D3568" s="124" t="s">
        <v>10727</v>
      </c>
      <c r="E3568" s="125"/>
      <c r="F3568" s="118" t="s">
        <v>828</v>
      </c>
      <c r="G3568" s="126" t="s">
        <v>10304</v>
      </c>
      <c r="H3568" s="255">
        <v>5</v>
      </c>
      <c r="I3568" s="361">
        <v>1</v>
      </c>
      <c r="J3568" s="371" t="s">
        <v>286</v>
      </c>
      <c r="K3568" s="377"/>
      <c r="L3568" s="129"/>
      <c r="M3568" s="378"/>
      <c r="N3568" s="129"/>
      <c r="O3568" s="129"/>
      <c r="P3568" s="379"/>
      <c r="Q3568" s="129"/>
      <c r="R3568" s="380"/>
      <c r="S3568" s="129"/>
      <c r="T3568" s="129"/>
      <c r="W3568" s="129" t="s">
        <v>286</v>
      </c>
      <c r="X3568" s="337" t="b">
        <f t="shared" si="90"/>
        <v>1</v>
      </c>
    </row>
    <row r="3569" spans="1:24" ht="12" customHeight="1" outlineLevel="1">
      <c r="A3569" s="370"/>
      <c r="B3569" s="118" t="s">
        <v>12</v>
      </c>
      <c r="C3569" s="334" t="s">
        <v>11290</v>
      </c>
      <c r="D3569" s="124" t="s">
        <v>10729</v>
      </c>
      <c r="E3569" s="125"/>
      <c r="F3569" s="118" t="s">
        <v>828</v>
      </c>
      <c r="G3569" s="126" t="s">
        <v>10304</v>
      </c>
      <c r="H3569" s="255">
        <v>5</v>
      </c>
      <c r="I3569" s="361">
        <v>1</v>
      </c>
      <c r="J3569" s="371" t="s">
        <v>286</v>
      </c>
      <c r="K3569" s="377"/>
      <c r="L3569" s="129"/>
      <c r="M3569" s="378"/>
      <c r="N3569" s="129"/>
      <c r="O3569" s="129"/>
      <c r="P3569" s="379"/>
      <c r="Q3569" s="129"/>
      <c r="R3569" s="380"/>
      <c r="S3569" s="129"/>
      <c r="T3569" s="129"/>
      <c r="W3569" s="129" t="s">
        <v>286</v>
      </c>
      <c r="X3569" s="337" t="b">
        <f t="shared" si="90"/>
        <v>1</v>
      </c>
    </row>
    <row r="3570" spans="1:24" ht="12" customHeight="1" outlineLevel="1">
      <c r="A3570" s="370"/>
      <c r="B3570" s="118" t="s">
        <v>12</v>
      </c>
      <c r="C3570" s="334" t="s">
        <v>11291</v>
      </c>
      <c r="D3570" s="124" t="s">
        <v>10731</v>
      </c>
      <c r="E3570" s="125"/>
      <c r="F3570" s="118" t="s">
        <v>828</v>
      </c>
      <c r="G3570" s="126" t="s">
        <v>10304</v>
      </c>
      <c r="H3570" s="255">
        <v>5</v>
      </c>
      <c r="I3570" s="361">
        <v>1</v>
      </c>
      <c r="J3570" s="371" t="s">
        <v>286</v>
      </c>
      <c r="K3570" s="377"/>
      <c r="L3570" s="129"/>
      <c r="M3570" s="378"/>
      <c r="N3570" s="129"/>
      <c r="O3570" s="129"/>
      <c r="P3570" s="379"/>
      <c r="Q3570" s="129"/>
      <c r="R3570" s="380"/>
      <c r="S3570" s="129"/>
      <c r="T3570" s="129"/>
      <c r="W3570" s="129" t="s">
        <v>286</v>
      </c>
      <c r="X3570" s="337" t="b">
        <f t="shared" si="90"/>
        <v>1</v>
      </c>
    </row>
    <row r="3571" spans="1:24" ht="12" customHeight="1" outlineLevel="1">
      <c r="A3571" s="370"/>
      <c r="B3571" s="118" t="s">
        <v>12</v>
      </c>
      <c r="C3571" s="334" t="s">
        <v>11292</v>
      </c>
      <c r="D3571" s="124" t="s">
        <v>7736</v>
      </c>
      <c r="E3571" s="125"/>
      <c r="F3571" s="118" t="s">
        <v>828</v>
      </c>
      <c r="G3571" s="126" t="s">
        <v>10304</v>
      </c>
      <c r="H3571" s="255">
        <v>5</v>
      </c>
      <c r="I3571" s="361">
        <v>1</v>
      </c>
      <c r="J3571" s="371" t="s">
        <v>286</v>
      </c>
      <c r="K3571" s="377"/>
      <c r="L3571" s="129"/>
      <c r="M3571" s="378"/>
      <c r="N3571" s="129"/>
      <c r="O3571" s="129"/>
      <c r="P3571" s="379"/>
      <c r="Q3571" s="129"/>
      <c r="R3571" s="380"/>
      <c r="S3571" s="129"/>
      <c r="T3571" s="129"/>
      <c r="W3571" s="129" t="s">
        <v>286</v>
      </c>
      <c r="X3571" s="337" t="b">
        <f t="shared" si="90"/>
        <v>1</v>
      </c>
    </row>
    <row r="3572" spans="1:24" ht="12" customHeight="1" outlineLevel="1">
      <c r="A3572" s="370"/>
      <c r="B3572" s="118" t="s">
        <v>12</v>
      </c>
      <c r="C3572" s="334" t="s">
        <v>11293</v>
      </c>
      <c r="D3572" s="124" t="s">
        <v>7738</v>
      </c>
      <c r="E3572" s="125"/>
      <c r="F3572" s="118" t="s">
        <v>828</v>
      </c>
      <c r="G3572" s="126" t="s">
        <v>10304</v>
      </c>
      <c r="H3572" s="255">
        <v>5</v>
      </c>
      <c r="I3572" s="361">
        <v>1</v>
      </c>
      <c r="J3572" s="371" t="s">
        <v>286</v>
      </c>
      <c r="K3572" s="377"/>
      <c r="L3572" s="129"/>
      <c r="M3572" s="378"/>
      <c r="N3572" s="129"/>
      <c r="O3572" s="129"/>
      <c r="P3572" s="379"/>
      <c r="Q3572" s="129"/>
      <c r="R3572" s="380"/>
      <c r="S3572" s="129"/>
      <c r="T3572" s="129"/>
      <c r="W3572" s="129" t="s">
        <v>286</v>
      </c>
      <c r="X3572" s="337" t="b">
        <f t="shared" si="90"/>
        <v>1</v>
      </c>
    </row>
    <row r="3573" spans="1:24" ht="12" customHeight="1" outlineLevel="1">
      <c r="A3573" s="370"/>
      <c r="B3573" s="118" t="s">
        <v>12</v>
      </c>
      <c r="C3573" s="334" t="s">
        <v>11294</v>
      </c>
      <c r="D3573" s="124" t="s">
        <v>10735</v>
      </c>
      <c r="E3573" s="125"/>
      <c r="F3573" s="118" t="s">
        <v>828</v>
      </c>
      <c r="G3573" s="126" t="s">
        <v>10304</v>
      </c>
      <c r="H3573" s="255">
        <v>5</v>
      </c>
      <c r="I3573" s="361">
        <v>1</v>
      </c>
      <c r="J3573" s="371" t="s">
        <v>286</v>
      </c>
      <c r="K3573" s="377"/>
      <c r="L3573" s="129"/>
      <c r="M3573" s="378"/>
      <c r="N3573" s="129"/>
      <c r="O3573" s="129"/>
      <c r="P3573" s="379"/>
      <c r="Q3573" s="129"/>
      <c r="R3573" s="380"/>
      <c r="S3573" s="129"/>
      <c r="T3573" s="129"/>
      <c r="W3573" s="129" t="s">
        <v>286</v>
      </c>
      <c r="X3573" s="337" t="b">
        <f t="shared" si="90"/>
        <v>1</v>
      </c>
    </row>
    <row r="3574" spans="1:24" ht="12" customHeight="1" outlineLevel="1">
      <c r="A3574" s="370"/>
      <c r="B3574" s="118" t="s">
        <v>12</v>
      </c>
      <c r="C3574" s="334" t="s">
        <v>11295</v>
      </c>
      <c r="D3574" s="124" t="s">
        <v>10737</v>
      </c>
      <c r="E3574" s="125"/>
      <c r="F3574" s="118" t="s">
        <v>828</v>
      </c>
      <c r="G3574" s="126" t="s">
        <v>10304</v>
      </c>
      <c r="H3574" s="255">
        <v>5</v>
      </c>
      <c r="I3574" s="361">
        <v>1</v>
      </c>
      <c r="J3574" s="371" t="s">
        <v>286</v>
      </c>
      <c r="K3574" s="377"/>
      <c r="L3574" s="129"/>
      <c r="M3574" s="378"/>
      <c r="N3574" s="129"/>
      <c r="O3574" s="129"/>
      <c r="P3574" s="379"/>
      <c r="Q3574" s="129"/>
      <c r="R3574" s="380"/>
      <c r="S3574" s="129"/>
      <c r="T3574" s="129"/>
      <c r="W3574" s="129" t="s">
        <v>286</v>
      </c>
      <c r="X3574" s="337" t="b">
        <f t="shared" si="90"/>
        <v>1</v>
      </c>
    </row>
    <row r="3575" spans="1:24" ht="12" customHeight="1" outlineLevel="1">
      <c r="A3575" s="370"/>
      <c r="B3575" s="118" t="s">
        <v>12</v>
      </c>
      <c r="C3575" s="334" t="s">
        <v>11296</v>
      </c>
      <c r="D3575" s="124" t="s">
        <v>10739</v>
      </c>
      <c r="E3575" s="125"/>
      <c r="F3575" s="118" t="s">
        <v>828</v>
      </c>
      <c r="G3575" s="126" t="s">
        <v>10304</v>
      </c>
      <c r="H3575" s="255">
        <v>5</v>
      </c>
      <c r="I3575" s="361">
        <v>1</v>
      </c>
      <c r="J3575" s="371" t="s">
        <v>286</v>
      </c>
      <c r="K3575" s="377"/>
      <c r="L3575" s="129"/>
      <c r="M3575" s="378"/>
      <c r="N3575" s="129"/>
      <c r="O3575" s="129"/>
      <c r="P3575" s="379"/>
      <c r="Q3575" s="129"/>
      <c r="R3575" s="380"/>
      <c r="S3575" s="129"/>
      <c r="T3575" s="129"/>
      <c r="W3575" s="129" t="s">
        <v>286</v>
      </c>
      <c r="X3575" s="337" t="b">
        <f t="shared" si="90"/>
        <v>1</v>
      </c>
    </row>
    <row r="3576" spans="1:24" ht="12" customHeight="1" outlineLevel="1">
      <c r="A3576" s="370"/>
      <c r="B3576" s="118" t="s">
        <v>12</v>
      </c>
      <c r="C3576" s="334" t="s">
        <v>11297</v>
      </c>
      <c r="D3576" s="124" t="s">
        <v>10741</v>
      </c>
      <c r="E3576" s="125"/>
      <c r="F3576" s="118" t="s">
        <v>828</v>
      </c>
      <c r="G3576" s="126" t="s">
        <v>10304</v>
      </c>
      <c r="H3576" s="255">
        <v>5</v>
      </c>
      <c r="I3576" s="361">
        <v>1</v>
      </c>
      <c r="J3576" s="371" t="s">
        <v>286</v>
      </c>
      <c r="K3576" s="377"/>
      <c r="L3576" s="129"/>
      <c r="M3576" s="378"/>
      <c r="N3576" s="129"/>
      <c r="O3576" s="129"/>
      <c r="P3576" s="379"/>
      <c r="Q3576" s="129"/>
      <c r="R3576" s="380"/>
      <c r="S3576" s="129"/>
      <c r="T3576" s="129"/>
      <c r="W3576" s="129" t="s">
        <v>286</v>
      </c>
      <c r="X3576" s="337" t="b">
        <f t="shared" si="90"/>
        <v>1</v>
      </c>
    </row>
    <row r="3577" spans="1:24" ht="12" customHeight="1" outlineLevel="1">
      <c r="A3577" s="370"/>
      <c r="B3577" s="118" t="s">
        <v>12</v>
      </c>
      <c r="C3577" s="334" t="s">
        <v>11298</v>
      </c>
      <c r="D3577" s="124" t="s">
        <v>10743</v>
      </c>
      <c r="E3577" s="125"/>
      <c r="F3577" s="118" t="s">
        <v>828</v>
      </c>
      <c r="G3577" s="126" t="s">
        <v>10304</v>
      </c>
      <c r="H3577" s="255">
        <v>5</v>
      </c>
      <c r="I3577" s="361">
        <v>1</v>
      </c>
      <c r="J3577" s="371" t="s">
        <v>286</v>
      </c>
      <c r="K3577" s="377"/>
      <c r="L3577" s="129"/>
      <c r="M3577" s="378"/>
      <c r="N3577" s="129"/>
      <c r="O3577" s="129"/>
      <c r="P3577" s="379"/>
      <c r="Q3577" s="129"/>
      <c r="R3577" s="380"/>
      <c r="S3577" s="129"/>
      <c r="T3577" s="129"/>
      <c r="W3577" s="129" t="s">
        <v>286</v>
      </c>
      <c r="X3577" s="337" t="b">
        <f t="shared" si="90"/>
        <v>1</v>
      </c>
    </row>
    <row r="3578" spans="1:24" ht="12" customHeight="1" outlineLevel="1">
      <c r="A3578" s="370"/>
      <c r="B3578" s="118" t="s">
        <v>12</v>
      </c>
      <c r="C3578" s="334" t="s">
        <v>11299</v>
      </c>
      <c r="D3578" s="124" t="s">
        <v>10745</v>
      </c>
      <c r="E3578" s="125"/>
      <c r="F3578" s="118" t="s">
        <v>828</v>
      </c>
      <c r="G3578" s="126" t="s">
        <v>10304</v>
      </c>
      <c r="H3578" s="255">
        <v>5</v>
      </c>
      <c r="I3578" s="361">
        <v>1</v>
      </c>
      <c r="J3578" s="371" t="s">
        <v>286</v>
      </c>
      <c r="K3578" s="377"/>
      <c r="L3578" s="129"/>
      <c r="M3578" s="378"/>
      <c r="N3578" s="129"/>
      <c r="O3578" s="129"/>
      <c r="P3578" s="379"/>
      <c r="Q3578" s="129"/>
      <c r="R3578" s="380"/>
      <c r="S3578" s="129"/>
      <c r="T3578" s="129"/>
      <c r="W3578" s="129" t="s">
        <v>286</v>
      </c>
      <c r="X3578" s="337" t="b">
        <f t="shared" si="90"/>
        <v>1</v>
      </c>
    </row>
    <row r="3579" spans="1:24" ht="12" customHeight="1" outlineLevel="1">
      <c r="A3579" s="370"/>
      <c r="B3579" s="118" t="s">
        <v>12</v>
      </c>
      <c r="C3579" s="334" t="s">
        <v>11300</v>
      </c>
      <c r="D3579" s="124" t="s">
        <v>7754</v>
      </c>
      <c r="E3579" s="125"/>
      <c r="F3579" s="118" t="s">
        <v>828</v>
      </c>
      <c r="G3579" s="126" t="s">
        <v>10304</v>
      </c>
      <c r="H3579" s="255">
        <v>5</v>
      </c>
      <c r="I3579" s="361">
        <v>1</v>
      </c>
      <c r="J3579" s="371" t="s">
        <v>286</v>
      </c>
      <c r="K3579" s="377"/>
      <c r="L3579" s="129"/>
      <c r="M3579" s="378"/>
      <c r="N3579" s="129"/>
      <c r="O3579" s="129"/>
      <c r="P3579" s="379"/>
      <c r="Q3579" s="129"/>
      <c r="R3579" s="380"/>
      <c r="S3579" s="129"/>
      <c r="T3579" s="129"/>
      <c r="W3579" s="129" t="s">
        <v>286</v>
      </c>
      <c r="X3579" s="337" t="b">
        <f t="shared" si="90"/>
        <v>1</v>
      </c>
    </row>
    <row r="3580" spans="1:24" ht="12" customHeight="1" outlineLevel="1">
      <c r="A3580" s="370"/>
      <c r="B3580" s="118" t="s">
        <v>12</v>
      </c>
      <c r="C3580" s="334" t="s">
        <v>11301</v>
      </c>
      <c r="D3580" s="124" t="s">
        <v>10748</v>
      </c>
      <c r="E3580" s="125"/>
      <c r="F3580" s="118" t="s">
        <v>828</v>
      </c>
      <c r="G3580" s="126" t="s">
        <v>10304</v>
      </c>
      <c r="H3580" s="255">
        <v>5</v>
      </c>
      <c r="I3580" s="361">
        <v>1</v>
      </c>
      <c r="J3580" s="371" t="s">
        <v>286</v>
      </c>
      <c r="K3580" s="377"/>
      <c r="L3580" s="129"/>
      <c r="M3580" s="378"/>
      <c r="N3580" s="129"/>
      <c r="O3580" s="129"/>
      <c r="P3580" s="379"/>
      <c r="Q3580" s="129"/>
      <c r="R3580" s="380"/>
      <c r="S3580" s="129"/>
      <c r="T3580" s="129"/>
      <c r="W3580" s="129" t="s">
        <v>286</v>
      </c>
      <c r="X3580" s="337" t="b">
        <f t="shared" si="90"/>
        <v>1</v>
      </c>
    </row>
    <row r="3581" spans="1:24" ht="12" customHeight="1" outlineLevel="1">
      <c r="A3581" s="370"/>
      <c r="B3581" s="118" t="s">
        <v>12</v>
      </c>
      <c r="C3581" s="334" t="s">
        <v>11302</v>
      </c>
      <c r="D3581" s="124" t="s">
        <v>7760</v>
      </c>
      <c r="E3581" s="125"/>
      <c r="F3581" s="118" t="s">
        <v>828</v>
      </c>
      <c r="G3581" s="126" t="s">
        <v>10304</v>
      </c>
      <c r="H3581" s="255">
        <v>5</v>
      </c>
      <c r="I3581" s="361">
        <v>1</v>
      </c>
      <c r="J3581" s="371" t="s">
        <v>286</v>
      </c>
      <c r="K3581" s="377"/>
      <c r="L3581" s="129"/>
      <c r="M3581" s="378"/>
      <c r="N3581" s="129"/>
      <c r="O3581" s="129"/>
      <c r="P3581" s="379"/>
      <c r="Q3581" s="129"/>
      <c r="R3581" s="380"/>
      <c r="S3581" s="129"/>
      <c r="T3581" s="129"/>
      <c r="W3581" s="129" t="s">
        <v>286</v>
      </c>
      <c r="X3581" s="337" t="b">
        <f t="shared" si="90"/>
        <v>1</v>
      </c>
    </row>
    <row r="3582" spans="1:24" ht="12" customHeight="1" outlineLevel="1">
      <c r="A3582" s="370"/>
      <c r="B3582" s="118" t="s">
        <v>12</v>
      </c>
      <c r="C3582" s="334" t="s">
        <v>11303</v>
      </c>
      <c r="D3582" s="124" t="s">
        <v>7762</v>
      </c>
      <c r="E3582" s="125"/>
      <c r="F3582" s="118" t="s">
        <v>828</v>
      </c>
      <c r="G3582" s="126" t="s">
        <v>10304</v>
      </c>
      <c r="H3582" s="255">
        <v>5</v>
      </c>
      <c r="I3582" s="361">
        <v>1</v>
      </c>
      <c r="J3582" s="371" t="s">
        <v>286</v>
      </c>
      <c r="K3582" s="377"/>
      <c r="L3582" s="129"/>
      <c r="M3582" s="378"/>
      <c r="N3582" s="129"/>
      <c r="O3582" s="129"/>
      <c r="P3582" s="379"/>
      <c r="Q3582" s="129"/>
      <c r="R3582" s="380"/>
      <c r="S3582" s="129"/>
      <c r="T3582" s="129"/>
      <c r="W3582" s="129" t="s">
        <v>286</v>
      </c>
      <c r="X3582" s="337" t="b">
        <f t="shared" si="90"/>
        <v>1</v>
      </c>
    </row>
    <row r="3583" spans="1:24" ht="12" customHeight="1" outlineLevel="1">
      <c r="A3583" s="370"/>
      <c r="B3583" s="118" t="s">
        <v>12</v>
      </c>
      <c r="C3583" s="334" t="s">
        <v>11304</v>
      </c>
      <c r="D3583" s="124" t="s">
        <v>10752</v>
      </c>
      <c r="E3583" s="125"/>
      <c r="F3583" s="118" t="s">
        <v>828</v>
      </c>
      <c r="G3583" s="126" t="s">
        <v>10304</v>
      </c>
      <c r="H3583" s="255">
        <v>5</v>
      </c>
      <c r="I3583" s="361">
        <v>1</v>
      </c>
      <c r="J3583" s="371" t="s">
        <v>286</v>
      </c>
      <c r="K3583" s="377"/>
      <c r="L3583" s="129"/>
      <c r="M3583" s="378"/>
      <c r="N3583" s="129"/>
      <c r="O3583" s="129"/>
      <c r="P3583" s="379"/>
      <c r="Q3583" s="129"/>
      <c r="R3583" s="380"/>
      <c r="S3583" s="129"/>
      <c r="T3583" s="129"/>
      <c r="W3583" s="129" t="s">
        <v>286</v>
      </c>
      <c r="X3583" s="337" t="b">
        <f t="shared" si="90"/>
        <v>1</v>
      </c>
    </row>
    <row r="3584" spans="1:24" ht="12" customHeight="1" outlineLevel="1">
      <c r="A3584" s="370"/>
      <c r="B3584" s="118" t="s">
        <v>12</v>
      </c>
      <c r="C3584" s="334" t="s">
        <v>11305</v>
      </c>
      <c r="D3584" s="124" t="s">
        <v>7766</v>
      </c>
      <c r="E3584" s="125"/>
      <c r="F3584" s="118" t="s">
        <v>828</v>
      </c>
      <c r="G3584" s="126" t="s">
        <v>10304</v>
      </c>
      <c r="H3584" s="255">
        <v>5</v>
      </c>
      <c r="I3584" s="361">
        <v>1</v>
      </c>
      <c r="J3584" s="371" t="s">
        <v>286</v>
      </c>
      <c r="K3584" s="377"/>
      <c r="L3584" s="129"/>
      <c r="M3584" s="378"/>
      <c r="N3584" s="129"/>
      <c r="O3584" s="129"/>
      <c r="P3584" s="379"/>
      <c r="Q3584" s="129"/>
      <c r="R3584" s="380"/>
      <c r="S3584" s="129"/>
      <c r="T3584" s="129"/>
      <c r="W3584" s="129" t="s">
        <v>286</v>
      </c>
      <c r="X3584" s="337" t="b">
        <f t="shared" si="90"/>
        <v>1</v>
      </c>
    </row>
    <row r="3585" spans="1:24" ht="12" customHeight="1" outlineLevel="1">
      <c r="A3585" s="370"/>
      <c r="B3585" s="118" t="s">
        <v>12</v>
      </c>
      <c r="C3585" s="334" t="s">
        <v>11306</v>
      </c>
      <c r="D3585" s="124" t="s">
        <v>7768</v>
      </c>
      <c r="E3585" s="125"/>
      <c r="F3585" s="118" t="s">
        <v>828</v>
      </c>
      <c r="G3585" s="126" t="s">
        <v>10304</v>
      </c>
      <c r="H3585" s="255">
        <v>5</v>
      </c>
      <c r="I3585" s="361">
        <v>1</v>
      </c>
      <c r="J3585" s="371" t="s">
        <v>286</v>
      </c>
      <c r="K3585" s="377"/>
      <c r="L3585" s="129"/>
      <c r="M3585" s="378"/>
      <c r="N3585" s="129"/>
      <c r="O3585" s="129"/>
      <c r="P3585" s="379"/>
      <c r="Q3585" s="129"/>
      <c r="R3585" s="380"/>
      <c r="S3585" s="129"/>
      <c r="T3585" s="129"/>
      <c r="W3585" s="129" t="s">
        <v>286</v>
      </c>
      <c r="X3585" s="337" t="b">
        <f t="shared" si="90"/>
        <v>1</v>
      </c>
    </row>
    <row r="3586" spans="1:24" ht="12" customHeight="1" outlineLevel="1">
      <c r="A3586" s="370"/>
      <c r="B3586" s="118" t="s">
        <v>12</v>
      </c>
      <c r="C3586" s="334" t="s">
        <v>11307</v>
      </c>
      <c r="D3586" s="124" t="s">
        <v>10756</v>
      </c>
      <c r="E3586" s="125"/>
      <c r="F3586" s="118" t="s">
        <v>828</v>
      </c>
      <c r="G3586" s="126" t="s">
        <v>10304</v>
      </c>
      <c r="H3586" s="255">
        <v>5</v>
      </c>
      <c r="I3586" s="361">
        <v>1</v>
      </c>
      <c r="J3586" s="371" t="s">
        <v>286</v>
      </c>
      <c r="K3586" s="377"/>
      <c r="L3586" s="129"/>
      <c r="M3586" s="378"/>
      <c r="N3586" s="129"/>
      <c r="O3586" s="129"/>
      <c r="P3586" s="379"/>
      <c r="Q3586" s="129"/>
      <c r="R3586" s="380"/>
      <c r="S3586" s="129"/>
      <c r="T3586" s="129"/>
      <c r="W3586" s="129" t="s">
        <v>286</v>
      </c>
      <c r="X3586" s="337" t="b">
        <f t="shared" si="90"/>
        <v>1</v>
      </c>
    </row>
    <row r="3587" spans="1:24" ht="12" customHeight="1" outlineLevel="1">
      <c r="A3587" s="370"/>
      <c r="B3587" s="118" t="s">
        <v>12</v>
      </c>
      <c r="C3587" s="334" t="s">
        <v>11308</v>
      </c>
      <c r="D3587" s="124" t="s">
        <v>7776</v>
      </c>
      <c r="E3587" s="125"/>
      <c r="F3587" s="118" t="s">
        <v>828</v>
      </c>
      <c r="G3587" s="126" t="s">
        <v>10304</v>
      </c>
      <c r="H3587" s="255">
        <v>5</v>
      </c>
      <c r="I3587" s="361">
        <v>1</v>
      </c>
      <c r="J3587" s="371" t="s">
        <v>286</v>
      </c>
      <c r="K3587" s="377"/>
      <c r="L3587" s="129"/>
      <c r="M3587" s="378"/>
      <c r="N3587" s="129"/>
      <c r="O3587" s="129"/>
      <c r="P3587" s="379"/>
      <c r="Q3587" s="129"/>
      <c r="R3587" s="380"/>
      <c r="S3587" s="129"/>
      <c r="T3587" s="129"/>
      <c r="W3587" s="129" t="s">
        <v>286</v>
      </c>
      <c r="X3587" s="337" t="b">
        <f t="shared" si="90"/>
        <v>1</v>
      </c>
    </row>
    <row r="3588" spans="1:24" ht="12" customHeight="1" outlineLevel="1">
      <c r="A3588" s="370"/>
      <c r="B3588" s="118" t="s">
        <v>12</v>
      </c>
      <c r="C3588" s="334" t="s">
        <v>11309</v>
      </c>
      <c r="D3588" s="124" t="s">
        <v>7778</v>
      </c>
      <c r="E3588" s="125"/>
      <c r="F3588" s="118" t="s">
        <v>828</v>
      </c>
      <c r="G3588" s="126" t="s">
        <v>10304</v>
      </c>
      <c r="H3588" s="255">
        <v>5</v>
      </c>
      <c r="I3588" s="361">
        <v>1</v>
      </c>
      <c r="J3588" s="371" t="s">
        <v>286</v>
      </c>
      <c r="K3588" s="377"/>
      <c r="L3588" s="129"/>
      <c r="M3588" s="378"/>
      <c r="N3588" s="129"/>
      <c r="O3588" s="129"/>
      <c r="P3588" s="379"/>
      <c r="Q3588" s="129"/>
      <c r="R3588" s="380"/>
      <c r="S3588" s="129"/>
      <c r="T3588" s="129"/>
      <c r="W3588" s="129" t="s">
        <v>286</v>
      </c>
      <c r="X3588" s="337" t="b">
        <f t="shared" si="90"/>
        <v>1</v>
      </c>
    </row>
    <row r="3589" spans="1:24" ht="12" customHeight="1" outlineLevel="1">
      <c r="A3589" s="370"/>
      <c r="B3589" s="118" t="s">
        <v>12</v>
      </c>
      <c r="C3589" s="334" t="s">
        <v>11310</v>
      </c>
      <c r="D3589" s="124" t="s">
        <v>7780</v>
      </c>
      <c r="E3589" s="125"/>
      <c r="F3589" s="118" t="s">
        <v>828</v>
      </c>
      <c r="G3589" s="126" t="s">
        <v>10304</v>
      </c>
      <c r="H3589" s="255">
        <v>5</v>
      </c>
      <c r="I3589" s="361">
        <v>1</v>
      </c>
      <c r="J3589" s="371" t="s">
        <v>286</v>
      </c>
      <c r="K3589" s="377"/>
      <c r="L3589" s="129"/>
      <c r="M3589" s="378"/>
      <c r="N3589" s="129"/>
      <c r="O3589" s="129"/>
      <c r="P3589" s="379"/>
      <c r="Q3589" s="129"/>
      <c r="R3589" s="380"/>
      <c r="S3589" s="129"/>
      <c r="T3589" s="129"/>
      <c r="W3589" s="129" t="s">
        <v>286</v>
      </c>
      <c r="X3589" s="337" t="b">
        <f t="shared" si="90"/>
        <v>1</v>
      </c>
    </row>
    <row r="3590" spans="1:24" ht="12" customHeight="1" outlineLevel="1">
      <c r="A3590" s="370"/>
      <c r="B3590" s="118" t="s">
        <v>12</v>
      </c>
      <c r="C3590" s="334" t="s">
        <v>11311</v>
      </c>
      <c r="D3590" s="124" t="s">
        <v>7782</v>
      </c>
      <c r="E3590" s="125"/>
      <c r="F3590" s="118" t="s">
        <v>828</v>
      </c>
      <c r="G3590" s="126" t="s">
        <v>10304</v>
      </c>
      <c r="H3590" s="255">
        <v>5</v>
      </c>
      <c r="I3590" s="361">
        <v>1</v>
      </c>
      <c r="J3590" s="371" t="s">
        <v>286</v>
      </c>
      <c r="K3590" s="377"/>
      <c r="L3590" s="129"/>
      <c r="M3590" s="378"/>
      <c r="N3590" s="129"/>
      <c r="O3590" s="129"/>
      <c r="P3590" s="379"/>
      <c r="Q3590" s="129"/>
      <c r="R3590" s="380"/>
      <c r="S3590" s="129"/>
      <c r="T3590" s="129"/>
      <c r="W3590" s="129" t="s">
        <v>286</v>
      </c>
      <c r="X3590" s="337" t="b">
        <f t="shared" si="90"/>
        <v>1</v>
      </c>
    </row>
    <row r="3591" spans="1:24" ht="12" customHeight="1" outlineLevel="1">
      <c r="A3591" s="370"/>
      <c r="B3591" s="118" t="s">
        <v>12</v>
      </c>
      <c r="C3591" s="334" t="s">
        <v>11312</v>
      </c>
      <c r="D3591" s="124" t="s">
        <v>10764</v>
      </c>
      <c r="E3591" s="125"/>
      <c r="F3591" s="118" t="s">
        <v>828</v>
      </c>
      <c r="G3591" s="126" t="s">
        <v>10304</v>
      </c>
      <c r="H3591" s="255">
        <v>5</v>
      </c>
      <c r="I3591" s="361">
        <v>1</v>
      </c>
      <c r="J3591" s="371" t="s">
        <v>286</v>
      </c>
      <c r="K3591" s="377"/>
      <c r="L3591" s="129"/>
      <c r="M3591" s="378"/>
      <c r="N3591" s="129"/>
      <c r="O3591" s="129"/>
      <c r="P3591" s="379"/>
      <c r="Q3591" s="129"/>
      <c r="R3591" s="380"/>
      <c r="S3591" s="129"/>
      <c r="T3591" s="129"/>
      <c r="W3591" s="129" t="s">
        <v>286</v>
      </c>
      <c r="X3591" s="337" t="b">
        <f t="shared" si="90"/>
        <v>1</v>
      </c>
    </row>
    <row r="3592" spans="1:24" ht="12" customHeight="1" outlineLevel="1">
      <c r="A3592" s="370"/>
      <c r="B3592" s="118" t="s">
        <v>12</v>
      </c>
      <c r="C3592" s="334" t="s">
        <v>11313</v>
      </c>
      <c r="D3592" s="124" t="s">
        <v>11021</v>
      </c>
      <c r="E3592" s="125"/>
      <c r="F3592" s="118" t="s">
        <v>828</v>
      </c>
      <c r="G3592" s="126" t="s">
        <v>10304</v>
      </c>
      <c r="H3592" s="255">
        <v>5</v>
      </c>
      <c r="I3592" s="361">
        <v>1</v>
      </c>
      <c r="J3592" s="371" t="s">
        <v>310</v>
      </c>
      <c r="K3592" s="377"/>
      <c r="L3592" s="129"/>
      <c r="M3592" s="378"/>
      <c r="N3592" s="129"/>
      <c r="O3592" s="129"/>
      <c r="P3592" s="379"/>
      <c r="Q3592" s="129"/>
      <c r="R3592" s="380"/>
      <c r="S3592" s="129"/>
      <c r="T3592" s="129"/>
      <c r="W3592" s="129" t="s">
        <v>4876</v>
      </c>
      <c r="X3592" s="337" t="b">
        <f t="shared" si="90"/>
        <v>0</v>
      </c>
    </row>
    <row r="3593" spans="1:24" ht="12" customHeight="1" outlineLevel="1">
      <c r="A3593" s="370"/>
      <c r="B3593" s="118" t="s">
        <v>12</v>
      </c>
      <c r="C3593" s="334" t="s">
        <v>11314</v>
      </c>
      <c r="D3593" s="124" t="s">
        <v>10768</v>
      </c>
      <c r="E3593" s="125"/>
      <c r="F3593" s="118" t="s">
        <v>828</v>
      </c>
      <c r="G3593" s="126" t="s">
        <v>10304</v>
      </c>
      <c r="H3593" s="255">
        <v>5</v>
      </c>
      <c r="I3593" s="361">
        <v>1</v>
      </c>
      <c r="J3593" s="371" t="s">
        <v>286</v>
      </c>
      <c r="K3593" s="377"/>
      <c r="L3593" s="129"/>
      <c r="M3593" s="378"/>
      <c r="N3593" s="129"/>
      <c r="O3593" s="129"/>
      <c r="P3593" s="379"/>
      <c r="Q3593" s="129"/>
      <c r="R3593" s="380"/>
      <c r="S3593" s="129"/>
      <c r="T3593" s="129"/>
      <c r="W3593" s="129" t="s">
        <v>4876</v>
      </c>
      <c r="X3593" s="337" t="b">
        <f t="shared" si="90"/>
        <v>0</v>
      </c>
    </row>
    <row r="3594" spans="1:24" ht="12" customHeight="1" outlineLevel="1">
      <c r="A3594" s="370"/>
      <c r="B3594" s="118" t="s">
        <v>12</v>
      </c>
      <c r="C3594" s="334" t="s">
        <v>11315</v>
      </c>
      <c r="D3594" s="124" t="s">
        <v>10770</v>
      </c>
      <c r="E3594" s="125"/>
      <c r="F3594" s="118" t="s">
        <v>828</v>
      </c>
      <c r="G3594" s="126" t="s">
        <v>10304</v>
      </c>
      <c r="H3594" s="255">
        <v>5</v>
      </c>
      <c r="I3594" s="361">
        <v>1</v>
      </c>
      <c r="J3594" s="371" t="s">
        <v>286</v>
      </c>
      <c r="K3594" s="377"/>
      <c r="L3594" s="129"/>
      <c r="M3594" s="378"/>
      <c r="N3594" s="129"/>
      <c r="O3594" s="129"/>
      <c r="P3594" s="379"/>
      <c r="Q3594" s="129"/>
      <c r="R3594" s="380"/>
      <c r="S3594" s="129"/>
      <c r="T3594" s="129"/>
      <c r="W3594" s="129" t="s">
        <v>4876</v>
      </c>
      <c r="X3594" s="337" t="b">
        <f t="shared" si="90"/>
        <v>0</v>
      </c>
    </row>
    <row r="3595" spans="1:24" ht="12" customHeight="1" outlineLevel="1">
      <c r="A3595" s="370"/>
      <c r="B3595" s="118" t="s">
        <v>12</v>
      </c>
      <c r="C3595" s="334" t="s">
        <v>11316</v>
      </c>
      <c r="D3595" s="124" t="s">
        <v>10772</v>
      </c>
      <c r="E3595" s="125"/>
      <c r="F3595" s="118" t="s">
        <v>828</v>
      </c>
      <c r="G3595" s="126" t="s">
        <v>10304</v>
      </c>
      <c r="H3595" s="255">
        <v>5</v>
      </c>
      <c r="I3595" s="361">
        <v>1</v>
      </c>
      <c r="J3595" s="371" t="s">
        <v>286</v>
      </c>
      <c r="K3595" s="377"/>
      <c r="L3595" s="129"/>
      <c r="M3595" s="378"/>
      <c r="N3595" s="129"/>
      <c r="O3595" s="129"/>
      <c r="P3595" s="379"/>
      <c r="Q3595" s="129"/>
      <c r="R3595" s="380"/>
      <c r="S3595" s="129"/>
      <c r="T3595" s="129"/>
      <c r="W3595" s="129" t="s">
        <v>4876</v>
      </c>
      <c r="X3595" s="337" t="b">
        <f t="shared" si="90"/>
        <v>0</v>
      </c>
    </row>
    <row r="3596" spans="1:24" ht="12" customHeight="1" outlineLevel="1">
      <c r="A3596" s="370"/>
      <c r="B3596" s="118" t="s">
        <v>12</v>
      </c>
      <c r="C3596" s="334" t="s">
        <v>11317</v>
      </c>
      <c r="D3596" s="124" t="s">
        <v>10774</v>
      </c>
      <c r="E3596" s="125"/>
      <c r="F3596" s="118" t="s">
        <v>828</v>
      </c>
      <c r="G3596" s="126" t="s">
        <v>10304</v>
      </c>
      <c r="H3596" s="255">
        <v>5</v>
      </c>
      <c r="I3596" s="361">
        <v>1</v>
      </c>
      <c r="J3596" s="371" t="s">
        <v>286</v>
      </c>
      <c r="K3596" s="377"/>
      <c r="L3596" s="129"/>
      <c r="M3596" s="378"/>
      <c r="N3596" s="129"/>
      <c r="O3596" s="129"/>
      <c r="P3596" s="379"/>
      <c r="Q3596" s="129"/>
      <c r="R3596" s="380"/>
      <c r="S3596" s="129"/>
      <c r="T3596" s="129"/>
      <c r="W3596" s="129" t="s">
        <v>4876</v>
      </c>
      <c r="X3596" s="337" t="b">
        <f t="shared" si="90"/>
        <v>0</v>
      </c>
    </row>
    <row r="3597" spans="1:24" ht="12" customHeight="1" outlineLevel="1">
      <c r="A3597" s="370"/>
      <c r="B3597" s="118" t="s">
        <v>12</v>
      </c>
      <c r="C3597" s="334" t="s">
        <v>11318</v>
      </c>
      <c r="D3597" s="124" t="s">
        <v>10778</v>
      </c>
      <c r="E3597" s="125"/>
      <c r="F3597" s="118" t="s">
        <v>828</v>
      </c>
      <c r="G3597" s="126" t="s">
        <v>10304</v>
      </c>
      <c r="H3597" s="255">
        <v>5</v>
      </c>
      <c r="I3597" s="361">
        <v>1</v>
      </c>
      <c r="J3597" s="371" t="s">
        <v>286</v>
      </c>
      <c r="K3597" s="377"/>
      <c r="L3597" s="129"/>
      <c r="M3597" s="378"/>
      <c r="N3597" s="129"/>
      <c r="O3597" s="129"/>
      <c r="P3597" s="379"/>
      <c r="Q3597" s="129"/>
      <c r="R3597" s="380"/>
      <c r="S3597" s="129"/>
      <c r="T3597" s="129"/>
      <c r="W3597" s="129" t="s">
        <v>286</v>
      </c>
      <c r="X3597" s="337" t="b">
        <f t="shared" si="90"/>
        <v>1</v>
      </c>
    </row>
    <row r="3598" spans="1:24" ht="12" customHeight="1" outlineLevel="1">
      <c r="A3598" s="370"/>
      <c r="B3598" s="118" t="s">
        <v>12</v>
      </c>
      <c r="C3598" s="334" t="s">
        <v>11319</v>
      </c>
      <c r="D3598" s="124" t="s">
        <v>11028</v>
      </c>
      <c r="E3598" s="125"/>
      <c r="F3598" s="118" t="s">
        <v>828</v>
      </c>
      <c r="G3598" s="126" t="s">
        <v>10304</v>
      </c>
      <c r="H3598" s="255">
        <v>5</v>
      </c>
      <c r="I3598" s="361">
        <v>1</v>
      </c>
      <c r="J3598" s="371" t="s">
        <v>286</v>
      </c>
      <c r="K3598" s="377"/>
      <c r="L3598" s="129"/>
      <c r="M3598" s="378"/>
      <c r="N3598" s="129"/>
      <c r="O3598" s="129"/>
      <c r="P3598" s="379"/>
      <c r="Q3598" s="129"/>
      <c r="R3598" s="380"/>
      <c r="S3598" s="129"/>
      <c r="T3598" s="129"/>
      <c r="W3598" s="129" t="s">
        <v>286</v>
      </c>
      <c r="X3598" s="337" t="b">
        <f t="shared" si="90"/>
        <v>1</v>
      </c>
    </row>
    <row r="3599" spans="1:24" ht="12" customHeight="1" outlineLevel="1">
      <c r="A3599" s="370"/>
      <c r="B3599" s="118" t="s">
        <v>12</v>
      </c>
      <c r="C3599" s="334" t="s">
        <v>11320</v>
      </c>
      <c r="D3599" s="124" t="s">
        <v>10786</v>
      </c>
      <c r="E3599" s="125"/>
      <c r="F3599" s="118" t="s">
        <v>828</v>
      </c>
      <c r="G3599" s="126" t="s">
        <v>10304</v>
      </c>
      <c r="H3599" s="255">
        <v>5</v>
      </c>
      <c r="I3599" s="361">
        <v>1</v>
      </c>
      <c r="J3599" s="371" t="s">
        <v>286</v>
      </c>
      <c r="K3599" s="377"/>
      <c r="L3599" s="129"/>
      <c r="M3599" s="378"/>
      <c r="N3599" s="129"/>
      <c r="O3599" s="129"/>
      <c r="P3599" s="379"/>
      <c r="Q3599" s="129"/>
      <c r="R3599" s="380"/>
      <c r="S3599" s="129"/>
      <c r="T3599" s="129"/>
      <c r="W3599" s="129" t="s">
        <v>4876</v>
      </c>
      <c r="X3599" s="337" t="b">
        <f t="shared" si="90"/>
        <v>0</v>
      </c>
    </row>
    <row r="3600" spans="1:24" ht="12" customHeight="1" outlineLevel="1">
      <c r="A3600" s="370"/>
      <c r="B3600" s="118" t="s">
        <v>12</v>
      </c>
      <c r="C3600" s="334" t="s">
        <v>11321</v>
      </c>
      <c r="D3600" s="124" t="s">
        <v>10788</v>
      </c>
      <c r="E3600" s="125"/>
      <c r="F3600" s="118" t="s">
        <v>828</v>
      </c>
      <c r="G3600" s="126" t="s">
        <v>10304</v>
      </c>
      <c r="H3600" s="255">
        <v>5</v>
      </c>
      <c r="I3600" s="361">
        <v>1</v>
      </c>
      <c r="J3600" s="371" t="s">
        <v>286</v>
      </c>
      <c r="K3600" s="377"/>
      <c r="L3600" s="129"/>
      <c r="M3600" s="378"/>
      <c r="N3600" s="129"/>
      <c r="O3600" s="129"/>
      <c r="P3600" s="379"/>
      <c r="Q3600" s="129"/>
      <c r="R3600" s="380"/>
      <c r="S3600" s="129"/>
      <c r="T3600" s="129"/>
      <c r="W3600" s="129" t="s">
        <v>4876</v>
      </c>
      <c r="X3600" s="337" t="b">
        <f t="shared" si="90"/>
        <v>0</v>
      </c>
    </row>
    <row r="3601" spans="1:24" ht="12" customHeight="1" outlineLevel="1">
      <c r="A3601" s="370"/>
      <c r="B3601" s="118" t="s">
        <v>12</v>
      </c>
      <c r="C3601" s="334" t="s">
        <v>11322</v>
      </c>
      <c r="D3601" s="124" t="s">
        <v>10790</v>
      </c>
      <c r="E3601" s="125"/>
      <c r="F3601" s="118" t="s">
        <v>828</v>
      </c>
      <c r="G3601" s="126" t="s">
        <v>10304</v>
      </c>
      <c r="H3601" s="255">
        <v>5</v>
      </c>
      <c r="I3601" s="361">
        <v>1</v>
      </c>
      <c r="J3601" s="371" t="s">
        <v>286</v>
      </c>
      <c r="K3601" s="377"/>
      <c r="L3601" s="129"/>
      <c r="M3601" s="378"/>
      <c r="N3601" s="129"/>
      <c r="O3601" s="129"/>
      <c r="P3601" s="379"/>
      <c r="Q3601" s="129"/>
      <c r="R3601" s="380"/>
      <c r="S3601" s="129"/>
      <c r="T3601" s="129"/>
      <c r="W3601" s="129" t="s">
        <v>4876</v>
      </c>
      <c r="X3601" s="337" t="b">
        <f t="shared" si="90"/>
        <v>0</v>
      </c>
    </row>
    <row r="3602" spans="1:24" ht="12" customHeight="1" outlineLevel="1">
      <c r="A3602" s="370"/>
      <c r="B3602" s="118" t="s">
        <v>12</v>
      </c>
      <c r="C3602" s="334" t="s">
        <v>11323</v>
      </c>
      <c r="D3602" s="124" t="s">
        <v>10792</v>
      </c>
      <c r="E3602" s="125"/>
      <c r="F3602" s="118" t="s">
        <v>828</v>
      </c>
      <c r="G3602" s="126" t="s">
        <v>10304</v>
      </c>
      <c r="H3602" s="255">
        <v>5</v>
      </c>
      <c r="I3602" s="361">
        <v>1</v>
      </c>
      <c r="J3602" s="371" t="s">
        <v>286</v>
      </c>
      <c r="K3602" s="377"/>
      <c r="L3602" s="129"/>
      <c r="M3602" s="378"/>
      <c r="N3602" s="129"/>
      <c r="O3602" s="129"/>
      <c r="P3602" s="379"/>
      <c r="Q3602" s="129"/>
      <c r="R3602" s="380"/>
      <c r="S3602" s="129"/>
      <c r="T3602" s="129"/>
      <c r="W3602" s="129" t="s">
        <v>4876</v>
      </c>
      <c r="X3602" s="337" t="b">
        <f t="shared" si="90"/>
        <v>0</v>
      </c>
    </row>
    <row r="3603" spans="1:24" ht="12" customHeight="1" outlineLevel="1">
      <c r="A3603" s="370"/>
      <c r="B3603" s="118" t="s">
        <v>12</v>
      </c>
      <c r="C3603" s="334" t="s">
        <v>11324</v>
      </c>
      <c r="D3603" s="124" t="s">
        <v>10794</v>
      </c>
      <c r="E3603" s="125"/>
      <c r="F3603" s="118" t="s">
        <v>828</v>
      </c>
      <c r="G3603" s="126" t="s">
        <v>10304</v>
      </c>
      <c r="H3603" s="255">
        <v>5</v>
      </c>
      <c r="I3603" s="361">
        <v>1</v>
      </c>
      <c r="J3603" s="371" t="s">
        <v>286</v>
      </c>
      <c r="K3603" s="377"/>
      <c r="L3603" s="129"/>
      <c r="M3603" s="378"/>
      <c r="N3603" s="129"/>
      <c r="O3603" s="129"/>
      <c r="P3603" s="379"/>
      <c r="Q3603" s="129"/>
      <c r="R3603" s="380"/>
      <c r="S3603" s="129"/>
      <c r="T3603" s="129"/>
      <c r="W3603" s="129" t="s">
        <v>4876</v>
      </c>
      <c r="X3603" s="337" t="b">
        <f t="shared" ref="X3603:X3666" si="91">W3603=J3603</f>
        <v>0</v>
      </c>
    </row>
    <row r="3604" spans="1:24" ht="12" customHeight="1" outlineLevel="1">
      <c r="A3604" s="370"/>
      <c r="B3604" s="118" t="s">
        <v>12</v>
      </c>
      <c r="C3604" s="334" t="s">
        <v>11325</v>
      </c>
      <c r="D3604" s="124" t="s">
        <v>10796</v>
      </c>
      <c r="E3604" s="125"/>
      <c r="F3604" s="118" t="s">
        <v>828</v>
      </c>
      <c r="G3604" s="126" t="s">
        <v>10304</v>
      </c>
      <c r="H3604" s="255">
        <v>5</v>
      </c>
      <c r="I3604" s="361">
        <v>1</v>
      </c>
      <c r="J3604" s="371" t="s">
        <v>286</v>
      </c>
      <c r="K3604" s="377"/>
      <c r="L3604" s="129"/>
      <c r="M3604" s="378"/>
      <c r="N3604" s="129"/>
      <c r="O3604" s="129"/>
      <c r="P3604" s="379"/>
      <c r="Q3604" s="129"/>
      <c r="R3604" s="380"/>
      <c r="S3604" s="129"/>
      <c r="T3604" s="129"/>
      <c r="W3604" s="129" t="s">
        <v>4876</v>
      </c>
      <c r="X3604" s="337" t="b">
        <f t="shared" si="91"/>
        <v>0</v>
      </c>
    </row>
    <row r="3605" spans="1:24" ht="12" customHeight="1" outlineLevel="1">
      <c r="A3605" s="370"/>
      <c r="B3605" s="118" t="s">
        <v>12</v>
      </c>
      <c r="C3605" s="334" t="s">
        <v>11325</v>
      </c>
      <c r="D3605" s="124" t="s">
        <v>10797</v>
      </c>
      <c r="E3605" s="125"/>
      <c r="F3605" s="118" t="s">
        <v>828</v>
      </c>
      <c r="G3605" s="126" t="s">
        <v>10304</v>
      </c>
      <c r="H3605" s="255">
        <v>5</v>
      </c>
      <c r="I3605" s="361">
        <v>1</v>
      </c>
      <c r="J3605" s="371" t="s">
        <v>286</v>
      </c>
      <c r="K3605" s="377"/>
      <c r="L3605" s="129"/>
      <c r="M3605" s="378"/>
      <c r="N3605" s="129"/>
      <c r="O3605" s="129"/>
      <c r="P3605" s="379"/>
      <c r="Q3605" s="129"/>
      <c r="R3605" s="380"/>
      <c r="S3605" s="129"/>
      <c r="T3605" s="129"/>
      <c r="W3605" s="129" t="s">
        <v>4876</v>
      </c>
      <c r="X3605" s="337" t="b">
        <f t="shared" si="91"/>
        <v>0</v>
      </c>
    </row>
    <row r="3606" spans="1:24" ht="12" customHeight="1" outlineLevel="1">
      <c r="A3606" s="370"/>
      <c r="B3606" s="118" t="s">
        <v>12</v>
      </c>
      <c r="C3606" s="334" t="s">
        <v>11326</v>
      </c>
      <c r="D3606" s="124" t="s">
        <v>10799</v>
      </c>
      <c r="E3606" s="125"/>
      <c r="F3606" s="118" t="s">
        <v>828</v>
      </c>
      <c r="G3606" s="126" t="s">
        <v>10304</v>
      </c>
      <c r="H3606" s="255">
        <v>5</v>
      </c>
      <c r="I3606" s="361">
        <v>1</v>
      </c>
      <c r="J3606" s="371" t="s">
        <v>286</v>
      </c>
      <c r="K3606" s="377"/>
      <c r="L3606" s="129"/>
      <c r="M3606" s="378"/>
      <c r="N3606" s="129"/>
      <c r="O3606" s="129"/>
      <c r="P3606" s="379"/>
      <c r="Q3606" s="129"/>
      <c r="R3606" s="380"/>
      <c r="S3606" s="129"/>
      <c r="T3606" s="129"/>
      <c r="W3606" s="129" t="s">
        <v>4876</v>
      </c>
      <c r="X3606" s="337" t="b">
        <f t="shared" si="91"/>
        <v>0</v>
      </c>
    </row>
    <row r="3607" spans="1:24" ht="12" customHeight="1" outlineLevel="1">
      <c r="A3607" s="370"/>
      <c r="B3607" s="118" t="s">
        <v>12</v>
      </c>
      <c r="C3607" s="334" t="s">
        <v>11327</v>
      </c>
      <c r="D3607" s="124" t="s">
        <v>10801</v>
      </c>
      <c r="E3607" s="125"/>
      <c r="F3607" s="118" t="s">
        <v>828</v>
      </c>
      <c r="G3607" s="126" t="s">
        <v>10304</v>
      </c>
      <c r="H3607" s="255">
        <v>5</v>
      </c>
      <c r="I3607" s="361">
        <v>1</v>
      </c>
      <c r="J3607" s="371" t="s">
        <v>286</v>
      </c>
      <c r="K3607" s="377"/>
      <c r="L3607" s="129"/>
      <c r="M3607" s="378"/>
      <c r="N3607" s="129"/>
      <c r="O3607" s="129"/>
      <c r="P3607" s="379"/>
      <c r="Q3607" s="129"/>
      <c r="R3607" s="380"/>
      <c r="S3607" s="129"/>
      <c r="T3607" s="129"/>
      <c r="W3607" s="129" t="s">
        <v>4876</v>
      </c>
      <c r="X3607" s="337" t="b">
        <f t="shared" si="91"/>
        <v>0</v>
      </c>
    </row>
    <row r="3608" spans="1:24" ht="12" customHeight="1" outlineLevel="1">
      <c r="A3608" s="370"/>
      <c r="B3608" s="118" t="s">
        <v>12</v>
      </c>
      <c r="C3608" s="334" t="s">
        <v>11328</v>
      </c>
      <c r="D3608" s="124" t="s">
        <v>10803</v>
      </c>
      <c r="E3608" s="125"/>
      <c r="F3608" s="118" t="s">
        <v>828</v>
      </c>
      <c r="G3608" s="126" t="s">
        <v>10304</v>
      </c>
      <c r="H3608" s="255">
        <v>5</v>
      </c>
      <c r="I3608" s="361">
        <v>1</v>
      </c>
      <c r="J3608" s="371" t="s">
        <v>286</v>
      </c>
      <c r="K3608" s="377"/>
      <c r="L3608" s="129"/>
      <c r="M3608" s="378"/>
      <c r="N3608" s="129"/>
      <c r="O3608" s="129"/>
      <c r="P3608" s="379"/>
      <c r="Q3608" s="129"/>
      <c r="R3608" s="380"/>
      <c r="S3608" s="129"/>
      <c r="T3608" s="129"/>
      <c r="W3608" s="129" t="s">
        <v>4876</v>
      </c>
      <c r="X3608" s="337" t="b">
        <f t="shared" si="91"/>
        <v>0</v>
      </c>
    </row>
    <row r="3609" spans="1:24" ht="12" customHeight="1" outlineLevel="1">
      <c r="A3609" s="370"/>
      <c r="B3609" s="118" t="s">
        <v>12</v>
      </c>
      <c r="C3609" s="334" t="s">
        <v>11329</v>
      </c>
      <c r="D3609" s="124" t="s">
        <v>10805</v>
      </c>
      <c r="E3609" s="125"/>
      <c r="F3609" s="118" t="s">
        <v>828</v>
      </c>
      <c r="G3609" s="126" t="s">
        <v>10304</v>
      </c>
      <c r="H3609" s="255">
        <v>5</v>
      </c>
      <c r="I3609" s="361">
        <v>1</v>
      </c>
      <c r="J3609" s="371" t="s">
        <v>286</v>
      </c>
      <c r="K3609" s="377"/>
      <c r="L3609" s="129"/>
      <c r="M3609" s="378"/>
      <c r="N3609" s="129"/>
      <c r="O3609" s="129"/>
      <c r="P3609" s="379"/>
      <c r="Q3609" s="129"/>
      <c r="R3609" s="380"/>
      <c r="S3609" s="129"/>
      <c r="T3609" s="129"/>
      <c r="W3609" s="129" t="s">
        <v>4876</v>
      </c>
      <c r="X3609" s="337" t="b">
        <f t="shared" si="91"/>
        <v>0</v>
      </c>
    </row>
    <row r="3610" spans="1:24" ht="12" customHeight="1" outlineLevel="1">
      <c r="A3610" s="370"/>
      <c r="B3610" s="118" t="s">
        <v>12</v>
      </c>
      <c r="C3610" s="334" t="s">
        <v>11330</v>
      </c>
      <c r="D3610" s="124" t="s">
        <v>10807</v>
      </c>
      <c r="E3610" s="125"/>
      <c r="F3610" s="118" t="s">
        <v>828</v>
      </c>
      <c r="G3610" s="126" t="s">
        <v>10304</v>
      </c>
      <c r="H3610" s="255">
        <v>5</v>
      </c>
      <c r="I3610" s="361">
        <v>1</v>
      </c>
      <c r="J3610" s="371" t="s">
        <v>286</v>
      </c>
      <c r="K3610" s="377"/>
      <c r="L3610" s="129"/>
      <c r="M3610" s="378"/>
      <c r="N3610" s="129"/>
      <c r="O3610" s="129"/>
      <c r="P3610" s="379"/>
      <c r="Q3610" s="129"/>
      <c r="R3610" s="380"/>
      <c r="S3610" s="129"/>
      <c r="T3610" s="129"/>
      <c r="W3610" s="129" t="s">
        <v>4876</v>
      </c>
      <c r="X3610" s="337" t="b">
        <f t="shared" si="91"/>
        <v>0</v>
      </c>
    </row>
    <row r="3611" spans="1:24" ht="12" customHeight="1" outlineLevel="1">
      <c r="A3611" s="370"/>
      <c r="B3611" s="118" t="s">
        <v>12</v>
      </c>
      <c r="C3611" s="334" t="s">
        <v>11331</v>
      </c>
      <c r="D3611" s="124" t="s">
        <v>10809</v>
      </c>
      <c r="E3611" s="125"/>
      <c r="F3611" s="118" t="s">
        <v>828</v>
      </c>
      <c r="G3611" s="126" t="s">
        <v>10304</v>
      </c>
      <c r="H3611" s="255">
        <v>5</v>
      </c>
      <c r="I3611" s="361">
        <v>1</v>
      </c>
      <c r="J3611" s="371" t="s">
        <v>286</v>
      </c>
      <c r="K3611" s="377"/>
      <c r="L3611" s="129"/>
      <c r="M3611" s="378"/>
      <c r="N3611" s="129"/>
      <c r="O3611" s="129"/>
      <c r="P3611" s="379"/>
      <c r="Q3611" s="129"/>
      <c r="R3611" s="380"/>
      <c r="S3611" s="129"/>
      <c r="T3611" s="129"/>
      <c r="W3611" s="129" t="s">
        <v>4876</v>
      </c>
      <c r="X3611" s="337" t="b">
        <f t="shared" si="91"/>
        <v>0</v>
      </c>
    </row>
    <row r="3612" spans="1:24" ht="12" customHeight="1" outlineLevel="1">
      <c r="A3612" s="370"/>
      <c r="B3612" s="118" t="s">
        <v>12</v>
      </c>
      <c r="C3612" s="334" t="s">
        <v>11332</v>
      </c>
      <c r="D3612" s="124" t="s">
        <v>11042</v>
      </c>
      <c r="E3612" s="125"/>
      <c r="F3612" s="118" t="s">
        <v>828</v>
      </c>
      <c r="G3612" s="126" t="s">
        <v>10304</v>
      </c>
      <c r="H3612" s="255">
        <v>5</v>
      </c>
      <c r="I3612" s="361">
        <v>1</v>
      </c>
      <c r="J3612" s="371" t="s">
        <v>310</v>
      </c>
      <c r="K3612" s="377"/>
      <c r="L3612" s="129"/>
      <c r="M3612" s="378"/>
      <c r="N3612" s="129"/>
      <c r="O3612" s="129"/>
      <c r="P3612" s="379"/>
      <c r="Q3612" s="129"/>
      <c r="R3612" s="380"/>
      <c r="S3612" s="129"/>
      <c r="T3612" s="129"/>
      <c r="W3612" s="129" t="s">
        <v>286</v>
      </c>
      <c r="X3612" s="337" t="b">
        <f t="shared" si="91"/>
        <v>0</v>
      </c>
    </row>
    <row r="3613" spans="1:24" ht="12" customHeight="1" outlineLevel="1">
      <c r="A3613" s="370"/>
      <c r="B3613" s="118" t="s">
        <v>12</v>
      </c>
      <c r="C3613" s="334" t="s">
        <v>11333</v>
      </c>
      <c r="D3613" s="124" t="s">
        <v>11334</v>
      </c>
      <c r="E3613" s="125"/>
      <c r="F3613" s="118" t="s">
        <v>828</v>
      </c>
      <c r="G3613" s="126" t="s">
        <v>10304</v>
      </c>
      <c r="H3613" s="255">
        <v>5</v>
      </c>
      <c r="I3613" s="361">
        <v>1</v>
      </c>
      <c r="J3613" s="371" t="s">
        <v>286</v>
      </c>
      <c r="K3613" s="377"/>
      <c r="L3613" s="129"/>
      <c r="M3613" s="378"/>
      <c r="N3613" s="129"/>
      <c r="O3613" s="129"/>
      <c r="P3613" s="379"/>
      <c r="Q3613" s="129"/>
      <c r="R3613" s="380"/>
      <c r="S3613" s="129"/>
      <c r="T3613" s="129"/>
      <c r="W3613" s="129" t="s">
        <v>286</v>
      </c>
      <c r="X3613" s="337" t="b">
        <f t="shared" si="91"/>
        <v>1</v>
      </c>
    </row>
    <row r="3614" spans="1:24" ht="12" customHeight="1" outlineLevel="1">
      <c r="A3614" s="370"/>
      <c r="B3614" s="118" t="s">
        <v>12</v>
      </c>
      <c r="C3614" s="334" t="s">
        <v>11335</v>
      </c>
      <c r="D3614" s="124" t="s">
        <v>10813</v>
      </c>
      <c r="E3614" s="125"/>
      <c r="F3614" s="118" t="s">
        <v>828</v>
      </c>
      <c r="G3614" s="126" t="s">
        <v>10304</v>
      </c>
      <c r="H3614" s="255">
        <v>5</v>
      </c>
      <c r="I3614" s="361">
        <v>1</v>
      </c>
      <c r="J3614" s="371" t="s">
        <v>286</v>
      </c>
      <c r="K3614" s="377"/>
      <c r="L3614" s="129"/>
      <c r="M3614" s="378"/>
      <c r="N3614" s="129"/>
      <c r="O3614" s="129"/>
      <c r="P3614" s="379"/>
      <c r="Q3614" s="129"/>
      <c r="R3614" s="380"/>
      <c r="S3614" s="129"/>
      <c r="T3614" s="129"/>
      <c r="W3614" s="129" t="s">
        <v>286</v>
      </c>
      <c r="X3614" s="337" t="b">
        <f t="shared" si="91"/>
        <v>1</v>
      </c>
    </row>
    <row r="3615" spans="1:24" ht="12" customHeight="1" outlineLevel="1">
      <c r="A3615" s="370"/>
      <c r="B3615" s="118" t="s">
        <v>12</v>
      </c>
      <c r="C3615" s="334" t="s">
        <v>11336</v>
      </c>
      <c r="D3615" s="124" t="s">
        <v>10815</v>
      </c>
      <c r="E3615" s="125"/>
      <c r="F3615" s="118" t="s">
        <v>828</v>
      </c>
      <c r="G3615" s="126" t="s">
        <v>10304</v>
      </c>
      <c r="H3615" s="255">
        <v>5</v>
      </c>
      <c r="I3615" s="361">
        <v>1</v>
      </c>
      <c r="J3615" s="371" t="s">
        <v>286</v>
      </c>
      <c r="K3615" s="377"/>
      <c r="L3615" s="129"/>
      <c r="M3615" s="378"/>
      <c r="N3615" s="129"/>
      <c r="O3615" s="129"/>
      <c r="P3615" s="379"/>
      <c r="Q3615" s="129"/>
      <c r="R3615" s="380"/>
      <c r="S3615" s="129"/>
      <c r="T3615" s="129"/>
      <c r="W3615" s="129" t="s">
        <v>286</v>
      </c>
      <c r="X3615" s="337" t="b">
        <f t="shared" si="91"/>
        <v>1</v>
      </c>
    </row>
    <row r="3616" spans="1:24" ht="12" customHeight="1" outlineLevel="1">
      <c r="A3616" s="370"/>
      <c r="B3616" s="118" t="s">
        <v>12</v>
      </c>
      <c r="C3616" s="334" t="s">
        <v>11337</v>
      </c>
      <c r="D3616" s="124" t="s">
        <v>11338</v>
      </c>
      <c r="E3616" s="125"/>
      <c r="F3616" s="118" t="s">
        <v>828</v>
      </c>
      <c r="G3616" s="126" t="s">
        <v>10304</v>
      </c>
      <c r="H3616" s="255">
        <v>5</v>
      </c>
      <c r="I3616" s="361">
        <v>1</v>
      </c>
      <c r="J3616" s="371" t="s">
        <v>310</v>
      </c>
      <c r="K3616" s="377"/>
      <c r="L3616" s="129"/>
      <c r="M3616" s="378"/>
      <c r="N3616" s="129"/>
      <c r="O3616" s="129"/>
      <c r="P3616" s="379"/>
      <c r="Q3616" s="129"/>
      <c r="R3616" s="380"/>
      <c r="S3616" s="129"/>
      <c r="T3616" s="129"/>
      <c r="W3616" s="129" t="s">
        <v>286</v>
      </c>
      <c r="X3616" s="337" t="b">
        <f t="shared" si="91"/>
        <v>0</v>
      </c>
    </row>
    <row r="3617" spans="1:24" ht="12" customHeight="1" outlineLevel="1">
      <c r="A3617" s="370"/>
      <c r="B3617" s="118" t="s">
        <v>12</v>
      </c>
      <c r="C3617" s="334" t="s">
        <v>11339</v>
      </c>
      <c r="D3617" s="124" t="s">
        <v>11340</v>
      </c>
      <c r="E3617" s="125"/>
      <c r="F3617" s="118" t="s">
        <v>828</v>
      </c>
      <c r="G3617" s="126" t="s">
        <v>10304</v>
      </c>
      <c r="H3617" s="255">
        <v>5</v>
      </c>
      <c r="I3617" s="361">
        <v>1</v>
      </c>
      <c r="J3617" s="371" t="s">
        <v>325</v>
      </c>
      <c r="K3617" s="377"/>
      <c r="L3617" s="129"/>
      <c r="M3617" s="378"/>
      <c r="N3617" s="129"/>
      <c r="O3617" s="129"/>
      <c r="P3617" s="379"/>
      <c r="Q3617" s="129"/>
      <c r="R3617" s="380"/>
      <c r="S3617" s="129"/>
      <c r="T3617" s="129"/>
      <c r="W3617" s="129" t="s">
        <v>286</v>
      </c>
      <c r="X3617" s="337" t="b">
        <f t="shared" si="91"/>
        <v>0</v>
      </c>
    </row>
    <row r="3618" spans="1:24" ht="12" customHeight="1" outlineLevel="1">
      <c r="A3618" s="370"/>
      <c r="B3618" s="118" t="s">
        <v>12</v>
      </c>
      <c r="C3618" s="334" t="s">
        <v>11341</v>
      </c>
      <c r="D3618" s="124" t="s">
        <v>11342</v>
      </c>
      <c r="E3618" s="125"/>
      <c r="F3618" s="118" t="s">
        <v>828</v>
      </c>
      <c r="G3618" s="126" t="s">
        <v>10304</v>
      </c>
      <c r="H3618" s="255">
        <v>5</v>
      </c>
      <c r="I3618" s="361">
        <v>1</v>
      </c>
      <c r="J3618" s="371" t="s">
        <v>286</v>
      </c>
      <c r="K3618" s="377"/>
      <c r="L3618" s="129"/>
      <c r="M3618" s="378"/>
      <c r="N3618" s="129"/>
      <c r="O3618" s="129"/>
      <c r="P3618" s="379"/>
      <c r="Q3618" s="129"/>
      <c r="R3618" s="380"/>
      <c r="S3618" s="129"/>
      <c r="T3618" s="129"/>
      <c r="W3618" s="129" t="s">
        <v>286</v>
      </c>
      <c r="X3618" s="337" t="b">
        <f t="shared" si="91"/>
        <v>1</v>
      </c>
    </row>
    <row r="3619" spans="1:24" ht="12" customHeight="1" outlineLevel="1">
      <c r="A3619" s="370"/>
      <c r="B3619" s="118" t="s">
        <v>12</v>
      </c>
      <c r="C3619" s="334" t="s">
        <v>11343</v>
      </c>
      <c r="D3619" s="124" t="s">
        <v>7360</v>
      </c>
      <c r="E3619" s="125"/>
      <c r="F3619" s="118" t="s">
        <v>828</v>
      </c>
      <c r="G3619" s="126" t="s">
        <v>10304</v>
      </c>
      <c r="H3619" s="255">
        <v>5</v>
      </c>
      <c r="I3619" s="361">
        <v>1</v>
      </c>
      <c r="J3619" s="371" t="s">
        <v>310</v>
      </c>
      <c r="K3619" s="377"/>
      <c r="L3619" s="129"/>
      <c r="M3619" s="378"/>
      <c r="N3619" s="129"/>
      <c r="O3619" s="129"/>
      <c r="P3619" s="379"/>
      <c r="Q3619" s="129"/>
      <c r="R3619" s="380"/>
      <c r="S3619" s="129"/>
      <c r="T3619" s="129"/>
      <c r="W3619" s="129" t="s">
        <v>4876</v>
      </c>
      <c r="X3619" s="337" t="b">
        <f t="shared" si="91"/>
        <v>0</v>
      </c>
    </row>
    <row r="3620" spans="1:24" ht="12" customHeight="1" outlineLevel="1">
      <c r="A3620" s="370"/>
      <c r="B3620" s="118" t="s">
        <v>12</v>
      </c>
      <c r="C3620" s="334" t="s">
        <v>11344</v>
      </c>
      <c r="D3620" s="124" t="s">
        <v>11345</v>
      </c>
      <c r="E3620" s="125"/>
      <c r="F3620" s="118" t="s">
        <v>828</v>
      </c>
      <c r="G3620" s="126" t="s">
        <v>10304</v>
      </c>
      <c r="H3620" s="255">
        <v>5</v>
      </c>
      <c r="I3620" s="361">
        <v>1</v>
      </c>
      <c r="J3620" s="371" t="s">
        <v>286</v>
      </c>
      <c r="K3620" s="377"/>
      <c r="L3620" s="129"/>
      <c r="M3620" s="378"/>
      <c r="N3620" s="129"/>
      <c r="O3620" s="129"/>
      <c r="P3620" s="379"/>
      <c r="Q3620" s="129"/>
      <c r="R3620" s="380"/>
      <c r="S3620" s="129"/>
      <c r="T3620" s="129"/>
      <c r="W3620" s="129" t="s">
        <v>286</v>
      </c>
      <c r="X3620" s="337" t="b">
        <f t="shared" si="91"/>
        <v>1</v>
      </c>
    </row>
    <row r="3621" spans="1:24" ht="12" customHeight="1" outlineLevel="1">
      <c r="A3621" s="370"/>
      <c r="B3621" s="118" t="s">
        <v>12</v>
      </c>
      <c r="C3621" s="334" t="s">
        <v>11346</v>
      </c>
      <c r="D3621" s="124" t="s">
        <v>11347</v>
      </c>
      <c r="E3621" s="125"/>
      <c r="F3621" s="118" t="s">
        <v>828</v>
      </c>
      <c r="G3621" s="126" t="s">
        <v>10304</v>
      </c>
      <c r="H3621" s="255">
        <v>5</v>
      </c>
      <c r="I3621" s="361">
        <v>1</v>
      </c>
      <c r="J3621" s="371" t="s">
        <v>286</v>
      </c>
      <c r="K3621" s="377"/>
      <c r="L3621" s="129"/>
      <c r="M3621" s="378"/>
      <c r="N3621" s="129"/>
      <c r="O3621" s="129"/>
      <c r="P3621" s="379"/>
      <c r="Q3621" s="129"/>
      <c r="R3621" s="380"/>
      <c r="S3621" s="129"/>
      <c r="T3621" s="129"/>
      <c r="W3621" s="129" t="s">
        <v>286</v>
      </c>
      <c r="X3621" s="337" t="b">
        <f t="shared" si="91"/>
        <v>1</v>
      </c>
    </row>
    <row r="3622" spans="1:24" ht="12" customHeight="1" outlineLevel="1">
      <c r="A3622" s="370"/>
      <c r="B3622" s="118" t="s">
        <v>12</v>
      </c>
      <c r="C3622" s="334" t="s">
        <v>11348</v>
      </c>
      <c r="D3622" s="124" t="s">
        <v>11349</v>
      </c>
      <c r="E3622" s="125"/>
      <c r="F3622" s="118" t="s">
        <v>828</v>
      </c>
      <c r="G3622" s="126" t="s">
        <v>10304</v>
      </c>
      <c r="H3622" s="255">
        <v>5</v>
      </c>
      <c r="I3622" s="361">
        <v>1</v>
      </c>
      <c r="J3622" s="371" t="s">
        <v>286</v>
      </c>
      <c r="K3622" s="377"/>
      <c r="L3622" s="129"/>
      <c r="M3622" s="378"/>
      <c r="N3622" s="129"/>
      <c r="O3622" s="129"/>
      <c r="P3622" s="379"/>
      <c r="Q3622" s="129"/>
      <c r="R3622" s="380"/>
      <c r="S3622" s="129"/>
      <c r="T3622" s="129"/>
      <c r="W3622" s="129" t="s">
        <v>286</v>
      </c>
      <c r="X3622" s="337" t="b">
        <f t="shared" si="91"/>
        <v>1</v>
      </c>
    </row>
    <row r="3623" spans="1:24" ht="12" customHeight="1" outlineLevel="1">
      <c r="A3623" s="370"/>
      <c r="B3623" s="118" t="s">
        <v>12</v>
      </c>
      <c r="C3623" s="334" t="s">
        <v>11350</v>
      </c>
      <c r="D3623" s="124" t="s">
        <v>11351</v>
      </c>
      <c r="E3623" s="125"/>
      <c r="F3623" s="118" t="s">
        <v>828</v>
      </c>
      <c r="G3623" s="126" t="s">
        <v>10304</v>
      </c>
      <c r="H3623" s="255">
        <v>5</v>
      </c>
      <c r="I3623" s="361">
        <v>1</v>
      </c>
      <c r="J3623" s="371" t="s">
        <v>286</v>
      </c>
      <c r="K3623" s="377"/>
      <c r="L3623" s="129"/>
      <c r="M3623" s="378"/>
      <c r="N3623" s="129"/>
      <c r="O3623" s="129"/>
      <c r="P3623" s="379"/>
      <c r="Q3623" s="129"/>
      <c r="R3623" s="380"/>
      <c r="S3623" s="129"/>
      <c r="T3623" s="129"/>
      <c r="W3623" s="129" t="s">
        <v>286</v>
      </c>
      <c r="X3623" s="337" t="b">
        <f t="shared" si="91"/>
        <v>1</v>
      </c>
    </row>
    <row r="3624" spans="1:24" ht="12" customHeight="1" outlineLevel="1">
      <c r="A3624" s="370"/>
      <c r="B3624" s="118" t="s">
        <v>12</v>
      </c>
      <c r="C3624" s="334" t="s">
        <v>11352</v>
      </c>
      <c r="D3624" s="124" t="s">
        <v>11353</v>
      </c>
      <c r="E3624" s="125"/>
      <c r="F3624" s="118" t="s">
        <v>828</v>
      </c>
      <c r="G3624" s="126" t="s">
        <v>10304</v>
      </c>
      <c r="H3624" s="255">
        <v>5</v>
      </c>
      <c r="I3624" s="361">
        <v>1</v>
      </c>
      <c r="J3624" s="371" t="s">
        <v>286</v>
      </c>
      <c r="K3624" s="377"/>
      <c r="L3624" s="129"/>
      <c r="M3624" s="378"/>
      <c r="N3624" s="129"/>
      <c r="O3624" s="129"/>
      <c r="P3624" s="379"/>
      <c r="Q3624" s="129"/>
      <c r="R3624" s="380"/>
      <c r="S3624" s="129"/>
      <c r="T3624" s="129"/>
      <c r="W3624" s="129" t="s">
        <v>286</v>
      </c>
      <c r="X3624" s="337" t="b">
        <f t="shared" si="91"/>
        <v>1</v>
      </c>
    </row>
    <row r="3625" spans="1:24" ht="12" customHeight="1" outlineLevel="1">
      <c r="A3625" s="370"/>
      <c r="B3625" s="118" t="s">
        <v>12</v>
      </c>
      <c r="C3625" s="334" t="s">
        <v>11354</v>
      </c>
      <c r="D3625" s="124" t="s">
        <v>11355</v>
      </c>
      <c r="E3625" s="125"/>
      <c r="F3625" s="118" t="s">
        <v>828</v>
      </c>
      <c r="G3625" s="126" t="s">
        <v>10304</v>
      </c>
      <c r="H3625" s="255">
        <v>5</v>
      </c>
      <c r="I3625" s="361">
        <v>1</v>
      </c>
      <c r="J3625" s="371" t="s">
        <v>286</v>
      </c>
      <c r="K3625" s="377"/>
      <c r="L3625" s="129"/>
      <c r="M3625" s="378"/>
      <c r="N3625" s="129"/>
      <c r="O3625" s="129"/>
      <c r="P3625" s="379"/>
      <c r="Q3625" s="129"/>
      <c r="R3625" s="380"/>
      <c r="S3625" s="129"/>
      <c r="T3625" s="129"/>
      <c r="W3625" s="129" t="s">
        <v>286</v>
      </c>
      <c r="X3625" s="337" t="b">
        <f t="shared" si="91"/>
        <v>1</v>
      </c>
    </row>
    <row r="3626" spans="1:24" ht="12" customHeight="1" outlineLevel="1">
      <c r="A3626" s="370"/>
      <c r="B3626" s="118" t="s">
        <v>12</v>
      </c>
      <c r="C3626" s="334" t="s">
        <v>11356</v>
      </c>
      <c r="D3626" s="124" t="s">
        <v>11357</v>
      </c>
      <c r="E3626" s="125"/>
      <c r="F3626" s="118" t="s">
        <v>828</v>
      </c>
      <c r="G3626" s="126" t="s">
        <v>10304</v>
      </c>
      <c r="H3626" s="255">
        <v>5</v>
      </c>
      <c r="I3626" s="361">
        <v>1</v>
      </c>
      <c r="J3626" s="371" t="s">
        <v>286</v>
      </c>
      <c r="K3626" s="377"/>
      <c r="L3626" s="129"/>
      <c r="M3626" s="378"/>
      <c r="N3626" s="129"/>
      <c r="O3626" s="129"/>
      <c r="P3626" s="379"/>
      <c r="Q3626" s="129"/>
      <c r="R3626" s="380"/>
      <c r="S3626" s="129"/>
      <c r="T3626" s="129"/>
      <c r="W3626" s="129" t="s">
        <v>286</v>
      </c>
      <c r="X3626" s="337" t="b">
        <f t="shared" si="91"/>
        <v>1</v>
      </c>
    </row>
    <row r="3627" spans="1:24" ht="12" customHeight="1" outlineLevel="1">
      <c r="A3627" s="370"/>
      <c r="B3627" s="118" t="s">
        <v>12</v>
      </c>
      <c r="C3627" s="334" t="s">
        <v>11358</v>
      </c>
      <c r="D3627" s="124" t="s">
        <v>11359</v>
      </c>
      <c r="E3627" s="125"/>
      <c r="F3627" s="118" t="s">
        <v>828</v>
      </c>
      <c r="G3627" s="126" t="s">
        <v>10304</v>
      </c>
      <c r="H3627" s="255">
        <v>5</v>
      </c>
      <c r="I3627" s="361">
        <v>1</v>
      </c>
      <c r="J3627" s="371" t="s">
        <v>307</v>
      </c>
      <c r="K3627" s="377"/>
      <c r="L3627" s="129"/>
      <c r="M3627" s="378"/>
      <c r="N3627" s="129"/>
      <c r="O3627" s="129"/>
      <c r="P3627" s="379"/>
      <c r="Q3627" s="129"/>
      <c r="R3627" s="380"/>
      <c r="S3627" s="129"/>
      <c r="T3627" s="129"/>
      <c r="W3627" s="129" t="s">
        <v>286</v>
      </c>
      <c r="X3627" s="337" t="b">
        <f t="shared" si="91"/>
        <v>0</v>
      </c>
    </row>
    <row r="3628" spans="1:24" ht="12" customHeight="1" outlineLevel="1">
      <c r="A3628" s="370"/>
      <c r="B3628" s="118" t="s">
        <v>12</v>
      </c>
      <c r="C3628" s="334" t="s">
        <v>11360</v>
      </c>
      <c r="D3628" s="124" t="s">
        <v>11361</v>
      </c>
      <c r="E3628" s="125"/>
      <c r="F3628" s="118" t="s">
        <v>828</v>
      </c>
      <c r="G3628" s="126" t="s">
        <v>10304</v>
      </c>
      <c r="H3628" s="255">
        <v>5</v>
      </c>
      <c r="I3628" s="361">
        <v>1</v>
      </c>
      <c r="J3628" s="371" t="s">
        <v>307</v>
      </c>
      <c r="K3628" s="377"/>
      <c r="L3628" s="129"/>
      <c r="M3628" s="378"/>
      <c r="N3628" s="129"/>
      <c r="O3628" s="129"/>
      <c r="P3628" s="379"/>
      <c r="Q3628" s="129"/>
      <c r="R3628" s="380"/>
      <c r="S3628" s="129"/>
      <c r="T3628" s="129"/>
      <c r="W3628" s="129" t="s">
        <v>286</v>
      </c>
      <c r="X3628" s="337" t="b">
        <f t="shared" si="91"/>
        <v>0</v>
      </c>
    </row>
    <row r="3629" spans="1:24" ht="12" customHeight="1" outlineLevel="1">
      <c r="A3629" s="370"/>
      <c r="B3629" s="118" t="s">
        <v>12</v>
      </c>
      <c r="C3629" s="334" t="s">
        <v>11362</v>
      </c>
      <c r="D3629" s="124" t="s">
        <v>11363</v>
      </c>
      <c r="E3629" s="125"/>
      <c r="F3629" s="118" t="s">
        <v>828</v>
      </c>
      <c r="G3629" s="126" t="s">
        <v>10304</v>
      </c>
      <c r="H3629" s="255">
        <v>5</v>
      </c>
      <c r="I3629" s="361">
        <v>1</v>
      </c>
      <c r="J3629" s="371" t="s">
        <v>310</v>
      </c>
      <c r="K3629" s="377"/>
      <c r="L3629" s="129"/>
      <c r="M3629" s="378"/>
      <c r="N3629" s="129"/>
      <c r="O3629" s="129"/>
      <c r="P3629" s="379"/>
      <c r="Q3629" s="129"/>
      <c r="R3629" s="380"/>
      <c r="S3629" s="129"/>
      <c r="T3629" s="129"/>
      <c r="W3629" s="129" t="s">
        <v>310</v>
      </c>
      <c r="X3629" s="337" t="b">
        <f t="shared" si="91"/>
        <v>1</v>
      </c>
    </row>
    <row r="3630" spans="1:24" ht="12" customHeight="1" outlineLevel="1">
      <c r="A3630" s="370"/>
      <c r="B3630" s="118" t="s">
        <v>12</v>
      </c>
      <c r="C3630" s="334" t="s">
        <v>11364</v>
      </c>
      <c r="D3630" s="124" t="s">
        <v>11365</v>
      </c>
      <c r="E3630" s="125"/>
      <c r="F3630" s="118" t="s">
        <v>828</v>
      </c>
      <c r="G3630" s="126" t="s">
        <v>10304</v>
      </c>
      <c r="H3630" s="255">
        <v>5</v>
      </c>
      <c r="I3630" s="361">
        <v>1</v>
      </c>
      <c r="J3630" s="371" t="s">
        <v>310</v>
      </c>
      <c r="K3630" s="377"/>
      <c r="L3630" s="129"/>
      <c r="M3630" s="378"/>
      <c r="N3630" s="129"/>
      <c r="O3630" s="129"/>
      <c r="P3630" s="379"/>
      <c r="Q3630" s="129"/>
      <c r="R3630" s="380"/>
      <c r="S3630" s="129"/>
      <c r="T3630" s="129"/>
      <c r="W3630" s="129" t="s">
        <v>310</v>
      </c>
      <c r="X3630" s="337" t="b">
        <f t="shared" si="91"/>
        <v>1</v>
      </c>
    </row>
    <row r="3631" spans="1:24" ht="12" customHeight="1" outlineLevel="1">
      <c r="A3631" s="370"/>
      <c r="B3631" s="118" t="s">
        <v>12</v>
      </c>
      <c r="C3631" s="334" t="s">
        <v>11366</v>
      </c>
      <c r="D3631" s="124" t="s">
        <v>11367</v>
      </c>
      <c r="E3631" s="125"/>
      <c r="F3631" s="118" t="s">
        <v>828</v>
      </c>
      <c r="G3631" s="126" t="s">
        <v>10304</v>
      </c>
      <c r="H3631" s="255">
        <v>5</v>
      </c>
      <c r="I3631" s="361">
        <v>1</v>
      </c>
      <c r="J3631" s="371" t="s">
        <v>310</v>
      </c>
      <c r="K3631" s="377"/>
      <c r="L3631" s="129"/>
      <c r="M3631" s="378"/>
      <c r="N3631" s="129"/>
      <c r="O3631" s="129"/>
      <c r="P3631" s="379"/>
      <c r="Q3631" s="129"/>
      <c r="R3631" s="380"/>
      <c r="S3631" s="129"/>
      <c r="T3631" s="129"/>
      <c r="W3631" s="129" t="s">
        <v>286</v>
      </c>
      <c r="X3631" s="337" t="b">
        <f t="shared" si="91"/>
        <v>0</v>
      </c>
    </row>
    <row r="3632" spans="1:24" ht="12" customHeight="1" outlineLevel="1">
      <c r="A3632" s="370"/>
      <c r="B3632" s="118" t="s">
        <v>12</v>
      </c>
      <c r="C3632" s="334" t="s">
        <v>11368</v>
      </c>
      <c r="D3632" s="124" t="s">
        <v>11369</v>
      </c>
      <c r="E3632" s="125"/>
      <c r="F3632" s="118" t="s">
        <v>828</v>
      </c>
      <c r="G3632" s="126" t="s">
        <v>10304</v>
      </c>
      <c r="H3632" s="255">
        <v>5</v>
      </c>
      <c r="I3632" s="361">
        <v>1</v>
      </c>
      <c r="J3632" s="371" t="s">
        <v>310</v>
      </c>
      <c r="K3632" s="377"/>
      <c r="L3632" s="129"/>
      <c r="M3632" s="378"/>
      <c r="N3632" s="129"/>
      <c r="O3632" s="129"/>
      <c r="P3632" s="379"/>
      <c r="Q3632" s="129"/>
      <c r="R3632" s="380"/>
      <c r="S3632" s="129"/>
      <c r="T3632" s="129"/>
      <c r="W3632" s="129" t="s">
        <v>286</v>
      </c>
      <c r="X3632" s="337" t="b">
        <f t="shared" si="91"/>
        <v>0</v>
      </c>
    </row>
    <row r="3633" spans="1:24" ht="12" customHeight="1" outlineLevel="1">
      <c r="A3633" s="370"/>
      <c r="B3633" s="118" t="s">
        <v>12</v>
      </c>
      <c r="C3633" s="334" t="s">
        <v>11370</v>
      </c>
      <c r="D3633" s="124" t="s">
        <v>11371</v>
      </c>
      <c r="E3633" s="125"/>
      <c r="F3633" s="118" t="s">
        <v>828</v>
      </c>
      <c r="G3633" s="126" t="s">
        <v>10304</v>
      </c>
      <c r="H3633" s="255">
        <v>5</v>
      </c>
      <c r="I3633" s="361">
        <v>1</v>
      </c>
      <c r="J3633" s="371" t="s">
        <v>286</v>
      </c>
      <c r="K3633" s="377"/>
      <c r="L3633" s="129"/>
      <c r="M3633" s="378"/>
      <c r="N3633" s="129"/>
      <c r="O3633" s="129"/>
      <c r="P3633" s="379"/>
      <c r="Q3633" s="129"/>
      <c r="R3633" s="380"/>
      <c r="S3633" s="129"/>
      <c r="T3633" s="129"/>
      <c r="W3633" s="129" t="s">
        <v>286</v>
      </c>
      <c r="X3633" s="337" t="b">
        <f t="shared" si="91"/>
        <v>1</v>
      </c>
    </row>
    <row r="3634" spans="1:24" ht="12" customHeight="1" outlineLevel="1">
      <c r="A3634" s="370"/>
      <c r="B3634" s="118" t="s">
        <v>12</v>
      </c>
      <c r="C3634" s="334" t="s">
        <v>11372</v>
      </c>
      <c r="D3634" s="124" t="s">
        <v>11373</v>
      </c>
      <c r="E3634" s="125"/>
      <c r="F3634" s="118" t="s">
        <v>828</v>
      </c>
      <c r="G3634" s="126" t="s">
        <v>10304</v>
      </c>
      <c r="H3634" s="255">
        <v>5</v>
      </c>
      <c r="I3634" s="361">
        <v>1</v>
      </c>
      <c r="J3634" s="371" t="s">
        <v>286</v>
      </c>
      <c r="K3634" s="377"/>
      <c r="L3634" s="129"/>
      <c r="M3634" s="378"/>
      <c r="N3634" s="129"/>
      <c r="O3634" s="129"/>
      <c r="P3634" s="379"/>
      <c r="Q3634" s="129"/>
      <c r="R3634" s="380"/>
      <c r="S3634" s="129"/>
      <c r="T3634" s="129"/>
      <c r="W3634" s="129" t="s">
        <v>286</v>
      </c>
      <c r="X3634" s="337" t="b">
        <f t="shared" si="91"/>
        <v>1</v>
      </c>
    </row>
    <row r="3635" spans="1:24" ht="12" customHeight="1" outlineLevel="1">
      <c r="A3635" s="370"/>
      <c r="B3635" s="118" t="s">
        <v>12</v>
      </c>
      <c r="C3635" s="334" t="s">
        <v>11374</v>
      </c>
      <c r="D3635" s="124" t="s">
        <v>11375</v>
      </c>
      <c r="E3635" s="125"/>
      <c r="F3635" s="118" t="s">
        <v>828</v>
      </c>
      <c r="G3635" s="126" t="s">
        <v>10304</v>
      </c>
      <c r="H3635" s="255">
        <v>5</v>
      </c>
      <c r="I3635" s="361">
        <v>1</v>
      </c>
      <c r="J3635" s="371" t="s">
        <v>307</v>
      </c>
      <c r="K3635" s="377"/>
      <c r="L3635" s="129"/>
      <c r="M3635" s="378"/>
      <c r="N3635" s="129"/>
      <c r="O3635" s="129"/>
      <c r="P3635" s="379"/>
      <c r="Q3635" s="129"/>
      <c r="R3635" s="380"/>
      <c r="S3635" s="129"/>
      <c r="T3635" s="129"/>
      <c r="W3635" s="129" t="s">
        <v>286</v>
      </c>
      <c r="X3635" s="337" t="b">
        <f t="shared" si="91"/>
        <v>0</v>
      </c>
    </row>
    <row r="3636" spans="1:24" ht="12" customHeight="1" outlineLevel="1">
      <c r="A3636" s="370"/>
      <c r="B3636" s="118" t="s">
        <v>12</v>
      </c>
      <c r="C3636" s="334" t="s">
        <v>11376</v>
      </c>
      <c r="D3636" s="124" t="s">
        <v>11377</v>
      </c>
      <c r="E3636" s="125"/>
      <c r="F3636" s="118" t="s">
        <v>828</v>
      </c>
      <c r="G3636" s="126" t="s">
        <v>10304</v>
      </c>
      <c r="H3636" s="255">
        <v>5</v>
      </c>
      <c r="I3636" s="361">
        <v>1</v>
      </c>
      <c r="J3636" s="371" t="s">
        <v>307</v>
      </c>
      <c r="K3636" s="377"/>
      <c r="L3636" s="129"/>
      <c r="M3636" s="378"/>
      <c r="N3636" s="129"/>
      <c r="O3636" s="129"/>
      <c r="P3636" s="379"/>
      <c r="Q3636" s="129"/>
      <c r="R3636" s="380"/>
      <c r="S3636" s="129"/>
      <c r="T3636" s="129"/>
      <c r="W3636" s="129" t="s">
        <v>286</v>
      </c>
      <c r="X3636" s="337" t="b">
        <f t="shared" si="91"/>
        <v>0</v>
      </c>
    </row>
    <row r="3637" spans="1:24" ht="12" customHeight="1" outlineLevel="1">
      <c r="A3637" s="370"/>
      <c r="B3637" s="118" t="s">
        <v>12</v>
      </c>
      <c r="C3637" s="334" t="s">
        <v>11378</v>
      </c>
      <c r="D3637" s="124" t="s">
        <v>11379</v>
      </c>
      <c r="E3637" s="125"/>
      <c r="F3637" s="118" t="s">
        <v>828</v>
      </c>
      <c r="G3637" s="126" t="s">
        <v>10304</v>
      </c>
      <c r="H3637" s="255">
        <v>5</v>
      </c>
      <c r="I3637" s="361">
        <v>1</v>
      </c>
      <c r="J3637" s="371" t="s">
        <v>286</v>
      </c>
      <c r="K3637" s="377"/>
      <c r="L3637" s="129"/>
      <c r="M3637" s="378"/>
      <c r="N3637" s="129"/>
      <c r="O3637" s="129"/>
      <c r="P3637" s="379"/>
      <c r="Q3637" s="129"/>
      <c r="R3637" s="380"/>
      <c r="S3637" s="129"/>
      <c r="T3637" s="129"/>
      <c r="W3637" s="129" t="s">
        <v>286</v>
      </c>
      <c r="X3637" s="337" t="b">
        <f t="shared" si="91"/>
        <v>1</v>
      </c>
    </row>
    <row r="3638" spans="1:24" ht="12" customHeight="1" outlineLevel="1">
      <c r="A3638" s="370"/>
      <c r="B3638" s="118" t="s">
        <v>12</v>
      </c>
      <c r="C3638" s="334" t="s">
        <v>11380</v>
      </c>
      <c r="D3638" s="124" t="s">
        <v>11381</v>
      </c>
      <c r="E3638" s="125"/>
      <c r="F3638" s="118" t="s">
        <v>828</v>
      </c>
      <c r="G3638" s="126" t="s">
        <v>10304</v>
      </c>
      <c r="H3638" s="255">
        <v>5</v>
      </c>
      <c r="I3638" s="361">
        <v>1</v>
      </c>
      <c r="J3638" s="371" t="s">
        <v>286</v>
      </c>
      <c r="K3638" s="377"/>
      <c r="L3638" s="129"/>
      <c r="M3638" s="378"/>
      <c r="N3638" s="129"/>
      <c r="O3638" s="129"/>
      <c r="P3638" s="379"/>
      <c r="Q3638" s="129"/>
      <c r="R3638" s="380"/>
      <c r="S3638" s="129"/>
      <c r="T3638" s="129"/>
      <c r="W3638" s="129" t="s">
        <v>286</v>
      </c>
      <c r="X3638" s="337" t="b">
        <f t="shared" si="91"/>
        <v>1</v>
      </c>
    </row>
    <row r="3639" spans="1:24" ht="12" customHeight="1" outlineLevel="1">
      <c r="A3639" s="370"/>
      <c r="B3639" s="118" t="s">
        <v>12</v>
      </c>
      <c r="C3639" s="334" t="s">
        <v>11382</v>
      </c>
      <c r="D3639" s="124" t="s">
        <v>11383</v>
      </c>
      <c r="E3639" s="125"/>
      <c r="F3639" s="118" t="s">
        <v>828</v>
      </c>
      <c r="G3639" s="126" t="s">
        <v>10304</v>
      </c>
      <c r="H3639" s="255">
        <v>5</v>
      </c>
      <c r="I3639" s="361">
        <v>1</v>
      </c>
      <c r="J3639" s="371" t="s">
        <v>307</v>
      </c>
      <c r="K3639" s="377"/>
      <c r="L3639" s="129"/>
      <c r="M3639" s="378"/>
      <c r="N3639" s="129"/>
      <c r="O3639" s="129"/>
      <c r="P3639" s="379"/>
      <c r="Q3639" s="129"/>
      <c r="R3639" s="380"/>
      <c r="S3639" s="129"/>
      <c r="T3639" s="129"/>
      <c r="W3639" s="129" t="s">
        <v>286</v>
      </c>
      <c r="X3639" s="337" t="b">
        <f t="shared" si="91"/>
        <v>0</v>
      </c>
    </row>
    <row r="3640" spans="1:24" ht="12" customHeight="1" outlineLevel="1">
      <c r="A3640" s="370"/>
      <c r="B3640" s="118" t="s">
        <v>12</v>
      </c>
      <c r="C3640" s="334" t="s">
        <v>11384</v>
      </c>
      <c r="D3640" s="124" t="s">
        <v>11385</v>
      </c>
      <c r="E3640" s="125"/>
      <c r="F3640" s="118" t="s">
        <v>828</v>
      </c>
      <c r="G3640" s="126" t="s">
        <v>11386</v>
      </c>
      <c r="H3640" s="255">
        <v>6</v>
      </c>
      <c r="I3640" s="361">
        <v>1</v>
      </c>
      <c r="J3640" s="371" t="s">
        <v>310</v>
      </c>
      <c r="K3640" s="377"/>
      <c r="L3640" s="129"/>
      <c r="M3640" s="378"/>
      <c r="N3640" s="129"/>
      <c r="O3640" s="129"/>
      <c r="P3640" s="379"/>
      <c r="Q3640" s="129"/>
      <c r="R3640" s="380"/>
      <c r="S3640" s="129"/>
      <c r="T3640" s="129"/>
      <c r="W3640" s="129" t="s">
        <v>286</v>
      </c>
      <c r="X3640" s="337" t="b">
        <f t="shared" si="91"/>
        <v>0</v>
      </c>
    </row>
    <row r="3641" spans="1:24" ht="12" customHeight="1" outlineLevel="1">
      <c r="A3641" s="370"/>
      <c r="B3641" s="118" t="s">
        <v>12</v>
      </c>
      <c r="C3641" s="334" t="s">
        <v>11387</v>
      </c>
      <c r="D3641" s="124" t="s">
        <v>11388</v>
      </c>
      <c r="E3641" s="125"/>
      <c r="F3641" s="118" t="s">
        <v>828</v>
      </c>
      <c r="G3641" s="126" t="s">
        <v>11386</v>
      </c>
      <c r="H3641" s="255">
        <v>6</v>
      </c>
      <c r="I3641" s="361">
        <v>1</v>
      </c>
      <c r="J3641" s="371" t="s">
        <v>310</v>
      </c>
      <c r="K3641" s="377"/>
      <c r="L3641" s="129"/>
      <c r="M3641" s="378"/>
      <c r="N3641" s="129"/>
      <c r="O3641" s="129"/>
      <c r="P3641" s="379"/>
      <c r="Q3641" s="129"/>
      <c r="R3641" s="380"/>
      <c r="S3641" s="129"/>
      <c r="T3641" s="129"/>
      <c r="W3641" s="129" t="s">
        <v>286</v>
      </c>
      <c r="X3641" s="337" t="b">
        <f t="shared" si="91"/>
        <v>0</v>
      </c>
    </row>
    <row r="3642" spans="1:24" ht="12" customHeight="1" outlineLevel="1">
      <c r="A3642" s="370"/>
      <c r="B3642" s="118" t="s">
        <v>12</v>
      </c>
      <c r="C3642" s="334" t="s">
        <v>11389</v>
      </c>
      <c r="D3642" s="124" t="s">
        <v>11390</v>
      </c>
      <c r="E3642" s="125"/>
      <c r="F3642" s="118" t="s">
        <v>828</v>
      </c>
      <c r="G3642" s="126" t="s">
        <v>11386</v>
      </c>
      <c r="H3642" s="255">
        <v>6</v>
      </c>
      <c r="I3642" s="361">
        <v>1</v>
      </c>
      <c r="J3642" s="371" t="s">
        <v>286</v>
      </c>
      <c r="K3642" s="377"/>
      <c r="L3642" s="129"/>
      <c r="M3642" s="378"/>
      <c r="N3642" s="129"/>
      <c r="O3642" s="129"/>
      <c r="P3642" s="379"/>
      <c r="Q3642" s="129"/>
      <c r="R3642" s="380"/>
      <c r="S3642" s="129"/>
      <c r="T3642" s="129"/>
      <c r="W3642" s="129" t="s">
        <v>286</v>
      </c>
      <c r="X3642" s="337" t="b">
        <f t="shared" si="91"/>
        <v>1</v>
      </c>
    </row>
    <row r="3643" spans="1:24" ht="12" customHeight="1" outlineLevel="1">
      <c r="A3643" s="370"/>
      <c r="B3643" s="118" t="s">
        <v>12</v>
      </c>
      <c r="C3643" s="334" t="s">
        <v>11391</v>
      </c>
      <c r="D3643" s="124" t="s">
        <v>11392</v>
      </c>
      <c r="E3643" s="125"/>
      <c r="F3643" s="118" t="s">
        <v>828</v>
      </c>
      <c r="G3643" s="126" t="s">
        <v>11386</v>
      </c>
      <c r="H3643" s="255">
        <v>6</v>
      </c>
      <c r="I3643" s="361">
        <v>1</v>
      </c>
      <c r="J3643" s="371" t="s">
        <v>310</v>
      </c>
      <c r="K3643" s="377"/>
      <c r="L3643" s="129"/>
      <c r="M3643" s="378"/>
      <c r="N3643" s="129"/>
      <c r="O3643" s="129"/>
      <c r="P3643" s="379"/>
      <c r="Q3643" s="129"/>
      <c r="R3643" s="380"/>
      <c r="S3643" s="129"/>
      <c r="T3643" s="129"/>
      <c r="W3643" s="129" t="s">
        <v>286</v>
      </c>
      <c r="X3643" s="337" t="b">
        <f t="shared" si="91"/>
        <v>0</v>
      </c>
    </row>
    <row r="3644" spans="1:24" ht="12" customHeight="1" outlineLevel="1">
      <c r="A3644" s="370"/>
      <c r="B3644" s="118" t="s">
        <v>12</v>
      </c>
      <c r="C3644" s="334" t="s">
        <v>11393</v>
      </c>
      <c r="D3644" s="124" t="s">
        <v>11394</v>
      </c>
      <c r="E3644" s="125"/>
      <c r="F3644" s="118" t="s">
        <v>828</v>
      </c>
      <c r="G3644" s="126" t="s">
        <v>11386</v>
      </c>
      <c r="H3644" s="255">
        <v>6</v>
      </c>
      <c r="I3644" s="361">
        <v>1</v>
      </c>
      <c r="J3644" s="371" t="s">
        <v>286</v>
      </c>
      <c r="K3644" s="377"/>
      <c r="L3644" s="129"/>
      <c r="M3644" s="378"/>
      <c r="N3644" s="129"/>
      <c r="O3644" s="129"/>
      <c r="P3644" s="379"/>
      <c r="Q3644" s="129"/>
      <c r="R3644" s="380"/>
      <c r="S3644" s="129"/>
      <c r="T3644" s="129"/>
      <c r="W3644" s="129" t="s">
        <v>286</v>
      </c>
      <c r="X3644" s="337" t="b">
        <f t="shared" si="91"/>
        <v>1</v>
      </c>
    </row>
    <row r="3645" spans="1:24" ht="12" customHeight="1" outlineLevel="1">
      <c r="A3645" s="370"/>
      <c r="B3645" s="118" t="s">
        <v>12</v>
      </c>
      <c r="C3645" s="334" t="s">
        <v>11395</v>
      </c>
      <c r="D3645" s="124" t="s">
        <v>11396</v>
      </c>
      <c r="E3645" s="125"/>
      <c r="F3645" s="118" t="s">
        <v>828</v>
      </c>
      <c r="G3645" s="126" t="s">
        <v>11386</v>
      </c>
      <c r="H3645" s="255">
        <v>6</v>
      </c>
      <c r="I3645" s="361">
        <v>1</v>
      </c>
      <c r="J3645" s="371" t="s">
        <v>310</v>
      </c>
      <c r="K3645" s="377"/>
      <c r="L3645" s="129"/>
      <c r="M3645" s="378"/>
      <c r="N3645" s="129"/>
      <c r="O3645" s="129"/>
      <c r="P3645" s="379"/>
      <c r="Q3645" s="129"/>
      <c r="R3645" s="380"/>
      <c r="S3645" s="129"/>
      <c r="T3645" s="129"/>
      <c r="W3645" s="129" t="s">
        <v>286</v>
      </c>
      <c r="X3645" s="337" t="b">
        <f t="shared" si="91"/>
        <v>0</v>
      </c>
    </row>
    <row r="3646" spans="1:24" ht="12" customHeight="1" outlineLevel="1">
      <c r="A3646" s="370"/>
      <c r="B3646" s="118" t="s">
        <v>12</v>
      </c>
      <c r="C3646" s="334" t="s">
        <v>11397</v>
      </c>
      <c r="D3646" s="124" t="s">
        <v>11398</v>
      </c>
      <c r="E3646" s="125"/>
      <c r="F3646" s="118" t="s">
        <v>828</v>
      </c>
      <c r="G3646" s="126" t="s">
        <v>11386</v>
      </c>
      <c r="H3646" s="255">
        <v>6</v>
      </c>
      <c r="I3646" s="361">
        <v>1</v>
      </c>
      <c r="J3646" s="371" t="s">
        <v>307</v>
      </c>
      <c r="K3646" s="377"/>
      <c r="L3646" s="129"/>
      <c r="M3646" s="378"/>
      <c r="N3646" s="129"/>
      <c r="O3646" s="129"/>
      <c r="P3646" s="379"/>
      <c r="Q3646" s="129"/>
      <c r="R3646" s="380"/>
      <c r="S3646" s="129"/>
      <c r="T3646" s="129"/>
      <c r="W3646" s="129" t="s">
        <v>286</v>
      </c>
      <c r="X3646" s="337" t="b">
        <f t="shared" si="91"/>
        <v>0</v>
      </c>
    </row>
    <row r="3647" spans="1:24" ht="12" customHeight="1" outlineLevel="1">
      <c r="A3647" s="370"/>
      <c r="B3647" s="118" t="s">
        <v>12</v>
      </c>
      <c r="C3647" s="334" t="s">
        <v>11399</v>
      </c>
      <c r="D3647" s="124" t="s">
        <v>11400</v>
      </c>
      <c r="E3647" s="125"/>
      <c r="F3647" s="118" t="s">
        <v>828</v>
      </c>
      <c r="G3647" s="126" t="s">
        <v>11386</v>
      </c>
      <c r="H3647" s="255">
        <v>6</v>
      </c>
      <c r="I3647" s="361">
        <v>1</v>
      </c>
      <c r="J3647" s="371" t="s">
        <v>310</v>
      </c>
      <c r="K3647" s="377"/>
      <c r="L3647" s="129"/>
      <c r="M3647" s="378"/>
      <c r="N3647" s="129"/>
      <c r="O3647" s="129"/>
      <c r="P3647" s="379"/>
      <c r="Q3647" s="129"/>
      <c r="R3647" s="380"/>
      <c r="S3647" s="129"/>
      <c r="T3647" s="129"/>
      <c r="W3647" s="129" t="s">
        <v>286</v>
      </c>
      <c r="X3647" s="337" t="b">
        <f t="shared" si="91"/>
        <v>0</v>
      </c>
    </row>
    <row r="3648" spans="1:24" ht="12" customHeight="1" outlineLevel="1">
      <c r="A3648" s="370"/>
      <c r="B3648" s="118" t="s">
        <v>12</v>
      </c>
      <c r="C3648" s="334" t="s">
        <v>11401</v>
      </c>
      <c r="D3648" s="124" t="s">
        <v>11402</v>
      </c>
      <c r="E3648" s="125"/>
      <c r="F3648" s="118" t="s">
        <v>828</v>
      </c>
      <c r="G3648" s="126" t="s">
        <v>11386</v>
      </c>
      <c r="H3648" s="255">
        <v>6</v>
      </c>
      <c r="I3648" s="361">
        <v>1</v>
      </c>
      <c r="J3648" s="371" t="s">
        <v>307</v>
      </c>
      <c r="K3648" s="377"/>
      <c r="L3648" s="129"/>
      <c r="M3648" s="378"/>
      <c r="N3648" s="129"/>
      <c r="O3648" s="129"/>
      <c r="P3648" s="379"/>
      <c r="Q3648" s="129"/>
      <c r="R3648" s="380"/>
      <c r="S3648" s="129"/>
      <c r="T3648" s="129"/>
      <c r="W3648" s="129" t="s">
        <v>310</v>
      </c>
      <c r="X3648" s="337" t="b">
        <f t="shared" si="91"/>
        <v>0</v>
      </c>
    </row>
    <row r="3649" spans="1:24" ht="12" customHeight="1" outlineLevel="1">
      <c r="A3649" s="370"/>
      <c r="B3649" s="118" t="s">
        <v>12</v>
      </c>
      <c r="C3649" s="334" t="s">
        <v>11403</v>
      </c>
      <c r="D3649" s="124" t="s">
        <v>11404</v>
      </c>
      <c r="E3649" s="125"/>
      <c r="F3649" s="118" t="s">
        <v>828</v>
      </c>
      <c r="G3649" s="126" t="s">
        <v>11386</v>
      </c>
      <c r="H3649" s="255">
        <v>6</v>
      </c>
      <c r="I3649" s="361">
        <v>1</v>
      </c>
      <c r="J3649" s="371" t="s">
        <v>310</v>
      </c>
      <c r="K3649" s="377"/>
      <c r="L3649" s="129"/>
      <c r="M3649" s="378"/>
      <c r="N3649" s="129"/>
      <c r="O3649" s="129"/>
      <c r="P3649" s="379"/>
      <c r="Q3649" s="129"/>
      <c r="R3649" s="380"/>
      <c r="S3649" s="129"/>
      <c r="T3649" s="129"/>
      <c r="W3649" s="129" t="s">
        <v>286</v>
      </c>
      <c r="X3649" s="337" t="b">
        <f t="shared" si="91"/>
        <v>0</v>
      </c>
    </row>
    <row r="3650" spans="1:24" ht="12" customHeight="1" outlineLevel="1">
      <c r="A3650" s="370"/>
      <c r="B3650" s="118" t="s">
        <v>12</v>
      </c>
      <c r="C3650" s="334" t="s">
        <v>11405</v>
      </c>
      <c r="D3650" s="124" t="s">
        <v>11406</v>
      </c>
      <c r="E3650" s="125"/>
      <c r="F3650" s="118" t="s">
        <v>828</v>
      </c>
      <c r="G3650" s="126" t="s">
        <v>11386</v>
      </c>
      <c r="H3650" s="255">
        <v>6</v>
      </c>
      <c r="I3650" s="361">
        <v>1</v>
      </c>
      <c r="J3650" s="371" t="s">
        <v>307</v>
      </c>
      <c r="K3650" s="377"/>
      <c r="L3650" s="129"/>
      <c r="M3650" s="378"/>
      <c r="N3650" s="129"/>
      <c r="O3650" s="129"/>
      <c r="P3650" s="379"/>
      <c r="Q3650" s="129"/>
      <c r="R3650" s="380"/>
      <c r="S3650" s="129"/>
      <c r="T3650" s="129"/>
      <c r="W3650" s="129" t="s">
        <v>310</v>
      </c>
      <c r="X3650" s="337" t="b">
        <f t="shared" si="91"/>
        <v>0</v>
      </c>
    </row>
    <row r="3651" spans="1:24" ht="12" customHeight="1" outlineLevel="1">
      <c r="A3651" s="370"/>
      <c r="B3651" s="118" t="s">
        <v>12</v>
      </c>
      <c r="C3651" s="334" t="s">
        <v>11407</v>
      </c>
      <c r="D3651" s="124" t="s">
        <v>11408</v>
      </c>
      <c r="E3651" s="125"/>
      <c r="F3651" s="118" t="s">
        <v>828</v>
      </c>
      <c r="G3651" s="126" t="s">
        <v>11386</v>
      </c>
      <c r="H3651" s="255">
        <v>6</v>
      </c>
      <c r="I3651" s="361">
        <v>1</v>
      </c>
      <c r="J3651" s="371" t="s">
        <v>310</v>
      </c>
      <c r="K3651" s="377"/>
      <c r="L3651" s="129"/>
      <c r="M3651" s="378"/>
      <c r="N3651" s="129"/>
      <c r="O3651" s="129"/>
      <c r="P3651" s="379"/>
      <c r="Q3651" s="129"/>
      <c r="R3651" s="380"/>
      <c r="S3651" s="129"/>
      <c r="T3651" s="129"/>
      <c r="W3651" s="129" t="s">
        <v>286</v>
      </c>
      <c r="X3651" s="337" t="b">
        <f t="shared" si="91"/>
        <v>0</v>
      </c>
    </row>
    <row r="3652" spans="1:24" ht="12" customHeight="1" outlineLevel="1">
      <c r="A3652" s="370"/>
      <c r="B3652" s="118" t="s">
        <v>12</v>
      </c>
      <c r="C3652" s="334" t="s">
        <v>11409</v>
      </c>
      <c r="D3652" s="124" t="s">
        <v>11410</v>
      </c>
      <c r="E3652" s="125"/>
      <c r="F3652" s="118" t="s">
        <v>828</v>
      </c>
      <c r="G3652" s="126" t="s">
        <v>11386</v>
      </c>
      <c r="H3652" s="255">
        <v>6</v>
      </c>
      <c r="I3652" s="361">
        <v>1</v>
      </c>
      <c r="J3652" s="371" t="s">
        <v>307</v>
      </c>
      <c r="K3652" s="377"/>
      <c r="L3652" s="129"/>
      <c r="M3652" s="378"/>
      <c r="N3652" s="129"/>
      <c r="O3652" s="129"/>
      <c r="P3652" s="379"/>
      <c r="Q3652" s="129"/>
      <c r="R3652" s="380"/>
      <c r="S3652" s="129"/>
      <c r="T3652" s="129"/>
      <c r="W3652" s="129" t="s">
        <v>310</v>
      </c>
      <c r="X3652" s="337" t="b">
        <f t="shared" si="91"/>
        <v>0</v>
      </c>
    </row>
    <row r="3653" spans="1:24" ht="12" customHeight="1" outlineLevel="1">
      <c r="A3653" s="370"/>
      <c r="B3653" s="118" t="s">
        <v>12</v>
      </c>
      <c r="C3653" s="334" t="s">
        <v>11411</v>
      </c>
      <c r="D3653" s="124" t="s">
        <v>11412</v>
      </c>
      <c r="E3653" s="125"/>
      <c r="F3653" s="118" t="s">
        <v>828</v>
      </c>
      <c r="G3653" s="126" t="s">
        <v>11386</v>
      </c>
      <c r="H3653" s="255">
        <v>6</v>
      </c>
      <c r="I3653" s="361">
        <v>1</v>
      </c>
      <c r="J3653" s="371" t="s">
        <v>307</v>
      </c>
      <c r="K3653" s="377"/>
      <c r="L3653" s="129"/>
      <c r="M3653" s="378"/>
      <c r="N3653" s="129"/>
      <c r="O3653" s="129"/>
      <c r="P3653" s="379"/>
      <c r="Q3653" s="129"/>
      <c r="R3653" s="380"/>
      <c r="S3653" s="129"/>
      <c r="T3653" s="129"/>
      <c r="W3653" s="129" t="s">
        <v>310</v>
      </c>
      <c r="X3653" s="337" t="b">
        <f t="shared" si="91"/>
        <v>0</v>
      </c>
    </row>
    <row r="3654" spans="1:24" ht="12" customHeight="1" outlineLevel="1">
      <c r="A3654" s="370"/>
      <c r="B3654" s="118" t="s">
        <v>12</v>
      </c>
      <c r="C3654" s="334" t="s">
        <v>11413</v>
      </c>
      <c r="D3654" s="124" t="s">
        <v>11414</v>
      </c>
      <c r="E3654" s="125"/>
      <c r="F3654" s="118" t="s">
        <v>828</v>
      </c>
      <c r="G3654" s="126" t="s">
        <v>11386</v>
      </c>
      <c r="H3654" s="255">
        <v>6</v>
      </c>
      <c r="I3654" s="361">
        <v>1</v>
      </c>
      <c r="J3654" s="371" t="s">
        <v>310</v>
      </c>
      <c r="K3654" s="377"/>
      <c r="L3654" s="129"/>
      <c r="M3654" s="378"/>
      <c r="N3654" s="129"/>
      <c r="O3654" s="129"/>
      <c r="P3654" s="379"/>
      <c r="Q3654" s="129"/>
      <c r="R3654" s="380"/>
      <c r="S3654" s="129"/>
      <c r="T3654" s="129"/>
      <c r="W3654" s="129" t="s">
        <v>286</v>
      </c>
      <c r="X3654" s="337" t="b">
        <f t="shared" si="91"/>
        <v>0</v>
      </c>
    </row>
    <row r="3655" spans="1:24" ht="12" customHeight="1" outlineLevel="1">
      <c r="A3655" s="370"/>
      <c r="B3655" s="118" t="s">
        <v>12</v>
      </c>
      <c r="C3655" s="334" t="s">
        <v>11415</v>
      </c>
      <c r="D3655" s="124" t="s">
        <v>11416</v>
      </c>
      <c r="E3655" s="125"/>
      <c r="F3655" s="118" t="s">
        <v>828</v>
      </c>
      <c r="G3655" s="126" t="s">
        <v>11386</v>
      </c>
      <c r="H3655" s="255">
        <v>6</v>
      </c>
      <c r="I3655" s="361">
        <v>1</v>
      </c>
      <c r="J3655" s="371" t="s">
        <v>307</v>
      </c>
      <c r="K3655" s="377"/>
      <c r="L3655" s="129"/>
      <c r="M3655" s="378"/>
      <c r="N3655" s="129"/>
      <c r="O3655" s="129"/>
      <c r="P3655" s="379"/>
      <c r="Q3655" s="129"/>
      <c r="R3655" s="380"/>
      <c r="S3655" s="129"/>
      <c r="T3655" s="129"/>
      <c r="W3655" s="129" t="s">
        <v>310</v>
      </c>
      <c r="X3655" s="337" t="b">
        <f t="shared" si="91"/>
        <v>0</v>
      </c>
    </row>
    <row r="3656" spans="1:24" ht="12" customHeight="1" outlineLevel="1">
      <c r="A3656" s="370"/>
      <c r="B3656" s="118" t="s">
        <v>12</v>
      </c>
      <c r="C3656" s="334" t="s">
        <v>11417</v>
      </c>
      <c r="D3656" s="124" t="s">
        <v>11418</v>
      </c>
      <c r="E3656" s="125"/>
      <c r="F3656" s="118" t="s">
        <v>828</v>
      </c>
      <c r="G3656" s="126" t="s">
        <v>11386</v>
      </c>
      <c r="H3656" s="255">
        <v>6</v>
      </c>
      <c r="I3656" s="361">
        <v>1</v>
      </c>
      <c r="J3656" s="371" t="s">
        <v>307</v>
      </c>
      <c r="K3656" s="377"/>
      <c r="L3656" s="129"/>
      <c r="M3656" s="378"/>
      <c r="N3656" s="129"/>
      <c r="O3656" s="129"/>
      <c r="P3656" s="379"/>
      <c r="Q3656" s="129"/>
      <c r="R3656" s="380"/>
      <c r="S3656" s="129"/>
      <c r="T3656" s="129"/>
      <c r="W3656" s="129" t="s">
        <v>310</v>
      </c>
      <c r="X3656" s="337" t="b">
        <f t="shared" si="91"/>
        <v>0</v>
      </c>
    </row>
    <row r="3657" spans="1:24" ht="12" customHeight="1" outlineLevel="1">
      <c r="A3657" s="370"/>
      <c r="B3657" s="118" t="s">
        <v>12</v>
      </c>
      <c r="C3657" s="334" t="s">
        <v>11419</v>
      </c>
      <c r="D3657" s="124" t="s">
        <v>11420</v>
      </c>
      <c r="E3657" s="125"/>
      <c r="F3657" s="118" t="s">
        <v>828</v>
      </c>
      <c r="G3657" s="126" t="s">
        <v>11386</v>
      </c>
      <c r="H3657" s="255">
        <v>6</v>
      </c>
      <c r="I3657" s="361">
        <v>1</v>
      </c>
      <c r="J3657" s="371" t="s">
        <v>307</v>
      </c>
      <c r="K3657" s="377"/>
      <c r="L3657" s="129"/>
      <c r="M3657" s="378"/>
      <c r="N3657" s="129"/>
      <c r="O3657" s="129"/>
      <c r="P3657" s="379"/>
      <c r="Q3657" s="129"/>
      <c r="R3657" s="380"/>
      <c r="S3657" s="129"/>
      <c r="T3657" s="129"/>
      <c r="W3657" s="129" t="s">
        <v>310</v>
      </c>
      <c r="X3657" s="337" t="b">
        <f t="shared" si="91"/>
        <v>0</v>
      </c>
    </row>
    <row r="3658" spans="1:24" ht="12" customHeight="1" outlineLevel="1">
      <c r="A3658" s="370"/>
      <c r="B3658" s="118" t="s">
        <v>12</v>
      </c>
      <c r="C3658" s="334" t="s">
        <v>11421</v>
      </c>
      <c r="D3658" s="124" t="s">
        <v>11422</v>
      </c>
      <c r="E3658" s="125"/>
      <c r="F3658" s="118" t="s">
        <v>828</v>
      </c>
      <c r="G3658" s="126" t="s">
        <v>11386</v>
      </c>
      <c r="H3658" s="255">
        <v>6</v>
      </c>
      <c r="I3658" s="361">
        <v>1</v>
      </c>
      <c r="J3658" s="371" t="s">
        <v>310</v>
      </c>
      <c r="K3658" s="377"/>
      <c r="L3658" s="129"/>
      <c r="M3658" s="378"/>
      <c r="N3658" s="129"/>
      <c r="O3658" s="129"/>
      <c r="P3658" s="379"/>
      <c r="Q3658" s="129"/>
      <c r="R3658" s="380"/>
      <c r="S3658" s="129"/>
      <c r="T3658" s="129"/>
      <c r="W3658" s="129" t="s">
        <v>286</v>
      </c>
      <c r="X3658" s="337" t="b">
        <f t="shared" si="91"/>
        <v>0</v>
      </c>
    </row>
    <row r="3659" spans="1:24" ht="12" customHeight="1" outlineLevel="1">
      <c r="A3659" s="370"/>
      <c r="B3659" s="118" t="s">
        <v>12</v>
      </c>
      <c r="C3659" s="334" t="s">
        <v>11423</v>
      </c>
      <c r="D3659" s="124" t="s">
        <v>11424</v>
      </c>
      <c r="E3659" s="125"/>
      <c r="F3659" s="118" t="s">
        <v>828</v>
      </c>
      <c r="G3659" s="126" t="s">
        <v>11386</v>
      </c>
      <c r="H3659" s="255">
        <v>6</v>
      </c>
      <c r="I3659" s="361">
        <v>1</v>
      </c>
      <c r="J3659" s="371" t="s">
        <v>286</v>
      </c>
      <c r="K3659" s="377"/>
      <c r="L3659" s="129"/>
      <c r="M3659" s="378"/>
      <c r="N3659" s="129"/>
      <c r="O3659" s="129"/>
      <c r="P3659" s="379"/>
      <c r="Q3659" s="129"/>
      <c r="R3659" s="380"/>
      <c r="S3659" s="129"/>
      <c r="T3659" s="129"/>
      <c r="W3659" s="129" t="s">
        <v>4876</v>
      </c>
      <c r="X3659" s="337" t="b">
        <f t="shared" si="91"/>
        <v>0</v>
      </c>
    </row>
    <row r="3660" spans="1:24" ht="12" customHeight="1" outlineLevel="1">
      <c r="A3660" s="370"/>
      <c r="B3660" s="118" t="s">
        <v>12</v>
      </c>
      <c r="C3660" s="334" t="s">
        <v>11425</v>
      </c>
      <c r="D3660" s="124" t="s">
        <v>11426</v>
      </c>
      <c r="E3660" s="125"/>
      <c r="F3660" s="118" t="s">
        <v>828</v>
      </c>
      <c r="G3660" s="126" t="s">
        <v>11386</v>
      </c>
      <c r="H3660" s="255">
        <v>6</v>
      </c>
      <c r="I3660" s="361">
        <v>1</v>
      </c>
      <c r="J3660" s="371" t="s">
        <v>286</v>
      </c>
      <c r="K3660" s="377"/>
      <c r="L3660" s="129"/>
      <c r="M3660" s="378"/>
      <c r="N3660" s="129"/>
      <c r="O3660" s="129"/>
      <c r="P3660" s="379"/>
      <c r="Q3660" s="129"/>
      <c r="R3660" s="380"/>
      <c r="S3660" s="129"/>
      <c r="T3660" s="129"/>
      <c r="W3660" s="129" t="s">
        <v>4876</v>
      </c>
      <c r="X3660" s="337" t="b">
        <f t="shared" si="91"/>
        <v>0</v>
      </c>
    </row>
    <row r="3661" spans="1:24" ht="12" customHeight="1" outlineLevel="1">
      <c r="A3661" s="370"/>
      <c r="B3661" s="118" t="s">
        <v>12</v>
      </c>
      <c r="C3661" s="334" t="s">
        <v>11427</v>
      </c>
      <c r="D3661" s="124" t="s">
        <v>11428</v>
      </c>
      <c r="E3661" s="125"/>
      <c r="F3661" s="118" t="s">
        <v>828</v>
      </c>
      <c r="G3661" s="126" t="s">
        <v>11386</v>
      </c>
      <c r="H3661" s="255">
        <v>6</v>
      </c>
      <c r="I3661" s="361">
        <v>1</v>
      </c>
      <c r="J3661" s="371" t="s">
        <v>286</v>
      </c>
      <c r="K3661" s="377"/>
      <c r="L3661" s="129"/>
      <c r="M3661" s="378"/>
      <c r="N3661" s="129"/>
      <c r="O3661" s="129"/>
      <c r="P3661" s="379"/>
      <c r="Q3661" s="129"/>
      <c r="R3661" s="380"/>
      <c r="S3661" s="129"/>
      <c r="T3661" s="129"/>
      <c r="W3661" s="129" t="s">
        <v>4876</v>
      </c>
      <c r="X3661" s="337" t="b">
        <f t="shared" si="91"/>
        <v>0</v>
      </c>
    </row>
    <row r="3662" spans="1:24" ht="12" customHeight="1" outlineLevel="1">
      <c r="A3662" s="370"/>
      <c r="B3662" s="118" t="s">
        <v>12</v>
      </c>
      <c r="C3662" s="334" t="s">
        <v>11429</v>
      </c>
      <c r="D3662" s="124" t="s">
        <v>11430</v>
      </c>
      <c r="E3662" s="125"/>
      <c r="F3662" s="118" t="s">
        <v>828</v>
      </c>
      <c r="G3662" s="126" t="s">
        <v>11386</v>
      </c>
      <c r="H3662" s="255">
        <v>6</v>
      </c>
      <c r="I3662" s="361">
        <v>1</v>
      </c>
      <c r="J3662" s="371" t="s">
        <v>286</v>
      </c>
      <c r="K3662" s="377"/>
      <c r="L3662" s="129"/>
      <c r="M3662" s="378"/>
      <c r="N3662" s="129"/>
      <c r="O3662" s="129"/>
      <c r="P3662" s="379"/>
      <c r="Q3662" s="129"/>
      <c r="R3662" s="380"/>
      <c r="S3662" s="129"/>
      <c r="T3662" s="129"/>
      <c r="W3662" s="129" t="s">
        <v>4876</v>
      </c>
      <c r="X3662" s="337" t="b">
        <f t="shared" si="91"/>
        <v>0</v>
      </c>
    </row>
    <row r="3663" spans="1:24" ht="12" customHeight="1" outlineLevel="1">
      <c r="A3663" s="370"/>
      <c r="B3663" s="118" t="s">
        <v>12</v>
      </c>
      <c r="C3663" s="334" t="s">
        <v>11431</v>
      </c>
      <c r="D3663" s="124" t="s">
        <v>11432</v>
      </c>
      <c r="E3663" s="125"/>
      <c r="F3663" s="118" t="s">
        <v>828</v>
      </c>
      <c r="G3663" s="126" t="s">
        <v>11386</v>
      </c>
      <c r="H3663" s="255">
        <v>6</v>
      </c>
      <c r="I3663" s="361">
        <v>1</v>
      </c>
      <c r="J3663" s="371" t="s">
        <v>310</v>
      </c>
      <c r="K3663" s="377"/>
      <c r="L3663" s="129"/>
      <c r="M3663" s="378"/>
      <c r="N3663" s="129"/>
      <c r="O3663" s="129"/>
      <c r="P3663" s="379"/>
      <c r="Q3663" s="129"/>
      <c r="R3663" s="380"/>
      <c r="S3663" s="129"/>
      <c r="T3663" s="129"/>
      <c r="W3663" s="129" t="s">
        <v>286</v>
      </c>
      <c r="X3663" s="337" t="b">
        <f t="shared" si="91"/>
        <v>0</v>
      </c>
    </row>
    <row r="3664" spans="1:24" ht="12" customHeight="1" outlineLevel="1">
      <c r="A3664" s="370"/>
      <c r="B3664" s="118" t="s">
        <v>12</v>
      </c>
      <c r="C3664" s="334" t="s">
        <v>11433</v>
      </c>
      <c r="D3664" s="124" t="s">
        <v>11434</v>
      </c>
      <c r="E3664" s="125"/>
      <c r="F3664" s="118" t="s">
        <v>828</v>
      </c>
      <c r="G3664" s="126" t="s">
        <v>11386</v>
      </c>
      <c r="H3664" s="255">
        <v>6</v>
      </c>
      <c r="I3664" s="361">
        <v>1</v>
      </c>
      <c r="J3664" s="371" t="s">
        <v>310</v>
      </c>
      <c r="K3664" s="377"/>
      <c r="L3664" s="129"/>
      <c r="M3664" s="378"/>
      <c r="N3664" s="129"/>
      <c r="O3664" s="129"/>
      <c r="P3664" s="379"/>
      <c r="Q3664" s="129"/>
      <c r="R3664" s="380"/>
      <c r="S3664" s="129"/>
      <c r="T3664" s="129"/>
      <c r="W3664" s="129" t="s">
        <v>286</v>
      </c>
      <c r="X3664" s="337" t="b">
        <f t="shared" si="91"/>
        <v>0</v>
      </c>
    </row>
    <row r="3665" spans="1:24" ht="12" customHeight="1" outlineLevel="1">
      <c r="A3665" s="370"/>
      <c r="B3665" s="118" t="s">
        <v>12</v>
      </c>
      <c r="C3665" s="334" t="s">
        <v>11435</v>
      </c>
      <c r="D3665" s="124" t="s">
        <v>11436</v>
      </c>
      <c r="E3665" s="125"/>
      <c r="F3665" s="118" t="s">
        <v>828</v>
      </c>
      <c r="G3665" s="126" t="s">
        <v>11386</v>
      </c>
      <c r="H3665" s="255">
        <v>6</v>
      </c>
      <c r="I3665" s="361">
        <v>1</v>
      </c>
      <c r="J3665" s="371" t="s">
        <v>307</v>
      </c>
      <c r="K3665" s="377"/>
      <c r="L3665" s="129"/>
      <c r="M3665" s="378"/>
      <c r="N3665" s="129"/>
      <c r="O3665" s="129"/>
      <c r="P3665" s="379"/>
      <c r="Q3665" s="129"/>
      <c r="R3665" s="380"/>
      <c r="S3665" s="129"/>
      <c r="T3665" s="129"/>
      <c r="W3665" s="129" t="s">
        <v>310</v>
      </c>
      <c r="X3665" s="337" t="b">
        <f t="shared" si="91"/>
        <v>0</v>
      </c>
    </row>
    <row r="3666" spans="1:24" ht="12" customHeight="1" outlineLevel="1">
      <c r="A3666" s="370"/>
      <c r="B3666" s="118" t="s">
        <v>12</v>
      </c>
      <c r="C3666" s="334" t="s">
        <v>11437</v>
      </c>
      <c r="D3666" s="124" t="s">
        <v>11438</v>
      </c>
      <c r="E3666" s="125"/>
      <c r="F3666" s="118" t="s">
        <v>828</v>
      </c>
      <c r="G3666" s="126" t="s">
        <v>11386</v>
      </c>
      <c r="H3666" s="255">
        <v>6</v>
      </c>
      <c r="I3666" s="361">
        <v>1</v>
      </c>
      <c r="J3666" s="371" t="s">
        <v>310</v>
      </c>
      <c r="K3666" s="377"/>
      <c r="L3666" s="129"/>
      <c r="M3666" s="378"/>
      <c r="N3666" s="129"/>
      <c r="O3666" s="129"/>
      <c r="P3666" s="379"/>
      <c r="Q3666" s="129"/>
      <c r="R3666" s="380"/>
      <c r="S3666" s="129"/>
      <c r="T3666" s="129"/>
      <c r="W3666" s="129" t="s">
        <v>4876</v>
      </c>
      <c r="X3666" s="337" t="b">
        <f t="shared" si="91"/>
        <v>0</v>
      </c>
    </row>
    <row r="3667" spans="1:24" ht="12" customHeight="1" outlineLevel="1">
      <c r="A3667" s="370"/>
      <c r="B3667" s="118" t="s">
        <v>12</v>
      </c>
      <c r="C3667" s="334" t="s">
        <v>11439</v>
      </c>
      <c r="D3667" s="124" t="s">
        <v>11440</v>
      </c>
      <c r="E3667" s="125"/>
      <c r="F3667" s="118" t="s">
        <v>828</v>
      </c>
      <c r="G3667" s="126" t="s">
        <v>11386</v>
      </c>
      <c r="H3667" s="255">
        <v>6</v>
      </c>
      <c r="I3667" s="361">
        <v>1</v>
      </c>
      <c r="J3667" s="371" t="s">
        <v>286</v>
      </c>
      <c r="K3667" s="377"/>
      <c r="L3667" s="129"/>
      <c r="M3667" s="378"/>
      <c r="N3667" s="129"/>
      <c r="O3667" s="129"/>
      <c r="P3667" s="379"/>
      <c r="Q3667" s="129"/>
      <c r="R3667" s="380"/>
      <c r="S3667" s="129"/>
      <c r="T3667" s="129"/>
      <c r="W3667" s="129" t="s">
        <v>286</v>
      </c>
      <c r="X3667" s="337" t="b">
        <f t="shared" ref="X3667:X3730" si="92">W3667=J3667</f>
        <v>1</v>
      </c>
    </row>
    <row r="3668" spans="1:24" ht="12" customHeight="1" outlineLevel="1">
      <c r="A3668" s="370"/>
      <c r="B3668" s="118" t="s">
        <v>12</v>
      </c>
      <c r="C3668" s="334" t="s">
        <v>11441</v>
      </c>
      <c r="D3668" s="124" t="s">
        <v>11442</v>
      </c>
      <c r="E3668" s="125"/>
      <c r="F3668" s="118" t="s">
        <v>828</v>
      </c>
      <c r="G3668" s="126" t="s">
        <v>11386</v>
      </c>
      <c r="H3668" s="255">
        <v>6</v>
      </c>
      <c r="I3668" s="361">
        <v>1</v>
      </c>
      <c r="J3668" s="371" t="s">
        <v>286</v>
      </c>
      <c r="K3668" s="377"/>
      <c r="L3668" s="129"/>
      <c r="M3668" s="378"/>
      <c r="N3668" s="129"/>
      <c r="O3668" s="129"/>
      <c r="P3668" s="379"/>
      <c r="Q3668" s="129"/>
      <c r="R3668" s="380"/>
      <c r="S3668" s="129"/>
      <c r="T3668" s="129"/>
      <c r="W3668" s="129" t="s">
        <v>286</v>
      </c>
      <c r="X3668" s="337" t="b">
        <f t="shared" si="92"/>
        <v>1</v>
      </c>
    </row>
    <row r="3669" spans="1:24" ht="12" customHeight="1" outlineLevel="1">
      <c r="A3669" s="370"/>
      <c r="B3669" s="118" t="s">
        <v>12</v>
      </c>
      <c r="C3669" s="334" t="s">
        <v>11443</v>
      </c>
      <c r="D3669" s="124" t="s">
        <v>11444</v>
      </c>
      <c r="E3669" s="125"/>
      <c r="F3669" s="118" t="s">
        <v>828</v>
      </c>
      <c r="G3669" s="126" t="s">
        <v>11386</v>
      </c>
      <c r="H3669" s="255">
        <v>6</v>
      </c>
      <c r="I3669" s="361">
        <v>1</v>
      </c>
      <c r="J3669" s="371" t="s">
        <v>286</v>
      </c>
      <c r="K3669" s="377"/>
      <c r="L3669" s="129"/>
      <c r="M3669" s="378"/>
      <c r="N3669" s="129"/>
      <c r="O3669" s="129"/>
      <c r="P3669" s="379"/>
      <c r="Q3669" s="129"/>
      <c r="R3669" s="380"/>
      <c r="S3669" s="129"/>
      <c r="T3669" s="129"/>
      <c r="W3669" s="129" t="s">
        <v>286</v>
      </c>
      <c r="X3669" s="337" t="b">
        <f t="shared" si="92"/>
        <v>1</v>
      </c>
    </row>
    <row r="3670" spans="1:24" ht="12" customHeight="1" outlineLevel="1">
      <c r="A3670" s="370"/>
      <c r="B3670" s="118" t="s">
        <v>12</v>
      </c>
      <c r="C3670" s="334" t="s">
        <v>11445</v>
      </c>
      <c r="D3670" s="124" t="s">
        <v>11446</v>
      </c>
      <c r="E3670" s="125"/>
      <c r="F3670" s="118" t="s">
        <v>828</v>
      </c>
      <c r="G3670" s="126" t="s">
        <v>11386</v>
      </c>
      <c r="H3670" s="255">
        <v>6</v>
      </c>
      <c r="I3670" s="361">
        <v>1</v>
      </c>
      <c r="J3670" s="371" t="s">
        <v>286</v>
      </c>
      <c r="K3670" s="377"/>
      <c r="L3670" s="129"/>
      <c r="M3670" s="378"/>
      <c r="N3670" s="129"/>
      <c r="O3670" s="129"/>
      <c r="P3670" s="379"/>
      <c r="Q3670" s="129"/>
      <c r="R3670" s="380"/>
      <c r="S3670" s="129"/>
      <c r="T3670" s="129"/>
      <c r="W3670" s="129" t="s">
        <v>286</v>
      </c>
      <c r="X3670" s="337" t="b">
        <f t="shared" si="92"/>
        <v>1</v>
      </c>
    </row>
    <row r="3671" spans="1:24" ht="12" customHeight="1" outlineLevel="1">
      <c r="A3671" s="370"/>
      <c r="B3671" s="118" t="s">
        <v>12</v>
      </c>
      <c r="C3671" s="334" t="s">
        <v>11447</v>
      </c>
      <c r="D3671" s="124" t="s">
        <v>11448</v>
      </c>
      <c r="E3671" s="125"/>
      <c r="F3671" s="118" t="s">
        <v>828</v>
      </c>
      <c r="G3671" s="126" t="s">
        <v>11386</v>
      </c>
      <c r="H3671" s="255">
        <v>6</v>
      </c>
      <c r="I3671" s="361">
        <v>1</v>
      </c>
      <c r="J3671" s="371" t="s">
        <v>286</v>
      </c>
      <c r="K3671" s="377"/>
      <c r="L3671" s="129"/>
      <c r="M3671" s="378"/>
      <c r="N3671" s="129"/>
      <c r="O3671" s="129"/>
      <c r="P3671" s="379"/>
      <c r="Q3671" s="129"/>
      <c r="R3671" s="380"/>
      <c r="S3671" s="129"/>
      <c r="T3671" s="129"/>
      <c r="W3671" s="129" t="s">
        <v>286</v>
      </c>
      <c r="X3671" s="337" t="b">
        <f t="shared" si="92"/>
        <v>1</v>
      </c>
    </row>
    <row r="3672" spans="1:24" ht="12" customHeight="1" outlineLevel="1">
      <c r="A3672" s="370"/>
      <c r="B3672" s="118" t="s">
        <v>12</v>
      </c>
      <c r="C3672" s="334" t="s">
        <v>11449</v>
      </c>
      <c r="D3672" s="124" t="s">
        <v>11450</v>
      </c>
      <c r="E3672" s="125"/>
      <c r="F3672" s="118" t="s">
        <v>828</v>
      </c>
      <c r="G3672" s="126" t="s">
        <v>11386</v>
      </c>
      <c r="H3672" s="255">
        <v>6</v>
      </c>
      <c r="I3672" s="361">
        <v>1</v>
      </c>
      <c r="J3672" s="371" t="s">
        <v>286</v>
      </c>
      <c r="K3672" s="377"/>
      <c r="L3672" s="129"/>
      <c r="M3672" s="378"/>
      <c r="N3672" s="129"/>
      <c r="O3672" s="129"/>
      <c r="P3672" s="379"/>
      <c r="Q3672" s="129"/>
      <c r="R3672" s="380"/>
      <c r="S3672" s="129"/>
      <c r="T3672" s="129"/>
      <c r="W3672" s="129" t="s">
        <v>286</v>
      </c>
      <c r="X3672" s="337" t="b">
        <f t="shared" si="92"/>
        <v>1</v>
      </c>
    </row>
    <row r="3673" spans="1:24" ht="12" customHeight="1" outlineLevel="1">
      <c r="A3673" s="370"/>
      <c r="B3673" s="118" t="s">
        <v>12</v>
      </c>
      <c r="C3673" s="334" t="s">
        <v>11451</v>
      </c>
      <c r="D3673" s="124" t="s">
        <v>11452</v>
      </c>
      <c r="E3673" s="125"/>
      <c r="F3673" s="118" t="s">
        <v>828</v>
      </c>
      <c r="G3673" s="126" t="s">
        <v>11386</v>
      </c>
      <c r="H3673" s="255">
        <v>6</v>
      </c>
      <c r="I3673" s="361">
        <v>1</v>
      </c>
      <c r="J3673" s="371" t="s">
        <v>286</v>
      </c>
      <c r="K3673" s="377"/>
      <c r="L3673" s="129"/>
      <c r="M3673" s="378"/>
      <c r="N3673" s="129"/>
      <c r="O3673" s="129"/>
      <c r="P3673" s="379"/>
      <c r="Q3673" s="129"/>
      <c r="R3673" s="380"/>
      <c r="S3673" s="129"/>
      <c r="T3673" s="129"/>
      <c r="W3673" s="129" t="s">
        <v>286</v>
      </c>
      <c r="X3673" s="337" t="b">
        <f t="shared" si="92"/>
        <v>1</v>
      </c>
    </row>
    <row r="3674" spans="1:24" ht="12" customHeight="1" outlineLevel="1">
      <c r="A3674" s="370"/>
      <c r="B3674" s="118" t="s">
        <v>12</v>
      </c>
      <c r="C3674" s="334" t="s">
        <v>11453</v>
      </c>
      <c r="D3674" s="124" t="s">
        <v>11454</v>
      </c>
      <c r="E3674" s="125"/>
      <c r="F3674" s="118" t="s">
        <v>828</v>
      </c>
      <c r="G3674" s="126" t="s">
        <v>11386</v>
      </c>
      <c r="H3674" s="255">
        <v>6</v>
      </c>
      <c r="I3674" s="361">
        <v>1</v>
      </c>
      <c r="J3674" s="371" t="s">
        <v>286</v>
      </c>
      <c r="K3674" s="377"/>
      <c r="L3674" s="129"/>
      <c r="M3674" s="378"/>
      <c r="N3674" s="129"/>
      <c r="O3674" s="129"/>
      <c r="P3674" s="379"/>
      <c r="Q3674" s="129"/>
      <c r="R3674" s="380"/>
      <c r="S3674" s="129"/>
      <c r="T3674" s="129"/>
      <c r="W3674" s="129" t="s">
        <v>286</v>
      </c>
      <c r="X3674" s="337" t="b">
        <f t="shared" si="92"/>
        <v>1</v>
      </c>
    </row>
    <row r="3675" spans="1:24" ht="12" customHeight="1" outlineLevel="1">
      <c r="A3675" s="370"/>
      <c r="B3675" s="118" t="s">
        <v>12</v>
      </c>
      <c r="C3675" s="334" t="s">
        <v>11455</v>
      </c>
      <c r="D3675" s="124" t="s">
        <v>11456</v>
      </c>
      <c r="E3675" s="125"/>
      <c r="F3675" s="118" t="s">
        <v>828</v>
      </c>
      <c r="G3675" s="126" t="s">
        <v>11386</v>
      </c>
      <c r="H3675" s="255">
        <v>6</v>
      </c>
      <c r="I3675" s="361">
        <v>1</v>
      </c>
      <c r="J3675" s="371" t="s">
        <v>286</v>
      </c>
      <c r="K3675" s="377"/>
      <c r="L3675" s="129"/>
      <c r="M3675" s="378"/>
      <c r="N3675" s="129"/>
      <c r="O3675" s="129"/>
      <c r="P3675" s="379"/>
      <c r="Q3675" s="129"/>
      <c r="R3675" s="380"/>
      <c r="S3675" s="129"/>
      <c r="T3675" s="129"/>
      <c r="W3675" s="129" t="s">
        <v>286</v>
      </c>
      <c r="X3675" s="337" t="b">
        <f t="shared" si="92"/>
        <v>1</v>
      </c>
    </row>
    <row r="3676" spans="1:24" ht="12" customHeight="1" outlineLevel="1">
      <c r="A3676" s="370"/>
      <c r="B3676" s="118" t="s">
        <v>12</v>
      </c>
      <c r="C3676" s="334" t="s">
        <v>11457</v>
      </c>
      <c r="D3676" s="124" t="s">
        <v>11458</v>
      </c>
      <c r="E3676" s="125"/>
      <c r="F3676" s="118" t="s">
        <v>828</v>
      </c>
      <c r="G3676" s="126" t="s">
        <v>11386</v>
      </c>
      <c r="H3676" s="255">
        <v>6</v>
      </c>
      <c r="I3676" s="361">
        <v>1</v>
      </c>
      <c r="J3676" s="371" t="s">
        <v>286</v>
      </c>
      <c r="K3676" s="377"/>
      <c r="L3676" s="129"/>
      <c r="M3676" s="378"/>
      <c r="N3676" s="129"/>
      <c r="O3676" s="129"/>
      <c r="P3676" s="379"/>
      <c r="Q3676" s="129"/>
      <c r="R3676" s="380"/>
      <c r="S3676" s="129"/>
      <c r="T3676" s="129"/>
      <c r="W3676" s="129" t="s">
        <v>286</v>
      </c>
      <c r="X3676" s="337" t="b">
        <f t="shared" si="92"/>
        <v>1</v>
      </c>
    </row>
    <row r="3677" spans="1:24" ht="12" customHeight="1" outlineLevel="1">
      <c r="A3677" s="370"/>
      <c r="B3677" s="118" t="s">
        <v>12</v>
      </c>
      <c r="C3677" s="334" t="s">
        <v>11459</v>
      </c>
      <c r="D3677" s="124" t="s">
        <v>11460</v>
      </c>
      <c r="E3677" s="125"/>
      <c r="F3677" s="118" t="s">
        <v>828</v>
      </c>
      <c r="G3677" s="126" t="s">
        <v>11386</v>
      </c>
      <c r="H3677" s="255">
        <v>6</v>
      </c>
      <c r="I3677" s="361">
        <v>1</v>
      </c>
      <c r="J3677" s="371" t="s">
        <v>310</v>
      </c>
      <c r="K3677" s="377"/>
      <c r="L3677" s="129"/>
      <c r="M3677" s="378"/>
      <c r="N3677" s="129"/>
      <c r="O3677" s="129"/>
      <c r="P3677" s="379"/>
      <c r="Q3677" s="129"/>
      <c r="R3677" s="380"/>
      <c r="S3677" s="129"/>
      <c r="T3677" s="129"/>
      <c r="W3677" s="129" t="s">
        <v>286</v>
      </c>
      <c r="X3677" s="337" t="b">
        <f t="shared" si="92"/>
        <v>0</v>
      </c>
    </row>
    <row r="3678" spans="1:24" ht="12" customHeight="1" outlineLevel="1">
      <c r="A3678" s="370"/>
      <c r="B3678" s="118" t="s">
        <v>12</v>
      </c>
      <c r="C3678" s="334" t="s">
        <v>11461</v>
      </c>
      <c r="D3678" s="124" t="s">
        <v>11462</v>
      </c>
      <c r="E3678" s="125"/>
      <c r="F3678" s="118" t="s">
        <v>828</v>
      </c>
      <c r="G3678" s="126" t="s">
        <v>11386</v>
      </c>
      <c r="H3678" s="255">
        <v>6</v>
      </c>
      <c r="I3678" s="361">
        <v>1</v>
      </c>
      <c r="J3678" s="371" t="s">
        <v>286</v>
      </c>
      <c r="K3678" s="377"/>
      <c r="L3678" s="129"/>
      <c r="M3678" s="378"/>
      <c r="N3678" s="129"/>
      <c r="O3678" s="129"/>
      <c r="P3678" s="379"/>
      <c r="Q3678" s="129"/>
      <c r="R3678" s="380"/>
      <c r="S3678" s="129"/>
      <c r="T3678" s="129"/>
      <c r="W3678" s="129" t="s">
        <v>286</v>
      </c>
      <c r="X3678" s="337" t="b">
        <f t="shared" si="92"/>
        <v>1</v>
      </c>
    </row>
    <row r="3679" spans="1:24" ht="12" customHeight="1" outlineLevel="1">
      <c r="A3679" s="370"/>
      <c r="B3679" s="118" t="s">
        <v>12</v>
      </c>
      <c r="C3679" s="334" t="s">
        <v>11463</v>
      </c>
      <c r="D3679" s="124" t="s">
        <v>11464</v>
      </c>
      <c r="E3679" s="125"/>
      <c r="F3679" s="118" t="s">
        <v>828</v>
      </c>
      <c r="G3679" s="126" t="s">
        <v>11386</v>
      </c>
      <c r="H3679" s="255">
        <v>6</v>
      </c>
      <c r="I3679" s="361">
        <v>1</v>
      </c>
      <c r="J3679" s="371" t="s">
        <v>286</v>
      </c>
      <c r="K3679" s="377"/>
      <c r="L3679" s="129"/>
      <c r="M3679" s="378"/>
      <c r="N3679" s="129"/>
      <c r="O3679" s="129"/>
      <c r="P3679" s="379"/>
      <c r="Q3679" s="129"/>
      <c r="R3679" s="380"/>
      <c r="S3679" s="129"/>
      <c r="T3679" s="129"/>
      <c r="W3679" s="129" t="s">
        <v>286</v>
      </c>
      <c r="X3679" s="337" t="b">
        <f t="shared" si="92"/>
        <v>1</v>
      </c>
    </row>
    <row r="3680" spans="1:24" ht="12" customHeight="1" outlineLevel="1">
      <c r="A3680" s="370"/>
      <c r="B3680" s="118" t="s">
        <v>12</v>
      </c>
      <c r="C3680" s="334" t="s">
        <v>11465</v>
      </c>
      <c r="D3680" s="124" t="s">
        <v>11466</v>
      </c>
      <c r="E3680" s="125"/>
      <c r="F3680" s="118" t="s">
        <v>828</v>
      </c>
      <c r="G3680" s="126" t="s">
        <v>11386</v>
      </c>
      <c r="H3680" s="255">
        <v>6</v>
      </c>
      <c r="I3680" s="361">
        <v>1</v>
      </c>
      <c r="J3680" s="371" t="s">
        <v>286</v>
      </c>
      <c r="K3680" s="377"/>
      <c r="L3680" s="129"/>
      <c r="M3680" s="378"/>
      <c r="N3680" s="129"/>
      <c r="O3680" s="129"/>
      <c r="P3680" s="379"/>
      <c r="Q3680" s="129"/>
      <c r="R3680" s="380"/>
      <c r="S3680" s="129"/>
      <c r="T3680" s="129"/>
      <c r="W3680" s="129" t="s">
        <v>286</v>
      </c>
      <c r="X3680" s="337" t="b">
        <f t="shared" si="92"/>
        <v>1</v>
      </c>
    </row>
    <row r="3681" spans="1:24" ht="12" customHeight="1" outlineLevel="1">
      <c r="A3681" s="370"/>
      <c r="B3681" s="118" t="s">
        <v>12</v>
      </c>
      <c r="C3681" s="334" t="s">
        <v>11467</v>
      </c>
      <c r="D3681" s="124" t="s">
        <v>11468</v>
      </c>
      <c r="E3681" s="125"/>
      <c r="F3681" s="118" t="s">
        <v>828</v>
      </c>
      <c r="G3681" s="126" t="s">
        <v>11386</v>
      </c>
      <c r="H3681" s="255">
        <v>6</v>
      </c>
      <c r="I3681" s="361">
        <v>1</v>
      </c>
      <c r="J3681" s="371" t="s">
        <v>286</v>
      </c>
      <c r="K3681" s="377"/>
      <c r="L3681" s="129"/>
      <c r="M3681" s="378"/>
      <c r="N3681" s="129"/>
      <c r="O3681" s="129"/>
      <c r="P3681" s="379"/>
      <c r="Q3681" s="129"/>
      <c r="R3681" s="380"/>
      <c r="S3681" s="129"/>
      <c r="T3681" s="129"/>
      <c r="W3681" s="129" t="s">
        <v>286</v>
      </c>
      <c r="X3681" s="337" t="b">
        <f t="shared" si="92"/>
        <v>1</v>
      </c>
    </row>
    <row r="3682" spans="1:24" ht="12" customHeight="1" outlineLevel="1">
      <c r="A3682" s="370"/>
      <c r="B3682" s="118" t="s">
        <v>12</v>
      </c>
      <c r="C3682" s="334" t="s">
        <v>11469</v>
      </c>
      <c r="D3682" s="124" t="s">
        <v>11470</v>
      </c>
      <c r="E3682" s="125"/>
      <c r="F3682" s="118" t="s">
        <v>828</v>
      </c>
      <c r="G3682" s="126" t="s">
        <v>11386</v>
      </c>
      <c r="H3682" s="255">
        <v>6</v>
      </c>
      <c r="I3682" s="361">
        <v>1</v>
      </c>
      <c r="J3682" s="371" t="s">
        <v>286</v>
      </c>
      <c r="K3682" s="377"/>
      <c r="L3682" s="129"/>
      <c r="M3682" s="378"/>
      <c r="N3682" s="129"/>
      <c r="O3682" s="129"/>
      <c r="P3682" s="379"/>
      <c r="Q3682" s="129"/>
      <c r="R3682" s="380"/>
      <c r="S3682" s="129"/>
      <c r="T3682" s="129"/>
      <c r="W3682" s="129" t="s">
        <v>286</v>
      </c>
      <c r="X3682" s="337" t="b">
        <f t="shared" si="92"/>
        <v>1</v>
      </c>
    </row>
    <row r="3683" spans="1:24" ht="12" customHeight="1" outlineLevel="1">
      <c r="A3683" s="370"/>
      <c r="B3683" s="118" t="s">
        <v>12</v>
      </c>
      <c r="C3683" s="334" t="s">
        <v>11471</v>
      </c>
      <c r="D3683" s="124" t="s">
        <v>11472</v>
      </c>
      <c r="E3683" s="125"/>
      <c r="F3683" s="118" t="s">
        <v>828</v>
      </c>
      <c r="G3683" s="126" t="s">
        <v>11386</v>
      </c>
      <c r="H3683" s="255">
        <v>6</v>
      </c>
      <c r="I3683" s="361">
        <v>1</v>
      </c>
      <c r="J3683" s="371" t="s">
        <v>286</v>
      </c>
      <c r="K3683" s="377"/>
      <c r="L3683" s="129"/>
      <c r="M3683" s="378"/>
      <c r="N3683" s="129"/>
      <c r="O3683" s="129"/>
      <c r="P3683" s="379"/>
      <c r="Q3683" s="129"/>
      <c r="R3683" s="380"/>
      <c r="S3683" s="129"/>
      <c r="T3683" s="129"/>
      <c r="W3683" s="129" t="s">
        <v>286</v>
      </c>
      <c r="X3683" s="337" t="b">
        <f t="shared" si="92"/>
        <v>1</v>
      </c>
    </row>
    <row r="3684" spans="1:24" ht="12" customHeight="1" outlineLevel="1">
      <c r="A3684" s="370"/>
      <c r="B3684" s="118" t="s">
        <v>12</v>
      </c>
      <c r="C3684" s="334" t="s">
        <v>11473</v>
      </c>
      <c r="D3684" s="124" t="s">
        <v>11474</v>
      </c>
      <c r="E3684" s="125"/>
      <c r="F3684" s="118" t="s">
        <v>828</v>
      </c>
      <c r="G3684" s="126" t="s">
        <v>11386</v>
      </c>
      <c r="H3684" s="255">
        <v>6</v>
      </c>
      <c r="I3684" s="361">
        <v>1</v>
      </c>
      <c r="J3684" s="371" t="s">
        <v>286</v>
      </c>
      <c r="K3684" s="377"/>
      <c r="L3684" s="129"/>
      <c r="M3684" s="378"/>
      <c r="N3684" s="129"/>
      <c r="O3684" s="129"/>
      <c r="P3684" s="379"/>
      <c r="Q3684" s="129"/>
      <c r="R3684" s="380"/>
      <c r="S3684" s="129"/>
      <c r="T3684" s="129"/>
      <c r="W3684" s="129" t="s">
        <v>286</v>
      </c>
      <c r="X3684" s="337" t="b">
        <f t="shared" si="92"/>
        <v>1</v>
      </c>
    </row>
    <row r="3685" spans="1:24" ht="12" customHeight="1" outlineLevel="1">
      <c r="A3685" s="370"/>
      <c r="B3685" s="118" t="s">
        <v>12</v>
      </c>
      <c r="C3685" s="334" t="s">
        <v>11475</v>
      </c>
      <c r="D3685" s="124" t="s">
        <v>11476</v>
      </c>
      <c r="E3685" s="125"/>
      <c r="F3685" s="118" t="s">
        <v>828</v>
      </c>
      <c r="G3685" s="126" t="s">
        <v>11386</v>
      </c>
      <c r="H3685" s="255">
        <v>6</v>
      </c>
      <c r="I3685" s="361">
        <v>1</v>
      </c>
      <c r="J3685" s="371" t="s">
        <v>286</v>
      </c>
      <c r="K3685" s="377"/>
      <c r="L3685" s="129"/>
      <c r="M3685" s="378"/>
      <c r="N3685" s="129"/>
      <c r="O3685" s="129"/>
      <c r="P3685" s="379"/>
      <c r="Q3685" s="129"/>
      <c r="R3685" s="380"/>
      <c r="S3685" s="129"/>
      <c r="T3685" s="129"/>
      <c r="W3685" s="129" t="s">
        <v>286</v>
      </c>
      <c r="X3685" s="337" t="b">
        <f t="shared" si="92"/>
        <v>1</v>
      </c>
    </row>
    <row r="3686" spans="1:24" ht="12" customHeight="1" outlineLevel="1">
      <c r="A3686" s="370"/>
      <c r="B3686" s="118" t="s">
        <v>12</v>
      </c>
      <c r="C3686" s="334" t="s">
        <v>11477</v>
      </c>
      <c r="D3686" s="124" t="s">
        <v>11478</v>
      </c>
      <c r="E3686" s="125"/>
      <c r="F3686" s="118" t="s">
        <v>828</v>
      </c>
      <c r="G3686" s="126" t="s">
        <v>11386</v>
      </c>
      <c r="H3686" s="255">
        <v>6</v>
      </c>
      <c r="I3686" s="361">
        <v>1</v>
      </c>
      <c r="J3686" s="371" t="s">
        <v>286</v>
      </c>
      <c r="K3686" s="377"/>
      <c r="L3686" s="129"/>
      <c r="M3686" s="378"/>
      <c r="N3686" s="129"/>
      <c r="O3686" s="129"/>
      <c r="P3686" s="379"/>
      <c r="Q3686" s="129"/>
      <c r="R3686" s="380"/>
      <c r="S3686" s="129"/>
      <c r="T3686" s="129"/>
      <c r="W3686" s="129" t="s">
        <v>286</v>
      </c>
      <c r="X3686" s="337" t="b">
        <f t="shared" si="92"/>
        <v>1</v>
      </c>
    </row>
    <row r="3687" spans="1:24" ht="12" customHeight="1" outlineLevel="1">
      <c r="A3687" s="370"/>
      <c r="B3687" s="118" t="s">
        <v>12</v>
      </c>
      <c r="C3687" s="334" t="s">
        <v>11479</v>
      </c>
      <c r="D3687" s="124" t="s">
        <v>11480</v>
      </c>
      <c r="E3687" s="125"/>
      <c r="F3687" s="118" t="s">
        <v>828</v>
      </c>
      <c r="G3687" s="126" t="s">
        <v>11386</v>
      </c>
      <c r="H3687" s="255">
        <v>6</v>
      </c>
      <c r="I3687" s="361">
        <v>1</v>
      </c>
      <c r="J3687" s="371" t="s">
        <v>286</v>
      </c>
      <c r="K3687" s="377"/>
      <c r="L3687" s="129"/>
      <c r="M3687" s="378"/>
      <c r="N3687" s="129"/>
      <c r="O3687" s="129"/>
      <c r="P3687" s="379"/>
      <c r="Q3687" s="129"/>
      <c r="R3687" s="380"/>
      <c r="S3687" s="129"/>
      <c r="T3687" s="129"/>
      <c r="W3687" s="129" t="s">
        <v>286</v>
      </c>
      <c r="X3687" s="337" t="b">
        <f t="shared" si="92"/>
        <v>1</v>
      </c>
    </row>
    <row r="3688" spans="1:24" ht="12" customHeight="1" outlineLevel="1">
      <c r="A3688" s="370"/>
      <c r="B3688" s="118" t="s">
        <v>12</v>
      </c>
      <c r="C3688" s="334" t="s">
        <v>11481</v>
      </c>
      <c r="D3688" s="124" t="s">
        <v>11482</v>
      </c>
      <c r="E3688" s="125"/>
      <c r="F3688" s="118" t="s">
        <v>828</v>
      </c>
      <c r="G3688" s="126" t="s">
        <v>11386</v>
      </c>
      <c r="H3688" s="255">
        <v>6</v>
      </c>
      <c r="I3688" s="361">
        <v>1</v>
      </c>
      <c r="J3688" s="371" t="s">
        <v>286</v>
      </c>
      <c r="K3688" s="377"/>
      <c r="L3688" s="129"/>
      <c r="M3688" s="378"/>
      <c r="N3688" s="129"/>
      <c r="O3688" s="129"/>
      <c r="P3688" s="379"/>
      <c r="Q3688" s="129"/>
      <c r="R3688" s="380"/>
      <c r="S3688" s="129"/>
      <c r="T3688" s="129"/>
      <c r="W3688" s="129" t="s">
        <v>286</v>
      </c>
      <c r="X3688" s="337" t="b">
        <f t="shared" si="92"/>
        <v>1</v>
      </c>
    </row>
    <row r="3689" spans="1:24" ht="12" customHeight="1" outlineLevel="1">
      <c r="A3689" s="370"/>
      <c r="B3689" s="118" t="s">
        <v>12</v>
      </c>
      <c r="C3689" s="334" t="s">
        <v>11483</v>
      </c>
      <c r="D3689" s="124" t="s">
        <v>11484</v>
      </c>
      <c r="E3689" s="125"/>
      <c r="F3689" s="118" t="s">
        <v>828</v>
      </c>
      <c r="G3689" s="126" t="s">
        <v>11386</v>
      </c>
      <c r="H3689" s="255">
        <v>6</v>
      </c>
      <c r="I3689" s="361">
        <v>1</v>
      </c>
      <c r="J3689" s="371" t="s">
        <v>286</v>
      </c>
      <c r="K3689" s="377"/>
      <c r="L3689" s="129"/>
      <c r="M3689" s="378"/>
      <c r="N3689" s="129"/>
      <c r="O3689" s="129"/>
      <c r="P3689" s="379"/>
      <c r="Q3689" s="129"/>
      <c r="R3689" s="380"/>
      <c r="S3689" s="129"/>
      <c r="T3689" s="129"/>
      <c r="W3689" s="129" t="s">
        <v>286</v>
      </c>
      <c r="X3689" s="337" t="b">
        <f t="shared" si="92"/>
        <v>1</v>
      </c>
    </row>
    <row r="3690" spans="1:24" ht="12" customHeight="1" outlineLevel="1">
      <c r="A3690" s="370"/>
      <c r="B3690" s="118" t="s">
        <v>12</v>
      </c>
      <c r="C3690" s="334" t="s">
        <v>11485</v>
      </c>
      <c r="D3690" s="124" t="s">
        <v>11486</v>
      </c>
      <c r="E3690" s="125"/>
      <c r="F3690" s="118" t="s">
        <v>828</v>
      </c>
      <c r="G3690" s="126" t="s">
        <v>11386</v>
      </c>
      <c r="H3690" s="255">
        <v>6</v>
      </c>
      <c r="I3690" s="361">
        <v>1</v>
      </c>
      <c r="J3690" s="371" t="s">
        <v>310</v>
      </c>
      <c r="K3690" s="377"/>
      <c r="L3690" s="129"/>
      <c r="M3690" s="378"/>
      <c r="N3690" s="129"/>
      <c r="O3690" s="129"/>
      <c r="P3690" s="379"/>
      <c r="Q3690" s="129"/>
      <c r="R3690" s="380"/>
      <c r="S3690" s="129"/>
      <c r="T3690" s="129"/>
      <c r="W3690" s="129" t="s">
        <v>286</v>
      </c>
      <c r="X3690" s="337" t="b">
        <f t="shared" si="92"/>
        <v>0</v>
      </c>
    </row>
    <row r="3691" spans="1:24" ht="12" customHeight="1" outlineLevel="1">
      <c r="A3691" s="370"/>
      <c r="B3691" s="118" t="s">
        <v>12</v>
      </c>
      <c r="C3691" s="334" t="s">
        <v>11487</v>
      </c>
      <c r="D3691" s="124" t="s">
        <v>11488</v>
      </c>
      <c r="E3691" s="125"/>
      <c r="F3691" s="118" t="s">
        <v>828</v>
      </c>
      <c r="G3691" s="126" t="s">
        <v>11386</v>
      </c>
      <c r="H3691" s="255">
        <v>6</v>
      </c>
      <c r="I3691" s="361">
        <v>1</v>
      </c>
      <c r="J3691" s="371" t="s">
        <v>310</v>
      </c>
      <c r="K3691" s="377"/>
      <c r="L3691" s="129"/>
      <c r="M3691" s="378"/>
      <c r="N3691" s="129"/>
      <c r="O3691" s="129"/>
      <c r="P3691" s="379"/>
      <c r="Q3691" s="129"/>
      <c r="R3691" s="380"/>
      <c r="S3691" s="129"/>
      <c r="T3691" s="129"/>
      <c r="W3691" s="129" t="s">
        <v>286</v>
      </c>
      <c r="X3691" s="337" t="b">
        <f t="shared" si="92"/>
        <v>0</v>
      </c>
    </row>
    <row r="3692" spans="1:24" ht="12" customHeight="1" outlineLevel="1">
      <c r="A3692" s="370"/>
      <c r="B3692" s="118" t="s">
        <v>12</v>
      </c>
      <c r="C3692" s="334" t="s">
        <v>11489</v>
      </c>
      <c r="D3692" s="124" t="s">
        <v>11490</v>
      </c>
      <c r="E3692" s="125"/>
      <c r="F3692" s="118" t="s">
        <v>828</v>
      </c>
      <c r="G3692" s="126" t="s">
        <v>11386</v>
      </c>
      <c r="H3692" s="255">
        <v>6</v>
      </c>
      <c r="I3692" s="361">
        <v>1</v>
      </c>
      <c r="J3692" s="371" t="s">
        <v>286</v>
      </c>
      <c r="K3692" s="377"/>
      <c r="L3692" s="129"/>
      <c r="M3692" s="378"/>
      <c r="N3692" s="129"/>
      <c r="O3692" s="129"/>
      <c r="P3692" s="379"/>
      <c r="Q3692" s="129"/>
      <c r="R3692" s="380"/>
      <c r="S3692" s="129"/>
      <c r="T3692" s="129"/>
      <c r="W3692" s="129" t="s">
        <v>286</v>
      </c>
      <c r="X3692" s="337" t="b">
        <f t="shared" si="92"/>
        <v>1</v>
      </c>
    </row>
    <row r="3693" spans="1:24" ht="12" customHeight="1" outlineLevel="1">
      <c r="A3693" s="370"/>
      <c r="B3693" s="118" t="s">
        <v>12</v>
      </c>
      <c r="C3693" s="334" t="s">
        <v>11491</v>
      </c>
      <c r="D3693" s="124" t="s">
        <v>11492</v>
      </c>
      <c r="E3693" s="125"/>
      <c r="F3693" s="118" t="s">
        <v>828</v>
      </c>
      <c r="G3693" s="126" t="s">
        <v>11386</v>
      </c>
      <c r="H3693" s="255">
        <v>6</v>
      </c>
      <c r="I3693" s="361">
        <v>1</v>
      </c>
      <c r="J3693" s="371" t="s">
        <v>310</v>
      </c>
      <c r="K3693" s="377"/>
      <c r="L3693" s="129"/>
      <c r="M3693" s="378"/>
      <c r="N3693" s="129"/>
      <c r="O3693" s="129"/>
      <c r="P3693" s="379"/>
      <c r="Q3693" s="129"/>
      <c r="R3693" s="380"/>
      <c r="S3693" s="129"/>
      <c r="T3693" s="129"/>
      <c r="W3693" s="129" t="s">
        <v>286</v>
      </c>
      <c r="X3693" s="337" t="b">
        <f t="shared" si="92"/>
        <v>0</v>
      </c>
    </row>
    <row r="3694" spans="1:24" ht="12" customHeight="1" outlineLevel="1">
      <c r="A3694" s="370"/>
      <c r="B3694" s="118" t="s">
        <v>12</v>
      </c>
      <c r="C3694" s="334" t="s">
        <v>11493</v>
      </c>
      <c r="D3694" s="124" t="s">
        <v>11494</v>
      </c>
      <c r="E3694" s="125"/>
      <c r="F3694" s="118" t="s">
        <v>828</v>
      </c>
      <c r="G3694" s="126" t="s">
        <v>11386</v>
      </c>
      <c r="H3694" s="255">
        <v>6</v>
      </c>
      <c r="I3694" s="361">
        <v>1</v>
      </c>
      <c r="J3694" s="371" t="s">
        <v>286</v>
      </c>
      <c r="K3694" s="377"/>
      <c r="L3694" s="129"/>
      <c r="M3694" s="378"/>
      <c r="N3694" s="129"/>
      <c r="O3694" s="129"/>
      <c r="P3694" s="379"/>
      <c r="Q3694" s="129"/>
      <c r="R3694" s="380"/>
      <c r="S3694" s="129"/>
      <c r="T3694" s="129"/>
      <c r="W3694" s="129" t="s">
        <v>286</v>
      </c>
      <c r="X3694" s="337" t="b">
        <f t="shared" si="92"/>
        <v>1</v>
      </c>
    </row>
    <row r="3695" spans="1:24" ht="12" customHeight="1" outlineLevel="1">
      <c r="A3695" s="370"/>
      <c r="B3695" s="118" t="s">
        <v>12</v>
      </c>
      <c r="C3695" s="334" t="s">
        <v>11495</v>
      </c>
      <c r="D3695" s="124" t="s">
        <v>11496</v>
      </c>
      <c r="E3695" s="125"/>
      <c r="F3695" s="118" t="s">
        <v>828</v>
      </c>
      <c r="G3695" s="126" t="s">
        <v>11386</v>
      </c>
      <c r="H3695" s="255">
        <v>6</v>
      </c>
      <c r="I3695" s="361">
        <v>1</v>
      </c>
      <c r="J3695" s="371" t="s">
        <v>286</v>
      </c>
      <c r="K3695" s="377"/>
      <c r="L3695" s="129"/>
      <c r="M3695" s="378"/>
      <c r="N3695" s="129"/>
      <c r="O3695" s="129"/>
      <c r="P3695" s="379"/>
      <c r="Q3695" s="129"/>
      <c r="R3695" s="380"/>
      <c r="S3695" s="129"/>
      <c r="T3695" s="129"/>
      <c r="W3695" s="129" t="s">
        <v>286</v>
      </c>
      <c r="X3695" s="337" t="b">
        <f t="shared" si="92"/>
        <v>1</v>
      </c>
    </row>
    <row r="3696" spans="1:24" ht="12" customHeight="1" outlineLevel="1">
      <c r="A3696" s="370"/>
      <c r="B3696" s="118" t="s">
        <v>12</v>
      </c>
      <c r="C3696" s="334" t="s">
        <v>11497</v>
      </c>
      <c r="D3696" s="124" t="s">
        <v>11498</v>
      </c>
      <c r="E3696" s="125"/>
      <c r="F3696" s="118" t="s">
        <v>828</v>
      </c>
      <c r="G3696" s="126" t="s">
        <v>11386</v>
      </c>
      <c r="H3696" s="255">
        <v>6</v>
      </c>
      <c r="I3696" s="361">
        <v>1</v>
      </c>
      <c r="J3696" s="371" t="s">
        <v>286</v>
      </c>
      <c r="K3696" s="377"/>
      <c r="L3696" s="129"/>
      <c r="M3696" s="378"/>
      <c r="N3696" s="129"/>
      <c r="O3696" s="129"/>
      <c r="P3696" s="379"/>
      <c r="Q3696" s="129"/>
      <c r="R3696" s="380"/>
      <c r="S3696" s="129"/>
      <c r="T3696" s="129"/>
      <c r="W3696" s="129" t="s">
        <v>286</v>
      </c>
      <c r="X3696" s="337" t="b">
        <f t="shared" si="92"/>
        <v>1</v>
      </c>
    </row>
    <row r="3697" spans="1:24" ht="12" customHeight="1" outlineLevel="1">
      <c r="A3697" s="370"/>
      <c r="B3697" s="118" t="s">
        <v>12</v>
      </c>
      <c r="C3697" s="334" t="s">
        <v>11499</v>
      </c>
      <c r="D3697" s="124" t="s">
        <v>11500</v>
      </c>
      <c r="E3697" s="125"/>
      <c r="F3697" s="118" t="s">
        <v>828</v>
      </c>
      <c r="G3697" s="126" t="s">
        <v>11386</v>
      </c>
      <c r="H3697" s="255">
        <v>6</v>
      </c>
      <c r="I3697" s="361">
        <v>1</v>
      </c>
      <c r="J3697" s="371" t="s">
        <v>286</v>
      </c>
      <c r="K3697" s="377"/>
      <c r="L3697" s="129"/>
      <c r="M3697" s="378"/>
      <c r="N3697" s="129"/>
      <c r="O3697" s="129"/>
      <c r="P3697" s="379"/>
      <c r="Q3697" s="129"/>
      <c r="R3697" s="380"/>
      <c r="S3697" s="129"/>
      <c r="T3697" s="129"/>
      <c r="W3697" s="129" t="s">
        <v>286</v>
      </c>
      <c r="X3697" s="337" t="b">
        <f t="shared" si="92"/>
        <v>1</v>
      </c>
    </row>
    <row r="3698" spans="1:24" ht="12" customHeight="1" outlineLevel="1">
      <c r="A3698" s="370"/>
      <c r="B3698" s="118" t="s">
        <v>12</v>
      </c>
      <c r="C3698" s="334" t="s">
        <v>11501</v>
      </c>
      <c r="D3698" s="124" t="s">
        <v>11502</v>
      </c>
      <c r="E3698" s="125"/>
      <c r="F3698" s="118" t="s">
        <v>828</v>
      </c>
      <c r="G3698" s="126" t="s">
        <v>11386</v>
      </c>
      <c r="H3698" s="255">
        <v>6</v>
      </c>
      <c r="I3698" s="361">
        <v>1</v>
      </c>
      <c r="J3698" s="371" t="s">
        <v>286</v>
      </c>
      <c r="K3698" s="377"/>
      <c r="L3698" s="129"/>
      <c r="M3698" s="378"/>
      <c r="N3698" s="129"/>
      <c r="O3698" s="129"/>
      <c r="P3698" s="379"/>
      <c r="Q3698" s="129"/>
      <c r="R3698" s="380"/>
      <c r="S3698" s="129"/>
      <c r="T3698" s="129"/>
      <c r="W3698" s="129" t="s">
        <v>286</v>
      </c>
      <c r="X3698" s="337" t="b">
        <f t="shared" si="92"/>
        <v>1</v>
      </c>
    </row>
    <row r="3699" spans="1:24" ht="12" customHeight="1" outlineLevel="1">
      <c r="A3699" s="370"/>
      <c r="B3699" s="118" t="s">
        <v>12</v>
      </c>
      <c r="C3699" s="334" t="s">
        <v>11503</v>
      </c>
      <c r="D3699" s="124" t="s">
        <v>11504</v>
      </c>
      <c r="E3699" s="125"/>
      <c r="F3699" s="118" t="s">
        <v>828</v>
      </c>
      <c r="G3699" s="126" t="s">
        <v>11386</v>
      </c>
      <c r="H3699" s="255">
        <v>6</v>
      </c>
      <c r="I3699" s="361">
        <v>1</v>
      </c>
      <c r="J3699" s="371" t="s">
        <v>286</v>
      </c>
      <c r="K3699" s="377"/>
      <c r="L3699" s="129"/>
      <c r="M3699" s="378"/>
      <c r="N3699" s="129"/>
      <c r="O3699" s="129"/>
      <c r="P3699" s="379"/>
      <c r="Q3699" s="129"/>
      <c r="R3699" s="380"/>
      <c r="S3699" s="129"/>
      <c r="T3699" s="129"/>
      <c r="W3699" s="129" t="s">
        <v>286</v>
      </c>
      <c r="X3699" s="337" t="b">
        <f t="shared" si="92"/>
        <v>1</v>
      </c>
    </row>
    <row r="3700" spans="1:24" ht="12" customHeight="1" outlineLevel="1">
      <c r="A3700" s="370"/>
      <c r="B3700" s="118" t="s">
        <v>12</v>
      </c>
      <c r="C3700" s="334" t="s">
        <v>11505</v>
      </c>
      <c r="D3700" s="124" t="s">
        <v>11506</v>
      </c>
      <c r="E3700" s="125"/>
      <c r="F3700" s="118" t="s">
        <v>828</v>
      </c>
      <c r="G3700" s="126" t="s">
        <v>11386</v>
      </c>
      <c r="H3700" s="255">
        <v>6</v>
      </c>
      <c r="I3700" s="361">
        <v>1</v>
      </c>
      <c r="J3700" s="371" t="s">
        <v>310</v>
      </c>
      <c r="K3700" s="377"/>
      <c r="L3700" s="129"/>
      <c r="M3700" s="378"/>
      <c r="N3700" s="129"/>
      <c r="O3700" s="129"/>
      <c r="P3700" s="379"/>
      <c r="Q3700" s="129"/>
      <c r="R3700" s="380"/>
      <c r="S3700" s="129"/>
      <c r="T3700" s="129"/>
      <c r="W3700" s="129" t="s">
        <v>286</v>
      </c>
      <c r="X3700" s="337" t="b">
        <f t="shared" si="92"/>
        <v>0</v>
      </c>
    </row>
    <row r="3701" spans="1:24" ht="12" customHeight="1" outlineLevel="1">
      <c r="A3701" s="370"/>
      <c r="B3701" s="118" t="s">
        <v>12</v>
      </c>
      <c r="C3701" s="334" t="s">
        <v>11507</v>
      </c>
      <c r="D3701" s="124" t="s">
        <v>11508</v>
      </c>
      <c r="E3701" s="125"/>
      <c r="F3701" s="118" t="s">
        <v>828</v>
      </c>
      <c r="G3701" s="126" t="s">
        <v>11386</v>
      </c>
      <c r="H3701" s="255">
        <v>6</v>
      </c>
      <c r="I3701" s="361">
        <v>1</v>
      </c>
      <c r="J3701" s="371" t="s">
        <v>286</v>
      </c>
      <c r="K3701" s="377"/>
      <c r="L3701" s="129"/>
      <c r="M3701" s="378"/>
      <c r="N3701" s="129"/>
      <c r="O3701" s="129"/>
      <c r="P3701" s="379"/>
      <c r="Q3701" s="129"/>
      <c r="R3701" s="380"/>
      <c r="S3701" s="129"/>
      <c r="T3701" s="129"/>
      <c r="W3701" s="129" t="s">
        <v>286</v>
      </c>
      <c r="X3701" s="337" t="b">
        <f t="shared" si="92"/>
        <v>1</v>
      </c>
    </row>
    <row r="3702" spans="1:24" ht="12" customHeight="1" outlineLevel="1">
      <c r="A3702" s="370"/>
      <c r="B3702" s="118" t="s">
        <v>12</v>
      </c>
      <c r="C3702" s="334" t="s">
        <v>11509</v>
      </c>
      <c r="D3702" s="124" t="s">
        <v>11510</v>
      </c>
      <c r="E3702" s="125"/>
      <c r="F3702" s="118" t="s">
        <v>828</v>
      </c>
      <c r="G3702" s="126" t="s">
        <v>11386</v>
      </c>
      <c r="H3702" s="255">
        <v>6</v>
      </c>
      <c r="I3702" s="361">
        <v>1</v>
      </c>
      <c r="J3702" s="371" t="s">
        <v>310</v>
      </c>
      <c r="K3702" s="377"/>
      <c r="L3702" s="129"/>
      <c r="M3702" s="378"/>
      <c r="N3702" s="129"/>
      <c r="O3702" s="129"/>
      <c r="P3702" s="379"/>
      <c r="Q3702" s="129"/>
      <c r="R3702" s="380"/>
      <c r="S3702" s="129"/>
      <c r="T3702" s="129"/>
      <c r="W3702" s="129" t="s">
        <v>286</v>
      </c>
      <c r="X3702" s="337" t="b">
        <f t="shared" si="92"/>
        <v>0</v>
      </c>
    </row>
    <row r="3703" spans="1:24" ht="12" customHeight="1" outlineLevel="1">
      <c r="A3703" s="370"/>
      <c r="B3703" s="118" t="s">
        <v>12</v>
      </c>
      <c r="C3703" s="334" t="s">
        <v>11511</v>
      </c>
      <c r="D3703" s="124" t="s">
        <v>11512</v>
      </c>
      <c r="E3703" s="125"/>
      <c r="F3703" s="118" t="s">
        <v>828</v>
      </c>
      <c r="G3703" s="126" t="s">
        <v>11386</v>
      </c>
      <c r="H3703" s="255">
        <v>6</v>
      </c>
      <c r="I3703" s="361">
        <v>1</v>
      </c>
      <c r="J3703" s="371" t="s">
        <v>286</v>
      </c>
      <c r="K3703" s="377"/>
      <c r="L3703" s="129"/>
      <c r="M3703" s="378"/>
      <c r="N3703" s="129"/>
      <c r="O3703" s="129"/>
      <c r="P3703" s="379"/>
      <c r="Q3703" s="129"/>
      <c r="R3703" s="380"/>
      <c r="S3703" s="129"/>
      <c r="T3703" s="129"/>
      <c r="W3703" s="129" t="s">
        <v>286</v>
      </c>
      <c r="X3703" s="337" t="b">
        <f t="shared" si="92"/>
        <v>1</v>
      </c>
    </row>
    <row r="3704" spans="1:24" ht="12" customHeight="1" outlineLevel="1">
      <c r="A3704" s="370"/>
      <c r="B3704" s="118" t="s">
        <v>12</v>
      </c>
      <c r="C3704" s="334" t="s">
        <v>11513</v>
      </c>
      <c r="D3704" s="124" t="s">
        <v>11514</v>
      </c>
      <c r="E3704" s="125"/>
      <c r="F3704" s="118" t="s">
        <v>828</v>
      </c>
      <c r="G3704" s="126" t="s">
        <v>11386</v>
      </c>
      <c r="H3704" s="255">
        <v>6</v>
      </c>
      <c r="I3704" s="361">
        <v>1</v>
      </c>
      <c r="J3704" s="371" t="s">
        <v>286</v>
      </c>
      <c r="K3704" s="377"/>
      <c r="L3704" s="129"/>
      <c r="M3704" s="378"/>
      <c r="N3704" s="129"/>
      <c r="O3704" s="129"/>
      <c r="P3704" s="379"/>
      <c r="Q3704" s="129"/>
      <c r="R3704" s="380"/>
      <c r="S3704" s="129"/>
      <c r="T3704" s="129"/>
      <c r="W3704" s="129" t="s">
        <v>286</v>
      </c>
      <c r="X3704" s="337" t="b">
        <f t="shared" si="92"/>
        <v>1</v>
      </c>
    </row>
    <row r="3705" spans="1:24" ht="12" customHeight="1" outlineLevel="1">
      <c r="A3705" s="370"/>
      <c r="B3705" s="118" t="s">
        <v>12</v>
      </c>
      <c r="C3705" s="334" t="s">
        <v>11515</v>
      </c>
      <c r="D3705" s="124" t="s">
        <v>11516</v>
      </c>
      <c r="E3705" s="125"/>
      <c r="F3705" s="118" t="s">
        <v>828</v>
      </c>
      <c r="G3705" s="126" t="s">
        <v>11386</v>
      </c>
      <c r="H3705" s="255">
        <v>6</v>
      </c>
      <c r="I3705" s="361">
        <v>1</v>
      </c>
      <c r="J3705" s="371" t="s">
        <v>286</v>
      </c>
      <c r="K3705" s="377"/>
      <c r="L3705" s="129"/>
      <c r="M3705" s="378"/>
      <c r="N3705" s="129"/>
      <c r="O3705" s="129"/>
      <c r="P3705" s="379"/>
      <c r="Q3705" s="129"/>
      <c r="R3705" s="380"/>
      <c r="S3705" s="129"/>
      <c r="T3705" s="129"/>
      <c r="W3705" s="129" t="s">
        <v>286</v>
      </c>
      <c r="X3705" s="337" t="b">
        <f t="shared" si="92"/>
        <v>1</v>
      </c>
    </row>
    <row r="3706" spans="1:24" ht="12" customHeight="1" outlineLevel="1">
      <c r="A3706" s="370"/>
      <c r="B3706" s="118" t="s">
        <v>12</v>
      </c>
      <c r="C3706" s="334" t="s">
        <v>11517</v>
      </c>
      <c r="D3706" s="124" t="s">
        <v>11518</v>
      </c>
      <c r="E3706" s="125"/>
      <c r="F3706" s="118" t="s">
        <v>828</v>
      </c>
      <c r="G3706" s="126" t="s">
        <v>11386</v>
      </c>
      <c r="H3706" s="255">
        <v>6</v>
      </c>
      <c r="I3706" s="361">
        <v>1</v>
      </c>
      <c r="J3706" s="371" t="s">
        <v>286</v>
      </c>
      <c r="K3706" s="377"/>
      <c r="L3706" s="129"/>
      <c r="M3706" s="378"/>
      <c r="N3706" s="129"/>
      <c r="O3706" s="129"/>
      <c r="P3706" s="379"/>
      <c r="Q3706" s="129"/>
      <c r="R3706" s="380"/>
      <c r="S3706" s="129"/>
      <c r="T3706" s="129"/>
      <c r="W3706" s="129" t="s">
        <v>286</v>
      </c>
      <c r="X3706" s="337" t="b">
        <f t="shared" si="92"/>
        <v>1</v>
      </c>
    </row>
    <row r="3707" spans="1:24" ht="12" customHeight="1" outlineLevel="1">
      <c r="A3707" s="370"/>
      <c r="B3707" s="118" t="s">
        <v>12</v>
      </c>
      <c r="C3707" s="334" t="s">
        <v>11519</v>
      </c>
      <c r="D3707" s="124" t="s">
        <v>11520</v>
      </c>
      <c r="E3707" s="125"/>
      <c r="F3707" s="118" t="s">
        <v>828</v>
      </c>
      <c r="G3707" s="126" t="s">
        <v>11386</v>
      </c>
      <c r="H3707" s="255">
        <v>6</v>
      </c>
      <c r="I3707" s="361">
        <v>1</v>
      </c>
      <c r="J3707" s="371" t="s">
        <v>286</v>
      </c>
      <c r="K3707" s="377"/>
      <c r="L3707" s="129"/>
      <c r="M3707" s="378"/>
      <c r="N3707" s="129"/>
      <c r="O3707" s="129"/>
      <c r="P3707" s="379"/>
      <c r="Q3707" s="129"/>
      <c r="R3707" s="380"/>
      <c r="S3707" s="129"/>
      <c r="T3707" s="129"/>
      <c r="W3707" s="129" t="s">
        <v>286</v>
      </c>
      <c r="X3707" s="337" t="b">
        <f t="shared" si="92"/>
        <v>1</v>
      </c>
    </row>
    <row r="3708" spans="1:24" ht="12" customHeight="1" outlineLevel="1">
      <c r="A3708" s="370"/>
      <c r="B3708" s="118" t="s">
        <v>12</v>
      </c>
      <c r="C3708" s="334" t="s">
        <v>11521</v>
      </c>
      <c r="D3708" s="124" t="s">
        <v>11522</v>
      </c>
      <c r="E3708" s="125"/>
      <c r="F3708" s="118" t="s">
        <v>828</v>
      </c>
      <c r="G3708" s="126" t="s">
        <v>11386</v>
      </c>
      <c r="H3708" s="255">
        <v>6</v>
      </c>
      <c r="I3708" s="361">
        <v>1</v>
      </c>
      <c r="J3708" s="371" t="s">
        <v>286</v>
      </c>
      <c r="K3708" s="377"/>
      <c r="L3708" s="129"/>
      <c r="M3708" s="378"/>
      <c r="N3708" s="129"/>
      <c r="O3708" s="129"/>
      <c r="P3708" s="379"/>
      <c r="Q3708" s="129"/>
      <c r="R3708" s="380"/>
      <c r="S3708" s="129"/>
      <c r="T3708" s="129"/>
      <c r="W3708" s="129" t="s">
        <v>286</v>
      </c>
      <c r="X3708" s="337" t="b">
        <f t="shared" si="92"/>
        <v>1</v>
      </c>
    </row>
    <row r="3709" spans="1:24" ht="12" customHeight="1" outlineLevel="1">
      <c r="A3709" s="370"/>
      <c r="B3709" s="118" t="s">
        <v>12</v>
      </c>
      <c r="C3709" s="334" t="s">
        <v>11523</v>
      </c>
      <c r="D3709" s="124" t="s">
        <v>11524</v>
      </c>
      <c r="E3709" s="125"/>
      <c r="F3709" s="118" t="s">
        <v>828</v>
      </c>
      <c r="G3709" s="126" t="s">
        <v>11386</v>
      </c>
      <c r="H3709" s="255">
        <v>6</v>
      </c>
      <c r="I3709" s="361">
        <v>1</v>
      </c>
      <c r="J3709" s="371" t="s">
        <v>286</v>
      </c>
      <c r="K3709" s="377"/>
      <c r="L3709" s="129"/>
      <c r="M3709" s="378"/>
      <c r="N3709" s="129"/>
      <c r="O3709" s="129"/>
      <c r="P3709" s="379"/>
      <c r="Q3709" s="129"/>
      <c r="R3709" s="380"/>
      <c r="S3709" s="129"/>
      <c r="T3709" s="129"/>
      <c r="W3709" s="129" t="s">
        <v>286</v>
      </c>
      <c r="X3709" s="337" t="b">
        <f t="shared" si="92"/>
        <v>1</v>
      </c>
    </row>
    <row r="3710" spans="1:24" ht="12" customHeight="1" outlineLevel="1">
      <c r="A3710" s="370"/>
      <c r="B3710" s="118" t="s">
        <v>12</v>
      </c>
      <c r="C3710" s="334" t="s">
        <v>11525</v>
      </c>
      <c r="D3710" s="124" t="s">
        <v>11526</v>
      </c>
      <c r="E3710" s="125"/>
      <c r="F3710" s="118" t="s">
        <v>828</v>
      </c>
      <c r="G3710" s="126" t="s">
        <v>11386</v>
      </c>
      <c r="H3710" s="255">
        <v>6</v>
      </c>
      <c r="I3710" s="361">
        <v>1</v>
      </c>
      <c r="J3710" s="371" t="s">
        <v>286</v>
      </c>
      <c r="K3710" s="377"/>
      <c r="L3710" s="129"/>
      <c r="M3710" s="378"/>
      <c r="N3710" s="129"/>
      <c r="O3710" s="129"/>
      <c r="P3710" s="379"/>
      <c r="Q3710" s="129"/>
      <c r="R3710" s="380"/>
      <c r="S3710" s="129"/>
      <c r="T3710" s="129"/>
      <c r="W3710" s="129" t="s">
        <v>286</v>
      </c>
      <c r="X3710" s="337" t="b">
        <f t="shared" si="92"/>
        <v>1</v>
      </c>
    </row>
    <row r="3711" spans="1:24" ht="12" customHeight="1" outlineLevel="1">
      <c r="A3711" s="370"/>
      <c r="B3711" s="118" t="s">
        <v>12</v>
      </c>
      <c r="C3711" s="334" t="s">
        <v>11527</v>
      </c>
      <c r="D3711" s="124" t="s">
        <v>11528</v>
      </c>
      <c r="E3711" s="125"/>
      <c r="F3711" s="118" t="s">
        <v>828</v>
      </c>
      <c r="G3711" s="126" t="s">
        <v>11386</v>
      </c>
      <c r="H3711" s="255">
        <v>6</v>
      </c>
      <c r="I3711" s="361">
        <v>1</v>
      </c>
      <c r="J3711" s="371" t="s">
        <v>286</v>
      </c>
      <c r="K3711" s="377"/>
      <c r="L3711" s="129"/>
      <c r="M3711" s="378"/>
      <c r="N3711" s="129"/>
      <c r="O3711" s="129"/>
      <c r="P3711" s="379"/>
      <c r="Q3711" s="129"/>
      <c r="R3711" s="380"/>
      <c r="S3711" s="129"/>
      <c r="T3711" s="129"/>
      <c r="W3711" s="129" t="s">
        <v>286</v>
      </c>
      <c r="X3711" s="337" t="b">
        <f t="shared" si="92"/>
        <v>1</v>
      </c>
    </row>
    <row r="3712" spans="1:24" ht="12" customHeight="1" outlineLevel="1">
      <c r="A3712" s="370"/>
      <c r="B3712" s="118" t="s">
        <v>12</v>
      </c>
      <c r="C3712" s="334" t="s">
        <v>11529</v>
      </c>
      <c r="D3712" s="124" t="s">
        <v>11530</v>
      </c>
      <c r="E3712" s="125"/>
      <c r="F3712" s="118" t="s">
        <v>828</v>
      </c>
      <c r="G3712" s="126" t="s">
        <v>11386</v>
      </c>
      <c r="H3712" s="255">
        <v>6</v>
      </c>
      <c r="I3712" s="361">
        <v>1</v>
      </c>
      <c r="J3712" s="371" t="s">
        <v>286</v>
      </c>
      <c r="K3712" s="377"/>
      <c r="L3712" s="129"/>
      <c r="M3712" s="378"/>
      <c r="N3712" s="129"/>
      <c r="O3712" s="129"/>
      <c r="P3712" s="379"/>
      <c r="Q3712" s="129"/>
      <c r="R3712" s="380"/>
      <c r="S3712" s="129"/>
      <c r="T3712" s="129"/>
      <c r="W3712" s="129" t="s">
        <v>286</v>
      </c>
      <c r="X3712" s="337" t="b">
        <f t="shared" si="92"/>
        <v>1</v>
      </c>
    </row>
    <row r="3713" spans="1:24" ht="12" customHeight="1" outlineLevel="1">
      <c r="A3713" s="370"/>
      <c r="B3713" s="118" t="s">
        <v>12</v>
      </c>
      <c r="C3713" s="334" t="s">
        <v>11531</v>
      </c>
      <c r="D3713" s="124" t="s">
        <v>11532</v>
      </c>
      <c r="E3713" s="125"/>
      <c r="F3713" s="118" t="s">
        <v>828</v>
      </c>
      <c r="G3713" s="126" t="s">
        <v>11386</v>
      </c>
      <c r="H3713" s="255">
        <v>6</v>
      </c>
      <c r="I3713" s="361">
        <v>1</v>
      </c>
      <c r="J3713" s="371" t="s">
        <v>286</v>
      </c>
      <c r="K3713" s="377"/>
      <c r="L3713" s="129"/>
      <c r="M3713" s="378"/>
      <c r="N3713" s="129"/>
      <c r="O3713" s="129"/>
      <c r="P3713" s="379"/>
      <c r="Q3713" s="129"/>
      <c r="R3713" s="380"/>
      <c r="S3713" s="129"/>
      <c r="T3713" s="129"/>
      <c r="W3713" s="129" t="s">
        <v>286</v>
      </c>
      <c r="X3713" s="337" t="b">
        <f t="shared" si="92"/>
        <v>1</v>
      </c>
    </row>
    <row r="3714" spans="1:24" ht="12" customHeight="1" outlineLevel="1">
      <c r="A3714" s="370"/>
      <c r="B3714" s="118" t="s">
        <v>12</v>
      </c>
      <c r="C3714" s="334" t="s">
        <v>11533</v>
      </c>
      <c r="D3714" s="124" t="s">
        <v>11534</v>
      </c>
      <c r="E3714" s="125"/>
      <c r="F3714" s="118" t="s">
        <v>828</v>
      </c>
      <c r="G3714" s="126" t="s">
        <v>11386</v>
      </c>
      <c r="H3714" s="255">
        <v>6</v>
      </c>
      <c r="I3714" s="361">
        <v>1</v>
      </c>
      <c r="J3714" s="371" t="s">
        <v>286</v>
      </c>
      <c r="K3714" s="377"/>
      <c r="L3714" s="129"/>
      <c r="M3714" s="378"/>
      <c r="N3714" s="129"/>
      <c r="O3714" s="129"/>
      <c r="P3714" s="379"/>
      <c r="Q3714" s="129"/>
      <c r="R3714" s="380"/>
      <c r="S3714" s="129"/>
      <c r="T3714" s="129"/>
      <c r="W3714" s="129" t="s">
        <v>286</v>
      </c>
      <c r="X3714" s="337" t="b">
        <f t="shared" si="92"/>
        <v>1</v>
      </c>
    </row>
    <row r="3715" spans="1:24" ht="12" customHeight="1" outlineLevel="1">
      <c r="A3715" s="370"/>
      <c r="B3715" s="118" t="s">
        <v>12</v>
      </c>
      <c r="C3715" s="334" t="s">
        <v>11535</v>
      </c>
      <c r="D3715" s="124" t="s">
        <v>11536</v>
      </c>
      <c r="E3715" s="125"/>
      <c r="F3715" s="118" t="s">
        <v>828</v>
      </c>
      <c r="G3715" s="126" t="s">
        <v>11386</v>
      </c>
      <c r="H3715" s="255">
        <v>6</v>
      </c>
      <c r="I3715" s="361">
        <v>1</v>
      </c>
      <c r="J3715" s="371" t="s">
        <v>286</v>
      </c>
      <c r="K3715" s="377"/>
      <c r="L3715" s="129"/>
      <c r="M3715" s="378"/>
      <c r="N3715" s="129"/>
      <c r="O3715" s="129"/>
      <c r="P3715" s="379"/>
      <c r="Q3715" s="129"/>
      <c r="R3715" s="380"/>
      <c r="S3715" s="129"/>
      <c r="T3715" s="129"/>
      <c r="W3715" s="129" t="s">
        <v>286</v>
      </c>
      <c r="X3715" s="337" t="b">
        <f t="shared" si="92"/>
        <v>1</v>
      </c>
    </row>
    <row r="3716" spans="1:24" ht="12" customHeight="1" outlineLevel="1">
      <c r="A3716" s="370"/>
      <c r="B3716" s="118" t="s">
        <v>12</v>
      </c>
      <c r="C3716" s="334" t="s">
        <v>11537</v>
      </c>
      <c r="D3716" s="124" t="s">
        <v>11538</v>
      </c>
      <c r="E3716" s="125"/>
      <c r="F3716" s="118" t="s">
        <v>828</v>
      </c>
      <c r="G3716" s="126" t="s">
        <v>11386</v>
      </c>
      <c r="H3716" s="255">
        <v>6</v>
      </c>
      <c r="I3716" s="361">
        <v>1</v>
      </c>
      <c r="J3716" s="371" t="s">
        <v>286</v>
      </c>
      <c r="K3716" s="377"/>
      <c r="L3716" s="129"/>
      <c r="M3716" s="378"/>
      <c r="N3716" s="129"/>
      <c r="O3716" s="129"/>
      <c r="P3716" s="379"/>
      <c r="Q3716" s="129"/>
      <c r="R3716" s="380"/>
      <c r="S3716" s="129"/>
      <c r="T3716" s="129"/>
      <c r="W3716" s="129" t="s">
        <v>286</v>
      </c>
      <c r="X3716" s="337" t="b">
        <f t="shared" si="92"/>
        <v>1</v>
      </c>
    </row>
    <row r="3717" spans="1:24" ht="12" customHeight="1" outlineLevel="1">
      <c r="A3717" s="370"/>
      <c r="B3717" s="118" t="s">
        <v>12</v>
      </c>
      <c r="C3717" s="334" t="s">
        <v>11539</v>
      </c>
      <c r="D3717" s="124" t="s">
        <v>11540</v>
      </c>
      <c r="E3717" s="125"/>
      <c r="F3717" s="118" t="s">
        <v>828</v>
      </c>
      <c r="G3717" s="126" t="s">
        <v>11386</v>
      </c>
      <c r="H3717" s="255">
        <v>6</v>
      </c>
      <c r="I3717" s="361">
        <v>1</v>
      </c>
      <c r="J3717" s="371" t="s">
        <v>286</v>
      </c>
      <c r="K3717" s="377"/>
      <c r="L3717" s="129"/>
      <c r="M3717" s="378"/>
      <c r="N3717" s="129"/>
      <c r="O3717" s="129"/>
      <c r="P3717" s="379"/>
      <c r="Q3717" s="129"/>
      <c r="R3717" s="380"/>
      <c r="S3717" s="129"/>
      <c r="T3717" s="129"/>
      <c r="W3717" s="129" t="s">
        <v>286</v>
      </c>
      <c r="X3717" s="337" t="b">
        <f t="shared" si="92"/>
        <v>1</v>
      </c>
    </row>
    <row r="3718" spans="1:24" ht="12" customHeight="1" outlineLevel="1">
      <c r="A3718" s="370"/>
      <c r="B3718" s="118" t="s">
        <v>12</v>
      </c>
      <c r="C3718" s="334" t="s">
        <v>11541</v>
      </c>
      <c r="D3718" s="124" t="s">
        <v>11542</v>
      </c>
      <c r="E3718" s="125"/>
      <c r="F3718" s="118" t="s">
        <v>828</v>
      </c>
      <c r="G3718" s="126" t="s">
        <v>11386</v>
      </c>
      <c r="H3718" s="255">
        <v>6</v>
      </c>
      <c r="I3718" s="361">
        <v>1</v>
      </c>
      <c r="J3718" s="371" t="s">
        <v>286</v>
      </c>
      <c r="K3718" s="377"/>
      <c r="L3718" s="129"/>
      <c r="M3718" s="378"/>
      <c r="N3718" s="129"/>
      <c r="O3718" s="129"/>
      <c r="P3718" s="379"/>
      <c r="Q3718" s="129"/>
      <c r="R3718" s="380"/>
      <c r="S3718" s="129"/>
      <c r="T3718" s="129"/>
      <c r="W3718" s="129" t="s">
        <v>286</v>
      </c>
      <c r="X3718" s="337" t="b">
        <f t="shared" si="92"/>
        <v>1</v>
      </c>
    </row>
    <row r="3719" spans="1:24" ht="12" customHeight="1" outlineLevel="1">
      <c r="A3719" s="370"/>
      <c r="B3719" s="118" t="s">
        <v>12</v>
      </c>
      <c r="C3719" s="334" t="s">
        <v>11543</v>
      </c>
      <c r="D3719" s="124" t="s">
        <v>11544</v>
      </c>
      <c r="E3719" s="125"/>
      <c r="F3719" s="118" t="s">
        <v>828</v>
      </c>
      <c r="G3719" s="126" t="s">
        <v>11386</v>
      </c>
      <c r="H3719" s="255">
        <v>6</v>
      </c>
      <c r="I3719" s="361">
        <v>1</v>
      </c>
      <c r="J3719" s="371" t="s">
        <v>286</v>
      </c>
      <c r="K3719" s="377"/>
      <c r="L3719" s="129"/>
      <c r="M3719" s="378"/>
      <c r="N3719" s="129"/>
      <c r="O3719" s="129"/>
      <c r="P3719" s="379"/>
      <c r="Q3719" s="129"/>
      <c r="R3719" s="380"/>
      <c r="S3719" s="129"/>
      <c r="T3719" s="129"/>
      <c r="W3719" s="129" t="s">
        <v>286</v>
      </c>
      <c r="X3719" s="337" t="b">
        <f t="shared" si="92"/>
        <v>1</v>
      </c>
    </row>
    <row r="3720" spans="1:24" ht="12" customHeight="1" outlineLevel="1">
      <c r="A3720" s="370"/>
      <c r="B3720" s="118" t="s">
        <v>12</v>
      </c>
      <c r="C3720" s="334" t="s">
        <v>11545</v>
      </c>
      <c r="D3720" s="124" t="s">
        <v>11546</v>
      </c>
      <c r="E3720" s="125"/>
      <c r="F3720" s="118" t="s">
        <v>828</v>
      </c>
      <c r="G3720" s="126" t="s">
        <v>11386</v>
      </c>
      <c r="H3720" s="255">
        <v>6</v>
      </c>
      <c r="I3720" s="361">
        <v>1</v>
      </c>
      <c r="J3720" s="371" t="s">
        <v>286</v>
      </c>
      <c r="K3720" s="377"/>
      <c r="L3720" s="129"/>
      <c r="M3720" s="378"/>
      <c r="N3720" s="129"/>
      <c r="O3720" s="129"/>
      <c r="P3720" s="379"/>
      <c r="Q3720" s="129"/>
      <c r="R3720" s="380"/>
      <c r="S3720" s="129"/>
      <c r="T3720" s="129"/>
      <c r="W3720" s="129" t="s">
        <v>286</v>
      </c>
      <c r="X3720" s="337" t="b">
        <f t="shared" si="92"/>
        <v>1</v>
      </c>
    </row>
    <row r="3721" spans="1:24" ht="12" customHeight="1" outlineLevel="1">
      <c r="A3721" s="370"/>
      <c r="B3721" s="118" t="s">
        <v>12</v>
      </c>
      <c r="C3721" s="334" t="s">
        <v>11547</v>
      </c>
      <c r="D3721" s="124" t="s">
        <v>11548</v>
      </c>
      <c r="E3721" s="125"/>
      <c r="F3721" s="118" t="s">
        <v>828</v>
      </c>
      <c r="G3721" s="126" t="s">
        <v>11386</v>
      </c>
      <c r="H3721" s="255">
        <v>6</v>
      </c>
      <c r="I3721" s="361">
        <v>1</v>
      </c>
      <c r="J3721" s="371" t="s">
        <v>286</v>
      </c>
      <c r="K3721" s="377"/>
      <c r="L3721" s="129"/>
      <c r="M3721" s="378"/>
      <c r="N3721" s="129"/>
      <c r="O3721" s="129"/>
      <c r="P3721" s="379"/>
      <c r="Q3721" s="129"/>
      <c r="R3721" s="380"/>
      <c r="S3721" s="129"/>
      <c r="T3721" s="129"/>
      <c r="W3721" s="129" t="s">
        <v>286</v>
      </c>
      <c r="X3721" s="337" t="b">
        <f t="shared" si="92"/>
        <v>1</v>
      </c>
    </row>
    <row r="3722" spans="1:24" ht="12" customHeight="1" outlineLevel="1">
      <c r="A3722" s="370"/>
      <c r="B3722" s="118" t="s">
        <v>12</v>
      </c>
      <c r="C3722" s="334" t="s">
        <v>11549</v>
      </c>
      <c r="D3722" s="124" t="s">
        <v>11550</v>
      </c>
      <c r="E3722" s="125"/>
      <c r="F3722" s="118" t="s">
        <v>828</v>
      </c>
      <c r="G3722" s="126" t="s">
        <v>11386</v>
      </c>
      <c r="H3722" s="255">
        <v>6</v>
      </c>
      <c r="I3722" s="361">
        <v>1</v>
      </c>
      <c r="J3722" s="371" t="s">
        <v>286</v>
      </c>
      <c r="K3722" s="377"/>
      <c r="L3722" s="129"/>
      <c r="M3722" s="378"/>
      <c r="N3722" s="129"/>
      <c r="O3722" s="129"/>
      <c r="P3722" s="379"/>
      <c r="Q3722" s="129"/>
      <c r="R3722" s="380"/>
      <c r="S3722" s="129"/>
      <c r="T3722" s="129"/>
      <c r="W3722" s="129" t="s">
        <v>286</v>
      </c>
      <c r="X3722" s="337" t="b">
        <f t="shared" si="92"/>
        <v>1</v>
      </c>
    </row>
    <row r="3723" spans="1:24" ht="12" customHeight="1" outlineLevel="1">
      <c r="A3723" s="370"/>
      <c r="B3723" s="118" t="s">
        <v>12</v>
      </c>
      <c r="C3723" s="334" t="s">
        <v>11551</v>
      </c>
      <c r="D3723" s="124" t="s">
        <v>11552</v>
      </c>
      <c r="E3723" s="125"/>
      <c r="F3723" s="118" t="s">
        <v>828</v>
      </c>
      <c r="G3723" s="126" t="s">
        <v>11386</v>
      </c>
      <c r="H3723" s="255">
        <v>6</v>
      </c>
      <c r="I3723" s="361">
        <v>1</v>
      </c>
      <c r="J3723" s="371" t="s">
        <v>286</v>
      </c>
      <c r="K3723" s="377"/>
      <c r="L3723" s="129"/>
      <c r="M3723" s="378"/>
      <c r="N3723" s="129"/>
      <c r="O3723" s="129"/>
      <c r="P3723" s="379"/>
      <c r="Q3723" s="129"/>
      <c r="R3723" s="380"/>
      <c r="S3723" s="129"/>
      <c r="T3723" s="129"/>
      <c r="W3723" s="129" t="s">
        <v>286</v>
      </c>
      <c r="X3723" s="337" t="b">
        <f t="shared" si="92"/>
        <v>1</v>
      </c>
    </row>
    <row r="3724" spans="1:24" ht="12" customHeight="1" outlineLevel="1">
      <c r="A3724" s="370"/>
      <c r="B3724" s="118" t="s">
        <v>12</v>
      </c>
      <c r="C3724" s="334" t="s">
        <v>11553</v>
      </c>
      <c r="D3724" s="124" t="s">
        <v>11554</v>
      </c>
      <c r="E3724" s="125"/>
      <c r="F3724" s="118" t="s">
        <v>828</v>
      </c>
      <c r="G3724" s="126" t="s">
        <v>11386</v>
      </c>
      <c r="H3724" s="255">
        <v>6</v>
      </c>
      <c r="I3724" s="361">
        <v>1</v>
      </c>
      <c r="J3724" s="371" t="s">
        <v>286</v>
      </c>
      <c r="K3724" s="377"/>
      <c r="L3724" s="129"/>
      <c r="M3724" s="378"/>
      <c r="N3724" s="129"/>
      <c r="O3724" s="129"/>
      <c r="P3724" s="379"/>
      <c r="Q3724" s="129"/>
      <c r="R3724" s="380"/>
      <c r="S3724" s="129"/>
      <c r="T3724" s="129"/>
      <c r="W3724" s="129" t="s">
        <v>286</v>
      </c>
      <c r="X3724" s="337" t="b">
        <f t="shared" si="92"/>
        <v>1</v>
      </c>
    </row>
    <row r="3725" spans="1:24" ht="12" customHeight="1" outlineLevel="1">
      <c r="A3725" s="370"/>
      <c r="B3725" s="118" t="s">
        <v>12</v>
      </c>
      <c r="C3725" s="334" t="s">
        <v>11555</v>
      </c>
      <c r="D3725" s="124" t="s">
        <v>11556</v>
      </c>
      <c r="E3725" s="125"/>
      <c r="F3725" s="118" t="s">
        <v>828</v>
      </c>
      <c r="G3725" s="126" t="s">
        <v>11386</v>
      </c>
      <c r="H3725" s="255">
        <v>6</v>
      </c>
      <c r="I3725" s="361">
        <v>1</v>
      </c>
      <c r="J3725" s="371" t="s">
        <v>286</v>
      </c>
      <c r="K3725" s="377"/>
      <c r="L3725" s="129"/>
      <c r="M3725" s="378"/>
      <c r="N3725" s="129"/>
      <c r="O3725" s="129"/>
      <c r="P3725" s="379"/>
      <c r="Q3725" s="129"/>
      <c r="R3725" s="380"/>
      <c r="S3725" s="129"/>
      <c r="T3725" s="129"/>
      <c r="W3725" s="129" t="s">
        <v>286</v>
      </c>
      <c r="X3725" s="337" t="b">
        <f t="shared" si="92"/>
        <v>1</v>
      </c>
    </row>
    <row r="3726" spans="1:24" ht="12" customHeight="1" outlineLevel="1">
      <c r="A3726" s="370"/>
      <c r="B3726" s="118" t="s">
        <v>12</v>
      </c>
      <c r="C3726" s="334" t="s">
        <v>11557</v>
      </c>
      <c r="D3726" s="124" t="s">
        <v>11558</v>
      </c>
      <c r="E3726" s="125"/>
      <c r="F3726" s="118" t="s">
        <v>828</v>
      </c>
      <c r="G3726" s="126" t="s">
        <v>11386</v>
      </c>
      <c r="H3726" s="255">
        <v>6</v>
      </c>
      <c r="I3726" s="361">
        <v>1</v>
      </c>
      <c r="J3726" s="371" t="s">
        <v>286</v>
      </c>
      <c r="K3726" s="377"/>
      <c r="L3726" s="129"/>
      <c r="M3726" s="378"/>
      <c r="N3726" s="129"/>
      <c r="O3726" s="129"/>
      <c r="P3726" s="379"/>
      <c r="Q3726" s="129"/>
      <c r="R3726" s="380"/>
      <c r="S3726" s="129"/>
      <c r="T3726" s="129"/>
      <c r="W3726" s="129" t="s">
        <v>286</v>
      </c>
      <c r="X3726" s="337" t="b">
        <f t="shared" si="92"/>
        <v>1</v>
      </c>
    </row>
    <row r="3727" spans="1:24" ht="12" customHeight="1" outlineLevel="1">
      <c r="A3727" s="370"/>
      <c r="B3727" s="118" t="s">
        <v>12</v>
      </c>
      <c r="C3727" s="334" t="s">
        <v>11559</v>
      </c>
      <c r="D3727" s="124" t="s">
        <v>11560</v>
      </c>
      <c r="E3727" s="125"/>
      <c r="F3727" s="118" t="s">
        <v>828</v>
      </c>
      <c r="G3727" s="126" t="s">
        <v>11386</v>
      </c>
      <c r="H3727" s="255">
        <v>6</v>
      </c>
      <c r="I3727" s="361">
        <v>1</v>
      </c>
      <c r="J3727" s="371" t="s">
        <v>286</v>
      </c>
      <c r="K3727" s="377"/>
      <c r="L3727" s="129"/>
      <c r="M3727" s="378"/>
      <c r="N3727" s="129"/>
      <c r="O3727" s="129"/>
      <c r="P3727" s="379"/>
      <c r="Q3727" s="129"/>
      <c r="R3727" s="380"/>
      <c r="S3727" s="129"/>
      <c r="T3727" s="129"/>
      <c r="W3727" s="129" t="s">
        <v>286</v>
      </c>
      <c r="X3727" s="337" t="b">
        <f t="shared" si="92"/>
        <v>1</v>
      </c>
    </row>
    <row r="3728" spans="1:24" ht="12" customHeight="1" outlineLevel="1">
      <c r="A3728" s="370"/>
      <c r="B3728" s="118" t="s">
        <v>12</v>
      </c>
      <c r="C3728" s="334" t="s">
        <v>11561</v>
      </c>
      <c r="D3728" s="124" t="s">
        <v>11562</v>
      </c>
      <c r="E3728" s="125"/>
      <c r="F3728" s="118" t="s">
        <v>828</v>
      </c>
      <c r="G3728" s="126" t="s">
        <v>11386</v>
      </c>
      <c r="H3728" s="255">
        <v>6</v>
      </c>
      <c r="I3728" s="361">
        <v>1</v>
      </c>
      <c r="J3728" s="371" t="s">
        <v>286</v>
      </c>
      <c r="K3728" s="377"/>
      <c r="L3728" s="129"/>
      <c r="M3728" s="378"/>
      <c r="N3728" s="129"/>
      <c r="O3728" s="129"/>
      <c r="P3728" s="379"/>
      <c r="Q3728" s="129"/>
      <c r="R3728" s="380"/>
      <c r="S3728" s="129"/>
      <c r="T3728" s="129"/>
      <c r="W3728" s="129" t="s">
        <v>286</v>
      </c>
      <c r="X3728" s="337" t="b">
        <f t="shared" si="92"/>
        <v>1</v>
      </c>
    </row>
    <row r="3729" spans="1:24" ht="12" customHeight="1" outlineLevel="1">
      <c r="A3729" s="370"/>
      <c r="B3729" s="118" t="s">
        <v>12</v>
      </c>
      <c r="C3729" s="334" t="s">
        <v>11563</v>
      </c>
      <c r="D3729" s="124" t="s">
        <v>11564</v>
      </c>
      <c r="E3729" s="125"/>
      <c r="F3729" s="118" t="s">
        <v>828</v>
      </c>
      <c r="G3729" s="126" t="s">
        <v>11386</v>
      </c>
      <c r="H3729" s="255">
        <v>6</v>
      </c>
      <c r="I3729" s="361">
        <v>1</v>
      </c>
      <c r="J3729" s="371" t="s">
        <v>286</v>
      </c>
      <c r="K3729" s="377"/>
      <c r="L3729" s="129"/>
      <c r="M3729" s="378"/>
      <c r="N3729" s="129"/>
      <c r="O3729" s="129"/>
      <c r="P3729" s="379"/>
      <c r="Q3729" s="129"/>
      <c r="R3729" s="380"/>
      <c r="S3729" s="129"/>
      <c r="T3729" s="129"/>
      <c r="W3729" s="129" t="s">
        <v>286</v>
      </c>
      <c r="X3729" s="337" t="b">
        <f t="shared" si="92"/>
        <v>1</v>
      </c>
    </row>
    <row r="3730" spans="1:24" ht="12" customHeight="1" outlineLevel="1">
      <c r="A3730" s="370"/>
      <c r="B3730" s="118" t="s">
        <v>12</v>
      </c>
      <c r="C3730" s="334" t="s">
        <v>11565</v>
      </c>
      <c r="D3730" s="124" t="s">
        <v>11566</v>
      </c>
      <c r="E3730" s="125"/>
      <c r="F3730" s="118" t="s">
        <v>828</v>
      </c>
      <c r="G3730" s="126" t="s">
        <v>11386</v>
      </c>
      <c r="H3730" s="255">
        <v>6</v>
      </c>
      <c r="I3730" s="361">
        <v>1</v>
      </c>
      <c r="J3730" s="371" t="s">
        <v>286</v>
      </c>
      <c r="K3730" s="377"/>
      <c r="L3730" s="129"/>
      <c r="M3730" s="378"/>
      <c r="N3730" s="129"/>
      <c r="O3730" s="129"/>
      <c r="P3730" s="379"/>
      <c r="Q3730" s="129"/>
      <c r="R3730" s="380"/>
      <c r="S3730" s="129"/>
      <c r="T3730" s="129"/>
      <c r="W3730" s="129" t="s">
        <v>286</v>
      </c>
      <c r="X3730" s="337" t="b">
        <f t="shared" si="92"/>
        <v>1</v>
      </c>
    </row>
    <row r="3731" spans="1:24" ht="12" customHeight="1" outlineLevel="1">
      <c r="A3731" s="370"/>
      <c r="B3731" s="118" t="s">
        <v>12</v>
      </c>
      <c r="C3731" s="334" t="s">
        <v>11567</v>
      </c>
      <c r="D3731" s="124" t="s">
        <v>11568</v>
      </c>
      <c r="E3731" s="125"/>
      <c r="F3731" s="118" t="s">
        <v>828</v>
      </c>
      <c r="G3731" s="126" t="s">
        <v>11386</v>
      </c>
      <c r="H3731" s="255">
        <v>6</v>
      </c>
      <c r="I3731" s="361">
        <v>1</v>
      </c>
      <c r="J3731" s="371" t="s">
        <v>286</v>
      </c>
      <c r="K3731" s="377"/>
      <c r="L3731" s="129"/>
      <c r="M3731" s="378"/>
      <c r="N3731" s="129"/>
      <c r="O3731" s="129"/>
      <c r="P3731" s="379"/>
      <c r="Q3731" s="129"/>
      <c r="R3731" s="380"/>
      <c r="S3731" s="129"/>
      <c r="T3731" s="129"/>
      <c r="W3731" s="129" t="s">
        <v>286</v>
      </c>
      <c r="X3731" s="337" t="b">
        <f t="shared" ref="X3731:X3794" si="93">W3731=J3731</f>
        <v>1</v>
      </c>
    </row>
    <row r="3732" spans="1:24" ht="12" customHeight="1" outlineLevel="1">
      <c r="A3732" s="370"/>
      <c r="B3732" s="118" t="s">
        <v>12</v>
      </c>
      <c r="C3732" s="334" t="s">
        <v>11569</v>
      </c>
      <c r="D3732" s="124" t="s">
        <v>11570</v>
      </c>
      <c r="E3732" s="125"/>
      <c r="F3732" s="118" t="s">
        <v>828</v>
      </c>
      <c r="G3732" s="126" t="s">
        <v>11386</v>
      </c>
      <c r="H3732" s="255">
        <v>6</v>
      </c>
      <c r="I3732" s="361">
        <v>1</v>
      </c>
      <c r="J3732" s="371" t="s">
        <v>286</v>
      </c>
      <c r="K3732" s="377"/>
      <c r="L3732" s="129"/>
      <c r="M3732" s="378"/>
      <c r="N3732" s="129"/>
      <c r="O3732" s="129"/>
      <c r="P3732" s="379"/>
      <c r="Q3732" s="129"/>
      <c r="R3732" s="380"/>
      <c r="S3732" s="129"/>
      <c r="T3732" s="129"/>
      <c r="W3732" s="129" t="s">
        <v>286</v>
      </c>
      <c r="X3732" s="337" t="b">
        <f t="shared" si="93"/>
        <v>1</v>
      </c>
    </row>
    <row r="3733" spans="1:24" ht="12" customHeight="1" outlineLevel="1">
      <c r="A3733" s="370"/>
      <c r="B3733" s="118" t="s">
        <v>12</v>
      </c>
      <c r="C3733" s="334" t="s">
        <v>11571</v>
      </c>
      <c r="D3733" s="124" t="s">
        <v>11572</v>
      </c>
      <c r="E3733" s="125"/>
      <c r="F3733" s="118" t="s">
        <v>828</v>
      </c>
      <c r="G3733" s="126" t="s">
        <v>11386</v>
      </c>
      <c r="H3733" s="255">
        <v>6</v>
      </c>
      <c r="I3733" s="361">
        <v>1</v>
      </c>
      <c r="J3733" s="371" t="s">
        <v>286</v>
      </c>
      <c r="K3733" s="377"/>
      <c r="L3733" s="129"/>
      <c r="M3733" s="378"/>
      <c r="N3733" s="129"/>
      <c r="O3733" s="129"/>
      <c r="P3733" s="379"/>
      <c r="Q3733" s="129"/>
      <c r="R3733" s="380"/>
      <c r="S3733" s="129"/>
      <c r="T3733" s="129"/>
      <c r="W3733" s="129" t="s">
        <v>286</v>
      </c>
      <c r="X3733" s="337" t="b">
        <f t="shared" si="93"/>
        <v>1</v>
      </c>
    </row>
    <row r="3734" spans="1:24" ht="12" customHeight="1" outlineLevel="1">
      <c r="A3734" s="370"/>
      <c r="B3734" s="118" t="s">
        <v>12</v>
      </c>
      <c r="C3734" s="334" t="s">
        <v>11573</v>
      </c>
      <c r="D3734" s="124" t="s">
        <v>11574</v>
      </c>
      <c r="E3734" s="125"/>
      <c r="F3734" s="118" t="s">
        <v>828</v>
      </c>
      <c r="G3734" s="126" t="s">
        <v>11386</v>
      </c>
      <c r="H3734" s="255">
        <v>6</v>
      </c>
      <c r="I3734" s="361">
        <v>1</v>
      </c>
      <c r="J3734" s="371" t="s">
        <v>310</v>
      </c>
      <c r="K3734" s="377"/>
      <c r="L3734" s="129"/>
      <c r="M3734" s="378"/>
      <c r="N3734" s="129"/>
      <c r="O3734" s="129"/>
      <c r="P3734" s="379"/>
      <c r="Q3734" s="129"/>
      <c r="R3734" s="380"/>
      <c r="S3734" s="129"/>
      <c r="T3734" s="129"/>
      <c r="W3734" s="129" t="s">
        <v>286</v>
      </c>
      <c r="X3734" s="337" t="b">
        <f t="shared" si="93"/>
        <v>0</v>
      </c>
    </row>
    <row r="3735" spans="1:24" ht="12" customHeight="1" outlineLevel="1">
      <c r="A3735" s="370"/>
      <c r="B3735" s="118" t="s">
        <v>12</v>
      </c>
      <c r="C3735" s="334" t="s">
        <v>11575</v>
      </c>
      <c r="D3735" s="124" t="s">
        <v>11576</v>
      </c>
      <c r="E3735" s="125"/>
      <c r="F3735" s="118" t="s">
        <v>828</v>
      </c>
      <c r="G3735" s="126" t="s">
        <v>11386</v>
      </c>
      <c r="H3735" s="255">
        <v>6</v>
      </c>
      <c r="I3735" s="361">
        <v>1</v>
      </c>
      <c r="J3735" s="371" t="s">
        <v>286</v>
      </c>
      <c r="K3735" s="377"/>
      <c r="L3735" s="129"/>
      <c r="M3735" s="378"/>
      <c r="N3735" s="129"/>
      <c r="O3735" s="129"/>
      <c r="P3735" s="379"/>
      <c r="Q3735" s="129"/>
      <c r="R3735" s="380"/>
      <c r="S3735" s="129"/>
      <c r="T3735" s="129"/>
      <c r="W3735" s="129" t="s">
        <v>286</v>
      </c>
      <c r="X3735" s="337" t="b">
        <f t="shared" si="93"/>
        <v>1</v>
      </c>
    </row>
    <row r="3736" spans="1:24" ht="12" customHeight="1" outlineLevel="1">
      <c r="A3736" s="370"/>
      <c r="B3736" s="118" t="s">
        <v>12</v>
      </c>
      <c r="C3736" s="334" t="s">
        <v>11577</v>
      </c>
      <c r="D3736" s="124" t="s">
        <v>11578</v>
      </c>
      <c r="E3736" s="125"/>
      <c r="F3736" s="118" t="s">
        <v>828</v>
      </c>
      <c r="G3736" s="126" t="s">
        <v>11386</v>
      </c>
      <c r="H3736" s="255">
        <v>6</v>
      </c>
      <c r="I3736" s="361">
        <v>1</v>
      </c>
      <c r="J3736" s="371" t="s">
        <v>286</v>
      </c>
      <c r="K3736" s="377"/>
      <c r="L3736" s="129"/>
      <c r="M3736" s="378"/>
      <c r="N3736" s="129"/>
      <c r="O3736" s="129"/>
      <c r="P3736" s="379"/>
      <c r="Q3736" s="129"/>
      <c r="R3736" s="380"/>
      <c r="S3736" s="129"/>
      <c r="T3736" s="129"/>
      <c r="W3736" s="129" t="s">
        <v>286</v>
      </c>
      <c r="X3736" s="337" t="b">
        <f t="shared" si="93"/>
        <v>1</v>
      </c>
    </row>
    <row r="3737" spans="1:24" ht="12" customHeight="1" outlineLevel="1">
      <c r="A3737" s="370"/>
      <c r="B3737" s="118" t="s">
        <v>12</v>
      </c>
      <c r="C3737" s="334" t="s">
        <v>11579</v>
      </c>
      <c r="D3737" s="124" t="s">
        <v>11580</v>
      </c>
      <c r="E3737" s="125"/>
      <c r="F3737" s="118" t="s">
        <v>828</v>
      </c>
      <c r="G3737" s="126" t="s">
        <v>11386</v>
      </c>
      <c r="H3737" s="255">
        <v>6</v>
      </c>
      <c r="I3737" s="361">
        <v>1</v>
      </c>
      <c r="J3737" s="371" t="s">
        <v>286</v>
      </c>
      <c r="K3737" s="377"/>
      <c r="L3737" s="129"/>
      <c r="M3737" s="378"/>
      <c r="N3737" s="129"/>
      <c r="O3737" s="129"/>
      <c r="P3737" s="379"/>
      <c r="Q3737" s="129"/>
      <c r="R3737" s="380"/>
      <c r="S3737" s="129"/>
      <c r="T3737" s="129"/>
      <c r="W3737" s="129" t="s">
        <v>286</v>
      </c>
      <c r="X3737" s="337" t="b">
        <f t="shared" si="93"/>
        <v>1</v>
      </c>
    </row>
    <row r="3738" spans="1:24" ht="12" customHeight="1" outlineLevel="1">
      <c r="A3738" s="370"/>
      <c r="B3738" s="118" t="s">
        <v>12</v>
      </c>
      <c r="C3738" s="334" t="s">
        <v>11581</v>
      </c>
      <c r="D3738" s="124" t="s">
        <v>11582</v>
      </c>
      <c r="E3738" s="125"/>
      <c r="F3738" s="118" t="s">
        <v>828</v>
      </c>
      <c r="G3738" s="126" t="s">
        <v>11386</v>
      </c>
      <c r="H3738" s="255">
        <v>6</v>
      </c>
      <c r="I3738" s="361">
        <v>1</v>
      </c>
      <c r="J3738" s="371" t="s">
        <v>286</v>
      </c>
      <c r="K3738" s="377"/>
      <c r="L3738" s="129"/>
      <c r="M3738" s="378"/>
      <c r="N3738" s="129"/>
      <c r="O3738" s="129"/>
      <c r="P3738" s="379"/>
      <c r="Q3738" s="129"/>
      <c r="R3738" s="380"/>
      <c r="S3738" s="129"/>
      <c r="T3738" s="129"/>
      <c r="W3738" s="129" t="s">
        <v>286</v>
      </c>
      <c r="X3738" s="337" t="b">
        <f t="shared" si="93"/>
        <v>1</v>
      </c>
    </row>
    <row r="3739" spans="1:24" ht="12" customHeight="1" outlineLevel="1">
      <c r="A3739" s="370"/>
      <c r="B3739" s="118" t="s">
        <v>12</v>
      </c>
      <c r="C3739" s="334" t="s">
        <v>11583</v>
      </c>
      <c r="D3739" s="124" t="s">
        <v>11584</v>
      </c>
      <c r="E3739" s="125"/>
      <c r="F3739" s="118" t="s">
        <v>828</v>
      </c>
      <c r="G3739" s="126" t="s">
        <v>11386</v>
      </c>
      <c r="H3739" s="255">
        <v>6</v>
      </c>
      <c r="I3739" s="361">
        <v>1</v>
      </c>
      <c r="J3739" s="371" t="s">
        <v>286</v>
      </c>
      <c r="K3739" s="377"/>
      <c r="L3739" s="129"/>
      <c r="M3739" s="378"/>
      <c r="N3739" s="129"/>
      <c r="O3739" s="129"/>
      <c r="P3739" s="379"/>
      <c r="Q3739" s="129"/>
      <c r="R3739" s="380"/>
      <c r="S3739" s="129"/>
      <c r="T3739" s="129"/>
      <c r="W3739" s="129" t="s">
        <v>286</v>
      </c>
      <c r="X3739" s="337" t="b">
        <f t="shared" si="93"/>
        <v>1</v>
      </c>
    </row>
    <row r="3740" spans="1:24" ht="12" customHeight="1" outlineLevel="1">
      <c r="A3740" s="370"/>
      <c r="B3740" s="118" t="s">
        <v>12</v>
      </c>
      <c r="C3740" s="334" t="s">
        <v>11585</v>
      </c>
      <c r="D3740" s="124" t="s">
        <v>11586</v>
      </c>
      <c r="E3740" s="125"/>
      <c r="F3740" s="118" t="s">
        <v>828</v>
      </c>
      <c r="G3740" s="126" t="s">
        <v>11386</v>
      </c>
      <c r="H3740" s="255">
        <v>6</v>
      </c>
      <c r="I3740" s="361">
        <v>1</v>
      </c>
      <c r="J3740" s="371" t="s">
        <v>286</v>
      </c>
      <c r="K3740" s="377"/>
      <c r="L3740" s="129"/>
      <c r="M3740" s="378"/>
      <c r="N3740" s="129"/>
      <c r="O3740" s="129"/>
      <c r="P3740" s="379"/>
      <c r="Q3740" s="129"/>
      <c r="R3740" s="380"/>
      <c r="S3740" s="129"/>
      <c r="T3740" s="129"/>
      <c r="W3740" s="129" t="s">
        <v>286</v>
      </c>
      <c r="X3740" s="337" t="b">
        <f t="shared" si="93"/>
        <v>1</v>
      </c>
    </row>
    <row r="3741" spans="1:24" ht="12" customHeight="1" outlineLevel="1">
      <c r="A3741" s="370"/>
      <c r="B3741" s="118" t="s">
        <v>12</v>
      </c>
      <c r="C3741" s="334" t="s">
        <v>11587</v>
      </c>
      <c r="D3741" s="124" t="s">
        <v>11588</v>
      </c>
      <c r="E3741" s="125"/>
      <c r="F3741" s="118" t="s">
        <v>828</v>
      </c>
      <c r="G3741" s="126" t="s">
        <v>11386</v>
      </c>
      <c r="H3741" s="255">
        <v>6</v>
      </c>
      <c r="I3741" s="361">
        <v>1</v>
      </c>
      <c r="J3741" s="371" t="s">
        <v>286</v>
      </c>
      <c r="K3741" s="377"/>
      <c r="L3741" s="129"/>
      <c r="M3741" s="378"/>
      <c r="N3741" s="129"/>
      <c r="O3741" s="129"/>
      <c r="P3741" s="379"/>
      <c r="Q3741" s="129"/>
      <c r="R3741" s="380"/>
      <c r="S3741" s="129"/>
      <c r="T3741" s="129"/>
      <c r="W3741" s="129" t="s">
        <v>286</v>
      </c>
      <c r="X3741" s="337" t="b">
        <f t="shared" si="93"/>
        <v>1</v>
      </c>
    </row>
    <row r="3742" spans="1:24" ht="12" customHeight="1" outlineLevel="1">
      <c r="A3742" s="370"/>
      <c r="B3742" s="118" t="s">
        <v>12</v>
      </c>
      <c r="C3742" s="334" t="s">
        <v>11589</v>
      </c>
      <c r="D3742" s="124" t="s">
        <v>11590</v>
      </c>
      <c r="E3742" s="125"/>
      <c r="F3742" s="118" t="s">
        <v>828</v>
      </c>
      <c r="G3742" s="126" t="s">
        <v>11386</v>
      </c>
      <c r="H3742" s="255">
        <v>6</v>
      </c>
      <c r="I3742" s="361">
        <v>1</v>
      </c>
      <c r="J3742" s="371" t="s">
        <v>286</v>
      </c>
      <c r="K3742" s="377"/>
      <c r="L3742" s="129"/>
      <c r="M3742" s="378"/>
      <c r="N3742" s="129"/>
      <c r="O3742" s="129"/>
      <c r="P3742" s="379"/>
      <c r="Q3742" s="129"/>
      <c r="R3742" s="380"/>
      <c r="S3742" s="129"/>
      <c r="T3742" s="129"/>
      <c r="W3742" s="129" t="s">
        <v>286</v>
      </c>
      <c r="X3742" s="337" t="b">
        <f t="shared" si="93"/>
        <v>1</v>
      </c>
    </row>
    <row r="3743" spans="1:24" ht="12" customHeight="1" outlineLevel="1">
      <c r="A3743" s="370"/>
      <c r="B3743" s="118" t="s">
        <v>12</v>
      </c>
      <c r="C3743" s="334" t="s">
        <v>11591</v>
      </c>
      <c r="D3743" s="124" t="s">
        <v>11592</v>
      </c>
      <c r="E3743" s="125"/>
      <c r="F3743" s="118" t="s">
        <v>828</v>
      </c>
      <c r="G3743" s="126" t="s">
        <v>11386</v>
      </c>
      <c r="H3743" s="255">
        <v>6</v>
      </c>
      <c r="I3743" s="361">
        <v>1</v>
      </c>
      <c r="J3743" s="371" t="s">
        <v>286</v>
      </c>
      <c r="K3743" s="377"/>
      <c r="L3743" s="129"/>
      <c r="M3743" s="378"/>
      <c r="N3743" s="129"/>
      <c r="O3743" s="129"/>
      <c r="P3743" s="379"/>
      <c r="Q3743" s="129"/>
      <c r="R3743" s="380"/>
      <c r="S3743" s="129"/>
      <c r="T3743" s="129"/>
      <c r="W3743" s="129" t="s">
        <v>286</v>
      </c>
      <c r="X3743" s="337" t="b">
        <f t="shared" si="93"/>
        <v>1</v>
      </c>
    </row>
    <row r="3744" spans="1:24" ht="12" customHeight="1" outlineLevel="1">
      <c r="A3744" s="370"/>
      <c r="B3744" s="118" t="s">
        <v>12</v>
      </c>
      <c r="C3744" s="334" t="s">
        <v>11593</v>
      </c>
      <c r="D3744" s="124" t="s">
        <v>11594</v>
      </c>
      <c r="E3744" s="125"/>
      <c r="F3744" s="118" t="s">
        <v>828</v>
      </c>
      <c r="G3744" s="126" t="s">
        <v>11386</v>
      </c>
      <c r="H3744" s="255">
        <v>6</v>
      </c>
      <c r="I3744" s="361">
        <v>1</v>
      </c>
      <c r="J3744" s="371" t="s">
        <v>286</v>
      </c>
      <c r="K3744" s="377"/>
      <c r="L3744" s="129"/>
      <c r="M3744" s="378"/>
      <c r="N3744" s="129"/>
      <c r="O3744" s="129"/>
      <c r="P3744" s="379"/>
      <c r="Q3744" s="129"/>
      <c r="R3744" s="380"/>
      <c r="S3744" s="129"/>
      <c r="T3744" s="129"/>
      <c r="W3744" s="129" t="s">
        <v>286</v>
      </c>
      <c r="X3744" s="337" t="b">
        <f t="shared" si="93"/>
        <v>1</v>
      </c>
    </row>
    <row r="3745" spans="1:24" ht="12" customHeight="1" outlineLevel="1">
      <c r="A3745" s="370"/>
      <c r="B3745" s="118" t="s">
        <v>12</v>
      </c>
      <c r="C3745" s="334" t="s">
        <v>11595</v>
      </c>
      <c r="D3745" s="124" t="s">
        <v>11596</v>
      </c>
      <c r="E3745" s="125"/>
      <c r="F3745" s="118" t="s">
        <v>828</v>
      </c>
      <c r="G3745" s="126" t="s">
        <v>11386</v>
      </c>
      <c r="H3745" s="255">
        <v>6</v>
      </c>
      <c r="I3745" s="361">
        <v>1</v>
      </c>
      <c r="J3745" s="371" t="s">
        <v>286</v>
      </c>
      <c r="K3745" s="377"/>
      <c r="L3745" s="129"/>
      <c r="M3745" s="378"/>
      <c r="N3745" s="129"/>
      <c r="O3745" s="129"/>
      <c r="P3745" s="379"/>
      <c r="Q3745" s="129"/>
      <c r="R3745" s="380"/>
      <c r="S3745" s="129"/>
      <c r="T3745" s="129"/>
      <c r="W3745" s="129" t="s">
        <v>286</v>
      </c>
      <c r="X3745" s="337" t="b">
        <f t="shared" si="93"/>
        <v>1</v>
      </c>
    </row>
    <row r="3746" spans="1:24" ht="12" customHeight="1" outlineLevel="1">
      <c r="A3746" s="370"/>
      <c r="B3746" s="118" t="s">
        <v>12</v>
      </c>
      <c r="C3746" s="334" t="s">
        <v>11597</v>
      </c>
      <c r="D3746" s="124" t="s">
        <v>11598</v>
      </c>
      <c r="E3746" s="125"/>
      <c r="F3746" s="118" t="s">
        <v>828</v>
      </c>
      <c r="G3746" s="126" t="s">
        <v>11386</v>
      </c>
      <c r="H3746" s="255">
        <v>6</v>
      </c>
      <c r="I3746" s="361">
        <v>1</v>
      </c>
      <c r="J3746" s="371" t="s">
        <v>286</v>
      </c>
      <c r="K3746" s="377"/>
      <c r="L3746" s="129"/>
      <c r="M3746" s="378"/>
      <c r="N3746" s="129"/>
      <c r="O3746" s="129"/>
      <c r="P3746" s="379"/>
      <c r="Q3746" s="129"/>
      <c r="R3746" s="380"/>
      <c r="S3746" s="129"/>
      <c r="T3746" s="129"/>
      <c r="W3746" s="129" t="s">
        <v>286</v>
      </c>
      <c r="X3746" s="337" t="b">
        <f t="shared" si="93"/>
        <v>1</v>
      </c>
    </row>
    <row r="3747" spans="1:24" ht="12" customHeight="1" outlineLevel="1">
      <c r="A3747" s="370"/>
      <c r="B3747" s="118" t="s">
        <v>12</v>
      </c>
      <c r="C3747" s="334" t="s">
        <v>11599</v>
      </c>
      <c r="D3747" s="124" t="s">
        <v>11600</v>
      </c>
      <c r="E3747" s="125"/>
      <c r="F3747" s="118" t="s">
        <v>828</v>
      </c>
      <c r="G3747" s="126" t="s">
        <v>11386</v>
      </c>
      <c r="H3747" s="255">
        <v>6</v>
      </c>
      <c r="I3747" s="361">
        <v>1</v>
      </c>
      <c r="J3747" s="371" t="s">
        <v>286</v>
      </c>
      <c r="K3747" s="377"/>
      <c r="L3747" s="129"/>
      <c r="M3747" s="378"/>
      <c r="N3747" s="129"/>
      <c r="O3747" s="129"/>
      <c r="P3747" s="379"/>
      <c r="Q3747" s="129"/>
      <c r="R3747" s="380"/>
      <c r="S3747" s="129"/>
      <c r="T3747" s="129"/>
      <c r="W3747" s="129" t="s">
        <v>286</v>
      </c>
      <c r="X3747" s="337" t="b">
        <f t="shared" si="93"/>
        <v>1</v>
      </c>
    </row>
    <row r="3748" spans="1:24" ht="12" customHeight="1" outlineLevel="1">
      <c r="A3748" s="370"/>
      <c r="B3748" s="118" t="s">
        <v>12</v>
      </c>
      <c r="C3748" s="334" t="s">
        <v>11601</v>
      </c>
      <c r="D3748" s="124" t="s">
        <v>11602</v>
      </c>
      <c r="E3748" s="125"/>
      <c r="F3748" s="118" t="s">
        <v>828</v>
      </c>
      <c r="G3748" s="126" t="s">
        <v>11386</v>
      </c>
      <c r="H3748" s="255">
        <v>6</v>
      </c>
      <c r="I3748" s="361">
        <v>1</v>
      </c>
      <c r="J3748" s="371" t="s">
        <v>286</v>
      </c>
      <c r="K3748" s="377"/>
      <c r="L3748" s="129"/>
      <c r="M3748" s="378"/>
      <c r="N3748" s="129"/>
      <c r="O3748" s="129"/>
      <c r="P3748" s="379"/>
      <c r="Q3748" s="129"/>
      <c r="R3748" s="380"/>
      <c r="S3748" s="129"/>
      <c r="T3748" s="129"/>
      <c r="W3748" s="129" t="s">
        <v>286</v>
      </c>
      <c r="X3748" s="337" t="b">
        <f t="shared" si="93"/>
        <v>1</v>
      </c>
    </row>
    <row r="3749" spans="1:24" ht="12" customHeight="1" outlineLevel="1">
      <c r="A3749" s="370"/>
      <c r="B3749" s="118" t="s">
        <v>12</v>
      </c>
      <c r="C3749" s="334" t="s">
        <v>11603</v>
      </c>
      <c r="D3749" s="124" t="s">
        <v>11604</v>
      </c>
      <c r="E3749" s="125"/>
      <c r="F3749" s="118" t="s">
        <v>828</v>
      </c>
      <c r="G3749" s="126" t="s">
        <v>11386</v>
      </c>
      <c r="H3749" s="255">
        <v>6</v>
      </c>
      <c r="I3749" s="361">
        <v>1</v>
      </c>
      <c r="J3749" s="371" t="s">
        <v>286</v>
      </c>
      <c r="K3749" s="377"/>
      <c r="L3749" s="129"/>
      <c r="M3749" s="378"/>
      <c r="N3749" s="129"/>
      <c r="O3749" s="129"/>
      <c r="P3749" s="379"/>
      <c r="Q3749" s="129"/>
      <c r="R3749" s="380"/>
      <c r="S3749" s="129"/>
      <c r="T3749" s="129"/>
      <c r="W3749" s="129" t="s">
        <v>286</v>
      </c>
      <c r="X3749" s="337" t="b">
        <f t="shared" si="93"/>
        <v>1</v>
      </c>
    </row>
    <row r="3750" spans="1:24" ht="12" customHeight="1" outlineLevel="1">
      <c r="A3750" s="370"/>
      <c r="B3750" s="118" t="s">
        <v>12</v>
      </c>
      <c r="C3750" s="334" t="s">
        <v>11605</v>
      </c>
      <c r="D3750" s="124" t="s">
        <v>11606</v>
      </c>
      <c r="E3750" s="125"/>
      <c r="F3750" s="118" t="s">
        <v>828</v>
      </c>
      <c r="G3750" s="126" t="s">
        <v>11386</v>
      </c>
      <c r="H3750" s="255">
        <v>6</v>
      </c>
      <c r="I3750" s="361">
        <v>1</v>
      </c>
      <c r="J3750" s="371" t="s">
        <v>286</v>
      </c>
      <c r="K3750" s="377"/>
      <c r="L3750" s="129"/>
      <c r="M3750" s="378"/>
      <c r="N3750" s="129"/>
      <c r="O3750" s="129"/>
      <c r="P3750" s="379"/>
      <c r="Q3750" s="129"/>
      <c r="R3750" s="380"/>
      <c r="S3750" s="129"/>
      <c r="T3750" s="129"/>
      <c r="W3750" s="129" t="s">
        <v>286</v>
      </c>
      <c r="X3750" s="337" t="b">
        <f t="shared" si="93"/>
        <v>1</v>
      </c>
    </row>
    <row r="3751" spans="1:24" ht="12" customHeight="1" outlineLevel="1">
      <c r="A3751" s="370"/>
      <c r="B3751" s="118" t="s">
        <v>12</v>
      </c>
      <c r="C3751" s="334" t="s">
        <v>11607</v>
      </c>
      <c r="D3751" s="124" t="s">
        <v>11608</v>
      </c>
      <c r="E3751" s="125"/>
      <c r="F3751" s="118" t="s">
        <v>828</v>
      </c>
      <c r="G3751" s="126" t="s">
        <v>11386</v>
      </c>
      <c r="H3751" s="255">
        <v>6</v>
      </c>
      <c r="I3751" s="361">
        <v>1</v>
      </c>
      <c r="J3751" s="371" t="s">
        <v>286</v>
      </c>
      <c r="K3751" s="377"/>
      <c r="L3751" s="129"/>
      <c r="M3751" s="378"/>
      <c r="N3751" s="129"/>
      <c r="O3751" s="129"/>
      <c r="P3751" s="379"/>
      <c r="Q3751" s="129"/>
      <c r="R3751" s="380"/>
      <c r="S3751" s="129"/>
      <c r="T3751" s="129"/>
      <c r="W3751" s="129" t="s">
        <v>286</v>
      </c>
      <c r="X3751" s="337" t="b">
        <f t="shared" si="93"/>
        <v>1</v>
      </c>
    </row>
    <row r="3752" spans="1:24" ht="12" customHeight="1" outlineLevel="1">
      <c r="A3752" s="370"/>
      <c r="B3752" s="118" t="s">
        <v>12</v>
      </c>
      <c r="C3752" s="334" t="s">
        <v>11609</v>
      </c>
      <c r="D3752" s="124" t="s">
        <v>11610</v>
      </c>
      <c r="E3752" s="125"/>
      <c r="F3752" s="118" t="s">
        <v>828</v>
      </c>
      <c r="G3752" s="126" t="s">
        <v>11386</v>
      </c>
      <c r="H3752" s="255">
        <v>6</v>
      </c>
      <c r="I3752" s="361">
        <v>1</v>
      </c>
      <c r="J3752" s="371" t="s">
        <v>286</v>
      </c>
      <c r="K3752" s="377"/>
      <c r="L3752" s="129"/>
      <c r="M3752" s="378"/>
      <c r="N3752" s="129"/>
      <c r="O3752" s="129"/>
      <c r="P3752" s="379"/>
      <c r="Q3752" s="129"/>
      <c r="R3752" s="380"/>
      <c r="S3752" s="129"/>
      <c r="T3752" s="129"/>
      <c r="W3752" s="129" t="s">
        <v>286</v>
      </c>
      <c r="X3752" s="337" t="b">
        <f t="shared" si="93"/>
        <v>1</v>
      </c>
    </row>
    <row r="3753" spans="1:24" ht="12" customHeight="1" outlineLevel="1">
      <c r="A3753" s="370"/>
      <c r="B3753" s="118" t="s">
        <v>12</v>
      </c>
      <c r="C3753" s="334" t="s">
        <v>11611</v>
      </c>
      <c r="D3753" s="124" t="s">
        <v>11612</v>
      </c>
      <c r="E3753" s="125"/>
      <c r="F3753" s="118" t="s">
        <v>828</v>
      </c>
      <c r="G3753" s="126" t="s">
        <v>11386</v>
      </c>
      <c r="H3753" s="255">
        <v>6</v>
      </c>
      <c r="I3753" s="361">
        <v>1</v>
      </c>
      <c r="J3753" s="371" t="s">
        <v>286</v>
      </c>
      <c r="K3753" s="377"/>
      <c r="L3753" s="129"/>
      <c r="M3753" s="378"/>
      <c r="N3753" s="129"/>
      <c r="O3753" s="129"/>
      <c r="P3753" s="379"/>
      <c r="Q3753" s="129"/>
      <c r="R3753" s="380"/>
      <c r="S3753" s="129"/>
      <c r="T3753" s="129"/>
      <c r="W3753" s="129" t="s">
        <v>310</v>
      </c>
      <c r="X3753" s="337" t="b">
        <f t="shared" si="93"/>
        <v>0</v>
      </c>
    </row>
    <row r="3754" spans="1:24" ht="12" customHeight="1" outlineLevel="1">
      <c r="A3754" s="370"/>
      <c r="B3754" s="118" t="s">
        <v>12</v>
      </c>
      <c r="C3754" s="334" t="s">
        <v>11613</v>
      </c>
      <c r="D3754" s="124" t="s">
        <v>11614</v>
      </c>
      <c r="E3754" s="125"/>
      <c r="F3754" s="118" t="s">
        <v>828</v>
      </c>
      <c r="G3754" s="126" t="s">
        <v>11386</v>
      </c>
      <c r="H3754" s="255">
        <v>6</v>
      </c>
      <c r="I3754" s="361">
        <v>1</v>
      </c>
      <c r="J3754" s="371" t="s">
        <v>286</v>
      </c>
      <c r="K3754" s="377"/>
      <c r="L3754" s="129"/>
      <c r="M3754" s="378"/>
      <c r="N3754" s="129"/>
      <c r="O3754" s="129"/>
      <c r="P3754" s="379"/>
      <c r="Q3754" s="129"/>
      <c r="R3754" s="380"/>
      <c r="S3754" s="129"/>
      <c r="T3754" s="129"/>
      <c r="W3754" s="129" t="s">
        <v>286</v>
      </c>
      <c r="X3754" s="337" t="b">
        <f t="shared" si="93"/>
        <v>1</v>
      </c>
    </row>
    <row r="3755" spans="1:24" ht="12" customHeight="1" outlineLevel="1">
      <c r="A3755" s="370"/>
      <c r="B3755" s="118" t="s">
        <v>12</v>
      </c>
      <c r="C3755" s="334" t="s">
        <v>11615</v>
      </c>
      <c r="D3755" s="124" t="s">
        <v>11616</v>
      </c>
      <c r="E3755" s="125"/>
      <c r="F3755" s="118" t="s">
        <v>828</v>
      </c>
      <c r="G3755" s="126" t="s">
        <v>11386</v>
      </c>
      <c r="H3755" s="255">
        <v>6</v>
      </c>
      <c r="I3755" s="361">
        <v>1</v>
      </c>
      <c r="J3755" s="371" t="s">
        <v>286</v>
      </c>
      <c r="K3755" s="377"/>
      <c r="L3755" s="129"/>
      <c r="M3755" s="378"/>
      <c r="N3755" s="129"/>
      <c r="O3755" s="129"/>
      <c r="P3755" s="379"/>
      <c r="Q3755" s="129"/>
      <c r="R3755" s="380"/>
      <c r="S3755" s="129"/>
      <c r="T3755" s="129"/>
      <c r="W3755" s="129" t="s">
        <v>286</v>
      </c>
      <c r="X3755" s="337" t="b">
        <f t="shared" si="93"/>
        <v>1</v>
      </c>
    </row>
    <row r="3756" spans="1:24" ht="12" customHeight="1" outlineLevel="1">
      <c r="A3756" s="370"/>
      <c r="B3756" s="118" t="s">
        <v>12</v>
      </c>
      <c r="C3756" s="334" t="s">
        <v>11617</v>
      </c>
      <c r="D3756" s="124" t="s">
        <v>11618</v>
      </c>
      <c r="E3756" s="125"/>
      <c r="F3756" s="118" t="s">
        <v>828</v>
      </c>
      <c r="G3756" s="126" t="s">
        <v>11386</v>
      </c>
      <c r="H3756" s="255">
        <v>6</v>
      </c>
      <c r="I3756" s="361">
        <v>1</v>
      </c>
      <c r="J3756" s="371" t="s">
        <v>310</v>
      </c>
      <c r="K3756" s="377"/>
      <c r="L3756" s="129"/>
      <c r="M3756" s="378"/>
      <c r="N3756" s="129"/>
      <c r="O3756" s="129"/>
      <c r="P3756" s="379"/>
      <c r="Q3756" s="129"/>
      <c r="R3756" s="380"/>
      <c r="S3756" s="129"/>
      <c r="T3756" s="129"/>
      <c r="W3756" s="129" t="s">
        <v>310</v>
      </c>
      <c r="X3756" s="337" t="b">
        <f t="shared" si="93"/>
        <v>1</v>
      </c>
    </row>
    <row r="3757" spans="1:24" ht="12" customHeight="1" outlineLevel="1">
      <c r="A3757" s="370"/>
      <c r="B3757" s="118" t="s">
        <v>12</v>
      </c>
      <c r="C3757" s="334" t="s">
        <v>11619</v>
      </c>
      <c r="D3757" s="124" t="s">
        <v>11620</v>
      </c>
      <c r="E3757" s="125"/>
      <c r="F3757" s="118" t="s">
        <v>828</v>
      </c>
      <c r="G3757" s="126" t="s">
        <v>11386</v>
      </c>
      <c r="H3757" s="255">
        <v>6</v>
      </c>
      <c r="I3757" s="361">
        <v>1</v>
      </c>
      <c r="J3757" s="371" t="s">
        <v>286</v>
      </c>
      <c r="K3757" s="377"/>
      <c r="L3757" s="129"/>
      <c r="M3757" s="378"/>
      <c r="N3757" s="129"/>
      <c r="O3757" s="129"/>
      <c r="P3757" s="379"/>
      <c r="Q3757" s="129"/>
      <c r="R3757" s="380"/>
      <c r="S3757" s="129"/>
      <c r="T3757" s="129"/>
      <c r="W3757" s="129" t="s">
        <v>310</v>
      </c>
      <c r="X3757" s="337" t="b">
        <f t="shared" si="93"/>
        <v>0</v>
      </c>
    </row>
    <row r="3758" spans="1:24" ht="12" customHeight="1" outlineLevel="1">
      <c r="A3758" s="370"/>
      <c r="B3758" s="118" t="s">
        <v>12</v>
      </c>
      <c r="C3758" s="334" t="s">
        <v>11621</v>
      </c>
      <c r="D3758" s="124" t="s">
        <v>11622</v>
      </c>
      <c r="E3758" s="125"/>
      <c r="F3758" s="118" t="s">
        <v>828</v>
      </c>
      <c r="G3758" s="126" t="s">
        <v>11386</v>
      </c>
      <c r="H3758" s="255">
        <v>6</v>
      </c>
      <c r="I3758" s="361">
        <v>1</v>
      </c>
      <c r="J3758" s="371" t="s">
        <v>286</v>
      </c>
      <c r="K3758" s="377"/>
      <c r="L3758" s="129"/>
      <c r="M3758" s="378"/>
      <c r="N3758" s="129"/>
      <c r="O3758" s="129"/>
      <c r="P3758" s="379"/>
      <c r="Q3758" s="129"/>
      <c r="R3758" s="380"/>
      <c r="S3758" s="129"/>
      <c r="T3758" s="129"/>
      <c r="W3758" s="129" t="s">
        <v>310</v>
      </c>
      <c r="X3758" s="337" t="b">
        <f t="shared" si="93"/>
        <v>0</v>
      </c>
    </row>
    <row r="3759" spans="1:24" ht="12" customHeight="1" outlineLevel="1">
      <c r="A3759" s="370"/>
      <c r="B3759" s="118" t="s">
        <v>12</v>
      </c>
      <c r="C3759" s="334" t="s">
        <v>11623</v>
      </c>
      <c r="D3759" s="124" t="s">
        <v>11624</v>
      </c>
      <c r="E3759" s="125"/>
      <c r="F3759" s="118" t="s">
        <v>828</v>
      </c>
      <c r="G3759" s="126" t="s">
        <v>11386</v>
      </c>
      <c r="H3759" s="255">
        <v>6</v>
      </c>
      <c r="I3759" s="361">
        <v>1</v>
      </c>
      <c r="J3759" s="371" t="s">
        <v>286</v>
      </c>
      <c r="K3759" s="377"/>
      <c r="L3759" s="129"/>
      <c r="M3759" s="378"/>
      <c r="N3759" s="129"/>
      <c r="O3759" s="129"/>
      <c r="P3759" s="379"/>
      <c r="Q3759" s="129"/>
      <c r="R3759" s="380"/>
      <c r="S3759" s="129"/>
      <c r="T3759" s="129"/>
      <c r="W3759" s="129" t="s">
        <v>310</v>
      </c>
      <c r="X3759" s="337" t="b">
        <f t="shared" si="93"/>
        <v>0</v>
      </c>
    </row>
    <row r="3760" spans="1:24" ht="12" customHeight="1" outlineLevel="1">
      <c r="A3760" s="370"/>
      <c r="B3760" s="118" t="s">
        <v>12</v>
      </c>
      <c r="C3760" s="334" t="s">
        <v>11625</v>
      </c>
      <c r="D3760" s="124" t="s">
        <v>11626</v>
      </c>
      <c r="E3760" s="125"/>
      <c r="F3760" s="118" t="s">
        <v>828</v>
      </c>
      <c r="G3760" s="126" t="s">
        <v>11386</v>
      </c>
      <c r="H3760" s="255">
        <v>6</v>
      </c>
      <c r="I3760" s="361">
        <v>1</v>
      </c>
      <c r="J3760" s="371" t="s">
        <v>286</v>
      </c>
      <c r="K3760" s="377"/>
      <c r="L3760" s="129"/>
      <c r="M3760" s="378"/>
      <c r="N3760" s="129"/>
      <c r="O3760" s="129"/>
      <c r="P3760" s="379"/>
      <c r="Q3760" s="129"/>
      <c r="R3760" s="380"/>
      <c r="S3760" s="129"/>
      <c r="T3760" s="129"/>
      <c r="W3760" s="129" t="s">
        <v>310</v>
      </c>
      <c r="X3760" s="337" t="b">
        <f t="shared" si="93"/>
        <v>0</v>
      </c>
    </row>
    <row r="3761" spans="1:24" ht="12" customHeight="1" outlineLevel="1">
      <c r="A3761" s="370"/>
      <c r="B3761" s="118" t="s">
        <v>12</v>
      </c>
      <c r="C3761" s="334" t="s">
        <v>11627</v>
      </c>
      <c r="D3761" s="124" t="s">
        <v>11628</v>
      </c>
      <c r="E3761" s="125"/>
      <c r="F3761" s="118" t="s">
        <v>828</v>
      </c>
      <c r="G3761" s="126" t="s">
        <v>11386</v>
      </c>
      <c r="H3761" s="255">
        <v>6</v>
      </c>
      <c r="I3761" s="361">
        <v>1</v>
      </c>
      <c r="J3761" s="371" t="s">
        <v>286</v>
      </c>
      <c r="K3761" s="377"/>
      <c r="L3761" s="129"/>
      <c r="M3761" s="378"/>
      <c r="N3761" s="129"/>
      <c r="O3761" s="129"/>
      <c r="P3761" s="379"/>
      <c r="Q3761" s="129"/>
      <c r="R3761" s="380"/>
      <c r="S3761" s="129"/>
      <c r="T3761" s="129"/>
      <c r="W3761" s="129" t="s">
        <v>310</v>
      </c>
      <c r="X3761" s="337" t="b">
        <f t="shared" si="93"/>
        <v>0</v>
      </c>
    </row>
    <row r="3762" spans="1:24" ht="12" customHeight="1" outlineLevel="1">
      <c r="A3762" s="370"/>
      <c r="B3762" s="118" t="s">
        <v>12</v>
      </c>
      <c r="C3762" s="334" t="s">
        <v>11629</v>
      </c>
      <c r="D3762" s="124" t="s">
        <v>11630</v>
      </c>
      <c r="E3762" s="125"/>
      <c r="F3762" s="118" t="s">
        <v>828</v>
      </c>
      <c r="G3762" s="126" t="s">
        <v>11386</v>
      </c>
      <c r="H3762" s="255">
        <v>6</v>
      </c>
      <c r="I3762" s="361">
        <v>1</v>
      </c>
      <c r="J3762" s="371" t="s">
        <v>286</v>
      </c>
      <c r="K3762" s="377"/>
      <c r="L3762" s="129"/>
      <c r="M3762" s="378"/>
      <c r="N3762" s="129"/>
      <c r="O3762" s="129"/>
      <c r="P3762" s="379"/>
      <c r="Q3762" s="129"/>
      <c r="R3762" s="380"/>
      <c r="S3762" s="129"/>
      <c r="T3762" s="129"/>
      <c r="W3762" s="129" t="s">
        <v>310</v>
      </c>
      <c r="X3762" s="337" t="b">
        <f t="shared" si="93"/>
        <v>0</v>
      </c>
    </row>
    <row r="3763" spans="1:24" ht="12" customHeight="1" outlineLevel="1">
      <c r="A3763" s="370"/>
      <c r="B3763" s="118" t="s">
        <v>12</v>
      </c>
      <c r="C3763" s="334" t="s">
        <v>11631</v>
      </c>
      <c r="D3763" s="124" t="s">
        <v>11630</v>
      </c>
      <c r="E3763" s="125"/>
      <c r="F3763" s="118" t="s">
        <v>828</v>
      </c>
      <c r="G3763" s="126" t="s">
        <v>11386</v>
      </c>
      <c r="H3763" s="255">
        <v>6</v>
      </c>
      <c r="I3763" s="361">
        <v>1</v>
      </c>
      <c r="J3763" s="371" t="s">
        <v>286</v>
      </c>
      <c r="K3763" s="377"/>
      <c r="L3763" s="129"/>
      <c r="M3763" s="378"/>
      <c r="N3763" s="129"/>
      <c r="O3763" s="129"/>
      <c r="P3763" s="379"/>
      <c r="Q3763" s="129"/>
      <c r="R3763" s="380"/>
      <c r="S3763" s="129"/>
      <c r="T3763" s="129"/>
      <c r="W3763" s="129" t="s">
        <v>310</v>
      </c>
      <c r="X3763" s="337" t="b">
        <f t="shared" si="93"/>
        <v>0</v>
      </c>
    </row>
    <row r="3764" spans="1:24" ht="12" customHeight="1" outlineLevel="1">
      <c r="A3764" s="370"/>
      <c r="B3764" s="118" t="s">
        <v>12</v>
      </c>
      <c r="C3764" s="334" t="s">
        <v>11632</v>
      </c>
      <c r="D3764" s="124" t="s">
        <v>11633</v>
      </c>
      <c r="E3764" s="125"/>
      <c r="F3764" s="118" t="s">
        <v>828</v>
      </c>
      <c r="G3764" s="126" t="s">
        <v>11386</v>
      </c>
      <c r="H3764" s="255">
        <v>6</v>
      </c>
      <c r="I3764" s="361">
        <v>1</v>
      </c>
      <c r="J3764" s="371" t="s">
        <v>286</v>
      </c>
      <c r="K3764" s="377"/>
      <c r="L3764" s="129"/>
      <c r="M3764" s="378"/>
      <c r="N3764" s="129"/>
      <c r="O3764" s="129"/>
      <c r="P3764" s="379"/>
      <c r="Q3764" s="129"/>
      <c r="R3764" s="380"/>
      <c r="S3764" s="129"/>
      <c r="T3764" s="129"/>
      <c r="W3764" s="129" t="s">
        <v>310</v>
      </c>
      <c r="X3764" s="337" t="b">
        <f t="shared" si="93"/>
        <v>0</v>
      </c>
    </row>
    <row r="3765" spans="1:24" ht="12" customHeight="1" outlineLevel="1">
      <c r="A3765" s="370"/>
      <c r="B3765" s="118" t="s">
        <v>12</v>
      </c>
      <c r="C3765" s="334" t="s">
        <v>11634</v>
      </c>
      <c r="D3765" s="124" t="s">
        <v>11635</v>
      </c>
      <c r="E3765" s="125"/>
      <c r="F3765" s="118" t="s">
        <v>828</v>
      </c>
      <c r="G3765" s="126" t="s">
        <v>11386</v>
      </c>
      <c r="H3765" s="255">
        <v>6</v>
      </c>
      <c r="I3765" s="361">
        <v>1</v>
      </c>
      <c r="J3765" s="371" t="s">
        <v>286</v>
      </c>
      <c r="K3765" s="377"/>
      <c r="L3765" s="129"/>
      <c r="M3765" s="378"/>
      <c r="N3765" s="129"/>
      <c r="O3765" s="129"/>
      <c r="P3765" s="379"/>
      <c r="Q3765" s="129"/>
      <c r="R3765" s="380"/>
      <c r="S3765" s="129"/>
      <c r="T3765" s="129"/>
      <c r="W3765" s="129" t="s">
        <v>310</v>
      </c>
      <c r="X3765" s="337" t="b">
        <f t="shared" si="93"/>
        <v>0</v>
      </c>
    </row>
    <row r="3766" spans="1:24" ht="12" customHeight="1" outlineLevel="1">
      <c r="A3766" s="370"/>
      <c r="B3766" s="118" t="s">
        <v>12</v>
      </c>
      <c r="C3766" s="334" t="s">
        <v>11636</v>
      </c>
      <c r="D3766" s="124" t="s">
        <v>11637</v>
      </c>
      <c r="E3766" s="125"/>
      <c r="F3766" s="118" t="s">
        <v>828</v>
      </c>
      <c r="G3766" s="126" t="s">
        <v>11386</v>
      </c>
      <c r="H3766" s="255">
        <v>6</v>
      </c>
      <c r="I3766" s="361">
        <v>1</v>
      </c>
      <c r="J3766" s="371" t="s">
        <v>286</v>
      </c>
      <c r="K3766" s="377"/>
      <c r="L3766" s="129"/>
      <c r="M3766" s="378"/>
      <c r="N3766" s="129"/>
      <c r="O3766" s="129"/>
      <c r="P3766" s="379"/>
      <c r="Q3766" s="129"/>
      <c r="R3766" s="380"/>
      <c r="S3766" s="129"/>
      <c r="T3766" s="129"/>
      <c r="W3766" s="129" t="s">
        <v>310</v>
      </c>
      <c r="X3766" s="337" t="b">
        <f t="shared" si="93"/>
        <v>0</v>
      </c>
    </row>
    <row r="3767" spans="1:24" ht="12" customHeight="1" outlineLevel="1">
      <c r="A3767" s="370"/>
      <c r="B3767" s="118" t="s">
        <v>12</v>
      </c>
      <c r="C3767" s="334" t="s">
        <v>11638</v>
      </c>
      <c r="D3767" s="124" t="s">
        <v>11639</v>
      </c>
      <c r="E3767" s="125"/>
      <c r="F3767" s="118" t="s">
        <v>828</v>
      </c>
      <c r="G3767" s="126" t="s">
        <v>11386</v>
      </c>
      <c r="H3767" s="255">
        <v>6</v>
      </c>
      <c r="I3767" s="361">
        <v>1</v>
      </c>
      <c r="J3767" s="371" t="s">
        <v>286</v>
      </c>
      <c r="K3767" s="377"/>
      <c r="L3767" s="129"/>
      <c r="M3767" s="378"/>
      <c r="N3767" s="129"/>
      <c r="O3767" s="129"/>
      <c r="P3767" s="379"/>
      <c r="Q3767" s="129"/>
      <c r="R3767" s="380"/>
      <c r="S3767" s="129"/>
      <c r="T3767" s="129"/>
      <c r="W3767" s="129" t="s">
        <v>310</v>
      </c>
      <c r="X3767" s="337" t="b">
        <f t="shared" si="93"/>
        <v>0</v>
      </c>
    </row>
    <row r="3768" spans="1:24" ht="12" customHeight="1" outlineLevel="1">
      <c r="A3768" s="370"/>
      <c r="B3768" s="118" t="s">
        <v>12</v>
      </c>
      <c r="C3768" s="334" t="s">
        <v>11640</v>
      </c>
      <c r="D3768" s="124" t="s">
        <v>11641</v>
      </c>
      <c r="E3768" s="125"/>
      <c r="F3768" s="118" t="s">
        <v>828</v>
      </c>
      <c r="G3768" s="126" t="s">
        <v>11386</v>
      </c>
      <c r="H3768" s="255">
        <v>6</v>
      </c>
      <c r="I3768" s="361">
        <v>1</v>
      </c>
      <c r="J3768" s="371" t="s">
        <v>286</v>
      </c>
      <c r="K3768" s="377"/>
      <c r="L3768" s="129"/>
      <c r="M3768" s="378"/>
      <c r="N3768" s="129"/>
      <c r="O3768" s="129"/>
      <c r="P3768" s="379"/>
      <c r="Q3768" s="129"/>
      <c r="R3768" s="380"/>
      <c r="S3768" s="129"/>
      <c r="T3768" s="129"/>
      <c r="W3768" s="129" t="s">
        <v>310</v>
      </c>
      <c r="X3768" s="337" t="b">
        <f t="shared" si="93"/>
        <v>0</v>
      </c>
    </row>
    <row r="3769" spans="1:24" ht="12" customHeight="1" outlineLevel="1">
      <c r="A3769" s="370"/>
      <c r="B3769" s="118" t="s">
        <v>12</v>
      </c>
      <c r="C3769" s="334" t="s">
        <v>11642</v>
      </c>
      <c r="D3769" s="124" t="s">
        <v>11643</v>
      </c>
      <c r="E3769" s="125"/>
      <c r="F3769" s="118" t="s">
        <v>828</v>
      </c>
      <c r="G3769" s="126" t="s">
        <v>11386</v>
      </c>
      <c r="H3769" s="255">
        <v>6</v>
      </c>
      <c r="I3769" s="361">
        <v>1</v>
      </c>
      <c r="J3769" s="371" t="s">
        <v>286</v>
      </c>
      <c r="K3769" s="377"/>
      <c r="L3769" s="129"/>
      <c r="M3769" s="378"/>
      <c r="N3769" s="129"/>
      <c r="O3769" s="129"/>
      <c r="P3769" s="379"/>
      <c r="Q3769" s="129"/>
      <c r="R3769" s="380"/>
      <c r="S3769" s="129"/>
      <c r="T3769" s="129"/>
      <c r="W3769" s="129" t="s">
        <v>310</v>
      </c>
      <c r="X3769" s="337" t="b">
        <f t="shared" si="93"/>
        <v>0</v>
      </c>
    </row>
    <row r="3770" spans="1:24" ht="12" customHeight="1" outlineLevel="1">
      <c r="A3770" s="370"/>
      <c r="B3770" s="118" t="s">
        <v>12</v>
      </c>
      <c r="C3770" s="334" t="s">
        <v>11644</v>
      </c>
      <c r="D3770" s="124" t="s">
        <v>11645</v>
      </c>
      <c r="E3770" s="125"/>
      <c r="F3770" s="118" t="s">
        <v>828</v>
      </c>
      <c r="G3770" s="126" t="s">
        <v>11386</v>
      </c>
      <c r="H3770" s="255">
        <v>6</v>
      </c>
      <c r="I3770" s="361">
        <v>1</v>
      </c>
      <c r="J3770" s="371" t="s">
        <v>286</v>
      </c>
      <c r="K3770" s="377"/>
      <c r="L3770" s="129"/>
      <c r="M3770" s="378"/>
      <c r="N3770" s="129"/>
      <c r="O3770" s="129"/>
      <c r="P3770" s="379"/>
      <c r="Q3770" s="129"/>
      <c r="R3770" s="380"/>
      <c r="S3770" s="129"/>
      <c r="T3770" s="129"/>
      <c r="W3770" s="129" t="s">
        <v>310</v>
      </c>
      <c r="X3770" s="337" t="b">
        <f t="shared" si="93"/>
        <v>0</v>
      </c>
    </row>
    <row r="3771" spans="1:24" ht="12" customHeight="1" outlineLevel="1">
      <c r="A3771" s="370"/>
      <c r="B3771" s="118" t="s">
        <v>12</v>
      </c>
      <c r="C3771" s="334" t="s">
        <v>11646</v>
      </c>
      <c r="D3771" s="124" t="s">
        <v>11647</v>
      </c>
      <c r="E3771" s="125"/>
      <c r="F3771" s="118" t="s">
        <v>828</v>
      </c>
      <c r="G3771" s="126" t="s">
        <v>11386</v>
      </c>
      <c r="H3771" s="255">
        <v>6</v>
      </c>
      <c r="I3771" s="361">
        <v>1</v>
      </c>
      <c r="J3771" s="371" t="s">
        <v>286</v>
      </c>
      <c r="K3771" s="377"/>
      <c r="L3771" s="129"/>
      <c r="M3771" s="378"/>
      <c r="N3771" s="129"/>
      <c r="O3771" s="129"/>
      <c r="P3771" s="379"/>
      <c r="Q3771" s="129"/>
      <c r="R3771" s="380"/>
      <c r="S3771" s="129"/>
      <c r="T3771" s="129"/>
      <c r="W3771" s="129" t="s">
        <v>310</v>
      </c>
      <c r="X3771" s="337" t="b">
        <f t="shared" si="93"/>
        <v>0</v>
      </c>
    </row>
    <row r="3772" spans="1:24" ht="12" customHeight="1" outlineLevel="1">
      <c r="A3772" s="370"/>
      <c r="B3772" s="118" t="s">
        <v>12</v>
      </c>
      <c r="C3772" s="334" t="s">
        <v>11648</v>
      </c>
      <c r="D3772" s="124" t="s">
        <v>11649</v>
      </c>
      <c r="E3772" s="125"/>
      <c r="F3772" s="118" t="s">
        <v>828</v>
      </c>
      <c r="G3772" s="126" t="s">
        <v>11386</v>
      </c>
      <c r="H3772" s="255">
        <v>6</v>
      </c>
      <c r="I3772" s="361">
        <v>1</v>
      </c>
      <c r="J3772" s="371" t="s">
        <v>286</v>
      </c>
      <c r="K3772" s="377"/>
      <c r="L3772" s="129"/>
      <c r="M3772" s="378"/>
      <c r="N3772" s="129"/>
      <c r="O3772" s="129"/>
      <c r="P3772" s="379"/>
      <c r="Q3772" s="129"/>
      <c r="R3772" s="380"/>
      <c r="S3772" s="129"/>
      <c r="T3772" s="129"/>
      <c r="W3772" s="129" t="s">
        <v>310</v>
      </c>
      <c r="X3772" s="337" t="b">
        <f t="shared" si="93"/>
        <v>0</v>
      </c>
    </row>
    <row r="3773" spans="1:24" ht="12" customHeight="1" outlineLevel="1">
      <c r="A3773" s="370"/>
      <c r="B3773" s="118" t="s">
        <v>12</v>
      </c>
      <c r="C3773" s="334" t="s">
        <v>11650</v>
      </c>
      <c r="D3773" s="124" t="s">
        <v>11651</v>
      </c>
      <c r="E3773" s="125"/>
      <c r="F3773" s="118" t="s">
        <v>828</v>
      </c>
      <c r="G3773" s="126" t="s">
        <v>11386</v>
      </c>
      <c r="H3773" s="255">
        <v>6</v>
      </c>
      <c r="I3773" s="361">
        <v>1</v>
      </c>
      <c r="J3773" s="371" t="s">
        <v>286</v>
      </c>
      <c r="K3773" s="377"/>
      <c r="L3773" s="129"/>
      <c r="M3773" s="378"/>
      <c r="N3773" s="129"/>
      <c r="O3773" s="129"/>
      <c r="P3773" s="379"/>
      <c r="Q3773" s="129"/>
      <c r="R3773" s="380"/>
      <c r="S3773" s="129"/>
      <c r="T3773" s="129"/>
      <c r="W3773" s="129" t="s">
        <v>310</v>
      </c>
      <c r="X3773" s="337" t="b">
        <f t="shared" si="93"/>
        <v>0</v>
      </c>
    </row>
    <row r="3774" spans="1:24" ht="12" customHeight="1" outlineLevel="1">
      <c r="A3774" s="370"/>
      <c r="B3774" s="118" t="s">
        <v>12</v>
      </c>
      <c r="C3774" s="334" t="s">
        <v>11652</v>
      </c>
      <c r="D3774" s="124" t="s">
        <v>11653</v>
      </c>
      <c r="E3774" s="125"/>
      <c r="F3774" s="118" t="s">
        <v>828</v>
      </c>
      <c r="G3774" s="126" t="s">
        <v>11386</v>
      </c>
      <c r="H3774" s="255">
        <v>6</v>
      </c>
      <c r="I3774" s="361">
        <v>1</v>
      </c>
      <c r="J3774" s="371" t="s">
        <v>286</v>
      </c>
      <c r="K3774" s="377"/>
      <c r="L3774" s="129"/>
      <c r="M3774" s="378"/>
      <c r="N3774" s="129"/>
      <c r="O3774" s="129"/>
      <c r="P3774" s="379"/>
      <c r="Q3774" s="129"/>
      <c r="R3774" s="380"/>
      <c r="S3774" s="129"/>
      <c r="T3774" s="129"/>
      <c r="W3774" s="129" t="s">
        <v>310</v>
      </c>
      <c r="X3774" s="337" t="b">
        <f t="shared" si="93"/>
        <v>0</v>
      </c>
    </row>
    <row r="3775" spans="1:24" ht="12" customHeight="1" outlineLevel="1">
      <c r="A3775" s="370"/>
      <c r="B3775" s="118" t="s">
        <v>12</v>
      </c>
      <c r="C3775" s="334" t="s">
        <v>11654</v>
      </c>
      <c r="D3775" s="124" t="s">
        <v>11655</v>
      </c>
      <c r="E3775" s="125"/>
      <c r="F3775" s="118" t="s">
        <v>828</v>
      </c>
      <c r="G3775" s="126" t="s">
        <v>11386</v>
      </c>
      <c r="H3775" s="255">
        <v>6</v>
      </c>
      <c r="I3775" s="361">
        <v>1</v>
      </c>
      <c r="J3775" s="371" t="s">
        <v>286</v>
      </c>
      <c r="K3775" s="377"/>
      <c r="L3775" s="129"/>
      <c r="M3775" s="378"/>
      <c r="N3775" s="129"/>
      <c r="O3775" s="129"/>
      <c r="P3775" s="379"/>
      <c r="Q3775" s="129"/>
      <c r="R3775" s="380"/>
      <c r="S3775" s="129"/>
      <c r="T3775" s="129"/>
      <c r="W3775" s="129" t="s">
        <v>310</v>
      </c>
      <c r="X3775" s="337" t="b">
        <f t="shared" si="93"/>
        <v>0</v>
      </c>
    </row>
    <row r="3776" spans="1:24" ht="12" customHeight="1" outlineLevel="1">
      <c r="A3776" s="370"/>
      <c r="B3776" s="118" t="s">
        <v>12</v>
      </c>
      <c r="C3776" s="334" t="s">
        <v>11656</v>
      </c>
      <c r="D3776" s="124" t="s">
        <v>11657</v>
      </c>
      <c r="E3776" s="125"/>
      <c r="F3776" s="118" t="s">
        <v>828</v>
      </c>
      <c r="G3776" s="126" t="s">
        <v>11386</v>
      </c>
      <c r="H3776" s="255">
        <v>6</v>
      </c>
      <c r="I3776" s="361">
        <v>1</v>
      </c>
      <c r="J3776" s="371" t="s">
        <v>286</v>
      </c>
      <c r="K3776" s="377"/>
      <c r="L3776" s="129"/>
      <c r="M3776" s="378"/>
      <c r="N3776" s="129"/>
      <c r="O3776" s="129"/>
      <c r="P3776" s="379"/>
      <c r="Q3776" s="129"/>
      <c r="R3776" s="380"/>
      <c r="S3776" s="129"/>
      <c r="T3776" s="129"/>
      <c r="W3776" s="129" t="s">
        <v>310</v>
      </c>
      <c r="X3776" s="337" t="b">
        <f t="shared" si="93"/>
        <v>0</v>
      </c>
    </row>
    <row r="3777" spans="1:24" ht="12" customHeight="1" outlineLevel="1">
      <c r="A3777" s="370"/>
      <c r="B3777" s="118" t="s">
        <v>12</v>
      </c>
      <c r="C3777" s="334" t="s">
        <v>11658</v>
      </c>
      <c r="D3777" s="124" t="s">
        <v>11659</v>
      </c>
      <c r="E3777" s="125"/>
      <c r="F3777" s="118" t="s">
        <v>828</v>
      </c>
      <c r="G3777" s="126" t="s">
        <v>11386</v>
      </c>
      <c r="H3777" s="255">
        <v>6</v>
      </c>
      <c r="I3777" s="361">
        <v>1</v>
      </c>
      <c r="J3777" s="371" t="s">
        <v>286</v>
      </c>
      <c r="K3777" s="377"/>
      <c r="L3777" s="129"/>
      <c r="M3777" s="378"/>
      <c r="N3777" s="129"/>
      <c r="O3777" s="129"/>
      <c r="P3777" s="379"/>
      <c r="Q3777" s="129"/>
      <c r="R3777" s="380"/>
      <c r="S3777" s="129"/>
      <c r="T3777" s="129"/>
      <c r="W3777" s="129" t="s">
        <v>310</v>
      </c>
      <c r="X3777" s="337" t="b">
        <f t="shared" si="93"/>
        <v>0</v>
      </c>
    </row>
    <row r="3778" spans="1:24" ht="12" customHeight="1" outlineLevel="1">
      <c r="A3778" s="370"/>
      <c r="B3778" s="118" t="s">
        <v>12</v>
      </c>
      <c r="C3778" s="334" t="s">
        <v>11660</v>
      </c>
      <c r="D3778" s="124" t="s">
        <v>11661</v>
      </c>
      <c r="E3778" s="125"/>
      <c r="F3778" s="118" t="s">
        <v>828</v>
      </c>
      <c r="G3778" s="126" t="s">
        <v>11386</v>
      </c>
      <c r="H3778" s="255">
        <v>6</v>
      </c>
      <c r="I3778" s="361">
        <v>1</v>
      </c>
      <c r="J3778" s="371" t="s">
        <v>286</v>
      </c>
      <c r="K3778" s="377"/>
      <c r="L3778" s="129"/>
      <c r="M3778" s="378"/>
      <c r="N3778" s="129"/>
      <c r="O3778" s="129"/>
      <c r="P3778" s="379"/>
      <c r="Q3778" s="129"/>
      <c r="R3778" s="380"/>
      <c r="S3778" s="129"/>
      <c r="T3778" s="129"/>
      <c r="W3778" s="129" t="s">
        <v>310</v>
      </c>
      <c r="X3778" s="337" t="b">
        <f t="shared" si="93"/>
        <v>0</v>
      </c>
    </row>
    <row r="3779" spans="1:24" ht="12" customHeight="1" outlineLevel="1">
      <c r="A3779" s="370"/>
      <c r="B3779" s="118" t="s">
        <v>12</v>
      </c>
      <c r="C3779" s="334" t="s">
        <v>11662</v>
      </c>
      <c r="D3779" s="124" t="s">
        <v>11663</v>
      </c>
      <c r="E3779" s="125"/>
      <c r="F3779" s="118" t="s">
        <v>828</v>
      </c>
      <c r="G3779" s="126" t="s">
        <v>11386</v>
      </c>
      <c r="H3779" s="255">
        <v>6</v>
      </c>
      <c r="I3779" s="361">
        <v>1</v>
      </c>
      <c r="J3779" s="371" t="s">
        <v>286</v>
      </c>
      <c r="K3779" s="377"/>
      <c r="L3779" s="129"/>
      <c r="M3779" s="378"/>
      <c r="N3779" s="129"/>
      <c r="O3779" s="129"/>
      <c r="P3779" s="379"/>
      <c r="Q3779" s="129"/>
      <c r="R3779" s="380"/>
      <c r="S3779" s="129"/>
      <c r="T3779" s="129"/>
      <c r="W3779" s="129" t="s">
        <v>310</v>
      </c>
      <c r="X3779" s="337" t="b">
        <f t="shared" si="93"/>
        <v>0</v>
      </c>
    </row>
    <row r="3780" spans="1:24" ht="12" customHeight="1" outlineLevel="1">
      <c r="A3780" s="370"/>
      <c r="B3780" s="118" t="s">
        <v>12</v>
      </c>
      <c r="C3780" s="334" t="s">
        <v>11664</v>
      </c>
      <c r="D3780" s="124" t="s">
        <v>11665</v>
      </c>
      <c r="E3780" s="125"/>
      <c r="F3780" s="118" t="s">
        <v>828</v>
      </c>
      <c r="G3780" s="126" t="s">
        <v>11386</v>
      </c>
      <c r="H3780" s="255">
        <v>6</v>
      </c>
      <c r="I3780" s="361">
        <v>1</v>
      </c>
      <c r="J3780" s="371" t="s">
        <v>286</v>
      </c>
      <c r="K3780" s="377"/>
      <c r="L3780" s="129"/>
      <c r="M3780" s="378"/>
      <c r="N3780" s="129"/>
      <c r="O3780" s="129"/>
      <c r="P3780" s="379"/>
      <c r="Q3780" s="129"/>
      <c r="R3780" s="380"/>
      <c r="S3780" s="129"/>
      <c r="T3780" s="129"/>
      <c r="W3780" s="129" t="s">
        <v>310</v>
      </c>
      <c r="X3780" s="337" t="b">
        <f t="shared" si="93"/>
        <v>0</v>
      </c>
    </row>
    <row r="3781" spans="1:24" ht="12" customHeight="1" outlineLevel="1">
      <c r="A3781" s="370"/>
      <c r="B3781" s="118" t="s">
        <v>12</v>
      </c>
      <c r="C3781" s="334" t="s">
        <v>11666</v>
      </c>
      <c r="D3781" s="124" t="s">
        <v>11667</v>
      </c>
      <c r="E3781" s="125"/>
      <c r="F3781" s="118" t="s">
        <v>828</v>
      </c>
      <c r="G3781" s="126" t="s">
        <v>11386</v>
      </c>
      <c r="H3781" s="255">
        <v>6</v>
      </c>
      <c r="I3781" s="361">
        <v>1</v>
      </c>
      <c r="J3781" s="371" t="s">
        <v>286</v>
      </c>
      <c r="K3781" s="377"/>
      <c r="L3781" s="129"/>
      <c r="M3781" s="378"/>
      <c r="N3781" s="129"/>
      <c r="O3781" s="129"/>
      <c r="P3781" s="379"/>
      <c r="Q3781" s="129"/>
      <c r="R3781" s="380"/>
      <c r="S3781" s="129"/>
      <c r="T3781" s="129"/>
      <c r="W3781" s="129" t="s">
        <v>286</v>
      </c>
      <c r="X3781" s="337" t="b">
        <f t="shared" si="93"/>
        <v>1</v>
      </c>
    </row>
    <row r="3782" spans="1:24" ht="12" customHeight="1" outlineLevel="1">
      <c r="A3782" s="370"/>
      <c r="B3782" s="118" t="s">
        <v>12</v>
      </c>
      <c r="C3782" s="334" t="s">
        <v>11668</v>
      </c>
      <c r="D3782" s="124" t="s">
        <v>11669</v>
      </c>
      <c r="E3782" s="125"/>
      <c r="F3782" s="118" t="s">
        <v>828</v>
      </c>
      <c r="G3782" s="126" t="s">
        <v>11386</v>
      </c>
      <c r="H3782" s="255">
        <v>6</v>
      </c>
      <c r="I3782" s="361">
        <v>1</v>
      </c>
      <c r="J3782" s="371" t="s">
        <v>286</v>
      </c>
      <c r="K3782" s="377"/>
      <c r="L3782" s="129"/>
      <c r="M3782" s="378"/>
      <c r="N3782" s="129"/>
      <c r="O3782" s="129"/>
      <c r="P3782" s="379"/>
      <c r="Q3782" s="129"/>
      <c r="R3782" s="380"/>
      <c r="S3782" s="129"/>
      <c r="T3782" s="129"/>
      <c r="W3782" s="129" t="s">
        <v>286</v>
      </c>
      <c r="X3782" s="337" t="b">
        <f t="shared" si="93"/>
        <v>1</v>
      </c>
    </row>
    <row r="3783" spans="1:24" ht="12" customHeight="1" outlineLevel="1">
      <c r="A3783" s="370"/>
      <c r="B3783" s="118" t="s">
        <v>12</v>
      </c>
      <c r="C3783" s="334" t="s">
        <v>11670</v>
      </c>
      <c r="D3783" s="124" t="s">
        <v>11671</v>
      </c>
      <c r="E3783" s="125"/>
      <c r="F3783" s="118" t="s">
        <v>828</v>
      </c>
      <c r="G3783" s="126" t="s">
        <v>11386</v>
      </c>
      <c r="H3783" s="255">
        <v>6</v>
      </c>
      <c r="I3783" s="361">
        <v>1</v>
      </c>
      <c r="J3783" s="371" t="s">
        <v>286</v>
      </c>
      <c r="K3783" s="377"/>
      <c r="L3783" s="129"/>
      <c r="M3783" s="378"/>
      <c r="N3783" s="129"/>
      <c r="O3783" s="129"/>
      <c r="P3783" s="379"/>
      <c r="Q3783" s="129"/>
      <c r="R3783" s="380"/>
      <c r="S3783" s="129"/>
      <c r="T3783" s="129"/>
      <c r="W3783" s="129" t="s">
        <v>286</v>
      </c>
      <c r="X3783" s="337" t="b">
        <f t="shared" si="93"/>
        <v>1</v>
      </c>
    </row>
    <row r="3784" spans="1:24" ht="12" customHeight="1" outlineLevel="1">
      <c r="A3784" s="370"/>
      <c r="B3784" s="118" t="s">
        <v>12</v>
      </c>
      <c r="C3784" s="334" t="s">
        <v>11672</v>
      </c>
      <c r="D3784" s="124" t="s">
        <v>11673</v>
      </c>
      <c r="E3784" s="125"/>
      <c r="F3784" s="118" t="s">
        <v>828</v>
      </c>
      <c r="G3784" s="126" t="s">
        <v>11386</v>
      </c>
      <c r="H3784" s="255">
        <v>6</v>
      </c>
      <c r="I3784" s="361">
        <v>1</v>
      </c>
      <c r="J3784" s="371" t="s">
        <v>286</v>
      </c>
      <c r="K3784" s="377"/>
      <c r="L3784" s="129"/>
      <c r="M3784" s="378"/>
      <c r="N3784" s="129"/>
      <c r="O3784" s="129"/>
      <c r="P3784" s="379"/>
      <c r="Q3784" s="129"/>
      <c r="R3784" s="380"/>
      <c r="S3784" s="129"/>
      <c r="T3784" s="129"/>
      <c r="W3784" s="129" t="s">
        <v>286</v>
      </c>
      <c r="X3784" s="337" t="b">
        <f t="shared" si="93"/>
        <v>1</v>
      </c>
    </row>
    <row r="3785" spans="1:24" ht="12" customHeight="1" outlineLevel="1">
      <c r="A3785" s="370"/>
      <c r="B3785" s="118" t="s">
        <v>12</v>
      </c>
      <c r="C3785" s="334" t="s">
        <v>11674</v>
      </c>
      <c r="D3785" s="124" t="s">
        <v>11675</v>
      </c>
      <c r="E3785" s="125"/>
      <c r="F3785" s="118" t="s">
        <v>828</v>
      </c>
      <c r="G3785" s="126" t="s">
        <v>11386</v>
      </c>
      <c r="H3785" s="255">
        <v>6</v>
      </c>
      <c r="I3785" s="361">
        <v>1</v>
      </c>
      <c r="J3785" s="371" t="s">
        <v>286</v>
      </c>
      <c r="K3785" s="377"/>
      <c r="L3785" s="129"/>
      <c r="M3785" s="378"/>
      <c r="N3785" s="129"/>
      <c r="O3785" s="129"/>
      <c r="P3785" s="379"/>
      <c r="Q3785" s="129"/>
      <c r="R3785" s="380"/>
      <c r="S3785" s="129"/>
      <c r="T3785" s="129"/>
      <c r="W3785" s="129" t="s">
        <v>286</v>
      </c>
      <c r="X3785" s="337" t="b">
        <f t="shared" si="93"/>
        <v>1</v>
      </c>
    </row>
    <row r="3786" spans="1:24" ht="12" customHeight="1" outlineLevel="1">
      <c r="A3786" s="370"/>
      <c r="B3786" s="118" t="s">
        <v>12</v>
      </c>
      <c r="C3786" s="334" t="s">
        <v>11676</v>
      </c>
      <c r="D3786" s="124" t="s">
        <v>11677</v>
      </c>
      <c r="E3786" s="125"/>
      <c r="F3786" s="118" t="s">
        <v>828</v>
      </c>
      <c r="G3786" s="126" t="s">
        <v>11386</v>
      </c>
      <c r="H3786" s="255">
        <v>6</v>
      </c>
      <c r="I3786" s="361">
        <v>1</v>
      </c>
      <c r="J3786" s="371" t="s">
        <v>286</v>
      </c>
      <c r="K3786" s="377"/>
      <c r="L3786" s="129"/>
      <c r="M3786" s="378"/>
      <c r="N3786" s="129"/>
      <c r="O3786" s="129"/>
      <c r="P3786" s="379"/>
      <c r="Q3786" s="129"/>
      <c r="R3786" s="380"/>
      <c r="S3786" s="129"/>
      <c r="T3786" s="129"/>
      <c r="W3786" s="129" t="s">
        <v>286</v>
      </c>
      <c r="X3786" s="337" t="b">
        <f t="shared" si="93"/>
        <v>1</v>
      </c>
    </row>
    <row r="3787" spans="1:24" ht="12" customHeight="1" outlineLevel="1">
      <c r="A3787" s="370"/>
      <c r="B3787" s="118" t="s">
        <v>12</v>
      </c>
      <c r="C3787" s="334" t="s">
        <v>11678</v>
      </c>
      <c r="D3787" s="124" t="s">
        <v>11679</v>
      </c>
      <c r="E3787" s="125"/>
      <c r="F3787" s="118" t="s">
        <v>828</v>
      </c>
      <c r="G3787" s="126" t="s">
        <v>11386</v>
      </c>
      <c r="H3787" s="255">
        <v>6</v>
      </c>
      <c r="I3787" s="361">
        <v>1</v>
      </c>
      <c r="J3787" s="371" t="s">
        <v>286</v>
      </c>
      <c r="K3787" s="377"/>
      <c r="L3787" s="129"/>
      <c r="M3787" s="378"/>
      <c r="N3787" s="129"/>
      <c r="O3787" s="129"/>
      <c r="P3787" s="379"/>
      <c r="Q3787" s="129"/>
      <c r="R3787" s="380"/>
      <c r="S3787" s="129"/>
      <c r="T3787" s="129"/>
      <c r="W3787" s="129" t="s">
        <v>286</v>
      </c>
      <c r="X3787" s="337" t="b">
        <f t="shared" si="93"/>
        <v>1</v>
      </c>
    </row>
    <row r="3788" spans="1:24" ht="12" customHeight="1" outlineLevel="1">
      <c r="A3788" s="370"/>
      <c r="B3788" s="118" t="s">
        <v>12</v>
      </c>
      <c r="C3788" s="334" t="s">
        <v>11680</v>
      </c>
      <c r="D3788" s="124" t="s">
        <v>11681</v>
      </c>
      <c r="E3788" s="125"/>
      <c r="F3788" s="118" t="s">
        <v>828</v>
      </c>
      <c r="G3788" s="126" t="s">
        <v>11386</v>
      </c>
      <c r="H3788" s="255">
        <v>6</v>
      </c>
      <c r="I3788" s="361">
        <v>1</v>
      </c>
      <c r="J3788" s="371" t="s">
        <v>286</v>
      </c>
      <c r="K3788" s="377"/>
      <c r="L3788" s="129"/>
      <c r="M3788" s="378"/>
      <c r="N3788" s="129"/>
      <c r="O3788" s="129"/>
      <c r="P3788" s="379"/>
      <c r="Q3788" s="129"/>
      <c r="R3788" s="380"/>
      <c r="S3788" s="129"/>
      <c r="T3788" s="129"/>
      <c r="W3788" s="129" t="s">
        <v>286</v>
      </c>
      <c r="X3788" s="337" t="b">
        <f t="shared" si="93"/>
        <v>1</v>
      </c>
    </row>
    <row r="3789" spans="1:24" ht="12" customHeight="1" outlineLevel="1">
      <c r="A3789" s="370"/>
      <c r="B3789" s="118" t="s">
        <v>12</v>
      </c>
      <c r="C3789" s="334" t="s">
        <v>11682</v>
      </c>
      <c r="D3789" s="124" t="s">
        <v>11683</v>
      </c>
      <c r="E3789" s="125"/>
      <c r="F3789" s="118" t="s">
        <v>828</v>
      </c>
      <c r="G3789" s="126" t="s">
        <v>11386</v>
      </c>
      <c r="H3789" s="255">
        <v>6</v>
      </c>
      <c r="I3789" s="361">
        <v>1</v>
      </c>
      <c r="J3789" s="371" t="s">
        <v>286</v>
      </c>
      <c r="K3789" s="377"/>
      <c r="L3789" s="129"/>
      <c r="M3789" s="378"/>
      <c r="N3789" s="129"/>
      <c r="O3789" s="129"/>
      <c r="P3789" s="379"/>
      <c r="Q3789" s="129"/>
      <c r="R3789" s="380"/>
      <c r="S3789" s="129"/>
      <c r="T3789" s="129"/>
      <c r="W3789" s="129" t="s">
        <v>286</v>
      </c>
      <c r="X3789" s="337" t="b">
        <f t="shared" si="93"/>
        <v>1</v>
      </c>
    </row>
    <row r="3790" spans="1:24" ht="12" customHeight="1" outlineLevel="1">
      <c r="A3790" s="370"/>
      <c r="B3790" s="118" t="s">
        <v>12</v>
      </c>
      <c r="C3790" s="334" t="s">
        <v>11684</v>
      </c>
      <c r="D3790" s="124" t="s">
        <v>11685</v>
      </c>
      <c r="E3790" s="125"/>
      <c r="F3790" s="118" t="s">
        <v>828</v>
      </c>
      <c r="G3790" s="126" t="s">
        <v>11386</v>
      </c>
      <c r="H3790" s="255">
        <v>6</v>
      </c>
      <c r="I3790" s="361">
        <v>1</v>
      </c>
      <c r="J3790" s="371" t="s">
        <v>286</v>
      </c>
      <c r="K3790" s="377"/>
      <c r="L3790" s="129"/>
      <c r="M3790" s="378"/>
      <c r="N3790" s="129"/>
      <c r="O3790" s="129"/>
      <c r="P3790" s="379"/>
      <c r="Q3790" s="129"/>
      <c r="R3790" s="380"/>
      <c r="S3790" s="129"/>
      <c r="T3790" s="129"/>
      <c r="W3790" s="129" t="s">
        <v>286</v>
      </c>
      <c r="X3790" s="337" t="b">
        <f t="shared" si="93"/>
        <v>1</v>
      </c>
    </row>
    <row r="3791" spans="1:24" ht="12" customHeight="1" outlineLevel="1">
      <c r="A3791" s="370"/>
      <c r="B3791" s="118" t="s">
        <v>12</v>
      </c>
      <c r="C3791" s="334" t="s">
        <v>11686</v>
      </c>
      <c r="D3791" s="124" t="s">
        <v>11687</v>
      </c>
      <c r="E3791" s="125"/>
      <c r="F3791" s="118" t="s">
        <v>828</v>
      </c>
      <c r="G3791" s="126" t="s">
        <v>11386</v>
      </c>
      <c r="H3791" s="255">
        <v>6</v>
      </c>
      <c r="I3791" s="361">
        <v>1</v>
      </c>
      <c r="J3791" s="371" t="s">
        <v>286</v>
      </c>
      <c r="K3791" s="377"/>
      <c r="L3791" s="129"/>
      <c r="M3791" s="378"/>
      <c r="N3791" s="129"/>
      <c r="O3791" s="129"/>
      <c r="P3791" s="379"/>
      <c r="Q3791" s="129"/>
      <c r="R3791" s="380"/>
      <c r="S3791" s="129"/>
      <c r="T3791" s="129"/>
      <c r="W3791" s="129" t="s">
        <v>286</v>
      </c>
      <c r="X3791" s="337" t="b">
        <f t="shared" si="93"/>
        <v>1</v>
      </c>
    </row>
    <row r="3792" spans="1:24" ht="12" customHeight="1" outlineLevel="1">
      <c r="A3792" s="370"/>
      <c r="B3792" s="118" t="s">
        <v>12</v>
      </c>
      <c r="C3792" s="334" t="s">
        <v>11688</v>
      </c>
      <c r="D3792" s="124" t="s">
        <v>11689</v>
      </c>
      <c r="E3792" s="125"/>
      <c r="F3792" s="118" t="s">
        <v>828</v>
      </c>
      <c r="G3792" s="126" t="s">
        <v>11386</v>
      </c>
      <c r="H3792" s="255">
        <v>6</v>
      </c>
      <c r="I3792" s="361">
        <v>1</v>
      </c>
      <c r="J3792" s="371" t="s">
        <v>286</v>
      </c>
      <c r="K3792" s="377"/>
      <c r="L3792" s="129"/>
      <c r="M3792" s="378"/>
      <c r="N3792" s="129"/>
      <c r="O3792" s="129"/>
      <c r="P3792" s="379"/>
      <c r="Q3792" s="129"/>
      <c r="R3792" s="380"/>
      <c r="S3792" s="129"/>
      <c r="T3792" s="129"/>
      <c r="W3792" s="129" t="s">
        <v>286</v>
      </c>
      <c r="X3792" s="337" t="b">
        <f t="shared" si="93"/>
        <v>1</v>
      </c>
    </row>
    <row r="3793" spans="1:24" ht="12" customHeight="1" outlineLevel="1">
      <c r="A3793" s="370"/>
      <c r="B3793" s="118" t="s">
        <v>12</v>
      </c>
      <c r="C3793" s="334" t="s">
        <v>11690</v>
      </c>
      <c r="D3793" s="124" t="s">
        <v>11691</v>
      </c>
      <c r="E3793" s="125"/>
      <c r="F3793" s="118" t="s">
        <v>828</v>
      </c>
      <c r="G3793" s="126" t="s">
        <v>11386</v>
      </c>
      <c r="H3793" s="255">
        <v>6</v>
      </c>
      <c r="I3793" s="361">
        <v>1</v>
      </c>
      <c r="J3793" s="371" t="s">
        <v>286</v>
      </c>
      <c r="K3793" s="377"/>
      <c r="L3793" s="129"/>
      <c r="M3793" s="378"/>
      <c r="N3793" s="129"/>
      <c r="O3793" s="129"/>
      <c r="P3793" s="379"/>
      <c r="Q3793" s="129"/>
      <c r="R3793" s="380"/>
      <c r="S3793" s="129"/>
      <c r="T3793" s="129"/>
      <c r="W3793" s="129" t="s">
        <v>286</v>
      </c>
      <c r="X3793" s="337" t="b">
        <f t="shared" si="93"/>
        <v>1</v>
      </c>
    </row>
    <row r="3794" spans="1:24" ht="12" customHeight="1" outlineLevel="1">
      <c r="A3794" s="370"/>
      <c r="B3794" s="118" t="s">
        <v>12</v>
      </c>
      <c r="C3794" s="334" t="s">
        <v>11692</v>
      </c>
      <c r="D3794" s="124" t="s">
        <v>11693</v>
      </c>
      <c r="E3794" s="125"/>
      <c r="F3794" s="118" t="s">
        <v>828</v>
      </c>
      <c r="G3794" s="126" t="s">
        <v>11386</v>
      </c>
      <c r="H3794" s="255">
        <v>6</v>
      </c>
      <c r="I3794" s="361">
        <v>1</v>
      </c>
      <c r="J3794" s="371" t="s">
        <v>286</v>
      </c>
      <c r="K3794" s="377"/>
      <c r="L3794" s="129"/>
      <c r="M3794" s="378"/>
      <c r="N3794" s="129"/>
      <c r="O3794" s="129"/>
      <c r="P3794" s="379"/>
      <c r="Q3794" s="129"/>
      <c r="R3794" s="380"/>
      <c r="S3794" s="129"/>
      <c r="T3794" s="129"/>
      <c r="W3794" s="129" t="s">
        <v>286</v>
      </c>
      <c r="X3794" s="337" t="b">
        <f t="shared" si="93"/>
        <v>1</v>
      </c>
    </row>
    <row r="3795" spans="1:24" ht="12" customHeight="1" outlineLevel="1">
      <c r="A3795" s="370"/>
      <c r="B3795" s="118" t="s">
        <v>12</v>
      </c>
      <c r="C3795" s="334" t="s">
        <v>11694</v>
      </c>
      <c r="D3795" s="124" t="s">
        <v>11695</v>
      </c>
      <c r="E3795" s="125"/>
      <c r="F3795" s="118" t="s">
        <v>828</v>
      </c>
      <c r="G3795" s="126" t="s">
        <v>11386</v>
      </c>
      <c r="H3795" s="255">
        <v>6</v>
      </c>
      <c r="I3795" s="361">
        <v>1</v>
      </c>
      <c r="J3795" s="371" t="s">
        <v>286</v>
      </c>
      <c r="K3795" s="377"/>
      <c r="L3795" s="129"/>
      <c r="M3795" s="378"/>
      <c r="N3795" s="129"/>
      <c r="O3795" s="129"/>
      <c r="P3795" s="379"/>
      <c r="Q3795" s="129"/>
      <c r="R3795" s="380"/>
      <c r="S3795" s="129"/>
      <c r="T3795" s="129"/>
      <c r="W3795" s="129" t="s">
        <v>286</v>
      </c>
      <c r="X3795" s="337" t="b">
        <f t="shared" ref="X3795:X3858" si="94">W3795=J3795</f>
        <v>1</v>
      </c>
    </row>
    <row r="3796" spans="1:24" ht="12" customHeight="1" outlineLevel="1">
      <c r="A3796" s="370"/>
      <c r="B3796" s="118" t="s">
        <v>12</v>
      </c>
      <c r="C3796" s="334" t="s">
        <v>11696</v>
      </c>
      <c r="D3796" s="124" t="s">
        <v>11697</v>
      </c>
      <c r="E3796" s="125"/>
      <c r="F3796" s="118" t="s">
        <v>828</v>
      </c>
      <c r="G3796" s="126" t="s">
        <v>11386</v>
      </c>
      <c r="H3796" s="255">
        <v>6</v>
      </c>
      <c r="I3796" s="361">
        <v>1</v>
      </c>
      <c r="J3796" s="371" t="s">
        <v>286</v>
      </c>
      <c r="K3796" s="377"/>
      <c r="L3796" s="129"/>
      <c r="M3796" s="378"/>
      <c r="N3796" s="129"/>
      <c r="O3796" s="129"/>
      <c r="P3796" s="379"/>
      <c r="Q3796" s="129"/>
      <c r="R3796" s="380"/>
      <c r="S3796" s="129"/>
      <c r="T3796" s="129"/>
      <c r="W3796" s="129" t="s">
        <v>286</v>
      </c>
      <c r="X3796" s="337" t="b">
        <f t="shared" si="94"/>
        <v>1</v>
      </c>
    </row>
    <row r="3797" spans="1:24" ht="12" customHeight="1" outlineLevel="1">
      <c r="A3797" s="370"/>
      <c r="B3797" s="118" t="s">
        <v>12</v>
      </c>
      <c r="C3797" s="334" t="s">
        <v>11698</v>
      </c>
      <c r="D3797" s="124" t="s">
        <v>11699</v>
      </c>
      <c r="E3797" s="125"/>
      <c r="F3797" s="118" t="s">
        <v>828</v>
      </c>
      <c r="G3797" s="126" t="s">
        <v>11386</v>
      </c>
      <c r="H3797" s="255">
        <v>6</v>
      </c>
      <c r="I3797" s="361">
        <v>1</v>
      </c>
      <c r="J3797" s="371" t="s">
        <v>286</v>
      </c>
      <c r="K3797" s="377"/>
      <c r="L3797" s="129"/>
      <c r="M3797" s="378"/>
      <c r="N3797" s="129"/>
      <c r="O3797" s="129"/>
      <c r="P3797" s="379"/>
      <c r="Q3797" s="129"/>
      <c r="R3797" s="380"/>
      <c r="S3797" s="129"/>
      <c r="T3797" s="129"/>
      <c r="W3797" s="129" t="s">
        <v>286</v>
      </c>
      <c r="X3797" s="337" t="b">
        <f t="shared" si="94"/>
        <v>1</v>
      </c>
    </row>
    <row r="3798" spans="1:24" ht="12" customHeight="1" outlineLevel="1">
      <c r="A3798" s="370"/>
      <c r="B3798" s="118" t="s">
        <v>12</v>
      </c>
      <c r="C3798" s="334" t="s">
        <v>11700</v>
      </c>
      <c r="D3798" s="124" t="s">
        <v>11701</v>
      </c>
      <c r="E3798" s="125"/>
      <c r="F3798" s="118" t="s">
        <v>828</v>
      </c>
      <c r="G3798" s="126" t="s">
        <v>11386</v>
      </c>
      <c r="H3798" s="255">
        <v>6</v>
      </c>
      <c r="I3798" s="361">
        <v>1</v>
      </c>
      <c r="J3798" s="371" t="s">
        <v>286</v>
      </c>
      <c r="K3798" s="377"/>
      <c r="L3798" s="129"/>
      <c r="M3798" s="378"/>
      <c r="N3798" s="129"/>
      <c r="O3798" s="129"/>
      <c r="P3798" s="379"/>
      <c r="Q3798" s="129"/>
      <c r="R3798" s="380"/>
      <c r="S3798" s="129"/>
      <c r="T3798" s="129"/>
      <c r="W3798" s="129" t="s">
        <v>286</v>
      </c>
      <c r="X3798" s="337" t="b">
        <f t="shared" si="94"/>
        <v>1</v>
      </c>
    </row>
    <row r="3799" spans="1:24" ht="12" customHeight="1" outlineLevel="1">
      <c r="A3799" s="370"/>
      <c r="B3799" s="118" t="s">
        <v>12</v>
      </c>
      <c r="C3799" s="334" t="s">
        <v>11702</v>
      </c>
      <c r="D3799" s="124" t="s">
        <v>11703</v>
      </c>
      <c r="E3799" s="125"/>
      <c r="F3799" s="118" t="s">
        <v>828</v>
      </c>
      <c r="G3799" s="126" t="s">
        <v>11386</v>
      </c>
      <c r="H3799" s="255">
        <v>6</v>
      </c>
      <c r="I3799" s="361">
        <v>1</v>
      </c>
      <c r="J3799" s="371" t="s">
        <v>286</v>
      </c>
      <c r="K3799" s="377"/>
      <c r="L3799" s="129"/>
      <c r="M3799" s="378"/>
      <c r="N3799" s="129"/>
      <c r="O3799" s="129"/>
      <c r="P3799" s="379"/>
      <c r="Q3799" s="129"/>
      <c r="R3799" s="380"/>
      <c r="S3799" s="129"/>
      <c r="T3799" s="129"/>
      <c r="W3799" s="129" t="s">
        <v>286</v>
      </c>
      <c r="X3799" s="337" t="b">
        <f t="shared" si="94"/>
        <v>1</v>
      </c>
    </row>
    <row r="3800" spans="1:24" ht="12" customHeight="1" outlineLevel="1">
      <c r="A3800" s="370"/>
      <c r="B3800" s="118" t="s">
        <v>12</v>
      </c>
      <c r="C3800" s="334" t="s">
        <v>11704</v>
      </c>
      <c r="D3800" s="124" t="s">
        <v>11705</v>
      </c>
      <c r="E3800" s="125"/>
      <c r="F3800" s="118" t="s">
        <v>828</v>
      </c>
      <c r="G3800" s="126" t="s">
        <v>11386</v>
      </c>
      <c r="H3800" s="255">
        <v>6</v>
      </c>
      <c r="I3800" s="361">
        <v>1</v>
      </c>
      <c r="J3800" s="371" t="s">
        <v>286</v>
      </c>
      <c r="K3800" s="377"/>
      <c r="L3800" s="129"/>
      <c r="M3800" s="378"/>
      <c r="N3800" s="129"/>
      <c r="O3800" s="129"/>
      <c r="P3800" s="379"/>
      <c r="Q3800" s="129"/>
      <c r="R3800" s="380"/>
      <c r="S3800" s="129"/>
      <c r="T3800" s="129"/>
      <c r="W3800" s="129" t="s">
        <v>286</v>
      </c>
      <c r="X3800" s="337" t="b">
        <f t="shared" si="94"/>
        <v>1</v>
      </c>
    </row>
    <row r="3801" spans="1:24" ht="12" customHeight="1" outlineLevel="1">
      <c r="A3801" s="370"/>
      <c r="B3801" s="118" t="s">
        <v>12</v>
      </c>
      <c r="C3801" s="334" t="s">
        <v>11706</v>
      </c>
      <c r="D3801" s="124" t="s">
        <v>11707</v>
      </c>
      <c r="E3801" s="125"/>
      <c r="F3801" s="118" t="s">
        <v>828</v>
      </c>
      <c r="G3801" s="126" t="s">
        <v>11386</v>
      </c>
      <c r="H3801" s="255">
        <v>6</v>
      </c>
      <c r="I3801" s="361">
        <v>1</v>
      </c>
      <c r="J3801" s="371" t="s">
        <v>286</v>
      </c>
      <c r="K3801" s="377"/>
      <c r="L3801" s="129"/>
      <c r="M3801" s="378"/>
      <c r="N3801" s="129"/>
      <c r="O3801" s="129"/>
      <c r="P3801" s="379"/>
      <c r="Q3801" s="129"/>
      <c r="R3801" s="380"/>
      <c r="S3801" s="129"/>
      <c r="T3801" s="129"/>
      <c r="W3801" s="129" t="s">
        <v>286</v>
      </c>
      <c r="X3801" s="337" t="b">
        <f t="shared" si="94"/>
        <v>1</v>
      </c>
    </row>
    <row r="3802" spans="1:24" ht="12" customHeight="1" outlineLevel="1">
      <c r="A3802" s="370"/>
      <c r="B3802" s="118" t="s">
        <v>12</v>
      </c>
      <c r="C3802" s="334" t="s">
        <v>11708</v>
      </c>
      <c r="D3802" s="124" t="s">
        <v>11709</v>
      </c>
      <c r="E3802" s="125"/>
      <c r="F3802" s="118" t="s">
        <v>828</v>
      </c>
      <c r="G3802" s="126" t="s">
        <v>11386</v>
      </c>
      <c r="H3802" s="255">
        <v>6</v>
      </c>
      <c r="I3802" s="361">
        <v>1</v>
      </c>
      <c r="J3802" s="371" t="s">
        <v>286</v>
      </c>
      <c r="K3802" s="377"/>
      <c r="L3802" s="129"/>
      <c r="M3802" s="378"/>
      <c r="N3802" s="129"/>
      <c r="O3802" s="129"/>
      <c r="P3802" s="379"/>
      <c r="Q3802" s="129"/>
      <c r="R3802" s="380"/>
      <c r="S3802" s="129"/>
      <c r="T3802" s="129"/>
      <c r="W3802" s="129" t="s">
        <v>286</v>
      </c>
      <c r="X3802" s="337" t="b">
        <f t="shared" si="94"/>
        <v>1</v>
      </c>
    </row>
    <row r="3803" spans="1:24" ht="12" customHeight="1" outlineLevel="1">
      <c r="A3803" s="370"/>
      <c r="B3803" s="118" t="s">
        <v>12</v>
      </c>
      <c r="C3803" s="334" t="s">
        <v>11710</v>
      </c>
      <c r="D3803" s="124" t="s">
        <v>11711</v>
      </c>
      <c r="E3803" s="125"/>
      <c r="F3803" s="118" t="s">
        <v>828</v>
      </c>
      <c r="G3803" s="126" t="s">
        <v>11386</v>
      </c>
      <c r="H3803" s="255">
        <v>6</v>
      </c>
      <c r="I3803" s="361">
        <v>1</v>
      </c>
      <c r="J3803" s="371" t="s">
        <v>286</v>
      </c>
      <c r="K3803" s="377"/>
      <c r="L3803" s="129"/>
      <c r="M3803" s="378"/>
      <c r="N3803" s="129"/>
      <c r="O3803" s="129"/>
      <c r="P3803" s="379"/>
      <c r="Q3803" s="129"/>
      <c r="R3803" s="380"/>
      <c r="S3803" s="129"/>
      <c r="T3803" s="129"/>
      <c r="W3803" s="129" t="s">
        <v>286</v>
      </c>
      <c r="X3803" s="337" t="b">
        <f t="shared" si="94"/>
        <v>1</v>
      </c>
    </row>
    <row r="3804" spans="1:24" ht="12" customHeight="1" outlineLevel="1">
      <c r="A3804" s="370"/>
      <c r="B3804" s="118" t="s">
        <v>12</v>
      </c>
      <c r="C3804" s="334" t="s">
        <v>11712</v>
      </c>
      <c r="D3804" s="124" t="s">
        <v>11713</v>
      </c>
      <c r="E3804" s="125"/>
      <c r="F3804" s="118" t="s">
        <v>828</v>
      </c>
      <c r="G3804" s="126" t="s">
        <v>11386</v>
      </c>
      <c r="H3804" s="255">
        <v>6</v>
      </c>
      <c r="I3804" s="361">
        <v>1</v>
      </c>
      <c r="J3804" s="371" t="s">
        <v>286</v>
      </c>
      <c r="K3804" s="377"/>
      <c r="L3804" s="129"/>
      <c r="M3804" s="378"/>
      <c r="N3804" s="129"/>
      <c r="O3804" s="129"/>
      <c r="P3804" s="379"/>
      <c r="Q3804" s="129"/>
      <c r="R3804" s="380"/>
      <c r="S3804" s="129"/>
      <c r="T3804" s="129"/>
      <c r="W3804" s="129" t="s">
        <v>286</v>
      </c>
      <c r="X3804" s="337" t="b">
        <f t="shared" si="94"/>
        <v>1</v>
      </c>
    </row>
    <row r="3805" spans="1:24" ht="12" customHeight="1" outlineLevel="1">
      <c r="A3805" s="370"/>
      <c r="B3805" s="118" t="s">
        <v>12</v>
      </c>
      <c r="C3805" s="334" t="s">
        <v>11714</v>
      </c>
      <c r="D3805" s="124" t="s">
        <v>11715</v>
      </c>
      <c r="E3805" s="125"/>
      <c r="F3805" s="118" t="s">
        <v>828</v>
      </c>
      <c r="G3805" s="126" t="s">
        <v>11386</v>
      </c>
      <c r="H3805" s="255">
        <v>6</v>
      </c>
      <c r="I3805" s="361">
        <v>1</v>
      </c>
      <c r="J3805" s="371" t="s">
        <v>286</v>
      </c>
      <c r="K3805" s="377"/>
      <c r="L3805" s="129"/>
      <c r="M3805" s="378"/>
      <c r="N3805" s="129"/>
      <c r="O3805" s="129"/>
      <c r="P3805" s="379"/>
      <c r="Q3805" s="129"/>
      <c r="R3805" s="380"/>
      <c r="S3805" s="129"/>
      <c r="T3805" s="129"/>
      <c r="W3805" s="129" t="s">
        <v>286</v>
      </c>
      <c r="X3805" s="337" t="b">
        <f t="shared" si="94"/>
        <v>1</v>
      </c>
    </row>
    <row r="3806" spans="1:24" ht="12" customHeight="1" outlineLevel="1">
      <c r="A3806" s="370"/>
      <c r="B3806" s="118" t="s">
        <v>12</v>
      </c>
      <c r="C3806" s="334" t="s">
        <v>11716</v>
      </c>
      <c r="D3806" s="124" t="s">
        <v>11717</v>
      </c>
      <c r="E3806" s="125"/>
      <c r="F3806" s="118" t="s">
        <v>828</v>
      </c>
      <c r="G3806" s="126" t="s">
        <v>11386</v>
      </c>
      <c r="H3806" s="255">
        <v>6</v>
      </c>
      <c r="I3806" s="361">
        <v>1</v>
      </c>
      <c r="J3806" s="371" t="s">
        <v>286</v>
      </c>
      <c r="K3806" s="377"/>
      <c r="L3806" s="129"/>
      <c r="M3806" s="378"/>
      <c r="N3806" s="129"/>
      <c r="O3806" s="129"/>
      <c r="P3806" s="379"/>
      <c r="Q3806" s="129"/>
      <c r="R3806" s="380"/>
      <c r="S3806" s="129"/>
      <c r="T3806" s="129"/>
      <c r="W3806" s="129" t="s">
        <v>286</v>
      </c>
      <c r="X3806" s="337" t="b">
        <f t="shared" si="94"/>
        <v>1</v>
      </c>
    </row>
    <row r="3807" spans="1:24" ht="12" customHeight="1" outlineLevel="1">
      <c r="A3807" s="370"/>
      <c r="B3807" s="118" t="s">
        <v>12</v>
      </c>
      <c r="C3807" s="334" t="s">
        <v>11718</v>
      </c>
      <c r="D3807" s="124" t="s">
        <v>11719</v>
      </c>
      <c r="E3807" s="125"/>
      <c r="F3807" s="118" t="s">
        <v>828</v>
      </c>
      <c r="G3807" s="126" t="s">
        <v>11386</v>
      </c>
      <c r="H3807" s="255">
        <v>6</v>
      </c>
      <c r="I3807" s="361">
        <v>1</v>
      </c>
      <c r="J3807" s="371" t="s">
        <v>286</v>
      </c>
      <c r="K3807" s="377"/>
      <c r="L3807" s="129"/>
      <c r="M3807" s="378"/>
      <c r="N3807" s="129"/>
      <c r="O3807" s="129"/>
      <c r="P3807" s="379"/>
      <c r="Q3807" s="129"/>
      <c r="R3807" s="380"/>
      <c r="S3807" s="129"/>
      <c r="T3807" s="129"/>
      <c r="W3807" s="129" t="s">
        <v>286</v>
      </c>
      <c r="X3807" s="337" t="b">
        <f t="shared" si="94"/>
        <v>1</v>
      </c>
    </row>
    <row r="3808" spans="1:24" ht="12" customHeight="1" outlineLevel="1">
      <c r="A3808" s="370"/>
      <c r="B3808" s="118" t="s">
        <v>12</v>
      </c>
      <c r="C3808" s="334" t="s">
        <v>11720</v>
      </c>
      <c r="D3808" s="124" t="s">
        <v>11721</v>
      </c>
      <c r="E3808" s="125"/>
      <c r="F3808" s="118" t="s">
        <v>828</v>
      </c>
      <c r="G3808" s="126" t="s">
        <v>11386</v>
      </c>
      <c r="H3808" s="255">
        <v>6</v>
      </c>
      <c r="I3808" s="361">
        <v>1</v>
      </c>
      <c r="J3808" s="371" t="s">
        <v>286</v>
      </c>
      <c r="K3808" s="377"/>
      <c r="L3808" s="129"/>
      <c r="M3808" s="378"/>
      <c r="N3808" s="129"/>
      <c r="O3808" s="129"/>
      <c r="P3808" s="379"/>
      <c r="Q3808" s="129"/>
      <c r="R3808" s="380"/>
      <c r="S3808" s="129"/>
      <c r="T3808" s="129"/>
      <c r="W3808" s="129" t="s">
        <v>286</v>
      </c>
      <c r="X3808" s="337" t="b">
        <f t="shared" si="94"/>
        <v>1</v>
      </c>
    </row>
    <row r="3809" spans="1:24" ht="12" customHeight="1" outlineLevel="1">
      <c r="A3809" s="370"/>
      <c r="B3809" s="118" t="s">
        <v>12</v>
      </c>
      <c r="C3809" s="334" t="s">
        <v>11722</v>
      </c>
      <c r="D3809" s="124" t="s">
        <v>11723</v>
      </c>
      <c r="E3809" s="125"/>
      <c r="F3809" s="118" t="s">
        <v>828</v>
      </c>
      <c r="G3809" s="126" t="s">
        <v>11386</v>
      </c>
      <c r="H3809" s="255">
        <v>6</v>
      </c>
      <c r="I3809" s="361">
        <v>1</v>
      </c>
      <c r="J3809" s="371" t="s">
        <v>286</v>
      </c>
      <c r="K3809" s="377"/>
      <c r="L3809" s="129"/>
      <c r="M3809" s="378"/>
      <c r="N3809" s="129"/>
      <c r="O3809" s="129"/>
      <c r="P3809" s="379"/>
      <c r="Q3809" s="129"/>
      <c r="R3809" s="380"/>
      <c r="S3809" s="129"/>
      <c r="T3809" s="129"/>
      <c r="W3809" s="129" t="s">
        <v>286</v>
      </c>
      <c r="X3809" s="337" t="b">
        <f t="shared" si="94"/>
        <v>1</v>
      </c>
    </row>
    <row r="3810" spans="1:24" ht="12" customHeight="1" outlineLevel="1">
      <c r="A3810" s="370"/>
      <c r="B3810" s="118" t="s">
        <v>12</v>
      </c>
      <c r="C3810" s="334" t="s">
        <v>11724</v>
      </c>
      <c r="D3810" s="124" t="s">
        <v>11725</v>
      </c>
      <c r="E3810" s="125"/>
      <c r="F3810" s="118" t="s">
        <v>828</v>
      </c>
      <c r="G3810" s="126" t="s">
        <v>11386</v>
      </c>
      <c r="H3810" s="255">
        <v>6</v>
      </c>
      <c r="I3810" s="361">
        <v>1</v>
      </c>
      <c r="J3810" s="371" t="s">
        <v>286</v>
      </c>
      <c r="K3810" s="377"/>
      <c r="L3810" s="129"/>
      <c r="M3810" s="378"/>
      <c r="N3810" s="129"/>
      <c r="O3810" s="129"/>
      <c r="P3810" s="379"/>
      <c r="Q3810" s="129"/>
      <c r="R3810" s="380"/>
      <c r="S3810" s="129"/>
      <c r="T3810" s="129"/>
      <c r="W3810" s="129" t="s">
        <v>286</v>
      </c>
      <c r="X3810" s="337" t="b">
        <f t="shared" si="94"/>
        <v>1</v>
      </c>
    </row>
    <row r="3811" spans="1:24" ht="12" customHeight="1" outlineLevel="1">
      <c r="A3811" s="370"/>
      <c r="B3811" s="118" t="s">
        <v>12</v>
      </c>
      <c r="C3811" s="334" t="s">
        <v>11726</v>
      </c>
      <c r="D3811" s="124" t="s">
        <v>11727</v>
      </c>
      <c r="E3811" s="125"/>
      <c r="F3811" s="118" t="s">
        <v>828</v>
      </c>
      <c r="G3811" s="126" t="s">
        <v>11386</v>
      </c>
      <c r="H3811" s="255">
        <v>6</v>
      </c>
      <c r="I3811" s="361">
        <v>1</v>
      </c>
      <c r="J3811" s="371" t="s">
        <v>286</v>
      </c>
      <c r="K3811" s="377"/>
      <c r="L3811" s="129"/>
      <c r="M3811" s="378"/>
      <c r="N3811" s="129"/>
      <c r="O3811" s="129"/>
      <c r="P3811" s="379"/>
      <c r="Q3811" s="129"/>
      <c r="R3811" s="380"/>
      <c r="S3811" s="129"/>
      <c r="T3811" s="129"/>
      <c r="W3811" s="129" t="s">
        <v>286</v>
      </c>
      <c r="X3811" s="337" t="b">
        <f t="shared" si="94"/>
        <v>1</v>
      </c>
    </row>
    <row r="3812" spans="1:24" ht="12" customHeight="1" outlineLevel="1">
      <c r="A3812" s="370"/>
      <c r="B3812" s="118" t="s">
        <v>12</v>
      </c>
      <c r="C3812" s="334" t="s">
        <v>11728</v>
      </c>
      <c r="D3812" s="124" t="s">
        <v>11729</v>
      </c>
      <c r="E3812" s="125"/>
      <c r="F3812" s="118" t="s">
        <v>828</v>
      </c>
      <c r="G3812" s="126" t="s">
        <v>11386</v>
      </c>
      <c r="H3812" s="255">
        <v>6</v>
      </c>
      <c r="I3812" s="361">
        <v>1</v>
      </c>
      <c r="J3812" s="371" t="s">
        <v>286</v>
      </c>
      <c r="K3812" s="377"/>
      <c r="L3812" s="129"/>
      <c r="M3812" s="378"/>
      <c r="N3812" s="129"/>
      <c r="O3812" s="129"/>
      <c r="P3812" s="379"/>
      <c r="Q3812" s="129"/>
      <c r="R3812" s="380"/>
      <c r="S3812" s="129"/>
      <c r="T3812" s="129"/>
      <c r="W3812" s="129" t="s">
        <v>286</v>
      </c>
      <c r="X3812" s="337" t="b">
        <f t="shared" si="94"/>
        <v>1</v>
      </c>
    </row>
    <row r="3813" spans="1:24" ht="12" customHeight="1" outlineLevel="1">
      <c r="A3813" s="370"/>
      <c r="B3813" s="118" t="s">
        <v>12</v>
      </c>
      <c r="C3813" s="334" t="s">
        <v>11730</v>
      </c>
      <c r="D3813" s="124" t="s">
        <v>11731</v>
      </c>
      <c r="E3813" s="125"/>
      <c r="F3813" s="118" t="s">
        <v>828</v>
      </c>
      <c r="G3813" s="126" t="s">
        <v>11386</v>
      </c>
      <c r="H3813" s="255">
        <v>6</v>
      </c>
      <c r="I3813" s="361">
        <v>1</v>
      </c>
      <c r="J3813" s="371" t="s">
        <v>286</v>
      </c>
      <c r="K3813" s="377"/>
      <c r="L3813" s="129"/>
      <c r="M3813" s="378"/>
      <c r="N3813" s="129"/>
      <c r="O3813" s="129"/>
      <c r="P3813" s="379"/>
      <c r="Q3813" s="129"/>
      <c r="R3813" s="380"/>
      <c r="S3813" s="129"/>
      <c r="T3813" s="129"/>
      <c r="W3813" s="129" t="s">
        <v>286</v>
      </c>
      <c r="X3813" s="337" t="b">
        <f t="shared" si="94"/>
        <v>1</v>
      </c>
    </row>
    <row r="3814" spans="1:24" ht="12" customHeight="1" outlineLevel="1">
      <c r="A3814" s="370"/>
      <c r="B3814" s="118" t="s">
        <v>12</v>
      </c>
      <c r="C3814" s="334" t="s">
        <v>11732</v>
      </c>
      <c r="D3814" s="124" t="s">
        <v>11733</v>
      </c>
      <c r="E3814" s="125"/>
      <c r="F3814" s="118" t="s">
        <v>828</v>
      </c>
      <c r="G3814" s="126" t="s">
        <v>11386</v>
      </c>
      <c r="H3814" s="255">
        <v>6</v>
      </c>
      <c r="I3814" s="361">
        <v>1</v>
      </c>
      <c r="J3814" s="371" t="s">
        <v>286</v>
      </c>
      <c r="K3814" s="377"/>
      <c r="L3814" s="129"/>
      <c r="M3814" s="378"/>
      <c r="N3814" s="129"/>
      <c r="O3814" s="129"/>
      <c r="P3814" s="379"/>
      <c r="Q3814" s="129"/>
      <c r="R3814" s="380"/>
      <c r="S3814" s="129"/>
      <c r="T3814" s="129"/>
      <c r="W3814" s="129" t="s">
        <v>286</v>
      </c>
      <c r="X3814" s="337" t="b">
        <f t="shared" si="94"/>
        <v>1</v>
      </c>
    </row>
    <row r="3815" spans="1:24" ht="12" customHeight="1" outlineLevel="1">
      <c r="A3815" s="370"/>
      <c r="B3815" s="118" t="s">
        <v>12</v>
      </c>
      <c r="C3815" s="334" t="s">
        <v>11734</v>
      </c>
      <c r="D3815" s="124" t="s">
        <v>11735</v>
      </c>
      <c r="E3815" s="125"/>
      <c r="F3815" s="118" t="s">
        <v>828</v>
      </c>
      <c r="G3815" s="126" t="s">
        <v>11386</v>
      </c>
      <c r="H3815" s="255">
        <v>6</v>
      </c>
      <c r="I3815" s="361">
        <v>1</v>
      </c>
      <c r="J3815" s="371" t="s">
        <v>286</v>
      </c>
      <c r="K3815" s="377"/>
      <c r="L3815" s="129"/>
      <c r="M3815" s="378"/>
      <c r="N3815" s="129"/>
      <c r="O3815" s="129"/>
      <c r="P3815" s="379"/>
      <c r="Q3815" s="129"/>
      <c r="R3815" s="380"/>
      <c r="S3815" s="129"/>
      <c r="T3815" s="129"/>
      <c r="W3815" s="129" t="s">
        <v>286</v>
      </c>
      <c r="X3815" s="337" t="b">
        <f t="shared" si="94"/>
        <v>1</v>
      </c>
    </row>
    <row r="3816" spans="1:24" ht="12" customHeight="1" outlineLevel="1">
      <c r="A3816" s="370"/>
      <c r="B3816" s="118" t="s">
        <v>12</v>
      </c>
      <c r="C3816" s="334" t="s">
        <v>11736</v>
      </c>
      <c r="D3816" s="124" t="s">
        <v>11737</v>
      </c>
      <c r="E3816" s="125"/>
      <c r="F3816" s="118" t="s">
        <v>828</v>
      </c>
      <c r="G3816" s="126" t="s">
        <v>11386</v>
      </c>
      <c r="H3816" s="255">
        <v>6</v>
      </c>
      <c r="I3816" s="361">
        <v>1</v>
      </c>
      <c r="J3816" s="371" t="s">
        <v>286</v>
      </c>
      <c r="K3816" s="377"/>
      <c r="L3816" s="129"/>
      <c r="M3816" s="378"/>
      <c r="N3816" s="129"/>
      <c r="O3816" s="129"/>
      <c r="P3816" s="379"/>
      <c r="Q3816" s="129"/>
      <c r="R3816" s="380"/>
      <c r="S3816" s="129"/>
      <c r="T3816" s="129"/>
      <c r="W3816" s="129" t="s">
        <v>286</v>
      </c>
      <c r="X3816" s="337" t="b">
        <f t="shared" si="94"/>
        <v>1</v>
      </c>
    </row>
    <row r="3817" spans="1:24" ht="12" customHeight="1" outlineLevel="1">
      <c r="A3817" s="370"/>
      <c r="B3817" s="118" t="s">
        <v>12</v>
      </c>
      <c r="C3817" s="334" t="s">
        <v>11738</v>
      </c>
      <c r="D3817" s="124" t="s">
        <v>11739</v>
      </c>
      <c r="E3817" s="125"/>
      <c r="F3817" s="118" t="s">
        <v>828</v>
      </c>
      <c r="G3817" s="126" t="s">
        <v>11386</v>
      </c>
      <c r="H3817" s="255">
        <v>6</v>
      </c>
      <c r="I3817" s="361">
        <v>1</v>
      </c>
      <c r="J3817" s="371" t="s">
        <v>286</v>
      </c>
      <c r="K3817" s="377"/>
      <c r="L3817" s="129"/>
      <c r="M3817" s="378"/>
      <c r="N3817" s="129"/>
      <c r="O3817" s="129"/>
      <c r="P3817" s="379"/>
      <c r="Q3817" s="129"/>
      <c r="R3817" s="380"/>
      <c r="S3817" s="129"/>
      <c r="T3817" s="129"/>
      <c r="W3817" s="129" t="s">
        <v>286</v>
      </c>
      <c r="X3817" s="337" t="b">
        <f t="shared" si="94"/>
        <v>1</v>
      </c>
    </row>
    <row r="3818" spans="1:24" ht="12" customHeight="1" outlineLevel="1">
      <c r="A3818" s="370"/>
      <c r="B3818" s="118" t="s">
        <v>12</v>
      </c>
      <c r="C3818" s="334" t="s">
        <v>11740</v>
      </c>
      <c r="D3818" s="124" t="s">
        <v>11741</v>
      </c>
      <c r="E3818" s="125"/>
      <c r="F3818" s="118" t="s">
        <v>828</v>
      </c>
      <c r="G3818" s="126" t="s">
        <v>11386</v>
      </c>
      <c r="H3818" s="255">
        <v>6</v>
      </c>
      <c r="I3818" s="361">
        <v>1</v>
      </c>
      <c r="J3818" s="371" t="s">
        <v>310</v>
      </c>
      <c r="K3818" s="377"/>
      <c r="L3818" s="129"/>
      <c r="M3818" s="378"/>
      <c r="N3818" s="129"/>
      <c r="O3818" s="129"/>
      <c r="P3818" s="379"/>
      <c r="Q3818" s="129"/>
      <c r="R3818" s="380"/>
      <c r="S3818" s="129"/>
      <c r="T3818" s="129"/>
      <c r="W3818" s="129" t="s">
        <v>310</v>
      </c>
      <c r="X3818" s="337" t="b">
        <f t="shared" si="94"/>
        <v>1</v>
      </c>
    </row>
    <row r="3819" spans="1:24" ht="12" customHeight="1" outlineLevel="1">
      <c r="A3819" s="370"/>
      <c r="B3819" s="118" t="s">
        <v>12</v>
      </c>
      <c r="C3819" s="334" t="s">
        <v>11742</v>
      </c>
      <c r="D3819" s="124" t="s">
        <v>11743</v>
      </c>
      <c r="E3819" s="125"/>
      <c r="F3819" s="118" t="s">
        <v>828</v>
      </c>
      <c r="G3819" s="126" t="s">
        <v>11386</v>
      </c>
      <c r="H3819" s="255">
        <v>6</v>
      </c>
      <c r="I3819" s="361">
        <v>1</v>
      </c>
      <c r="J3819" s="371" t="s">
        <v>286</v>
      </c>
      <c r="K3819" s="377"/>
      <c r="L3819" s="129"/>
      <c r="M3819" s="378"/>
      <c r="N3819" s="129"/>
      <c r="O3819" s="129"/>
      <c r="P3819" s="379"/>
      <c r="Q3819" s="129"/>
      <c r="R3819" s="380"/>
      <c r="S3819" s="129"/>
      <c r="T3819" s="129"/>
      <c r="W3819" s="129" t="s">
        <v>286</v>
      </c>
      <c r="X3819" s="337" t="b">
        <f t="shared" si="94"/>
        <v>1</v>
      </c>
    </row>
    <row r="3820" spans="1:24" ht="12" customHeight="1" outlineLevel="1">
      <c r="A3820" s="370"/>
      <c r="B3820" s="118" t="s">
        <v>12</v>
      </c>
      <c r="C3820" s="334" t="s">
        <v>11744</v>
      </c>
      <c r="D3820" s="124" t="s">
        <v>11745</v>
      </c>
      <c r="E3820" s="125"/>
      <c r="F3820" s="118" t="s">
        <v>828</v>
      </c>
      <c r="G3820" s="126" t="s">
        <v>11386</v>
      </c>
      <c r="H3820" s="255">
        <v>6</v>
      </c>
      <c r="I3820" s="361">
        <v>1</v>
      </c>
      <c r="J3820" s="371" t="s">
        <v>286</v>
      </c>
      <c r="K3820" s="377"/>
      <c r="L3820" s="129"/>
      <c r="M3820" s="378"/>
      <c r="N3820" s="129"/>
      <c r="O3820" s="129"/>
      <c r="P3820" s="379"/>
      <c r="Q3820" s="129"/>
      <c r="R3820" s="380"/>
      <c r="S3820" s="129"/>
      <c r="T3820" s="129"/>
      <c r="W3820" s="129" t="s">
        <v>286</v>
      </c>
      <c r="X3820" s="337" t="b">
        <f t="shared" si="94"/>
        <v>1</v>
      </c>
    </row>
    <row r="3821" spans="1:24" ht="12" customHeight="1" outlineLevel="1">
      <c r="A3821" s="370"/>
      <c r="B3821" s="118" t="s">
        <v>12</v>
      </c>
      <c r="C3821" s="334" t="s">
        <v>11746</v>
      </c>
      <c r="D3821" s="124" t="s">
        <v>11747</v>
      </c>
      <c r="E3821" s="125"/>
      <c r="F3821" s="118" t="s">
        <v>828</v>
      </c>
      <c r="G3821" s="126" t="s">
        <v>11386</v>
      </c>
      <c r="H3821" s="255">
        <v>6</v>
      </c>
      <c r="I3821" s="361">
        <v>1</v>
      </c>
      <c r="J3821" s="371" t="s">
        <v>286</v>
      </c>
      <c r="K3821" s="377"/>
      <c r="L3821" s="129"/>
      <c r="M3821" s="378"/>
      <c r="N3821" s="129"/>
      <c r="O3821" s="129"/>
      <c r="P3821" s="379"/>
      <c r="Q3821" s="129"/>
      <c r="R3821" s="380"/>
      <c r="S3821" s="129"/>
      <c r="T3821" s="129"/>
      <c r="W3821" s="129" t="s">
        <v>286</v>
      </c>
      <c r="X3821" s="337" t="b">
        <f t="shared" si="94"/>
        <v>1</v>
      </c>
    </row>
    <row r="3822" spans="1:24" ht="12" customHeight="1" outlineLevel="1">
      <c r="A3822" s="370"/>
      <c r="B3822" s="118" t="s">
        <v>12</v>
      </c>
      <c r="C3822" s="334" t="s">
        <v>11748</v>
      </c>
      <c r="D3822" s="124" t="s">
        <v>11749</v>
      </c>
      <c r="E3822" s="125"/>
      <c r="F3822" s="118" t="s">
        <v>828</v>
      </c>
      <c r="G3822" s="126" t="s">
        <v>11386</v>
      </c>
      <c r="H3822" s="255">
        <v>6</v>
      </c>
      <c r="I3822" s="361">
        <v>1</v>
      </c>
      <c r="J3822" s="371" t="s">
        <v>286</v>
      </c>
      <c r="K3822" s="377"/>
      <c r="L3822" s="129"/>
      <c r="M3822" s="378"/>
      <c r="N3822" s="129"/>
      <c r="O3822" s="129"/>
      <c r="P3822" s="379"/>
      <c r="Q3822" s="129"/>
      <c r="R3822" s="380"/>
      <c r="S3822" s="129"/>
      <c r="T3822" s="129"/>
      <c r="W3822" s="129" t="s">
        <v>286</v>
      </c>
      <c r="X3822" s="337" t="b">
        <f t="shared" si="94"/>
        <v>1</v>
      </c>
    </row>
    <row r="3823" spans="1:24" ht="12" customHeight="1" outlineLevel="1">
      <c r="A3823" s="370"/>
      <c r="B3823" s="118" t="s">
        <v>12</v>
      </c>
      <c r="C3823" s="334" t="s">
        <v>11750</v>
      </c>
      <c r="D3823" s="124" t="s">
        <v>11751</v>
      </c>
      <c r="E3823" s="125"/>
      <c r="F3823" s="118" t="s">
        <v>828</v>
      </c>
      <c r="G3823" s="126" t="s">
        <v>11386</v>
      </c>
      <c r="H3823" s="255">
        <v>6</v>
      </c>
      <c r="I3823" s="361">
        <v>1</v>
      </c>
      <c r="J3823" s="371" t="s">
        <v>310</v>
      </c>
      <c r="K3823" s="377"/>
      <c r="L3823" s="129"/>
      <c r="M3823" s="378"/>
      <c r="N3823" s="129"/>
      <c r="O3823" s="129"/>
      <c r="P3823" s="379"/>
      <c r="Q3823" s="129"/>
      <c r="R3823" s="380"/>
      <c r="S3823" s="129"/>
      <c r="T3823" s="129"/>
      <c r="W3823" s="129" t="s">
        <v>286</v>
      </c>
      <c r="X3823" s="337" t="b">
        <f t="shared" si="94"/>
        <v>0</v>
      </c>
    </row>
    <row r="3824" spans="1:24" ht="12" customHeight="1" outlineLevel="1">
      <c r="A3824" s="370"/>
      <c r="B3824" s="118" t="s">
        <v>12</v>
      </c>
      <c r="C3824" s="334" t="s">
        <v>11752</v>
      </c>
      <c r="D3824" s="124" t="s">
        <v>11753</v>
      </c>
      <c r="E3824" s="125"/>
      <c r="F3824" s="118" t="s">
        <v>828</v>
      </c>
      <c r="G3824" s="126" t="s">
        <v>11386</v>
      </c>
      <c r="H3824" s="255">
        <v>6</v>
      </c>
      <c r="I3824" s="361">
        <v>1</v>
      </c>
      <c r="J3824" s="371" t="s">
        <v>286</v>
      </c>
      <c r="K3824" s="377"/>
      <c r="L3824" s="129"/>
      <c r="M3824" s="378"/>
      <c r="N3824" s="129"/>
      <c r="O3824" s="129"/>
      <c r="P3824" s="379"/>
      <c r="Q3824" s="129"/>
      <c r="R3824" s="380"/>
      <c r="S3824" s="129"/>
      <c r="T3824" s="129"/>
      <c r="W3824" s="129" t="s">
        <v>286</v>
      </c>
      <c r="X3824" s="337" t="b">
        <f t="shared" si="94"/>
        <v>1</v>
      </c>
    </row>
    <row r="3825" spans="1:24" ht="12" customHeight="1" outlineLevel="1">
      <c r="A3825" s="370"/>
      <c r="B3825" s="118" t="s">
        <v>12</v>
      </c>
      <c r="C3825" s="334" t="s">
        <v>11754</v>
      </c>
      <c r="D3825" s="124" t="s">
        <v>11755</v>
      </c>
      <c r="E3825" s="125"/>
      <c r="F3825" s="118" t="s">
        <v>828</v>
      </c>
      <c r="G3825" s="126" t="s">
        <v>11386</v>
      </c>
      <c r="H3825" s="255">
        <v>6</v>
      </c>
      <c r="I3825" s="361">
        <v>1</v>
      </c>
      <c r="J3825" s="371" t="s">
        <v>286</v>
      </c>
      <c r="K3825" s="377"/>
      <c r="L3825" s="129"/>
      <c r="M3825" s="378"/>
      <c r="N3825" s="129"/>
      <c r="O3825" s="129"/>
      <c r="P3825" s="379"/>
      <c r="Q3825" s="129"/>
      <c r="R3825" s="380"/>
      <c r="S3825" s="129"/>
      <c r="T3825" s="129"/>
      <c r="W3825" s="129" t="s">
        <v>286</v>
      </c>
      <c r="X3825" s="337" t="b">
        <f t="shared" si="94"/>
        <v>1</v>
      </c>
    </row>
    <row r="3826" spans="1:24" ht="12" customHeight="1" outlineLevel="1">
      <c r="A3826" s="370"/>
      <c r="B3826" s="118" t="s">
        <v>12</v>
      </c>
      <c r="C3826" s="334" t="s">
        <v>11756</v>
      </c>
      <c r="D3826" s="124" t="s">
        <v>11757</v>
      </c>
      <c r="E3826" s="125"/>
      <c r="F3826" s="118" t="s">
        <v>828</v>
      </c>
      <c r="G3826" s="126" t="s">
        <v>11386</v>
      </c>
      <c r="H3826" s="255">
        <v>6</v>
      </c>
      <c r="I3826" s="361">
        <v>1</v>
      </c>
      <c r="J3826" s="371" t="s">
        <v>286</v>
      </c>
      <c r="K3826" s="377"/>
      <c r="L3826" s="129"/>
      <c r="M3826" s="378"/>
      <c r="N3826" s="129"/>
      <c r="O3826" s="129"/>
      <c r="P3826" s="379"/>
      <c r="Q3826" s="129"/>
      <c r="R3826" s="380"/>
      <c r="S3826" s="129"/>
      <c r="T3826" s="129"/>
      <c r="W3826" s="129" t="s">
        <v>286</v>
      </c>
      <c r="X3826" s="337" t="b">
        <f t="shared" si="94"/>
        <v>1</v>
      </c>
    </row>
    <row r="3827" spans="1:24" ht="12" customHeight="1" outlineLevel="1">
      <c r="A3827" s="370"/>
      <c r="B3827" s="118" t="s">
        <v>12</v>
      </c>
      <c r="C3827" s="334" t="s">
        <v>11758</v>
      </c>
      <c r="D3827" s="124" t="s">
        <v>11759</v>
      </c>
      <c r="E3827" s="125"/>
      <c r="F3827" s="118" t="s">
        <v>828</v>
      </c>
      <c r="G3827" s="126" t="s">
        <v>11386</v>
      </c>
      <c r="H3827" s="255">
        <v>6</v>
      </c>
      <c r="I3827" s="361">
        <v>1</v>
      </c>
      <c r="J3827" s="371" t="s">
        <v>310</v>
      </c>
      <c r="K3827" s="377"/>
      <c r="L3827" s="129"/>
      <c r="M3827" s="378"/>
      <c r="N3827" s="129"/>
      <c r="O3827" s="129"/>
      <c r="P3827" s="379"/>
      <c r="Q3827" s="129"/>
      <c r="R3827" s="380"/>
      <c r="S3827" s="129"/>
      <c r="T3827" s="129"/>
      <c r="W3827" s="129" t="s">
        <v>310</v>
      </c>
      <c r="X3827" s="337" t="b">
        <f t="shared" si="94"/>
        <v>1</v>
      </c>
    </row>
    <row r="3828" spans="1:24" ht="12" customHeight="1" outlineLevel="1">
      <c r="A3828" s="370"/>
      <c r="B3828" s="118" t="s">
        <v>12</v>
      </c>
      <c r="C3828" s="334" t="s">
        <v>11760</v>
      </c>
      <c r="D3828" s="124" t="s">
        <v>11761</v>
      </c>
      <c r="E3828" s="125"/>
      <c r="F3828" s="118" t="s">
        <v>828</v>
      </c>
      <c r="G3828" s="126" t="s">
        <v>11386</v>
      </c>
      <c r="H3828" s="255">
        <v>6</v>
      </c>
      <c r="I3828" s="361">
        <v>1</v>
      </c>
      <c r="J3828" s="371" t="s">
        <v>286</v>
      </c>
      <c r="K3828" s="377"/>
      <c r="L3828" s="129"/>
      <c r="M3828" s="378"/>
      <c r="N3828" s="129"/>
      <c r="O3828" s="129"/>
      <c r="P3828" s="379"/>
      <c r="Q3828" s="129"/>
      <c r="R3828" s="380"/>
      <c r="S3828" s="129"/>
      <c r="T3828" s="129"/>
      <c r="W3828" s="129" t="s">
        <v>286</v>
      </c>
      <c r="X3828" s="337" t="b">
        <f t="shared" si="94"/>
        <v>1</v>
      </c>
    </row>
    <row r="3829" spans="1:24" ht="12" customHeight="1" outlineLevel="1">
      <c r="A3829" s="370"/>
      <c r="B3829" s="118" t="s">
        <v>12</v>
      </c>
      <c r="C3829" s="334" t="s">
        <v>11762</v>
      </c>
      <c r="D3829" s="124" t="s">
        <v>11763</v>
      </c>
      <c r="E3829" s="125"/>
      <c r="F3829" s="118" t="s">
        <v>828</v>
      </c>
      <c r="G3829" s="126" t="s">
        <v>11386</v>
      </c>
      <c r="H3829" s="255">
        <v>6</v>
      </c>
      <c r="I3829" s="361">
        <v>1</v>
      </c>
      <c r="J3829" s="371" t="s">
        <v>286</v>
      </c>
      <c r="K3829" s="377"/>
      <c r="L3829" s="129"/>
      <c r="M3829" s="378"/>
      <c r="N3829" s="129"/>
      <c r="O3829" s="129"/>
      <c r="P3829" s="379"/>
      <c r="Q3829" s="129"/>
      <c r="R3829" s="380"/>
      <c r="S3829" s="129"/>
      <c r="T3829" s="129"/>
      <c r="W3829" s="129" t="s">
        <v>286</v>
      </c>
      <c r="X3829" s="337" t="b">
        <f t="shared" si="94"/>
        <v>1</v>
      </c>
    </row>
    <row r="3830" spans="1:24" ht="12" customHeight="1" outlineLevel="1">
      <c r="A3830" s="370"/>
      <c r="B3830" s="118" t="s">
        <v>12</v>
      </c>
      <c r="C3830" s="334" t="s">
        <v>11764</v>
      </c>
      <c r="D3830" s="124" t="s">
        <v>11765</v>
      </c>
      <c r="E3830" s="125"/>
      <c r="F3830" s="118" t="s">
        <v>828</v>
      </c>
      <c r="G3830" s="126" t="s">
        <v>11386</v>
      </c>
      <c r="H3830" s="255">
        <v>6</v>
      </c>
      <c r="I3830" s="361">
        <v>1</v>
      </c>
      <c r="J3830" s="371" t="s">
        <v>286</v>
      </c>
      <c r="K3830" s="377"/>
      <c r="L3830" s="129"/>
      <c r="M3830" s="378"/>
      <c r="N3830" s="129"/>
      <c r="O3830" s="129"/>
      <c r="P3830" s="379"/>
      <c r="Q3830" s="129"/>
      <c r="R3830" s="380"/>
      <c r="S3830" s="129"/>
      <c r="T3830" s="129"/>
      <c r="W3830" s="129" t="s">
        <v>286</v>
      </c>
      <c r="X3830" s="337" t="b">
        <f t="shared" si="94"/>
        <v>1</v>
      </c>
    </row>
    <row r="3831" spans="1:24" ht="12" customHeight="1" outlineLevel="1">
      <c r="A3831" s="370"/>
      <c r="B3831" s="118" t="s">
        <v>12</v>
      </c>
      <c r="C3831" s="334" t="s">
        <v>11766</v>
      </c>
      <c r="D3831" s="124" t="s">
        <v>11767</v>
      </c>
      <c r="E3831" s="125"/>
      <c r="F3831" s="118" t="s">
        <v>828</v>
      </c>
      <c r="G3831" s="126" t="s">
        <v>11386</v>
      </c>
      <c r="H3831" s="255">
        <v>6</v>
      </c>
      <c r="I3831" s="361">
        <v>1</v>
      </c>
      <c r="J3831" s="371" t="s">
        <v>286</v>
      </c>
      <c r="K3831" s="377"/>
      <c r="L3831" s="129"/>
      <c r="M3831" s="378"/>
      <c r="N3831" s="129"/>
      <c r="O3831" s="129"/>
      <c r="P3831" s="379"/>
      <c r="Q3831" s="129"/>
      <c r="R3831" s="380"/>
      <c r="S3831" s="129"/>
      <c r="T3831" s="129"/>
      <c r="W3831" s="129" t="s">
        <v>286</v>
      </c>
      <c r="X3831" s="337" t="b">
        <f t="shared" si="94"/>
        <v>1</v>
      </c>
    </row>
    <row r="3832" spans="1:24" ht="12" customHeight="1" outlineLevel="1">
      <c r="A3832" s="370"/>
      <c r="B3832" s="118" t="s">
        <v>12</v>
      </c>
      <c r="C3832" s="334" t="s">
        <v>11768</v>
      </c>
      <c r="D3832" s="124" t="s">
        <v>11769</v>
      </c>
      <c r="E3832" s="125"/>
      <c r="F3832" s="118" t="s">
        <v>828</v>
      </c>
      <c r="G3832" s="126" t="s">
        <v>11386</v>
      </c>
      <c r="H3832" s="255">
        <v>6</v>
      </c>
      <c r="I3832" s="361">
        <v>1</v>
      </c>
      <c r="J3832" s="371" t="s">
        <v>286</v>
      </c>
      <c r="K3832" s="377"/>
      <c r="L3832" s="129"/>
      <c r="M3832" s="378"/>
      <c r="N3832" s="129"/>
      <c r="O3832" s="129"/>
      <c r="P3832" s="379"/>
      <c r="Q3832" s="129"/>
      <c r="R3832" s="380"/>
      <c r="S3832" s="129"/>
      <c r="T3832" s="129"/>
      <c r="W3832" s="129" t="s">
        <v>286</v>
      </c>
      <c r="X3832" s="337" t="b">
        <f t="shared" si="94"/>
        <v>1</v>
      </c>
    </row>
    <row r="3833" spans="1:24" ht="12" customHeight="1" outlineLevel="1">
      <c r="A3833" s="370"/>
      <c r="B3833" s="118" t="s">
        <v>12</v>
      </c>
      <c r="C3833" s="334" t="s">
        <v>11770</v>
      </c>
      <c r="D3833" s="124" t="s">
        <v>11771</v>
      </c>
      <c r="E3833" s="125"/>
      <c r="F3833" s="118" t="s">
        <v>828</v>
      </c>
      <c r="G3833" s="126" t="s">
        <v>11386</v>
      </c>
      <c r="H3833" s="255">
        <v>6</v>
      </c>
      <c r="I3833" s="361">
        <v>1</v>
      </c>
      <c r="J3833" s="371" t="s">
        <v>286</v>
      </c>
      <c r="K3833" s="377"/>
      <c r="L3833" s="129"/>
      <c r="M3833" s="378"/>
      <c r="N3833" s="129"/>
      <c r="O3833" s="129"/>
      <c r="P3833" s="379"/>
      <c r="Q3833" s="129"/>
      <c r="R3833" s="380"/>
      <c r="S3833" s="129"/>
      <c r="T3833" s="129"/>
      <c r="W3833" s="129" t="s">
        <v>286</v>
      </c>
      <c r="X3833" s="337" t="b">
        <f t="shared" si="94"/>
        <v>1</v>
      </c>
    </row>
    <row r="3834" spans="1:24" ht="12" customHeight="1" outlineLevel="1">
      <c r="A3834" s="370"/>
      <c r="B3834" s="118" t="s">
        <v>12</v>
      </c>
      <c r="C3834" s="334" t="s">
        <v>11772</v>
      </c>
      <c r="D3834" s="124" t="s">
        <v>11773</v>
      </c>
      <c r="E3834" s="125"/>
      <c r="F3834" s="118" t="s">
        <v>828</v>
      </c>
      <c r="G3834" s="126" t="s">
        <v>11386</v>
      </c>
      <c r="H3834" s="255">
        <v>6</v>
      </c>
      <c r="I3834" s="361">
        <v>1</v>
      </c>
      <c r="J3834" s="371" t="s">
        <v>286</v>
      </c>
      <c r="K3834" s="377"/>
      <c r="L3834" s="129"/>
      <c r="M3834" s="378"/>
      <c r="N3834" s="129"/>
      <c r="O3834" s="129"/>
      <c r="P3834" s="379"/>
      <c r="Q3834" s="129"/>
      <c r="R3834" s="380"/>
      <c r="S3834" s="129"/>
      <c r="T3834" s="129"/>
      <c r="W3834" s="129" t="s">
        <v>286</v>
      </c>
      <c r="X3834" s="337" t="b">
        <f t="shared" si="94"/>
        <v>1</v>
      </c>
    </row>
    <row r="3835" spans="1:24" ht="12" customHeight="1" outlineLevel="1">
      <c r="A3835" s="370"/>
      <c r="B3835" s="118" t="s">
        <v>12</v>
      </c>
      <c r="C3835" s="334" t="s">
        <v>11774</v>
      </c>
      <c r="D3835" s="124" t="s">
        <v>11775</v>
      </c>
      <c r="E3835" s="125"/>
      <c r="F3835" s="118" t="s">
        <v>828</v>
      </c>
      <c r="G3835" s="126" t="s">
        <v>11386</v>
      </c>
      <c r="H3835" s="255">
        <v>6</v>
      </c>
      <c r="I3835" s="361">
        <v>1</v>
      </c>
      <c r="J3835" s="371" t="s">
        <v>286</v>
      </c>
      <c r="K3835" s="377"/>
      <c r="L3835" s="129"/>
      <c r="M3835" s="378"/>
      <c r="N3835" s="129"/>
      <c r="O3835" s="129"/>
      <c r="P3835" s="379"/>
      <c r="Q3835" s="129"/>
      <c r="R3835" s="380"/>
      <c r="S3835" s="129"/>
      <c r="T3835" s="129"/>
      <c r="W3835" s="129" t="s">
        <v>286</v>
      </c>
      <c r="X3835" s="337" t="b">
        <f t="shared" si="94"/>
        <v>1</v>
      </c>
    </row>
    <row r="3836" spans="1:24" ht="12" customHeight="1" outlineLevel="1">
      <c r="A3836" s="370"/>
      <c r="B3836" s="118" t="s">
        <v>12</v>
      </c>
      <c r="C3836" s="334" t="s">
        <v>11776</v>
      </c>
      <c r="D3836" s="124" t="s">
        <v>11777</v>
      </c>
      <c r="E3836" s="125"/>
      <c r="F3836" s="118" t="s">
        <v>828</v>
      </c>
      <c r="G3836" s="126" t="s">
        <v>11386</v>
      </c>
      <c r="H3836" s="255">
        <v>6</v>
      </c>
      <c r="I3836" s="361">
        <v>1</v>
      </c>
      <c r="J3836" s="371" t="s">
        <v>286</v>
      </c>
      <c r="K3836" s="377"/>
      <c r="L3836" s="129"/>
      <c r="M3836" s="378"/>
      <c r="N3836" s="129"/>
      <c r="O3836" s="129"/>
      <c r="P3836" s="379"/>
      <c r="Q3836" s="129"/>
      <c r="R3836" s="380"/>
      <c r="S3836" s="129"/>
      <c r="T3836" s="129"/>
      <c r="W3836" s="129" t="s">
        <v>286</v>
      </c>
      <c r="X3836" s="337" t="b">
        <f t="shared" si="94"/>
        <v>1</v>
      </c>
    </row>
    <row r="3837" spans="1:24" ht="12" customHeight="1" outlineLevel="1">
      <c r="A3837" s="370"/>
      <c r="B3837" s="118" t="s">
        <v>12</v>
      </c>
      <c r="C3837" s="334" t="s">
        <v>11778</v>
      </c>
      <c r="D3837" s="124" t="s">
        <v>11779</v>
      </c>
      <c r="E3837" s="125"/>
      <c r="F3837" s="118" t="s">
        <v>828</v>
      </c>
      <c r="G3837" s="126" t="s">
        <v>11386</v>
      </c>
      <c r="H3837" s="255">
        <v>6</v>
      </c>
      <c r="I3837" s="361">
        <v>1</v>
      </c>
      <c r="J3837" s="371" t="s">
        <v>310</v>
      </c>
      <c r="K3837" s="377"/>
      <c r="L3837" s="129"/>
      <c r="M3837" s="378"/>
      <c r="N3837" s="129"/>
      <c r="O3837" s="129"/>
      <c r="P3837" s="379"/>
      <c r="Q3837" s="129"/>
      <c r="R3837" s="380"/>
      <c r="S3837" s="129"/>
      <c r="T3837" s="129"/>
      <c r="W3837" s="129" t="s">
        <v>310</v>
      </c>
      <c r="X3837" s="337" t="b">
        <f t="shared" si="94"/>
        <v>1</v>
      </c>
    </row>
    <row r="3838" spans="1:24" ht="12" customHeight="1" outlineLevel="1">
      <c r="A3838" s="370"/>
      <c r="B3838" s="118" t="s">
        <v>12</v>
      </c>
      <c r="C3838" s="334" t="s">
        <v>11780</v>
      </c>
      <c r="D3838" s="124" t="s">
        <v>11781</v>
      </c>
      <c r="E3838" s="125"/>
      <c r="F3838" s="118" t="s">
        <v>828</v>
      </c>
      <c r="G3838" s="126" t="s">
        <v>11386</v>
      </c>
      <c r="H3838" s="255">
        <v>6</v>
      </c>
      <c r="I3838" s="361">
        <v>1</v>
      </c>
      <c r="J3838" s="371" t="s">
        <v>310</v>
      </c>
      <c r="K3838" s="377"/>
      <c r="L3838" s="129"/>
      <c r="M3838" s="378"/>
      <c r="N3838" s="129"/>
      <c r="O3838" s="129"/>
      <c r="P3838" s="379"/>
      <c r="Q3838" s="129"/>
      <c r="R3838" s="380"/>
      <c r="S3838" s="129"/>
      <c r="T3838" s="129"/>
      <c r="W3838" s="129" t="s">
        <v>310</v>
      </c>
      <c r="X3838" s="337" t="b">
        <f t="shared" si="94"/>
        <v>1</v>
      </c>
    </row>
    <row r="3839" spans="1:24" ht="12" customHeight="1" outlineLevel="1">
      <c r="A3839" s="370"/>
      <c r="B3839" s="118" t="s">
        <v>12</v>
      </c>
      <c r="C3839" s="334" t="s">
        <v>11782</v>
      </c>
      <c r="D3839" s="124" t="s">
        <v>11783</v>
      </c>
      <c r="E3839" s="125"/>
      <c r="F3839" s="118" t="s">
        <v>828</v>
      </c>
      <c r="G3839" s="126" t="s">
        <v>11386</v>
      </c>
      <c r="H3839" s="255">
        <v>6</v>
      </c>
      <c r="I3839" s="361">
        <v>1</v>
      </c>
      <c r="J3839" s="371" t="s">
        <v>286</v>
      </c>
      <c r="K3839" s="377"/>
      <c r="L3839" s="129"/>
      <c r="M3839" s="378"/>
      <c r="N3839" s="129"/>
      <c r="O3839" s="129"/>
      <c r="P3839" s="379"/>
      <c r="Q3839" s="129"/>
      <c r="R3839" s="380"/>
      <c r="S3839" s="129"/>
      <c r="T3839" s="129"/>
      <c r="W3839" s="129" t="s">
        <v>286</v>
      </c>
      <c r="X3839" s="337" t="b">
        <f t="shared" si="94"/>
        <v>1</v>
      </c>
    </row>
    <row r="3840" spans="1:24" ht="12" customHeight="1" outlineLevel="1">
      <c r="A3840" s="370"/>
      <c r="B3840" s="118" t="s">
        <v>12</v>
      </c>
      <c r="C3840" s="334" t="s">
        <v>11784</v>
      </c>
      <c r="D3840" s="124" t="s">
        <v>11785</v>
      </c>
      <c r="E3840" s="125"/>
      <c r="F3840" s="118" t="s">
        <v>828</v>
      </c>
      <c r="G3840" s="126" t="s">
        <v>11386</v>
      </c>
      <c r="H3840" s="255">
        <v>6</v>
      </c>
      <c r="I3840" s="361">
        <v>1</v>
      </c>
      <c r="J3840" s="371" t="s">
        <v>286</v>
      </c>
      <c r="K3840" s="377"/>
      <c r="L3840" s="129"/>
      <c r="M3840" s="378"/>
      <c r="N3840" s="129"/>
      <c r="O3840" s="129"/>
      <c r="P3840" s="379"/>
      <c r="Q3840" s="129"/>
      <c r="R3840" s="380"/>
      <c r="S3840" s="129"/>
      <c r="T3840" s="129"/>
      <c r="W3840" s="129" t="s">
        <v>286</v>
      </c>
      <c r="X3840" s="337" t="b">
        <f t="shared" si="94"/>
        <v>1</v>
      </c>
    </row>
    <row r="3841" spans="1:24" ht="12" customHeight="1" outlineLevel="1">
      <c r="A3841" s="370"/>
      <c r="B3841" s="118" t="s">
        <v>12</v>
      </c>
      <c r="C3841" s="334" t="s">
        <v>11786</v>
      </c>
      <c r="D3841" s="124" t="s">
        <v>11787</v>
      </c>
      <c r="E3841" s="125"/>
      <c r="F3841" s="118" t="s">
        <v>828</v>
      </c>
      <c r="G3841" s="126" t="s">
        <v>11386</v>
      </c>
      <c r="H3841" s="255">
        <v>6</v>
      </c>
      <c r="I3841" s="361">
        <v>1</v>
      </c>
      <c r="J3841" s="371" t="s">
        <v>286</v>
      </c>
      <c r="K3841" s="377"/>
      <c r="L3841" s="129"/>
      <c r="M3841" s="378"/>
      <c r="N3841" s="129"/>
      <c r="O3841" s="129"/>
      <c r="P3841" s="379"/>
      <c r="Q3841" s="129"/>
      <c r="R3841" s="380"/>
      <c r="S3841" s="129"/>
      <c r="T3841" s="129"/>
      <c r="W3841" s="129" t="s">
        <v>286</v>
      </c>
      <c r="X3841" s="337" t="b">
        <f t="shared" si="94"/>
        <v>1</v>
      </c>
    </row>
    <row r="3842" spans="1:24" ht="12" customHeight="1" outlineLevel="1">
      <c r="A3842" s="370"/>
      <c r="B3842" s="118" t="s">
        <v>12</v>
      </c>
      <c r="C3842" s="334" t="s">
        <v>11788</v>
      </c>
      <c r="D3842" s="124" t="s">
        <v>11789</v>
      </c>
      <c r="E3842" s="125"/>
      <c r="F3842" s="118" t="s">
        <v>828</v>
      </c>
      <c r="G3842" s="126" t="s">
        <v>11386</v>
      </c>
      <c r="H3842" s="255">
        <v>6</v>
      </c>
      <c r="I3842" s="361">
        <v>1</v>
      </c>
      <c r="J3842" s="371" t="s">
        <v>286</v>
      </c>
      <c r="K3842" s="377"/>
      <c r="L3842" s="129"/>
      <c r="M3842" s="378"/>
      <c r="N3842" s="129"/>
      <c r="O3842" s="129"/>
      <c r="P3842" s="379"/>
      <c r="Q3842" s="129"/>
      <c r="R3842" s="380"/>
      <c r="S3842" s="129"/>
      <c r="T3842" s="129"/>
      <c r="W3842" s="129" t="s">
        <v>286</v>
      </c>
      <c r="X3842" s="337" t="b">
        <f t="shared" si="94"/>
        <v>1</v>
      </c>
    </row>
    <row r="3843" spans="1:24" ht="12" customHeight="1" outlineLevel="1">
      <c r="A3843" s="370"/>
      <c r="B3843" s="118" t="s">
        <v>12</v>
      </c>
      <c r="C3843" s="334" t="s">
        <v>11790</v>
      </c>
      <c r="D3843" s="124" t="s">
        <v>11791</v>
      </c>
      <c r="E3843" s="125"/>
      <c r="F3843" s="118" t="s">
        <v>828</v>
      </c>
      <c r="G3843" s="126" t="s">
        <v>11386</v>
      </c>
      <c r="H3843" s="255">
        <v>6</v>
      </c>
      <c r="I3843" s="361">
        <v>1</v>
      </c>
      <c r="J3843" s="371" t="s">
        <v>286</v>
      </c>
      <c r="K3843" s="377"/>
      <c r="L3843" s="129"/>
      <c r="M3843" s="378"/>
      <c r="N3843" s="129"/>
      <c r="O3843" s="129"/>
      <c r="P3843" s="379"/>
      <c r="Q3843" s="129"/>
      <c r="R3843" s="380"/>
      <c r="S3843" s="129"/>
      <c r="T3843" s="129"/>
      <c r="W3843" s="129" t="s">
        <v>286</v>
      </c>
      <c r="X3843" s="337" t="b">
        <f t="shared" si="94"/>
        <v>1</v>
      </c>
    </row>
    <row r="3844" spans="1:24" ht="12" customHeight="1" outlineLevel="1">
      <c r="A3844" s="370"/>
      <c r="B3844" s="118" t="s">
        <v>12</v>
      </c>
      <c r="C3844" s="334" t="s">
        <v>11792</v>
      </c>
      <c r="D3844" s="124" t="s">
        <v>11793</v>
      </c>
      <c r="E3844" s="125"/>
      <c r="F3844" s="118" t="s">
        <v>828</v>
      </c>
      <c r="G3844" s="126" t="s">
        <v>11386</v>
      </c>
      <c r="H3844" s="255">
        <v>6</v>
      </c>
      <c r="I3844" s="361">
        <v>1</v>
      </c>
      <c r="J3844" s="371" t="s">
        <v>286</v>
      </c>
      <c r="K3844" s="377"/>
      <c r="L3844" s="129"/>
      <c r="M3844" s="378"/>
      <c r="N3844" s="129"/>
      <c r="O3844" s="129"/>
      <c r="P3844" s="379"/>
      <c r="Q3844" s="129"/>
      <c r="R3844" s="380"/>
      <c r="S3844" s="129"/>
      <c r="T3844" s="129"/>
      <c r="W3844" s="129" t="s">
        <v>286</v>
      </c>
      <c r="X3844" s="337" t="b">
        <f t="shared" si="94"/>
        <v>1</v>
      </c>
    </row>
    <row r="3845" spans="1:24" ht="12" customHeight="1" outlineLevel="1">
      <c r="A3845" s="370"/>
      <c r="B3845" s="118" t="s">
        <v>12</v>
      </c>
      <c r="C3845" s="334" t="s">
        <v>11794</v>
      </c>
      <c r="D3845" s="124" t="s">
        <v>11795</v>
      </c>
      <c r="E3845" s="125"/>
      <c r="F3845" s="118" t="s">
        <v>828</v>
      </c>
      <c r="G3845" s="126" t="s">
        <v>11386</v>
      </c>
      <c r="H3845" s="255">
        <v>6</v>
      </c>
      <c r="I3845" s="361">
        <v>1</v>
      </c>
      <c r="J3845" s="371" t="s">
        <v>286</v>
      </c>
      <c r="K3845" s="377"/>
      <c r="L3845" s="129"/>
      <c r="M3845" s="378"/>
      <c r="N3845" s="129"/>
      <c r="O3845" s="129"/>
      <c r="P3845" s="379"/>
      <c r="Q3845" s="129"/>
      <c r="R3845" s="380"/>
      <c r="S3845" s="129"/>
      <c r="T3845" s="129"/>
      <c r="W3845" s="129" t="s">
        <v>286</v>
      </c>
      <c r="X3845" s="337" t="b">
        <f t="shared" si="94"/>
        <v>1</v>
      </c>
    </row>
    <row r="3846" spans="1:24" ht="12" customHeight="1" outlineLevel="1">
      <c r="A3846" s="370"/>
      <c r="B3846" s="118" t="s">
        <v>12</v>
      </c>
      <c r="C3846" s="334" t="s">
        <v>11796</v>
      </c>
      <c r="D3846" s="124" t="s">
        <v>11797</v>
      </c>
      <c r="E3846" s="125"/>
      <c r="F3846" s="118" t="s">
        <v>828</v>
      </c>
      <c r="G3846" s="126" t="s">
        <v>11386</v>
      </c>
      <c r="H3846" s="255">
        <v>6</v>
      </c>
      <c r="I3846" s="361">
        <v>1</v>
      </c>
      <c r="J3846" s="371" t="s">
        <v>286</v>
      </c>
      <c r="K3846" s="377"/>
      <c r="L3846" s="129"/>
      <c r="M3846" s="378"/>
      <c r="N3846" s="129"/>
      <c r="O3846" s="129"/>
      <c r="P3846" s="379"/>
      <c r="Q3846" s="129"/>
      <c r="R3846" s="380"/>
      <c r="S3846" s="129"/>
      <c r="T3846" s="129"/>
      <c r="W3846" s="129" t="s">
        <v>286</v>
      </c>
      <c r="X3846" s="337" t="b">
        <f t="shared" si="94"/>
        <v>1</v>
      </c>
    </row>
    <row r="3847" spans="1:24" ht="12" customHeight="1" outlineLevel="1">
      <c r="A3847" s="370"/>
      <c r="B3847" s="118" t="s">
        <v>12</v>
      </c>
      <c r="C3847" s="334" t="s">
        <v>11798</v>
      </c>
      <c r="D3847" s="124" t="s">
        <v>11799</v>
      </c>
      <c r="E3847" s="125"/>
      <c r="F3847" s="118" t="s">
        <v>828</v>
      </c>
      <c r="G3847" s="126" t="s">
        <v>11386</v>
      </c>
      <c r="H3847" s="255">
        <v>6</v>
      </c>
      <c r="I3847" s="361">
        <v>1</v>
      </c>
      <c r="J3847" s="371" t="s">
        <v>286</v>
      </c>
      <c r="K3847" s="377"/>
      <c r="L3847" s="129"/>
      <c r="M3847" s="378"/>
      <c r="N3847" s="129"/>
      <c r="O3847" s="129"/>
      <c r="P3847" s="379"/>
      <c r="Q3847" s="129"/>
      <c r="R3847" s="380"/>
      <c r="S3847" s="129"/>
      <c r="T3847" s="129"/>
      <c r="W3847" s="129" t="s">
        <v>286</v>
      </c>
      <c r="X3847" s="337" t="b">
        <f t="shared" si="94"/>
        <v>1</v>
      </c>
    </row>
    <row r="3848" spans="1:24" ht="12" customHeight="1" outlineLevel="1">
      <c r="A3848" s="370"/>
      <c r="B3848" s="118" t="s">
        <v>12</v>
      </c>
      <c r="C3848" s="334" t="s">
        <v>11800</v>
      </c>
      <c r="D3848" s="124" t="s">
        <v>11801</v>
      </c>
      <c r="E3848" s="125"/>
      <c r="F3848" s="118" t="s">
        <v>828</v>
      </c>
      <c r="G3848" s="126" t="s">
        <v>11386</v>
      </c>
      <c r="H3848" s="255">
        <v>6</v>
      </c>
      <c r="I3848" s="361">
        <v>1</v>
      </c>
      <c r="J3848" s="371" t="s">
        <v>286</v>
      </c>
      <c r="K3848" s="377"/>
      <c r="L3848" s="129"/>
      <c r="M3848" s="378"/>
      <c r="N3848" s="129"/>
      <c r="O3848" s="129"/>
      <c r="P3848" s="379"/>
      <c r="Q3848" s="129"/>
      <c r="R3848" s="380"/>
      <c r="S3848" s="129"/>
      <c r="T3848" s="129"/>
      <c r="W3848" s="129" t="s">
        <v>286</v>
      </c>
      <c r="X3848" s="337" t="b">
        <f t="shared" si="94"/>
        <v>1</v>
      </c>
    </row>
    <row r="3849" spans="1:24" ht="12" customHeight="1" outlineLevel="1">
      <c r="A3849" s="370"/>
      <c r="B3849" s="118" t="s">
        <v>12</v>
      </c>
      <c r="C3849" s="334" t="s">
        <v>11802</v>
      </c>
      <c r="D3849" s="124" t="s">
        <v>11803</v>
      </c>
      <c r="E3849" s="125"/>
      <c r="F3849" s="118" t="s">
        <v>828</v>
      </c>
      <c r="G3849" s="126" t="s">
        <v>11386</v>
      </c>
      <c r="H3849" s="255">
        <v>6</v>
      </c>
      <c r="I3849" s="361">
        <v>1</v>
      </c>
      <c r="J3849" s="371" t="s">
        <v>286</v>
      </c>
      <c r="K3849" s="377"/>
      <c r="L3849" s="129"/>
      <c r="M3849" s="378"/>
      <c r="N3849" s="129"/>
      <c r="O3849" s="129"/>
      <c r="P3849" s="379"/>
      <c r="Q3849" s="129"/>
      <c r="R3849" s="380"/>
      <c r="S3849" s="129"/>
      <c r="T3849" s="129"/>
      <c r="W3849" s="129" t="s">
        <v>286</v>
      </c>
      <c r="X3849" s="337" t="b">
        <f t="shared" si="94"/>
        <v>1</v>
      </c>
    </row>
    <row r="3850" spans="1:24" ht="12" customHeight="1" outlineLevel="1">
      <c r="A3850" s="370"/>
      <c r="B3850" s="118" t="s">
        <v>12</v>
      </c>
      <c r="C3850" s="334" t="s">
        <v>11804</v>
      </c>
      <c r="D3850" s="124" t="s">
        <v>11805</v>
      </c>
      <c r="E3850" s="125"/>
      <c r="F3850" s="118" t="s">
        <v>828</v>
      </c>
      <c r="G3850" s="126" t="s">
        <v>11386</v>
      </c>
      <c r="H3850" s="255">
        <v>6</v>
      </c>
      <c r="I3850" s="361">
        <v>1</v>
      </c>
      <c r="J3850" s="371" t="s">
        <v>286</v>
      </c>
      <c r="K3850" s="377"/>
      <c r="L3850" s="129"/>
      <c r="M3850" s="378"/>
      <c r="N3850" s="129"/>
      <c r="O3850" s="129"/>
      <c r="P3850" s="379"/>
      <c r="Q3850" s="129"/>
      <c r="R3850" s="380"/>
      <c r="S3850" s="129"/>
      <c r="T3850" s="129"/>
      <c r="W3850" s="129" t="s">
        <v>286</v>
      </c>
      <c r="X3850" s="337" t="b">
        <f t="shared" si="94"/>
        <v>1</v>
      </c>
    </row>
    <row r="3851" spans="1:24" ht="12" customHeight="1" outlineLevel="1">
      <c r="A3851" s="370"/>
      <c r="B3851" s="118" t="s">
        <v>12</v>
      </c>
      <c r="C3851" s="334" t="s">
        <v>11806</v>
      </c>
      <c r="D3851" s="124" t="s">
        <v>11807</v>
      </c>
      <c r="E3851" s="125"/>
      <c r="F3851" s="118" t="s">
        <v>828</v>
      </c>
      <c r="G3851" s="126" t="s">
        <v>11386</v>
      </c>
      <c r="H3851" s="255">
        <v>6</v>
      </c>
      <c r="I3851" s="361">
        <v>1</v>
      </c>
      <c r="J3851" s="371" t="s">
        <v>286</v>
      </c>
      <c r="K3851" s="377"/>
      <c r="L3851" s="129"/>
      <c r="M3851" s="378"/>
      <c r="N3851" s="129"/>
      <c r="O3851" s="129"/>
      <c r="P3851" s="379"/>
      <c r="Q3851" s="129"/>
      <c r="R3851" s="380"/>
      <c r="S3851" s="129"/>
      <c r="T3851" s="129"/>
      <c r="W3851" s="129" t="s">
        <v>4876</v>
      </c>
      <c r="X3851" s="337" t="b">
        <f t="shared" si="94"/>
        <v>0</v>
      </c>
    </row>
    <row r="3852" spans="1:24" ht="12" customHeight="1" outlineLevel="1">
      <c r="A3852" s="370"/>
      <c r="B3852" s="118" t="s">
        <v>12</v>
      </c>
      <c r="C3852" s="334" t="s">
        <v>11808</v>
      </c>
      <c r="D3852" s="124" t="s">
        <v>11809</v>
      </c>
      <c r="E3852" s="125"/>
      <c r="F3852" s="118" t="s">
        <v>828</v>
      </c>
      <c r="G3852" s="126" t="s">
        <v>11386</v>
      </c>
      <c r="H3852" s="255">
        <v>6</v>
      </c>
      <c r="I3852" s="361">
        <v>1</v>
      </c>
      <c r="J3852" s="371" t="s">
        <v>286</v>
      </c>
      <c r="K3852" s="377"/>
      <c r="L3852" s="129"/>
      <c r="M3852" s="378"/>
      <c r="N3852" s="129"/>
      <c r="O3852" s="129"/>
      <c r="P3852" s="379"/>
      <c r="Q3852" s="129"/>
      <c r="R3852" s="380"/>
      <c r="S3852" s="129"/>
      <c r="T3852" s="129"/>
      <c r="W3852" s="129" t="s">
        <v>286</v>
      </c>
      <c r="X3852" s="337" t="b">
        <f t="shared" si="94"/>
        <v>1</v>
      </c>
    </row>
    <row r="3853" spans="1:24" ht="12" customHeight="1" outlineLevel="1">
      <c r="A3853" s="370"/>
      <c r="B3853" s="118" t="s">
        <v>12</v>
      </c>
      <c r="C3853" s="334" t="s">
        <v>11810</v>
      </c>
      <c r="D3853" s="124" t="s">
        <v>11811</v>
      </c>
      <c r="E3853" s="125"/>
      <c r="F3853" s="118" t="s">
        <v>828</v>
      </c>
      <c r="G3853" s="126" t="s">
        <v>11386</v>
      </c>
      <c r="H3853" s="255">
        <v>6</v>
      </c>
      <c r="I3853" s="361">
        <v>1</v>
      </c>
      <c r="J3853" s="371" t="s">
        <v>286</v>
      </c>
      <c r="K3853" s="377"/>
      <c r="L3853" s="129"/>
      <c r="M3853" s="378"/>
      <c r="N3853" s="129"/>
      <c r="O3853" s="129"/>
      <c r="P3853" s="379"/>
      <c r="Q3853" s="129"/>
      <c r="R3853" s="380"/>
      <c r="S3853" s="129"/>
      <c r="T3853" s="129"/>
      <c r="W3853" s="129" t="s">
        <v>286</v>
      </c>
      <c r="X3853" s="337" t="b">
        <f t="shared" si="94"/>
        <v>1</v>
      </c>
    </row>
    <row r="3854" spans="1:24" ht="12" customHeight="1" outlineLevel="1">
      <c r="A3854" s="370"/>
      <c r="B3854" s="118" t="s">
        <v>12</v>
      </c>
      <c r="C3854" s="334" t="s">
        <v>11812</v>
      </c>
      <c r="D3854" s="124" t="s">
        <v>11813</v>
      </c>
      <c r="E3854" s="125"/>
      <c r="F3854" s="118" t="s">
        <v>828</v>
      </c>
      <c r="G3854" s="126" t="s">
        <v>11386</v>
      </c>
      <c r="H3854" s="255">
        <v>6</v>
      </c>
      <c r="I3854" s="361">
        <v>1</v>
      </c>
      <c r="J3854" s="371" t="s">
        <v>286</v>
      </c>
      <c r="K3854" s="377"/>
      <c r="L3854" s="129"/>
      <c r="M3854" s="378"/>
      <c r="N3854" s="129"/>
      <c r="O3854" s="129"/>
      <c r="P3854" s="379"/>
      <c r="Q3854" s="129"/>
      <c r="R3854" s="380"/>
      <c r="S3854" s="129"/>
      <c r="T3854" s="129"/>
      <c r="W3854" s="129" t="s">
        <v>286</v>
      </c>
      <c r="X3854" s="337" t="b">
        <f t="shared" si="94"/>
        <v>1</v>
      </c>
    </row>
    <row r="3855" spans="1:24" ht="12" customHeight="1" outlineLevel="1">
      <c r="A3855" s="370"/>
      <c r="B3855" s="118" t="s">
        <v>12</v>
      </c>
      <c r="C3855" s="334" t="s">
        <v>11814</v>
      </c>
      <c r="D3855" s="124" t="s">
        <v>11815</v>
      </c>
      <c r="E3855" s="125"/>
      <c r="F3855" s="118" t="s">
        <v>828</v>
      </c>
      <c r="G3855" s="126" t="s">
        <v>11386</v>
      </c>
      <c r="H3855" s="255">
        <v>6</v>
      </c>
      <c r="I3855" s="361">
        <v>1</v>
      </c>
      <c r="J3855" s="371" t="s">
        <v>286</v>
      </c>
      <c r="K3855" s="377"/>
      <c r="L3855" s="129"/>
      <c r="M3855" s="378"/>
      <c r="N3855" s="129"/>
      <c r="O3855" s="129"/>
      <c r="P3855" s="379"/>
      <c r="Q3855" s="129"/>
      <c r="R3855" s="380"/>
      <c r="S3855" s="129"/>
      <c r="T3855" s="129"/>
      <c r="W3855" s="129" t="s">
        <v>286</v>
      </c>
      <c r="X3855" s="337" t="b">
        <f t="shared" si="94"/>
        <v>1</v>
      </c>
    </row>
    <row r="3856" spans="1:24" ht="12" customHeight="1" outlineLevel="1">
      <c r="A3856" s="370"/>
      <c r="B3856" s="118" t="s">
        <v>12</v>
      </c>
      <c r="C3856" s="334" t="s">
        <v>11816</v>
      </c>
      <c r="D3856" s="124" t="s">
        <v>11817</v>
      </c>
      <c r="E3856" s="125"/>
      <c r="F3856" s="118" t="s">
        <v>828</v>
      </c>
      <c r="G3856" s="126" t="s">
        <v>11386</v>
      </c>
      <c r="H3856" s="255">
        <v>6</v>
      </c>
      <c r="I3856" s="361">
        <v>1</v>
      </c>
      <c r="J3856" s="371" t="s">
        <v>286</v>
      </c>
      <c r="K3856" s="377"/>
      <c r="L3856" s="129"/>
      <c r="M3856" s="378"/>
      <c r="N3856" s="129"/>
      <c r="O3856" s="129"/>
      <c r="P3856" s="379"/>
      <c r="Q3856" s="129"/>
      <c r="R3856" s="380"/>
      <c r="S3856" s="129"/>
      <c r="T3856" s="129"/>
      <c r="W3856" s="129" t="s">
        <v>286</v>
      </c>
      <c r="X3856" s="337" t="b">
        <f t="shared" si="94"/>
        <v>1</v>
      </c>
    </row>
    <row r="3857" spans="1:24" ht="12" customHeight="1" outlineLevel="1">
      <c r="A3857" s="370"/>
      <c r="B3857" s="118" t="s">
        <v>12</v>
      </c>
      <c r="C3857" s="334" t="s">
        <v>11818</v>
      </c>
      <c r="D3857" s="124" t="s">
        <v>11819</v>
      </c>
      <c r="E3857" s="125"/>
      <c r="F3857" s="118" t="s">
        <v>828</v>
      </c>
      <c r="G3857" s="126" t="s">
        <v>11386</v>
      </c>
      <c r="H3857" s="255">
        <v>6</v>
      </c>
      <c r="I3857" s="361">
        <v>1</v>
      </c>
      <c r="J3857" s="371" t="s">
        <v>286</v>
      </c>
      <c r="K3857" s="377"/>
      <c r="L3857" s="129"/>
      <c r="M3857" s="378"/>
      <c r="N3857" s="129"/>
      <c r="O3857" s="129"/>
      <c r="P3857" s="379"/>
      <c r="Q3857" s="129"/>
      <c r="R3857" s="380"/>
      <c r="S3857" s="129"/>
      <c r="T3857" s="129"/>
      <c r="W3857" s="129" t="s">
        <v>286</v>
      </c>
      <c r="X3857" s="337" t="b">
        <f t="shared" si="94"/>
        <v>1</v>
      </c>
    </row>
    <row r="3858" spans="1:24" ht="12" customHeight="1" outlineLevel="1">
      <c r="A3858" s="370"/>
      <c r="B3858" s="118" t="s">
        <v>12</v>
      </c>
      <c r="C3858" s="334" t="s">
        <v>11820</v>
      </c>
      <c r="D3858" s="124" t="s">
        <v>11821</v>
      </c>
      <c r="E3858" s="125"/>
      <c r="F3858" s="118" t="s">
        <v>828</v>
      </c>
      <c r="G3858" s="126" t="s">
        <v>11386</v>
      </c>
      <c r="H3858" s="255">
        <v>6</v>
      </c>
      <c r="I3858" s="361">
        <v>1</v>
      </c>
      <c r="J3858" s="371" t="s">
        <v>286</v>
      </c>
      <c r="K3858" s="377"/>
      <c r="L3858" s="129"/>
      <c r="M3858" s="378"/>
      <c r="N3858" s="129"/>
      <c r="O3858" s="129"/>
      <c r="P3858" s="379"/>
      <c r="Q3858" s="129"/>
      <c r="R3858" s="380"/>
      <c r="S3858" s="129"/>
      <c r="T3858" s="129"/>
      <c r="W3858" s="129" t="s">
        <v>286</v>
      </c>
      <c r="X3858" s="337" t="b">
        <f t="shared" si="94"/>
        <v>1</v>
      </c>
    </row>
    <row r="3859" spans="1:24" ht="12" customHeight="1" outlineLevel="1">
      <c r="A3859" s="370"/>
      <c r="B3859" s="118" t="s">
        <v>12</v>
      </c>
      <c r="C3859" s="334" t="s">
        <v>11822</v>
      </c>
      <c r="D3859" s="124" t="s">
        <v>11823</v>
      </c>
      <c r="E3859" s="125"/>
      <c r="F3859" s="118" t="s">
        <v>828</v>
      </c>
      <c r="G3859" s="126" t="s">
        <v>11386</v>
      </c>
      <c r="H3859" s="255">
        <v>6</v>
      </c>
      <c r="I3859" s="361">
        <v>1</v>
      </c>
      <c r="J3859" s="371" t="s">
        <v>286</v>
      </c>
      <c r="K3859" s="377"/>
      <c r="L3859" s="129"/>
      <c r="M3859" s="378"/>
      <c r="N3859" s="129"/>
      <c r="O3859" s="129"/>
      <c r="P3859" s="379"/>
      <c r="Q3859" s="129"/>
      <c r="R3859" s="380"/>
      <c r="S3859" s="129"/>
      <c r="T3859" s="129"/>
      <c r="W3859" s="129" t="s">
        <v>286</v>
      </c>
      <c r="X3859" s="337" t="b">
        <f t="shared" ref="X3859:X3922" si="95">W3859=J3859</f>
        <v>1</v>
      </c>
    </row>
    <row r="3860" spans="1:24" ht="12" customHeight="1" outlineLevel="1">
      <c r="A3860" s="370"/>
      <c r="B3860" s="118" t="s">
        <v>12</v>
      </c>
      <c r="C3860" s="334" t="s">
        <v>11824</v>
      </c>
      <c r="D3860" s="124" t="s">
        <v>11825</v>
      </c>
      <c r="E3860" s="125"/>
      <c r="F3860" s="118" t="s">
        <v>828</v>
      </c>
      <c r="G3860" s="126" t="s">
        <v>11386</v>
      </c>
      <c r="H3860" s="255">
        <v>6</v>
      </c>
      <c r="I3860" s="361">
        <v>1</v>
      </c>
      <c r="J3860" s="371" t="s">
        <v>286</v>
      </c>
      <c r="K3860" s="377"/>
      <c r="L3860" s="129"/>
      <c r="M3860" s="378"/>
      <c r="N3860" s="129"/>
      <c r="O3860" s="129"/>
      <c r="P3860" s="379"/>
      <c r="Q3860" s="129"/>
      <c r="R3860" s="380"/>
      <c r="S3860" s="129"/>
      <c r="T3860" s="129"/>
      <c r="W3860" s="129" t="s">
        <v>286</v>
      </c>
      <c r="X3860" s="337" t="b">
        <f t="shared" si="95"/>
        <v>1</v>
      </c>
    </row>
    <row r="3861" spans="1:24" ht="12" customHeight="1" outlineLevel="1">
      <c r="A3861" s="370"/>
      <c r="B3861" s="118" t="s">
        <v>12</v>
      </c>
      <c r="C3861" s="334" t="s">
        <v>11826</v>
      </c>
      <c r="D3861" s="124" t="s">
        <v>11827</v>
      </c>
      <c r="E3861" s="125"/>
      <c r="F3861" s="118" t="s">
        <v>828</v>
      </c>
      <c r="G3861" s="126" t="s">
        <v>11386</v>
      </c>
      <c r="H3861" s="255">
        <v>6</v>
      </c>
      <c r="I3861" s="361">
        <v>1</v>
      </c>
      <c r="J3861" s="371" t="s">
        <v>286</v>
      </c>
      <c r="K3861" s="377"/>
      <c r="L3861" s="129"/>
      <c r="M3861" s="378"/>
      <c r="N3861" s="129"/>
      <c r="O3861" s="129"/>
      <c r="P3861" s="379"/>
      <c r="Q3861" s="129"/>
      <c r="R3861" s="380"/>
      <c r="S3861" s="129"/>
      <c r="T3861" s="129"/>
      <c r="W3861" s="129" t="s">
        <v>286</v>
      </c>
      <c r="X3861" s="337" t="b">
        <f t="shared" si="95"/>
        <v>1</v>
      </c>
    </row>
    <row r="3862" spans="1:24" ht="12" customHeight="1" outlineLevel="1">
      <c r="A3862" s="370"/>
      <c r="B3862" s="118" t="s">
        <v>12</v>
      </c>
      <c r="C3862" s="334" t="s">
        <v>11828</v>
      </c>
      <c r="D3862" s="124" t="s">
        <v>11829</v>
      </c>
      <c r="E3862" s="125"/>
      <c r="F3862" s="118" t="s">
        <v>828</v>
      </c>
      <c r="G3862" s="126" t="s">
        <v>11386</v>
      </c>
      <c r="H3862" s="255">
        <v>6</v>
      </c>
      <c r="I3862" s="361">
        <v>1</v>
      </c>
      <c r="J3862" s="371" t="s">
        <v>286</v>
      </c>
      <c r="K3862" s="377"/>
      <c r="L3862" s="129"/>
      <c r="M3862" s="378"/>
      <c r="N3862" s="129"/>
      <c r="O3862" s="129"/>
      <c r="P3862" s="379"/>
      <c r="Q3862" s="129"/>
      <c r="R3862" s="380"/>
      <c r="S3862" s="129"/>
      <c r="T3862" s="129"/>
      <c r="W3862" s="129" t="s">
        <v>286</v>
      </c>
      <c r="X3862" s="337" t="b">
        <f t="shared" si="95"/>
        <v>1</v>
      </c>
    </row>
    <row r="3863" spans="1:24" ht="12" customHeight="1" outlineLevel="1">
      <c r="A3863" s="370"/>
      <c r="B3863" s="118" t="s">
        <v>12</v>
      </c>
      <c r="C3863" s="334" t="s">
        <v>11830</v>
      </c>
      <c r="D3863" s="124" t="s">
        <v>11831</v>
      </c>
      <c r="E3863" s="125"/>
      <c r="F3863" s="118" t="s">
        <v>828</v>
      </c>
      <c r="G3863" s="126" t="s">
        <v>11386</v>
      </c>
      <c r="H3863" s="255">
        <v>6</v>
      </c>
      <c r="I3863" s="361">
        <v>1</v>
      </c>
      <c r="J3863" s="371" t="s">
        <v>286</v>
      </c>
      <c r="K3863" s="377"/>
      <c r="L3863" s="129"/>
      <c r="M3863" s="378"/>
      <c r="N3863" s="129"/>
      <c r="O3863" s="129"/>
      <c r="P3863" s="379"/>
      <c r="Q3863" s="129"/>
      <c r="R3863" s="380"/>
      <c r="S3863" s="129"/>
      <c r="T3863" s="129"/>
      <c r="W3863" s="129" t="s">
        <v>286</v>
      </c>
      <c r="X3863" s="337" t="b">
        <f t="shared" si="95"/>
        <v>1</v>
      </c>
    </row>
    <row r="3864" spans="1:24" ht="12" customHeight="1" outlineLevel="1">
      <c r="A3864" s="370"/>
      <c r="B3864" s="118" t="s">
        <v>12</v>
      </c>
      <c r="C3864" s="334" t="s">
        <v>11832</v>
      </c>
      <c r="D3864" s="124" t="s">
        <v>11833</v>
      </c>
      <c r="E3864" s="125"/>
      <c r="F3864" s="118" t="s">
        <v>828</v>
      </c>
      <c r="G3864" s="126" t="s">
        <v>11386</v>
      </c>
      <c r="H3864" s="255">
        <v>6</v>
      </c>
      <c r="I3864" s="361">
        <v>1</v>
      </c>
      <c r="J3864" s="371" t="s">
        <v>286</v>
      </c>
      <c r="K3864" s="377"/>
      <c r="L3864" s="129"/>
      <c r="M3864" s="378"/>
      <c r="N3864" s="129"/>
      <c r="O3864" s="129"/>
      <c r="P3864" s="379"/>
      <c r="Q3864" s="129"/>
      <c r="R3864" s="380"/>
      <c r="S3864" s="129"/>
      <c r="T3864" s="129"/>
      <c r="W3864" s="129" t="s">
        <v>286</v>
      </c>
      <c r="X3864" s="337" t="b">
        <f t="shared" si="95"/>
        <v>1</v>
      </c>
    </row>
    <row r="3865" spans="1:24" ht="12" customHeight="1" outlineLevel="1">
      <c r="A3865" s="370"/>
      <c r="B3865" s="118" t="s">
        <v>12</v>
      </c>
      <c r="C3865" s="334" t="s">
        <v>11834</v>
      </c>
      <c r="D3865" s="124" t="s">
        <v>11835</v>
      </c>
      <c r="E3865" s="125"/>
      <c r="F3865" s="118" t="s">
        <v>828</v>
      </c>
      <c r="G3865" s="126" t="s">
        <v>11386</v>
      </c>
      <c r="H3865" s="255">
        <v>6</v>
      </c>
      <c r="I3865" s="361">
        <v>1</v>
      </c>
      <c r="J3865" s="371" t="s">
        <v>286</v>
      </c>
      <c r="K3865" s="377"/>
      <c r="L3865" s="129"/>
      <c r="M3865" s="378"/>
      <c r="N3865" s="129"/>
      <c r="O3865" s="129"/>
      <c r="P3865" s="379"/>
      <c r="Q3865" s="129"/>
      <c r="R3865" s="380"/>
      <c r="S3865" s="129"/>
      <c r="T3865" s="129"/>
      <c r="W3865" s="129" t="s">
        <v>286</v>
      </c>
      <c r="X3865" s="337" t="b">
        <f t="shared" si="95"/>
        <v>1</v>
      </c>
    </row>
    <row r="3866" spans="1:24" ht="12" customHeight="1" outlineLevel="1">
      <c r="A3866" s="370"/>
      <c r="B3866" s="118" t="s">
        <v>12</v>
      </c>
      <c r="C3866" s="334" t="s">
        <v>11836</v>
      </c>
      <c r="D3866" s="124" t="s">
        <v>11837</v>
      </c>
      <c r="E3866" s="125"/>
      <c r="F3866" s="118" t="s">
        <v>828</v>
      </c>
      <c r="G3866" s="126" t="s">
        <v>11386</v>
      </c>
      <c r="H3866" s="255">
        <v>6</v>
      </c>
      <c r="I3866" s="361">
        <v>1</v>
      </c>
      <c r="J3866" s="371" t="s">
        <v>286</v>
      </c>
      <c r="K3866" s="377"/>
      <c r="L3866" s="129"/>
      <c r="M3866" s="378"/>
      <c r="N3866" s="129"/>
      <c r="O3866" s="129"/>
      <c r="P3866" s="379"/>
      <c r="Q3866" s="129"/>
      <c r="R3866" s="380"/>
      <c r="S3866" s="129"/>
      <c r="T3866" s="129"/>
      <c r="W3866" s="129" t="s">
        <v>286</v>
      </c>
      <c r="X3866" s="337" t="b">
        <f t="shared" si="95"/>
        <v>1</v>
      </c>
    </row>
    <row r="3867" spans="1:24" ht="12" customHeight="1" outlineLevel="1">
      <c r="A3867" s="370"/>
      <c r="B3867" s="118" t="s">
        <v>12</v>
      </c>
      <c r="C3867" s="334" t="s">
        <v>11838</v>
      </c>
      <c r="D3867" s="124" t="s">
        <v>11839</v>
      </c>
      <c r="E3867" s="125"/>
      <c r="F3867" s="118" t="s">
        <v>828</v>
      </c>
      <c r="G3867" s="126" t="s">
        <v>11386</v>
      </c>
      <c r="H3867" s="255">
        <v>6</v>
      </c>
      <c r="I3867" s="361">
        <v>1</v>
      </c>
      <c r="J3867" s="371" t="s">
        <v>286</v>
      </c>
      <c r="K3867" s="377"/>
      <c r="L3867" s="129"/>
      <c r="M3867" s="378"/>
      <c r="N3867" s="129"/>
      <c r="O3867" s="129"/>
      <c r="P3867" s="379"/>
      <c r="Q3867" s="129"/>
      <c r="R3867" s="380"/>
      <c r="S3867" s="129"/>
      <c r="T3867" s="129"/>
      <c r="W3867" s="129" t="s">
        <v>286</v>
      </c>
      <c r="X3867" s="337" t="b">
        <f t="shared" si="95"/>
        <v>1</v>
      </c>
    </row>
    <row r="3868" spans="1:24" ht="12" customHeight="1" outlineLevel="1">
      <c r="A3868" s="370"/>
      <c r="B3868" s="118" t="s">
        <v>12</v>
      </c>
      <c r="C3868" s="334" t="s">
        <v>11840</v>
      </c>
      <c r="D3868" s="124" t="s">
        <v>11841</v>
      </c>
      <c r="E3868" s="125"/>
      <c r="F3868" s="118" t="s">
        <v>828</v>
      </c>
      <c r="G3868" s="126" t="s">
        <v>11386</v>
      </c>
      <c r="H3868" s="255">
        <v>6</v>
      </c>
      <c r="I3868" s="361">
        <v>1</v>
      </c>
      <c r="J3868" s="371" t="s">
        <v>286</v>
      </c>
      <c r="K3868" s="377"/>
      <c r="L3868" s="129"/>
      <c r="M3868" s="378"/>
      <c r="N3868" s="129"/>
      <c r="O3868" s="129"/>
      <c r="P3868" s="379"/>
      <c r="Q3868" s="129"/>
      <c r="R3868" s="380"/>
      <c r="S3868" s="129"/>
      <c r="T3868" s="129"/>
      <c r="W3868" s="129" t="s">
        <v>286</v>
      </c>
      <c r="X3868" s="337" t="b">
        <f t="shared" si="95"/>
        <v>1</v>
      </c>
    </row>
    <row r="3869" spans="1:24" ht="12" customHeight="1" outlineLevel="1">
      <c r="A3869" s="370"/>
      <c r="B3869" s="118" t="s">
        <v>12</v>
      </c>
      <c r="C3869" s="334" t="s">
        <v>11842</v>
      </c>
      <c r="D3869" s="124" t="s">
        <v>11843</v>
      </c>
      <c r="E3869" s="125"/>
      <c r="F3869" s="118" t="s">
        <v>828</v>
      </c>
      <c r="G3869" s="126" t="s">
        <v>11386</v>
      </c>
      <c r="H3869" s="255">
        <v>6</v>
      </c>
      <c r="I3869" s="361">
        <v>1</v>
      </c>
      <c r="J3869" s="371" t="s">
        <v>286</v>
      </c>
      <c r="K3869" s="377"/>
      <c r="L3869" s="129"/>
      <c r="M3869" s="378"/>
      <c r="N3869" s="129"/>
      <c r="O3869" s="129"/>
      <c r="P3869" s="379"/>
      <c r="Q3869" s="129"/>
      <c r="R3869" s="380"/>
      <c r="S3869" s="129"/>
      <c r="T3869" s="129"/>
      <c r="W3869" s="129" t="s">
        <v>286</v>
      </c>
      <c r="X3869" s="337" t="b">
        <f t="shared" si="95"/>
        <v>1</v>
      </c>
    </row>
    <row r="3870" spans="1:24" ht="12" customHeight="1" outlineLevel="1">
      <c r="A3870" s="370"/>
      <c r="B3870" s="118" t="s">
        <v>12</v>
      </c>
      <c r="C3870" s="334" t="s">
        <v>11844</v>
      </c>
      <c r="D3870" s="124" t="s">
        <v>11845</v>
      </c>
      <c r="E3870" s="125"/>
      <c r="F3870" s="118" t="s">
        <v>828</v>
      </c>
      <c r="G3870" s="126" t="s">
        <v>11386</v>
      </c>
      <c r="H3870" s="255">
        <v>6</v>
      </c>
      <c r="I3870" s="361">
        <v>1</v>
      </c>
      <c r="J3870" s="371" t="s">
        <v>286</v>
      </c>
      <c r="K3870" s="377"/>
      <c r="L3870" s="129"/>
      <c r="M3870" s="378"/>
      <c r="N3870" s="129"/>
      <c r="O3870" s="129"/>
      <c r="P3870" s="379"/>
      <c r="Q3870" s="129"/>
      <c r="R3870" s="380"/>
      <c r="S3870" s="129"/>
      <c r="T3870" s="129"/>
      <c r="W3870" s="129" t="s">
        <v>286</v>
      </c>
      <c r="X3870" s="337" t="b">
        <f t="shared" si="95"/>
        <v>1</v>
      </c>
    </row>
    <row r="3871" spans="1:24" ht="12" customHeight="1" outlineLevel="1">
      <c r="A3871" s="370"/>
      <c r="B3871" s="118" t="s">
        <v>12</v>
      </c>
      <c r="C3871" s="334" t="s">
        <v>11846</v>
      </c>
      <c r="D3871" s="124" t="s">
        <v>11847</v>
      </c>
      <c r="E3871" s="125"/>
      <c r="F3871" s="118" t="s">
        <v>828</v>
      </c>
      <c r="G3871" s="126" t="s">
        <v>11386</v>
      </c>
      <c r="H3871" s="255">
        <v>6</v>
      </c>
      <c r="I3871" s="361">
        <v>1</v>
      </c>
      <c r="J3871" s="371" t="s">
        <v>286</v>
      </c>
      <c r="K3871" s="377"/>
      <c r="L3871" s="129"/>
      <c r="M3871" s="378"/>
      <c r="N3871" s="129"/>
      <c r="O3871" s="129"/>
      <c r="P3871" s="379"/>
      <c r="Q3871" s="129"/>
      <c r="R3871" s="380"/>
      <c r="S3871" s="129"/>
      <c r="T3871" s="129"/>
      <c r="W3871" s="129" t="s">
        <v>286</v>
      </c>
      <c r="X3871" s="337" t="b">
        <f t="shared" si="95"/>
        <v>1</v>
      </c>
    </row>
    <row r="3872" spans="1:24" ht="12" customHeight="1" outlineLevel="1">
      <c r="A3872" s="370"/>
      <c r="B3872" s="118" t="s">
        <v>12</v>
      </c>
      <c r="C3872" s="334" t="s">
        <v>11848</v>
      </c>
      <c r="D3872" s="124" t="s">
        <v>11849</v>
      </c>
      <c r="E3872" s="125"/>
      <c r="F3872" s="118" t="s">
        <v>828</v>
      </c>
      <c r="G3872" s="126" t="s">
        <v>11386</v>
      </c>
      <c r="H3872" s="255">
        <v>6</v>
      </c>
      <c r="I3872" s="361">
        <v>1</v>
      </c>
      <c r="J3872" s="371" t="s">
        <v>286</v>
      </c>
      <c r="K3872" s="377"/>
      <c r="L3872" s="129"/>
      <c r="M3872" s="378"/>
      <c r="N3872" s="129"/>
      <c r="O3872" s="129"/>
      <c r="P3872" s="379"/>
      <c r="Q3872" s="129"/>
      <c r="R3872" s="380"/>
      <c r="S3872" s="129"/>
      <c r="T3872" s="129"/>
      <c r="W3872" s="129" t="s">
        <v>286</v>
      </c>
      <c r="X3872" s="337" t="b">
        <f t="shared" si="95"/>
        <v>1</v>
      </c>
    </row>
    <row r="3873" spans="1:24" ht="12" customHeight="1" outlineLevel="1">
      <c r="A3873" s="370"/>
      <c r="B3873" s="118" t="s">
        <v>12</v>
      </c>
      <c r="C3873" s="334" t="s">
        <v>11850</v>
      </c>
      <c r="D3873" s="124" t="s">
        <v>11851</v>
      </c>
      <c r="E3873" s="125"/>
      <c r="F3873" s="118" t="s">
        <v>828</v>
      </c>
      <c r="G3873" s="126" t="s">
        <v>11386</v>
      </c>
      <c r="H3873" s="255">
        <v>6</v>
      </c>
      <c r="I3873" s="361">
        <v>1</v>
      </c>
      <c r="J3873" s="371" t="s">
        <v>286</v>
      </c>
      <c r="K3873" s="377"/>
      <c r="L3873" s="129"/>
      <c r="M3873" s="378"/>
      <c r="N3873" s="129"/>
      <c r="O3873" s="129"/>
      <c r="P3873" s="379"/>
      <c r="Q3873" s="129"/>
      <c r="R3873" s="380"/>
      <c r="S3873" s="129"/>
      <c r="T3873" s="129"/>
      <c r="W3873" s="129" t="s">
        <v>286</v>
      </c>
      <c r="X3873" s="337" t="b">
        <f t="shared" si="95"/>
        <v>1</v>
      </c>
    </row>
    <row r="3874" spans="1:24" ht="12" customHeight="1" outlineLevel="1">
      <c r="A3874" s="370"/>
      <c r="B3874" s="118" t="s">
        <v>12</v>
      </c>
      <c r="C3874" s="334" t="s">
        <v>11852</v>
      </c>
      <c r="D3874" s="124" t="s">
        <v>11853</v>
      </c>
      <c r="E3874" s="125"/>
      <c r="F3874" s="118" t="s">
        <v>828</v>
      </c>
      <c r="G3874" s="126" t="s">
        <v>11386</v>
      </c>
      <c r="H3874" s="255">
        <v>6</v>
      </c>
      <c r="I3874" s="361">
        <v>1</v>
      </c>
      <c r="J3874" s="371" t="s">
        <v>286</v>
      </c>
      <c r="K3874" s="377"/>
      <c r="L3874" s="129"/>
      <c r="M3874" s="378"/>
      <c r="N3874" s="129"/>
      <c r="O3874" s="129"/>
      <c r="P3874" s="379"/>
      <c r="Q3874" s="129"/>
      <c r="R3874" s="380"/>
      <c r="S3874" s="129"/>
      <c r="T3874" s="129"/>
      <c r="W3874" s="129" t="s">
        <v>286</v>
      </c>
      <c r="X3874" s="337" t="b">
        <f t="shared" si="95"/>
        <v>1</v>
      </c>
    </row>
    <row r="3875" spans="1:24" ht="12" customHeight="1" outlineLevel="1">
      <c r="A3875" s="370"/>
      <c r="B3875" s="118" t="s">
        <v>12</v>
      </c>
      <c r="C3875" s="334" t="s">
        <v>11854</v>
      </c>
      <c r="D3875" s="124" t="s">
        <v>5250</v>
      </c>
      <c r="E3875" s="125"/>
      <c r="F3875" s="118" t="s">
        <v>828</v>
      </c>
      <c r="G3875" s="126" t="s">
        <v>11386</v>
      </c>
      <c r="H3875" s="255">
        <v>6</v>
      </c>
      <c r="I3875" s="361">
        <v>1</v>
      </c>
      <c r="J3875" s="371" t="s">
        <v>286</v>
      </c>
      <c r="K3875" s="377"/>
      <c r="L3875" s="129"/>
      <c r="M3875" s="378"/>
      <c r="N3875" s="129"/>
      <c r="O3875" s="129"/>
      <c r="P3875" s="379"/>
      <c r="Q3875" s="129"/>
      <c r="R3875" s="380"/>
      <c r="S3875" s="129"/>
      <c r="T3875" s="129"/>
      <c r="W3875" s="129" t="s">
        <v>286</v>
      </c>
      <c r="X3875" s="337" t="b">
        <f t="shared" si="95"/>
        <v>1</v>
      </c>
    </row>
    <row r="3876" spans="1:24" ht="12" customHeight="1" outlineLevel="1">
      <c r="A3876" s="370"/>
      <c r="B3876" s="118" t="s">
        <v>12</v>
      </c>
      <c r="C3876" s="334" t="s">
        <v>11855</v>
      </c>
      <c r="D3876" s="124" t="s">
        <v>8331</v>
      </c>
      <c r="E3876" s="125"/>
      <c r="F3876" s="118" t="s">
        <v>828</v>
      </c>
      <c r="G3876" s="126" t="s">
        <v>11386</v>
      </c>
      <c r="H3876" s="255">
        <v>6</v>
      </c>
      <c r="I3876" s="361">
        <v>1</v>
      </c>
      <c r="J3876" s="371" t="s">
        <v>286</v>
      </c>
      <c r="K3876" s="377"/>
      <c r="L3876" s="129"/>
      <c r="M3876" s="378"/>
      <c r="N3876" s="129"/>
      <c r="O3876" s="129"/>
      <c r="P3876" s="379"/>
      <c r="Q3876" s="129"/>
      <c r="R3876" s="380"/>
      <c r="S3876" s="129"/>
      <c r="T3876" s="129"/>
      <c r="W3876" s="129" t="s">
        <v>286</v>
      </c>
      <c r="X3876" s="337" t="b">
        <f t="shared" si="95"/>
        <v>1</v>
      </c>
    </row>
    <row r="3877" spans="1:24" ht="12" customHeight="1" outlineLevel="1">
      <c r="A3877" s="370"/>
      <c r="B3877" s="118" t="s">
        <v>12</v>
      </c>
      <c r="C3877" s="334" t="s">
        <v>11856</v>
      </c>
      <c r="D3877" s="124" t="s">
        <v>8333</v>
      </c>
      <c r="E3877" s="125"/>
      <c r="F3877" s="118" t="s">
        <v>828</v>
      </c>
      <c r="G3877" s="126" t="s">
        <v>11386</v>
      </c>
      <c r="H3877" s="255">
        <v>6</v>
      </c>
      <c r="I3877" s="361">
        <v>1</v>
      </c>
      <c r="J3877" s="371" t="s">
        <v>286</v>
      </c>
      <c r="K3877" s="377"/>
      <c r="L3877" s="129"/>
      <c r="M3877" s="378"/>
      <c r="N3877" s="129"/>
      <c r="O3877" s="129"/>
      <c r="P3877" s="379"/>
      <c r="Q3877" s="129"/>
      <c r="R3877" s="380"/>
      <c r="S3877" s="129"/>
      <c r="T3877" s="129"/>
      <c r="W3877" s="129" t="s">
        <v>286</v>
      </c>
      <c r="X3877" s="337" t="b">
        <f t="shared" si="95"/>
        <v>1</v>
      </c>
    </row>
    <row r="3878" spans="1:24" ht="12" customHeight="1" outlineLevel="1">
      <c r="A3878" s="370"/>
      <c r="B3878" s="118" t="s">
        <v>12</v>
      </c>
      <c r="C3878" s="334" t="s">
        <v>11857</v>
      </c>
      <c r="D3878" s="124" t="s">
        <v>8335</v>
      </c>
      <c r="E3878" s="125"/>
      <c r="F3878" s="118" t="s">
        <v>828</v>
      </c>
      <c r="G3878" s="126" t="s">
        <v>11386</v>
      </c>
      <c r="H3878" s="255">
        <v>6</v>
      </c>
      <c r="I3878" s="361">
        <v>1</v>
      </c>
      <c r="J3878" s="371" t="s">
        <v>286</v>
      </c>
      <c r="K3878" s="377"/>
      <c r="L3878" s="129"/>
      <c r="M3878" s="378"/>
      <c r="N3878" s="129"/>
      <c r="O3878" s="129"/>
      <c r="P3878" s="379"/>
      <c r="Q3878" s="129"/>
      <c r="R3878" s="380"/>
      <c r="S3878" s="129"/>
      <c r="T3878" s="129"/>
      <c r="W3878" s="129" t="s">
        <v>286</v>
      </c>
      <c r="X3878" s="337" t="b">
        <f t="shared" si="95"/>
        <v>1</v>
      </c>
    </row>
    <row r="3879" spans="1:24" ht="12" customHeight="1" outlineLevel="1">
      <c r="A3879" s="370"/>
      <c r="B3879" s="118" t="s">
        <v>12</v>
      </c>
      <c r="C3879" s="334" t="s">
        <v>11858</v>
      </c>
      <c r="D3879" s="124" t="s">
        <v>8337</v>
      </c>
      <c r="E3879" s="125"/>
      <c r="F3879" s="118" t="s">
        <v>828</v>
      </c>
      <c r="G3879" s="126" t="s">
        <v>11386</v>
      </c>
      <c r="H3879" s="255">
        <v>6</v>
      </c>
      <c r="I3879" s="361">
        <v>1</v>
      </c>
      <c r="J3879" s="371" t="s">
        <v>286</v>
      </c>
      <c r="K3879" s="377"/>
      <c r="L3879" s="129"/>
      <c r="M3879" s="378"/>
      <c r="N3879" s="129"/>
      <c r="O3879" s="129"/>
      <c r="P3879" s="379"/>
      <c r="Q3879" s="129"/>
      <c r="R3879" s="380"/>
      <c r="S3879" s="129"/>
      <c r="T3879" s="129"/>
      <c r="W3879" s="129" t="s">
        <v>286</v>
      </c>
      <c r="X3879" s="337" t="b">
        <f t="shared" si="95"/>
        <v>1</v>
      </c>
    </row>
    <row r="3880" spans="1:24" ht="12" customHeight="1" outlineLevel="1">
      <c r="A3880" s="370"/>
      <c r="B3880" s="118" t="s">
        <v>12</v>
      </c>
      <c r="C3880" s="334" t="s">
        <v>11859</v>
      </c>
      <c r="D3880" s="124" t="s">
        <v>8339</v>
      </c>
      <c r="E3880" s="125"/>
      <c r="F3880" s="118" t="s">
        <v>828</v>
      </c>
      <c r="G3880" s="126" t="s">
        <v>11386</v>
      </c>
      <c r="H3880" s="255">
        <v>6</v>
      </c>
      <c r="I3880" s="361">
        <v>1</v>
      </c>
      <c r="J3880" s="371" t="s">
        <v>286</v>
      </c>
      <c r="K3880" s="377"/>
      <c r="L3880" s="129"/>
      <c r="M3880" s="378"/>
      <c r="N3880" s="129"/>
      <c r="O3880" s="129"/>
      <c r="P3880" s="379"/>
      <c r="Q3880" s="129"/>
      <c r="R3880" s="380"/>
      <c r="S3880" s="129"/>
      <c r="T3880" s="129"/>
      <c r="W3880" s="129" t="s">
        <v>286</v>
      </c>
      <c r="X3880" s="337" t="b">
        <f t="shared" si="95"/>
        <v>1</v>
      </c>
    </row>
    <row r="3881" spans="1:24" ht="12" customHeight="1" outlineLevel="1">
      <c r="A3881" s="370"/>
      <c r="B3881" s="118" t="s">
        <v>12</v>
      </c>
      <c r="C3881" s="334" t="s">
        <v>11860</v>
      </c>
      <c r="D3881" s="124" t="s">
        <v>8341</v>
      </c>
      <c r="E3881" s="125"/>
      <c r="F3881" s="118" t="s">
        <v>828</v>
      </c>
      <c r="G3881" s="126" t="s">
        <v>11386</v>
      </c>
      <c r="H3881" s="255">
        <v>6</v>
      </c>
      <c r="I3881" s="361">
        <v>1</v>
      </c>
      <c r="J3881" s="371" t="s">
        <v>286</v>
      </c>
      <c r="K3881" s="377"/>
      <c r="L3881" s="129"/>
      <c r="M3881" s="378"/>
      <c r="N3881" s="129"/>
      <c r="O3881" s="129"/>
      <c r="P3881" s="379"/>
      <c r="Q3881" s="129"/>
      <c r="R3881" s="380"/>
      <c r="S3881" s="129"/>
      <c r="T3881" s="129"/>
      <c r="W3881" s="129" t="s">
        <v>286</v>
      </c>
      <c r="X3881" s="337" t="b">
        <f t="shared" si="95"/>
        <v>1</v>
      </c>
    </row>
    <row r="3882" spans="1:24" ht="12" customHeight="1" outlineLevel="1">
      <c r="A3882" s="370"/>
      <c r="B3882" s="118" t="s">
        <v>12</v>
      </c>
      <c r="C3882" s="334" t="s">
        <v>11861</v>
      </c>
      <c r="D3882" s="124" t="s">
        <v>8343</v>
      </c>
      <c r="E3882" s="125"/>
      <c r="F3882" s="118" t="s">
        <v>828</v>
      </c>
      <c r="G3882" s="126" t="s">
        <v>11386</v>
      </c>
      <c r="H3882" s="255">
        <v>6</v>
      </c>
      <c r="I3882" s="361">
        <v>1</v>
      </c>
      <c r="J3882" s="371" t="s">
        <v>286</v>
      </c>
      <c r="K3882" s="377"/>
      <c r="L3882" s="129"/>
      <c r="M3882" s="378"/>
      <c r="N3882" s="129"/>
      <c r="O3882" s="129"/>
      <c r="P3882" s="379"/>
      <c r="Q3882" s="129"/>
      <c r="R3882" s="380"/>
      <c r="S3882" s="129"/>
      <c r="T3882" s="129"/>
      <c r="W3882" s="129" t="s">
        <v>286</v>
      </c>
      <c r="X3882" s="337" t="b">
        <f t="shared" si="95"/>
        <v>1</v>
      </c>
    </row>
    <row r="3883" spans="1:24" ht="12" customHeight="1" outlineLevel="1">
      <c r="A3883" s="370"/>
      <c r="B3883" s="118" t="s">
        <v>12</v>
      </c>
      <c r="C3883" s="334" t="s">
        <v>11862</v>
      </c>
      <c r="D3883" s="124" t="s">
        <v>8345</v>
      </c>
      <c r="E3883" s="125"/>
      <c r="F3883" s="118" t="s">
        <v>828</v>
      </c>
      <c r="G3883" s="126" t="s">
        <v>11386</v>
      </c>
      <c r="H3883" s="255">
        <v>6</v>
      </c>
      <c r="I3883" s="361">
        <v>1</v>
      </c>
      <c r="J3883" s="371" t="s">
        <v>286</v>
      </c>
      <c r="K3883" s="377"/>
      <c r="L3883" s="129"/>
      <c r="M3883" s="378"/>
      <c r="N3883" s="129"/>
      <c r="O3883" s="129"/>
      <c r="P3883" s="379"/>
      <c r="Q3883" s="129"/>
      <c r="R3883" s="380"/>
      <c r="S3883" s="129"/>
      <c r="T3883" s="129"/>
      <c r="W3883" s="129" t="s">
        <v>286</v>
      </c>
      <c r="X3883" s="337" t="b">
        <f t="shared" si="95"/>
        <v>1</v>
      </c>
    </row>
    <row r="3884" spans="1:24" ht="12" customHeight="1" outlineLevel="1">
      <c r="A3884" s="370"/>
      <c r="B3884" s="118" t="s">
        <v>12</v>
      </c>
      <c r="C3884" s="334" t="s">
        <v>11863</v>
      </c>
      <c r="D3884" s="124" t="s">
        <v>8347</v>
      </c>
      <c r="E3884" s="125"/>
      <c r="F3884" s="118" t="s">
        <v>828</v>
      </c>
      <c r="G3884" s="126" t="s">
        <v>11386</v>
      </c>
      <c r="H3884" s="255">
        <v>6</v>
      </c>
      <c r="I3884" s="361">
        <v>1</v>
      </c>
      <c r="J3884" s="371" t="s">
        <v>286</v>
      </c>
      <c r="K3884" s="377"/>
      <c r="L3884" s="129"/>
      <c r="M3884" s="378"/>
      <c r="N3884" s="129"/>
      <c r="O3884" s="129"/>
      <c r="P3884" s="379"/>
      <c r="Q3884" s="129"/>
      <c r="R3884" s="380"/>
      <c r="S3884" s="129"/>
      <c r="T3884" s="129"/>
      <c r="W3884" s="129" t="s">
        <v>286</v>
      </c>
      <c r="X3884" s="337" t="b">
        <f t="shared" si="95"/>
        <v>1</v>
      </c>
    </row>
    <row r="3885" spans="1:24" ht="12" customHeight="1" outlineLevel="1">
      <c r="A3885" s="370"/>
      <c r="B3885" s="118" t="s">
        <v>12</v>
      </c>
      <c r="C3885" s="334" t="s">
        <v>11864</v>
      </c>
      <c r="D3885" s="124" t="s">
        <v>8349</v>
      </c>
      <c r="E3885" s="125"/>
      <c r="F3885" s="118" t="s">
        <v>828</v>
      </c>
      <c r="G3885" s="126" t="s">
        <v>11386</v>
      </c>
      <c r="H3885" s="255">
        <v>6</v>
      </c>
      <c r="I3885" s="361">
        <v>1</v>
      </c>
      <c r="J3885" s="371" t="s">
        <v>286</v>
      </c>
      <c r="K3885" s="377"/>
      <c r="L3885" s="129"/>
      <c r="M3885" s="378"/>
      <c r="N3885" s="129"/>
      <c r="O3885" s="129"/>
      <c r="P3885" s="379"/>
      <c r="Q3885" s="129"/>
      <c r="R3885" s="380"/>
      <c r="S3885" s="129"/>
      <c r="T3885" s="129"/>
      <c r="W3885" s="129" t="s">
        <v>286</v>
      </c>
      <c r="X3885" s="337" t="b">
        <f t="shared" si="95"/>
        <v>1</v>
      </c>
    </row>
    <row r="3886" spans="1:24" ht="12" customHeight="1" outlineLevel="1">
      <c r="A3886" s="370"/>
      <c r="B3886" s="118" t="s">
        <v>12</v>
      </c>
      <c r="C3886" s="334" t="s">
        <v>11865</v>
      </c>
      <c r="D3886" s="124" t="s">
        <v>8351</v>
      </c>
      <c r="E3886" s="125"/>
      <c r="F3886" s="118" t="s">
        <v>828</v>
      </c>
      <c r="G3886" s="126" t="s">
        <v>11386</v>
      </c>
      <c r="H3886" s="255">
        <v>6</v>
      </c>
      <c r="I3886" s="361">
        <v>1</v>
      </c>
      <c r="J3886" s="371" t="s">
        <v>286</v>
      </c>
      <c r="K3886" s="377"/>
      <c r="L3886" s="129"/>
      <c r="M3886" s="378"/>
      <c r="N3886" s="129"/>
      <c r="O3886" s="129"/>
      <c r="P3886" s="379"/>
      <c r="Q3886" s="129"/>
      <c r="R3886" s="380"/>
      <c r="S3886" s="129"/>
      <c r="T3886" s="129"/>
      <c r="W3886" s="129" t="s">
        <v>286</v>
      </c>
      <c r="X3886" s="337" t="b">
        <f t="shared" si="95"/>
        <v>1</v>
      </c>
    </row>
    <row r="3887" spans="1:24" ht="12" customHeight="1" outlineLevel="1">
      <c r="A3887" s="370"/>
      <c r="B3887" s="118" t="s">
        <v>12</v>
      </c>
      <c r="C3887" s="334" t="s">
        <v>11866</v>
      </c>
      <c r="D3887" s="124" t="s">
        <v>8353</v>
      </c>
      <c r="E3887" s="125"/>
      <c r="F3887" s="118" t="s">
        <v>828</v>
      </c>
      <c r="G3887" s="126" t="s">
        <v>11386</v>
      </c>
      <c r="H3887" s="255">
        <v>6</v>
      </c>
      <c r="I3887" s="361">
        <v>1</v>
      </c>
      <c r="J3887" s="371" t="s">
        <v>286</v>
      </c>
      <c r="K3887" s="377"/>
      <c r="L3887" s="129"/>
      <c r="M3887" s="378"/>
      <c r="N3887" s="129"/>
      <c r="O3887" s="129"/>
      <c r="P3887" s="379"/>
      <c r="Q3887" s="129"/>
      <c r="R3887" s="380"/>
      <c r="S3887" s="129"/>
      <c r="T3887" s="129"/>
      <c r="W3887" s="129" t="s">
        <v>286</v>
      </c>
      <c r="X3887" s="337" t="b">
        <f t="shared" si="95"/>
        <v>1</v>
      </c>
    </row>
    <row r="3888" spans="1:24" ht="12" customHeight="1" outlineLevel="1">
      <c r="A3888" s="370"/>
      <c r="B3888" s="118" t="s">
        <v>12</v>
      </c>
      <c r="C3888" s="334" t="s">
        <v>11867</v>
      </c>
      <c r="D3888" s="124" t="s">
        <v>8355</v>
      </c>
      <c r="E3888" s="125"/>
      <c r="F3888" s="118" t="s">
        <v>828</v>
      </c>
      <c r="G3888" s="126" t="s">
        <v>11386</v>
      </c>
      <c r="H3888" s="255">
        <v>6</v>
      </c>
      <c r="I3888" s="361">
        <v>1</v>
      </c>
      <c r="J3888" s="371" t="s">
        <v>286</v>
      </c>
      <c r="K3888" s="377"/>
      <c r="L3888" s="129"/>
      <c r="M3888" s="378"/>
      <c r="N3888" s="129"/>
      <c r="O3888" s="129"/>
      <c r="P3888" s="379"/>
      <c r="Q3888" s="129"/>
      <c r="R3888" s="380"/>
      <c r="S3888" s="129"/>
      <c r="T3888" s="129"/>
      <c r="W3888" s="129" t="s">
        <v>286</v>
      </c>
      <c r="X3888" s="337" t="b">
        <f t="shared" si="95"/>
        <v>1</v>
      </c>
    </row>
    <row r="3889" spans="1:24" ht="12" customHeight="1" outlineLevel="1">
      <c r="A3889" s="370"/>
      <c r="B3889" s="118" t="s">
        <v>12</v>
      </c>
      <c r="C3889" s="334" t="s">
        <v>11868</v>
      </c>
      <c r="D3889" s="124" t="s">
        <v>8357</v>
      </c>
      <c r="E3889" s="125"/>
      <c r="F3889" s="118" t="s">
        <v>828</v>
      </c>
      <c r="G3889" s="126" t="s">
        <v>11386</v>
      </c>
      <c r="H3889" s="255">
        <v>6</v>
      </c>
      <c r="I3889" s="361">
        <v>1</v>
      </c>
      <c r="J3889" s="371" t="s">
        <v>286</v>
      </c>
      <c r="K3889" s="377"/>
      <c r="L3889" s="129"/>
      <c r="M3889" s="378"/>
      <c r="N3889" s="129"/>
      <c r="O3889" s="129"/>
      <c r="P3889" s="379"/>
      <c r="Q3889" s="129"/>
      <c r="R3889" s="380"/>
      <c r="S3889" s="129"/>
      <c r="T3889" s="129"/>
      <c r="W3889" s="129" t="s">
        <v>286</v>
      </c>
      <c r="X3889" s="337" t="b">
        <f t="shared" si="95"/>
        <v>1</v>
      </c>
    </row>
    <row r="3890" spans="1:24" ht="12" customHeight="1" outlineLevel="1">
      <c r="A3890" s="370"/>
      <c r="B3890" s="118" t="s">
        <v>12</v>
      </c>
      <c r="C3890" s="334" t="s">
        <v>11869</v>
      </c>
      <c r="D3890" s="124" t="s">
        <v>8359</v>
      </c>
      <c r="E3890" s="125"/>
      <c r="F3890" s="118" t="s">
        <v>828</v>
      </c>
      <c r="G3890" s="126" t="s">
        <v>11386</v>
      </c>
      <c r="H3890" s="255">
        <v>6</v>
      </c>
      <c r="I3890" s="361">
        <v>1</v>
      </c>
      <c r="J3890" s="371" t="s">
        <v>286</v>
      </c>
      <c r="K3890" s="377"/>
      <c r="L3890" s="129"/>
      <c r="M3890" s="378"/>
      <c r="N3890" s="129"/>
      <c r="O3890" s="129"/>
      <c r="P3890" s="379"/>
      <c r="Q3890" s="129"/>
      <c r="R3890" s="380"/>
      <c r="S3890" s="129"/>
      <c r="T3890" s="129"/>
      <c r="W3890" s="129" t="s">
        <v>286</v>
      </c>
      <c r="X3890" s="337" t="b">
        <f t="shared" si="95"/>
        <v>1</v>
      </c>
    </row>
    <row r="3891" spans="1:24" ht="12" customHeight="1" outlineLevel="1">
      <c r="A3891" s="370"/>
      <c r="B3891" s="118" t="s">
        <v>12</v>
      </c>
      <c r="C3891" s="334" t="s">
        <v>11870</v>
      </c>
      <c r="D3891" s="124" t="s">
        <v>8361</v>
      </c>
      <c r="E3891" s="125"/>
      <c r="F3891" s="118" t="s">
        <v>828</v>
      </c>
      <c r="G3891" s="126" t="s">
        <v>11386</v>
      </c>
      <c r="H3891" s="255">
        <v>6</v>
      </c>
      <c r="I3891" s="361">
        <v>1</v>
      </c>
      <c r="J3891" s="371" t="s">
        <v>286</v>
      </c>
      <c r="K3891" s="377"/>
      <c r="L3891" s="129"/>
      <c r="M3891" s="378"/>
      <c r="N3891" s="129"/>
      <c r="O3891" s="129"/>
      <c r="P3891" s="379"/>
      <c r="Q3891" s="129"/>
      <c r="R3891" s="380"/>
      <c r="S3891" s="129"/>
      <c r="T3891" s="129"/>
      <c r="W3891" s="129" t="s">
        <v>286</v>
      </c>
      <c r="X3891" s="337" t="b">
        <f t="shared" si="95"/>
        <v>1</v>
      </c>
    </row>
    <row r="3892" spans="1:24" ht="12" customHeight="1" outlineLevel="1">
      <c r="A3892" s="370"/>
      <c r="B3892" s="118" t="s">
        <v>12</v>
      </c>
      <c r="C3892" s="334" t="s">
        <v>11871</v>
      </c>
      <c r="D3892" s="124" t="s">
        <v>8363</v>
      </c>
      <c r="E3892" s="125"/>
      <c r="F3892" s="118" t="s">
        <v>828</v>
      </c>
      <c r="G3892" s="126" t="s">
        <v>11386</v>
      </c>
      <c r="H3892" s="255">
        <v>6</v>
      </c>
      <c r="I3892" s="361">
        <v>1</v>
      </c>
      <c r="J3892" s="371" t="s">
        <v>286</v>
      </c>
      <c r="K3892" s="377"/>
      <c r="L3892" s="129"/>
      <c r="M3892" s="378"/>
      <c r="N3892" s="129"/>
      <c r="O3892" s="129"/>
      <c r="P3892" s="379"/>
      <c r="Q3892" s="129"/>
      <c r="R3892" s="380"/>
      <c r="S3892" s="129"/>
      <c r="T3892" s="129"/>
      <c r="W3892" s="129" t="s">
        <v>286</v>
      </c>
      <c r="X3892" s="337" t="b">
        <f t="shared" si="95"/>
        <v>1</v>
      </c>
    </row>
    <row r="3893" spans="1:24" ht="12" customHeight="1" outlineLevel="1">
      <c r="A3893" s="370"/>
      <c r="B3893" s="118" t="s">
        <v>12</v>
      </c>
      <c r="C3893" s="334" t="s">
        <v>11872</v>
      </c>
      <c r="D3893" s="124" t="s">
        <v>8365</v>
      </c>
      <c r="E3893" s="125"/>
      <c r="F3893" s="118" t="s">
        <v>828</v>
      </c>
      <c r="G3893" s="126" t="s">
        <v>11386</v>
      </c>
      <c r="H3893" s="255">
        <v>6</v>
      </c>
      <c r="I3893" s="361">
        <v>1</v>
      </c>
      <c r="J3893" s="371" t="s">
        <v>286</v>
      </c>
      <c r="K3893" s="377"/>
      <c r="L3893" s="129"/>
      <c r="M3893" s="378"/>
      <c r="N3893" s="129"/>
      <c r="O3893" s="129"/>
      <c r="P3893" s="379"/>
      <c r="Q3893" s="129"/>
      <c r="R3893" s="380"/>
      <c r="S3893" s="129"/>
      <c r="T3893" s="129"/>
      <c r="W3893" s="129" t="s">
        <v>286</v>
      </c>
      <c r="X3893" s="337" t="b">
        <f t="shared" si="95"/>
        <v>1</v>
      </c>
    </row>
    <row r="3894" spans="1:24" ht="12" customHeight="1" outlineLevel="1">
      <c r="A3894" s="370"/>
      <c r="B3894" s="118" t="s">
        <v>12</v>
      </c>
      <c r="C3894" s="334" t="s">
        <v>11873</v>
      </c>
      <c r="D3894" s="124" t="s">
        <v>8367</v>
      </c>
      <c r="E3894" s="125"/>
      <c r="F3894" s="118" t="s">
        <v>828</v>
      </c>
      <c r="G3894" s="126" t="s">
        <v>11386</v>
      </c>
      <c r="H3894" s="255">
        <v>6</v>
      </c>
      <c r="I3894" s="361">
        <v>1</v>
      </c>
      <c r="J3894" s="371" t="s">
        <v>286</v>
      </c>
      <c r="K3894" s="377"/>
      <c r="L3894" s="129"/>
      <c r="M3894" s="378"/>
      <c r="N3894" s="129"/>
      <c r="O3894" s="129"/>
      <c r="P3894" s="379"/>
      <c r="Q3894" s="129"/>
      <c r="R3894" s="380"/>
      <c r="S3894" s="129"/>
      <c r="T3894" s="129"/>
      <c r="W3894" s="129" t="s">
        <v>286</v>
      </c>
      <c r="X3894" s="337" t="b">
        <f t="shared" si="95"/>
        <v>1</v>
      </c>
    </row>
    <row r="3895" spans="1:24" ht="12" customHeight="1" outlineLevel="1">
      <c r="A3895" s="370"/>
      <c r="B3895" s="118" t="s">
        <v>12</v>
      </c>
      <c r="C3895" s="334" t="s">
        <v>11874</v>
      </c>
      <c r="D3895" s="124" t="s">
        <v>8369</v>
      </c>
      <c r="E3895" s="125"/>
      <c r="F3895" s="118" t="s">
        <v>828</v>
      </c>
      <c r="G3895" s="126" t="s">
        <v>11386</v>
      </c>
      <c r="H3895" s="255">
        <v>6</v>
      </c>
      <c r="I3895" s="361">
        <v>1</v>
      </c>
      <c r="J3895" s="371" t="s">
        <v>286</v>
      </c>
      <c r="K3895" s="377"/>
      <c r="L3895" s="129"/>
      <c r="M3895" s="378"/>
      <c r="N3895" s="129"/>
      <c r="O3895" s="129"/>
      <c r="P3895" s="379"/>
      <c r="Q3895" s="129"/>
      <c r="R3895" s="380"/>
      <c r="S3895" s="129"/>
      <c r="T3895" s="129"/>
      <c r="W3895" s="129" t="s">
        <v>286</v>
      </c>
      <c r="X3895" s="337" t="b">
        <f t="shared" si="95"/>
        <v>1</v>
      </c>
    </row>
    <row r="3896" spans="1:24" ht="12" customHeight="1" outlineLevel="1">
      <c r="A3896" s="370"/>
      <c r="B3896" s="118" t="s">
        <v>12</v>
      </c>
      <c r="C3896" s="334" t="s">
        <v>11875</v>
      </c>
      <c r="D3896" s="124" t="s">
        <v>8371</v>
      </c>
      <c r="E3896" s="125"/>
      <c r="F3896" s="118" t="s">
        <v>828</v>
      </c>
      <c r="G3896" s="126" t="s">
        <v>11386</v>
      </c>
      <c r="H3896" s="255">
        <v>6</v>
      </c>
      <c r="I3896" s="361">
        <v>1</v>
      </c>
      <c r="J3896" s="371" t="s">
        <v>286</v>
      </c>
      <c r="K3896" s="377"/>
      <c r="L3896" s="129"/>
      <c r="M3896" s="378"/>
      <c r="N3896" s="129"/>
      <c r="O3896" s="129"/>
      <c r="P3896" s="379"/>
      <c r="Q3896" s="129"/>
      <c r="R3896" s="380"/>
      <c r="S3896" s="129"/>
      <c r="T3896" s="129"/>
      <c r="W3896" s="129" t="s">
        <v>286</v>
      </c>
      <c r="X3896" s="337" t="b">
        <f t="shared" si="95"/>
        <v>1</v>
      </c>
    </row>
    <row r="3897" spans="1:24" ht="12" customHeight="1" outlineLevel="1">
      <c r="A3897" s="370"/>
      <c r="B3897" s="118" t="s">
        <v>12</v>
      </c>
      <c r="C3897" s="334" t="s">
        <v>11876</v>
      </c>
      <c r="D3897" s="124" t="s">
        <v>8373</v>
      </c>
      <c r="E3897" s="125"/>
      <c r="F3897" s="118" t="s">
        <v>828</v>
      </c>
      <c r="G3897" s="126" t="s">
        <v>11386</v>
      </c>
      <c r="H3897" s="255">
        <v>6</v>
      </c>
      <c r="I3897" s="361">
        <v>1</v>
      </c>
      <c r="J3897" s="371" t="s">
        <v>286</v>
      </c>
      <c r="K3897" s="377"/>
      <c r="L3897" s="129"/>
      <c r="M3897" s="378"/>
      <c r="N3897" s="129"/>
      <c r="O3897" s="129"/>
      <c r="P3897" s="379"/>
      <c r="Q3897" s="129"/>
      <c r="R3897" s="380"/>
      <c r="S3897" s="129"/>
      <c r="T3897" s="129"/>
      <c r="W3897" s="129" t="s">
        <v>286</v>
      </c>
      <c r="X3897" s="337" t="b">
        <f t="shared" si="95"/>
        <v>1</v>
      </c>
    </row>
    <row r="3898" spans="1:24" ht="12" customHeight="1" outlineLevel="1">
      <c r="A3898" s="370"/>
      <c r="B3898" s="118" t="s">
        <v>12</v>
      </c>
      <c r="C3898" s="334" t="s">
        <v>11877</v>
      </c>
      <c r="D3898" s="124" t="s">
        <v>8375</v>
      </c>
      <c r="E3898" s="125"/>
      <c r="F3898" s="118" t="s">
        <v>828</v>
      </c>
      <c r="G3898" s="126" t="s">
        <v>11386</v>
      </c>
      <c r="H3898" s="255">
        <v>6</v>
      </c>
      <c r="I3898" s="361">
        <v>1</v>
      </c>
      <c r="J3898" s="371" t="s">
        <v>286</v>
      </c>
      <c r="K3898" s="377"/>
      <c r="L3898" s="129"/>
      <c r="M3898" s="378"/>
      <c r="N3898" s="129"/>
      <c r="O3898" s="129"/>
      <c r="P3898" s="379"/>
      <c r="Q3898" s="129"/>
      <c r="R3898" s="380"/>
      <c r="S3898" s="129"/>
      <c r="T3898" s="129"/>
      <c r="W3898" s="129" t="s">
        <v>286</v>
      </c>
      <c r="X3898" s="337" t="b">
        <f t="shared" si="95"/>
        <v>1</v>
      </c>
    </row>
    <row r="3899" spans="1:24" ht="12" customHeight="1" outlineLevel="1">
      <c r="A3899" s="370"/>
      <c r="B3899" s="118" t="s">
        <v>12</v>
      </c>
      <c r="C3899" s="334" t="s">
        <v>11878</v>
      </c>
      <c r="D3899" s="124" t="s">
        <v>8377</v>
      </c>
      <c r="E3899" s="125"/>
      <c r="F3899" s="118" t="s">
        <v>828</v>
      </c>
      <c r="G3899" s="126" t="s">
        <v>11386</v>
      </c>
      <c r="H3899" s="255">
        <v>6</v>
      </c>
      <c r="I3899" s="361">
        <v>1</v>
      </c>
      <c r="J3899" s="371" t="s">
        <v>286</v>
      </c>
      <c r="K3899" s="377"/>
      <c r="L3899" s="129"/>
      <c r="M3899" s="378"/>
      <c r="N3899" s="129"/>
      <c r="O3899" s="129"/>
      <c r="P3899" s="379"/>
      <c r="Q3899" s="129"/>
      <c r="R3899" s="380"/>
      <c r="S3899" s="129"/>
      <c r="T3899" s="129"/>
      <c r="W3899" s="129" t="s">
        <v>286</v>
      </c>
      <c r="X3899" s="337" t="b">
        <f t="shared" si="95"/>
        <v>1</v>
      </c>
    </row>
    <row r="3900" spans="1:24" ht="12" customHeight="1" outlineLevel="1">
      <c r="A3900" s="370"/>
      <c r="B3900" s="118" t="s">
        <v>12</v>
      </c>
      <c r="C3900" s="334" t="s">
        <v>11879</v>
      </c>
      <c r="D3900" s="124" t="s">
        <v>8379</v>
      </c>
      <c r="E3900" s="125"/>
      <c r="F3900" s="118" t="s">
        <v>828</v>
      </c>
      <c r="G3900" s="126" t="s">
        <v>11386</v>
      </c>
      <c r="H3900" s="255">
        <v>6</v>
      </c>
      <c r="I3900" s="361">
        <v>1</v>
      </c>
      <c r="J3900" s="371" t="s">
        <v>286</v>
      </c>
      <c r="K3900" s="377"/>
      <c r="L3900" s="129"/>
      <c r="M3900" s="378"/>
      <c r="N3900" s="129"/>
      <c r="O3900" s="129"/>
      <c r="P3900" s="379"/>
      <c r="Q3900" s="129"/>
      <c r="R3900" s="380"/>
      <c r="S3900" s="129"/>
      <c r="T3900" s="129"/>
      <c r="W3900" s="129" t="s">
        <v>286</v>
      </c>
      <c r="X3900" s="337" t="b">
        <f t="shared" si="95"/>
        <v>1</v>
      </c>
    </row>
    <row r="3901" spans="1:24" ht="12" customHeight="1" outlineLevel="1">
      <c r="A3901" s="370"/>
      <c r="B3901" s="118" t="s">
        <v>12</v>
      </c>
      <c r="C3901" s="334" t="s">
        <v>11880</v>
      </c>
      <c r="D3901" s="124" t="s">
        <v>8267</v>
      </c>
      <c r="E3901" s="125"/>
      <c r="F3901" s="118" t="s">
        <v>828</v>
      </c>
      <c r="G3901" s="126" t="s">
        <v>11386</v>
      </c>
      <c r="H3901" s="255">
        <v>6</v>
      </c>
      <c r="I3901" s="361">
        <v>1</v>
      </c>
      <c r="J3901" s="371" t="s">
        <v>286</v>
      </c>
      <c r="K3901" s="377"/>
      <c r="L3901" s="129"/>
      <c r="M3901" s="378"/>
      <c r="N3901" s="129"/>
      <c r="O3901" s="129"/>
      <c r="P3901" s="379"/>
      <c r="Q3901" s="129"/>
      <c r="R3901" s="380"/>
      <c r="S3901" s="129"/>
      <c r="T3901" s="129"/>
      <c r="W3901" s="129" t="s">
        <v>286</v>
      </c>
      <c r="X3901" s="337" t="b">
        <f t="shared" si="95"/>
        <v>1</v>
      </c>
    </row>
    <row r="3902" spans="1:24" ht="12" customHeight="1" outlineLevel="1">
      <c r="A3902" s="370"/>
      <c r="B3902" s="118" t="s">
        <v>12</v>
      </c>
      <c r="C3902" s="334" t="s">
        <v>11881</v>
      </c>
      <c r="D3902" s="124" t="s">
        <v>8269</v>
      </c>
      <c r="E3902" s="125"/>
      <c r="F3902" s="118" t="s">
        <v>828</v>
      </c>
      <c r="G3902" s="126" t="s">
        <v>11386</v>
      </c>
      <c r="H3902" s="255">
        <v>6</v>
      </c>
      <c r="I3902" s="361">
        <v>1</v>
      </c>
      <c r="J3902" s="371" t="s">
        <v>286</v>
      </c>
      <c r="K3902" s="377"/>
      <c r="L3902" s="129"/>
      <c r="M3902" s="378"/>
      <c r="N3902" s="129"/>
      <c r="O3902" s="129"/>
      <c r="P3902" s="379"/>
      <c r="Q3902" s="129"/>
      <c r="R3902" s="380"/>
      <c r="S3902" s="129"/>
      <c r="T3902" s="129"/>
      <c r="W3902" s="129" t="s">
        <v>286</v>
      </c>
      <c r="X3902" s="337" t="b">
        <f t="shared" si="95"/>
        <v>1</v>
      </c>
    </row>
    <row r="3903" spans="1:24" ht="12" customHeight="1" outlineLevel="1">
      <c r="A3903" s="370"/>
      <c r="B3903" s="118" t="s">
        <v>12</v>
      </c>
      <c r="C3903" s="334" t="s">
        <v>11882</v>
      </c>
      <c r="D3903" s="124" t="s">
        <v>8271</v>
      </c>
      <c r="E3903" s="125"/>
      <c r="F3903" s="118" t="s">
        <v>828</v>
      </c>
      <c r="G3903" s="126" t="s">
        <v>11386</v>
      </c>
      <c r="H3903" s="255">
        <v>6</v>
      </c>
      <c r="I3903" s="361">
        <v>1</v>
      </c>
      <c r="J3903" s="371" t="s">
        <v>286</v>
      </c>
      <c r="K3903" s="377"/>
      <c r="L3903" s="129"/>
      <c r="M3903" s="378"/>
      <c r="N3903" s="129"/>
      <c r="O3903" s="129"/>
      <c r="P3903" s="379"/>
      <c r="Q3903" s="129"/>
      <c r="R3903" s="380"/>
      <c r="S3903" s="129"/>
      <c r="T3903" s="129"/>
      <c r="W3903" s="129" t="s">
        <v>286</v>
      </c>
      <c r="X3903" s="337" t="b">
        <f t="shared" si="95"/>
        <v>1</v>
      </c>
    </row>
    <row r="3904" spans="1:24" ht="12" customHeight="1" outlineLevel="1">
      <c r="A3904" s="370"/>
      <c r="B3904" s="118" t="s">
        <v>12</v>
      </c>
      <c r="C3904" s="334" t="s">
        <v>11883</v>
      </c>
      <c r="D3904" s="124" t="s">
        <v>8273</v>
      </c>
      <c r="E3904" s="125"/>
      <c r="F3904" s="118" t="s">
        <v>828</v>
      </c>
      <c r="G3904" s="126" t="s">
        <v>11386</v>
      </c>
      <c r="H3904" s="255">
        <v>6</v>
      </c>
      <c r="I3904" s="361">
        <v>1</v>
      </c>
      <c r="J3904" s="371" t="s">
        <v>286</v>
      </c>
      <c r="K3904" s="377"/>
      <c r="L3904" s="129"/>
      <c r="M3904" s="378"/>
      <c r="N3904" s="129"/>
      <c r="O3904" s="129"/>
      <c r="P3904" s="379"/>
      <c r="Q3904" s="129"/>
      <c r="R3904" s="380"/>
      <c r="S3904" s="129"/>
      <c r="T3904" s="129"/>
      <c r="W3904" s="129" t="s">
        <v>286</v>
      </c>
      <c r="X3904" s="337" t="b">
        <f t="shared" si="95"/>
        <v>1</v>
      </c>
    </row>
    <row r="3905" spans="1:24" ht="12" customHeight="1" outlineLevel="1">
      <c r="A3905" s="370"/>
      <c r="B3905" s="118" t="s">
        <v>12</v>
      </c>
      <c r="C3905" s="334" t="s">
        <v>11884</v>
      </c>
      <c r="D3905" s="124" t="s">
        <v>8275</v>
      </c>
      <c r="E3905" s="125"/>
      <c r="F3905" s="118" t="s">
        <v>828</v>
      </c>
      <c r="G3905" s="126" t="s">
        <v>11386</v>
      </c>
      <c r="H3905" s="255">
        <v>6</v>
      </c>
      <c r="I3905" s="361">
        <v>1</v>
      </c>
      <c r="J3905" s="371" t="s">
        <v>286</v>
      </c>
      <c r="K3905" s="377"/>
      <c r="L3905" s="129"/>
      <c r="M3905" s="378"/>
      <c r="N3905" s="129"/>
      <c r="O3905" s="129"/>
      <c r="P3905" s="379"/>
      <c r="Q3905" s="129"/>
      <c r="R3905" s="380"/>
      <c r="S3905" s="129"/>
      <c r="T3905" s="129"/>
      <c r="W3905" s="129" t="s">
        <v>286</v>
      </c>
      <c r="X3905" s="337" t="b">
        <f t="shared" si="95"/>
        <v>1</v>
      </c>
    </row>
    <row r="3906" spans="1:24" ht="12" customHeight="1" outlineLevel="1">
      <c r="A3906" s="370"/>
      <c r="B3906" s="118" t="s">
        <v>12</v>
      </c>
      <c r="C3906" s="334" t="s">
        <v>11885</v>
      </c>
      <c r="D3906" s="124" t="s">
        <v>8277</v>
      </c>
      <c r="E3906" s="125"/>
      <c r="F3906" s="118" t="s">
        <v>828</v>
      </c>
      <c r="G3906" s="126" t="s">
        <v>11386</v>
      </c>
      <c r="H3906" s="255">
        <v>6</v>
      </c>
      <c r="I3906" s="361">
        <v>1</v>
      </c>
      <c r="J3906" s="371" t="s">
        <v>286</v>
      </c>
      <c r="K3906" s="377"/>
      <c r="L3906" s="129"/>
      <c r="M3906" s="378"/>
      <c r="N3906" s="129"/>
      <c r="O3906" s="129"/>
      <c r="P3906" s="379"/>
      <c r="Q3906" s="129"/>
      <c r="R3906" s="380"/>
      <c r="S3906" s="129"/>
      <c r="T3906" s="129"/>
      <c r="W3906" s="129" t="s">
        <v>286</v>
      </c>
      <c r="X3906" s="337" t="b">
        <f t="shared" si="95"/>
        <v>1</v>
      </c>
    </row>
    <row r="3907" spans="1:24" ht="12" customHeight="1" outlineLevel="1">
      <c r="A3907" s="370"/>
      <c r="B3907" s="118" t="s">
        <v>12</v>
      </c>
      <c r="C3907" s="334" t="s">
        <v>11886</v>
      </c>
      <c r="D3907" s="124" t="s">
        <v>8279</v>
      </c>
      <c r="E3907" s="125"/>
      <c r="F3907" s="118" t="s">
        <v>828</v>
      </c>
      <c r="G3907" s="126" t="s">
        <v>11386</v>
      </c>
      <c r="H3907" s="255">
        <v>6</v>
      </c>
      <c r="I3907" s="361">
        <v>1</v>
      </c>
      <c r="J3907" s="371" t="s">
        <v>286</v>
      </c>
      <c r="K3907" s="377"/>
      <c r="L3907" s="129"/>
      <c r="M3907" s="378"/>
      <c r="N3907" s="129"/>
      <c r="O3907" s="129"/>
      <c r="P3907" s="379"/>
      <c r="Q3907" s="129"/>
      <c r="R3907" s="380"/>
      <c r="S3907" s="129"/>
      <c r="T3907" s="129"/>
      <c r="W3907" s="129" t="s">
        <v>286</v>
      </c>
      <c r="X3907" s="337" t="b">
        <f t="shared" si="95"/>
        <v>1</v>
      </c>
    </row>
    <row r="3908" spans="1:24" ht="12" customHeight="1" outlineLevel="1">
      <c r="A3908" s="370"/>
      <c r="B3908" s="118" t="s">
        <v>12</v>
      </c>
      <c r="C3908" s="334" t="s">
        <v>11887</v>
      </c>
      <c r="D3908" s="124" t="s">
        <v>8281</v>
      </c>
      <c r="E3908" s="125"/>
      <c r="F3908" s="118" t="s">
        <v>828</v>
      </c>
      <c r="G3908" s="126" t="s">
        <v>11386</v>
      </c>
      <c r="H3908" s="255">
        <v>6</v>
      </c>
      <c r="I3908" s="361">
        <v>1</v>
      </c>
      <c r="J3908" s="371" t="s">
        <v>286</v>
      </c>
      <c r="K3908" s="377"/>
      <c r="L3908" s="129"/>
      <c r="M3908" s="378"/>
      <c r="N3908" s="129"/>
      <c r="O3908" s="129"/>
      <c r="P3908" s="379"/>
      <c r="Q3908" s="129"/>
      <c r="R3908" s="380"/>
      <c r="S3908" s="129"/>
      <c r="T3908" s="129"/>
      <c r="W3908" s="129" t="s">
        <v>286</v>
      </c>
      <c r="X3908" s="337" t="b">
        <f t="shared" si="95"/>
        <v>1</v>
      </c>
    </row>
    <row r="3909" spans="1:24" ht="12" customHeight="1" outlineLevel="1">
      <c r="A3909" s="370"/>
      <c r="B3909" s="118" t="s">
        <v>12</v>
      </c>
      <c r="C3909" s="334" t="s">
        <v>11888</v>
      </c>
      <c r="D3909" s="124" t="s">
        <v>8283</v>
      </c>
      <c r="E3909" s="125"/>
      <c r="F3909" s="118" t="s">
        <v>828</v>
      </c>
      <c r="G3909" s="126" t="s">
        <v>11386</v>
      </c>
      <c r="H3909" s="255">
        <v>6</v>
      </c>
      <c r="I3909" s="361">
        <v>1</v>
      </c>
      <c r="J3909" s="371" t="s">
        <v>286</v>
      </c>
      <c r="K3909" s="377"/>
      <c r="L3909" s="129"/>
      <c r="M3909" s="378"/>
      <c r="N3909" s="129"/>
      <c r="O3909" s="129"/>
      <c r="P3909" s="379"/>
      <c r="Q3909" s="129"/>
      <c r="R3909" s="380"/>
      <c r="S3909" s="129"/>
      <c r="T3909" s="129"/>
      <c r="W3909" s="129" t="s">
        <v>286</v>
      </c>
      <c r="X3909" s="337" t="b">
        <f t="shared" si="95"/>
        <v>1</v>
      </c>
    </row>
    <row r="3910" spans="1:24" ht="12" customHeight="1" outlineLevel="1">
      <c r="A3910" s="370"/>
      <c r="B3910" s="118" t="s">
        <v>12</v>
      </c>
      <c r="C3910" s="334" t="s">
        <v>11889</v>
      </c>
      <c r="D3910" s="124" t="s">
        <v>8285</v>
      </c>
      <c r="E3910" s="125"/>
      <c r="F3910" s="118" t="s">
        <v>828</v>
      </c>
      <c r="G3910" s="126" t="s">
        <v>11386</v>
      </c>
      <c r="H3910" s="255">
        <v>6</v>
      </c>
      <c r="I3910" s="361">
        <v>1</v>
      </c>
      <c r="J3910" s="371" t="s">
        <v>286</v>
      </c>
      <c r="K3910" s="377"/>
      <c r="L3910" s="129"/>
      <c r="M3910" s="378"/>
      <c r="N3910" s="129"/>
      <c r="O3910" s="129"/>
      <c r="P3910" s="379"/>
      <c r="Q3910" s="129"/>
      <c r="R3910" s="380"/>
      <c r="S3910" s="129"/>
      <c r="T3910" s="129"/>
      <c r="W3910" s="129" t="s">
        <v>286</v>
      </c>
      <c r="X3910" s="337" t="b">
        <f t="shared" si="95"/>
        <v>1</v>
      </c>
    </row>
    <row r="3911" spans="1:24" ht="12" customHeight="1" outlineLevel="1">
      <c r="A3911" s="370"/>
      <c r="B3911" s="118" t="s">
        <v>12</v>
      </c>
      <c r="C3911" s="334" t="s">
        <v>11890</v>
      </c>
      <c r="D3911" s="124" t="s">
        <v>11891</v>
      </c>
      <c r="E3911" s="125"/>
      <c r="F3911" s="118" t="s">
        <v>828</v>
      </c>
      <c r="G3911" s="126" t="s">
        <v>11386</v>
      </c>
      <c r="H3911" s="255">
        <v>6</v>
      </c>
      <c r="I3911" s="361">
        <v>1</v>
      </c>
      <c r="J3911" s="371" t="s">
        <v>286</v>
      </c>
      <c r="K3911" s="377"/>
      <c r="L3911" s="129"/>
      <c r="M3911" s="378"/>
      <c r="N3911" s="129"/>
      <c r="O3911" s="129"/>
      <c r="P3911" s="379"/>
      <c r="Q3911" s="129"/>
      <c r="R3911" s="380"/>
      <c r="S3911" s="129"/>
      <c r="T3911" s="129"/>
      <c r="W3911" s="129" t="s">
        <v>286</v>
      </c>
      <c r="X3911" s="337" t="b">
        <f t="shared" si="95"/>
        <v>1</v>
      </c>
    </row>
    <row r="3912" spans="1:24" ht="12" customHeight="1" outlineLevel="1">
      <c r="A3912" s="370"/>
      <c r="B3912" s="118" t="s">
        <v>12</v>
      </c>
      <c r="C3912" s="334" t="s">
        <v>11892</v>
      </c>
      <c r="D3912" s="124" t="s">
        <v>11893</v>
      </c>
      <c r="E3912" s="125"/>
      <c r="F3912" s="118" t="s">
        <v>828</v>
      </c>
      <c r="G3912" s="126" t="s">
        <v>11386</v>
      </c>
      <c r="H3912" s="255">
        <v>6</v>
      </c>
      <c r="I3912" s="361">
        <v>1</v>
      </c>
      <c r="J3912" s="371" t="s">
        <v>286</v>
      </c>
      <c r="K3912" s="377"/>
      <c r="L3912" s="129"/>
      <c r="M3912" s="378"/>
      <c r="N3912" s="129"/>
      <c r="O3912" s="129"/>
      <c r="P3912" s="379"/>
      <c r="Q3912" s="129"/>
      <c r="R3912" s="380"/>
      <c r="S3912" s="129"/>
      <c r="T3912" s="129"/>
      <c r="W3912" s="129" t="s">
        <v>4876</v>
      </c>
      <c r="X3912" s="337" t="b">
        <f t="shared" si="95"/>
        <v>0</v>
      </c>
    </row>
    <row r="3913" spans="1:24" ht="12" customHeight="1" outlineLevel="1">
      <c r="A3913" s="370"/>
      <c r="B3913" s="118" t="s">
        <v>12</v>
      </c>
      <c r="C3913" s="334" t="s">
        <v>11894</v>
      </c>
      <c r="D3913" s="124" t="s">
        <v>11895</v>
      </c>
      <c r="E3913" s="125"/>
      <c r="F3913" s="118" t="s">
        <v>828</v>
      </c>
      <c r="G3913" s="126" t="s">
        <v>11386</v>
      </c>
      <c r="H3913" s="255">
        <v>6</v>
      </c>
      <c r="I3913" s="361">
        <v>1</v>
      </c>
      <c r="J3913" s="371" t="s">
        <v>286</v>
      </c>
      <c r="K3913" s="377"/>
      <c r="L3913" s="129"/>
      <c r="M3913" s="378"/>
      <c r="N3913" s="129"/>
      <c r="O3913" s="129"/>
      <c r="P3913" s="379"/>
      <c r="Q3913" s="129"/>
      <c r="R3913" s="380"/>
      <c r="S3913" s="129"/>
      <c r="T3913" s="129"/>
      <c r="W3913" s="129" t="s">
        <v>4876</v>
      </c>
      <c r="X3913" s="337" t="b">
        <f t="shared" si="95"/>
        <v>0</v>
      </c>
    </row>
    <row r="3914" spans="1:24" ht="12" customHeight="1" outlineLevel="1">
      <c r="A3914" s="370"/>
      <c r="B3914" s="118" t="s">
        <v>12</v>
      </c>
      <c r="C3914" s="334" t="s">
        <v>11896</v>
      </c>
      <c r="D3914" s="124" t="s">
        <v>11897</v>
      </c>
      <c r="E3914" s="125"/>
      <c r="F3914" s="118" t="s">
        <v>828</v>
      </c>
      <c r="G3914" s="126" t="s">
        <v>11386</v>
      </c>
      <c r="H3914" s="255">
        <v>6</v>
      </c>
      <c r="I3914" s="361">
        <v>1</v>
      </c>
      <c r="J3914" s="371" t="s">
        <v>286</v>
      </c>
      <c r="K3914" s="377"/>
      <c r="L3914" s="129"/>
      <c r="M3914" s="378"/>
      <c r="N3914" s="129"/>
      <c r="O3914" s="129"/>
      <c r="P3914" s="379"/>
      <c r="Q3914" s="129"/>
      <c r="R3914" s="380"/>
      <c r="S3914" s="129"/>
      <c r="T3914" s="129"/>
      <c r="W3914" s="129" t="s">
        <v>286</v>
      </c>
      <c r="X3914" s="337" t="b">
        <f t="shared" si="95"/>
        <v>1</v>
      </c>
    </row>
    <row r="3915" spans="1:24" ht="12" customHeight="1" outlineLevel="1">
      <c r="A3915" s="370"/>
      <c r="B3915" s="118" t="s">
        <v>12</v>
      </c>
      <c r="C3915" s="334" t="s">
        <v>11898</v>
      </c>
      <c r="D3915" s="124" t="s">
        <v>11899</v>
      </c>
      <c r="E3915" s="125"/>
      <c r="F3915" s="118" t="s">
        <v>828</v>
      </c>
      <c r="G3915" s="126" t="s">
        <v>11386</v>
      </c>
      <c r="H3915" s="255">
        <v>6</v>
      </c>
      <c r="I3915" s="361">
        <v>1</v>
      </c>
      <c r="J3915" s="371" t="s">
        <v>286</v>
      </c>
      <c r="K3915" s="377"/>
      <c r="L3915" s="129"/>
      <c r="M3915" s="378"/>
      <c r="N3915" s="129"/>
      <c r="O3915" s="129"/>
      <c r="P3915" s="379"/>
      <c r="Q3915" s="129"/>
      <c r="R3915" s="380"/>
      <c r="S3915" s="129"/>
      <c r="T3915" s="129"/>
      <c r="W3915" s="129" t="s">
        <v>286</v>
      </c>
      <c r="X3915" s="337" t="b">
        <f t="shared" si="95"/>
        <v>1</v>
      </c>
    </row>
    <row r="3916" spans="1:24" ht="12" customHeight="1" outlineLevel="1">
      <c r="A3916" s="370"/>
      <c r="B3916" s="118" t="s">
        <v>12</v>
      </c>
      <c r="C3916" s="334" t="s">
        <v>11900</v>
      </c>
      <c r="D3916" s="124" t="s">
        <v>8305</v>
      </c>
      <c r="E3916" s="125"/>
      <c r="F3916" s="118" t="s">
        <v>828</v>
      </c>
      <c r="G3916" s="126" t="s">
        <v>11386</v>
      </c>
      <c r="H3916" s="255">
        <v>6</v>
      </c>
      <c r="I3916" s="361">
        <v>1</v>
      </c>
      <c r="J3916" s="371" t="s">
        <v>286</v>
      </c>
      <c r="K3916" s="377"/>
      <c r="L3916" s="129"/>
      <c r="M3916" s="378"/>
      <c r="N3916" s="129"/>
      <c r="O3916" s="129"/>
      <c r="P3916" s="379"/>
      <c r="Q3916" s="129"/>
      <c r="R3916" s="380"/>
      <c r="S3916" s="129"/>
      <c r="T3916" s="129"/>
      <c r="W3916" s="129" t="s">
        <v>286</v>
      </c>
      <c r="X3916" s="337" t="b">
        <f t="shared" si="95"/>
        <v>1</v>
      </c>
    </row>
    <row r="3917" spans="1:24" ht="12" customHeight="1" outlineLevel="1">
      <c r="A3917" s="370"/>
      <c r="B3917" s="118" t="s">
        <v>12</v>
      </c>
      <c r="C3917" s="334" t="s">
        <v>11901</v>
      </c>
      <c r="D3917" s="124" t="s">
        <v>11902</v>
      </c>
      <c r="E3917" s="125"/>
      <c r="F3917" s="118" t="s">
        <v>828</v>
      </c>
      <c r="G3917" s="126" t="s">
        <v>11386</v>
      </c>
      <c r="H3917" s="255">
        <v>6</v>
      </c>
      <c r="I3917" s="361">
        <v>1</v>
      </c>
      <c r="J3917" s="371" t="s">
        <v>286</v>
      </c>
      <c r="K3917" s="377"/>
      <c r="L3917" s="129"/>
      <c r="M3917" s="378"/>
      <c r="N3917" s="129"/>
      <c r="O3917" s="129"/>
      <c r="P3917" s="379"/>
      <c r="Q3917" s="129"/>
      <c r="R3917" s="380"/>
      <c r="S3917" s="129"/>
      <c r="T3917" s="129"/>
      <c r="W3917" s="129" t="s">
        <v>286</v>
      </c>
      <c r="X3917" s="337" t="b">
        <f t="shared" si="95"/>
        <v>1</v>
      </c>
    </row>
    <row r="3918" spans="1:24" ht="12" customHeight="1" outlineLevel="1">
      <c r="A3918" s="370"/>
      <c r="B3918" s="118" t="s">
        <v>12</v>
      </c>
      <c r="C3918" s="334" t="s">
        <v>11903</v>
      </c>
      <c r="D3918" s="124" t="s">
        <v>8311</v>
      </c>
      <c r="E3918" s="125"/>
      <c r="F3918" s="118" t="s">
        <v>828</v>
      </c>
      <c r="G3918" s="126" t="s">
        <v>11386</v>
      </c>
      <c r="H3918" s="255">
        <v>6</v>
      </c>
      <c r="I3918" s="361">
        <v>1</v>
      </c>
      <c r="J3918" s="371" t="s">
        <v>286</v>
      </c>
      <c r="K3918" s="377"/>
      <c r="L3918" s="129"/>
      <c r="M3918" s="378"/>
      <c r="N3918" s="129"/>
      <c r="O3918" s="129"/>
      <c r="P3918" s="379"/>
      <c r="Q3918" s="129"/>
      <c r="R3918" s="380"/>
      <c r="S3918" s="129"/>
      <c r="T3918" s="129"/>
      <c r="W3918" s="129" t="s">
        <v>286</v>
      </c>
      <c r="X3918" s="337" t="b">
        <f t="shared" si="95"/>
        <v>1</v>
      </c>
    </row>
    <row r="3919" spans="1:24" ht="12" customHeight="1" outlineLevel="1">
      <c r="A3919" s="370"/>
      <c r="B3919" s="118" t="s">
        <v>12</v>
      </c>
      <c r="C3919" s="334" t="s">
        <v>11904</v>
      </c>
      <c r="D3919" s="124" t="s">
        <v>8313</v>
      </c>
      <c r="E3919" s="125"/>
      <c r="F3919" s="118" t="s">
        <v>828</v>
      </c>
      <c r="G3919" s="126" t="s">
        <v>11386</v>
      </c>
      <c r="H3919" s="255">
        <v>6</v>
      </c>
      <c r="I3919" s="361">
        <v>1</v>
      </c>
      <c r="J3919" s="371" t="s">
        <v>286</v>
      </c>
      <c r="K3919" s="377"/>
      <c r="L3919" s="129"/>
      <c r="M3919" s="378"/>
      <c r="N3919" s="129"/>
      <c r="O3919" s="129"/>
      <c r="P3919" s="379"/>
      <c r="Q3919" s="129"/>
      <c r="R3919" s="380"/>
      <c r="S3919" s="129"/>
      <c r="T3919" s="129"/>
      <c r="W3919" s="129" t="s">
        <v>286</v>
      </c>
      <c r="X3919" s="337" t="b">
        <f t="shared" si="95"/>
        <v>1</v>
      </c>
    </row>
    <row r="3920" spans="1:24" ht="12" customHeight="1" outlineLevel="1">
      <c r="A3920" s="370"/>
      <c r="B3920" s="118" t="s">
        <v>12</v>
      </c>
      <c r="C3920" s="334" t="s">
        <v>11905</v>
      </c>
      <c r="D3920" s="124" t="s">
        <v>8315</v>
      </c>
      <c r="E3920" s="125"/>
      <c r="F3920" s="118" t="s">
        <v>828</v>
      </c>
      <c r="G3920" s="126" t="s">
        <v>11386</v>
      </c>
      <c r="H3920" s="255">
        <v>6</v>
      </c>
      <c r="I3920" s="361">
        <v>1</v>
      </c>
      <c r="J3920" s="371" t="s">
        <v>286</v>
      </c>
      <c r="K3920" s="377"/>
      <c r="L3920" s="129"/>
      <c r="M3920" s="378"/>
      <c r="N3920" s="129"/>
      <c r="O3920" s="129"/>
      <c r="P3920" s="379"/>
      <c r="Q3920" s="129"/>
      <c r="R3920" s="380"/>
      <c r="S3920" s="129"/>
      <c r="T3920" s="129"/>
      <c r="W3920" s="129" t="s">
        <v>286</v>
      </c>
      <c r="X3920" s="337" t="b">
        <f t="shared" si="95"/>
        <v>1</v>
      </c>
    </row>
    <row r="3921" spans="1:24" ht="12" customHeight="1" outlineLevel="1">
      <c r="A3921" s="370"/>
      <c r="B3921" s="118" t="s">
        <v>12</v>
      </c>
      <c r="C3921" s="334" t="s">
        <v>11906</v>
      </c>
      <c r="D3921" s="124" t="s">
        <v>11907</v>
      </c>
      <c r="E3921" s="125"/>
      <c r="F3921" s="118" t="s">
        <v>828</v>
      </c>
      <c r="G3921" s="126" t="s">
        <v>11386</v>
      </c>
      <c r="H3921" s="255">
        <v>6</v>
      </c>
      <c r="I3921" s="361">
        <v>1</v>
      </c>
      <c r="J3921" s="371" t="s">
        <v>286</v>
      </c>
      <c r="K3921" s="377"/>
      <c r="L3921" s="129"/>
      <c r="M3921" s="378"/>
      <c r="N3921" s="129"/>
      <c r="O3921" s="129"/>
      <c r="P3921" s="379"/>
      <c r="Q3921" s="129"/>
      <c r="R3921" s="380"/>
      <c r="S3921" s="129"/>
      <c r="T3921" s="129"/>
      <c r="W3921" s="129" t="s">
        <v>286</v>
      </c>
      <c r="X3921" s="337" t="b">
        <f t="shared" si="95"/>
        <v>1</v>
      </c>
    </row>
    <row r="3922" spans="1:24" ht="12" customHeight="1" outlineLevel="1">
      <c r="A3922" s="370"/>
      <c r="B3922" s="118" t="s">
        <v>12</v>
      </c>
      <c r="C3922" s="334" t="s">
        <v>11908</v>
      </c>
      <c r="D3922" s="124" t="s">
        <v>8319</v>
      </c>
      <c r="E3922" s="125"/>
      <c r="F3922" s="118" t="s">
        <v>828</v>
      </c>
      <c r="G3922" s="126" t="s">
        <v>11386</v>
      </c>
      <c r="H3922" s="255">
        <v>6</v>
      </c>
      <c r="I3922" s="361">
        <v>1</v>
      </c>
      <c r="J3922" s="371" t="s">
        <v>286</v>
      </c>
      <c r="K3922" s="377"/>
      <c r="L3922" s="129"/>
      <c r="M3922" s="378"/>
      <c r="N3922" s="129"/>
      <c r="O3922" s="129"/>
      <c r="P3922" s="379"/>
      <c r="Q3922" s="129"/>
      <c r="R3922" s="380"/>
      <c r="S3922" s="129"/>
      <c r="T3922" s="129"/>
      <c r="W3922" s="129" t="s">
        <v>286</v>
      </c>
      <c r="X3922" s="337" t="b">
        <f t="shared" si="95"/>
        <v>1</v>
      </c>
    </row>
    <row r="3923" spans="1:24" ht="12" customHeight="1" outlineLevel="1">
      <c r="A3923" s="370"/>
      <c r="B3923" s="118" t="s">
        <v>12</v>
      </c>
      <c r="C3923" s="334" t="s">
        <v>11909</v>
      </c>
      <c r="D3923" s="124" t="s">
        <v>11910</v>
      </c>
      <c r="E3923" s="125"/>
      <c r="F3923" s="118" t="s">
        <v>828</v>
      </c>
      <c r="G3923" s="126" t="s">
        <v>11386</v>
      </c>
      <c r="H3923" s="255">
        <v>6</v>
      </c>
      <c r="I3923" s="361">
        <v>1</v>
      </c>
      <c r="J3923" s="371" t="s">
        <v>286</v>
      </c>
      <c r="K3923" s="377"/>
      <c r="L3923" s="129"/>
      <c r="M3923" s="378"/>
      <c r="N3923" s="129"/>
      <c r="O3923" s="129"/>
      <c r="P3923" s="379"/>
      <c r="Q3923" s="129"/>
      <c r="R3923" s="380"/>
      <c r="S3923" s="129"/>
      <c r="T3923" s="129"/>
      <c r="W3923" s="129" t="s">
        <v>286</v>
      </c>
      <c r="X3923" s="337" t="b">
        <f t="shared" ref="X3923:X3986" si="96">W3923=J3923</f>
        <v>1</v>
      </c>
    </row>
    <row r="3924" spans="1:24" ht="12" customHeight="1" outlineLevel="1">
      <c r="A3924" s="370"/>
      <c r="B3924" s="118" t="s">
        <v>12</v>
      </c>
      <c r="C3924" s="334" t="s">
        <v>11911</v>
      </c>
      <c r="D3924" s="124" t="s">
        <v>11912</v>
      </c>
      <c r="E3924" s="125"/>
      <c r="F3924" s="118" t="s">
        <v>828</v>
      </c>
      <c r="G3924" s="126" t="s">
        <v>11386</v>
      </c>
      <c r="H3924" s="255">
        <v>6</v>
      </c>
      <c r="I3924" s="361">
        <v>1</v>
      </c>
      <c r="J3924" s="371" t="s">
        <v>286</v>
      </c>
      <c r="K3924" s="377"/>
      <c r="L3924" s="129"/>
      <c r="M3924" s="378"/>
      <c r="N3924" s="129"/>
      <c r="O3924" s="129"/>
      <c r="P3924" s="379"/>
      <c r="Q3924" s="129"/>
      <c r="R3924" s="380"/>
      <c r="S3924" s="129"/>
      <c r="T3924" s="129"/>
      <c r="W3924" s="129" t="s">
        <v>286</v>
      </c>
      <c r="X3924" s="337" t="b">
        <f t="shared" si="96"/>
        <v>1</v>
      </c>
    </row>
    <row r="3925" spans="1:24" ht="12" customHeight="1" outlineLevel="1">
      <c r="A3925" s="370"/>
      <c r="B3925" s="118" t="s">
        <v>12</v>
      </c>
      <c r="C3925" s="334" t="s">
        <v>11913</v>
      </c>
      <c r="D3925" s="124" t="s">
        <v>11914</v>
      </c>
      <c r="E3925" s="125"/>
      <c r="F3925" s="118" t="s">
        <v>828</v>
      </c>
      <c r="G3925" s="126" t="s">
        <v>11386</v>
      </c>
      <c r="H3925" s="255">
        <v>6</v>
      </c>
      <c r="I3925" s="361">
        <v>1</v>
      </c>
      <c r="J3925" s="371" t="s">
        <v>286</v>
      </c>
      <c r="K3925" s="377"/>
      <c r="L3925" s="129"/>
      <c r="M3925" s="378"/>
      <c r="N3925" s="129"/>
      <c r="O3925" s="129"/>
      <c r="P3925" s="379"/>
      <c r="Q3925" s="129"/>
      <c r="R3925" s="380"/>
      <c r="S3925" s="129"/>
      <c r="T3925" s="129"/>
      <c r="W3925" s="129" t="s">
        <v>286</v>
      </c>
      <c r="X3925" s="337" t="b">
        <f t="shared" si="96"/>
        <v>1</v>
      </c>
    </row>
    <row r="3926" spans="1:24" ht="12" customHeight="1" outlineLevel="1">
      <c r="A3926" s="370"/>
      <c r="B3926" s="118" t="s">
        <v>12</v>
      </c>
      <c r="C3926" s="334" t="s">
        <v>11915</v>
      </c>
      <c r="D3926" s="124" t="s">
        <v>8329</v>
      </c>
      <c r="E3926" s="125"/>
      <c r="F3926" s="118" t="s">
        <v>828</v>
      </c>
      <c r="G3926" s="126" t="s">
        <v>11386</v>
      </c>
      <c r="H3926" s="255">
        <v>6</v>
      </c>
      <c r="I3926" s="361">
        <v>1</v>
      </c>
      <c r="J3926" s="371" t="s">
        <v>286</v>
      </c>
      <c r="K3926" s="377"/>
      <c r="L3926" s="129"/>
      <c r="M3926" s="378"/>
      <c r="N3926" s="129"/>
      <c r="O3926" s="129"/>
      <c r="P3926" s="379"/>
      <c r="Q3926" s="129"/>
      <c r="R3926" s="380"/>
      <c r="S3926" s="129"/>
      <c r="T3926" s="129"/>
      <c r="W3926" s="129" t="s">
        <v>286</v>
      </c>
      <c r="X3926" s="337" t="b">
        <f t="shared" si="96"/>
        <v>1</v>
      </c>
    </row>
    <row r="3927" spans="1:24" ht="12" customHeight="1" outlineLevel="1">
      <c r="A3927" s="370"/>
      <c r="B3927" s="118" t="s">
        <v>12</v>
      </c>
      <c r="C3927" s="334" t="s">
        <v>11916</v>
      </c>
      <c r="D3927" s="124" t="s">
        <v>8295</v>
      </c>
      <c r="E3927" s="125"/>
      <c r="F3927" s="118" t="s">
        <v>828</v>
      </c>
      <c r="G3927" s="126" t="s">
        <v>11386</v>
      </c>
      <c r="H3927" s="255">
        <v>6</v>
      </c>
      <c r="I3927" s="361">
        <v>1</v>
      </c>
      <c r="J3927" s="371" t="s">
        <v>286</v>
      </c>
      <c r="K3927" s="377"/>
      <c r="L3927" s="129"/>
      <c r="M3927" s="378"/>
      <c r="N3927" s="129"/>
      <c r="O3927" s="129"/>
      <c r="P3927" s="379"/>
      <c r="Q3927" s="129"/>
      <c r="R3927" s="380"/>
      <c r="S3927" s="129"/>
      <c r="T3927" s="129"/>
      <c r="W3927" s="129" t="s">
        <v>286</v>
      </c>
      <c r="X3927" s="337" t="b">
        <f t="shared" si="96"/>
        <v>1</v>
      </c>
    </row>
    <row r="3928" spans="1:24" ht="12" customHeight="1" outlineLevel="1">
      <c r="A3928" s="370"/>
      <c r="B3928" s="118" t="s">
        <v>12</v>
      </c>
      <c r="C3928" s="334" t="s">
        <v>11917</v>
      </c>
      <c r="D3928" s="124" t="s">
        <v>11918</v>
      </c>
      <c r="E3928" s="125"/>
      <c r="F3928" s="118" t="s">
        <v>828</v>
      </c>
      <c r="G3928" s="126" t="s">
        <v>11386</v>
      </c>
      <c r="H3928" s="255">
        <v>6</v>
      </c>
      <c r="I3928" s="361">
        <v>1</v>
      </c>
      <c r="J3928" s="371" t="s">
        <v>325</v>
      </c>
      <c r="K3928" s="377"/>
      <c r="L3928" s="129"/>
      <c r="M3928" s="378"/>
      <c r="N3928" s="129"/>
      <c r="O3928" s="129"/>
      <c r="P3928" s="379"/>
      <c r="Q3928" s="129"/>
      <c r="R3928" s="380"/>
      <c r="S3928" s="129"/>
      <c r="T3928" s="129"/>
      <c r="W3928" s="129" t="s">
        <v>4876</v>
      </c>
      <c r="X3928" s="337" t="b">
        <f t="shared" si="96"/>
        <v>0</v>
      </c>
    </row>
    <row r="3929" spans="1:24" ht="12" customHeight="1" outlineLevel="1">
      <c r="A3929" s="370"/>
      <c r="B3929" s="118" t="s">
        <v>12</v>
      </c>
      <c r="C3929" s="334" t="s">
        <v>11919</v>
      </c>
      <c r="D3929" s="124" t="s">
        <v>11920</v>
      </c>
      <c r="E3929" s="125"/>
      <c r="F3929" s="118" t="s">
        <v>828</v>
      </c>
      <c r="G3929" s="126" t="s">
        <v>11386</v>
      </c>
      <c r="H3929" s="255">
        <v>6</v>
      </c>
      <c r="I3929" s="361">
        <v>1</v>
      </c>
      <c r="J3929" s="371" t="s">
        <v>310</v>
      </c>
      <c r="K3929" s="377"/>
      <c r="L3929" s="129"/>
      <c r="M3929" s="378"/>
      <c r="N3929" s="129"/>
      <c r="O3929" s="129"/>
      <c r="P3929" s="379"/>
      <c r="Q3929" s="129"/>
      <c r="R3929" s="380"/>
      <c r="S3929" s="129"/>
      <c r="T3929" s="129"/>
      <c r="W3929" s="129" t="s">
        <v>4876</v>
      </c>
      <c r="X3929" s="337" t="b">
        <f t="shared" si="96"/>
        <v>0</v>
      </c>
    </row>
    <row r="3930" spans="1:24" ht="12" customHeight="1" outlineLevel="1">
      <c r="A3930" s="370"/>
      <c r="B3930" s="118" t="s">
        <v>12</v>
      </c>
      <c r="C3930" s="334" t="s">
        <v>11921</v>
      </c>
      <c r="D3930" s="124" t="s">
        <v>11922</v>
      </c>
      <c r="E3930" s="125"/>
      <c r="F3930" s="118" t="s">
        <v>828</v>
      </c>
      <c r="G3930" s="126" t="s">
        <v>11386</v>
      </c>
      <c r="H3930" s="255">
        <v>6</v>
      </c>
      <c r="I3930" s="361">
        <v>1</v>
      </c>
      <c r="J3930" s="371" t="s">
        <v>310</v>
      </c>
      <c r="K3930" s="377"/>
      <c r="L3930" s="129"/>
      <c r="M3930" s="378"/>
      <c r="N3930" s="129"/>
      <c r="O3930" s="129"/>
      <c r="P3930" s="379"/>
      <c r="Q3930" s="129"/>
      <c r="R3930" s="380"/>
      <c r="S3930" s="129"/>
      <c r="T3930" s="129"/>
      <c r="W3930" s="129" t="s">
        <v>4876</v>
      </c>
      <c r="X3930" s="337" t="b">
        <f t="shared" si="96"/>
        <v>0</v>
      </c>
    </row>
    <row r="3931" spans="1:24" ht="12" customHeight="1" outlineLevel="1">
      <c r="A3931" s="370"/>
      <c r="B3931" s="118" t="s">
        <v>12</v>
      </c>
      <c r="C3931" s="334" t="s">
        <v>11923</v>
      </c>
      <c r="D3931" s="124" t="s">
        <v>11924</v>
      </c>
      <c r="E3931" s="125"/>
      <c r="F3931" s="118" t="s">
        <v>828</v>
      </c>
      <c r="G3931" s="126" t="s">
        <v>11386</v>
      </c>
      <c r="H3931" s="255">
        <v>6</v>
      </c>
      <c r="I3931" s="361">
        <v>1</v>
      </c>
      <c r="J3931" s="371" t="s">
        <v>307</v>
      </c>
      <c r="K3931" s="377"/>
      <c r="L3931" s="129"/>
      <c r="M3931" s="378"/>
      <c r="N3931" s="129"/>
      <c r="O3931" s="129"/>
      <c r="P3931" s="379"/>
      <c r="Q3931" s="129"/>
      <c r="R3931" s="380"/>
      <c r="S3931" s="129"/>
      <c r="T3931" s="129"/>
      <c r="W3931" s="129" t="s">
        <v>4876</v>
      </c>
      <c r="X3931" s="337" t="b">
        <f t="shared" si="96"/>
        <v>0</v>
      </c>
    </row>
    <row r="3932" spans="1:24" ht="12" customHeight="1" outlineLevel="1">
      <c r="A3932" s="370"/>
      <c r="B3932" s="118" t="s">
        <v>12</v>
      </c>
      <c r="C3932" s="334" t="s">
        <v>11925</v>
      </c>
      <c r="D3932" s="124" t="s">
        <v>11926</v>
      </c>
      <c r="E3932" s="125"/>
      <c r="F3932" s="118" t="s">
        <v>828</v>
      </c>
      <c r="G3932" s="126" t="s">
        <v>11386</v>
      </c>
      <c r="H3932" s="255">
        <v>6</v>
      </c>
      <c r="I3932" s="361">
        <v>1</v>
      </c>
      <c r="J3932" s="371" t="s">
        <v>310</v>
      </c>
      <c r="K3932" s="377"/>
      <c r="L3932" s="129"/>
      <c r="M3932" s="378"/>
      <c r="N3932" s="129"/>
      <c r="O3932" s="129"/>
      <c r="P3932" s="379"/>
      <c r="Q3932" s="129"/>
      <c r="R3932" s="380"/>
      <c r="S3932" s="129"/>
      <c r="T3932" s="129"/>
      <c r="W3932" s="129" t="s">
        <v>4876</v>
      </c>
      <c r="X3932" s="337" t="b">
        <f t="shared" si="96"/>
        <v>0</v>
      </c>
    </row>
    <row r="3933" spans="1:24" ht="12" customHeight="1" outlineLevel="1">
      <c r="A3933" s="370"/>
      <c r="B3933" s="118" t="s">
        <v>12</v>
      </c>
      <c r="C3933" s="334" t="s">
        <v>11927</v>
      </c>
      <c r="D3933" s="124" t="s">
        <v>11928</v>
      </c>
      <c r="E3933" s="125"/>
      <c r="F3933" s="118" t="s">
        <v>828</v>
      </c>
      <c r="G3933" s="126" t="s">
        <v>11386</v>
      </c>
      <c r="H3933" s="255">
        <v>6</v>
      </c>
      <c r="I3933" s="361">
        <v>1</v>
      </c>
      <c r="J3933" s="371" t="s">
        <v>310</v>
      </c>
      <c r="K3933" s="377"/>
      <c r="L3933" s="129"/>
      <c r="M3933" s="378"/>
      <c r="N3933" s="129"/>
      <c r="O3933" s="129"/>
      <c r="P3933" s="379"/>
      <c r="Q3933" s="129"/>
      <c r="R3933" s="380"/>
      <c r="S3933" s="129"/>
      <c r="T3933" s="129"/>
      <c r="W3933" s="129" t="s">
        <v>286</v>
      </c>
      <c r="X3933" s="337" t="b">
        <f t="shared" si="96"/>
        <v>0</v>
      </c>
    </row>
    <row r="3934" spans="1:24" ht="12" customHeight="1" outlineLevel="1">
      <c r="A3934" s="370"/>
      <c r="B3934" s="118" t="s">
        <v>12</v>
      </c>
      <c r="C3934" s="334" t="s">
        <v>11929</v>
      </c>
      <c r="D3934" s="124" t="s">
        <v>11930</v>
      </c>
      <c r="E3934" s="125"/>
      <c r="F3934" s="118" t="s">
        <v>828</v>
      </c>
      <c r="G3934" s="126" t="s">
        <v>11386</v>
      </c>
      <c r="H3934" s="255">
        <v>6</v>
      </c>
      <c r="I3934" s="361">
        <v>1</v>
      </c>
      <c r="J3934" s="371" t="s">
        <v>286</v>
      </c>
      <c r="K3934" s="377"/>
      <c r="L3934" s="129"/>
      <c r="M3934" s="378"/>
      <c r="N3934" s="129"/>
      <c r="O3934" s="129"/>
      <c r="P3934" s="379"/>
      <c r="Q3934" s="129"/>
      <c r="R3934" s="380"/>
      <c r="S3934" s="129"/>
      <c r="T3934" s="129"/>
      <c r="W3934" s="129" t="s">
        <v>4876</v>
      </c>
      <c r="X3934" s="337" t="b">
        <f t="shared" si="96"/>
        <v>0</v>
      </c>
    </row>
    <row r="3935" spans="1:24" ht="12" customHeight="1" outlineLevel="1">
      <c r="A3935" s="370"/>
      <c r="B3935" s="118" t="s">
        <v>12</v>
      </c>
      <c r="C3935" s="334" t="s">
        <v>11931</v>
      </c>
      <c r="D3935" s="124" t="s">
        <v>11932</v>
      </c>
      <c r="E3935" s="125"/>
      <c r="F3935" s="118" t="s">
        <v>828</v>
      </c>
      <c r="G3935" s="126" t="s">
        <v>11386</v>
      </c>
      <c r="H3935" s="255">
        <v>6</v>
      </c>
      <c r="I3935" s="361">
        <v>1</v>
      </c>
      <c r="J3935" s="371" t="s">
        <v>286</v>
      </c>
      <c r="K3935" s="377"/>
      <c r="L3935" s="129"/>
      <c r="M3935" s="378"/>
      <c r="N3935" s="129"/>
      <c r="O3935" s="129"/>
      <c r="P3935" s="379"/>
      <c r="Q3935" s="129"/>
      <c r="R3935" s="380"/>
      <c r="S3935" s="129"/>
      <c r="T3935" s="129"/>
      <c r="W3935" s="129" t="s">
        <v>4876</v>
      </c>
      <c r="X3935" s="337" t="b">
        <f t="shared" si="96"/>
        <v>0</v>
      </c>
    </row>
    <row r="3936" spans="1:24" ht="12" customHeight="1" outlineLevel="1">
      <c r="A3936" s="370"/>
      <c r="B3936" s="118" t="s">
        <v>12</v>
      </c>
      <c r="C3936" s="334" t="s">
        <v>11933</v>
      </c>
      <c r="D3936" s="124" t="s">
        <v>11934</v>
      </c>
      <c r="E3936" s="125"/>
      <c r="F3936" s="118" t="s">
        <v>828</v>
      </c>
      <c r="G3936" s="126" t="s">
        <v>11386</v>
      </c>
      <c r="H3936" s="255">
        <v>6</v>
      </c>
      <c r="I3936" s="361">
        <v>1</v>
      </c>
      <c r="J3936" s="371" t="s">
        <v>286</v>
      </c>
      <c r="K3936" s="377"/>
      <c r="L3936" s="129"/>
      <c r="M3936" s="378"/>
      <c r="N3936" s="129"/>
      <c r="O3936" s="129"/>
      <c r="P3936" s="379"/>
      <c r="Q3936" s="129"/>
      <c r="R3936" s="380"/>
      <c r="S3936" s="129"/>
      <c r="T3936" s="129"/>
      <c r="W3936" s="129" t="s">
        <v>4876</v>
      </c>
      <c r="X3936" s="337" t="b">
        <f t="shared" si="96"/>
        <v>0</v>
      </c>
    </row>
    <row r="3937" spans="1:24" ht="12" customHeight="1" outlineLevel="1">
      <c r="A3937" s="370"/>
      <c r="B3937" s="118" t="s">
        <v>12</v>
      </c>
      <c r="C3937" s="334" t="s">
        <v>11935</v>
      </c>
      <c r="D3937" s="124" t="s">
        <v>11936</v>
      </c>
      <c r="E3937" s="125"/>
      <c r="F3937" s="118" t="s">
        <v>828</v>
      </c>
      <c r="G3937" s="126" t="s">
        <v>11386</v>
      </c>
      <c r="H3937" s="255">
        <v>6</v>
      </c>
      <c r="I3937" s="361">
        <v>1</v>
      </c>
      <c r="J3937" s="371" t="s">
        <v>286</v>
      </c>
      <c r="K3937" s="377"/>
      <c r="L3937" s="129"/>
      <c r="M3937" s="378"/>
      <c r="N3937" s="129"/>
      <c r="O3937" s="129"/>
      <c r="P3937" s="379"/>
      <c r="Q3937" s="129"/>
      <c r="R3937" s="380"/>
      <c r="S3937" s="129"/>
      <c r="T3937" s="129"/>
      <c r="W3937" s="129" t="s">
        <v>4876</v>
      </c>
      <c r="X3937" s="337" t="b">
        <f t="shared" si="96"/>
        <v>0</v>
      </c>
    </row>
    <row r="3938" spans="1:24" ht="12" customHeight="1" outlineLevel="1">
      <c r="A3938" s="370"/>
      <c r="B3938" s="118" t="s">
        <v>12</v>
      </c>
      <c r="C3938" s="334" t="s">
        <v>11937</v>
      </c>
      <c r="D3938" s="124" t="s">
        <v>11938</v>
      </c>
      <c r="E3938" s="125"/>
      <c r="F3938" s="118" t="s">
        <v>828</v>
      </c>
      <c r="G3938" s="126" t="s">
        <v>11386</v>
      </c>
      <c r="H3938" s="255">
        <v>6</v>
      </c>
      <c r="I3938" s="361">
        <v>1</v>
      </c>
      <c r="J3938" s="371" t="s">
        <v>286</v>
      </c>
      <c r="K3938" s="377"/>
      <c r="L3938" s="129"/>
      <c r="M3938" s="378"/>
      <c r="N3938" s="129"/>
      <c r="O3938" s="129"/>
      <c r="P3938" s="379"/>
      <c r="Q3938" s="129"/>
      <c r="R3938" s="380"/>
      <c r="S3938" s="129"/>
      <c r="T3938" s="129"/>
      <c r="W3938" s="129" t="s">
        <v>4876</v>
      </c>
      <c r="X3938" s="337" t="b">
        <f t="shared" si="96"/>
        <v>0</v>
      </c>
    </row>
    <row r="3939" spans="1:24" ht="12" customHeight="1" outlineLevel="1">
      <c r="A3939" s="370"/>
      <c r="B3939" s="118" t="s">
        <v>12</v>
      </c>
      <c r="C3939" s="334" t="s">
        <v>11939</v>
      </c>
      <c r="D3939" s="124" t="s">
        <v>11940</v>
      </c>
      <c r="E3939" s="125"/>
      <c r="F3939" s="118" t="s">
        <v>828</v>
      </c>
      <c r="G3939" s="126" t="s">
        <v>11386</v>
      </c>
      <c r="H3939" s="255">
        <v>6</v>
      </c>
      <c r="I3939" s="361">
        <v>1</v>
      </c>
      <c r="J3939" s="371" t="s">
        <v>286</v>
      </c>
      <c r="K3939" s="377"/>
      <c r="L3939" s="129"/>
      <c r="M3939" s="378"/>
      <c r="N3939" s="129"/>
      <c r="O3939" s="129"/>
      <c r="P3939" s="379"/>
      <c r="Q3939" s="129"/>
      <c r="R3939" s="380"/>
      <c r="S3939" s="129"/>
      <c r="T3939" s="129"/>
      <c r="W3939" s="129" t="s">
        <v>286</v>
      </c>
      <c r="X3939" s="337" t="b">
        <f t="shared" si="96"/>
        <v>1</v>
      </c>
    </row>
    <row r="3940" spans="1:24" ht="12" customHeight="1" outlineLevel="1">
      <c r="A3940" s="370"/>
      <c r="B3940" s="118" t="s">
        <v>12</v>
      </c>
      <c r="C3940" s="334" t="s">
        <v>11941</v>
      </c>
      <c r="D3940" s="124" t="s">
        <v>11942</v>
      </c>
      <c r="E3940" s="125"/>
      <c r="F3940" s="118" t="s">
        <v>828</v>
      </c>
      <c r="G3940" s="126" t="s">
        <v>11386</v>
      </c>
      <c r="H3940" s="255">
        <v>6</v>
      </c>
      <c r="I3940" s="361">
        <v>1</v>
      </c>
      <c r="J3940" s="371" t="s">
        <v>286</v>
      </c>
      <c r="K3940" s="377"/>
      <c r="L3940" s="129"/>
      <c r="M3940" s="378"/>
      <c r="N3940" s="129"/>
      <c r="O3940" s="129"/>
      <c r="P3940" s="379"/>
      <c r="Q3940" s="129"/>
      <c r="R3940" s="380"/>
      <c r="S3940" s="129"/>
      <c r="T3940" s="129"/>
      <c r="W3940" s="129" t="s">
        <v>310</v>
      </c>
      <c r="X3940" s="337" t="b">
        <f t="shared" si="96"/>
        <v>0</v>
      </c>
    </row>
    <row r="3941" spans="1:24" ht="12" customHeight="1" outlineLevel="1">
      <c r="A3941" s="370"/>
      <c r="B3941" s="118" t="s">
        <v>12</v>
      </c>
      <c r="C3941" s="334" t="s">
        <v>11943</v>
      </c>
      <c r="D3941" s="124" t="s">
        <v>11944</v>
      </c>
      <c r="E3941" s="125"/>
      <c r="F3941" s="118" t="s">
        <v>828</v>
      </c>
      <c r="G3941" s="126" t="s">
        <v>11386</v>
      </c>
      <c r="H3941" s="255">
        <v>6</v>
      </c>
      <c r="I3941" s="361">
        <v>1</v>
      </c>
      <c r="J3941" s="371" t="s">
        <v>286</v>
      </c>
      <c r="K3941" s="377"/>
      <c r="L3941" s="129"/>
      <c r="M3941" s="378"/>
      <c r="N3941" s="129"/>
      <c r="O3941" s="129"/>
      <c r="P3941" s="379"/>
      <c r="Q3941" s="129"/>
      <c r="R3941" s="380"/>
      <c r="S3941" s="129"/>
      <c r="T3941" s="129"/>
      <c r="W3941" s="129" t="s">
        <v>310</v>
      </c>
      <c r="X3941" s="337" t="b">
        <f t="shared" si="96"/>
        <v>0</v>
      </c>
    </row>
    <row r="3942" spans="1:24" ht="12" customHeight="1" outlineLevel="1">
      <c r="A3942" s="370"/>
      <c r="B3942" s="118" t="s">
        <v>12</v>
      </c>
      <c r="C3942" s="334" t="s">
        <v>11945</v>
      </c>
      <c r="D3942" s="124" t="s">
        <v>11946</v>
      </c>
      <c r="E3942" s="125"/>
      <c r="F3942" s="118" t="s">
        <v>828</v>
      </c>
      <c r="G3942" s="126" t="s">
        <v>11386</v>
      </c>
      <c r="H3942" s="255">
        <v>6</v>
      </c>
      <c r="I3942" s="361">
        <v>1</v>
      </c>
      <c r="J3942" s="371" t="s">
        <v>286</v>
      </c>
      <c r="K3942" s="377"/>
      <c r="L3942" s="129"/>
      <c r="M3942" s="378"/>
      <c r="N3942" s="129"/>
      <c r="O3942" s="129"/>
      <c r="P3942" s="379"/>
      <c r="Q3942" s="129"/>
      <c r="R3942" s="380"/>
      <c r="S3942" s="129"/>
      <c r="T3942" s="129"/>
      <c r="W3942" s="129" t="s">
        <v>286</v>
      </c>
      <c r="X3942" s="337" t="b">
        <f t="shared" si="96"/>
        <v>1</v>
      </c>
    </row>
    <row r="3943" spans="1:24" ht="12" customHeight="1" outlineLevel="1">
      <c r="A3943" s="370"/>
      <c r="B3943" s="118" t="s">
        <v>12</v>
      </c>
      <c r="C3943" s="334" t="s">
        <v>11947</v>
      </c>
      <c r="D3943" s="124" t="s">
        <v>11948</v>
      </c>
      <c r="E3943" s="125"/>
      <c r="F3943" s="118" t="s">
        <v>828</v>
      </c>
      <c r="G3943" s="126" t="s">
        <v>11386</v>
      </c>
      <c r="H3943" s="255">
        <v>6</v>
      </c>
      <c r="I3943" s="361">
        <v>1</v>
      </c>
      <c r="J3943" s="371" t="s">
        <v>286</v>
      </c>
      <c r="K3943" s="377"/>
      <c r="L3943" s="129"/>
      <c r="M3943" s="378"/>
      <c r="N3943" s="129"/>
      <c r="O3943" s="129"/>
      <c r="P3943" s="379"/>
      <c r="Q3943" s="129"/>
      <c r="R3943" s="380"/>
      <c r="S3943" s="129"/>
      <c r="T3943" s="129"/>
      <c r="W3943" s="129" t="s">
        <v>286</v>
      </c>
      <c r="X3943" s="337" t="b">
        <f t="shared" si="96"/>
        <v>1</v>
      </c>
    </row>
    <row r="3944" spans="1:24" ht="12" customHeight="1" outlineLevel="1">
      <c r="A3944" s="370"/>
      <c r="B3944" s="118" t="s">
        <v>12</v>
      </c>
      <c r="C3944" s="334" t="s">
        <v>11949</v>
      </c>
      <c r="D3944" s="124" t="s">
        <v>11950</v>
      </c>
      <c r="E3944" s="125"/>
      <c r="F3944" s="118" t="s">
        <v>828</v>
      </c>
      <c r="G3944" s="126" t="s">
        <v>11386</v>
      </c>
      <c r="H3944" s="255">
        <v>6</v>
      </c>
      <c r="I3944" s="361">
        <v>1</v>
      </c>
      <c r="J3944" s="371" t="s">
        <v>286</v>
      </c>
      <c r="K3944" s="377"/>
      <c r="L3944" s="129"/>
      <c r="M3944" s="378"/>
      <c r="N3944" s="129"/>
      <c r="O3944" s="129"/>
      <c r="P3944" s="379"/>
      <c r="Q3944" s="129"/>
      <c r="R3944" s="380"/>
      <c r="S3944" s="129"/>
      <c r="T3944" s="129"/>
      <c r="W3944" s="129" t="s">
        <v>286</v>
      </c>
      <c r="X3944" s="337" t="b">
        <f t="shared" si="96"/>
        <v>1</v>
      </c>
    </row>
    <row r="3945" spans="1:24" ht="12" customHeight="1" outlineLevel="1">
      <c r="A3945" s="370"/>
      <c r="B3945" s="118" t="s">
        <v>12</v>
      </c>
      <c r="C3945" s="334" t="s">
        <v>11951</v>
      </c>
      <c r="D3945" s="124" t="s">
        <v>11952</v>
      </c>
      <c r="E3945" s="125"/>
      <c r="F3945" s="118" t="s">
        <v>828</v>
      </c>
      <c r="G3945" s="126" t="s">
        <v>11386</v>
      </c>
      <c r="H3945" s="255">
        <v>6</v>
      </c>
      <c r="I3945" s="361">
        <v>1</v>
      </c>
      <c r="J3945" s="371" t="s">
        <v>286</v>
      </c>
      <c r="K3945" s="377"/>
      <c r="L3945" s="129"/>
      <c r="M3945" s="378"/>
      <c r="N3945" s="129"/>
      <c r="O3945" s="129"/>
      <c r="P3945" s="379"/>
      <c r="Q3945" s="129"/>
      <c r="R3945" s="380"/>
      <c r="S3945" s="129"/>
      <c r="T3945" s="129"/>
      <c r="W3945" s="129" t="s">
        <v>310</v>
      </c>
      <c r="X3945" s="337" t="b">
        <f t="shared" si="96"/>
        <v>0</v>
      </c>
    </row>
    <row r="3946" spans="1:24" ht="12" customHeight="1" outlineLevel="1">
      <c r="A3946" s="370"/>
      <c r="B3946" s="118" t="s">
        <v>12</v>
      </c>
      <c r="C3946" s="334" t="s">
        <v>11953</v>
      </c>
      <c r="D3946" s="124" t="s">
        <v>11954</v>
      </c>
      <c r="E3946" s="125"/>
      <c r="F3946" s="118" t="s">
        <v>828</v>
      </c>
      <c r="G3946" s="126" t="s">
        <v>11386</v>
      </c>
      <c r="H3946" s="255">
        <v>6</v>
      </c>
      <c r="I3946" s="361">
        <v>1</v>
      </c>
      <c r="J3946" s="371" t="s">
        <v>286</v>
      </c>
      <c r="K3946" s="377"/>
      <c r="L3946" s="129"/>
      <c r="M3946" s="378"/>
      <c r="N3946" s="129"/>
      <c r="O3946" s="129"/>
      <c r="P3946" s="379"/>
      <c r="Q3946" s="129"/>
      <c r="R3946" s="380"/>
      <c r="S3946" s="129"/>
      <c r="T3946" s="129"/>
      <c r="W3946" s="129" t="s">
        <v>310</v>
      </c>
      <c r="X3946" s="337" t="b">
        <f t="shared" si="96"/>
        <v>0</v>
      </c>
    </row>
    <row r="3947" spans="1:24" ht="12" customHeight="1" outlineLevel="1">
      <c r="A3947" s="370"/>
      <c r="B3947" s="118" t="s">
        <v>12</v>
      </c>
      <c r="C3947" s="334" t="s">
        <v>11955</v>
      </c>
      <c r="D3947" s="124" t="s">
        <v>11956</v>
      </c>
      <c r="E3947" s="125"/>
      <c r="F3947" s="118" t="s">
        <v>828</v>
      </c>
      <c r="G3947" s="126" t="s">
        <v>11386</v>
      </c>
      <c r="H3947" s="255">
        <v>6</v>
      </c>
      <c r="I3947" s="361">
        <v>1</v>
      </c>
      <c r="J3947" s="371" t="s">
        <v>286</v>
      </c>
      <c r="K3947" s="377"/>
      <c r="L3947" s="129"/>
      <c r="M3947" s="378"/>
      <c r="N3947" s="129"/>
      <c r="O3947" s="129"/>
      <c r="P3947" s="379"/>
      <c r="Q3947" s="129"/>
      <c r="R3947" s="380"/>
      <c r="S3947" s="129"/>
      <c r="T3947" s="129"/>
      <c r="W3947" s="129" t="s">
        <v>310</v>
      </c>
      <c r="X3947" s="337" t="b">
        <f t="shared" si="96"/>
        <v>0</v>
      </c>
    </row>
    <row r="3948" spans="1:24" ht="12" customHeight="1" outlineLevel="1">
      <c r="A3948" s="370"/>
      <c r="B3948" s="118" t="s">
        <v>12</v>
      </c>
      <c r="C3948" s="334" t="s">
        <v>11957</v>
      </c>
      <c r="D3948" s="124" t="s">
        <v>11958</v>
      </c>
      <c r="E3948" s="125"/>
      <c r="F3948" s="118" t="s">
        <v>828</v>
      </c>
      <c r="G3948" s="126" t="s">
        <v>11386</v>
      </c>
      <c r="H3948" s="255">
        <v>6</v>
      </c>
      <c r="I3948" s="361">
        <v>1</v>
      </c>
      <c r="J3948" s="371" t="s">
        <v>286</v>
      </c>
      <c r="K3948" s="377"/>
      <c r="L3948" s="129"/>
      <c r="M3948" s="378"/>
      <c r="N3948" s="129"/>
      <c r="O3948" s="129"/>
      <c r="P3948" s="379"/>
      <c r="Q3948" s="129"/>
      <c r="R3948" s="380"/>
      <c r="S3948" s="129"/>
      <c r="T3948" s="129"/>
      <c r="W3948" s="129" t="s">
        <v>310</v>
      </c>
      <c r="X3948" s="337" t="b">
        <f t="shared" si="96"/>
        <v>0</v>
      </c>
    </row>
    <row r="3949" spans="1:24" ht="12" customHeight="1" outlineLevel="1">
      <c r="A3949" s="370"/>
      <c r="B3949" s="118" t="s">
        <v>12</v>
      </c>
      <c r="C3949" s="334" t="s">
        <v>11959</v>
      </c>
      <c r="D3949" s="124" t="s">
        <v>11960</v>
      </c>
      <c r="E3949" s="125"/>
      <c r="F3949" s="118" t="s">
        <v>828</v>
      </c>
      <c r="G3949" s="126" t="s">
        <v>11386</v>
      </c>
      <c r="H3949" s="255">
        <v>6</v>
      </c>
      <c r="I3949" s="361">
        <v>1</v>
      </c>
      <c r="J3949" s="371" t="s">
        <v>310</v>
      </c>
      <c r="K3949" s="377"/>
      <c r="L3949" s="129"/>
      <c r="M3949" s="378"/>
      <c r="N3949" s="129"/>
      <c r="O3949" s="129"/>
      <c r="P3949" s="379"/>
      <c r="Q3949" s="129"/>
      <c r="R3949" s="380"/>
      <c r="S3949" s="129"/>
      <c r="T3949" s="129"/>
      <c r="W3949" s="129" t="s">
        <v>286</v>
      </c>
      <c r="X3949" s="337" t="b">
        <f t="shared" si="96"/>
        <v>0</v>
      </c>
    </row>
    <row r="3950" spans="1:24" ht="12" customHeight="1" outlineLevel="1">
      <c r="A3950" s="370"/>
      <c r="B3950" s="118" t="s">
        <v>12</v>
      </c>
      <c r="C3950" s="334" t="s">
        <v>11961</v>
      </c>
      <c r="D3950" s="124" t="s">
        <v>11383</v>
      </c>
      <c r="E3950" s="125"/>
      <c r="F3950" s="118" t="s">
        <v>828</v>
      </c>
      <c r="G3950" s="126" t="s">
        <v>11386</v>
      </c>
      <c r="H3950" s="255">
        <v>6</v>
      </c>
      <c r="I3950" s="361">
        <v>1</v>
      </c>
      <c r="J3950" s="371" t="s">
        <v>286</v>
      </c>
      <c r="K3950" s="377"/>
      <c r="L3950" s="129"/>
      <c r="M3950" s="378"/>
      <c r="N3950" s="129"/>
      <c r="O3950" s="129"/>
      <c r="P3950" s="379"/>
      <c r="Q3950" s="129"/>
      <c r="R3950" s="380"/>
      <c r="S3950" s="129"/>
      <c r="T3950" s="129"/>
      <c r="W3950" s="129" t="s">
        <v>286</v>
      </c>
      <c r="X3950" s="337" t="b">
        <f t="shared" si="96"/>
        <v>1</v>
      </c>
    </row>
    <row r="3951" spans="1:24" ht="12" customHeight="1" outlineLevel="1">
      <c r="A3951" s="370"/>
      <c r="B3951" s="118" t="s">
        <v>12</v>
      </c>
      <c r="C3951" s="334" t="s">
        <v>11962</v>
      </c>
      <c r="D3951" s="124" t="s">
        <v>11385</v>
      </c>
      <c r="E3951" s="125"/>
      <c r="F3951" s="118" t="s">
        <v>828</v>
      </c>
      <c r="G3951" s="126" t="s">
        <v>11386</v>
      </c>
      <c r="H3951" s="255">
        <v>6</v>
      </c>
      <c r="I3951" s="361">
        <v>1</v>
      </c>
      <c r="J3951" s="371" t="s">
        <v>286</v>
      </c>
      <c r="K3951" s="377"/>
      <c r="L3951" s="129"/>
      <c r="M3951" s="378"/>
      <c r="N3951" s="129"/>
      <c r="O3951" s="129"/>
      <c r="P3951" s="379"/>
      <c r="Q3951" s="129"/>
      <c r="R3951" s="380"/>
      <c r="S3951" s="129"/>
      <c r="T3951" s="129"/>
      <c r="W3951" s="129" t="s">
        <v>286</v>
      </c>
      <c r="X3951" s="337" t="b">
        <f t="shared" si="96"/>
        <v>1</v>
      </c>
    </row>
    <row r="3952" spans="1:24" ht="12" customHeight="1" outlineLevel="1">
      <c r="A3952" s="370"/>
      <c r="B3952" s="118" t="s">
        <v>12</v>
      </c>
      <c r="C3952" s="334" t="s">
        <v>11963</v>
      </c>
      <c r="D3952" s="124" t="s">
        <v>11964</v>
      </c>
      <c r="E3952" s="125"/>
      <c r="F3952" s="118" t="s">
        <v>828</v>
      </c>
      <c r="G3952" s="126" t="s">
        <v>11386</v>
      </c>
      <c r="H3952" s="255">
        <v>6</v>
      </c>
      <c r="I3952" s="361">
        <v>1</v>
      </c>
      <c r="J3952" s="371" t="s">
        <v>286</v>
      </c>
      <c r="K3952" s="377"/>
      <c r="L3952" s="129"/>
      <c r="M3952" s="378"/>
      <c r="N3952" s="129"/>
      <c r="O3952" s="129"/>
      <c r="P3952" s="379"/>
      <c r="Q3952" s="129"/>
      <c r="R3952" s="380"/>
      <c r="S3952" s="129"/>
      <c r="T3952" s="129"/>
      <c r="W3952" s="129" t="s">
        <v>286</v>
      </c>
      <c r="X3952" s="337" t="b">
        <f t="shared" si="96"/>
        <v>1</v>
      </c>
    </row>
    <row r="3953" spans="1:24" ht="12" customHeight="1" outlineLevel="1">
      <c r="A3953" s="370"/>
      <c r="B3953" s="118" t="s">
        <v>12</v>
      </c>
      <c r="C3953" s="334" t="s">
        <v>11965</v>
      </c>
      <c r="D3953" s="124" t="s">
        <v>11396</v>
      </c>
      <c r="E3953" s="125"/>
      <c r="F3953" s="118" t="s">
        <v>828</v>
      </c>
      <c r="G3953" s="126" t="s">
        <v>11386</v>
      </c>
      <c r="H3953" s="255">
        <v>6</v>
      </c>
      <c r="I3953" s="361">
        <v>1</v>
      </c>
      <c r="J3953" s="371" t="s">
        <v>286</v>
      </c>
      <c r="K3953" s="377"/>
      <c r="L3953" s="129"/>
      <c r="M3953" s="378"/>
      <c r="N3953" s="129"/>
      <c r="O3953" s="129"/>
      <c r="P3953" s="379"/>
      <c r="Q3953" s="129"/>
      <c r="R3953" s="380"/>
      <c r="S3953" s="129"/>
      <c r="T3953" s="129"/>
      <c r="W3953" s="129" t="s">
        <v>286</v>
      </c>
      <c r="X3953" s="337" t="b">
        <f t="shared" si="96"/>
        <v>1</v>
      </c>
    </row>
    <row r="3954" spans="1:24" ht="12" customHeight="1" outlineLevel="1">
      <c r="A3954" s="370"/>
      <c r="B3954" s="118" t="s">
        <v>12</v>
      </c>
      <c r="C3954" s="334" t="s">
        <v>11966</v>
      </c>
      <c r="D3954" s="124" t="s">
        <v>11398</v>
      </c>
      <c r="E3954" s="125"/>
      <c r="F3954" s="118" t="s">
        <v>828</v>
      </c>
      <c r="G3954" s="126" t="s">
        <v>11386</v>
      </c>
      <c r="H3954" s="255">
        <v>6</v>
      </c>
      <c r="I3954" s="361">
        <v>1</v>
      </c>
      <c r="J3954" s="371" t="s">
        <v>286</v>
      </c>
      <c r="K3954" s="377"/>
      <c r="L3954" s="129"/>
      <c r="M3954" s="378"/>
      <c r="N3954" s="129"/>
      <c r="O3954" s="129"/>
      <c r="P3954" s="379"/>
      <c r="Q3954" s="129"/>
      <c r="R3954" s="380"/>
      <c r="S3954" s="129"/>
      <c r="T3954" s="129"/>
      <c r="W3954" s="129" t="s">
        <v>286</v>
      </c>
      <c r="X3954" s="337" t="b">
        <f t="shared" si="96"/>
        <v>1</v>
      </c>
    </row>
    <row r="3955" spans="1:24" ht="12" customHeight="1" outlineLevel="1">
      <c r="A3955" s="370"/>
      <c r="B3955" s="118" t="s">
        <v>12</v>
      </c>
      <c r="C3955" s="334" t="s">
        <v>11967</v>
      </c>
      <c r="D3955" s="124" t="s">
        <v>11400</v>
      </c>
      <c r="E3955" s="125"/>
      <c r="F3955" s="118" t="s">
        <v>828</v>
      </c>
      <c r="G3955" s="126" t="s">
        <v>11386</v>
      </c>
      <c r="H3955" s="255">
        <v>6</v>
      </c>
      <c r="I3955" s="361">
        <v>1</v>
      </c>
      <c r="J3955" s="371" t="s">
        <v>286</v>
      </c>
      <c r="K3955" s="377"/>
      <c r="L3955" s="129"/>
      <c r="M3955" s="378"/>
      <c r="N3955" s="129"/>
      <c r="O3955" s="129"/>
      <c r="P3955" s="379"/>
      <c r="Q3955" s="129"/>
      <c r="R3955" s="380"/>
      <c r="S3955" s="129"/>
      <c r="T3955" s="129"/>
      <c r="W3955" s="129" t="s">
        <v>286</v>
      </c>
      <c r="X3955" s="337" t="b">
        <f t="shared" si="96"/>
        <v>1</v>
      </c>
    </row>
    <row r="3956" spans="1:24" ht="12" customHeight="1" outlineLevel="1">
      <c r="A3956" s="370"/>
      <c r="B3956" s="118" t="s">
        <v>12</v>
      </c>
      <c r="C3956" s="334" t="s">
        <v>11968</v>
      </c>
      <c r="D3956" s="124" t="s">
        <v>11402</v>
      </c>
      <c r="E3956" s="125"/>
      <c r="F3956" s="118" t="s">
        <v>828</v>
      </c>
      <c r="G3956" s="126" t="s">
        <v>11386</v>
      </c>
      <c r="H3956" s="255">
        <v>6</v>
      </c>
      <c r="I3956" s="361">
        <v>1</v>
      </c>
      <c r="J3956" s="371" t="s">
        <v>286</v>
      </c>
      <c r="K3956" s="377"/>
      <c r="L3956" s="129"/>
      <c r="M3956" s="378"/>
      <c r="N3956" s="129"/>
      <c r="O3956" s="129"/>
      <c r="P3956" s="379"/>
      <c r="Q3956" s="129"/>
      <c r="R3956" s="380"/>
      <c r="S3956" s="129"/>
      <c r="T3956" s="129"/>
      <c r="W3956" s="129" t="s">
        <v>286</v>
      </c>
      <c r="X3956" s="337" t="b">
        <f t="shared" si="96"/>
        <v>1</v>
      </c>
    </row>
    <row r="3957" spans="1:24" ht="12" customHeight="1" outlineLevel="1">
      <c r="A3957" s="370"/>
      <c r="B3957" s="118" t="s">
        <v>12</v>
      </c>
      <c r="C3957" s="334" t="s">
        <v>11969</v>
      </c>
      <c r="D3957" s="124" t="s">
        <v>11404</v>
      </c>
      <c r="E3957" s="125"/>
      <c r="F3957" s="118" t="s">
        <v>828</v>
      </c>
      <c r="G3957" s="126" t="s">
        <v>11386</v>
      </c>
      <c r="H3957" s="255">
        <v>6</v>
      </c>
      <c r="I3957" s="361">
        <v>1</v>
      </c>
      <c r="J3957" s="371" t="s">
        <v>286</v>
      </c>
      <c r="K3957" s="377"/>
      <c r="L3957" s="129"/>
      <c r="M3957" s="378"/>
      <c r="N3957" s="129"/>
      <c r="O3957" s="129"/>
      <c r="P3957" s="379"/>
      <c r="Q3957" s="129"/>
      <c r="R3957" s="380"/>
      <c r="S3957" s="129"/>
      <c r="T3957" s="129"/>
      <c r="W3957" s="129" t="s">
        <v>286</v>
      </c>
      <c r="X3957" s="337" t="b">
        <f t="shared" si="96"/>
        <v>1</v>
      </c>
    </row>
    <row r="3958" spans="1:24" ht="12" customHeight="1" outlineLevel="1">
      <c r="A3958" s="370"/>
      <c r="B3958" s="118" t="s">
        <v>12</v>
      </c>
      <c r="C3958" s="334" t="s">
        <v>11970</v>
      </c>
      <c r="D3958" s="124" t="s">
        <v>11406</v>
      </c>
      <c r="E3958" s="125"/>
      <c r="F3958" s="118" t="s">
        <v>828</v>
      </c>
      <c r="G3958" s="126" t="s">
        <v>11386</v>
      </c>
      <c r="H3958" s="255">
        <v>6</v>
      </c>
      <c r="I3958" s="361">
        <v>1</v>
      </c>
      <c r="J3958" s="371" t="s">
        <v>286</v>
      </c>
      <c r="K3958" s="377"/>
      <c r="L3958" s="129"/>
      <c r="M3958" s="378"/>
      <c r="N3958" s="129"/>
      <c r="O3958" s="129"/>
      <c r="P3958" s="379"/>
      <c r="Q3958" s="129"/>
      <c r="R3958" s="380"/>
      <c r="S3958" s="129"/>
      <c r="T3958" s="129"/>
      <c r="W3958" s="129" t="s">
        <v>286</v>
      </c>
      <c r="X3958" s="337" t="b">
        <f t="shared" si="96"/>
        <v>1</v>
      </c>
    </row>
    <row r="3959" spans="1:24" ht="12" customHeight="1" outlineLevel="1">
      <c r="A3959" s="370"/>
      <c r="B3959" s="118" t="s">
        <v>12</v>
      </c>
      <c r="C3959" s="334" t="s">
        <v>11971</v>
      </c>
      <c r="D3959" s="124" t="s">
        <v>11408</v>
      </c>
      <c r="E3959" s="125"/>
      <c r="F3959" s="118" t="s">
        <v>828</v>
      </c>
      <c r="G3959" s="126" t="s">
        <v>11386</v>
      </c>
      <c r="H3959" s="255">
        <v>6</v>
      </c>
      <c r="I3959" s="361">
        <v>1</v>
      </c>
      <c r="J3959" s="371" t="s">
        <v>286</v>
      </c>
      <c r="K3959" s="377"/>
      <c r="L3959" s="129"/>
      <c r="M3959" s="378"/>
      <c r="N3959" s="129"/>
      <c r="O3959" s="129"/>
      <c r="P3959" s="379"/>
      <c r="Q3959" s="129"/>
      <c r="R3959" s="380"/>
      <c r="S3959" s="129"/>
      <c r="T3959" s="129"/>
      <c r="W3959" s="129" t="s">
        <v>286</v>
      </c>
      <c r="X3959" s="337" t="b">
        <f t="shared" si="96"/>
        <v>1</v>
      </c>
    </row>
    <row r="3960" spans="1:24" ht="12" customHeight="1" outlineLevel="1">
      <c r="A3960" s="370"/>
      <c r="B3960" s="118" t="s">
        <v>12</v>
      </c>
      <c r="C3960" s="334" t="s">
        <v>11972</v>
      </c>
      <c r="D3960" s="124" t="s">
        <v>11410</v>
      </c>
      <c r="E3960" s="125"/>
      <c r="F3960" s="118" t="s">
        <v>828</v>
      </c>
      <c r="G3960" s="126" t="s">
        <v>11386</v>
      </c>
      <c r="H3960" s="255">
        <v>6</v>
      </c>
      <c r="I3960" s="361">
        <v>1</v>
      </c>
      <c r="J3960" s="371" t="s">
        <v>286</v>
      </c>
      <c r="K3960" s="377"/>
      <c r="L3960" s="129"/>
      <c r="M3960" s="378"/>
      <c r="N3960" s="129"/>
      <c r="O3960" s="129"/>
      <c r="P3960" s="379"/>
      <c r="Q3960" s="129"/>
      <c r="R3960" s="380"/>
      <c r="S3960" s="129"/>
      <c r="T3960" s="129"/>
      <c r="W3960" s="129" t="s">
        <v>286</v>
      </c>
      <c r="X3960" s="337" t="b">
        <f t="shared" si="96"/>
        <v>1</v>
      </c>
    </row>
    <row r="3961" spans="1:24" ht="12" customHeight="1" outlineLevel="1">
      <c r="A3961" s="370"/>
      <c r="B3961" s="118" t="s">
        <v>12</v>
      </c>
      <c r="C3961" s="334" t="s">
        <v>11973</v>
      </c>
      <c r="D3961" s="124" t="s">
        <v>11412</v>
      </c>
      <c r="E3961" s="125"/>
      <c r="F3961" s="118" t="s">
        <v>828</v>
      </c>
      <c r="G3961" s="126" t="s">
        <v>11386</v>
      </c>
      <c r="H3961" s="255">
        <v>6</v>
      </c>
      <c r="I3961" s="361">
        <v>1</v>
      </c>
      <c r="J3961" s="371" t="s">
        <v>286</v>
      </c>
      <c r="K3961" s="377"/>
      <c r="L3961" s="129"/>
      <c r="M3961" s="378"/>
      <c r="N3961" s="129"/>
      <c r="O3961" s="129"/>
      <c r="P3961" s="379"/>
      <c r="Q3961" s="129"/>
      <c r="R3961" s="380"/>
      <c r="S3961" s="129"/>
      <c r="T3961" s="129"/>
      <c r="W3961" s="129" t="s">
        <v>286</v>
      </c>
      <c r="X3961" s="337" t="b">
        <f t="shared" si="96"/>
        <v>1</v>
      </c>
    </row>
    <row r="3962" spans="1:24" ht="12" customHeight="1" outlineLevel="1">
      <c r="A3962" s="370"/>
      <c r="B3962" s="118" t="s">
        <v>12</v>
      </c>
      <c r="C3962" s="334" t="s">
        <v>11974</v>
      </c>
      <c r="D3962" s="124" t="s">
        <v>11414</v>
      </c>
      <c r="E3962" s="125"/>
      <c r="F3962" s="118" t="s">
        <v>828</v>
      </c>
      <c r="G3962" s="126" t="s">
        <v>11386</v>
      </c>
      <c r="H3962" s="255">
        <v>6</v>
      </c>
      <c r="I3962" s="361">
        <v>1</v>
      </c>
      <c r="J3962" s="371" t="s">
        <v>286</v>
      </c>
      <c r="K3962" s="377"/>
      <c r="L3962" s="129"/>
      <c r="M3962" s="378"/>
      <c r="N3962" s="129"/>
      <c r="O3962" s="129"/>
      <c r="P3962" s="379"/>
      <c r="Q3962" s="129"/>
      <c r="R3962" s="380"/>
      <c r="S3962" s="129"/>
      <c r="T3962" s="129"/>
      <c r="W3962" s="129" t="s">
        <v>286</v>
      </c>
      <c r="X3962" s="337" t="b">
        <f t="shared" si="96"/>
        <v>1</v>
      </c>
    </row>
    <row r="3963" spans="1:24" ht="12" customHeight="1" outlineLevel="1">
      <c r="A3963" s="370"/>
      <c r="B3963" s="118" t="s">
        <v>12</v>
      </c>
      <c r="C3963" s="334" t="s">
        <v>11975</v>
      </c>
      <c r="D3963" s="124" t="s">
        <v>11416</v>
      </c>
      <c r="E3963" s="125"/>
      <c r="F3963" s="118" t="s">
        <v>828</v>
      </c>
      <c r="G3963" s="126" t="s">
        <v>11386</v>
      </c>
      <c r="H3963" s="255">
        <v>6</v>
      </c>
      <c r="I3963" s="361">
        <v>1</v>
      </c>
      <c r="J3963" s="371" t="s">
        <v>286</v>
      </c>
      <c r="K3963" s="377"/>
      <c r="L3963" s="129"/>
      <c r="M3963" s="378"/>
      <c r="N3963" s="129"/>
      <c r="O3963" s="129"/>
      <c r="P3963" s="379"/>
      <c r="Q3963" s="129"/>
      <c r="R3963" s="380"/>
      <c r="S3963" s="129"/>
      <c r="T3963" s="129"/>
      <c r="W3963" s="129" t="s">
        <v>286</v>
      </c>
      <c r="X3963" s="337" t="b">
        <f t="shared" si="96"/>
        <v>1</v>
      </c>
    </row>
    <row r="3964" spans="1:24" ht="12" customHeight="1" outlineLevel="1">
      <c r="A3964" s="370"/>
      <c r="B3964" s="118" t="s">
        <v>12</v>
      </c>
      <c r="C3964" s="334" t="s">
        <v>11976</v>
      </c>
      <c r="D3964" s="124" t="s">
        <v>11418</v>
      </c>
      <c r="E3964" s="125"/>
      <c r="F3964" s="118" t="s">
        <v>828</v>
      </c>
      <c r="G3964" s="126" t="s">
        <v>11386</v>
      </c>
      <c r="H3964" s="255">
        <v>6</v>
      </c>
      <c r="I3964" s="361">
        <v>1</v>
      </c>
      <c r="J3964" s="371" t="s">
        <v>286</v>
      </c>
      <c r="K3964" s="377"/>
      <c r="L3964" s="129"/>
      <c r="M3964" s="378"/>
      <c r="N3964" s="129"/>
      <c r="O3964" s="129"/>
      <c r="P3964" s="379"/>
      <c r="Q3964" s="129"/>
      <c r="R3964" s="380"/>
      <c r="S3964" s="129"/>
      <c r="T3964" s="129"/>
      <c r="W3964" s="129" t="s">
        <v>286</v>
      </c>
      <c r="X3964" s="337" t="b">
        <f t="shared" si="96"/>
        <v>1</v>
      </c>
    </row>
    <row r="3965" spans="1:24" ht="12" customHeight="1" outlineLevel="1">
      <c r="A3965" s="370"/>
      <c r="B3965" s="118" t="s">
        <v>12</v>
      </c>
      <c r="C3965" s="334" t="s">
        <v>11977</v>
      </c>
      <c r="D3965" s="124" t="s">
        <v>11420</v>
      </c>
      <c r="E3965" s="125"/>
      <c r="F3965" s="118" t="s">
        <v>828</v>
      </c>
      <c r="G3965" s="126" t="s">
        <v>11386</v>
      </c>
      <c r="H3965" s="255">
        <v>6</v>
      </c>
      <c r="I3965" s="361">
        <v>1</v>
      </c>
      <c r="J3965" s="371" t="s">
        <v>310</v>
      </c>
      <c r="K3965" s="377"/>
      <c r="L3965" s="129"/>
      <c r="M3965" s="378"/>
      <c r="N3965" s="129"/>
      <c r="O3965" s="129"/>
      <c r="P3965" s="379"/>
      <c r="Q3965" s="129"/>
      <c r="R3965" s="380"/>
      <c r="S3965" s="129"/>
      <c r="T3965" s="129"/>
      <c r="W3965" s="129" t="s">
        <v>310</v>
      </c>
      <c r="X3965" s="337" t="b">
        <f t="shared" si="96"/>
        <v>1</v>
      </c>
    </row>
    <row r="3966" spans="1:24" ht="12" customHeight="1" outlineLevel="1">
      <c r="A3966" s="370"/>
      <c r="B3966" s="118" t="s">
        <v>12</v>
      </c>
      <c r="C3966" s="334" t="s">
        <v>11978</v>
      </c>
      <c r="D3966" s="124" t="s">
        <v>11422</v>
      </c>
      <c r="E3966" s="125"/>
      <c r="F3966" s="118" t="s">
        <v>828</v>
      </c>
      <c r="G3966" s="126" t="s">
        <v>11386</v>
      </c>
      <c r="H3966" s="255">
        <v>6</v>
      </c>
      <c r="I3966" s="361">
        <v>1</v>
      </c>
      <c r="J3966" s="371" t="s">
        <v>310</v>
      </c>
      <c r="K3966" s="377"/>
      <c r="L3966" s="129"/>
      <c r="M3966" s="378"/>
      <c r="N3966" s="129"/>
      <c r="O3966" s="129"/>
      <c r="P3966" s="379"/>
      <c r="Q3966" s="129"/>
      <c r="R3966" s="380"/>
      <c r="S3966" s="129"/>
      <c r="T3966" s="129"/>
      <c r="W3966" s="129" t="s">
        <v>310</v>
      </c>
      <c r="X3966" s="337" t="b">
        <f t="shared" si="96"/>
        <v>1</v>
      </c>
    </row>
    <row r="3967" spans="1:24" ht="12" customHeight="1" outlineLevel="1">
      <c r="A3967" s="370"/>
      <c r="B3967" s="118" t="s">
        <v>12</v>
      </c>
      <c r="C3967" s="334" t="s">
        <v>11979</v>
      </c>
      <c r="D3967" s="124" t="s">
        <v>11424</v>
      </c>
      <c r="E3967" s="125"/>
      <c r="F3967" s="118" t="s">
        <v>828</v>
      </c>
      <c r="G3967" s="126" t="s">
        <v>11386</v>
      </c>
      <c r="H3967" s="255">
        <v>6</v>
      </c>
      <c r="I3967" s="361">
        <v>1</v>
      </c>
      <c r="J3967" s="371" t="s">
        <v>286</v>
      </c>
      <c r="K3967" s="377"/>
      <c r="L3967" s="129"/>
      <c r="M3967" s="378"/>
      <c r="N3967" s="129"/>
      <c r="O3967" s="129"/>
      <c r="P3967" s="379"/>
      <c r="Q3967" s="129"/>
      <c r="R3967" s="380"/>
      <c r="S3967" s="129"/>
      <c r="T3967" s="129"/>
      <c r="W3967" s="129" t="s">
        <v>286</v>
      </c>
      <c r="X3967" s="337" t="b">
        <f t="shared" si="96"/>
        <v>1</v>
      </c>
    </row>
    <row r="3968" spans="1:24" ht="12" customHeight="1" outlineLevel="1">
      <c r="A3968" s="370"/>
      <c r="B3968" s="118" t="s">
        <v>12</v>
      </c>
      <c r="C3968" s="334" t="s">
        <v>11980</v>
      </c>
      <c r="D3968" s="124" t="s">
        <v>11981</v>
      </c>
      <c r="E3968" s="125"/>
      <c r="F3968" s="118" t="s">
        <v>828</v>
      </c>
      <c r="G3968" s="126" t="s">
        <v>11386</v>
      </c>
      <c r="H3968" s="255">
        <v>6</v>
      </c>
      <c r="I3968" s="361">
        <v>1</v>
      </c>
      <c r="J3968" s="371" t="s">
        <v>286</v>
      </c>
      <c r="K3968" s="377"/>
      <c r="L3968" s="129"/>
      <c r="M3968" s="378"/>
      <c r="N3968" s="129"/>
      <c r="O3968" s="129"/>
      <c r="P3968" s="379"/>
      <c r="Q3968" s="129"/>
      <c r="R3968" s="380"/>
      <c r="S3968" s="129"/>
      <c r="T3968" s="129"/>
      <c r="W3968" s="129" t="s">
        <v>286</v>
      </c>
      <c r="X3968" s="337" t="b">
        <f t="shared" si="96"/>
        <v>1</v>
      </c>
    </row>
    <row r="3969" spans="1:24" ht="12" customHeight="1" outlineLevel="1">
      <c r="A3969" s="370"/>
      <c r="B3969" s="118" t="s">
        <v>12</v>
      </c>
      <c r="C3969" s="334" t="s">
        <v>11982</v>
      </c>
      <c r="D3969" s="124" t="s">
        <v>11428</v>
      </c>
      <c r="E3969" s="125"/>
      <c r="F3969" s="118" t="s">
        <v>828</v>
      </c>
      <c r="G3969" s="126" t="s">
        <v>11386</v>
      </c>
      <c r="H3969" s="255">
        <v>6</v>
      </c>
      <c r="I3969" s="361">
        <v>1</v>
      </c>
      <c r="J3969" s="371" t="s">
        <v>286</v>
      </c>
      <c r="K3969" s="377"/>
      <c r="L3969" s="129"/>
      <c r="M3969" s="378"/>
      <c r="N3969" s="129"/>
      <c r="O3969" s="129"/>
      <c r="P3969" s="379"/>
      <c r="Q3969" s="129"/>
      <c r="R3969" s="380"/>
      <c r="S3969" s="129"/>
      <c r="T3969" s="129"/>
      <c r="W3969" s="129" t="s">
        <v>286</v>
      </c>
      <c r="X3969" s="337" t="b">
        <f t="shared" si="96"/>
        <v>1</v>
      </c>
    </row>
    <row r="3970" spans="1:24" ht="12" customHeight="1" outlineLevel="1">
      <c r="A3970" s="370"/>
      <c r="B3970" s="118" t="s">
        <v>12</v>
      </c>
      <c r="C3970" s="334" t="s">
        <v>11983</v>
      </c>
      <c r="D3970" s="124" t="s">
        <v>11430</v>
      </c>
      <c r="E3970" s="125"/>
      <c r="F3970" s="118" t="s">
        <v>828</v>
      </c>
      <c r="G3970" s="126" t="s">
        <v>11386</v>
      </c>
      <c r="H3970" s="255">
        <v>6</v>
      </c>
      <c r="I3970" s="361">
        <v>1</v>
      </c>
      <c r="J3970" s="371" t="s">
        <v>286</v>
      </c>
      <c r="K3970" s="377"/>
      <c r="L3970" s="129"/>
      <c r="M3970" s="378"/>
      <c r="N3970" s="129"/>
      <c r="O3970" s="129"/>
      <c r="P3970" s="379"/>
      <c r="Q3970" s="129"/>
      <c r="R3970" s="380"/>
      <c r="S3970" s="129"/>
      <c r="T3970" s="129"/>
      <c r="W3970" s="129" t="s">
        <v>4876</v>
      </c>
      <c r="X3970" s="337" t="b">
        <f t="shared" si="96"/>
        <v>0</v>
      </c>
    </row>
    <row r="3971" spans="1:24" ht="12" customHeight="1" outlineLevel="1">
      <c r="A3971" s="370"/>
      <c r="B3971" s="118" t="s">
        <v>12</v>
      </c>
      <c r="C3971" s="334" t="s">
        <v>11984</v>
      </c>
      <c r="D3971" s="124" t="s">
        <v>11432</v>
      </c>
      <c r="E3971" s="125"/>
      <c r="F3971" s="118" t="s">
        <v>828</v>
      </c>
      <c r="G3971" s="126" t="s">
        <v>11386</v>
      </c>
      <c r="H3971" s="255">
        <v>6</v>
      </c>
      <c r="I3971" s="361">
        <v>1</v>
      </c>
      <c r="J3971" s="371" t="s">
        <v>286</v>
      </c>
      <c r="K3971" s="377"/>
      <c r="L3971" s="129"/>
      <c r="M3971" s="378"/>
      <c r="N3971" s="129"/>
      <c r="O3971" s="129"/>
      <c r="P3971" s="379"/>
      <c r="Q3971" s="129"/>
      <c r="R3971" s="380"/>
      <c r="S3971" s="129"/>
      <c r="T3971" s="129"/>
      <c r="W3971" s="129" t="s">
        <v>286</v>
      </c>
      <c r="X3971" s="337" t="b">
        <f t="shared" si="96"/>
        <v>1</v>
      </c>
    </row>
    <row r="3972" spans="1:24" ht="12" customHeight="1" outlineLevel="1">
      <c r="A3972" s="370"/>
      <c r="B3972" s="118" t="s">
        <v>12</v>
      </c>
      <c r="C3972" s="334" t="s">
        <v>11985</v>
      </c>
      <c r="D3972" s="124" t="s">
        <v>11434</v>
      </c>
      <c r="E3972" s="125"/>
      <c r="F3972" s="118" t="s">
        <v>828</v>
      </c>
      <c r="G3972" s="126" t="s">
        <v>11386</v>
      </c>
      <c r="H3972" s="255">
        <v>6</v>
      </c>
      <c r="I3972" s="361">
        <v>1</v>
      </c>
      <c r="J3972" s="371" t="s">
        <v>310</v>
      </c>
      <c r="K3972" s="377"/>
      <c r="L3972" s="129"/>
      <c r="M3972" s="378"/>
      <c r="N3972" s="129"/>
      <c r="O3972" s="129"/>
      <c r="P3972" s="379"/>
      <c r="Q3972" s="129"/>
      <c r="R3972" s="380"/>
      <c r="S3972" s="129"/>
      <c r="T3972" s="129"/>
      <c r="W3972" s="129" t="s">
        <v>310</v>
      </c>
      <c r="X3972" s="337" t="b">
        <f t="shared" si="96"/>
        <v>1</v>
      </c>
    </row>
    <row r="3973" spans="1:24" ht="12" customHeight="1" outlineLevel="1">
      <c r="A3973" s="370"/>
      <c r="B3973" s="118" t="s">
        <v>12</v>
      </c>
      <c r="C3973" s="334" t="s">
        <v>11986</v>
      </c>
      <c r="D3973" s="124" t="s">
        <v>11436</v>
      </c>
      <c r="E3973" s="125"/>
      <c r="F3973" s="118" t="s">
        <v>828</v>
      </c>
      <c r="G3973" s="126" t="s">
        <v>11386</v>
      </c>
      <c r="H3973" s="255">
        <v>6</v>
      </c>
      <c r="I3973" s="361">
        <v>1</v>
      </c>
      <c r="J3973" s="371" t="s">
        <v>310</v>
      </c>
      <c r="K3973" s="377"/>
      <c r="L3973" s="129"/>
      <c r="M3973" s="378"/>
      <c r="N3973" s="129"/>
      <c r="O3973" s="129"/>
      <c r="P3973" s="379"/>
      <c r="Q3973" s="129"/>
      <c r="R3973" s="380"/>
      <c r="S3973" s="129"/>
      <c r="T3973" s="129"/>
      <c r="W3973" s="129" t="s">
        <v>310</v>
      </c>
      <c r="X3973" s="337" t="b">
        <f t="shared" si="96"/>
        <v>1</v>
      </c>
    </row>
    <row r="3974" spans="1:24" ht="12" customHeight="1" outlineLevel="1">
      <c r="A3974" s="370"/>
      <c r="B3974" s="118" t="s">
        <v>12</v>
      </c>
      <c r="C3974" s="334" t="s">
        <v>11987</v>
      </c>
      <c r="D3974" s="124" t="s">
        <v>11438</v>
      </c>
      <c r="E3974" s="125"/>
      <c r="F3974" s="118" t="s">
        <v>828</v>
      </c>
      <c r="G3974" s="126" t="s">
        <v>11386</v>
      </c>
      <c r="H3974" s="255">
        <v>6</v>
      </c>
      <c r="I3974" s="361">
        <v>1</v>
      </c>
      <c r="J3974" s="371" t="s">
        <v>310</v>
      </c>
      <c r="K3974" s="377"/>
      <c r="L3974" s="129"/>
      <c r="M3974" s="378"/>
      <c r="N3974" s="129"/>
      <c r="O3974" s="129"/>
      <c r="P3974" s="379"/>
      <c r="Q3974" s="129"/>
      <c r="R3974" s="380"/>
      <c r="S3974" s="129"/>
      <c r="T3974" s="129"/>
      <c r="W3974" s="129" t="s">
        <v>310</v>
      </c>
      <c r="X3974" s="337" t="b">
        <f t="shared" si="96"/>
        <v>1</v>
      </c>
    </row>
    <row r="3975" spans="1:24" ht="12" customHeight="1" outlineLevel="1">
      <c r="A3975" s="370"/>
      <c r="B3975" s="118" t="s">
        <v>12</v>
      </c>
      <c r="C3975" s="334" t="s">
        <v>11988</v>
      </c>
      <c r="D3975" s="124" t="s">
        <v>11442</v>
      </c>
      <c r="E3975" s="125"/>
      <c r="F3975" s="118" t="s">
        <v>828</v>
      </c>
      <c r="G3975" s="126" t="s">
        <v>11386</v>
      </c>
      <c r="H3975" s="255">
        <v>6</v>
      </c>
      <c r="I3975" s="361">
        <v>1</v>
      </c>
      <c r="J3975" s="371" t="s">
        <v>286</v>
      </c>
      <c r="K3975" s="377"/>
      <c r="L3975" s="129"/>
      <c r="M3975" s="378"/>
      <c r="N3975" s="129"/>
      <c r="O3975" s="129"/>
      <c r="P3975" s="379"/>
      <c r="Q3975" s="129"/>
      <c r="R3975" s="380"/>
      <c r="S3975" s="129"/>
      <c r="T3975" s="129"/>
      <c r="W3975" s="129" t="s">
        <v>286</v>
      </c>
      <c r="X3975" s="337" t="b">
        <f t="shared" si="96"/>
        <v>1</v>
      </c>
    </row>
    <row r="3976" spans="1:24" ht="12" customHeight="1" outlineLevel="1">
      <c r="A3976" s="370"/>
      <c r="B3976" s="118" t="s">
        <v>12</v>
      </c>
      <c r="C3976" s="334" t="s">
        <v>11989</v>
      </c>
      <c r="D3976" s="124" t="s">
        <v>11444</v>
      </c>
      <c r="E3976" s="125"/>
      <c r="F3976" s="118" t="s">
        <v>828</v>
      </c>
      <c r="G3976" s="126" t="s">
        <v>11386</v>
      </c>
      <c r="H3976" s="255">
        <v>6</v>
      </c>
      <c r="I3976" s="361">
        <v>1</v>
      </c>
      <c r="J3976" s="371" t="s">
        <v>286</v>
      </c>
      <c r="K3976" s="377"/>
      <c r="L3976" s="129"/>
      <c r="M3976" s="378"/>
      <c r="N3976" s="129"/>
      <c r="O3976" s="129"/>
      <c r="P3976" s="379"/>
      <c r="Q3976" s="129"/>
      <c r="R3976" s="380"/>
      <c r="S3976" s="129"/>
      <c r="T3976" s="129"/>
      <c r="W3976" s="129" t="s">
        <v>286</v>
      </c>
      <c r="X3976" s="337" t="b">
        <f t="shared" si="96"/>
        <v>1</v>
      </c>
    </row>
    <row r="3977" spans="1:24" ht="12" customHeight="1" outlineLevel="1">
      <c r="A3977" s="370"/>
      <c r="B3977" s="118" t="s">
        <v>12</v>
      </c>
      <c r="C3977" s="334" t="s">
        <v>11990</v>
      </c>
      <c r="D3977" s="124" t="s">
        <v>11446</v>
      </c>
      <c r="E3977" s="125"/>
      <c r="F3977" s="118" t="s">
        <v>828</v>
      </c>
      <c r="G3977" s="126" t="s">
        <v>11386</v>
      </c>
      <c r="H3977" s="255">
        <v>6</v>
      </c>
      <c r="I3977" s="361">
        <v>1</v>
      </c>
      <c r="J3977" s="371" t="s">
        <v>286</v>
      </c>
      <c r="K3977" s="377"/>
      <c r="L3977" s="129"/>
      <c r="M3977" s="378"/>
      <c r="N3977" s="129"/>
      <c r="O3977" s="129"/>
      <c r="P3977" s="379"/>
      <c r="Q3977" s="129"/>
      <c r="R3977" s="380"/>
      <c r="S3977" s="129"/>
      <c r="T3977" s="129"/>
      <c r="W3977" s="129" t="s">
        <v>286</v>
      </c>
      <c r="X3977" s="337" t="b">
        <f t="shared" si="96"/>
        <v>1</v>
      </c>
    </row>
    <row r="3978" spans="1:24" ht="12" customHeight="1" outlineLevel="1">
      <c r="A3978" s="370"/>
      <c r="B3978" s="118" t="s">
        <v>12</v>
      </c>
      <c r="C3978" s="334" t="s">
        <v>11991</v>
      </c>
      <c r="D3978" s="124" t="s">
        <v>11448</v>
      </c>
      <c r="E3978" s="125"/>
      <c r="F3978" s="118" t="s">
        <v>828</v>
      </c>
      <c r="G3978" s="126" t="s">
        <v>11386</v>
      </c>
      <c r="H3978" s="255">
        <v>6</v>
      </c>
      <c r="I3978" s="361">
        <v>1</v>
      </c>
      <c r="J3978" s="371" t="s">
        <v>286</v>
      </c>
      <c r="K3978" s="377"/>
      <c r="L3978" s="129"/>
      <c r="M3978" s="378"/>
      <c r="N3978" s="129"/>
      <c r="O3978" s="129"/>
      <c r="P3978" s="379"/>
      <c r="Q3978" s="129"/>
      <c r="R3978" s="380"/>
      <c r="S3978" s="129"/>
      <c r="T3978" s="129"/>
      <c r="W3978" s="129" t="s">
        <v>286</v>
      </c>
      <c r="X3978" s="337" t="b">
        <f t="shared" si="96"/>
        <v>1</v>
      </c>
    </row>
    <row r="3979" spans="1:24" ht="12" customHeight="1" outlineLevel="1">
      <c r="A3979" s="370"/>
      <c r="B3979" s="118" t="s">
        <v>12</v>
      </c>
      <c r="C3979" s="334" t="s">
        <v>11992</v>
      </c>
      <c r="D3979" s="124" t="s">
        <v>11450</v>
      </c>
      <c r="E3979" s="125"/>
      <c r="F3979" s="118" t="s">
        <v>828</v>
      </c>
      <c r="G3979" s="126" t="s">
        <v>11386</v>
      </c>
      <c r="H3979" s="255">
        <v>6</v>
      </c>
      <c r="I3979" s="361">
        <v>1</v>
      </c>
      <c r="J3979" s="371" t="s">
        <v>286</v>
      </c>
      <c r="K3979" s="377"/>
      <c r="L3979" s="129"/>
      <c r="M3979" s="378"/>
      <c r="N3979" s="129"/>
      <c r="O3979" s="129"/>
      <c r="P3979" s="379"/>
      <c r="Q3979" s="129"/>
      <c r="R3979" s="380"/>
      <c r="S3979" s="129"/>
      <c r="T3979" s="129"/>
      <c r="W3979" s="129" t="s">
        <v>286</v>
      </c>
      <c r="X3979" s="337" t="b">
        <f t="shared" si="96"/>
        <v>1</v>
      </c>
    </row>
    <row r="3980" spans="1:24" ht="12" customHeight="1" outlineLevel="1">
      <c r="A3980" s="370"/>
      <c r="B3980" s="118" t="s">
        <v>12</v>
      </c>
      <c r="C3980" s="334" t="s">
        <v>11993</v>
      </c>
      <c r="D3980" s="124" t="s">
        <v>11452</v>
      </c>
      <c r="E3980" s="125"/>
      <c r="F3980" s="118" t="s">
        <v>828</v>
      </c>
      <c r="G3980" s="126" t="s">
        <v>11386</v>
      </c>
      <c r="H3980" s="255">
        <v>6</v>
      </c>
      <c r="I3980" s="361">
        <v>1</v>
      </c>
      <c r="J3980" s="371" t="s">
        <v>286</v>
      </c>
      <c r="K3980" s="377"/>
      <c r="L3980" s="129"/>
      <c r="M3980" s="378"/>
      <c r="N3980" s="129"/>
      <c r="O3980" s="129"/>
      <c r="P3980" s="379"/>
      <c r="Q3980" s="129"/>
      <c r="R3980" s="380"/>
      <c r="S3980" s="129"/>
      <c r="T3980" s="129"/>
      <c r="W3980" s="129" t="s">
        <v>286</v>
      </c>
      <c r="X3980" s="337" t="b">
        <f t="shared" si="96"/>
        <v>1</v>
      </c>
    </row>
    <row r="3981" spans="1:24" ht="12" customHeight="1" outlineLevel="1">
      <c r="A3981" s="370"/>
      <c r="B3981" s="118" t="s">
        <v>12</v>
      </c>
      <c r="C3981" s="334" t="s">
        <v>11994</v>
      </c>
      <c r="D3981" s="124" t="s">
        <v>11454</v>
      </c>
      <c r="E3981" s="125"/>
      <c r="F3981" s="118" t="s">
        <v>828</v>
      </c>
      <c r="G3981" s="126" t="s">
        <v>11386</v>
      </c>
      <c r="H3981" s="255">
        <v>6</v>
      </c>
      <c r="I3981" s="361">
        <v>1</v>
      </c>
      <c r="J3981" s="371" t="s">
        <v>286</v>
      </c>
      <c r="K3981" s="377"/>
      <c r="L3981" s="129"/>
      <c r="M3981" s="378"/>
      <c r="N3981" s="129"/>
      <c r="O3981" s="129"/>
      <c r="P3981" s="379"/>
      <c r="Q3981" s="129"/>
      <c r="R3981" s="380"/>
      <c r="S3981" s="129"/>
      <c r="T3981" s="129"/>
      <c r="W3981" s="129" t="s">
        <v>286</v>
      </c>
      <c r="X3981" s="337" t="b">
        <f t="shared" si="96"/>
        <v>1</v>
      </c>
    </row>
    <row r="3982" spans="1:24" ht="12" customHeight="1" outlineLevel="1">
      <c r="A3982" s="370"/>
      <c r="B3982" s="118" t="s">
        <v>12</v>
      </c>
      <c r="C3982" s="334" t="s">
        <v>11995</v>
      </c>
      <c r="D3982" s="124" t="s">
        <v>11456</v>
      </c>
      <c r="E3982" s="125"/>
      <c r="F3982" s="118" t="s">
        <v>828</v>
      </c>
      <c r="G3982" s="126" t="s">
        <v>11386</v>
      </c>
      <c r="H3982" s="255">
        <v>6</v>
      </c>
      <c r="I3982" s="361">
        <v>1</v>
      </c>
      <c r="J3982" s="371" t="s">
        <v>286</v>
      </c>
      <c r="K3982" s="377"/>
      <c r="L3982" s="129"/>
      <c r="M3982" s="378"/>
      <c r="N3982" s="129"/>
      <c r="O3982" s="129"/>
      <c r="P3982" s="379"/>
      <c r="Q3982" s="129"/>
      <c r="R3982" s="380"/>
      <c r="S3982" s="129"/>
      <c r="T3982" s="129"/>
      <c r="W3982" s="129" t="s">
        <v>286</v>
      </c>
      <c r="X3982" s="337" t="b">
        <f t="shared" si="96"/>
        <v>1</v>
      </c>
    </row>
    <row r="3983" spans="1:24" ht="12" customHeight="1" outlineLevel="1">
      <c r="A3983" s="370"/>
      <c r="B3983" s="118" t="s">
        <v>12</v>
      </c>
      <c r="C3983" s="334" t="s">
        <v>11996</v>
      </c>
      <c r="D3983" s="124" t="s">
        <v>11458</v>
      </c>
      <c r="E3983" s="125"/>
      <c r="F3983" s="118" t="s">
        <v>828</v>
      </c>
      <c r="G3983" s="126" t="s">
        <v>11386</v>
      </c>
      <c r="H3983" s="255">
        <v>6</v>
      </c>
      <c r="I3983" s="361">
        <v>1</v>
      </c>
      <c r="J3983" s="371" t="s">
        <v>286</v>
      </c>
      <c r="K3983" s="377"/>
      <c r="L3983" s="129"/>
      <c r="M3983" s="378"/>
      <c r="N3983" s="129"/>
      <c r="O3983" s="129"/>
      <c r="P3983" s="379"/>
      <c r="Q3983" s="129"/>
      <c r="R3983" s="380"/>
      <c r="S3983" s="129"/>
      <c r="T3983" s="129"/>
      <c r="W3983" s="129" t="s">
        <v>286</v>
      </c>
      <c r="X3983" s="337" t="b">
        <f t="shared" si="96"/>
        <v>1</v>
      </c>
    </row>
    <row r="3984" spans="1:24" ht="12" customHeight="1" outlineLevel="1">
      <c r="A3984" s="370"/>
      <c r="B3984" s="118" t="s">
        <v>12</v>
      </c>
      <c r="C3984" s="334" t="s">
        <v>11997</v>
      </c>
      <c r="D3984" s="124" t="s">
        <v>11460</v>
      </c>
      <c r="E3984" s="125"/>
      <c r="F3984" s="118" t="s">
        <v>828</v>
      </c>
      <c r="G3984" s="126" t="s">
        <v>11386</v>
      </c>
      <c r="H3984" s="255">
        <v>6</v>
      </c>
      <c r="I3984" s="361">
        <v>1</v>
      </c>
      <c r="J3984" s="371" t="s">
        <v>286</v>
      </c>
      <c r="K3984" s="377"/>
      <c r="L3984" s="129"/>
      <c r="M3984" s="378"/>
      <c r="N3984" s="129"/>
      <c r="O3984" s="129"/>
      <c r="P3984" s="379"/>
      <c r="Q3984" s="129"/>
      <c r="R3984" s="380"/>
      <c r="S3984" s="129"/>
      <c r="T3984" s="129"/>
      <c r="W3984" s="129" t="s">
        <v>286</v>
      </c>
      <c r="X3984" s="337" t="b">
        <f t="shared" si="96"/>
        <v>1</v>
      </c>
    </row>
    <row r="3985" spans="1:24" ht="12" customHeight="1" outlineLevel="1">
      <c r="A3985" s="370"/>
      <c r="B3985" s="118" t="s">
        <v>12</v>
      </c>
      <c r="C3985" s="334" t="s">
        <v>11998</v>
      </c>
      <c r="D3985" s="124" t="s">
        <v>11462</v>
      </c>
      <c r="E3985" s="125"/>
      <c r="F3985" s="118" t="s">
        <v>828</v>
      </c>
      <c r="G3985" s="126" t="s">
        <v>11386</v>
      </c>
      <c r="H3985" s="255">
        <v>6</v>
      </c>
      <c r="I3985" s="361">
        <v>1</v>
      </c>
      <c r="J3985" s="371" t="s">
        <v>286</v>
      </c>
      <c r="K3985" s="377"/>
      <c r="L3985" s="129"/>
      <c r="M3985" s="378"/>
      <c r="N3985" s="129"/>
      <c r="O3985" s="129"/>
      <c r="P3985" s="379"/>
      <c r="Q3985" s="129"/>
      <c r="R3985" s="380"/>
      <c r="S3985" s="129"/>
      <c r="T3985" s="129"/>
      <c r="W3985" s="129" t="s">
        <v>286</v>
      </c>
      <c r="X3985" s="337" t="b">
        <f t="shared" si="96"/>
        <v>1</v>
      </c>
    </row>
    <row r="3986" spans="1:24" ht="12" customHeight="1" outlineLevel="1">
      <c r="A3986" s="370"/>
      <c r="B3986" s="118" t="s">
        <v>12</v>
      </c>
      <c r="C3986" s="334" t="s">
        <v>11999</v>
      </c>
      <c r="D3986" s="124" t="s">
        <v>11464</v>
      </c>
      <c r="E3986" s="125"/>
      <c r="F3986" s="118" t="s">
        <v>828</v>
      </c>
      <c r="G3986" s="126" t="s">
        <v>11386</v>
      </c>
      <c r="H3986" s="255">
        <v>6</v>
      </c>
      <c r="I3986" s="361">
        <v>1</v>
      </c>
      <c r="J3986" s="371" t="s">
        <v>286</v>
      </c>
      <c r="K3986" s="377"/>
      <c r="L3986" s="129"/>
      <c r="M3986" s="378"/>
      <c r="N3986" s="129"/>
      <c r="O3986" s="129"/>
      <c r="P3986" s="379"/>
      <c r="Q3986" s="129"/>
      <c r="R3986" s="380"/>
      <c r="S3986" s="129"/>
      <c r="T3986" s="129"/>
      <c r="W3986" s="129" t="s">
        <v>286</v>
      </c>
      <c r="X3986" s="337" t="b">
        <f t="shared" si="96"/>
        <v>1</v>
      </c>
    </row>
    <row r="3987" spans="1:24" ht="12" customHeight="1" outlineLevel="1">
      <c r="A3987" s="370"/>
      <c r="B3987" s="118" t="s">
        <v>12</v>
      </c>
      <c r="C3987" s="334" t="s">
        <v>12000</v>
      </c>
      <c r="D3987" s="124" t="s">
        <v>11466</v>
      </c>
      <c r="E3987" s="125"/>
      <c r="F3987" s="118" t="s">
        <v>828</v>
      </c>
      <c r="G3987" s="126" t="s">
        <v>11386</v>
      </c>
      <c r="H3987" s="255">
        <v>6</v>
      </c>
      <c r="I3987" s="361">
        <v>1</v>
      </c>
      <c r="J3987" s="371" t="s">
        <v>286</v>
      </c>
      <c r="K3987" s="377"/>
      <c r="L3987" s="129"/>
      <c r="M3987" s="378"/>
      <c r="N3987" s="129"/>
      <c r="O3987" s="129"/>
      <c r="P3987" s="379"/>
      <c r="Q3987" s="129"/>
      <c r="R3987" s="380"/>
      <c r="S3987" s="129"/>
      <c r="T3987" s="129"/>
      <c r="W3987" s="129" t="s">
        <v>286</v>
      </c>
      <c r="X3987" s="337" t="b">
        <f t="shared" ref="X3987:X4050" si="97">W3987=J3987</f>
        <v>1</v>
      </c>
    </row>
    <row r="3988" spans="1:24" ht="12" customHeight="1" outlineLevel="1">
      <c r="A3988" s="370"/>
      <c r="B3988" s="118" t="s">
        <v>12</v>
      </c>
      <c r="C3988" s="334" t="s">
        <v>12001</v>
      </c>
      <c r="D3988" s="124" t="s">
        <v>11468</v>
      </c>
      <c r="E3988" s="125"/>
      <c r="F3988" s="118" t="s">
        <v>828</v>
      </c>
      <c r="G3988" s="126" t="s">
        <v>11386</v>
      </c>
      <c r="H3988" s="255">
        <v>6</v>
      </c>
      <c r="I3988" s="361">
        <v>1</v>
      </c>
      <c r="J3988" s="371" t="s">
        <v>286</v>
      </c>
      <c r="K3988" s="377"/>
      <c r="L3988" s="129"/>
      <c r="M3988" s="378"/>
      <c r="N3988" s="129"/>
      <c r="O3988" s="129"/>
      <c r="P3988" s="379"/>
      <c r="Q3988" s="129"/>
      <c r="R3988" s="380"/>
      <c r="S3988" s="129"/>
      <c r="T3988" s="129"/>
      <c r="W3988" s="129" t="s">
        <v>286</v>
      </c>
      <c r="X3988" s="337" t="b">
        <f t="shared" si="97"/>
        <v>1</v>
      </c>
    </row>
    <row r="3989" spans="1:24" ht="12" customHeight="1" outlineLevel="1">
      <c r="A3989" s="370"/>
      <c r="B3989" s="118" t="s">
        <v>12</v>
      </c>
      <c r="C3989" s="334" t="s">
        <v>12002</v>
      </c>
      <c r="D3989" s="124" t="s">
        <v>11470</v>
      </c>
      <c r="E3989" s="125"/>
      <c r="F3989" s="118" t="s">
        <v>828</v>
      </c>
      <c r="G3989" s="126" t="s">
        <v>11386</v>
      </c>
      <c r="H3989" s="255">
        <v>6</v>
      </c>
      <c r="I3989" s="361">
        <v>1</v>
      </c>
      <c r="J3989" s="371" t="s">
        <v>286</v>
      </c>
      <c r="K3989" s="377"/>
      <c r="L3989" s="129"/>
      <c r="M3989" s="378"/>
      <c r="N3989" s="129"/>
      <c r="O3989" s="129"/>
      <c r="P3989" s="379"/>
      <c r="Q3989" s="129"/>
      <c r="R3989" s="380"/>
      <c r="S3989" s="129"/>
      <c r="T3989" s="129"/>
      <c r="W3989" s="129" t="s">
        <v>286</v>
      </c>
      <c r="X3989" s="337" t="b">
        <f t="shared" si="97"/>
        <v>1</v>
      </c>
    </row>
    <row r="3990" spans="1:24" ht="12" customHeight="1" outlineLevel="1">
      <c r="A3990" s="370"/>
      <c r="B3990" s="118" t="s">
        <v>12</v>
      </c>
      <c r="C3990" s="334" t="s">
        <v>12003</v>
      </c>
      <c r="D3990" s="124" t="s">
        <v>11472</v>
      </c>
      <c r="E3990" s="125"/>
      <c r="F3990" s="118" t="s">
        <v>828</v>
      </c>
      <c r="G3990" s="126" t="s">
        <v>11386</v>
      </c>
      <c r="H3990" s="255">
        <v>6</v>
      </c>
      <c r="I3990" s="361">
        <v>1</v>
      </c>
      <c r="J3990" s="371" t="s">
        <v>286</v>
      </c>
      <c r="K3990" s="377"/>
      <c r="L3990" s="129"/>
      <c r="M3990" s="378"/>
      <c r="N3990" s="129"/>
      <c r="O3990" s="129"/>
      <c r="P3990" s="379"/>
      <c r="Q3990" s="129"/>
      <c r="R3990" s="380"/>
      <c r="S3990" s="129"/>
      <c r="T3990" s="129"/>
      <c r="W3990" s="129" t="s">
        <v>286</v>
      </c>
      <c r="X3990" s="337" t="b">
        <f t="shared" si="97"/>
        <v>1</v>
      </c>
    </row>
    <row r="3991" spans="1:24" ht="12" customHeight="1" outlineLevel="1">
      <c r="A3991" s="370"/>
      <c r="B3991" s="118" t="s">
        <v>12</v>
      </c>
      <c r="C3991" s="334" t="s">
        <v>12004</v>
      </c>
      <c r="D3991" s="124" t="s">
        <v>11474</v>
      </c>
      <c r="E3991" s="125"/>
      <c r="F3991" s="118" t="s">
        <v>828</v>
      </c>
      <c r="G3991" s="126" t="s">
        <v>11386</v>
      </c>
      <c r="H3991" s="255">
        <v>6</v>
      </c>
      <c r="I3991" s="361">
        <v>1</v>
      </c>
      <c r="J3991" s="371" t="s">
        <v>286</v>
      </c>
      <c r="K3991" s="377"/>
      <c r="L3991" s="129"/>
      <c r="M3991" s="378"/>
      <c r="N3991" s="129"/>
      <c r="O3991" s="129"/>
      <c r="P3991" s="379"/>
      <c r="Q3991" s="129"/>
      <c r="R3991" s="380"/>
      <c r="S3991" s="129"/>
      <c r="T3991" s="129"/>
      <c r="W3991" s="129" t="s">
        <v>286</v>
      </c>
      <c r="X3991" s="337" t="b">
        <f t="shared" si="97"/>
        <v>1</v>
      </c>
    </row>
    <row r="3992" spans="1:24" ht="12" customHeight="1" outlineLevel="1">
      <c r="A3992" s="370"/>
      <c r="B3992" s="118" t="s">
        <v>12</v>
      </c>
      <c r="C3992" s="334" t="s">
        <v>12005</v>
      </c>
      <c r="D3992" s="124" t="s">
        <v>11476</v>
      </c>
      <c r="E3992" s="125"/>
      <c r="F3992" s="118" t="s">
        <v>828</v>
      </c>
      <c r="G3992" s="126" t="s">
        <v>11386</v>
      </c>
      <c r="H3992" s="255">
        <v>6</v>
      </c>
      <c r="I3992" s="361">
        <v>1</v>
      </c>
      <c r="J3992" s="371" t="s">
        <v>286</v>
      </c>
      <c r="K3992" s="377"/>
      <c r="L3992" s="129"/>
      <c r="M3992" s="378"/>
      <c r="N3992" s="129"/>
      <c r="O3992" s="129"/>
      <c r="P3992" s="379"/>
      <c r="Q3992" s="129"/>
      <c r="R3992" s="380"/>
      <c r="S3992" s="129"/>
      <c r="T3992" s="129"/>
      <c r="W3992" s="129" t="s">
        <v>286</v>
      </c>
      <c r="X3992" s="337" t="b">
        <f t="shared" si="97"/>
        <v>1</v>
      </c>
    </row>
    <row r="3993" spans="1:24" ht="12" customHeight="1" outlineLevel="1">
      <c r="A3993" s="370"/>
      <c r="B3993" s="118" t="s">
        <v>12</v>
      </c>
      <c r="C3993" s="334" t="s">
        <v>12006</v>
      </c>
      <c r="D3993" s="124" t="s">
        <v>11478</v>
      </c>
      <c r="E3993" s="125"/>
      <c r="F3993" s="118" t="s">
        <v>828</v>
      </c>
      <c r="G3993" s="126" t="s">
        <v>11386</v>
      </c>
      <c r="H3993" s="255">
        <v>6</v>
      </c>
      <c r="I3993" s="361">
        <v>1</v>
      </c>
      <c r="J3993" s="371" t="s">
        <v>286</v>
      </c>
      <c r="K3993" s="377"/>
      <c r="L3993" s="129"/>
      <c r="M3993" s="378"/>
      <c r="N3993" s="129"/>
      <c r="O3993" s="129"/>
      <c r="P3993" s="379"/>
      <c r="Q3993" s="129"/>
      <c r="R3993" s="380"/>
      <c r="S3993" s="129"/>
      <c r="T3993" s="129"/>
      <c r="W3993" s="129" t="s">
        <v>286</v>
      </c>
      <c r="X3993" s="337" t="b">
        <f t="shared" si="97"/>
        <v>1</v>
      </c>
    </row>
    <row r="3994" spans="1:24" ht="12" customHeight="1" outlineLevel="1">
      <c r="A3994" s="370"/>
      <c r="B3994" s="118" t="s">
        <v>12</v>
      </c>
      <c r="C3994" s="334" t="s">
        <v>12007</v>
      </c>
      <c r="D3994" s="124" t="s">
        <v>11480</v>
      </c>
      <c r="E3994" s="125"/>
      <c r="F3994" s="118" t="s">
        <v>828</v>
      </c>
      <c r="G3994" s="126" t="s">
        <v>11386</v>
      </c>
      <c r="H3994" s="255">
        <v>6</v>
      </c>
      <c r="I3994" s="361">
        <v>1</v>
      </c>
      <c r="J3994" s="371" t="s">
        <v>286</v>
      </c>
      <c r="K3994" s="377"/>
      <c r="L3994" s="129"/>
      <c r="M3994" s="378"/>
      <c r="N3994" s="129"/>
      <c r="O3994" s="129"/>
      <c r="P3994" s="379"/>
      <c r="Q3994" s="129"/>
      <c r="R3994" s="380"/>
      <c r="S3994" s="129"/>
      <c r="T3994" s="129"/>
      <c r="W3994" s="129" t="s">
        <v>286</v>
      </c>
      <c r="X3994" s="337" t="b">
        <f t="shared" si="97"/>
        <v>1</v>
      </c>
    </row>
    <row r="3995" spans="1:24" ht="12" customHeight="1" outlineLevel="1">
      <c r="A3995" s="370"/>
      <c r="B3995" s="118" t="s">
        <v>12</v>
      </c>
      <c r="C3995" s="334" t="s">
        <v>12008</v>
      </c>
      <c r="D3995" s="124" t="s">
        <v>11482</v>
      </c>
      <c r="E3995" s="125"/>
      <c r="F3995" s="118" t="s">
        <v>828</v>
      </c>
      <c r="G3995" s="126" t="s">
        <v>11386</v>
      </c>
      <c r="H3995" s="255">
        <v>6</v>
      </c>
      <c r="I3995" s="361">
        <v>1</v>
      </c>
      <c r="J3995" s="371" t="s">
        <v>286</v>
      </c>
      <c r="K3995" s="377"/>
      <c r="L3995" s="129"/>
      <c r="M3995" s="378"/>
      <c r="N3995" s="129"/>
      <c r="O3995" s="129"/>
      <c r="P3995" s="379"/>
      <c r="Q3995" s="129"/>
      <c r="R3995" s="380"/>
      <c r="S3995" s="129"/>
      <c r="T3995" s="129"/>
      <c r="W3995" s="129" t="s">
        <v>286</v>
      </c>
      <c r="X3995" s="337" t="b">
        <f t="shared" si="97"/>
        <v>1</v>
      </c>
    </row>
    <row r="3996" spans="1:24" ht="12" customHeight="1" outlineLevel="1">
      <c r="A3996" s="370"/>
      <c r="B3996" s="118" t="s">
        <v>12</v>
      </c>
      <c r="C3996" s="334" t="s">
        <v>12009</v>
      </c>
      <c r="D3996" s="124" t="s">
        <v>11484</v>
      </c>
      <c r="E3996" s="125"/>
      <c r="F3996" s="118" t="s">
        <v>828</v>
      </c>
      <c r="G3996" s="126" t="s">
        <v>11386</v>
      </c>
      <c r="H3996" s="255">
        <v>6</v>
      </c>
      <c r="I3996" s="361">
        <v>1</v>
      </c>
      <c r="J3996" s="371" t="s">
        <v>286</v>
      </c>
      <c r="K3996" s="377"/>
      <c r="L3996" s="129"/>
      <c r="M3996" s="378"/>
      <c r="N3996" s="129"/>
      <c r="O3996" s="129"/>
      <c r="P3996" s="379"/>
      <c r="Q3996" s="129"/>
      <c r="R3996" s="380"/>
      <c r="S3996" s="129"/>
      <c r="T3996" s="129"/>
      <c r="W3996" s="129" t="s">
        <v>286</v>
      </c>
      <c r="X3996" s="337" t="b">
        <f t="shared" si="97"/>
        <v>1</v>
      </c>
    </row>
    <row r="3997" spans="1:24" ht="12" customHeight="1" outlineLevel="1">
      <c r="A3997" s="370"/>
      <c r="B3997" s="118" t="s">
        <v>12</v>
      </c>
      <c r="C3997" s="334" t="s">
        <v>12010</v>
      </c>
      <c r="D3997" s="124" t="s">
        <v>11486</v>
      </c>
      <c r="E3997" s="125"/>
      <c r="F3997" s="118" t="s">
        <v>828</v>
      </c>
      <c r="G3997" s="126" t="s">
        <v>11386</v>
      </c>
      <c r="H3997" s="255">
        <v>6</v>
      </c>
      <c r="I3997" s="361">
        <v>1</v>
      </c>
      <c r="J3997" s="371" t="s">
        <v>286</v>
      </c>
      <c r="K3997" s="377"/>
      <c r="L3997" s="129"/>
      <c r="M3997" s="378"/>
      <c r="N3997" s="129"/>
      <c r="O3997" s="129"/>
      <c r="P3997" s="379"/>
      <c r="Q3997" s="129"/>
      <c r="R3997" s="380"/>
      <c r="S3997" s="129"/>
      <c r="T3997" s="129"/>
      <c r="W3997" s="129" t="s">
        <v>286</v>
      </c>
      <c r="X3997" s="337" t="b">
        <f t="shared" si="97"/>
        <v>1</v>
      </c>
    </row>
    <row r="3998" spans="1:24" ht="12" customHeight="1" outlineLevel="1">
      <c r="A3998" s="370"/>
      <c r="B3998" s="118" t="s">
        <v>12</v>
      </c>
      <c r="C3998" s="334" t="s">
        <v>12011</v>
      </c>
      <c r="D3998" s="124" t="s">
        <v>11488</v>
      </c>
      <c r="E3998" s="125"/>
      <c r="F3998" s="118" t="s">
        <v>828</v>
      </c>
      <c r="G3998" s="126" t="s">
        <v>11386</v>
      </c>
      <c r="H3998" s="255">
        <v>6</v>
      </c>
      <c r="I3998" s="361">
        <v>1</v>
      </c>
      <c r="J3998" s="371" t="s">
        <v>286</v>
      </c>
      <c r="K3998" s="377"/>
      <c r="L3998" s="129"/>
      <c r="M3998" s="378"/>
      <c r="N3998" s="129"/>
      <c r="O3998" s="129"/>
      <c r="P3998" s="379"/>
      <c r="Q3998" s="129"/>
      <c r="R3998" s="380"/>
      <c r="S3998" s="129"/>
      <c r="T3998" s="129"/>
      <c r="W3998" s="129" t="s">
        <v>286</v>
      </c>
      <c r="X3998" s="337" t="b">
        <f t="shared" si="97"/>
        <v>1</v>
      </c>
    </row>
    <row r="3999" spans="1:24" ht="12" customHeight="1" outlineLevel="1">
      <c r="A3999" s="370"/>
      <c r="B3999" s="118" t="s">
        <v>12</v>
      </c>
      <c r="C3999" s="334" t="s">
        <v>12012</v>
      </c>
      <c r="D3999" s="124" t="s">
        <v>11490</v>
      </c>
      <c r="E3999" s="125"/>
      <c r="F3999" s="118" t="s">
        <v>828</v>
      </c>
      <c r="G3999" s="126" t="s">
        <v>11386</v>
      </c>
      <c r="H3999" s="255">
        <v>6</v>
      </c>
      <c r="I3999" s="361">
        <v>1</v>
      </c>
      <c r="J3999" s="371" t="s">
        <v>286</v>
      </c>
      <c r="K3999" s="377"/>
      <c r="L3999" s="129"/>
      <c r="M3999" s="378"/>
      <c r="N3999" s="129"/>
      <c r="O3999" s="129"/>
      <c r="P3999" s="379"/>
      <c r="Q3999" s="129"/>
      <c r="R3999" s="380"/>
      <c r="S3999" s="129"/>
      <c r="T3999" s="129"/>
      <c r="W3999" s="129" t="s">
        <v>286</v>
      </c>
      <c r="X3999" s="337" t="b">
        <f t="shared" si="97"/>
        <v>1</v>
      </c>
    </row>
    <row r="4000" spans="1:24" ht="12" customHeight="1" outlineLevel="1">
      <c r="A4000" s="370"/>
      <c r="B4000" s="118" t="s">
        <v>12</v>
      </c>
      <c r="C4000" s="334" t="s">
        <v>12013</v>
      </c>
      <c r="D4000" s="124" t="s">
        <v>11492</v>
      </c>
      <c r="E4000" s="125"/>
      <c r="F4000" s="118" t="s">
        <v>828</v>
      </c>
      <c r="G4000" s="126" t="s">
        <v>11386</v>
      </c>
      <c r="H4000" s="255">
        <v>6</v>
      </c>
      <c r="I4000" s="361">
        <v>1</v>
      </c>
      <c r="J4000" s="371" t="s">
        <v>286</v>
      </c>
      <c r="K4000" s="377"/>
      <c r="L4000" s="129"/>
      <c r="M4000" s="378"/>
      <c r="N4000" s="129"/>
      <c r="O4000" s="129"/>
      <c r="P4000" s="379"/>
      <c r="Q4000" s="129"/>
      <c r="R4000" s="380"/>
      <c r="S4000" s="129"/>
      <c r="T4000" s="129"/>
      <c r="W4000" s="129" t="s">
        <v>286</v>
      </c>
      <c r="X4000" s="337" t="b">
        <f t="shared" si="97"/>
        <v>1</v>
      </c>
    </row>
    <row r="4001" spans="1:24" ht="12" customHeight="1" outlineLevel="1">
      <c r="A4001" s="370"/>
      <c r="B4001" s="118" t="s">
        <v>12</v>
      </c>
      <c r="C4001" s="334" t="s">
        <v>12014</v>
      </c>
      <c r="D4001" s="124" t="s">
        <v>11494</v>
      </c>
      <c r="E4001" s="125"/>
      <c r="F4001" s="118" t="s">
        <v>828</v>
      </c>
      <c r="G4001" s="126" t="s">
        <v>11386</v>
      </c>
      <c r="H4001" s="255">
        <v>6</v>
      </c>
      <c r="I4001" s="361">
        <v>1</v>
      </c>
      <c r="J4001" s="371" t="s">
        <v>286</v>
      </c>
      <c r="K4001" s="377"/>
      <c r="L4001" s="129"/>
      <c r="M4001" s="378"/>
      <c r="N4001" s="129"/>
      <c r="O4001" s="129"/>
      <c r="P4001" s="379"/>
      <c r="Q4001" s="129"/>
      <c r="R4001" s="380"/>
      <c r="S4001" s="129"/>
      <c r="T4001" s="129"/>
      <c r="W4001" s="129" t="s">
        <v>286</v>
      </c>
      <c r="X4001" s="337" t="b">
        <f t="shared" si="97"/>
        <v>1</v>
      </c>
    </row>
    <row r="4002" spans="1:24" ht="12" customHeight="1" outlineLevel="1">
      <c r="A4002" s="370"/>
      <c r="B4002" s="118" t="s">
        <v>12</v>
      </c>
      <c r="C4002" s="334" t="s">
        <v>12015</v>
      </c>
      <c r="D4002" s="124" t="s">
        <v>11496</v>
      </c>
      <c r="E4002" s="125"/>
      <c r="F4002" s="118" t="s">
        <v>828</v>
      </c>
      <c r="G4002" s="126" t="s">
        <v>11386</v>
      </c>
      <c r="H4002" s="255">
        <v>6</v>
      </c>
      <c r="I4002" s="361">
        <v>1</v>
      </c>
      <c r="J4002" s="371" t="s">
        <v>286</v>
      </c>
      <c r="K4002" s="377"/>
      <c r="L4002" s="129"/>
      <c r="M4002" s="378"/>
      <c r="N4002" s="129"/>
      <c r="O4002" s="129"/>
      <c r="P4002" s="379"/>
      <c r="Q4002" s="129"/>
      <c r="R4002" s="380"/>
      <c r="S4002" s="129"/>
      <c r="T4002" s="129"/>
      <c r="W4002" s="129" t="s">
        <v>286</v>
      </c>
      <c r="X4002" s="337" t="b">
        <f t="shared" si="97"/>
        <v>1</v>
      </c>
    </row>
    <row r="4003" spans="1:24" ht="12" customHeight="1" outlineLevel="1">
      <c r="A4003" s="370"/>
      <c r="B4003" s="118" t="s">
        <v>12</v>
      </c>
      <c r="C4003" s="334" t="s">
        <v>12016</v>
      </c>
      <c r="D4003" s="124" t="s">
        <v>11498</v>
      </c>
      <c r="E4003" s="125"/>
      <c r="F4003" s="118" t="s">
        <v>828</v>
      </c>
      <c r="G4003" s="126" t="s">
        <v>11386</v>
      </c>
      <c r="H4003" s="255">
        <v>6</v>
      </c>
      <c r="I4003" s="361">
        <v>1</v>
      </c>
      <c r="J4003" s="371" t="s">
        <v>286</v>
      </c>
      <c r="K4003" s="377"/>
      <c r="L4003" s="129"/>
      <c r="M4003" s="378"/>
      <c r="N4003" s="129"/>
      <c r="O4003" s="129"/>
      <c r="P4003" s="379"/>
      <c r="Q4003" s="129"/>
      <c r="R4003" s="380"/>
      <c r="S4003" s="129"/>
      <c r="T4003" s="129"/>
      <c r="W4003" s="129" t="s">
        <v>4876</v>
      </c>
      <c r="X4003" s="337" t="b">
        <f t="shared" si="97"/>
        <v>0</v>
      </c>
    </row>
    <row r="4004" spans="1:24" ht="12" customHeight="1" outlineLevel="1">
      <c r="A4004" s="370"/>
      <c r="B4004" s="118" t="s">
        <v>12</v>
      </c>
      <c r="C4004" s="334" t="s">
        <v>12017</v>
      </c>
      <c r="D4004" s="124" t="s">
        <v>11500</v>
      </c>
      <c r="E4004" s="125"/>
      <c r="F4004" s="118" t="s">
        <v>828</v>
      </c>
      <c r="G4004" s="126" t="s">
        <v>11386</v>
      </c>
      <c r="H4004" s="255">
        <v>6</v>
      </c>
      <c r="I4004" s="361">
        <v>1</v>
      </c>
      <c r="J4004" s="371" t="s">
        <v>286</v>
      </c>
      <c r="K4004" s="377"/>
      <c r="L4004" s="129"/>
      <c r="M4004" s="378"/>
      <c r="N4004" s="129"/>
      <c r="O4004" s="129"/>
      <c r="P4004" s="379"/>
      <c r="Q4004" s="129"/>
      <c r="R4004" s="380"/>
      <c r="S4004" s="129"/>
      <c r="T4004" s="129"/>
      <c r="W4004" s="129" t="s">
        <v>286</v>
      </c>
      <c r="X4004" s="337" t="b">
        <f t="shared" si="97"/>
        <v>1</v>
      </c>
    </row>
    <row r="4005" spans="1:24" ht="12" customHeight="1" outlineLevel="1">
      <c r="A4005" s="370"/>
      <c r="B4005" s="118" t="s">
        <v>12</v>
      </c>
      <c r="C4005" s="334" t="s">
        <v>12018</v>
      </c>
      <c r="D4005" s="124" t="s">
        <v>11502</v>
      </c>
      <c r="E4005" s="125"/>
      <c r="F4005" s="118" t="s">
        <v>828</v>
      </c>
      <c r="G4005" s="126" t="s">
        <v>11386</v>
      </c>
      <c r="H4005" s="255">
        <v>6</v>
      </c>
      <c r="I4005" s="361">
        <v>1</v>
      </c>
      <c r="J4005" s="371" t="s">
        <v>286</v>
      </c>
      <c r="K4005" s="377"/>
      <c r="L4005" s="129"/>
      <c r="M4005" s="378"/>
      <c r="N4005" s="129"/>
      <c r="O4005" s="129"/>
      <c r="P4005" s="379"/>
      <c r="Q4005" s="129"/>
      <c r="R4005" s="380"/>
      <c r="S4005" s="129"/>
      <c r="T4005" s="129"/>
      <c r="W4005" s="129" t="s">
        <v>286</v>
      </c>
      <c r="X4005" s="337" t="b">
        <f t="shared" si="97"/>
        <v>1</v>
      </c>
    </row>
    <row r="4006" spans="1:24" ht="12" customHeight="1" outlineLevel="1">
      <c r="A4006" s="370"/>
      <c r="B4006" s="118" t="s">
        <v>12</v>
      </c>
      <c r="C4006" s="334" t="s">
        <v>12019</v>
      </c>
      <c r="D4006" s="124" t="s">
        <v>11504</v>
      </c>
      <c r="E4006" s="125"/>
      <c r="F4006" s="118" t="s">
        <v>828</v>
      </c>
      <c r="G4006" s="126" t="s">
        <v>11386</v>
      </c>
      <c r="H4006" s="255">
        <v>6</v>
      </c>
      <c r="I4006" s="361">
        <v>1</v>
      </c>
      <c r="J4006" s="371" t="s">
        <v>286</v>
      </c>
      <c r="K4006" s="377"/>
      <c r="L4006" s="129"/>
      <c r="M4006" s="378"/>
      <c r="N4006" s="129"/>
      <c r="O4006" s="129"/>
      <c r="P4006" s="379"/>
      <c r="Q4006" s="129"/>
      <c r="R4006" s="380"/>
      <c r="S4006" s="129"/>
      <c r="T4006" s="129"/>
      <c r="W4006" s="129" t="s">
        <v>286</v>
      </c>
      <c r="X4006" s="337" t="b">
        <f t="shared" si="97"/>
        <v>1</v>
      </c>
    </row>
    <row r="4007" spans="1:24" ht="12" customHeight="1" outlineLevel="1">
      <c r="A4007" s="370"/>
      <c r="B4007" s="118" t="s">
        <v>12</v>
      </c>
      <c r="C4007" s="334" t="s">
        <v>12020</v>
      </c>
      <c r="D4007" s="124" t="s">
        <v>11506</v>
      </c>
      <c r="E4007" s="125"/>
      <c r="F4007" s="118" t="s">
        <v>828</v>
      </c>
      <c r="G4007" s="126" t="s">
        <v>11386</v>
      </c>
      <c r="H4007" s="255">
        <v>6</v>
      </c>
      <c r="I4007" s="361">
        <v>1</v>
      </c>
      <c r="J4007" s="371" t="s">
        <v>286</v>
      </c>
      <c r="K4007" s="377"/>
      <c r="L4007" s="129"/>
      <c r="M4007" s="378"/>
      <c r="N4007" s="129"/>
      <c r="O4007" s="129"/>
      <c r="P4007" s="379"/>
      <c r="Q4007" s="129"/>
      <c r="R4007" s="380"/>
      <c r="S4007" s="129"/>
      <c r="T4007" s="129"/>
      <c r="W4007" s="129" t="s">
        <v>286</v>
      </c>
      <c r="X4007" s="337" t="b">
        <f t="shared" si="97"/>
        <v>1</v>
      </c>
    </row>
    <row r="4008" spans="1:24" ht="12" customHeight="1" outlineLevel="1">
      <c r="A4008" s="370"/>
      <c r="B4008" s="118" t="s">
        <v>12</v>
      </c>
      <c r="C4008" s="334" t="s">
        <v>12021</v>
      </c>
      <c r="D4008" s="124" t="s">
        <v>11508</v>
      </c>
      <c r="E4008" s="125"/>
      <c r="F4008" s="118" t="s">
        <v>828</v>
      </c>
      <c r="G4008" s="126" t="s">
        <v>11386</v>
      </c>
      <c r="H4008" s="255">
        <v>6</v>
      </c>
      <c r="I4008" s="361">
        <v>1</v>
      </c>
      <c r="J4008" s="371" t="s">
        <v>286</v>
      </c>
      <c r="K4008" s="377"/>
      <c r="L4008" s="129"/>
      <c r="M4008" s="378"/>
      <c r="N4008" s="129"/>
      <c r="O4008" s="129"/>
      <c r="P4008" s="379"/>
      <c r="Q4008" s="129"/>
      <c r="R4008" s="380"/>
      <c r="S4008" s="129"/>
      <c r="T4008" s="129"/>
      <c r="W4008" s="129" t="s">
        <v>286</v>
      </c>
      <c r="X4008" s="337" t="b">
        <f t="shared" si="97"/>
        <v>1</v>
      </c>
    </row>
    <row r="4009" spans="1:24" ht="12" customHeight="1" outlineLevel="1">
      <c r="A4009" s="370"/>
      <c r="B4009" s="118" t="s">
        <v>12</v>
      </c>
      <c r="C4009" s="334" t="s">
        <v>12022</v>
      </c>
      <c r="D4009" s="124" t="s">
        <v>11510</v>
      </c>
      <c r="E4009" s="125"/>
      <c r="F4009" s="118" t="s">
        <v>828</v>
      </c>
      <c r="G4009" s="126" t="s">
        <v>11386</v>
      </c>
      <c r="H4009" s="255">
        <v>6</v>
      </c>
      <c r="I4009" s="361">
        <v>1</v>
      </c>
      <c r="J4009" s="371" t="s">
        <v>310</v>
      </c>
      <c r="K4009" s="377"/>
      <c r="L4009" s="129"/>
      <c r="M4009" s="378"/>
      <c r="N4009" s="129"/>
      <c r="O4009" s="129"/>
      <c r="P4009" s="379"/>
      <c r="Q4009" s="129"/>
      <c r="R4009" s="380"/>
      <c r="S4009" s="129"/>
      <c r="T4009" s="129"/>
      <c r="W4009" s="129" t="s">
        <v>286</v>
      </c>
      <c r="X4009" s="337" t="b">
        <f t="shared" si="97"/>
        <v>0</v>
      </c>
    </row>
    <row r="4010" spans="1:24" ht="12" customHeight="1" outlineLevel="1">
      <c r="A4010" s="370"/>
      <c r="B4010" s="118" t="s">
        <v>12</v>
      </c>
      <c r="C4010" s="334" t="s">
        <v>12023</v>
      </c>
      <c r="D4010" s="124" t="s">
        <v>11512</v>
      </c>
      <c r="E4010" s="125"/>
      <c r="F4010" s="118" t="s">
        <v>828</v>
      </c>
      <c r="G4010" s="126" t="s">
        <v>11386</v>
      </c>
      <c r="H4010" s="255">
        <v>6</v>
      </c>
      <c r="I4010" s="361">
        <v>1</v>
      </c>
      <c r="J4010" s="371" t="s">
        <v>286</v>
      </c>
      <c r="K4010" s="377"/>
      <c r="L4010" s="129"/>
      <c r="M4010" s="378"/>
      <c r="N4010" s="129"/>
      <c r="O4010" s="129"/>
      <c r="P4010" s="379"/>
      <c r="Q4010" s="129"/>
      <c r="R4010" s="380"/>
      <c r="S4010" s="129"/>
      <c r="T4010" s="129"/>
      <c r="W4010" s="129" t="s">
        <v>286</v>
      </c>
      <c r="X4010" s="337" t="b">
        <f t="shared" si="97"/>
        <v>1</v>
      </c>
    </row>
    <row r="4011" spans="1:24" ht="12" customHeight="1" outlineLevel="1">
      <c r="A4011" s="370"/>
      <c r="B4011" s="118" t="s">
        <v>12</v>
      </c>
      <c r="C4011" s="334" t="s">
        <v>12024</v>
      </c>
      <c r="D4011" s="124" t="s">
        <v>11578</v>
      </c>
      <c r="E4011" s="125"/>
      <c r="F4011" s="118" t="s">
        <v>828</v>
      </c>
      <c r="G4011" s="126" t="s">
        <v>11386</v>
      </c>
      <c r="H4011" s="255">
        <v>6</v>
      </c>
      <c r="I4011" s="361">
        <v>1</v>
      </c>
      <c r="J4011" s="371" t="s">
        <v>286</v>
      </c>
      <c r="K4011" s="377"/>
      <c r="L4011" s="129"/>
      <c r="M4011" s="378"/>
      <c r="N4011" s="129"/>
      <c r="O4011" s="129"/>
      <c r="P4011" s="379"/>
      <c r="Q4011" s="129"/>
      <c r="R4011" s="380"/>
      <c r="S4011" s="129"/>
      <c r="T4011" s="129"/>
      <c r="W4011" s="129" t="s">
        <v>286</v>
      </c>
      <c r="X4011" s="337" t="b">
        <f t="shared" si="97"/>
        <v>1</v>
      </c>
    </row>
    <row r="4012" spans="1:24" ht="12" customHeight="1" outlineLevel="1">
      <c r="A4012" s="370"/>
      <c r="B4012" s="118" t="s">
        <v>12</v>
      </c>
      <c r="C4012" s="334" t="s">
        <v>12025</v>
      </c>
      <c r="D4012" s="124" t="s">
        <v>11580</v>
      </c>
      <c r="E4012" s="125"/>
      <c r="F4012" s="118" t="s">
        <v>828</v>
      </c>
      <c r="G4012" s="126" t="s">
        <v>11386</v>
      </c>
      <c r="H4012" s="255">
        <v>6</v>
      </c>
      <c r="I4012" s="361">
        <v>1</v>
      </c>
      <c r="J4012" s="371" t="s">
        <v>286</v>
      </c>
      <c r="K4012" s="377"/>
      <c r="L4012" s="129"/>
      <c r="M4012" s="378"/>
      <c r="N4012" s="129"/>
      <c r="O4012" s="129"/>
      <c r="P4012" s="379"/>
      <c r="Q4012" s="129"/>
      <c r="R4012" s="380"/>
      <c r="S4012" s="129"/>
      <c r="T4012" s="129"/>
      <c r="W4012" s="129" t="s">
        <v>286</v>
      </c>
      <c r="X4012" s="337" t="b">
        <f t="shared" si="97"/>
        <v>1</v>
      </c>
    </row>
    <row r="4013" spans="1:24" ht="12" customHeight="1" outlineLevel="1">
      <c r="A4013" s="370"/>
      <c r="B4013" s="118" t="s">
        <v>12</v>
      </c>
      <c r="C4013" s="334" t="s">
        <v>12026</v>
      </c>
      <c r="D4013" s="124" t="s">
        <v>11582</v>
      </c>
      <c r="E4013" s="125"/>
      <c r="F4013" s="118" t="s">
        <v>828</v>
      </c>
      <c r="G4013" s="126" t="s">
        <v>11386</v>
      </c>
      <c r="H4013" s="255">
        <v>6</v>
      </c>
      <c r="I4013" s="361">
        <v>1</v>
      </c>
      <c r="J4013" s="371" t="s">
        <v>286</v>
      </c>
      <c r="K4013" s="377"/>
      <c r="L4013" s="129"/>
      <c r="M4013" s="378"/>
      <c r="N4013" s="129"/>
      <c r="O4013" s="129"/>
      <c r="P4013" s="379"/>
      <c r="Q4013" s="129"/>
      <c r="R4013" s="380"/>
      <c r="S4013" s="129"/>
      <c r="T4013" s="129"/>
      <c r="W4013" s="129" t="s">
        <v>286</v>
      </c>
      <c r="X4013" s="337" t="b">
        <f t="shared" si="97"/>
        <v>1</v>
      </c>
    </row>
    <row r="4014" spans="1:24" ht="12" customHeight="1" outlineLevel="1">
      <c r="A4014" s="370"/>
      <c r="B4014" s="118" t="s">
        <v>12</v>
      </c>
      <c r="C4014" s="334" t="s">
        <v>12027</v>
      </c>
      <c r="D4014" s="124" t="s">
        <v>11584</v>
      </c>
      <c r="E4014" s="125"/>
      <c r="F4014" s="118" t="s">
        <v>828</v>
      </c>
      <c r="G4014" s="126" t="s">
        <v>11386</v>
      </c>
      <c r="H4014" s="255">
        <v>6</v>
      </c>
      <c r="I4014" s="361">
        <v>1</v>
      </c>
      <c r="J4014" s="371" t="s">
        <v>286</v>
      </c>
      <c r="K4014" s="377"/>
      <c r="L4014" s="129"/>
      <c r="M4014" s="378"/>
      <c r="N4014" s="129"/>
      <c r="O4014" s="129"/>
      <c r="P4014" s="379"/>
      <c r="Q4014" s="129"/>
      <c r="R4014" s="380"/>
      <c r="S4014" s="129"/>
      <c r="T4014" s="129"/>
      <c r="W4014" s="129" t="s">
        <v>286</v>
      </c>
      <c r="X4014" s="337" t="b">
        <f t="shared" si="97"/>
        <v>1</v>
      </c>
    </row>
    <row r="4015" spans="1:24" ht="12" customHeight="1" outlineLevel="1">
      <c r="A4015" s="370"/>
      <c r="B4015" s="118" t="s">
        <v>12</v>
      </c>
      <c r="C4015" s="334" t="s">
        <v>12028</v>
      </c>
      <c r="D4015" s="124" t="s">
        <v>11586</v>
      </c>
      <c r="E4015" s="125"/>
      <c r="F4015" s="118" t="s">
        <v>828</v>
      </c>
      <c r="G4015" s="126" t="s">
        <v>11386</v>
      </c>
      <c r="H4015" s="255">
        <v>6</v>
      </c>
      <c r="I4015" s="361">
        <v>1</v>
      </c>
      <c r="J4015" s="371" t="s">
        <v>286</v>
      </c>
      <c r="K4015" s="377"/>
      <c r="L4015" s="129"/>
      <c r="M4015" s="378"/>
      <c r="N4015" s="129"/>
      <c r="O4015" s="129"/>
      <c r="P4015" s="379"/>
      <c r="Q4015" s="129"/>
      <c r="R4015" s="380"/>
      <c r="S4015" s="129"/>
      <c r="T4015" s="129"/>
      <c r="W4015" s="129" t="s">
        <v>286</v>
      </c>
      <c r="X4015" s="337" t="b">
        <f t="shared" si="97"/>
        <v>1</v>
      </c>
    </row>
    <row r="4016" spans="1:24" ht="12" customHeight="1" outlineLevel="1">
      <c r="A4016" s="370"/>
      <c r="B4016" s="118" t="s">
        <v>12</v>
      </c>
      <c r="C4016" s="334" t="s">
        <v>12029</v>
      </c>
      <c r="D4016" s="124" t="s">
        <v>11588</v>
      </c>
      <c r="E4016" s="125"/>
      <c r="F4016" s="118" t="s">
        <v>828</v>
      </c>
      <c r="G4016" s="126" t="s">
        <v>11386</v>
      </c>
      <c r="H4016" s="255">
        <v>6</v>
      </c>
      <c r="I4016" s="361">
        <v>1</v>
      </c>
      <c r="J4016" s="371" t="s">
        <v>286</v>
      </c>
      <c r="K4016" s="377"/>
      <c r="L4016" s="129"/>
      <c r="M4016" s="378"/>
      <c r="N4016" s="129"/>
      <c r="O4016" s="129"/>
      <c r="P4016" s="379"/>
      <c r="Q4016" s="129"/>
      <c r="R4016" s="380"/>
      <c r="S4016" s="129"/>
      <c r="T4016" s="129"/>
      <c r="W4016" s="129" t="s">
        <v>286</v>
      </c>
      <c r="X4016" s="337" t="b">
        <f t="shared" si="97"/>
        <v>1</v>
      </c>
    </row>
    <row r="4017" spans="1:24" ht="12" customHeight="1" outlineLevel="1">
      <c r="A4017" s="370"/>
      <c r="B4017" s="118" t="s">
        <v>12</v>
      </c>
      <c r="C4017" s="334" t="s">
        <v>12030</v>
      </c>
      <c r="D4017" s="124" t="s">
        <v>11590</v>
      </c>
      <c r="E4017" s="125"/>
      <c r="F4017" s="118" t="s">
        <v>828</v>
      </c>
      <c r="G4017" s="126" t="s">
        <v>11386</v>
      </c>
      <c r="H4017" s="255">
        <v>6</v>
      </c>
      <c r="I4017" s="361">
        <v>1</v>
      </c>
      <c r="J4017" s="371" t="s">
        <v>286</v>
      </c>
      <c r="K4017" s="377"/>
      <c r="L4017" s="129"/>
      <c r="M4017" s="378"/>
      <c r="N4017" s="129"/>
      <c r="O4017" s="129"/>
      <c r="P4017" s="379"/>
      <c r="Q4017" s="129"/>
      <c r="R4017" s="380"/>
      <c r="S4017" s="129"/>
      <c r="T4017" s="129"/>
      <c r="W4017" s="129" t="s">
        <v>286</v>
      </c>
      <c r="X4017" s="337" t="b">
        <f t="shared" si="97"/>
        <v>1</v>
      </c>
    </row>
    <row r="4018" spans="1:24" ht="12" customHeight="1" outlineLevel="1">
      <c r="A4018" s="370"/>
      <c r="B4018" s="118" t="s">
        <v>12</v>
      </c>
      <c r="C4018" s="334" t="s">
        <v>12031</v>
      </c>
      <c r="D4018" s="124" t="s">
        <v>11592</v>
      </c>
      <c r="E4018" s="125"/>
      <c r="F4018" s="118" t="s">
        <v>828</v>
      </c>
      <c r="G4018" s="126" t="s">
        <v>11386</v>
      </c>
      <c r="H4018" s="255">
        <v>6</v>
      </c>
      <c r="I4018" s="361">
        <v>1</v>
      </c>
      <c r="J4018" s="371" t="s">
        <v>286</v>
      </c>
      <c r="K4018" s="377"/>
      <c r="L4018" s="129"/>
      <c r="M4018" s="378"/>
      <c r="N4018" s="129"/>
      <c r="O4018" s="129"/>
      <c r="P4018" s="379"/>
      <c r="Q4018" s="129"/>
      <c r="R4018" s="380"/>
      <c r="S4018" s="129"/>
      <c r="T4018" s="129"/>
      <c r="W4018" s="129" t="s">
        <v>286</v>
      </c>
      <c r="X4018" s="337" t="b">
        <f t="shared" si="97"/>
        <v>1</v>
      </c>
    </row>
    <row r="4019" spans="1:24" ht="12" customHeight="1" outlineLevel="1">
      <c r="A4019" s="370"/>
      <c r="B4019" s="118" t="s">
        <v>12</v>
      </c>
      <c r="C4019" s="334" t="s">
        <v>12032</v>
      </c>
      <c r="D4019" s="124" t="s">
        <v>11594</v>
      </c>
      <c r="E4019" s="125"/>
      <c r="F4019" s="118" t="s">
        <v>828</v>
      </c>
      <c r="G4019" s="126" t="s">
        <v>11386</v>
      </c>
      <c r="H4019" s="255">
        <v>6</v>
      </c>
      <c r="I4019" s="361">
        <v>1</v>
      </c>
      <c r="J4019" s="371" t="s">
        <v>286</v>
      </c>
      <c r="K4019" s="377"/>
      <c r="L4019" s="129"/>
      <c r="M4019" s="378"/>
      <c r="N4019" s="129"/>
      <c r="O4019" s="129"/>
      <c r="P4019" s="379"/>
      <c r="Q4019" s="129"/>
      <c r="R4019" s="380"/>
      <c r="S4019" s="129"/>
      <c r="T4019" s="129"/>
      <c r="W4019" s="129" t="s">
        <v>286</v>
      </c>
      <c r="X4019" s="337" t="b">
        <f t="shared" si="97"/>
        <v>1</v>
      </c>
    </row>
    <row r="4020" spans="1:24" ht="12" customHeight="1" outlineLevel="1">
      <c r="A4020" s="370"/>
      <c r="B4020" s="118" t="s">
        <v>12</v>
      </c>
      <c r="C4020" s="334" t="s">
        <v>12033</v>
      </c>
      <c r="D4020" s="124" t="s">
        <v>11596</v>
      </c>
      <c r="E4020" s="125"/>
      <c r="F4020" s="118" t="s">
        <v>828</v>
      </c>
      <c r="G4020" s="126" t="s">
        <v>11386</v>
      </c>
      <c r="H4020" s="255">
        <v>6</v>
      </c>
      <c r="I4020" s="361">
        <v>1</v>
      </c>
      <c r="J4020" s="371" t="s">
        <v>286</v>
      </c>
      <c r="K4020" s="377"/>
      <c r="L4020" s="129"/>
      <c r="M4020" s="378"/>
      <c r="N4020" s="129"/>
      <c r="O4020" s="129"/>
      <c r="P4020" s="379"/>
      <c r="Q4020" s="129"/>
      <c r="R4020" s="380"/>
      <c r="S4020" s="129"/>
      <c r="T4020" s="129"/>
      <c r="W4020" s="129" t="s">
        <v>286</v>
      </c>
      <c r="X4020" s="337" t="b">
        <f t="shared" si="97"/>
        <v>1</v>
      </c>
    </row>
    <row r="4021" spans="1:24" ht="12" customHeight="1" outlineLevel="1">
      <c r="A4021" s="370"/>
      <c r="B4021" s="118" t="s">
        <v>12</v>
      </c>
      <c r="C4021" s="334" t="s">
        <v>12034</v>
      </c>
      <c r="D4021" s="124" t="s">
        <v>11598</v>
      </c>
      <c r="E4021" s="125"/>
      <c r="F4021" s="118" t="s">
        <v>828</v>
      </c>
      <c r="G4021" s="126" t="s">
        <v>11386</v>
      </c>
      <c r="H4021" s="255">
        <v>6</v>
      </c>
      <c r="I4021" s="361">
        <v>1</v>
      </c>
      <c r="J4021" s="371" t="s">
        <v>286</v>
      </c>
      <c r="K4021" s="377"/>
      <c r="L4021" s="129"/>
      <c r="M4021" s="378"/>
      <c r="N4021" s="129"/>
      <c r="O4021" s="129"/>
      <c r="P4021" s="379"/>
      <c r="Q4021" s="129"/>
      <c r="R4021" s="380"/>
      <c r="S4021" s="129"/>
      <c r="T4021" s="129"/>
      <c r="W4021" s="129" t="s">
        <v>286</v>
      </c>
      <c r="X4021" s="337" t="b">
        <f t="shared" si="97"/>
        <v>1</v>
      </c>
    </row>
    <row r="4022" spans="1:24" ht="12" customHeight="1" outlineLevel="1">
      <c r="A4022" s="370"/>
      <c r="B4022" s="118" t="s">
        <v>12</v>
      </c>
      <c r="C4022" s="334" t="s">
        <v>12035</v>
      </c>
      <c r="D4022" s="124" t="s">
        <v>11600</v>
      </c>
      <c r="E4022" s="125"/>
      <c r="F4022" s="118" t="s">
        <v>828</v>
      </c>
      <c r="G4022" s="126" t="s">
        <v>11386</v>
      </c>
      <c r="H4022" s="255">
        <v>6</v>
      </c>
      <c r="I4022" s="361">
        <v>1</v>
      </c>
      <c r="J4022" s="371" t="s">
        <v>286</v>
      </c>
      <c r="K4022" s="377"/>
      <c r="L4022" s="129"/>
      <c r="M4022" s="378"/>
      <c r="N4022" s="129"/>
      <c r="O4022" s="129"/>
      <c r="P4022" s="379"/>
      <c r="Q4022" s="129"/>
      <c r="R4022" s="380"/>
      <c r="S4022" s="129"/>
      <c r="T4022" s="129"/>
      <c r="W4022" s="129" t="s">
        <v>286</v>
      </c>
      <c r="X4022" s="337" t="b">
        <f t="shared" si="97"/>
        <v>1</v>
      </c>
    </row>
    <row r="4023" spans="1:24" ht="12" customHeight="1" outlineLevel="1">
      <c r="A4023" s="370"/>
      <c r="B4023" s="118" t="s">
        <v>12</v>
      </c>
      <c r="C4023" s="334" t="s">
        <v>12036</v>
      </c>
      <c r="D4023" s="124" t="s">
        <v>11602</v>
      </c>
      <c r="E4023" s="125"/>
      <c r="F4023" s="118" t="s">
        <v>828</v>
      </c>
      <c r="G4023" s="126" t="s">
        <v>11386</v>
      </c>
      <c r="H4023" s="255">
        <v>6</v>
      </c>
      <c r="I4023" s="361">
        <v>1</v>
      </c>
      <c r="J4023" s="371" t="s">
        <v>286</v>
      </c>
      <c r="K4023" s="377"/>
      <c r="L4023" s="129"/>
      <c r="M4023" s="378"/>
      <c r="N4023" s="129"/>
      <c r="O4023" s="129"/>
      <c r="P4023" s="379"/>
      <c r="Q4023" s="129"/>
      <c r="R4023" s="380"/>
      <c r="S4023" s="129"/>
      <c r="T4023" s="129"/>
      <c r="W4023" s="129" t="s">
        <v>286</v>
      </c>
      <c r="X4023" s="337" t="b">
        <f t="shared" si="97"/>
        <v>1</v>
      </c>
    </row>
    <row r="4024" spans="1:24" ht="12" customHeight="1" outlineLevel="1">
      <c r="A4024" s="370"/>
      <c r="B4024" s="118" t="s">
        <v>12</v>
      </c>
      <c r="C4024" s="334" t="s">
        <v>12037</v>
      </c>
      <c r="D4024" s="124" t="s">
        <v>11604</v>
      </c>
      <c r="E4024" s="125"/>
      <c r="F4024" s="118" t="s">
        <v>828</v>
      </c>
      <c r="G4024" s="126" t="s">
        <v>11386</v>
      </c>
      <c r="H4024" s="255">
        <v>6</v>
      </c>
      <c r="I4024" s="361">
        <v>1</v>
      </c>
      <c r="J4024" s="371" t="s">
        <v>286</v>
      </c>
      <c r="K4024" s="377"/>
      <c r="L4024" s="129"/>
      <c r="M4024" s="378"/>
      <c r="N4024" s="129"/>
      <c r="O4024" s="129"/>
      <c r="P4024" s="379"/>
      <c r="Q4024" s="129"/>
      <c r="R4024" s="380"/>
      <c r="S4024" s="129"/>
      <c r="T4024" s="129"/>
      <c r="W4024" s="129" t="s">
        <v>286</v>
      </c>
      <c r="X4024" s="337" t="b">
        <f t="shared" si="97"/>
        <v>1</v>
      </c>
    </row>
    <row r="4025" spans="1:24" ht="12" customHeight="1" outlineLevel="1">
      <c r="A4025" s="370"/>
      <c r="B4025" s="118" t="s">
        <v>12</v>
      </c>
      <c r="C4025" s="334" t="s">
        <v>12038</v>
      </c>
      <c r="D4025" s="124" t="s">
        <v>11606</v>
      </c>
      <c r="E4025" s="125"/>
      <c r="F4025" s="118" t="s">
        <v>828</v>
      </c>
      <c r="G4025" s="126" t="s">
        <v>11386</v>
      </c>
      <c r="H4025" s="255">
        <v>6</v>
      </c>
      <c r="I4025" s="361">
        <v>1</v>
      </c>
      <c r="J4025" s="371" t="s">
        <v>286</v>
      </c>
      <c r="K4025" s="377"/>
      <c r="L4025" s="129"/>
      <c r="M4025" s="378"/>
      <c r="N4025" s="129"/>
      <c r="O4025" s="129"/>
      <c r="P4025" s="379"/>
      <c r="Q4025" s="129"/>
      <c r="R4025" s="380"/>
      <c r="S4025" s="129"/>
      <c r="T4025" s="129"/>
      <c r="W4025" s="129" t="s">
        <v>286</v>
      </c>
      <c r="X4025" s="337" t="b">
        <f t="shared" si="97"/>
        <v>1</v>
      </c>
    </row>
    <row r="4026" spans="1:24" ht="12" customHeight="1" outlineLevel="1">
      <c r="A4026" s="370"/>
      <c r="B4026" s="118" t="s">
        <v>12</v>
      </c>
      <c r="C4026" s="334" t="s">
        <v>12039</v>
      </c>
      <c r="D4026" s="124" t="s">
        <v>11608</v>
      </c>
      <c r="E4026" s="125"/>
      <c r="F4026" s="118" t="s">
        <v>828</v>
      </c>
      <c r="G4026" s="126" t="s">
        <v>11386</v>
      </c>
      <c r="H4026" s="255">
        <v>6</v>
      </c>
      <c r="I4026" s="361">
        <v>1</v>
      </c>
      <c r="J4026" s="371" t="s">
        <v>286</v>
      </c>
      <c r="K4026" s="377"/>
      <c r="L4026" s="129"/>
      <c r="M4026" s="378"/>
      <c r="N4026" s="129"/>
      <c r="O4026" s="129"/>
      <c r="P4026" s="379"/>
      <c r="Q4026" s="129"/>
      <c r="R4026" s="380"/>
      <c r="S4026" s="129"/>
      <c r="T4026" s="129"/>
      <c r="W4026" s="129" t="s">
        <v>286</v>
      </c>
      <c r="X4026" s="337" t="b">
        <f t="shared" si="97"/>
        <v>1</v>
      </c>
    </row>
    <row r="4027" spans="1:24" ht="12" customHeight="1" outlineLevel="1">
      <c r="A4027" s="370"/>
      <c r="B4027" s="118" t="s">
        <v>12</v>
      </c>
      <c r="C4027" s="334" t="s">
        <v>12040</v>
      </c>
      <c r="D4027" s="124" t="s">
        <v>11610</v>
      </c>
      <c r="E4027" s="125"/>
      <c r="F4027" s="118" t="s">
        <v>828</v>
      </c>
      <c r="G4027" s="126" t="s">
        <v>11386</v>
      </c>
      <c r="H4027" s="255">
        <v>6</v>
      </c>
      <c r="I4027" s="361">
        <v>1</v>
      </c>
      <c r="J4027" s="371" t="s">
        <v>286</v>
      </c>
      <c r="K4027" s="377"/>
      <c r="L4027" s="129"/>
      <c r="M4027" s="378"/>
      <c r="N4027" s="129"/>
      <c r="O4027" s="129"/>
      <c r="P4027" s="379"/>
      <c r="Q4027" s="129"/>
      <c r="R4027" s="380"/>
      <c r="S4027" s="129"/>
      <c r="T4027" s="129"/>
      <c r="W4027" s="129" t="s">
        <v>286</v>
      </c>
      <c r="X4027" s="337" t="b">
        <f t="shared" si="97"/>
        <v>1</v>
      </c>
    </row>
    <row r="4028" spans="1:24" ht="12" customHeight="1" outlineLevel="1">
      <c r="A4028" s="370"/>
      <c r="B4028" s="118" t="s">
        <v>12</v>
      </c>
      <c r="C4028" s="334" t="s">
        <v>12041</v>
      </c>
      <c r="D4028" s="124" t="s">
        <v>11612</v>
      </c>
      <c r="E4028" s="125"/>
      <c r="F4028" s="118" t="s">
        <v>828</v>
      </c>
      <c r="G4028" s="126" t="s">
        <v>11386</v>
      </c>
      <c r="H4028" s="255">
        <v>6</v>
      </c>
      <c r="I4028" s="361">
        <v>1</v>
      </c>
      <c r="J4028" s="371" t="s">
        <v>286</v>
      </c>
      <c r="K4028" s="377"/>
      <c r="L4028" s="129"/>
      <c r="M4028" s="378"/>
      <c r="N4028" s="129"/>
      <c r="O4028" s="129"/>
      <c r="P4028" s="379"/>
      <c r="Q4028" s="129"/>
      <c r="R4028" s="380"/>
      <c r="S4028" s="129"/>
      <c r="T4028" s="129"/>
      <c r="W4028" s="129" t="s">
        <v>286</v>
      </c>
      <c r="X4028" s="337" t="b">
        <f t="shared" si="97"/>
        <v>1</v>
      </c>
    </row>
    <row r="4029" spans="1:24" ht="12" customHeight="1" outlineLevel="1">
      <c r="A4029" s="370"/>
      <c r="B4029" s="118" t="s">
        <v>12</v>
      </c>
      <c r="C4029" s="334" t="s">
        <v>12042</v>
      </c>
      <c r="D4029" s="124" t="s">
        <v>11614</v>
      </c>
      <c r="E4029" s="125"/>
      <c r="F4029" s="118" t="s">
        <v>828</v>
      </c>
      <c r="G4029" s="126" t="s">
        <v>11386</v>
      </c>
      <c r="H4029" s="255">
        <v>6</v>
      </c>
      <c r="I4029" s="361">
        <v>1</v>
      </c>
      <c r="J4029" s="371" t="s">
        <v>286</v>
      </c>
      <c r="K4029" s="377"/>
      <c r="L4029" s="129"/>
      <c r="M4029" s="378"/>
      <c r="N4029" s="129"/>
      <c r="O4029" s="129"/>
      <c r="P4029" s="379"/>
      <c r="Q4029" s="129"/>
      <c r="R4029" s="380"/>
      <c r="S4029" s="129"/>
      <c r="T4029" s="129"/>
      <c r="W4029" s="129" t="s">
        <v>286</v>
      </c>
      <c r="X4029" s="337" t="b">
        <f t="shared" si="97"/>
        <v>1</v>
      </c>
    </row>
    <row r="4030" spans="1:24" ht="12" customHeight="1" outlineLevel="1">
      <c r="A4030" s="370"/>
      <c r="B4030" s="118" t="s">
        <v>12</v>
      </c>
      <c r="C4030" s="334" t="s">
        <v>12043</v>
      </c>
      <c r="D4030" s="124" t="s">
        <v>12044</v>
      </c>
      <c r="E4030" s="125"/>
      <c r="F4030" s="118" t="s">
        <v>828</v>
      </c>
      <c r="G4030" s="126" t="s">
        <v>11386</v>
      </c>
      <c r="H4030" s="255">
        <v>6</v>
      </c>
      <c r="I4030" s="361">
        <v>1</v>
      </c>
      <c r="J4030" s="371" t="s">
        <v>286</v>
      </c>
      <c r="K4030" s="377"/>
      <c r="L4030" s="129"/>
      <c r="M4030" s="378"/>
      <c r="N4030" s="129"/>
      <c r="O4030" s="129"/>
      <c r="P4030" s="379"/>
      <c r="Q4030" s="129"/>
      <c r="R4030" s="380"/>
      <c r="S4030" s="129"/>
      <c r="T4030" s="129"/>
      <c r="W4030" s="129" t="s">
        <v>286</v>
      </c>
      <c r="X4030" s="337" t="b">
        <f t="shared" si="97"/>
        <v>1</v>
      </c>
    </row>
    <row r="4031" spans="1:24" ht="12" customHeight="1" outlineLevel="1">
      <c r="A4031" s="370"/>
      <c r="B4031" s="118" t="s">
        <v>12</v>
      </c>
      <c r="C4031" s="334" t="s">
        <v>12045</v>
      </c>
      <c r="D4031" s="124" t="s">
        <v>12046</v>
      </c>
      <c r="E4031" s="125"/>
      <c r="F4031" s="118" t="s">
        <v>828</v>
      </c>
      <c r="G4031" s="126" t="s">
        <v>11386</v>
      </c>
      <c r="H4031" s="255">
        <v>6</v>
      </c>
      <c r="I4031" s="361">
        <v>1</v>
      </c>
      <c r="J4031" s="371" t="s">
        <v>286</v>
      </c>
      <c r="K4031" s="377"/>
      <c r="L4031" s="129"/>
      <c r="M4031" s="378"/>
      <c r="N4031" s="129"/>
      <c r="O4031" s="129"/>
      <c r="P4031" s="379"/>
      <c r="Q4031" s="129"/>
      <c r="R4031" s="380"/>
      <c r="S4031" s="129"/>
      <c r="T4031" s="129"/>
      <c r="W4031" s="129" t="s">
        <v>286</v>
      </c>
      <c r="X4031" s="337" t="b">
        <f t="shared" si="97"/>
        <v>1</v>
      </c>
    </row>
    <row r="4032" spans="1:24" ht="12" customHeight="1" outlineLevel="1">
      <c r="A4032" s="370"/>
      <c r="B4032" s="118" t="s">
        <v>12</v>
      </c>
      <c r="C4032" s="334" t="s">
        <v>12047</v>
      </c>
      <c r="D4032" s="124" t="s">
        <v>12048</v>
      </c>
      <c r="E4032" s="125"/>
      <c r="F4032" s="118" t="s">
        <v>828</v>
      </c>
      <c r="G4032" s="126" t="s">
        <v>11386</v>
      </c>
      <c r="H4032" s="255">
        <v>6</v>
      </c>
      <c r="I4032" s="361">
        <v>1</v>
      </c>
      <c r="J4032" s="371" t="s">
        <v>286</v>
      </c>
      <c r="K4032" s="377"/>
      <c r="L4032" s="129"/>
      <c r="M4032" s="378"/>
      <c r="N4032" s="129"/>
      <c r="O4032" s="129"/>
      <c r="P4032" s="379"/>
      <c r="Q4032" s="129"/>
      <c r="R4032" s="380"/>
      <c r="S4032" s="129"/>
      <c r="T4032" s="129"/>
      <c r="W4032" s="129" t="s">
        <v>286</v>
      </c>
      <c r="X4032" s="337" t="b">
        <f t="shared" si="97"/>
        <v>1</v>
      </c>
    </row>
    <row r="4033" spans="1:24" ht="12" customHeight="1" outlineLevel="1">
      <c r="A4033" s="370"/>
      <c r="B4033" s="118" t="s">
        <v>12</v>
      </c>
      <c r="C4033" s="334" t="s">
        <v>12049</v>
      </c>
      <c r="D4033" s="124" t="s">
        <v>12050</v>
      </c>
      <c r="E4033" s="125"/>
      <c r="F4033" s="118" t="s">
        <v>828</v>
      </c>
      <c r="G4033" s="126" t="s">
        <v>11386</v>
      </c>
      <c r="H4033" s="255">
        <v>6</v>
      </c>
      <c r="I4033" s="361">
        <v>1</v>
      </c>
      <c r="J4033" s="371" t="s">
        <v>286</v>
      </c>
      <c r="K4033" s="377"/>
      <c r="L4033" s="129"/>
      <c r="M4033" s="378"/>
      <c r="N4033" s="129"/>
      <c r="O4033" s="129"/>
      <c r="P4033" s="379"/>
      <c r="Q4033" s="129"/>
      <c r="R4033" s="380"/>
      <c r="S4033" s="129"/>
      <c r="T4033" s="129"/>
      <c r="W4033" s="129" t="s">
        <v>286</v>
      </c>
      <c r="X4033" s="337" t="b">
        <f t="shared" si="97"/>
        <v>1</v>
      </c>
    </row>
    <row r="4034" spans="1:24" ht="12" customHeight="1" outlineLevel="1">
      <c r="A4034" s="370"/>
      <c r="B4034" s="118" t="s">
        <v>12</v>
      </c>
      <c r="C4034" s="334" t="s">
        <v>12051</v>
      </c>
      <c r="D4034" s="124" t="s">
        <v>12052</v>
      </c>
      <c r="E4034" s="125"/>
      <c r="F4034" s="118" t="s">
        <v>828</v>
      </c>
      <c r="G4034" s="126" t="s">
        <v>11386</v>
      </c>
      <c r="H4034" s="255">
        <v>6</v>
      </c>
      <c r="I4034" s="361">
        <v>1</v>
      </c>
      <c r="J4034" s="371" t="s">
        <v>286</v>
      </c>
      <c r="K4034" s="377"/>
      <c r="L4034" s="129"/>
      <c r="M4034" s="378"/>
      <c r="N4034" s="129"/>
      <c r="O4034" s="129"/>
      <c r="P4034" s="379"/>
      <c r="Q4034" s="129"/>
      <c r="R4034" s="380"/>
      <c r="S4034" s="129"/>
      <c r="T4034" s="129"/>
      <c r="W4034" s="129" t="s">
        <v>286</v>
      </c>
      <c r="X4034" s="337" t="b">
        <f t="shared" si="97"/>
        <v>1</v>
      </c>
    </row>
    <row r="4035" spans="1:24" ht="12" customHeight="1" outlineLevel="1">
      <c r="A4035" s="370"/>
      <c r="B4035" s="118" t="s">
        <v>12</v>
      </c>
      <c r="C4035" s="334" t="s">
        <v>12053</v>
      </c>
      <c r="D4035" s="124" t="s">
        <v>12054</v>
      </c>
      <c r="E4035" s="125"/>
      <c r="F4035" s="118" t="s">
        <v>828</v>
      </c>
      <c r="G4035" s="126" t="s">
        <v>11386</v>
      </c>
      <c r="H4035" s="255">
        <v>6</v>
      </c>
      <c r="I4035" s="361">
        <v>1</v>
      </c>
      <c r="J4035" s="371" t="s">
        <v>286</v>
      </c>
      <c r="K4035" s="377"/>
      <c r="L4035" s="129"/>
      <c r="M4035" s="378"/>
      <c r="N4035" s="129"/>
      <c r="O4035" s="129"/>
      <c r="P4035" s="379"/>
      <c r="Q4035" s="129"/>
      <c r="R4035" s="380"/>
      <c r="S4035" s="129"/>
      <c r="T4035" s="129"/>
      <c r="W4035" s="129" t="s">
        <v>286</v>
      </c>
      <c r="X4035" s="337" t="b">
        <f t="shared" si="97"/>
        <v>1</v>
      </c>
    </row>
    <row r="4036" spans="1:24" ht="12" customHeight="1" outlineLevel="1">
      <c r="A4036" s="370"/>
      <c r="B4036" s="118" t="s">
        <v>12</v>
      </c>
      <c r="C4036" s="334" t="s">
        <v>12055</v>
      </c>
      <c r="D4036" s="124" t="s">
        <v>12056</v>
      </c>
      <c r="E4036" s="125"/>
      <c r="F4036" s="118" t="s">
        <v>828</v>
      </c>
      <c r="G4036" s="126" t="s">
        <v>11386</v>
      </c>
      <c r="H4036" s="255">
        <v>6</v>
      </c>
      <c r="I4036" s="361">
        <v>1</v>
      </c>
      <c r="J4036" s="371" t="s">
        <v>286</v>
      </c>
      <c r="K4036" s="377"/>
      <c r="L4036" s="129"/>
      <c r="M4036" s="378"/>
      <c r="N4036" s="129"/>
      <c r="O4036" s="129"/>
      <c r="P4036" s="379"/>
      <c r="Q4036" s="129"/>
      <c r="R4036" s="380"/>
      <c r="S4036" s="129"/>
      <c r="T4036" s="129"/>
      <c r="W4036" s="129" t="s">
        <v>286</v>
      </c>
      <c r="X4036" s="337" t="b">
        <f t="shared" si="97"/>
        <v>1</v>
      </c>
    </row>
    <row r="4037" spans="1:24" ht="12" customHeight="1" outlineLevel="1">
      <c r="A4037" s="370"/>
      <c r="B4037" s="118" t="s">
        <v>12</v>
      </c>
      <c r="C4037" s="334" t="s">
        <v>12057</v>
      </c>
      <c r="D4037" s="124" t="s">
        <v>12058</v>
      </c>
      <c r="E4037" s="125"/>
      <c r="F4037" s="118" t="s">
        <v>828</v>
      </c>
      <c r="G4037" s="126" t="s">
        <v>11386</v>
      </c>
      <c r="H4037" s="255">
        <v>6</v>
      </c>
      <c r="I4037" s="361">
        <v>1</v>
      </c>
      <c r="J4037" s="371" t="s">
        <v>286</v>
      </c>
      <c r="K4037" s="377"/>
      <c r="L4037" s="129"/>
      <c r="M4037" s="378"/>
      <c r="N4037" s="129"/>
      <c r="O4037" s="129"/>
      <c r="P4037" s="379"/>
      <c r="Q4037" s="129"/>
      <c r="R4037" s="380"/>
      <c r="S4037" s="129"/>
      <c r="T4037" s="129"/>
      <c r="W4037" s="129" t="s">
        <v>286</v>
      </c>
      <c r="X4037" s="337" t="b">
        <f t="shared" si="97"/>
        <v>1</v>
      </c>
    </row>
    <row r="4038" spans="1:24" ht="12" customHeight="1" outlineLevel="1">
      <c r="A4038" s="370"/>
      <c r="B4038" s="118" t="s">
        <v>12</v>
      </c>
      <c r="C4038" s="334" t="s">
        <v>12059</v>
      </c>
      <c r="D4038" s="124" t="s">
        <v>12060</v>
      </c>
      <c r="E4038" s="125"/>
      <c r="F4038" s="118" t="s">
        <v>828</v>
      </c>
      <c r="G4038" s="126" t="s">
        <v>11386</v>
      </c>
      <c r="H4038" s="255">
        <v>6</v>
      </c>
      <c r="I4038" s="361">
        <v>1</v>
      </c>
      <c r="J4038" s="371" t="s">
        <v>286</v>
      </c>
      <c r="K4038" s="377"/>
      <c r="L4038" s="129"/>
      <c r="M4038" s="378"/>
      <c r="N4038" s="129"/>
      <c r="O4038" s="129"/>
      <c r="P4038" s="379"/>
      <c r="Q4038" s="129"/>
      <c r="R4038" s="380"/>
      <c r="S4038" s="129"/>
      <c r="T4038" s="129"/>
      <c r="W4038" s="129" t="s">
        <v>286</v>
      </c>
      <c r="X4038" s="337" t="b">
        <f t="shared" si="97"/>
        <v>1</v>
      </c>
    </row>
    <row r="4039" spans="1:24" ht="12" customHeight="1" outlineLevel="1">
      <c r="A4039" s="370"/>
      <c r="B4039" s="118" t="s">
        <v>12</v>
      </c>
      <c r="C4039" s="334" t="s">
        <v>12061</v>
      </c>
      <c r="D4039" s="124" t="s">
        <v>12062</v>
      </c>
      <c r="E4039" s="125"/>
      <c r="F4039" s="118" t="s">
        <v>828</v>
      </c>
      <c r="G4039" s="126" t="s">
        <v>11386</v>
      </c>
      <c r="H4039" s="255">
        <v>6</v>
      </c>
      <c r="I4039" s="361">
        <v>1</v>
      </c>
      <c r="J4039" s="371" t="s">
        <v>286</v>
      </c>
      <c r="K4039" s="377"/>
      <c r="L4039" s="129"/>
      <c r="M4039" s="378"/>
      <c r="N4039" s="129"/>
      <c r="O4039" s="129"/>
      <c r="P4039" s="379"/>
      <c r="Q4039" s="129"/>
      <c r="R4039" s="380"/>
      <c r="S4039" s="129"/>
      <c r="T4039" s="129"/>
      <c r="W4039" s="129" t="s">
        <v>286</v>
      </c>
      <c r="X4039" s="337" t="b">
        <f t="shared" si="97"/>
        <v>1</v>
      </c>
    </row>
    <row r="4040" spans="1:24" ht="12" customHeight="1" outlineLevel="1">
      <c r="A4040" s="370"/>
      <c r="B4040" s="118" t="s">
        <v>12</v>
      </c>
      <c r="C4040" s="334" t="s">
        <v>12063</v>
      </c>
      <c r="D4040" s="124" t="s">
        <v>12064</v>
      </c>
      <c r="E4040" s="125"/>
      <c r="F4040" s="118" t="s">
        <v>828</v>
      </c>
      <c r="G4040" s="126" t="s">
        <v>11386</v>
      </c>
      <c r="H4040" s="255">
        <v>6</v>
      </c>
      <c r="I4040" s="361">
        <v>1</v>
      </c>
      <c r="J4040" s="371" t="s">
        <v>286</v>
      </c>
      <c r="K4040" s="377"/>
      <c r="L4040" s="129"/>
      <c r="M4040" s="378"/>
      <c r="N4040" s="129"/>
      <c r="O4040" s="129"/>
      <c r="P4040" s="379"/>
      <c r="Q4040" s="129"/>
      <c r="R4040" s="380"/>
      <c r="S4040" s="129"/>
      <c r="T4040" s="129"/>
      <c r="W4040" s="129" t="s">
        <v>286</v>
      </c>
      <c r="X4040" s="337" t="b">
        <f t="shared" si="97"/>
        <v>1</v>
      </c>
    </row>
    <row r="4041" spans="1:24" ht="12" customHeight="1" outlineLevel="1">
      <c r="A4041" s="370"/>
      <c r="B4041" s="118" t="s">
        <v>12</v>
      </c>
      <c r="C4041" s="334" t="s">
        <v>12065</v>
      </c>
      <c r="D4041" s="124" t="s">
        <v>12066</v>
      </c>
      <c r="E4041" s="125"/>
      <c r="F4041" s="118" t="s">
        <v>828</v>
      </c>
      <c r="G4041" s="126" t="s">
        <v>11386</v>
      </c>
      <c r="H4041" s="255">
        <v>6</v>
      </c>
      <c r="I4041" s="361">
        <v>1</v>
      </c>
      <c r="J4041" s="371" t="s">
        <v>286</v>
      </c>
      <c r="K4041" s="377"/>
      <c r="L4041" s="129"/>
      <c r="M4041" s="378"/>
      <c r="N4041" s="129"/>
      <c r="O4041" s="129"/>
      <c r="P4041" s="379"/>
      <c r="Q4041" s="129"/>
      <c r="R4041" s="380"/>
      <c r="S4041" s="129"/>
      <c r="T4041" s="129"/>
      <c r="W4041" s="129" t="s">
        <v>286</v>
      </c>
      <c r="X4041" s="337" t="b">
        <f t="shared" si="97"/>
        <v>1</v>
      </c>
    </row>
    <row r="4042" spans="1:24" ht="12" customHeight="1" outlineLevel="1">
      <c r="A4042" s="370"/>
      <c r="B4042" s="118" t="s">
        <v>12</v>
      </c>
      <c r="C4042" s="334" t="s">
        <v>12067</v>
      </c>
      <c r="D4042" s="124" t="s">
        <v>12068</v>
      </c>
      <c r="E4042" s="125"/>
      <c r="F4042" s="118" t="s">
        <v>828</v>
      </c>
      <c r="G4042" s="126" t="s">
        <v>11386</v>
      </c>
      <c r="H4042" s="255">
        <v>6</v>
      </c>
      <c r="I4042" s="361">
        <v>1</v>
      </c>
      <c r="J4042" s="371" t="s">
        <v>286</v>
      </c>
      <c r="K4042" s="377"/>
      <c r="L4042" s="129"/>
      <c r="M4042" s="378"/>
      <c r="N4042" s="129"/>
      <c r="O4042" s="129"/>
      <c r="P4042" s="379"/>
      <c r="Q4042" s="129"/>
      <c r="R4042" s="380"/>
      <c r="S4042" s="129"/>
      <c r="T4042" s="129"/>
      <c r="W4042" s="129" t="s">
        <v>286</v>
      </c>
      <c r="X4042" s="337" t="b">
        <f t="shared" si="97"/>
        <v>1</v>
      </c>
    </row>
    <row r="4043" spans="1:24" ht="12" customHeight="1" outlineLevel="1">
      <c r="A4043" s="370"/>
      <c r="B4043" s="118" t="s">
        <v>12</v>
      </c>
      <c r="C4043" s="334" t="s">
        <v>12069</v>
      </c>
      <c r="D4043" s="124" t="s">
        <v>12070</v>
      </c>
      <c r="E4043" s="125"/>
      <c r="F4043" s="118" t="s">
        <v>828</v>
      </c>
      <c r="G4043" s="126" t="s">
        <v>11386</v>
      </c>
      <c r="H4043" s="255">
        <v>6</v>
      </c>
      <c r="I4043" s="361">
        <v>1</v>
      </c>
      <c r="J4043" s="371" t="s">
        <v>286</v>
      </c>
      <c r="K4043" s="377"/>
      <c r="L4043" s="129"/>
      <c r="M4043" s="378"/>
      <c r="N4043" s="129"/>
      <c r="O4043" s="129"/>
      <c r="P4043" s="379"/>
      <c r="Q4043" s="129"/>
      <c r="R4043" s="380"/>
      <c r="S4043" s="129"/>
      <c r="T4043" s="129"/>
      <c r="W4043" s="129" t="s">
        <v>286</v>
      </c>
      <c r="X4043" s="337" t="b">
        <f t="shared" si="97"/>
        <v>1</v>
      </c>
    </row>
    <row r="4044" spans="1:24" ht="12" customHeight="1" outlineLevel="1">
      <c r="A4044" s="370"/>
      <c r="B4044" s="118" t="s">
        <v>12</v>
      </c>
      <c r="C4044" s="334" t="s">
        <v>12071</v>
      </c>
      <c r="D4044" s="124" t="s">
        <v>12072</v>
      </c>
      <c r="E4044" s="125"/>
      <c r="F4044" s="118" t="s">
        <v>828</v>
      </c>
      <c r="G4044" s="126" t="s">
        <v>11386</v>
      </c>
      <c r="H4044" s="255">
        <v>6</v>
      </c>
      <c r="I4044" s="361">
        <v>1</v>
      </c>
      <c r="J4044" s="371" t="s">
        <v>286</v>
      </c>
      <c r="K4044" s="377"/>
      <c r="L4044" s="129"/>
      <c r="M4044" s="378"/>
      <c r="N4044" s="129"/>
      <c r="O4044" s="129"/>
      <c r="P4044" s="379"/>
      <c r="Q4044" s="129"/>
      <c r="R4044" s="380"/>
      <c r="S4044" s="129"/>
      <c r="T4044" s="129"/>
      <c r="W4044" s="129" t="s">
        <v>286</v>
      </c>
      <c r="X4044" s="337" t="b">
        <f t="shared" si="97"/>
        <v>1</v>
      </c>
    </row>
    <row r="4045" spans="1:24" ht="12" customHeight="1" outlineLevel="1">
      <c r="A4045" s="370"/>
      <c r="B4045" s="118" t="s">
        <v>12</v>
      </c>
      <c r="C4045" s="334" t="s">
        <v>12073</v>
      </c>
      <c r="D4045" s="124" t="s">
        <v>12074</v>
      </c>
      <c r="E4045" s="125"/>
      <c r="F4045" s="118" t="s">
        <v>828</v>
      </c>
      <c r="G4045" s="126" t="s">
        <v>11386</v>
      </c>
      <c r="H4045" s="255">
        <v>6</v>
      </c>
      <c r="I4045" s="361">
        <v>1</v>
      </c>
      <c r="J4045" s="371" t="s">
        <v>286</v>
      </c>
      <c r="K4045" s="377"/>
      <c r="L4045" s="129"/>
      <c r="M4045" s="378"/>
      <c r="N4045" s="129"/>
      <c r="O4045" s="129"/>
      <c r="P4045" s="379"/>
      <c r="Q4045" s="129"/>
      <c r="R4045" s="380"/>
      <c r="S4045" s="129"/>
      <c r="T4045" s="129"/>
      <c r="W4045" s="129" t="s">
        <v>286</v>
      </c>
      <c r="X4045" s="337" t="b">
        <f t="shared" si="97"/>
        <v>1</v>
      </c>
    </row>
    <row r="4046" spans="1:24" ht="12" customHeight="1" outlineLevel="1">
      <c r="A4046" s="370"/>
      <c r="B4046" s="118" t="s">
        <v>12</v>
      </c>
      <c r="C4046" s="334" t="s">
        <v>12075</v>
      </c>
      <c r="D4046" s="124" t="s">
        <v>12076</v>
      </c>
      <c r="E4046" s="125"/>
      <c r="F4046" s="118" t="s">
        <v>828</v>
      </c>
      <c r="G4046" s="126" t="s">
        <v>11386</v>
      </c>
      <c r="H4046" s="255">
        <v>6</v>
      </c>
      <c r="I4046" s="361">
        <v>1</v>
      </c>
      <c r="J4046" s="371" t="s">
        <v>286</v>
      </c>
      <c r="K4046" s="377"/>
      <c r="L4046" s="129"/>
      <c r="M4046" s="378"/>
      <c r="N4046" s="129"/>
      <c r="O4046" s="129"/>
      <c r="P4046" s="379"/>
      <c r="Q4046" s="129"/>
      <c r="R4046" s="380"/>
      <c r="S4046" s="129"/>
      <c r="T4046" s="129"/>
      <c r="W4046" s="129" t="s">
        <v>286</v>
      </c>
      <c r="X4046" s="337" t="b">
        <f t="shared" si="97"/>
        <v>1</v>
      </c>
    </row>
    <row r="4047" spans="1:24" ht="12" customHeight="1" outlineLevel="1">
      <c r="A4047" s="370"/>
      <c r="B4047" s="118" t="s">
        <v>12</v>
      </c>
      <c r="C4047" s="334" t="s">
        <v>12077</v>
      </c>
      <c r="D4047" s="124" t="s">
        <v>12078</v>
      </c>
      <c r="E4047" s="125"/>
      <c r="F4047" s="118" t="s">
        <v>828</v>
      </c>
      <c r="G4047" s="126" t="s">
        <v>11386</v>
      </c>
      <c r="H4047" s="255">
        <v>6</v>
      </c>
      <c r="I4047" s="361">
        <v>1</v>
      </c>
      <c r="J4047" s="371" t="s">
        <v>286</v>
      </c>
      <c r="K4047" s="377"/>
      <c r="L4047" s="129"/>
      <c r="M4047" s="378"/>
      <c r="N4047" s="129"/>
      <c r="O4047" s="129"/>
      <c r="P4047" s="379"/>
      <c r="Q4047" s="129"/>
      <c r="R4047" s="380"/>
      <c r="S4047" s="129"/>
      <c r="T4047" s="129"/>
      <c r="W4047" s="129" t="s">
        <v>286</v>
      </c>
      <c r="X4047" s="337" t="b">
        <f t="shared" si="97"/>
        <v>1</v>
      </c>
    </row>
    <row r="4048" spans="1:24" ht="12" customHeight="1" outlineLevel="1">
      <c r="A4048" s="370"/>
      <c r="B4048" s="118" t="s">
        <v>12</v>
      </c>
      <c r="C4048" s="334" t="s">
        <v>12079</v>
      </c>
      <c r="D4048" s="124" t="s">
        <v>12080</v>
      </c>
      <c r="E4048" s="125"/>
      <c r="F4048" s="118" t="s">
        <v>828</v>
      </c>
      <c r="G4048" s="126" t="s">
        <v>11386</v>
      </c>
      <c r="H4048" s="255">
        <v>6</v>
      </c>
      <c r="I4048" s="361">
        <v>1</v>
      </c>
      <c r="J4048" s="371" t="s">
        <v>286</v>
      </c>
      <c r="K4048" s="377"/>
      <c r="L4048" s="129"/>
      <c r="M4048" s="378"/>
      <c r="N4048" s="129"/>
      <c r="O4048" s="129"/>
      <c r="P4048" s="379"/>
      <c r="Q4048" s="129"/>
      <c r="R4048" s="380"/>
      <c r="S4048" s="129"/>
      <c r="T4048" s="129"/>
      <c r="W4048" s="129" t="s">
        <v>286</v>
      </c>
      <c r="X4048" s="337" t="b">
        <f t="shared" si="97"/>
        <v>1</v>
      </c>
    </row>
    <row r="4049" spans="1:24" ht="12" customHeight="1" outlineLevel="1">
      <c r="A4049" s="370"/>
      <c r="B4049" s="118" t="s">
        <v>12</v>
      </c>
      <c r="C4049" s="334" t="s">
        <v>12081</v>
      </c>
      <c r="D4049" s="124" t="s">
        <v>12082</v>
      </c>
      <c r="E4049" s="125"/>
      <c r="F4049" s="118" t="s">
        <v>828</v>
      </c>
      <c r="G4049" s="126" t="s">
        <v>11386</v>
      </c>
      <c r="H4049" s="255">
        <v>6</v>
      </c>
      <c r="I4049" s="361">
        <v>1</v>
      </c>
      <c r="J4049" s="371" t="s">
        <v>286</v>
      </c>
      <c r="K4049" s="377"/>
      <c r="L4049" s="129"/>
      <c r="M4049" s="378"/>
      <c r="N4049" s="129"/>
      <c r="O4049" s="129"/>
      <c r="P4049" s="379"/>
      <c r="Q4049" s="129"/>
      <c r="R4049" s="380"/>
      <c r="S4049" s="129"/>
      <c r="T4049" s="129"/>
      <c r="W4049" s="129" t="s">
        <v>286</v>
      </c>
      <c r="X4049" s="337" t="b">
        <f t="shared" si="97"/>
        <v>1</v>
      </c>
    </row>
    <row r="4050" spans="1:24" ht="12" customHeight="1" outlineLevel="1">
      <c r="A4050" s="370"/>
      <c r="B4050" s="118" t="s">
        <v>12</v>
      </c>
      <c r="C4050" s="334" t="s">
        <v>12083</v>
      </c>
      <c r="D4050" s="124" t="s">
        <v>12084</v>
      </c>
      <c r="E4050" s="125"/>
      <c r="F4050" s="118" t="s">
        <v>828</v>
      </c>
      <c r="G4050" s="126" t="s">
        <v>11386</v>
      </c>
      <c r="H4050" s="255">
        <v>6</v>
      </c>
      <c r="I4050" s="361">
        <v>1</v>
      </c>
      <c r="J4050" s="371" t="s">
        <v>286</v>
      </c>
      <c r="K4050" s="377"/>
      <c r="L4050" s="129"/>
      <c r="M4050" s="378"/>
      <c r="N4050" s="129"/>
      <c r="O4050" s="129"/>
      <c r="P4050" s="379"/>
      <c r="Q4050" s="129"/>
      <c r="R4050" s="380"/>
      <c r="S4050" s="129"/>
      <c r="T4050" s="129"/>
      <c r="W4050" s="129" t="s">
        <v>286</v>
      </c>
      <c r="X4050" s="337" t="b">
        <f t="shared" si="97"/>
        <v>1</v>
      </c>
    </row>
    <row r="4051" spans="1:24" ht="12" customHeight="1" outlineLevel="1">
      <c r="A4051" s="370"/>
      <c r="B4051" s="118" t="s">
        <v>12</v>
      </c>
      <c r="C4051" s="334" t="s">
        <v>12085</v>
      </c>
      <c r="D4051" s="124" t="s">
        <v>12086</v>
      </c>
      <c r="E4051" s="125"/>
      <c r="F4051" s="118" t="s">
        <v>828</v>
      </c>
      <c r="G4051" s="126" t="s">
        <v>11386</v>
      </c>
      <c r="H4051" s="255">
        <v>6</v>
      </c>
      <c r="I4051" s="361">
        <v>1</v>
      </c>
      <c r="J4051" s="371" t="s">
        <v>286</v>
      </c>
      <c r="K4051" s="377"/>
      <c r="L4051" s="129"/>
      <c r="M4051" s="378"/>
      <c r="N4051" s="129"/>
      <c r="O4051" s="129"/>
      <c r="P4051" s="379"/>
      <c r="Q4051" s="129"/>
      <c r="R4051" s="380"/>
      <c r="S4051" s="129"/>
      <c r="T4051" s="129"/>
      <c r="W4051" s="129" t="s">
        <v>286</v>
      </c>
      <c r="X4051" s="337" t="b">
        <f t="shared" ref="X4051:X4114" si="98">W4051=J4051</f>
        <v>1</v>
      </c>
    </row>
    <row r="4052" spans="1:24" ht="12" customHeight="1" outlineLevel="1">
      <c r="A4052" s="370"/>
      <c r="B4052" s="118" t="s">
        <v>12</v>
      </c>
      <c r="C4052" s="334" t="s">
        <v>12087</v>
      </c>
      <c r="D4052" s="124" t="s">
        <v>12088</v>
      </c>
      <c r="E4052" s="125"/>
      <c r="F4052" s="118" t="s">
        <v>828</v>
      </c>
      <c r="G4052" s="126" t="s">
        <v>11386</v>
      </c>
      <c r="H4052" s="255">
        <v>6</v>
      </c>
      <c r="I4052" s="361">
        <v>1</v>
      </c>
      <c r="J4052" s="371" t="s">
        <v>286</v>
      </c>
      <c r="K4052" s="377"/>
      <c r="L4052" s="129"/>
      <c r="M4052" s="378"/>
      <c r="N4052" s="129"/>
      <c r="O4052" s="129"/>
      <c r="P4052" s="379"/>
      <c r="Q4052" s="129"/>
      <c r="R4052" s="380"/>
      <c r="S4052" s="129"/>
      <c r="T4052" s="129"/>
      <c r="W4052" s="129" t="s">
        <v>286</v>
      </c>
      <c r="X4052" s="337" t="b">
        <f t="shared" si="98"/>
        <v>1</v>
      </c>
    </row>
    <row r="4053" spans="1:24" ht="12" customHeight="1" outlineLevel="1">
      <c r="A4053" s="370"/>
      <c r="B4053" s="118" t="s">
        <v>12</v>
      </c>
      <c r="C4053" s="334" t="s">
        <v>12089</v>
      </c>
      <c r="D4053" s="124" t="s">
        <v>12090</v>
      </c>
      <c r="E4053" s="125"/>
      <c r="F4053" s="118" t="s">
        <v>828</v>
      </c>
      <c r="G4053" s="126" t="s">
        <v>11386</v>
      </c>
      <c r="H4053" s="255">
        <v>6</v>
      </c>
      <c r="I4053" s="361">
        <v>1</v>
      </c>
      <c r="J4053" s="371" t="s">
        <v>286</v>
      </c>
      <c r="K4053" s="377"/>
      <c r="L4053" s="129"/>
      <c r="M4053" s="378"/>
      <c r="N4053" s="129"/>
      <c r="O4053" s="129"/>
      <c r="P4053" s="379"/>
      <c r="Q4053" s="129"/>
      <c r="R4053" s="380"/>
      <c r="S4053" s="129"/>
      <c r="T4053" s="129"/>
      <c r="W4053" s="129" t="s">
        <v>286</v>
      </c>
      <c r="X4053" s="337" t="b">
        <f t="shared" si="98"/>
        <v>1</v>
      </c>
    </row>
    <row r="4054" spans="1:24" ht="12" customHeight="1" outlineLevel="1">
      <c r="A4054" s="370"/>
      <c r="B4054" s="118" t="s">
        <v>12</v>
      </c>
      <c r="C4054" s="334" t="s">
        <v>12091</v>
      </c>
      <c r="D4054" s="124" t="s">
        <v>12092</v>
      </c>
      <c r="E4054" s="125"/>
      <c r="F4054" s="118" t="s">
        <v>828</v>
      </c>
      <c r="G4054" s="126" t="s">
        <v>11386</v>
      </c>
      <c r="H4054" s="255">
        <v>6</v>
      </c>
      <c r="I4054" s="361">
        <v>1</v>
      </c>
      <c r="J4054" s="371" t="s">
        <v>286</v>
      </c>
      <c r="K4054" s="377"/>
      <c r="L4054" s="129"/>
      <c r="M4054" s="378"/>
      <c r="N4054" s="129"/>
      <c r="O4054" s="129"/>
      <c r="P4054" s="379"/>
      <c r="Q4054" s="129"/>
      <c r="R4054" s="380"/>
      <c r="S4054" s="129"/>
      <c r="T4054" s="129"/>
      <c r="W4054" s="129" t="s">
        <v>286</v>
      </c>
      <c r="X4054" s="337" t="b">
        <f t="shared" si="98"/>
        <v>1</v>
      </c>
    </row>
    <row r="4055" spans="1:24" ht="12" customHeight="1" outlineLevel="1">
      <c r="A4055" s="370"/>
      <c r="B4055" s="118" t="s">
        <v>12</v>
      </c>
      <c r="C4055" s="334" t="s">
        <v>12093</v>
      </c>
      <c r="D4055" s="124" t="s">
        <v>12094</v>
      </c>
      <c r="E4055" s="125"/>
      <c r="F4055" s="118" t="s">
        <v>828</v>
      </c>
      <c r="G4055" s="126" t="s">
        <v>11386</v>
      </c>
      <c r="H4055" s="255">
        <v>6</v>
      </c>
      <c r="I4055" s="361">
        <v>1</v>
      </c>
      <c r="J4055" s="371" t="s">
        <v>286</v>
      </c>
      <c r="K4055" s="377"/>
      <c r="L4055" s="129"/>
      <c r="M4055" s="378"/>
      <c r="N4055" s="129"/>
      <c r="O4055" s="129"/>
      <c r="P4055" s="379"/>
      <c r="Q4055" s="129"/>
      <c r="R4055" s="380"/>
      <c r="S4055" s="129"/>
      <c r="T4055" s="129"/>
      <c r="W4055" s="129" t="s">
        <v>286</v>
      </c>
      <c r="X4055" s="337" t="b">
        <f t="shared" si="98"/>
        <v>1</v>
      </c>
    </row>
    <row r="4056" spans="1:24" ht="12" customHeight="1" outlineLevel="1">
      <c r="A4056" s="370"/>
      <c r="B4056" s="118" t="s">
        <v>12</v>
      </c>
      <c r="C4056" s="334" t="s">
        <v>12095</v>
      </c>
      <c r="D4056" s="124" t="s">
        <v>12096</v>
      </c>
      <c r="E4056" s="125"/>
      <c r="F4056" s="118" t="s">
        <v>828</v>
      </c>
      <c r="G4056" s="126" t="s">
        <v>11386</v>
      </c>
      <c r="H4056" s="255">
        <v>6</v>
      </c>
      <c r="I4056" s="361">
        <v>1</v>
      </c>
      <c r="J4056" s="371" t="s">
        <v>286</v>
      </c>
      <c r="K4056" s="377"/>
      <c r="L4056" s="129"/>
      <c r="M4056" s="378"/>
      <c r="N4056" s="129"/>
      <c r="O4056" s="129"/>
      <c r="P4056" s="379"/>
      <c r="Q4056" s="129"/>
      <c r="R4056" s="380"/>
      <c r="S4056" s="129"/>
      <c r="T4056" s="129"/>
      <c r="W4056" s="129" t="s">
        <v>286</v>
      </c>
      <c r="X4056" s="337" t="b">
        <f t="shared" si="98"/>
        <v>1</v>
      </c>
    </row>
    <row r="4057" spans="1:24" ht="12" customHeight="1" outlineLevel="1">
      <c r="A4057" s="370"/>
      <c r="B4057" s="118" t="s">
        <v>12</v>
      </c>
      <c r="C4057" s="334" t="s">
        <v>12097</v>
      </c>
      <c r="D4057" s="124" t="s">
        <v>12098</v>
      </c>
      <c r="E4057" s="125"/>
      <c r="F4057" s="118" t="s">
        <v>828</v>
      </c>
      <c r="G4057" s="126" t="s">
        <v>11386</v>
      </c>
      <c r="H4057" s="255">
        <v>6</v>
      </c>
      <c r="I4057" s="361">
        <v>1</v>
      </c>
      <c r="J4057" s="371" t="s">
        <v>286</v>
      </c>
      <c r="K4057" s="377"/>
      <c r="L4057" s="129"/>
      <c r="M4057" s="378"/>
      <c r="N4057" s="129"/>
      <c r="O4057" s="129"/>
      <c r="P4057" s="379"/>
      <c r="Q4057" s="129"/>
      <c r="R4057" s="380"/>
      <c r="S4057" s="129"/>
      <c r="T4057" s="129"/>
      <c r="W4057" s="129" t="s">
        <v>286</v>
      </c>
      <c r="X4057" s="337" t="b">
        <f t="shared" si="98"/>
        <v>1</v>
      </c>
    </row>
    <row r="4058" spans="1:24" ht="12" customHeight="1" outlineLevel="1">
      <c r="A4058" s="370"/>
      <c r="B4058" s="118" t="s">
        <v>12</v>
      </c>
      <c r="C4058" s="334" t="s">
        <v>12099</v>
      </c>
      <c r="D4058" s="124" t="s">
        <v>12100</v>
      </c>
      <c r="E4058" s="125"/>
      <c r="F4058" s="118" t="s">
        <v>828</v>
      </c>
      <c r="G4058" s="126" t="s">
        <v>11386</v>
      </c>
      <c r="H4058" s="255">
        <v>6</v>
      </c>
      <c r="I4058" s="361">
        <v>1</v>
      </c>
      <c r="J4058" s="371" t="s">
        <v>286</v>
      </c>
      <c r="K4058" s="377"/>
      <c r="L4058" s="129"/>
      <c r="M4058" s="378"/>
      <c r="N4058" s="129"/>
      <c r="O4058" s="129"/>
      <c r="P4058" s="379"/>
      <c r="Q4058" s="129"/>
      <c r="R4058" s="380"/>
      <c r="S4058" s="129"/>
      <c r="T4058" s="129"/>
      <c r="W4058" s="129" t="s">
        <v>286</v>
      </c>
      <c r="X4058" s="337" t="b">
        <f t="shared" si="98"/>
        <v>1</v>
      </c>
    </row>
    <row r="4059" spans="1:24" ht="12" customHeight="1" outlineLevel="1">
      <c r="A4059" s="370"/>
      <c r="B4059" s="118" t="s">
        <v>12</v>
      </c>
      <c r="C4059" s="334" t="s">
        <v>12101</v>
      </c>
      <c r="D4059" s="124" t="s">
        <v>12102</v>
      </c>
      <c r="E4059" s="125"/>
      <c r="F4059" s="118" t="s">
        <v>828</v>
      </c>
      <c r="G4059" s="126" t="s">
        <v>11386</v>
      </c>
      <c r="H4059" s="255">
        <v>6</v>
      </c>
      <c r="I4059" s="361">
        <v>1</v>
      </c>
      <c r="J4059" s="371" t="s">
        <v>286</v>
      </c>
      <c r="K4059" s="377"/>
      <c r="L4059" s="129"/>
      <c r="M4059" s="378"/>
      <c r="N4059" s="129"/>
      <c r="O4059" s="129"/>
      <c r="P4059" s="379"/>
      <c r="Q4059" s="129"/>
      <c r="R4059" s="380"/>
      <c r="S4059" s="129"/>
      <c r="T4059" s="129"/>
      <c r="W4059" s="129" t="s">
        <v>286</v>
      </c>
      <c r="X4059" s="337" t="b">
        <f t="shared" si="98"/>
        <v>1</v>
      </c>
    </row>
    <row r="4060" spans="1:24" ht="12" customHeight="1" outlineLevel="1">
      <c r="A4060" s="370"/>
      <c r="B4060" s="118" t="s">
        <v>12</v>
      </c>
      <c r="C4060" s="334" t="s">
        <v>12103</v>
      </c>
      <c r="D4060" s="124" t="s">
        <v>12104</v>
      </c>
      <c r="E4060" s="125"/>
      <c r="F4060" s="118" t="s">
        <v>828</v>
      </c>
      <c r="G4060" s="126" t="s">
        <v>11386</v>
      </c>
      <c r="H4060" s="255">
        <v>6</v>
      </c>
      <c r="I4060" s="361">
        <v>1</v>
      </c>
      <c r="J4060" s="371" t="s">
        <v>286</v>
      </c>
      <c r="K4060" s="377"/>
      <c r="L4060" s="129"/>
      <c r="M4060" s="378"/>
      <c r="N4060" s="129"/>
      <c r="O4060" s="129"/>
      <c r="P4060" s="379"/>
      <c r="Q4060" s="129"/>
      <c r="R4060" s="380"/>
      <c r="S4060" s="129"/>
      <c r="T4060" s="129"/>
      <c r="W4060" s="129" t="s">
        <v>286</v>
      </c>
      <c r="X4060" s="337" t="b">
        <f t="shared" si="98"/>
        <v>1</v>
      </c>
    </row>
    <row r="4061" spans="1:24" ht="12" customHeight="1" outlineLevel="1">
      <c r="A4061" s="370"/>
      <c r="B4061" s="118" t="s">
        <v>12</v>
      </c>
      <c r="C4061" s="334" t="s">
        <v>12105</v>
      </c>
      <c r="D4061" s="124" t="s">
        <v>8158</v>
      </c>
      <c r="E4061" s="125"/>
      <c r="F4061" s="118" t="s">
        <v>828</v>
      </c>
      <c r="G4061" s="126" t="s">
        <v>11386</v>
      </c>
      <c r="H4061" s="255">
        <v>6</v>
      </c>
      <c r="I4061" s="361">
        <v>1</v>
      </c>
      <c r="J4061" s="371" t="s">
        <v>286</v>
      </c>
      <c r="K4061" s="377"/>
      <c r="L4061" s="129"/>
      <c r="M4061" s="378"/>
      <c r="N4061" s="129"/>
      <c r="O4061" s="129"/>
      <c r="P4061" s="379"/>
      <c r="Q4061" s="129"/>
      <c r="R4061" s="380"/>
      <c r="S4061" s="129"/>
      <c r="T4061" s="129"/>
      <c r="W4061" s="129" t="s">
        <v>286</v>
      </c>
      <c r="X4061" s="337" t="b">
        <f t="shared" si="98"/>
        <v>1</v>
      </c>
    </row>
    <row r="4062" spans="1:24" ht="12" customHeight="1" outlineLevel="1">
      <c r="A4062" s="370"/>
      <c r="B4062" s="118" t="s">
        <v>12</v>
      </c>
      <c r="C4062" s="334" t="s">
        <v>12106</v>
      </c>
      <c r="D4062" s="124" t="s">
        <v>12107</v>
      </c>
      <c r="E4062" s="125"/>
      <c r="F4062" s="118" t="s">
        <v>828</v>
      </c>
      <c r="G4062" s="126" t="s">
        <v>11386</v>
      </c>
      <c r="H4062" s="255">
        <v>6</v>
      </c>
      <c r="I4062" s="361">
        <v>1</v>
      </c>
      <c r="J4062" s="371" t="s">
        <v>286</v>
      </c>
      <c r="K4062" s="377"/>
      <c r="L4062" s="129"/>
      <c r="M4062" s="378"/>
      <c r="N4062" s="129"/>
      <c r="O4062" s="129"/>
      <c r="P4062" s="379"/>
      <c r="Q4062" s="129"/>
      <c r="R4062" s="380"/>
      <c r="S4062" s="129"/>
      <c r="T4062" s="129"/>
      <c r="W4062" s="129" t="s">
        <v>286</v>
      </c>
      <c r="X4062" s="337" t="b">
        <f t="shared" si="98"/>
        <v>1</v>
      </c>
    </row>
    <row r="4063" spans="1:24" ht="12" customHeight="1" outlineLevel="1">
      <c r="A4063" s="370"/>
      <c r="B4063" s="118" t="s">
        <v>12</v>
      </c>
      <c r="C4063" s="334" t="s">
        <v>12108</v>
      </c>
      <c r="D4063" s="124" t="s">
        <v>12109</v>
      </c>
      <c r="E4063" s="125"/>
      <c r="F4063" s="118" t="s">
        <v>828</v>
      </c>
      <c r="G4063" s="126" t="s">
        <v>11386</v>
      </c>
      <c r="H4063" s="255">
        <v>6</v>
      </c>
      <c r="I4063" s="361">
        <v>1</v>
      </c>
      <c r="J4063" s="371" t="s">
        <v>286</v>
      </c>
      <c r="K4063" s="377"/>
      <c r="L4063" s="129"/>
      <c r="M4063" s="378"/>
      <c r="N4063" s="129"/>
      <c r="O4063" s="129"/>
      <c r="P4063" s="379"/>
      <c r="Q4063" s="129"/>
      <c r="R4063" s="380"/>
      <c r="S4063" s="129"/>
      <c r="T4063" s="129"/>
      <c r="W4063" s="129" t="s">
        <v>286</v>
      </c>
      <c r="X4063" s="337" t="b">
        <f t="shared" si="98"/>
        <v>1</v>
      </c>
    </row>
    <row r="4064" spans="1:24" ht="12" customHeight="1" outlineLevel="1">
      <c r="A4064" s="370"/>
      <c r="B4064" s="118" t="s">
        <v>12</v>
      </c>
      <c r="C4064" s="334" t="s">
        <v>12110</v>
      </c>
      <c r="D4064" s="124" t="s">
        <v>11799</v>
      </c>
      <c r="E4064" s="125"/>
      <c r="F4064" s="118" t="s">
        <v>828</v>
      </c>
      <c r="G4064" s="126" t="s">
        <v>11386</v>
      </c>
      <c r="H4064" s="255">
        <v>6</v>
      </c>
      <c r="I4064" s="361">
        <v>1</v>
      </c>
      <c r="J4064" s="371" t="s">
        <v>310</v>
      </c>
      <c r="K4064" s="377"/>
      <c r="L4064" s="129"/>
      <c r="M4064" s="378"/>
      <c r="N4064" s="129"/>
      <c r="O4064" s="129"/>
      <c r="P4064" s="379"/>
      <c r="Q4064" s="129"/>
      <c r="R4064" s="380"/>
      <c r="S4064" s="129"/>
      <c r="T4064" s="129"/>
      <c r="W4064" s="129" t="s">
        <v>286</v>
      </c>
      <c r="X4064" s="337" t="b">
        <f t="shared" si="98"/>
        <v>0</v>
      </c>
    </row>
    <row r="4065" spans="1:24" ht="12" customHeight="1" outlineLevel="1">
      <c r="A4065" s="370"/>
      <c r="B4065" s="118" t="s">
        <v>12</v>
      </c>
      <c r="C4065" s="334" t="s">
        <v>12111</v>
      </c>
      <c r="D4065" s="124" t="s">
        <v>11620</v>
      </c>
      <c r="E4065" s="125"/>
      <c r="F4065" s="118" t="s">
        <v>828</v>
      </c>
      <c r="G4065" s="126" t="s">
        <v>11386</v>
      </c>
      <c r="H4065" s="255">
        <v>6</v>
      </c>
      <c r="I4065" s="361">
        <v>1</v>
      </c>
      <c r="J4065" s="371" t="s">
        <v>286</v>
      </c>
      <c r="K4065" s="377"/>
      <c r="L4065" s="129"/>
      <c r="M4065" s="378"/>
      <c r="N4065" s="129"/>
      <c r="O4065" s="129"/>
      <c r="P4065" s="379"/>
      <c r="Q4065" s="129"/>
      <c r="R4065" s="380"/>
      <c r="S4065" s="129"/>
      <c r="T4065" s="129"/>
      <c r="W4065" s="129" t="s">
        <v>286</v>
      </c>
      <c r="X4065" s="337" t="b">
        <f t="shared" si="98"/>
        <v>1</v>
      </c>
    </row>
    <row r="4066" spans="1:24" ht="12" customHeight="1" outlineLevel="1">
      <c r="A4066" s="370"/>
      <c r="B4066" s="118" t="s">
        <v>12</v>
      </c>
      <c r="C4066" s="334" t="s">
        <v>12112</v>
      </c>
      <c r="D4066" s="124" t="s">
        <v>11622</v>
      </c>
      <c r="E4066" s="125"/>
      <c r="F4066" s="118" t="s">
        <v>828</v>
      </c>
      <c r="G4066" s="126" t="s">
        <v>11386</v>
      </c>
      <c r="H4066" s="255">
        <v>6</v>
      </c>
      <c r="I4066" s="361">
        <v>1</v>
      </c>
      <c r="J4066" s="371" t="s">
        <v>286</v>
      </c>
      <c r="K4066" s="377"/>
      <c r="L4066" s="129"/>
      <c r="M4066" s="378"/>
      <c r="N4066" s="129"/>
      <c r="O4066" s="129"/>
      <c r="P4066" s="379"/>
      <c r="Q4066" s="129"/>
      <c r="R4066" s="380"/>
      <c r="S4066" s="129"/>
      <c r="T4066" s="129"/>
      <c r="W4066" s="129" t="s">
        <v>286</v>
      </c>
      <c r="X4066" s="337" t="b">
        <f t="shared" si="98"/>
        <v>1</v>
      </c>
    </row>
    <row r="4067" spans="1:24" ht="12" customHeight="1" outlineLevel="1">
      <c r="A4067" s="370"/>
      <c r="B4067" s="118" t="s">
        <v>12</v>
      </c>
      <c r="C4067" s="334" t="s">
        <v>12113</v>
      </c>
      <c r="D4067" s="124" t="s">
        <v>11624</v>
      </c>
      <c r="E4067" s="125"/>
      <c r="F4067" s="118" t="s">
        <v>828</v>
      </c>
      <c r="G4067" s="126" t="s">
        <v>11386</v>
      </c>
      <c r="H4067" s="255">
        <v>6</v>
      </c>
      <c r="I4067" s="361">
        <v>1</v>
      </c>
      <c r="J4067" s="371" t="s">
        <v>286</v>
      </c>
      <c r="K4067" s="377"/>
      <c r="L4067" s="129"/>
      <c r="M4067" s="378"/>
      <c r="N4067" s="129"/>
      <c r="O4067" s="129"/>
      <c r="P4067" s="379"/>
      <c r="Q4067" s="129"/>
      <c r="R4067" s="380"/>
      <c r="S4067" s="129"/>
      <c r="T4067" s="129"/>
      <c r="W4067" s="129" t="s">
        <v>286</v>
      </c>
      <c r="X4067" s="337" t="b">
        <f t="shared" si="98"/>
        <v>1</v>
      </c>
    </row>
    <row r="4068" spans="1:24" ht="12" customHeight="1" outlineLevel="1">
      <c r="A4068" s="370"/>
      <c r="B4068" s="118" t="s">
        <v>12</v>
      </c>
      <c r="C4068" s="334" t="s">
        <v>12114</v>
      </c>
      <c r="D4068" s="124" t="s">
        <v>11626</v>
      </c>
      <c r="E4068" s="125"/>
      <c r="F4068" s="118" t="s">
        <v>828</v>
      </c>
      <c r="G4068" s="126" t="s">
        <v>11386</v>
      </c>
      <c r="H4068" s="255">
        <v>6</v>
      </c>
      <c r="I4068" s="361">
        <v>1</v>
      </c>
      <c r="J4068" s="371" t="s">
        <v>286</v>
      </c>
      <c r="K4068" s="377"/>
      <c r="L4068" s="129"/>
      <c r="M4068" s="378"/>
      <c r="N4068" s="129"/>
      <c r="O4068" s="129"/>
      <c r="P4068" s="379"/>
      <c r="Q4068" s="129"/>
      <c r="R4068" s="380"/>
      <c r="S4068" s="129"/>
      <c r="T4068" s="129"/>
      <c r="W4068" s="129" t="s">
        <v>286</v>
      </c>
      <c r="X4068" s="337" t="b">
        <f t="shared" si="98"/>
        <v>1</v>
      </c>
    </row>
    <row r="4069" spans="1:24" ht="12" customHeight="1" outlineLevel="1">
      <c r="A4069" s="370"/>
      <c r="B4069" s="118" t="s">
        <v>12</v>
      </c>
      <c r="C4069" s="334" t="s">
        <v>12115</v>
      </c>
      <c r="D4069" s="124" t="s">
        <v>11628</v>
      </c>
      <c r="E4069" s="125"/>
      <c r="F4069" s="118" t="s">
        <v>828</v>
      </c>
      <c r="G4069" s="126" t="s">
        <v>11386</v>
      </c>
      <c r="H4069" s="255">
        <v>6</v>
      </c>
      <c r="I4069" s="361">
        <v>1</v>
      </c>
      <c r="J4069" s="371" t="s">
        <v>286</v>
      </c>
      <c r="K4069" s="377"/>
      <c r="L4069" s="129"/>
      <c r="M4069" s="378"/>
      <c r="N4069" s="129"/>
      <c r="O4069" s="129"/>
      <c r="P4069" s="379"/>
      <c r="Q4069" s="129"/>
      <c r="R4069" s="380"/>
      <c r="S4069" s="129"/>
      <c r="T4069" s="129"/>
      <c r="W4069" s="129" t="s">
        <v>286</v>
      </c>
      <c r="X4069" s="337" t="b">
        <f t="shared" si="98"/>
        <v>1</v>
      </c>
    </row>
    <row r="4070" spans="1:24" ht="12" customHeight="1" outlineLevel="1">
      <c r="A4070" s="370"/>
      <c r="B4070" s="118" t="s">
        <v>12</v>
      </c>
      <c r="C4070" s="334" t="s">
        <v>12116</v>
      </c>
      <c r="D4070" s="124" t="s">
        <v>11630</v>
      </c>
      <c r="E4070" s="125"/>
      <c r="F4070" s="118" t="s">
        <v>828</v>
      </c>
      <c r="G4070" s="126" t="s">
        <v>11386</v>
      </c>
      <c r="H4070" s="255">
        <v>6</v>
      </c>
      <c r="I4070" s="361">
        <v>1</v>
      </c>
      <c r="J4070" s="371" t="s">
        <v>286</v>
      </c>
      <c r="K4070" s="377"/>
      <c r="L4070" s="129"/>
      <c r="M4070" s="378"/>
      <c r="N4070" s="129"/>
      <c r="O4070" s="129"/>
      <c r="P4070" s="379"/>
      <c r="Q4070" s="129"/>
      <c r="R4070" s="380"/>
      <c r="S4070" s="129"/>
      <c r="T4070" s="129"/>
      <c r="W4070" s="129" t="s">
        <v>286</v>
      </c>
      <c r="X4070" s="337" t="b">
        <f t="shared" si="98"/>
        <v>1</v>
      </c>
    </row>
    <row r="4071" spans="1:24" ht="12" customHeight="1" outlineLevel="1">
      <c r="A4071" s="370"/>
      <c r="B4071" s="118" t="s">
        <v>12</v>
      </c>
      <c r="C4071" s="334" t="s">
        <v>12117</v>
      </c>
      <c r="D4071" s="124" t="s">
        <v>11630</v>
      </c>
      <c r="E4071" s="125"/>
      <c r="F4071" s="118" t="s">
        <v>828</v>
      </c>
      <c r="G4071" s="126" t="s">
        <v>11386</v>
      </c>
      <c r="H4071" s="255">
        <v>6</v>
      </c>
      <c r="I4071" s="361">
        <v>1</v>
      </c>
      <c r="J4071" s="371" t="s">
        <v>286</v>
      </c>
      <c r="K4071" s="377"/>
      <c r="L4071" s="129"/>
      <c r="M4071" s="378"/>
      <c r="N4071" s="129"/>
      <c r="O4071" s="129"/>
      <c r="P4071" s="379"/>
      <c r="Q4071" s="129"/>
      <c r="R4071" s="380"/>
      <c r="S4071" s="129"/>
      <c r="T4071" s="129"/>
      <c r="W4071" s="129" t="s">
        <v>286</v>
      </c>
      <c r="X4071" s="337" t="b">
        <f t="shared" si="98"/>
        <v>1</v>
      </c>
    </row>
    <row r="4072" spans="1:24" ht="12" customHeight="1" outlineLevel="1">
      <c r="A4072" s="370"/>
      <c r="B4072" s="118" t="s">
        <v>12</v>
      </c>
      <c r="C4072" s="334" t="s">
        <v>12118</v>
      </c>
      <c r="D4072" s="124" t="s">
        <v>11633</v>
      </c>
      <c r="E4072" s="125"/>
      <c r="F4072" s="118" t="s">
        <v>828</v>
      </c>
      <c r="G4072" s="126" t="s">
        <v>11386</v>
      </c>
      <c r="H4072" s="255">
        <v>6</v>
      </c>
      <c r="I4072" s="361">
        <v>1</v>
      </c>
      <c r="J4072" s="371" t="s">
        <v>286</v>
      </c>
      <c r="K4072" s="377"/>
      <c r="L4072" s="129"/>
      <c r="M4072" s="378"/>
      <c r="N4072" s="129"/>
      <c r="O4072" s="129"/>
      <c r="P4072" s="379"/>
      <c r="Q4072" s="129"/>
      <c r="R4072" s="380"/>
      <c r="S4072" s="129"/>
      <c r="T4072" s="129"/>
      <c r="W4072" s="129" t="s">
        <v>286</v>
      </c>
      <c r="X4072" s="337" t="b">
        <f t="shared" si="98"/>
        <v>1</v>
      </c>
    </row>
    <row r="4073" spans="1:24" ht="12" customHeight="1" outlineLevel="1">
      <c r="A4073" s="370"/>
      <c r="B4073" s="118" t="s">
        <v>12</v>
      </c>
      <c r="C4073" s="334" t="s">
        <v>12119</v>
      </c>
      <c r="D4073" s="124" t="s">
        <v>11635</v>
      </c>
      <c r="E4073" s="125"/>
      <c r="F4073" s="118" t="s">
        <v>828</v>
      </c>
      <c r="G4073" s="126" t="s">
        <v>11386</v>
      </c>
      <c r="H4073" s="255">
        <v>6</v>
      </c>
      <c r="I4073" s="361">
        <v>1</v>
      </c>
      <c r="J4073" s="371" t="s">
        <v>286</v>
      </c>
      <c r="K4073" s="377"/>
      <c r="L4073" s="129"/>
      <c r="M4073" s="378"/>
      <c r="N4073" s="129"/>
      <c r="O4073" s="129"/>
      <c r="P4073" s="379"/>
      <c r="Q4073" s="129"/>
      <c r="R4073" s="380"/>
      <c r="S4073" s="129"/>
      <c r="T4073" s="129"/>
      <c r="W4073" s="129" t="s">
        <v>286</v>
      </c>
      <c r="X4073" s="337" t="b">
        <f t="shared" si="98"/>
        <v>1</v>
      </c>
    </row>
    <row r="4074" spans="1:24" ht="12" customHeight="1" outlineLevel="1">
      <c r="A4074" s="370"/>
      <c r="B4074" s="118" t="s">
        <v>12</v>
      </c>
      <c r="C4074" s="334" t="s">
        <v>12120</v>
      </c>
      <c r="D4074" s="124" t="s">
        <v>11637</v>
      </c>
      <c r="E4074" s="125"/>
      <c r="F4074" s="118" t="s">
        <v>828</v>
      </c>
      <c r="G4074" s="126" t="s">
        <v>11386</v>
      </c>
      <c r="H4074" s="255">
        <v>6</v>
      </c>
      <c r="I4074" s="361">
        <v>1</v>
      </c>
      <c r="J4074" s="371" t="s">
        <v>286</v>
      </c>
      <c r="K4074" s="377"/>
      <c r="L4074" s="129"/>
      <c r="M4074" s="378"/>
      <c r="N4074" s="129"/>
      <c r="O4074" s="129"/>
      <c r="P4074" s="379"/>
      <c r="Q4074" s="129"/>
      <c r="R4074" s="380"/>
      <c r="S4074" s="129"/>
      <c r="T4074" s="129"/>
      <c r="W4074" s="129" t="s">
        <v>286</v>
      </c>
      <c r="X4074" s="337" t="b">
        <f t="shared" si="98"/>
        <v>1</v>
      </c>
    </row>
    <row r="4075" spans="1:24" ht="12" customHeight="1" outlineLevel="1">
      <c r="A4075" s="370"/>
      <c r="B4075" s="118" t="s">
        <v>12</v>
      </c>
      <c r="C4075" s="334" t="s">
        <v>12121</v>
      </c>
      <c r="D4075" s="124" t="s">
        <v>11639</v>
      </c>
      <c r="E4075" s="125"/>
      <c r="F4075" s="118" t="s">
        <v>828</v>
      </c>
      <c r="G4075" s="126" t="s">
        <v>11386</v>
      </c>
      <c r="H4075" s="255">
        <v>6</v>
      </c>
      <c r="I4075" s="361">
        <v>1</v>
      </c>
      <c r="J4075" s="371" t="s">
        <v>286</v>
      </c>
      <c r="K4075" s="377"/>
      <c r="L4075" s="129"/>
      <c r="M4075" s="378"/>
      <c r="N4075" s="129"/>
      <c r="O4075" s="129"/>
      <c r="P4075" s="379"/>
      <c r="Q4075" s="129"/>
      <c r="R4075" s="380"/>
      <c r="S4075" s="129"/>
      <c r="T4075" s="129"/>
      <c r="W4075" s="129" t="s">
        <v>286</v>
      </c>
      <c r="X4075" s="337" t="b">
        <f t="shared" si="98"/>
        <v>1</v>
      </c>
    </row>
    <row r="4076" spans="1:24" ht="12" customHeight="1" outlineLevel="1">
      <c r="A4076" s="370"/>
      <c r="B4076" s="118" t="s">
        <v>12</v>
      </c>
      <c r="C4076" s="334" t="s">
        <v>12122</v>
      </c>
      <c r="D4076" s="124" t="s">
        <v>11641</v>
      </c>
      <c r="E4076" s="125"/>
      <c r="F4076" s="118" t="s">
        <v>828</v>
      </c>
      <c r="G4076" s="126" t="s">
        <v>11386</v>
      </c>
      <c r="H4076" s="255">
        <v>6</v>
      </c>
      <c r="I4076" s="361">
        <v>1</v>
      </c>
      <c r="J4076" s="371" t="s">
        <v>286</v>
      </c>
      <c r="K4076" s="377"/>
      <c r="L4076" s="129"/>
      <c r="M4076" s="378"/>
      <c r="N4076" s="129"/>
      <c r="O4076" s="129"/>
      <c r="P4076" s="379"/>
      <c r="Q4076" s="129"/>
      <c r="R4076" s="380"/>
      <c r="S4076" s="129"/>
      <c r="T4076" s="129"/>
      <c r="W4076" s="129" t="s">
        <v>286</v>
      </c>
      <c r="X4076" s="337" t="b">
        <f t="shared" si="98"/>
        <v>1</v>
      </c>
    </row>
    <row r="4077" spans="1:24" ht="12" customHeight="1" outlineLevel="1">
      <c r="A4077" s="370"/>
      <c r="B4077" s="118" t="s">
        <v>12</v>
      </c>
      <c r="C4077" s="334" t="s">
        <v>12123</v>
      </c>
      <c r="D4077" s="124" t="s">
        <v>11643</v>
      </c>
      <c r="E4077" s="125"/>
      <c r="F4077" s="118" t="s">
        <v>828</v>
      </c>
      <c r="G4077" s="126" t="s">
        <v>11386</v>
      </c>
      <c r="H4077" s="255">
        <v>6</v>
      </c>
      <c r="I4077" s="361">
        <v>1</v>
      </c>
      <c r="J4077" s="371" t="s">
        <v>286</v>
      </c>
      <c r="K4077" s="377"/>
      <c r="L4077" s="129"/>
      <c r="M4077" s="378"/>
      <c r="N4077" s="129"/>
      <c r="O4077" s="129"/>
      <c r="P4077" s="379"/>
      <c r="Q4077" s="129"/>
      <c r="R4077" s="380"/>
      <c r="S4077" s="129"/>
      <c r="T4077" s="129"/>
      <c r="W4077" s="129" t="s">
        <v>286</v>
      </c>
      <c r="X4077" s="337" t="b">
        <f t="shared" si="98"/>
        <v>1</v>
      </c>
    </row>
    <row r="4078" spans="1:24" ht="12" customHeight="1" outlineLevel="1">
      <c r="A4078" s="370"/>
      <c r="B4078" s="118" t="s">
        <v>12</v>
      </c>
      <c r="C4078" s="334" t="s">
        <v>12124</v>
      </c>
      <c r="D4078" s="124" t="s">
        <v>11645</v>
      </c>
      <c r="E4078" s="125"/>
      <c r="F4078" s="118" t="s">
        <v>828</v>
      </c>
      <c r="G4078" s="126" t="s">
        <v>11386</v>
      </c>
      <c r="H4078" s="255">
        <v>6</v>
      </c>
      <c r="I4078" s="361">
        <v>1</v>
      </c>
      <c r="J4078" s="371" t="s">
        <v>286</v>
      </c>
      <c r="K4078" s="377"/>
      <c r="L4078" s="129"/>
      <c r="M4078" s="378"/>
      <c r="N4078" s="129"/>
      <c r="O4078" s="129"/>
      <c r="P4078" s="379"/>
      <c r="Q4078" s="129"/>
      <c r="R4078" s="380"/>
      <c r="S4078" s="129"/>
      <c r="T4078" s="129"/>
      <c r="W4078" s="129" t="s">
        <v>286</v>
      </c>
      <c r="X4078" s="337" t="b">
        <f t="shared" si="98"/>
        <v>1</v>
      </c>
    </row>
    <row r="4079" spans="1:24" ht="12" customHeight="1" outlineLevel="1">
      <c r="A4079" s="370"/>
      <c r="B4079" s="118" t="s">
        <v>12</v>
      </c>
      <c r="C4079" s="334" t="s">
        <v>12125</v>
      </c>
      <c r="D4079" s="124" t="s">
        <v>11647</v>
      </c>
      <c r="E4079" s="125"/>
      <c r="F4079" s="118" t="s">
        <v>828</v>
      </c>
      <c r="G4079" s="126" t="s">
        <v>11386</v>
      </c>
      <c r="H4079" s="255">
        <v>6</v>
      </c>
      <c r="I4079" s="361">
        <v>1</v>
      </c>
      <c r="J4079" s="371" t="s">
        <v>286</v>
      </c>
      <c r="K4079" s="377"/>
      <c r="L4079" s="129"/>
      <c r="M4079" s="378"/>
      <c r="N4079" s="129"/>
      <c r="O4079" s="129"/>
      <c r="P4079" s="379"/>
      <c r="Q4079" s="129"/>
      <c r="R4079" s="380"/>
      <c r="S4079" s="129"/>
      <c r="T4079" s="129"/>
      <c r="W4079" s="129" t="s">
        <v>286</v>
      </c>
      <c r="X4079" s="337" t="b">
        <f t="shared" si="98"/>
        <v>1</v>
      </c>
    </row>
    <row r="4080" spans="1:24" ht="12" customHeight="1" outlineLevel="1">
      <c r="A4080" s="370"/>
      <c r="B4080" s="118" t="s">
        <v>12</v>
      </c>
      <c r="C4080" s="334" t="s">
        <v>12126</v>
      </c>
      <c r="D4080" s="124" t="s">
        <v>11649</v>
      </c>
      <c r="E4080" s="125"/>
      <c r="F4080" s="118" t="s">
        <v>828</v>
      </c>
      <c r="G4080" s="126" t="s">
        <v>11386</v>
      </c>
      <c r="H4080" s="255">
        <v>6</v>
      </c>
      <c r="I4080" s="361">
        <v>1</v>
      </c>
      <c r="J4080" s="371" t="s">
        <v>286</v>
      </c>
      <c r="K4080" s="377"/>
      <c r="L4080" s="129"/>
      <c r="M4080" s="378"/>
      <c r="N4080" s="129"/>
      <c r="O4080" s="129"/>
      <c r="P4080" s="379"/>
      <c r="Q4080" s="129"/>
      <c r="R4080" s="380"/>
      <c r="S4080" s="129"/>
      <c r="T4080" s="129"/>
      <c r="W4080" s="129" t="s">
        <v>286</v>
      </c>
      <c r="X4080" s="337" t="b">
        <f t="shared" si="98"/>
        <v>1</v>
      </c>
    </row>
    <row r="4081" spans="1:24" ht="12" customHeight="1" outlineLevel="1">
      <c r="A4081" s="370"/>
      <c r="B4081" s="118" t="s">
        <v>12</v>
      </c>
      <c r="C4081" s="334" t="s">
        <v>12127</v>
      </c>
      <c r="D4081" s="124" t="s">
        <v>11651</v>
      </c>
      <c r="E4081" s="125"/>
      <c r="F4081" s="118" t="s">
        <v>828</v>
      </c>
      <c r="G4081" s="126" t="s">
        <v>11386</v>
      </c>
      <c r="H4081" s="255">
        <v>6</v>
      </c>
      <c r="I4081" s="361">
        <v>1</v>
      </c>
      <c r="J4081" s="371" t="s">
        <v>286</v>
      </c>
      <c r="K4081" s="377"/>
      <c r="L4081" s="129"/>
      <c r="M4081" s="378"/>
      <c r="N4081" s="129"/>
      <c r="O4081" s="129"/>
      <c r="P4081" s="379"/>
      <c r="Q4081" s="129"/>
      <c r="R4081" s="380"/>
      <c r="S4081" s="129"/>
      <c r="T4081" s="129"/>
      <c r="W4081" s="129" t="s">
        <v>286</v>
      </c>
      <c r="X4081" s="337" t="b">
        <f t="shared" si="98"/>
        <v>1</v>
      </c>
    </row>
    <row r="4082" spans="1:24" ht="12" customHeight="1" outlineLevel="1">
      <c r="A4082" s="370"/>
      <c r="B4082" s="118" t="s">
        <v>12</v>
      </c>
      <c r="C4082" s="334" t="s">
        <v>12128</v>
      </c>
      <c r="D4082" s="124" t="s">
        <v>11653</v>
      </c>
      <c r="E4082" s="125"/>
      <c r="F4082" s="118" t="s">
        <v>828</v>
      </c>
      <c r="G4082" s="126" t="s">
        <v>11386</v>
      </c>
      <c r="H4082" s="255">
        <v>6</v>
      </c>
      <c r="I4082" s="361">
        <v>1</v>
      </c>
      <c r="J4082" s="371" t="s">
        <v>286</v>
      </c>
      <c r="K4082" s="377"/>
      <c r="L4082" s="129"/>
      <c r="M4082" s="378"/>
      <c r="N4082" s="129"/>
      <c r="O4082" s="129"/>
      <c r="P4082" s="379"/>
      <c r="Q4082" s="129"/>
      <c r="R4082" s="380"/>
      <c r="S4082" s="129"/>
      <c r="T4082" s="129"/>
      <c r="W4082" s="129" t="s">
        <v>286</v>
      </c>
      <c r="X4082" s="337" t="b">
        <f t="shared" si="98"/>
        <v>1</v>
      </c>
    </row>
    <row r="4083" spans="1:24" ht="12" customHeight="1" outlineLevel="1">
      <c r="A4083" s="370"/>
      <c r="B4083" s="118" t="s">
        <v>12</v>
      </c>
      <c r="C4083" s="334" t="s">
        <v>12129</v>
      </c>
      <c r="D4083" s="124" t="s">
        <v>11655</v>
      </c>
      <c r="E4083" s="125"/>
      <c r="F4083" s="118" t="s">
        <v>828</v>
      </c>
      <c r="G4083" s="126" t="s">
        <v>11386</v>
      </c>
      <c r="H4083" s="255">
        <v>6</v>
      </c>
      <c r="I4083" s="361">
        <v>1</v>
      </c>
      <c r="J4083" s="371" t="s">
        <v>286</v>
      </c>
      <c r="K4083" s="377"/>
      <c r="L4083" s="129"/>
      <c r="M4083" s="378"/>
      <c r="N4083" s="129"/>
      <c r="O4083" s="129"/>
      <c r="P4083" s="379"/>
      <c r="Q4083" s="129"/>
      <c r="R4083" s="380"/>
      <c r="S4083" s="129"/>
      <c r="T4083" s="129"/>
      <c r="W4083" s="129" t="s">
        <v>286</v>
      </c>
      <c r="X4083" s="337" t="b">
        <f t="shared" si="98"/>
        <v>1</v>
      </c>
    </row>
    <row r="4084" spans="1:24" ht="12" customHeight="1" outlineLevel="1">
      <c r="A4084" s="370"/>
      <c r="B4084" s="118" t="s">
        <v>12</v>
      </c>
      <c r="C4084" s="334" t="s">
        <v>12130</v>
      </c>
      <c r="D4084" s="124" t="s">
        <v>11657</v>
      </c>
      <c r="E4084" s="125"/>
      <c r="F4084" s="118" t="s">
        <v>828</v>
      </c>
      <c r="G4084" s="126" t="s">
        <v>11386</v>
      </c>
      <c r="H4084" s="255">
        <v>6</v>
      </c>
      <c r="I4084" s="361">
        <v>1</v>
      </c>
      <c r="J4084" s="371" t="s">
        <v>286</v>
      </c>
      <c r="K4084" s="377"/>
      <c r="L4084" s="129"/>
      <c r="M4084" s="378"/>
      <c r="N4084" s="129"/>
      <c r="O4084" s="129"/>
      <c r="P4084" s="379"/>
      <c r="Q4084" s="129"/>
      <c r="R4084" s="380"/>
      <c r="S4084" s="129"/>
      <c r="T4084" s="129"/>
      <c r="W4084" s="129" t="s">
        <v>286</v>
      </c>
      <c r="X4084" s="337" t="b">
        <f t="shared" si="98"/>
        <v>1</v>
      </c>
    </row>
    <row r="4085" spans="1:24" ht="12" customHeight="1" outlineLevel="1">
      <c r="A4085" s="370"/>
      <c r="B4085" s="118" t="s">
        <v>12</v>
      </c>
      <c r="C4085" s="334" t="s">
        <v>12131</v>
      </c>
      <c r="D4085" s="124" t="s">
        <v>11659</v>
      </c>
      <c r="E4085" s="125"/>
      <c r="F4085" s="118" t="s">
        <v>828</v>
      </c>
      <c r="G4085" s="126" t="s">
        <v>11386</v>
      </c>
      <c r="H4085" s="255">
        <v>6</v>
      </c>
      <c r="I4085" s="361">
        <v>1</v>
      </c>
      <c r="J4085" s="371" t="s">
        <v>286</v>
      </c>
      <c r="K4085" s="377"/>
      <c r="L4085" s="129"/>
      <c r="M4085" s="378"/>
      <c r="N4085" s="129"/>
      <c r="O4085" s="129"/>
      <c r="P4085" s="379"/>
      <c r="Q4085" s="129"/>
      <c r="R4085" s="380"/>
      <c r="S4085" s="129"/>
      <c r="T4085" s="129"/>
      <c r="W4085" s="129" t="s">
        <v>286</v>
      </c>
      <c r="X4085" s="337" t="b">
        <f t="shared" si="98"/>
        <v>1</v>
      </c>
    </row>
    <row r="4086" spans="1:24" ht="12" customHeight="1" outlineLevel="1">
      <c r="A4086" s="370"/>
      <c r="B4086" s="118" t="s">
        <v>12</v>
      </c>
      <c r="C4086" s="334" t="s">
        <v>12132</v>
      </c>
      <c r="D4086" s="124" t="s">
        <v>11661</v>
      </c>
      <c r="E4086" s="125"/>
      <c r="F4086" s="118" t="s">
        <v>828</v>
      </c>
      <c r="G4086" s="126" t="s">
        <v>11386</v>
      </c>
      <c r="H4086" s="255">
        <v>6</v>
      </c>
      <c r="I4086" s="361">
        <v>1</v>
      </c>
      <c r="J4086" s="371" t="s">
        <v>286</v>
      </c>
      <c r="K4086" s="377"/>
      <c r="L4086" s="129"/>
      <c r="M4086" s="378"/>
      <c r="N4086" s="129"/>
      <c r="O4086" s="129"/>
      <c r="P4086" s="379"/>
      <c r="Q4086" s="129"/>
      <c r="R4086" s="380"/>
      <c r="S4086" s="129"/>
      <c r="T4086" s="129"/>
      <c r="W4086" s="129" t="s">
        <v>286</v>
      </c>
      <c r="X4086" s="337" t="b">
        <f t="shared" si="98"/>
        <v>1</v>
      </c>
    </row>
    <row r="4087" spans="1:24" ht="12" customHeight="1" outlineLevel="1">
      <c r="A4087" s="370"/>
      <c r="B4087" s="118" t="s">
        <v>12</v>
      </c>
      <c r="C4087" s="334" t="s">
        <v>12133</v>
      </c>
      <c r="D4087" s="124" t="s">
        <v>11663</v>
      </c>
      <c r="E4087" s="125"/>
      <c r="F4087" s="118" t="s">
        <v>828</v>
      </c>
      <c r="G4087" s="126" t="s">
        <v>11386</v>
      </c>
      <c r="H4087" s="255">
        <v>6</v>
      </c>
      <c r="I4087" s="361">
        <v>1</v>
      </c>
      <c r="J4087" s="371" t="s">
        <v>286</v>
      </c>
      <c r="K4087" s="377"/>
      <c r="L4087" s="129"/>
      <c r="M4087" s="378"/>
      <c r="N4087" s="129"/>
      <c r="O4087" s="129"/>
      <c r="P4087" s="379"/>
      <c r="Q4087" s="129"/>
      <c r="R4087" s="380"/>
      <c r="S4087" s="129"/>
      <c r="T4087" s="129"/>
      <c r="W4087" s="129" t="s">
        <v>286</v>
      </c>
      <c r="X4087" s="337" t="b">
        <f t="shared" si="98"/>
        <v>1</v>
      </c>
    </row>
    <row r="4088" spans="1:24" ht="12" customHeight="1" outlineLevel="1">
      <c r="A4088" s="370"/>
      <c r="B4088" s="118" t="s">
        <v>12</v>
      </c>
      <c r="C4088" s="334" t="s">
        <v>12134</v>
      </c>
      <c r="D4088" s="124" t="s">
        <v>11665</v>
      </c>
      <c r="E4088" s="125"/>
      <c r="F4088" s="118" t="s">
        <v>828</v>
      </c>
      <c r="G4088" s="126" t="s">
        <v>11386</v>
      </c>
      <c r="H4088" s="255">
        <v>6</v>
      </c>
      <c r="I4088" s="361">
        <v>1</v>
      </c>
      <c r="J4088" s="371" t="s">
        <v>286</v>
      </c>
      <c r="K4088" s="377"/>
      <c r="L4088" s="129"/>
      <c r="M4088" s="378"/>
      <c r="N4088" s="129"/>
      <c r="O4088" s="129"/>
      <c r="P4088" s="379"/>
      <c r="Q4088" s="129"/>
      <c r="R4088" s="380"/>
      <c r="S4088" s="129"/>
      <c r="T4088" s="129"/>
      <c r="W4088" s="129" t="s">
        <v>286</v>
      </c>
      <c r="X4088" s="337" t="b">
        <f t="shared" si="98"/>
        <v>1</v>
      </c>
    </row>
    <row r="4089" spans="1:24" ht="12" customHeight="1" outlineLevel="1">
      <c r="A4089" s="370"/>
      <c r="B4089" s="118" t="s">
        <v>12</v>
      </c>
      <c r="C4089" s="334" t="s">
        <v>12135</v>
      </c>
      <c r="D4089" s="124" t="s">
        <v>11735</v>
      </c>
      <c r="E4089" s="125"/>
      <c r="F4089" s="118" t="s">
        <v>828</v>
      </c>
      <c r="G4089" s="126" t="s">
        <v>11386</v>
      </c>
      <c r="H4089" s="255">
        <v>6</v>
      </c>
      <c r="I4089" s="361">
        <v>1</v>
      </c>
      <c r="J4089" s="371" t="s">
        <v>286</v>
      </c>
      <c r="K4089" s="377"/>
      <c r="L4089" s="129"/>
      <c r="M4089" s="378"/>
      <c r="N4089" s="129"/>
      <c r="O4089" s="129"/>
      <c r="P4089" s="379"/>
      <c r="Q4089" s="129"/>
      <c r="R4089" s="380"/>
      <c r="S4089" s="129"/>
      <c r="T4089" s="129"/>
      <c r="W4089" s="129" t="s">
        <v>286</v>
      </c>
      <c r="X4089" s="337" t="b">
        <f t="shared" si="98"/>
        <v>1</v>
      </c>
    </row>
    <row r="4090" spans="1:24" ht="12" customHeight="1" outlineLevel="1">
      <c r="A4090" s="370"/>
      <c r="B4090" s="118" t="s">
        <v>12</v>
      </c>
      <c r="C4090" s="334" t="s">
        <v>12136</v>
      </c>
      <c r="D4090" s="124" t="s">
        <v>11737</v>
      </c>
      <c r="E4090" s="125"/>
      <c r="F4090" s="118" t="s">
        <v>828</v>
      </c>
      <c r="G4090" s="126" t="s">
        <v>11386</v>
      </c>
      <c r="H4090" s="255">
        <v>6</v>
      </c>
      <c r="I4090" s="361">
        <v>1</v>
      </c>
      <c r="J4090" s="371" t="s">
        <v>286</v>
      </c>
      <c r="K4090" s="377"/>
      <c r="L4090" s="129"/>
      <c r="M4090" s="378"/>
      <c r="N4090" s="129"/>
      <c r="O4090" s="129"/>
      <c r="P4090" s="379"/>
      <c r="Q4090" s="129"/>
      <c r="R4090" s="380"/>
      <c r="S4090" s="129"/>
      <c r="T4090" s="129"/>
      <c r="W4090" s="129" t="s">
        <v>286</v>
      </c>
      <c r="X4090" s="337" t="b">
        <f t="shared" si="98"/>
        <v>1</v>
      </c>
    </row>
    <row r="4091" spans="1:24" ht="12" customHeight="1" outlineLevel="1">
      <c r="A4091" s="370"/>
      <c r="B4091" s="118" t="s">
        <v>12</v>
      </c>
      <c r="C4091" s="334" t="s">
        <v>12137</v>
      </c>
      <c r="D4091" s="124" t="s">
        <v>11739</v>
      </c>
      <c r="E4091" s="125"/>
      <c r="F4091" s="118" t="s">
        <v>828</v>
      </c>
      <c r="G4091" s="126" t="s">
        <v>11386</v>
      </c>
      <c r="H4091" s="255">
        <v>6</v>
      </c>
      <c r="I4091" s="361">
        <v>1</v>
      </c>
      <c r="J4091" s="371" t="s">
        <v>286</v>
      </c>
      <c r="K4091" s="377"/>
      <c r="L4091" s="129"/>
      <c r="M4091" s="378"/>
      <c r="N4091" s="129"/>
      <c r="O4091" s="129"/>
      <c r="P4091" s="379"/>
      <c r="Q4091" s="129"/>
      <c r="R4091" s="380"/>
      <c r="S4091" s="129"/>
      <c r="T4091" s="129"/>
      <c r="W4091" s="129" t="s">
        <v>286</v>
      </c>
      <c r="X4091" s="337" t="b">
        <f t="shared" si="98"/>
        <v>1</v>
      </c>
    </row>
    <row r="4092" spans="1:24" ht="12" customHeight="1" outlineLevel="1">
      <c r="A4092" s="370"/>
      <c r="B4092" s="118" t="s">
        <v>12</v>
      </c>
      <c r="C4092" s="334" t="s">
        <v>12138</v>
      </c>
      <c r="D4092" s="124" t="s">
        <v>11741</v>
      </c>
      <c r="E4092" s="125"/>
      <c r="F4092" s="118" t="s">
        <v>828</v>
      </c>
      <c r="G4092" s="126" t="s">
        <v>11386</v>
      </c>
      <c r="H4092" s="255">
        <v>6</v>
      </c>
      <c r="I4092" s="361">
        <v>1</v>
      </c>
      <c r="J4092" s="371" t="s">
        <v>310</v>
      </c>
      <c r="K4092" s="377"/>
      <c r="L4092" s="129"/>
      <c r="M4092" s="378"/>
      <c r="N4092" s="129"/>
      <c r="O4092" s="129"/>
      <c r="P4092" s="379"/>
      <c r="Q4092" s="129"/>
      <c r="R4092" s="380"/>
      <c r="S4092" s="129"/>
      <c r="T4092" s="129"/>
      <c r="W4092" s="129" t="s">
        <v>310</v>
      </c>
      <c r="X4092" s="337" t="b">
        <f t="shared" si="98"/>
        <v>1</v>
      </c>
    </row>
    <row r="4093" spans="1:24" ht="12" customHeight="1" outlineLevel="1">
      <c r="A4093" s="370"/>
      <c r="B4093" s="118" t="s">
        <v>12</v>
      </c>
      <c r="C4093" s="334" t="s">
        <v>12139</v>
      </c>
      <c r="D4093" s="124" t="s">
        <v>11743</v>
      </c>
      <c r="E4093" s="125"/>
      <c r="F4093" s="118" t="s">
        <v>828</v>
      </c>
      <c r="G4093" s="126" t="s">
        <v>11386</v>
      </c>
      <c r="H4093" s="255">
        <v>6</v>
      </c>
      <c r="I4093" s="361">
        <v>1</v>
      </c>
      <c r="J4093" s="371" t="s">
        <v>286</v>
      </c>
      <c r="K4093" s="377"/>
      <c r="L4093" s="129"/>
      <c r="M4093" s="378"/>
      <c r="N4093" s="129"/>
      <c r="O4093" s="129"/>
      <c r="P4093" s="379"/>
      <c r="Q4093" s="129"/>
      <c r="R4093" s="380"/>
      <c r="S4093" s="129"/>
      <c r="T4093" s="129"/>
      <c r="W4093" s="129" t="s">
        <v>286</v>
      </c>
      <c r="X4093" s="337" t="b">
        <f t="shared" si="98"/>
        <v>1</v>
      </c>
    </row>
    <row r="4094" spans="1:24" ht="12" customHeight="1" outlineLevel="1">
      <c r="A4094" s="370"/>
      <c r="B4094" s="118" t="s">
        <v>12</v>
      </c>
      <c r="C4094" s="334" t="s">
        <v>12140</v>
      </c>
      <c r="D4094" s="124" t="s">
        <v>11745</v>
      </c>
      <c r="E4094" s="125"/>
      <c r="F4094" s="118" t="s">
        <v>828</v>
      </c>
      <c r="G4094" s="126" t="s">
        <v>11386</v>
      </c>
      <c r="H4094" s="255">
        <v>6</v>
      </c>
      <c r="I4094" s="361">
        <v>1</v>
      </c>
      <c r="J4094" s="371" t="s">
        <v>286</v>
      </c>
      <c r="K4094" s="377"/>
      <c r="L4094" s="129"/>
      <c r="M4094" s="378"/>
      <c r="N4094" s="129"/>
      <c r="O4094" s="129"/>
      <c r="P4094" s="379"/>
      <c r="Q4094" s="129"/>
      <c r="R4094" s="380"/>
      <c r="S4094" s="129"/>
      <c r="T4094" s="129"/>
      <c r="W4094" s="129" t="s">
        <v>286</v>
      </c>
      <c r="X4094" s="337" t="b">
        <f t="shared" si="98"/>
        <v>1</v>
      </c>
    </row>
    <row r="4095" spans="1:24" ht="12" customHeight="1" outlineLevel="1">
      <c r="A4095" s="370"/>
      <c r="B4095" s="118" t="s">
        <v>12</v>
      </c>
      <c r="C4095" s="334" t="s">
        <v>12141</v>
      </c>
      <c r="D4095" s="124" t="s">
        <v>11747</v>
      </c>
      <c r="E4095" s="125"/>
      <c r="F4095" s="118" t="s">
        <v>828</v>
      </c>
      <c r="G4095" s="126" t="s">
        <v>11386</v>
      </c>
      <c r="H4095" s="255">
        <v>6</v>
      </c>
      <c r="I4095" s="361">
        <v>1</v>
      </c>
      <c r="J4095" s="371" t="s">
        <v>286</v>
      </c>
      <c r="K4095" s="377"/>
      <c r="L4095" s="129"/>
      <c r="M4095" s="378"/>
      <c r="N4095" s="129"/>
      <c r="O4095" s="129"/>
      <c r="P4095" s="379"/>
      <c r="Q4095" s="129"/>
      <c r="R4095" s="380"/>
      <c r="S4095" s="129"/>
      <c r="T4095" s="129"/>
      <c r="W4095" s="129" t="s">
        <v>286</v>
      </c>
      <c r="X4095" s="337" t="b">
        <f t="shared" si="98"/>
        <v>1</v>
      </c>
    </row>
    <row r="4096" spans="1:24" ht="12" customHeight="1" outlineLevel="1">
      <c r="A4096" s="370"/>
      <c r="B4096" s="118" t="s">
        <v>12</v>
      </c>
      <c r="C4096" s="334" t="s">
        <v>12142</v>
      </c>
      <c r="D4096" s="124" t="s">
        <v>11749</v>
      </c>
      <c r="E4096" s="125"/>
      <c r="F4096" s="118" t="s">
        <v>828</v>
      </c>
      <c r="G4096" s="126" t="s">
        <v>11386</v>
      </c>
      <c r="H4096" s="255">
        <v>6</v>
      </c>
      <c r="I4096" s="361">
        <v>1</v>
      </c>
      <c r="J4096" s="371" t="s">
        <v>286</v>
      </c>
      <c r="K4096" s="377"/>
      <c r="L4096" s="129"/>
      <c r="M4096" s="378"/>
      <c r="N4096" s="129"/>
      <c r="O4096" s="129"/>
      <c r="P4096" s="379"/>
      <c r="Q4096" s="129"/>
      <c r="R4096" s="380"/>
      <c r="S4096" s="129"/>
      <c r="T4096" s="129"/>
      <c r="W4096" s="129" t="s">
        <v>286</v>
      </c>
      <c r="X4096" s="337" t="b">
        <f t="shared" si="98"/>
        <v>1</v>
      </c>
    </row>
    <row r="4097" spans="1:24" ht="12" customHeight="1" outlineLevel="1">
      <c r="A4097" s="370"/>
      <c r="B4097" s="118" t="s">
        <v>12</v>
      </c>
      <c r="C4097" s="334" t="s">
        <v>12143</v>
      </c>
      <c r="D4097" s="124" t="s">
        <v>11751</v>
      </c>
      <c r="E4097" s="125"/>
      <c r="F4097" s="118" t="s">
        <v>828</v>
      </c>
      <c r="G4097" s="126" t="s">
        <v>11386</v>
      </c>
      <c r="H4097" s="255">
        <v>6</v>
      </c>
      <c r="I4097" s="361">
        <v>1</v>
      </c>
      <c r="J4097" s="371" t="s">
        <v>310</v>
      </c>
      <c r="K4097" s="377"/>
      <c r="L4097" s="129"/>
      <c r="M4097" s="378"/>
      <c r="N4097" s="129"/>
      <c r="O4097" s="129"/>
      <c r="P4097" s="379"/>
      <c r="Q4097" s="129"/>
      <c r="R4097" s="380"/>
      <c r="S4097" s="129"/>
      <c r="T4097" s="129"/>
      <c r="W4097" s="129" t="s">
        <v>286</v>
      </c>
      <c r="X4097" s="337" t="b">
        <f t="shared" si="98"/>
        <v>0</v>
      </c>
    </row>
    <row r="4098" spans="1:24" ht="12" customHeight="1" outlineLevel="1">
      <c r="A4098" s="370"/>
      <c r="B4098" s="118" t="s">
        <v>12</v>
      </c>
      <c r="C4098" s="334" t="s">
        <v>12144</v>
      </c>
      <c r="D4098" s="124" t="s">
        <v>11753</v>
      </c>
      <c r="E4098" s="125"/>
      <c r="F4098" s="118" t="s">
        <v>828</v>
      </c>
      <c r="G4098" s="126" t="s">
        <v>11386</v>
      </c>
      <c r="H4098" s="255">
        <v>6</v>
      </c>
      <c r="I4098" s="361">
        <v>1</v>
      </c>
      <c r="J4098" s="371" t="s">
        <v>286</v>
      </c>
      <c r="K4098" s="377"/>
      <c r="L4098" s="129"/>
      <c r="M4098" s="378"/>
      <c r="N4098" s="129"/>
      <c r="O4098" s="129"/>
      <c r="P4098" s="379"/>
      <c r="Q4098" s="129"/>
      <c r="R4098" s="380"/>
      <c r="S4098" s="129"/>
      <c r="T4098" s="129"/>
      <c r="W4098" s="129" t="s">
        <v>286</v>
      </c>
      <c r="X4098" s="337" t="b">
        <f t="shared" si="98"/>
        <v>1</v>
      </c>
    </row>
    <row r="4099" spans="1:24" ht="12" customHeight="1" outlineLevel="1">
      <c r="A4099" s="370"/>
      <c r="B4099" s="118" t="s">
        <v>12</v>
      </c>
      <c r="C4099" s="334" t="s">
        <v>12145</v>
      </c>
      <c r="D4099" s="124" t="s">
        <v>11755</v>
      </c>
      <c r="E4099" s="125"/>
      <c r="F4099" s="118" t="s">
        <v>828</v>
      </c>
      <c r="G4099" s="126" t="s">
        <v>11386</v>
      </c>
      <c r="H4099" s="255">
        <v>6</v>
      </c>
      <c r="I4099" s="361">
        <v>1</v>
      </c>
      <c r="J4099" s="371" t="s">
        <v>286</v>
      </c>
      <c r="K4099" s="377"/>
      <c r="L4099" s="129"/>
      <c r="M4099" s="378"/>
      <c r="N4099" s="129"/>
      <c r="O4099" s="129"/>
      <c r="P4099" s="379"/>
      <c r="Q4099" s="129"/>
      <c r="R4099" s="380"/>
      <c r="S4099" s="129"/>
      <c r="T4099" s="129"/>
      <c r="W4099" s="129" t="s">
        <v>286</v>
      </c>
      <c r="X4099" s="337" t="b">
        <f t="shared" si="98"/>
        <v>1</v>
      </c>
    </row>
    <row r="4100" spans="1:24" ht="12" customHeight="1" outlineLevel="1">
      <c r="A4100" s="370"/>
      <c r="B4100" s="118" t="s">
        <v>12</v>
      </c>
      <c r="C4100" s="334" t="s">
        <v>12146</v>
      </c>
      <c r="D4100" s="124" t="s">
        <v>11757</v>
      </c>
      <c r="E4100" s="125"/>
      <c r="F4100" s="118" t="s">
        <v>828</v>
      </c>
      <c r="G4100" s="126" t="s">
        <v>11386</v>
      </c>
      <c r="H4100" s="255">
        <v>6</v>
      </c>
      <c r="I4100" s="361">
        <v>1</v>
      </c>
      <c r="J4100" s="371" t="s">
        <v>286</v>
      </c>
      <c r="K4100" s="377"/>
      <c r="L4100" s="129"/>
      <c r="M4100" s="378"/>
      <c r="N4100" s="129"/>
      <c r="O4100" s="129"/>
      <c r="P4100" s="379"/>
      <c r="Q4100" s="129"/>
      <c r="R4100" s="380"/>
      <c r="S4100" s="129"/>
      <c r="T4100" s="129"/>
      <c r="W4100" s="129" t="s">
        <v>286</v>
      </c>
      <c r="X4100" s="337" t="b">
        <f t="shared" si="98"/>
        <v>1</v>
      </c>
    </row>
    <row r="4101" spans="1:24" ht="12" customHeight="1" outlineLevel="1">
      <c r="A4101" s="370"/>
      <c r="B4101" s="118" t="s">
        <v>12</v>
      </c>
      <c r="C4101" s="334" t="s">
        <v>12147</v>
      </c>
      <c r="D4101" s="124" t="s">
        <v>11759</v>
      </c>
      <c r="E4101" s="125"/>
      <c r="F4101" s="118" t="s">
        <v>828</v>
      </c>
      <c r="G4101" s="126" t="s">
        <v>11386</v>
      </c>
      <c r="H4101" s="255">
        <v>6</v>
      </c>
      <c r="I4101" s="361">
        <v>1</v>
      </c>
      <c r="J4101" s="371" t="s">
        <v>310</v>
      </c>
      <c r="K4101" s="377"/>
      <c r="L4101" s="129"/>
      <c r="M4101" s="378"/>
      <c r="N4101" s="129"/>
      <c r="O4101" s="129"/>
      <c r="P4101" s="379"/>
      <c r="Q4101" s="129"/>
      <c r="R4101" s="380"/>
      <c r="S4101" s="129"/>
      <c r="T4101" s="129"/>
      <c r="W4101" s="129" t="s">
        <v>310</v>
      </c>
      <c r="X4101" s="337" t="b">
        <f t="shared" si="98"/>
        <v>1</v>
      </c>
    </row>
    <row r="4102" spans="1:24" ht="12" customHeight="1" outlineLevel="1">
      <c r="A4102" s="370"/>
      <c r="B4102" s="118" t="s">
        <v>12</v>
      </c>
      <c r="C4102" s="334" t="s">
        <v>12148</v>
      </c>
      <c r="D4102" s="124" t="s">
        <v>11761</v>
      </c>
      <c r="E4102" s="125"/>
      <c r="F4102" s="118" t="s">
        <v>828</v>
      </c>
      <c r="G4102" s="126" t="s">
        <v>11386</v>
      </c>
      <c r="H4102" s="255">
        <v>6</v>
      </c>
      <c r="I4102" s="361">
        <v>1</v>
      </c>
      <c r="J4102" s="371" t="s">
        <v>286</v>
      </c>
      <c r="K4102" s="377"/>
      <c r="L4102" s="129"/>
      <c r="M4102" s="378"/>
      <c r="N4102" s="129"/>
      <c r="O4102" s="129"/>
      <c r="P4102" s="379"/>
      <c r="Q4102" s="129"/>
      <c r="R4102" s="380"/>
      <c r="S4102" s="129"/>
      <c r="T4102" s="129"/>
      <c r="W4102" s="129" t="s">
        <v>286</v>
      </c>
      <c r="X4102" s="337" t="b">
        <f t="shared" si="98"/>
        <v>1</v>
      </c>
    </row>
    <row r="4103" spans="1:24" ht="12" customHeight="1" outlineLevel="1">
      <c r="A4103" s="370"/>
      <c r="B4103" s="118" t="s">
        <v>12</v>
      </c>
      <c r="C4103" s="334" t="s">
        <v>12149</v>
      </c>
      <c r="D4103" s="124" t="s">
        <v>11763</v>
      </c>
      <c r="E4103" s="125"/>
      <c r="F4103" s="118" t="s">
        <v>828</v>
      </c>
      <c r="G4103" s="126" t="s">
        <v>11386</v>
      </c>
      <c r="H4103" s="255">
        <v>6</v>
      </c>
      <c r="I4103" s="361">
        <v>1</v>
      </c>
      <c r="J4103" s="371" t="s">
        <v>286</v>
      </c>
      <c r="K4103" s="377"/>
      <c r="L4103" s="129"/>
      <c r="M4103" s="378"/>
      <c r="N4103" s="129"/>
      <c r="O4103" s="129"/>
      <c r="P4103" s="379"/>
      <c r="Q4103" s="129"/>
      <c r="R4103" s="380"/>
      <c r="S4103" s="129"/>
      <c r="T4103" s="129"/>
      <c r="W4103" s="129" t="s">
        <v>286</v>
      </c>
      <c r="X4103" s="337" t="b">
        <f t="shared" si="98"/>
        <v>1</v>
      </c>
    </row>
    <row r="4104" spans="1:24" ht="12" customHeight="1" outlineLevel="1">
      <c r="A4104" s="370"/>
      <c r="B4104" s="118" t="s">
        <v>12</v>
      </c>
      <c r="C4104" s="334" t="s">
        <v>12150</v>
      </c>
      <c r="D4104" s="124" t="s">
        <v>11765</v>
      </c>
      <c r="E4104" s="125"/>
      <c r="F4104" s="118" t="s">
        <v>828</v>
      </c>
      <c r="G4104" s="126" t="s">
        <v>11386</v>
      </c>
      <c r="H4104" s="255">
        <v>6</v>
      </c>
      <c r="I4104" s="361">
        <v>1</v>
      </c>
      <c r="J4104" s="371" t="s">
        <v>286</v>
      </c>
      <c r="K4104" s="377"/>
      <c r="L4104" s="129"/>
      <c r="M4104" s="378"/>
      <c r="N4104" s="129"/>
      <c r="O4104" s="129"/>
      <c r="P4104" s="379"/>
      <c r="Q4104" s="129"/>
      <c r="R4104" s="380"/>
      <c r="S4104" s="129"/>
      <c r="T4104" s="129"/>
      <c r="W4104" s="129" t="s">
        <v>286</v>
      </c>
      <c r="X4104" s="337" t="b">
        <f t="shared" si="98"/>
        <v>1</v>
      </c>
    </row>
    <row r="4105" spans="1:24" ht="12" customHeight="1" outlineLevel="1">
      <c r="A4105" s="370"/>
      <c r="B4105" s="118" t="s">
        <v>12</v>
      </c>
      <c r="C4105" s="334" t="s">
        <v>12151</v>
      </c>
      <c r="D4105" s="124" t="s">
        <v>11767</v>
      </c>
      <c r="E4105" s="125"/>
      <c r="F4105" s="118" t="s">
        <v>828</v>
      </c>
      <c r="G4105" s="126" t="s">
        <v>11386</v>
      </c>
      <c r="H4105" s="255">
        <v>6</v>
      </c>
      <c r="I4105" s="361">
        <v>1</v>
      </c>
      <c r="J4105" s="371" t="s">
        <v>286</v>
      </c>
      <c r="K4105" s="377"/>
      <c r="L4105" s="129"/>
      <c r="M4105" s="378"/>
      <c r="N4105" s="129"/>
      <c r="O4105" s="129"/>
      <c r="P4105" s="379"/>
      <c r="Q4105" s="129"/>
      <c r="R4105" s="380"/>
      <c r="S4105" s="129"/>
      <c r="T4105" s="129"/>
      <c r="W4105" s="129" t="s">
        <v>286</v>
      </c>
      <c r="X4105" s="337" t="b">
        <f t="shared" si="98"/>
        <v>1</v>
      </c>
    </row>
    <row r="4106" spans="1:24" ht="12" customHeight="1" outlineLevel="1">
      <c r="A4106" s="370"/>
      <c r="B4106" s="118" t="s">
        <v>12</v>
      </c>
      <c r="C4106" s="334" t="s">
        <v>12152</v>
      </c>
      <c r="D4106" s="124" t="s">
        <v>11769</v>
      </c>
      <c r="E4106" s="125"/>
      <c r="F4106" s="118" t="s">
        <v>828</v>
      </c>
      <c r="G4106" s="126" t="s">
        <v>11386</v>
      </c>
      <c r="H4106" s="255">
        <v>6</v>
      </c>
      <c r="I4106" s="361">
        <v>1</v>
      </c>
      <c r="J4106" s="371" t="s">
        <v>286</v>
      </c>
      <c r="K4106" s="377"/>
      <c r="L4106" s="129"/>
      <c r="M4106" s="378"/>
      <c r="N4106" s="129"/>
      <c r="O4106" s="129"/>
      <c r="P4106" s="379"/>
      <c r="Q4106" s="129"/>
      <c r="R4106" s="380"/>
      <c r="S4106" s="129"/>
      <c r="T4106" s="129"/>
      <c r="W4106" s="129" t="s">
        <v>286</v>
      </c>
      <c r="X4106" s="337" t="b">
        <f t="shared" si="98"/>
        <v>1</v>
      </c>
    </row>
    <row r="4107" spans="1:24" ht="12" customHeight="1" outlineLevel="1">
      <c r="A4107" s="370"/>
      <c r="B4107" s="118" t="s">
        <v>12</v>
      </c>
      <c r="C4107" s="334" t="s">
        <v>12153</v>
      </c>
      <c r="D4107" s="124" t="s">
        <v>11771</v>
      </c>
      <c r="E4107" s="125"/>
      <c r="F4107" s="118" t="s">
        <v>828</v>
      </c>
      <c r="G4107" s="126" t="s">
        <v>11386</v>
      </c>
      <c r="H4107" s="255">
        <v>6</v>
      </c>
      <c r="I4107" s="361">
        <v>1</v>
      </c>
      <c r="J4107" s="371" t="s">
        <v>286</v>
      </c>
      <c r="K4107" s="377"/>
      <c r="L4107" s="129"/>
      <c r="M4107" s="378"/>
      <c r="N4107" s="129"/>
      <c r="O4107" s="129"/>
      <c r="P4107" s="379"/>
      <c r="Q4107" s="129"/>
      <c r="R4107" s="380"/>
      <c r="S4107" s="129"/>
      <c r="T4107" s="129"/>
      <c r="W4107" s="129" t="s">
        <v>286</v>
      </c>
      <c r="X4107" s="337" t="b">
        <f t="shared" si="98"/>
        <v>1</v>
      </c>
    </row>
    <row r="4108" spans="1:24" ht="12" customHeight="1" outlineLevel="1">
      <c r="A4108" s="370"/>
      <c r="B4108" s="118" t="s">
        <v>12</v>
      </c>
      <c r="C4108" s="334" t="s">
        <v>12154</v>
      </c>
      <c r="D4108" s="124" t="s">
        <v>11773</v>
      </c>
      <c r="E4108" s="125"/>
      <c r="F4108" s="118" t="s">
        <v>828</v>
      </c>
      <c r="G4108" s="126" t="s">
        <v>11386</v>
      </c>
      <c r="H4108" s="255">
        <v>6</v>
      </c>
      <c r="I4108" s="361">
        <v>1</v>
      </c>
      <c r="J4108" s="371" t="s">
        <v>286</v>
      </c>
      <c r="K4108" s="377"/>
      <c r="L4108" s="129"/>
      <c r="M4108" s="378"/>
      <c r="N4108" s="129"/>
      <c r="O4108" s="129"/>
      <c r="P4108" s="379"/>
      <c r="Q4108" s="129"/>
      <c r="R4108" s="380"/>
      <c r="S4108" s="129"/>
      <c r="T4108" s="129"/>
      <c r="W4108" s="129" t="s">
        <v>286</v>
      </c>
      <c r="X4108" s="337" t="b">
        <f t="shared" si="98"/>
        <v>1</v>
      </c>
    </row>
    <row r="4109" spans="1:24" ht="12" customHeight="1" outlineLevel="1">
      <c r="A4109" s="370"/>
      <c r="B4109" s="118" t="s">
        <v>12</v>
      </c>
      <c r="C4109" s="334" t="s">
        <v>12155</v>
      </c>
      <c r="D4109" s="124" t="s">
        <v>11775</v>
      </c>
      <c r="E4109" s="125"/>
      <c r="F4109" s="118" t="s">
        <v>828</v>
      </c>
      <c r="G4109" s="126" t="s">
        <v>11386</v>
      </c>
      <c r="H4109" s="255">
        <v>6</v>
      </c>
      <c r="I4109" s="361">
        <v>1</v>
      </c>
      <c r="J4109" s="371" t="s">
        <v>286</v>
      </c>
      <c r="K4109" s="377"/>
      <c r="L4109" s="129"/>
      <c r="M4109" s="378"/>
      <c r="N4109" s="129"/>
      <c r="O4109" s="129"/>
      <c r="P4109" s="379"/>
      <c r="Q4109" s="129"/>
      <c r="R4109" s="380"/>
      <c r="S4109" s="129"/>
      <c r="T4109" s="129"/>
      <c r="W4109" s="129" t="s">
        <v>4876</v>
      </c>
      <c r="X4109" s="337" t="b">
        <f t="shared" si="98"/>
        <v>0</v>
      </c>
    </row>
    <row r="4110" spans="1:24" ht="12" customHeight="1" outlineLevel="1">
      <c r="A4110" s="370"/>
      <c r="B4110" s="118" t="s">
        <v>12</v>
      </c>
      <c r="C4110" s="334" t="s">
        <v>12156</v>
      </c>
      <c r="D4110" s="124" t="s">
        <v>11777</v>
      </c>
      <c r="E4110" s="125"/>
      <c r="F4110" s="118" t="s">
        <v>828</v>
      </c>
      <c r="G4110" s="126" t="s">
        <v>11386</v>
      </c>
      <c r="H4110" s="255">
        <v>6</v>
      </c>
      <c r="I4110" s="361">
        <v>1</v>
      </c>
      <c r="J4110" s="371" t="s">
        <v>286</v>
      </c>
      <c r="K4110" s="377"/>
      <c r="L4110" s="129"/>
      <c r="M4110" s="378"/>
      <c r="N4110" s="129"/>
      <c r="O4110" s="129"/>
      <c r="P4110" s="379"/>
      <c r="Q4110" s="129"/>
      <c r="R4110" s="380"/>
      <c r="S4110" s="129"/>
      <c r="T4110" s="129"/>
      <c r="W4110" s="129" t="s">
        <v>286</v>
      </c>
      <c r="X4110" s="337" t="b">
        <f t="shared" si="98"/>
        <v>1</v>
      </c>
    </row>
    <row r="4111" spans="1:24" ht="12" customHeight="1" outlineLevel="1">
      <c r="A4111" s="370"/>
      <c r="B4111" s="118" t="s">
        <v>12</v>
      </c>
      <c r="C4111" s="334" t="s">
        <v>12157</v>
      </c>
      <c r="D4111" s="124" t="s">
        <v>11779</v>
      </c>
      <c r="E4111" s="125"/>
      <c r="F4111" s="118" t="s">
        <v>828</v>
      </c>
      <c r="G4111" s="126" t="s">
        <v>11386</v>
      </c>
      <c r="H4111" s="255">
        <v>6</v>
      </c>
      <c r="I4111" s="361">
        <v>1</v>
      </c>
      <c r="J4111" s="371" t="s">
        <v>310</v>
      </c>
      <c r="K4111" s="377"/>
      <c r="L4111" s="129"/>
      <c r="M4111" s="378"/>
      <c r="N4111" s="129"/>
      <c r="O4111" s="129"/>
      <c r="P4111" s="379"/>
      <c r="Q4111" s="129"/>
      <c r="R4111" s="380"/>
      <c r="S4111" s="129"/>
      <c r="T4111" s="129"/>
      <c r="W4111" s="129" t="s">
        <v>310</v>
      </c>
      <c r="X4111" s="337" t="b">
        <f t="shared" si="98"/>
        <v>1</v>
      </c>
    </row>
    <row r="4112" spans="1:24" ht="12" customHeight="1" outlineLevel="1">
      <c r="A4112" s="370"/>
      <c r="B4112" s="118" t="s">
        <v>12</v>
      </c>
      <c r="C4112" s="334" t="s">
        <v>12158</v>
      </c>
      <c r="D4112" s="124" t="s">
        <v>11781</v>
      </c>
      <c r="E4112" s="125"/>
      <c r="F4112" s="118" t="s">
        <v>828</v>
      </c>
      <c r="G4112" s="126" t="s">
        <v>11386</v>
      </c>
      <c r="H4112" s="255">
        <v>6</v>
      </c>
      <c r="I4112" s="361">
        <v>1</v>
      </c>
      <c r="J4112" s="371" t="s">
        <v>310</v>
      </c>
      <c r="K4112" s="377"/>
      <c r="L4112" s="129"/>
      <c r="M4112" s="378"/>
      <c r="N4112" s="129"/>
      <c r="O4112" s="129"/>
      <c r="P4112" s="379"/>
      <c r="Q4112" s="129"/>
      <c r="R4112" s="380"/>
      <c r="S4112" s="129"/>
      <c r="T4112" s="129"/>
      <c r="W4112" s="129" t="s">
        <v>310</v>
      </c>
      <c r="X4112" s="337" t="b">
        <f t="shared" si="98"/>
        <v>1</v>
      </c>
    </row>
    <row r="4113" spans="1:24" ht="12" customHeight="1" outlineLevel="1">
      <c r="A4113" s="370"/>
      <c r="B4113" s="118" t="s">
        <v>12</v>
      </c>
      <c r="C4113" s="334" t="s">
        <v>12159</v>
      </c>
      <c r="D4113" s="124" t="s">
        <v>11783</v>
      </c>
      <c r="E4113" s="125"/>
      <c r="F4113" s="118" t="s">
        <v>828</v>
      </c>
      <c r="G4113" s="126" t="s">
        <v>11386</v>
      </c>
      <c r="H4113" s="255">
        <v>6</v>
      </c>
      <c r="I4113" s="361">
        <v>1</v>
      </c>
      <c r="J4113" s="371" t="s">
        <v>286</v>
      </c>
      <c r="K4113" s="377"/>
      <c r="L4113" s="129"/>
      <c r="M4113" s="378"/>
      <c r="N4113" s="129"/>
      <c r="O4113" s="129"/>
      <c r="P4113" s="379"/>
      <c r="Q4113" s="129"/>
      <c r="R4113" s="380"/>
      <c r="S4113" s="129"/>
      <c r="T4113" s="129"/>
      <c r="W4113" s="129" t="s">
        <v>286</v>
      </c>
      <c r="X4113" s="337" t="b">
        <f t="shared" si="98"/>
        <v>1</v>
      </c>
    </row>
    <row r="4114" spans="1:24" ht="12" customHeight="1" outlineLevel="1">
      <c r="A4114" s="370"/>
      <c r="B4114" s="118" t="s">
        <v>12</v>
      </c>
      <c r="C4114" s="334" t="s">
        <v>12160</v>
      </c>
      <c r="D4114" s="124" t="s">
        <v>11785</v>
      </c>
      <c r="E4114" s="125"/>
      <c r="F4114" s="118" t="s">
        <v>828</v>
      </c>
      <c r="G4114" s="126" t="s">
        <v>11386</v>
      </c>
      <c r="H4114" s="255">
        <v>6</v>
      </c>
      <c r="I4114" s="361">
        <v>1</v>
      </c>
      <c r="J4114" s="371" t="s">
        <v>286</v>
      </c>
      <c r="K4114" s="377"/>
      <c r="L4114" s="129"/>
      <c r="M4114" s="378"/>
      <c r="N4114" s="129"/>
      <c r="O4114" s="129"/>
      <c r="P4114" s="379"/>
      <c r="Q4114" s="129"/>
      <c r="R4114" s="380"/>
      <c r="S4114" s="129"/>
      <c r="T4114" s="129"/>
      <c r="W4114" s="129" t="s">
        <v>286</v>
      </c>
      <c r="X4114" s="337" t="b">
        <f t="shared" si="98"/>
        <v>1</v>
      </c>
    </row>
    <row r="4115" spans="1:24" ht="12" customHeight="1" outlineLevel="1">
      <c r="A4115" s="370"/>
      <c r="B4115" s="118" t="s">
        <v>12</v>
      </c>
      <c r="C4115" s="334" t="s">
        <v>12161</v>
      </c>
      <c r="D4115" s="124" t="s">
        <v>11799</v>
      </c>
      <c r="E4115" s="125"/>
      <c r="F4115" s="118" t="s">
        <v>828</v>
      </c>
      <c r="G4115" s="126" t="s">
        <v>11386</v>
      </c>
      <c r="H4115" s="255">
        <v>6</v>
      </c>
      <c r="I4115" s="361">
        <v>1</v>
      </c>
      <c r="J4115" s="371" t="s">
        <v>310</v>
      </c>
      <c r="K4115" s="377"/>
      <c r="L4115" s="129"/>
      <c r="M4115" s="378"/>
      <c r="N4115" s="129"/>
      <c r="O4115" s="129"/>
      <c r="P4115" s="379"/>
      <c r="Q4115" s="129"/>
      <c r="R4115" s="380"/>
      <c r="S4115" s="129"/>
      <c r="T4115" s="129"/>
      <c r="W4115" s="129" t="s">
        <v>310</v>
      </c>
      <c r="X4115" s="337" t="b">
        <f t="shared" ref="X4115:X4178" si="99">W4115=J4115</f>
        <v>1</v>
      </c>
    </row>
    <row r="4116" spans="1:24" ht="12" customHeight="1" outlineLevel="1">
      <c r="A4116" s="370"/>
      <c r="B4116" s="118" t="s">
        <v>12</v>
      </c>
      <c r="C4116" s="334" t="s">
        <v>12162</v>
      </c>
      <c r="D4116" s="124" t="s">
        <v>11787</v>
      </c>
      <c r="E4116" s="125"/>
      <c r="F4116" s="118" t="s">
        <v>828</v>
      </c>
      <c r="G4116" s="126" t="s">
        <v>11386</v>
      </c>
      <c r="H4116" s="255">
        <v>6</v>
      </c>
      <c r="I4116" s="361">
        <v>1</v>
      </c>
      <c r="J4116" s="371" t="s">
        <v>286</v>
      </c>
      <c r="K4116" s="377"/>
      <c r="L4116" s="129"/>
      <c r="M4116" s="378"/>
      <c r="N4116" s="129"/>
      <c r="O4116" s="129"/>
      <c r="P4116" s="379"/>
      <c r="Q4116" s="129"/>
      <c r="R4116" s="380"/>
      <c r="S4116" s="129"/>
      <c r="T4116" s="129"/>
      <c r="W4116" s="129" t="s">
        <v>286</v>
      </c>
      <c r="X4116" s="337" t="b">
        <f t="shared" si="99"/>
        <v>1</v>
      </c>
    </row>
    <row r="4117" spans="1:24" ht="12" customHeight="1" outlineLevel="1">
      <c r="A4117" s="370"/>
      <c r="B4117" s="118" t="s">
        <v>12</v>
      </c>
      <c r="C4117" s="334" t="s">
        <v>12163</v>
      </c>
      <c r="D4117" s="124" t="s">
        <v>11789</v>
      </c>
      <c r="E4117" s="125"/>
      <c r="F4117" s="118" t="s">
        <v>828</v>
      </c>
      <c r="G4117" s="126" t="s">
        <v>11386</v>
      </c>
      <c r="H4117" s="255">
        <v>6</v>
      </c>
      <c r="I4117" s="361">
        <v>1</v>
      </c>
      <c r="J4117" s="371" t="s">
        <v>286</v>
      </c>
      <c r="K4117" s="377"/>
      <c r="L4117" s="129"/>
      <c r="M4117" s="378"/>
      <c r="N4117" s="129"/>
      <c r="O4117" s="129"/>
      <c r="P4117" s="379"/>
      <c r="Q4117" s="129"/>
      <c r="R4117" s="380"/>
      <c r="S4117" s="129"/>
      <c r="T4117" s="129"/>
      <c r="W4117" s="129" t="s">
        <v>286</v>
      </c>
      <c r="X4117" s="337" t="b">
        <f t="shared" si="99"/>
        <v>1</v>
      </c>
    </row>
    <row r="4118" spans="1:24" ht="12" customHeight="1" outlineLevel="1">
      <c r="A4118" s="370"/>
      <c r="B4118" s="118" t="s">
        <v>12</v>
      </c>
      <c r="C4118" s="334" t="s">
        <v>12164</v>
      </c>
      <c r="D4118" s="124" t="s">
        <v>11791</v>
      </c>
      <c r="E4118" s="125"/>
      <c r="F4118" s="118" t="s">
        <v>828</v>
      </c>
      <c r="G4118" s="126" t="s">
        <v>11386</v>
      </c>
      <c r="H4118" s="255">
        <v>6</v>
      </c>
      <c r="I4118" s="361">
        <v>1</v>
      </c>
      <c r="J4118" s="371" t="s">
        <v>286</v>
      </c>
      <c r="K4118" s="377"/>
      <c r="L4118" s="129"/>
      <c r="M4118" s="378"/>
      <c r="N4118" s="129"/>
      <c r="O4118" s="129"/>
      <c r="P4118" s="379"/>
      <c r="Q4118" s="129"/>
      <c r="R4118" s="380"/>
      <c r="S4118" s="129"/>
      <c r="T4118" s="129"/>
      <c r="W4118" s="129" t="s">
        <v>286</v>
      </c>
      <c r="X4118" s="337" t="b">
        <f t="shared" si="99"/>
        <v>1</v>
      </c>
    </row>
    <row r="4119" spans="1:24" ht="12" customHeight="1" outlineLevel="1">
      <c r="A4119" s="370"/>
      <c r="B4119" s="118" t="s">
        <v>12</v>
      </c>
      <c r="C4119" s="334" t="s">
        <v>12165</v>
      </c>
      <c r="D4119" s="124" t="s">
        <v>11793</v>
      </c>
      <c r="E4119" s="125"/>
      <c r="F4119" s="118" t="s">
        <v>828</v>
      </c>
      <c r="G4119" s="126" t="s">
        <v>11386</v>
      </c>
      <c r="H4119" s="255">
        <v>6</v>
      </c>
      <c r="I4119" s="361">
        <v>1</v>
      </c>
      <c r="J4119" s="371" t="s">
        <v>286</v>
      </c>
      <c r="K4119" s="377"/>
      <c r="L4119" s="129"/>
      <c r="M4119" s="378"/>
      <c r="N4119" s="129"/>
      <c r="O4119" s="129"/>
      <c r="P4119" s="379"/>
      <c r="Q4119" s="129"/>
      <c r="R4119" s="380"/>
      <c r="S4119" s="129"/>
      <c r="T4119" s="129"/>
      <c r="W4119" s="129" t="s">
        <v>286</v>
      </c>
      <c r="X4119" s="337" t="b">
        <f t="shared" si="99"/>
        <v>1</v>
      </c>
    </row>
    <row r="4120" spans="1:24" ht="12" customHeight="1" outlineLevel="1">
      <c r="A4120" s="370"/>
      <c r="B4120" s="118" t="s">
        <v>12</v>
      </c>
      <c r="C4120" s="334" t="s">
        <v>12166</v>
      </c>
      <c r="D4120" s="124" t="s">
        <v>11795</v>
      </c>
      <c r="E4120" s="125"/>
      <c r="F4120" s="118" t="s">
        <v>828</v>
      </c>
      <c r="G4120" s="126" t="s">
        <v>11386</v>
      </c>
      <c r="H4120" s="255">
        <v>6</v>
      </c>
      <c r="I4120" s="361">
        <v>1</v>
      </c>
      <c r="J4120" s="371" t="s">
        <v>286</v>
      </c>
      <c r="K4120" s="377"/>
      <c r="L4120" s="129"/>
      <c r="M4120" s="378"/>
      <c r="N4120" s="129"/>
      <c r="O4120" s="129"/>
      <c r="P4120" s="379"/>
      <c r="Q4120" s="129"/>
      <c r="R4120" s="380"/>
      <c r="S4120" s="129"/>
      <c r="T4120" s="129"/>
      <c r="W4120" s="129" t="s">
        <v>286</v>
      </c>
      <c r="X4120" s="337" t="b">
        <f t="shared" si="99"/>
        <v>1</v>
      </c>
    </row>
    <row r="4121" spans="1:24" ht="12" customHeight="1" outlineLevel="1">
      <c r="A4121" s="370"/>
      <c r="B4121" s="118" t="s">
        <v>12</v>
      </c>
      <c r="C4121" s="334" t="s">
        <v>12167</v>
      </c>
      <c r="D4121" s="124" t="s">
        <v>11797</v>
      </c>
      <c r="E4121" s="125"/>
      <c r="F4121" s="118" t="s">
        <v>828</v>
      </c>
      <c r="G4121" s="126" t="s">
        <v>11386</v>
      </c>
      <c r="H4121" s="255">
        <v>6</v>
      </c>
      <c r="I4121" s="361">
        <v>1</v>
      </c>
      <c r="J4121" s="371" t="s">
        <v>286</v>
      </c>
      <c r="K4121" s="377"/>
      <c r="L4121" s="129"/>
      <c r="M4121" s="378"/>
      <c r="N4121" s="129"/>
      <c r="O4121" s="129"/>
      <c r="P4121" s="379"/>
      <c r="Q4121" s="129"/>
      <c r="R4121" s="380"/>
      <c r="S4121" s="129"/>
      <c r="T4121" s="129"/>
      <c r="W4121" s="129" t="s">
        <v>286</v>
      </c>
      <c r="X4121" s="337" t="b">
        <f t="shared" si="99"/>
        <v>1</v>
      </c>
    </row>
    <row r="4122" spans="1:24" ht="12" customHeight="1" outlineLevel="1">
      <c r="A4122" s="370"/>
      <c r="B4122" s="118" t="s">
        <v>12</v>
      </c>
      <c r="C4122" s="334" t="s">
        <v>12168</v>
      </c>
      <c r="D4122" s="124" t="s">
        <v>11801</v>
      </c>
      <c r="E4122" s="125"/>
      <c r="F4122" s="118" t="s">
        <v>828</v>
      </c>
      <c r="G4122" s="126" t="s">
        <v>11386</v>
      </c>
      <c r="H4122" s="255">
        <v>6</v>
      </c>
      <c r="I4122" s="361">
        <v>1</v>
      </c>
      <c r="J4122" s="371" t="s">
        <v>286</v>
      </c>
      <c r="K4122" s="377"/>
      <c r="L4122" s="129"/>
      <c r="M4122" s="378"/>
      <c r="N4122" s="129"/>
      <c r="O4122" s="129"/>
      <c r="P4122" s="379"/>
      <c r="Q4122" s="129"/>
      <c r="R4122" s="380"/>
      <c r="S4122" s="129"/>
      <c r="T4122" s="129"/>
      <c r="W4122" s="129" t="s">
        <v>286</v>
      </c>
      <c r="X4122" s="337" t="b">
        <f t="shared" si="99"/>
        <v>1</v>
      </c>
    </row>
    <row r="4123" spans="1:24" ht="12" customHeight="1" outlineLevel="1">
      <c r="A4123" s="370"/>
      <c r="B4123" s="118" t="s">
        <v>12</v>
      </c>
      <c r="C4123" s="334" t="s">
        <v>12169</v>
      </c>
      <c r="D4123" s="124" t="s">
        <v>11803</v>
      </c>
      <c r="E4123" s="125"/>
      <c r="F4123" s="118" t="s">
        <v>828</v>
      </c>
      <c r="G4123" s="126" t="s">
        <v>11386</v>
      </c>
      <c r="H4123" s="255">
        <v>6</v>
      </c>
      <c r="I4123" s="361">
        <v>1</v>
      </c>
      <c r="J4123" s="371" t="s">
        <v>286</v>
      </c>
      <c r="K4123" s="377"/>
      <c r="L4123" s="129"/>
      <c r="M4123" s="378"/>
      <c r="N4123" s="129"/>
      <c r="O4123" s="129"/>
      <c r="P4123" s="379"/>
      <c r="Q4123" s="129"/>
      <c r="R4123" s="380"/>
      <c r="S4123" s="129"/>
      <c r="T4123" s="129"/>
      <c r="W4123" s="129" t="s">
        <v>286</v>
      </c>
      <c r="X4123" s="337" t="b">
        <f t="shared" si="99"/>
        <v>1</v>
      </c>
    </row>
    <row r="4124" spans="1:24" ht="12" customHeight="1" outlineLevel="1">
      <c r="A4124" s="370"/>
      <c r="B4124" s="118" t="s">
        <v>12</v>
      </c>
      <c r="C4124" s="334" t="s">
        <v>12170</v>
      </c>
      <c r="D4124" s="124" t="s">
        <v>11805</v>
      </c>
      <c r="E4124" s="125"/>
      <c r="F4124" s="118" t="s">
        <v>828</v>
      </c>
      <c r="G4124" s="126" t="s">
        <v>11386</v>
      </c>
      <c r="H4124" s="255">
        <v>6</v>
      </c>
      <c r="I4124" s="361">
        <v>1</v>
      </c>
      <c r="J4124" s="371" t="s">
        <v>286</v>
      </c>
      <c r="K4124" s="377"/>
      <c r="L4124" s="129"/>
      <c r="M4124" s="378"/>
      <c r="N4124" s="129"/>
      <c r="O4124" s="129"/>
      <c r="P4124" s="379"/>
      <c r="Q4124" s="129"/>
      <c r="R4124" s="380"/>
      <c r="S4124" s="129"/>
      <c r="T4124" s="129"/>
      <c r="W4124" s="129" t="s">
        <v>286</v>
      </c>
      <c r="X4124" s="337" t="b">
        <f t="shared" si="99"/>
        <v>1</v>
      </c>
    </row>
    <row r="4125" spans="1:24" ht="12" customHeight="1" outlineLevel="1">
      <c r="A4125" s="370"/>
      <c r="B4125" s="118" t="s">
        <v>12</v>
      </c>
      <c r="C4125" s="334" t="s">
        <v>12171</v>
      </c>
      <c r="D4125" s="124" t="s">
        <v>11807</v>
      </c>
      <c r="E4125" s="125"/>
      <c r="F4125" s="118" t="s">
        <v>828</v>
      </c>
      <c r="G4125" s="126" t="s">
        <v>11386</v>
      </c>
      <c r="H4125" s="255">
        <v>6</v>
      </c>
      <c r="I4125" s="361">
        <v>1</v>
      </c>
      <c r="J4125" s="371" t="s">
        <v>286</v>
      </c>
      <c r="K4125" s="377"/>
      <c r="L4125" s="129"/>
      <c r="M4125" s="378"/>
      <c r="N4125" s="129"/>
      <c r="O4125" s="129"/>
      <c r="P4125" s="379"/>
      <c r="Q4125" s="129"/>
      <c r="R4125" s="380"/>
      <c r="S4125" s="129"/>
      <c r="T4125" s="129"/>
      <c r="W4125" s="129" t="s">
        <v>286</v>
      </c>
      <c r="X4125" s="337" t="b">
        <f t="shared" si="99"/>
        <v>1</v>
      </c>
    </row>
    <row r="4126" spans="1:24" ht="12" customHeight="1" outlineLevel="1">
      <c r="A4126" s="370"/>
      <c r="B4126" s="118" t="s">
        <v>12</v>
      </c>
      <c r="C4126" s="334" t="s">
        <v>12172</v>
      </c>
      <c r="D4126" s="124" t="s">
        <v>11809</v>
      </c>
      <c r="E4126" s="125"/>
      <c r="F4126" s="118" t="s">
        <v>828</v>
      </c>
      <c r="G4126" s="126" t="s">
        <v>11386</v>
      </c>
      <c r="H4126" s="255">
        <v>6</v>
      </c>
      <c r="I4126" s="361">
        <v>1</v>
      </c>
      <c r="J4126" s="371" t="s">
        <v>286</v>
      </c>
      <c r="K4126" s="377"/>
      <c r="L4126" s="129"/>
      <c r="M4126" s="378"/>
      <c r="N4126" s="129"/>
      <c r="O4126" s="129"/>
      <c r="P4126" s="379"/>
      <c r="Q4126" s="129"/>
      <c r="R4126" s="380"/>
      <c r="S4126" s="129"/>
      <c r="T4126" s="129"/>
      <c r="W4126" s="129" t="s">
        <v>286</v>
      </c>
      <c r="X4126" s="337" t="b">
        <f t="shared" si="99"/>
        <v>1</v>
      </c>
    </row>
    <row r="4127" spans="1:24" ht="12" customHeight="1" outlineLevel="1">
      <c r="A4127" s="370"/>
      <c r="B4127" s="118" t="s">
        <v>12</v>
      </c>
      <c r="C4127" s="334" t="s">
        <v>12173</v>
      </c>
      <c r="D4127" s="124" t="s">
        <v>11811</v>
      </c>
      <c r="E4127" s="125"/>
      <c r="F4127" s="118" t="s">
        <v>828</v>
      </c>
      <c r="G4127" s="126" t="s">
        <v>11386</v>
      </c>
      <c r="H4127" s="255">
        <v>6</v>
      </c>
      <c r="I4127" s="361">
        <v>1</v>
      </c>
      <c r="J4127" s="371" t="s">
        <v>286</v>
      </c>
      <c r="K4127" s="377"/>
      <c r="L4127" s="129"/>
      <c r="M4127" s="378"/>
      <c r="N4127" s="129"/>
      <c r="O4127" s="129"/>
      <c r="P4127" s="379"/>
      <c r="Q4127" s="129"/>
      <c r="R4127" s="380"/>
      <c r="S4127" s="129"/>
      <c r="T4127" s="129"/>
      <c r="W4127" s="129" t="s">
        <v>286</v>
      </c>
      <c r="X4127" s="337" t="b">
        <f t="shared" si="99"/>
        <v>1</v>
      </c>
    </row>
    <row r="4128" spans="1:24" ht="12" customHeight="1" outlineLevel="1">
      <c r="A4128" s="370"/>
      <c r="B4128" s="118" t="s">
        <v>12</v>
      </c>
      <c r="C4128" s="334" t="s">
        <v>12174</v>
      </c>
      <c r="D4128" s="124" t="s">
        <v>11813</v>
      </c>
      <c r="E4128" s="125"/>
      <c r="F4128" s="118" t="s">
        <v>828</v>
      </c>
      <c r="G4128" s="126" t="s">
        <v>11386</v>
      </c>
      <c r="H4128" s="255">
        <v>6</v>
      </c>
      <c r="I4128" s="361">
        <v>1</v>
      </c>
      <c r="J4128" s="371" t="s">
        <v>286</v>
      </c>
      <c r="K4128" s="377"/>
      <c r="L4128" s="129"/>
      <c r="M4128" s="378"/>
      <c r="N4128" s="129"/>
      <c r="O4128" s="129"/>
      <c r="P4128" s="379"/>
      <c r="Q4128" s="129"/>
      <c r="R4128" s="380"/>
      <c r="S4128" s="129"/>
      <c r="T4128" s="129"/>
      <c r="W4128" s="129" t="s">
        <v>286</v>
      </c>
      <c r="X4128" s="337" t="b">
        <f t="shared" si="99"/>
        <v>1</v>
      </c>
    </row>
    <row r="4129" spans="1:24" ht="12" customHeight="1" outlineLevel="1">
      <c r="A4129" s="370"/>
      <c r="B4129" s="118" t="s">
        <v>12</v>
      </c>
      <c r="C4129" s="334" t="s">
        <v>12175</v>
      </c>
      <c r="D4129" s="124" t="s">
        <v>11815</v>
      </c>
      <c r="E4129" s="125"/>
      <c r="F4129" s="118" t="s">
        <v>828</v>
      </c>
      <c r="G4129" s="126" t="s">
        <v>11386</v>
      </c>
      <c r="H4129" s="255">
        <v>6</v>
      </c>
      <c r="I4129" s="361">
        <v>1</v>
      </c>
      <c r="J4129" s="371" t="s">
        <v>286</v>
      </c>
      <c r="K4129" s="377"/>
      <c r="L4129" s="129"/>
      <c r="M4129" s="378"/>
      <c r="N4129" s="129"/>
      <c r="O4129" s="129"/>
      <c r="P4129" s="379"/>
      <c r="Q4129" s="129"/>
      <c r="R4129" s="380"/>
      <c r="S4129" s="129"/>
      <c r="T4129" s="129"/>
      <c r="W4129" s="129" t="s">
        <v>286</v>
      </c>
      <c r="X4129" s="337" t="b">
        <f t="shared" si="99"/>
        <v>1</v>
      </c>
    </row>
    <row r="4130" spans="1:24" ht="12" customHeight="1" outlineLevel="1">
      <c r="A4130" s="370"/>
      <c r="B4130" s="118" t="s">
        <v>12</v>
      </c>
      <c r="C4130" s="334" t="s">
        <v>12176</v>
      </c>
      <c r="D4130" s="124" t="s">
        <v>11817</v>
      </c>
      <c r="E4130" s="125"/>
      <c r="F4130" s="118" t="s">
        <v>828</v>
      </c>
      <c r="G4130" s="126" t="s">
        <v>11386</v>
      </c>
      <c r="H4130" s="255">
        <v>6</v>
      </c>
      <c r="I4130" s="361">
        <v>1</v>
      </c>
      <c r="J4130" s="371" t="s">
        <v>286</v>
      </c>
      <c r="K4130" s="377"/>
      <c r="L4130" s="129"/>
      <c r="M4130" s="378"/>
      <c r="N4130" s="129"/>
      <c r="O4130" s="129"/>
      <c r="P4130" s="379"/>
      <c r="Q4130" s="129"/>
      <c r="R4130" s="380"/>
      <c r="S4130" s="129"/>
      <c r="T4130" s="129"/>
      <c r="W4130" s="129" t="s">
        <v>286</v>
      </c>
      <c r="X4130" s="337" t="b">
        <f t="shared" si="99"/>
        <v>1</v>
      </c>
    </row>
    <row r="4131" spans="1:24" ht="12" customHeight="1" outlineLevel="1">
      <c r="A4131" s="370"/>
      <c r="B4131" s="118" t="s">
        <v>12</v>
      </c>
      <c r="C4131" s="334" t="s">
        <v>12177</v>
      </c>
      <c r="D4131" s="124" t="s">
        <v>11819</v>
      </c>
      <c r="E4131" s="125"/>
      <c r="F4131" s="118" t="s">
        <v>828</v>
      </c>
      <c r="G4131" s="126" t="s">
        <v>11386</v>
      </c>
      <c r="H4131" s="255">
        <v>6</v>
      </c>
      <c r="I4131" s="361">
        <v>1</v>
      </c>
      <c r="J4131" s="371" t="s">
        <v>286</v>
      </c>
      <c r="K4131" s="377"/>
      <c r="L4131" s="129"/>
      <c r="M4131" s="378"/>
      <c r="N4131" s="129"/>
      <c r="O4131" s="129"/>
      <c r="P4131" s="379"/>
      <c r="Q4131" s="129"/>
      <c r="R4131" s="380"/>
      <c r="S4131" s="129"/>
      <c r="T4131" s="129"/>
      <c r="W4131" s="129" t="s">
        <v>286</v>
      </c>
      <c r="X4131" s="337" t="b">
        <f t="shared" si="99"/>
        <v>1</v>
      </c>
    </row>
    <row r="4132" spans="1:24" ht="12" customHeight="1" outlineLevel="1">
      <c r="A4132" s="370"/>
      <c r="B4132" s="118" t="s">
        <v>12</v>
      </c>
      <c r="C4132" s="334" t="s">
        <v>12178</v>
      </c>
      <c r="D4132" s="124" t="s">
        <v>11821</v>
      </c>
      <c r="E4132" s="125"/>
      <c r="F4132" s="118" t="s">
        <v>828</v>
      </c>
      <c r="G4132" s="126" t="s">
        <v>11386</v>
      </c>
      <c r="H4132" s="255">
        <v>6</v>
      </c>
      <c r="I4132" s="361">
        <v>1</v>
      </c>
      <c r="J4132" s="371" t="s">
        <v>286</v>
      </c>
      <c r="K4132" s="377"/>
      <c r="L4132" s="129"/>
      <c r="M4132" s="378"/>
      <c r="N4132" s="129"/>
      <c r="O4132" s="129"/>
      <c r="P4132" s="379"/>
      <c r="Q4132" s="129"/>
      <c r="R4132" s="380"/>
      <c r="S4132" s="129"/>
      <c r="T4132" s="129"/>
      <c r="W4132" s="129" t="s">
        <v>286</v>
      </c>
      <c r="X4132" s="337" t="b">
        <f t="shared" si="99"/>
        <v>1</v>
      </c>
    </row>
    <row r="4133" spans="1:24" ht="12" customHeight="1" outlineLevel="1">
      <c r="A4133" s="370"/>
      <c r="B4133" s="118" t="s">
        <v>12</v>
      </c>
      <c r="C4133" s="334" t="s">
        <v>12179</v>
      </c>
      <c r="D4133" s="124" t="s">
        <v>11823</v>
      </c>
      <c r="E4133" s="125"/>
      <c r="F4133" s="118" t="s">
        <v>828</v>
      </c>
      <c r="G4133" s="126" t="s">
        <v>11386</v>
      </c>
      <c r="H4133" s="255">
        <v>6</v>
      </c>
      <c r="I4133" s="361">
        <v>1</v>
      </c>
      <c r="J4133" s="371" t="s">
        <v>286</v>
      </c>
      <c r="K4133" s="377"/>
      <c r="L4133" s="129"/>
      <c r="M4133" s="378"/>
      <c r="N4133" s="129"/>
      <c r="O4133" s="129"/>
      <c r="P4133" s="379"/>
      <c r="Q4133" s="129"/>
      <c r="R4133" s="380"/>
      <c r="S4133" s="129"/>
      <c r="T4133" s="129"/>
      <c r="W4133" s="129" t="s">
        <v>286</v>
      </c>
      <c r="X4133" s="337" t="b">
        <f t="shared" si="99"/>
        <v>1</v>
      </c>
    </row>
    <row r="4134" spans="1:24" ht="12" customHeight="1" outlineLevel="1">
      <c r="A4134" s="370"/>
      <c r="B4134" s="118" t="s">
        <v>12</v>
      </c>
      <c r="C4134" s="334" t="s">
        <v>12180</v>
      </c>
      <c r="D4134" s="124" t="s">
        <v>11825</v>
      </c>
      <c r="E4134" s="125"/>
      <c r="F4134" s="118" t="s">
        <v>828</v>
      </c>
      <c r="G4134" s="126" t="s">
        <v>11386</v>
      </c>
      <c r="H4134" s="255">
        <v>6</v>
      </c>
      <c r="I4134" s="361">
        <v>1</v>
      </c>
      <c r="J4134" s="371" t="s">
        <v>286</v>
      </c>
      <c r="K4134" s="377"/>
      <c r="L4134" s="129"/>
      <c r="M4134" s="378"/>
      <c r="N4134" s="129"/>
      <c r="O4134" s="129"/>
      <c r="P4134" s="379"/>
      <c r="Q4134" s="129"/>
      <c r="R4134" s="380"/>
      <c r="S4134" s="129"/>
      <c r="T4134" s="129"/>
      <c r="W4134" s="129" t="s">
        <v>286</v>
      </c>
      <c r="X4134" s="337" t="b">
        <f t="shared" si="99"/>
        <v>1</v>
      </c>
    </row>
    <row r="4135" spans="1:24" ht="12" customHeight="1" outlineLevel="1">
      <c r="A4135" s="370"/>
      <c r="B4135" s="118" t="s">
        <v>12</v>
      </c>
      <c r="C4135" s="334" t="s">
        <v>12181</v>
      </c>
      <c r="D4135" s="124" t="s">
        <v>11827</v>
      </c>
      <c r="E4135" s="125"/>
      <c r="F4135" s="118" t="s">
        <v>828</v>
      </c>
      <c r="G4135" s="126" t="s">
        <v>11386</v>
      </c>
      <c r="H4135" s="255">
        <v>6</v>
      </c>
      <c r="I4135" s="361">
        <v>1</v>
      </c>
      <c r="J4135" s="371" t="s">
        <v>286</v>
      </c>
      <c r="K4135" s="377"/>
      <c r="L4135" s="129"/>
      <c r="M4135" s="378"/>
      <c r="N4135" s="129"/>
      <c r="O4135" s="129"/>
      <c r="P4135" s="379"/>
      <c r="Q4135" s="129"/>
      <c r="R4135" s="380"/>
      <c r="S4135" s="129"/>
      <c r="T4135" s="129"/>
      <c r="W4135" s="129" t="s">
        <v>286</v>
      </c>
      <c r="X4135" s="337" t="b">
        <f t="shared" si="99"/>
        <v>1</v>
      </c>
    </row>
    <row r="4136" spans="1:24" ht="12" customHeight="1" outlineLevel="1">
      <c r="A4136" s="370"/>
      <c r="B4136" s="118" t="s">
        <v>12</v>
      </c>
      <c r="C4136" s="334" t="s">
        <v>12182</v>
      </c>
      <c r="D4136" s="124" t="s">
        <v>11829</v>
      </c>
      <c r="E4136" s="125"/>
      <c r="F4136" s="118" t="s">
        <v>828</v>
      </c>
      <c r="G4136" s="126" t="s">
        <v>11386</v>
      </c>
      <c r="H4136" s="255">
        <v>6</v>
      </c>
      <c r="I4136" s="361">
        <v>1</v>
      </c>
      <c r="J4136" s="371" t="s">
        <v>286</v>
      </c>
      <c r="K4136" s="377"/>
      <c r="L4136" s="129"/>
      <c r="M4136" s="378"/>
      <c r="N4136" s="129"/>
      <c r="O4136" s="129"/>
      <c r="P4136" s="379"/>
      <c r="Q4136" s="129"/>
      <c r="R4136" s="380"/>
      <c r="S4136" s="129"/>
      <c r="T4136" s="129"/>
      <c r="W4136" s="129" t="s">
        <v>286</v>
      </c>
      <c r="X4136" s="337" t="b">
        <f t="shared" si="99"/>
        <v>1</v>
      </c>
    </row>
    <row r="4137" spans="1:24" ht="12" customHeight="1" outlineLevel="1">
      <c r="A4137" s="370"/>
      <c r="B4137" s="118" t="s">
        <v>12</v>
      </c>
      <c r="C4137" s="334" t="s">
        <v>12183</v>
      </c>
      <c r="D4137" s="124" t="s">
        <v>11831</v>
      </c>
      <c r="E4137" s="125"/>
      <c r="F4137" s="118" t="s">
        <v>828</v>
      </c>
      <c r="G4137" s="126" t="s">
        <v>11386</v>
      </c>
      <c r="H4137" s="255">
        <v>6</v>
      </c>
      <c r="I4137" s="361">
        <v>1</v>
      </c>
      <c r="J4137" s="371" t="s">
        <v>286</v>
      </c>
      <c r="K4137" s="377"/>
      <c r="L4137" s="129"/>
      <c r="M4137" s="378"/>
      <c r="N4137" s="129"/>
      <c r="O4137" s="129"/>
      <c r="P4137" s="379"/>
      <c r="Q4137" s="129"/>
      <c r="R4137" s="380"/>
      <c r="S4137" s="129"/>
      <c r="T4137" s="129"/>
      <c r="W4137" s="129" t="s">
        <v>4876</v>
      </c>
      <c r="X4137" s="337" t="b">
        <f t="shared" si="99"/>
        <v>0</v>
      </c>
    </row>
    <row r="4138" spans="1:24" ht="12" customHeight="1" outlineLevel="1">
      <c r="A4138" s="370"/>
      <c r="B4138" s="118" t="s">
        <v>12</v>
      </c>
      <c r="C4138" s="334" t="s">
        <v>12184</v>
      </c>
      <c r="D4138" s="124" t="s">
        <v>11833</v>
      </c>
      <c r="E4138" s="125"/>
      <c r="F4138" s="118" t="s">
        <v>828</v>
      </c>
      <c r="G4138" s="126" t="s">
        <v>11386</v>
      </c>
      <c r="H4138" s="255">
        <v>6</v>
      </c>
      <c r="I4138" s="361">
        <v>1</v>
      </c>
      <c r="J4138" s="371" t="s">
        <v>286</v>
      </c>
      <c r="K4138" s="377"/>
      <c r="L4138" s="129"/>
      <c r="M4138" s="378"/>
      <c r="N4138" s="129"/>
      <c r="O4138" s="129"/>
      <c r="P4138" s="379"/>
      <c r="Q4138" s="129"/>
      <c r="R4138" s="380"/>
      <c r="S4138" s="129"/>
      <c r="T4138" s="129"/>
      <c r="W4138" s="129" t="s">
        <v>286</v>
      </c>
      <c r="X4138" s="337" t="b">
        <f t="shared" si="99"/>
        <v>1</v>
      </c>
    </row>
    <row r="4139" spans="1:24" ht="12" customHeight="1" outlineLevel="1">
      <c r="A4139" s="370"/>
      <c r="B4139" s="118" t="s">
        <v>12</v>
      </c>
      <c r="C4139" s="334" t="s">
        <v>12185</v>
      </c>
      <c r="D4139" s="124" t="s">
        <v>11835</v>
      </c>
      <c r="E4139" s="125"/>
      <c r="F4139" s="118" t="s">
        <v>828</v>
      </c>
      <c r="G4139" s="126" t="s">
        <v>11386</v>
      </c>
      <c r="H4139" s="255">
        <v>6</v>
      </c>
      <c r="I4139" s="361">
        <v>1</v>
      </c>
      <c r="J4139" s="371" t="s">
        <v>286</v>
      </c>
      <c r="K4139" s="377"/>
      <c r="L4139" s="129"/>
      <c r="M4139" s="378"/>
      <c r="N4139" s="129"/>
      <c r="O4139" s="129"/>
      <c r="P4139" s="379"/>
      <c r="Q4139" s="129"/>
      <c r="R4139" s="380"/>
      <c r="S4139" s="129"/>
      <c r="T4139" s="129"/>
      <c r="W4139" s="129" t="s">
        <v>286</v>
      </c>
      <c r="X4139" s="337" t="b">
        <f t="shared" si="99"/>
        <v>1</v>
      </c>
    </row>
    <row r="4140" spans="1:24" ht="12" customHeight="1" outlineLevel="1">
      <c r="A4140" s="370"/>
      <c r="B4140" s="118" t="s">
        <v>12</v>
      </c>
      <c r="C4140" s="334" t="s">
        <v>12186</v>
      </c>
      <c r="D4140" s="124" t="s">
        <v>11837</v>
      </c>
      <c r="E4140" s="125"/>
      <c r="F4140" s="118" t="s">
        <v>828</v>
      </c>
      <c r="G4140" s="126" t="s">
        <v>11386</v>
      </c>
      <c r="H4140" s="255">
        <v>6</v>
      </c>
      <c r="I4140" s="361">
        <v>1</v>
      </c>
      <c r="J4140" s="371" t="s">
        <v>286</v>
      </c>
      <c r="K4140" s="377"/>
      <c r="L4140" s="129"/>
      <c r="M4140" s="378"/>
      <c r="N4140" s="129"/>
      <c r="O4140" s="129"/>
      <c r="P4140" s="379"/>
      <c r="Q4140" s="129"/>
      <c r="R4140" s="380"/>
      <c r="S4140" s="129"/>
      <c r="T4140" s="129"/>
      <c r="W4140" s="129" t="s">
        <v>286</v>
      </c>
      <c r="X4140" s="337" t="b">
        <f t="shared" si="99"/>
        <v>1</v>
      </c>
    </row>
    <row r="4141" spans="1:24" ht="12" customHeight="1" outlineLevel="1">
      <c r="A4141" s="370"/>
      <c r="B4141" s="118" t="s">
        <v>12</v>
      </c>
      <c r="C4141" s="334" t="s">
        <v>12187</v>
      </c>
      <c r="D4141" s="124" t="s">
        <v>11839</v>
      </c>
      <c r="E4141" s="125"/>
      <c r="F4141" s="118" t="s">
        <v>828</v>
      </c>
      <c r="G4141" s="126" t="s">
        <v>11386</v>
      </c>
      <c r="H4141" s="255">
        <v>6</v>
      </c>
      <c r="I4141" s="361">
        <v>1</v>
      </c>
      <c r="J4141" s="371" t="s">
        <v>286</v>
      </c>
      <c r="K4141" s="377"/>
      <c r="L4141" s="129"/>
      <c r="M4141" s="378"/>
      <c r="N4141" s="129"/>
      <c r="O4141" s="129"/>
      <c r="P4141" s="379"/>
      <c r="Q4141" s="129"/>
      <c r="R4141" s="380"/>
      <c r="S4141" s="129"/>
      <c r="T4141" s="129"/>
      <c r="W4141" s="129" t="s">
        <v>286</v>
      </c>
      <c r="X4141" s="337" t="b">
        <f t="shared" si="99"/>
        <v>1</v>
      </c>
    </row>
    <row r="4142" spans="1:24" ht="12" customHeight="1" outlineLevel="1">
      <c r="A4142" s="370"/>
      <c r="B4142" s="118" t="s">
        <v>12</v>
      </c>
      <c r="C4142" s="334" t="s">
        <v>12188</v>
      </c>
      <c r="D4142" s="124" t="s">
        <v>11841</v>
      </c>
      <c r="E4142" s="125"/>
      <c r="F4142" s="118" t="s">
        <v>828</v>
      </c>
      <c r="G4142" s="126" t="s">
        <v>11386</v>
      </c>
      <c r="H4142" s="255">
        <v>6</v>
      </c>
      <c r="I4142" s="361">
        <v>1</v>
      </c>
      <c r="J4142" s="371" t="s">
        <v>286</v>
      </c>
      <c r="K4142" s="377"/>
      <c r="L4142" s="129"/>
      <c r="M4142" s="378"/>
      <c r="N4142" s="129"/>
      <c r="O4142" s="129"/>
      <c r="P4142" s="379"/>
      <c r="Q4142" s="129"/>
      <c r="R4142" s="380"/>
      <c r="S4142" s="129"/>
      <c r="T4142" s="129"/>
      <c r="W4142" s="129" t="s">
        <v>286</v>
      </c>
      <c r="X4142" s="337" t="b">
        <f t="shared" si="99"/>
        <v>1</v>
      </c>
    </row>
    <row r="4143" spans="1:24" ht="12" customHeight="1" outlineLevel="1">
      <c r="A4143" s="370"/>
      <c r="B4143" s="118" t="s">
        <v>12</v>
      </c>
      <c r="C4143" s="334" t="s">
        <v>12189</v>
      </c>
      <c r="D4143" s="124" t="s">
        <v>11843</v>
      </c>
      <c r="E4143" s="125"/>
      <c r="F4143" s="118" t="s">
        <v>828</v>
      </c>
      <c r="G4143" s="126" t="s">
        <v>11386</v>
      </c>
      <c r="H4143" s="255">
        <v>6</v>
      </c>
      <c r="I4143" s="361">
        <v>1</v>
      </c>
      <c r="J4143" s="371" t="s">
        <v>286</v>
      </c>
      <c r="K4143" s="377"/>
      <c r="L4143" s="129"/>
      <c r="M4143" s="378"/>
      <c r="N4143" s="129"/>
      <c r="O4143" s="129"/>
      <c r="P4143" s="379"/>
      <c r="Q4143" s="129"/>
      <c r="R4143" s="380"/>
      <c r="S4143" s="129"/>
      <c r="T4143" s="129"/>
      <c r="W4143" s="129" t="s">
        <v>286</v>
      </c>
      <c r="X4143" s="337" t="b">
        <f t="shared" si="99"/>
        <v>1</v>
      </c>
    </row>
    <row r="4144" spans="1:24" ht="12" customHeight="1" outlineLevel="1">
      <c r="A4144" s="370"/>
      <c r="B4144" s="118" t="s">
        <v>12</v>
      </c>
      <c r="C4144" s="334" t="s">
        <v>12190</v>
      </c>
      <c r="D4144" s="124" t="s">
        <v>11845</v>
      </c>
      <c r="E4144" s="125"/>
      <c r="F4144" s="118" t="s">
        <v>828</v>
      </c>
      <c r="G4144" s="126" t="s">
        <v>11386</v>
      </c>
      <c r="H4144" s="255">
        <v>6</v>
      </c>
      <c r="I4144" s="361">
        <v>1</v>
      </c>
      <c r="J4144" s="371" t="s">
        <v>286</v>
      </c>
      <c r="K4144" s="377"/>
      <c r="L4144" s="129"/>
      <c r="M4144" s="378"/>
      <c r="N4144" s="129"/>
      <c r="O4144" s="129"/>
      <c r="P4144" s="379"/>
      <c r="Q4144" s="129"/>
      <c r="R4144" s="380"/>
      <c r="S4144" s="129"/>
      <c r="T4144" s="129"/>
      <c r="W4144" s="129" t="s">
        <v>286</v>
      </c>
      <c r="X4144" s="337" t="b">
        <f t="shared" si="99"/>
        <v>1</v>
      </c>
    </row>
    <row r="4145" spans="1:24" ht="12" customHeight="1" outlineLevel="1">
      <c r="A4145" s="370"/>
      <c r="B4145" s="118" t="s">
        <v>12</v>
      </c>
      <c r="C4145" s="334" t="s">
        <v>12191</v>
      </c>
      <c r="D4145" s="124" t="s">
        <v>11847</v>
      </c>
      <c r="E4145" s="125"/>
      <c r="F4145" s="118" t="s">
        <v>828</v>
      </c>
      <c r="G4145" s="126" t="s">
        <v>11386</v>
      </c>
      <c r="H4145" s="255">
        <v>6</v>
      </c>
      <c r="I4145" s="361">
        <v>1</v>
      </c>
      <c r="J4145" s="371" t="s">
        <v>286</v>
      </c>
      <c r="K4145" s="377"/>
      <c r="L4145" s="129"/>
      <c r="M4145" s="378"/>
      <c r="N4145" s="129"/>
      <c r="O4145" s="129"/>
      <c r="P4145" s="379"/>
      <c r="Q4145" s="129"/>
      <c r="R4145" s="380"/>
      <c r="S4145" s="129"/>
      <c r="T4145" s="129"/>
      <c r="W4145" s="129" t="s">
        <v>286</v>
      </c>
      <c r="X4145" s="337" t="b">
        <f t="shared" si="99"/>
        <v>1</v>
      </c>
    </row>
    <row r="4146" spans="1:24" ht="12" customHeight="1" outlineLevel="1">
      <c r="A4146" s="370"/>
      <c r="B4146" s="118" t="s">
        <v>12</v>
      </c>
      <c r="C4146" s="334" t="s">
        <v>12192</v>
      </c>
      <c r="D4146" s="124" t="s">
        <v>11849</v>
      </c>
      <c r="E4146" s="125"/>
      <c r="F4146" s="118" t="s">
        <v>828</v>
      </c>
      <c r="G4146" s="126" t="s">
        <v>11386</v>
      </c>
      <c r="H4146" s="255">
        <v>6</v>
      </c>
      <c r="I4146" s="361">
        <v>1</v>
      </c>
      <c r="J4146" s="371" t="s">
        <v>286</v>
      </c>
      <c r="K4146" s="377"/>
      <c r="L4146" s="129"/>
      <c r="M4146" s="378"/>
      <c r="N4146" s="129"/>
      <c r="O4146" s="129"/>
      <c r="P4146" s="379"/>
      <c r="Q4146" s="129"/>
      <c r="R4146" s="380"/>
      <c r="S4146" s="129"/>
      <c r="T4146" s="129"/>
      <c r="W4146" s="129" t="s">
        <v>286</v>
      </c>
      <c r="X4146" s="337" t="b">
        <f t="shared" si="99"/>
        <v>1</v>
      </c>
    </row>
    <row r="4147" spans="1:24" ht="12" customHeight="1" outlineLevel="1">
      <c r="A4147" s="370"/>
      <c r="B4147" s="118" t="s">
        <v>12</v>
      </c>
      <c r="C4147" s="334" t="s">
        <v>12193</v>
      </c>
      <c r="D4147" s="124" t="s">
        <v>11851</v>
      </c>
      <c r="E4147" s="125"/>
      <c r="F4147" s="118" t="s">
        <v>828</v>
      </c>
      <c r="G4147" s="126" t="s">
        <v>11386</v>
      </c>
      <c r="H4147" s="255">
        <v>6</v>
      </c>
      <c r="I4147" s="361">
        <v>1</v>
      </c>
      <c r="J4147" s="371" t="s">
        <v>286</v>
      </c>
      <c r="K4147" s="377"/>
      <c r="L4147" s="129"/>
      <c r="M4147" s="378"/>
      <c r="N4147" s="129"/>
      <c r="O4147" s="129"/>
      <c r="P4147" s="379"/>
      <c r="Q4147" s="129"/>
      <c r="R4147" s="380"/>
      <c r="S4147" s="129"/>
      <c r="T4147" s="129"/>
      <c r="W4147" s="129" t="s">
        <v>286</v>
      </c>
      <c r="X4147" s="337" t="b">
        <f t="shared" si="99"/>
        <v>1</v>
      </c>
    </row>
    <row r="4148" spans="1:24" ht="12" customHeight="1" outlineLevel="1">
      <c r="A4148" s="370"/>
      <c r="B4148" s="118" t="s">
        <v>12</v>
      </c>
      <c r="C4148" s="334" t="s">
        <v>12194</v>
      </c>
      <c r="D4148" s="124" t="s">
        <v>11853</v>
      </c>
      <c r="E4148" s="125"/>
      <c r="F4148" s="118" t="s">
        <v>828</v>
      </c>
      <c r="G4148" s="126" t="s">
        <v>11386</v>
      </c>
      <c r="H4148" s="255">
        <v>6</v>
      </c>
      <c r="I4148" s="361">
        <v>1</v>
      </c>
      <c r="J4148" s="371" t="s">
        <v>286</v>
      </c>
      <c r="K4148" s="377"/>
      <c r="L4148" s="129"/>
      <c r="M4148" s="378"/>
      <c r="N4148" s="129"/>
      <c r="O4148" s="129"/>
      <c r="P4148" s="379"/>
      <c r="Q4148" s="129"/>
      <c r="R4148" s="380"/>
      <c r="S4148" s="129"/>
      <c r="T4148" s="129"/>
      <c r="W4148" s="129" t="s">
        <v>286</v>
      </c>
      <c r="X4148" s="337" t="b">
        <f t="shared" si="99"/>
        <v>1</v>
      </c>
    </row>
    <row r="4149" spans="1:24" ht="12" customHeight="1" outlineLevel="1">
      <c r="A4149" s="370"/>
      <c r="B4149" s="118" t="s">
        <v>12</v>
      </c>
      <c r="C4149" s="334" t="s">
        <v>12195</v>
      </c>
      <c r="D4149" s="124" t="s">
        <v>5250</v>
      </c>
      <c r="E4149" s="125"/>
      <c r="F4149" s="118" t="s">
        <v>828</v>
      </c>
      <c r="G4149" s="126" t="s">
        <v>11386</v>
      </c>
      <c r="H4149" s="255">
        <v>6</v>
      </c>
      <c r="I4149" s="361">
        <v>1</v>
      </c>
      <c r="J4149" s="371" t="s">
        <v>286</v>
      </c>
      <c r="K4149" s="377"/>
      <c r="L4149" s="129"/>
      <c r="M4149" s="378"/>
      <c r="N4149" s="129"/>
      <c r="O4149" s="129"/>
      <c r="P4149" s="379"/>
      <c r="Q4149" s="129"/>
      <c r="R4149" s="380"/>
      <c r="S4149" s="129"/>
      <c r="T4149" s="129"/>
      <c r="W4149" s="129" t="s">
        <v>286</v>
      </c>
      <c r="X4149" s="337" t="b">
        <f t="shared" si="99"/>
        <v>1</v>
      </c>
    </row>
    <row r="4150" spans="1:24" ht="12" customHeight="1" outlineLevel="1">
      <c r="A4150" s="370"/>
      <c r="B4150" s="118" t="s">
        <v>12</v>
      </c>
      <c r="C4150" s="334" t="s">
        <v>12196</v>
      </c>
      <c r="D4150" s="124" t="s">
        <v>8331</v>
      </c>
      <c r="E4150" s="125"/>
      <c r="F4150" s="118" t="s">
        <v>828</v>
      </c>
      <c r="G4150" s="126" t="s">
        <v>11386</v>
      </c>
      <c r="H4150" s="255">
        <v>6</v>
      </c>
      <c r="I4150" s="361">
        <v>1</v>
      </c>
      <c r="J4150" s="371" t="s">
        <v>286</v>
      </c>
      <c r="K4150" s="377"/>
      <c r="L4150" s="129"/>
      <c r="M4150" s="378"/>
      <c r="N4150" s="129"/>
      <c r="O4150" s="129"/>
      <c r="P4150" s="379"/>
      <c r="Q4150" s="129"/>
      <c r="R4150" s="380"/>
      <c r="S4150" s="129"/>
      <c r="T4150" s="129"/>
      <c r="W4150" s="129" t="s">
        <v>286</v>
      </c>
      <c r="X4150" s="337" t="b">
        <f t="shared" si="99"/>
        <v>1</v>
      </c>
    </row>
    <row r="4151" spans="1:24" ht="12" customHeight="1" outlineLevel="1">
      <c r="A4151" s="370"/>
      <c r="B4151" s="118" t="s">
        <v>12</v>
      </c>
      <c r="C4151" s="334" t="s">
        <v>12197</v>
      </c>
      <c r="D4151" s="124" t="s">
        <v>8333</v>
      </c>
      <c r="E4151" s="125"/>
      <c r="F4151" s="118" t="s">
        <v>828</v>
      </c>
      <c r="G4151" s="126" t="s">
        <v>11386</v>
      </c>
      <c r="H4151" s="255">
        <v>6</v>
      </c>
      <c r="I4151" s="361">
        <v>1</v>
      </c>
      <c r="J4151" s="371" t="s">
        <v>286</v>
      </c>
      <c r="K4151" s="377"/>
      <c r="L4151" s="129"/>
      <c r="M4151" s="378"/>
      <c r="N4151" s="129"/>
      <c r="O4151" s="129"/>
      <c r="P4151" s="379"/>
      <c r="Q4151" s="129"/>
      <c r="R4151" s="380"/>
      <c r="S4151" s="129"/>
      <c r="T4151" s="129"/>
      <c r="W4151" s="129" t="s">
        <v>286</v>
      </c>
      <c r="X4151" s="337" t="b">
        <f t="shared" si="99"/>
        <v>1</v>
      </c>
    </row>
    <row r="4152" spans="1:24" ht="12" customHeight="1" outlineLevel="1">
      <c r="A4152" s="370"/>
      <c r="B4152" s="118" t="s">
        <v>12</v>
      </c>
      <c r="C4152" s="334" t="s">
        <v>12198</v>
      </c>
      <c r="D4152" s="124" t="s">
        <v>8335</v>
      </c>
      <c r="E4152" s="125"/>
      <c r="F4152" s="118" t="s">
        <v>828</v>
      </c>
      <c r="G4152" s="126" t="s">
        <v>11386</v>
      </c>
      <c r="H4152" s="255">
        <v>6</v>
      </c>
      <c r="I4152" s="361">
        <v>1</v>
      </c>
      <c r="J4152" s="371" t="s">
        <v>286</v>
      </c>
      <c r="K4152" s="377"/>
      <c r="L4152" s="129"/>
      <c r="M4152" s="378"/>
      <c r="N4152" s="129"/>
      <c r="O4152" s="129"/>
      <c r="P4152" s="379"/>
      <c r="Q4152" s="129"/>
      <c r="R4152" s="380"/>
      <c r="S4152" s="129"/>
      <c r="T4152" s="129"/>
      <c r="W4152" s="129" t="s">
        <v>286</v>
      </c>
      <c r="X4152" s="337" t="b">
        <f t="shared" si="99"/>
        <v>1</v>
      </c>
    </row>
    <row r="4153" spans="1:24" ht="12" customHeight="1" outlineLevel="1">
      <c r="A4153" s="370"/>
      <c r="B4153" s="118" t="s">
        <v>12</v>
      </c>
      <c r="C4153" s="334" t="s">
        <v>12199</v>
      </c>
      <c r="D4153" s="124" t="s">
        <v>8337</v>
      </c>
      <c r="E4153" s="125"/>
      <c r="F4153" s="118" t="s">
        <v>828</v>
      </c>
      <c r="G4153" s="126" t="s">
        <v>11386</v>
      </c>
      <c r="H4153" s="255">
        <v>6</v>
      </c>
      <c r="I4153" s="361">
        <v>1</v>
      </c>
      <c r="J4153" s="371" t="s">
        <v>286</v>
      </c>
      <c r="K4153" s="377"/>
      <c r="L4153" s="129"/>
      <c r="M4153" s="378"/>
      <c r="N4153" s="129"/>
      <c r="O4153" s="129"/>
      <c r="P4153" s="379"/>
      <c r="Q4153" s="129"/>
      <c r="R4153" s="380"/>
      <c r="S4153" s="129"/>
      <c r="T4153" s="129"/>
      <c r="W4153" s="129" t="s">
        <v>286</v>
      </c>
      <c r="X4153" s="337" t="b">
        <f t="shared" si="99"/>
        <v>1</v>
      </c>
    </row>
    <row r="4154" spans="1:24" ht="12" customHeight="1" outlineLevel="1">
      <c r="A4154" s="370"/>
      <c r="B4154" s="118" t="s">
        <v>12</v>
      </c>
      <c r="C4154" s="334" t="s">
        <v>12200</v>
      </c>
      <c r="D4154" s="124" t="s">
        <v>8339</v>
      </c>
      <c r="E4154" s="125"/>
      <c r="F4154" s="118" t="s">
        <v>828</v>
      </c>
      <c r="G4154" s="126" t="s">
        <v>11386</v>
      </c>
      <c r="H4154" s="255">
        <v>6</v>
      </c>
      <c r="I4154" s="361">
        <v>1</v>
      </c>
      <c r="J4154" s="371" t="s">
        <v>286</v>
      </c>
      <c r="K4154" s="377"/>
      <c r="L4154" s="129"/>
      <c r="M4154" s="378"/>
      <c r="N4154" s="129"/>
      <c r="O4154" s="129"/>
      <c r="P4154" s="379"/>
      <c r="Q4154" s="129"/>
      <c r="R4154" s="380"/>
      <c r="S4154" s="129"/>
      <c r="T4154" s="129"/>
      <c r="W4154" s="129" t="s">
        <v>286</v>
      </c>
      <c r="X4154" s="337" t="b">
        <f t="shared" si="99"/>
        <v>1</v>
      </c>
    </row>
    <row r="4155" spans="1:24" ht="12" customHeight="1" outlineLevel="1">
      <c r="A4155" s="370"/>
      <c r="B4155" s="118" t="s">
        <v>12</v>
      </c>
      <c r="C4155" s="334" t="s">
        <v>12201</v>
      </c>
      <c r="D4155" s="124" t="s">
        <v>8341</v>
      </c>
      <c r="E4155" s="125"/>
      <c r="F4155" s="118" t="s">
        <v>828</v>
      </c>
      <c r="G4155" s="126" t="s">
        <v>11386</v>
      </c>
      <c r="H4155" s="255">
        <v>6</v>
      </c>
      <c r="I4155" s="361">
        <v>1</v>
      </c>
      <c r="J4155" s="371" t="s">
        <v>286</v>
      </c>
      <c r="K4155" s="377"/>
      <c r="L4155" s="129"/>
      <c r="M4155" s="378"/>
      <c r="N4155" s="129"/>
      <c r="O4155" s="129"/>
      <c r="P4155" s="379"/>
      <c r="Q4155" s="129"/>
      <c r="R4155" s="380"/>
      <c r="S4155" s="129"/>
      <c r="T4155" s="129"/>
      <c r="W4155" s="129" t="s">
        <v>286</v>
      </c>
      <c r="X4155" s="337" t="b">
        <f t="shared" si="99"/>
        <v>1</v>
      </c>
    </row>
    <row r="4156" spans="1:24" ht="12" customHeight="1" outlineLevel="1">
      <c r="A4156" s="370"/>
      <c r="B4156" s="118" t="s">
        <v>12</v>
      </c>
      <c r="C4156" s="334" t="s">
        <v>12202</v>
      </c>
      <c r="D4156" s="124" t="s">
        <v>8343</v>
      </c>
      <c r="E4156" s="125"/>
      <c r="F4156" s="118" t="s">
        <v>828</v>
      </c>
      <c r="G4156" s="126" t="s">
        <v>11386</v>
      </c>
      <c r="H4156" s="255">
        <v>6</v>
      </c>
      <c r="I4156" s="361">
        <v>1</v>
      </c>
      <c r="J4156" s="371" t="s">
        <v>286</v>
      </c>
      <c r="K4156" s="377"/>
      <c r="L4156" s="129"/>
      <c r="M4156" s="378"/>
      <c r="N4156" s="129"/>
      <c r="O4156" s="129"/>
      <c r="P4156" s="379"/>
      <c r="Q4156" s="129"/>
      <c r="R4156" s="380"/>
      <c r="S4156" s="129"/>
      <c r="T4156" s="129"/>
      <c r="W4156" s="129" t="s">
        <v>286</v>
      </c>
      <c r="X4156" s="337" t="b">
        <f t="shared" si="99"/>
        <v>1</v>
      </c>
    </row>
    <row r="4157" spans="1:24" ht="12" customHeight="1" outlineLevel="1">
      <c r="A4157" s="370"/>
      <c r="B4157" s="118" t="s">
        <v>12</v>
      </c>
      <c r="C4157" s="334" t="s">
        <v>12203</v>
      </c>
      <c r="D4157" s="124" t="s">
        <v>8345</v>
      </c>
      <c r="E4157" s="125"/>
      <c r="F4157" s="118" t="s">
        <v>828</v>
      </c>
      <c r="G4157" s="126" t="s">
        <v>11386</v>
      </c>
      <c r="H4157" s="255">
        <v>6</v>
      </c>
      <c r="I4157" s="361">
        <v>1</v>
      </c>
      <c r="J4157" s="371" t="s">
        <v>286</v>
      </c>
      <c r="K4157" s="377"/>
      <c r="L4157" s="129"/>
      <c r="M4157" s="378"/>
      <c r="N4157" s="129"/>
      <c r="O4157" s="129"/>
      <c r="P4157" s="379"/>
      <c r="Q4157" s="129"/>
      <c r="R4157" s="380"/>
      <c r="S4157" s="129"/>
      <c r="T4157" s="129"/>
      <c r="W4157" s="129" t="s">
        <v>286</v>
      </c>
      <c r="X4157" s="337" t="b">
        <f t="shared" si="99"/>
        <v>1</v>
      </c>
    </row>
    <row r="4158" spans="1:24" ht="12" customHeight="1" outlineLevel="1">
      <c r="A4158" s="370"/>
      <c r="B4158" s="118" t="s">
        <v>12</v>
      </c>
      <c r="C4158" s="334" t="s">
        <v>12204</v>
      </c>
      <c r="D4158" s="124" t="s">
        <v>8347</v>
      </c>
      <c r="E4158" s="125"/>
      <c r="F4158" s="118" t="s">
        <v>828</v>
      </c>
      <c r="G4158" s="126" t="s">
        <v>11386</v>
      </c>
      <c r="H4158" s="255">
        <v>6</v>
      </c>
      <c r="I4158" s="361">
        <v>1</v>
      </c>
      <c r="J4158" s="371" t="s">
        <v>286</v>
      </c>
      <c r="K4158" s="377"/>
      <c r="L4158" s="129"/>
      <c r="M4158" s="378"/>
      <c r="N4158" s="129"/>
      <c r="O4158" s="129"/>
      <c r="P4158" s="379"/>
      <c r="Q4158" s="129"/>
      <c r="R4158" s="380"/>
      <c r="S4158" s="129"/>
      <c r="T4158" s="129"/>
      <c r="W4158" s="129" t="s">
        <v>286</v>
      </c>
      <c r="X4158" s="337" t="b">
        <f t="shared" si="99"/>
        <v>1</v>
      </c>
    </row>
    <row r="4159" spans="1:24" ht="12" customHeight="1" outlineLevel="1">
      <c r="A4159" s="370"/>
      <c r="B4159" s="118" t="s">
        <v>12</v>
      </c>
      <c r="C4159" s="334" t="s">
        <v>12205</v>
      </c>
      <c r="D4159" s="124" t="s">
        <v>8349</v>
      </c>
      <c r="E4159" s="125"/>
      <c r="F4159" s="118" t="s">
        <v>828</v>
      </c>
      <c r="G4159" s="126" t="s">
        <v>11386</v>
      </c>
      <c r="H4159" s="255">
        <v>6</v>
      </c>
      <c r="I4159" s="361">
        <v>1</v>
      </c>
      <c r="J4159" s="371" t="s">
        <v>286</v>
      </c>
      <c r="K4159" s="377"/>
      <c r="L4159" s="129"/>
      <c r="M4159" s="378"/>
      <c r="N4159" s="129"/>
      <c r="O4159" s="129"/>
      <c r="P4159" s="379"/>
      <c r="Q4159" s="129"/>
      <c r="R4159" s="380"/>
      <c r="S4159" s="129"/>
      <c r="T4159" s="129"/>
      <c r="W4159" s="129" t="s">
        <v>286</v>
      </c>
      <c r="X4159" s="337" t="b">
        <f t="shared" si="99"/>
        <v>1</v>
      </c>
    </row>
    <row r="4160" spans="1:24" ht="12" customHeight="1" outlineLevel="1">
      <c r="A4160" s="370"/>
      <c r="B4160" s="118" t="s">
        <v>12</v>
      </c>
      <c r="C4160" s="334" t="s">
        <v>12206</v>
      </c>
      <c r="D4160" s="124" t="s">
        <v>8351</v>
      </c>
      <c r="E4160" s="125"/>
      <c r="F4160" s="118" t="s">
        <v>828</v>
      </c>
      <c r="G4160" s="126" t="s">
        <v>11386</v>
      </c>
      <c r="H4160" s="255">
        <v>6</v>
      </c>
      <c r="I4160" s="361">
        <v>1</v>
      </c>
      <c r="J4160" s="371" t="s">
        <v>286</v>
      </c>
      <c r="K4160" s="377"/>
      <c r="L4160" s="129"/>
      <c r="M4160" s="378"/>
      <c r="N4160" s="129"/>
      <c r="O4160" s="129"/>
      <c r="P4160" s="379"/>
      <c r="Q4160" s="129"/>
      <c r="R4160" s="380"/>
      <c r="S4160" s="129"/>
      <c r="T4160" s="129"/>
      <c r="W4160" s="129" t="s">
        <v>286</v>
      </c>
      <c r="X4160" s="337" t="b">
        <f t="shared" si="99"/>
        <v>1</v>
      </c>
    </row>
    <row r="4161" spans="1:24" ht="12" customHeight="1" outlineLevel="1">
      <c r="A4161" s="370"/>
      <c r="B4161" s="118" t="s">
        <v>12</v>
      </c>
      <c r="C4161" s="334" t="s">
        <v>12207</v>
      </c>
      <c r="D4161" s="124" t="s">
        <v>8353</v>
      </c>
      <c r="E4161" s="125"/>
      <c r="F4161" s="118" t="s">
        <v>828</v>
      </c>
      <c r="G4161" s="126" t="s">
        <v>11386</v>
      </c>
      <c r="H4161" s="255">
        <v>6</v>
      </c>
      <c r="I4161" s="361">
        <v>1</v>
      </c>
      <c r="J4161" s="371" t="s">
        <v>286</v>
      </c>
      <c r="K4161" s="377"/>
      <c r="L4161" s="129"/>
      <c r="M4161" s="378"/>
      <c r="N4161" s="129"/>
      <c r="O4161" s="129"/>
      <c r="P4161" s="379"/>
      <c r="Q4161" s="129"/>
      <c r="R4161" s="380"/>
      <c r="S4161" s="129"/>
      <c r="T4161" s="129"/>
      <c r="W4161" s="129" t="s">
        <v>286</v>
      </c>
      <c r="X4161" s="337" t="b">
        <f t="shared" si="99"/>
        <v>1</v>
      </c>
    </row>
    <row r="4162" spans="1:24" ht="12" customHeight="1" outlineLevel="1">
      <c r="A4162" s="370"/>
      <c r="B4162" s="118" t="s">
        <v>12</v>
      </c>
      <c r="C4162" s="334" t="s">
        <v>12208</v>
      </c>
      <c r="D4162" s="124" t="s">
        <v>8355</v>
      </c>
      <c r="E4162" s="125"/>
      <c r="F4162" s="118" t="s">
        <v>828</v>
      </c>
      <c r="G4162" s="126" t="s">
        <v>11386</v>
      </c>
      <c r="H4162" s="255">
        <v>6</v>
      </c>
      <c r="I4162" s="361">
        <v>1</v>
      </c>
      <c r="J4162" s="371" t="s">
        <v>286</v>
      </c>
      <c r="K4162" s="377"/>
      <c r="L4162" s="129"/>
      <c r="M4162" s="378"/>
      <c r="N4162" s="129"/>
      <c r="O4162" s="129"/>
      <c r="P4162" s="379"/>
      <c r="Q4162" s="129"/>
      <c r="R4162" s="380"/>
      <c r="S4162" s="129"/>
      <c r="T4162" s="129"/>
      <c r="W4162" s="129" t="s">
        <v>286</v>
      </c>
      <c r="X4162" s="337" t="b">
        <f t="shared" si="99"/>
        <v>1</v>
      </c>
    </row>
    <row r="4163" spans="1:24" ht="12" customHeight="1" outlineLevel="1">
      <c r="A4163" s="370"/>
      <c r="B4163" s="118" t="s">
        <v>12</v>
      </c>
      <c r="C4163" s="334" t="s">
        <v>12209</v>
      </c>
      <c r="D4163" s="124" t="s">
        <v>8357</v>
      </c>
      <c r="E4163" s="125"/>
      <c r="F4163" s="118" t="s">
        <v>828</v>
      </c>
      <c r="G4163" s="126" t="s">
        <v>11386</v>
      </c>
      <c r="H4163" s="255">
        <v>6</v>
      </c>
      <c r="I4163" s="361">
        <v>1</v>
      </c>
      <c r="J4163" s="371" t="s">
        <v>286</v>
      </c>
      <c r="K4163" s="377"/>
      <c r="L4163" s="129"/>
      <c r="M4163" s="378"/>
      <c r="N4163" s="129"/>
      <c r="O4163" s="129"/>
      <c r="P4163" s="379"/>
      <c r="Q4163" s="129"/>
      <c r="R4163" s="380"/>
      <c r="S4163" s="129"/>
      <c r="T4163" s="129"/>
      <c r="W4163" s="129" t="s">
        <v>286</v>
      </c>
      <c r="X4163" s="337" t="b">
        <f t="shared" si="99"/>
        <v>1</v>
      </c>
    </row>
    <row r="4164" spans="1:24" ht="12" customHeight="1" outlineLevel="1">
      <c r="A4164" s="370"/>
      <c r="B4164" s="118" t="s">
        <v>12</v>
      </c>
      <c r="C4164" s="334" t="s">
        <v>12210</v>
      </c>
      <c r="D4164" s="124" t="s">
        <v>8359</v>
      </c>
      <c r="E4164" s="125"/>
      <c r="F4164" s="118" t="s">
        <v>828</v>
      </c>
      <c r="G4164" s="126" t="s">
        <v>11386</v>
      </c>
      <c r="H4164" s="255">
        <v>6</v>
      </c>
      <c r="I4164" s="361">
        <v>1</v>
      </c>
      <c r="J4164" s="371" t="s">
        <v>286</v>
      </c>
      <c r="K4164" s="377"/>
      <c r="L4164" s="129"/>
      <c r="M4164" s="378"/>
      <c r="N4164" s="129"/>
      <c r="O4164" s="129"/>
      <c r="P4164" s="379"/>
      <c r="Q4164" s="129"/>
      <c r="R4164" s="380"/>
      <c r="S4164" s="129"/>
      <c r="T4164" s="129"/>
      <c r="W4164" s="129" t="s">
        <v>286</v>
      </c>
      <c r="X4164" s="337" t="b">
        <f t="shared" si="99"/>
        <v>1</v>
      </c>
    </row>
    <row r="4165" spans="1:24" ht="12" customHeight="1" outlineLevel="1">
      <c r="A4165" s="370"/>
      <c r="B4165" s="118" t="s">
        <v>12</v>
      </c>
      <c r="C4165" s="334" t="s">
        <v>12211</v>
      </c>
      <c r="D4165" s="124" t="s">
        <v>8361</v>
      </c>
      <c r="E4165" s="125"/>
      <c r="F4165" s="118" t="s">
        <v>828</v>
      </c>
      <c r="G4165" s="126" t="s">
        <v>11386</v>
      </c>
      <c r="H4165" s="255">
        <v>6</v>
      </c>
      <c r="I4165" s="361">
        <v>1</v>
      </c>
      <c r="J4165" s="371" t="s">
        <v>286</v>
      </c>
      <c r="K4165" s="377"/>
      <c r="L4165" s="129"/>
      <c r="M4165" s="378"/>
      <c r="N4165" s="129"/>
      <c r="O4165" s="129"/>
      <c r="P4165" s="379"/>
      <c r="Q4165" s="129"/>
      <c r="R4165" s="380"/>
      <c r="S4165" s="129"/>
      <c r="T4165" s="129"/>
      <c r="W4165" s="129" t="s">
        <v>286</v>
      </c>
      <c r="X4165" s="337" t="b">
        <f t="shared" si="99"/>
        <v>1</v>
      </c>
    </row>
    <row r="4166" spans="1:24" ht="12" customHeight="1" outlineLevel="1">
      <c r="A4166" s="370"/>
      <c r="B4166" s="118" t="s">
        <v>12</v>
      </c>
      <c r="C4166" s="334" t="s">
        <v>12212</v>
      </c>
      <c r="D4166" s="124" t="s">
        <v>8363</v>
      </c>
      <c r="E4166" s="125"/>
      <c r="F4166" s="118" t="s">
        <v>828</v>
      </c>
      <c r="G4166" s="126" t="s">
        <v>11386</v>
      </c>
      <c r="H4166" s="255">
        <v>6</v>
      </c>
      <c r="I4166" s="361">
        <v>1</v>
      </c>
      <c r="J4166" s="371" t="s">
        <v>286</v>
      </c>
      <c r="K4166" s="377"/>
      <c r="L4166" s="129"/>
      <c r="M4166" s="378"/>
      <c r="N4166" s="129"/>
      <c r="O4166" s="129"/>
      <c r="P4166" s="379"/>
      <c r="Q4166" s="129"/>
      <c r="R4166" s="380"/>
      <c r="S4166" s="129"/>
      <c r="T4166" s="129"/>
      <c r="W4166" s="129" t="s">
        <v>286</v>
      </c>
      <c r="X4166" s="337" t="b">
        <f t="shared" si="99"/>
        <v>1</v>
      </c>
    </row>
    <row r="4167" spans="1:24" ht="12" customHeight="1" outlineLevel="1">
      <c r="A4167" s="370"/>
      <c r="B4167" s="118" t="s">
        <v>12</v>
      </c>
      <c r="C4167" s="334" t="s">
        <v>12213</v>
      </c>
      <c r="D4167" s="124" t="s">
        <v>8365</v>
      </c>
      <c r="E4167" s="125"/>
      <c r="F4167" s="118" t="s">
        <v>828</v>
      </c>
      <c r="G4167" s="126" t="s">
        <v>11386</v>
      </c>
      <c r="H4167" s="255">
        <v>6</v>
      </c>
      <c r="I4167" s="361">
        <v>1</v>
      </c>
      <c r="J4167" s="371" t="s">
        <v>286</v>
      </c>
      <c r="K4167" s="377"/>
      <c r="L4167" s="129"/>
      <c r="M4167" s="378"/>
      <c r="N4167" s="129"/>
      <c r="O4167" s="129"/>
      <c r="P4167" s="379"/>
      <c r="Q4167" s="129"/>
      <c r="R4167" s="380"/>
      <c r="S4167" s="129"/>
      <c r="T4167" s="129"/>
      <c r="W4167" s="129" t="s">
        <v>286</v>
      </c>
      <c r="X4167" s="337" t="b">
        <f t="shared" si="99"/>
        <v>1</v>
      </c>
    </row>
    <row r="4168" spans="1:24" ht="12" customHeight="1" outlineLevel="1">
      <c r="A4168" s="370"/>
      <c r="B4168" s="118" t="s">
        <v>12</v>
      </c>
      <c r="C4168" s="334" t="s">
        <v>12214</v>
      </c>
      <c r="D4168" s="124" t="s">
        <v>8367</v>
      </c>
      <c r="E4168" s="125"/>
      <c r="F4168" s="118" t="s">
        <v>828</v>
      </c>
      <c r="G4168" s="126" t="s">
        <v>11386</v>
      </c>
      <c r="H4168" s="255">
        <v>6</v>
      </c>
      <c r="I4168" s="361">
        <v>1</v>
      </c>
      <c r="J4168" s="371" t="s">
        <v>286</v>
      </c>
      <c r="K4168" s="377"/>
      <c r="L4168" s="129"/>
      <c r="M4168" s="378"/>
      <c r="N4168" s="129"/>
      <c r="O4168" s="129"/>
      <c r="P4168" s="379"/>
      <c r="Q4168" s="129"/>
      <c r="R4168" s="380"/>
      <c r="S4168" s="129"/>
      <c r="T4168" s="129"/>
      <c r="W4168" s="129" t="s">
        <v>286</v>
      </c>
      <c r="X4168" s="337" t="b">
        <f t="shared" si="99"/>
        <v>1</v>
      </c>
    </row>
    <row r="4169" spans="1:24" ht="12" customHeight="1" outlineLevel="1">
      <c r="A4169" s="370"/>
      <c r="B4169" s="118" t="s">
        <v>12</v>
      </c>
      <c r="C4169" s="334" t="s">
        <v>12215</v>
      </c>
      <c r="D4169" s="124" t="s">
        <v>8369</v>
      </c>
      <c r="E4169" s="125"/>
      <c r="F4169" s="118" t="s">
        <v>828</v>
      </c>
      <c r="G4169" s="126" t="s">
        <v>11386</v>
      </c>
      <c r="H4169" s="255">
        <v>6</v>
      </c>
      <c r="I4169" s="361">
        <v>1</v>
      </c>
      <c r="J4169" s="371" t="s">
        <v>286</v>
      </c>
      <c r="K4169" s="377"/>
      <c r="L4169" s="129"/>
      <c r="M4169" s="378"/>
      <c r="N4169" s="129"/>
      <c r="O4169" s="129"/>
      <c r="P4169" s="379"/>
      <c r="Q4169" s="129"/>
      <c r="R4169" s="380"/>
      <c r="S4169" s="129"/>
      <c r="T4169" s="129"/>
      <c r="W4169" s="129" t="s">
        <v>286</v>
      </c>
      <c r="X4169" s="337" t="b">
        <f t="shared" si="99"/>
        <v>1</v>
      </c>
    </row>
    <row r="4170" spans="1:24" ht="12" customHeight="1" outlineLevel="1">
      <c r="A4170" s="370"/>
      <c r="B4170" s="118" t="s">
        <v>12</v>
      </c>
      <c r="C4170" s="334" t="s">
        <v>12216</v>
      </c>
      <c r="D4170" s="124" t="s">
        <v>8371</v>
      </c>
      <c r="E4170" s="125"/>
      <c r="F4170" s="118" t="s">
        <v>828</v>
      </c>
      <c r="G4170" s="126" t="s">
        <v>11386</v>
      </c>
      <c r="H4170" s="255">
        <v>6</v>
      </c>
      <c r="I4170" s="361">
        <v>1</v>
      </c>
      <c r="J4170" s="371" t="s">
        <v>286</v>
      </c>
      <c r="K4170" s="377"/>
      <c r="L4170" s="129"/>
      <c r="M4170" s="378"/>
      <c r="N4170" s="129"/>
      <c r="O4170" s="129"/>
      <c r="P4170" s="379"/>
      <c r="Q4170" s="129"/>
      <c r="R4170" s="380"/>
      <c r="S4170" s="129"/>
      <c r="T4170" s="129"/>
      <c r="W4170" s="129" t="s">
        <v>286</v>
      </c>
      <c r="X4170" s="337" t="b">
        <f t="shared" si="99"/>
        <v>1</v>
      </c>
    </row>
    <row r="4171" spans="1:24" ht="12" customHeight="1" outlineLevel="1">
      <c r="A4171" s="370"/>
      <c r="B4171" s="118" t="s">
        <v>12</v>
      </c>
      <c r="C4171" s="334" t="s">
        <v>12217</v>
      </c>
      <c r="D4171" s="124" t="s">
        <v>8373</v>
      </c>
      <c r="E4171" s="125"/>
      <c r="F4171" s="118" t="s">
        <v>828</v>
      </c>
      <c r="G4171" s="126" t="s">
        <v>11386</v>
      </c>
      <c r="H4171" s="255">
        <v>6</v>
      </c>
      <c r="I4171" s="361">
        <v>1</v>
      </c>
      <c r="J4171" s="371" t="s">
        <v>286</v>
      </c>
      <c r="K4171" s="377"/>
      <c r="L4171" s="129"/>
      <c r="M4171" s="378"/>
      <c r="N4171" s="129"/>
      <c r="O4171" s="129"/>
      <c r="P4171" s="379"/>
      <c r="Q4171" s="129"/>
      <c r="R4171" s="380"/>
      <c r="S4171" s="129"/>
      <c r="T4171" s="129"/>
      <c r="W4171" s="129" t="s">
        <v>286</v>
      </c>
      <c r="X4171" s="337" t="b">
        <f t="shared" si="99"/>
        <v>1</v>
      </c>
    </row>
    <row r="4172" spans="1:24" ht="12" customHeight="1" outlineLevel="1">
      <c r="A4172" s="370"/>
      <c r="B4172" s="118" t="s">
        <v>12</v>
      </c>
      <c r="C4172" s="334" t="s">
        <v>12218</v>
      </c>
      <c r="D4172" s="124" t="s">
        <v>8375</v>
      </c>
      <c r="E4172" s="125"/>
      <c r="F4172" s="118" t="s">
        <v>828</v>
      </c>
      <c r="G4172" s="126" t="s">
        <v>11386</v>
      </c>
      <c r="H4172" s="255">
        <v>6</v>
      </c>
      <c r="I4172" s="361">
        <v>1</v>
      </c>
      <c r="J4172" s="371" t="s">
        <v>286</v>
      </c>
      <c r="K4172" s="377"/>
      <c r="L4172" s="129"/>
      <c r="M4172" s="378"/>
      <c r="N4172" s="129"/>
      <c r="O4172" s="129"/>
      <c r="P4172" s="379"/>
      <c r="Q4172" s="129"/>
      <c r="R4172" s="380"/>
      <c r="S4172" s="129"/>
      <c r="T4172" s="129"/>
      <c r="W4172" s="129" t="s">
        <v>286</v>
      </c>
      <c r="X4172" s="337" t="b">
        <f t="shared" si="99"/>
        <v>1</v>
      </c>
    </row>
    <row r="4173" spans="1:24" ht="12" customHeight="1" outlineLevel="1">
      <c r="A4173" s="370"/>
      <c r="B4173" s="118" t="s">
        <v>12</v>
      </c>
      <c r="C4173" s="334" t="s">
        <v>12219</v>
      </c>
      <c r="D4173" s="124" t="s">
        <v>8377</v>
      </c>
      <c r="E4173" s="125"/>
      <c r="F4173" s="118" t="s">
        <v>828</v>
      </c>
      <c r="G4173" s="126" t="s">
        <v>11386</v>
      </c>
      <c r="H4173" s="255">
        <v>6</v>
      </c>
      <c r="I4173" s="361">
        <v>1</v>
      </c>
      <c r="J4173" s="371" t="s">
        <v>286</v>
      </c>
      <c r="K4173" s="377"/>
      <c r="L4173" s="129"/>
      <c r="M4173" s="378"/>
      <c r="N4173" s="129"/>
      <c r="O4173" s="129"/>
      <c r="P4173" s="379"/>
      <c r="Q4173" s="129"/>
      <c r="R4173" s="380"/>
      <c r="S4173" s="129"/>
      <c r="T4173" s="129"/>
      <c r="W4173" s="129" t="s">
        <v>286</v>
      </c>
      <c r="X4173" s="337" t="b">
        <f t="shared" si="99"/>
        <v>1</v>
      </c>
    </row>
    <row r="4174" spans="1:24" ht="12" customHeight="1" outlineLevel="1">
      <c r="A4174" s="370"/>
      <c r="B4174" s="118" t="s">
        <v>12</v>
      </c>
      <c r="C4174" s="334" t="s">
        <v>12220</v>
      </c>
      <c r="D4174" s="124" t="s">
        <v>8379</v>
      </c>
      <c r="E4174" s="125"/>
      <c r="F4174" s="118" t="s">
        <v>828</v>
      </c>
      <c r="G4174" s="126" t="s">
        <v>11386</v>
      </c>
      <c r="H4174" s="255">
        <v>6</v>
      </c>
      <c r="I4174" s="361">
        <v>1</v>
      </c>
      <c r="J4174" s="371" t="s">
        <v>286</v>
      </c>
      <c r="K4174" s="377"/>
      <c r="L4174" s="129"/>
      <c r="M4174" s="378"/>
      <c r="N4174" s="129"/>
      <c r="O4174" s="129"/>
      <c r="P4174" s="379"/>
      <c r="Q4174" s="129"/>
      <c r="R4174" s="380"/>
      <c r="S4174" s="129"/>
      <c r="T4174" s="129"/>
      <c r="W4174" s="129" t="s">
        <v>286</v>
      </c>
      <c r="X4174" s="337" t="b">
        <f t="shared" si="99"/>
        <v>1</v>
      </c>
    </row>
    <row r="4175" spans="1:24" ht="12" customHeight="1" outlineLevel="1">
      <c r="A4175" s="370"/>
      <c r="B4175" s="118" t="s">
        <v>12</v>
      </c>
      <c r="C4175" s="334" t="s">
        <v>12221</v>
      </c>
      <c r="D4175" s="124" t="s">
        <v>8267</v>
      </c>
      <c r="E4175" s="125"/>
      <c r="F4175" s="118" t="s">
        <v>828</v>
      </c>
      <c r="G4175" s="126" t="s">
        <v>11386</v>
      </c>
      <c r="H4175" s="255">
        <v>6</v>
      </c>
      <c r="I4175" s="361">
        <v>1</v>
      </c>
      <c r="J4175" s="371" t="s">
        <v>286</v>
      </c>
      <c r="K4175" s="377"/>
      <c r="L4175" s="129"/>
      <c r="M4175" s="378"/>
      <c r="N4175" s="129"/>
      <c r="O4175" s="129"/>
      <c r="P4175" s="379"/>
      <c r="Q4175" s="129"/>
      <c r="R4175" s="380"/>
      <c r="S4175" s="129"/>
      <c r="T4175" s="129"/>
      <c r="W4175" s="129" t="s">
        <v>286</v>
      </c>
      <c r="X4175" s="337" t="b">
        <f t="shared" si="99"/>
        <v>1</v>
      </c>
    </row>
    <row r="4176" spans="1:24" ht="12" customHeight="1" outlineLevel="1">
      <c r="A4176" s="370"/>
      <c r="B4176" s="118" t="s">
        <v>12</v>
      </c>
      <c r="C4176" s="334" t="s">
        <v>12222</v>
      </c>
      <c r="D4176" s="124" t="s">
        <v>8269</v>
      </c>
      <c r="E4176" s="125"/>
      <c r="F4176" s="118" t="s">
        <v>828</v>
      </c>
      <c r="G4176" s="126" t="s">
        <v>11386</v>
      </c>
      <c r="H4176" s="255">
        <v>6</v>
      </c>
      <c r="I4176" s="361">
        <v>1</v>
      </c>
      <c r="J4176" s="371" t="s">
        <v>286</v>
      </c>
      <c r="K4176" s="377"/>
      <c r="L4176" s="129"/>
      <c r="M4176" s="378"/>
      <c r="N4176" s="129"/>
      <c r="O4176" s="129"/>
      <c r="P4176" s="379"/>
      <c r="Q4176" s="129"/>
      <c r="R4176" s="380"/>
      <c r="S4176" s="129"/>
      <c r="T4176" s="129"/>
      <c r="W4176" s="129" t="s">
        <v>286</v>
      </c>
      <c r="X4176" s="337" t="b">
        <f t="shared" si="99"/>
        <v>1</v>
      </c>
    </row>
    <row r="4177" spans="1:24" ht="12" customHeight="1" outlineLevel="1">
      <c r="A4177" s="370"/>
      <c r="B4177" s="118" t="s">
        <v>12</v>
      </c>
      <c r="C4177" s="334" t="s">
        <v>12223</v>
      </c>
      <c r="D4177" s="124" t="s">
        <v>8271</v>
      </c>
      <c r="E4177" s="125"/>
      <c r="F4177" s="118" t="s">
        <v>828</v>
      </c>
      <c r="G4177" s="126" t="s">
        <v>11386</v>
      </c>
      <c r="H4177" s="255">
        <v>6</v>
      </c>
      <c r="I4177" s="361">
        <v>1</v>
      </c>
      <c r="J4177" s="371" t="s">
        <v>286</v>
      </c>
      <c r="K4177" s="377"/>
      <c r="L4177" s="129"/>
      <c r="M4177" s="378"/>
      <c r="N4177" s="129"/>
      <c r="O4177" s="129"/>
      <c r="P4177" s="379"/>
      <c r="Q4177" s="129"/>
      <c r="R4177" s="380"/>
      <c r="S4177" s="129"/>
      <c r="T4177" s="129"/>
      <c r="W4177" s="129" t="s">
        <v>286</v>
      </c>
      <c r="X4177" s="337" t="b">
        <f t="shared" si="99"/>
        <v>1</v>
      </c>
    </row>
    <row r="4178" spans="1:24" ht="12" customHeight="1" outlineLevel="1">
      <c r="A4178" s="370"/>
      <c r="B4178" s="118" t="s">
        <v>12</v>
      </c>
      <c r="C4178" s="334" t="s">
        <v>12224</v>
      </c>
      <c r="D4178" s="124" t="s">
        <v>8273</v>
      </c>
      <c r="E4178" s="125"/>
      <c r="F4178" s="118" t="s">
        <v>828</v>
      </c>
      <c r="G4178" s="126" t="s">
        <v>11386</v>
      </c>
      <c r="H4178" s="255">
        <v>6</v>
      </c>
      <c r="I4178" s="361">
        <v>1</v>
      </c>
      <c r="J4178" s="371" t="s">
        <v>286</v>
      </c>
      <c r="K4178" s="377"/>
      <c r="L4178" s="129"/>
      <c r="M4178" s="378"/>
      <c r="N4178" s="129"/>
      <c r="O4178" s="129"/>
      <c r="P4178" s="379"/>
      <c r="Q4178" s="129"/>
      <c r="R4178" s="380"/>
      <c r="S4178" s="129"/>
      <c r="T4178" s="129"/>
      <c r="W4178" s="129" t="s">
        <v>286</v>
      </c>
      <c r="X4178" s="337" t="b">
        <f t="shared" si="99"/>
        <v>1</v>
      </c>
    </row>
    <row r="4179" spans="1:24" ht="12" customHeight="1" outlineLevel="1">
      <c r="A4179" s="370"/>
      <c r="B4179" s="118" t="s">
        <v>12</v>
      </c>
      <c r="C4179" s="334" t="s">
        <v>12225</v>
      </c>
      <c r="D4179" s="124" t="s">
        <v>8275</v>
      </c>
      <c r="E4179" s="125"/>
      <c r="F4179" s="118" t="s">
        <v>828</v>
      </c>
      <c r="G4179" s="126" t="s">
        <v>11386</v>
      </c>
      <c r="H4179" s="255">
        <v>6</v>
      </c>
      <c r="I4179" s="361">
        <v>1</v>
      </c>
      <c r="J4179" s="371" t="s">
        <v>286</v>
      </c>
      <c r="K4179" s="377"/>
      <c r="L4179" s="129"/>
      <c r="M4179" s="378"/>
      <c r="N4179" s="129"/>
      <c r="O4179" s="129"/>
      <c r="P4179" s="379"/>
      <c r="Q4179" s="129"/>
      <c r="R4179" s="380"/>
      <c r="S4179" s="129"/>
      <c r="T4179" s="129"/>
      <c r="W4179" s="129" t="s">
        <v>286</v>
      </c>
      <c r="X4179" s="337" t="b">
        <f t="shared" ref="X4179:X4242" si="100">W4179=J4179</f>
        <v>1</v>
      </c>
    </row>
    <row r="4180" spans="1:24" ht="12" customHeight="1" outlineLevel="1">
      <c r="A4180" s="370"/>
      <c r="B4180" s="118" t="s">
        <v>12</v>
      </c>
      <c r="C4180" s="334" t="s">
        <v>12226</v>
      </c>
      <c r="D4180" s="124" t="s">
        <v>8277</v>
      </c>
      <c r="E4180" s="125"/>
      <c r="F4180" s="118" t="s">
        <v>828</v>
      </c>
      <c r="G4180" s="126" t="s">
        <v>11386</v>
      </c>
      <c r="H4180" s="255">
        <v>6</v>
      </c>
      <c r="I4180" s="361">
        <v>1</v>
      </c>
      <c r="J4180" s="371" t="s">
        <v>286</v>
      </c>
      <c r="K4180" s="377"/>
      <c r="L4180" s="129"/>
      <c r="M4180" s="378"/>
      <c r="N4180" s="129"/>
      <c r="O4180" s="129"/>
      <c r="P4180" s="379"/>
      <c r="Q4180" s="129"/>
      <c r="R4180" s="380"/>
      <c r="S4180" s="129"/>
      <c r="T4180" s="129"/>
      <c r="W4180" s="129" t="s">
        <v>286</v>
      </c>
      <c r="X4180" s="337" t="b">
        <f t="shared" si="100"/>
        <v>1</v>
      </c>
    </row>
    <row r="4181" spans="1:24" ht="12" customHeight="1" outlineLevel="1">
      <c r="A4181" s="370"/>
      <c r="B4181" s="118" t="s">
        <v>12</v>
      </c>
      <c r="C4181" s="334" t="s">
        <v>12227</v>
      </c>
      <c r="D4181" s="124" t="s">
        <v>8279</v>
      </c>
      <c r="E4181" s="125"/>
      <c r="F4181" s="118" t="s">
        <v>828</v>
      </c>
      <c r="G4181" s="126" t="s">
        <v>11386</v>
      </c>
      <c r="H4181" s="255">
        <v>6</v>
      </c>
      <c r="I4181" s="361">
        <v>1</v>
      </c>
      <c r="J4181" s="371" t="s">
        <v>286</v>
      </c>
      <c r="K4181" s="377"/>
      <c r="L4181" s="129"/>
      <c r="M4181" s="378"/>
      <c r="N4181" s="129"/>
      <c r="O4181" s="129"/>
      <c r="P4181" s="379"/>
      <c r="Q4181" s="129"/>
      <c r="R4181" s="380"/>
      <c r="S4181" s="129"/>
      <c r="T4181" s="129"/>
      <c r="W4181" s="129" t="s">
        <v>286</v>
      </c>
      <c r="X4181" s="337" t="b">
        <f t="shared" si="100"/>
        <v>1</v>
      </c>
    </row>
    <row r="4182" spans="1:24" ht="12" customHeight="1" outlineLevel="1">
      <c r="A4182" s="370"/>
      <c r="B4182" s="118" t="s">
        <v>12</v>
      </c>
      <c r="C4182" s="334" t="s">
        <v>12228</v>
      </c>
      <c r="D4182" s="124" t="s">
        <v>8281</v>
      </c>
      <c r="E4182" s="125"/>
      <c r="F4182" s="118" t="s">
        <v>828</v>
      </c>
      <c r="G4182" s="126" t="s">
        <v>11386</v>
      </c>
      <c r="H4182" s="255">
        <v>6</v>
      </c>
      <c r="I4182" s="361">
        <v>1</v>
      </c>
      <c r="J4182" s="371" t="s">
        <v>286</v>
      </c>
      <c r="K4182" s="377"/>
      <c r="L4182" s="129"/>
      <c r="M4182" s="378"/>
      <c r="N4182" s="129"/>
      <c r="O4182" s="129"/>
      <c r="P4182" s="379"/>
      <c r="Q4182" s="129"/>
      <c r="R4182" s="380"/>
      <c r="S4182" s="129"/>
      <c r="T4182" s="129"/>
      <c r="W4182" s="129" t="s">
        <v>286</v>
      </c>
      <c r="X4182" s="337" t="b">
        <f t="shared" si="100"/>
        <v>1</v>
      </c>
    </row>
    <row r="4183" spans="1:24" ht="12" customHeight="1" outlineLevel="1">
      <c r="A4183" s="370"/>
      <c r="B4183" s="118" t="s">
        <v>12</v>
      </c>
      <c r="C4183" s="334" t="s">
        <v>12229</v>
      </c>
      <c r="D4183" s="124" t="s">
        <v>8283</v>
      </c>
      <c r="E4183" s="125"/>
      <c r="F4183" s="118" t="s">
        <v>828</v>
      </c>
      <c r="G4183" s="126" t="s">
        <v>11386</v>
      </c>
      <c r="H4183" s="255">
        <v>6</v>
      </c>
      <c r="I4183" s="361">
        <v>1</v>
      </c>
      <c r="J4183" s="371" t="s">
        <v>286</v>
      </c>
      <c r="K4183" s="377"/>
      <c r="L4183" s="129"/>
      <c r="M4183" s="378"/>
      <c r="N4183" s="129"/>
      <c r="O4183" s="129"/>
      <c r="P4183" s="379"/>
      <c r="Q4183" s="129"/>
      <c r="R4183" s="380"/>
      <c r="S4183" s="129"/>
      <c r="T4183" s="129"/>
      <c r="W4183" s="129" t="s">
        <v>286</v>
      </c>
      <c r="X4183" s="337" t="b">
        <f t="shared" si="100"/>
        <v>1</v>
      </c>
    </row>
    <row r="4184" spans="1:24" ht="12" customHeight="1" outlineLevel="1">
      <c r="A4184" s="370"/>
      <c r="B4184" s="118" t="s">
        <v>12</v>
      </c>
      <c r="C4184" s="334" t="s">
        <v>12230</v>
      </c>
      <c r="D4184" s="124" t="s">
        <v>8285</v>
      </c>
      <c r="E4184" s="125"/>
      <c r="F4184" s="118" t="s">
        <v>828</v>
      </c>
      <c r="G4184" s="126" t="s">
        <v>11386</v>
      </c>
      <c r="H4184" s="255">
        <v>6</v>
      </c>
      <c r="I4184" s="361">
        <v>1</v>
      </c>
      <c r="J4184" s="371" t="s">
        <v>286</v>
      </c>
      <c r="K4184" s="377"/>
      <c r="L4184" s="129"/>
      <c r="M4184" s="378"/>
      <c r="N4184" s="129"/>
      <c r="O4184" s="129"/>
      <c r="P4184" s="379"/>
      <c r="Q4184" s="129"/>
      <c r="R4184" s="380"/>
      <c r="S4184" s="129"/>
      <c r="T4184" s="129"/>
      <c r="W4184" s="129" t="s">
        <v>286</v>
      </c>
      <c r="X4184" s="337" t="b">
        <f t="shared" si="100"/>
        <v>1</v>
      </c>
    </row>
    <row r="4185" spans="1:24" ht="12" customHeight="1" outlineLevel="1">
      <c r="A4185" s="370"/>
      <c r="B4185" s="118" t="s">
        <v>12</v>
      </c>
      <c r="C4185" s="334" t="s">
        <v>12231</v>
      </c>
      <c r="D4185" s="124" t="s">
        <v>11891</v>
      </c>
      <c r="E4185" s="125"/>
      <c r="F4185" s="118" t="s">
        <v>828</v>
      </c>
      <c r="G4185" s="126" t="s">
        <v>11386</v>
      </c>
      <c r="H4185" s="255">
        <v>6</v>
      </c>
      <c r="I4185" s="361">
        <v>1</v>
      </c>
      <c r="J4185" s="371" t="s">
        <v>286</v>
      </c>
      <c r="K4185" s="377"/>
      <c r="L4185" s="129"/>
      <c r="M4185" s="378"/>
      <c r="N4185" s="129"/>
      <c r="O4185" s="129"/>
      <c r="P4185" s="379"/>
      <c r="Q4185" s="129"/>
      <c r="R4185" s="380"/>
      <c r="S4185" s="129"/>
      <c r="T4185" s="129"/>
      <c r="W4185" s="129" t="s">
        <v>286</v>
      </c>
      <c r="X4185" s="337" t="b">
        <f t="shared" si="100"/>
        <v>1</v>
      </c>
    </row>
    <row r="4186" spans="1:24" ht="12" customHeight="1" outlineLevel="1">
      <c r="A4186" s="370"/>
      <c r="B4186" s="118" t="s">
        <v>12</v>
      </c>
      <c r="C4186" s="334" t="s">
        <v>12232</v>
      </c>
      <c r="D4186" s="124" t="s">
        <v>11893</v>
      </c>
      <c r="E4186" s="125"/>
      <c r="F4186" s="118" t="s">
        <v>828</v>
      </c>
      <c r="G4186" s="126" t="s">
        <v>11386</v>
      </c>
      <c r="H4186" s="255">
        <v>6</v>
      </c>
      <c r="I4186" s="361">
        <v>1</v>
      </c>
      <c r="J4186" s="371" t="s">
        <v>286</v>
      </c>
      <c r="K4186" s="377"/>
      <c r="L4186" s="129"/>
      <c r="M4186" s="378"/>
      <c r="N4186" s="129"/>
      <c r="O4186" s="129"/>
      <c r="P4186" s="379"/>
      <c r="Q4186" s="129"/>
      <c r="R4186" s="380"/>
      <c r="S4186" s="129"/>
      <c r="T4186" s="129"/>
      <c r="W4186" s="129" t="s">
        <v>286</v>
      </c>
      <c r="X4186" s="337" t="b">
        <f t="shared" si="100"/>
        <v>1</v>
      </c>
    </row>
    <row r="4187" spans="1:24" ht="12" customHeight="1" outlineLevel="1">
      <c r="A4187" s="370"/>
      <c r="B4187" s="118" t="s">
        <v>12</v>
      </c>
      <c r="C4187" s="334" t="s">
        <v>12233</v>
      </c>
      <c r="D4187" s="124" t="s">
        <v>11895</v>
      </c>
      <c r="E4187" s="125"/>
      <c r="F4187" s="118" t="s">
        <v>828</v>
      </c>
      <c r="G4187" s="126" t="s">
        <v>11386</v>
      </c>
      <c r="H4187" s="255">
        <v>6</v>
      </c>
      <c r="I4187" s="361">
        <v>1</v>
      </c>
      <c r="J4187" s="371" t="s">
        <v>286</v>
      </c>
      <c r="K4187" s="377"/>
      <c r="L4187" s="129"/>
      <c r="M4187" s="378"/>
      <c r="N4187" s="129"/>
      <c r="O4187" s="129"/>
      <c r="P4187" s="379"/>
      <c r="Q4187" s="129"/>
      <c r="R4187" s="380"/>
      <c r="S4187" s="129"/>
      <c r="T4187" s="129"/>
      <c r="W4187" s="129" t="s">
        <v>286</v>
      </c>
      <c r="X4187" s="337" t="b">
        <f t="shared" si="100"/>
        <v>1</v>
      </c>
    </row>
    <row r="4188" spans="1:24" ht="12" customHeight="1" outlineLevel="1">
      <c r="A4188" s="370"/>
      <c r="B4188" s="118" t="s">
        <v>12</v>
      </c>
      <c r="C4188" s="334" t="s">
        <v>12234</v>
      </c>
      <c r="D4188" s="124" t="s">
        <v>11897</v>
      </c>
      <c r="E4188" s="125"/>
      <c r="F4188" s="118" t="s">
        <v>828</v>
      </c>
      <c r="G4188" s="126" t="s">
        <v>11386</v>
      </c>
      <c r="H4188" s="255">
        <v>6</v>
      </c>
      <c r="I4188" s="361">
        <v>1</v>
      </c>
      <c r="J4188" s="371" t="s">
        <v>286</v>
      </c>
      <c r="K4188" s="377"/>
      <c r="L4188" s="129"/>
      <c r="M4188" s="378"/>
      <c r="N4188" s="129"/>
      <c r="O4188" s="129"/>
      <c r="P4188" s="379"/>
      <c r="Q4188" s="129"/>
      <c r="R4188" s="380"/>
      <c r="S4188" s="129"/>
      <c r="T4188" s="129"/>
      <c r="W4188" s="129" t="s">
        <v>286</v>
      </c>
      <c r="X4188" s="337" t="b">
        <f t="shared" si="100"/>
        <v>1</v>
      </c>
    </row>
    <row r="4189" spans="1:24" ht="12" customHeight="1" outlineLevel="1">
      <c r="A4189" s="370"/>
      <c r="B4189" s="118" t="s">
        <v>12</v>
      </c>
      <c r="C4189" s="334" t="s">
        <v>12235</v>
      </c>
      <c r="D4189" s="124" t="s">
        <v>11899</v>
      </c>
      <c r="E4189" s="125"/>
      <c r="F4189" s="118" t="s">
        <v>828</v>
      </c>
      <c r="G4189" s="126" t="s">
        <v>11386</v>
      </c>
      <c r="H4189" s="255">
        <v>6</v>
      </c>
      <c r="I4189" s="361">
        <v>1</v>
      </c>
      <c r="J4189" s="371" t="s">
        <v>286</v>
      </c>
      <c r="K4189" s="377"/>
      <c r="L4189" s="129"/>
      <c r="M4189" s="378"/>
      <c r="N4189" s="129"/>
      <c r="O4189" s="129"/>
      <c r="P4189" s="379"/>
      <c r="Q4189" s="129"/>
      <c r="R4189" s="380"/>
      <c r="S4189" s="129"/>
      <c r="T4189" s="129"/>
      <c r="W4189" s="129" t="s">
        <v>286</v>
      </c>
      <c r="X4189" s="337" t="b">
        <f t="shared" si="100"/>
        <v>1</v>
      </c>
    </row>
    <row r="4190" spans="1:24" ht="12" customHeight="1" outlineLevel="1">
      <c r="A4190" s="370"/>
      <c r="B4190" s="118" t="s">
        <v>12</v>
      </c>
      <c r="C4190" s="334" t="s">
        <v>12236</v>
      </c>
      <c r="D4190" s="124" t="s">
        <v>8305</v>
      </c>
      <c r="E4190" s="125"/>
      <c r="F4190" s="118" t="s">
        <v>828</v>
      </c>
      <c r="G4190" s="126" t="s">
        <v>11386</v>
      </c>
      <c r="H4190" s="255">
        <v>6</v>
      </c>
      <c r="I4190" s="361">
        <v>1</v>
      </c>
      <c r="J4190" s="371" t="s">
        <v>286</v>
      </c>
      <c r="K4190" s="377"/>
      <c r="L4190" s="129"/>
      <c r="M4190" s="378"/>
      <c r="N4190" s="129"/>
      <c r="O4190" s="129"/>
      <c r="P4190" s="379"/>
      <c r="Q4190" s="129"/>
      <c r="R4190" s="380"/>
      <c r="S4190" s="129"/>
      <c r="T4190" s="129"/>
      <c r="W4190" s="129" t="s">
        <v>286</v>
      </c>
      <c r="X4190" s="337" t="b">
        <f t="shared" si="100"/>
        <v>1</v>
      </c>
    </row>
    <row r="4191" spans="1:24" ht="12" customHeight="1" outlineLevel="1">
      <c r="A4191" s="370"/>
      <c r="B4191" s="118" t="s">
        <v>12</v>
      </c>
      <c r="C4191" s="334" t="s">
        <v>12237</v>
      </c>
      <c r="D4191" s="124" t="s">
        <v>11902</v>
      </c>
      <c r="E4191" s="125"/>
      <c r="F4191" s="118" t="s">
        <v>828</v>
      </c>
      <c r="G4191" s="126" t="s">
        <v>11386</v>
      </c>
      <c r="H4191" s="255">
        <v>6</v>
      </c>
      <c r="I4191" s="361">
        <v>1</v>
      </c>
      <c r="J4191" s="371" t="s">
        <v>286</v>
      </c>
      <c r="K4191" s="377"/>
      <c r="L4191" s="129"/>
      <c r="M4191" s="378"/>
      <c r="N4191" s="129"/>
      <c r="O4191" s="129"/>
      <c r="P4191" s="379"/>
      <c r="Q4191" s="129"/>
      <c r="R4191" s="380"/>
      <c r="S4191" s="129"/>
      <c r="T4191" s="129"/>
      <c r="W4191" s="129" t="s">
        <v>286</v>
      </c>
      <c r="X4191" s="337" t="b">
        <f t="shared" si="100"/>
        <v>1</v>
      </c>
    </row>
    <row r="4192" spans="1:24" ht="12" customHeight="1" outlineLevel="1">
      <c r="A4192" s="370"/>
      <c r="B4192" s="118" t="s">
        <v>12</v>
      </c>
      <c r="C4192" s="334" t="s">
        <v>12238</v>
      </c>
      <c r="D4192" s="124" t="s">
        <v>8311</v>
      </c>
      <c r="E4192" s="125"/>
      <c r="F4192" s="118" t="s">
        <v>828</v>
      </c>
      <c r="G4192" s="126" t="s">
        <v>11386</v>
      </c>
      <c r="H4192" s="255">
        <v>6</v>
      </c>
      <c r="I4192" s="361">
        <v>1</v>
      </c>
      <c r="J4192" s="371" t="s">
        <v>286</v>
      </c>
      <c r="K4192" s="377"/>
      <c r="L4192" s="129"/>
      <c r="M4192" s="378"/>
      <c r="N4192" s="129"/>
      <c r="O4192" s="129"/>
      <c r="P4192" s="379"/>
      <c r="Q4192" s="129"/>
      <c r="R4192" s="380"/>
      <c r="S4192" s="129"/>
      <c r="T4192" s="129"/>
      <c r="W4192" s="129" t="s">
        <v>286</v>
      </c>
      <c r="X4192" s="337" t="b">
        <f t="shared" si="100"/>
        <v>1</v>
      </c>
    </row>
    <row r="4193" spans="1:24" ht="12" customHeight="1" outlineLevel="1">
      <c r="A4193" s="370"/>
      <c r="B4193" s="118" t="s">
        <v>12</v>
      </c>
      <c r="C4193" s="334" t="s">
        <v>12239</v>
      </c>
      <c r="D4193" s="124" t="s">
        <v>8313</v>
      </c>
      <c r="E4193" s="125"/>
      <c r="F4193" s="118" t="s">
        <v>828</v>
      </c>
      <c r="G4193" s="126" t="s">
        <v>11386</v>
      </c>
      <c r="H4193" s="255">
        <v>6</v>
      </c>
      <c r="I4193" s="361">
        <v>1</v>
      </c>
      <c r="J4193" s="371" t="s">
        <v>286</v>
      </c>
      <c r="K4193" s="377"/>
      <c r="L4193" s="129"/>
      <c r="M4193" s="378"/>
      <c r="N4193" s="129"/>
      <c r="O4193" s="129"/>
      <c r="P4193" s="379"/>
      <c r="Q4193" s="129"/>
      <c r="R4193" s="380"/>
      <c r="S4193" s="129"/>
      <c r="T4193" s="129"/>
      <c r="W4193" s="129" t="s">
        <v>286</v>
      </c>
      <c r="X4193" s="337" t="b">
        <f t="shared" si="100"/>
        <v>1</v>
      </c>
    </row>
    <row r="4194" spans="1:24" ht="12" customHeight="1" outlineLevel="1">
      <c r="A4194" s="370"/>
      <c r="B4194" s="118" t="s">
        <v>12</v>
      </c>
      <c r="C4194" s="334" t="s">
        <v>12240</v>
      </c>
      <c r="D4194" s="124" t="s">
        <v>8315</v>
      </c>
      <c r="E4194" s="125"/>
      <c r="F4194" s="118" t="s">
        <v>828</v>
      </c>
      <c r="G4194" s="126" t="s">
        <v>11386</v>
      </c>
      <c r="H4194" s="255">
        <v>6</v>
      </c>
      <c r="I4194" s="361">
        <v>1</v>
      </c>
      <c r="J4194" s="371" t="s">
        <v>286</v>
      </c>
      <c r="K4194" s="377"/>
      <c r="L4194" s="129"/>
      <c r="M4194" s="378"/>
      <c r="N4194" s="129"/>
      <c r="O4194" s="129"/>
      <c r="P4194" s="379"/>
      <c r="Q4194" s="129"/>
      <c r="R4194" s="380"/>
      <c r="S4194" s="129"/>
      <c r="T4194" s="129"/>
      <c r="W4194" s="129" t="s">
        <v>286</v>
      </c>
      <c r="X4194" s="337" t="b">
        <f t="shared" si="100"/>
        <v>1</v>
      </c>
    </row>
    <row r="4195" spans="1:24" ht="12" customHeight="1" outlineLevel="1">
      <c r="A4195" s="370"/>
      <c r="B4195" s="118" t="s">
        <v>12</v>
      </c>
      <c r="C4195" s="334" t="s">
        <v>12241</v>
      </c>
      <c r="D4195" s="124" t="s">
        <v>11907</v>
      </c>
      <c r="E4195" s="125"/>
      <c r="F4195" s="118" t="s">
        <v>828</v>
      </c>
      <c r="G4195" s="126" t="s">
        <v>11386</v>
      </c>
      <c r="H4195" s="255">
        <v>6</v>
      </c>
      <c r="I4195" s="361">
        <v>1</v>
      </c>
      <c r="J4195" s="371" t="s">
        <v>286</v>
      </c>
      <c r="K4195" s="377"/>
      <c r="L4195" s="129"/>
      <c r="M4195" s="378"/>
      <c r="N4195" s="129"/>
      <c r="O4195" s="129"/>
      <c r="P4195" s="379"/>
      <c r="Q4195" s="129"/>
      <c r="R4195" s="380"/>
      <c r="S4195" s="129"/>
      <c r="T4195" s="129"/>
      <c r="W4195" s="129" t="s">
        <v>286</v>
      </c>
      <c r="X4195" s="337" t="b">
        <f t="shared" si="100"/>
        <v>1</v>
      </c>
    </row>
    <row r="4196" spans="1:24" ht="12" customHeight="1" outlineLevel="1">
      <c r="A4196" s="370"/>
      <c r="B4196" s="118" t="s">
        <v>12</v>
      </c>
      <c r="C4196" s="334" t="s">
        <v>12242</v>
      </c>
      <c r="D4196" s="124" t="s">
        <v>8319</v>
      </c>
      <c r="E4196" s="125"/>
      <c r="F4196" s="118" t="s">
        <v>828</v>
      </c>
      <c r="G4196" s="126" t="s">
        <v>11386</v>
      </c>
      <c r="H4196" s="255">
        <v>6</v>
      </c>
      <c r="I4196" s="361">
        <v>1</v>
      </c>
      <c r="J4196" s="371" t="s">
        <v>286</v>
      </c>
      <c r="K4196" s="377"/>
      <c r="L4196" s="129"/>
      <c r="M4196" s="378"/>
      <c r="N4196" s="129"/>
      <c r="O4196" s="129"/>
      <c r="P4196" s="379"/>
      <c r="Q4196" s="129"/>
      <c r="R4196" s="380"/>
      <c r="S4196" s="129"/>
      <c r="T4196" s="129"/>
      <c r="W4196" s="129" t="s">
        <v>286</v>
      </c>
      <c r="X4196" s="337" t="b">
        <f t="shared" si="100"/>
        <v>1</v>
      </c>
    </row>
    <row r="4197" spans="1:24" ht="12" customHeight="1" outlineLevel="1">
      <c r="A4197" s="370"/>
      <c r="B4197" s="118" t="s">
        <v>12</v>
      </c>
      <c r="C4197" s="334" t="s">
        <v>12243</v>
      </c>
      <c r="D4197" s="124" t="s">
        <v>11910</v>
      </c>
      <c r="E4197" s="125"/>
      <c r="F4197" s="118" t="s">
        <v>828</v>
      </c>
      <c r="G4197" s="126" t="s">
        <v>11386</v>
      </c>
      <c r="H4197" s="255">
        <v>6</v>
      </c>
      <c r="I4197" s="361">
        <v>1</v>
      </c>
      <c r="J4197" s="371" t="s">
        <v>286</v>
      </c>
      <c r="K4197" s="377"/>
      <c r="L4197" s="129"/>
      <c r="M4197" s="378"/>
      <c r="N4197" s="129"/>
      <c r="O4197" s="129"/>
      <c r="P4197" s="379"/>
      <c r="Q4197" s="129"/>
      <c r="R4197" s="380"/>
      <c r="S4197" s="129"/>
      <c r="T4197" s="129"/>
      <c r="W4197" s="129" t="s">
        <v>286</v>
      </c>
      <c r="X4197" s="337" t="b">
        <f t="shared" si="100"/>
        <v>1</v>
      </c>
    </row>
    <row r="4198" spans="1:24" ht="12" customHeight="1" outlineLevel="1">
      <c r="A4198" s="370"/>
      <c r="B4198" s="118" t="s">
        <v>12</v>
      </c>
      <c r="C4198" s="334" t="s">
        <v>12244</v>
      </c>
      <c r="D4198" s="124" t="s">
        <v>11912</v>
      </c>
      <c r="E4198" s="125"/>
      <c r="F4198" s="118" t="s">
        <v>828</v>
      </c>
      <c r="G4198" s="126" t="s">
        <v>11386</v>
      </c>
      <c r="H4198" s="255">
        <v>6</v>
      </c>
      <c r="I4198" s="361">
        <v>1</v>
      </c>
      <c r="J4198" s="371" t="s">
        <v>286</v>
      </c>
      <c r="K4198" s="377"/>
      <c r="L4198" s="129"/>
      <c r="M4198" s="378"/>
      <c r="N4198" s="129"/>
      <c r="O4198" s="129"/>
      <c r="P4198" s="379"/>
      <c r="Q4198" s="129"/>
      <c r="R4198" s="380"/>
      <c r="S4198" s="129"/>
      <c r="T4198" s="129"/>
      <c r="W4198" s="129" t="s">
        <v>286</v>
      </c>
      <c r="X4198" s="337" t="b">
        <f t="shared" si="100"/>
        <v>1</v>
      </c>
    </row>
    <row r="4199" spans="1:24" ht="12" customHeight="1" outlineLevel="1">
      <c r="A4199" s="370"/>
      <c r="B4199" s="118" t="s">
        <v>12</v>
      </c>
      <c r="C4199" s="334" t="s">
        <v>12245</v>
      </c>
      <c r="D4199" s="124" t="s">
        <v>11914</v>
      </c>
      <c r="E4199" s="125"/>
      <c r="F4199" s="118" t="s">
        <v>828</v>
      </c>
      <c r="G4199" s="126" t="s">
        <v>11386</v>
      </c>
      <c r="H4199" s="255">
        <v>6</v>
      </c>
      <c r="I4199" s="361">
        <v>1</v>
      </c>
      <c r="J4199" s="371" t="s">
        <v>286</v>
      </c>
      <c r="K4199" s="377"/>
      <c r="L4199" s="129"/>
      <c r="M4199" s="378"/>
      <c r="N4199" s="129"/>
      <c r="O4199" s="129"/>
      <c r="P4199" s="379"/>
      <c r="Q4199" s="129"/>
      <c r="R4199" s="380"/>
      <c r="S4199" s="129"/>
      <c r="T4199" s="129"/>
      <c r="W4199" s="129" t="s">
        <v>286</v>
      </c>
      <c r="X4199" s="337" t="b">
        <f t="shared" si="100"/>
        <v>1</v>
      </c>
    </row>
    <row r="4200" spans="1:24" ht="12" customHeight="1" outlineLevel="1">
      <c r="A4200" s="370"/>
      <c r="B4200" s="118" t="s">
        <v>12</v>
      </c>
      <c r="C4200" s="334" t="s">
        <v>12246</v>
      </c>
      <c r="D4200" s="124" t="s">
        <v>8329</v>
      </c>
      <c r="E4200" s="125"/>
      <c r="F4200" s="118" t="s">
        <v>828</v>
      </c>
      <c r="G4200" s="126" t="s">
        <v>11386</v>
      </c>
      <c r="H4200" s="255">
        <v>6</v>
      </c>
      <c r="I4200" s="361">
        <v>1</v>
      </c>
      <c r="J4200" s="371" t="s">
        <v>286</v>
      </c>
      <c r="K4200" s="377"/>
      <c r="L4200" s="129"/>
      <c r="M4200" s="378"/>
      <c r="N4200" s="129"/>
      <c r="O4200" s="129"/>
      <c r="P4200" s="379"/>
      <c r="Q4200" s="129"/>
      <c r="R4200" s="380"/>
      <c r="S4200" s="129"/>
      <c r="T4200" s="129"/>
      <c r="W4200" s="129" t="s">
        <v>286</v>
      </c>
      <c r="X4200" s="337" t="b">
        <f t="shared" si="100"/>
        <v>1</v>
      </c>
    </row>
    <row r="4201" spans="1:24" ht="12" customHeight="1" outlineLevel="1">
      <c r="A4201" s="370"/>
      <c r="B4201" s="118" t="s">
        <v>12</v>
      </c>
      <c r="C4201" s="334" t="s">
        <v>12247</v>
      </c>
      <c r="D4201" s="124" t="s">
        <v>8295</v>
      </c>
      <c r="E4201" s="125"/>
      <c r="F4201" s="118" t="s">
        <v>828</v>
      </c>
      <c r="G4201" s="126" t="s">
        <v>11386</v>
      </c>
      <c r="H4201" s="255">
        <v>6</v>
      </c>
      <c r="I4201" s="361">
        <v>1</v>
      </c>
      <c r="J4201" s="371" t="s">
        <v>286</v>
      </c>
      <c r="K4201" s="377"/>
      <c r="L4201" s="129"/>
      <c r="M4201" s="378"/>
      <c r="N4201" s="129"/>
      <c r="O4201" s="129"/>
      <c r="P4201" s="379"/>
      <c r="Q4201" s="129"/>
      <c r="R4201" s="380"/>
      <c r="S4201" s="129"/>
      <c r="T4201" s="129"/>
      <c r="W4201" s="129" t="s">
        <v>286</v>
      </c>
      <c r="X4201" s="337" t="b">
        <f t="shared" si="100"/>
        <v>1</v>
      </c>
    </row>
    <row r="4202" spans="1:24" ht="12" customHeight="1" outlineLevel="1">
      <c r="A4202" s="370"/>
      <c r="B4202" s="118" t="s">
        <v>12</v>
      </c>
      <c r="C4202" s="334" t="s">
        <v>12248</v>
      </c>
      <c r="D4202" s="124" t="s">
        <v>12249</v>
      </c>
      <c r="E4202" s="125"/>
      <c r="F4202" s="118" t="s">
        <v>828</v>
      </c>
      <c r="G4202" s="126" t="s">
        <v>11386</v>
      </c>
      <c r="H4202" s="255">
        <v>6</v>
      </c>
      <c r="I4202" s="361">
        <v>1</v>
      </c>
      <c r="J4202" s="371" t="s">
        <v>286</v>
      </c>
      <c r="K4202" s="377"/>
      <c r="L4202" s="129"/>
      <c r="M4202" s="378"/>
      <c r="N4202" s="129"/>
      <c r="O4202" s="129"/>
      <c r="P4202" s="379"/>
      <c r="Q4202" s="129"/>
      <c r="R4202" s="380"/>
      <c r="S4202" s="129"/>
      <c r="T4202" s="129"/>
      <c r="W4202" s="129" t="s">
        <v>4876</v>
      </c>
      <c r="X4202" s="337" t="b">
        <f t="shared" si="100"/>
        <v>0</v>
      </c>
    </row>
    <row r="4203" spans="1:24" ht="12" customHeight="1" outlineLevel="1">
      <c r="A4203" s="370"/>
      <c r="B4203" s="118" t="s">
        <v>12</v>
      </c>
      <c r="C4203" s="334" t="s">
        <v>12250</v>
      </c>
      <c r="D4203" s="124" t="s">
        <v>11920</v>
      </c>
      <c r="E4203" s="125"/>
      <c r="F4203" s="118" t="s">
        <v>828</v>
      </c>
      <c r="G4203" s="126" t="s">
        <v>11386</v>
      </c>
      <c r="H4203" s="255">
        <v>6</v>
      </c>
      <c r="I4203" s="361">
        <v>1</v>
      </c>
      <c r="J4203" s="371" t="s">
        <v>286</v>
      </c>
      <c r="K4203" s="377"/>
      <c r="L4203" s="129"/>
      <c r="M4203" s="378"/>
      <c r="N4203" s="129"/>
      <c r="O4203" s="129"/>
      <c r="P4203" s="379"/>
      <c r="Q4203" s="129"/>
      <c r="R4203" s="380"/>
      <c r="S4203" s="129"/>
      <c r="T4203" s="129"/>
      <c r="W4203" s="129" t="s">
        <v>4876</v>
      </c>
      <c r="X4203" s="337" t="b">
        <f t="shared" si="100"/>
        <v>0</v>
      </c>
    </row>
    <row r="4204" spans="1:24" ht="12" customHeight="1" outlineLevel="1">
      <c r="A4204" s="370"/>
      <c r="B4204" s="118" t="s">
        <v>12</v>
      </c>
      <c r="C4204" s="334" t="s">
        <v>12251</v>
      </c>
      <c r="D4204" s="124" t="s">
        <v>11922</v>
      </c>
      <c r="E4204" s="125"/>
      <c r="F4204" s="118" t="s">
        <v>828</v>
      </c>
      <c r="G4204" s="126" t="s">
        <v>11386</v>
      </c>
      <c r="H4204" s="255">
        <v>6</v>
      </c>
      <c r="I4204" s="361">
        <v>1</v>
      </c>
      <c r="J4204" s="371" t="s">
        <v>286</v>
      </c>
      <c r="K4204" s="377"/>
      <c r="L4204" s="129"/>
      <c r="M4204" s="378"/>
      <c r="N4204" s="129"/>
      <c r="O4204" s="129"/>
      <c r="P4204" s="379"/>
      <c r="Q4204" s="129"/>
      <c r="R4204" s="380"/>
      <c r="S4204" s="129"/>
      <c r="T4204" s="129"/>
      <c r="W4204" s="129" t="s">
        <v>4876</v>
      </c>
      <c r="X4204" s="337" t="b">
        <f t="shared" si="100"/>
        <v>0</v>
      </c>
    </row>
    <row r="4205" spans="1:24" ht="12" customHeight="1" outlineLevel="1">
      <c r="A4205" s="370"/>
      <c r="B4205" s="118" t="s">
        <v>12</v>
      </c>
      <c r="C4205" s="334" t="s">
        <v>12252</v>
      </c>
      <c r="D4205" s="124" t="s">
        <v>11924</v>
      </c>
      <c r="E4205" s="125"/>
      <c r="F4205" s="118" t="s">
        <v>828</v>
      </c>
      <c r="G4205" s="126" t="s">
        <v>11386</v>
      </c>
      <c r="H4205" s="255">
        <v>6</v>
      </c>
      <c r="I4205" s="361">
        <v>1</v>
      </c>
      <c r="J4205" s="371" t="s">
        <v>286</v>
      </c>
      <c r="K4205" s="377"/>
      <c r="L4205" s="129"/>
      <c r="M4205" s="378"/>
      <c r="N4205" s="129"/>
      <c r="O4205" s="129"/>
      <c r="P4205" s="379"/>
      <c r="Q4205" s="129"/>
      <c r="R4205" s="380"/>
      <c r="S4205" s="129"/>
      <c r="T4205" s="129"/>
      <c r="W4205" s="129" t="s">
        <v>4876</v>
      </c>
      <c r="X4205" s="337" t="b">
        <f t="shared" si="100"/>
        <v>0</v>
      </c>
    </row>
    <row r="4206" spans="1:24" ht="12" customHeight="1" outlineLevel="1">
      <c r="A4206" s="370"/>
      <c r="B4206" s="118" t="s">
        <v>12</v>
      </c>
      <c r="C4206" s="334" t="s">
        <v>12253</v>
      </c>
      <c r="D4206" s="124" t="s">
        <v>11926</v>
      </c>
      <c r="E4206" s="125"/>
      <c r="F4206" s="118" t="s">
        <v>828</v>
      </c>
      <c r="G4206" s="126" t="s">
        <v>11386</v>
      </c>
      <c r="H4206" s="255">
        <v>6</v>
      </c>
      <c r="I4206" s="361">
        <v>1</v>
      </c>
      <c r="J4206" s="371" t="s">
        <v>286</v>
      </c>
      <c r="K4206" s="377"/>
      <c r="L4206" s="129"/>
      <c r="M4206" s="378"/>
      <c r="N4206" s="129"/>
      <c r="O4206" s="129"/>
      <c r="P4206" s="379"/>
      <c r="Q4206" s="129"/>
      <c r="R4206" s="380"/>
      <c r="S4206" s="129"/>
      <c r="T4206" s="129"/>
      <c r="W4206" s="129" t="s">
        <v>4876</v>
      </c>
      <c r="X4206" s="337" t="b">
        <f t="shared" si="100"/>
        <v>0</v>
      </c>
    </row>
    <row r="4207" spans="1:24" ht="12" customHeight="1" outlineLevel="1">
      <c r="A4207" s="370"/>
      <c r="B4207" s="118" t="s">
        <v>12</v>
      </c>
      <c r="C4207" s="334" t="s">
        <v>12254</v>
      </c>
      <c r="D4207" s="124" t="s">
        <v>11940</v>
      </c>
      <c r="E4207" s="125"/>
      <c r="F4207" s="118" t="s">
        <v>828</v>
      </c>
      <c r="G4207" s="126" t="s">
        <v>11386</v>
      </c>
      <c r="H4207" s="255">
        <v>6</v>
      </c>
      <c r="I4207" s="361">
        <v>1</v>
      </c>
      <c r="J4207" s="371" t="s">
        <v>286</v>
      </c>
      <c r="K4207" s="377"/>
      <c r="L4207" s="129"/>
      <c r="M4207" s="378"/>
      <c r="N4207" s="129"/>
      <c r="O4207" s="129"/>
      <c r="P4207" s="379"/>
      <c r="Q4207" s="129"/>
      <c r="R4207" s="380"/>
      <c r="S4207" s="129"/>
      <c r="T4207" s="129"/>
      <c r="W4207" s="129" t="s">
        <v>286</v>
      </c>
      <c r="X4207" s="337" t="b">
        <f t="shared" si="100"/>
        <v>1</v>
      </c>
    </row>
    <row r="4208" spans="1:24" ht="12" customHeight="1" outlineLevel="1">
      <c r="A4208" s="370"/>
      <c r="B4208" s="118" t="s">
        <v>12</v>
      </c>
      <c r="C4208" s="334" t="s">
        <v>12255</v>
      </c>
      <c r="D4208" s="124" t="s">
        <v>11942</v>
      </c>
      <c r="E4208" s="125"/>
      <c r="F4208" s="118" t="s">
        <v>828</v>
      </c>
      <c r="G4208" s="126" t="s">
        <v>11386</v>
      </c>
      <c r="H4208" s="255">
        <v>6</v>
      </c>
      <c r="I4208" s="361">
        <v>1</v>
      </c>
      <c r="J4208" s="371" t="s">
        <v>286</v>
      </c>
      <c r="K4208" s="377"/>
      <c r="L4208" s="129"/>
      <c r="M4208" s="378"/>
      <c r="N4208" s="129"/>
      <c r="O4208" s="129"/>
      <c r="P4208" s="379"/>
      <c r="Q4208" s="129"/>
      <c r="R4208" s="380"/>
      <c r="S4208" s="129"/>
      <c r="T4208" s="129"/>
      <c r="W4208" s="129" t="s">
        <v>286</v>
      </c>
      <c r="X4208" s="337" t="b">
        <f t="shared" si="100"/>
        <v>1</v>
      </c>
    </row>
    <row r="4209" spans="1:24" ht="12" customHeight="1" outlineLevel="1">
      <c r="A4209" s="370"/>
      <c r="B4209" s="118" t="s">
        <v>12</v>
      </c>
      <c r="C4209" s="334" t="s">
        <v>12256</v>
      </c>
      <c r="D4209" s="124" t="s">
        <v>11944</v>
      </c>
      <c r="E4209" s="125"/>
      <c r="F4209" s="118" t="s">
        <v>828</v>
      </c>
      <c r="G4209" s="126" t="s">
        <v>11386</v>
      </c>
      <c r="H4209" s="255">
        <v>6</v>
      </c>
      <c r="I4209" s="361">
        <v>1</v>
      </c>
      <c r="J4209" s="371" t="s">
        <v>286</v>
      </c>
      <c r="K4209" s="377"/>
      <c r="L4209" s="129"/>
      <c r="M4209" s="378"/>
      <c r="N4209" s="129"/>
      <c r="O4209" s="129"/>
      <c r="P4209" s="379"/>
      <c r="Q4209" s="129"/>
      <c r="R4209" s="380"/>
      <c r="S4209" s="129"/>
      <c r="T4209" s="129"/>
      <c r="W4209" s="129" t="s">
        <v>286</v>
      </c>
      <c r="X4209" s="337" t="b">
        <f t="shared" si="100"/>
        <v>1</v>
      </c>
    </row>
    <row r="4210" spans="1:24" ht="12" customHeight="1" outlineLevel="1">
      <c r="A4210" s="370"/>
      <c r="B4210" s="118" t="s">
        <v>12</v>
      </c>
      <c r="C4210" s="334" t="s">
        <v>12257</v>
      </c>
      <c r="D4210" s="124" t="s">
        <v>11952</v>
      </c>
      <c r="E4210" s="125"/>
      <c r="F4210" s="118" t="s">
        <v>828</v>
      </c>
      <c r="G4210" s="126" t="s">
        <v>11386</v>
      </c>
      <c r="H4210" s="255">
        <v>6</v>
      </c>
      <c r="I4210" s="361">
        <v>1</v>
      </c>
      <c r="J4210" s="371" t="s">
        <v>286</v>
      </c>
      <c r="K4210" s="377"/>
      <c r="L4210" s="129"/>
      <c r="M4210" s="378"/>
      <c r="N4210" s="129"/>
      <c r="O4210" s="129"/>
      <c r="P4210" s="379"/>
      <c r="Q4210" s="129"/>
      <c r="R4210" s="380"/>
      <c r="S4210" s="129"/>
      <c r="T4210" s="129"/>
      <c r="W4210" s="129" t="s">
        <v>286</v>
      </c>
      <c r="X4210" s="337" t="b">
        <f t="shared" si="100"/>
        <v>1</v>
      </c>
    </row>
    <row r="4211" spans="1:24" ht="12" customHeight="1" outlineLevel="1">
      <c r="A4211" s="370"/>
      <c r="B4211" s="118" t="s">
        <v>12</v>
      </c>
      <c r="C4211" s="334" t="s">
        <v>12258</v>
      </c>
      <c r="D4211" s="124" t="s">
        <v>11954</v>
      </c>
      <c r="E4211" s="125"/>
      <c r="F4211" s="118" t="s">
        <v>828</v>
      </c>
      <c r="G4211" s="126" t="s">
        <v>11386</v>
      </c>
      <c r="H4211" s="255">
        <v>6</v>
      </c>
      <c r="I4211" s="361">
        <v>1</v>
      </c>
      <c r="J4211" s="371" t="s">
        <v>286</v>
      </c>
      <c r="K4211" s="377"/>
      <c r="L4211" s="129"/>
      <c r="M4211" s="378"/>
      <c r="N4211" s="129"/>
      <c r="O4211" s="129"/>
      <c r="P4211" s="379"/>
      <c r="Q4211" s="129"/>
      <c r="R4211" s="380"/>
      <c r="S4211" s="129"/>
      <c r="T4211" s="129"/>
      <c r="W4211" s="129" t="s">
        <v>286</v>
      </c>
      <c r="X4211" s="337" t="b">
        <f t="shared" si="100"/>
        <v>1</v>
      </c>
    </row>
    <row r="4212" spans="1:24" ht="12" customHeight="1" outlineLevel="1">
      <c r="A4212" s="370"/>
      <c r="B4212" s="118" t="s">
        <v>12</v>
      </c>
      <c r="C4212" s="334" t="s">
        <v>12259</v>
      </c>
      <c r="D4212" s="124" t="s">
        <v>11956</v>
      </c>
      <c r="E4212" s="125"/>
      <c r="F4212" s="118" t="s">
        <v>828</v>
      </c>
      <c r="G4212" s="126" t="s">
        <v>11386</v>
      </c>
      <c r="H4212" s="255">
        <v>6</v>
      </c>
      <c r="I4212" s="361">
        <v>1</v>
      </c>
      <c r="J4212" s="371" t="s">
        <v>286</v>
      </c>
      <c r="K4212" s="377"/>
      <c r="L4212" s="129"/>
      <c r="M4212" s="378"/>
      <c r="N4212" s="129"/>
      <c r="O4212" s="129"/>
      <c r="P4212" s="379"/>
      <c r="Q4212" s="129"/>
      <c r="R4212" s="380"/>
      <c r="S4212" s="129"/>
      <c r="T4212" s="129"/>
      <c r="W4212" s="129" t="s">
        <v>286</v>
      </c>
      <c r="X4212" s="337" t="b">
        <f t="shared" si="100"/>
        <v>1</v>
      </c>
    </row>
    <row r="4213" spans="1:24" ht="12" customHeight="1" outlineLevel="1">
      <c r="A4213" s="370"/>
      <c r="B4213" s="118" t="s">
        <v>12</v>
      </c>
      <c r="C4213" s="334" t="s">
        <v>12260</v>
      </c>
      <c r="D4213" s="124" t="s">
        <v>11958</v>
      </c>
      <c r="E4213" s="125"/>
      <c r="F4213" s="118" t="s">
        <v>828</v>
      </c>
      <c r="G4213" s="126" t="s">
        <v>11386</v>
      </c>
      <c r="H4213" s="255">
        <v>6</v>
      </c>
      <c r="I4213" s="361">
        <v>1</v>
      </c>
      <c r="J4213" s="371" t="s">
        <v>286</v>
      </c>
      <c r="K4213" s="377"/>
      <c r="L4213" s="129"/>
      <c r="M4213" s="378"/>
      <c r="N4213" s="129"/>
      <c r="O4213" s="129"/>
      <c r="P4213" s="379"/>
      <c r="Q4213" s="129"/>
      <c r="R4213" s="380"/>
      <c r="S4213" s="129"/>
      <c r="T4213" s="129"/>
      <c r="W4213" s="129" t="s">
        <v>286</v>
      </c>
      <c r="X4213" s="337" t="b">
        <f t="shared" si="100"/>
        <v>1</v>
      </c>
    </row>
    <row r="4214" spans="1:24" ht="12" customHeight="1" outlineLevel="1">
      <c r="A4214" s="370"/>
      <c r="B4214" s="118" t="s">
        <v>12</v>
      </c>
      <c r="C4214" s="334" t="s">
        <v>12261</v>
      </c>
      <c r="D4214" s="124" t="s">
        <v>12262</v>
      </c>
      <c r="E4214" s="125"/>
      <c r="F4214" s="118" t="s">
        <v>828</v>
      </c>
      <c r="G4214" s="126" t="s">
        <v>11386</v>
      </c>
      <c r="H4214" s="255">
        <v>6</v>
      </c>
      <c r="I4214" s="361">
        <v>1</v>
      </c>
      <c r="J4214" s="371" t="s">
        <v>310</v>
      </c>
      <c r="K4214" s="377"/>
      <c r="L4214" s="129"/>
      <c r="M4214" s="378"/>
      <c r="N4214" s="129"/>
      <c r="O4214" s="129"/>
      <c r="P4214" s="379"/>
      <c r="Q4214" s="129"/>
      <c r="R4214" s="380"/>
      <c r="S4214" s="129"/>
      <c r="T4214" s="129"/>
      <c r="W4214" s="129" t="s">
        <v>286</v>
      </c>
      <c r="X4214" s="337" t="b">
        <f t="shared" si="100"/>
        <v>0</v>
      </c>
    </row>
    <row r="4215" spans="1:24" ht="12" customHeight="1" outlineLevel="1">
      <c r="A4215" s="370"/>
      <c r="B4215" s="118" t="s">
        <v>12</v>
      </c>
      <c r="C4215" s="334" t="s">
        <v>12263</v>
      </c>
      <c r="D4215" s="124" t="s">
        <v>12264</v>
      </c>
      <c r="E4215" s="125"/>
      <c r="F4215" s="118" t="s">
        <v>828</v>
      </c>
      <c r="G4215" s="126" t="s">
        <v>11386</v>
      </c>
      <c r="H4215" s="255">
        <v>6</v>
      </c>
      <c r="I4215" s="361">
        <v>1</v>
      </c>
      <c r="J4215" s="371" t="s">
        <v>286</v>
      </c>
      <c r="K4215" s="377"/>
      <c r="L4215" s="129"/>
      <c r="M4215" s="378"/>
      <c r="N4215" s="129"/>
      <c r="O4215" s="129"/>
      <c r="P4215" s="379"/>
      <c r="Q4215" s="129"/>
      <c r="R4215" s="380"/>
      <c r="S4215" s="129"/>
      <c r="T4215" s="129"/>
      <c r="W4215" s="129" t="s">
        <v>4876</v>
      </c>
      <c r="X4215" s="337" t="b">
        <f t="shared" si="100"/>
        <v>0</v>
      </c>
    </row>
    <row r="4216" spans="1:24" ht="12" customHeight="1" outlineLevel="1">
      <c r="A4216" s="370"/>
      <c r="B4216" s="118" t="s">
        <v>12</v>
      </c>
      <c r="C4216" s="334" t="s">
        <v>12265</v>
      </c>
      <c r="D4216" s="124" t="s">
        <v>11383</v>
      </c>
      <c r="E4216" s="125"/>
      <c r="F4216" s="118" t="s">
        <v>828</v>
      </c>
      <c r="G4216" s="126" t="s">
        <v>11386</v>
      </c>
      <c r="H4216" s="255">
        <v>6</v>
      </c>
      <c r="I4216" s="361">
        <v>1</v>
      </c>
      <c r="J4216" s="371" t="s">
        <v>310</v>
      </c>
      <c r="K4216" s="377"/>
      <c r="L4216" s="129"/>
      <c r="M4216" s="378"/>
      <c r="N4216" s="129"/>
      <c r="O4216" s="129"/>
      <c r="P4216" s="379"/>
      <c r="Q4216" s="129"/>
      <c r="R4216" s="380"/>
      <c r="S4216" s="129"/>
      <c r="T4216" s="129"/>
      <c r="W4216" s="129" t="s">
        <v>286</v>
      </c>
      <c r="X4216" s="337" t="b">
        <f t="shared" si="100"/>
        <v>0</v>
      </c>
    </row>
    <row r="4217" spans="1:24" ht="12" customHeight="1" outlineLevel="1">
      <c r="A4217" s="370"/>
      <c r="B4217" s="118" t="s">
        <v>12</v>
      </c>
      <c r="C4217" s="334" t="s">
        <v>12266</v>
      </c>
      <c r="D4217" s="124" t="s">
        <v>11385</v>
      </c>
      <c r="E4217" s="125"/>
      <c r="F4217" s="118" t="s">
        <v>828</v>
      </c>
      <c r="G4217" s="126" t="s">
        <v>11386</v>
      </c>
      <c r="H4217" s="255">
        <v>6</v>
      </c>
      <c r="I4217" s="361">
        <v>1</v>
      </c>
      <c r="J4217" s="371" t="s">
        <v>286</v>
      </c>
      <c r="K4217" s="377"/>
      <c r="L4217" s="129"/>
      <c r="M4217" s="378"/>
      <c r="N4217" s="129"/>
      <c r="O4217" s="129"/>
      <c r="P4217" s="379"/>
      <c r="Q4217" s="129"/>
      <c r="R4217" s="380"/>
      <c r="S4217" s="129"/>
      <c r="T4217" s="129"/>
      <c r="W4217" s="129" t="s">
        <v>286</v>
      </c>
      <c r="X4217" s="337" t="b">
        <f t="shared" si="100"/>
        <v>1</v>
      </c>
    </row>
    <row r="4218" spans="1:24" ht="12" customHeight="1" outlineLevel="1">
      <c r="A4218" s="370"/>
      <c r="B4218" s="118" t="s">
        <v>12</v>
      </c>
      <c r="C4218" s="334" t="s">
        <v>12267</v>
      </c>
      <c r="D4218" s="124" t="s">
        <v>11964</v>
      </c>
      <c r="E4218" s="125"/>
      <c r="F4218" s="118" t="s">
        <v>828</v>
      </c>
      <c r="G4218" s="126" t="s">
        <v>11386</v>
      </c>
      <c r="H4218" s="255">
        <v>6</v>
      </c>
      <c r="I4218" s="361">
        <v>1</v>
      </c>
      <c r="J4218" s="371" t="s">
        <v>310</v>
      </c>
      <c r="K4218" s="377"/>
      <c r="L4218" s="129"/>
      <c r="M4218" s="378"/>
      <c r="N4218" s="129"/>
      <c r="O4218" s="129"/>
      <c r="P4218" s="379"/>
      <c r="Q4218" s="129"/>
      <c r="R4218" s="380"/>
      <c r="S4218" s="129"/>
      <c r="T4218" s="129"/>
      <c r="W4218" s="129" t="s">
        <v>286</v>
      </c>
      <c r="X4218" s="337" t="b">
        <f t="shared" si="100"/>
        <v>0</v>
      </c>
    </row>
    <row r="4219" spans="1:24" ht="12" customHeight="1" outlineLevel="1">
      <c r="A4219" s="370"/>
      <c r="B4219" s="118" t="s">
        <v>12</v>
      </c>
      <c r="C4219" s="334" t="s">
        <v>12268</v>
      </c>
      <c r="D4219" s="124" t="s">
        <v>11390</v>
      </c>
      <c r="E4219" s="125"/>
      <c r="F4219" s="118" t="s">
        <v>828</v>
      </c>
      <c r="G4219" s="126" t="s">
        <v>11386</v>
      </c>
      <c r="H4219" s="255">
        <v>6</v>
      </c>
      <c r="I4219" s="361">
        <v>1</v>
      </c>
      <c r="J4219" s="371" t="s">
        <v>286</v>
      </c>
      <c r="K4219" s="377"/>
      <c r="L4219" s="129"/>
      <c r="M4219" s="378"/>
      <c r="N4219" s="129"/>
      <c r="O4219" s="129"/>
      <c r="P4219" s="379"/>
      <c r="Q4219" s="129"/>
      <c r="R4219" s="380"/>
      <c r="S4219" s="129"/>
      <c r="T4219" s="129"/>
      <c r="W4219" s="129" t="s">
        <v>286</v>
      </c>
      <c r="X4219" s="337" t="b">
        <f t="shared" si="100"/>
        <v>1</v>
      </c>
    </row>
    <row r="4220" spans="1:24" ht="12" customHeight="1" outlineLevel="1">
      <c r="A4220" s="370"/>
      <c r="B4220" s="118" t="s">
        <v>12</v>
      </c>
      <c r="C4220" s="334" t="s">
        <v>12269</v>
      </c>
      <c r="D4220" s="124" t="s">
        <v>11383</v>
      </c>
      <c r="E4220" s="125"/>
      <c r="F4220" s="118" t="s">
        <v>828</v>
      </c>
      <c r="G4220" s="126" t="s">
        <v>11386</v>
      </c>
      <c r="H4220" s="255">
        <v>6</v>
      </c>
      <c r="I4220" s="361">
        <v>1</v>
      </c>
      <c r="J4220" s="371" t="s">
        <v>286</v>
      </c>
      <c r="K4220" s="377"/>
      <c r="L4220" s="129"/>
      <c r="M4220" s="378"/>
      <c r="N4220" s="129"/>
      <c r="O4220" s="129"/>
      <c r="P4220" s="379"/>
      <c r="Q4220" s="129"/>
      <c r="R4220" s="380"/>
      <c r="S4220" s="129"/>
      <c r="T4220" s="129"/>
      <c r="W4220" s="129" t="s">
        <v>286</v>
      </c>
      <c r="X4220" s="337" t="b">
        <f t="shared" si="100"/>
        <v>1</v>
      </c>
    </row>
    <row r="4221" spans="1:24" ht="12" customHeight="1" outlineLevel="1">
      <c r="A4221" s="370"/>
      <c r="B4221" s="118" t="s">
        <v>12</v>
      </c>
      <c r="C4221" s="334" t="s">
        <v>12270</v>
      </c>
      <c r="D4221" s="124" t="s">
        <v>11385</v>
      </c>
      <c r="E4221" s="125"/>
      <c r="F4221" s="118" t="s">
        <v>828</v>
      </c>
      <c r="G4221" s="126" t="s">
        <v>11386</v>
      </c>
      <c r="H4221" s="255">
        <v>6</v>
      </c>
      <c r="I4221" s="361">
        <v>1</v>
      </c>
      <c r="J4221" s="371" t="s">
        <v>286</v>
      </c>
      <c r="K4221" s="377"/>
      <c r="L4221" s="129"/>
      <c r="M4221" s="378"/>
      <c r="N4221" s="129"/>
      <c r="O4221" s="129"/>
      <c r="P4221" s="379"/>
      <c r="Q4221" s="129"/>
      <c r="R4221" s="380"/>
      <c r="S4221" s="129"/>
      <c r="T4221" s="129"/>
      <c r="W4221" s="129" t="s">
        <v>286</v>
      </c>
      <c r="X4221" s="337" t="b">
        <f t="shared" si="100"/>
        <v>1</v>
      </c>
    </row>
    <row r="4222" spans="1:24" ht="12" customHeight="1" outlineLevel="1">
      <c r="A4222" s="370"/>
      <c r="B4222" s="118" t="s">
        <v>12</v>
      </c>
      <c r="C4222" s="334" t="s">
        <v>12271</v>
      </c>
      <c r="D4222" s="124" t="s">
        <v>11964</v>
      </c>
      <c r="E4222" s="125"/>
      <c r="F4222" s="118" t="s">
        <v>828</v>
      </c>
      <c r="G4222" s="126" t="s">
        <v>11386</v>
      </c>
      <c r="H4222" s="255">
        <v>6</v>
      </c>
      <c r="I4222" s="361">
        <v>1</v>
      </c>
      <c r="J4222" s="371" t="s">
        <v>286</v>
      </c>
      <c r="K4222" s="377"/>
      <c r="L4222" s="129"/>
      <c r="M4222" s="378"/>
      <c r="N4222" s="129"/>
      <c r="O4222" s="129"/>
      <c r="P4222" s="379"/>
      <c r="Q4222" s="129"/>
      <c r="R4222" s="380"/>
      <c r="S4222" s="129"/>
      <c r="T4222" s="129"/>
      <c r="W4222" s="129" t="s">
        <v>286</v>
      </c>
      <c r="X4222" s="337" t="b">
        <f t="shared" si="100"/>
        <v>1</v>
      </c>
    </row>
    <row r="4223" spans="1:24" ht="12" customHeight="1" outlineLevel="1">
      <c r="A4223" s="370"/>
      <c r="B4223" s="118" t="s">
        <v>12</v>
      </c>
      <c r="C4223" s="334" t="s">
        <v>12272</v>
      </c>
      <c r="D4223" s="124" t="s">
        <v>11390</v>
      </c>
      <c r="E4223" s="125"/>
      <c r="F4223" s="118" t="s">
        <v>828</v>
      </c>
      <c r="G4223" s="126" t="s">
        <v>11386</v>
      </c>
      <c r="H4223" s="255">
        <v>6</v>
      </c>
      <c r="I4223" s="361">
        <v>1</v>
      </c>
      <c r="J4223" s="371" t="s">
        <v>310</v>
      </c>
      <c r="K4223" s="377"/>
      <c r="L4223" s="129"/>
      <c r="M4223" s="378"/>
      <c r="N4223" s="129"/>
      <c r="O4223" s="129"/>
      <c r="P4223" s="379"/>
      <c r="Q4223" s="129"/>
      <c r="R4223" s="380"/>
      <c r="S4223" s="129"/>
      <c r="T4223" s="129"/>
      <c r="W4223" s="129" t="s">
        <v>307</v>
      </c>
      <c r="X4223" s="337" t="b">
        <f t="shared" si="100"/>
        <v>0</v>
      </c>
    </row>
    <row r="4224" spans="1:24" ht="12" customHeight="1" outlineLevel="1">
      <c r="A4224" s="370"/>
      <c r="B4224" s="118" t="s">
        <v>12</v>
      </c>
      <c r="C4224" s="334" t="s">
        <v>12273</v>
      </c>
      <c r="D4224" s="124" t="s">
        <v>11396</v>
      </c>
      <c r="E4224" s="125"/>
      <c r="F4224" s="118" t="s">
        <v>828</v>
      </c>
      <c r="G4224" s="126" t="s">
        <v>11386</v>
      </c>
      <c r="H4224" s="255">
        <v>6</v>
      </c>
      <c r="I4224" s="361">
        <v>1</v>
      </c>
      <c r="J4224" s="371" t="s">
        <v>286</v>
      </c>
      <c r="K4224" s="377"/>
      <c r="L4224" s="129"/>
      <c r="M4224" s="378"/>
      <c r="N4224" s="129"/>
      <c r="O4224" s="129"/>
      <c r="P4224" s="379"/>
      <c r="Q4224" s="129"/>
      <c r="R4224" s="380"/>
      <c r="S4224" s="129"/>
      <c r="T4224" s="129"/>
      <c r="W4224" s="129" t="s">
        <v>286</v>
      </c>
      <c r="X4224" s="337" t="b">
        <f t="shared" si="100"/>
        <v>1</v>
      </c>
    </row>
    <row r="4225" spans="1:24" ht="12" customHeight="1" outlineLevel="1">
      <c r="A4225" s="370"/>
      <c r="B4225" s="118" t="s">
        <v>12</v>
      </c>
      <c r="C4225" s="334" t="s">
        <v>12274</v>
      </c>
      <c r="D4225" s="124" t="s">
        <v>11398</v>
      </c>
      <c r="E4225" s="125"/>
      <c r="F4225" s="118" t="s">
        <v>828</v>
      </c>
      <c r="G4225" s="126" t="s">
        <v>11386</v>
      </c>
      <c r="H4225" s="255">
        <v>6</v>
      </c>
      <c r="I4225" s="361">
        <v>1</v>
      </c>
      <c r="J4225" s="371" t="s">
        <v>286</v>
      </c>
      <c r="K4225" s="377"/>
      <c r="L4225" s="129"/>
      <c r="M4225" s="378"/>
      <c r="N4225" s="129"/>
      <c r="O4225" s="129"/>
      <c r="P4225" s="379"/>
      <c r="Q4225" s="129"/>
      <c r="R4225" s="380"/>
      <c r="S4225" s="129"/>
      <c r="T4225" s="129"/>
      <c r="W4225" s="129" t="s">
        <v>286</v>
      </c>
      <c r="X4225" s="337" t="b">
        <f t="shared" si="100"/>
        <v>1</v>
      </c>
    </row>
    <row r="4226" spans="1:24" ht="12" customHeight="1" outlineLevel="1">
      <c r="A4226" s="370"/>
      <c r="B4226" s="118" t="s">
        <v>12</v>
      </c>
      <c r="C4226" s="334" t="s">
        <v>12275</v>
      </c>
      <c r="D4226" s="124" t="s">
        <v>11400</v>
      </c>
      <c r="E4226" s="125"/>
      <c r="F4226" s="118" t="s">
        <v>828</v>
      </c>
      <c r="G4226" s="126" t="s">
        <v>11386</v>
      </c>
      <c r="H4226" s="255">
        <v>6</v>
      </c>
      <c r="I4226" s="361">
        <v>1</v>
      </c>
      <c r="J4226" s="371" t="s">
        <v>286</v>
      </c>
      <c r="K4226" s="377"/>
      <c r="L4226" s="129"/>
      <c r="M4226" s="378"/>
      <c r="N4226" s="129"/>
      <c r="O4226" s="129"/>
      <c r="P4226" s="379"/>
      <c r="Q4226" s="129"/>
      <c r="R4226" s="380"/>
      <c r="S4226" s="129"/>
      <c r="T4226" s="129"/>
      <c r="W4226" s="129" t="s">
        <v>286</v>
      </c>
      <c r="X4226" s="337" t="b">
        <f t="shared" si="100"/>
        <v>1</v>
      </c>
    </row>
    <row r="4227" spans="1:24" ht="12" customHeight="1" outlineLevel="1">
      <c r="A4227" s="370"/>
      <c r="B4227" s="118" t="s">
        <v>12</v>
      </c>
      <c r="C4227" s="334" t="s">
        <v>12276</v>
      </c>
      <c r="D4227" s="124" t="s">
        <v>11402</v>
      </c>
      <c r="E4227" s="125"/>
      <c r="F4227" s="118" t="s">
        <v>828</v>
      </c>
      <c r="G4227" s="126" t="s">
        <v>11386</v>
      </c>
      <c r="H4227" s="255">
        <v>6</v>
      </c>
      <c r="I4227" s="361">
        <v>1</v>
      </c>
      <c r="J4227" s="371" t="s">
        <v>286</v>
      </c>
      <c r="K4227" s="377"/>
      <c r="L4227" s="129"/>
      <c r="M4227" s="378"/>
      <c r="N4227" s="129"/>
      <c r="O4227" s="129"/>
      <c r="P4227" s="379"/>
      <c r="Q4227" s="129"/>
      <c r="R4227" s="380"/>
      <c r="S4227" s="129"/>
      <c r="T4227" s="129"/>
      <c r="W4227" s="129" t="s">
        <v>286</v>
      </c>
      <c r="X4227" s="337" t="b">
        <f t="shared" si="100"/>
        <v>1</v>
      </c>
    </row>
    <row r="4228" spans="1:24" ht="12" customHeight="1" outlineLevel="1">
      <c r="A4228" s="370"/>
      <c r="B4228" s="118" t="s">
        <v>12</v>
      </c>
      <c r="C4228" s="334" t="s">
        <v>12277</v>
      </c>
      <c r="D4228" s="124" t="s">
        <v>11404</v>
      </c>
      <c r="E4228" s="125"/>
      <c r="F4228" s="118" t="s">
        <v>828</v>
      </c>
      <c r="G4228" s="126" t="s">
        <v>11386</v>
      </c>
      <c r="H4228" s="255">
        <v>6</v>
      </c>
      <c r="I4228" s="361">
        <v>1</v>
      </c>
      <c r="J4228" s="371" t="s">
        <v>286</v>
      </c>
      <c r="K4228" s="377"/>
      <c r="L4228" s="129"/>
      <c r="M4228" s="378"/>
      <c r="N4228" s="129"/>
      <c r="O4228" s="129"/>
      <c r="P4228" s="379"/>
      <c r="Q4228" s="129"/>
      <c r="R4228" s="380"/>
      <c r="S4228" s="129"/>
      <c r="T4228" s="129"/>
      <c r="W4228" s="129" t="s">
        <v>286</v>
      </c>
      <c r="X4228" s="337" t="b">
        <f t="shared" si="100"/>
        <v>1</v>
      </c>
    </row>
    <row r="4229" spans="1:24" ht="12" customHeight="1" outlineLevel="1">
      <c r="A4229" s="370"/>
      <c r="B4229" s="118" t="s">
        <v>12</v>
      </c>
      <c r="C4229" s="334" t="s">
        <v>12278</v>
      </c>
      <c r="D4229" s="124" t="s">
        <v>11406</v>
      </c>
      <c r="E4229" s="125"/>
      <c r="F4229" s="118" t="s">
        <v>828</v>
      </c>
      <c r="G4229" s="126" t="s">
        <v>11386</v>
      </c>
      <c r="H4229" s="255">
        <v>6</v>
      </c>
      <c r="I4229" s="361">
        <v>1</v>
      </c>
      <c r="J4229" s="371" t="s">
        <v>286</v>
      </c>
      <c r="K4229" s="377"/>
      <c r="L4229" s="129"/>
      <c r="M4229" s="378"/>
      <c r="N4229" s="129"/>
      <c r="O4229" s="129"/>
      <c r="P4229" s="379"/>
      <c r="Q4229" s="129"/>
      <c r="R4229" s="380"/>
      <c r="S4229" s="129"/>
      <c r="T4229" s="129"/>
      <c r="W4229" s="129" t="s">
        <v>286</v>
      </c>
      <c r="X4229" s="337" t="b">
        <f t="shared" si="100"/>
        <v>1</v>
      </c>
    </row>
    <row r="4230" spans="1:24" ht="12" customHeight="1" outlineLevel="1">
      <c r="A4230" s="370"/>
      <c r="B4230" s="118" t="s">
        <v>12</v>
      </c>
      <c r="C4230" s="334" t="s">
        <v>12279</v>
      </c>
      <c r="D4230" s="124" t="s">
        <v>11408</v>
      </c>
      <c r="E4230" s="125"/>
      <c r="F4230" s="118" t="s">
        <v>828</v>
      </c>
      <c r="G4230" s="126" t="s">
        <v>11386</v>
      </c>
      <c r="H4230" s="255">
        <v>6</v>
      </c>
      <c r="I4230" s="361">
        <v>1</v>
      </c>
      <c r="J4230" s="371" t="s">
        <v>286</v>
      </c>
      <c r="K4230" s="377"/>
      <c r="L4230" s="129"/>
      <c r="M4230" s="378"/>
      <c r="N4230" s="129"/>
      <c r="O4230" s="129"/>
      <c r="P4230" s="379"/>
      <c r="Q4230" s="129"/>
      <c r="R4230" s="380"/>
      <c r="S4230" s="129"/>
      <c r="T4230" s="129"/>
      <c r="W4230" s="129" t="s">
        <v>286</v>
      </c>
      <c r="X4230" s="337" t="b">
        <f t="shared" si="100"/>
        <v>1</v>
      </c>
    </row>
    <row r="4231" spans="1:24" ht="12" customHeight="1" outlineLevel="1">
      <c r="A4231" s="370"/>
      <c r="B4231" s="118" t="s">
        <v>12</v>
      </c>
      <c r="C4231" s="334" t="s">
        <v>12280</v>
      </c>
      <c r="D4231" s="124" t="s">
        <v>11410</v>
      </c>
      <c r="E4231" s="125"/>
      <c r="F4231" s="118" t="s">
        <v>828</v>
      </c>
      <c r="G4231" s="126" t="s">
        <v>11386</v>
      </c>
      <c r="H4231" s="255">
        <v>6</v>
      </c>
      <c r="I4231" s="361">
        <v>1</v>
      </c>
      <c r="J4231" s="371" t="s">
        <v>286</v>
      </c>
      <c r="K4231" s="377"/>
      <c r="L4231" s="129"/>
      <c r="M4231" s="378"/>
      <c r="N4231" s="129"/>
      <c r="O4231" s="129"/>
      <c r="P4231" s="379"/>
      <c r="Q4231" s="129"/>
      <c r="R4231" s="380"/>
      <c r="S4231" s="129"/>
      <c r="T4231" s="129"/>
      <c r="W4231" s="129" t="s">
        <v>286</v>
      </c>
      <c r="X4231" s="337" t="b">
        <f t="shared" si="100"/>
        <v>1</v>
      </c>
    </row>
    <row r="4232" spans="1:24" ht="12" customHeight="1" outlineLevel="1">
      <c r="A4232" s="370"/>
      <c r="B4232" s="118" t="s">
        <v>12</v>
      </c>
      <c r="C4232" s="334" t="s">
        <v>12281</v>
      </c>
      <c r="D4232" s="124" t="s">
        <v>11412</v>
      </c>
      <c r="E4232" s="125"/>
      <c r="F4232" s="118" t="s">
        <v>828</v>
      </c>
      <c r="G4232" s="126" t="s">
        <v>11386</v>
      </c>
      <c r="H4232" s="255">
        <v>6</v>
      </c>
      <c r="I4232" s="361">
        <v>1</v>
      </c>
      <c r="J4232" s="371" t="s">
        <v>286</v>
      </c>
      <c r="K4232" s="377"/>
      <c r="L4232" s="129"/>
      <c r="M4232" s="378"/>
      <c r="N4232" s="129"/>
      <c r="O4232" s="129"/>
      <c r="P4232" s="379"/>
      <c r="Q4232" s="129"/>
      <c r="R4232" s="380"/>
      <c r="S4232" s="129"/>
      <c r="T4232" s="129"/>
      <c r="W4232" s="129" t="s">
        <v>286</v>
      </c>
      <c r="X4232" s="337" t="b">
        <f t="shared" si="100"/>
        <v>1</v>
      </c>
    </row>
    <row r="4233" spans="1:24" ht="12" customHeight="1" outlineLevel="1">
      <c r="A4233" s="370"/>
      <c r="B4233" s="118" t="s">
        <v>12</v>
      </c>
      <c r="C4233" s="334" t="s">
        <v>12282</v>
      </c>
      <c r="D4233" s="124" t="s">
        <v>11414</v>
      </c>
      <c r="E4233" s="125"/>
      <c r="F4233" s="118" t="s">
        <v>828</v>
      </c>
      <c r="G4233" s="126" t="s">
        <v>11386</v>
      </c>
      <c r="H4233" s="255">
        <v>6</v>
      </c>
      <c r="I4233" s="361">
        <v>1</v>
      </c>
      <c r="J4233" s="371" t="s">
        <v>286</v>
      </c>
      <c r="K4233" s="377"/>
      <c r="L4233" s="129"/>
      <c r="M4233" s="378"/>
      <c r="N4233" s="129"/>
      <c r="O4233" s="129"/>
      <c r="P4233" s="379"/>
      <c r="Q4233" s="129"/>
      <c r="R4233" s="380"/>
      <c r="S4233" s="129"/>
      <c r="T4233" s="129"/>
      <c r="W4233" s="129" t="s">
        <v>286</v>
      </c>
      <c r="X4233" s="337" t="b">
        <f t="shared" si="100"/>
        <v>1</v>
      </c>
    </row>
    <row r="4234" spans="1:24" ht="12" customHeight="1" outlineLevel="1">
      <c r="A4234" s="370"/>
      <c r="B4234" s="118" t="s">
        <v>12</v>
      </c>
      <c r="C4234" s="334" t="s">
        <v>12283</v>
      </c>
      <c r="D4234" s="124" t="s">
        <v>11416</v>
      </c>
      <c r="E4234" s="125"/>
      <c r="F4234" s="118" t="s">
        <v>828</v>
      </c>
      <c r="G4234" s="126" t="s">
        <v>11386</v>
      </c>
      <c r="H4234" s="255">
        <v>6</v>
      </c>
      <c r="I4234" s="361">
        <v>1</v>
      </c>
      <c r="J4234" s="371" t="s">
        <v>310</v>
      </c>
      <c r="K4234" s="377"/>
      <c r="L4234" s="129"/>
      <c r="M4234" s="378"/>
      <c r="N4234" s="129"/>
      <c r="O4234" s="129"/>
      <c r="P4234" s="379"/>
      <c r="Q4234" s="129"/>
      <c r="R4234" s="380"/>
      <c r="S4234" s="129"/>
      <c r="T4234" s="129"/>
      <c r="W4234" s="129" t="s">
        <v>286</v>
      </c>
      <c r="X4234" s="337" t="b">
        <f t="shared" si="100"/>
        <v>0</v>
      </c>
    </row>
    <row r="4235" spans="1:24" ht="12" customHeight="1" outlineLevel="1">
      <c r="A4235" s="370"/>
      <c r="B4235" s="118" t="s">
        <v>12</v>
      </c>
      <c r="C4235" s="334" t="s">
        <v>12284</v>
      </c>
      <c r="D4235" s="124" t="s">
        <v>11418</v>
      </c>
      <c r="E4235" s="125"/>
      <c r="F4235" s="118" t="s">
        <v>828</v>
      </c>
      <c r="G4235" s="126" t="s">
        <v>11386</v>
      </c>
      <c r="H4235" s="255">
        <v>6</v>
      </c>
      <c r="I4235" s="361">
        <v>1</v>
      </c>
      <c r="J4235" s="371" t="s">
        <v>310</v>
      </c>
      <c r="K4235" s="377"/>
      <c r="L4235" s="129"/>
      <c r="M4235" s="378"/>
      <c r="N4235" s="129"/>
      <c r="O4235" s="129"/>
      <c r="P4235" s="379"/>
      <c r="Q4235" s="129"/>
      <c r="R4235" s="380"/>
      <c r="S4235" s="129"/>
      <c r="T4235" s="129"/>
      <c r="W4235" s="129" t="s">
        <v>286</v>
      </c>
      <c r="X4235" s="337" t="b">
        <f t="shared" si="100"/>
        <v>0</v>
      </c>
    </row>
    <row r="4236" spans="1:24" ht="12" customHeight="1" outlineLevel="1">
      <c r="A4236" s="370"/>
      <c r="B4236" s="118" t="s">
        <v>12</v>
      </c>
      <c r="C4236" s="334" t="s">
        <v>12285</v>
      </c>
      <c r="D4236" s="124" t="s">
        <v>11420</v>
      </c>
      <c r="E4236" s="125"/>
      <c r="F4236" s="118" t="s">
        <v>828</v>
      </c>
      <c r="G4236" s="126" t="s">
        <v>11386</v>
      </c>
      <c r="H4236" s="255">
        <v>6</v>
      </c>
      <c r="I4236" s="361">
        <v>1</v>
      </c>
      <c r="J4236" s="371" t="s">
        <v>310</v>
      </c>
      <c r="K4236" s="377"/>
      <c r="L4236" s="129"/>
      <c r="M4236" s="378"/>
      <c r="N4236" s="129"/>
      <c r="O4236" s="129"/>
      <c r="P4236" s="379"/>
      <c r="Q4236" s="129"/>
      <c r="R4236" s="380"/>
      <c r="S4236" s="129"/>
      <c r="T4236" s="129"/>
      <c r="W4236" s="129" t="s">
        <v>286</v>
      </c>
      <c r="X4236" s="337" t="b">
        <f t="shared" si="100"/>
        <v>0</v>
      </c>
    </row>
    <row r="4237" spans="1:24" ht="12" customHeight="1" outlineLevel="1">
      <c r="A4237" s="370"/>
      <c r="B4237" s="118" t="s">
        <v>12</v>
      </c>
      <c r="C4237" s="334" t="s">
        <v>12286</v>
      </c>
      <c r="D4237" s="124" t="s">
        <v>11422</v>
      </c>
      <c r="E4237" s="125"/>
      <c r="F4237" s="118" t="s">
        <v>828</v>
      </c>
      <c r="G4237" s="126" t="s">
        <v>11386</v>
      </c>
      <c r="H4237" s="255">
        <v>6</v>
      </c>
      <c r="I4237" s="361">
        <v>1</v>
      </c>
      <c r="J4237" s="371" t="s">
        <v>310</v>
      </c>
      <c r="K4237" s="377"/>
      <c r="L4237" s="129"/>
      <c r="M4237" s="378"/>
      <c r="N4237" s="129"/>
      <c r="O4237" s="129"/>
      <c r="P4237" s="379"/>
      <c r="Q4237" s="129"/>
      <c r="R4237" s="380"/>
      <c r="S4237" s="129"/>
      <c r="T4237" s="129"/>
      <c r="W4237" s="129" t="s">
        <v>286</v>
      </c>
      <c r="X4237" s="337" t="b">
        <f t="shared" si="100"/>
        <v>0</v>
      </c>
    </row>
    <row r="4238" spans="1:24" ht="12" customHeight="1" outlineLevel="1">
      <c r="A4238" s="370"/>
      <c r="B4238" s="118" t="s">
        <v>12</v>
      </c>
      <c r="C4238" s="334" t="s">
        <v>12287</v>
      </c>
      <c r="D4238" s="124" t="s">
        <v>11424</v>
      </c>
      <c r="E4238" s="125"/>
      <c r="F4238" s="118" t="s">
        <v>828</v>
      </c>
      <c r="G4238" s="126" t="s">
        <v>11386</v>
      </c>
      <c r="H4238" s="255">
        <v>6</v>
      </c>
      <c r="I4238" s="361">
        <v>1</v>
      </c>
      <c r="J4238" s="371" t="s">
        <v>286</v>
      </c>
      <c r="K4238" s="377"/>
      <c r="L4238" s="129"/>
      <c r="M4238" s="378"/>
      <c r="N4238" s="129"/>
      <c r="O4238" s="129"/>
      <c r="P4238" s="379"/>
      <c r="Q4238" s="129"/>
      <c r="R4238" s="380"/>
      <c r="S4238" s="129"/>
      <c r="T4238" s="129"/>
      <c r="W4238" s="129" t="s">
        <v>286</v>
      </c>
      <c r="X4238" s="337" t="b">
        <f t="shared" si="100"/>
        <v>1</v>
      </c>
    </row>
    <row r="4239" spans="1:24" ht="12" customHeight="1" outlineLevel="1">
      <c r="A4239" s="370"/>
      <c r="B4239" s="118" t="s">
        <v>12</v>
      </c>
      <c r="C4239" s="334" t="s">
        <v>12288</v>
      </c>
      <c r="D4239" s="124" t="s">
        <v>11981</v>
      </c>
      <c r="E4239" s="125"/>
      <c r="F4239" s="118" t="s">
        <v>828</v>
      </c>
      <c r="G4239" s="126" t="s">
        <v>11386</v>
      </c>
      <c r="H4239" s="255">
        <v>6</v>
      </c>
      <c r="I4239" s="361">
        <v>1</v>
      </c>
      <c r="J4239" s="371" t="s">
        <v>286</v>
      </c>
      <c r="K4239" s="377"/>
      <c r="L4239" s="129"/>
      <c r="M4239" s="378"/>
      <c r="N4239" s="129"/>
      <c r="O4239" s="129"/>
      <c r="P4239" s="379"/>
      <c r="Q4239" s="129"/>
      <c r="R4239" s="380"/>
      <c r="S4239" s="129"/>
      <c r="T4239" s="129"/>
      <c r="W4239" s="129" t="s">
        <v>286</v>
      </c>
      <c r="X4239" s="337" t="b">
        <f t="shared" si="100"/>
        <v>1</v>
      </c>
    </row>
    <row r="4240" spans="1:24" ht="12" customHeight="1" outlineLevel="1">
      <c r="A4240" s="370"/>
      <c r="B4240" s="118" t="s">
        <v>12</v>
      </c>
      <c r="C4240" s="334" t="s">
        <v>12289</v>
      </c>
      <c r="D4240" s="124" t="s">
        <v>11428</v>
      </c>
      <c r="E4240" s="125"/>
      <c r="F4240" s="118" t="s">
        <v>828</v>
      </c>
      <c r="G4240" s="126" t="s">
        <v>11386</v>
      </c>
      <c r="H4240" s="255">
        <v>6</v>
      </c>
      <c r="I4240" s="361">
        <v>1</v>
      </c>
      <c r="J4240" s="371" t="s">
        <v>286</v>
      </c>
      <c r="K4240" s="377"/>
      <c r="L4240" s="129"/>
      <c r="M4240" s="378"/>
      <c r="N4240" s="129"/>
      <c r="O4240" s="129"/>
      <c r="P4240" s="379"/>
      <c r="Q4240" s="129"/>
      <c r="R4240" s="380"/>
      <c r="S4240" s="129"/>
      <c r="T4240" s="129"/>
      <c r="W4240" s="129" t="s">
        <v>286</v>
      </c>
      <c r="X4240" s="337" t="b">
        <f t="shared" si="100"/>
        <v>1</v>
      </c>
    </row>
    <row r="4241" spans="1:24" ht="12" customHeight="1" outlineLevel="1">
      <c r="A4241" s="370"/>
      <c r="B4241" s="118" t="s">
        <v>12</v>
      </c>
      <c r="C4241" s="334" t="s">
        <v>12290</v>
      </c>
      <c r="D4241" s="124" t="s">
        <v>11430</v>
      </c>
      <c r="E4241" s="125"/>
      <c r="F4241" s="118" t="s">
        <v>828</v>
      </c>
      <c r="G4241" s="126" t="s">
        <v>11386</v>
      </c>
      <c r="H4241" s="255">
        <v>6</v>
      </c>
      <c r="I4241" s="361">
        <v>1</v>
      </c>
      <c r="J4241" s="371" t="s">
        <v>286</v>
      </c>
      <c r="K4241" s="377"/>
      <c r="L4241" s="129"/>
      <c r="M4241" s="378"/>
      <c r="N4241" s="129"/>
      <c r="O4241" s="129"/>
      <c r="P4241" s="379"/>
      <c r="Q4241" s="129"/>
      <c r="R4241" s="380"/>
      <c r="S4241" s="129"/>
      <c r="T4241" s="129"/>
      <c r="W4241" s="129" t="s">
        <v>286</v>
      </c>
      <c r="X4241" s="337" t="b">
        <f t="shared" si="100"/>
        <v>1</v>
      </c>
    </row>
    <row r="4242" spans="1:24" ht="12" customHeight="1" outlineLevel="1">
      <c r="A4242" s="370"/>
      <c r="B4242" s="118" t="s">
        <v>12</v>
      </c>
      <c r="C4242" s="334" t="s">
        <v>12291</v>
      </c>
      <c r="D4242" s="124" t="s">
        <v>11432</v>
      </c>
      <c r="E4242" s="125"/>
      <c r="F4242" s="118" t="s">
        <v>828</v>
      </c>
      <c r="G4242" s="126" t="s">
        <v>11386</v>
      </c>
      <c r="H4242" s="255">
        <v>6</v>
      </c>
      <c r="I4242" s="361">
        <v>1</v>
      </c>
      <c r="J4242" s="371" t="s">
        <v>286</v>
      </c>
      <c r="K4242" s="377"/>
      <c r="L4242" s="129"/>
      <c r="M4242" s="378"/>
      <c r="N4242" s="129"/>
      <c r="O4242" s="129"/>
      <c r="P4242" s="379"/>
      <c r="Q4242" s="129"/>
      <c r="R4242" s="380"/>
      <c r="S4242" s="129"/>
      <c r="T4242" s="129"/>
      <c r="W4242" s="129" t="s">
        <v>286</v>
      </c>
      <c r="X4242" s="337" t="b">
        <f t="shared" si="100"/>
        <v>1</v>
      </c>
    </row>
    <row r="4243" spans="1:24" ht="12" customHeight="1" outlineLevel="1">
      <c r="A4243" s="370"/>
      <c r="B4243" s="118" t="s">
        <v>12</v>
      </c>
      <c r="C4243" s="334" t="s">
        <v>12292</v>
      </c>
      <c r="D4243" s="124" t="s">
        <v>11434</v>
      </c>
      <c r="E4243" s="125"/>
      <c r="F4243" s="118" t="s">
        <v>828</v>
      </c>
      <c r="G4243" s="126" t="s">
        <v>11386</v>
      </c>
      <c r="H4243" s="255">
        <v>6</v>
      </c>
      <c r="I4243" s="361">
        <v>1</v>
      </c>
      <c r="J4243" s="371" t="s">
        <v>310</v>
      </c>
      <c r="K4243" s="377"/>
      <c r="L4243" s="129"/>
      <c r="M4243" s="378"/>
      <c r="N4243" s="129"/>
      <c r="O4243" s="129"/>
      <c r="P4243" s="379"/>
      <c r="Q4243" s="129"/>
      <c r="R4243" s="380"/>
      <c r="S4243" s="129"/>
      <c r="T4243" s="129"/>
      <c r="W4243" s="129" t="s">
        <v>286</v>
      </c>
      <c r="X4243" s="337" t="b">
        <f t="shared" ref="X4243:X4306" si="101">W4243=J4243</f>
        <v>0</v>
      </c>
    </row>
    <row r="4244" spans="1:24" ht="12" customHeight="1" outlineLevel="1">
      <c r="A4244" s="370"/>
      <c r="B4244" s="118" t="s">
        <v>12</v>
      </c>
      <c r="C4244" s="334" t="s">
        <v>12293</v>
      </c>
      <c r="D4244" s="124" t="s">
        <v>11436</v>
      </c>
      <c r="E4244" s="125"/>
      <c r="F4244" s="118" t="s">
        <v>828</v>
      </c>
      <c r="G4244" s="126" t="s">
        <v>11386</v>
      </c>
      <c r="H4244" s="255">
        <v>6</v>
      </c>
      <c r="I4244" s="361">
        <v>1</v>
      </c>
      <c r="J4244" s="371" t="s">
        <v>310</v>
      </c>
      <c r="K4244" s="377"/>
      <c r="L4244" s="129"/>
      <c r="M4244" s="378"/>
      <c r="N4244" s="129"/>
      <c r="O4244" s="129"/>
      <c r="P4244" s="379"/>
      <c r="Q4244" s="129"/>
      <c r="R4244" s="380"/>
      <c r="S4244" s="129"/>
      <c r="T4244" s="129"/>
      <c r="W4244" s="129" t="s">
        <v>286</v>
      </c>
      <c r="X4244" s="337" t="b">
        <f t="shared" si="101"/>
        <v>0</v>
      </c>
    </row>
    <row r="4245" spans="1:24" ht="12" customHeight="1" outlineLevel="1">
      <c r="A4245" s="370"/>
      <c r="B4245" s="118" t="s">
        <v>12</v>
      </c>
      <c r="C4245" s="334" t="s">
        <v>12294</v>
      </c>
      <c r="D4245" s="124" t="s">
        <v>11438</v>
      </c>
      <c r="E4245" s="125"/>
      <c r="F4245" s="118" t="s">
        <v>828</v>
      </c>
      <c r="G4245" s="126" t="s">
        <v>11386</v>
      </c>
      <c r="H4245" s="255">
        <v>6</v>
      </c>
      <c r="I4245" s="361">
        <v>1</v>
      </c>
      <c r="J4245" s="371" t="s">
        <v>310</v>
      </c>
      <c r="K4245" s="377"/>
      <c r="L4245" s="129"/>
      <c r="M4245" s="378"/>
      <c r="N4245" s="129"/>
      <c r="O4245" s="129"/>
      <c r="P4245" s="379"/>
      <c r="Q4245" s="129"/>
      <c r="R4245" s="380"/>
      <c r="S4245" s="129"/>
      <c r="T4245" s="129"/>
      <c r="W4245" s="129" t="s">
        <v>286</v>
      </c>
      <c r="X4245" s="337" t="b">
        <f t="shared" si="101"/>
        <v>0</v>
      </c>
    </row>
    <row r="4246" spans="1:24" ht="12" customHeight="1" outlineLevel="1">
      <c r="A4246" s="370"/>
      <c r="B4246" s="118" t="s">
        <v>12</v>
      </c>
      <c r="C4246" s="334" t="s">
        <v>12295</v>
      </c>
      <c r="D4246" s="124" t="s">
        <v>12296</v>
      </c>
      <c r="E4246" s="125"/>
      <c r="F4246" s="118" t="s">
        <v>828</v>
      </c>
      <c r="G4246" s="126" t="s">
        <v>11386</v>
      </c>
      <c r="H4246" s="255">
        <v>6</v>
      </c>
      <c r="I4246" s="361">
        <v>1</v>
      </c>
      <c r="J4246" s="371" t="s">
        <v>286</v>
      </c>
      <c r="K4246" s="377"/>
      <c r="L4246" s="129"/>
      <c r="M4246" s="378"/>
      <c r="N4246" s="129"/>
      <c r="O4246" s="129"/>
      <c r="P4246" s="379"/>
      <c r="Q4246" s="129"/>
      <c r="R4246" s="380"/>
      <c r="S4246" s="129"/>
      <c r="T4246" s="129"/>
      <c r="W4246" s="129" t="s">
        <v>286</v>
      </c>
      <c r="X4246" s="337" t="b">
        <f t="shared" si="101"/>
        <v>1</v>
      </c>
    </row>
    <row r="4247" spans="1:24" ht="12" customHeight="1" outlineLevel="1">
      <c r="A4247" s="370"/>
      <c r="B4247" s="118" t="s">
        <v>12</v>
      </c>
      <c r="C4247" s="334" t="s">
        <v>12297</v>
      </c>
      <c r="D4247" s="124" t="s">
        <v>11442</v>
      </c>
      <c r="E4247" s="125"/>
      <c r="F4247" s="118" t="s">
        <v>828</v>
      </c>
      <c r="G4247" s="126" t="s">
        <v>11386</v>
      </c>
      <c r="H4247" s="255">
        <v>6</v>
      </c>
      <c r="I4247" s="361">
        <v>1</v>
      </c>
      <c r="J4247" s="371" t="s">
        <v>286</v>
      </c>
      <c r="K4247" s="377"/>
      <c r="L4247" s="129"/>
      <c r="M4247" s="378"/>
      <c r="N4247" s="129"/>
      <c r="O4247" s="129"/>
      <c r="P4247" s="379"/>
      <c r="Q4247" s="129"/>
      <c r="R4247" s="380"/>
      <c r="S4247" s="129"/>
      <c r="T4247" s="129"/>
      <c r="W4247" s="129" t="s">
        <v>286</v>
      </c>
      <c r="X4247" s="337" t="b">
        <f t="shared" si="101"/>
        <v>1</v>
      </c>
    </row>
    <row r="4248" spans="1:24" ht="12" customHeight="1" outlineLevel="1">
      <c r="A4248" s="370"/>
      <c r="B4248" s="118" t="s">
        <v>12</v>
      </c>
      <c r="C4248" s="334" t="s">
        <v>12298</v>
      </c>
      <c r="D4248" s="124" t="s">
        <v>11444</v>
      </c>
      <c r="E4248" s="125"/>
      <c r="F4248" s="118" t="s">
        <v>828</v>
      </c>
      <c r="G4248" s="126" t="s">
        <v>11386</v>
      </c>
      <c r="H4248" s="255">
        <v>6</v>
      </c>
      <c r="I4248" s="361">
        <v>1</v>
      </c>
      <c r="J4248" s="371" t="s">
        <v>286</v>
      </c>
      <c r="K4248" s="377"/>
      <c r="L4248" s="129"/>
      <c r="M4248" s="378"/>
      <c r="N4248" s="129"/>
      <c r="O4248" s="129"/>
      <c r="P4248" s="379"/>
      <c r="Q4248" s="129"/>
      <c r="R4248" s="380"/>
      <c r="S4248" s="129"/>
      <c r="T4248" s="129"/>
      <c r="W4248" s="129" t="s">
        <v>286</v>
      </c>
      <c r="X4248" s="337" t="b">
        <f t="shared" si="101"/>
        <v>1</v>
      </c>
    </row>
    <row r="4249" spans="1:24" ht="12" customHeight="1" outlineLevel="1">
      <c r="A4249" s="370"/>
      <c r="B4249" s="118" t="s">
        <v>12</v>
      </c>
      <c r="C4249" s="334" t="s">
        <v>12299</v>
      </c>
      <c r="D4249" s="124" t="s">
        <v>11446</v>
      </c>
      <c r="E4249" s="125"/>
      <c r="F4249" s="118" t="s">
        <v>828</v>
      </c>
      <c r="G4249" s="126" t="s">
        <v>11386</v>
      </c>
      <c r="H4249" s="255">
        <v>6</v>
      </c>
      <c r="I4249" s="361">
        <v>1</v>
      </c>
      <c r="J4249" s="371" t="s">
        <v>286</v>
      </c>
      <c r="K4249" s="377"/>
      <c r="L4249" s="129"/>
      <c r="M4249" s="378"/>
      <c r="N4249" s="129"/>
      <c r="O4249" s="129"/>
      <c r="P4249" s="379"/>
      <c r="Q4249" s="129"/>
      <c r="R4249" s="380"/>
      <c r="S4249" s="129"/>
      <c r="T4249" s="129"/>
      <c r="W4249" s="129" t="s">
        <v>286</v>
      </c>
      <c r="X4249" s="337" t="b">
        <f t="shared" si="101"/>
        <v>1</v>
      </c>
    </row>
    <row r="4250" spans="1:24" ht="12" customHeight="1" outlineLevel="1">
      <c r="A4250" s="370"/>
      <c r="B4250" s="118" t="s">
        <v>12</v>
      </c>
      <c r="C4250" s="334" t="s">
        <v>12300</v>
      </c>
      <c r="D4250" s="124" t="s">
        <v>11448</v>
      </c>
      <c r="E4250" s="125"/>
      <c r="F4250" s="118" t="s">
        <v>828</v>
      </c>
      <c r="G4250" s="126" t="s">
        <v>11386</v>
      </c>
      <c r="H4250" s="255">
        <v>6</v>
      </c>
      <c r="I4250" s="361">
        <v>1</v>
      </c>
      <c r="J4250" s="371" t="s">
        <v>286</v>
      </c>
      <c r="K4250" s="377"/>
      <c r="L4250" s="129"/>
      <c r="M4250" s="378"/>
      <c r="N4250" s="129"/>
      <c r="O4250" s="129"/>
      <c r="P4250" s="379"/>
      <c r="Q4250" s="129"/>
      <c r="R4250" s="380"/>
      <c r="S4250" s="129"/>
      <c r="T4250" s="129"/>
      <c r="W4250" s="129" t="s">
        <v>286</v>
      </c>
      <c r="X4250" s="337" t="b">
        <f t="shared" si="101"/>
        <v>1</v>
      </c>
    </row>
    <row r="4251" spans="1:24" ht="12" customHeight="1" outlineLevel="1">
      <c r="A4251" s="370"/>
      <c r="B4251" s="118" t="s">
        <v>12</v>
      </c>
      <c r="C4251" s="334" t="s">
        <v>12301</v>
      </c>
      <c r="D4251" s="124" t="s">
        <v>11450</v>
      </c>
      <c r="E4251" s="125"/>
      <c r="F4251" s="118" t="s">
        <v>828</v>
      </c>
      <c r="G4251" s="126" t="s">
        <v>11386</v>
      </c>
      <c r="H4251" s="255">
        <v>6</v>
      </c>
      <c r="I4251" s="361">
        <v>1</v>
      </c>
      <c r="J4251" s="371" t="s">
        <v>286</v>
      </c>
      <c r="K4251" s="377"/>
      <c r="L4251" s="129"/>
      <c r="M4251" s="378"/>
      <c r="N4251" s="129"/>
      <c r="O4251" s="129"/>
      <c r="P4251" s="379"/>
      <c r="Q4251" s="129"/>
      <c r="R4251" s="380"/>
      <c r="S4251" s="129"/>
      <c r="T4251" s="129"/>
      <c r="W4251" s="129" t="s">
        <v>286</v>
      </c>
      <c r="X4251" s="337" t="b">
        <f t="shared" si="101"/>
        <v>1</v>
      </c>
    </row>
    <row r="4252" spans="1:24" ht="12" customHeight="1" outlineLevel="1">
      <c r="A4252" s="370"/>
      <c r="B4252" s="118" t="s">
        <v>12</v>
      </c>
      <c r="C4252" s="334" t="s">
        <v>12302</v>
      </c>
      <c r="D4252" s="124" t="s">
        <v>11452</v>
      </c>
      <c r="E4252" s="125"/>
      <c r="F4252" s="118" t="s">
        <v>828</v>
      </c>
      <c r="G4252" s="126" t="s">
        <v>11386</v>
      </c>
      <c r="H4252" s="255">
        <v>6</v>
      </c>
      <c r="I4252" s="361">
        <v>1</v>
      </c>
      <c r="J4252" s="371" t="s">
        <v>286</v>
      </c>
      <c r="K4252" s="377"/>
      <c r="L4252" s="129"/>
      <c r="M4252" s="378"/>
      <c r="N4252" s="129"/>
      <c r="O4252" s="129"/>
      <c r="P4252" s="379"/>
      <c r="Q4252" s="129"/>
      <c r="R4252" s="380"/>
      <c r="S4252" s="129"/>
      <c r="T4252" s="129"/>
      <c r="W4252" s="129" t="s">
        <v>286</v>
      </c>
      <c r="X4252" s="337" t="b">
        <f t="shared" si="101"/>
        <v>1</v>
      </c>
    </row>
    <row r="4253" spans="1:24" ht="12" customHeight="1" outlineLevel="1">
      <c r="A4253" s="370"/>
      <c r="B4253" s="118" t="s">
        <v>12</v>
      </c>
      <c r="C4253" s="334" t="s">
        <v>12303</v>
      </c>
      <c r="D4253" s="124" t="s">
        <v>11454</v>
      </c>
      <c r="E4253" s="125"/>
      <c r="F4253" s="118" t="s">
        <v>828</v>
      </c>
      <c r="G4253" s="126" t="s">
        <v>11386</v>
      </c>
      <c r="H4253" s="255">
        <v>6</v>
      </c>
      <c r="I4253" s="361">
        <v>1</v>
      </c>
      <c r="J4253" s="371" t="s">
        <v>286</v>
      </c>
      <c r="K4253" s="377"/>
      <c r="L4253" s="129"/>
      <c r="M4253" s="378"/>
      <c r="N4253" s="129"/>
      <c r="O4253" s="129"/>
      <c r="P4253" s="379"/>
      <c r="Q4253" s="129"/>
      <c r="R4253" s="380"/>
      <c r="S4253" s="129"/>
      <c r="T4253" s="129"/>
      <c r="W4253" s="129" t="s">
        <v>286</v>
      </c>
      <c r="X4253" s="337" t="b">
        <f t="shared" si="101"/>
        <v>1</v>
      </c>
    </row>
    <row r="4254" spans="1:24" ht="12" customHeight="1" outlineLevel="1">
      <c r="A4254" s="370"/>
      <c r="B4254" s="118" t="s">
        <v>12</v>
      </c>
      <c r="C4254" s="334" t="s">
        <v>12304</v>
      </c>
      <c r="D4254" s="124" t="s">
        <v>11456</v>
      </c>
      <c r="E4254" s="125"/>
      <c r="F4254" s="118" t="s">
        <v>828</v>
      </c>
      <c r="G4254" s="126" t="s">
        <v>11386</v>
      </c>
      <c r="H4254" s="255">
        <v>6</v>
      </c>
      <c r="I4254" s="361">
        <v>1</v>
      </c>
      <c r="J4254" s="371" t="s">
        <v>286</v>
      </c>
      <c r="K4254" s="377"/>
      <c r="L4254" s="129"/>
      <c r="M4254" s="378"/>
      <c r="N4254" s="129"/>
      <c r="O4254" s="129"/>
      <c r="P4254" s="379"/>
      <c r="Q4254" s="129"/>
      <c r="R4254" s="380"/>
      <c r="S4254" s="129"/>
      <c r="T4254" s="129"/>
      <c r="W4254" s="129" t="s">
        <v>286</v>
      </c>
      <c r="X4254" s="337" t="b">
        <f t="shared" si="101"/>
        <v>1</v>
      </c>
    </row>
    <row r="4255" spans="1:24" ht="12" customHeight="1" outlineLevel="1">
      <c r="A4255" s="370"/>
      <c r="B4255" s="118" t="s">
        <v>12</v>
      </c>
      <c r="C4255" s="334" t="s">
        <v>12305</v>
      </c>
      <c r="D4255" s="124" t="s">
        <v>11458</v>
      </c>
      <c r="E4255" s="125"/>
      <c r="F4255" s="118" t="s">
        <v>828</v>
      </c>
      <c r="G4255" s="126" t="s">
        <v>11386</v>
      </c>
      <c r="H4255" s="255">
        <v>6</v>
      </c>
      <c r="I4255" s="361">
        <v>1</v>
      </c>
      <c r="J4255" s="371" t="s">
        <v>286</v>
      </c>
      <c r="K4255" s="377"/>
      <c r="L4255" s="129"/>
      <c r="M4255" s="378"/>
      <c r="N4255" s="129"/>
      <c r="O4255" s="129"/>
      <c r="P4255" s="379"/>
      <c r="Q4255" s="129"/>
      <c r="R4255" s="380"/>
      <c r="S4255" s="129"/>
      <c r="T4255" s="129"/>
      <c r="W4255" s="129" t="s">
        <v>286</v>
      </c>
      <c r="X4255" s="337" t="b">
        <f t="shared" si="101"/>
        <v>1</v>
      </c>
    </row>
    <row r="4256" spans="1:24" ht="12" customHeight="1" outlineLevel="1">
      <c r="A4256" s="370"/>
      <c r="B4256" s="118" t="s">
        <v>12</v>
      </c>
      <c r="C4256" s="334" t="s">
        <v>12306</v>
      </c>
      <c r="D4256" s="124" t="s">
        <v>11460</v>
      </c>
      <c r="E4256" s="125"/>
      <c r="F4256" s="118" t="s">
        <v>828</v>
      </c>
      <c r="G4256" s="126" t="s">
        <v>11386</v>
      </c>
      <c r="H4256" s="255">
        <v>6</v>
      </c>
      <c r="I4256" s="361">
        <v>1</v>
      </c>
      <c r="J4256" s="371" t="s">
        <v>286</v>
      </c>
      <c r="K4256" s="377"/>
      <c r="L4256" s="129"/>
      <c r="M4256" s="378"/>
      <c r="N4256" s="129"/>
      <c r="O4256" s="129"/>
      <c r="P4256" s="379"/>
      <c r="Q4256" s="129"/>
      <c r="R4256" s="380"/>
      <c r="S4256" s="129"/>
      <c r="T4256" s="129"/>
      <c r="W4256" s="129" t="s">
        <v>286</v>
      </c>
      <c r="X4256" s="337" t="b">
        <f t="shared" si="101"/>
        <v>1</v>
      </c>
    </row>
    <row r="4257" spans="1:24" ht="12" customHeight="1" outlineLevel="1">
      <c r="A4257" s="370"/>
      <c r="B4257" s="118" t="s">
        <v>12</v>
      </c>
      <c r="C4257" s="334" t="s">
        <v>12307</v>
      </c>
      <c r="D4257" s="124" t="s">
        <v>11462</v>
      </c>
      <c r="E4257" s="125"/>
      <c r="F4257" s="118" t="s">
        <v>828</v>
      </c>
      <c r="G4257" s="126" t="s">
        <v>11386</v>
      </c>
      <c r="H4257" s="255">
        <v>6</v>
      </c>
      <c r="I4257" s="361">
        <v>1</v>
      </c>
      <c r="J4257" s="371" t="s">
        <v>286</v>
      </c>
      <c r="K4257" s="377"/>
      <c r="L4257" s="129"/>
      <c r="M4257" s="378"/>
      <c r="N4257" s="129"/>
      <c r="O4257" s="129"/>
      <c r="P4257" s="379"/>
      <c r="Q4257" s="129"/>
      <c r="R4257" s="380"/>
      <c r="S4257" s="129"/>
      <c r="T4257" s="129"/>
      <c r="W4257" s="129" t="s">
        <v>4876</v>
      </c>
      <c r="X4257" s="337" t="b">
        <f t="shared" si="101"/>
        <v>0</v>
      </c>
    </row>
    <row r="4258" spans="1:24" ht="12" customHeight="1" outlineLevel="1">
      <c r="A4258" s="370"/>
      <c r="B4258" s="118" t="s">
        <v>12</v>
      </c>
      <c r="C4258" s="334" t="s">
        <v>12308</v>
      </c>
      <c r="D4258" s="124" t="s">
        <v>11464</v>
      </c>
      <c r="E4258" s="125"/>
      <c r="F4258" s="118" t="s">
        <v>828</v>
      </c>
      <c r="G4258" s="126" t="s">
        <v>11386</v>
      </c>
      <c r="H4258" s="255">
        <v>6</v>
      </c>
      <c r="I4258" s="361">
        <v>1</v>
      </c>
      <c r="J4258" s="371" t="s">
        <v>286</v>
      </c>
      <c r="K4258" s="377"/>
      <c r="L4258" s="129"/>
      <c r="M4258" s="378"/>
      <c r="N4258" s="129"/>
      <c r="O4258" s="129"/>
      <c r="P4258" s="379"/>
      <c r="Q4258" s="129"/>
      <c r="R4258" s="380"/>
      <c r="S4258" s="129"/>
      <c r="T4258" s="129"/>
      <c r="W4258" s="129" t="s">
        <v>286</v>
      </c>
      <c r="X4258" s="337" t="b">
        <f t="shared" si="101"/>
        <v>1</v>
      </c>
    </row>
    <row r="4259" spans="1:24" ht="12" customHeight="1" outlineLevel="1">
      <c r="A4259" s="370"/>
      <c r="B4259" s="118" t="s">
        <v>12</v>
      </c>
      <c r="C4259" s="334" t="s">
        <v>12309</v>
      </c>
      <c r="D4259" s="124" t="s">
        <v>11466</v>
      </c>
      <c r="E4259" s="125"/>
      <c r="F4259" s="118" t="s">
        <v>828</v>
      </c>
      <c r="G4259" s="126" t="s">
        <v>11386</v>
      </c>
      <c r="H4259" s="255">
        <v>6</v>
      </c>
      <c r="I4259" s="361">
        <v>1</v>
      </c>
      <c r="J4259" s="371" t="s">
        <v>286</v>
      </c>
      <c r="K4259" s="377"/>
      <c r="L4259" s="129"/>
      <c r="M4259" s="378"/>
      <c r="N4259" s="129"/>
      <c r="O4259" s="129"/>
      <c r="P4259" s="379"/>
      <c r="Q4259" s="129"/>
      <c r="R4259" s="380"/>
      <c r="S4259" s="129"/>
      <c r="T4259" s="129"/>
      <c r="W4259" s="129" t="s">
        <v>286</v>
      </c>
      <c r="X4259" s="337" t="b">
        <f t="shared" si="101"/>
        <v>1</v>
      </c>
    </row>
    <row r="4260" spans="1:24" ht="12" customHeight="1" outlineLevel="1">
      <c r="A4260" s="370"/>
      <c r="B4260" s="118" t="s">
        <v>12</v>
      </c>
      <c r="C4260" s="334" t="s">
        <v>12310</v>
      </c>
      <c r="D4260" s="124" t="s">
        <v>11468</v>
      </c>
      <c r="E4260" s="125"/>
      <c r="F4260" s="118" t="s">
        <v>828</v>
      </c>
      <c r="G4260" s="126" t="s">
        <v>11386</v>
      </c>
      <c r="H4260" s="255">
        <v>6</v>
      </c>
      <c r="I4260" s="361">
        <v>1</v>
      </c>
      <c r="J4260" s="371" t="s">
        <v>286</v>
      </c>
      <c r="K4260" s="377"/>
      <c r="L4260" s="129"/>
      <c r="M4260" s="378"/>
      <c r="N4260" s="129"/>
      <c r="O4260" s="129"/>
      <c r="P4260" s="379"/>
      <c r="Q4260" s="129"/>
      <c r="R4260" s="380"/>
      <c r="S4260" s="129"/>
      <c r="T4260" s="129"/>
      <c r="W4260" s="129" t="s">
        <v>286</v>
      </c>
      <c r="X4260" s="337" t="b">
        <f t="shared" si="101"/>
        <v>1</v>
      </c>
    </row>
    <row r="4261" spans="1:24" ht="12" customHeight="1" outlineLevel="1">
      <c r="A4261" s="370"/>
      <c r="B4261" s="118" t="s">
        <v>12</v>
      </c>
      <c r="C4261" s="334" t="s">
        <v>12311</v>
      </c>
      <c r="D4261" s="124" t="s">
        <v>11470</v>
      </c>
      <c r="E4261" s="125"/>
      <c r="F4261" s="118" t="s">
        <v>828</v>
      </c>
      <c r="G4261" s="126" t="s">
        <v>11386</v>
      </c>
      <c r="H4261" s="255">
        <v>6</v>
      </c>
      <c r="I4261" s="361">
        <v>1</v>
      </c>
      <c r="J4261" s="371" t="s">
        <v>286</v>
      </c>
      <c r="K4261" s="377"/>
      <c r="L4261" s="129"/>
      <c r="M4261" s="378"/>
      <c r="N4261" s="129"/>
      <c r="O4261" s="129"/>
      <c r="P4261" s="379"/>
      <c r="Q4261" s="129"/>
      <c r="R4261" s="380"/>
      <c r="S4261" s="129"/>
      <c r="T4261" s="129"/>
      <c r="W4261" s="129" t="s">
        <v>286</v>
      </c>
      <c r="X4261" s="337" t="b">
        <f t="shared" si="101"/>
        <v>1</v>
      </c>
    </row>
    <row r="4262" spans="1:24" ht="12" customHeight="1" outlineLevel="1">
      <c r="A4262" s="370"/>
      <c r="B4262" s="118" t="s">
        <v>12</v>
      </c>
      <c r="C4262" s="334" t="s">
        <v>12312</v>
      </c>
      <c r="D4262" s="124" t="s">
        <v>11472</v>
      </c>
      <c r="E4262" s="125"/>
      <c r="F4262" s="118" t="s">
        <v>828</v>
      </c>
      <c r="G4262" s="126" t="s">
        <v>11386</v>
      </c>
      <c r="H4262" s="255">
        <v>6</v>
      </c>
      <c r="I4262" s="361">
        <v>1</v>
      </c>
      <c r="J4262" s="371" t="s">
        <v>286</v>
      </c>
      <c r="K4262" s="377"/>
      <c r="L4262" s="129"/>
      <c r="M4262" s="378"/>
      <c r="N4262" s="129"/>
      <c r="O4262" s="129"/>
      <c r="P4262" s="379"/>
      <c r="Q4262" s="129"/>
      <c r="R4262" s="380"/>
      <c r="S4262" s="129"/>
      <c r="T4262" s="129"/>
      <c r="W4262" s="129" t="s">
        <v>4876</v>
      </c>
      <c r="X4262" s="337" t="b">
        <f t="shared" si="101"/>
        <v>0</v>
      </c>
    </row>
    <row r="4263" spans="1:24" ht="12" customHeight="1" outlineLevel="1">
      <c r="A4263" s="370"/>
      <c r="B4263" s="118" t="s">
        <v>12</v>
      </c>
      <c r="C4263" s="334" t="s">
        <v>12313</v>
      </c>
      <c r="D4263" s="124" t="s">
        <v>11474</v>
      </c>
      <c r="E4263" s="125"/>
      <c r="F4263" s="118" t="s">
        <v>828</v>
      </c>
      <c r="G4263" s="126" t="s">
        <v>11386</v>
      </c>
      <c r="H4263" s="255">
        <v>6</v>
      </c>
      <c r="I4263" s="361">
        <v>1</v>
      </c>
      <c r="J4263" s="371" t="s">
        <v>286</v>
      </c>
      <c r="K4263" s="377"/>
      <c r="L4263" s="129"/>
      <c r="M4263" s="378"/>
      <c r="N4263" s="129"/>
      <c r="O4263" s="129"/>
      <c r="P4263" s="379"/>
      <c r="Q4263" s="129"/>
      <c r="R4263" s="380"/>
      <c r="S4263" s="129"/>
      <c r="T4263" s="129"/>
      <c r="W4263" s="129" t="s">
        <v>286</v>
      </c>
      <c r="X4263" s="337" t="b">
        <f t="shared" si="101"/>
        <v>1</v>
      </c>
    </row>
    <row r="4264" spans="1:24" ht="12" customHeight="1" outlineLevel="1">
      <c r="A4264" s="370"/>
      <c r="B4264" s="118" t="s">
        <v>12</v>
      </c>
      <c r="C4264" s="334" t="s">
        <v>12314</v>
      </c>
      <c r="D4264" s="124" t="s">
        <v>11476</v>
      </c>
      <c r="E4264" s="125"/>
      <c r="F4264" s="118" t="s">
        <v>828</v>
      </c>
      <c r="G4264" s="126" t="s">
        <v>11386</v>
      </c>
      <c r="H4264" s="255">
        <v>6</v>
      </c>
      <c r="I4264" s="361">
        <v>1</v>
      </c>
      <c r="J4264" s="371" t="s">
        <v>286</v>
      </c>
      <c r="K4264" s="377"/>
      <c r="L4264" s="129"/>
      <c r="M4264" s="378"/>
      <c r="N4264" s="129"/>
      <c r="O4264" s="129"/>
      <c r="P4264" s="379"/>
      <c r="Q4264" s="129"/>
      <c r="R4264" s="380"/>
      <c r="S4264" s="129"/>
      <c r="T4264" s="129"/>
      <c r="W4264" s="129" t="s">
        <v>286</v>
      </c>
      <c r="X4264" s="337" t="b">
        <f t="shared" si="101"/>
        <v>1</v>
      </c>
    </row>
    <row r="4265" spans="1:24" ht="12" customHeight="1" outlineLevel="1">
      <c r="A4265" s="370"/>
      <c r="B4265" s="118" t="s">
        <v>12</v>
      </c>
      <c r="C4265" s="334" t="s">
        <v>12315</v>
      </c>
      <c r="D4265" s="124" t="s">
        <v>11478</v>
      </c>
      <c r="E4265" s="125"/>
      <c r="F4265" s="118" t="s">
        <v>828</v>
      </c>
      <c r="G4265" s="126" t="s">
        <v>11386</v>
      </c>
      <c r="H4265" s="255">
        <v>6</v>
      </c>
      <c r="I4265" s="361">
        <v>1</v>
      </c>
      <c r="J4265" s="371" t="s">
        <v>286</v>
      </c>
      <c r="K4265" s="377"/>
      <c r="L4265" s="129"/>
      <c r="M4265" s="378"/>
      <c r="N4265" s="129"/>
      <c r="O4265" s="129"/>
      <c r="P4265" s="379"/>
      <c r="Q4265" s="129"/>
      <c r="R4265" s="380"/>
      <c r="S4265" s="129"/>
      <c r="T4265" s="129"/>
      <c r="W4265" s="129" t="s">
        <v>286</v>
      </c>
      <c r="X4265" s="337" t="b">
        <f t="shared" si="101"/>
        <v>1</v>
      </c>
    </row>
    <row r="4266" spans="1:24" ht="12" customHeight="1" outlineLevel="1">
      <c r="A4266" s="370"/>
      <c r="B4266" s="118" t="s">
        <v>12</v>
      </c>
      <c r="C4266" s="334" t="s">
        <v>12316</v>
      </c>
      <c r="D4266" s="124" t="s">
        <v>11480</v>
      </c>
      <c r="E4266" s="125"/>
      <c r="F4266" s="118" t="s">
        <v>828</v>
      </c>
      <c r="G4266" s="126" t="s">
        <v>11386</v>
      </c>
      <c r="H4266" s="255">
        <v>6</v>
      </c>
      <c r="I4266" s="361">
        <v>1</v>
      </c>
      <c r="J4266" s="371" t="s">
        <v>286</v>
      </c>
      <c r="K4266" s="377"/>
      <c r="L4266" s="129"/>
      <c r="M4266" s="378"/>
      <c r="N4266" s="129"/>
      <c r="O4266" s="129"/>
      <c r="P4266" s="379"/>
      <c r="Q4266" s="129"/>
      <c r="R4266" s="380"/>
      <c r="S4266" s="129"/>
      <c r="T4266" s="129"/>
      <c r="W4266" s="129" t="s">
        <v>286</v>
      </c>
      <c r="X4266" s="337" t="b">
        <f t="shared" si="101"/>
        <v>1</v>
      </c>
    </row>
    <row r="4267" spans="1:24" ht="12" customHeight="1" outlineLevel="1">
      <c r="A4267" s="370"/>
      <c r="B4267" s="118" t="s">
        <v>12</v>
      </c>
      <c r="C4267" s="334" t="s">
        <v>12317</v>
      </c>
      <c r="D4267" s="124" t="s">
        <v>11482</v>
      </c>
      <c r="E4267" s="125"/>
      <c r="F4267" s="118" t="s">
        <v>828</v>
      </c>
      <c r="G4267" s="126" t="s">
        <v>11386</v>
      </c>
      <c r="H4267" s="255">
        <v>6</v>
      </c>
      <c r="I4267" s="361">
        <v>1</v>
      </c>
      <c r="J4267" s="371" t="s">
        <v>286</v>
      </c>
      <c r="K4267" s="377"/>
      <c r="L4267" s="129"/>
      <c r="M4267" s="378"/>
      <c r="N4267" s="129"/>
      <c r="O4267" s="129"/>
      <c r="P4267" s="379"/>
      <c r="Q4267" s="129"/>
      <c r="R4267" s="380"/>
      <c r="S4267" s="129"/>
      <c r="T4267" s="129"/>
      <c r="W4267" s="129" t="s">
        <v>286</v>
      </c>
      <c r="X4267" s="337" t="b">
        <f t="shared" si="101"/>
        <v>1</v>
      </c>
    </row>
    <row r="4268" spans="1:24" ht="12" customHeight="1" outlineLevel="1">
      <c r="A4268" s="370"/>
      <c r="B4268" s="118" t="s">
        <v>12</v>
      </c>
      <c r="C4268" s="334" t="s">
        <v>12318</v>
      </c>
      <c r="D4268" s="124" t="s">
        <v>11484</v>
      </c>
      <c r="E4268" s="125"/>
      <c r="F4268" s="118" t="s">
        <v>828</v>
      </c>
      <c r="G4268" s="126" t="s">
        <v>11386</v>
      </c>
      <c r="H4268" s="255">
        <v>6</v>
      </c>
      <c r="I4268" s="361">
        <v>1</v>
      </c>
      <c r="J4268" s="371" t="s">
        <v>286</v>
      </c>
      <c r="K4268" s="377"/>
      <c r="L4268" s="129"/>
      <c r="M4268" s="378"/>
      <c r="N4268" s="129"/>
      <c r="O4268" s="129"/>
      <c r="P4268" s="379"/>
      <c r="Q4268" s="129"/>
      <c r="R4268" s="380"/>
      <c r="S4268" s="129"/>
      <c r="T4268" s="129"/>
      <c r="W4268" s="129" t="s">
        <v>286</v>
      </c>
      <c r="X4268" s="337" t="b">
        <f t="shared" si="101"/>
        <v>1</v>
      </c>
    </row>
    <row r="4269" spans="1:24" ht="12" customHeight="1" outlineLevel="1">
      <c r="A4269" s="370"/>
      <c r="B4269" s="118" t="s">
        <v>12</v>
      </c>
      <c r="C4269" s="334" t="s">
        <v>12319</v>
      </c>
      <c r="D4269" s="124" t="s">
        <v>11486</v>
      </c>
      <c r="E4269" s="125"/>
      <c r="F4269" s="118" t="s">
        <v>828</v>
      </c>
      <c r="G4269" s="126" t="s">
        <v>11386</v>
      </c>
      <c r="H4269" s="255">
        <v>6</v>
      </c>
      <c r="I4269" s="361">
        <v>1</v>
      </c>
      <c r="J4269" s="371" t="s">
        <v>286</v>
      </c>
      <c r="K4269" s="377"/>
      <c r="L4269" s="129"/>
      <c r="M4269" s="378"/>
      <c r="N4269" s="129"/>
      <c r="O4269" s="129"/>
      <c r="P4269" s="379"/>
      <c r="Q4269" s="129"/>
      <c r="R4269" s="380"/>
      <c r="S4269" s="129"/>
      <c r="T4269" s="129"/>
      <c r="W4269" s="129" t="s">
        <v>286</v>
      </c>
      <c r="X4269" s="337" t="b">
        <f t="shared" si="101"/>
        <v>1</v>
      </c>
    </row>
    <row r="4270" spans="1:24" ht="12" customHeight="1" outlineLevel="1">
      <c r="A4270" s="370"/>
      <c r="B4270" s="118" t="s">
        <v>12</v>
      </c>
      <c r="C4270" s="334" t="s">
        <v>12320</v>
      </c>
      <c r="D4270" s="124" t="s">
        <v>11488</v>
      </c>
      <c r="E4270" s="125"/>
      <c r="F4270" s="118" t="s">
        <v>828</v>
      </c>
      <c r="G4270" s="126" t="s">
        <v>11386</v>
      </c>
      <c r="H4270" s="255">
        <v>6</v>
      </c>
      <c r="I4270" s="361">
        <v>1</v>
      </c>
      <c r="J4270" s="371" t="s">
        <v>286</v>
      </c>
      <c r="K4270" s="377"/>
      <c r="L4270" s="129"/>
      <c r="M4270" s="378"/>
      <c r="N4270" s="129"/>
      <c r="O4270" s="129"/>
      <c r="P4270" s="379"/>
      <c r="Q4270" s="129"/>
      <c r="R4270" s="380"/>
      <c r="S4270" s="129"/>
      <c r="T4270" s="129"/>
      <c r="W4270" s="129" t="s">
        <v>286</v>
      </c>
      <c r="X4270" s="337" t="b">
        <f t="shared" si="101"/>
        <v>1</v>
      </c>
    </row>
    <row r="4271" spans="1:24" ht="12" customHeight="1" outlineLevel="1">
      <c r="A4271" s="370"/>
      <c r="B4271" s="118" t="s">
        <v>12</v>
      </c>
      <c r="C4271" s="334" t="s">
        <v>12321</v>
      </c>
      <c r="D4271" s="124" t="s">
        <v>11490</v>
      </c>
      <c r="E4271" s="125"/>
      <c r="F4271" s="118" t="s">
        <v>828</v>
      </c>
      <c r="G4271" s="126" t="s">
        <v>11386</v>
      </c>
      <c r="H4271" s="255">
        <v>6</v>
      </c>
      <c r="I4271" s="361">
        <v>1</v>
      </c>
      <c r="J4271" s="371" t="s">
        <v>286</v>
      </c>
      <c r="K4271" s="377"/>
      <c r="L4271" s="129"/>
      <c r="M4271" s="378"/>
      <c r="N4271" s="129"/>
      <c r="O4271" s="129"/>
      <c r="P4271" s="379"/>
      <c r="Q4271" s="129"/>
      <c r="R4271" s="380"/>
      <c r="S4271" s="129"/>
      <c r="T4271" s="129"/>
      <c r="W4271" s="129" t="s">
        <v>286</v>
      </c>
      <c r="X4271" s="337" t="b">
        <f t="shared" si="101"/>
        <v>1</v>
      </c>
    </row>
    <row r="4272" spans="1:24" ht="12" customHeight="1" outlineLevel="1">
      <c r="A4272" s="370"/>
      <c r="B4272" s="118" t="s">
        <v>12</v>
      </c>
      <c r="C4272" s="334" t="s">
        <v>12322</v>
      </c>
      <c r="D4272" s="124" t="s">
        <v>11492</v>
      </c>
      <c r="E4272" s="125"/>
      <c r="F4272" s="118" t="s">
        <v>828</v>
      </c>
      <c r="G4272" s="126" t="s">
        <v>11386</v>
      </c>
      <c r="H4272" s="255">
        <v>6</v>
      </c>
      <c r="I4272" s="361">
        <v>1</v>
      </c>
      <c r="J4272" s="371" t="s">
        <v>286</v>
      </c>
      <c r="K4272" s="377"/>
      <c r="L4272" s="129"/>
      <c r="M4272" s="378"/>
      <c r="N4272" s="129"/>
      <c r="O4272" s="129"/>
      <c r="P4272" s="379"/>
      <c r="Q4272" s="129"/>
      <c r="R4272" s="380"/>
      <c r="S4272" s="129"/>
      <c r="T4272" s="129"/>
      <c r="W4272" s="129" t="s">
        <v>286</v>
      </c>
      <c r="X4272" s="337" t="b">
        <f t="shared" si="101"/>
        <v>1</v>
      </c>
    </row>
    <row r="4273" spans="1:24" ht="12" customHeight="1" outlineLevel="1">
      <c r="A4273" s="370"/>
      <c r="B4273" s="118" t="s">
        <v>12</v>
      </c>
      <c r="C4273" s="334" t="s">
        <v>12323</v>
      </c>
      <c r="D4273" s="124" t="s">
        <v>11494</v>
      </c>
      <c r="E4273" s="125"/>
      <c r="F4273" s="118" t="s">
        <v>828</v>
      </c>
      <c r="G4273" s="126" t="s">
        <v>11386</v>
      </c>
      <c r="H4273" s="255">
        <v>6</v>
      </c>
      <c r="I4273" s="361">
        <v>1</v>
      </c>
      <c r="J4273" s="371" t="s">
        <v>286</v>
      </c>
      <c r="K4273" s="377"/>
      <c r="L4273" s="129"/>
      <c r="M4273" s="378"/>
      <c r="N4273" s="129"/>
      <c r="O4273" s="129"/>
      <c r="P4273" s="379"/>
      <c r="Q4273" s="129"/>
      <c r="R4273" s="380"/>
      <c r="S4273" s="129"/>
      <c r="T4273" s="129"/>
      <c r="W4273" s="129" t="s">
        <v>286</v>
      </c>
      <c r="X4273" s="337" t="b">
        <f t="shared" si="101"/>
        <v>1</v>
      </c>
    </row>
    <row r="4274" spans="1:24" ht="12" customHeight="1" outlineLevel="1">
      <c r="A4274" s="370"/>
      <c r="B4274" s="118" t="s">
        <v>12</v>
      </c>
      <c r="C4274" s="334" t="s">
        <v>12324</v>
      </c>
      <c r="D4274" s="124" t="s">
        <v>11496</v>
      </c>
      <c r="E4274" s="125"/>
      <c r="F4274" s="118" t="s">
        <v>828</v>
      </c>
      <c r="G4274" s="126" t="s">
        <v>11386</v>
      </c>
      <c r="H4274" s="255">
        <v>6</v>
      </c>
      <c r="I4274" s="361">
        <v>1</v>
      </c>
      <c r="J4274" s="371" t="s">
        <v>286</v>
      </c>
      <c r="K4274" s="377"/>
      <c r="L4274" s="129"/>
      <c r="M4274" s="378"/>
      <c r="N4274" s="129"/>
      <c r="O4274" s="129"/>
      <c r="P4274" s="379"/>
      <c r="Q4274" s="129"/>
      <c r="R4274" s="380"/>
      <c r="S4274" s="129"/>
      <c r="T4274" s="129"/>
      <c r="W4274" s="129" t="s">
        <v>286</v>
      </c>
      <c r="X4274" s="337" t="b">
        <f t="shared" si="101"/>
        <v>1</v>
      </c>
    </row>
    <row r="4275" spans="1:24" ht="12" customHeight="1" outlineLevel="1">
      <c r="A4275" s="370"/>
      <c r="B4275" s="118" t="s">
        <v>12</v>
      </c>
      <c r="C4275" s="334" t="s">
        <v>12325</v>
      </c>
      <c r="D4275" s="124" t="s">
        <v>11498</v>
      </c>
      <c r="E4275" s="125"/>
      <c r="F4275" s="118" t="s">
        <v>828</v>
      </c>
      <c r="G4275" s="126" t="s">
        <v>11386</v>
      </c>
      <c r="H4275" s="255">
        <v>6</v>
      </c>
      <c r="I4275" s="361">
        <v>1</v>
      </c>
      <c r="J4275" s="371" t="s">
        <v>286</v>
      </c>
      <c r="K4275" s="377"/>
      <c r="L4275" s="129"/>
      <c r="M4275" s="378"/>
      <c r="N4275" s="129"/>
      <c r="O4275" s="129"/>
      <c r="P4275" s="379"/>
      <c r="Q4275" s="129"/>
      <c r="R4275" s="380"/>
      <c r="S4275" s="129"/>
      <c r="T4275" s="129"/>
      <c r="W4275" s="129" t="s">
        <v>286</v>
      </c>
      <c r="X4275" s="337" t="b">
        <f t="shared" si="101"/>
        <v>1</v>
      </c>
    </row>
    <row r="4276" spans="1:24" ht="12" customHeight="1" outlineLevel="1">
      <c r="A4276" s="370"/>
      <c r="B4276" s="118" t="s">
        <v>12</v>
      </c>
      <c r="C4276" s="334" t="s">
        <v>12326</v>
      </c>
      <c r="D4276" s="124" t="s">
        <v>11500</v>
      </c>
      <c r="E4276" s="125"/>
      <c r="F4276" s="118" t="s">
        <v>828</v>
      </c>
      <c r="G4276" s="126" t="s">
        <v>11386</v>
      </c>
      <c r="H4276" s="255">
        <v>6</v>
      </c>
      <c r="I4276" s="361">
        <v>1</v>
      </c>
      <c r="J4276" s="371" t="s">
        <v>286</v>
      </c>
      <c r="K4276" s="377"/>
      <c r="L4276" s="129"/>
      <c r="M4276" s="378"/>
      <c r="N4276" s="129"/>
      <c r="O4276" s="129"/>
      <c r="P4276" s="379"/>
      <c r="Q4276" s="129"/>
      <c r="R4276" s="380"/>
      <c r="S4276" s="129"/>
      <c r="T4276" s="129"/>
      <c r="W4276" s="129" t="s">
        <v>286</v>
      </c>
      <c r="X4276" s="337" t="b">
        <f t="shared" si="101"/>
        <v>1</v>
      </c>
    </row>
    <row r="4277" spans="1:24" ht="12" customHeight="1" outlineLevel="1">
      <c r="A4277" s="370"/>
      <c r="B4277" s="118" t="s">
        <v>12</v>
      </c>
      <c r="C4277" s="334" t="s">
        <v>12327</v>
      </c>
      <c r="D4277" s="124" t="s">
        <v>11502</v>
      </c>
      <c r="E4277" s="125"/>
      <c r="F4277" s="118" t="s">
        <v>828</v>
      </c>
      <c r="G4277" s="126" t="s">
        <v>11386</v>
      </c>
      <c r="H4277" s="255">
        <v>6</v>
      </c>
      <c r="I4277" s="361">
        <v>1</v>
      </c>
      <c r="J4277" s="371" t="s">
        <v>286</v>
      </c>
      <c r="K4277" s="377"/>
      <c r="L4277" s="129"/>
      <c r="M4277" s="378"/>
      <c r="N4277" s="129"/>
      <c r="O4277" s="129"/>
      <c r="P4277" s="379"/>
      <c r="Q4277" s="129"/>
      <c r="R4277" s="380"/>
      <c r="S4277" s="129"/>
      <c r="T4277" s="129"/>
      <c r="W4277" s="129" t="s">
        <v>286</v>
      </c>
      <c r="X4277" s="337" t="b">
        <f t="shared" si="101"/>
        <v>1</v>
      </c>
    </row>
    <row r="4278" spans="1:24" ht="12" customHeight="1" outlineLevel="1">
      <c r="A4278" s="370"/>
      <c r="B4278" s="118" t="s">
        <v>12</v>
      </c>
      <c r="C4278" s="334" t="s">
        <v>12328</v>
      </c>
      <c r="D4278" s="124" t="s">
        <v>11504</v>
      </c>
      <c r="E4278" s="125"/>
      <c r="F4278" s="118" t="s">
        <v>828</v>
      </c>
      <c r="G4278" s="126" t="s">
        <v>11386</v>
      </c>
      <c r="H4278" s="255">
        <v>6</v>
      </c>
      <c r="I4278" s="361">
        <v>1</v>
      </c>
      <c r="J4278" s="371" t="s">
        <v>286</v>
      </c>
      <c r="K4278" s="377"/>
      <c r="L4278" s="129"/>
      <c r="M4278" s="378"/>
      <c r="N4278" s="129"/>
      <c r="O4278" s="129"/>
      <c r="P4278" s="379"/>
      <c r="Q4278" s="129"/>
      <c r="R4278" s="380"/>
      <c r="S4278" s="129"/>
      <c r="T4278" s="129"/>
      <c r="W4278" s="129" t="s">
        <v>286</v>
      </c>
      <c r="X4278" s="337" t="b">
        <f t="shared" si="101"/>
        <v>1</v>
      </c>
    </row>
    <row r="4279" spans="1:24" ht="12" customHeight="1" outlineLevel="1">
      <c r="A4279" s="370"/>
      <c r="B4279" s="118" t="s">
        <v>12</v>
      </c>
      <c r="C4279" s="334" t="s">
        <v>12329</v>
      </c>
      <c r="D4279" s="124" t="s">
        <v>11506</v>
      </c>
      <c r="E4279" s="125"/>
      <c r="F4279" s="118" t="s">
        <v>828</v>
      </c>
      <c r="G4279" s="126" t="s">
        <v>11386</v>
      </c>
      <c r="H4279" s="255">
        <v>6</v>
      </c>
      <c r="I4279" s="361">
        <v>1</v>
      </c>
      <c r="J4279" s="371" t="s">
        <v>286</v>
      </c>
      <c r="K4279" s="377"/>
      <c r="L4279" s="129"/>
      <c r="M4279" s="378"/>
      <c r="N4279" s="129"/>
      <c r="O4279" s="129"/>
      <c r="P4279" s="379"/>
      <c r="Q4279" s="129"/>
      <c r="R4279" s="380"/>
      <c r="S4279" s="129"/>
      <c r="T4279" s="129"/>
      <c r="W4279" s="129" t="s">
        <v>286</v>
      </c>
      <c r="X4279" s="337" t="b">
        <f t="shared" si="101"/>
        <v>1</v>
      </c>
    </row>
    <row r="4280" spans="1:24" ht="12" customHeight="1" outlineLevel="1">
      <c r="A4280" s="370"/>
      <c r="B4280" s="118" t="s">
        <v>12</v>
      </c>
      <c r="C4280" s="334" t="s">
        <v>12330</v>
      </c>
      <c r="D4280" s="124" t="s">
        <v>11508</v>
      </c>
      <c r="E4280" s="125"/>
      <c r="F4280" s="118" t="s">
        <v>828</v>
      </c>
      <c r="G4280" s="126" t="s">
        <v>11386</v>
      </c>
      <c r="H4280" s="255">
        <v>6</v>
      </c>
      <c r="I4280" s="361">
        <v>1</v>
      </c>
      <c r="J4280" s="371" t="s">
        <v>286</v>
      </c>
      <c r="K4280" s="377"/>
      <c r="L4280" s="129"/>
      <c r="M4280" s="378"/>
      <c r="N4280" s="129"/>
      <c r="O4280" s="129"/>
      <c r="P4280" s="379"/>
      <c r="Q4280" s="129"/>
      <c r="R4280" s="380"/>
      <c r="S4280" s="129"/>
      <c r="T4280" s="129"/>
      <c r="W4280" s="129" t="s">
        <v>286</v>
      </c>
      <c r="X4280" s="337" t="b">
        <f t="shared" si="101"/>
        <v>1</v>
      </c>
    </row>
    <row r="4281" spans="1:24" ht="12" customHeight="1" outlineLevel="1">
      <c r="A4281" s="370"/>
      <c r="B4281" s="118" t="s">
        <v>12</v>
      </c>
      <c r="C4281" s="334" t="s">
        <v>12331</v>
      </c>
      <c r="D4281" s="124" t="s">
        <v>11510</v>
      </c>
      <c r="E4281" s="125"/>
      <c r="F4281" s="118" t="s">
        <v>828</v>
      </c>
      <c r="G4281" s="126" t="s">
        <v>11386</v>
      </c>
      <c r="H4281" s="255">
        <v>6</v>
      </c>
      <c r="I4281" s="361">
        <v>1</v>
      </c>
      <c r="J4281" s="371" t="s">
        <v>286</v>
      </c>
      <c r="K4281" s="377"/>
      <c r="L4281" s="129"/>
      <c r="M4281" s="378"/>
      <c r="N4281" s="129"/>
      <c r="O4281" s="129"/>
      <c r="P4281" s="379"/>
      <c r="Q4281" s="129"/>
      <c r="R4281" s="380"/>
      <c r="S4281" s="129"/>
      <c r="T4281" s="129"/>
      <c r="W4281" s="129" t="s">
        <v>286</v>
      </c>
      <c r="X4281" s="337" t="b">
        <f t="shared" si="101"/>
        <v>1</v>
      </c>
    </row>
    <row r="4282" spans="1:24" ht="12" customHeight="1" outlineLevel="1">
      <c r="A4282" s="370"/>
      <c r="B4282" s="118" t="s">
        <v>12</v>
      </c>
      <c r="C4282" s="334" t="s">
        <v>12332</v>
      </c>
      <c r="D4282" s="124" t="s">
        <v>11512</v>
      </c>
      <c r="E4282" s="125"/>
      <c r="F4282" s="118" t="s">
        <v>828</v>
      </c>
      <c r="G4282" s="126" t="s">
        <v>11386</v>
      </c>
      <c r="H4282" s="255">
        <v>6</v>
      </c>
      <c r="I4282" s="361">
        <v>1</v>
      </c>
      <c r="J4282" s="371" t="s">
        <v>286</v>
      </c>
      <c r="K4282" s="377"/>
      <c r="L4282" s="129"/>
      <c r="M4282" s="378"/>
      <c r="N4282" s="129"/>
      <c r="O4282" s="129"/>
      <c r="P4282" s="379"/>
      <c r="Q4282" s="129"/>
      <c r="R4282" s="380"/>
      <c r="S4282" s="129"/>
      <c r="T4282" s="129"/>
      <c r="W4282" s="129" t="s">
        <v>286</v>
      </c>
      <c r="X4282" s="337" t="b">
        <f t="shared" si="101"/>
        <v>1</v>
      </c>
    </row>
    <row r="4283" spans="1:24" ht="12" customHeight="1" outlineLevel="1">
      <c r="A4283" s="370"/>
      <c r="B4283" s="118" t="s">
        <v>12</v>
      </c>
      <c r="C4283" s="334" t="s">
        <v>12333</v>
      </c>
      <c r="D4283" s="124" t="s">
        <v>11578</v>
      </c>
      <c r="E4283" s="125"/>
      <c r="F4283" s="118" t="s">
        <v>828</v>
      </c>
      <c r="G4283" s="126" t="s">
        <v>11386</v>
      </c>
      <c r="H4283" s="255">
        <v>6</v>
      </c>
      <c r="I4283" s="361">
        <v>1</v>
      </c>
      <c r="J4283" s="371" t="s">
        <v>286</v>
      </c>
      <c r="K4283" s="377"/>
      <c r="L4283" s="129"/>
      <c r="M4283" s="378"/>
      <c r="N4283" s="129"/>
      <c r="O4283" s="129"/>
      <c r="P4283" s="379"/>
      <c r="Q4283" s="129"/>
      <c r="R4283" s="380"/>
      <c r="S4283" s="129"/>
      <c r="T4283" s="129"/>
      <c r="W4283" s="129" t="s">
        <v>286</v>
      </c>
      <c r="X4283" s="337" t="b">
        <f t="shared" si="101"/>
        <v>1</v>
      </c>
    </row>
    <row r="4284" spans="1:24" ht="12" customHeight="1" outlineLevel="1">
      <c r="A4284" s="370"/>
      <c r="B4284" s="118" t="s">
        <v>12</v>
      </c>
      <c r="C4284" s="334" t="s">
        <v>12334</v>
      </c>
      <c r="D4284" s="124" t="s">
        <v>11580</v>
      </c>
      <c r="E4284" s="125"/>
      <c r="F4284" s="118" t="s">
        <v>828</v>
      </c>
      <c r="G4284" s="126" t="s">
        <v>11386</v>
      </c>
      <c r="H4284" s="255">
        <v>6</v>
      </c>
      <c r="I4284" s="361">
        <v>1</v>
      </c>
      <c r="J4284" s="371" t="s">
        <v>286</v>
      </c>
      <c r="K4284" s="377"/>
      <c r="L4284" s="129"/>
      <c r="M4284" s="378"/>
      <c r="N4284" s="129"/>
      <c r="O4284" s="129"/>
      <c r="P4284" s="379"/>
      <c r="Q4284" s="129"/>
      <c r="R4284" s="380"/>
      <c r="S4284" s="129"/>
      <c r="T4284" s="129"/>
      <c r="W4284" s="129" t="s">
        <v>286</v>
      </c>
      <c r="X4284" s="337" t="b">
        <f t="shared" si="101"/>
        <v>1</v>
      </c>
    </row>
    <row r="4285" spans="1:24" ht="12" customHeight="1" outlineLevel="1">
      <c r="A4285" s="370"/>
      <c r="B4285" s="118" t="s">
        <v>12</v>
      </c>
      <c r="C4285" s="334" t="s">
        <v>12335</v>
      </c>
      <c r="D4285" s="124" t="s">
        <v>11582</v>
      </c>
      <c r="E4285" s="125"/>
      <c r="F4285" s="118" t="s">
        <v>828</v>
      </c>
      <c r="G4285" s="126" t="s">
        <v>11386</v>
      </c>
      <c r="H4285" s="255">
        <v>6</v>
      </c>
      <c r="I4285" s="361">
        <v>1</v>
      </c>
      <c r="J4285" s="371" t="s">
        <v>310</v>
      </c>
      <c r="K4285" s="377"/>
      <c r="L4285" s="129"/>
      <c r="M4285" s="378"/>
      <c r="N4285" s="129"/>
      <c r="O4285" s="129"/>
      <c r="P4285" s="379"/>
      <c r="Q4285" s="129"/>
      <c r="R4285" s="380"/>
      <c r="S4285" s="129"/>
      <c r="T4285" s="129"/>
      <c r="W4285" s="129" t="s">
        <v>286</v>
      </c>
      <c r="X4285" s="337" t="b">
        <f t="shared" si="101"/>
        <v>0</v>
      </c>
    </row>
    <row r="4286" spans="1:24" ht="12" customHeight="1" outlineLevel="1">
      <c r="A4286" s="370"/>
      <c r="B4286" s="118" t="s">
        <v>12</v>
      </c>
      <c r="C4286" s="334" t="s">
        <v>12336</v>
      </c>
      <c r="D4286" s="124" t="s">
        <v>11584</v>
      </c>
      <c r="E4286" s="125"/>
      <c r="F4286" s="118" t="s">
        <v>828</v>
      </c>
      <c r="G4286" s="126" t="s">
        <v>11386</v>
      </c>
      <c r="H4286" s="255">
        <v>6</v>
      </c>
      <c r="I4286" s="361">
        <v>1</v>
      </c>
      <c r="J4286" s="371" t="s">
        <v>286</v>
      </c>
      <c r="K4286" s="377"/>
      <c r="L4286" s="129"/>
      <c r="M4286" s="378"/>
      <c r="N4286" s="129"/>
      <c r="O4286" s="129"/>
      <c r="P4286" s="379"/>
      <c r="Q4286" s="129"/>
      <c r="R4286" s="380"/>
      <c r="S4286" s="129"/>
      <c r="T4286" s="129"/>
      <c r="W4286" s="129" t="s">
        <v>286</v>
      </c>
      <c r="X4286" s="337" t="b">
        <f t="shared" si="101"/>
        <v>1</v>
      </c>
    </row>
    <row r="4287" spans="1:24" ht="12" customHeight="1" outlineLevel="1">
      <c r="A4287" s="370"/>
      <c r="B4287" s="118" t="s">
        <v>12</v>
      </c>
      <c r="C4287" s="334" t="s">
        <v>12337</v>
      </c>
      <c r="D4287" s="124" t="s">
        <v>11586</v>
      </c>
      <c r="E4287" s="125"/>
      <c r="F4287" s="118" t="s">
        <v>828</v>
      </c>
      <c r="G4287" s="126" t="s">
        <v>11386</v>
      </c>
      <c r="H4287" s="255">
        <v>6</v>
      </c>
      <c r="I4287" s="361">
        <v>1</v>
      </c>
      <c r="J4287" s="371" t="s">
        <v>310</v>
      </c>
      <c r="K4287" s="377"/>
      <c r="L4287" s="129"/>
      <c r="M4287" s="378"/>
      <c r="N4287" s="129"/>
      <c r="O4287" s="129"/>
      <c r="P4287" s="379"/>
      <c r="Q4287" s="129"/>
      <c r="R4287" s="380"/>
      <c r="S4287" s="129"/>
      <c r="T4287" s="129"/>
      <c r="W4287" s="129" t="s">
        <v>286</v>
      </c>
      <c r="X4287" s="337" t="b">
        <f t="shared" si="101"/>
        <v>0</v>
      </c>
    </row>
    <row r="4288" spans="1:24" ht="12" customHeight="1" outlineLevel="1">
      <c r="A4288" s="370"/>
      <c r="B4288" s="118" t="s">
        <v>12</v>
      </c>
      <c r="C4288" s="334" t="s">
        <v>12338</v>
      </c>
      <c r="D4288" s="124" t="s">
        <v>11588</v>
      </c>
      <c r="E4288" s="125"/>
      <c r="F4288" s="118" t="s">
        <v>828</v>
      </c>
      <c r="G4288" s="126" t="s">
        <v>11386</v>
      </c>
      <c r="H4288" s="255">
        <v>6</v>
      </c>
      <c r="I4288" s="361">
        <v>1</v>
      </c>
      <c r="J4288" s="371" t="s">
        <v>310</v>
      </c>
      <c r="K4288" s="377"/>
      <c r="L4288" s="129"/>
      <c r="M4288" s="378"/>
      <c r="N4288" s="129"/>
      <c r="O4288" s="129"/>
      <c r="P4288" s="379"/>
      <c r="Q4288" s="129"/>
      <c r="R4288" s="380"/>
      <c r="S4288" s="129"/>
      <c r="T4288" s="129"/>
      <c r="W4288" s="129" t="s">
        <v>286</v>
      </c>
      <c r="X4288" s="337" t="b">
        <f t="shared" si="101"/>
        <v>0</v>
      </c>
    </row>
    <row r="4289" spans="1:24" ht="12" customHeight="1" outlineLevel="1">
      <c r="A4289" s="370"/>
      <c r="B4289" s="118" t="s">
        <v>12</v>
      </c>
      <c r="C4289" s="334" t="s">
        <v>12339</v>
      </c>
      <c r="D4289" s="124" t="s">
        <v>11590</v>
      </c>
      <c r="E4289" s="125"/>
      <c r="F4289" s="118" t="s">
        <v>828</v>
      </c>
      <c r="G4289" s="126" t="s">
        <v>11386</v>
      </c>
      <c r="H4289" s="255">
        <v>6</v>
      </c>
      <c r="I4289" s="361">
        <v>1</v>
      </c>
      <c r="J4289" s="371" t="s">
        <v>310</v>
      </c>
      <c r="K4289" s="377"/>
      <c r="L4289" s="129"/>
      <c r="M4289" s="378"/>
      <c r="N4289" s="129"/>
      <c r="O4289" s="129"/>
      <c r="P4289" s="379"/>
      <c r="Q4289" s="129"/>
      <c r="R4289" s="380"/>
      <c r="S4289" s="129"/>
      <c r="T4289" s="129"/>
      <c r="W4289" s="129" t="s">
        <v>286</v>
      </c>
      <c r="X4289" s="337" t="b">
        <f t="shared" si="101"/>
        <v>0</v>
      </c>
    </row>
    <row r="4290" spans="1:24" ht="12" customHeight="1" outlineLevel="1">
      <c r="A4290" s="370"/>
      <c r="B4290" s="118" t="s">
        <v>12</v>
      </c>
      <c r="C4290" s="334" t="s">
        <v>12340</v>
      </c>
      <c r="D4290" s="124" t="s">
        <v>11592</v>
      </c>
      <c r="E4290" s="125"/>
      <c r="F4290" s="118" t="s">
        <v>828</v>
      </c>
      <c r="G4290" s="126" t="s">
        <v>11386</v>
      </c>
      <c r="H4290" s="255">
        <v>6</v>
      </c>
      <c r="I4290" s="361">
        <v>1</v>
      </c>
      <c r="J4290" s="371" t="s">
        <v>310</v>
      </c>
      <c r="K4290" s="377"/>
      <c r="L4290" s="129"/>
      <c r="M4290" s="378"/>
      <c r="N4290" s="129"/>
      <c r="O4290" s="129"/>
      <c r="P4290" s="379"/>
      <c r="Q4290" s="129"/>
      <c r="R4290" s="380"/>
      <c r="S4290" s="129"/>
      <c r="T4290" s="129"/>
      <c r="W4290" s="129" t="s">
        <v>286</v>
      </c>
      <c r="X4290" s="337" t="b">
        <f t="shared" si="101"/>
        <v>0</v>
      </c>
    </row>
    <row r="4291" spans="1:24" ht="12" customHeight="1" outlineLevel="1">
      <c r="A4291" s="370"/>
      <c r="B4291" s="118" t="s">
        <v>12</v>
      </c>
      <c r="C4291" s="334" t="s">
        <v>12341</v>
      </c>
      <c r="D4291" s="124" t="s">
        <v>11594</v>
      </c>
      <c r="E4291" s="125"/>
      <c r="F4291" s="118" t="s">
        <v>828</v>
      </c>
      <c r="G4291" s="126" t="s">
        <v>11386</v>
      </c>
      <c r="H4291" s="255">
        <v>6</v>
      </c>
      <c r="I4291" s="361">
        <v>1</v>
      </c>
      <c r="J4291" s="371" t="s">
        <v>286</v>
      </c>
      <c r="K4291" s="377"/>
      <c r="L4291" s="129"/>
      <c r="M4291" s="378"/>
      <c r="N4291" s="129"/>
      <c r="O4291" s="129"/>
      <c r="P4291" s="379"/>
      <c r="Q4291" s="129"/>
      <c r="R4291" s="380"/>
      <c r="S4291" s="129"/>
      <c r="T4291" s="129"/>
      <c r="W4291" s="129" t="s">
        <v>286</v>
      </c>
      <c r="X4291" s="337" t="b">
        <f t="shared" si="101"/>
        <v>1</v>
      </c>
    </row>
    <row r="4292" spans="1:24" ht="12" customHeight="1" outlineLevel="1">
      <c r="A4292" s="370"/>
      <c r="B4292" s="118" t="s">
        <v>12</v>
      </c>
      <c r="C4292" s="334" t="s">
        <v>12342</v>
      </c>
      <c r="D4292" s="124" t="s">
        <v>11596</v>
      </c>
      <c r="E4292" s="125"/>
      <c r="F4292" s="118" t="s">
        <v>828</v>
      </c>
      <c r="G4292" s="126" t="s">
        <v>11386</v>
      </c>
      <c r="H4292" s="255">
        <v>6</v>
      </c>
      <c r="I4292" s="361">
        <v>1</v>
      </c>
      <c r="J4292" s="371" t="s">
        <v>286</v>
      </c>
      <c r="K4292" s="377"/>
      <c r="L4292" s="129"/>
      <c r="M4292" s="378"/>
      <c r="N4292" s="129"/>
      <c r="O4292" s="129"/>
      <c r="P4292" s="379"/>
      <c r="Q4292" s="129"/>
      <c r="R4292" s="380"/>
      <c r="S4292" s="129"/>
      <c r="T4292" s="129"/>
      <c r="W4292" s="129" t="s">
        <v>286</v>
      </c>
      <c r="X4292" s="337" t="b">
        <f t="shared" si="101"/>
        <v>1</v>
      </c>
    </row>
    <row r="4293" spans="1:24" ht="12" customHeight="1" outlineLevel="1">
      <c r="A4293" s="370"/>
      <c r="B4293" s="118" t="s">
        <v>12</v>
      </c>
      <c r="C4293" s="334" t="s">
        <v>12343</v>
      </c>
      <c r="D4293" s="124" t="s">
        <v>11598</v>
      </c>
      <c r="E4293" s="125"/>
      <c r="F4293" s="118" t="s">
        <v>828</v>
      </c>
      <c r="G4293" s="126" t="s">
        <v>11386</v>
      </c>
      <c r="H4293" s="255">
        <v>6</v>
      </c>
      <c r="I4293" s="361">
        <v>1</v>
      </c>
      <c r="J4293" s="371" t="s">
        <v>286</v>
      </c>
      <c r="K4293" s="377"/>
      <c r="L4293" s="129"/>
      <c r="M4293" s="378"/>
      <c r="N4293" s="129"/>
      <c r="O4293" s="129"/>
      <c r="P4293" s="379"/>
      <c r="Q4293" s="129"/>
      <c r="R4293" s="380"/>
      <c r="S4293" s="129"/>
      <c r="T4293" s="129"/>
      <c r="W4293" s="129" t="s">
        <v>286</v>
      </c>
      <c r="X4293" s="337" t="b">
        <f t="shared" si="101"/>
        <v>1</v>
      </c>
    </row>
    <row r="4294" spans="1:24" ht="12" customHeight="1" outlineLevel="1">
      <c r="A4294" s="370"/>
      <c r="B4294" s="118" t="s">
        <v>12</v>
      </c>
      <c r="C4294" s="334" t="s">
        <v>12344</v>
      </c>
      <c r="D4294" s="124" t="s">
        <v>11600</v>
      </c>
      <c r="E4294" s="125"/>
      <c r="F4294" s="118" t="s">
        <v>828</v>
      </c>
      <c r="G4294" s="126" t="s">
        <v>11386</v>
      </c>
      <c r="H4294" s="255">
        <v>6</v>
      </c>
      <c r="I4294" s="361">
        <v>1</v>
      </c>
      <c r="J4294" s="371" t="s">
        <v>286</v>
      </c>
      <c r="K4294" s="377"/>
      <c r="L4294" s="129"/>
      <c r="M4294" s="378"/>
      <c r="N4294" s="129"/>
      <c r="O4294" s="129"/>
      <c r="P4294" s="379"/>
      <c r="Q4294" s="129"/>
      <c r="R4294" s="380"/>
      <c r="S4294" s="129"/>
      <c r="T4294" s="129"/>
      <c r="W4294" s="129" t="s">
        <v>286</v>
      </c>
      <c r="X4294" s="337" t="b">
        <f t="shared" si="101"/>
        <v>1</v>
      </c>
    </row>
    <row r="4295" spans="1:24" ht="12" customHeight="1" outlineLevel="1">
      <c r="A4295" s="370"/>
      <c r="B4295" s="118" t="s">
        <v>12</v>
      </c>
      <c r="C4295" s="334" t="s">
        <v>12345</v>
      </c>
      <c r="D4295" s="124" t="s">
        <v>11602</v>
      </c>
      <c r="E4295" s="125"/>
      <c r="F4295" s="118" t="s">
        <v>828</v>
      </c>
      <c r="G4295" s="126" t="s">
        <v>11386</v>
      </c>
      <c r="H4295" s="255">
        <v>6</v>
      </c>
      <c r="I4295" s="361">
        <v>1</v>
      </c>
      <c r="J4295" s="371" t="s">
        <v>310</v>
      </c>
      <c r="K4295" s="377"/>
      <c r="L4295" s="129"/>
      <c r="M4295" s="378"/>
      <c r="N4295" s="129"/>
      <c r="O4295" s="129"/>
      <c r="P4295" s="379"/>
      <c r="Q4295" s="129"/>
      <c r="R4295" s="380"/>
      <c r="S4295" s="129"/>
      <c r="T4295" s="129"/>
      <c r="W4295" s="129" t="s">
        <v>286</v>
      </c>
      <c r="X4295" s="337" t="b">
        <f t="shared" si="101"/>
        <v>0</v>
      </c>
    </row>
    <row r="4296" spans="1:24" ht="12" customHeight="1" outlineLevel="1">
      <c r="A4296" s="370"/>
      <c r="B4296" s="118" t="s">
        <v>12</v>
      </c>
      <c r="C4296" s="334" t="s">
        <v>12346</v>
      </c>
      <c r="D4296" s="124" t="s">
        <v>11604</v>
      </c>
      <c r="E4296" s="125"/>
      <c r="F4296" s="118" t="s">
        <v>828</v>
      </c>
      <c r="G4296" s="126" t="s">
        <v>11386</v>
      </c>
      <c r="H4296" s="255">
        <v>6</v>
      </c>
      <c r="I4296" s="361">
        <v>1</v>
      </c>
      <c r="J4296" s="371" t="s">
        <v>310</v>
      </c>
      <c r="K4296" s="377"/>
      <c r="L4296" s="129"/>
      <c r="M4296" s="378"/>
      <c r="N4296" s="129"/>
      <c r="O4296" s="129"/>
      <c r="P4296" s="379"/>
      <c r="Q4296" s="129"/>
      <c r="R4296" s="380"/>
      <c r="S4296" s="129"/>
      <c r="T4296" s="129"/>
      <c r="W4296" s="129" t="s">
        <v>286</v>
      </c>
      <c r="X4296" s="337" t="b">
        <f t="shared" si="101"/>
        <v>0</v>
      </c>
    </row>
    <row r="4297" spans="1:24" ht="12" customHeight="1" outlineLevel="1">
      <c r="A4297" s="370"/>
      <c r="B4297" s="118" t="s">
        <v>12</v>
      </c>
      <c r="C4297" s="334" t="s">
        <v>12347</v>
      </c>
      <c r="D4297" s="124" t="s">
        <v>12348</v>
      </c>
      <c r="E4297" s="125"/>
      <c r="F4297" s="118" t="s">
        <v>828</v>
      </c>
      <c r="G4297" s="126" t="s">
        <v>11386</v>
      </c>
      <c r="H4297" s="255">
        <v>6</v>
      </c>
      <c r="I4297" s="361">
        <v>1</v>
      </c>
      <c r="J4297" s="371" t="s">
        <v>286</v>
      </c>
      <c r="K4297" s="377"/>
      <c r="L4297" s="129"/>
      <c r="M4297" s="378"/>
      <c r="N4297" s="129"/>
      <c r="O4297" s="129"/>
      <c r="P4297" s="379"/>
      <c r="Q4297" s="129"/>
      <c r="R4297" s="380"/>
      <c r="S4297" s="129"/>
      <c r="T4297" s="129"/>
      <c r="W4297" s="129" t="s">
        <v>286</v>
      </c>
      <c r="X4297" s="337" t="b">
        <f t="shared" si="101"/>
        <v>1</v>
      </c>
    </row>
    <row r="4298" spans="1:24" ht="12" customHeight="1" outlineLevel="1">
      <c r="A4298" s="370"/>
      <c r="B4298" s="118" t="s">
        <v>12</v>
      </c>
      <c r="C4298" s="334" t="s">
        <v>12349</v>
      </c>
      <c r="D4298" s="124" t="s">
        <v>12350</v>
      </c>
      <c r="E4298" s="125"/>
      <c r="F4298" s="118" t="s">
        <v>828</v>
      </c>
      <c r="G4298" s="126" t="s">
        <v>11386</v>
      </c>
      <c r="H4298" s="255">
        <v>6</v>
      </c>
      <c r="I4298" s="361">
        <v>1</v>
      </c>
      <c r="J4298" s="371" t="s">
        <v>286</v>
      </c>
      <c r="K4298" s="377"/>
      <c r="L4298" s="129"/>
      <c r="M4298" s="378"/>
      <c r="N4298" s="129"/>
      <c r="O4298" s="129"/>
      <c r="P4298" s="379"/>
      <c r="Q4298" s="129"/>
      <c r="R4298" s="380"/>
      <c r="S4298" s="129"/>
      <c r="T4298" s="129"/>
      <c r="W4298" s="129" t="s">
        <v>286</v>
      </c>
      <c r="X4298" s="337" t="b">
        <f t="shared" si="101"/>
        <v>1</v>
      </c>
    </row>
    <row r="4299" spans="1:24" ht="12" customHeight="1" outlineLevel="1">
      <c r="A4299" s="370"/>
      <c r="B4299" s="118" t="s">
        <v>12</v>
      </c>
      <c r="C4299" s="334" t="s">
        <v>12351</v>
      </c>
      <c r="D4299" s="124" t="s">
        <v>12352</v>
      </c>
      <c r="E4299" s="125"/>
      <c r="F4299" s="118" t="s">
        <v>828</v>
      </c>
      <c r="G4299" s="126" t="s">
        <v>11386</v>
      </c>
      <c r="H4299" s="255">
        <v>6</v>
      </c>
      <c r="I4299" s="361">
        <v>1</v>
      </c>
      <c r="J4299" s="371" t="s">
        <v>286</v>
      </c>
      <c r="K4299" s="377"/>
      <c r="L4299" s="129"/>
      <c r="M4299" s="378"/>
      <c r="N4299" s="129"/>
      <c r="O4299" s="129"/>
      <c r="P4299" s="379"/>
      <c r="Q4299" s="129"/>
      <c r="R4299" s="380"/>
      <c r="S4299" s="129"/>
      <c r="T4299" s="129"/>
      <c r="W4299" s="129" t="s">
        <v>286</v>
      </c>
      <c r="X4299" s="337" t="b">
        <f t="shared" si="101"/>
        <v>1</v>
      </c>
    </row>
    <row r="4300" spans="1:24" ht="12" customHeight="1" outlineLevel="1">
      <c r="A4300" s="370"/>
      <c r="B4300" s="118" t="s">
        <v>12</v>
      </c>
      <c r="C4300" s="334" t="s">
        <v>12353</v>
      </c>
      <c r="D4300" s="124" t="s">
        <v>12354</v>
      </c>
      <c r="E4300" s="125"/>
      <c r="F4300" s="118" t="s">
        <v>828</v>
      </c>
      <c r="G4300" s="126" t="s">
        <v>11386</v>
      </c>
      <c r="H4300" s="255">
        <v>6</v>
      </c>
      <c r="I4300" s="361">
        <v>1</v>
      </c>
      <c r="J4300" s="371" t="s">
        <v>286</v>
      </c>
      <c r="K4300" s="377"/>
      <c r="L4300" s="129"/>
      <c r="M4300" s="378"/>
      <c r="N4300" s="129"/>
      <c r="O4300" s="129"/>
      <c r="P4300" s="379"/>
      <c r="Q4300" s="129"/>
      <c r="R4300" s="380"/>
      <c r="S4300" s="129"/>
      <c r="T4300" s="129"/>
      <c r="W4300" s="129" t="s">
        <v>286</v>
      </c>
      <c r="X4300" s="337" t="b">
        <f t="shared" si="101"/>
        <v>1</v>
      </c>
    </row>
    <row r="4301" spans="1:24" ht="12" customHeight="1" outlineLevel="1">
      <c r="A4301" s="370"/>
      <c r="B4301" s="118" t="s">
        <v>12</v>
      </c>
      <c r="C4301" s="334" t="s">
        <v>12355</v>
      </c>
      <c r="D4301" s="124" t="s">
        <v>12356</v>
      </c>
      <c r="E4301" s="125"/>
      <c r="F4301" s="118" t="s">
        <v>828</v>
      </c>
      <c r="G4301" s="126" t="s">
        <v>11386</v>
      </c>
      <c r="H4301" s="255">
        <v>6</v>
      </c>
      <c r="I4301" s="361">
        <v>1</v>
      </c>
      <c r="J4301" s="371" t="s">
        <v>286</v>
      </c>
      <c r="K4301" s="377"/>
      <c r="L4301" s="129"/>
      <c r="M4301" s="378"/>
      <c r="N4301" s="129"/>
      <c r="O4301" s="129"/>
      <c r="P4301" s="379"/>
      <c r="Q4301" s="129"/>
      <c r="R4301" s="380"/>
      <c r="S4301" s="129"/>
      <c r="T4301" s="129"/>
      <c r="W4301" s="129" t="s">
        <v>286</v>
      </c>
      <c r="X4301" s="337" t="b">
        <f t="shared" si="101"/>
        <v>1</v>
      </c>
    </row>
    <row r="4302" spans="1:24" ht="12" customHeight="1" outlineLevel="1">
      <c r="A4302" s="370"/>
      <c r="B4302" s="118" t="s">
        <v>12</v>
      </c>
      <c r="C4302" s="334" t="s">
        <v>12357</v>
      </c>
      <c r="D4302" s="124" t="s">
        <v>11606</v>
      </c>
      <c r="E4302" s="125"/>
      <c r="F4302" s="118" t="s">
        <v>828</v>
      </c>
      <c r="G4302" s="126" t="s">
        <v>11386</v>
      </c>
      <c r="H4302" s="255">
        <v>6</v>
      </c>
      <c r="I4302" s="361">
        <v>1</v>
      </c>
      <c r="J4302" s="371" t="s">
        <v>286</v>
      </c>
      <c r="K4302" s="377"/>
      <c r="L4302" s="129"/>
      <c r="M4302" s="378"/>
      <c r="N4302" s="129"/>
      <c r="O4302" s="129"/>
      <c r="P4302" s="379"/>
      <c r="Q4302" s="129"/>
      <c r="R4302" s="380"/>
      <c r="S4302" s="129"/>
      <c r="T4302" s="129"/>
      <c r="W4302" s="129" t="s">
        <v>286</v>
      </c>
      <c r="X4302" s="337" t="b">
        <f t="shared" si="101"/>
        <v>1</v>
      </c>
    </row>
    <row r="4303" spans="1:24" ht="12" customHeight="1" outlineLevel="1">
      <c r="A4303" s="370"/>
      <c r="B4303" s="118" t="s">
        <v>12</v>
      </c>
      <c r="C4303" s="334" t="s">
        <v>12358</v>
      </c>
      <c r="D4303" s="124" t="s">
        <v>11608</v>
      </c>
      <c r="E4303" s="125"/>
      <c r="F4303" s="118" t="s">
        <v>828</v>
      </c>
      <c r="G4303" s="126" t="s">
        <v>11386</v>
      </c>
      <c r="H4303" s="255">
        <v>6</v>
      </c>
      <c r="I4303" s="361">
        <v>1</v>
      </c>
      <c r="J4303" s="371" t="s">
        <v>286</v>
      </c>
      <c r="K4303" s="377"/>
      <c r="L4303" s="129"/>
      <c r="M4303" s="378"/>
      <c r="N4303" s="129"/>
      <c r="O4303" s="129"/>
      <c r="P4303" s="379"/>
      <c r="Q4303" s="129"/>
      <c r="R4303" s="380"/>
      <c r="S4303" s="129"/>
      <c r="T4303" s="129"/>
      <c r="W4303" s="129" t="s">
        <v>286</v>
      </c>
      <c r="X4303" s="337" t="b">
        <f t="shared" si="101"/>
        <v>1</v>
      </c>
    </row>
    <row r="4304" spans="1:24" ht="12" customHeight="1" outlineLevel="1">
      <c r="A4304" s="370"/>
      <c r="B4304" s="118" t="s">
        <v>12</v>
      </c>
      <c r="C4304" s="334" t="s">
        <v>12359</v>
      </c>
      <c r="D4304" s="124" t="s">
        <v>11610</v>
      </c>
      <c r="E4304" s="125"/>
      <c r="F4304" s="118" t="s">
        <v>828</v>
      </c>
      <c r="G4304" s="126" t="s">
        <v>11386</v>
      </c>
      <c r="H4304" s="255">
        <v>6</v>
      </c>
      <c r="I4304" s="361">
        <v>1</v>
      </c>
      <c r="J4304" s="371" t="s">
        <v>286</v>
      </c>
      <c r="K4304" s="377"/>
      <c r="L4304" s="129"/>
      <c r="M4304" s="378"/>
      <c r="N4304" s="129"/>
      <c r="O4304" s="129"/>
      <c r="P4304" s="379"/>
      <c r="Q4304" s="129"/>
      <c r="R4304" s="380"/>
      <c r="S4304" s="129"/>
      <c r="T4304" s="129"/>
      <c r="W4304" s="129" t="s">
        <v>286</v>
      </c>
      <c r="X4304" s="337" t="b">
        <f t="shared" si="101"/>
        <v>1</v>
      </c>
    </row>
    <row r="4305" spans="1:24" ht="12" customHeight="1" outlineLevel="1">
      <c r="A4305" s="370"/>
      <c r="B4305" s="118" t="s">
        <v>12</v>
      </c>
      <c r="C4305" s="334" t="s">
        <v>12360</v>
      </c>
      <c r="D4305" s="124" t="s">
        <v>11612</v>
      </c>
      <c r="E4305" s="125"/>
      <c r="F4305" s="118" t="s">
        <v>828</v>
      </c>
      <c r="G4305" s="126" t="s">
        <v>11386</v>
      </c>
      <c r="H4305" s="255">
        <v>6</v>
      </c>
      <c r="I4305" s="361">
        <v>1</v>
      </c>
      <c r="J4305" s="371" t="s">
        <v>286</v>
      </c>
      <c r="K4305" s="377"/>
      <c r="L4305" s="129"/>
      <c r="M4305" s="378"/>
      <c r="N4305" s="129"/>
      <c r="O4305" s="129"/>
      <c r="P4305" s="379"/>
      <c r="Q4305" s="129"/>
      <c r="R4305" s="380"/>
      <c r="S4305" s="129"/>
      <c r="T4305" s="129"/>
      <c r="W4305" s="129" t="s">
        <v>286</v>
      </c>
      <c r="X4305" s="337" t="b">
        <f t="shared" si="101"/>
        <v>1</v>
      </c>
    </row>
    <row r="4306" spans="1:24" ht="12" customHeight="1" outlineLevel="1">
      <c r="A4306" s="370"/>
      <c r="B4306" s="118" t="s">
        <v>12</v>
      </c>
      <c r="C4306" s="334" t="s">
        <v>12361</v>
      </c>
      <c r="D4306" s="124" t="s">
        <v>11614</v>
      </c>
      <c r="E4306" s="125"/>
      <c r="F4306" s="118" t="s">
        <v>828</v>
      </c>
      <c r="G4306" s="126" t="s">
        <v>11386</v>
      </c>
      <c r="H4306" s="255">
        <v>6</v>
      </c>
      <c r="I4306" s="361">
        <v>1</v>
      </c>
      <c r="J4306" s="371" t="s">
        <v>286</v>
      </c>
      <c r="K4306" s="377"/>
      <c r="L4306" s="129"/>
      <c r="M4306" s="378"/>
      <c r="N4306" s="129"/>
      <c r="O4306" s="129"/>
      <c r="P4306" s="379"/>
      <c r="Q4306" s="129"/>
      <c r="R4306" s="380"/>
      <c r="S4306" s="129"/>
      <c r="T4306" s="129"/>
      <c r="W4306" s="129" t="s">
        <v>286</v>
      </c>
      <c r="X4306" s="337" t="b">
        <f t="shared" si="101"/>
        <v>1</v>
      </c>
    </row>
    <row r="4307" spans="1:24" ht="12" customHeight="1" outlineLevel="1">
      <c r="A4307" s="370"/>
      <c r="B4307" s="118" t="s">
        <v>12</v>
      </c>
      <c r="C4307" s="334" t="s">
        <v>12362</v>
      </c>
      <c r="D4307" s="124" t="s">
        <v>12044</v>
      </c>
      <c r="E4307" s="125"/>
      <c r="F4307" s="118" t="s">
        <v>828</v>
      </c>
      <c r="G4307" s="126" t="s">
        <v>11386</v>
      </c>
      <c r="H4307" s="255">
        <v>6</v>
      </c>
      <c r="I4307" s="361">
        <v>1</v>
      </c>
      <c r="J4307" s="371" t="s">
        <v>286</v>
      </c>
      <c r="K4307" s="377"/>
      <c r="L4307" s="129"/>
      <c r="M4307" s="378"/>
      <c r="N4307" s="129"/>
      <c r="O4307" s="129"/>
      <c r="P4307" s="379"/>
      <c r="Q4307" s="129"/>
      <c r="R4307" s="380"/>
      <c r="S4307" s="129"/>
      <c r="T4307" s="129"/>
      <c r="W4307" s="129" t="s">
        <v>286</v>
      </c>
      <c r="X4307" s="337" t="b">
        <f t="shared" ref="X4307:X4370" si="102">W4307=J4307</f>
        <v>1</v>
      </c>
    </row>
    <row r="4308" spans="1:24" ht="12" customHeight="1" outlineLevel="1">
      <c r="A4308" s="370"/>
      <c r="B4308" s="118" t="s">
        <v>12</v>
      </c>
      <c r="C4308" s="334" t="s">
        <v>12363</v>
      </c>
      <c r="D4308" s="124" t="s">
        <v>12046</v>
      </c>
      <c r="E4308" s="125"/>
      <c r="F4308" s="118" t="s">
        <v>828</v>
      </c>
      <c r="G4308" s="126" t="s">
        <v>11386</v>
      </c>
      <c r="H4308" s="255">
        <v>6</v>
      </c>
      <c r="I4308" s="361">
        <v>1</v>
      </c>
      <c r="J4308" s="371" t="s">
        <v>286</v>
      </c>
      <c r="K4308" s="377"/>
      <c r="L4308" s="129"/>
      <c r="M4308" s="378"/>
      <c r="N4308" s="129"/>
      <c r="O4308" s="129"/>
      <c r="P4308" s="379"/>
      <c r="Q4308" s="129"/>
      <c r="R4308" s="380"/>
      <c r="S4308" s="129"/>
      <c r="T4308" s="129"/>
      <c r="W4308" s="129" t="s">
        <v>286</v>
      </c>
      <c r="X4308" s="337" t="b">
        <f t="shared" si="102"/>
        <v>1</v>
      </c>
    </row>
    <row r="4309" spans="1:24" ht="12" customHeight="1" outlineLevel="1">
      <c r="A4309" s="370"/>
      <c r="B4309" s="118" t="s">
        <v>12</v>
      </c>
      <c r="C4309" s="334" t="s">
        <v>12364</v>
      </c>
      <c r="D4309" s="124" t="s">
        <v>12048</v>
      </c>
      <c r="E4309" s="125"/>
      <c r="F4309" s="118" t="s">
        <v>828</v>
      </c>
      <c r="G4309" s="126" t="s">
        <v>11386</v>
      </c>
      <c r="H4309" s="255">
        <v>6</v>
      </c>
      <c r="I4309" s="361">
        <v>1</v>
      </c>
      <c r="J4309" s="371" t="s">
        <v>286</v>
      </c>
      <c r="K4309" s="377"/>
      <c r="L4309" s="129"/>
      <c r="M4309" s="378"/>
      <c r="N4309" s="129"/>
      <c r="O4309" s="129"/>
      <c r="P4309" s="379"/>
      <c r="Q4309" s="129"/>
      <c r="R4309" s="380"/>
      <c r="S4309" s="129"/>
      <c r="T4309" s="129"/>
      <c r="W4309" s="129" t="s">
        <v>286</v>
      </c>
      <c r="X4309" s="337" t="b">
        <f t="shared" si="102"/>
        <v>1</v>
      </c>
    </row>
    <row r="4310" spans="1:24" ht="12" customHeight="1" outlineLevel="1">
      <c r="A4310" s="370"/>
      <c r="B4310" s="118" t="s">
        <v>12</v>
      </c>
      <c r="C4310" s="334" t="s">
        <v>12365</v>
      </c>
      <c r="D4310" s="124" t="s">
        <v>12050</v>
      </c>
      <c r="E4310" s="125"/>
      <c r="F4310" s="118" t="s">
        <v>828</v>
      </c>
      <c r="G4310" s="126" t="s">
        <v>11386</v>
      </c>
      <c r="H4310" s="255">
        <v>6</v>
      </c>
      <c r="I4310" s="361">
        <v>1</v>
      </c>
      <c r="J4310" s="371" t="s">
        <v>286</v>
      </c>
      <c r="K4310" s="377"/>
      <c r="L4310" s="129"/>
      <c r="M4310" s="378"/>
      <c r="N4310" s="129"/>
      <c r="O4310" s="129"/>
      <c r="P4310" s="379"/>
      <c r="Q4310" s="129"/>
      <c r="R4310" s="380"/>
      <c r="S4310" s="129"/>
      <c r="T4310" s="129"/>
      <c r="W4310" s="129" t="s">
        <v>286</v>
      </c>
      <c r="X4310" s="337" t="b">
        <f t="shared" si="102"/>
        <v>1</v>
      </c>
    </row>
    <row r="4311" spans="1:24" ht="12" customHeight="1" outlineLevel="1">
      <c r="A4311" s="370"/>
      <c r="B4311" s="118" t="s">
        <v>12</v>
      </c>
      <c r="C4311" s="334" t="s">
        <v>12366</v>
      </c>
      <c r="D4311" s="124" t="s">
        <v>12052</v>
      </c>
      <c r="E4311" s="125"/>
      <c r="F4311" s="118" t="s">
        <v>828</v>
      </c>
      <c r="G4311" s="126" t="s">
        <v>11386</v>
      </c>
      <c r="H4311" s="255">
        <v>6</v>
      </c>
      <c r="I4311" s="361">
        <v>1</v>
      </c>
      <c r="J4311" s="371" t="s">
        <v>286</v>
      </c>
      <c r="K4311" s="377"/>
      <c r="L4311" s="129"/>
      <c r="M4311" s="378"/>
      <c r="N4311" s="129"/>
      <c r="O4311" s="129"/>
      <c r="P4311" s="379"/>
      <c r="Q4311" s="129"/>
      <c r="R4311" s="380"/>
      <c r="S4311" s="129"/>
      <c r="T4311" s="129"/>
      <c r="W4311" s="129" t="s">
        <v>286</v>
      </c>
      <c r="X4311" s="337" t="b">
        <f t="shared" si="102"/>
        <v>1</v>
      </c>
    </row>
    <row r="4312" spans="1:24" ht="12" customHeight="1" outlineLevel="1">
      <c r="A4312" s="370"/>
      <c r="B4312" s="118" t="s">
        <v>12</v>
      </c>
      <c r="C4312" s="334" t="s">
        <v>12367</v>
      </c>
      <c r="D4312" s="124" t="s">
        <v>12054</v>
      </c>
      <c r="E4312" s="125"/>
      <c r="F4312" s="118" t="s">
        <v>828</v>
      </c>
      <c r="G4312" s="126" t="s">
        <v>11386</v>
      </c>
      <c r="H4312" s="255">
        <v>6</v>
      </c>
      <c r="I4312" s="361">
        <v>1</v>
      </c>
      <c r="J4312" s="371" t="s">
        <v>286</v>
      </c>
      <c r="K4312" s="377"/>
      <c r="L4312" s="129"/>
      <c r="M4312" s="378"/>
      <c r="N4312" s="129"/>
      <c r="O4312" s="129"/>
      <c r="P4312" s="379"/>
      <c r="Q4312" s="129"/>
      <c r="R4312" s="380"/>
      <c r="S4312" s="129"/>
      <c r="T4312" s="129"/>
      <c r="W4312" s="129" t="s">
        <v>286</v>
      </c>
      <c r="X4312" s="337" t="b">
        <f t="shared" si="102"/>
        <v>1</v>
      </c>
    </row>
    <row r="4313" spans="1:24" ht="12" customHeight="1" outlineLevel="1">
      <c r="A4313" s="370"/>
      <c r="B4313" s="118" t="s">
        <v>12</v>
      </c>
      <c r="C4313" s="334" t="s">
        <v>12368</v>
      </c>
      <c r="D4313" s="124" t="s">
        <v>12056</v>
      </c>
      <c r="E4313" s="125"/>
      <c r="F4313" s="118" t="s">
        <v>828</v>
      </c>
      <c r="G4313" s="126" t="s">
        <v>11386</v>
      </c>
      <c r="H4313" s="255">
        <v>6</v>
      </c>
      <c r="I4313" s="361">
        <v>1</v>
      </c>
      <c r="J4313" s="371" t="s">
        <v>286</v>
      </c>
      <c r="K4313" s="377"/>
      <c r="L4313" s="129"/>
      <c r="M4313" s="378"/>
      <c r="N4313" s="129"/>
      <c r="O4313" s="129"/>
      <c r="P4313" s="379"/>
      <c r="Q4313" s="129"/>
      <c r="R4313" s="380"/>
      <c r="S4313" s="129"/>
      <c r="T4313" s="129"/>
      <c r="W4313" s="129" t="s">
        <v>286</v>
      </c>
      <c r="X4313" s="337" t="b">
        <f t="shared" si="102"/>
        <v>1</v>
      </c>
    </row>
    <row r="4314" spans="1:24" ht="12" customHeight="1" outlineLevel="1">
      <c r="A4314" s="370"/>
      <c r="B4314" s="118" t="s">
        <v>12</v>
      </c>
      <c r="C4314" s="334" t="s">
        <v>12369</v>
      </c>
      <c r="D4314" s="124" t="s">
        <v>12058</v>
      </c>
      <c r="E4314" s="125"/>
      <c r="F4314" s="118" t="s">
        <v>828</v>
      </c>
      <c r="G4314" s="126" t="s">
        <v>11386</v>
      </c>
      <c r="H4314" s="255">
        <v>6</v>
      </c>
      <c r="I4314" s="361">
        <v>1</v>
      </c>
      <c r="J4314" s="371" t="s">
        <v>286</v>
      </c>
      <c r="K4314" s="377"/>
      <c r="L4314" s="129"/>
      <c r="M4314" s="378"/>
      <c r="N4314" s="129"/>
      <c r="O4314" s="129"/>
      <c r="P4314" s="379"/>
      <c r="Q4314" s="129"/>
      <c r="R4314" s="380"/>
      <c r="S4314" s="129"/>
      <c r="T4314" s="129"/>
      <c r="W4314" s="129" t="s">
        <v>286</v>
      </c>
      <c r="X4314" s="337" t="b">
        <f t="shared" si="102"/>
        <v>1</v>
      </c>
    </row>
    <row r="4315" spans="1:24" ht="12" customHeight="1" outlineLevel="1">
      <c r="A4315" s="370"/>
      <c r="B4315" s="118" t="s">
        <v>12</v>
      </c>
      <c r="C4315" s="334" t="s">
        <v>12370</v>
      </c>
      <c r="D4315" s="124" t="s">
        <v>12060</v>
      </c>
      <c r="E4315" s="125"/>
      <c r="F4315" s="118" t="s">
        <v>828</v>
      </c>
      <c r="G4315" s="126" t="s">
        <v>11386</v>
      </c>
      <c r="H4315" s="255">
        <v>6</v>
      </c>
      <c r="I4315" s="361">
        <v>1</v>
      </c>
      <c r="J4315" s="371" t="s">
        <v>286</v>
      </c>
      <c r="K4315" s="377"/>
      <c r="L4315" s="129"/>
      <c r="M4315" s="378"/>
      <c r="N4315" s="129"/>
      <c r="O4315" s="129"/>
      <c r="P4315" s="379"/>
      <c r="Q4315" s="129"/>
      <c r="R4315" s="380"/>
      <c r="S4315" s="129"/>
      <c r="T4315" s="129"/>
      <c r="W4315" s="129" t="s">
        <v>286</v>
      </c>
      <c r="X4315" s="337" t="b">
        <f t="shared" si="102"/>
        <v>1</v>
      </c>
    </row>
    <row r="4316" spans="1:24" ht="12" customHeight="1" outlineLevel="1">
      <c r="A4316" s="370"/>
      <c r="B4316" s="118" t="s">
        <v>12</v>
      </c>
      <c r="C4316" s="334" t="s">
        <v>12371</v>
      </c>
      <c r="D4316" s="124" t="s">
        <v>12062</v>
      </c>
      <c r="E4316" s="125"/>
      <c r="F4316" s="118" t="s">
        <v>828</v>
      </c>
      <c r="G4316" s="126" t="s">
        <v>11386</v>
      </c>
      <c r="H4316" s="255">
        <v>6</v>
      </c>
      <c r="I4316" s="361">
        <v>1</v>
      </c>
      <c r="J4316" s="371" t="s">
        <v>286</v>
      </c>
      <c r="K4316" s="377"/>
      <c r="L4316" s="129"/>
      <c r="M4316" s="378"/>
      <c r="N4316" s="129"/>
      <c r="O4316" s="129"/>
      <c r="P4316" s="379"/>
      <c r="Q4316" s="129"/>
      <c r="R4316" s="380"/>
      <c r="S4316" s="129"/>
      <c r="T4316" s="129"/>
      <c r="W4316" s="129" t="s">
        <v>286</v>
      </c>
      <c r="X4316" s="337" t="b">
        <f t="shared" si="102"/>
        <v>1</v>
      </c>
    </row>
    <row r="4317" spans="1:24" ht="12" customHeight="1" outlineLevel="1">
      <c r="A4317" s="370"/>
      <c r="B4317" s="118" t="s">
        <v>12</v>
      </c>
      <c r="C4317" s="334" t="s">
        <v>12372</v>
      </c>
      <c r="D4317" s="124" t="s">
        <v>12064</v>
      </c>
      <c r="E4317" s="125"/>
      <c r="F4317" s="118" t="s">
        <v>828</v>
      </c>
      <c r="G4317" s="126" t="s">
        <v>11386</v>
      </c>
      <c r="H4317" s="255">
        <v>6</v>
      </c>
      <c r="I4317" s="361">
        <v>1</v>
      </c>
      <c r="J4317" s="371" t="s">
        <v>286</v>
      </c>
      <c r="K4317" s="377"/>
      <c r="L4317" s="129"/>
      <c r="M4317" s="378"/>
      <c r="N4317" s="129"/>
      <c r="O4317" s="129"/>
      <c r="P4317" s="379"/>
      <c r="Q4317" s="129"/>
      <c r="R4317" s="380"/>
      <c r="S4317" s="129"/>
      <c r="T4317" s="129"/>
      <c r="W4317" s="129" t="s">
        <v>286</v>
      </c>
      <c r="X4317" s="337" t="b">
        <f t="shared" si="102"/>
        <v>1</v>
      </c>
    </row>
    <row r="4318" spans="1:24" ht="12" customHeight="1" outlineLevel="1">
      <c r="A4318" s="370"/>
      <c r="B4318" s="118" t="s">
        <v>12</v>
      </c>
      <c r="C4318" s="334" t="s">
        <v>12373</v>
      </c>
      <c r="D4318" s="124" t="s">
        <v>12066</v>
      </c>
      <c r="E4318" s="125"/>
      <c r="F4318" s="118" t="s">
        <v>828</v>
      </c>
      <c r="G4318" s="126" t="s">
        <v>11386</v>
      </c>
      <c r="H4318" s="255">
        <v>6</v>
      </c>
      <c r="I4318" s="361">
        <v>1</v>
      </c>
      <c r="J4318" s="371" t="s">
        <v>286</v>
      </c>
      <c r="K4318" s="377"/>
      <c r="L4318" s="129"/>
      <c r="M4318" s="378"/>
      <c r="N4318" s="129"/>
      <c r="O4318" s="129"/>
      <c r="P4318" s="379"/>
      <c r="Q4318" s="129"/>
      <c r="R4318" s="380"/>
      <c r="S4318" s="129"/>
      <c r="T4318" s="129"/>
      <c r="W4318" s="129" t="s">
        <v>286</v>
      </c>
      <c r="X4318" s="337" t="b">
        <f t="shared" si="102"/>
        <v>1</v>
      </c>
    </row>
    <row r="4319" spans="1:24" ht="12" customHeight="1" outlineLevel="1">
      <c r="A4319" s="370"/>
      <c r="B4319" s="118" t="s">
        <v>12</v>
      </c>
      <c r="C4319" s="334" t="s">
        <v>12374</v>
      </c>
      <c r="D4319" s="124" t="s">
        <v>12068</v>
      </c>
      <c r="E4319" s="125"/>
      <c r="F4319" s="118" t="s">
        <v>828</v>
      </c>
      <c r="G4319" s="126" t="s">
        <v>11386</v>
      </c>
      <c r="H4319" s="255">
        <v>6</v>
      </c>
      <c r="I4319" s="361">
        <v>1</v>
      </c>
      <c r="J4319" s="371" t="s">
        <v>286</v>
      </c>
      <c r="K4319" s="377"/>
      <c r="L4319" s="129"/>
      <c r="M4319" s="378"/>
      <c r="N4319" s="129"/>
      <c r="O4319" s="129"/>
      <c r="P4319" s="379"/>
      <c r="Q4319" s="129"/>
      <c r="R4319" s="380"/>
      <c r="S4319" s="129"/>
      <c r="T4319" s="129"/>
      <c r="W4319" s="129" t="s">
        <v>286</v>
      </c>
      <c r="X4319" s="337" t="b">
        <f t="shared" si="102"/>
        <v>1</v>
      </c>
    </row>
    <row r="4320" spans="1:24" ht="12" customHeight="1" outlineLevel="1">
      <c r="A4320" s="370"/>
      <c r="B4320" s="118" t="s">
        <v>12</v>
      </c>
      <c r="C4320" s="334" t="s">
        <v>12375</v>
      </c>
      <c r="D4320" s="124" t="s">
        <v>12070</v>
      </c>
      <c r="E4320" s="125"/>
      <c r="F4320" s="118" t="s">
        <v>828</v>
      </c>
      <c r="G4320" s="126" t="s">
        <v>11386</v>
      </c>
      <c r="H4320" s="255">
        <v>6</v>
      </c>
      <c r="I4320" s="361">
        <v>1</v>
      </c>
      <c r="J4320" s="371" t="s">
        <v>286</v>
      </c>
      <c r="K4320" s="377"/>
      <c r="L4320" s="129"/>
      <c r="M4320" s="378"/>
      <c r="N4320" s="129"/>
      <c r="O4320" s="129"/>
      <c r="P4320" s="379"/>
      <c r="Q4320" s="129"/>
      <c r="R4320" s="380"/>
      <c r="S4320" s="129"/>
      <c r="T4320" s="129"/>
      <c r="W4320" s="129" t="s">
        <v>286</v>
      </c>
      <c r="X4320" s="337" t="b">
        <f t="shared" si="102"/>
        <v>1</v>
      </c>
    </row>
    <row r="4321" spans="1:24" ht="12" customHeight="1" outlineLevel="1">
      <c r="A4321" s="370"/>
      <c r="B4321" s="118" t="s">
        <v>12</v>
      </c>
      <c r="C4321" s="334" t="s">
        <v>12376</v>
      </c>
      <c r="D4321" s="124" t="s">
        <v>12072</v>
      </c>
      <c r="E4321" s="125"/>
      <c r="F4321" s="118" t="s">
        <v>828</v>
      </c>
      <c r="G4321" s="126" t="s">
        <v>11386</v>
      </c>
      <c r="H4321" s="255">
        <v>6</v>
      </c>
      <c r="I4321" s="361">
        <v>1</v>
      </c>
      <c r="J4321" s="371" t="s">
        <v>286</v>
      </c>
      <c r="K4321" s="377"/>
      <c r="L4321" s="129"/>
      <c r="M4321" s="378"/>
      <c r="N4321" s="129"/>
      <c r="O4321" s="129"/>
      <c r="P4321" s="379"/>
      <c r="Q4321" s="129"/>
      <c r="R4321" s="380"/>
      <c r="S4321" s="129"/>
      <c r="T4321" s="129"/>
      <c r="W4321" s="129" t="s">
        <v>286</v>
      </c>
      <c r="X4321" s="337" t="b">
        <f t="shared" si="102"/>
        <v>1</v>
      </c>
    </row>
    <row r="4322" spans="1:24" ht="12" customHeight="1" outlineLevel="1">
      <c r="A4322" s="370"/>
      <c r="B4322" s="118" t="s">
        <v>12</v>
      </c>
      <c r="C4322" s="334" t="s">
        <v>12377</v>
      </c>
      <c r="D4322" s="124" t="s">
        <v>12074</v>
      </c>
      <c r="E4322" s="125"/>
      <c r="F4322" s="118" t="s">
        <v>828</v>
      </c>
      <c r="G4322" s="126" t="s">
        <v>11386</v>
      </c>
      <c r="H4322" s="255">
        <v>6</v>
      </c>
      <c r="I4322" s="361">
        <v>1</v>
      </c>
      <c r="J4322" s="371" t="s">
        <v>286</v>
      </c>
      <c r="K4322" s="377"/>
      <c r="L4322" s="129"/>
      <c r="M4322" s="378"/>
      <c r="N4322" s="129"/>
      <c r="O4322" s="129"/>
      <c r="P4322" s="379"/>
      <c r="Q4322" s="129"/>
      <c r="R4322" s="380"/>
      <c r="S4322" s="129"/>
      <c r="T4322" s="129"/>
      <c r="W4322" s="129" t="s">
        <v>286</v>
      </c>
      <c r="X4322" s="337" t="b">
        <f t="shared" si="102"/>
        <v>1</v>
      </c>
    </row>
    <row r="4323" spans="1:24" ht="12" customHeight="1" outlineLevel="1">
      <c r="A4323" s="370"/>
      <c r="B4323" s="118" t="s">
        <v>12</v>
      </c>
      <c r="C4323" s="334" t="s">
        <v>12378</v>
      </c>
      <c r="D4323" s="124" t="s">
        <v>12076</v>
      </c>
      <c r="E4323" s="125"/>
      <c r="F4323" s="118" t="s">
        <v>828</v>
      </c>
      <c r="G4323" s="126" t="s">
        <v>11386</v>
      </c>
      <c r="H4323" s="255">
        <v>6</v>
      </c>
      <c r="I4323" s="361">
        <v>1</v>
      </c>
      <c r="J4323" s="371" t="s">
        <v>286</v>
      </c>
      <c r="K4323" s="377"/>
      <c r="L4323" s="129"/>
      <c r="M4323" s="378"/>
      <c r="N4323" s="129"/>
      <c r="O4323" s="129"/>
      <c r="P4323" s="379"/>
      <c r="Q4323" s="129"/>
      <c r="R4323" s="380"/>
      <c r="S4323" s="129"/>
      <c r="T4323" s="129"/>
      <c r="W4323" s="129" t="s">
        <v>286</v>
      </c>
      <c r="X4323" s="337" t="b">
        <f t="shared" si="102"/>
        <v>1</v>
      </c>
    </row>
    <row r="4324" spans="1:24" ht="12" customHeight="1" outlineLevel="1">
      <c r="A4324" s="370"/>
      <c r="B4324" s="118" t="s">
        <v>12</v>
      </c>
      <c r="C4324" s="334" t="s">
        <v>12379</v>
      </c>
      <c r="D4324" s="124" t="s">
        <v>12078</v>
      </c>
      <c r="E4324" s="125"/>
      <c r="F4324" s="118" t="s">
        <v>828</v>
      </c>
      <c r="G4324" s="126" t="s">
        <v>11386</v>
      </c>
      <c r="H4324" s="255">
        <v>6</v>
      </c>
      <c r="I4324" s="361">
        <v>1</v>
      </c>
      <c r="J4324" s="371" t="s">
        <v>286</v>
      </c>
      <c r="K4324" s="377"/>
      <c r="L4324" s="129"/>
      <c r="M4324" s="378"/>
      <c r="N4324" s="129"/>
      <c r="O4324" s="129"/>
      <c r="P4324" s="379"/>
      <c r="Q4324" s="129"/>
      <c r="R4324" s="380"/>
      <c r="S4324" s="129"/>
      <c r="T4324" s="129"/>
      <c r="W4324" s="129" t="s">
        <v>286</v>
      </c>
      <c r="X4324" s="337" t="b">
        <f t="shared" si="102"/>
        <v>1</v>
      </c>
    </row>
    <row r="4325" spans="1:24" ht="12" customHeight="1" outlineLevel="1">
      <c r="A4325" s="370"/>
      <c r="B4325" s="118" t="s">
        <v>12</v>
      </c>
      <c r="C4325" s="334" t="s">
        <v>12380</v>
      </c>
      <c r="D4325" s="124" t="s">
        <v>12080</v>
      </c>
      <c r="E4325" s="125"/>
      <c r="F4325" s="118" t="s">
        <v>828</v>
      </c>
      <c r="G4325" s="126" t="s">
        <v>11386</v>
      </c>
      <c r="H4325" s="255">
        <v>6</v>
      </c>
      <c r="I4325" s="361">
        <v>1</v>
      </c>
      <c r="J4325" s="371" t="s">
        <v>286</v>
      </c>
      <c r="K4325" s="377"/>
      <c r="L4325" s="129"/>
      <c r="M4325" s="378"/>
      <c r="N4325" s="129"/>
      <c r="O4325" s="129"/>
      <c r="P4325" s="379"/>
      <c r="Q4325" s="129"/>
      <c r="R4325" s="380"/>
      <c r="S4325" s="129"/>
      <c r="T4325" s="129"/>
      <c r="W4325" s="129" t="s">
        <v>286</v>
      </c>
      <c r="X4325" s="337" t="b">
        <f t="shared" si="102"/>
        <v>1</v>
      </c>
    </row>
    <row r="4326" spans="1:24" ht="12" customHeight="1" outlineLevel="1">
      <c r="A4326" s="370"/>
      <c r="B4326" s="118" t="s">
        <v>12</v>
      </c>
      <c r="C4326" s="334" t="s">
        <v>12381</v>
      </c>
      <c r="D4326" s="124" t="s">
        <v>12082</v>
      </c>
      <c r="E4326" s="125"/>
      <c r="F4326" s="118" t="s">
        <v>828</v>
      </c>
      <c r="G4326" s="126" t="s">
        <v>11386</v>
      </c>
      <c r="H4326" s="255">
        <v>6</v>
      </c>
      <c r="I4326" s="361">
        <v>1</v>
      </c>
      <c r="J4326" s="371" t="s">
        <v>286</v>
      </c>
      <c r="K4326" s="377"/>
      <c r="L4326" s="129"/>
      <c r="M4326" s="378"/>
      <c r="N4326" s="129"/>
      <c r="O4326" s="129"/>
      <c r="P4326" s="379"/>
      <c r="Q4326" s="129"/>
      <c r="R4326" s="380"/>
      <c r="S4326" s="129"/>
      <c r="T4326" s="129"/>
      <c r="W4326" s="129" t="s">
        <v>286</v>
      </c>
      <c r="X4326" s="337" t="b">
        <f t="shared" si="102"/>
        <v>1</v>
      </c>
    </row>
    <row r="4327" spans="1:24" ht="12" customHeight="1" outlineLevel="1">
      <c r="A4327" s="370"/>
      <c r="B4327" s="118" t="s">
        <v>12</v>
      </c>
      <c r="C4327" s="334" t="s">
        <v>12382</v>
      </c>
      <c r="D4327" s="124" t="s">
        <v>12084</v>
      </c>
      <c r="E4327" s="125"/>
      <c r="F4327" s="118" t="s">
        <v>828</v>
      </c>
      <c r="G4327" s="126" t="s">
        <v>11386</v>
      </c>
      <c r="H4327" s="255">
        <v>6</v>
      </c>
      <c r="I4327" s="361">
        <v>1</v>
      </c>
      <c r="J4327" s="371" t="s">
        <v>286</v>
      </c>
      <c r="K4327" s="377"/>
      <c r="L4327" s="129"/>
      <c r="M4327" s="378"/>
      <c r="N4327" s="129"/>
      <c r="O4327" s="129"/>
      <c r="P4327" s="379"/>
      <c r="Q4327" s="129"/>
      <c r="R4327" s="380"/>
      <c r="S4327" s="129"/>
      <c r="T4327" s="129"/>
      <c r="W4327" s="129" t="s">
        <v>286</v>
      </c>
      <c r="X4327" s="337" t="b">
        <f t="shared" si="102"/>
        <v>1</v>
      </c>
    </row>
    <row r="4328" spans="1:24" ht="12" customHeight="1" outlineLevel="1">
      <c r="A4328" s="370"/>
      <c r="B4328" s="118" t="s">
        <v>12</v>
      </c>
      <c r="C4328" s="334" t="s">
        <v>12383</v>
      </c>
      <c r="D4328" s="124" t="s">
        <v>12086</v>
      </c>
      <c r="E4328" s="125"/>
      <c r="F4328" s="118" t="s">
        <v>828</v>
      </c>
      <c r="G4328" s="126" t="s">
        <v>11386</v>
      </c>
      <c r="H4328" s="255">
        <v>6</v>
      </c>
      <c r="I4328" s="361">
        <v>1</v>
      </c>
      <c r="J4328" s="371" t="s">
        <v>286</v>
      </c>
      <c r="K4328" s="377"/>
      <c r="L4328" s="129"/>
      <c r="M4328" s="378"/>
      <c r="N4328" s="129"/>
      <c r="O4328" s="129"/>
      <c r="P4328" s="379"/>
      <c r="Q4328" s="129"/>
      <c r="R4328" s="380"/>
      <c r="S4328" s="129"/>
      <c r="T4328" s="129"/>
      <c r="W4328" s="129" t="s">
        <v>286</v>
      </c>
      <c r="X4328" s="337" t="b">
        <f t="shared" si="102"/>
        <v>1</v>
      </c>
    </row>
    <row r="4329" spans="1:24" ht="12" customHeight="1" outlineLevel="1">
      <c r="A4329" s="370"/>
      <c r="B4329" s="118" t="s">
        <v>12</v>
      </c>
      <c r="C4329" s="334" t="s">
        <v>12384</v>
      </c>
      <c r="D4329" s="124" t="s">
        <v>12088</v>
      </c>
      <c r="E4329" s="125"/>
      <c r="F4329" s="118" t="s">
        <v>828</v>
      </c>
      <c r="G4329" s="126" t="s">
        <v>11386</v>
      </c>
      <c r="H4329" s="255">
        <v>6</v>
      </c>
      <c r="I4329" s="361">
        <v>1</v>
      </c>
      <c r="J4329" s="371" t="s">
        <v>286</v>
      </c>
      <c r="K4329" s="377"/>
      <c r="L4329" s="129"/>
      <c r="M4329" s="378"/>
      <c r="N4329" s="129"/>
      <c r="O4329" s="129"/>
      <c r="P4329" s="379"/>
      <c r="Q4329" s="129"/>
      <c r="R4329" s="380"/>
      <c r="S4329" s="129"/>
      <c r="T4329" s="129"/>
      <c r="W4329" s="129" t="s">
        <v>286</v>
      </c>
      <c r="X4329" s="337" t="b">
        <f t="shared" si="102"/>
        <v>1</v>
      </c>
    </row>
    <row r="4330" spans="1:24" ht="12" customHeight="1" outlineLevel="1">
      <c r="A4330" s="370"/>
      <c r="B4330" s="118" t="s">
        <v>12</v>
      </c>
      <c r="C4330" s="334" t="s">
        <v>12385</v>
      </c>
      <c r="D4330" s="124" t="s">
        <v>12090</v>
      </c>
      <c r="E4330" s="125"/>
      <c r="F4330" s="118" t="s">
        <v>828</v>
      </c>
      <c r="G4330" s="126" t="s">
        <v>11386</v>
      </c>
      <c r="H4330" s="255">
        <v>6</v>
      </c>
      <c r="I4330" s="361">
        <v>1</v>
      </c>
      <c r="J4330" s="371" t="s">
        <v>286</v>
      </c>
      <c r="K4330" s="377"/>
      <c r="L4330" s="129"/>
      <c r="M4330" s="378"/>
      <c r="N4330" s="129"/>
      <c r="O4330" s="129"/>
      <c r="P4330" s="379"/>
      <c r="Q4330" s="129"/>
      <c r="R4330" s="380"/>
      <c r="S4330" s="129"/>
      <c r="T4330" s="129"/>
      <c r="W4330" s="129" t="s">
        <v>286</v>
      </c>
      <c r="X4330" s="337" t="b">
        <f t="shared" si="102"/>
        <v>1</v>
      </c>
    </row>
    <row r="4331" spans="1:24" ht="12" customHeight="1" outlineLevel="1">
      <c r="A4331" s="370"/>
      <c r="B4331" s="118" t="s">
        <v>12</v>
      </c>
      <c r="C4331" s="334" t="s">
        <v>12386</v>
      </c>
      <c r="D4331" s="124" t="s">
        <v>12092</v>
      </c>
      <c r="E4331" s="125"/>
      <c r="F4331" s="118" t="s">
        <v>828</v>
      </c>
      <c r="G4331" s="126" t="s">
        <v>11386</v>
      </c>
      <c r="H4331" s="255">
        <v>6</v>
      </c>
      <c r="I4331" s="361">
        <v>1</v>
      </c>
      <c r="J4331" s="371" t="s">
        <v>286</v>
      </c>
      <c r="K4331" s="377"/>
      <c r="L4331" s="129"/>
      <c r="M4331" s="378"/>
      <c r="N4331" s="129"/>
      <c r="O4331" s="129"/>
      <c r="P4331" s="379"/>
      <c r="Q4331" s="129"/>
      <c r="R4331" s="380"/>
      <c r="S4331" s="129"/>
      <c r="T4331" s="129"/>
      <c r="W4331" s="129" t="s">
        <v>286</v>
      </c>
      <c r="X4331" s="337" t="b">
        <f t="shared" si="102"/>
        <v>1</v>
      </c>
    </row>
    <row r="4332" spans="1:24" ht="12" customHeight="1" outlineLevel="1">
      <c r="A4332" s="370"/>
      <c r="B4332" s="118" t="s">
        <v>12</v>
      </c>
      <c r="C4332" s="334" t="s">
        <v>12387</v>
      </c>
      <c r="D4332" s="124" t="s">
        <v>12094</v>
      </c>
      <c r="E4332" s="125"/>
      <c r="F4332" s="118" t="s">
        <v>828</v>
      </c>
      <c r="G4332" s="126" t="s">
        <v>11386</v>
      </c>
      <c r="H4332" s="255">
        <v>6</v>
      </c>
      <c r="I4332" s="361">
        <v>1</v>
      </c>
      <c r="J4332" s="371" t="s">
        <v>286</v>
      </c>
      <c r="K4332" s="377"/>
      <c r="L4332" s="129"/>
      <c r="M4332" s="378"/>
      <c r="N4332" s="129"/>
      <c r="O4332" s="129"/>
      <c r="P4332" s="379"/>
      <c r="Q4332" s="129"/>
      <c r="R4332" s="380"/>
      <c r="S4332" s="129"/>
      <c r="T4332" s="129"/>
      <c r="W4332" s="129" t="s">
        <v>286</v>
      </c>
      <c r="X4332" s="337" t="b">
        <f t="shared" si="102"/>
        <v>1</v>
      </c>
    </row>
    <row r="4333" spans="1:24" ht="12" customHeight="1" outlineLevel="1">
      <c r="A4333" s="370"/>
      <c r="B4333" s="118" t="s">
        <v>12</v>
      </c>
      <c r="C4333" s="334" t="s">
        <v>12388</v>
      </c>
      <c r="D4333" s="124" t="s">
        <v>12096</v>
      </c>
      <c r="E4333" s="125"/>
      <c r="F4333" s="118" t="s">
        <v>828</v>
      </c>
      <c r="G4333" s="126" t="s">
        <v>11386</v>
      </c>
      <c r="H4333" s="255">
        <v>6</v>
      </c>
      <c r="I4333" s="361">
        <v>1</v>
      </c>
      <c r="J4333" s="371" t="s">
        <v>286</v>
      </c>
      <c r="K4333" s="377"/>
      <c r="L4333" s="129"/>
      <c r="M4333" s="378"/>
      <c r="N4333" s="129"/>
      <c r="O4333" s="129"/>
      <c r="P4333" s="379"/>
      <c r="Q4333" s="129"/>
      <c r="R4333" s="380"/>
      <c r="S4333" s="129"/>
      <c r="T4333" s="129"/>
      <c r="W4333" s="129" t="s">
        <v>286</v>
      </c>
      <c r="X4333" s="337" t="b">
        <f t="shared" si="102"/>
        <v>1</v>
      </c>
    </row>
    <row r="4334" spans="1:24" ht="12" customHeight="1" outlineLevel="1">
      <c r="A4334" s="370"/>
      <c r="B4334" s="118" t="s">
        <v>12</v>
      </c>
      <c r="C4334" s="334" t="s">
        <v>12389</v>
      </c>
      <c r="D4334" s="124" t="s">
        <v>12098</v>
      </c>
      <c r="E4334" s="125"/>
      <c r="F4334" s="118" t="s">
        <v>828</v>
      </c>
      <c r="G4334" s="126" t="s">
        <v>11386</v>
      </c>
      <c r="H4334" s="255">
        <v>6</v>
      </c>
      <c r="I4334" s="361">
        <v>1</v>
      </c>
      <c r="J4334" s="371" t="s">
        <v>286</v>
      </c>
      <c r="K4334" s="377"/>
      <c r="L4334" s="129"/>
      <c r="M4334" s="378"/>
      <c r="N4334" s="129"/>
      <c r="O4334" s="129"/>
      <c r="P4334" s="379"/>
      <c r="Q4334" s="129"/>
      <c r="R4334" s="380"/>
      <c r="S4334" s="129"/>
      <c r="T4334" s="129"/>
      <c r="W4334" s="129" t="s">
        <v>286</v>
      </c>
      <c r="X4334" s="337" t="b">
        <f t="shared" si="102"/>
        <v>1</v>
      </c>
    </row>
    <row r="4335" spans="1:24" ht="12" customHeight="1" outlineLevel="1">
      <c r="A4335" s="370"/>
      <c r="B4335" s="118" t="s">
        <v>12</v>
      </c>
      <c r="C4335" s="334" t="s">
        <v>12390</v>
      </c>
      <c r="D4335" s="124" t="s">
        <v>12100</v>
      </c>
      <c r="E4335" s="125"/>
      <c r="F4335" s="118" t="s">
        <v>828</v>
      </c>
      <c r="G4335" s="126" t="s">
        <v>11386</v>
      </c>
      <c r="H4335" s="255">
        <v>6</v>
      </c>
      <c r="I4335" s="361">
        <v>1</v>
      </c>
      <c r="J4335" s="371" t="s">
        <v>286</v>
      </c>
      <c r="K4335" s="377"/>
      <c r="L4335" s="129"/>
      <c r="M4335" s="378"/>
      <c r="N4335" s="129"/>
      <c r="O4335" s="129"/>
      <c r="P4335" s="379"/>
      <c r="Q4335" s="129"/>
      <c r="R4335" s="380"/>
      <c r="S4335" s="129"/>
      <c r="T4335" s="129"/>
      <c r="W4335" s="129" t="s">
        <v>286</v>
      </c>
      <c r="X4335" s="337" t="b">
        <f t="shared" si="102"/>
        <v>1</v>
      </c>
    </row>
    <row r="4336" spans="1:24" ht="12" customHeight="1" outlineLevel="1">
      <c r="A4336" s="370"/>
      <c r="B4336" s="118" t="s">
        <v>12</v>
      </c>
      <c r="C4336" s="334" t="s">
        <v>12391</v>
      </c>
      <c r="D4336" s="124" t="s">
        <v>12102</v>
      </c>
      <c r="E4336" s="125"/>
      <c r="F4336" s="118" t="s">
        <v>828</v>
      </c>
      <c r="G4336" s="126" t="s">
        <v>11386</v>
      </c>
      <c r="H4336" s="255">
        <v>6</v>
      </c>
      <c r="I4336" s="361">
        <v>1</v>
      </c>
      <c r="J4336" s="371" t="s">
        <v>286</v>
      </c>
      <c r="K4336" s="377"/>
      <c r="L4336" s="129"/>
      <c r="M4336" s="378"/>
      <c r="N4336" s="129"/>
      <c r="O4336" s="129"/>
      <c r="P4336" s="379"/>
      <c r="Q4336" s="129"/>
      <c r="R4336" s="380"/>
      <c r="S4336" s="129"/>
      <c r="T4336" s="129"/>
      <c r="W4336" s="129" t="s">
        <v>286</v>
      </c>
      <c r="X4336" s="337" t="b">
        <f t="shared" si="102"/>
        <v>1</v>
      </c>
    </row>
    <row r="4337" spans="1:24" ht="12" customHeight="1" outlineLevel="1">
      <c r="A4337" s="370"/>
      <c r="B4337" s="118" t="s">
        <v>12</v>
      </c>
      <c r="C4337" s="334" t="s">
        <v>12392</v>
      </c>
      <c r="D4337" s="124" t="s">
        <v>12104</v>
      </c>
      <c r="E4337" s="125"/>
      <c r="F4337" s="118" t="s">
        <v>828</v>
      </c>
      <c r="G4337" s="126" t="s">
        <v>11386</v>
      </c>
      <c r="H4337" s="255">
        <v>6</v>
      </c>
      <c r="I4337" s="361">
        <v>1</v>
      </c>
      <c r="J4337" s="371" t="s">
        <v>286</v>
      </c>
      <c r="K4337" s="377"/>
      <c r="L4337" s="129"/>
      <c r="M4337" s="378"/>
      <c r="N4337" s="129"/>
      <c r="O4337" s="129"/>
      <c r="P4337" s="379"/>
      <c r="Q4337" s="129"/>
      <c r="R4337" s="380"/>
      <c r="S4337" s="129"/>
      <c r="T4337" s="129"/>
      <c r="W4337" s="129" t="s">
        <v>286</v>
      </c>
      <c r="X4337" s="337" t="b">
        <f t="shared" si="102"/>
        <v>1</v>
      </c>
    </row>
    <row r="4338" spans="1:24" ht="12" customHeight="1" outlineLevel="1">
      <c r="A4338" s="370"/>
      <c r="B4338" s="118" t="s">
        <v>12</v>
      </c>
      <c r="C4338" s="334" t="s">
        <v>12393</v>
      </c>
      <c r="D4338" s="124" t="s">
        <v>8158</v>
      </c>
      <c r="E4338" s="125"/>
      <c r="F4338" s="118" t="s">
        <v>828</v>
      </c>
      <c r="G4338" s="126" t="s">
        <v>11386</v>
      </c>
      <c r="H4338" s="255">
        <v>6</v>
      </c>
      <c r="I4338" s="361">
        <v>1</v>
      </c>
      <c r="J4338" s="371" t="s">
        <v>286</v>
      </c>
      <c r="K4338" s="377"/>
      <c r="L4338" s="129"/>
      <c r="M4338" s="378"/>
      <c r="N4338" s="129"/>
      <c r="O4338" s="129"/>
      <c r="P4338" s="379"/>
      <c r="Q4338" s="129"/>
      <c r="R4338" s="380"/>
      <c r="S4338" s="129"/>
      <c r="T4338" s="129"/>
      <c r="W4338" s="129" t="s">
        <v>286</v>
      </c>
      <c r="X4338" s="337" t="b">
        <f t="shared" si="102"/>
        <v>1</v>
      </c>
    </row>
    <row r="4339" spans="1:24" ht="12" customHeight="1" outlineLevel="1">
      <c r="A4339" s="370"/>
      <c r="B4339" s="118" t="s">
        <v>12</v>
      </c>
      <c r="C4339" s="334" t="s">
        <v>12394</v>
      </c>
      <c r="D4339" s="124" t="s">
        <v>12107</v>
      </c>
      <c r="E4339" s="125"/>
      <c r="F4339" s="118" t="s">
        <v>828</v>
      </c>
      <c r="G4339" s="126" t="s">
        <v>11386</v>
      </c>
      <c r="H4339" s="255">
        <v>6</v>
      </c>
      <c r="I4339" s="361">
        <v>1</v>
      </c>
      <c r="J4339" s="371" t="s">
        <v>286</v>
      </c>
      <c r="K4339" s="377"/>
      <c r="L4339" s="129"/>
      <c r="M4339" s="378"/>
      <c r="N4339" s="129"/>
      <c r="O4339" s="129"/>
      <c r="P4339" s="379"/>
      <c r="Q4339" s="129"/>
      <c r="R4339" s="380"/>
      <c r="S4339" s="129"/>
      <c r="T4339" s="129"/>
      <c r="W4339" s="129" t="s">
        <v>286</v>
      </c>
      <c r="X4339" s="337" t="b">
        <f t="shared" si="102"/>
        <v>1</v>
      </c>
    </row>
    <row r="4340" spans="1:24" ht="12" customHeight="1" outlineLevel="1">
      <c r="A4340" s="370"/>
      <c r="B4340" s="118" t="s">
        <v>12</v>
      </c>
      <c r="C4340" s="334" t="s">
        <v>12395</v>
      </c>
      <c r="D4340" s="124" t="s">
        <v>12109</v>
      </c>
      <c r="E4340" s="125"/>
      <c r="F4340" s="118" t="s">
        <v>828</v>
      </c>
      <c r="G4340" s="126" t="s">
        <v>11386</v>
      </c>
      <c r="H4340" s="255">
        <v>6</v>
      </c>
      <c r="I4340" s="361">
        <v>1</v>
      </c>
      <c r="J4340" s="371" t="s">
        <v>286</v>
      </c>
      <c r="K4340" s="377"/>
      <c r="L4340" s="129"/>
      <c r="M4340" s="378"/>
      <c r="N4340" s="129"/>
      <c r="O4340" s="129"/>
      <c r="P4340" s="379"/>
      <c r="Q4340" s="129"/>
      <c r="R4340" s="380"/>
      <c r="S4340" s="129"/>
      <c r="T4340" s="129"/>
      <c r="W4340" s="129" t="s">
        <v>286</v>
      </c>
      <c r="X4340" s="337" t="b">
        <f t="shared" si="102"/>
        <v>1</v>
      </c>
    </row>
    <row r="4341" spans="1:24" ht="12" customHeight="1" outlineLevel="1">
      <c r="A4341" s="370"/>
      <c r="B4341" s="118" t="s">
        <v>12</v>
      </c>
      <c r="C4341" s="334" t="s">
        <v>12396</v>
      </c>
      <c r="D4341" s="124" t="s">
        <v>11799</v>
      </c>
      <c r="E4341" s="125"/>
      <c r="F4341" s="118" t="s">
        <v>828</v>
      </c>
      <c r="G4341" s="126" t="s">
        <v>11386</v>
      </c>
      <c r="H4341" s="255">
        <v>6</v>
      </c>
      <c r="I4341" s="361">
        <v>1</v>
      </c>
      <c r="J4341" s="371" t="s">
        <v>286</v>
      </c>
      <c r="K4341" s="377"/>
      <c r="L4341" s="129"/>
      <c r="M4341" s="378"/>
      <c r="N4341" s="129"/>
      <c r="O4341" s="129"/>
      <c r="P4341" s="379"/>
      <c r="Q4341" s="129"/>
      <c r="R4341" s="380"/>
      <c r="S4341" s="129"/>
      <c r="T4341" s="129"/>
      <c r="W4341" s="129" t="s">
        <v>286</v>
      </c>
      <c r="X4341" s="337" t="b">
        <f t="shared" si="102"/>
        <v>1</v>
      </c>
    </row>
    <row r="4342" spans="1:24" ht="12" customHeight="1" outlineLevel="1">
      <c r="A4342" s="370"/>
      <c r="B4342" s="118" t="s">
        <v>12</v>
      </c>
      <c r="C4342" s="334" t="s">
        <v>12397</v>
      </c>
      <c r="D4342" s="124" t="s">
        <v>11620</v>
      </c>
      <c r="E4342" s="125"/>
      <c r="F4342" s="118" t="s">
        <v>828</v>
      </c>
      <c r="G4342" s="126" t="s">
        <v>11386</v>
      </c>
      <c r="H4342" s="255">
        <v>6</v>
      </c>
      <c r="I4342" s="361">
        <v>1</v>
      </c>
      <c r="J4342" s="371" t="s">
        <v>286</v>
      </c>
      <c r="K4342" s="377"/>
      <c r="L4342" s="129"/>
      <c r="M4342" s="378"/>
      <c r="N4342" s="129"/>
      <c r="O4342" s="129"/>
      <c r="P4342" s="379"/>
      <c r="Q4342" s="129"/>
      <c r="R4342" s="380"/>
      <c r="S4342" s="129"/>
      <c r="T4342" s="129"/>
      <c r="W4342" s="129" t="s">
        <v>286</v>
      </c>
      <c r="X4342" s="337" t="b">
        <f t="shared" si="102"/>
        <v>1</v>
      </c>
    </row>
    <row r="4343" spans="1:24" ht="12" customHeight="1" outlineLevel="1">
      <c r="A4343" s="370"/>
      <c r="B4343" s="118" t="s">
        <v>12</v>
      </c>
      <c r="C4343" s="334" t="s">
        <v>12398</v>
      </c>
      <c r="D4343" s="124" t="s">
        <v>11622</v>
      </c>
      <c r="E4343" s="125"/>
      <c r="F4343" s="118" t="s">
        <v>828</v>
      </c>
      <c r="G4343" s="126" t="s">
        <v>11386</v>
      </c>
      <c r="H4343" s="255">
        <v>6</v>
      </c>
      <c r="I4343" s="361">
        <v>1</v>
      </c>
      <c r="J4343" s="371" t="s">
        <v>286</v>
      </c>
      <c r="K4343" s="377"/>
      <c r="L4343" s="129"/>
      <c r="M4343" s="378"/>
      <c r="N4343" s="129"/>
      <c r="O4343" s="129"/>
      <c r="P4343" s="379"/>
      <c r="Q4343" s="129"/>
      <c r="R4343" s="380"/>
      <c r="S4343" s="129"/>
      <c r="T4343" s="129"/>
      <c r="W4343" s="129" t="s">
        <v>286</v>
      </c>
      <c r="X4343" s="337" t="b">
        <f t="shared" si="102"/>
        <v>1</v>
      </c>
    </row>
    <row r="4344" spans="1:24" ht="12" customHeight="1" outlineLevel="1">
      <c r="A4344" s="370"/>
      <c r="B4344" s="118" t="s">
        <v>12</v>
      </c>
      <c r="C4344" s="334" t="s">
        <v>12399</v>
      </c>
      <c r="D4344" s="124" t="s">
        <v>11624</v>
      </c>
      <c r="E4344" s="125"/>
      <c r="F4344" s="118" t="s">
        <v>828</v>
      </c>
      <c r="G4344" s="126" t="s">
        <v>11386</v>
      </c>
      <c r="H4344" s="255">
        <v>6</v>
      </c>
      <c r="I4344" s="361">
        <v>1</v>
      </c>
      <c r="J4344" s="371" t="s">
        <v>286</v>
      </c>
      <c r="K4344" s="377"/>
      <c r="L4344" s="129"/>
      <c r="M4344" s="378"/>
      <c r="N4344" s="129"/>
      <c r="O4344" s="129"/>
      <c r="P4344" s="379"/>
      <c r="Q4344" s="129"/>
      <c r="R4344" s="380"/>
      <c r="S4344" s="129"/>
      <c r="T4344" s="129"/>
      <c r="W4344" s="129" t="s">
        <v>286</v>
      </c>
      <c r="X4344" s="337" t="b">
        <f t="shared" si="102"/>
        <v>1</v>
      </c>
    </row>
    <row r="4345" spans="1:24" ht="12" customHeight="1" outlineLevel="1">
      <c r="A4345" s="370"/>
      <c r="B4345" s="118" t="s">
        <v>12</v>
      </c>
      <c r="C4345" s="334" t="s">
        <v>12400</v>
      </c>
      <c r="D4345" s="124" t="s">
        <v>11626</v>
      </c>
      <c r="E4345" s="125"/>
      <c r="F4345" s="118" t="s">
        <v>828</v>
      </c>
      <c r="G4345" s="126" t="s">
        <v>11386</v>
      </c>
      <c r="H4345" s="255">
        <v>6</v>
      </c>
      <c r="I4345" s="361">
        <v>1</v>
      </c>
      <c r="J4345" s="371" t="s">
        <v>286</v>
      </c>
      <c r="K4345" s="377"/>
      <c r="L4345" s="129"/>
      <c r="M4345" s="378"/>
      <c r="N4345" s="129"/>
      <c r="O4345" s="129"/>
      <c r="P4345" s="379"/>
      <c r="Q4345" s="129"/>
      <c r="R4345" s="380"/>
      <c r="S4345" s="129"/>
      <c r="T4345" s="129"/>
      <c r="W4345" s="129" t="s">
        <v>286</v>
      </c>
      <c r="X4345" s="337" t="b">
        <f t="shared" si="102"/>
        <v>1</v>
      </c>
    </row>
    <row r="4346" spans="1:24" ht="12" customHeight="1" outlineLevel="1">
      <c r="A4346" s="370"/>
      <c r="B4346" s="118" t="s">
        <v>12</v>
      </c>
      <c r="C4346" s="334" t="s">
        <v>12401</v>
      </c>
      <c r="D4346" s="124" t="s">
        <v>11628</v>
      </c>
      <c r="E4346" s="125"/>
      <c r="F4346" s="118" t="s">
        <v>828</v>
      </c>
      <c r="G4346" s="126" t="s">
        <v>11386</v>
      </c>
      <c r="H4346" s="255">
        <v>6</v>
      </c>
      <c r="I4346" s="361">
        <v>1</v>
      </c>
      <c r="J4346" s="371" t="s">
        <v>286</v>
      </c>
      <c r="K4346" s="377"/>
      <c r="L4346" s="129"/>
      <c r="M4346" s="378"/>
      <c r="N4346" s="129"/>
      <c r="O4346" s="129"/>
      <c r="P4346" s="379"/>
      <c r="Q4346" s="129"/>
      <c r="R4346" s="380"/>
      <c r="S4346" s="129"/>
      <c r="T4346" s="129"/>
      <c r="W4346" s="129" t="s">
        <v>286</v>
      </c>
      <c r="X4346" s="337" t="b">
        <f t="shared" si="102"/>
        <v>1</v>
      </c>
    </row>
    <row r="4347" spans="1:24" ht="12" customHeight="1" outlineLevel="1">
      <c r="A4347" s="370"/>
      <c r="B4347" s="118" t="s">
        <v>12</v>
      </c>
      <c r="C4347" s="334" t="s">
        <v>12402</v>
      </c>
      <c r="D4347" s="124" t="s">
        <v>11630</v>
      </c>
      <c r="E4347" s="125"/>
      <c r="F4347" s="118" t="s">
        <v>828</v>
      </c>
      <c r="G4347" s="126" t="s">
        <v>11386</v>
      </c>
      <c r="H4347" s="255">
        <v>6</v>
      </c>
      <c r="I4347" s="361">
        <v>1</v>
      </c>
      <c r="J4347" s="371" t="s">
        <v>286</v>
      </c>
      <c r="K4347" s="377"/>
      <c r="L4347" s="129"/>
      <c r="M4347" s="378"/>
      <c r="N4347" s="129"/>
      <c r="O4347" s="129"/>
      <c r="P4347" s="379"/>
      <c r="Q4347" s="129"/>
      <c r="R4347" s="380"/>
      <c r="S4347" s="129"/>
      <c r="T4347" s="129"/>
      <c r="W4347" s="129" t="s">
        <v>286</v>
      </c>
      <c r="X4347" s="337" t="b">
        <f t="shared" si="102"/>
        <v>1</v>
      </c>
    </row>
    <row r="4348" spans="1:24" ht="12" customHeight="1" outlineLevel="1">
      <c r="A4348" s="370"/>
      <c r="B4348" s="118" t="s">
        <v>12</v>
      </c>
      <c r="C4348" s="334" t="s">
        <v>12403</v>
      </c>
      <c r="D4348" s="124" t="s">
        <v>11630</v>
      </c>
      <c r="E4348" s="125"/>
      <c r="F4348" s="118" t="s">
        <v>828</v>
      </c>
      <c r="G4348" s="126" t="s">
        <v>11386</v>
      </c>
      <c r="H4348" s="255">
        <v>6</v>
      </c>
      <c r="I4348" s="361">
        <v>1</v>
      </c>
      <c r="J4348" s="371" t="s">
        <v>286</v>
      </c>
      <c r="K4348" s="377"/>
      <c r="L4348" s="129"/>
      <c r="M4348" s="378"/>
      <c r="N4348" s="129"/>
      <c r="O4348" s="129"/>
      <c r="P4348" s="379"/>
      <c r="Q4348" s="129"/>
      <c r="R4348" s="380"/>
      <c r="S4348" s="129"/>
      <c r="T4348" s="129"/>
      <c r="W4348" s="129" t="s">
        <v>286</v>
      </c>
      <c r="X4348" s="337" t="b">
        <f t="shared" si="102"/>
        <v>1</v>
      </c>
    </row>
    <row r="4349" spans="1:24" ht="12" customHeight="1" outlineLevel="1">
      <c r="A4349" s="370"/>
      <c r="B4349" s="118" t="s">
        <v>12</v>
      </c>
      <c r="C4349" s="334" t="s">
        <v>12404</v>
      </c>
      <c r="D4349" s="124" t="s">
        <v>11633</v>
      </c>
      <c r="E4349" s="125"/>
      <c r="F4349" s="118" t="s">
        <v>828</v>
      </c>
      <c r="G4349" s="126" t="s">
        <v>11386</v>
      </c>
      <c r="H4349" s="255">
        <v>6</v>
      </c>
      <c r="I4349" s="361">
        <v>1</v>
      </c>
      <c r="J4349" s="371" t="s">
        <v>286</v>
      </c>
      <c r="K4349" s="377"/>
      <c r="L4349" s="129"/>
      <c r="M4349" s="378"/>
      <c r="N4349" s="129"/>
      <c r="O4349" s="129"/>
      <c r="P4349" s="379"/>
      <c r="Q4349" s="129"/>
      <c r="R4349" s="380"/>
      <c r="S4349" s="129"/>
      <c r="T4349" s="129"/>
      <c r="W4349" s="129" t="s">
        <v>286</v>
      </c>
      <c r="X4349" s="337" t="b">
        <f t="shared" si="102"/>
        <v>1</v>
      </c>
    </row>
    <row r="4350" spans="1:24" ht="12" customHeight="1" outlineLevel="1">
      <c r="A4350" s="370"/>
      <c r="B4350" s="118" t="s">
        <v>12</v>
      </c>
      <c r="C4350" s="334" t="s">
        <v>12405</v>
      </c>
      <c r="D4350" s="124" t="s">
        <v>11635</v>
      </c>
      <c r="E4350" s="125"/>
      <c r="F4350" s="118" t="s">
        <v>828</v>
      </c>
      <c r="G4350" s="126" t="s">
        <v>11386</v>
      </c>
      <c r="H4350" s="255">
        <v>6</v>
      </c>
      <c r="I4350" s="361">
        <v>1</v>
      </c>
      <c r="J4350" s="371" t="s">
        <v>286</v>
      </c>
      <c r="K4350" s="377"/>
      <c r="L4350" s="129"/>
      <c r="M4350" s="378"/>
      <c r="N4350" s="129"/>
      <c r="O4350" s="129"/>
      <c r="P4350" s="379"/>
      <c r="Q4350" s="129"/>
      <c r="R4350" s="380"/>
      <c r="S4350" s="129"/>
      <c r="T4350" s="129"/>
      <c r="W4350" s="129" t="s">
        <v>286</v>
      </c>
      <c r="X4350" s="337" t="b">
        <f t="shared" si="102"/>
        <v>1</v>
      </c>
    </row>
    <row r="4351" spans="1:24" ht="12" customHeight="1" outlineLevel="1">
      <c r="A4351" s="370"/>
      <c r="B4351" s="118" t="s">
        <v>12</v>
      </c>
      <c r="C4351" s="334" t="s">
        <v>12406</v>
      </c>
      <c r="D4351" s="124" t="s">
        <v>11637</v>
      </c>
      <c r="E4351" s="125"/>
      <c r="F4351" s="118" t="s">
        <v>828</v>
      </c>
      <c r="G4351" s="126" t="s">
        <v>11386</v>
      </c>
      <c r="H4351" s="255">
        <v>6</v>
      </c>
      <c r="I4351" s="361">
        <v>1</v>
      </c>
      <c r="J4351" s="371" t="s">
        <v>286</v>
      </c>
      <c r="K4351" s="377"/>
      <c r="L4351" s="129"/>
      <c r="M4351" s="378"/>
      <c r="N4351" s="129"/>
      <c r="O4351" s="129"/>
      <c r="P4351" s="379"/>
      <c r="Q4351" s="129"/>
      <c r="R4351" s="380"/>
      <c r="S4351" s="129"/>
      <c r="T4351" s="129"/>
      <c r="W4351" s="129" t="s">
        <v>286</v>
      </c>
      <c r="X4351" s="337" t="b">
        <f t="shared" si="102"/>
        <v>1</v>
      </c>
    </row>
    <row r="4352" spans="1:24" ht="12" customHeight="1" outlineLevel="1">
      <c r="A4352" s="370"/>
      <c r="B4352" s="118" t="s">
        <v>12</v>
      </c>
      <c r="C4352" s="334" t="s">
        <v>12407</v>
      </c>
      <c r="D4352" s="124" t="s">
        <v>11639</v>
      </c>
      <c r="E4352" s="125"/>
      <c r="F4352" s="118" t="s">
        <v>828</v>
      </c>
      <c r="G4352" s="126" t="s">
        <v>11386</v>
      </c>
      <c r="H4352" s="255">
        <v>6</v>
      </c>
      <c r="I4352" s="361">
        <v>1</v>
      </c>
      <c r="J4352" s="371" t="s">
        <v>286</v>
      </c>
      <c r="K4352" s="377"/>
      <c r="L4352" s="129"/>
      <c r="M4352" s="378"/>
      <c r="N4352" s="129"/>
      <c r="O4352" s="129"/>
      <c r="P4352" s="379"/>
      <c r="Q4352" s="129"/>
      <c r="R4352" s="380"/>
      <c r="S4352" s="129"/>
      <c r="T4352" s="129"/>
      <c r="W4352" s="129" t="s">
        <v>286</v>
      </c>
      <c r="X4352" s="337" t="b">
        <f t="shared" si="102"/>
        <v>1</v>
      </c>
    </row>
    <row r="4353" spans="1:24" ht="12" customHeight="1" outlineLevel="1">
      <c r="A4353" s="370"/>
      <c r="B4353" s="118" t="s">
        <v>12</v>
      </c>
      <c r="C4353" s="334" t="s">
        <v>12408</v>
      </c>
      <c r="D4353" s="124" t="s">
        <v>11641</v>
      </c>
      <c r="E4353" s="125"/>
      <c r="F4353" s="118" t="s">
        <v>828</v>
      </c>
      <c r="G4353" s="126" t="s">
        <v>11386</v>
      </c>
      <c r="H4353" s="255">
        <v>6</v>
      </c>
      <c r="I4353" s="361">
        <v>1</v>
      </c>
      <c r="J4353" s="371" t="s">
        <v>286</v>
      </c>
      <c r="K4353" s="377"/>
      <c r="L4353" s="129"/>
      <c r="M4353" s="378"/>
      <c r="N4353" s="129"/>
      <c r="O4353" s="129"/>
      <c r="P4353" s="379"/>
      <c r="Q4353" s="129"/>
      <c r="R4353" s="380"/>
      <c r="S4353" s="129"/>
      <c r="T4353" s="129"/>
      <c r="W4353" s="129" t="s">
        <v>286</v>
      </c>
      <c r="X4353" s="337" t="b">
        <f t="shared" si="102"/>
        <v>1</v>
      </c>
    </row>
    <row r="4354" spans="1:24" ht="12" customHeight="1" outlineLevel="1">
      <c r="A4354" s="370"/>
      <c r="B4354" s="118" t="s">
        <v>12</v>
      </c>
      <c r="C4354" s="334" t="s">
        <v>12409</v>
      </c>
      <c r="D4354" s="124" t="s">
        <v>11643</v>
      </c>
      <c r="E4354" s="125"/>
      <c r="F4354" s="118" t="s">
        <v>828</v>
      </c>
      <c r="G4354" s="126" t="s">
        <v>11386</v>
      </c>
      <c r="H4354" s="255">
        <v>6</v>
      </c>
      <c r="I4354" s="361">
        <v>1</v>
      </c>
      <c r="J4354" s="371" t="s">
        <v>286</v>
      </c>
      <c r="K4354" s="377"/>
      <c r="L4354" s="129"/>
      <c r="M4354" s="378"/>
      <c r="N4354" s="129"/>
      <c r="O4354" s="129"/>
      <c r="P4354" s="379"/>
      <c r="Q4354" s="129"/>
      <c r="R4354" s="380"/>
      <c r="S4354" s="129"/>
      <c r="T4354" s="129"/>
      <c r="W4354" s="129" t="s">
        <v>286</v>
      </c>
      <c r="X4354" s="337" t="b">
        <f t="shared" si="102"/>
        <v>1</v>
      </c>
    </row>
    <row r="4355" spans="1:24" ht="12" customHeight="1" outlineLevel="1">
      <c r="A4355" s="370"/>
      <c r="B4355" s="118" t="s">
        <v>12</v>
      </c>
      <c r="C4355" s="334" t="s">
        <v>12410</v>
      </c>
      <c r="D4355" s="124" t="s">
        <v>11645</v>
      </c>
      <c r="E4355" s="125"/>
      <c r="F4355" s="118" t="s">
        <v>828</v>
      </c>
      <c r="G4355" s="126" t="s">
        <v>11386</v>
      </c>
      <c r="H4355" s="255">
        <v>6</v>
      </c>
      <c r="I4355" s="361">
        <v>1</v>
      </c>
      <c r="J4355" s="371" t="s">
        <v>286</v>
      </c>
      <c r="K4355" s="377"/>
      <c r="L4355" s="129"/>
      <c r="M4355" s="378"/>
      <c r="N4355" s="129"/>
      <c r="O4355" s="129"/>
      <c r="P4355" s="379"/>
      <c r="Q4355" s="129"/>
      <c r="R4355" s="380"/>
      <c r="S4355" s="129"/>
      <c r="T4355" s="129"/>
      <c r="W4355" s="129" t="s">
        <v>286</v>
      </c>
      <c r="X4355" s="337" t="b">
        <f t="shared" si="102"/>
        <v>1</v>
      </c>
    </row>
    <row r="4356" spans="1:24" ht="12" customHeight="1" outlineLevel="1">
      <c r="A4356" s="370"/>
      <c r="B4356" s="118" t="s">
        <v>12</v>
      </c>
      <c r="C4356" s="334" t="s">
        <v>12411</v>
      </c>
      <c r="D4356" s="124" t="s">
        <v>11647</v>
      </c>
      <c r="E4356" s="125"/>
      <c r="F4356" s="118" t="s">
        <v>828</v>
      </c>
      <c r="G4356" s="126" t="s">
        <v>11386</v>
      </c>
      <c r="H4356" s="255">
        <v>6</v>
      </c>
      <c r="I4356" s="361">
        <v>1</v>
      </c>
      <c r="J4356" s="371" t="s">
        <v>286</v>
      </c>
      <c r="K4356" s="377"/>
      <c r="L4356" s="129"/>
      <c r="M4356" s="378"/>
      <c r="N4356" s="129"/>
      <c r="O4356" s="129"/>
      <c r="P4356" s="379"/>
      <c r="Q4356" s="129"/>
      <c r="R4356" s="380"/>
      <c r="S4356" s="129"/>
      <c r="T4356" s="129"/>
      <c r="W4356" s="129" t="s">
        <v>286</v>
      </c>
      <c r="X4356" s="337" t="b">
        <f t="shared" si="102"/>
        <v>1</v>
      </c>
    </row>
    <row r="4357" spans="1:24" ht="12" customHeight="1" outlineLevel="1">
      <c r="A4357" s="370"/>
      <c r="B4357" s="118" t="s">
        <v>12</v>
      </c>
      <c r="C4357" s="334" t="s">
        <v>12412</v>
      </c>
      <c r="D4357" s="124" t="s">
        <v>11649</v>
      </c>
      <c r="E4357" s="125"/>
      <c r="F4357" s="118" t="s">
        <v>828</v>
      </c>
      <c r="G4357" s="126" t="s">
        <v>11386</v>
      </c>
      <c r="H4357" s="255">
        <v>6</v>
      </c>
      <c r="I4357" s="361">
        <v>1</v>
      </c>
      <c r="J4357" s="371" t="s">
        <v>286</v>
      </c>
      <c r="K4357" s="377"/>
      <c r="L4357" s="129"/>
      <c r="M4357" s="378"/>
      <c r="N4357" s="129"/>
      <c r="O4357" s="129"/>
      <c r="P4357" s="379"/>
      <c r="Q4357" s="129"/>
      <c r="R4357" s="380"/>
      <c r="S4357" s="129"/>
      <c r="T4357" s="129"/>
      <c r="W4357" s="129" t="s">
        <v>286</v>
      </c>
      <c r="X4357" s="337" t="b">
        <f t="shared" si="102"/>
        <v>1</v>
      </c>
    </row>
    <row r="4358" spans="1:24" ht="12" customHeight="1" outlineLevel="1">
      <c r="A4358" s="370"/>
      <c r="B4358" s="118" t="s">
        <v>12</v>
      </c>
      <c r="C4358" s="334" t="s">
        <v>12413</v>
      </c>
      <c r="D4358" s="124" t="s">
        <v>11651</v>
      </c>
      <c r="E4358" s="125"/>
      <c r="F4358" s="118" t="s">
        <v>828</v>
      </c>
      <c r="G4358" s="126" t="s">
        <v>11386</v>
      </c>
      <c r="H4358" s="255">
        <v>6</v>
      </c>
      <c r="I4358" s="361">
        <v>1</v>
      </c>
      <c r="J4358" s="371" t="s">
        <v>286</v>
      </c>
      <c r="K4358" s="377"/>
      <c r="L4358" s="129"/>
      <c r="M4358" s="378"/>
      <c r="N4358" s="129"/>
      <c r="O4358" s="129"/>
      <c r="P4358" s="379"/>
      <c r="Q4358" s="129"/>
      <c r="R4358" s="380"/>
      <c r="S4358" s="129"/>
      <c r="T4358" s="129"/>
      <c r="W4358" s="129" t="s">
        <v>286</v>
      </c>
      <c r="X4358" s="337" t="b">
        <f t="shared" si="102"/>
        <v>1</v>
      </c>
    </row>
    <row r="4359" spans="1:24" ht="12" customHeight="1" outlineLevel="1">
      <c r="A4359" s="370"/>
      <c r="B4359" s="118" t="s">
        <v>12</v>
      </c>
      <c r="C4359" s="334" t="s">
        <v>12414</v>
      </c>
      <c r="D4359" s="124" t="s">
        <v>11653</v>
      </c>
      <c r="E4359" s="125"/>
      <c r="F4359" s="118" t="s">
        <v>828</v>
      </c>
      <c r="G4359" s="126" t="s">
        <v>11386</v>
      </c>
      <c r="H4359" s="255">
        <v>6</v>
      </c>
      <c r="I4359" s="361">
        <v>1</v>
      </c>
      <c r="J4359" s="371" t="s">
        <v>286</v>
      </c>
      <c r="K4359" s="377"/>
      <c r="L4359" s="129"/>
      <c r="M4359" s="378"/>
      <c r="N4359" s="129"/>
      <c r="O4359" s="129"/>
      <c r="P4359" s="379"/>
      <c r="Q4359" s="129"/>
      <c r="R4359" s="380"/>
      <c r="S4359" s="129"/>
      <c r="T4359" s="129"/>
      <c r="W4359" s="129" t="s">
        <v>286</v>
      </c>
      <c r="X4359" s="337" t="b">
        <f t="shared" si="102"/>
        <v>1</v>
      </c>
    </row>
    <row r="4360" spans="1:24" ht="12" customHeight="1" outlineLevel="1">
      <c r="A4360" s="370"/>
      <c r="B4360" s="118" t="s">
        <v>12</v>
      </c>
      <c r="C4360" s="334" t="s">
        <v>12415</v>
      </c>
      <c r="D4360" s="124" t="s">
        <v>11655</v>
      </c>
      <c r="E4360" s="125"/>
      <c r="F4360" s="118" t="s">
        <v>828</v>
      </c>
      <c r="G4360" s="126" t="s">
        <v>11386</v>
      </c>
      <c r="H4360" s="255">
        <v>6</v>
      </c>
      <c r="I4360" s="361">
        <v>1</v>
      </c>
      <c r="J4360" s="371" t="s">
        <v>286</v>
      </c>
      <c r="K4360" s="377"/>
      <c r="L4360" s="129"/>
      <c r="M4360" s="378"/>
      <c r="N4360" s="129"/>
      <c r="O4360" s="129"/>
      <c r="P4360" s="379"/>
      <c r="Q4360" s="129"/>
      <c r="R4360" s="380"/>
      <c r="S4360" s="129"/>
      <c r="T4360" s="129"/>
      <c r="W4360" s="129" t="s">
        <v>286</v>
      </c>
      <c r="X4360" s="337" t="b">
        <f t="shared" si="102"/>
        <v>1</v>
      </c>
    </row>
    <row r="4361" spans="1:24" ht="12" customHeight="1" outlineLevel="1">
      <c r="A4361" s="370"/>
      <c r="B4361" s="118" t="s">
        <v>12</v>
      </c>
      <c r="C4361" s="334" t="s">
        <v>12416</v>
      </c>
      <c r="D4361" s="124" t="s">
        <v>11657</v>
      </c>
      <c r="E4361" s="125"/>
      <c r="F4361" s="118" t="s">
        <v>828</v>
      </c>
      <c r="G4361" s="126" t="s">
        <v>11386</v>
      </c>
      <c r="H4361" s="255">
        <v>6</v>
      </c>
      <c r="I4361" s="361">
        <v>1</v>
      </c>
      <c r="J4361" s="371" t="s">
        <v>286</v>
      </c>
      <c r="K4361" s="377"/>
      <c r="L4361" s="129"/>
      <c r="M4361" s="378"/>
      <c r="N4361" s="129"/>
      <c r="O4361" s="129"/>
      <c r="P4361" s="379"/>
      <c r="Q4361" s="129"/>
      <c r="R4361" s="380"/>
      <c r="S4361" s="129"/>
      <c r="T4361" s="129"/>
      <c r="W4361" s="129" t="s">
        <v>286</v>
      </c>
      <c r="X4361" s="337" t="b">
        <f t="shared" si="102"/>
        <v>1</v>
      </c>
    </row>
    <row r="4362" spans="1:24" ht="12" customHeight="1" outlineLevel="1">
      <c r="A4362" s="370"/>
      <c r="B4362" s="118" t="s">
        <v>12</v>
      </c>
      <c r="C4362" s="334" t="s">
        <v>12417</v>
      </c>
      <c r="D4362" s="124" t="s">
        <v>11659</v>
      </c>
      <c r="E4362" s="125"/>
      <c r="F4362" s="118" t="s">
        <v>828</v>
      </c>
      <c r="G4362" s="126" t="s">
        <v>11386</v>
      </c>
      <c r="H4362" s="255">
        <v>6</v>
      </c>
      <c r="I4362" s="361">
        <v>1</v>
      </c>
      <c r="J4362" s="371" t="s">
        <v>286</v>
      </c>
      <c r="K4362" s="377"/>
      <c r="L4362" s="129"/>
      <c r="M4362" s="378"/>
      <c r="N4362" s="129"/>
      <c r="O4362" s="129"/>
      <c r="P4362" s="379"/>
      <c r="Q4362" s="129"/>
      <c r="R4362" s="380"/>
      <c r="S4362" s="129"/>
      <c r="T4362" s="129"/>
      <c r="W4362" s="129" t="s">
        <v>286</v>
      </c>
      <c r="X4362" s="337" t="b">
        <f t="shared" si="102"/>
        <v>1</v>
      </c>
    </row>
    <row r="4363" spans="1:24" ht="12" customHeight="1" outlineLevel="1">
      <c r="A4363" s="370"/>
      <c r="B4363" s="118" t="s">
        <v>12</v>
      </c>
      <c r="C4363" s="334" t="s">
        <v>12418</v>
      </c>
      <c r="D4363" s="124" t="s">
        <v>11661</v>
      </c>
      <c r="E4363" s="125"/>
      <c r="F4363" s="118" t="s">
        <v>828</v>
      </c>
      <c r="G4363" s="126" t="s">
        <v>11386</v>
      </c>
      <c r="H4363" s="255">
        <v>6</v>
      </c>
      <c r="I4363" s="361">
        <v>1</v>
      </c>
      <c r="J4363" s="371" t="s">
        <v>286</v>
      </c>
      <c r="K4363" s="377"/>
      <c r="L4363" s="129"/>
      <c r="M4363" s="378"/>
      <c r="N4363" s="129"/>
      <c r="O4363" s="129"/>
      <c r="P4363" s="379"/>
      <c r="Q4363" s="129"/>
      <c r="R4363" s="380"/>
      <c r="S4363" s="129"/>
      <c r="T4363" s="129"/>
      <c r="W4363" s="129" t="s">
        <v>286</v>
      </c>
      <c r="X4363" s="337" t="b">
        <f t="shared" si="102"/>
        <v>1</v>
      </c>
    </row>
    <row r="4364" spans="1:24" ht="12" customHeight="1" outlineLevel="1">
      <c r="A4364" s="370"/>
      <c r="B4364" s="118" t="s">
        <v>12</v>
      </c>
      <c r="C4364" s="334" t="s">
        <v>12419</v>
      </c>
      <c r="D4364" s="124" t="s">
        <v>11663</v>
      </c>
      <c r="E4364" s="125"/>
      <c r="F4364" s="118" t="s">
        <v>828</v>
      </c>
      <c r="G4364" s="126" t="s">
        <v>11386</v>
      </c>
      <c r="H4364" s="255">
        <v>6</v>
      </c>
      <c r="I4364" s="361">
        <v>1</v>
      </c>
      <c r="J4364" s="371" t="s">
        <v>286</v>
      </c>
      <c r="K4364" s="377"/>
      <c r="L4364" s="129"/>
      <c r="M4364" s="378"/>
      <c r="N4364" s="129"/>
      <c r="O4364" s="129"/>
      <c r="P4364" s="379"/>
      <c r="Q4364" s="129"/>
      <c r="R4364" s="380"/>
      <c r="S4364" s="129"/>
      <c r="T4364" s="129"/>
      <c r="W4364" s="129" t="s">
        <v>286</v>
      </c>
      <c r="X4364" s="337" t="b">
        <f t="shared" si="102"/>
        <v>1</v>
      </c>
    </row>
    <row r="4365" spans="1:24" ht="12" customHeight="1" outlineLevel="1">
      <c r="A4365" s="370"/>
      <c r="B4365" s="118" t="s">
        <v>12</v>
      </c>
      <c r="C4365" s="334" t="s">
        <v>12420</v>
      </c>
      <c r="D4365" s="124" t="s">
        <v>11665</v>
      </c>
      <c r="E4365" s="125"/>
      <c r="F4365" s="118" t="s">
        <v>828</v>
      </c>
      <c r="G4365" s="126" t="s">
        <v>11386</v>
      </c>
      <c r="H4365" s="255">
        <v>6</v>
      </c>
      <c r="I4365" s="361">
        <v>1</v>
      </c>
      <c r="J4365" s="371" t="s">
        <v>286</v>
      </c>
      <c r="K4365" s="377"/>
      <c r="L4365" s="129"/>
      <c r="M4365" s="378"/>
      <c r="N4365" s="129"/>
      <c r="O4365" s="129"/>
      <c r="P4365" s="379"/>
      <c r="Q4365" s="129"/>
      <c r="R4365" s="380"/>
      <c r="S4365" s="129"/>
      <c r="T4365" s="129"/>
      <c r="W4365" s="129" t="s">
        <v>286</v>
      </c>
      <c r="X4365" s="337" t="b">
        <f t="shared" si="102"/>
        <v>1</v>
      </c>
    </row>
    <row r="4366" spans="1:24" ht="12" customHeight="1" outlineLevel="1">
      <c r="A4366" s="370"/>
      <c r="B4366" s="118" t="s">
        <v>12</v>
      </c>
      <c r="C4366" s="334" t="s">
        <v>12421</v>
      </c>
      <c r="D4366" s="124" t="s">
        <v>11735</v>
      </c>
      <c r="E4366" s="125"/>
      <c r="F4366" s="118" t="s">
        <v>828</v>
      </c>
      <c r="G4366" s="126" t="s">
        <v>11386</v>
      </c>
      <c r="H4366" s="255">
        <v>6</v>
      </c>
      <c r="I4366" s="361">
        <v>1</v>
      </c>
      <c r="J4366" s="371" t="s">
        <v>286</v>
      </c>
      <c r="K4366" s="377"/>
      <c r="L4366" s="129"/>
      <c r="M4366" s="378"/>
      <c r="N4366" s="129"/>
      <c r="O4366" s="129"/>
      <c r="P4366" s="379"/>
      <c r="Q4366" s="129"/>
      <c r="R4366" s="380"/>
      <c r="S4366" s="129"/>
      <c r="T4366" s="129"/>
      <c r="W4366" s="129" t="s">
        <v>4876</v>
      </c>
      <c r="X4366" s="337" t="b">
        <f t="shared" si="102"/>
        <v>0</v>
      </c>
    </row>
    <row r="4367" spans="1:24" ht="12" customHeight="1" outlineLevel="1">
      <c r="A4367" s="370"/>
      <c r="B4367" s="118" t="s">
        <v>12</v>
      </c>
      <c r="C4367" s="334" t="s">
        <v>12422</v>
      </c>
      <c r="D4367" s="124" t="s">
        <v>11737</v>
      </c>
      <c r="E4367" s="125"/>
      <c r="F4367" s="118" t="s">
        <v>828</v>
      </c>
      <c r="G4367" s="126" t="s">
        <v>11386</v>
      </c>
      <c r="H4367" s="255">
        <v>6</v>
      </c>
      <c r="I4367" s="361">
        <v>1</v>
      </c>
      <c r="J4367" s="371" t="s">
        <v>286</v>
      </c>
      <c r="K4367" s="377"/>
      <c r="L4367" s="129"/>
      <c r="M4367" s="378"/>
      <c r="N4367" s="129"/>
      <c r="O4367" s="129"/>
      <c r="P4367" s="379"/>
      <c r="Q4367" s="129"/>
      <c r="R4367" s="380"/>
      <c r="S4367" s="129"/>
      <c r="T4367" s="129"/>
      <c r="W4367" s="129" t="s">
        <v>286</v>
      </c>
      <c r="X4367" s="337" t="b">
        <f t="shared" si="102"/>
        <v>1</v>
      </c>
    </row>
    <row r="4368" spans="1:24" ht="12" customHeight="1" outlineLevel="1">
      <c r="A4368" s="370"/>
      <c r="B4368" s="118" t="s">
        <v>12</v>
      </c>
      <c r="C4368" s="334" t="s">
        <v>12423</v>
      </c>
      <c r="D4368" s="124" t="s">
        <v>11739</v>
      </c>
      <c r="E4368" s="125"/>
      <c r="F4368" s="118" t="s">
        <v>828</v>
      </c>
      <c r="G4368" s="126" t="s">
        <v>11386</v>
      </c>
      <c r="H4368" s="255">
        <v>6</v>
      </c>
      <c r="I4368" s="361">
        <v>1</v>
      </c>
      <c r="J4368" s="371" t="s">
        <v>286</v>
      </c>
      <c r="K4368" s="377"/>
      <c r="L4368" s="129"/>
      <c r="M4368" s="378"/>
      <c r="N4368" s="129"/>
      <c r="O4368" s="129"/>
      <c r="P4368" s="379"/>
      <c r="Q4368" s="129"/>
      <c r="R4368" s="380"/>
      <c r="S4368" s="129"/>
      <c r="T4368" s="129"/>
      <c r="W4368" s="129" t="s">
        <v>286</v>
      </c>
      <c r="X4368" s="337" t="b">
        <f t="shared" si="102"/>
        <v>1</v>
      </c>
    </row>
    <row r="4369" spans="1:24" ht="12" customHeight="1" outlineLevel="1">
      <c r="A4369" s="370"/>
      <c r="B4369" s="118" t="s">
        <v>12</v>
      </c>
      <c r="C4369" s="334" t="s">
        <v>12424</v>
      </c>
      <c r="D4369" s="124" t="s">
        <v>11741</v>
      </c>
      <c r="E4369" s="125"/>
      <c r="F4369" s="118" t="s">
        <v>828</v>
      </c>
      <c r="G4369" s="126" t="s">
        <v>11386</v>
      </c>
      <c r="H4369" s="255">
        <v>6</v>
      </c>
      <c r="I4369" s="361">
        <v>1</v>
      </c>
      <c r="J4369" s="371" t="s">
        <v>310</v>
      </c>
      <c r="K4369" s="377"/>
      <c r="L4369" s="129"/>
      <c r="M4369" s="378"/>
      <c r="N4369" s="129"/>
      <c r="O4369" s="129"/>
      <c r="P4369" s="379"/>
      <c r="Q4369" s="129"/>
      <c r="R4369" s="380"/>
      <c r="S4369" s="129"/>
      <c r="T4369" s="129"/>
      <c r="W4369" s="129" t="s">
        <v>310</v>
      </c>
      <c r="X4369" s="337" t="b">
        <f t="shared" si="102"/>
        <v>1</v>
      </c>
    </row>
    <row r="4370" spans="1:24" ht="12" customHeight="1" outlineLevel="1">
      <c r="A4370" s="370"/>
      <c r="B4370" s="118" t="s">
        <v>12</v>
      </c>
      <c r="C4370" s="334" t="s">
        <v>12425</v>
      </c>
      <c r="D4370" s="124" t="s">
        <v>11743</v>
      </c>
      <c r="E4370" s="125"/>
      <c r="F4370" s="118" t="s">
        <v>828</v>
      </c>
      <c r="G4370" s="126" t="s">
        <v>11386</v>
      </c>
      <c r="H4370" s="255">
        <v>6</v>
      </c>
      <c r="I4370" s="361">
        <v>1</v>
      </c>
      <c r="J4370" s="371" t="s">
        <v>286</v>
      </c>
      <c r="K4370" s="377"/>
      <c r="L4370" s="129"/>
      <c r="M4370" s="378"/>
      <c r="N4370" s="129"/>
      <c r="O4370" s="129"/>
      <c r="P4370" s="379"/>
      <c r="Q4370" s="129"/>
      <c r="R4370" s="380"/>
      <c r="S4370" s="129"/>
      <c r="T4370" s="129"/>
      <c r="W4370" s="129" t="s">
        <v>286</v>
      </c>
      <c r="X4370" s="337" t="b">
        <f t="shared" si="102"/>
        <v>1</v>
      </c>
    </row>
    <row r="4371" spans="1:24" ht="12" customHeight="1" outlineLevel="1">
      <c r="A4371" s="370"/>
      <c r="B4371" s="118" t="s">
        <v>12</v>
      </c>
      <c r="C4371" s="334" t="s">
        <v>12426</v>
      </c>
      <c r="D4371" s="124" t="s">
        <v>11745</v>
      </c>
      <c r="E4371" s="125"/>
      <c r="F4371" s="118" t="s">
        <v>828</v>
      </c>
      <c r="G4371" s="126" t="s">
        <v>11386</v>
      </c>
      <c r="H4371" s="255">
        <v>6</v>
      </c>
      <c r="I4371" s="361">
        <v>1</v>
      </c>
      <c r="J4371" s="371" t="s">
        <v>286</v>
      </c>
      <c r="K4371" s="377"/>
      <c r="L4371" s="129"/>
      <c r="M4371" s="378"/>
      <c r="N4371" s="129"/>
      <c r="O4371" s="129"/>
      <c r="P4371" s="379"/>
      <c r="Q4371" s="129"/>
      <c r="R4371" s="380"/>
      <c r="S4371" s="129"/>
      <c r="T4371" s="129"/>
      <c r="W4371" s="129" t="s">
        <v>286</v>
      </c>
      <c r="X4371" s="337" t="b">
        <f t="shared" ref="X4371:X4434" si="103">W4371=J4371</f>
        <v>1</v>
      </c>
    </row>
    <row r="4372" spans="1:24" ht="12" customHeight="1" outlineLevel="1">
      <c r="A4372" s="370"/>
      <c r="B4372" s="118" t="s">
        <v>12</v>
      </c>
      <c r="C4372" s="334" t="s">
        <v>12427</v>
      </c>
      <c r="D4372" s="124" t="s">
        <v>11747</v>
      </c>
      <c r="E4372" s="125"/>
      <c r="F4372" s="118" t="s">
        <v>828</v>
      </c>
      <c r="G4372" s="126" t="s">
        <v>11386</v>
      </c>
      <c r="H4372" s="255">
        <v>6</v>
      </c>
      <c r="I4372" s="361">
        <v>1</v>
      </c>
      <c r="J4372" s="371" t="s">
        <v>286</v>
      </c>
      <c r="K4372" s="377"/>
      <c r="L4372" s="129"/>
      <c r="M4372" s="378"/>
      <c r="N4372" s="129"/>
      <c r="O4372" s="129"/>
      <c r="P4372" s="379"/>
      <c r="Q4372" s="129"/>
      <c r="R4372" s="380"/>
      <c r="S4372" s="129"/>
      <c r="T4372" s="129"/>
      <c r="W4372" s="129" t="s">
        <v>286</v>
      </c>
      <c r="X4372" s="337" t="b">
        <f t="shared" si="103"/>
        <v>1</v>
      </c>
    </row>
    <row r="4373" spans="1:24" ht="12" customHeight="1" outlineLevel="1">
      <c r="A4373" s="370"/>
      <c r="B4373" s="118" t="s">
        <v>12</v>
      </c>
      <c r="C4373" s="334" t="s">
        <v>12428</v>
      </c>
      <c r="D4373" s="124" t="s">
        <v>11749</v>
      </c>
      <c r="E4373" s="125"/>
      <c r="F4373" s="118" t="s">
        <v>828</v>
      </c>
      <c r="G4373" s="126" t="s">
        <v>11386</v>
      </c>
      <c r="H4373" s="255">
        <v>6</v>
      </c>
      <c r="I4373" s="361">
        <v>1</v>
      </c>
      <c r="J4373" s="371" t="s">
        <v>286</v>
      </c>
      <c r="K4373" s="377"/>
      <c r="L4373" s="129"/>
      <c r="M4373" s="378"/>
      <c r="N4373" s="129"/>
      <c r="O4373" s="129"/>
      <c r="P4373" s="379"/>
      <c r="Q4373" s="129"/>
      <c r="R4373" s="380"/>
      <c r="S4373" s="129"/>
      <c r="T4373" s="129"/>
      <c r="W4373" s="129" t="s">
        <v>286</v>
      </c>
      <c r="X4373" s="337" t="b">
        <f t="shared" si="103"/>
        <v>1</v>
      </c>
    </row>
    <row r="4374" spans="1:24" ht="12" customHeight="1" outlineLevel="1">
      <c r="A4374" s="370"/>
      <c r="B4374" s="118" t="s">
        <v>12</v>
      </c>
      <c r="C4374" s="334" t="s">
        <v>12429</v>
      </c>
      <c r="D4374" s="124" t="s">
        <v>11751</v>
      </c>
      <c r="E4374" s="125"/>
      <c r="F4374" s="118" t="s">
        <v>828</v>
      </c>
      <c r="G4374" s="126" t="s">
        <v>11386</v>
      </c>
      <c r="H4374" s="255">
        <v>6</v>
      </c>
      <c r="I4374" s="361">
        <v>1</v>
      </c>
      <c r="J4374" s="371" t="s">
        <v>310</v>
      </c>
      <c r="K4374" s="377"/>
      <c r="L4374" s="129"/>
      <c r="M4374" s="378"/>
      <c r="N4374" s="129"/>
      <c r="O4374" s="129"/>
      <c r="P4374" s="379"/>
      <c r="Q4374" s="129"/>
      <c r="R4374" s="380"/>
      <c r="S4374" s="129"/>
      <c r="T4374" s="129"/>
      <c r="W4374" s="129" t="s">
        <v>286</v>
      </c>
      <c r="X4374" s="337" t="b">
        <f t="shared" si="103"/>
        <v>0</v>
      </c>
    </row>
    <row r="4375" spans="1:24" ht="12" customHeight="1" outlineLevel="1">
      <c r="A4375" s="370"/>
      <c r="B4375" s="118" t="s">
        <v>12</v>
      </c>
      <c r="C4375" s="334" t="s">
        <v>12430</v>
      </c>
      <c r="D4375" s="124" t="s">
        <v>11753</v>
      </c>
      <c r="E4375" s="125"/>
      <c r="F4375" s="118" t="s">
        <v>828</v>
      </c>
      <c r="G4375" s="126" t="s">
        <v>11386</v>
      </c>
      <c r="H4375" s="255">
        <v>6</v>
      </c>
      <c r="I4375" s="361">
        <v>1</v>
      </c>
      <c r="J4375" s="371" t="s">
        <v>286</v>
      </c>
      <c r="K4375" s="377"/>
      <c r="L4375" s="129"/>
      <c r="M4375" s="378"/>
      <c r="N4375" s="129"/>
      <c r="O4375" s="129"/>
      <c r="P4375" s="379"/>
      <c r="Q4375" s="129"/>
      <c r="R4375" s="380"/>
      <c r="S4375" s="129"/>
      <c r="T4375" s="129"/>
      <c r="W4375" s="129" t="s">
        <v>286</v>
      </c>
      <c r="X4375" s="337" t="b">
        <f t="shared" si="103"/>
        <v>1</v>
      </c>
    </row>
    <row r="4376" spans="1:24" ht="12" customHeight="1" outlineLevel="1">
      <c r="A4376" s="370"/>
      <c r="B4376" s="118" t="s">
        <v>12</v>
      </c>
      <c r="C4376" s="334" t="s">
        <v>12431</v>
      </c>
      <c r="D4376" s="124" t="s">
        <v>11755</v>
      </c>
      <c r="E4376" s="125"/>
      <c r="F4376" s="118" t="s">
        <v>828</v>
      </c>
      <c r="G4376" s="126" t="s">
        <v>11386</v>
      </c>
      <c r="H4376" s="255">
        <v>6</v>
      </c>
      <c r="I4376" s="361">
        <v>1</v>
      </c>
      <c r="J4376" s="371" t="s">
        <v>286</v>
      </c>
      <c r="K4376" s="377"/>
      <c r="L4376" s="129"/>
      <c r="M4376" s="378"/>
      <c r="N4376" s="129"/>
      <c r="O4376" s="129"/>
      <c r="P4376" s="379"/>
      <c r="Q4376" s="129"/>
      <c r="R4376" s="380"/>
      <c r="S4376" s="129"/>
      <c r="T4376" s="129"/>
      <c r="W4376" s="129" t="s">
        <v>286</v>
      </c>
      <c r="X4376" s="337" t="b">
        <f t="shared" si="103"/>
        <v>1</v>
      </c>
    </row>
    <row r="4377" spans="1:24" ht="12" customHeight="1" outlineLevel="1">
      <c r="A4377" s="370"/>
      <c r="B4377" s="118" t="s">
        <v>12</v>
      </c>
      <c r="C4377" s="334" t="s">
        <v>12432</v>
      </c>
      <c r="D4377" s="124" t="s">
        <v>11757</v>
      </c>
      <c r="E4377" s="125"/>
      <c r="F4377" s="118" t="s">
        <v>828</v>
      </c>
      <c r="G4377" s="126" t="s">
        <v>11386</v>
      </c>
      <c r="H4377" s="255">
        <v>6</v>
      </c>
      <c r="I4377" s="361">
        <v>1</v>
      </c>
      <c r="J4377" s="371" t="s">
        <v>286</v>
      </c>
      <c r="K4377" s="377"/>
      <c r="L4377" s="129"/>
      <c r="M4377" s="378"/>
      <c r="N4377" s="129"/>
      <c r="O4377" s="129"/>
      <c r="P4377" s="379"/>
      <c r="Q4377" s="129"/>
      <c r="R4377" s="380"/>
      <c r="S4377" s="129"/>
      <c r="T4377" s="129"/>
      <c r="W4377" s="129" t="s">
        <v>286</v>
      </c>
      <c r="X4377" s="337" t="b">
        <f t="shared" si="103"/>
        <v>1</v>
      </c>
    </row>
    <row r="4378" spans="1:24" ht="12" customHeight="1" outlineLevel="1">
      <c r="A4378" s="370"/>
      <c r="B4378" s="118" t="s">
        <v>12</v>
      </c>
      <c r="C4378" s="334" t="s">
        <v>12433</v>
      </c>
      <c r="D4378" s="124" t="s">
        <v>11759</v>
      </c>
      <c r="E4378" s="125"/>
      <c r="F4378" s="118" t="s">
        <v>828</v>
      </c>
      <c r="G4378" s="126" t="s">
        <v>11386</v>
      </c>
      <c r="H4378" s="255">
        <v>6</v>
      </c>
      <c r="I4378" s="361">
        <v>1</v>
      </c>
      <c r="J4378" s="371" t="s">
        <v>310</v>
      </c>
      <c r="K4378" s="377"/>
      <c r="L4378" s="129"/>
      <c r="M4378" s="378"/>
      <c r="N4378" s="129"/>
      <c r="O4378" s="129"/>
      <c r="P4378" s="379"/>
      <c r="Q4378" s="129"/>
      <c r="R4378" s="380"/>
      <c r="S4378" s="129"/>
      <c r="T4378" s="129"/>
      <c r="W4378" s="129" t="s">
        <v>310</v>
      </c>
      <c r="X4378" s="337" t="b">
        <f t="shared" si="103"/>
        <v>1</v>
      </c>
    </row>
    <row r="4379" spans="1:24" ht="12" customHeight="1" outlineLevel="1">
      <c r="A4379" s="370"/>
      <c r="B4379" s="118" t="s">
        <v>12</v>
      </c>
      <c r="C4379" s="334" t="s">
        <v>12434</v>
      </c>
      <c r="D4379" s="124" t="s">
        <v>11761</v>
      </c>
      <c r="E4379" s="125"/>
      <c r="F4379" s="118" t="s">
        <v>828</v>
      </c>
      <c r="G4379" s="126" t="s">
        <v>11386</v>
      </c>
      <c r="H4379" s="255">
        <v>6</v>
      </c>
      <c r="I4379" s="361">
        <v>1</v>
      </c>
      <c r="J4379" s="371" t="s">
        <v>286</v>
      </c>
      <c r="K4379" s="377"/>
      <c r="L4379" s="129"/>
      <c r="M4379" s="378"/>
      <c r="N4379" s="129"/>
      <c r="O4379" s="129"/>
      <c r="P4379" s="379"/>
      <c r="Q4379" s="129"/>
      <c r="R4379" s="380"/>
      <c r="S4379" s="129"/>
      <c r="T4379" s="129"/>
      <c r="W4379" s="129" t="s">
        <v>286</v>
      </c>
      <c r="X4379" s="337" t="b">
        <f t="shared" si="103"/>
        <v>1</v>
      </c>
    </row>
    <row r="4380" spans="1:24" ht="12" customHeight="1" outlineLevel="1">
      <c r="A4380" s="370"/>
      <c r="B4380" s="118" t="s">
        <v>12</v>
      </c>
      <c r="C4380" s="334" t="s">
        <v>12435</v>
      </c>
      <c r="D4380" s="124" t="s">
        <v>11763</v>
      </c>
      <c r="E4380" s="125"/>
      <c r="F4380" s="118" t="s">
        <v>828</v>
      </c>
      <c r="G4380" s="126" t="s">
        <v>11386</v>
      </c>
      <c r="H4380" s="255">
        <v>6</v>
      </c>
      <c r="I4380" s="361">
        <v>1</v>
      </c>
      <c r="J4380" s="371" t="s">
        <v>286</v>
      </c>
      <c r="K4380" s="377"/>
      <c r="L4380" s="129"/>
      <c r="M4380" s="378"/>
      <c r="N4380" s="129"/>
      <c r="O4380" s="129"/>
      <c r="P4380" s="379"/>
      <c r="Q4380" s="129"/>
      <c r="R4380" s="380"/>
      <c r="S4380" s="129"/>
      <c r="T4380" s="129"/>
      <c r="W4380" s="129" t="s">
        <v>286</v>
      </c>
      <c r="X4380" s="337" t="b">
        <f t="shared" si="103"/>
        <v>1</v>
      </c>
    </row>
    <row r="4381" spans="1:24" ht="12" customHeight="1" outlineLevel="1">
      <c r="A4381" s="370"/>
      <c r="B4381" s="118" t="s">
        <v>12</v>
      </c>
      <c r="C4381" s="334" t="s">
        <v>12436</v>
      </c>
      <c r="D4381" s="124" t="s">
        <v>11765</v>
      </c>
      <c r="E4381" s="125"/>
      <c r="F4381" s="118" t="s">
        <v>828</v>
      </c>
      <c r="G4381" s="126" t="s">
        <v>11386</v>
      </c>
      <c r="H4381" s="255">
        <v>6</v>
      </c>
      <c r="I4381" s="361">
        <v>1</v>
      </c>
      <c r="J4381" s="371" t="s">
        <v>286</v>
      </c>
      <c r="K4381" s="377"/>
      <c r="L4381" s="129"/>
      <c r="M4381" s="378"/>
      <c r="N4381" s="129"/>
      <c r="O4381" s="129"/>
      <c r="P4381" s="379"/>
      <c r="Q4381" s="129"/>
      <c r="R4381" s="380"/>
      <c r="S4381" s="129"/>
      <c r="T4381" s="129"/>
      <c r="W4381" s="129" t="s">
        <v>286</v>
      </c>
      <c r="X4381" s="337" t="b">
        <f t="shared" si="103"/>
        <v>1</v>
      </c>
    </row>
    <row r="4382" spans="1:24" ht="12" customHeight="1" outlineLevel="1">
      <c r="A4382" s="370"/>
      <c r="B4382" s="118" t="s">
        <v>12</v>
      </c>
      <c r="C4382" s="334" t="s">
        <v>12437</v>
      </c>
      <c r="D4382" s="124" t="s">
        <v>11767</v>
      </c>
      <c r="E4382" s="125"/>
      <c r="F4382" s="118" t="s">
        <v>828</v>
      </c>
      <c r="G4382" s="126" t="s">
        <v>11386</v>
      </c>
      <c r="H4382" s="255">
        <v>6</v>
      </c>
      <c r="I4382" s="361">
        <v>1</v>
      </c>
      <c r="J4382" s="371" t="s">
        <v>310</v>
      </c>
      <c r="K4382" s="377"/>
      <c r="L4382" s="129"/>
      <c r="M4382" s="378"/>
      <c r="N4382" s="129"/>
      <c r="O4382" s="129"/>
      <c r="P4382" s="379"/>
      <c r="Q4382" s="129"/>
      <c r="R4382" s="380"/>
      <c r="S4382" s="129"/>
      <c r="T4382" s="129"/>
      <c r="W4382" s="129" t="s">
        <v>286</v>
      </c>
      <c r="X4382" s="337" t="b">
        <f t="shared" si="103"/>
        <v>0</v>
      </c>
    </row>
    <row r="4383" spans="1:24" ht="12" customHeight="1" outlineLevel="1">
      <c r="A4383" s="370"/>
      <c r="B4383" s="118" t="s">
        <v>12</v>
      </c>
      <c r="C4383" s="334" t="s">
        <v>12438</v>
      </c>
      <c r="D4383" s="124" t="s">
        <v>11769</v>
      </c>
      <c r="E4383" s="125"/>
      <c r="F4383" s="118" t="s">
        <v>828</v>
      </c>
      <c r="G4383" s="126" t="s">
        <v>11386</v>
      </c>
      <c r="H4383" s="255">
        <v>6</v>
      </c>
      <c r="I4383" s="361">
        <v>1</v>
      </c>
      <c r="J4383" s="371" t="s">
        <v>286</v>
      </c>
      <c r="K4383" s="377"/>
      <c r="L4383" s="129"/>
      <c r="M4383" s="378"/>
      <c r="N4383" s="129"/>
      <c r="O4383" s="129"/>
      <c r="P4383" s="379"/>
      <c r="Q4383" s="129"/>
      <c r="R4383" s="380"/>
      <c r="S4383" s="129"/>
      <c r="T4383" s="129"/>
      <c r="W4383" s="129" t="s">
        <v>286</v>
      </c>
      <c r="X4383" s="337" t="b">
        <f t="shared" si="103"/>
        <v>1</v>
      </c>
    </row>
    <row r="4384" spans="1:24" ht="12" customHeight="1" outlineLevel="1">
      <c r="A4384" s="370"/>
      <c r="B4384" s="118" t="s">
        <v>12</v>
      </c>
      <c r="C4384" s="334" t="s">
        <v>12439</v>
      </c>
      <c r="D4384" s="124" t="s">
        <v>11771</v>
      </c>
      <c r="E4384" s="125"/>
      <c r="F4384" s="118" t="s">
        <v>828</v>
      </c>
      <c r="G4384" s="126" t="s">
        <v>11386</v>
      </c>
      <c r="H4384" s="255">
        <v>6</v>
      </c>
      <c r="I4384" s="361">
        <v>1</v>
      </c>
      <c r="J4384" s="371" t="s">
        <v>286</v>
      </c>
      <c r="K4384" s="377"/>
      <c r="L4384" s="129"/>
      <c r="M4384" s="378"/>
      <c r="N4384" s="129"/>
      <c r="O4384" s="129"/>
      <c r="P4384" s="379"/>
      <c r="Q4384" s="129"/>
      <c r="R4384" s="380"/>
      <c r="S4384" s="129"/>
      <c r="T4384" s="129"/>
      <c r="W4384" s="129" t="s">
        <v>286</v>
      </c>
      <c r="X4384" s="337" t="b">
        <f t="shared" si="103"/>
        <v>1</v>
      </c>
    </row>
    <row r="4385" spans="1:24" ht="12" customHeight="1" outlineLevel="1">
      <c r="A4385" s="370"/>
      <c r="B4385" s="118" t="s">
        <v>12</v>
      </c>
      <c r="C4385" s="334" t="s">
        <v>12440</v>
      </c>
      <c r="D4385" s="124" t="s">
        <v>11773</v>
      </c>
      <c r="E4385" s="125"/>
      <c r="F4385" s="118" t="s">
        <v>828</v>
      </c>
      <c r="G4385" s="126" t="s">
        <v>11386</v>
      </c>
      <c r="H4385" s="255">
        <v>6</v>
      </c>
      <c r="I4385" s="361">
        <v>1</v>
      </c>
      <c r="J4385" s="371" t="s">
        <v>286</v>
      </c>
      <c r="K4385" s="377"/>
      <c r="L4385" s="129"/>
      <c r="M4385" s="378"/>
      <c r="N4385" s="129"/>
      <c r="O4385" s="129"/>
      <c r="P4385" s="379"/>
      <c r="Q4385" s="129"/>
      <c r="R4385" s="380"/>
      <c r="S4385" s="129"/>
      <c r="T4385" s="129"/>
      <c r="W4385" s="129" t="s">
        <v>286</v>
      </c>
      <c r="X4385" s="337" t="b">
        <f t="shared" si="103"/>
        <v>1</v>
      </c>
    </row>
    <row r="4386" spans="1:24" ht="12" customHeight="1" outlineLevel="1">
      <c r="A4386" s="370"/>
      <c r="B4386" s="118" t="s">
        <v>12</v>
      </c>
      <c r="C4386" s="334" t="s">
        <v>12441</v>
      </c>
      <c r="D4386" s="124" t="s">
        <v>11775</v>
      </c>
      <c r="E4386" s="125"/>
      <c r="F4386" s="118" t="s">
        <v>828</v>
      </c>
      <c r="G4386" s="126" t="s">
        <v>11386</v>
      </c>
      <c r="H4386" s="255">
        <v>6</v>
      </c>
      <c r="I4386" s="361">
        <v>1</v>
      </c>
      <c r="J4386" s="371" t="s">
        <v>286</v>
      </c>
      <c r="K4386" s="377"/>
      <c r="L4386" s="129"/>
      <c r="M4386" s="378"/>
      <c r="N4386" s="129"/>
      <c r="O4386" s="129"/>
      <c r="P4386" s="379"/>
      <c r="Q4386" s="129"/>
      <c r="R4386" s="380"/>
      <c r="S4386" s="129"/>
      <c r="T4386" s="129"/>
      <c r="W4386" s="129" t="s">
        <v>286</v>
      </c>
      <c r="X4386" s="337" t="b">
        <f t="shared" si="103"/>
        <v>1</v>
      </c>
    </row>
    <row r="4387" spans="1:24" ht="12" customHeight="1" outlineLevel="1">
      <c r="A4387" s="370"/>
      <c r="B4387" s="118" t="s">
        <v>12</v>
      </c>
      <c r="C4387" s="334" t="s">
        <v>12442</v>
      </c>
      <c r="D4387" s="124" t="s">
        <v>11777</v>
      </c>
      <c r="E4387" s="125"/>
      <c r="F4387" s="118" t="s">
        <v>828</v>
      </c>
      <c r="G4387" s="126" t="s">
        <v>11386</v>
      </c>
      <c r="H4387" s="255">
        <v>6</v>
      </c>
      <c r="I4387" s="361">
        <v>1</v>
      </c>
      <c r="J4387" s="371" t="s">
        <v>286</v>
      </c>
      <c r="K4387" s="377"/>
      <c r="L4387" s="129"/>
      <c r="M4387" s="378"/>
      <c r="N4387" s="129"/>
      <c r="O4387" s="129"/>
      <c r="P4387" s="379"/>
      <c r="Q4387" s="129"/>
      <c r="R4387" s="380"/>
      <c r="S4387" s="129"/>
      <c r="T4387" s="129"/>
      <c r="W4387" s="129" t="s">
        <v>286</v>
      </c>
      <c r="X4387" s="337" t="b">
        <f t="shared" si="103"/>
        <v>1</v>
      </c>
    </row>
    <row r="4388" spans="1:24" ht="12" customHeight="1" outlineLevel="1">
      <c r="A4388" s="370"/>
      <c r="B4388" s="118" t="s">
        <v>12</v>
      </c>
      <c r="C4388" s="334" t="s">
        <v>12443</v>
      </c>
      <c r="D4388" s="124" t="s">
        <v>11779</v>
      </c>
      <c r="E4388" s="125"/>
      <c r="F4388" s="118" t="s">
        <v>828</v>
      </c>
      <c r="G4388" s="126" t="s">
        <v>11386</v>
      </c>
      <c r="H4388" s="255">
        <v>6</v>
      </c>
      <c r="I4388" s="361">
        <v>1</v>
      </c>
      <c r="J4388" s="371" t="s">
        <v>310</v>
      </c>
      <c r="K4388" s="377"/>
      <c r="L4388" s="129"/>
      <c r="M4388" s="378"/>
      <c r="N4388" s="129"/>
      <c r="O4388" s="129"/>
      <c r="P4388" s="379"/>
      <c r="Q4388" s="129"/>
      <c r="R4388" s="380"/>
      <c r="S4388" s="129"/>
      <c r="T4388" s="129"/>
      <c r="W4388" s="129" t="s">
        <v>310</v>
      </c>
      <c r="X4388" s="337" t="b">
        <f t="shared" si="103"/>
        <v>1</v>
      </c>
    </row>
    <row r="4389" spans="1:24" ht="12" customHeight="1" outlineLevel="1">
      <c r="A4389" s="370"/>
      <c r="B4389" s="118" t="s">
        <v>12</v>
      </c>
      <c r="C4389" s="334" t="s">
        <v>12444</v>
      </c>
      <c r="D4389" s="124" t="s">
        <v>11781</v>
      </c>
      <c r="E4389" s="125"/>
      <c r="F4389" s="118" t="s">
        <v>828</v>
      </c>
      <c r="G4389" s="126" t="s">
        <v>11386</v>
      </c>
      <c r="H4389" s="255">
        <v>6</v>
      </c>
      <c r="I4389" s="361">
        <v>1</v>
      </c>
      <c r="J4389" s="371" t="s">
        <v>310</v>
      </c>
      <c r="K4389" s="377"/>
      <c r="L4389" s="129"/>
      <c r="M4389" s="378"/>
      <c r="N4389" s="129"/>
      <c r="O4389" s="129"/>
      <c r="P4389" s="379"/>
      <c r="Q4389" s="129"/>
      <c r="R4389" s="380"/>
      <c r="S4389" s="129"/>
      <c r="T4389" s="129"/>
      <c r="W4389" s="129" t="s">
        <v>310</v>
      </c>
      <c r="X4389" s="337" t="b">
        <f t="shared" si="103"/>
        <v>1</v>
      </c>
    </row>
    <row r="4390" spans="1:24" ht="12" customHeight="1" outlineLevel="1">
      <c r="A4390" s="370"/>
      <c r="B4390" s="118" t="s">
        <v>12</v>
      </c>
      <c r="C4390" s="334" t="s">
        <v>12445</v>
      </c>
      <c r="D4390" s="124" t="s">
        <v>11783</v>
      </c>
      <c r="E4390" s="125"/>
      <c r="F4390" s="118" t="s">
        <v>828</v>
      </c>
      <c r="G4390" s="126" t="s">
        <v>11386</v>
      </c>
      <c r="H4390" s="255">
        <v>6</v>
      </c>
      <c r="I4390" s="361">
        <v>1</v>
      </c>
      <c r="J4390" s="371" t="s">
        <v>286</v>
      </c>
      <c r="K4390" s="377"/>
      <c r="L4390" s="129"/>
      <c r="M4390" s="378"/>
      <c r="N4390" s="129"/>
      <c r="O4390" s="129"/>
      <c r="P4390" s="379"/>
      <c r="Q4390" s="129"/>
      <c r="R4390" s="380"/>
      <c r="S4390" s="129"/>
      <c r="T4390" s="129"/>
      <c r="W4390" s="129" t="s">
        <v>286</v>
      </c>
      <c r="X4390" s="337" t="b">
        <f t="shared" si="103"/>
        <v>1</v>
      </c>
    </row>
    <row r="4391" spans="1:24" ht="12" customHeight="1" outlineLevel="1">
      <c r="A4391" s="370"/>
      <c r="B4391" s="118" t="s">
        <v>12</v>
      </c>
      <c r="C4391" s="334" t="s">
        <v>12446</v>
      </c>
      <c r="D4391" s="124" t="s">
        <v>11785</v>
      </c>
      <c r="E4391" s="125"/>
      <c r="F4391" s="118" t="s">
        <v>828</v>
      </c>
      <c r="G4391" s="126" t="s">
        <v>11386</v>
      </c>
      <c r="H4391" s="255">
        <v>6</v>
      </c>
      <c r="I4391" s="361">
        <v>1</v>
      </c>
      <c r="J4391" s="371" t="s">
        <v>286</v>
      </c>
      <c r="K4391" s="377"/>
      <c r="L4391" s="129"/>
      <c r="M4391" s="378"/>
      <c r="N4391" s="129"/>
      <c r="O4391" s="129"/>
      <c r="P4391" s="379"/>
      <c r="Q4391" s="129"/>
      <c r="R4391" s="380"/>
      <c r="S4391" s="129"/>
      <c r="T4391" s="129"/>
      <c r="W4391" s="129" t="s">
        <v>286</v>
      </c>
      <c r="X4391" s="337" t="b">
        <f t="shared" si="103"/>
        <v>1</v>
      </c>
    </row>
    <row r="4392" spans="1:24" ht="12" customHeight="1" outlineLevel="1">
      <c r="A4392" s="370"/>
      <c r="B4392" s="118" t="s">
        <v>12</v>
      </c>
      <c r="C4392" s="334" t="s">
        <v>12447</v>
      </c>
      <c r="D4392" s="124" t="s">
        <v>11787</v>
      </c>
      <c r="E4392" s="125"/>
      <c r="F4392" s="118" t="s">
        <v>828</v>
      </c>
      <c r="G4392" s="126" t="s">
        <v>11386</v>
      </c>
      <c r="H4392" s="255">
        <v>6</v>
      </c>
      <c r="I4392" s="361">
        <v>1</v>
      </c>
      <c r="J4392" s="371" t="s">
        <v>286</v>
      </c>
      <c r="K4392" s="377"/>
      <c r="L4392" s="129"/>
      <c r="M4392" s="378"/>
      <c r="N4392" s="129"/>
      <c r="O4392" s="129"/>
      <c r="P4392" s="379"/>
      <c r="Q4392" s="129"/>
      <c r="R4392" s="380"/>
      <c r="S4392" s="129"/>
      <c r="T4392" s="129"/>
      <c r="W4392" s="129" t="s">
        <v>286</v>
      </c>
      <c r="X4392" s="337" t="b">
        <f t="shared" si="103"/>
        <v>1</v>
      </c>
    </row>
    <row r="4393" spans="1:24" ht="12" customHeight="1" outlineLevel="1">
      <c r="A4393" s="370"/>
      <c r="B4393" s="118" t="s">
        <v>12</v>
      </c>
      <c r="C4393" s="334" t="s">
        <v>12448</v>
      </c>
      <c r="D4393" s="124" t="s">
        <v>11789</v>
      </c>
      <c r="E4393" s="125"/>
      <c r="F4393" s="118" t="s">
        <v>828</v>
      </c>
      <c r="G4393" s="126" t="s">
        <v>11386</v>
      </c>
      <c r="H4393" s="255">
        <v>6</v>
      </c>
      <c r="I4393" s="361">
        <v>1</v>
      </c>
      <c r="J4393" s="371" t="s">
        <v>286</v>
      </c>
      <c r="K4393" s="377"/>
      <c r="L4393" s="129"/>
      <c r="M4393" s="378"/>
      <c r="N4393" s="129"/>
      <c r="O4393" s="129"/>
      <c r="P4393" s="379"/>
      <c r="Q4393" s="129"/>
      <c r="R4393" s="380"/>
      <c r="S4393" s="129"/>
      <c r="T4393" s="129"/>
      <c r="W4393" s="129" t="s">
        <v>286</v>
      </c>
      <c r="X4393" s="337" t="b">
        <f t="shared" si="103"/>
        <v>1</v>
      </c>
    </row>
    <row r="4394" spans="1:24" ht="12" customHeight="1" outlineLevel="1">
      <c r="A4394" s="370"/>
      <c r="B4394" s="118" t="s">
        <v>12</v>
      </c>
      <c r="C4394" s="334" t="s">
        <v>12449</v>
      </c>
      <c r="D4394" s="124" t="s">
        <v>11791</v>
      </c>
      <c r="E4394" s="125"/>
      <c r="F4394" s="118" t="s">
        <v>828</v>
      </c>
      <c r="G4394" s="126" t="s">
        <v>11386</v>
      </c>
      <c r="H4394" s="255">
        <v>6</v>
      </c>
      <c r="I4394" s="361">
        <v>1</v>
      </c>
      <c r="J4394" s="371" t="s">
        <v>286</v>
      </c>
      <c r="K4394" s="377"/>
      <c r="L4394" s="129"/>
      <c r="M4394" s="378"/>
      <c r="N4394" s="129"/>
      <c r="O4394" s="129"/>
      <c r="P4394" s="379"/>
      <c r="Q4394" s="129"/>
      <c r="R4394" s="380"/>
      <c r="S4394" s="129"/>
      <c r="T4394" s="129"/>
      <c r="W4394" s="129" t="s">
        <v>286</v>
      </c>
      <c r="X4394" s="337" t="b">
        <f t="shared" si="103"/>
        <v>1</v>
      </c>
    </row>
    <row r="4395" spans="1:24" ht="12" customHeight="1" outlineLevel="1">
      <c r="A4395" s="370"/>
      <c r="B4395" s="118" t="s">
        <v>12</v>
      </c>
      <c r="C4395" s="334" t="s">
        <v>12450</v>
      </c>
      <c r="D4395" s="124" t="s">
        <v>11793</v>
      </c>
      <c r="E4395" s="125"/>
      <c r="F4395" s="118" t="s">
        <v>828</v>
      </c>
      <c r="G4395" s="126" t="s">
        <v>11386</v>
      </c>
      <c r="H4395" s="255">
        <v>6</v>
      </c>
      <c r="I4395" s="361">
        <v>1</v>
      </c>
      <c r="J4395" s="371" t="s">
        <v>286</v>
      </c>
      <c r="K4395" s="377"/>
      <c r="L4395" s="129"/>
      <c r="M4395" s="378"/>
      <c r="N4395" s="129"/>
      <c r="O4395" s="129"/>
      <c r="P4395" s="379"/>
      <c r="Q4395" s="129"/>
      <c r="R4395" s="380"/>
      <c r="S4395" s="129"/>
      <c r="T4395" s="129"/>
      <c r="W4395" s="129" t="s">
        <v>4876</v>
      </c>
      <c r="X4395" s="337" t="b">
        <f t="shared" si="103"/>
        <v>0</v>
      </c>
    </row>
    <row r="4396" spans="1:24" ht="12" customHeight="1" outlineLevel="1">
      <c r="A4396" s="370"/>
      <c r="B4396" s="118" t="s">
        <v>12</v>
      </c>
      <c r="C4396" s="334" t="s">
        <v>12451</v>
      </c>
      <c r="D4396" s="124" t="s">
        <v>11795</v>
      </c>
      <c r="E4396" s="125"/>
      <c r="F4396" s="118" t="s">
        <v>828</v>
      </c>
      <c r="G4396" s="126" t="s">
        <v>11386</v>
      </c>
      <c r="H4396" s="255">
        <v>6</v>
      </c>
      <c r="I4396" s="361">
        <v>1</v>
      </c>
      <c r="J4396" s="371" t="s">
        <v>286</v>
      </c>
      <c r="K4396" s="377"/>
      <c r="L4396" s="129"/>
      <c r="M4396" s="378"/>
      <c r="N4396" s="129"/>
      <c r="O4396" s="129"/>
      <c r="P4396" s="379"/>
      <c r="Q4396" s="129"/>
      <c r="R4396" s="380"/>
      <c r="S4396" s="129"/>
      <c r="T4396" s="129"/>
      <c r="W4396" s="129" t="s">
        <v>286</v>
      </c>
      <c r="X4396" s="337" t="b">
        <f t="shared" si="103"/>
        <v>1</v>
      </c>
    </row>
    <row r="4397" spans="1:24" ht="12" customHeight="1" outlineLevel="1">
      <c r="A4397" s="370"/>
      <c r="B4397" s="118" t="s">
        <v>12</v>
      </c>
      <c r="C4397" s="334" t="s">
        <v>12452</v>
      </c>
      <c r="D4397" s="124" t="s">
        <v>11797</v>
      </c>
      <c r="E4397" s="125"/>
      <c r="F4397" s="118" t="s">
        <v>828</v>
      </c>
      <c r="G4397" s="126" t="s">
        <v>11386</v>
      </c>
      <c r="H4397" s="255">
        <v>6</v>
      </c>
      <c r="I4397" s="361">
        <v>1</v>
      </c>
      <c r="J4397" s="371" t="s">
        <v>286</v>
      </c>
      <c r="K4397" s="377"/>
      <c r="L4397" s="129"/>
      <c r="M4397" s="378"/>
      <c r="N4397" s="129"/>
      <c r="O4397" s="129"/>
      <c r="P4397" s="379"/>
      <c r="Q4397" s="129"/>
      <c r="R4397" s="380"/>
      <c r="S4397" s="129"/>
      <c r="T4397" s="129"/>
      <c r="W4397" s="129" t="s">
        <v>286</v>
      </c>
      <c r="X4397" s="337" t="b">
        <f t="shared" si="103"/>
        <v>1</v>
      </c>
    </row>
    <row r="4398" spans="1:24" ht="12" customHeight="1" outlineLevel="1">
      <c r="A4398" s="370"/>
      <c r="B4398" s="118" t="s">
        <v>12</v>
      </c>
      <c r="C4398" s="334" t="s">
        <v>12453</v>
      </c>
      <c r="D4398" s="124" t="s">
        <v>11801</v>
      </c>
      <c r="E4398" s="125"/>
      <c r="F4398" s="118" t="s">
        <v>828</v>
      </c>
      <c r="G4398" s="126" t="s">
        <v>11386</v>
      </c>
      <c r="H4398" s="255">
        <v>6</v>
      </c>
      <c r="I4398" s="361">
        <v>1</v>
      </c>
      <c r="J4398" s="371" t="s">
        <v>286</v>
      </c>
      <c r="K4398" s="377"/>
      <c r="L4398" s="129"/>
      <c r="M4398" s="378"/>
      <c r="N4398" s="129"/>
      <c r="O4398" s="129"/>
      <c r="P4398" s="379"/>
      <c r="Q4398" s="129"/>
      <c r="R4398" s="380"/>
      <c r="S4398" s="129"/>
      <c r="T4398" s="129"/>
      <c r="W4398" s="129" t="s">
        <v>286</v>
      </c>
      <c r="X4398" s="337" t="b">
        <f t="shared" si="103"/>
        <v>1</v>
      </c>
    </row>
    <row r="4399" spans="1:24" ht="12" customHeight="1" outlineLevel="1">
      <c r="A4399" s="370"/>
      <c r="B4399" s="118" t="s">
        <v>12</v>
      </c>
      <c r="C4399" s="334" t="s">
        <v>12454</v>
      </c>
      <c r="D4399" s="124" t="s">
        <v>11803</v>
      </c>
      <c r="E4399" s="125"/>
      <c r="F4399" s="118" t="s">
        <v>828</v>
      </c>
      <c r="G4399" s="126" t="s">
        <v>11386</v>
      </c>
      <c r="H4399" s="255">
        <v>6</v>
      </c>
      <c r="I4399" s="361">
        <v>1</v>
      </c>
      <c r="J4399" s="371" t="s">
        <v>286</v>
      </c>
      <c r="K4399" s="377"/>
      <c r="L4399" s="129"/>
      <c r="M4399" s="378"/>
      <c r="N4399" s="129"/>
      <c r="O4399" s="129"/>
      <c r="P4399" s="379"/>
      <c r="Q4399" s="129"/>
      <c r="R4399" s="380"/>
      <c r="S4399" s="129"/>
      <c r="T4399" s="129"/>
      <c r="W4399" s="129" t="s">
        <v>286</v>
      </c>
      <c r="X4399" s="337" t="b">
        <f t="shared" si="103"/>
        <v>1</v>
      </c>
    </row>
    <row r="4400" spans="1:24" ht="12" customHeight="1" outlineLevel="1">
      <c r="A4400" s="370"/>
      <c r="B4400" s="118" t="s">
        <v>12</v>
      </c>
      <c r="C4400" s="334" t="s">
        <v>12455</v>
      </c>
      <c r="D4400" s="124" t="s">
        <v>11805</v>
      </c>
      <c r="E4400" s="125"/>
      <c r="F4400" s="118" t="s">
        <v>828</v>
      </c>
      <c r="G4400" s="126" t="s">
        <v>11386</v>
      </c>
      <c r="H4400" s="255">
        <v>6</v>
      </c>
      <c r="I4400" s="361">
        <v>1</v>
      </c>
      <c r="J4400" s="371" t="s">
        <v>286</v>
      </c>
      <c r="K4400" s="377"/>
      <c r="L4400" s="129"/>
      <c r="M4400" s="378"/>
      <c r="N4400" s="129"/>
      <c r="O4400" s="129"/>
      <c r="P4400" s="379"/>
      <c r="Q4400" s="129"/>
      <c r="R4400" s="380"/>
      <c r="S4400" s="129"/>
      <c r="T4400" s="129"/>
      <c r="W4400" s="129" t="s">
        <v>286</v>
      </c>
      <c r="X4400" s="337" t="b">
        <f t="shared" si="103"/>
        <v>1</v>
      </c>
    </row>
    <row r="4401" spans="1:24" ht="12" customHeight="1" outlineLevel="1">
      <c r="A4401" s="370"/>
      <c r="B4401" s="118" t="s">
        <v>12</v>
      </c>
      <c r="C4401" s="334" t="s">
        <v>12456</v>
      </c>
      <c r="D4401" s="124" t="s">
        <v>11807</v>
      </c>
      <c r="E4401" s="125"/>
      <c r="F4401" s="118" t="s">
        <v>828</v>
      </c>
      <c r="G4401" s="126" t="s">
        <v>11386</v>
      </c>
      <c r="H4401" s="255">
        <v>6</v>
      </c>
      <c r="I4401" s="361">
        <v>1</v>
      </c>
      <c r="J4401" s="371" t="s">
        <v>286</v>
      </c>
      <c r="K4401" s="377"/>
      <c r="L4401" s="129"/>
      <c r="M4401" s="378"/>
      <c r="N4401" s="129"/>
      <c r="O4401" s="129"/>
      <c r="P4401" s="379"/>
      <c r="Q4401" s="129"/>
      <c r="R4401" s="380"/>
      <c r="S4401" s="129"/>
      <c r="T4401" s="129"/>
      <c r="W4401" s="129" t="s">
        <v>286</v>
      </c>
      <c r="X4401" s="337" t="b">
        <f t="shared" si="103"/>
        <v>1</v>
      </c>
    </row>
    <row r="4402" spans="1:24" ht="12" customHeight="1" outlineLevel="1">
      <c r="A4402" s="370"/>
      <c r="B4402" s="118" t="s">
        <v>12</v>
      </c>
      <c r="C4402" s="334" t="s">
        <v>12457</v>
      </c>
      <c r="D4402" s="124" t="s">
        <v>11809</v>
      </c>
      <c r="E4402" s="125"/>
      <c r="F4402" s="118" t="s">
        <v>828</v>
      </c>
      <c r="G4402" s="126" t="s">
        <v>11386</v>
      </c>
      <c r="H4402" s="255">
        <v>6</v>
      </c>
      <c r="I4402" s="361">
        <v>1</v>
      </c>
      <c r="J4402" s="371" t="s">
        <v>286</v>
      </c>
      <c r="K4402" s="377"/>
      <c r="L4402" s="129"/>
      <c r="M4402" s="378"/>
      <c r="N4402" s="129"/>
      <c r="O4402" s="129"/>
      <c r="P4402" s="379"/>
      <c r="Q4402" s="129"/>
      <c r="R4402" s="380"/>
      <c r="S4402" s="129"/>
      <c r="T4402" s="129"/>
      <c r="W4402" s="129" t="s">
        <v>286</v>
      </c>
      <c r="X4402" s="337" t="b">
        <f t="shared" si="103"/>
        <v>1</v>
      </c>
    </row>
    <row r="4403" spans="1:24" ht="12" customHeight="1" outlineLevel="1">
      <c r="A4403" s="370"/>
      <c r="B4403" s="118" t="s">
        <v>12</v>
      </c>
      <c r="C4403" s="334" t="s">
        <v>12458</v>
      </c>
      <c r="D4403" s="124" t="s">
        <v>11811</v>
      </c>
      <c r="E4403" s="125"/>
      <c r="F4403" s="118" t="s">
        <v>828</v>
      </c>
      <c r="G4403" s="126" t="s">
        <v>11386</v>
      </c>
      <c r="H4403" s="255">
        <v>6</v>
      </c>
      <c r="I4403" s="361">
        <v>1</v>
      </c>
      <c r="J4403" s="371" t="s">
        <v>286</v>
      </c>
      <c r="K4403" s="377"/>
      <c r="L4403" s="129"/>
      <c r="M4403" s="378"/>
      <c r="N4403" s="129"/>
      <c r="O4403" s="129"/>
      <c r="P4403" s="379"/>
      <c r="Q4403" s="129"/>
      <c r="R4403" s="380"/>
      <c r="S4403" s="129"/>
      <c r="T4403" s="129"/>
      <c r="W4403" s="129" t="s">
        <v>286</v>
      </c>
      <c r="X4403" s="337" t="b">
        <f t="shared" si="103"/>
        <v>1</v>
      </c>
    </row>
    <row r="4404" spans="1:24" ht="12" customHeight="1" outlineLevel="1">
      <c r="A4404" s="370"/>
      <c r="B4404" s="118" t="s">
        <v>12</v>
      </c>
      <c r="C4404" s="334" t="s">
        <v>12459</v>
      </c>
      <c r="D4404" s="124" t="s">
        <v>11813</v>
      </c>
      <c r="E4404" s="125"/>
      <c r="F4404" s="118" t="s">
        <v>828</v>
      </c>
      <c r="G4404" s="126" t="s">
        <v>11386</v>
      </c>
      <c r="H4404" s="255">
        <v>6</v>
      </c>
      <c r="I4404" s="361">
        <v>1</v>
      </c>
      <c r="J4404" s="371" t="s">
        <v>286</v>
      </c>
      <c r="K4404" s="377"/>
      <c r="L4404" s="129"/>
      <c r="M4404" s="378"/>
      <c r="N4404" s="129"/>
      <c r="O4404" s="129"/>
      <c r="P4404" s="379"/>
      <c r="Q4404" s="129"/>
      <c r="R4404" s="380"/>
      <c r="S4404" s="129"/>
      <c r="T4404" s="129"/>
      <c r="W4404" s="129" t="s">
        <v>286</v>
      </c>
      <c r="X4404" s="337" t="b">
        <f t="shared" si="103"/>
        <v>1</v>
      </c>
    </row>
    <row r="4405" spans="1:24" ht="12" customHeight="1" outlineLevel="1">
      <c r="A4405" s="370"/>
      <c r="B4405" s="118" t="s">
        <v>12</v>
      </c>
      <c r="C4405" s="334" t="s">
        <v>12460</v>
      </c>
      <c r="D4405" s="124" t="s">
        <v>12461</v>
      </c>
      <c r="E4405" s="125"/>
      <c r="F4405" s="118" t="s">
        <v>828</v>
      </c>
      <c r="G4405" s="126" t="s">
        <v>11386</v>
      </c>
      <c r="H4405" s="255">
        <v>6</v>
      </c>
      <c r="I4405" s="361">
        <v>1</v>
      </c>
      <c r="J4405" s="371" t="s">
        <v>286</v>
      </c>
      <c r="K4405" s="377"/>
      <c r="L4405" s="129"/>
      <c r="M4405" s="378"/>
      <c r="N4405" s="129"/>
      <c r="O4405" s="129"/>
      <c r="P4405" s="379"/>
      <c r="Q4405" s="129"/>
      <c r="R4405" s="380"/>
      <c r="S4405" s="129"/>
      <c r="T4405" s="129"/>
      <c r="W4405" s="129" t="s">
        <v>286</v>
      </c>
      <c r="X4405" s="337" t="b">
        <f t="shared" si="103"/>
        <v>1</v>
      </c>
    </row>
    <row r="4406" spans="1:24" ht="12" customHeight="1" outlineLevel="1">
      <c r="A4406" s="370"/>
      <c r="B4406" s="118" t="s">
        <v>12</v>
      </c>
      <c r="C4406" s="334" t="s">
        <v>12462</v>
      </c>
      <c r="D4406" s="124" t="s">
        <v>11819</v>
      </c>
      <c r="E4406" s="125"/>
      <c r="F4406" s="118" t="s">
        <v>828</v>
      </c>
      <c r="G4406" s="126" t="s">
        <v>11386</v>
      </c>
      <c r="H4406" s="255">
        <v>6</v>
      </c>
      <c r="I4406" s="361">
        <v>1</v>
      </c>
      <c r="J4406" s="371" t="s">
        <v>286</v>
      </c>
      <c r="K4406" s="377"/>
      <c r="L4406" s="129"/>
      <c r="M4406" s="378"/>
      <c r="N4406" s="129"/>
      <c r="O4406" s="129"/>
      <c r="P4406" s="379"/>
      <c r="Q4406" s="129"/>
      <c r="R4406" s="380"/>
      <c r="S4406" s="129"/>
      <c r="T4406" s="129"/>
      <c r="W4406" s="129" t="s">
        <v>286</v>
      </c>
      <c r="X4406" s="337" t="b">
        <f t="shared" si="103"/>
        <v>1</v>
      </c>
    </row>
    <row r="4407" spans="1:24" ht="12" customHeight="1" outlineLevel="1">
      <c r="A4407" s="370"/>
      <c r="B4407" s="118" t="s">
        <v>12</v>
      </c>
      <c r="C4407" s="334" t="s">
        <v>12463</v>
      </c>
      <c r="D4407" s="124" t="s">
        <v>12464</v>
      </c>
      <c r="E4407" s="125"/>
      <c r="F4407" s="118" t="s">
        <v>828</v>
      </c>
      <c r="G4407" s="126" t="s">
        <v>11386</v>
      </c>
      <c r="H4407" s="255">
        <v>6</v>
      </c>
      <c r="I4407" s="361">
        <v>1</v>
      </c>
      <c r="J4407" s="371" t="s">
        <v>286</v>
      </c>
      <c r="K4407" s="377"/>
      <c r="L4407" s="129"/>
      <c r="M4407" s="378"/>
      <c r="N4407" s="129"/>
      <c r="O4407" s="129"/>
      <c r="P4407" s="379"/>
      <c r="Q4407" s="129"/>
      <c r="R4407" s="380"/>
      <c r="S4407" s="129"/>
      <c r="T4407" s="129"/>
      <c r="W4407" s="129" t="s">
        <v>286</v>
      </c>
      <c r="X4407" s="337" t="b">
        <f t="shared" si="103"/>
        <v>1</v>
      </c>
    </row>
    <row r="4408" spans="1:24" ht="12" customHeight="1" outlineLevel="1">
      <c r="A4408" s="370"/>
      <c r="B4408" s="118" t="s">
        <v>12</v>
      </c>
      <c r="C4408" s="334" t="s">
        <v>12465</v>
      </c>
      <c r="D4408" s="124" t="s">
        <v>11825</v>
      </c>
      <c r="E4408" s="125"/>
      <c r="F4408" s="118" t="s">
        <v>828</v>
      </c>
      <c r="G4408" s="126" t="s">
        <v>11386</v>
      </c>
      <c r="H4408" s="255">
        <v>6</v>
      </c>
      <c r="I4408" s="361">
        <v>1</v>
      </c>
      <c r="J4408" s="371" t="s">
        <v>286</v>
      </c>
      <c r="K4408" s="377"/>
      <c r="L4408" s="129"/>
      <c r="M4408" s="378"/>
      <c r="N4408" s="129"/>
      <c r="O4408" s="129"/>
      <c r="P4408" s="379"/>
      <c r="Q4408" s="129"/>
      <c r="R4408" s="380"/>
      <c r="S4408" s="129"/>
      <c r="T4408" s="129"/>
      <c r="W4408" s="129" t="s">
        <v>286</v>
      </c>
      <c r="X4408" s="337" t="b">
        <f t="shared" si="103"/>
        <v>1</v>
      </c>
    </row>
    <row r="4409" spans="1:24" ht="12" customHeight="1" outlineLevel="1">
      <c r="A4409" s="370"/>
      <c r="B4409" s="118" t="s">
        <v>12</v>
      </c>
      <c r="C4409" s="334" t="s">
        <v>12466</v>
      </c>
      <c r="D4409" s="124" t="s">
        <v>11827</v>
      </c>
      <c r="E4409" s="125"/>
      <c r="F4409" s="118" t="s">
        <v>828</v>
      </c>
      <c r="G4409" s="126" t="s">
        <v>11386</v>
      </c>
      <c r="H4409" s="255">
        <v>6</v>
      </c>
      <c r="I4409" s="361">
        <v>1</v>
      </c>
      <c r="J4409" s="371" t="s">
        <v>286</v>
      </c>
      <c r="K4409" s="377"/>
      <c r="L4409" s="129"/>
      <c r="M4409" s="378"/>
      <c r="N4409" s="129"/>
      <c r="O4409" s="129"/>
      <c r="P4409" s="379"/>
      <c r="Q4409" s="129"/>
      <c r="R4409" s="380"/>
      <c r="S4409" s="129"/>
      <c r="T4409" s="129"/>
      <c r="W4409" s="129" t="s">
        <v>286</v>
      </c>
      <c r="X4409" s="337" t="b">
        <f t="shared" si="103"/>
        <v>1</v>
      </c>
    </row>
    <row r="4410" spans="1:24" ht="12" customHeight="1" outlineLevel="1">
      <c r="A4410" s="370"/>
      <c r="B4410" s="118" t="s">
        <v>12</v>
      </c>
      <c r="C4410" s="334" t="s">
        <v>12467</v>
      </c>
      <c r="D4410" s="124" t="s">
        <v>12468</v>
      </c>
      <c r="E4410" s="125"/>
      <c r="F4410" s="118" t="s">
        <v>828</v>
      </c>
      <c r="G4410" s="126" t="s">
        <v>11386</v>
      </c>
      <c r="H4410" s="255">
        <v>6</v>
      </c>
      <c r="I4410" s="361">
        <v>1</v>
      </c>
      <c r="J4410" s="371" t="s">
        <v>286</v>
      </c>
      <c r="K4410" s="377"/>
      <c r="L4410" s="129"/>
      <c r="M4410" s="378"/>
      <c r="N4410" s="129"/>
      <c r="O4410" s="129"/>
      <c r="P4410" s="379"/>
      <c r="Q4410" s="129"/>
      <c r="R4410" s="380"/>
      <c r="S4410" s="129"/>
      <c r="T4410" s="129"/>
      <c r="W4410" s="129" t="s">
        <v>286</v>
      </c>
      <c r="X4410" s="337" t="b">
        <f t="shared" si="103"/>
        <v>1</v>
      </c>
    </row>
    <row r="4411" spans="1:24" ht="12" customHeight="1" outlineLevel="1">
      <c r="A4411" s="370"/>
      <c r="B4411" s="118" t="s">
        <v>12</v>
      </c>
      <c r="C4411" s="334" t="s">
        <v>12469</v>
      </c>
      <c r="D4411" s="124" t="s">
        <v>11833</v>
      </c>
      <c r="E4411" s="125"/>
      <c r="F4411" s="118" t="s">
        <v>828</v>
      </c>
      <c r="G4411" s="126" t="s">
        <v>11386</v>
      </c>
      <c r="H4411" s="255">
        <v>6</v>
      </c>
      <c r="I4411" s="361">
        <v>1</v>
      </c>
      <c r="J4411" s="371" t="s">
        <v>286</v>
      </c>
      <c r="K4411" s="377"/>
      <c r="L4411" s="129"/>
      <c r="M4411" s="378"/>
      <c r="N4411" s="129"/>
      <c r="O4411" s="129"/>
      <c r="P4411" s="379"/>
      <c r="Q4411" s="129"/>
      <c r="R4411" s="380"/>
      <c r="S4411" s="129"/>
      <c r="T4411" s="129"/>
      <c r="W4411" s="129" t="s">
        <v>286</v>
      </c>
      <c r="X4411" s="337" t="b">
        <f t="shared" si="103"/>
        <v>1</v>
      </c>
    </row>
    <row r="4412" spans="1:24" ht="12" customHeight="1" outlineLevel="1">
      <c r="A4412" s="370"/>
      <c r="B4412" s="118" t="s">
        <v>12</v>
      </c>
      <c r="C4412" s="334" t="s">
        <v>12470</v>
      </c>
      <c r="D4412" s="124" t="s">
        <v>11835</v>
      </c>
      <c r="E4412" s="125"/>
      <c r="F4412" s="118" t="s">
        <v>828</v>
      </c>
      <c r="G4412" s="126" t="s">
        <v>11386</v>
      </c>
      <c r="H4412" s="255">
        <v>6</v>
      </c>
      <c r="I4412" s="361">
        <v>1</v>
      </c>
      <c r="J4412" s="371" t="s">
        <v>286</v>
      </c>
      <c r="K4412" s="377"/>
      <c r="L4412" s="129"/>
      <c r="M4412" s="378"/>
      <c r="N4412" s="129"/>
      <c r="O4412" s="129"/>
      <c r="P4412" s="379"/>
      <c r="Q4412" s="129"/>
      <c r="R4412" s="380"/>
      <c r="S4412" s="129"/>
      <c r="T4412" s="129"/>
      <c r="W4412" s="129" t="s">
        <v>286</v>
      </c>
      <c r="X4412" s="337" t="b">
        <f t="shared" si="103"/>
        <v>1</v>
      </c>
    </row>
    <row r="4413" spans="1:24" ht="12" customHeight="1" outlineLevel="1">
      <c r="A4413" s="370"/>
      <c r="B4413" s="118" t="s">
        <v>12</v>
      </c>
      <c r="C4413" s="334" t="s">
        <v>12471</v>
      </c>
      <c r="D4413" s="124" t="s">
        <v>11837</v>
      </c>
      <c r="E4413" s="125"/>
      <c r="F4413" s="118" t="s">
        <v>828</v>
      </c>
      <c r="G4413" s="126" t="s">
        <v>11386</v>
      </c>
      <c r="H4413" s="255">
        <v>6</v>
      </c>
      <c r="I4413" s="361">
        <v>1</v>
      </c>
      <c r="J4413" s="371" t="s">
        <v>286</v>
      </c>
      <c r="K4413" s="377"/>
      <c r="L4413" s="129"/>
      <c r="M4413" s="378"/>
      <c r="N4413" s="129"/>
      <c r="O4413" s="129"/>
      <c r="P4413" s="379"/>
      <c r="Q4413" s="129"/>
      <c r="R4413" s="380"/>
      <c r="S4413" s="129"/>
      <c r="T4413" s="129"/>
      <c r="W4413" s="129" t="s">
        <v>286</v>
      </c>
      <c r="X4413" s="337" t="b">
        <f t="shared" si="103"/>
        <v>1</v>
      </c>
    </row>
    <row r="4414" spans="1:24" ht="12" customHeight="1" outlineLevel="1">
      <c r="A4414" s="370"/>
      <c r="B4414" s="118" t="s">
        <v>12</v>
      </c>
      <c r="C4414" s="334" t="s">
        <v>12472</v>
      </c>
      <c r="D4414" s="124" t="s">
        <v>11839</v>
      </c>
      <c r="E4414" s="125"/>
      <c r="F4414" s="118" t="s">
        <v>828</v>
      </c>
      <c r="G4414" s="126" t="s">
        <v>11386</v>
      </c>
      <c r="H4414" s="255">
        <v>6</v>
      </c>
      <c r="I4414" s="361">
        <v>1</v>
      </c>
      <c r="J4414" s="371" t="s">
        <v>286</v>
      </c>
      <c r="K4414" s="377"/>
      <c r="L4414" s="129"/>
      <c r="M4414" s="378"/>
      <c r="N4414" s="129"/>
      <c r="O4414" s="129"/>
      <c r="P4414" s="379"/>
      <c r="Q4414" s="129"/>
      <c r="R4414" s="380"/>
      <c r="S4414" s="129"/>
      <c r="T4414" s="129"/>
      <c r="W4414" s="129" t="s">
        <v>286</v>
      </c>
      <c r="X4414" s="337" t="b">
        <f t="shared" si="103"/>
        <v>1</v>
      </c>
    </row>
    <row r="4415" spans="1:24" ht="12" customHeight="1" outlineLevel="1">
      <c r="A4415" s="370"/>
      <c r="B4415" s="118" t="s">
        <v>12</v>
      </c>
      <c r="C4415" s="334" t="s">
        <v>12473</v>
      </c>
      <c r="D4415" s="124" t="s">
        <v>11841</v>
      </c>
      <c r="E4415" s="125"/>
      <c r="F4415" s="118" t="s">
        <v>828</v>
      </c>
      <c r="G4415" s="126" t="s">
        <v>11386</v>
      </c>
      <c r="H4415" s="255">
        <v>6</v>
      </c>
      <c r="I4415" s="361">
        <v>1</v>
      </c>
      <c r="J4415" s="371" t="s">
        <v>286</v>
      </c>
      <c r="K4415" s="377"/>
      <c r="L4415" s="129"/>
      <c r="M4415" s="378"/>
      <c r="N4415" s="129"/>
      <c r="O4415" s="129"/>
      <c r="P4415" s="379"/>
      <c r="Q4415" s="129"/>
      <c r="R4415" s="380"/>
      <c r="S4415" s="129"/>
      <c r="T4415" s="129"/>
      <c r="W4415" s="129" t="s">
        <v>4876</v>
      </c>
      <c r="X4415" s="337" t="b">
        <f t="shared" si="103"/>
        <v>0</v>
      </c>
    </row>
    <row r="4416" spans="1:24" ht="12" customHeight="1" outlineLevel="1">
      <c r="A4416" s="370"/>
      <c r="B4416" s="118" t="s">
        <v>12</v>
      </c>
      <c r="C4416" s="334" t="s">
        <v>12474</v>
      </c>
      <c r="D4416" s="124" t="s">
        <v>11843</v>
      </c>
      <c r="E4416" s="125"/>
      <c r="F4416" s="118" t="s">
        <v>828</v>
      </c>
      <c r="G4416" s="126" t="s">
        <v>11386</v>
      </c>
      <c r="H4416" s="255">
        <v>6</v>
      </c>
      <c r="I4416" s="361">
        <v>1</v>
      </c>
      <c r="J4416" s="371" t="s">
        <v>286</v>
      </c>
      <c r="K4416" s="377"/>
      <c r="L4416" s="129"/>
      <c r="M4416" s="378"/>
      <c r="N4416" s="129"/>
      <c r="O4416" s="129"/>
      <c r="P4416" s="379"/>
      <c r="Q4416" s="129"/>
      <c r="R4416" s="380"/>
      <c r="S4416" s="129"/>
      <c r="T4416" s="129"/>
      <c r="W4416" s="129" t="s">
        <v>286</v>
      </c>
      <c r="X4416" s="337" t="b">
        <f t="shared" si="103"/>
        <v>1</v>
      </c>
    </row>
    <row r="4417" spans="1:24" ht="12" customHeight="1" outlineLevel="1">
      <c r="A4417" s="370"/>
      <c r="B4417" s="118" t="s">
        <v>12</v>
      </c>
      <c r="C4417" s="334" t="s">
        <v>12475</v>
      </c>
      <c r="D4417" s="124" t="s">
        <v>12476</v>
      </c>
      <c r="E4417" s="125"/>
      <c r="F4417" s="118" t="s">
        <v>828</v>
      </c>
      <c r="G4417" s="126" t="s">
        <v>11386</v>
      </c>
      <c r="H4417" s="255">
        <v>6</v>
      </c>
      <c r="I4417" s="361">
        <v>1</v>
      </c>
      <c r="J4417" s="371" t="s">
        <v>286</v>
      </c>
      <c r="K4417" s="377"/>
      <c r="L4417" s="129"/>
      <c r="M4417" s="378"/>
      <c r="N4417" s="129"/>
      <c r="O4417" s="129"/>
      <c r="P4417" s="379"/>
      <c r="Q4417" s="129"/>
      <c r="R4417" s="380"/>
      <c r="S4417" s="129"/>
      <c r="T4417" s="129"/>
      <c r="W4417" s="129" t="s">
        <v>286</v>
      </c>
      <c r="X4417" s="337" t="b">
        <f t="shared" si="103"/>
        <v>1</v>
      </c>
    </row>
    <row r="4418" spans="1:24" ht="12" customHeight="1" outlineLevel="1">
      <c r="A4418" s="370"/>
      <c r="B4418" s="118" t="s">
        <v>12</v>
      </c>
      <c r="C4418" s="334" t="s">
        <v>12477</v>
      </c>
      <c r="D4418" s="124" t="s">
        <v>11849</v>
      </c>
      <c r="E4418" s="125"/>
      <c r="F4418" s="118" t="s">
        <v>828</v>
      </c>
      <c r="G4418" s="126" t="s">
        <v>11386</v>
      </c>
      <c r="H4418" s="255">
        <v>6</v>
      </c>
      <c r="I4418" s="361">
        <v>1</v>
      </c>
      <c r="J4418" s="371" t="s">
        <v>286</v>
      </c>
      <c r="K4418" s="377"/>
      <c r="L4418" s="129"/>
      <c r="M4418" s="378"/>
      <c r="N4418" s="129"/>
      <c r="O4418" s="129"/>
      <c r="P4418" s="379"/>
      <c r="Q4418" s="129"/>
      <c r="R4418" s="380"/>
      <c r="S4418" s="129"/>
      <c r="T4418" s="129"/>
      <c r="W4418" s="129" t="s">
        <v>286</v>
      </c>
      <c r="X4418" s="337" t="b">
        <f t="shared" si="103"/>
        <v>1</v>
      </c>
    </row>
    <row r="4419" spans="1:24" ht="12" customHeight="1" outlineLevel="1">
      <c r="A4419" s="370"/>
      <c r="B4419" s="118" t="s">
        <v>12</v>
      </c>
      <c r="C4419" s="334" t="s">
        <v>12478</v>
      </c>
      <c r="D4419" s="124" t="s">
        <v>12479</v>
      </c>
      <c r="E4419" s="125"/>
      <c r="F4419" s="118" t="s">
        <v>828</v>
      </c>
      <c r="G4419" s="126" t="s">
        <v>11386</v>
      </c>
      <c r="H4419" s="255">
        <v>6</v>
      </c>
      <c r="I4419" s="361">
        <v>1</v>
      </c>
      <c r="J4419" s="371" t="s">
        <v>286</v>
      </c>
      <c r="K4419" s="377"/>
      <c r="L4419" s="129"/>
      <c r="M4419" s="378"/>
      <c r="N4419" s="129"/>
      <c r="O4419" s="129"/>
      <c r="P4419" s="379"/>
      <c r="Q4419" s="129"/>
      <c r="R4419" s="380"/>
      <c r="S4419" s="129"/>
      <c r="T4419" s="129"/>
      <c r="W4419" s="129" t="s">
        <v>286</v>
      </c>
      <c r="X4419" s="337" t="b">
        <f t="shared" si="103"/>
        <v>1</v>
      </c>
    </row>
    <row r="4420" spans="1:24" ht="12" customHeight="1" outlineLevel="1">
      <c r="A4420" s="370"/>
      <c r="B4420" s="118" t="s">
        <v>12</v>
      </c>
      <c r="C4420" s="334" t="s">
        <v>12480</v>
      </c>
      <c r="D4420" s="124" t="s">
        <v>5250</v>
      </c>
      <c r="E4420" s="125"/>
      <c r="F4420" s="118" t="s">
        <v>828</v>
      </c>
      <c r="G4420" s="126" t="s">
        <v>11386</v>
      </c>
      <c r="H4420" s="255">
        <v>6</v>
      </c>
      <c r="I4420" s="361">
        <v>1</v>
      </c>
      <c r="J4420" s="371" t="s">
        <v>286</v>
      </c>
      <c r="K4420" s="377"/>
      <c r="L4420" s="129"/>
      <c r="M4420" s="378"/>
      <c r="N4420" s="129"/>
      <c r="O4420" s="129"/>
      <c r="P4420" s="379"/>
      <c r="Q4420" s="129"/>
      <c r="R4420" s="380"/>
      <c r="S4420" s="129"/>
      <c r="T4420" s="129"/>
      <c r="W4420" s="129" t="s">
        <v>286</v>
      </c>
      <c r="X4420" s="337" t="b">
        <f t="shared" si="103"/>
        <v>1</v>
      </c>
    </row>
    <row r="4421" spans="1:24" ht="12" customHeight="1" outlineLevel="1">
      <c r="A4421" s="370"/>
      <c r="B4421" s="118" t="s">
        <v>12</v>
      </c>
      <c r="C4421" s="334" t="s">
        <v>12481</v>
      </c>
      <c r="D4421" s="124" t="s">
        <v>12482</v>
      </c>
      <c r="E4421" s="125"/>
      <c r="F4421" s="118" t="s">
        <v>828</v>
      </c>
      <c r="G4421" s="126" t="s">
        <v>11386</v>
      </c>
      <c r="H4421" s="255">
        <v>6</v>
      </c>
      <c r="I4421" s="361">
        <v>1</v>
      </c>
      <c r="J4421" s="371" t="s">
        <v>286</v>
      </c>
      <c r="K4421" s="377"/>
      <c r="L4421" s="129"/>
      <c r="M4421" s="378"/>
      <c r="N4421" s="129"/>
      <c r="O4421" s="129"/>
      <c r="P4421" s="379"/>
      <c r="Q4421" s="129"/>
      <c r="R4421" s="380"/>
      <c r="S4421" s="129"/>
      <c r="T4421" s="129"/>
      <c r="W4421" s="129" t="s">
        <v>286</v>
      </c>
      <c r="X4421" s="337" t="b">
        <f t="shared" si="103"/>
        <v>1</v>
      </c>
    </row>
    <row r="4422" spans="1:24" ht="12" customHeight="1" outlineLevel="1">
      <c r="A4422" s="370"/>
      <c r="B4422" s="118" t="s">
        <v>12</v>
      </c>
      <c r="C4422" s="334" t="s">
        <v>12483</v>
      </c>
      <c r="D4422" s="124" t="s">
        <v>12484</v>
      </c>
      <c r="E4422" s="125"/>
      <c r="F4422" s="118" t="s">
        <v>828</v>
      </c>
      <c r="G4422" s="126" t="s">
        <v>11386</v>
      </c>
      <c r="H4422" s="255">
        <v>6</v>
      </c>
      <c r="I4422" s="361">
        <v>1</v>
      </c>
      <c r="J4422" s="371" t="s">
        <v>286</v>
      </c>
      <c r="K4422" s="377"/>
      <c r="L4422" s="129"/>
      <c r="M4422" s="378"/>
      <c r="N4422" s="129"/>
      <c r="O4422" s="129"/>
      <c r="P4422" s="379"/>
      <c r="Q4422" s="129"/>
      <c r="R4422" s="380"/>
      <c r="S4422" s="129"/>
      <c r="T4422" s="129"/>
      <c r="W4422" s="129" t="s">
        <v>286</v>
      </c>
      <c r="X4422" s="337" t="b">
        <f t="shared" si="103"/>
        <v>1</v>
      </c>
    </row>
    <row r="4423" spans="1:24" ht="12" customHeight="1" outlineLevel="1">
      <c r="A4423" s="370"/>
      <c r="B4423" s="118" t="s">
        <v>12</v>
      </c>
      <c r="C4423" s="334" t="s">
        <v>12485</v>
      </c>
      <c r="D4423" s="124" t="s">
        <v>12486</v>
      </c>
      <c r="E4423" s="125"/>
      <c r="F4423" s="118" t="s">
        <v>828</v>
      </c>
      <c r="G4423" s="126" t="s">
        <v>11386</v>
      </c>
      <c r="H4423" s="255">
        <v>6</v>
      </c>
      <c r="I4423" s="361">
        <v>1</v>
      </c>
      <c r="J4423" s="371" t="s">
        <v>286</v>
      </c>
      <c r="K4423" s="377"/>
      <c r="L4423" s="129"/>
      <c r="M4423" s="378"/>
      <c r="N4423" s="129"/>
      <c r="O4423" s="129"/>
      <c r="P4423" s="379"/>
      <c r="Q4423" s="129"/>
      <c r="R4423" s="380"/>
      <c r="S4423" s="129"/>
      <c r="T4423" s="129"/>
      <c r="W4423" s="129" t="s">
        <v>286</v>
      </c>
      <c r="X4423" s="337" t="b">
        <f t="shared" si="103"/>
        <v>1</v>
      </c>
    </row>
    <row r="4424" spans="1:24" ht="12" customHeight="1" outlineLevel="1">
      <c r="A4424" s="370"/>
      <c r="B4424" s="118" t="s">
        <v>12</v>
      </c>
      <c r="C4424" s="334" t="s">
        <v>12487</v>
      </c>
      <c r="D4424" s="124" t="s">
        <v>12488</v>
      </c>
      <c r="E4424" s="125"/>
      <c r="F4424" s="118" t="s">
        <v>828</v>
      </c>
      <c r="G4424" s="126" t="s">
        <v>11386</v>
      </c>
      <c r="H4424" s="255">
        <v>6</v>
      </c>
      <c r="I4424" s="361">
        <v>1</v>
      </c>
      <c r="J4424" s="371" t="s">
        <v>286</v>
      </c>
      <c r="K4424" s="377"/>
      <c r="L4424" s="129"/>
      <c r="M4424" s="378"/>
      <c r="N4424" s="129"/>
      <c r="O4424" s="129"/>
      <c r="P4424" s="379"/>
      <c r="Q4424" s="129"/>
      <c r="R4424" s="380"/>
      <c r="S4424" s="129"/>
      <c r="T4424" s="129"/>
      <c r="W4424" s="129" t="s">
        <v>286</v>
      </c>
      <c r="X4424" s="337" t="b">
        <f t="shared" si="103"/>
        <v>1</v>
      </c>
    </row>
    <row r="4425" spans="1:24" ht="12" customHeight="1" outlineLevel="1">
      <c r="A4425" s="370"/>
      <c r="B4425" s="118" t="s">
        <v>12</v>
      </c>
      <c r="C4425" s="334" t="s">
        <v>12489</v>
      </c>
      <c r="D4425" s="124" t="s">
        <v>12490</v>
      </c>
      <c r="E4425" s="125"/>
      <c r="F4425" s="118" t="s">
        <v>828</v>
      </c>
      <c r="G4425" s="126" t="s">
        <v>11386</v>
      </c>
      <c r="H4425" s="255">
        <v>6</v>
      </c>
      <c r="I4425" s="361">
        <v>1</v>
      </c>
      <c r="J4425" s="371" t="s">
        <v>286</v>
      </c>
      <c r="K4425" s="377"/>
      <c r="L4425" s="129"/>
      <c r="M4425" s="378"/>
      <c r="N4425" s="129"/>
      <c r="O4425" s="129"/>
      <c r="P4425" s="379"/>
      <c r="Q4425" s="129"/>
      <c r="R4425" s="380"/>
      <c r="S4425" s="129"/>
      <c r="T4425" s="129"/>
      <c r="W4425" s="129" t="s">
        <v>286</v>
      </c>
      <c r="X4425" s="337" t="b">
        <f t="shared" si="103"/>
        <v>1</v>
      </c>
    </row>
    <row r="4426" spans="1:24" ht="12" customHeight="1" outlineLevel="1">
      <c r="A4426" s="370"/>
      <c r="B4426" s="118" t="s">
        <v>12</v>
      </c>
      <c r="C4426" s="334" t="s">
        <v>12491</v>
      </c>
      <c r="D4426" s="124" t="s">
        <v>12492</v>
      </c>
      <c r="E4426" s="125"/>
      <c r="F4426" s="118" t="s">
        <v>828</v>
      </c>
      <c r="G4426" s="126" t="s">
        <v>11386</v>
      </c>
      <c r="H4426" s="255">
        <v>6</v>
      </c>
      <c r="I4426" s="361">
        <v>1</v>
      </c>
      <c r="J4426" s="371" t="s">
        <v>286</v>
      </c>
      <c r="K4426" s="377"/>
      <c r="L4426" s="129"/>
      <c r="M4426" s="378"/>
      <c r="N4426" s="129"/>
      <c r="O4426" s="129"/>
      <c r="P4426" s="379"/>
      <c r="Q4426" s="129"/>
      <c r="R4426" s="380"/>
      <c r="S4426" s="129"/>
      <c r="T4426" s="129"/>
      <c r="W4426" s="129" t="s">
        <v>286</v>
      </c>
      <c r="X4426" s="337" t="b">
        <f t="shared" si="103"/>
        <v>1</v>
      </c>
    </row>
    <row r="4427" spans="1:24" ht="12" customHeight="1" outlineLevel="1">
      <c r="A4427" s="370"/>
      <c r="B4427" s="118" t="s">
        <v>12</v>
      </c>
      <c r="C4427" s="334" t="s">
        <v>12493</v>
      </c>
      <c r="D4427" s="124" t="s">
        <v>12494</v>
      </c>
      <c r="E4427" s="125"/>
      <c r="F4427" s="118" t="s">
        <v>828</v>
      </c>
      <c r="G4427" s="126" t="s">
        <v>11386</v>
      </c>
      <c r="H4427" s="255">
        <v>6</v>
      </c>
      <c r="I4427" s="361">
        <v>1</v>
      </c>
      <c r="J4427" s="371" t="s">
        <v>286</v>
      </c>
      <c r="K4427" s="377"/>
      <c r="L4427" s="129"/>
      <c r="M4427" s="378"/>
      <c r="N4427" s="129"/>
      <c r="O4427" s="129"/>
      <c r="P4427" s="379"/>
      <c r="Q4427" s="129"/>
      <c r="R4427" s="380"/>
      <c r="S4427" s="129"/>
      <c r="T4427" s="129"/>
      <c r="W4427" s="129" t="s">
        <v>286</v>
      </c>
      <c r="X4427" s="337" t="b">
        <f t="shared" si="103"/>
        <v>1</v>
      </c>
    </row>
    <row r="4428" spans="1:24" ht="12" customHeight="1" outlineLevel="1">
      <c r="A4428" s="370"/>
      <c r="B4428" s="118" t="s">
        <v>12</v>
      </c>
      <c r="C4428" s="334" t="s">
        <v>12495</v>
      </c>
      <c r="D4428" s="124" t="s">
        <v>12496</v>
      </c>
      <c r="E4428" s="125"/>
      <c r="F4428" s="118" t="s">
        <v>828</v>
      </c>
      <c r="G4428" s="126" t="s">
        <v>11386</v>
      </c>
      <c r="H4428" s="255">
        <v>6</v>
      </c>
      <c r="I4428" s="361">
        <v>1</v>
      </c>
      <c r="J4428" s="371" t="s">
        <v>286</v>
      </c>
      <c r="K4428" s="377"/>
      <c r="L4428" s="129"/>
      <c r="M4428" s="378"/>
      <c r="N4428" s="129"/>
      <c r="O4428" s="129"/>
      <c r="P4428" s="379"/>
      <c r="Q4428" s="129"/>
      <c r="R4428" s="380"/>
      <c r="S4428" s="129"/>
      <c r="T4428" s="129"/>
      <c r="W4428" s="129" t="s">
        <v>286</v>
      </c>
      <c r="X4428" s="337" t="b">
        <f t="shared" si="103"/>
        <v>1</v>
      </c>
    </row>
    <row r="4429" spans="1:24" ht="12" customHeight="1" outlineLevel="1">
      <c r="A4429" s="370"/>
      <c r="B4429" s="118" t="s">
        <v>12</v>
      </c>
      <c r="C4429" s="334" t="s">
        <v>12497</v>
      </c>
      <c r="D4429" s="124" t="s">
        <v>12498</v>
      </c>
      <c r="E4429" s="125"/>
      <c r="F4429" s="118" t="s">
        <v>828</v>
      </c>
      <c r="G4429" s="126" t="s">
        <v>11386</v>
      </c>
      <c r="H4429" s="255">
        <v>6</v>
      </c>
      <c r="I4429" s="361">
        <v>1</v>
      </c>
      <c r="J4429" s="371" t="s">
        <v>286</v>
      </c>
      <c r="K4429" s="377"/>
      <c r="L4429" s="129"/>
      <c r="M4429" s="378"/>
      <c r="N4429" s="129"/>
      <c r="O4429" s="129"/>
      <c r="P4429" s="379"/>
      <c r="Q4429" s="129"/>
      <c r="R4429" s="380"/>
      <c r="S4429" s="129"/>
      <c r="T4429" s="129"/>
      <c r="W4429" s="129" t="s">
        <v>286</v>
      </c>
      <c r="X4429" s="337" t="b">
        <f t="shared" si="103"/>
        <v>1</v>
      </c>
    </row>
    <row r="4430" spans="1:24" ht="12" customHeight="1" outlineLevel="1">
      <c r="A4430" s="370"/>
      <c r="B4430" s="118" t="s">
        <v>12</v>
      </c>
      <c r="C4430" s="334" t="s">
        <v>12499</v>
      </c>
      <c r="D4430" s="124" t="s">
        <v>12500</v>
      </c>
      <c r="E4430" s="125"/>
      <c r="F4430" s="118" t="s">
        <v>828</v>
      </c>
      <c r="G4430" s="126" t="s">
        <v>11386</v>
      </c>
      <c r="H4430" s="255">
        <v>6</v>
      </c>
      <c r="I4430" s="361">
        <v>1</v>
      </c>
      <c r="J4430" s="371" t="s">
        <v>286</v>
      </c>
      <c r="K4430" s="377"/>
      <c r="L4430" s="129"/>
      <c r="M4430" s="378"/>
      <c r="N4430" s="129"/>
      <c r="O4430" s="129"/>
      <c r="P4430" s="379"/>
      <c r="Q4430" s="129"/>
      <c r="R4430" s="380"/>
      <c r="S4430" s="129"/>
      <c r="T4430" s="129"/>
      <c r="W4430" s="129" t="s">
        <v>286</v>
      </c>
      <c r="X4430" s="337" t="b">
        <f t="shared" si="103"/>
        <v>1</v>
      </c>
    </row>
    <row r="4431" spans="1:24" ht="12" customHeight="1" outlineLevel="1">
      <c r="A4431" s="370"/>
      <c r="B4431" s="118" t="s">
        <v>12</v>
      </c>
      <c r="C4431" s="334" t="s">
        <v>12501</v>
      </c>
      <c r="D4431" s="124" t="s">
        <v>12502</v>
      </c>
      <c r="E4431" s="125"/>
      <c r="F4431" s="118" t="s">
        <v>828</v>
      </c>
      <c r="G4431" s="126" t="s">
        <v>11386</v>
      </c>
      <c r="H4431" s="255">
        <v>6</v>
      </c>
      <c r="I4431" s="361">
        <v>1</v>
      </c>
      <c r="J4431" s="371" t="s">
        <v>286</v>
      </c>
      <c r="K4431" s="377"/>
      <c r="L4431" s="129"/>
      <c r="M4431" s="378"/>
      <c r="N4431" s="129"/>
      <c r="O4431" s="129"/>
      <c r="P4431" s="379"/>
      <c r="Q4431" s="129"/>
      <c r="R4431" s="380"/>
      <c r="S4431" s="129"/>
      <c r="T4431" s="129"/>
      <c r="W4431" s="129" t="s">
        <v>286</v>
      </c>
      <c r="X4431" s="337" t="b">
        <f t="shared" si="103"/>
        <v>1</v>
      </c>
    </row>
    <row r="4432" spans="1:24" ht="12" customHeight="1" outlineLevel="1">
      <c r="A4432" s="370"/>
      <c r="B4432" s="118" t="s">
        <v>12</v>
      </c>
      <c r="C4432" s="334" t="s">
        <v>12503</v>
      </c>
      <c r="D4432" s="124" t="s">
        <v>12504</v>
      </c>
      <c r="E4432" s="125"/>
      <c r="F4432" s="118" t="s">
        <v>828</v>
      </c>
      <c r="G4432" s="126" t="s">
        <v>11386</v>
      </c>
      <c r="H4432" s="255">
        <v>6</v>
      </c>
      <c r="I4432" s="361">
        <v>1</v>
      </c>
      <c r="J4432" s="371" t="s">
        <v>286</v>
      </c>
      <c r="K4432" s="377"/>
      <c r="L4432" s="129"/>
      <c r="M4432" s="378"/>
      <c r="N4432" s="129"/>
      <c r="O4432" s="129"/>
      <c r="P4432" s="379"/>
      <c r="Q4432" s="129"/>
      <c r="R4432" s="380"/>
      <c r="S4432" s="129"/>
      <c r="T4432" s="129"/>
      <c r="W4432" s="129" t="s">
        <v>286</v>
      </c>
      <c r="X4432" s="337" t="b">
        <f t="shared" si="103"/>
        <v>1</v>
      </c>
    </row>
    <row r="4433" spans="1:24" ht="12" customHeight="1" outlineLevel="1">
      <c r="A4433" s="370"/>
      <c r="B4433" s="118" t="s">
        <v>12</v>
      </c>
      <c r="C4433" s="334" t="s">
        <v>12505</v>
      </c>
      <c r="D4433" s="124" t="s">
        <v>12506</v>
      </c>
      <c r="E4433" s="125"/>
      <c r="F4433" s="118" t="s">
        <v>828</v>
      </c>
      <c r="G4433" s="126" t="s">
        <v>11386</v>
      </c>
      <c r="H4433" s="255">
        <v>6</v>
      </c>
      <c r="I4433" s="361">
        <v>1</v>
      </c>
      <c r="J4433" s="371" t="s">
        <v>286</v>
      </c>
      <c r="K4433" s="377"/>
      <c r="L4433" s="129"/>
      <c r="M4433" s="378"/>
      <c r="N4433" s="129"/>
      <c r="O4433" s="129"/>
      <c r="P4433" s="379"/>
      <c r="Q4433" s="129"/>
      <c r="R4433" s="380"/>
      <c r="S4433" s="129"/>
      <c r="T4433" s="129"/>
      <c r="W4433" s="129" t="s">
        <v>286</v>
      </c>
      <c r="X4433" s="337" t="b">
        <f t="shared" si="103"/>
        <v>1</v>
      </c>
    </row>
    <row r="4434" spans="1:24" ht="12" customHeight="1" outlineLevel="1">
      <c r="A4434" s="370"/>
      <c r="B4434" s="118" t="s">
        <v>12</v>
      </c>
      <c r="C4434" s="334" t="s">
        <v>12507</v>
      </c>
      <c r="D4434" s="124" t="s">
        <v>12508</v>
      </c>
      <c r="E4434" s="125"/>
      <c r="F4434" s="118" t="s">
        <v>828</v>
      </c>
      <c r="G4434" s="126" t="s">
        <v>11386</v>
      </c>
      <c r="H4434" s="255">
        <v>6</v>
      </c>
      <c r="I4434" s="361">
        <v>1</v>
      </c>
      <c r="J4434" s="371" t="s">
        <v>286</v>
      </c>
      <c r="K4434" s="377"/>
      <c r="L4434" s="129"/>
      <c r="M4434" s="378"/>
      <c r="N4434" s="129"/>
      <c r="O4434" s="129"/>
      <c r="P4434" s="379"/>
      <c r="Q4434" s="129"/>
      <c r="R4434" s="380"/>
      <c r="S4434" s="129"/>
      <c r="T4434" s="129"/>
      <c r="W4434" s="129" t="s">
        <v>286</v>
      </c>
      <c r="X4434" s="337" t="b">
        <f t="shared" si="103"/>
        <v>1</v>
      </c>
    </row>
    <row r="4435" spans="1:24" ht="12" customHeight="1" outlineLevel="1">
      <c r="A4435" s="370"/>
      <c r="B4435" s="118" t="s">
        <v>12</v>
      </c>
      <c r="C4435" s="334" t="s">
        <v>12509</v>
      </c>
      <c r="D4435" s="124" t="s">
        <v>12510</v>
      </c>
      <c r="E4435" s="125"/>
      <c r="F4435" s="118" t="s">
        <v>828</v>
      </c>
      <c r="G4435" s="126" t="s">
        <v>11386</v>
      </c>
      <c r="H4435" s="255">
        <v>6</v>
      </c>
      <c r="I4435" s="361">
        <v>1</v>
      </c>
      <c r="J4435" s="371" t="s">
        <v>286</v>
      </c>
      <c r="K4435" s="377"/>
      <c r="L4435" s="129"/>
      <c r="M4435" s="378"/>
      <c r="N4435" s="129"/>
      <c r="O4435" s="129"/>
      <c r="P4435" s="379"/>
      <c r="Q4435" s="129"/>
      <c r="R4435" s="380"/>
      <c r="S4435" s="129"/>
      <c r="T4435" s="129"/>
      <c r="W4435" s="129" t="s">
        <v>286</v>
      </c>
      <c r="X4435" s="337" t="b">
        <f t="shared" ref="X4435:X4498" si="104">W4435=J4435</f>
        <v>1</v>
      </c>
    </row>
    <row r="4436" spans="1:24" ht="12" customHeight="1" outlineLevel="1">
      <c r="A4436" s="370"/>
      <c r="B4436" s="118" t="s">
        <v>12</v>
      </c>
      <c r="C4436" s="334" t="s">
        <v>12511</v>
      </c>
      <c r="D4436" s="124" t="s">
        <v>8305</v>
      </c>
      <c r="E4436" s="125"/>
      <c r="F4436" s="118" t="s">
        <v>828</v>
      </c>
      <c r="G4436" s="126" t="s">
        <v>11386</v>
      </c>
      <c r="H4436" s="255">
        <v>6</v>
      </c>
      <c r="I4436" s="361">
        <v>1</v>
      </c>
      <c r="J4436" s="371" t="s">
        <v>286</v>
      </c>
      <c r="K4436" s="377"/>
      <c r="L4436" s="129"/>
      <c r="M4436" s="378"/>
      <c r="N4436" s="129"/>
      <c r="O4436" s="129"/>
      <c r="P4436" s="379"/>
      <c r="Q4436" s="129"/>
      <c r="R4436" s="380"/>
      <c r="S4436" s="129"/>
      <c r="T4436" s="129"/>
      <c r="W4436" s="129" t="s">
        <v>286</v>
      </c>
      <c r="X4436" s="337" t="b">
        <f t="shared" si="104"/>
        <v>1</v>
      </c>
    </row>
    <row r="4437" spans="1:24" ht="12" customHeight="1" outlineLevel="1">
      <c r="A4437" s="370"/>
      <c r="B4437" s="118" t="s">
        <v>12</v>
      </c>
      <c r="C4437" s="334" t="s">
        <v>12512</v>
      </c>
      <c r="D4437" s="124" t="s">
        <v>12513</v>
      </c>
      <c r="E4437" s="125"/>
      <c r="F4437" s="118" t="s">
        <v>828</v>
      </c>
      <c r="G4437" s="126" t="s">
        <v>11386</v>
      </c>
      <c r="H4437" s="255">
        <v>6</v>
      </c>
      <c r="I4437" s="361">
        <v>1</v>
      </c>
      <c r="J4437" s="371" t="s">
        <v>286</v>
      </c>
      <c r="K4437" s="377"/>
      <c r="L4437" s="129"/>
      <c r="M4437" s="378"/>
      <c r="N4437" s="129"/>
      <c r="O4437" s="129"/>
      <c r="P4437" s="379"/>
      <c r="Q4437" s="129"/>
      <c r="R4437" s="380"/>
      <c r="S4437" s="129"/>
      <c r="T4437" s="129"/>
      <c r="W4437" s="129" t="s">
        <v>286</v>
      </c>
      <c r="X4437" s="337" t="b">
        <f t="shared" si="104"/>
        <v>1</v>
      </c>
    </row>
    <row r="4438" spans="1:24" ht="12" customHeight="1" outlineLevel="1">
      <c r="A4438" s="370"/>
      <c r="B4438" s="118" t="s">
        <v>12</v>
      </c>
      <c r="C4438" s="334" t="s">
        <v>12514</v>
      </c>
      <c r="D4438" s="124" t="s">
        <v>12515</v>
      </c>
      <c r="E4438" s="125"/>
      <c r="F4438" s="118" t="s">
        <v>828</v>
      </c>
      <c r="G4438" s="126" t="s">
        <v>11386</v>
      </c>
      <c r="H4438" s="255">
        <v>6</v>
      </c>
      <c r="I4438" s="361">
        <v>1</v>
      </c>
      <c r="J4438" s="371" t="s">
        <v>286</v>
      </c>
      <c r="K4438" s="377"/>
      <c r="L4438" s="129"/>
      <c r="M4438" s="378"/>
      <c r="N4438" s="129"/>
      <c r="O4438" s="129"/>
      <c r="P4438" s="379"/>
      <c r="Q4438" s="129"/>
      <c r="R4438" s="380"/>
      <c r="S4438" s="129"/>
      <c r="T4438" s="129"/>
      <c r="W4438" s="129" t="s">
        <v>286</v>
      </c>
      <c r="X4438" s="337" t="b">
        <f t="shared" si="104"/>
        <v>1</v>
      </c>
    </row>
    <row r="4439" spans="1:24" ht="12" customHeight="1" outlineLevel="1">
      <c r="A4439" s="370"/>
      <c r="B4439" s="118" t="s">
        <v>12</v>
      </c>
      <c r="C4439" s="334" t="s">
        <v>12516</v>
      </c>
      <c r="D4439" s="124" t="s">
        <v>12517</v>
      </c>
      <c r="E4439" s="125"/>
      <c r="F4439" s="118" t="s">
        <v>828</v>
      </c>
      <c r="G4439" s="126" t="s">
        <v>11386</v>
      </c>
      <c r="H4439" s="255">
        <v>6</v>
      </c>
      <c r="I4439" s="361">
        <v>1</v>
      </c>
      <c r="J4439" s="371" t="s">
        <v>286</v>
      </c>
      <c r="K4439" s="377"/>
      <c r="L4439" s="129"/>
      <c r="M4439" s="378"/>
      <c r="N4439" s="129"/>
      <c r="O4439" s="129"/>
      <c r="P4439" s="379"/>
      <c r="Q4439" s="129"/>
      <c r="R4439" s="380"/>
      <c r="S4439" s="129"/>
      <c r="T4439" s="129"/>
      <c r="W4439" s="129" t="s">
        <v>286</v>
      </c>
      <c r="X4439" s="337" t="b">
        <f t="shared" si="104"/>
        <v>1</v>
      </c>
    </row>
    <row r="4440" spans="1:24" ht="12" customHeight="1" outlineLevel="1">
      <c r="A4440" s="370"/>
      <c r="B4440" s="118" t="s">
        <v>12</v>
      </c>
      <c r="C4440" s="334" t="s">
        <v>12518</v>
      </c>
      <c r="D4440" s="124" t="s">
        <v>12519</v>
      </c>
      <c r="E4440" s="125"/>
      <c r="F4440" s="118" t="s">
        <v>828</v>
      </c>
      <c r="G4440" s="126" t="s">
        <v>11386</v>
      </c>
      <c r="H4440" s="255">
        <v>6</v>
      </c>
      <c r="I4440" s="361">
        <v>1</v>
      </c>
      <c r="J4440" s="371" t="s">
        <v>286</v>
      </c>
      <c r="K4440" s="377"/>
      <c r="L4440" s="129"/>
      <c r="M4440" s="378"/>
      <c r="N4440" s="129"/>
      <c r="O4440" s="129"/>
      <c r="P4440" s="379"/>
      <c r="Q4440" s="129"/>
      <c r="R4440" s="380"/>
      <c r="S4440" s="129"/>
      <c r="T4440" s="129"/>
      <c r="W4440" s="129" t="s">
        <v>286</v>
      </c>
      <c r="X4440" s="337" t="b">
        <f t="shared" si="104"/>
        <v>1</v>
      </c>
    </row>
    <row r="4441" spans="1:24" ht="12" customHeight="1" outlineLevel="1">
      <c r="A4441" s="370"/>
      <c r="B4441" s="118" t="s">
        <v>12</v>
      </c>
      <c r="C4441" s="334" t="s">
        <v>12520</v>
      </c>
      <c r="D4441" s="124" t="s">
        <v>12521</v>
      </c>
      <c r="E4441" s="125"/>
      <c r="F4441" s="118" t="s">
        <v>828</v>
      </c>
      <c r="G4441" s="126" t="s">
        <v>11386</v>
      </c>
      <c r="H4441" s="255">
        <v>6</v>
      </c>
      <c r="I4441" s="361">
        <v>1</v>
      </c>
      <c r="J4441" s="371" t="s">
        <v>286</v>
      </c>
      <c r="K4441" s="377"/>
      <c r="L4441" s="129"/>
      <c r="M4441" s="378"/>
      <c r="N4441" s="129"/>
      <c r="O4441" s="129"/>
      <c r="P4441" s="379"/>
      <c r="Q4441" s="129"/>
      <c r="R4441" s="380"/>
      <c r="S4441" s="129"/>
      <c r="T4441" s="129"/>
      <c r="W4441" s="129" t="s">
        <v>286</v>
      </c>
      <c r="X4441" s="337" t="b">
        <f t="shared" si="104"/>
        <v>1</v>
      </c>
    </row>
    <row r="4442" spans="1:24" ht="12" customHeight="1" outlineLevel="1">
      <c r="A4442" s="370"/>
      <c r="B4442" s="118" t="s">
        <v>12</v>
      </c>
      <c r="C4442" s="334" t="s">
        <v>12522</v>
      </c>
      <c r="D4442" s="124" t="s">
        <v>12523</v>
      </c>
      <c r="E4442" s="125"/>
      <c r="F4442" s="118" t="s">
        <v>828</v>
      </c>
      <c r="G4442" s="126" t="s">
        <v>11386</v>
      </c>
      <c r="H4442" s="255">
        <v>6</v>
      </c>
      <c r="I4442" s="361">
        <v>1</v>
      </c>
      <c r="J4442" s="371" t="s">
        <v>286</v>
      </c>
      <c r="K4442" s="377"/>
      <c r="L4442" s="129"/>
      <c r="M4442" s="378"/>
      <c r="N4442" s="129"/>
      <c r="O4442" s="129"/>
      <c r="P4442" s="379"/>
      <c r="Q4442" s="129"/>
      <c r="R4442" s="380"/>
      <c r="S4442" s="129"/>
      <c r="T4442" s="129"/>
      <c r="W4442" s="129" t="s">
        <v>286</v>
      </c>
      <c r="X4442" s="337" t="b">
        <f t="shared" si="104"/>
        <v>1</v>
      </c>
    </row>
    <row r="4443" spans="1:24" ht="12" customHeight="1" outlineLevel="1">
      <c r="A4443" s="370"/>
      <c r="B4443" s="118" t="s">
        <v>12</v>
      </c>
      <c r="C4443" s="334" t="s">
        <v>12524</v>
      </c>
      <c r="D4443" s="124" t="s">
        <v>12525</v>
      </c>
      <c r="E4443" s="125"/>
      <c r="F4443" s="118" t="s">
        <v>828</v>
      </c>
      <c r="G4443" s="126" t="s">
        <v>11386</v>
      </c>
      <c r="H4443" s="255">
        <v>6</v>
      </c>
      <c r="I4443" s="361">
        <v>1</v>
      </c>
      <c r="J4443" s="371" t="s">
        <v>286</v>
      </c>
      <c r="K4443" s="377"/>
      <c r="L4443" s="129"/>
      <c r="M4443" s="378"/>
      <c r="N4443" s="129"/>
      <c r="O4443" s="129"/>
      <c r="P4443" s="379"/>
      <c r="Q4443" s="129"/>
      <c r="R4443" s="380"/>
      <c r="S4443" s="129"/>
      <c r="T4443" s="129"/>
      <c r="W4443" s="129" t="s">
        <v>286</v>
      </c>
      <c r="X4443" s="337" t="b">
        <f t="shared" si="104"/>
        <v>1</v>
      </c>
    </row>
    <row r="4444" spans="1:24" ht="12" customHeight="1" outlineLevel="1">
      <c r="A4444" s="370"/>
      <c r="B4444" s="118" t="s">
        <v>12</v>
      </c>
      <c r="C4444" s="334" t="s">
        <v>12526</v>
      </c>
      <c r="D4444" s="124" t="s">
        <v>12527</v>
      </c>
      <c r="E4444" s="125"/>
      <c r="F4444" s="118" t="s">
        <v>828</v>
      </c>
      <c r="G4444" s="126" t="s">
        <v>11386</v>
      </c>
      <c r="H4444" s="255">
        <v>6</v>
      </c>
      <c r="I4444" s="361">
        <v>1</v>
      </c>
      <c r="J4444" s="371" t="s">
        <v>286</v>
      </c>
      <c r="K4444" s="377"/>
      <c r="L4444" s="129"/>
      <c r="M4444" s="378"/>
      <c r="N4444" s="129"/>
      <c r="O4444" s="129"/>
      <c r="P4444" s="379"/>
      <c r="Q4444" s="129"/>
      <c r="R4444" s="380"/>
      <c r="S4444" s="129"/>
      <c r="T4444" s="129"/>
      <c r="W4444" s="129" t="s">
        <v>286</v>
      </c>
      <c r="X4444" s="337" t="b">
        <f t="shared" si="104"/>
        <v>1</v>
      </c>
    </row>
    <row r="4445" spans="1:24" ht="12" customHeight="1" outlineLevel="1">
      <c r="A4445" s="370"/>
      <c r="B4445" s="118" t="s">
        <v>12</v>
      </c>
      <c r="C4445" s="334" t="s">
        <v>12528</v>
      </c>
      <c r="D4445" s="124" t="s">
        <v>12529</v>
      </c>
      <c r="E4445" s="125"/>
      <c r="F4445" s="118" t="s">
        <v>828</v>
      </c>
      <c r="G4445" s="126" t="s">
        <v>11386</v>
      </c>
      <c r="H4445" s="255">
        <v>6</v>
      </c>
      <c r="I4445" s="361">
        <v>1</v>
      </c>
      <c r="J4445" s="371" t="s">
        <v>286</v>
      </c>
      <c r="K4445" s="377"/>
      <c r="L4445" s="129"/>
      <c r="M4445" s="378"/>
      <c r="N4445" s="129"/>
      <c r="O4445" s="129"/>
      <c r="P4445" s="379"/>
      <c r="Q4445" s="129"/>
      <c r="R4445" s="380"/>
      <c r="S4445" s="129"/>
      <c r="T4445" s="129"/>
      <c r="W4445" s="129" t="s">
        <v>286</v>
      </c>
      <c r="X4445" s="337" t="b">
        <f t="shared" si="104"/>
        <v>1</v>
      </c>
    </row>
    <row r="4446" spans="1:24" ht="12" customHeight="1" outlineLevel="1">
      <c r="A4446" s="370"/>
      <c r="B4446" s="118" t="s">
        <v>12</v>
      </c>
      <c r="C4446" s="334" t="s">
        <v>12530</v>
      </c>
      <c r="D4446" s="124" t="s">
        <v>12531</v>
      </c>
      <c r="E4446" s="125"/>
      <c r="F4446" s="118" t="s">
        <v>828</v>
      </c>
      <c r="G4446" s="126" t="s">
        <v>11386</v>
      </c>
      <c r="H4446" s="255">
        <v>6</v>
      </c>
      <c r="I4446" s="361">
        <v>1</v>
      </c>
      <c r="J4446" s="371" t="s">
        <v>286</v>
      </c>
      <c r="K4446" s="377"/>
      <c r="L4446" s="129"/>
      <c r="M4446" s="378"/>
      <c r="N4446" s="129"/>
      <c r="O4446" s="129"/>
      <c r="P4446" s="379"/>
      <c r="Q4446" s="129"/>
      <c r="R4446" s="380"/>
      <c r="S4446" s="129"/>
      <c r="T4446" s="129"/>
      <c r="W4446" s="129" t="s">
        <v>286</v>
      </c>
      <c r="X4446" s="337" t="b">
        <f t="shared" si="104"/>
        <v>1</v>
      </c>
    </row>
    <row r="4447" spans="1:24" ht="12" customHeight="1" outlineLevel="1">
      <c r="A4447" s="370"/>
      <c r="B4447" s="118" t="s">
        <v>12</v>
      </c>
      <c r="C4447" s="334" t="s">
        <v>12532</v>
      </c>
      <c r="D4447" s="124" t="s">
        <v>8295</v>
      </c>
      <c r="E4447" s="125"/>
      <c r="F4447" s="118" t="s">
        <v>828</v>
      </c>
      <c r="G4447" s="126" t="s">
        <v>11386</v>
      </c>
      <c r="H4447" s="255">
        <v>6</v>
      </c>
      <c r="I4447" s="361">
        <v>1</v>
      </c>
      <c r="J4447" s="371" t="s">
        <v>286</v>
      </c>
      <c r="K4447" s="377"/>
      <c r="L4447" s="129"/>
      <c r="M4447" s="378"/>
      <c r="N4447" s="129"/>
      <c r="O4447" s="129"/>
      <c r="P4447" s="379"/>
      <c r="Q4447" s="129"/>
      <c r="R4447" s="380"/>
      <c r="S4447" s="129"/>
      <c r="T4447" s="129"/>
      <c r="W4447" s="129" t="s">
        <v>286</v>
      </c>
      <c r="X4447" s="337" t="b">
        <f t="shared" si="104"/>
        <v>1</v>
      </c>
    </row>
    <row r="4448" spans="1:24" ht="12" customHeight="1" outlineLevel="1">
      <c r="A4448" s="370"/>
      <c r="B4448" s="118" t="s">
        <v>12</v>
      </c>
      <c r="C4448" s="334" t="s">
        <v>12533</v>
      </c>
      <c r="D4448" s="124" t="s">
        <v>8331</v>
      </c>
      <c r="E4448" s="125"/>
      <c r="F4448" s="118" t="s">
        <v>828</v>
      </c>
      <c r="G4448" s="126" t="s">
        <v>11386</v>
      </c>
      <c r="H4448" s="255">
        <v>6</v>
      </c>
      <c r="I4448" s="361">
        <v>1</v>
      </c>
      <c r="J4448" s="371" t="s">
        <v>286</v>
      </c>
      <c r="K4448" s="377"/>
      <c r="L4448" s="129"/>
      <c r="M4448" s="378"/>
      <c r="N4448" s="129"/>
      <c r="O4448" s="129"/>
      <c r="P4448" s="379"/>
      <c r="Q4448" s="129"/>
      <c r="R4448" s="380"/>
      <c r="S4448" s="129"/>
      <c r="T4448" s="129"/>
      <c r="W4448" s="129" t="s">
        <v>286</v>
      </c>
      <c r="X4448" s="337" t="b">
        <f t="shared" si="104"/>
        <v>1</v>
      </c>
    </row>
    <row r="4449" spans="1:24" ht="12" customHeight="1" outlineLevel="1">
      <c r="A4449" s="370"/>
      <c r="B4449" s="118" t="s">
        <v>12</v>
      </c>
      <c r="C4449" s="334" t="s">
        <v>12534</v>
      </c>
      <c r="D4449" s="124" t="s">
        <v>8333</v>
      </c>
      <c r="E4449" s="125"/>
      <c r="F4449" s="118" t="s">
        <v>828</v>
      </c>
      <c r="G4449" s="126" t="s">
        <v>11386</v>
      </c>
      <c r="H4449" s="255">
        <v>6</v>
      </c>
      <c r="I4449" s="361">
        <v>1</v>
      </c>
      <c r="J4449" s="371" t="s">
        <v>286</v>
      </c>
      <c r="K4449" s="377"/>
      <c r="L4449" s="129"/>
      <c r="M4449" s="378"/>
      <c r="N4449" s="129"/>
      <c r="O4449" s="129"/>
      <c r="P4449" s="379"/>
      <c r="Q4449" s="129"/>
      <c r="R4449" s="380"/>
      <c r="S4449" s="129"/>
      <c r="T4449" s="129"/>
      <c r="W4449" s="129" t="s">
        <v>286</v>
      </c>
      <c r="X4449" s="337" t="b">
        <f t="shared" si="104"/>
        <v>1</v>
      </c>
    </row>
    <row r="4450" spans="1:24" ht="12" customHeight="1" outlineLevel="1">
      <c r="A4450" s="370"/>
      <c r="B4450" s="118" t="s">
        <v>12</v>
      </c>
      <c r="C4450" s="334" t="s">
        <v>12535</v>
      </c>
      <c r="D4450" s="124" t="s">
        <v>8335</v>
      </c>
      <c r="E4450" s="125"/>
      <c r="F4450" s="118" t="s">
        <v>828</v>
      </c>
      <c r="G4450" s="126" t="s">
        <v>11386</v>
      </c>
      <c r="H4450" s="255">
        <v>6</v>
      </c>
      <c r="I4450" s="361">
        <v>1</v>
      </c>
      <c r="J4450" s="371" t="s">
        <v>286</v>
      </c>
      <c r="K4450" s="377"/>
      <c r="L4450" s="129"/>
      <c r="M4450" s="378"/>
      <c r="N4450" s="129"/>
      <c r="O4450" s="129"/>
      <c r="P4450" s="379"/>
      <c r="Q4450" s="129"/>
      <c r="R4450" s="380"/>
      <c r="S4450" s="129"/>
      <c r="T4450" s="129"/>
      <c r="W4450" s="129" t="s">
        <v>286</v>
      </c>
      <c r="X4450" s="337" t="b">
        <f t="shared" si="104"/>
        <v>1</v>
      </c>
    </row>
    <row r="4451" spans="1:24" ht="12" customHeight="1" outlineLevel="1">
      <c r="A4451" s="370"/>
      <c r="B4451" s="118" t="s">
        <v>12</v>
      </c>
      <c r="C4451" s="334" t="s">
        <v>12536</v>
      </c>
      <c r="D4451" s="124" t="s">
        <v>8337</v>
      </c>
      <c r="E4451" s="125"/>
      <c r="F4451" s="118" t="s">
        <v>828</v>
      </c>
      <c r="G4451" s="126" t="s">
        <v>11386</v>
      </c>
      <c r="H4451" s="255">
        <v>6</v>
      </c>
      <c r="I4451" s="361">
        <v>1</v>
      </c>
      <c r="J4451" s="371" t="s">
        <v>286</v>
      </c>
      <c r="K4451" s="377"/>
      <c r="L4451" s="129"/>
      <c r="M4451" s="378"/>
      <c r="N4451" s="129"/>
      <c r="O4451" s="129"/>
      <c r="P4451" s="379"/>
      <c r="Q4451" s="129"/>
      <c r="R4451" s="380"/>
      <c r="S4451" s="129"/>
      <c r="T4451" s="129"/>
      <c r="W4451" s="129" t="s">
        <v>286</v>
      </c>
      <c r="X4451" s="337" t="b">
        <f t="shared" si="104"/>
        <v>1</v>
      </c>
    </row>
    <row r="4452" spans="1:24" ht="12" customHeight="1" outlineLevel="1">
      <c r="A4452" s="370"/>
      <c r="B4452" s="118" t="s">
        <v>12</v>
      </c>
      <c r="C4452" s="334" t="s">
        <v>12537</v>
      </c>
      <c r="D4452" s="124" t="s">
        <v>8339</v>
      </c>
      <c r="E4452" s="125"/>
      <c r="F4452" s="118" t="s">
        <v>828</v>
      </c>
      <c r="G4452" s="126" t="s">
        <v>11386</v>
      </c>
      <c r="H4452" s="255">
        <v>6</v>
      </c>
      <c r="I4452" s="361">
        <v>1</v>
      </c>
      <c r="J4452" s="371" t="s">
        <v>286</v>
      </c>
      <c r="K4452" s="377"/>
      <c r="L4452" s="129"/>
      <c r="M4452" s="378"/>
      <c r="N4452" s="129"/>
      <c r="O4452" s="129"/>
      <c r="P4452" s="379"/>
      <c r="Q4452" s="129"/>
      <c r="R4452" s="380"/>
      <c r="S4452" s="129"/>
      <c r="T4452" s="129"/>
      <c r="W4452" s="129" t="s">
        <v>286</v>
      </c>
      <c r="X4452" s="337" t="b">
        <f t="shared" si="104"/>
        <v>1</v>
      </c>
    </row>
    <row r="4453" spans="1:24" ht="12" customHeight="1" outlineLevel="1">
      <c r="A4453" s="370"/>
      <c r="B4453" s="118" t="s">
        <v>12</v>
      </c>
      <c r="C4453" s="334" t="s">
        <v>12538</v>
      </c>
      <c r="D4453" s="124" t="s">
        <v>8341</v>
      </c>
      <c r="E4453" s="125"/>
      <c r="F4453" s="118" t="s">
        <v>828</v>
      </c>
      <c r="G4453" s="126" t="s">
        <v>11386</v>
      </c>
      <c r="H4453" s="255">
        <v>6</v>
      </c>
      <c r="I4453" s="361">
        <v>1</v>
      </c>
      <c r="J4453" s="371" t="s">
        <v>286</v>
      </c>
      <c r="K4453" s="377"/>
      <c r="L4453" s="129"/>
      <c r="M4453" s="378"/>
      <c r="N4453" s="129"/>
      <c r="O4453" s="129"/>
      <c r="P4453" s="379"/>
      <c r="Q4453" s="129"/>
      <c r="R4453" s="380"/>
      <c r="S4453" s="129"/>
      <c r="T4453" s="129"/>
      <c r="W4453" s="129" t="s">
        <v>286</v>
      </c>
      <c r="X4453" s="337" t="b">
        <f t="shared" si="104"/>
        <v>1</v>
      </c>
    </row>
    <row r="4454" spans="1:24" ht="12" customHeight="1" outlineLevel="1">
      <c r="A4454" s="370"/>
      <c r="B4454" s="118" t="s">
        <v>12</v>
      </c>
      <c r="C4454" s="334" t="s">
        <v>12539</v>
      </c>
      <c r="D4454" s="124" t="s">
        <v>8343</v>
      </c>
      <c r="E4454" s="125"/>
      <c r="F4454" s="118" t="s">
        <v>828</v>
      </c>
      <c r="G4454" s="126" t="s">
        <v>11386</v>
      </c>
      <c r="H4454" s="255">
        <v>6</v>
      </c>
      <c r="I4454" s="361">
        <v>1</v>
      </c>
      <c r="J4454" s="371" t="s">
        <v>286</v>
      </c>
      <c r="K4454" s="377"/>
      <c r="L4454" s="129"/>
      <c r="M4454" s="378"/>
      <c r="N4454" s="129"/>
      <c r="O4454" s="129"/>
      <c r="P4454" s="379"/>
      <c r="Q4454" s="129"/>
      <c r="R4454" s="380"/>
      <c r="S4454" s="129"/>
      <c r="T4454" s="129"/>
      <c r="W4454" s="129" t="s">
        <v>286</v>
      </c>
      <c r="X4454" s="337" t="b">
        <f t="shared" si="104"/>
        <v>1</v>
      </c>
    </row>
    <row r="4455" spans="1:24" ht="12" customHeight="1" outlineLevel="1">
      <c r="A4455" s="370"/>
      <c r="B4455" s="118" t="s">
        <v>12</v>
      </c>
      <c r="C4455" s="334" t="s">
        <v>12540</v>
      </c>
      <c r="D4455" s="124" t="s">
        <v>8345</v>
      </c>
      <c r="E4455" s="125"/>
      <c r="F4455" s="118" t="s">
        <v>828</v>
      </c>
      <c r="G4455" s="126" t="s">
        <v>11386</v>
      </c>
      <c r="H4455" s="255">
        <v>6</v>
      </c>
      <c r="I4455" s="361">
        <v>1</v>
      </c>
      <c r="J4455" s="371" t="s">
        <v>286</v>
      </c>
      <c r="K4455" s="377"/>
      <c r="L4455" s="129"/>
      <c r="M4455" s="378"/>
      <c r="N4455" s="129"/>
      <c r="O4455" s="129"/>
      <c r="P4455" s="379"/>
      <c r="Q4455" s="129"/>
      <c r="R4455" s="380"/>
      <c r="S4455" s="129"/>
      <c r="T4455" s="129"/>
      <c r="W4455" s="129" t="s">
        <v>286</v>
      </c>
      <c r="X4455" s="337" t="b">
        <f t="shared" si="104"/>
        <v>1</v>
      </c>
    </row>
    <row r="4456" spans="1:24" ht="12" customHeight="1" outlineLevel="1">
      <c r="A4456" s="370"/>
      <c r="B4456" s="118" t="s">
        <v>12</v>
      </c>
      <c r="C4456" s="334" t="s">
        <v>12541</v>
      </c>
      <c r="D4456" s="124" t="s">
        <v>8347</v>
      </c>
      <c r="E4456" s="125"/>
      <c r="F4456" s="118" t="s">
        <v>828</v>
      </c>
      <c r="G4456" s="126" t="s">
        <v>11386</v>
      </c>
      <c r="H4456" s="255">
        <v>6</v>
      </c>
      <c r="I4456" s="361">
        <v>1</v>
      </c>
      <c r="J4456" s="371" t="s">
        <v>286</v>
      </c>
      <c r="K4456" s="377"/>
      <c r="L4456" s="129"/>
      <c r="M4456" s="378"/>
      <c r="N4456" s="129"/>
      <c r="O4456" s="129"/>
      <c r="P4456" s="379"/>
      <c r="Q4456" s="129"/>
      <c r="R4456" s="380"/>
      <c r="S4456" s="129"/>
      <c r="T4456" s="129"/>
      <c r="W4456" s="129" t="s">
        <v>286</v>
      </c>
      <c r="X4456" s="337" t="b">
        <f t="shared" si="104"/>
        <v>1</v>
      </c>
    </row>
    <row r="4457" spans="1:24" ht="12" customHeight="1" outlineLevel="1">
      <c r="A4457" s="370"/>
      <c r="B4457" s="118" t="s">
        <v>12</v>
      </c>
      <c r="C4457" s="334" t="s">
        <v>12542</v>
      </c>
      <c r="D4457" s="124" t="s">
        <v>8349</v>
      </c>
      <c r="E4457" s="125"/>
      <c r="F4457" s="118" t="s">
        <v>828</v>
      </c>
      <c r="G4457" s="126" t="s">
        <v>11386</v>
      </c>
      <c r="H4457" s="255">
        <v>6</v>
      </c>
      <c r="I4457" s="361">
        <v>1</v>
      </c>
      <c r="J4457" s="371" t="s">
        <v>286</v>
      </c>
      <c r="K4457" s="377"/>
      <c r="L4457" s="129"/>
      <c r="M4457" s="378"/>
      <c r="N4457" s="129"/>
      <c r="O4457" s="129"/>
      <c r="P4457" s="379"/>
      <c r="Q4457" s="129"/>
      <c r="R4457" s="380"/>
      <c r="S4457" s="129"/>
      <c r="T4457" s="129"/>
      <c r="W4457" s="129" t="s">
        <v>286</v>
      </c>
      <c r="X4457" s="337" t="b">
        <f t="shared" si="104"/>
        <v>1</v>
      </c>
    </row>
    <row r="4458" spans="1:24" ht="12" customHeight="1" outlineLevel="1">
      <c r="A4458" s="370"/>
      <c r="B4458" s="118" t="s">
        <v>12</v>
      </c>
      <c r="C4458" s="334" t="s">
        <v>12543</v>
      </c>
      <c r="D4458" s="124" t="s">
        <v>8351</v>
      </c>
      <c r="E4458" s="125"/>
      <c r="F4458" s="118" t="s">
        <v>828</v>
      </c>
      <c r="G4458" s="126" t="s">
        <v>11386</v>
      </c>
      <c r="H4458" s="255">
        <v>6</v>
      </c>
      <c r="I4458" s="361">
        <v>1</v>
      </c>
      <c r="J4458" s="371" t="s">
        <v>286</v>
      </c>
      <c r="K4458" s="377"/>
      <c r="L4458" s="129"/>
      <c r="M4458" s="378"/>
      <c r="N4458" s="129"/>
      <c r="O4458" s="129"/>
      <c r="P4458" s="379"/>
      <c r="Q4458" s="129"/>
      <c r="R4458" s="380"/>
      <c r="S4458" s="129"/>
      <c r="T4458" s="129"/>
      <c r="W4458" s="129" t="s">
        <v>286</v>
      </c>
      <c r="X4458" s="337" t="b">
        <f t="shared" si="104"/>
        <v>1</v>
      </c>
    </row>
    <row r="4459" spans="1:24" ht="12" customHeight="1" outlineLevel="1">
      <c r="A4459" s="370"/>
      <c r="B4459" s="118" t="s">
        <v>12</v>
      </c>
      <c r="C4459" s="334" t="s">
        <v>12544</v>
      </c>
      <c r="D4459" s="124" t="s">
        <v>8353</v>
      </c>
      <c r="E4459" s="125"/>
      <c r="F4459" s="118" t="s">
        <v>828</v>
      </c>
      <c r="G4459" s="126" t="s">
        <v>11386</v>
      </c>
      <c r="H4459" s="255">
        <v>6</v>
      </c>
      <c r="I4459" s="361">
        <v>1</v>
      </c>
      <c r="J4459" s="371" t="s">
        <v>286</v>
      </c>
      <c r="K4459" s="377"/>
      <c r="L4459" s="129"/>
      <c r="M4459" s="378"/>
      <c r="N4459" s="129"/>
      <c r="O4459" s="129"/>
      <c r="P4459" s="379"/>
      <c r="Q4459" s="129"/>
      <c r="R4459" s="380"/>
      <c r="S4459" s="129"/>
      <c r="T4459" s="129"/>
      <c r="W4459" s="129" t="s">
        <v>286</v>
      </c>
      <c r="X4459" s="337" t="b">
        <f t="shared" si="104"/>
        <v>1</v>
      </c>
    </row>
    <row r="4460" spans="1:24" ht="12" customHeight="1" outlineLevel="1">
      <c r="A4460" s="370"/>
      <c r="B4460" s="118" t="s">
        <v>12</v>
      </c>
      <c r="C4460" s="334" t="s">
        <v>12545</v>
      </c>
      <c r="D4460" s="124" t="s">
        <v>8355</v>
      </c>
      <c r="E4460" s="125"/>
      <c r="F4460" s="118" t="s">
        <v>828</v>
      </c>
      <c r="G4460" s="126" t="s">
        <v>11386</v>
      </c>
      <c r="H4460" s="255">
        <v>6</v>
      </c>
      <c r="I4460" s="361">
        <v>1</v>
      </c>
      <c r="J4460" s="371" t="s">
        <v>286</v>
      </c>
      <c r="K4460" s="377"/>
      <c r="L4460" s="129"/>
      <c r="M4460" s="378"/>
      <c r="N4460" s="129"/>
      <c r="O4460" s="129"/>
      <c r="P4460" s="379"/>
      <c r="Q4460" s="129"/>
      <c r="R4460" s="380"/>
      <c r="S4460" s="129"/>
      <c r="T4460" s="129"/>
      <c r="W4460" s="129" t="s">
        <v>286</v>
      </c>
      <c r="X4460" s="337" t="b">
        <f t="shared" si="104"/>
        <v>1</v>
      </c>
    </row>
    <row r="4461" spans="1:24" ht="12" customHeight="1" outlineLevel="1">
      <c r="A4461" s="370"/>
      <c r="B4461" s="118" t="s">
        <v>12</v>
      </c>
      <c r="C4461" s="334" t="s">
        <v>12546</v>
      </c>
      <c r="D4461" s="124" t="s">
        <v>8357</v>
      </c>
      <c r="E4461" s="125"/>
      <c r="F4461" s="118" t="s">
        <v>828</v>
      </c>
      <c r="G4461" s="126" t="s">
        <v>11386</v>
      </c>
      <c r="H4461" s="255">
        <v>6</v>
      </c>
      <c r="I4461" s="361">
        <v>1</v>
      </c>
      <c r="J4461" s="371" t="s">
        <v>286</v>
      </c>
      <c r="K4461" s="377"/>
      <c r="L4461" s="129"/>
      <c r="M4461" s="378"/>
      <c r="N4461" s="129"/>
      <c r="O4461" s="129"/>
      <c r="P4461" s="379"/>
      <c r="Q4461" s="129"/>
      <c r="R4461" s="380"/>
      <c r="S4461" s="129"/>
      <c r="T4461" s="129"/>
      <c r="W4461" s="129" t="s">
        <v>286</v>
      </c>
      <c r="X4461" s="337" t="b">
        <f t="shared" si="104"/>
        <v>1</v>
      </c>
    </row>
    <row r="4462" spans="1:24" ht="12" customHeight="1" outlineLevel="1">
      <c r="A4462" s="370"/>
      <c r="B4462" s="118" t="s">
        <v>12</v>
      </c>
      <c r="C4462" s="334" t="s">
        <v>12547</v>
      </c>
      <c r="D4462" s="124" t="s">
        <v>8359</v>
      </c>
      <c r="E4462" s="125"/>
      <c r="F4462" s="118" t="s">
        <v>828</v>
      </c>
      <c r="G4462" s="126" t="s">
        <v>11386</v>
      </c>
      <c r="H4462" s="255">
        <v>6</v>
      </c>
      <c r="I4462" s="361">
        <v>1</v>
      </c>
      <c r="J4462" s="371" t="s">
        <v>286</v>
      </c>
      <c r="K4462" s="377"/>
      <c r="L4462" s="129"/>
      <c r="M4462" s="378"/>
      <c r="N4462" s="129"/>
      <c r="O4462" s="129"/>
      <c r="P4462" s="379"/>
      <c r="Q4462" s="129"/>
      <c r="R4462" s="380"/>
      <c r="S4462" s="129"/>
      <c r="T4462" s="129"/>
      <c r="W4462" s="129" t="s">
        <v>286</v>
      </c>
      <c r="X4462" s="337" t="b">
        <f t="shared" si="104"/>
        <v>1</v>
      </c>
    </row>
    <row r="4463" spans="1:24" ht="12" customHeight="1" outlineLevel="1">
      <c r="A4463" s="370"/>
      <c r="B4463" s="118" t="s">
        <v>12</v>
      </c>
      <c r="C4463" s="334" t="s">
        <v>12548</v>
      </c>
      <c r="D4463" s="124" t="s">
        <v>8361</v>
      </c>
      <c r="E4463" s="125"/>
      <c r="F4463" s="118" t="s">
        <v>828</v>
      </c>
      <c r="G4463" s="126" t="s">
        <v>11386</v>
      </c>
      <c r="H4463" s="255">
        <v>6</v>
      </c>
      <c r="I4463" s="361">
        <v>1</v>
      </c>
      <c r="J4463" s="371" t="s">
        <v>286</v>
      </c>
      <c r="K4463" s="377"/>
      <c r="L4463" s="129"/>
      <c r="M4463" s="378"/>
      <c r="N4463" s="129"/>
      <c r="O4463" s="129"/>
      <c r="P4463" s="379"/>
      <c r="Q4463" s="129"/>
      <c r="R4463" s="380"/>
      <c r="S4463" s="129"/>
      <c r="T4463" s="129"/>
      <c r="W4463" s="129" t="s">
        <v>286</v>
      </c>
      <c r="X4463" s="337" t="b">
        <f t="shared" si="104"/>
        <v>1</v>
      </c>
    </row>
    <row r="4464" spans="1:24" ht="12" customHeight="1" outlineLevel="1">
      <c r="A4464" s="370"/>
      <c r="B4464" s="118" t="s">
        <v>12</v>
      </c>
      <c r="C4464" s="334" t="s">
        <v>12549</v>
      </c>
      <c r="D4464" s="124" t="s">
        <v>8363</v>
      </c>
      <c r="E4464" s="125"/>
      <c r="F4464" s="118" t="s">
        <v>828</v>
      </c>
      <c r="G4464" s="126" t="s">
        <v>11386</v>
      </c>
      <c r="H4464" s="255">
        <v>6</v>
      </c>
      <c r="I4464" s="361">
        <v>1</v>
      </c>
      <c r="J4464" s="371" t="s">
        <v>286</v>
      </c>
      <c r="K4464" s="377"/>
      <c r="L4464" s="129"/>
      <c r="M4464" s="378"/>
      <c r="N4464" s="129"/>
      <c r="O4464" s="129"/>
      <c r="P4464" s="379"/>
      <c r="Q4464" s="129"/>
      <c r="R4464" s="380"/>
      <c r="S4464" s="129"/>
      <c r="T4464" s="129"/>
      <c r="W4464" s="129" t="s">
        <v>286</v>
      </c>
      <c r="X4464" s="337" t="b">
        <f t="shared" si="104"/>
        <v>1</v>
      </c>
    </row>
    <row r="4465" spans="1:24" ht="12" customHeight="1" outlineLevel="1">
      <c r="A4465" s="370"/>
      <c r="B4465" s="118" t="s">
        <v>12</v>
      </c>
      <c r="C4465" s="334" t="s">
        <v>12550</v>
      </c>
      <c r="D4465" s="124" t="s">
        <v>8365</v>
      </c>
      <c r="E4465" s="125"/>
      <c r="F4465" s="118" t="s">
        <v>828</v>
      </c>
      <c r="G4465" s="126" t="s">
        <v>11386</v>
      </c>
      <c r="H4465" s="255">
        <v>6</v>
      </c>
      <c r="I4465" s="361">
        <v>1</v>
      </c>
      <c r="J4465" s="371" t="s">
        <v>286</v>
      </c>
      <c r="K4465" s="377"/>
      <c r="L4465" s="129"/>
      <c r="M4465" s="378"/>
      <c r="N4465" s="129"/>
      <c r="O4465" s="129"/>
      <c r="P4465" s="379"/>
      <c r="Q4465" s="129"/>
      <c r="R4465" s="380"/>
      <c r="S4465" s="129"/>
      <c r="T4465" s="129"/>
      <c r="W4465" s="129" t="s">
        <v>286</v>
      </c>
      <c r="X4465" s="337" t="b">
        <f t="shared" si="104"/>
        <v>1</v>
      </c>
    </row>
    <row r="4466" spans="1:24" ht="12" customHeight="1" outlineLevel="1">
      <c r="A4466" s="370"/>
      <c r="B4466" s="118" t="s">
        <v>12</v>
      </c>
      <c r="C4466" s="334" t="s">
        <v>12551</v>
      </c>
      <c r="D4466" s="124" t="s">
        <v>8367</v>
      </c>
      <c r="E4466" s="125"/>
      <c r="F4466" s="118" t="s">
        <v>828</v>
      </c>
      <c r="G4466" s="126" t="s">
        <v>11386</v>
      </c>
      <c r="H4466" s="255">
        <v>6</v>
      </c>
      <c r="I4466" s="361">
        <v>1</v>
      </c>
      <c r="J4466" s="371" t="s">
        <v>286</v>
      </c>
      <c r="K4466" s="377"/>
      <c r="L4466" s="129"/>
      <c r="M4466" s="378"/>
      <c r="N4466" s="129"/>
      <c r="O4466" s="129"/>
      <c r="P4466" s="379"/>
      <c r="Q4466" s="129"/>
      <c r="R4466" s="380"/>
      <c r="S4466" s="129"/>
      <c r="T4466" s="129"/>
      <c r="W4466" s="129" t="s">
        <v>286</v>
      </c>
      <c r="X4466" s="337" t="b">
        <f t="shared" si="104"/>
        <v>1</v>
      </c>
    </row>
    <row r="4467" spans="1:24" ht="12" customHeight="1" outlineLevel="1">
      <c r="A4467" s="370"/>
      <c r="B4467" s="118" t="s">
        <v>12</v>
      </c>
      <c r="C4467" s="334" t="s">
        <v>12552</v>
      </c>
      <c r="D4467" s="124" t="s">
        <v>8369</v>
      </c>
      <c r="E4467" s="125"/>
      <c r="F4467" s="118" t="s">
        <v>828</v>
      </c>
      <c r="G4467" s="126" t="s">
        <v>11386</v>
      </c>
      <c r="H4467" s="255">
        <v>6</v>
      </c>
      <c r="I4467" s="361">
        <v>1</v>
      </c>
      <c r="J4467" s="371" t="s">
        <v>286</v>
      </c>
      <c r="K4467" s="377"/>
      <c r="L4467" s="129"/>
      <c r="M4467" s="378"/>
      <c r="N4467" s="129"/>
      <c r="O4467" s="129"/>
      <c r="P4467" s="379"/>
      <c r="Q4467" s="129"/>
      <c r="R4467" s="380"/>
      <c r="S4467" s="129"/>
      <c r="T4467" s="129"/>
      <c r="W4467" s="129" t="s">
        <v>286</v>
      </c>
      <c r="X4467" s="337" t="b">
        <f t="shared" si="104"/>
        <v>1</v>
      </c>
    </row>
    <row r="4468" spans="1:24" ht="12" customHeight="1" outlineLevel="1">
      <c r="A4468" s="370"/>
      <c r="B4468" s="118" t="s">
        <v>12</v>
      </c>
      <c r="C4468" s="334" t="s">
        <v>12553</v>
      </c>
      <c r="D4468" s="124" t="s">
        <v>8371</v>
      </c>
      <c r="E4468" s="125"/>
      <c r="F4468" s="118" t="s">
        <v>828</v>
      </c>
      <c r="G4468" s="126" t="s">
        <v>11386</v>
      </c>
      <c r="H4468" s="255">
        <v>6</v>
      </c>
      <c r="I4468" s="361">
        <v>1</v>
      </c>
      <c r="J4468" s="371" t="s">
        <v>286</v>
      </c>
      <c r="K4468" s="377"/>
      <c r="L4468" s="129"/>
      <c r="M4468" s="378"/>
      <c r="N4468" s="129"/>
      <c r="O4468" s="129"/>
      <c r="P4468" s="379"/>
      <c r="Q4468" s="129"/>
      <c r="R4468" s="380"/>
      <c r="S4468" s="129"/>
      <c r="T4468" s="129"/>
      <c r="W4468" s="129" t="s">
        <v>286</v>
      </c>
      <c r="X4468" s="337" t="b">
        <f t="shared" si="104"/>
        <v>1</v>
      </c>
    </row>
    <row r="4469" spans="1:24" ht="12" customHeight="1" outlineLevel="1">
      <c r="A4469" s="370"/>
      <c r="B4469" s="118" t="s">
        <v>12</v>
      </c>
      <c r="C4469" s="334" t="s">
        <v>12554</v>
      </c>
      <c r="D4469" s="124" t="s">
        <v>8373</v>
      </c>
      <c r="E4469" s="125"/>
      <c r="F4469" s="118" t="s">
        <v>828</v>
      </c>
      <c r="G4469" s="126" t="s">
        <v>11386</v>
      </c>
      <c r="H4469" s="255">
        <v>6</v>
      </c>
      <c r="I4469" s="361">
        <v>1</v>
      </c>
      <c r="J4469" s="371" t="s">
        <v>286</v>
      </c>
      <c r="K4469" s="377"/>
      <c r="L4469" s="129"/>
      <c r="M4469" s="378"/>
      <c r="N4469" s="129"/>
      <c r="O4469" s="129"/>
      <c r="P4469" s="379"/>
      <c r="Q4469" s="129"/>
      <c r="R4469" s="380"/>
      <c r="S4469" s="129"/>
      <c r="T4469" s="129"/>
      <c r="W4469" s="129" t="s">
        <v>286</v>
      </c>
      <c r="X4469" s="337" t="b">
        <f t="shared" si="104"/>
        <v>1</v>
      </c>
    </row>
    <row r="4470" spans="1:24" ht="12" customHeight="1" outlineLevel="1">
      <c r="A4470" s="370"/>
      <c r="B4470" s="118" t="s">
        <v>12</v>
      </c>
      <c r="C4470" s="334" t="s">
        <v>12555</v>
      </c>
      <c r="D4470" s="124" t="s">
        <v>8375</v>
      </c>
      <c r="E4470" s="125"/>
      <c r="F4470" s="118" t="s">
        <v>828</v>
      </c>
      <c r="G4470" s="126" t="s">
        <v>11386</v>
      </c>
      <c r="H4470" s="255">
        <v>6</v>
      </c>
      <c r="I4470" s="361">
        <v>1</v>
      </c>
      <c r="J4470" s="371" t="s">
        <v>286</v>
      </c>
      <c r="K4470" s="377"/>
      <c r="L4470" s="129"/>
      <c r="M4470" s="378"/>
      <c r="N4470" s="129"/>
      <c r="O4470" s="129"/>
      <c r="P4470" s="379"/>
      <c r="Q4470" s="129"/>
      <c r="R4470" s="380"/>
      <c r="S4470" s="129"/>
      <c r="T4470" s="129"/>
      <c r="W4470" s="129" t="s">
        <v>286</v>
      </c>
      <c r="X4470" s="337" t="b">
        <f t="shared" si="104"/>
        <v>1</v>
      </c>
    </row>
    <row r="4471" spans="1:24" ht="12" customHeight="1" outlineLevel="1">
      <c r="A4471" s="370"/>
      <c r="B4471" s="118" t="s">
        <v>12</v>
      </c>
      <c r="C4471" s="334" t="s">
        <v>12556</v>
      </c>
      <c r="D4471" s="124" t="s">
        <v>8379</v>
      </c>
      <c r="E4471" s="125"/>
      <c r="F4471" s="118" t="s">
        <v>828</v>
      </c>
      <c r="G4471" s="126" t="s">
        <v>11386</v>
      </c>
      <c r="H4471" s="255">
        <v>6</v>
      </c>
      <c r="I4471" s="361">
        <v>1</v>
      </c>
      <c r="J4471" s="371" t="s">
        <v>286</v>
      </c>
      <c r="K4471" s="377"/>
      <c r="L4471" s="129"/>
      <c r="M4471" s="378"/>
      <c r="N4471" s="129"/>
      <c r="O4471" s="129"/>
      <c r="P4471" s="379"/>
      <c r="Q4471" s="129"/>
      <c r="R4471" s="380"/>
      <c r="S4471" s="129"/>
      <c r="T4471" s="129"/>
      <c r="W4471" s="129" t="s">
        <v>286</v>
      </c>
      <c r="X4471" s="337" t="b">
        <f t="shared" si="104"/>
        <v>1</v>
      </c>
    </row>
    <row r="4472" spans="1:24" ht="12" customHeight="1" outlineLevel="1">
      <c r="A4472" s="370"/>
      <c r="B4472" s="118" t="s">
        <v>12</v>
      </c>
      <c r="C4472" s="334" t="s">
        <v>12557</v>
      </c>
      <c r="D4472" s="124" t="s">
        <v>8377</v>
      </c>
      <c r="E4472" s="125"/>
      <c r="F4472" s="118" t="s">
        <v>828</v>
      </c>
      <c r="G4472" s="126" t="s">
        <v>11386</v>
      </c>
      <c r="H4472" s="255">
        <v>6</v>
      </c>
      <c r="I4472" s="361">
        <v>1</v>
      </c>
      <c r="J4472" s="371" t="s">
        <v>286</v>
      </c>
      <c r="K4472" s="377"/>
      <c r="L4472" s="129"/>
      <c r="M4472" s="378"/>
      <c r="N4472" s="129"/>
      <c r="O4472" s="129"/>
      <c r="P4472" s="379"/>
      <c r="Q4472" s="129"/>
      <c r="R4472" s="380"/>
      <c r="S4472" s="129"/>
      <c r="T4472" s="129"/>
      <c r="W4472" s="129" t="s">
        <v>286</v>
      </c>
      <c r="X4472" s="337" t="b">
        <f t="shared" si="104"/>
        <v>1</v>
      </c>
    </row>
    <row r="4473" spans="1:24" ht="12" customHeight="1" outlineLevel="1">
      <c r="A4473" s="370"/>
      <c r="B4473" s="118" t="s">
        <v>12</v>
      </c>
      <c r="C4473" s="334" t="s">
        <v>12558</v>
      </c>
      <c r="D4473" s="124" t="s">
        <v>12249</v>
      </c>
      <c r="E4473" s="125"/>
      <c r="F4473" s="118" t="s">
        <v>828</v>
      </c>
      <c r="G4473" s="126" t="s">
        <v>11386</v>
      </c>
      <c r="H4473" s="255">
        <v>6</v>
      </c>
      <c r="I4473" s="361">
        <v>1</v>
      </c>
      <c r="J4473" s="371" t="s">
        <v>310</v>
      </c>
      <c r="K4473" s="377"/>
      <c r="L4473" s="129"/>
      <c r="M4473" s="378"/>
      <c r="N4473" s="129"/>
      <c r="O4473" s="129"/>
      <c r="P4473" s="379"/>
      <c r="Q4473" s="129"/>
      <c r="R4473" s="380"/>
      <c r="S4473" s="129"/>
      <c r="T4473" s="129"/>
      <c r="W4473" s="129" t="s">
        <v>4876</v>
      </c>
      <c r="X4473" s="337" t="b">
        <f t="shared" si="104"/>
        <v>0</v>
      </c>
    </row>
    <row r="4474" spans="1:24" ht="12" customHeight="1" outlineLevel="1">
      <c r="A4474" s="370"/>
      <c r="B4474" s="118" t="s">
        <v>12</v>
      </c>
      <c r="C4474" s="334" t="s">
        <v>12559</v>
      </c>
      <c r="D4474" s="124" t="s">
        <v>11920</v>
      </c>
      <c r="E4474" s="125"/>
      <c r="F4474" s="118" t="s">
        <v>828</v>
      </c>
      <c r="G4474" s="126" t="s">
        <v>11386</v>
      </c>
      <c r="H4474" s="255">
        <v>6</v>
      </c>
      <c r="I4474" s="361">
        <v>1</v>
      </c>
      <c r="J4474" s="371" t="s">
        <v>286</v>
      </c>
      <c r="K4474" s="377"/>
      <c r="L4474" s="129"/>
      <c r="M4474" s="378"/>
      <c r="N4474" s="129"/>
      <c r="O4474" s="129"/>
      <c r="P4474" s="379"/>
      <c r="Q4474" s="129"/>
      <c r="R4474" s="380"/>
      <c r="S4474" s="129"/>
      <c r="T4474" s="129"/>
      <c r="W4474" s="129" t="s">
        <v>4876</v>
      </c>
      <c r="X4474" s="337" t="b">
        <f t="shared" si="104"/>
        <v>0</v>
      </c>
    </row>
    <row r="4475" spans="1:24" ht="12" customHeight="1" outlineLevel="1">
      <c r="A4475" s="370"/>
      <c r="B4475" s="118" t="s">
        <v>12</v>
      </c>
      <c r="C4475" s="334" t="s">
        <v>12560</v>
      </c>
      <c r="D4475" s="124" t="s">
        <v>11922</v>
      </c>
      <c r="E4475" s="125"/>
      <c r="F4475" s="118" t="s">
        <v>828</v>
      </c>
      <c r="G4475" s="126" t="s">
        <v>11386</v>
      </c>
      <c r="H4475" s="255">
        <v>6</v>
      </c>
      <c r="I4475" s="361">
        <v>1</v>
      </c>
      <c r="J4475" s="371" t="s">
        <v>286</v>
      </c>
      <c r="K4475" s="377"/>
      <c r="L4475" s="129"/>
      <c r="M4475" s="378"/>
      <c r="N4475" s="129"/>
      <c r="O4475" s="129"/>
      <c r="P4475" s="379"/>
      <c r="Q4475" s="129"/>
      <c r="R4475" s="380"/>
      <c r="S4475" s="129"/>
      <c r="T4475" s="129"/>
      <c r="W4475" s="129" t="s">
        <v>4876</v>
      </c>
      <c r="X4475" s="337" t="b">
        <f t="shared" si="104"/>
        <v>0</v>
      </c>
    </row>
    <row r="4476" spans="1:24" ht="12" customHeight="1" outlineLevel="1">
      <c r="A4476" s="370"/>
      <c r="B4476" s="118" t="s">
        <v>12</v>
      </c>
      <c r="C4476" s="334" t="s">
        <v>12561</v>
      </c>
      <c r="D4476" s="124" t="s">
        <v>11924</v>
      </c>
      <c r="E4476" s="125"/>
      <c r="F4476" s="118" t="s">
        <v>828</v>
      </c>
      <c r="G4476" s="126" t="s">
        <v>11386</v>
      </c>
      <c r="H4476" s="255">
        <v>6</v>
      </c>
      <c r="I4476" s="361">
        <v>1</v>
      </c>
      <c r="J4476" s="371" t="s">
        <v>286</v>
      </c>
      <c r="K4476" s="377"/>
      <c r="L4476" s="129"/>
      <c r="M4476" s="378"/>
      <c r="N4476" s="129"/>
      <c r="O4476" s="129"/>
      <c r="P4476" s="379"/>
      <c r="Q4476" s="129"/>
      <c r="R4476" s="380"/>
      <c r="S4476" s="129"/>
      <c r="T4476" s="129"/>
      <c r="W4476" s="129" t="s">
        <v>4876</v>
      </c>
      <c r="X4476" s="337" t="b">
        <f t="shared" si="104"/>
        <v>0</v>
      </c>
    </row>
    <row r="4477" spans="1:24" ht="12" customHeight="1" outlineLevel="1">
      <c r="A4477" s="370"/>
      <c r="B4477" s="118" t="s">
        <v>12</v>
      </c>
      <c r="C4477" s="334" t="s">
        <v>12562</v>
      </c>
      <c r="D4477" s="124" t="s">
        <v>11926</v>
      </c>
      <c r="E4477" s="125"/>
      <c r="F4477" s="118" t="s">
        <v>828</v>
      </c>
      <c r="G4477" s="126" t="s">
        <v>11386</v>
      </c>
      <c r="H4477" s="255">
        <v>6</v>
      </c>
      <c r="I4477" s="361">
        <v>1</v>
      </c>
      <c r="J4477" s="371" t="s">
        <v>286</v>
      </c>
      <c r="K4477" s="377"/>
      <c r="L4477" s="129"/>
      <c r="M4477" s="378"/>
      <c r="N4477" s="129"/>
      <c r="O4477" s="129"/>
      <c r="P4477" s="379"/>
      <c r="Q4477" s="129"/>
      <c r="R4477" s="380"/>
      <c r="S4477" s="129"/>
      <c r="T4477" s="129"/>
      <c r="W4477" s="129" t="s">
        <v>4876</v>
      </c>
      <c r="X4477" s="337" t="b">
        <f t="shared" si="104"/>
        <v>0</v>
      </c>
    </row>
    <row r="4478" spans="1:24" ht="12" customHeight="1" outlineLevel="1">
      <c r="A4478" s="370"/>
      <c r="B4478" s="118" t="s">
        <v>12</v>
      </c>
      <c r="C4478" s="334" t="s">
        <v>12563</v>
      </c>
      <c r="D4478" s="124" t="s">
        <v>11940</v>
      </c>
      <c r="E4478" s="125"/>
      <c r="F4478" s="118" t="s">
        <v>828</v>
      </c>
      <c r="G4478" s="126" t="s">
        <v>11386</v>
      </c>
      <c r="H4478" s="255">
        <v>6</v>
      </c>
      <c r="I4478" s="361">
        <v>1</v>
      </c>
      <c r="J4478" s="371" t="s">
        <v>286</v>
      </c>
      <c r="K4478" s="377"/>
      <c r="L4478" s="129"/>
      <c r="M4478" s="378"/>
      <c r="N4478" s="129"/>
      <c r="O4478" s="129"/>
      <c r="P4478" s="379"/>
      <c r="Q4478" s="129"/>
      <c r="R4478" s="380"/>
      <c r="S4478" s="129"/>
      <c r="T4478" s="129"/>
      <c r="W4478" s="129" t="s">
        <v>286</v>
      </c>
      <c r="X4478" s="337" t="b">
        <f t="shared" si="104"/>
        <v>1</v>
      </c>
    </row>
    <row r="4479" spans="1:24" ht="12" customHeight="1" outlineLevel="1">
      <c r="A4479" s="370"/>
      <c r="B4479" s="118" t="s">
        <v>12</v>
      </c>
      <c r="C4479" s="334" t="s">
        <v>12564</v>
      </c>
      <c r="D4479" s="124" t="s">
        <v>11942</v>
      </c>
      <c r="E4479" s="125"/>
      <c r="F4479" s="118" t="s">
        <v>828</v>
      </c>
      <c r="G4479" s="126" t="s">
        <v>11386</v>
      </c>
      <c r="H4479" s="255">
        <v>6</v>
      </c>
      <c r="I4479" s="361">
        <v>1</v>
      </c>
      <c r="J4479" s="371" t="s">
        <v>286</v>
      </c>
      <c r="K4479" s="377"/>
      <c r="L4479" s="129"/>
      <c r="M4479" s="378"/>
      <c r="N4479" s="129"/>
      <c r="O4479" s="129"/>
      <c r="P4479" s="379"/>
      <c r="Q4479" s="129"/>
      <c r="R4479" s="380"/>
      <c r="S4479" s="129"/>
      <c r="T4479" s="129"/>
      <c r="W4479" s="129" t="s">
        <v>286</v>
      </c>
      <c r="X4479" s="337" t="b">
        <f t="shared" si="104"/>
        <v>1</v>
      </c>
    </row>
    <row r="4480" spans="1:24" ht="12" customHeight="1" outlineLevel="1">
      <c r="A4480" s="370"/>
      <c r="B4480" s="118" t="s">
        <v>12</v>
      </c>
      <c r="C4480" s="334" t="s">
        <v>12565</v>
      </c>
      <c r="D4480" s="124" t="s">
        <v>11944</v>
      </c>
      <c r="E4480" s="125"/>
      <c r="F4480" s="118" t="s">
        <v>828</v>
      </c>
      <c r="G4480" s="126" t="s">
        <v>11386</v>
      </c>
      <c r="H4480" s="255">
        <v>6</v>
      </c>
      <c r="I4480" s="361">
        <v>1</v>
      </c>
      <c r="J4480" s="371" t="s">
        <v>286</v>
      </c>
      <c r="K4480" s="377"/>
      <c r="L4480" s="129"/>
      <c r="M4480" s="378"/>
      <c r="N4480" s="129"/>
      <c r="O4480" s="129"/>
      <c r="P4480" s="379"/>
      <c r="Q4480" s="129"/>
      <c r="R4480" s="380"/>
      <c r="S4480" s="129"/>
      <c r="T4480" s="129"/>
      <c r="W4480" s="129" t="s">
        <v>286</v>
      </c>
      <c r="X4480" s="337" t="b">
        <f t="shared" si="104"/>
        <v>1</v>
      </c>
    </row>
    <row r="4481" spans="1:24" ht="12" customHeight="1" outlineLevel="1">
      <c r="A4481" s="370"/>
      <c r="B4481" s="118" t="s">
        <v>12</v>
      </c>
      <c r="C4481" s="334" t="s">
        <v>12566</v>
      </c>
      <c r="D4481" s="124" t="s">
        <v>11952</v>
      </c>
      <c r="E4481" s="125"/>
      <c r="F4481" s="118" t="s">
        <v>828</v>
      </c>
      <c r="G4481" s="126" t="s">
        <v>11386</v>
      </c>
      <c r="H4481" s="255">
        <v>6</v>
      </c>
      <c r="I4481" s="361">
        <v>1</v>
      </c>
      <c r="J4481" s="371" t="s">
        <v>286</v>
      </c>
      <c r="K4481" s="377"/>
      <c r="L4481" s="129"/>
      <c r="M4481" s="378"/>
      <c r="N4481" s="129"/>
      <c r="O4481" s="129"/>
      <c r="P4481" s="379"/>
      <c r="Q4481" s="129"/>
      <c r="R4481" s="380"/>
      <c r="S4481" s="129"/>
      <c r="T4481" s="129"/>
      <c r="W4481" s="129" t="s">
        <v>286</v>
      </c>
      <c r="X4481" s="337" t="b">
        <f t="shared" si="104"/>
        <v>1</v>
      </c>
    </row>
    <row r="4482" spans="1:24" ht="12" customHeight="1" outlineLevel="1">
      <c r="A4482" s="370"/>
      <c r="B4482" s="118" t="s">
        <v>12</v>
      </c>
      <c r="C4482" s="334" t="s">
        <v>12567</v>
      </c>
      <c r="D4482" s="124" t="s">
        <v>11954</v>
      </c>
      <c r="E4482" s="125"/>
      <c r="F4482" s="118" t="s">
        <v>828</v>
      </c>
      <c r="G4482" s="126" t="s">
        <v>11386</v>
      </c>
      <c r="H4482" s="255">
        <v>6</v>
      </c>
      <c r="I4482" s="361">
        <v>1</v>
      </c>
      <c r="J4482" s="371" t="s">
        <v>286</v>
      </c>
      <c r="K4482" s="377"/>
      <c r="L4482" s="129"/>
      <c r="M4482" s="378"/>
      <c r="N4482" s="129"/>
      <c r="O4482" s="129"/>
      <c r="P4482" s="379"/>
      <c r="Q4482" s="129"/>
      <c r="R4482" s="380"/>
      <c r="S4482" s="129"/>
      <c r="T4482" s="129"/>
      <c r="W4482" s="129" t="s">
        <v>286</v>
      </c>
      <c r="X4482" s="337" t="b">
        <f t="shared" si="104"/>
        <v>1</v>
      </c>
    </row>
    <row r="4483" spans="1:24" ht="12" customHeight="1" outlineLevel="1">
      <c r="A4483" s="370"/>
      <c r="B4483" s="118" t="s">
        <v>12</v>
      </c>
      <c r="C4483" s="334" t="s">
        <v>12568</v>
      </c>
      <c r="D4483" s="124" t="s">
        <v>11956</v>
      </c>
      <c r="E4483" s="125"/>
      <c r="F4483" s="118" t="s">
        <v>828</v>
      </c>
      <c r="G4483" s="126" t="s">
        <v>11386</v>
      </c>
      <c r="H4483" s="255">
        <v>6</v>
      </c>
      <c r="I4483" s="361">
        <v>1</v>
      </c>
      <c r="J4483" s="371" t="s">
        <v>286</v>
      </c>
      <c r="K4483" s="377"/>
      <c r="L4483" s="129"/>
      <c r="M4483" s="378"/>
      <c r="N4483" s="129"/>
      <c r="O4483" s="129"/>
      <c r="P4483" s="379"/>
      <c r="Q4483" s="129"/>
      <c r="R4483" s="380"/>
      <c r="S4483" s="129"/>
      <c r="T4483" s="129"/>
      <c r="W4483" s="129" t="s">
        <v>286</v>
      </c>
      <c r="X4483" s="337" t="b">
        <f t="shared" si="104"/>
        <v>1</v>
      </c>
    </row>
    <row r="4484" spans="1:24" ht="12" customHeight="1" outlineLevel="1">
      <c r="A4484" s="370"/>
      <c r="B4484" s="118" t="s">
        <v>12</v>
      </c>
      <c r="C4484" s="334" t="s">
        <v>12569</v>
      </c>
      <c r="D4484" s="124" t="s">
        <v>11958</v>
      </c>
      <c r="E4484" s="125"/>
      <c r="F4484" s="118" t="s">
        <v>828</v>
      </c>
      <c r="G4484" s="126" t="s">
        <v>11386</v>
      </c>
      <c r="H4484" s="255">
        <v>6</v>
      </c>
      <c r="I4484" s="361">
        <v>1</v>
      </c>
      <c r="J4484" s="371" t="s">
        <v>286</v>
      </c>
      <c r="K4484" s="377"/>
      <c r="L4484" s="129"/>
      <c r="M4484" s="378"/>
      <c r="N4484" s="129"/>
      <c r="O4484" s="129"/>
      <c r="P4484" s="379"/>
      <c r="Q4484" s="129"/>
      <c r="R4484" s="380"/>
      <c r="S4484" s="129"/>
      <c r="T4484" s="129"/>
      <c r="W4484" s="129" t="s">
        <v>286</v>
      </c>
      <c r="X4484" s="337" t="b">
        <f t="shared" si="104"/>
        <v>1</v>
      </c>
    </row>
    <row r="4485" spans="1:24" ht="12" customHeight="1" outlineLevel="1">
      <c r="A4485" s="370"/>
      <c r="B4485" s="118" t="s">
        <v>12</v>
      </c>
      <c r="C4485" s="334" t="s">
        <v>12570</v>
      </c>
      <c r="D4485" s="124" t="s">
        <v>12262</v>
      </c>
      <c r="E4485" s="125"/>
      <c r="F4485" s="118" t="s">
        <v>828</v>
      </c>
      <c r="G4485" s="126" t="s">
        <v>11386</v>
      </c>
      <c r="H4485" s="255">
        <v>6</v>
      </c>
      <c r="I4485" s="361">
        <v>1</v>
      </c>
      <c r="J4485" s="371" t="s">
        <v>310</v>
      </c>
      <c r="K4485" s="377"/>
      <c r="L4485" s="129"/>
      <c r="M4485" s="378"/>
      <c r="N4485" s="129"/>
      <c r="O4485" s="129"/>
      <c r="P4485" s="379"/>
      <c r="Q4485" s="129"/>
      <c r="R4485" s="380"/>
      <c r="S4485" s="129"/>
      <c r="T4485" s="129"/>
      <c r="W4485" s="129" t="s">
        <v>286</v>
      </c>
      <c r="X4485" s="337" t="b">
        <f t="shared" si="104"/>
        <v>0</v>
      </c>
    </row>
    <row r="4486" spans="1:24" ht="12" customHeight="1" outlineLevel="1">
      <c r="A4486" s="370"/>
      <c r="B4486" s="118" t="s">
        <v>12</v>
      </c>
      <c r="C4486" s="334" t="s">
        <v>12571</v>
      </c>
      <c r="D4486" s="124" t="s">
        <v>12572</v>
      </c>
      <c r="E4486" s="125"/>
      <c r="F4486" s="118" t="s">
        <v>828</v>
      </c>
      <c r="G4486" s="126" t="s">
        <v>11386</v>
      </c>
      <c r="H4486" s="255">
        <v>6</v>
      </c>
      <c r="I4486" s="361">
        <v>1</v>
      </c>
      <c r="J4486" s="371" t="s">
        <v>286</v>
      </c>
      <c r="K4486" s="377"/>
      <c r="L4486" s="129"/>
      <c r="M4486" s="378"/>
      <c r="N4486" s="129"/>
      <c r="O4486" s="129"/>
      <c r="P4486" s="379"/>
      <c r="Q4486" s="129"/>
      <c r="R4486" s="380"/>
      <c r="S4486" s="129"/>
      <c r="T4486" s="129"/>
      <c r="W4486" s="129" t="s">
        <v>286</v>
      </c>
      <c r="X4486" s="337" t="b">
        <f t="shared" si="104"/>
        <v>1</v>
      </c>
    </row>
    <row r="4487" spans="1:24" ht="12" customHeight="1" outlineLevel="1">
      <c r="A4487" s="370"/>
      <c r="B4487" s="118" t="s">
        <v>12</v>
      </c>
      <c r="C4487" s="334" t="s">
        <v>12573</v>
      </c>
      <c r="D4487" s="124" t="s">
        <v>12574</v>
      </c>
      <c r="E4487" s="125"/>
      <c r="F4487" s="118" t="s">
        <v>828</v>
      </c>
      <c r="G4487" s="126" t="s">
        <v>11386</v>
      </c>
      <c r="H4487" s="255">
        <v>6</v>
      </c>
      <c r="I4487" s="361">
        <v>1</v>
      </c>
      <c r="J4487" s="371" t="s">
        <v>286</v>
      </c>
      <c r="K4487" s="377"/>
      <c r="L4487" s="129"/>
      <c r="M4487" s="378"/>
      <c r="N4487" s="129"/>
      <c r="O4487" s="129"/>
      <c r="P4487" s="379"/>
      <c r="Q4487" s="129"/>
      <c r="R4487" s="380"/>
      <c r="S4487" s="129"/>
      <c r="T4487" s="129"/>
      <c r="W4487" s="129" t="s">
        <v>286</v>
      </c>
      <c r="X4487" s="337" t="b">
        <f t="shared" si="104"/>
        <v>1</v>
      </c>
    </row>
    <row r="4488" spans="1:24" ht="12" customHeight="1" outlineLevel="1">
      <c r="A4488" s="370"/>
      <c r="B4488" s="118" t="s">
        <v>12</v>
      </c>
      <c r="C4488" s="334" t="s">
        <v>12575</v>
      </c>
      <c r="D4488" s="124" t="s">
        <v>12576</v>
      </c>
      <c r="E4488" s="125"/>
      <c r="F4488" s="118" t="s">
        <v>828</v>
      </c>
      <c r="G4488" s="126" t="s">
        <v>11386</v>
      </c>
      <c r="H4488" s="255">
        <v>6</v>
      </c>
      <c r="I4488" s="361">
        <v>1</v>
      </c>
      <c r="J4488" s="371" t="s">
        <v>286</v>
      </c>
      <c r="K4488" s="377"/>
      <c r="L4488" s="129"/>
      <c r="M4488" s="378"/>
      <c r="N4488" s="129"/>
      <c r="O4488" s="129"/>
      <c r="P4488" s="379"/>
      <c r="Q4488" s="129"/>
      <c r="R4488" s="380"/>
      <c r="S4488" s="129"/>
      <c r="T4488" s="129"/>
      <c r="W4488" s="129" t="s">
        <v>286</v>
      </c>
      <c r="X4488" s="337" t="b">
        <f t="shared" si="104"/>
        <v>1</v>
      </c>
    </row>
    <row r="4489" spans="1:24" ht="12" customHeight="1" outlineLevel="1">
      <c r="A4489" s="370"/>
      <c r="B4489" s="118" t="s">
        <v>12</v>
      </c>
      <c r="C4489" s="334" t="s">
        <v>12577</v>
      </c>
      <c r="D4489" s="124" t="s">
        <v>7881</v>
      </c>
      <c r="E4489" s="125"/>
      <c r="F4489" s="118" t="s">
        <v>828</v>
      </c>
      <c r="G4489" s="126" t="s">
        <v>11386</v>
      </c>
      <c r="H4489" s="255">
        <v>6</v>
      </c>
      <c r="I4489" s="361">
        <v>1</v>
      </c>
      <c r="J4489" s="371" t="s">
        <v>286</v>
      </c>
      <c r="K4489" s="377"/>
      <c r="L4489" s="129"/>
      <c r="M4489" s="378"/>
      <c r="N4489" s="129"/>
      <c r="O4489" s="129"/>
      <c r="P4489" s="379"/>
      <c r="Q4489" s="129"/>
      <c r="R4489" s="380"/>
      <c r="S4489" s="129"/>
      <c r="T4489" s="129"/>
      <c r="W4489" s="129" t="s">
        <v>286</v>
      </c>
      <c r="X4489" s="337" t="b">
        <f t="shared" si="104"/>
        <v>1</v>
      </c>
    </row>
    <row r="4490" spans="1:24" ht="12" customHeight="1" outlineLevel="1">
      <c r="A4490" s="370"/>
      <c r="B4490" s="118" t="s">
        <v>12</v>
      </c>
      <c r="C4490" s="334" t="s">
        <v>12578</v>
      </c>
      <c r="D4490" s="124" t="s">
        <v>12579</v>
      </c>
      <c r="E4490" s="125"/>
      <c r="F4490" s="118" t="s">
        <v>828</v>
      </c>
      <c r="G4490" s="126" t="s">
        <v>11386</v>
      </c>
      <c r="H4490" s="255">
        <v>6</v>
      </c>
      <c r="I4490" s="361">
        <v>1</v>
      </c>
      <c r="J4490" s="371" t="s">
        <v>286</v>
      </c>
      <c r="K4490" s="377"/>
      <c r="L4490" s="129"/>
      <c r="M4490" s="378"/>
      <c r="N4490" s="129"/>
      <c r="O4490" s="129"/>
      <c r="P4490" s="379"/>
      <c r="Q4490" s="129"/>
      <c r="R4490" s="380"/>
      <c r="S4490" s="129"/>
      <c r="T4490" s="129"/>
      <c r="W4490" s="129" t="s">
        <v>4876</v>
      </c>
      <c r="X4490" s="337" t="b">
        <f t="shared" si="104"/>
        <v>0</v>
      </c>
    </row>
    <row r="4491" spans="1:24" ht="12" customHeight="1" outlineLevel="1">
      <c r="A4491" s="370"/>
      <c r="B4491" s="118" t="s">
        <v>12</v>
      </c>
      <c r="C4491" s="334" t="s">
        <v>12580</v>
      </c>
      <c r="D4491" s="124" t="s">
        <v>12581</v>
      </c>
      <c r="E4491" s="125"/>
      <c r="F4491" s="118" t="s">
        <v>828</v>
      </c>
      <c r="G4491" s="126" t="s">
        <v>11386</v>
      </c>
      <c r="H4491" s="255">
        <v>6</v>
      </c>
      <c r="I4491" s="361">
        <v>1</v>
      </c>
      <c r="J4491" s="371" t="s">
        <v>286</v>
      </c>
      <c r="K4491" s="377"/>
      <c r="L4491" s="129"/>
      <c r="M4491" s="378"/>
      <c r="N4491" s="129"/>
      <c r="O4491" s="129"/>
      <c r="P4491" s="379"/>
      <c r="Q4491" s="129"/>
      <c r="R4491" s="380"/>
      <c r="S4491" s="129"/>
      <c r="T4491" s="129"/>
      <c r="W4491" s="129" t="s">
        <v>286</v>
      </c>
      <c r="X4491" s="337" t="b">
        <f t="shared" si="104"/>
        <v>1</v>
      </c>
    </row>
    <row r="4492" spans="1:24" ht="12" customHeight="1" outlineLevel="1">
      <c r="A4492" s="370"/>
      <c r="B4492" s="118" t="s">
        <v>12</v>
      </c>
      <c r="C4492" s="334" t="s">
        <v>12582</v>
      </c>
      <c r="D4492" s="124" t="s">
        <v>12583</v>
      </c>
      <c r="E4492" s="125"/>
      <c r="F4492" s="118" t="s">
        <v>828</v>
      </c>
      <c r="G4492" s="126" t="s">
        <v>11386</v>
      </c>
      <c r="H4492" s="255">
        <v>6</v>
      </c>
      <c r="I4492" s="361">
        <v>1</v>
      </c>
      <c r="J4492" s="371" t="s">
        <v>286</v>
      </c>
      <c r="K4492" s="377"/>
      <c r="L4492" s="129"/>
      <c r="M4492" s="378"/>
      <c r="N4492" s="129"/>
      <c r="O4492" s="129"/>
      <c r="P4492" s="379"/>
      <c r="Q4492" s="129"/>
      <c r="R4492" s="380"/>
      <c r="S4492" s="129"/>
      <c r="T4492" s="129"/>
      <c r="W4492" s="129" t="s">
        <v>286</v>
      </c>
      <c r="X4492" s="337" t="b">
        <f t="shared" si="104"/>
        <v>1</v>
      </c>
    </row>
    <row r="4493" spans="1:24" ht="12" customHeight="1" outlineLevel="1">
      <c r="A4493" s="370"/>
      <c r="B4493" s="118" t="s">
        <v>12</v>
      </c>
      <c r="C4493" s="334" t="s">
        <v>12584</v>
      </c>
      <c r="D4493" s="124" t="s">
        <v>12585</v>
      </c>
      <c r="E4493" s="125"/>
      <c r="F4493" s="118" t="s">
        <v>828</v>
      </c>
      <c r="G4493" s="126" t="s">
        <v>11386</v>
      </c>
      <c r="H4493" s="255">
        <v>6</v>
      </c>
      <c r="I4493" s="361">
        <v>1</v>
      </c>
      <c r="J4493" s="371" t="s">
        <v>286</v>
      </c>
      <c r="K4493" s="377"/>
      <c r="L4493" s="129"/>
      <c r="M4493" s="378"/>
      <c r="N4493" s="129"/>
      <c r="O4493" s="129"/>
      <c r="P4493" s="379"/>
      <c r="Q4493" s="129"/>
      <c r="R4493" s="380"/>
      <c r="S4493" s="129"/>
      <c r="T4493" s="129"/>
      <c r="W4493" s="129" t="s">
        <v>286</v>
      </c>
      <c r="X4493" s="337" t="b">
        <f t="shared" si="104"/>
        <v>1</v>
      </c>
    </row>
    <row r="4494" spans="1:24" ht="12" customHeight="1" outlineLevel="1">
      <c r="A4494" s="370"/>
      <c r="B4494" s="118" t="s">
        <v>12</v>
      </c>
      <c r="C4494" s="334" t="s">
        <v>12586</v>
      </c>
      <c r="D4494" s="124" t="s">
        <v>12587</v>
      </c>
      <c r="E4494" s="125"/>
      <c r="F4494" s="118" t="s">
        <v>828</v>
      </c>
      <c r="G4494" s="126" t="s">
        <v>11386</v>
      </c>
      <c r="H4494" s="255">
        <v>6</v>
      </c>
      <c r="I4494" s="361">
        <v>1</v>
      </c>
      <c r="J4494" s="371" t="s">
        <v>286</v>
      </c>
      <c r="K4494" s="377"/>
      <c r="L4494" s="129"/>
      <c r="M4494" s="378"/>
      <c r="N4494" s="129"/>
      <c r="O4494" s="129"/>
      <c r="P4494" s="379"/>
      <c r="Q4494" s="129"/>
      <c r="R4494" s="380"/>
      <c r="S4494" s="129"/>
      <c r="T4494" s="129"/>
      <c r="W4494" s="129" t="s">
        <v>286</v>
      </c>
      <c r="X4494" s="337" t="b">
        <f t="shared" si="104"/>
        <v>1</v>
      </c>
    </row>
    <row r="4495" spans="1:24" ht="12" customHeight="1" outlineLevel="1">
      <c r="A4495" s="370"/>
      <c r="B4495" s="118" t="s">
        <v>12</v>
      </c>
      <c r="C4495" s="334" t="s">
        <v>12588</v>
      </c>
      <c r="D4495" s="124" t="s">
        <v>12589</v>
      </c>
      <c r="E4495" s="125"/>
      <c r="F4495" s="118" t="s">
        <v>828</v>
      </c>
      <c r="G4495" s="126" t="s">
        <v>11386</v>
      </c>
      <c r="H4495" s="255">
        <v>6</v>
      </c>
      <c r="I4495" s="361">
        <v>1</v>
      </c>
      <c r="J4495" s="371" t="s">
        <v>286</v>
      </c>
      <c r="K4495" s="377"/>
      <c r="L4495" s="129"/>
      <c r="M4495" s="378"/>
      <c r="N4495" s="129"/>
      <c r="O4495" s="129"/>
      <c r="P4495" s="379"/>
      <c r="Q4495" s="129"/>
      <c r="R4495" s="380"/>
      <c r="S4495" s="129"/>
      <c r="T4495" s="129"/>
      <c r="W4495" s="129" t="s">
        <v>286</v>
      </c>
      <c r="X4495" s="337" t="b">
        <f t="shared" si="104"/>
        <v>1</v>
      </c>
    </row>
    <row r="4496" spans="1:24" ht="12" customHeight="1" outlineLevel="1">
      <c r="A4496" s="370"/>
      <c r="B4496" s="118" t="s">
        <v>12</v>
      </c>
      <c r="C4496" s="334" t="s">
        <v>12590</v>
      </c>
      <c r="D4496" s="124" t="s">
        <v>12591</v>
      </c>
      <c r="E4496" s="125"/>
      <c r="F4496" s="118" t="s">
        <v>828</v>
      </c>
      <c r="G4496" s="126" t="s">
        <v>11386</v>
      </c>
      <c r="H4496" s="255">
        <v>6</v>
      </c>
      <c r="I4496" s="361">
        <v>1</v>
      </c>
      <c r="J4496" s="371" t="s">
        <v>286</v>
      </c>
      <c r="K4496" s="377"/>
      <c r="L4496" s="129"/>
      <c r="M4496" s="378"/>
      <c r="N4496" s="129"/>
      <c r="O4496" s="129"/>
      <c r="P4496" s="379"/>
      <c r="Q4496" s="129"/>
      <c r="R4496" s="380"/>
      <c r="S4496" s="129"/>
      <c r="T4496" s="129"/>
      <c r="W4496" s="129" t="s">
        <v>286</v>
      </c>
      <c r="X4496" s="337" t="b">
        <f t="shared" si="104"/>
        <v>1</v>
      </c>
    </row>
    <row r="4497" spans="1:24" ht="12" customHeight="1" outlineLevel="1">
      <c r="A4497" s="370"/>
      <c r="B4497" s="118" t="s">
        <v>12</v>
      </c>
      <c r="C4497" s="334" t="s">
        <v>12592</v>
      </c>
      <c r="D4497" s="124" t="s">
        <v>12593</v>
      </c>
      <c r="E4497" s="125"/>
      <c r="F4497" s="118" t="s">
        <v>828</v>
      </c>
      <c r="G4497" s="126" t="s">
        <v>11386</v>
      </c>
      <c r="H4497" s="255">
        <v>6</v>
      </c>
      <c r="I4497" s="361">
        <v>1</v>
      </c>
      <c r="J4497" s="371" t="s">
        <v>286</v>
      </c>
      <c r="K4497" s="377"/>
      <c r="L4497" s="129"/>
      <c r="M4497" s="378"/>
      <c r="N4497" s="129"/>
      <c r="O4497" s="129"/>
      <c r="P4497" s="379"/>
      <c r="Q4497" s="129"/>
      <c r="R4497" s="380"/>
      <c r="S4497" s="129"/>
      <c r="T4497" s="129"/>
      <c r="W4497" s="129" t="s">
        <v>286</v>
      </c>
      <c r="X4497" s="337" t="b">
        <f t="shared" si="104"/>
        <v>1</v>
      </c>
    </row>
    <row r="4498" spans="1:24" ht="12" customHeight="1" outlineLevel="1">
      <c r="A4498" s="370"/>
      <c r="B4498" s="118" t="s">
        <v>12</v>
      </c>
      <c r="C4498" s="334" t="s">
        <v>12594</v>
      </c>
      <c r="D4498" s="124" t="s">
        <v>12595</v>
      </c>
      <c r="E4498" s="125"/>
      <c r="F4498" s="118" t="s">
        <v>828</v>
      </c>
      <c r="G4498" s="126" t="s">
        <v>11386</v>
      </c>
      <c r="H4498" s="255">
        <v>6</v>
      </c>
      <c r="I4498" s="361">
        <v>1</v>
      </c>
      <c r="J4498" s="371" t="s">
        <v>286</v>
      </c>
      <c r="K4498" s="377"/>
      <c r="L4498" s="129"/>
      <c r="M4498" s="378"/>
      <c r="N4498" s="129"/>
      <c r="O4498" s="129"/>
      <c r="P4498" s="379"/>
      <c r="Q4498" s="129"/>
      <c r="R4498" s="380"/>
      <c r="S4498" s="129"/>
      <c r="T4498" s="129"/>
      <c r="W4498" s="129" t="s">
        <v>286</v>
      </c>
      <c r="X4498" s="337" t="b">
        <f t="shared" si="104"/>
        <v>1</v>
      </c>
    </row>
    <row r="4499" spans="1:24" ht="12" customHeight="1" outlineLevel="1">
      <c r="A4499" s="370"/>
      <c r="B4499" s="118" t="s">
        <v>12</v>
      </c>
      <c r="C4499" s="334" t="s">
        <v>12596</v>
      </c>
      <c r="D4499" s="124" t="s">
        <v>12597</v>
      </c>
      <c r="E4499" s="125"/>
      <c r="F4499" s="118" t="s">
        <v>828</v>
      </c>
      <c r="G4499" s="126" t="s">
        <v>11386</v>
      </c>
      <c r="H4499" s="255">
        <v>6</v>
      </c>
      <c r="I4499" s="361">
        <v>1</v>
      </c>
      <c r="J4499" s="371" t="s">
        <v>286</v>
      </c>
      <c r="K4499" s="377"/>
      <c r="L4499" s="129"/>
      <c r="M4499" s="378"/>
      <c r="N4499" s="129"/>
      <c r="O4499" s="129"/>
      <c r="P4499" s="379"/>
      <c r="Q4499" s="129"/>
      <c r="R4499" s="380"/>
      <c r="S4499" s="129"/>
      <c r="T4499" s="129"/>
      <c r="W4499" s="129" t="s">
        <v>286</v>
      </c>
      <c r="X4499" s="337" t="b">
        <f t="shared" ref="X4499:X4540" si="105">W4499=J4499</f>
        <v>1</v>
      </c>
    </row>
    <row r="4500" spans="1:24" ht="12" customHeight="1" outlineLevel="1">
      <c r="A4500" s="370"/>
      <c r="B4500" s="118" t="s">
        <v>12</v>
      </c>
      <c r="C4500" s="334" t="s">
        <v>12598</v>
      </c>
      <c r="D4500" s="124" t="s">
        <v>12599</v>
      </c>
      <c r="E4500" s="125"/>
      <c r="F4500" s="118" t="s">
        <v>828</v>
      </c>
      <c r="G4500" s="126" t="s">
        <v>11386</v>
      </c>
      <c r="H4500" s="255">
        <v>6</v>
      </c>
      <c r="I4500" s="361">
        <v>1</v>
      </c>
      <c r="J4500" s="371" t="s">
        <v>286</v>
      </c>
      <c r="K4500" s="377"/>
      <c r="L4500" s="129"/>
      <c r="M4500" s="378"/>
      <c r="N4500" s="129"/>
      <c r="O4500" s="129"/>
      <c r="P4500" s="379"/>
      <c r="Q4500" s="129"/>
      <c r="R4500" s="380"/>
      <c r="S4500" s="129"/>
      <c r="T4500" s="129"/>
      <c r="W4500" s="129" t="s">
        <v>286</v>
      </c>
      <c r="X4500" s="337" t="b">
        <f t="shared" si="105"/>
        <v>1</v>
      </c>
    </row>
    <row r="4501" spans="1:24" ht="12" customHeight="1" outlineLevel="1">
      <c r="A4501" s="370"/>
      <c r="B4501" s="118" t="s">
        <v>12</v>
      </c>
      <c r="C4501" s="334" t="s">
        <v>12600</v>
      </c>
      <c r="D4501" s="124" t="s">
        <v>12601</v>
      </c>
      <c r="E4501" s="125"/>
      <c r="F4501" s="118" t="s">
        <v>828</v>
      </c>
      <c r="G4501" s="126" t="s">
        <v>11386</v>
      </c>
      <c r="H4501" s="255">
        <v>6</v>
      </c>
      <c r="I4501" s="361">
        <v>1</v>
      </c>
      <c r="J4501" s="371" t="s">
        <v>286</v>
      </c>
      <c r="K4501" s="377"/>
      <c r="L4501" s="129"/>
      <c r="M4501" s="378"/>
      <c r="N4501" s="129"/>
      <c r="O4501" s="129"/>
      <c r="P4501" s="379"/>
      <c r="Q4501" s="129"/>
      <c r="R4501" s="380"/>
      <c r="S4501" s="129"/>
      <c r="T4501" s="129"/>
      <c r="W4501" s="129" t="s">
        <v>286</v>
      </c>
      <c r="X4501" s="337" t="b">
        <f t="shared" si="105"/>
        <v>1</v>
      </c>
    </row>
    <row r="4502" spans="1:24" ht="12" customHeight="1" outlineLevel="1">
      <c r="A4502" s="370"/>
      <c r="B4502" s="118" t="s">
        <v>12</v>
      </c>
      <c r="C4502" s="334" t="s">
        <v>12602</v>
      </c>
      <c r="D4502" s="124" t="s">
        <v>12603</v>
      </c>
      <c r="E4502" s="125"/>
      <c r="F4502" s="118" t="s">
        <v>828</v>
      </c>
      <c r="G4502" s="126" t="s">
        <v>11386</v>
      </c>
      <c r="H4502" s="255">
        <v>6</v>
      </c>
      <c r="I4502" s="361">
        <v>1</v>
      </c>
      <c r="J4502" s="371" t="s">
        <v>286</v>
      </c>
      <c r="K4502" s="377"/>
      <c r="L4502" s="129"/>
      <c r="M4502" s="378"/>
      <c r="N4502" s="129"/>
      <c r="O4502" s="129"/>
      <c r="P4502" s="379"/>
      <c r="Q4502" s="129"/>
      <c r="R4502" s="380"/>
      <c r="S4502" s="129"/>
      <c r="T4502" s="129"/>
      <c r="W4502" s="129" t="s">
        <v>286</v>
      </c>
      <c r="X4502" s="337" t="b">
        <f t="shared" si="105"/>
        <v>1</v>
      </c>
    </row>
    <row r="4503" spans="1:24" ht="12" customHeight="1" outlineLevel="1">
      <c r="A4503" s="370"/>
      <c r="B4503" s="118" t="s">
        <v>12</v>
      </c>
      <c r="C4503" s="334" t="s">
        <v>12604</v>
      </c>
      <c r="D4503" s="124" t="s">
        <v>12605</v>
      </c>
      <c r="E4503" s="125"/>
      <c r="F4503" s="118" t="s">
        <v>828</v>
      </c>
      <c r="G4503" s="126" t="s">
        <v>11386</v>
      </c>
      <c r="H4503" s="255">
        <v>6</v>
      </c>
      <c r="I4503" s="361">
        <v>1</v>
      </c>
      <c r="J4503" s="371" t="s">
        <v>286</v>
      </c>
      <c r="K4503" s="377"/>
      <c r="L4503" s="129"/>
      <c r="M4503" s="378"/>
      <c r="N4503" s="129"/>
      <c r="O4503" s="129"/>
      <c r="P4503" s="379"/>
      <c r="Q4503" s="129"/>
      <c r="R4503" s="380"/>
      <c r="S4503" s="129"/>
      <c r="T4503" s="129"/>
      <c r="W4503" s="129" t="s">
        <v>286</v>
      </c>
      <c r="X4503" s="337" t="b">
        <f t="shared" si="105"/>
        <v>1</v>
      </c>
    </row>
    <row r="4504" spans="1:24" ht="12" customHeight="1" outlineLevel="1">
      <c r="A4504" s="370"/>
      <c r="B4504" s="118" t="s">
        <v>12</v>
      </c>
      <c r="C4504" s="334" t="s">
        <v>12606</v>
      </c>
      <c r="D4504" s="124" t="s">
        <v>12607</v>
      </c>
      <c r="E4504" s="125"/>
      <c r="F4504" s="118" t="s">
        <v>828</v>
      </c>
      <c r="G4504" s="126" t="s">
        <v>11386</v>
      </c>
      <c r="H4504" s="255">
        <v>6</v>
      </c>
      <c r="I4504" s="361">
        <v>1</v>
      </c>
      <c r="J4504" s="371" t="s">
        <v>286</v>
      </c>
      <c r="K4504" s="377"/>
      <c r="L4504" s="129"/>
      <c r="M4504" s="378"/>
      <c r="N4504" s="129"/>
      <c r="O4504" s="129"/>
      <c r="P4504" s="379"/>
      <c r="Q4504" s="129"/>
      <c r="R4504" s="380"/>
      <c r="S4504" s="129"/>
      <c r="T4504" s="129"/>
      <c r="W4504" s="129" t="s">
        <v>286</v>
      </c>
      <c r="X4504" s="337" t="b">
        <f t="shared" si="105"/>
        <v>1</v>
      </c>
    </row>
    <row r="4505" spans="1:24" ht="12" customHeight="1" outlineLevel="1">
      <c r="A4505" s="370"/>
      <c r="B4505" s="118" t="s">
        <v>12</v>
      </c>
      <c r="C4505" s="334" t="s">
        <v>12608</v>
      </c>
      <c r="D4505" s="124" t="s">
        <v>12609</v>
      </c>
      <c r="E4505" s="125"/>
      <c r="F4505" s="118" t="s">
        <v>828</v>
      </c>
      <c r="G4505" s="126" t="s">
        <v>11386</v>
      </c>
      <c r="H4505" s="255">
        <v>6</v>
      </c>
      <c r="I4505" s="361">
        <v>1</v>
      </c>
      <c r="J4505" s="371" t="s">
        <v>286</v>
      </c>
      <c r="K4505" s="377"/>
      <c r="L4505" s="129"/>
      <c r="M4505" s="378"/>
      <c r="N4505" s="129"/>
      <c r="O4505" s="129"/>
      <c r="P4505" s="379"/>
      <c r="Q4505" s="129"/>
      <c r="R4505" s="380"/>
      <c r="S4505" s="129"/>
      <c r="T4505" s="129"/>
      <c r="W4505" s="129" t="s">
        <v>4876</v>
      </c>
      <c r="X4505" s="337" t="b">
        <f t="shared" si="105"/>
        <v>0</v>
      </c>
    </row>
    <row r="4506" spans="1:24" ht="12" customHeight="1" outlineLevel="1">
      <c r="A4506" s="370"/>
      <c r="B4506" s="118" t="s">
        <v>12</v>
      </c>
      <c r="C4506" s="334" t="s">
        <v>12610</v>
      </c>
      <c r="D4506" s="124" t="s">
        <v>12611</v>
      </c>
      <c r="E4506" s="125"/>
      <c r="F4506" s="118" t="s">
        <v>828</v>
      </c>
      <c r="G4506" s="126" t="s">
        <v>12612</v>
      </c>
      <c r="H4506" s="255">
        <v>8</v>
      </c>
      <c r="I4506" s="361">
        <v>1</v>
      </c>
      <c r="J4506" s="371" t="s">
        <v>286</v>
      </c>
      <c r="K4506" s="377"/>
      <c r="L4506" s="129"/>
      <c r="M4506" s="378"/>
      <c r="N4506" s="129"/>
      <c r="O4506" s="129"/>
      <c r="P4506" s="379"/>
      <c r="Q4506" s="129"/>
      <c r="R4506" s="380"/>
      <c r="S4506" s="129"/>
      <c r="T4506" s="129"/>
      <c r="W4506" s="129" t="s">
        <v>4876</v>
      </c>
      <c r="X4506" s="337" t="b">
        <f t="shared" si="105"/>
        <v>0</v>
      </c>
    </row>
    <row r="4507" spans="1:24" ht="12" customHeight="1" outlineLevel="1">
      <c r="A4507" s="370"/>
      <c r="B4507" s="118" t="s">
        <v>12</v>
      </c>
      <c r="C4507" s="334" t="s">
        <v>12613</v>
      </c>
      <c r="D4507" s="124" t="s">
        <v>12614</v>
      </c>
      <c r="E4507" s="125"/>
      <c r="F4507" s="118" t="s">
        <v>828</v>
      </c>
      <c r="G4507" s="126" t="s">
        <v>12612</v>
      </c>
      <c r="H4507" s="255">
        <v>8</v>
      </c>
      <c r="I4507" s="361">
        <v>1</v>
      </c>
      <c r="J4507" s="371" t="s">
        <v>286</v>
      </c>
      <c r="K4507" s="377"/>
      <c r="L4507" s="129"/>
      <c r="M4507" s="378"/>
      <c r="N4507" s="129"/>
      <c r="O4507" s="129"/>
      <c r="P4507" s="379"/>
      <c r="Q4507" s="129"/>
      <c r="R4507" s="380"/>
      <c r="S4507" s="129"/>
      <c r="T4507" s="129"/>
      <c r="W4507" s="129" t="s">
        <v>4876</v>
      </c>
      <c r="X4507" s="337" t="b">
        <f t="shared" si="105"/>
        <v>0</v>
      </c>
    </row>
    <row r="4508" spans="1:24" ht="12" customHeight="1" outlineLevel="1">
      <c r="A4508" s="370"/>
      <c r="B4508" s="118" t="s">
        <v>12</v>
      </c>
      <c r="C4508" s="334" t="s">
        <v>12615</v>
      </c>
      <c r="D4508" s="124" t="s">
        <v>12616</v>
      </c>
      <c r="E4508" s="125"/>
      <c r="F4508" s="118" t="s">
        <v>828</v>
      </c>
      <c r="G4508" s="126" t="s">
        <v>12612</v>
      </c>
      <c r="H4508" s="255">
        <v>8</v>
      </c>
      <c r="I4508" s="361">
        <v>1</v>
      </c>
      <c r="J4508" s="371" t="s">
        <v>286</v>
      </c>
      <c r="K4508" s="377"/>
      <c r="L4508" s="129"/>
      <c r="M4508" s="378"/>
      <c r="N4508" s="129"/>
      <c r="O4508" s="129"/>
      <c r="P4508" s="379"/>
      <c r="Q4508" s="129"/>
      <c r="R4508" s="380"/>
      <c r="S4508" s="129"/>
      <c r="T4508" s="129"/>
      <c r="W4508" s="129" t="s">
        <v>4876</v>
      </c>
      <c r="X4508" s="337" t="b">
        <f t="shared" si="105"/>
        <v>0</v>
      </c>
    </row>
    <row r="4509" spans="1:24" ht="12" customHeight="1" outlineLevel="1">
      <c r="A4509" s="370"/>
      <c r="B4509" s="118" t="s">
        <v>12</v>
      </c>
      <c r="C4509" s="334" t="s">
        <v>12617</v>
      </c>
      <c r="D4509" s="124" t="s">
        <v>12618</v>
      </c>
      <c r="E4509" s="125"/>
      <c r="F4509" s="118" t="s">
        <v>828</v>
      </c>
      <c r="G4509" s="126" t="s">
        <v>12612</v>
      </c>
      <c r="H4509" s="255">
        <v>8</v>
      </c>
      <c r="I4509" s="361">
        <v>1</v>
      </c>
      <c r="J4509" s="371" t="s">
        <v>286</v>
      </c>
      <c r="K4509" s="377"/>
      <c r="L4509" s="129"/>
      <c r="M4509" s="378"/>
      <c r="N4509" s="129"/>
      <c r="O4509" s="129"/>
      <c r="P4509" s="379"/>
      <c r="Q4509" s="129"/>
      <c r="R4509" s="380"/>
      <c r="S4509" s="129"/>
      <c r="T4509" s="129"/>
      <c r="W4509" s="129" t="s">
        <v>4876</v>
      </c>
      <c r="X4509" s="337" t="b">
        <f t="shared" si="105"/>
        <v>0</v>
      </c>
    </row>
    <row r="4510" spans="1:24" ht="12" customHeight="1" outlineLevel="1">
      <c r="A4510" s="370"/>
      <c r="B4510" s="118" t="s">
        <v>12</v>
      </c>
      <c r="C4510" s="334" t="s">
        <v>12619</v>
      </c>
      <c r="D4510" s="124" t="s">
        <v>12620</v>
      </c>
      <c r="E4510" s="125"/>
      <c r="F4510" s="118" t="s">
        <v>828</v>
      </c>
      <c r="G4510" s="126" t="s">
        <v>12612</v>
      </c>
      <c r="H4510" s="255">
        <v>8</v>
      </c>
      <c r="I4510" s="361">
        <v>1</v>
      </c>
      <c r="J4510" s="371" t="s">
        <v>286</v>
      </c>
      <c r="K4510" s="377"/>
      <c r="L4510" s="129"/>
      <c r="M4510" s="378"/>
      <c r="N4510" s="129"/>
      <c r="O4510" s="129"/>
      <c r="P4510" s="379"/>
      <c r="Q4510" s="129"/>
      <c r="R4510" s="380"/>
      <c r="S4510" s="129"/>
      <c r="T4510" s="129"/>
      <c r="W4510" s="129" t="s">
        <v>4876</v>
      </c>
      <c r="X4510" s="337" t="b">
        <f t="shared" si="105"/>
        <v>0</v>
      </c>
    </row>
    <row r="4511" spans="1:24" ht="12" customHeight="1" outlineLevel="1">
      <c r="A4511" s="370"/>
      <c r="B4511" s="118" t="s">
        <v>12</v>
      </c>
      <c r="C4511" s="334" t="s">
        <v>12621</v>
      </c>
      <c r="D4511" s="124" t="s">
        <v>12622</v>
      </c>
      <c r="E4511" s="125"/>
      <c r="F4511" s="118" t="s">
        <v>828</v>
      </c>
      <c r="G4511" s="126" t="s">
        <v>12612</v>
      </c>
      <c r="H4511" s="255">
        <v>8</v>
      </c>
      <c r="I4511" s="361">
        <v>1</v>
      </c>
      <c r="J4511" s="371" t="s">
        <v>286</v>
      </c>
      <c r="K4511" s="377"/>
      <c r="L4511" s="129"/>
      <c r="M4511" s="378"/>
      <c r="N4511" s="129"/>
      <c r="O4511" s="129"/>
      <c r="P4511" s="379"/>
      <c r="Q4511" s="129"/>
      <c r="R4511" s="380"/>
      <c r="S4511" s="129"/>
      <c r="T4511" s="129"/>
      <c r="W4511" s="129" t="s">
        <v>4876</v>
      </c>
      <c r="X4511" s="337" t="b">
        <f t="shared" si="105"/>
        <v>0</v>
      </c>
    </row>
    <row r="4512" spans="1:24" ht="12" customHeight="1" outlineLevel="1">
      <c r="A4512" s="370"/>
      <c r="B4512" s="118" t="s">
        <v>12</v>
      </c>
      <c r="C4512" s="334" t="s">
        <v>12623</v>
      </c>
      <c r="D4512" s="124" t="s">
        <v>12609</v>
      </c>
      <c r="E4512" s="125"/>
      <c r="F4512" s="118" t="s">
        <v>828</v>
      </c>
      <c r="G4512" s="126" t="s">
        <v>12612</v>
      </c>
      <c r="H4512" s="255">
        <v>8</v>
      </c>
      <c r="I4512" s="361">
        <v>1</v>
      </c>
      <c r="J4512" s="371" t="s">
        <v>286</v>
      </c>
      <c r="K4512" s="377"/>
      <c r="L4512" s="129"/>
      <c r="M4512" s="378"/>
      <c r="N4512" s="129"/>
      <c r="O4512" s="129"/>
      <c r="P4512" s="379"/>
      <c r="Q4512" s="129"/>
      <c r="R4512" s="380"/>
      <c r="S4512" s="129"/>
      <c r="T4512" s="129"/>
      <c r="W4512" s="129" t="s">
        <v>286</v>
      </c>
      <c r="X4512" s="337" t="b">
        <f t="shared" si="105"/>
        <v>1</v>
      </c>
    </row>
    <row r="4513" spans="1:24" ht="12" customHeight="1" outlineLevel="1">
      <c r="A4513" s="370"/>
      <c r="B4513" s="118" t="s">
        <v>12</v>
      </c>
      <c r="C4513" s="334" t="s">
        <v>12624</v>
      </c>
      <c r="D4513" s="124" t="s">
        <v>12611</v>
      </c>
      <c r="E4513" s="125"/>
      <c r="F4513" s="118" t="s">
        <v>828</v>
      </c>
      <c r="G4513" s="126" t="s">
        <v>12612</v>
      </c>
      <c r="H4513" s="255">
        <v>8</v>
      </c>
      <c r="I4513" s="361">
        <v>1</v>
      </c>
      <c r="J4513" s="371" t="s">
        <v>286</v>
      </c>
      <c r="K4513" s="377"/>
      <c r="L4513" s="129"/>
      <c r="M4513" s="378"/>
      <c r="N4513" s="129"/>
      <c r="O4513" s="129"/>
      <c r="P4513" s="379"/>
      <c r="Q4513" s="129"/>
      <c r="R4513" s="380"/>
      <c r="S4513" s="129"/>
      <c r="T4513" s="129"/>
      <c r="W4513" s="129" t="s">
        <v>4876</v>
      </c>
      <c r="X4513" s="337" t="b">
        <f t="shared" si="105"/>
        <v>0</v>
      </c>
    </row>
    <row r="4514" spans="1:24" ht="12" customHeight="1" outlineLevel="1">
      <c r="A4514" s="370"/>
      <c r="B4514" s="118" t="s">
        <v>12</v>
      </c>
      <c r="C4514" s="334" t="s">
        <v>12625</v>
      </c>
      <c r="D4514" s="124" t="s">
        <v>12614</v>
      </c>
      <c r="E4514" s="125"/>
      <c r="F4514" s="118" t="s">
        <v>828</v>
      </c>
      <c r="G4514" s="126" t="s">
        <v>12612</v>
      </c>
      <c r="H4514" s="255">
        <v>8</v>
      </c>
      <c r="I4514" s="361">
        <v>1</v>
      </c>
      <c r="J4514" s="371" t="s">
        <v>286</v>
      </c>
      <c r="K4514" s="377"/>
      <c r="L4514" s="129"/>
      <c r="M4514" s="378"/>
      <c r="N4514" s="129"/>
      <c r="O4514" s="129"/>
      <c r="P4514" s="379"/>
      <c r="Q4514" s="129"/>
      <c r="R4514" s="380"/>
      <c r="S4514" s="129"/>
      <c r="T4514" s="129"/>
      <c r="W4514" s="129" t="s">
        <v>4876</v>
      </c>
      <c r="X4514" s="337" t="b">
        <f t="shared" si="105"/>
        <v>0</v>
      </c>
    </row>
    <row r="4515" spans="1:24" ht="12" customHeight="1" outlineLevel="1">
      <c r="A4515" s="370"/>
      <c r="B4515" s="118" t="s">
        <v>12</v>
      </c>
      <c r="C4515" s="334" t="s">
        <v>12626</v>
      </c>
      <c r="D4515" s="124" t="s">
        <v>12616</v>
      </c>
      <c r="E4515" s="125"/>
      <c r="F4515" s="118" t="s">
        <v>828</v>
      </c>
      <c r="G4515" s="126" t="s">
        <v>12612</v>
      </c>
      <c r="H4515" s="255">
        <v>8</v>
      </c>
      <c r="I4515" s="361">
        <v>1</v>
      </c>
      <c r="J4515" s="371" t="s">
        <v>286</v>
      </c>
      <c r="K4515" s="377"/>
      <c r="L4515" s="129"/>
      <c r="M4515" s="378"/>
      <c r="N4515" s="129"/>
      <c r="O4515" s="129"/>
      <c r="P4515" s="379"/>
      <c r="Q4515" s="129"/>
      <c r="R4515" s="380"/>
      <c r="S4515" s="129"/>
      <c r="T4515" s="129"/>
      <c r="W4515" s="129" t="s">
        <v>4876</v>
      </c>
      <c r="X4515" s="337" t="b">
        <f t="shared" si="105"/>
        <v>0</v>
      </c>
    </row>
    <row r="4516" spans="1:24" ht="12" customHeight="1" outlineLevel="1">
      <c r="A4516" s="370"/>
      <c r="B4516" s="118" t="s">
        <v>12</v>
      </c>
      <c r="C4516" s="334" t="s">
        <v>12627</v>
      </c>
      <c r="D4516" s="124" t="s">
        <v>12618</v>
      </c>
      <c r="E4516" s="125"/>
      <c r="F4516" s="118" t="s">
        <v>828</v>
      </c>
      <c r="G4516" s="126" t="s">
        <v>12612</v>
      </c>
      <c r="H4516" s="255">
        <v>8</v>
      </c>
      <c r="I4516" s="361">
        <v>1</v>
      </c>
      <c r="J4516" s="371" t="s">
        <v>286</v>
      </c>
      <c r="K4516" s="377"/>
      <c r="L4516" s="129"/>
      <c r="M4516" s="378"/>
      <c r="N4516" s="129"/>
      <c r="O4516" s="129"/>
      <c r="P4516" s="379"/>
      <c r="Q4516" s="129"/>
      <c r="R4516" s="380"/>
      <c r="S4516" s="129"/>
      <c r="T4516" s="129"/>
      <c r="W4516" s="129" t="s">
        <v>4876</v>
      </c>
      <c r="X4516" s="337" t="b">
        <f t="shared" si="105"/>
        <v>0</v>
      </c>
    </row>
    <row r="4517" spans="1:24" ht="12" customHeight="1" outlineLevel="1">
      <c r="A4517" s="370"/>
      <c r="B4517" s="118" t="s">
        <v>12</v>
      </c>
      <c r="C4517" s="334" t="s">
        <v>12628</v>
      </c>
      <c r="D4517" s="124" t="s">
        <v>12620</v>
      </c>
      <c r="E4517" s="125"/>
      <c r="F4517" s="118" t="s">
        <v>828</v>
      </c>
      <c r="G4517" s="126" t="s">
        <v>12612</v>
      </c>
      <c r="H4517" s="255">
        <v>8</v>
      </c>
      <c r="I4517" s="361">
        <v>1</v>
      </c>
      <c r="J4517" s="371" t="s">
        <v>286</v>
      </c>
      <c r="K4517" s="377"/>
      <c r="L4517" s="129"/>
      <c r="M4517" s="378"/>
      <c r="N4517" s="129"/>
      <c r="O4517" s="129"/>
      <c r="P4517" s="379"/>
      <c r="Q4517" s="129"/>
      <c r="R4517" s="380"/>
      <c r="S4517" s="129"/>
      <c r="T4517" s="129"/>
      <c r="W4517" s="129" t="s">
        <v>4876</v>
      </c>
      <c r="X4517" s="337" t="b">
        <f t="shared" si="105"/>
        <v>0</v>
      </c>
    </row>
    <row r="4518" spans="1:24" ht="12" customHeight="1" outlineLevel="1">
      <c r="A4518" s="370"/>
      <c r="B4518" s="118" t="s">
        <v>12</v>
      </c>
      <c r="C4518" s="334" t="s">
        <v>12629</v>
      </c>
      <c r="D4518" s="124" t="s">
        <v>12622</v>
      </c>
      <c r="E4518" s="125"/>
      <c r="F4518" s="118" t="s">
        <v>828</v>
      </c>
      <c r="G4518" s="126" t="s">
        <v>12612</v>
      </c>
      <c r="H4518" s="255">
        <v>8</v>
      </c>
      <c r="I4518" s="361">
        <v>1</v>
      </c>
      <c r="J4518" s="371" t="s">
        <v>286</v>
      </c>
      <c r="K4518" s="377"/>
      <c r="L4518" s="129"/>
      <c r="M4518" s="378"/>
      <c r="N4518" s="129"/>
      <c r="O4518" s="129"/>
      <c r="P4518" s="379"/>
      <c r="Q4518" s="129"/>
      <c r="R4518" s="380"/>
      <c r="S4518" s="129"/>
      <c r="T4518" s="129"/>
      <c r="W4518" s="129" t="s">
        <v>4876</v>
      </c>
      <c r="X4518" s="337" t="b">
        <f t="shared" si="105"/>
        <v>0</v>
      </c>
    </row>
    <row r="4519" spans="1:24" ht="12" customHeight="1" outlineLevel="1">
      <c r="A4519" s="370"/>
      <c r="B4519" s="118" t="s">
        <v>12</v>
      </c>
      <c r="C4519" s="334" t="s">
        <v>12630</v>
      </c>
      <c r="D4519" s="124" t="s">
        <v>12609</v>
      </c>
      <c r="E4519" s="125"/>
      <c r="F4519" s="118" t="s">
        <v>828</v>
      </c>
      <c r="G4519" s="126" t="s">
        <v>12612</v>
      </c>
      <c r="H4519" s="255">
        <v>8</v>
      </c>
      <c r="I4519" s="361">
        <v>1</v>
      </c>
      <c r="J4519" s="371" t="s">
        <v>286</v>
      </c>
      <c r="K4519" s="377"/>
      <c r="L4519" s="129"/>
      <c r="M4519" s="378"/>
      <c r="N4519" s="129"/>
      <c r="O4519" s="129"/>
      <c r="P4519" s="379"/>
      <c r="Q4519" s="129"/>
      <c r="R4519" s="380"/>
      <c r="S4519" s="129"/>
      <c r="T4519" s="129"/>
      <c r="W4519" s="129" t="s">
        <v>286</v>
      </c>
      <c r="X4519" s="337" t="b">
        <f t="shared" si="105"/>
        <v>1</v>
      </c>
    </row>
    <row r="4520" spans="1:24" ht="12" customHeight="1" outlineLevel="1">
      <c r="A4520" s="370"/>
      <c r="B4520" s="118" t="s">
        <v>12</v>
      </c>
      <c r="C4520" s="334" t="s">
        <v>12631</v>
      </c>
      <c r="D4520" s="124" t="s">
        <v>12611</v>
      </c>
      <c r="E4520" s="125"/>
      <c r="F4520" s="118" t="s">
        <v>828</v>
      </c>
      <c r="G4520" s="126" t="s">
        <v>12612</v>
      </c>
      <c r="H4520" s="255">
        <v>8</v>
      </c>
      <c r="I4520" s="361">
        <v>1</v>
      </c>
      <c r="J4520" s="371" t="s">
        <v>286</v>
      </c>
      <c r="K4520" s="377"/>
      <c r="L4520" s="129"/>
      <c r="M4520" s="378"/>
      <c r="N4520" s="129"/>
      <c r="O4520" s="129"/>
      <c r="P4520" s="379"/>
      <c r="Q4520" s="129"/>
      <c r="R4520" s="380"/>
      <c r="S4520" s="129"/>
      <c r="T4520" s="129"/>
      <c r="W4520" s="129" t="s">
        <v>4876</v>
      </c>
      <c r="X4520" s="337" t="b">
        <f t="shared" si="105"/>
        <v>0</v>
      </c>
    </row>
    <row r="4521" spans="1:24" ht="12" customHeight="1" outlineLevel="1">
      <c r="A4521" s="370"/>
      <c r="B4521" s="118" t="s">
        <v>12</v>
      </c>
      <c r="C4521" s="334" t="s">
        <v>12632</v>
      </c>
      <c r="D4521" s="124" t="s">
        <v>12614</v>
      </c>
      <c r="E4521" s="125"/>
      <c r="F4521" s="118" t="s">
        <v>828</v>
      </c>
      <c r="G4521" s="126" t="s">
        <v>12612</v>
      </c>
      <c r="H4521" s="255">
        <v>8</v>
      </c>
      <c r="I4521" s="361">
        <v>1</v>
      </c>
      <c r="J4521" s="371" t="s">
        <v>286</v>
      </c>
      <c r="K4521" s="377"/>
      <c r="L4521" s="129"/>
      <c r="M4521" s="378"/>
      <c r="N4521" s="129"/>
      <c r="O4521" s="129"/>
      <c r="P4521" s="379"/>
      <c r="Q4521" s="129"/>
      <c r="R4521" s="380"/>
      <c r="S4521" s="129"/>
      <c r="T4521" s="129"/>
      <c r="W4521" s="129" t="s">
        <v>4876</v>
      </c>
      <c r="X4521" s="337" t="b">
        <f t="shared" si="105"/>
        <v>0</v>
      </c>
    </row>
    <row r="4522" spans="1:24" ht="12" customHeight="1" outlineLevel="1">
      <c r="A4522" s="370"/>
      <c r="B4522" s="118" t="s">
        <v>12</v>
      </c>
      <c r="C4522" s="334" t="s">
        <v>12633</v>
      </c>
      <c r="D4522" s="124" t="s">
        <v>12634</v>
      </c>
      <c r="E4522" s="125"/>
      <c r="F4522" s="118" t="s">
        <v>828</v>
      </c>
      <c r="G4522" s="126" t="s">
        <v>12612</v>
      </c>
      <c r="H4522" s="255">
        <v>8</v>
      </c>
      <c r="I4522" s="361">
        <v>1</v>
      </c>
      <c r="J4522" s="371" t="s">
        <v>286</v>
      </c>
      <c r="K4522" s="377"/>
      <c r="L4522" s="129"/>
      <c r="M4522" s="378"/>
      <c r="N4522" s="129"/>
      <c r="O4522" s="129"/>
      <c r="P4522" s="379"/>
      <c r="Q4522" s="129"/>
      <c r="R4522" s="380"/>
      <c r="S4522" s="129"/>
      <c r="T4522" s="129"/>
      <c r="W4522" s="129" t="s">
        <v>4876</v>
      </c>
      <c r="X4522" s="337" t="b">
        <f t="shared" si="105"/>
        <v>0</v>
      </c>
    </row>
    <row r="4523" spans="1:24" ht="12" customHeight="1" outlineLevel="1">
      <c r="A4523" s="370"/>
      <c r="B4523" s="118" t="s">
        <v>12</v>
      </c>
      <c r="C4523" s="334" t="s">
        <v>12635</v>
      </c>
      <c r="D4523" s="124" t="s">
        <v>12636</v>
      </c>
      <c r="E4523" s="125"/>
      <c r="F4523" s="118" t="s">
        <v>828</v>
      </c>
      <c r="G4523" s="126" t="s">
        <v>12612</v>
      </c>
      <c r="H4523" s="255">
        <v>8</v>
      </c>
      <c r="I4523" s="361">
        <v>1</v>
      </c>
      <c r="J4523" s="371" t="s">
        <v>286</v>
      </c>
      <c r="K4523" s="377"/>
      <c r="L4523" s="129"/>
      <c r="M4523" s="378"/>
      <c r="N4523" s="129"/>
      <c r="O4523" s="129"/>
      <c r="P4523" s="379"/>
      <c r="Q4523" s="129"/>
      <c r="R4523" s="380"/>
      <c r="S4523" s="129"/>
      <c r="T4523" s="129"/>
      <c r="W4523" s="129" t="s">
        <v>4876</v>
      </c>
      <c r="X4523" s="337" t="b">
        <f t="shared" si="105"/>
        <v>0</v>
      </c>
    </row>
    <row r="4524" spans="1:24" ht="12" customHeight="1" outlineLevel="1">
      <c r="A4524" s="370"/>
      <c r="B4524" s="118" t="s">
        <v>12</v>
      </c>
      <c r="C4524" s="334" t="s">
        <v>12637</v>
      </c>
      <c r="D4524" s="124" t="s">
        <v>12638</v>
      </c>
      <c r="E4524" s="125"/>
      <c r="F4524" s="118" t="s">
        <v>828</v>
      </c>
      <c r="G4524" s="126" t="s">
        <v>12612</v>
      </c>
      <c r="H4524" s="255">
        <v>8</v>
      </c>
      <c r="I4524" s="361">
        <v>1</v>
      </c>
      <c r="J4524" s="371" t="s">
        <v>286</v>
      </c>
      <c r="K4524" s="377"/>
      <c r="L4524" s="129"/>
      <c r="M4524" s="378"/>
      <c r="N4524" s="129"/>
      <c r="O4524" s="129"/>
      <c r="P4524" s="379"/>
      <c r="Q4524" s="129"/>
      <c r="R4524" s="380"/>
      <c r="S4524" s="129"/>
      <c r="T4524" s="129"/>
      <c r="W4524" s="129" t="s">
        <v>4876</v>
      </c>
      <c r="X4524" s="337" t="b">
        <f t="shared" si="105"/>
        <v>0</v>
      </c>
    </row>
    <row r="4525" spans="1:24" ht="12" customHeight="1" outlineLevel="1">
      <c r="A4525" s="370"/>
      <c r="B4525" s="118" t="s">
        <v>12</v>
      </c>
      <c r="C4525" s="334" t="s">
        <v>12639</v>
      </c>
      <c r="D4525" s="124" t="s">
        <v>12622</v>
      </c>
      <c r="E4525" s="125"/>
      <c r="F4525" s="118" t="s">
        <v>828</v>
      </c>
      <c r="G4525" s="126" t="s">
        <v>12612</v>
      </c>
      <c r="H4525" s="255">
        <v>8</v>
      </c>
      <c r="I4525" s="361">
        <v>1</v>
      </c>
      <c r="J4525" s="371" t="s">
        <v>286</v>
      </c>
      <c r="K4525" s="377"/>
      <c r="L4525" s="129"/>
      <c r="M4525" s="378"/>
      <c r="N4525" s="129"/>
      <c r="O4525" s="129"/>
      <c r="P4525" s="379"/>
      <c r="Q4525" s="129"/>
      <c r="R4525" s="380"/>
      <c r="S4525" s="129"/>
      <c r="T4525" s="129"/>
      <c r="W4525" s="129" t="s">
        <v>4876</v>
      </c>
      <c r="X4525" s="337" t="b">
        <f t="shared" si="105"/>
        <v>0</v>
      </c>
    </row>
    <row r="4526" spans="1:24" ht="12" customHeight="1" outlineLevel="1">
      <c r="A4526" s="370"/>
      <c r="B4526" s="118" t="s">
        <v>12</v>
      </c>
      <c r="C4526" s="334" t="s">
        <v>12640</v>
      </c>
      <c r="D4526" s="124" t="s">
        <v>8487</v>
      </c>
      <c r="E4526" s="125"/>
      <c r="F4526" s="118" t="s">
        <v>828</v>
      </c>
      <c r="G4526" s="126" t="s">
        <v>12612</v>
      </c>
      <c r="H4526" s="255">
        <v>8</v>
      </c>
      <c r="I4526" s="361">
        <v>1</v>
      </c>
      <c r="J4526" s="371" t="s">
        <v>286</v>
      </c>
      <c r="K4526" s="377"/>
      <c r="L4526" s="129"/>
      <c r="M4526" s="378"/>
      <c r="N4526" s="129"/>
      <c r="O4526" s="129"/>
      <c r="P4526" s="379"/>
      <c r="Q4526" s="129"/>
      <c r="R4526" s="380"/>
      <c r="S4526" s="129"/>
      <c r="T4526" s="129"/>
      <c r="W4526" s="129" t="s">
        <v>286</v>
      </c>
      <c r="X4526" s="337" t="b">
        <f t="shared" si="105"/>
        <v>1</v>
      </c>
    </row>
    <row r="4527" spans="1:24" ht="12" customHeight="1" outlineLevel="1">
      <c r="A4527" s="370"/>
      <c r="B4527" s="118" t="s">
        <v>12</v>
      </c>
      <c r="C4527" s="334" t="s">
        <v>12641</v>
      </c>
      <c r="D4527" s="124" t="s">
        <v>7066</v>
      </c>
      <c r="E4527" s="125"/>
      <c r="F4527" s="118" t="s">
        <v>828</v>
      </c>
      <c r="G4527" s="126" t="s">
        <v>12642</v>
      </c>
      <c r="H4527" s="255">
        <v>9</v>
      </c>
      <c r="I4527" s="361">
        <v>1</v>
      </c>
      <c r="J4527" s="371" t="s">
        <v>286</v>
      </c>
      <c r="K4527" s="377"/>
      <c r="L4527" s="129"/>
      <c r="M4527" s="378"/>
      <c r="N4527" s="129"/>
      <c r="O4527" s="129"/>
      <c r="P4527" s="379"/>
      <c r="Q4527" s="129"/>
      <c r="R4527" s="380"/>
      <c r="S4527" s="129"/>
      <c r="T4527" s="129"/>
      <c r="W4527" s="129" t="s">
        <v>4876</v>
      </c>
      <c r="X4527" s="337" t="b">
        <f t="shared" si="105"/>
        <v>0</v>
      </c>
    </row>
    <row r="4528" spans="1:24" ht="12" customHeight="1" outlineLevel="1">
      <c r="A4528" s="370"/>
      <c r="B4528" s="118" t="s">
        <v>12</v>
      </c>
      <c r="C4528" s="334" t="s">
        <v>12643</v>
      </c>
      <c r="D4528" s="124" t="s">
        <v>7068</v>
      </c>
      <c r="E4528" s="125"/>
      <c r="F4528" s="118" t="s">
        <v>828</v>
      </c>
      <c r="G4528" s="126" t="s">
        <v>12642</v>
      </c>
      <c r="H4528" s="255">
        <v>9</v>
      </c>
      <c r="I4528" s="361">
        <v>1</v>
      </c>
      <c r="J4528" s="371" t="s">
        <v>286</v>
      </c>
      <c r="K4528" s="377"/>
      <c r="L4528" s="129"/>
      <c r="M4528" s="378"/>
      <c r="N4528" s="129"/>
      <c r="O4528" s="129"/>
      <c r="P4528" s="379"/>
      <c r="Q4528" s="129"/>
      <c r="R4528" s="380"/>
      <c r="S4528" s="129"/>
      <c r="T4528" s="129"/>
      <c r="W4528" s="129" t="s">
        <v>4876</v>
      </c>
      <c r="X4528" s="337" t="b">
        <f t="shared" si="105"/>
        <v>0</v>
      </c>
    </row>
    <row r="4529" spans="1:24" ht="12" customHeight="1" outlineLevel="1">
      <c r="A4529" s="370"/>
      <c r="B4529" s="118" t="s">
        <v>12</v>
      </c>
      <c r="C4529" s="334" t="s">
        <v>12644</v>
      </c>
      <c r="D4529" s="124" t="s">
        <v>7070</v>
      </c>
      <c r="E4529" s="125"/>
      <c r="F4529" s="118" t="s">
        <v>828</v>
      </c>
      <c r="G4529" s="126" t="s">
        <v>12642</v>
      </c>
      <c r="H4529" s="255">
        <v>9</v>
      </c>
      <c r="I4529" s="361">
        <v>1</v>
      </c>
      <c r="J4529" s="371" t="s">
        <v>286</v>
      </c>
      <c r="K4529" s="377"/>
      <c r="L4529" s="129"/>
      <c r="M4529" s="378"/>
      <c r="N4529" s="129"/>
      <c r="O4529" s="129"/>
      <c r="P4529" s="379"/>
      <c r="Q4529" s="129"/>
      <c r="R4529" s="380"/>
      <c r="S4529" s="129"/>
      <c r="T4529" s="129"/>
      <c r="W4529" s="129" t="s">
        <v>4876</v>
      </c>
      <c r="X4529" s="337" t="b">
        <f t="shared" si="105"/>
        <v>0</v>
      </c>
    </row>
    <row r="4530" spans="1:24" ht="12" customHeight="1" outlineLevel="1">
      <c r="A4530" s="370"/>
      <c r="B4530" s="118" t="s">
        <v>12</v>
      </c>
      <c r="C4530" s="334" t="s">
        <v>12645</v>
      </c>
      <c r="D4530" s="124" t="s">
        <v>7072</v>
      </c>
      <c r="E4530" s="125"/>
      <c r="F4530" s="118" t="s">
        <v>828</v>
      </c>
      <c r="G4530" s="126" t="s">
        <v>12642</v>
      </c>
      <c r="H4530" s="255">
        <v>9</v>
      </c>
      <c r="I4530" s="361">
        <v>1</v>
      </c>
      <c r="J4530" s="371" t="s">
        <v>286</v>
      </c>
      <c r="K4530" s="377"/>
      <c r="L4530" s="129"/>
      <c r="M4530" s="378"/>
      <c r="N4530" s="129"/>
      <c r="O4530" s="129"/>
      <c r="P4530" s="379"/>
      <c r="Q4530" s="129"/>
      <c r="R4530" s="380"/>
      <c r="S4530" s="129"/>
      <c r="T4530" s="129"/>
      <c r="W4530" s="129" t="s">
        <v>4876</v>
      </c>
      <c r="X4530" s="337" t="b">
        <f t="shared" si="105"/>
        <v>0</v>
      </c>
    </row>
    <row r="4531" spans="1:24" ht="12" customHeight="1" outlineLevel="1">
      <c r="A4531" s="370"/>
      <c r="B4531" s="118" t="s">
        <v>12</v>
      </c>
      <c r="C4531" s="334" t="s">
        <v>12646</v>
      </c>
      <c r="D4531" s="124" t="s">
        <v>7074</v>
      </c>
      <c r="E4531" s="125"/>
      <c r="F4531" s="118" t="s">
        <v>828</v>
      </c>
      <c r="G4531" s="126" t="s">
        <v>12642</v>
      </c>
      <c r="H4531" s="255">
        <v>9</v>
      </c>
      <c r="I4531" s="361">
        <v>1</v>
      </c>
      <c r="J4531" s="371" t="s">
        <v>286</v>
      </c>
      <c r="K4531" s="377"/>
      <c r="L4531" s="129"/>
      <c r="M4531" s="378"/>
      <c r="N4531" s="129"/>
      <c r="O4531" s="129"/>
      <c r="P4531" s="379"/>
      <c r="Q4531" s="129"/>
      <c r="R4531" s="380"/>
      <c r="S4531" s="129"/>
      <c r="T4531" s="129"/>
      <c r="W4531" s="129" t="s">
        <v>4876</v>
      </c>
      <c r="X4531" s="337" t="b">
        <f t="shared" si="105"/>
        <v>0</v>
      </c>
    </row>
    <row r="4532" spans="1:24" ht="12" customHeight="1" outlineLevel="1">
      <c r="A4532" s="370"/>
      <c r="B4532" s="118" t="s">
        <v>12</v>
      </c>
      <c r="C4532" s="334" t="s">
        <v>12647</v>
      </c>
      <c r="D4532" s="124" t="s">
        <v>7076</v>
      </c>
      <c r="E4532" s="125"/>
      <c r="F4532" s="118" t="s">
        <v>828</v>
      </c>
      <c r="G4532" s="126" t="s">
        <v>12642</v>
      </c>
      <c r="H4532" s="255">
        <v>9</v>
      </c>
      <c r="I4532" s="361">
        <v>1</v>
      </c>
      <c r="J4532" s="371" t="s">
        <v>286</v>
      </c>
      <c r="K4532" s="377"/>
      <c r="L4532" s="129"/>
      <c r="M4532" s="378"/>
      <c r="N4532" s="129"/>
      <c r="O4532" s="129"/>
      <c r="P4532" s="379"/>
      <c r="Q4532" s="129"/>
      <c r="R4532" s="380"/>
      <c r="S4532" s="129"/>
      <c r="T4532" s="129"/>
      <c r="W4532" s="129" t="s">
        <v>4876</v>
      </c>
      <c r="X4532" s="337" t="b">
        <f t="shared" si="105"/>
        <v>0</v>
      </c>
    </row>
    <row r="4533" spans="1:24" ht="12" customHeight="1" outlineLevel="1">
      <c r="A4533" s="370"/>
      <c r="B4533" s="118" t="s">
        <v>12</v>
      </c>
      <c r="C4533" s="334" t="s">
        <v>12648</v>
      </c>
      <c r="D4533" s="124" t="s">
        <v>12649</v>
      </c>
      <c r="E4533" s="125"/>
      <c r="F4533" s="118" t="s">
        <v>828</v>
      </c>
      <c r="G4533" s="126" t="s">
        <v>12642</v>
      </c>
      <c r="H4533" s="255">
        <v>9</v>
      </c>
      <c r="I4533" s="361">
        <v>1</v>
      </c>
      <c r="J4533" s="371" t="s">
        <v>286</v>
      </c>
      <c r="K4533" s="377"/>
      <c r="L4533" s="129"/>
      <c r="M4533" s="378"/>
      <c r="N4533" s="129"/>
      <c r="O4533" s="129"/>
      <c r="P4533" s="379"/>
      <c r="Q4533" s="129"/>
      <c r="R4533" s="380"/>
      <c r="S4533" s="129"/>
      <c r="T4533" s="129"/>
      <c r="W4533" s="129" t="s">
        <v>286</v>
      </c>
      <c r="X4533" s="337" t="b">
        <f t="shared" si="105"/>
        <v>1</v>
      </c>
    </row>
    <row r="4534" spans="1:24" ht="12" customHeight="1" outlineLevel="1">
      <c r="A4534" s="370"/>
      <c r="B4534" s="118" t="s">
        <v>12</v>
      </c>
      <c r="C4534" s="334" t="s">
        <v>12650</v>
      </c>
      <c r="D4534" s="124" t="s">
        <v>12651</v>
      </c>
      <c r="E4534" s="125"/>
      <c r="F4534" s="118" t="s">
        <v>828</v>
      </c>
      <c r="G4534" s="126" t="s">
        <v>12642</v>
      </c>
      <c r="H4534" s="255">
        <v>9</v>
      </c>
      <c r="I4534" s="361">
        <v>1</v>
      </c>
      <c r="J4534" s="371" t="s">
        <v>286</v>
      </c>
      <c r="K4534" s="377"/>
      <c r="L4534" s="129"/>
      <c r="M4534" s="378"/>
      <c r="N4534" s="129"/>
      <c r="O4534" s="129"/>
      <c r="P4534" s="379"/>
      <c r="Q4534" s="129"/>
      <c r="R4534" s="380"/>
      <c r="S4534" s="129"/>
      <c r="T4534" s="129"/>
      <c r="W4534" s="129" t="s">
        <v>286</v>
      </c>
      <c r="X4534" s="337" t="b">
        <f t="shared" si="105"/>
        <v>1</v>
      </c>
    </row>
    <row r="4535" spans="1:24" ht="12" customHeight="1" outlineLevel="1">
      <c r="A4535" s="370"/>
      <c r="B4535" s="118" t="s">
        <v>12</v>
      </c>
      <c r="C4535" s="334" t="s">
        <v>12652</v>
      </c>
      <c r="D4535" s="124" t="s">
        <v>12653</v>
      </c>
      <c r="E4535" s="125"/>
      <c r="F4535" s="118" t="s">
        <v>828</v>
      </c>
      <c r="G4535" s="126" t="s">
        <v>12642</v>
      </c>
      <c r="H4535" s="255">
        <v>9</v>
      </c>
      <c r="I4535" s="361">
        <v>1</v>
      </c>
      <c r="J4535" s="371" t="s">
        <v>286</v>
      </c>
      <c r="K4535" s="377"/>
      <c r="L4535" s="129"/>
      <c r="M4535" s="378"/>
      <c r="N4535" s="129"/>
      <c r="O4535" s="129"/>
      <c r="P4535" s="379"/>
      <c r="Q4535" s="129"/>
      <c r="R4535" s="380"/>
      <c r="S4535" s="129"/>
      <c r="T4535" s="129"/>
      <c r="W4535" s="129" t="s">
        <v>286</v>
      </c>
      <c r="X4535" s="337" t="b">
        <f t="shared" si="105"/>
        <v>1</v>
      </c>
    </row>
    <row r="4536" spans="1:24" ht="12" customHeight="1" outlineLevel="1">
      <c r="A4536" s="370"/>
      <c r="B4536" s="118" t="s">
        <v>12</v>
      </c>
      <c r="C4536" s="334" t="s">
        <v>12654</v>
      </c>
      <c r="D4536" s="124" t="s">
        <v>12655</v>
      </c>
      <c r="E4536" s="125"/>
      <c r="F4536" s="118" t="s">
        <v>828</v>
      </c>
      <c r="G4536" s="126" t="s">
        <v>12642</v>
      </c>
      <c r="H4536" s="255">
        <v>9</v>
      </c>
      <c r="I4536" s="361">
        <v>1</v>
      </c>
      <c r="J4536" s="371" t="s">
        <v>310</v>
      </c>
      <c r="K4536" s="377"/>
      <c r="L4536" s="129"/>
      <c r="M4536" s="378"/>
      <c r="N4536" s="129"/>
      <c r="O4536" s="129"/>
      <c r="P4536" s="379"/>
      <c r="Q4536" s="129"/>
      <c r="R4536" s="380"/>
      <c r="S4536" s="129"/>
      <c r="T4536" s="129"/>
      <c r="W4536" s="129" t="s">
        <v>310</v>
      </c>
      <c r="X4536" s="337" t="b">
        <f t="shared" si="105"/>
        <v>1</v>
      </c>
    </row>
    <row r="4537" spans="1:24" ht="12" customHeight="1" outlineLevel="1">
      <c r="A4537" s="370"/>
      <c r="B4537" s="118" t="s">
        <v>12</v>
      </c>
      <c r="C4537" s="334" t="s">
        <v>12656</v>
      </c>
      <c r="D4537" s="124" t="s">
        <v>12657</v>
      </c>
      <c r="E4537" s="125"/>
      <c r="F4537" s="118" t="s">
        <v>828</v>
      </c>
      <c r="G4537" s="126" t="s">
        <v>12642</v>
      </c>
      <c r="H4537" s="255">
        <v>9</v>
      </c>
      <c r="I4537" s="361">
        <v>1</v>
      </c>
      <c r="J4537" s="371" t="s">
        <v>286</v>
      </c>
      <c r="K4537" s="377"/>
      <c r="L4537" s="129"/>
      <c r="M4537" s="378"/>
      <c r="N4537" s="129"/>
      <c r="O4537" s="129"/>
      <c r="P4537" s="379"/>
      <c r="Q4537" s="129"/>
      <c r="R4537" s="380"/>
      <c r="S4537" s="129"/>
      <c r="T4537" s="129"/>
      <c r="W4537" s="129" t="s">
        <v>286</v>
      </c>
      <c r="X4537" s="337" t="b">
        <f t="shared" si="105"/>
        <v>1</v>
      </c>
    </row>
    <row r="4538" spans="1:24" ht="12" customHeight="1" outlineLevel="1">
      <c r="A4538" s="370"/>
      <c r="B4538" s="118" t="s">
        <v>12</v>
      </c>
      <c r="C4538" s="334" t="s">
        <v>12658</v>
      </c>
      <c r="D4538" s="124" t="s">
        <v>12659</v>
      </c>
      <c r="E4538" s="125"/>
      <c r="F4538" s="118" t="s">
        <v>828</v>
      </c>
      <c r="G4538" s="126" t="s">
        <v>12642</v>
      </c>
      <c r="H4538" s="255">
        <v>9</v>
      </c>
      <c r="I4538" s="361">
        <v>1</v>
      </c>
      <c r="J4538" s="371" t="s">
        <v>286</v>
      </c>
      <c r="K4538" s="377"/>
      <c r="L4538" s="129"/>
      <c r="M4538" s="378"/>
      <c r="N4538" s="129"/>
      <c r="O4538" s="129"/>
      <c r="P4538" s="379"/>
      <c r="Q4538" s="129"/>
      <c r="R4538" s="380"/>
      <c r="S4538" s="129"/>
      <c r="T4538" s="129"/>
      <c r="W4538" s="129" t="s">
        <v>286</v>
      </c>
      <c r="X4538" s="337" t="b">
        <f t="shared" si="105"/>
        <v>1</v>
      </c>
    </row>
    <row r="4539" spans="1:24" ht="12" customHeight="1" outlineLevel="1">
      <c r="A4539" s="370"/>
      <c r="B4539" s="118" t="s">
        <v>12</v>
      </c>
      <c r="C4539" s="334"/>
      <c r="D4539" s="124"/>
      <c r="E4539" s="125"/>
      <c r="F4539" s="118" t="s">
        <v>828</v>
      </c>
      <c r="G4539" s="126" t="s">
        <v>12642</v>
      </c>
      <c r="H4539" s="255">
        <v>4</v>
      </c>
      <c r="I4539" s="361">
        <v>1</v>
      </c>
      <c r="J4539" s="371" t="s">
        <v>286</v>
      </c>
      <c r="K4539" s="377"/>
      <c r="L4539" s="129"/>
      <c r="M4539" s="378"/>
      <c r="N4539" s="129"/>
      <c r="O4539" s="129"/>
      <c r="P4539" s="379"/>
      <c r="Q4539" s="129"/>
      <c r="R4539" s="380"/>
      <c r="S4539" s="129"/>
      <c r="T4539" s="129"/>
      <c r="W4539" s="129" t="s">
        <v>286</v>
      </c>
      <c r="X4539" s="337" t="b">
        <f t="shared" ref="X4539" si="106">W4539=J4539</f>
        <v>1</v>
      </c>
    </row>
    <row r="4540" spans="1:24" ht="12" customHeight="1" outlineLevel="1">
      <c r="A4540" s="370"/>
      <c r="B4540" s="118" t="s">
        <v>12</v>
      </c>
      <c r="C4540" s="334"/>
      <c r="D4540" s="124"/>
      <c r="E4540" s="125"/>
      <c r="F4540" s="118" t="s">
        <v>828</v>
      </c>
      <c r="G4540" s="126" t="s">
        <v>12642</v>
      </c>
      <c r="H4540" s="255">
        <v>4</v>
      </c>
      <c r="I4540" s="361">
        <v>1</v>
      </c>
      <c r="J4540" s="371" t="s">
        <v>286</v>
      </c>
      <c r="K4540" s="377"/>
      <c r="L4540" s="129"/>
      <c r="M4540" s="378"/>
      <c r="N4540" s="129"/>
      <c r="O4540" s="129"/>
      <c r="P4540" s="379"/>
      <c r="Q4540" s="129"/>
      <c r="R4540" s="380"/>
      <c r="S4540" s="129"/>
      <c r="T4540" s="129"/>
      <c r="W4540" s="129" t="s">
        <v>286</v>
      </c>
      <c r="X4540" s="337" t="b">
        <f t="shared" si="105"/>
        <v>1</v>
      </c>
    </row>
    <row r="4541" spans="1:24" ht="3" customHeight="1">
      <c r="A4541" s="370"/>
      <c r="B4541" s="118"/>
      <c r="C4541" s="334"/>
      <c r="D4541" s="124"/>
      <c r="E4541" s="125"/>
      <c r="F4541" s="118"/>
      <c r="G4541" s="126"/>
      <c r="H4541" s="255"/>
      <c r="K4541" s="363"/>
      <c r="L4541" s="129"/>
      <c r="M4541" s="129"/>
      <c r="N4541" s="129"/>
      <c r="O4541" s="129"/>
      <c r="P4541" s="372"/>
      <c r="Q4541" s="372"/>
      <c r="R4541" s="129"/>
      <c r="S4541" s="129"/>
      <c r="T4541" s="129"/>
      <c r="W4541" s="129"/>
    </row>
    <row r="4542" spans="1:24" s="360" customFormat="1" ht="12" customHeight="1">
      <c r="A4542" s="110" t="s">
        <v>950</v>
      </c>
      <c r="B4542" s="118"/>
      <c r="C4542" s="334"/>
      <c r="D4542" s="124"/>
      <c r="E4542" s="125"/>
      <c r="F4542" s="118"/>
      <c r="G4542" s="126"/>
      <c r="H4542" s="255"/>
      <c r="I4542" s="62"/>
      <c r="J4542" s="358"/>
      <c r="K4542" s="62"/>
      <c r="L4542" s="62"/>
      <c r="M4542" s="62"/>
      <c r="N4542" s="62"/>
      <c r="O4542" s="62"/>
      <c r="P4542" s="359"/>
      <c r="Q4542" s="359"/>
      <c r="R4542" s="359"/>
      <c r="S4542" s="359"/>
      <c r="T4542" s="359"/>
      <c r="W4542" s="359"/>
    </row>
    <row r="4543" spans="1:24" s="337" customFormat="1" ht="12" customHeight="1" outlineLevel="1">
      <c r="A4543" s="335"/>
      <c r="B4543" s="118" t="s">
        <v>12</v>
      </c>
      <c r="C4543" s="334" t="s">
        <v>12660</v>
      </c>
      <c r="D4543" s="124" t="s">
        <v>7101</v>
      </c>
      <c r="E4543" s="125"/>
      <c r="F4543" s="118" t="s">
        <v>953</v>
      </c>
      <c r="G4543" s="126" t="s">
        <v>12661</v>
      </c>
      <c r="H4543" s="255">
        <v>1</v>
      </c>
      <c r="I4543" s="361">
        <v>1</v>
      </c>
      <c r="J4543" s="362" t="s">
        <v>286</v>
      </c>
      <c r="K4543" s="372"/>
      <c r="L4543" s="129"/>
      <c r="M4543" s="129"/>
      <c r="N4543" s="129"/>
      <c r="O4543" s="129"/>
      <c r="P4543" s="372"/>
      <c r="Q4543" s="372"/>
      <c r="R4543" s="129"/>
      <c r="S4543" s="129"/>
      <c r="T4543" s="129"/>
      <c r="W4543" s="129" t="s">
        <v>286</v>
      </c>
      <c r="X4543" s="337" t="b">
        <f t="shared" ref="X4543:X4606" si="107">W4543=J4543</f>
        <v>1</v>
      </c>
    </row>
    <row r="4544" spans="1:24" s="337" customFormat="1" ht="12" customHeight="1" outlineLevel="1">
      <c r="A4544" s="335"/>
      <c r="B4544" s="118" t="s">
        <v>12</v>
      </c>
      <c r="C4544" s="334" t="s">
        <v>12662</v>
      </c>
      <c r="D4544" s="124" t="s">
        <v>12663</v>
      </c>
      <c r="E4544" s="125"/>
      <c r="F4544" s="118" t="s">
        <v>953</v>
      </c>
      <c r="G4544" s="126" t="s">
        <v>12661</v>
      </c>
      <c r="H4544" s="255">
        <v>1</v>
      </c>
      <c r="I4544" s="361">
        <v>1</v>
      </c>
      <c r="J4544" s="362" t="s">
        <v>286</v>
      </c>
      <c r="K4544" s="372"/>
      <c r="L4544" s="129"/>
      <c r="M4544" s="129"/>
      <c r="N4544" s="129"/>
      <c r="O4544" s="129"/>
      <c r="P4544" s="372"/>
      <c r="Q4544" s="372"/>
      <c r="R4544" s="129"/>
      <c r="S4544" s="129"/>
      <c r="T4544" s="129"/>
      <c r="W4544" s="129" t="s">
        <v>286</v>
      </c>
      <c r="X4544" s="337" t="b">
        <f t="shared" si="107"/>
        <v>1</v>
      </c>
    </row>
    <row r="4545" spans="1:24" s="337" customFormat="1" ht="12" customHeight="1" outlineLevel="1">
      <c r="A4545" s="335"/>
      <c r="B4545" s="118" t="s">
        <v>12</v>
      </c>
      <c r="C4545" s="334" t="s">
        <v>12664</v>
      </c>
      <c r="D4545" s="124" t="s">
        <v>12665</v>
      </c>
      <c r="E4545" s="125"/>
      <c r="F4545" s="118" t="s">
        <v>953</v>
      </c>
      <c r="G4545" s="126" t="s">
        <v>12661</v>
      </c>
      <c r="H4545" s="255">
        <v>1</v>
      </c>
      <c r="I4545" s="361">
        <v>1</v>
      </c>
      <c r="J4545" s="362" t="s">
        <v>286</v>
      </c>
      <c r="K4545" s="372"/>
      <c r="L4545" s="129"/>
      <c r="M4545" s="129"/>
      <c r="N4545" s="129"/>
      <c r="O4545" s="129"/>
      <c r="P4545" s="372"/>
      <c r="Q4545" s="372"/>
      <c r="R4545" s="129"/>
      <c r="S4545" s="129"/>
      <c r="T4545" s="129"/>
      <c r="W4545" s="129" t="s">
        <v>286</v>
      </c>
      <c r="X4545" s="337" t="b">
        <f t="shared" si="107"/>
        <v>1</v>
      </c>
    </row>
    <row r="4546" spans="1:24" s="337" customFormat="1" ht="12" customHeight="1" outlineLevel="1">
      <c r="A4546" s="335"/>
      <c r="B4546" s="118" t="s">
        <v>12</v>
      </c>
      <c r="C4546" s="334" t="s">
        <v>12666</v>
      </c>
      <c r="D4546" s="124" t="s">
        <v>12667</v>
      </c>
      <c r="E4546" s="125"/>
      <c r="F4546" s="118" t="s">
        <v>953</v>
      </c>
      <c r="G4546" s="126" t="s">
        <v>12661</v>
      </c>
      <c r="H4546" s="255">
        <v>1</v>
      </c>
      <c r="I4546" s="361">
        <v>1</v>
      </c>
      <c r="J4546" s="362" t="s">
        <v>310</v>
      </c>
      <c r="K4546" s="372"/>
      <c r="L4546" s="129"/>
      <c r="M4546" s="129"/>
      <c r="N4546" s="129"/>
      <c r="O4546" s="129"/>
      <c r="P4546" s="372"/>
      <c r="Q4546" s="372"/>
      <c r="R4546" s="129"/>
      <c r="S4546" s="129"/>
      <c r="T4546" s="129"/>
      <c r="W4546" s="129" t="s">
        <v>286</v>
      </c>
      <c r="X4546" s="337" t="b">
        <f t="shared" si="107"/>
        <v>0</v>
      </c>
    </row>
    <row r="4547" spans="1:24" s="337" customFormat="1" ht="12" customHeight="1" outlineLevel="1">
      <c r="A4547" s="335"/>
      <c r="B4547" s="118" t="s">
        <v>12</v>
      </c>
      <c r="C4547" s="334" t="s">
        <v>12668</v>
      </c>
      <c r="D4547" s="124" t="s">
        <v>12669</v>
      </c>
      <c r="E4547" s="125"/>
      <c r="F4547" s="118" t="s">
        <v>953</v>
      </c>
      <c r="G4547" s="126" t="s">
        <v>12661</v>
      </c>
      <c r="H4547" s="255">
        <v>1</v>
      </c>
      <c r="I4547" s="361">
        <v>1</v>
      </c>
      <c r="J4547" s="362" t="s">
        <v>286</v>
      </c>
      <c r="K4547" s="372"/>
      <c r="L4547" s="129"/>
      <c r="M4547" s="129"/>
      <c r="N4547" s="129"/>
      <c r="O4547" s="129"/>
      <c r="P4547" s="372"/>
      <c r="Q4547" s="372"/>
      <c r="R4547" s="129"/>
      <c r="S4547" s="129"/>
      <c r="T4547" s="129"/>
      <c r="W4547" s="129" t="s">
        <v>286</v>
      </c>
      <c r="X4547" s="337" t="b">
        <f t="shared" si="107"/>
        <v>1</v>
      </c>
    </row>
    <row r="4548" spans="1:24" s="337" customFormat="1" ht="12" customHeight="1" outlineLevel="1">
      <c r="A4548" s="335"/>
      <c r="B4548" s="118" t="s">
        <v>12</v>
      </c>
      <c r="C4548" s="334" t="s">
        <v>12670</v>
      </c>
      <c r="D4548" s="124" t="s">
        <v>12671</v>
      </c>
      <c r="E4548" s="125"/>
      <c r="F4548" s="118" t="s">
        <v>953</v>
      </c>
      <c r="G4548" s="126" t="s">
        <v>12661</v>
      </c>
      <c r="H4548" s="255">
        <v>1</v>
      </c>
      <c r="I4548" s="361">
        <v>1</v>
      </c>
      <c r="J4548" s="362" t="s">
        <v>286</v>
      </c>
      <c r="K4548" s="372"/>
      <c r="L4548" s="129"/>
      <c r="M4548" s="129"/>
      <c r="N4548" s="129"/>
      <c r="O4548" s="129"/>
      <c r="P4548" s="372"/>
      <c r="Q4548" s="372"/>
      <c r="R4548" s="129"/>
      <c r="S4548" s="129"/>
      <c r="T4548" s="129"/>
      <c r="W4548" s="129" t="s">
        <v>286</v>
      </c>
      <c r="X4548" s="337" t="b">
        <f t="shared" si="107"/>
        <v>1</v>
      </c>
    </row>
    <row r="4549" spans="1:24" s="337" customFormat="1" ht="12" customHeight="1" outlineLevel="1">
      <c r="A4549" s="335"/>
      <c r="B4549" s="118" t="s">
        <v>12</v>
      </c>
      <c r="C4549" s="334" t="s">
        <v>12672</v>
      </c>
      <c r="D4549" s="124" t="s">
        <v>4897</v>
      </c>
      <c r="E4549" s="125"/>
      <c r="F4549" s="118" t="s">
        <v>953</v>
      </c>
      <c r="G4549" s="126" t="s">
        <v>12661</v>
      </c>
      <c r="H4549" s="255">
        <v>1</v>
      </c>
      <c r="I4549" s="361">
        <v>1</v>
      </c>
      <c r="J4549" s="362" t="s">
        <v>286</v>
      </c>
      <c r="K4549" s="372"/>
      <c r="L4549" s="129"/>
      <c r="M4549" s="129"/>
      <c r="N4549" s="129"/>
      <c r="O4549" s="129"/>
      <c r="P4549" s="372"/>
      <c r="Q4549" s="372"/>
      <c r="R4549" s="129"/>
      <c r="S4549" s="129"/>
      <c r="T4549" s="129"/>
      <c r="W4549" s="129" t="s">
        <v>286</v>
      </c>
      <c r="X4549" s="337" t="b">
        <f t="shared" si="107"/>
        <v>1</v>
      </c>
    </row>
    <row r="4550" spans="1:24" s="337" customFormat="1" ht="12" customHeight="1" outlineLevel="1">
      <c r="A4550" s="335"/>
      <c r="B4550" s="118" t="s">
        <v>12</v>
      </c>
      <c r="C4550" s="334" t="s">
        <v>12673</v>
      </c>
      <c r="D4550" s="124" t="s">
        <v>6282</v>
      </c>
      <c r="E4550" s="125"/>
      <c r="F4550" s="118" t="s">
        <v>953</v>
      </c>
      <c r="G4550" s="126" t="s">
        <v>12661</v>
      </c>
      <c r="H4550" s="255">
        <v>1</v>
      </c>
      <c r="I4550" s="361">
        <v>1</v>
      </c>
      <c r="J4550" s="362" t="s">
        <v>286</v>
      </c>
      <c r="K4550" s="372"/>
      <c r="L4550" s="129"/>
      <c r="M4550" s="129"/>
      <c r="N4550" s="129"/>
      <c r="O4550" s="129"/>
      <c r="P4550" s="372"/>
      <c r="Q4550" s="372"/>
      <c r="R4550" s="129"/>
      <c r="S4550" s="129"/>
      <c r="T4550" s="129"/>
      <c r="W4550" s="129" t="s">
        <v>286</v>
      </c>
      <c r="X4550" s="337" t="b">
        <f t="shared" si="107"/>
        <v>1</v>
      </c>
    </row>
    <row r="4551" spans="1:24" s="337" customFormat="1" ht="12" customHeight="1" outlineLevel="1">
      <c r="A4551" s="335"/>
      <c r="B4551" s="118" t="s">
        <v>12</v>
      </c>
      <c r="C4551" s="334" t="s">
        <v>12674</v>
      </c>
      <c r="D4551" s="124" t="s">
        <v>12675</v>
      </c>
      <c r="E4551" s="125"/>
      <c r="F4551" s="118" t="s">
        <v>953</v>
      </c>
      <c r="G4551" s="126" t="s">
        <v>12661</v>
      </c>
      <c r="H4551" s="255">
        <v>1</v>
      </c>
      <c r="I4551" s="361">
        <v>1</v>
      </c>
      <c r="J4551" s="362" t="s">
        <v>286</v>
      </c>
      <c r="K4551" s="372"/>
      <c r="L4551" s="129"/>
      <c r="M4551" s="129"/>
      <c r="N4551" s="129"/>
      <c r="O4551" s="129"/>
      <c r="P4551" s="372"/>
      <c r="Q4551" s="372"/>
      <c r="R4551" s="129"/>
      <c r="S4551" s="129"/>
      <c r="T4551" s="129"/>
      <c r="W4551" s="129" t="s">
        <v>286</v>
      </c>
      <c r="X4551" s="337" t="b">
        <f t="shared" si="107"/>
        <v>1</v>
      </c>
    </row>
    <row r="4552" spans="1:24" s="337" customFormat="1" ht="12" customHeight="1" outlineLevel="1">
      <c r="A4552" s="335"/>
      <c r="B4552" s="118" t="s">
        <v>12</v>
      </c>
      <c r="C4552" s="334" t="s">
        <v>12676</v>
      </c>
      <c r="D4552" s="124" t="s">
        <v>12677</v>
      </c>
      <c r="E4552" s="125"/>
      <c r="F4552" s="118" t="s">
        <v>953</v>
      </c>
      <c r="G4552" s="126" t="s">
        <v>12661</v>
      </c>
      <c r="H4552" s="255">
        <v>1</v>
      </c>
      <c r="I4552" s="361">
        <v>1</v>
      </c>
      <c r="J4552" s="362" t="s">
        <v>286</v>
      </c>
      <c r="K4552" s="372"/>
      <c r="L4552" s="129"/>
      <c r="M4552" s="129"/>
      <c r="N4552" s="129"/>
      <c r="O4552" s="129"/>
      <c r="P4552" s="372"/>
      <c r="Q4552" s="372"/>
      <c r="R4552" s="129"/>
      <c r="S4552" s="129"/>
      <c r="T4552" s="129"/>
      <c r="W4552" s="129" t="s">
        <v>286</v>
      </c>
      <c r="X4552" s="337" t="b">
        <f t="shared" si="107"/>
        <v>1</v>
      </c>
    </row>
    <row r="4553" spans="1:24" s="337" customFormat="1" ht="12" customHeight="1" outlineLevel="1">
      <c r="A4553" s="335"/>
      <c r="B4553" s="118" t="s">
        <v>12</v>
      </c>
      <c r="C4553" s="334" t="s">
        <v>12678</v>
      </c>
      <c r="D4553" s="124" t="s">
        <v>12679</v>
      </c>
      <c r="E4553" s="125"/>
      <c r="F4553" s="118" t="s">
        <v>953</v>
      </c>
      <c r="G4553" s="126" t="s">
        <v>12661</v>
      </c>
      <c r="H4553" s="255">
        <v>1</v>
      </c>
      <c r="I4553" s="361">
        <v>1</v>
      </c>
      <c r="J4553" s="362" t="s">
        <v>286</v>
      </c>
      <c r="K4553" s="372"/>
      <c r="L4553" s="129"/>
      <c r="M4553" s="129"/>
      <c r="N4553" s="129"/>
      <c r="O4553" s="129"/>
      <c r="P4553" s="372"/>
      <c r="Q4553" s="372"/>
      <c r="R4553" s="129"/>
      <c r="S4553" s="129"/>
      <c r="T4553" s="129"/>
      <c r="W4553" s="129" t="s">
        <v>286</v>
      </c>
      <c r="X4553" s="337" t="b">
        <f t="shared" si="107"/>
        <v>1</v>
      </c>
    </row>
    <row r="4554" spans="1:24" s="337" customFormat="1" ht="12" customHeight="1" outlineLevel="1">
      <c r="A4554" s="335"/>
      <c r="B4554" s="118" t="s">
        <v>12</v>
      </c>
      <c r="C4554" s="334" t="s">
        <v>12680</v>
      </c>
      <c r="D4554" s="124" t="s">
        <v>12681</v>
      </c>
      <c r="E4554" s="125"/>
      <c r="F4554" s="118" t="s">
        <v>953</v>
      </c>
      <c r="G4554" s="126" t="s">
        <v>12661</v>
      </c>
      <c r="H4554" s="255">
        <v>1</v>
      </c>
      <c r="I4554" s="361">
        <v>1</v>
      </c>
      <c r="J4554" s="362" t="s">
        <v>286</v>
      </c>
      <c r="K4554" s="372"/>
      <c r="L4554" s="129"/>
      <c r="M4554" s="129"/>
      <c r="N4554" s="129"/>
      <c r="O4554" s="129"/>
      <c r="P4554" s="372"/>
      <c r="Q4554" s="372"/>
      <c r="R4554" s="129"/>
      <c r="S4554" s="129"/>
      <c r="T4554" s="129"/>
      <c r="W4554" s="129" t="s">
        <v>286</v>
      </c>
      <c r="X4554" s="337" t="b">
        <f t="shared" si="107"/>
        <v>1</v>
      </c>
    </row>
    <row r="4555" spans="1:24" s="337" customFormat="1" ht="12" customHeight="1" outlineLevel="1">
      <c r="A4555" s="335"/>
      <c r="B4555" s="118" t="s">
        <v>12</v>
      </c>
      <c r="C4555" s="334" t="s">
        <v>12682</v>
      </c>
      <c r="D4555" s="124" t="s">
        <v>12683</v>
      </c>
      <c r="E4555" s="125"/>
      <c r="F4555" s="118" t="s">
        <v>953</v>
      </c>
      <c r="G4555" s="126" t="s">
        <v>12661</v>
      </c>
      <c r="H4555" s="255">
        <v>1</v>
      </c>
      <c r="I4555" s="361">
        <v>1</v>
      </c>
      <c r="J4555" s="362" t="s">
        <v>286</v>
      </c>
      <c r="K4555" s="372"/>
      <c r="L4555" s="129"/>
      <c r="M4555" s="129"/>
      <c r="N4555" s="129"/>
      <c r="O4555" s="129"/>
      <c r="P4555" s="372"/>
      <c r="Q4555" s="372"/>
      <c r="R4555" s="129"/>
      <c r="S4555" s="129"/>
      <c r="T4555" s="129"/>
      <c r="W4555" s="129" t="s">
        <v>286</v>
      </c>
      <c r="X4555" s="337" t="b">
        <f t="shared" si="107"/>
        <v>1</v>
      </c>
    </row>
    <row r="4556" spans="1:24" s="337" customFormat="1" ht="12" customHeight="1" outlineLevel="1">
      <c r="A4556" s="335"/>
      <c r="B4556" s="118" t="s">
        <v>12</v>
      </c>
      <c r="C4556" s="334" t="s">
        <v>12684</v>
      </c>
      <c r="D4556" s="124" t="s">
        <v>12685</v>
      </c>
      <c r="E4556" s="125"/>
      <c r="F4556" s="118" t="s">
        <v>953</v>
      </c>
      <c r="G4556" s="126" t="s">
        <v>12661</v>
      </c>
      <c r="H4556" s="255">
        <v>1</v>
      </c>
      <c r="I4556" s="361">
        <v>1</v>
      </c>
      <c r="J4556" s="362" t="s">
        <v>286</v>
      </c>
      <c r="K4556" s="372"/>
      <c r="L4556" s="129"/>
      <c r="M4556" s="129"/>
      <c r="N4556" s="129"/>
      <c r="O4556" s="129"/>
      <c r="P4556" s="372"/>
      <c r="Q4556" s="372"/>
      <c r="R4556" s="129"/>
      <c r="S4556" s="129"/>
      <c r="T4556" s="129"/>
      <c r="W4556" s="129" t="s">
        <v>286</v>
      </c>
      <c r="X4556" s="337" t="b">
        <f t="shared" si="107"/>
        <v>1</v>
      </c>
    </row>
    <row r="4557" spans="1:24" s="337" customFormat="1" ht="12" customHeight="1" outlineLevel="1">
      <c r="A4557" s="335"/>
      <c r="B4557" s="118" t="s">
        <v>12</v>
      </c>
      <c r="C4557" s="334" t="s">
        <v>12686</v>
      </c>
      <c r="D4557" s="124" t="s">
        <v>12687</v>
      </c>
      <c r="E4557" s="125"/>
      <c r="F4557" s="118" t="s">
        <v>953</v>
      </c>
      <c r="G4557" s="126" t="s">
        <v>12661</v>
      </c>
      <c r="H4557" s="255">
        <v>1</v>
      </c>
      <c r="I4557" s="361">
        <v>1</v>
      </c>
      <c r="J4557" s="362" t="s">
        <v>286</v>
      </c>
      <c r="K4557" s="372"/>
      <c r="L4557" s="129"/>
      <c r="M4557" s="129"/>
      <c r="N4557" s="129"/>
      <c r="O4557" s="129"/>
      <c r="P4557" s="372"/>
      <c r="Q4557" s="372"/>
      <c r="R4557" s="129"/>
      <c r="S4557" s="129"/>
      <c r="T4557" s="129"/>
      <c r="W4557" s="129" t="s">
        <v>286</v>
      </c>
      <c r="X4557" s="337" t="b">
        <f t="shared" si="107"/>
        <v>1</v>
      </c>
    </row>
    <row r="4558" spans="1:24" s="337" customFormat="1" ht="12" customHeight="1" outlineLevel="1">
      <c r="A4558" s="335"/>
      <c r="B4558" s="118" t="s">
        <v>12</v>
      </c>
      <c r="C4558" s="334" t="s">
        <v>12688</v>
      </c>
      <c r="D4558" s="124" t="s">
        <v>4897</v>
      </c>
      <c r="E4558" s="125"/>
      <c r="F4558" s="118" t="s">
        <v>953</v>
      </c>
      <c r="G4558" s="126" t="s">
        <v>12661</v>
      </c>
      <c r="H4558" s="255">
        <v>1</v>
      </c>
      <c r="I4558" s="361">
        <v>1</v>
      </c>
      <c r="J4558" s="362" t="s">
        <v>286</v>
      </c>
      <c r="K4558" s="372"/>
      <c r="L4558" s="129"/>
      <c r="M4558" s="129"/>
      <c r="N4558" s="129"/>
      <c r="O4558" s="129"/>
      <c r="P4558" s="372"/>
      <c r="Q4558" s="372"/>
      <c r="R4558" s="129"/>
      <c r="S4558" s="129"/>
      <c r="T4558" s="129"/>
      <c r="W4558" s="129" t="s">
        <v>286</v>
      </c>
      <c r="X4558" s="337" t="b">
        <f t="shared" si="107"/>
        <v>1</v>
      </c>
    </row>
    <row r="4559" spans="1:24" s="337" customFormat="1" ht="12" customHeight="1" outlineLevel="1">
      <c r="A4559" s="335"/>
      <c r="B4559" s="118" t="s">
        <v>12</v>
      </c>
      <c r="C4559" s="334" t="s">
        <v>12689</v>
      </c>
      <c r="D4559" s="124" t="s">
        <v>6282</v>
      </c>
      <c r="E4559" s="125"/>
      <c r="F4559" s="118" t="s">
        <v>953</v>
      </c>
      <c r="G4559" s="126" t="s">
        <v>12661</v>
      </c>
      <c r="H4559" s="255">
        <v>1</v>
      </c>
      <c r="I4559" s="361">
        <v>1</v>
      </c>
      <c r="J4559" s="362" t="s">
        <v>286</v>
      </c>
      <c r="K4559" s="372"/>
      <c r="L4559" s="129"/>
      <c r="M4559" s="129"/>
      <c r="N4559" s="129"/>
      <c r="O4559" s="129"/>
      <c r="P4559" s="372"/>
      <c r="Q4559" s="372"/>
      <c r="R4559" s="129"/>
      <c r="S4559" s="129"/>
      <c r="T4559" s="129"/>
      <c r="W4559" s="129" t="s">
        <v>286</v>
      </c>
      <c r="X4559" s="337" t="b">
        <f t="shared" si="107"/>
        <v>1</v>
      </c>
    </row>
    <row r="4560" spans="1:24" s="337" customFormat="1" ht="12" customHeight="1" outlineLevel="1">
      <c r="A4560" s="335"/>
      <c r="B4560" s="118" t="s">
        <v>12</v>
      </c>
      <c r="C4560" s="334" t="s">
        <v>12690</v>
      </c>
      <c r="D4560" s="124" t="s">
        <v>12691</v>
      </c>
      <c r="E4560" s="125"/>
      <c r="F4560" s="118" t="s">
        <v>953</v>
      </c>
      <c r="G4560" s="126" t="s">
        <v>12661</v>
      </c>
      <c r="H4560" s="255">
        <v>1</v>
      </c>
      <c r="I4560" s="361">
        <v>1</v>
      </c>
      <c r="J4560" s="362" t="s">
        <v>286</v>
      </c>
      <c r="K4560" s="372"/>
      <c r="L4560" s="129"/>
      <c r="M4560" s="129"/>
      <c r="N4560" s="129"/>
      <c r="O4560" s="129"/>
      <c r="P4560" s="372"/>
      <c r="Q4560" s="372"/>
      <c r="R4560" s="129"/>
      <c r="S4560" s="129"/>
      <c r="T4560" s="129"/>
      <c r="W4560" s="129" t="s">
        <v>286</v>
      </c>
      <c r="X4560" s="337" t="b">
        <f t="shared" si="107"/>
        <v>1</v>
      </c>
    </row>
    <row r="4561" spans="1:24" s="337" customFormat="1" ht="12" customHeight="1" outlineLevel="1">
      <c r="A4561" s="335"/>
      <c r="B4561" s="118" t="s">
        <v>12</v>
      </c>
      <c r="C4561" s="334" t="s">
        <v>12692</v>
      </c>
      <c r="D4561" s="124" t="s">
        <v>12693</v>
      </c>
      <c r="E4561" s="125"/>
      <c r="F4561" s="118" t="s">
        <v>953</v>
      </c>
      <c r="G4561" s="126" t="s">
        <v>12661</v>
      </c>
      <c r="H4561" s="255">
        <v>1</v>
      </c>
      <c r="I4561" s="361">
        <v>1</v>
      </c>
      <c r="J4561" s="362" t="s">
        <v>286</v>
      </c>
      <c r="K4561" s="372"/>
      <c r="L4561" s="129"/>
      <c r="M4561" s="129"/>
      <c r="N4561" s="129"/>
      <c r="O4561" s="129"/>
      <c r="P4561" s="372"/>
      <c r="Q4561" s="372"/>
      <c r="R4561" s="129"/>
      <c r="S4561" s="129"/>
      <c r="T4561" s="129"/>
      <c r="W4561" s="129" t="s">
        <v>286</v>
      </c>
      <c r="X4561" s="337" t="b">
        <f t="shared" si="107"/>
        <v>1</v>
      </c>
    </row>
    <row r="4562" spans="1:24" s="337" customFormat="1" ht="12" customHeight="1" outlineLevel="1">
      <c r="A4562" s="335"/>
      <c r="B4562" s="118" t="s">
        <v>12</v>
      </c>
      <c r="C4562" s="334" t="s">
        <v>12694</v>
      </c>
      <c r="D4562" s="124" t="s">
        <v>12695</v>
      </c>
      <c r="E4562" s="125"/>
      <c r="F4562" s="118" t="s">
        <v>953</v>
      </c>
      <c r="G4562" s="126" t="s">
        <v>12661</v>
      </c>
      <c r="H4562" s="255">
        <v>1</v>
      </c>
      <c r="I4562" s="361">
        <v>1</v>
      </c>
      <c r="J4562" s="362" t="s">
        <v>286</v>
      </c>
      <c r="K4562" s="372"/>
      <c r="L4562" s="129"/>
      <c r="M4562" s="129"/>
      <c r="N4562" s="129"/>
      <c r="O4562" s="129"/>
      <c r="P4562" s="372"/>
      <c r="Q4562" s="372"/>
      <c r="R4562" s="129"/>
      <c r="S4562" s="129"/>
      <c r="T4562" s="129"/>
      <c r="W4562" s="129" t="s">
        <v>286</v>
      </c>
      <c r="X4562" s="337" t="b">
        <f t="shared" si="107"/>
        <v>1</v>
      </c>
    </row>
    <row r="4563" spans="1:24" s="337" customFormat="1" ht="12" customHeight="1" outlineLevel="1">
      <c r="A4563" s="335"/>
      <c r="B4563" s="118" t="s">
        <v>12</v>
      </c>
      <c r="C4563" s="334" t="s">
        <v>12696</v>
      </c>
      <c r="D4563" s="124" t="s">
        <v>4897</v>
      </c>
      <c r="E4563" s="125"/>
      <c r="F4563" s="118" t="s">
        <v>953</v>
      </c>
      <c r="G4563" s="126" t="s">
        <v>12661</v>
      </c>
      <c r="H4563" s="255">
        <v>1</v>
      </c>
      <c r="I4563" s="361">
        <v>1</v>
      </c>
      <c r="J4563" s="362" t="s">
        <v>286</v>
      </c>
      <c r="K4563" s="372"/>
      <c r="L4563" s="129"/>
      <c r="M4563" s="129"/>
      <c r="N4563" s="129"/>
      <c r="O4563" s="129"/>
      <c r="P4563" s="372"/>
      <c r="Q4563" s="372"/>
      <c r="R4563" s="129"/>
      <c r="S4563" s="129"/>
      <c r="T4563" s="129"/>
      <c r="W4563" s="129" t="s">
        <v>286</v>
      </c>
      <c r="X4563" s="337" t="b">
        <f t="shared" si="107"/>
        <v>1</v>
      </c>
    </row>
    <row r="4564" spans="1:24" s="337" customFormat="1" ht="12" customHeight="1" outlineLevel="1">
      <c r="A4564" s="335"/>
      <c r="B4564" s="118" t="s">
        <v>12</v>
      </c>
      <c r="C4564" s="334" t="s">
        <v>12697</v>
      </c>
      <c r="D4564" s="124" t="s">
        <v>6282</v>
      </c>
      <c r="E4564" s="125"/>
      <c r="F4564" s="118" t="s">
        <v>953</v>
      </c>
      <c r="G4564" s="126" t="s">
        <v>12661</v>
      </c>
      <c r="H4564" s="255">
        <v>1</v>
      </c>
      <c r="I4564" s="361">
        <v>1</v>
      </c>
      <c r="J4564" s="362" t="s">
        <v>286</v>
      </c>
      <c r="K4564" s="372"/>
      <c r="L4564" s="129"/>
      <c r="M4564" s="129"/>
      <c r="N4564" s="129"/>
      <c r="O4564" s="129"/>
      <c r="P4564" s="372"/>
      <c r="Q4564" s="372"/>
      <c r="R4564" s="129"/>
      <c r="S4564" s="129"/>
      <c r="T4564" s="129"/>
      <c r="W4564" s="129" t="s">
        <v>286</v>
      </c>
      <c r="X4564" s="337" t="b">
        <f t="shared" si="107"/>
        <v>1</v>
      </c>
    </row>
    <row r="4565" spans="1:24" s="337" customFormat="1" ht="12" customHeight="1" outlineLevel="1">
      <c r="A4565" s="335"/>
      <c r="B4565" s="118" t="s">
        <v>12</v>
      </c>
      <c r="C4565" s="334" t="s">
        <v>12698</v>
      </c>
      <c r="D4565" s="124" t="s">
        <v>12699</v>
      </c>
      <c r="E4565" s="125"/>
      <c r="F4565" s="118" t="s">
        <v>953</v>
      </c>
      <c r="G4565" s="126" t="s">
        <v>12661</v>
      </c>
      <c r="H4565" s="255">
        <v>1</v>
      </c>
      <c r="I4565" s="361">
        <v>1</v>
      </c>
      <c r="J4565" s="362" t="s">
        <v>286</v>
      </c>
      <c r="K4565" s="372"/>
      <c r="L4565" s="129"/>
      <c r="M4565" s="129"/>
      <c r="N4565" s="129"/>
      <c r="O4565" s="129"/>
      <c r="P4565" s="372"/>
      <c r="Q4565" s="372"/>
      <c r="R4565" s="129"/>
      <c r="S4565" s="129"/>
      <c r="T4565" s="129"/>
      <c r="W4565" s="129" t="s">
        <v>286</v>
      </c>
      <c r="X4565" s="337" t="b">
        <f t="shared" si="107"/>
        <v>1</v>
      </c>
    </row>
    <row r="4566" spans="1:24" s="337" customFormat="1" ht="12" customHeight="1" outlineLevel="1">
      <c r="A4566" s="335"/>
      <c r="B4566" s="118" t="s">
        <v>12</v>
      </c>
      <c r="C4566" s="334" t="s">
        <v>12700</v>
      </c>
      <c r="D4566" s="124" t="s">
        <v>8617</v>
      </c>
      <c r="E4566" s="125"/>
      <c r="F4566" s="118" t="s">
        <v>953</v>
      </c>
      <c r="G4566" s="126" t="s">
        <v>12661</v>
      </c>
      <c r="H4566" s="255">
        <v>1</v>
      </c>
      <c r="I4566" s="361">
        <v>1</v>
      </c>
      <c r="J4566" s="362" t="s">
        <v>286</v>
      </c>
      <c r="K4566" s="372"/>
      <c r="L4566" s="129"/>
      <c r="M4566" s="129"/>
      <c r="N4566" s="129"/>
      <c r="O4566" s="129"/>
      <c r="P4566" s="372"/>
      <c r="Q4566" s="372"/>
      <c r="R4566" s="129"/>
      <c r="S4566" s="129"/>
      <c r="T4566" s="129"/>
      <c r="W4566" s="129" t="s">
        <v>286</v>
      </c>
      <c r="X4566" s="337" t="b">
        <f t="shared" si="107"/>
        <v>1</v>
      </c>
    </row>
    <row r="4567" spans="1:24" s="337" customFormat="1" ht="12" customHeight="1" outlineLevel="1">
      <c r="A4567" s="335"/>
      <c r="B4567" s="118" t="s">
        <v>12</v>
      </c>
      <c r="C4567" s="334" t="s">
        <v>12701</v>
      </c>
      <c r="D4567" s="124" t="s">
        <v>7101</v>
      </c>
      <c r="E4567" s="125"/>
      <c r="F4567" s="118" t="s">
        <v>953</v>
      </c>
      <c r="G4567" s="126" t="s">
        <v>12661</v>
      </c>
      <c r="H4567" s="255">
        <v>1</v>
      </c>
      <c r="I4567" s="361">
        <v>1</v>
      </c>
      <c r="J4567" s="362" t="s">
        <v>325</v>
      </c>
      <c r="K4567" s="372"/>
      <c r="L4567" s="129"/>
      <c r="M4567" s="129"/>
      <c r="N4567" s="129"/>
      <c r="O4567" s="129"/>
      <c r="P4567" s="372"/>
      <c r="Q4567" s="372"/>
      <c r="R4567" s="129"/>
      <c r="S4567" s="129"/>
      <c r="T4567" s="129"/>
      <c r="W4567" s="129" t="s">
        <v>325</v>
      </c>
      <c r="X4567" s="337" t="b">
        <f t="shared" si="107"/>
        <v>1</v>
      </c>
    </row>
    <row r="4568" spans="1:24" s="337" customFormat="1" ht="12" customHeight="1" outlineLevel="1">
      <c r="A4568" s="335"/>
      <c r="B4568" s="118" t="s">
        <v>12</v>
      </c>
      <c r="C4568" s="334" t="s">
        <v>12702</v>
      </c>
      <c r="D4568" s="124" t="s">
        <v>12703</v>
      </c>
      <c r="E4568" s="125"/>
      <c r="F4568" s="118" t="s">
        <v>953</v>
      </c>
      <c r="G4568" s="126" t="s">
        <v>12661</v>
      </c>
      <c r="H4568" s="255">
        <v>1</v>
      </c>
      <c r="I4568" s="361">
        <v>1</v>
      </c>
      <c r="J4568" s="362" t="s">
        <v>310</v>
      </c>
      <c r="K4568" s="372"/>
      <c r="L4568" s="129"/>
      <c r="M4568" s="129"/>
      <c r="N4568" s="129"/>
      <c r="O4568" s="129"/>
      <c r="P4568" s="372"/>
      <c r="Q4568" s="372"/>
      <c r="R4568" s="129"/>
      <c r="S4568" s="129"/>
      <c r="T4568" s="129"/>
      <c r="W4568" s="129" t="s">
        <v>310</v>
      </c>
      <c r="X4568" s="337" t="b">
        <f t="shared" si="107"/>
        <v>1</v>
      </c>
    </row>
    <row r="4569" spans="1:24" s="337" customFormat="1" ht="12" customHeight="1" outlineLevel="1">
      <c r="A4569" s="335"/>
      <c r="B4569" s="118" t="s">
        <v>12</v>
      </c>
      <c r="C4569" s="334" t="s">
        <v>12704</v>
      </c>
      <c r="D4569" s="124" t="s">
        <v>12705</v>
      </c>
      <c r="E4569" s="125"/>
      <c r="F4569" s="118" t="s">
        <v>953</v>
      </c>
      <c r="G4569" s="126" t="s">
        <v>12661</v>
      </c>
      <c r="H4569" s="255">
        <v>1</v>
      </c>
      <c r="I4569" s="361">
        <v>1</v>
      </c>
      <c r="J4569" s="362" t="s">
        <v>286</v>
      </c>
      <c r="K4569" s="372"/>
      <c r="L4569" s="129"/>
      <c r="M4569" s="129"/>
      <c r="N4569" s="129"/>
      <c r="O4569" s="129"/>
      <c r="P4569" s="372"/>
      <c r="Q4569" s="372"/>
      <c r="R4569" s="129"/>
      <c r="S4569" s="129"/>
      <c r="T4569" s="129"/>
      <c r="W4569" s="129" t="s">
        <v>310</v>
      </c>
      <c r="X4569" s="337" t="b">
        <f t="shared" si="107"/>
        <v>0</v>
      </c>
    </row>
    <row r="4570" spans="1:24" s="337" customFormat="1" ht="12" customHeight="1" outlineLevel="1">
      <c r="A4570" s="335"/>
      <c r="B4570" s="118" t="s">
        <v>12</v>
      </c>
      <c r="C4570" s="334" t="s">
        <v>12706</v>
      </c>
      <c r="D4570" s="124" t="s">
        <v>8559</v>
      </c>
      <c r="E4570" s="125"/>
      <c r="F4570" s="118" t="s">
        <v>953</v>
      </c>
      <c r="G4570" s="126" t="s">
        <v>12661</v>
      </c>
      <c r="H4570" s="255">
        <v>1</v>
      </c>
      <c r="I4570" s="361">
        <v>1</v>
      </c>
      <c r="J4570" s="362" t="s">
        <v>286</v>
      </c>
      <c r="K4570" s="372"/>
      <c r="L4570" s="129"/>
      <c r="M4570" s="129"/>
      <c r="N4570" s="129"/>
      <c r="O4570" s="129"/>
      <c r="P4570" s="372"/>
      <c r="Q4570" s="372"/>
      <c r="R4570" s="129"/>
      <c r="S4570" s="129"/>
      <c r="T4570" s="129"/>
      <c r="W4570" s="129" t="s">
        <v>286</v>
      </c>
      <c r="X4570" s="337" t="b">
        <f t="shared" si="107"/>
        <v>1</v>
      </c>
    </row>
    <row r="4571" spans="1:24" s="337" customFormat="1" ht="12" customHeight="1" outlineLevel="1">
      <c r="A4571" s="335"/>
      <c r="B4571" s="118" t="s">
        <v>12</v>
      </c>
      <c r="C4571" s="334" t="s">
        <v>12707</v>
      </c>
      <c r="D4571" s="124" t="s">
        <v>12708</v>
      </c>
      <c r="E4571" s="125"/>
      <c r="F4571" s="118" t="s">
        <v>953</v>
      </c>
      <c r="G4571" s="126" t="s">
        <v>12661</v>
      </c>
      <c r="H4571" s="255">
        <v>1</v>
      </c>
      <c r="I4571" s="361">
        <v>1</v>
      </c>
      <c r="J4571" s="362" t="s">
        <v>286</v>
      </c>
      <c r="K4571" s="372"/>
      <c r="L4571" s="129"/>
      <c r="M4571" s="129"/>
      <c r="N4571" s="129"/>
      <c r="O4571" s="129"/>
      <c r="P4571" s="372"/>
      <c r="Q4571" s="372"/>
      <c r="R4571" s="129"/>
      <c r="S4571" s="129"/>
      <c r="T4571" s="129"/>
      <c r="W4571" s="129" t="s">
        <v>286</v>
      </c>
      <c r="X4571" s="337" t="b">
        <f t="shared" si="107"/>
        <v>1</v>
      </c>
    </row>
    <row r="4572" spans="1:24" s="337" customFormat="1" ht="12" customHeight="1" outlineLevel="1">
      <c r="A4572" s="335"/>
      <c r="B4572" s="118" t="s">
        <v>12</v>
      </c>
      <c r="C4572" s="334" t="s">
        <v>12709</v>
      </c>
      <c r="D4572" s="124" t="s">
        <v>12710</v>
      </c>
      <c r="E4572" s="125"/>
      <c r="F4572" s="118" t="s">
        <v>953</v>
      </c>
      <c r="G4572" s="126" t="s">
        <v>12661</v>
      </c>
      <c r="H4572" s="255">
        <v>1</v>
      </c>
      <c r="I4572" s="361">
        <v>1</v>
      </c>
      <c r="J4572" s="362" t="s">
        <v>286</v>
      </c>
      <c r="K4572" s="372"/>
      <c r="L4572" s="129"/>
      <c r="M4572" s="129"/>
      <c r="N4572" s="129"/>
      <c r="O4572" s="129"/>
      <c r="P4572" s="372"/>
      <c r="Q4572" s="372"/>
      <c r="R4572" s="129"/>
      <c r="S4572" s="129"/>
      <c r="T4572" s="129"/>
      <c r="W4572" s="129" t="s">
        <v>286</v>
      </c>
      <c r="X4572" s="337" t="b">
        <f t="shared" si="107"/>
        <v>1</v>
      </c>
    </row>
    <row r="4573" spans="1:24" s="337" customFormat="1" ht="12" customHeight="1" outlineLevel="1">
      <c r="A4573" s="335"/>
      <c r="B4573" s="118" t="s">
        <v>12</v>
      </c>
      <c r="C4573" s="334" t="s">
        <v>12711</v>
      </c>
      <c r="D4573" s="124" t="s">
        <v>12712</v>
      </c>
      <c r="E4573" s="125"/>
      <c r="F4573" s="118" t="s">
        <v>953</v>
      </c>
      <c r="G4573" s="126" t="s">
        <v>12661</v>
      </c>
      <c r="H4573" s="255">
        <v>1</v>
      </c>
      <c r="I4573" s="361">
        <v>1</v>
      </c>
      <c r="J4573" s="362" t="s">
        <v>286</v>
      </c>
      <c r="K4573" s="372"/>
      <c r="L4573" s="129"/>
      <c r="M4573" s="129"/>
      <c r="N4573" s="129"/>
      <c r="O4573" s="129"/>
      <c r="P4573" s="372"/>
      <c r="Q4573" s="372"/>
      <c r="R4573" s="129"/>
      <c r="S4573" s="129"/>
      <c r="T4573" s="129"/>
      <c r="W4573" s="129" t="s">
        <v>286</v>
      </c>
      <c r="X4573" s="337" t="b">
        <f t="shared" si="107"/>
        <v>1</v>
      </c>
    </row>
    <row r="4574" spans="1:24" s="337" customFormat="1" ht="12" customHeight="1" outlineLevel="1">
      <c r="A4574" s="335"/>
      <c r="B4574" s="118" t="s">
        <v>12</v>
      </c>
      <c r="C4574" s="334" t="s">
        <v>12713</v>
      </c>
      <c r="D4574" s="124" t="s">
        <v>12714</v>
      </c>
      <c r="E4574" s="125"/>
      <c r="F4574" s="118" t="s">
        <v>953</v>
      </c>
      <c r="G4574" s="126" t="s">
        <v>12661</v>
      </c>
      <c r="H4574" s="255">
        <v>1</v>
      </c>
      <c r="I4574" s="361">
        <v>1</v>
      </c>
      <c r="J4574" s="362" t="s">
        <v>286</v>
      </c>
      <c r="K4574" s="372"/>
      <c r="L4574" s="129"/>
      <c r="M4574" s="129"/>
      <c r="N4574" s="129"/>
      <c r="O4574" s="129"/>
      <c r="P4574" s="372"/>
      <c r="Q4574" s="372"/>
      <c r="R4574" s="129"/>
      <c r="S4574" s="129"/>
      <c r="T4574" s="129"/>
      <c r="W4574" s="129" t="s">
        <v>286</v>
      </c>
      <c r="X4574" s="337" t="b">
        <f t="shared" si="107"/>
        <v>1</v>
      </c>
    </row>
    <row r="4575" spans="1:24" s="337" customFormat="1" ht="12" customHeight="1" outlineLevel="1">
      <c r="A4575" s="335"/>
      <c r="B4575" s="118" t="s">
        <v>12</v>
      </c>
      <c r="C4575" s="334" t="s">
        <v>12715</v>
      </c>
      <c r="D4575" s="124" t="s">
        <v>12716</v>
      </c>
      <c r="E4575" s="125"/>
      <c r="F4575" s="118" t="s">
        <v>953</v>
      </c>
      <c r="G4575" s="126" t="s">
        <v>12661</v>
      </c>
      <c r="H4575" s="255">
        <v>1</v>
      </c>
      <c r="I4575" s="361">
        <v>1</v>
      </c>
      <c r="J4575" s="362" t="s">
        <v>286</v>
      </c>
      <c r="K4575" s="372"/>
      <c r="L4575" s="129"/>
      <c r="M4575" s="129"/>
      <c r="N4575" s="129"/>
      <c r="O4575" s="129"/>
      <c r="P4575" s="372"/>
      <c r="Q4575" s="372"/>
      <c r="R4575" s="129"/>
      <c r="S4575" s="129"/>
      <c r="T4575" s="129"/>
      <c r="W4575" s="129" t="s">
        <v>286</v>
      </c>
      <c r="X4575" s="337" t="b">
        <f t="shared" si="107"/>
        <v>1</v>
      </c>
    </row>
    <row r="4576" spans="1:24" s="337" customFormat="1" ht="12" customHeight="1" outlineLevel="1">
      <c r="A4576" s="335"/>
      <c r="B4576" s="118" t="s">
        <v>12</v>
      </c>
      <c r="C4576" s="334" t="s">
        <v>12717</v>
      </c>
      <c r="D4576" s="124" t="s">
        <v>12718</v>
      </c>
      <c r="E4576" s="125"/>
      <c r="F4576" s="118" t="s">
        <v>953</v>
      </c>
      <c r="G4576" s="126" t="s">
        <v>12661</v>
      </c>
      <c r="H4576" s="255">
        <v>1</v>
      </c>
      <c r="I4576" s="361">
        <v>1</v>
      </c>
      <c r="J4576" s="362" t="s">
        <v>286</v>
      </c>
      <c r="K4576" s="372"/>
      <c r="L4576" s="129"/>
      <c r="M4576" s="129"/>
      <c r="N4576" s="129"/>
      <c r="O4576" s="129"/>
      <c r="P4576" s="372"/>
      <c r="Q4576" s="372"/>
      <c r="R4576" s="129"/>
      <c r="S4576" s="129"/>
      <c r="T4576" s="129"/>
      <c r="W4576" s="129" t="s">
        <v>286</v>
      </c>
      <c r="X4576" s="337" t="b">
        <f t="shared" si="107"/>
        <v>1</v>
      </c>
    </row>
    <row r="4577" spans="1:24" s="337" customFormat="1" ht="12" customHeight="1" outlineLevel="1">
      <c r="A4577" s="335"/>
      <c r="B4577" s="118" t="s">
        <v>12</v>
      </c>
      <c r="C4577" s="334" t="s">
        <v>12719</v>
      </c>
      <c r="D4577" s="124" t="s">
        <v>12720</v>
      </c>
      <c r="E4577" s="125"/>
      <c r="F4577" s="118" t="s">
        <v>953</v>
      </c>
      <c r="G4577" s="126" t="s">
        <v>12661</v>
      </c>
      <c r="H4577" s="255">
        <v>1</v>
      </c>
      <c r="I4577" s="361">
        <v>1</v>
      </c>
      <c r="J4577" s="362" t="s">
        <v>286</v>
      </c>
      <c r="K4577" s="372"/>
      <c r="L4577" s="129"/>
      <c r="M4577" s="129"/>
      <c r="N4577" s="129"/>
      <c r="O4577" s="129"/>
      <c r="P4577" s="372"/>
      <c r="Q4577" s="372"/>
      <c r="R4577" s="129"/>
      <c r="S4577" s="129"/>
      <c r="T4577" s="129"/>
      <c r="W4577" s="129" t="s">
        <v>286</v>
      </c>
      <c r="X4577" s="337" t="b">
        <f t="shared" si="107"/>
        <v>1</v>
      </c>
    </row>
    <row r="4578" spans="1:24" s="337" customFormat="1" ht="12" customHeight="1" outlineLevel="1">
      <c r="A4578" s="335"/>
      <c r="B4578" s="118" t="s">
        <v>12</v>
      </c>
      <c r="C4578" s="334" t="s">
        <v>12721</v>
      </c>
      <c r="D4578" s="124" t="s">
        <v>8577</v>
      </c>
      <c r="E4578" s="125"/>
      <c r="F4578" s="118" t="s">
        <v>953</v>
      </c>
      <c r="G4578" s="126" t="s">
        <v>12661</v>
      </c>
      <c r="H4578" s="255">
        <v>1</v>
      </c>
      <c r="I4578" s="361">
        <v>1</v>
      </c>
      <c r="J4578" s="362" t="s">
        <v>286</v>
      </c>
      <c r="K4578" s="372"/>
      <c r="L4578" s="129"/>
      <c r="M4578" s="129"/>
      <c r="N4578" s="129"/>
      <c r="O4578" s="129"/>
      <c r="P4578" s="372"/>
      <c r="Q4578" s="372"/>
      <c r="R4578" s="129"/>
      <c r="S4578" s="129"/>
      <c r="T4578" s="129"/>
      <c r="W4578" s="129" t="s">
        <v>286</v>
      </c>
      <c r="X4578" s="337" t="b">
        <f t="shared" si="107"/>
        <v>1</v>
      </c>
    </row>
    <row r="4579" spans="1:24" s="337" customFormat="1" ht="12" customHeight="1" outlineLevel="1">
      <c r="A4579" s="335"/>
      <c r="B4579" s="118" t="s">
        <v>12</v>
      </c>
      <c r="C4579" s="334" t="s">
        <v>12722</v>
      </c>
      <c r="D4579" s="124" t="s">
        <v>12723</v>
      </c>
      <c r="E4579" s="125"/>
      <c r="F4579" s="118" t="s">
        <v>953</v>
      </c>
      <c r="G4579" s="126" t="s">
        <v>12661</v>
      </c>
      <c r="H4579" s="255">
        <v>1</v>
      </c>
      <c r="I4579" s="361">
        <v>1</v>
      </c>
      <c r="J4579" s="362" t="s">
        <v>286</v>
      </c>
      <c r="K4579" s="372"/>
      <c r="L4579" s="129"/>
      <c r="M4579" s="129"/>
      <c r="N4579" s="129"/>
      <c r="O4579" s="129"/>
      <c r="P4579" s="372"/>
      <c r="Q4579" s="372"/>
      <c r="R4579" s="129"/>
      <c r="S4579" s="129"/>
      <c r="T4579" s="129"/>
      <c r="W4579" s="129" t="s">
        <v>286</v>
      </c>
      <c r="X4579" s="337" t="b">
        <f t="shared" si="107"/>
        <v>1</v>
      </c>
    </row>
    <row r="4580" spans="1:24" s="337" customFormat="1" ht="12" customHeight="1" outlineLevel="1">
      <c r="A4580" s="335"/>
      <c r="B4580" s="118" t="s">
        <v>12</v>
      </c>
      <c r="C4580" s="334" t="s">
        <v>12724</v>
      </c>
      <c r="D4580" s="124" t="s">
        <v>12725</v>
      </c>
      <c r="E4580" s="125"/>
      <c r="F4580" s="118" t="s">
        <v>953</v>
      </c>
      <c r="G4580" s="126" t="s">
        <v>12661</v>
      </c>
      <c r="H4580" s="255">
        <v>1</v>
      </c>
      <c r="I4580" s="361">
        <v>1</v>
      </c>
      <c r="J4580" s="362" t="s">
        <v>286</v>
      </c>
      <c r="K4580" s="372"/>
      <c r="L4580" s="129"/>
      <c r="M4580" s="129"/>
      <c r="N4580" s="129"/>
      <c r="O4580" s="129"/>
      <c r="P4580" s="372"/>
      <c r="Q4580" s="372"/>
      <c r="R4580" s="129"/>
      <c r="S4580" s="129"/>
      <c r="T4580" s="129"/>
      <c r="W4580" s="129" t="s">
        <v>286</v>
      </c>
      <c r="X4580" s="337" t="b">
        <f t="shared" si="107"/>
        <v>1</v>
      </c>
    </row>
    <row r="4581" spans="1:24" s="337" customFormat="1" ht="12" customHeight="1" outlineLevel="1">
      <c r="A4581" s="335"/>
      <c r="B4581" s="118" t="s">
        <v>12</v>
      </c>
      <c r="C4581" s="334" t="s">
        <v>12726</v>
      </c>
      <c r="D4581" s="124" t="s">
        <v>12727</v>
      </c>
      <c r="E4581" s="125"/>
      <c r="F4581" s="118" t="s">
        <v>953</v>
      </c>
      <c r="G4581" s="126" t="s">
        <v>12661</v>
      </c>
      <c r="H4581" s="255">
        <v>1</v>
      </c>
      <c r="I4581" s="361">
        <v>1</v>
      </c>
      <c r="J4581" s="362" t="s">
        <v>286</v>
      </c>
      <c r="K4581" s="372"/>
      <c r="L4581" s="129"/>
      <c r="M4581" s="129"/>
      <c r="N4581" s="129"/>
      <c r="O4581" s="129"/>
      <c r="P4581" s="372"/>
      <c r="Q4581" s="372"/>
      <c r="R4581" s="129"/>
      <c r="S4581" s="129"/>
      <c r="T4581" s="129"/>
      <c r="W4581" s="129" t="s">
        <v>286</v>
      </c>
      <c r="X4581" s="337" t="b">
        <f t="shared" si="107"/>
        <v>1</v>
      </c>
    </row>
    <row r="4582" spans="1:24" s="337" customFormat="1" ht="12" customHeight="1" outlineLevel="1">
      <c r="A4582" s="335"/>
      <c r="B4582" s="118" t="s">
        <v>12</v>
      </c>
      <c r="C4582" s="334" t="s">
        <v>12728</v>
      </c>
      <c r="D4582" s="124" t="s">
        <v>12729</v>
      </c>
      <c r="E4582" s="125"/>
      <c r="F4582" s="118" t="s">
        <v>953</v>
      </c>
      <c r="G4582" s="126" t="s">
        <v>12661</v>
      </c>
      <c r="H4582" s="255">
        <v>1</v>
      </c>
      <c r="I4582" s="361">
        <v>1</v>
      </c>
      <c r="J4582" s="362" t="s">
        <v>286</v>
      </c>
      <c r="K4582" s="372"/>
      <c r="L4582" s="129"/>
      <c r="M4582" s="129"/>
      <c r="N4582" s="129"/>
      <c r="O4582" s="129"/>
      <c r="P4582" s="372"/>
      <c r="Q4582" s="372"/>
      <c r="R4582" s="129"/>
      <c r="S4582" s="129"/>
      <c r="T4582" s="129"/>
      <c r="W4582" s="129" t="s">
        <v>286</v>
      </c>
      <c r="X4582" s="337" t="b">
        <f t="shared" si="107"/>
        <v>1</v>
      </c>
    </row>
    <row r="4583" spans="1:24" s="337" customFormat="1" ht="12" customHeight="1" outlineLevel="1">
      <c r="A4583" s="335"/>
      <c r="B4583" s="118" t="s">
        <v>12</v>
      </c>
      <c r="C4583" s="334" t="s">
        <v>12730</v>
      </c>
      <c r="D4583" s="124" t="s">
        <v>12731</v>
      </c>
      <c r="E4583" s="125"/>
      <c r="F4583" s="118" t="s">
        <v>953</v>
      </c>
      <c r="G4583" s="126" t="s">
        <v>12661</v>
      </c>
      <c r="H4583" s="255">
        <v>1</v>
      </c>
      <c r="I4583" s="361">
        <v>1</v>
      </c>
      <c r="J4583" s="362" t="s">
        <v>286</v>
      </c>
      <c r="K4583" s="372"/>
      <c r="L4583" s="129"/>
      <c r="M4583" s="129"/>
      <c r="N4583" s="129"/>
      <c r="O4583" s="129"/>
      <c r="P4583" s="372"/>
      <c r="Q4583" s="372"/>
      <c r="R4583" s="129"/>
      <c r="S4583" s="129"/>
      <c r="T4583" s="129"/>
      <c r="W4583" s="129" t="s">
        <v>286</v>
      </c>
      <c r="X4583" s="337" t="b">
        <f t="shared" si="107"/>
        <v>1</v>
      </c>
    </row>
    <row r="4584" spans="1:24" s="337" customFormat="1" ht="12" customHeight="1" outlineLevel="1">
      <c r="A4584" s="335"/>
      <c r="B4584" s="118" t="s">
        <v>12</v>
      </c>
      <c r="C4584" s="334" t="s">
        <v>12732</v>
      </c>
      <c r="D4584" s="124" t="s">
        <v>12733</v>
      </c>
      <c r="E4584" s="125"/>
      <c r="F4584" s="118" t="s">
        <v>953</v>
      </c>
      <c r="G4584" s="126" t="s">
        <v>12661</v>
      </c>
      <c r="H4584" s="255">
        <v>1</v>
      </c>
      <c r="I4584" s="361">
        <v>1</v>
      </c>
      <c r="J4584" s="362" t="s">
        <v>286</v>
      </c>
      <c r="K4584" s="372"/>
      <c r="L4584" s="129"/>
      <c r="M4584" s="129"/>
      <c r="N4584" s="129"/>
      <c r="O4584" s="129"/>
      <c r="P4584" s="372"/>
      <c r="Q4584" s="372"/>
      <c r="R4584" s="129"/>
      <c r="S4584" s="129"/>
      <c r="T4584" s="129"/>
      <c r="W4584" s="129" t="s">
        <v>286</v>
      </c>
      <c r="X4584" s="337" t="b">
        <f t="shared" si="107"/>
        <v>1</v>
      </c>
    </row>
    <row r="4585" spans="1:24" s="337" customFormat="1" ht="12" customHeight="1" outlineLevel="1">
      <c r="A4585" s="335"/>
      <c r="B4585" s="118" t="s">
        <v>12</v>
      </c>
      <c r="C4585" s="334" t="s">
        <v>12734</v>
      </c>
      <c r="D4585" s="124" t="s">
        <v>12735</v>
      </c>
      <c r="E4585" s="125"/>
      <c r="F4585" s="118" t="s">
        <v>953</v>
      </c>
      <c r="G4585" s="126" t="s">
        <v>12661</v>
      </c>
      <c r="H4585" s="255">
        <v>1</v>
      </c>
      <c r="I4585" s="361">
        <v>1</v>
      </c>
      <c r="J4585" s="362" t="s">
        <v>286</v>
      </c>
      <c r="K4585" s="372"/>
      <c r="L4585" s="129"/>
      <c r="M4585" s="129"/>
      <c r="N4585" s="129"/>
      <c r="O4585" s="129"/>
      <c r="P4585" s="372"/>
      <c r="Q4585" s="372"/>
      <c r="R4585" s="129"/>
      <c r="S4585" s="129"/>
      <c r="T4585" s="129"/>
      <c r="W4585" s="129" t="s">
        <v>286</v>
      </c>
      <c r="X4585" s="337" t="b">
        <f t="shared" si="107"/>
        <v>1</v>
      </c>
    </row>
    <row r="4586" spans="1:24" s="337" customFormat="1" ht="12" customHeight="1" outlineLevel="1">
      <c r="A4586" s="335"/>
      <c r="B4586" s="118" t="s">
        <v>12</v>
      </c>
      <c r="C4586" s="334" t="s">
        <v>12736</v>
      </c>
      <c r="D4586" s="124" t="s">
        <v>12737</v>
      </c>
      <c r="E4586" s="125"/>
      <c r="F4586" s="118" t="s">
        <v>953</v>
      </c>
      <c r="G4586" s="126" t="s">
        <v>12661</v>
      </c>
      <c r="H4586" s="255">
        <v>1</v>
      </c>
      <c r="I4586" s="361">
        <v>1</v>
      </c>
      <c r="J4586" s="362" t="s">
        <v>286</v>
      </c>
      <c r="K4586" s="372"/>
      <c r="L4586" s="129"/>
      <c r="M4586" s="129"/>
      <c r="N4586" s="129"/>
      <c r="O4586" s="129"/>
      <c r="P4586" s="372"/>
      <c r="Q4586" s="372"/>
      <c r="R4586" s="129"/>
      <c r="S4586" s="129"/>
      <c r="T4586" s="129"/>
      <c r="W4586" s="129" t="s">
        <v>286</v>
      </c>
      <c r="X4586" s="337" t="b">
        <f t="shared" si="107"/>
        <v>1</v>
      </c>
    </row>
    <row r="4587" spans="1:24" s="337" customFormat="1" ht="12" customHeight="1" outlineLevel="1">
      <c r="A4587" s="335"/>
      <c r="B4587" s="118" t="s">
        <v>12</v>
      </c>
      <c r="C4587" s="334" t="s">
        <v>12738</v>
      </c>
      <c r="D4587" s="124" t="s">
        <v>12739</v>
      </c>
      <c r="E4587" s="125"/>
      <c r="F4587" s="118" t="s">
        <v>953</v>
      </c>
      <c r="G4587" s="126" t="s">
        <v>12661</v>
      </c>
      <c r="H4587" s="255">
        <v>1</v>
      </c>
      <c r="I4587" s="361">
        <v>1</v>
      </c>
      <c r="J4587" s="362" t="s">
        <v>286</v>
      </c>
      <c r="K4587" s="372"/>
      <c r="L4587" s="129"/>
      <c r="M4587" s="129"/>
      <c r="N4587" s="129"/>
      <c r="O4587" s="129"/>
      <c r="P4587" s="372"/>
      <c r="Q4587" s="372"/>
      <c r="R4587" s="129"/>
      <c r="S4587" s="129"/>
      <c r="T4587" s="129"/>
      <c r="W4587" s="129" t="s">
        <v>286</v>
      </c>
      <c r="X4587" s="337" t="b">
        <f t="shared" si="107"/>
        <v>1</v>
      </c>
    </row>
    <row r="4588" spans="1:24" s="337" customFormat="1" ht="12" customHeight="1" outlineLevel="1">
      <c r="A4588" s="335"/>
      <c r="B4588" s="118" t="s">
        <v>12</v>
      </c>
      <c r="C4588" s="334" t="s">
        <v>12740</v>
      </c>
      <c r="D4588" s="124" t="s">
        <v>12741</v>
      </c>
      <c r="E4588" s="125"/>
      <c r="F4588" s="118" t="s">
        <v>953</v>
      </c>
      <c r="G4588" s="126" t="s">
        <v>12661</v>
      </c>
      <c r="H4588" s="255">
        <v>1</v>
      </c>
      <c r="I4588" s="361">
        <v>1</v>
      </c>
      <c r="J4588" s="362" t="s">
        <v>286</v>
      </c>
      <c r="K4588" s="372"/>
      <c r="L4588" s="129"/>
      <c r="M4588" s="129"/>
      <c r="N4588" s="129"/>
      <c r="O4588" s="129"/>
      <c r="P4588" s="372"/>
      <c r="Q4588" s="372"/>
      <c r="R4588" s="129"/>
      <c r="S4588" s="129"/>
      <c r="T4588" s="129"/>
      <c r="W4588" s="129" t="s">
        <v>286</v>
      </c>
      <c r="X4588" s="337" t="b">
        <f t="shared" si="107"/>
        <v>1</v>
      </c>
    </row>
    <row r="4589" spans="1:24" s="337" customFormat="1" ht="12" customHeight="1" outlineLevel="1">
      <c r="A4589" s="335"/>
      <c r="B4589" s="118" t="s">
        <v>12</v>
      </c>
      <c r="C4589" s="334" t="s">
        <v>12742</v>
      </c>
      <c r="D4589" s="124" t="s">
        <v>12743</v>
      </c>
      <c r="E4589" s="125"/>
      <c r="F4589" s="118" t="s">
        <v>953</v>
      </c>
      <c r="G4589" s="126" t="s">
        <v>12661</v>
      </c>
      <c r="H4589" s="255">
        <v>1</v>
      </c>
      <c r="I4589" s="361">
        <v>1</v>
      </c>
      <c r="J4589" s="362" t="s">
        <v>286</v>
      </c>
      <c r="K4589" s="372"/>
      <c r="L4589" s="129"/>
      <c r="M4589" s="129"/>
      <c r="N4589" s="129"/>
      <c r="O4589" s="129"/>
      <c r="P4589" s="372"/>
      <c r="Q4589" s="372"/>
      <c r="R4589" s="129"/>
      <c r="S4589" s="129"/>
      <c r="T4589" s="129"/>
      <c r="W4589" s="129" t="s">
        <v>286</v>
      </c>
      <c r="X4589" s="337" t="b">
        <f t="shared" si="107"/>
        <v>1</v>
      </c>
    </row>
    <row r="4590" spans="1:24" s="337" customFormat="1" ht="12" customHeight="1" outlineLevel="1">
      <c r="A4590" s="335"/>
      <c r="B4590" s="118" t="s">
        <v>12</v>
      </c>
      <c r="C4590" s="334" t="s">
        <v>12744</v>
      </c>
      <c r="D4590" s="124" t="s">
        <v>12745</v>
      </c>
      <c r="E4590" s="125"/>
      <c r="F4590" s="118" t="s">
        <v>953</v>
      </c>
      <c r="G4590" s="126" t="s">
        <v>12661</v>
      </c>
      <c r="H4590" s="255">
        <v>1</v>
      </c>
      <c r="I4590" s="361">
        <v>1</v>
      </c>
      <c r="J4590" s="362" t="s">
        <v>286</v>
      </c>
      <c r="K4590" s="372"/>
      <c r="L4590" s="129"/>
      <c r="M4590" s="129"/>
      <c r="N4590" s="129"/>
      <c r="O4590" s="129"/>
      <c r="P4590" s="372"/>
      <c r="Q4590" s="372"/>
      <c r="R4590" s="129"/>
      <c r="S4590" s="129"/>
      <c r="T4590" s="129"/>
      <c r="W4590" s="129" t="s">
        <v>286</v>
      </c>
      <c r="X4590" s="337" t="b">
        <f t="shared" si="107"/>
        <v>1</v>
      </c>
    </row>
    <row r="4591" spans="1:24" s="337" customFormat="1" ht="12" customHeight="1" outlineLevel="1">
      <c r="A4591" s="335"/>
      <c r="B4591" s="118" t="s">
        <v>12</v>
      </c>
      <c r="C4591" s="334" t="s">
        <v>12746</v>
      </c>
      <c r="D4591" s="124" t="s">
        <v>12747</v>
      </c>
      <c r="E4591" s="125"/>
      <c r="F4591" s="118" t="s">
        <v>953</v>
      </c>
      <c r="G4591" s="126" t="s">
        <v>12661</v>
      </c>
      <c r="H4591" s="255">
        <v>1</v>
      </c>
      <c r="I4591" s="361">
        <v>1</v>
      </c>
      <c r="J4591" s="362" t="s">
        <v>286</v>
      </c>
      <c r="K4591" s="372"/>
      <c r="L4591" s="129"/>
      <c r="M4591" s="129"/>
      <c r="N4591" s="129"/>
      <c r="O4591" s="129"/>
      <c r="P4591" s="372"/>
      <c r="Q4591" s="372"/>
      <c r="R4591" s="129"/>
      <c r="S4591" s="129"/>
      <c r="T4591" s="129"/>
      <c r="W4591" s="129" t="s">
        <v>286</v>
      </c>
      <c r="X4591" s="337" t="b">
        <f t="shared" si="107"/>
        <v>1</v>
      </c>
    </row>
    <row r="4592" spans="1:24" s="337" customFormat="1" ht="12" customHeight="1" outlineLevel="1">
      <c r="A4592" s="335"/>
      <c r="B4592" s="118" t="s">
        <v>12</v>
      </c>
      <c r="C4592" s="334" t="s">
        <v>12748</v>
      </c>
      <c r="D4592" s="124" t="s">
        <v>12749</v>
      </c>
      <c r="E4592" s="125"/>
      <c r="F4592" s="118" t="s">
        <v>953</v>
      </c>
      <c r="G4592" s="126" t="s">
        <v>12661</v>
      </c>
      <c r="H4592" s="255">
        <v>1</v>
      </c>
      <c r="I4592" s="361">
        <v>1</v>
      </c>
      <c r="J4592" s="362" t="s">
        <v>286</v>
      </c>
      <c r="K4592" s="372"/>
      <c r="L4592" s="129"/>
      <c r="M4592" s="129"/>
      <c r="N4592" s="129"/>
      <c r="O4592" s="129"/>
      <c r="P4592" s="372"/>
      <c r="Q4592" s="372"/>
      <c r="R4592" s="129"/>
      <c r="S4592" s="129"/>
      <c r="T4592" s="129"/>
      <c r="W4592" s="129" t="s">
        <v>4876</v>
      </c>
      <c r="X4592" s="337" t="b">
        <f t="shared" si="107"/>
        <v>0</v>
      </c>
    </row>
    <row r="4593" spans="1:24" s="337" customFormat="1" ht="12" customHeight="1" outlineLevel="1">
      <c r="A4593" s="335"/>
      <c r="B4593" s="118" t="s">
        <v>12</v>
      </c>
      <c r="C4593" s="334" t="s">
        <v>12750</v>
      </c>
      <c r="D4593" s="124" t="s">
        <v>12751</v>
      </c>
      <c r="E4593" s="125"/>
      <c r="F4593" s="118" t="s">
        <v>953</v>
      </c>
      <c r="G4593" s="126" t="s">
        <v>12661</v>
      </c>
      <c r="H4593" s="255">
        <v>1</v>
      </c>
      <c r="I4593" s="361">
        <v>1</v>
      </c>
      <c r="J4593" s="362" t="s">
        <v>286</v>
      </c>
      <c r="K4593" s="372"/>
      <c r="L4593" s="129"/>
      <c r="M4593" s="129"/>
      <c r="N4593" s="129"/>
      <c r="O4593" s="129"/>
      <c r="P4593" s="372"/>
      <c r="Q4593" s="372"/>
      <c r="R4593" s="129"/>
      <c r="S4593" s="129"/>
      <c r="T4593" s="129"/>
      <c r="W4593" s="129" t="s">
        <v>286</v>
      </c>
      <c r="X4593" s="337" t="b">
        <f t="shared" si="107"/>
        <v>1</v>
      </c>
    </row>
    <row r="4594" spans="1:24" s="337" customFormat="1" ht="12" customHeight="1" outlineLevel="1">
      <c r="A4594" s="335"/>
      <c r="B4594" s="118" t="s">
        <v>12</v>
      </c>
      <c r="C4594" s="334" t="s">
        <v>12752</v>
      </c>
      <c r="D4594" s="124" t="s">
        <v>12753</v>
      </c>
      <c r="E4594" s="125"/>
      <c r="F4594" s="118" t="s">
        <v>953</v>
      </c>
      <c r="G4594" s="126" t="s">
        <v>12661</v>
      </c>
      <c r="H4594" s="255">
        <v>1</v>
      </c>
      <c r="I4594" s="361">
        <v>1</v>
      </c>
      <c r="J4594" s="362" t="s">
        <v>286</v>
      </c>
      <c r="K4594" s="372"/>
      <c r="L4594" s="129"/>
      <c r="M4594" s="129"/>
      <c r="N4594" s="129"/>
      <c r="O4594" s="129"/>
      <c r="P4594" s="372"/>
      <c r="Q4594" s="372"/>
      <c r="R4594" s="129"/>
      <c r="S4594" s="129"/>
      <c r="T4594" s="129"/>
      <c r="W4594" s="129" t="s">
        <v>286</v>
      </c>
      <c r="X4594" s="337" t="b">
        <f t="shared" si="107"/>
        <v>1</v>
      </c>
    </row>
    <row r="4595" spans="1:24" s="337" customFormat="1" ht="12" customHeight="1" outlineLevel="1">
      <c r="A4595" s="335"/>
      <c r="B4595" s="118" t="s">
        <v>12</v>
      </c>
      <c r="C4595" s="334" t="s">
        <v>12754</v>
      </c>
      <c r="D4595" s="124" t="s">
        <v>12755</v>
      </c>
      <c r="E4595" s="125"/>
      <c r="F4595" s="118" t="s">
        <v>953</v>
      </c>
      <c r="G4595" s="126" t="s">
        <v>12661</v>
      </c>
      <c r="H4595" s="255">
        <v>1</v>
      </c>
      <c r="I4595" s="361">
        <v>1</v>
      </c>
      <c r="J4595" s="362" t="s">
        <v>286</v>
      </c>
      <c r="K4595" s="372"/>
      <c r="L4595" s="129"/>
      <c r="M4595" s="129"/>
      <c r="N4595" s="129"/>
      <c r="O4595" s="129"/>
      <c r="P4595" s="372"/>
      <c r="Q4595" s="372"/>
      <c r="R4595" s="129"/>
      <c r="S4595" s="129"/>
      <c r="T4595" s="129"/>
      <c r="W4595" s="129" t="s">
        <v>310</v>
      </c>
      <c r="X4595" s="337" t="b">
        <f t="shared" si="107"/>
        <v>0</v>
      </c>
    </row>
    <row r="4596" spans="1:24" s="337" customFormat="1" ht="12" customHeight="1" outlineLevel="1">
      <c r="A4596" s="335"/>
      <c r="B4596" s="118" t="s">
        <v>12</v>
      </c>
      <c r="C4596" s="334" t="s">
        <v>12756</v>
      </c>
      <c r="D4596" s="124" t="s">
        <v>12757</v>
      </c>
      <c r="E4596" s="125"/>
      <c r="F4596" s="118" t="s">
        <v>953</v>
      </c>
      <c r="G4596" s="126" t="s">
        <v>12661</v>
      </c>
      <c r="H4596" s="255">
        <v>1</v>
      </c>
      <c r="I4596" s="361">
        <v>1</v>
      </c>
      <c r="J4596" s="362" t="s">
        <v>286</v>
      </c>
      <c r="K4596" s="372"/>
      <c r="L4596" s="129"/>
      <c r="M4596" s="129"/>
      <c r="N4596" s="129"/>
      <c r="O4596" s="129"/>
      <c r="P4596" s="372"/>
      <c r="Q4596" s="372"/>
      <c r="R4596" s="129"/>
      <c r="S4596" s="129"/>
      <c r="T4596" s="129"/>
      <c r="W4596" s="129" t="s">
        <v>310</v>
      </c>
      <c r="X4596" s="337" t="b">
        <f t="shared" si="107"/>
        <v>0</v>
      </c>
    </row>
    <row r="4597" spans="1:24" s="337" customFormat="1" ht="12" customHeight="1" outlineLevel="1">
      <c r="A4597" s="335"/>
      <c r="B4597" s="118" t="s">
        <v>12</v>
      </c>
      <c r="C4597" s="334" t="s">
        <v>12758</v>
      </c>
      <c r="D4597" s="124" t="s">
        <v>12759</v>
      </c>
      <c r="E4597" s="125"/>
      <c r="F4597" s="118" t="s">
        <v>953</v>
      </c>
      <c r="G4597" s="126" t="s">
        <v>12661</v>
      </c>
      <c r="H4597" s="255">
        <v>1</v>
      </c>
      <c r="I4597" s="361">
        <v>1</v>
      </c>
      <c r="J4597" s="362" t="s">
        <v>286</v>
      </c>
      <c r="K4597" s="372"/>
      <c r="L4597" s="129"/>
      <c r="M4597" s="129"/>
      <c r="N4597" s="129"/>
      <c r="O4597" s="129"/>
      <c r="P4597" s="372"/>
      <c r="Q4597" s="372"/>
      <c r="R4597" s="129"/>
      <c r="S4597" s="129"/>
      <c r="T4597" s="129"/>
      <c r="W4597" s="129" t="s">
        <v>310</v>
      </c>
      <c r="X4597" s="337" t="b">
        <f t="shared" si="107"/>
        <v>0</v>
      </c>
    </row>
    <row r="4598" spans="1:24" s="337" customFormat="1" ht="12" customHeight="1" outlineLevel="1">
      <c r="A4598" s="335"/>
      <c r="B4598" s="118" t="s">
        <v>12</v>
      </c>
      <c r="C4598" s="334" t="s">
        <v>12760</v>
      </c>
      <c r="D4598" s="124" t="s">
        <v>12761</v>
      </c>
      <c r="E4598" s="125"/>
      <c r="F4598" s="118" t="s">
        <v>953</v>
      </c>
      <c r="G4598" s="126" t="s">
        <v>12661</v>
      </c>
      <c r="H4598" s="255">
        <v>1</v>
      </c>
      <c r="I4598" s="361">
        <v>1</v>
      </c>
      <c r="J4598" s="362" t="s">
        <v>286</v>
      </c>
      <c r="K4598" s="372"/>
      <c r="L4598" s="129"/>
      <c r="M4598" s="129"/>
      <c r="N4598" s="129"/>
      <c r="O4598" s="129"/>
      <c r="P4598" s="372"/>
      <c r="Q4598" s="372"/>
      <c r="R4598" s="129"/>
      <c r="S4598" s="129"/>
      <c r="T4598" s="129"/>
      <c r="W4598" s="129" t="s">
        <v>310</v>
      </c>
      <c r="X4598" s="337" t="b">
        <f t="shared" si="107"/>
        <v>0</v>
      </c>
    </row>
    <row r="4599" spans="1:24" s="337" customFormat="1" ht="12" customHeight="1" outlineLevel="1">
      <c r="A4599" s="335"/>
      <c r="B4599" s="118" t="s">
        <v>12</v>
      </c>
      <c r="C4599" s="334" t="s">
        <v>12762</v>
      </c>
      <c r="D4599" s="124" t="s">
        <v>12763</v>
      </c>
      <c r="E4599" s="125"/>
      <c r="F4599" s="118" t="s">
        <v>953</v>
      </c>
      <c r="G4599" s="126" t="s">
        <v>12661</v>
      </c>
      <c r="H4599" s="255">
        <v>1</v>
      </c>
      <c r="I4599" s="361">
        <v>1</v>
      </c>
      <c r="J4599" s="362" t="s">
        <v>286</v>
      </c>
      <c r="K4599" s="372"/>
      <c r="L4599" s="129"/>
      <c r="M4599" s="129"/>
      <c r="N4599" s="129"/>
      <c r="O4599" s="129"/>
      <c r="P4599" s="372"/>
      <c r="Q4599" s="372"/>
      <c r="R4599" s="129"/>
      <c r="S4599" s="129"/>
      <c r="T4599" s="129"/>
      <c r="W4599" s="129" t="s">
        <v>310</v>
      </c>
      <c r="X4599" s="337" t="b">
        <f t="shared" si="107"/>
        <v>0</v>
      </c>
    </row>
    <row r="4600" spans="1:24" s="337" customFormat="1" ht="12" customHeight="1" outlineLevel="1">
      <c r="A4600" s="335"/>
      <c r="B4600" s="118" t="s">
        <v>12</v>
      </c>
      <c r="C4600" s="334" t="s">
        <v>12764</v>
      </c>
      <c r="D4600" s="124" t="s">
        <v>12765</v>
      </c>
      <c r="E4600" s="125"/>
      <c r="F4600" s="118" t="s">
        <v>953</v>
      </c>
      <c r="G4600" s="126" t="s">
        <v>12661</v>
      </c>
      <c r="H4600" s="255">
        <v>1</v>
      </c>
      <c r="I4600" s="361">
        <v>1</v>
      </c>
      <c r="J4600" s="362" t="s">
        <v>286</v>
      </c>
      <c r="K4600" s="372"/>
      <c r="L4600" s="129"/>
      <c r="M4600" s="129"/>
      <c r="N4600" s="129"/>
      <c r="O4600" s="129"/>
      <c r="P4600" s="372"/>
      <c r="Q4600" s="372"/>
      <c r="R4600" s="129"/>
      <c r="S4600" s="129"/>
      <c r="T4600" s="129"/>
      <c r="W4600" s="129" t="s">
        <v>310</v>
      </c>
      <c r="X4600" s="337" t="b">
        <f t="shared" si="107"/>
        <v>0</v>
      </c>
    </row>
    <row r="4601" spans="1:24" s="337" customFormat="1" ht="12" customHeight="1" outlineLevel="1">
      <c r="A4601" s="335"/>
      <c r="B4601" s="118" t="s">
        <v>12</v>
      </c>
      <c r="C4601" s="334" t="s">
        <v>12766</v>
      </c>
      <c r="D4601" s="124" t="s">
        <v>12767</v>
      </c>
      <c r="E4601" s="125"/>
      <c r="F4601" s="118" t="s">
        <v>953</v>
      </c>
      <c r="G4601" s="126" t="s">
        <v>12661</v>
      </c>
      <c r="H4601" s="255">
        <v>1</v>
      </c>
      <c r="I4601" s="361">
        <v>1</v>
      </c>
      <c r="J4601" s="362" t="s">
        <v>286</v>
      </c>
      <c r="K4601" s="372"/>
      <c r="L4601" s="129"/>
      <c r="M4601" s="129"/>
      <c r="N4601" s="129"/>
      <c r="O4601" s="129"/>
      <c r="P4601" s="372"/>
      <c r="Q4601" s="372"/>
      <c r="R4601" s="129"/>
      <c r="S4601" s="129"/>
      <c r="T4601" s="129"/>
      <c r="W4601" s="129" t="s">
        <v>310</v>
      </c>
      <c r="X4601" s="337" t="b">
        <f t="shared" si="107"/>
        <v>0</v>
      </c>
    </row>
    <row r="4602" spans="1:24" s="337" customFormat="1" ht="12" customHeight="1" outlineLevel="1">
      <c r="A4602" s="335"/>
      <c r="B4602" s="118" t="s">
        <v>12</v>
      </c>
      <c r="C4602" s="334" t="s">
        <v>12768</v>
      </c>
      <c r="D4602" s="124" t="s">
        <v>12769</v>
      </c>
      <c r="E4602" s="125"/>
      <c r="F4602" s="118" t="s">
        <v>953</v>
      </c>
      <c r="G4602" s="126" t="s">
        <v>12661</v>
      </c>
      <c r="H4602" s="255">
        <v>1</v>
      </c>
      <c r="I4602" s="361">
        <v>1</v>
      </c>
      <c r="J4602" s="362" t="s">
        <v>286</v>
      </c>
      <c r="K4602" s="372"/>
      <c r="L4602" s="129"/>
      <c r="M4602" s="129"/>
      <c r="N4602" s="129"/>
      <c r="O4602" s="129"/>
      <c r="P4602" s="372"/>
      <c r="Q4602" s="372"/>
      <c r="R4602" s="129"/>
      <c r="S4602" s="129"/>
      <c r="T4602" s="129"/>
      <c r="W4602" s="129" t="s">
        <v>310</v>
      </c>
      <c r="X4602" s="337" t="b">
        <f t="shared" si="107"/>
        <v>0</v>
      </c>
    </row>
    <row r="4603" spans="1:24" s="337" customFormat="1" ht="12" customHeight="1" outlineLevel="1">
      <c r="A4603" s="335"/>
      <c r="B4603" s="118" t="s">
        <v>12</v>
      </c>
      <c r="C4603" s="334" t="s">
        <v>12770</v>
      </c>
      <c r="D4603" s="124" t="s">
        <v>12771</v>
      </c>
      <c r="E4603" s="125"/>
      <c r="F4603" s="118" t="s">
        <v>953</v>
      </c>
      <c r="G4603" s="126" t="s">
        <v>12661</v>
      </c>
      <c r="H4603" s="255">
        <v>1</v>
      </c>
      <c r="I4603" s="361">
        <v>1</v>
      </c>
      <c r="J4603" s="362" t="s">
        <v>286</v>
      </c>
      <c r="K4603" s="372"/>
      <c r="L4603" s="129"/>
      <c r="M4603" s="129"/>
      <c r="N4603" s="129"/>
      <c r="O4603" s="129"/>
      <c r="P4603" s="372"/>
      <c r="Q4603" s="372"/>
      <c r="R4603" s="129"/>
      <c r="S4603" s="129"/>
      <c r="T4603" s="129"/>
      <c r="W4603" s="129" t="s">
        <v>310</v>
      </c>
      <c r="X4603" s="337" t="b">
        <f t="shared" si="107"/>
        <v>0</v>
      </c>
    </row>
    <row r="4604" spans="1:24" s="337" customFormat="1" ht="12" customHeight="1" outlineLevel="1">
      <c r="A4604" s="335"/>
      <c r="B4604" s="118" t="s">
        <v>12</v>
      </c>
      <c r="C4604" s="334" t="s">
        <v>12772</v>
      </c>
      <c r="D4604" s="124" t="s">
        <v>12773</v>
      </c>
      <c r="E4604" s="125"/>
      <c r="F4604" s="118" t="s">
        <v>953</v>
      </c>
      <c r="G4604" s="126" t="s">
        <v>12661</v>
      </c>
      <c r="H4604" s="255">
        <v>1</v>
      </c>
      <c r="I4604" s="361">
        <v>1</v>
      </c>
      <c r="J4604" s="362" t="s">
        <v>310</v>
      </c>
      <c r="K4604" s="372"/>
      <c r="L4604" s="129"/>
      <c r="M4604" s="129"/>
      <c r="N4604" s="129"/>
      <c r="O4604" s="129"/>
      <c r="P4604" s="372"/>
      <c r="Q4604" s="372"/>
      <c r="R4604" s="129"/>
      <c r="S4604" s="129"/>
      <c r="T4604" s="129"/>
      <c r="W4604" s="129" t="s">
        <v>310</v>
      </c>
      <c r="X4604" s="337" t="b">
        <f t="shared" si="107"/>
        <v>1</v>
      </c>
    </row>
    <row r="4605" spans="1:24" s="337" customFormat="1" ht="12" customHeight="1" outlineLevel="1">
      <c r="A4605" s="335"/>
      <c r="B4605" s="118" t="s">
        <v>12</v>
      </c>
      <c r="C4605" s="334" t="s">
        <v>12774</v>
      </c>
      <c r="D4605" s="124" t="s">
        <v>12775</v>
      </c>
      <c r="E4605" s="125"/>
      <c r="F4605" s="118" t="s">
        <v>953</v>
      </c>
      <c r="G4605" s="126" t="s">
        <v>12661</v>
      </c>
      <c r="H4605" s="255">
        <v>1</v>
      </c>
      <c r="I4605" s="361">
        <v>1</v>
      </c>
      <c r="J4605" s="362" t="s">
        <v>310</v>
      </c>
      <c r="K4605" s="372"/>
      <c r="L4605" s="129"/>
      <c r="M4605" s="129"/>
      <c r="N4605" s="129"/>
      <c r="O4605" s="129"/>
      <c r="P4605" s="372"/>
      <c r="Q4605" s="372"/>
      <c r="R4605" s="129"/>
      <c r="S4605" s="129"/>
      <c r="T4605" s="129"/>
      <c r="W4605" s="129" t="s">
        <v>310</v>
      </c>
      <c r="X4605" s="337" t="b">
        <f t="shared" si="107"/>
        <v>1</v>
      </c>
    </row>
    <row r="4606" spans="1:24" s="337" customFormat="1" ht="12" customHeight="1" outlineLevel="1">
      <c r="A4606" s="335"/>
      <c r="B4606" s="118" t="s">
        <v>12</v>
      </c>
      <c r="C4606" s="334" t="s">
        <v>12776</v>
      </c>
      <c r="D4606" s="124" t="s">
        <v>12777</v>
      </c>
      <c r="E4606" s="125"/>
      <c r="F4606" s="118" t="s">
        <v>953</v>
      </c>
      <c r="G4606" s="126" t="s">
        <v>12661</v>
      </c>
      <c r="H4606" s="255">
        <v>1</v>
      </c>
      <c r="I4606" s="361">
        <v>1</v>
      </c>
      <c r="J4606" s="362" t="s">
        <v>310</v>
      </c>
      <c r="K4606" s="372"/>
      <c r="L4606" s="129"/>
      <c r="M4606" s="129"/>
      <c r="N4606" s="129"/>
      <c r="O4606" s="129"/>
      <c r="P4606" s="372"/>
      <c r="Q4606" s="372"/>
      <c r="R4606" s="129"/>
      <c r="S4606" s="129"/>
      <c r="T4606" s="129"/>
      <c r="W4606" s="129" t="s">
        <v>310</v>
      </c>
      <c r="X4606" s="337" t="b">
        <f t="shared" si="107"/>
        <v>1</v>
      </c>
    </row>
    <row r="4607" spans="1:24" s="337" customFormat="1" ht="12" customHeight="1" outlineLevel="1">
      <c r="A4607" s="335"/>
      <c r="B4607" s="118" t="s">
        <v>12</v>
      </c>
      <c r="C4607" s="334" t="s">
        <v>12778</v>
      </c>
      <c r="D4607" s="124" t="s">
        <v>12779</v>
      </c>
      <c r="E4607" s="125"/>
      <c r="F4607" s="118" t="s">
        <v>953</v>
      </c>
      <c r="G4607" s="126" t="s">
        <v>12661</v>
      </c>
      <c r="H4607" s="255">
        <v>1</v>
      </c>
      <c r="I4607" s="361">
        <v>1</v>
      </c>
      <c r="J4607" s="362" t="s">
        <v>310</v>
      </c>
      <c r="K4607" s="372"/>
      <c r="L4607" s="129"/>
      <c r="M4607" s="129"/>
      <c r="N4607" s="129"/>
      <c r="O4607" s="129"/>
      <c r="P4607" s="372"/>
      <c r="Q4607" s="372"/>
      <c r="R4607" s="129"/>
      <c r="S4607" s="129"/>
      <c r="T4607" s="129"/>
      <c r="W4607" s="129" t="s">
        <v>310</v>
      </c>
      <c r="X4607" s="337" t="b">
        <f t="shared" ref="X4607:X4670" si="108">W4607=J4607</f>
        <v>1</v>
      </c>
    </row>
    <row r="4608" spans="1:24" s="337" customFormat="1" ht="12" customHeight="1" outlineLevel="1">
      <c r="A4608" s="335"/>
      <c r="B4608" s="118" t="s">
        <v>12</v>
      </c>
      <c r="C4608" s="334" t="s">
        <v>12780</v>
      </c>
      <c r="D4608" s="124" t="s">
        <v>12781</v>
      </c>
      <c r="E4608" s="125"/>
      <c r="F4608" s="118" t="s">
        <v>953</v>
      </c>
      <c r="G4608" s="126" t="s">
        <v>12661</v>
      </c>
      <c r="H4608" s="255">
        <v>1</v>
      </c>
      <c r="I4608" s="361">
        <v>1</v>
      </c>
      <c r="J4608" s="362" t="s">
        <v>286</v>
      </c>
      <c r="K4608" s="372"/>
      <c r="L4608" s="129"/>
      <c r="M4608" s="129"/>
      <c r="N4608" s="129"/>
      <c r="O4608" s="129"/>
      <c r="P4608" s="372"/>
      <c r="Q4608" s="372"/>
      <c r="R4608" s="129"/>
      <c r="S4608" s="129"/>
      <c r="T4608" s="129"/>
      <c r="W4608" s="129" t="s">
        <v>286</v>
      </c>
      <c r="X4608" s="337" t="b">
        <f t="shared" si="108"/>
        <v>1</v>
      </c>
    </row>
    <row r="4609" spans="1:24" s="337" customFormat="1" ht="12" customHeight="1" outlineLevel="1">
      <c r="A4609" s="335"/>
      <c r="B4609" s="118" t="s">
        <v>12</v>
      </c>
      <c r="C4609" s="334" t="s">
        <v>12782</v>
      </c>
      <c r="D4609" s="124" t="s">
        <v>12783</v>
      </c>
      <c r="E4609" s="125"/>
      <c r="F4609" s="118" t="s">
        <v>953</v>
      </c>
      <c r="G4609" s="126" t="s">
        <v>12661</v>
      </c>
      <c r="H4609" s="255">
        <v>1</v>
      </c>
      <c r="I4609" s="361">
        <v>1</v>
      </c>
      <c r="J4609" s="362" t="s">
        <v>310</v>
      </c>
      <c r="K4609" s="372"/>
      <c r="L4609" s="129"/>
      <c r="M4609" s="129"/>
      <c r="N4609" s="129"/>
      <c r="O4609" s="129"/>
      <c r="P4609" s="372"/>
      <c r="Q4609" s="372"/>
      <c r="R4609" s="129"/>
      <c r="S4609" s="129"/>
      <c r="T4609" s="129"/>
      <c r="W4609" s="129" t="s">
        <v>310</v>
      </c>
      <c r="X4609" s="337" t="b">
        <f t="shared" si="108"/>
        <v>1</v>
      </c>
    </row>
    <row r="4610" spans="1:24" s="337" customFormat="1" ht="12" customHeight="1" outlineLevel="1">
      <c r="A4610" s="335"/>
      <c r="B4610" s="118" t="s">
        <v>12</v>
      </c>
      <c r="C4610" s="334" t="s">
        <v>12784</v>
      </c>
      <c r="D4610" s="124" t="s">
        <v>12785</v>
      </c>
      <c r="E4610" s="125"/>
      <c r="F4610" s="118" t="s">
        <v>953</v>
      </c>
      <c r="G4610" s="126" t="s">
        <v>12661</v>
      </c>
      <c r="H4610" s="255">
        <v>1</v>
      </c>
      <c r="I4610" s="361">
        <v>1</v>
      </c>
      <c r="J4610" s="362" t="s">
        <v>310</v>
      </c>
      <c r="K4610" s="372"/>
      <c r="L4610" s="129"/>
      <c r="M4610" s="129"/>
      <c r="N4610" s="129"/>
      <c r="O4610" s="129"/>
      <c r="P4610" s="372"/>
      <c r="Q4610" s="372"/>
      <c r="R4610" s="129"/>
      <c r="S4610" s="129"/>
      <c r="T4610" s="129"/>
      <c r="W4610" s="129" t="s">
        <v>310</v>
      </c>
      <c r="X4610" s="337" t="b">
        <f t="shared" si="108"/>
        <v>1</v>
      </c>
    </row>
    <row r="4611" spans="1:24" s="337" customFormat="1" ht="12" customHeight="1" outlineLevel="1">
      <c r="A4611" s="335"/>
      <c r="B4611" s="118" t="s">
        <v>12</v>
      </c>
      <c r="C4611" s="334" t="s">
        <v>12786</v>
      </c>
      <c r="D4611" s="124" t="s">
        <v>12787</v>
      </c>
      <c r="E4611" s="125"/>
      <c r="F4611" s="118" t="s">
        <v>953</v>
      </c>
      <c r="G4611" s="126" t="s">
        <v>12661</v>
      </c>
      <c r="H4611" s="255">
        <v>1</v>
      </c>
      <c r="I4611" s="361">
        <v>1</v>
      </c>
      <c r="J4611" s="362" t="s">
        <v>310</v>
      </c>
      <c r="K4611" s="372"/>
      <c r="L4611" s="129"/>
      <c r="M4611" s="129"/>
      <c r="N4611" s="129"/>
      <c r="O4611" s="129"/>
      <c r="P4611" s="372"/>
      <c r="Q4611" s="372"/>
      <c r="R4611" s="129"/>
      <c r="S4611" s="129"/>
      <c r="T4611" s="129"/>
      <c r="W4611" s="129" t="s">
        <v>310</v>
      </c>
      <c r="X4611" s="337" t="b">
        <f t="shared" si="108"/>
        <v>1</v>
      </c>
    </row>
    <row r="4612" spans="1:24" s="337" customFormat="1" ht="12" customHeight="1" outlineLevel="1">
      <c r="A4612" s="335"/>
      <c r="B4612" s="118" t="s">
        <v>12</v>
      </c>
      <c r="C4612" s="334" t="s">
        <v>12788</v>
      </c>
      <c r="D4612" s="124" t="s">
        <v>12789</v>
      </c>
      <c r="E4612" s="125"/>
      <c r="F4612" s="118" t="s">
        <v>953</v>
      </c>
      <c r="G4612" s="126" t="s">
        <v>12661</v>
      </c>
      <c r="H4612" s="255">
        <v>1</v>
      </c>
      <c r="I4612" s="361">
        <v>1</v>
      </c>
      <c r="J4612" s="362" t="s">
        <v>310</v>
      </c>
      <c r="K4612" s="372"/>
      <c r="L4612" s="129"/>
      <c r="M4612" s="129"/>
      <c r="N4612" s="129"/>
      <c r="O4612" s="129"/>
      <c r="P4612" s="372"/>
      <c r="Q4612" s="372"/>
      <c r="R4612" s="129"/>
      <c r="S4612" s="129"/>
      <c r="T4612" s="129"/>
      <c r="W4612" s="129" t="s">
        <v>310</v>
      </c>
      <c r="X4612" s="337" t="b">
        <f t="shared" si="108"/>
        <v>1</v>
      </c>
    </row>
    <row r="4613" spans="1:24" s="337" customFormat="1" ht="12" customHeight="1" outlineLevel="1">
      <c r="A4613" s="335"/>
      <c r="B4613" s="118" t="s">
        <v>12</v>
      </c>
      <c r="C4613" s="334" t="s">
        <v>12790</v>
      </c>
      <c r="D4613" s="124" t="s">
        <v>12791</v>
      </c>
      <c r="E4613" s="125"/>
      <c r="F4613" s="118" t="s">
        <v>953</v>
      </c>
      <c r="G4613" s="126" t="s">
        <v>12661</v>
      </c>
      <c r="H4613" s="255">
        <v>1</v>
      </c>
      <c r="I4613" s="361">
        <v>1</v>
      </c>
      <c r="J4613" s="362" t="s">
        <v>286</v>
      </c>
      <c r="K4613" s="372"/>
      <c r="L4613" s="129"/>
      <c r="M4613" s="129"/>
      <c r="N4613" s="129"/>
      <c r="O4613" s="129"/>
      <c r="P4613" s="372"/>
      <c r="Q4613" s="372"/>
      <c r="R4613" s="129"/>
      <c r="S4613" s="129"/>
      <c r="T4613" s="129"/>
      <c r="W4613" s="129" t="s">
        <v>310</v>
      </c>
      <c r="X4613" s="337" t="b">
        <f t="shared" si="108"/>
        <v>0</v>
      </c>
    </row>
    <row r="4614" spans="1:24" s="337" customFormat="1" ht="12" customHeight="1" outlineLevel="1">
      <c r="A4614" s="335"/>
      <c r="B4614" s="118" t="s">
        <v>12</v>
      </c>
      <c r="C4614" s="334" t="s">
        <v>12792</v>
      </c>
      <c r="D4614" s="124" t="s">
        <v>12793</v>
      </c>
      <c r="E4614" s="125"/>
      <c r="F4614" s="118" t="s">
        <v>953</v>
      </c>
      <c r="G4614" s="126" t="s">
        <v>12661</v>
      </c>
      <c r="H4614" s="255">
        <v>1</v>
      </c>
      <c r="I4614" s="361">
        <v>1</v>
      </c>
      <c r="J4614" s="362" t="s">
        <v>310</v>
      </c>
      <c r="K4614" s="372"/>
      <c r="L4614" s="129"/>
      <c r="M4614" s="129"/>
      <c r="N4614" s="129"/>
      <c r="O4614" s="129"/>
      <c r="P4614" s="372"/>
      <c r="Q4614" s="372"/>
      <c r="R4614" s="129"/>
      <c r="S4614" s="129"/>
      <c r="T4614" s="129"/>
      <c r="W4614" s="129" t="s">
        <v>310</v>
      </c>
      <c r="X4614" s="337" t="b">
        <f t="shared" si="108"/>
        <v>1</v>
      </c>
    </row>
    <row r="4615" spans="1:24" s="337" customFormat="1" ht="12" customHeight="1" outlineLevel="1">
      <c r="A4615" s="335"/>
      <c r="B4615" s="118" t="s">
        <v>12</v>
      </c>
      <c r="C4615" s="334" t="s">
        <v>12794</v>
      </c>
      <c r="D4615" s="124" t="s">
        <v>12795</v>
      </c>
      <c r="E4615" s="125"/>
      <c r="F4615" s="118" t="s">
        <v>953</v>
      </c>
      <c r="G4615" s="126" t="s">
        <v>12661</v>
      </c>
      <c r="H4615" s="255">
        <v>1</v>
      </c>
      <c r="I4615" s="361">
        <v>1</v>
      </c>
      <c r="J4615" s="362" t="s">
        <v>310</v>
      </c>
      <c r="K4615" s="372"/>
      <c r="L4615" s="129"/>
      <c r="M4615" s="129"/>
      <c r="N4615" s="129"/>
      <c r="O4615" s="129"/>
      <c r="P4615" s="372"/>
      <c r="Q4615" s="372"/>
      <c r="R4615" s="129"/>
      <c r="S4615" s="129"/>
      <c r="T4615" s="129"/>
      <c r="W4615" s="129" t="s">
        <v>310</v>
      </c>
      <c r="X4615" s="337" t="b">
        <f t="shared" si="108"/>
        <v>1</v>
      </c>
    </row>
    <row r="4616" spans="1:24" s="337" customFormat="1" ht="12" customHeight="1" outlineLevel="1">
      <c r="A4616" s="335"/>
      <c r="B4616" s="118" t="s">
        <v>12</v>
      </c>
      <c r="C4616" s="334" t="s">
        <v>12796</v>
      </c>
      <c r="D4616" s="124" t="s">
        <v>12797</v>
      </c>
      <c r="E4616" s="125"/>
      <c r="F4616" s="118" t="s">
        <v>953</v>
      </c>
      <c r="G4616" s="126" t="s">
        <v>12661</v>
      </c>
      <c r="H4616" s="255">
        <v>1</v>
      </c>
      <c r="I4616" s="361">
        <v>1</v>
      </c>
      <c r="J4616" s="362" t="s">
        <v>286</v>
      </c>
      <c r="K4616" s="372"/>
      <c r="L4616" s="129"/>
      <c r="M4616" s="129"/>
      <c r="N4616" s="129"/>
      <c r="O4616" s="129"/>
      <c r="P4616" s="372"/>
      <c r="Q4616" s="372"/>
      <c r="R4616" s="129"/>
      <c r="S4616" s="129"/>
      <c r="T4616" s="129"/>
      <c r="W4616" s="129" t="s">
        <v>310</v>
      </c>
      <c r="X4616" s="337" t="b">
        <f t="shared" si="108"/>
        <v>0</v>
      </c>
    </row>
    <row r="4617" spans="1:24" s="337" customFormat="1" ht="12" customHeight="1" outlineLevel="1">
      <c r="A4617" s="335"/>
      <c r="B4617" s="118" t="s">
        <v>12</v>
      </c>
      <c r="C4617" s="334" t="s">
        <v>12798</v>
      </c>
      <c r="D4617" s="124" t="s">
        <v>12799</v>
      </c>
      <c r="E4617" s="125"/>
      <c r="F4617" s="118" t="s">
        <v>953</v>
      </c>
      <c r="G4617" s="126" t="s">
        <v>12661</v>
      </c>
      <c r="H4617" s="255">
        <v>1</v>
      </c>
      <c r="I4617" s="361">
        <v>1</v>
      </c>
      <c r="J4617" s="362" t="s">
        <v>310</v>
      </c>
      <c r="K4617" s="372"/>
      <c r="L4617" s="129"/>
      <c r="M4617" s="129"/>
      <c r="N4617" s="129"/>
      <c r="O4617" s="129"/>
      <c r="P4617" s="372"/>
      <c r="Q4617" s="372"/>
      <c r="R4617" s="129"/>
      <c r="S4617" s="129"/>
      <c r="T4617" s="129"/>
      <c r="W4617" s="129" t="s">
        <v>310</v>
      </c>
      <c r="X4617" s="337" t="b">
        <f t="shared" si="108"/>
        <v>1</v>
      </c>
    </row>
    <row r="4618" spans="1:24" s="337" customFormat="1" ht="12" customHeight="1" outlineLevel="1">
      <c r="A4618" s="335"/>
      <c r="B4618" s="118" t="s">
        <v>12</v>
      </c>
      <c r="C4618" s="334" t="s">
        <v>12800</v>
      </c>
      <c r="D4618" s="124" t="s">
        <v>12801</v>
      </c>
      <c r="E4618" s="125"/>
      <c r="F4618" s="118" t="s">
        <v>953</v>
      </c>
      <c r="G4618" s="126" t="s">
        <v>12661</v>
      </c>
      <c r="H4618" s="255">
        <v>1</v>
      </c>
      <c r="I4618" s="361">
        <v>1</v>
      </c>
      <c r="J4618" s="362" t="s">
        <v>310</v>
      </c>
      <c r="K4618" s="372"/>
      <c r="L4618" s="129"/>
      <c r="M4618" s="129"/>
      <c r="N4618" s="129"/>
      <c r="O4618" s="129"/>
      <c r="P4618" s="372"/>
      <c r="Q4618" s="372"/>
      <c r="R4618" s="129"/>
      <c r="S4618" s="129"/>
      <c r="T4618" s="129"/>
      <c r="W4618" s="129" t="s">
        <v>310</v>
      </c>
      <c r="X4618" s="337" t="b">
        <f t="shared" si="108"/>
        <v>1</v>
      </c>
    </row>
    <row r="4619" spans="1:24" s="337" customFormat="1" ht="12" customHeight="1" outlineLevel="1">
      <c r="A4619" s="335"/>
      <c r="B4619" s="118" t="s">
        <v>12</v>
      </c>
      <c r="C4619" s="334" t="s">
        <v>12802</v>
      </c>
      <c r="D4619" s="124" t="s">
        <v>12803</v>
      </c>
      <c r="E4619" s="125"/>
      <c r="F4619" s="118" t="s">
        <v>953</v>
      </c>
      <c r="G4619" s="126" t="s">
        <v>12661</v>
      </c>
      <c r="H4619" s="255">
        <v>1</v>
      </c>
      <c r="I4619" s="361">
        <v>1</v>
      </c>
      <c r="J4619" s="362" t="s">
        <v>310</v>
      </c>
      <c r="K4619" s="372"/>
      <c r="L4619" s="129"/>
      <c r="M4619" s="129"/>
      <c r="N4619" s="129"/>
      <c r="O4619" s="129"/>
      <c r="P4619" s="372"/>
      <c r="Q4619" s="372"/>
      <c r="R4619" s="129"/>
      <c r="S4619" s="129"/>
      <c r="T4619" s="129"/>
      <c r="W4619" s="129" t="s">
        <v>310</v>
      </c>
      <c r="X4619" s="337" t="b">
        <f t="shared" si="108"/>
        <v>1</v>
      </c>
    </row>
    <row r="4620" spans="1:24" s="337" customFormat="1" ht="12" customHeight="1" outlineLevel="1">
      <c r="A4620" s="335"/>
      <c r="B4620" s="118" t="s">
        <v>12</v>
      </c>
      <c r="C4620" s="334" t="s">
        <v>12804</v>
      </c>
      <c r="D4620" s="124" t="s">
        <v>12805</v>
      </c>
      <c r="E4620" s="125"/>
      <c r="F4620" s="118" t="s">
        <v>953</v>
      </c>
      <c r="G4620" s="126" t="s">
        <v>12661</v>
      </c>
      <c r="H4620" s="255">
        <v>1</v>
      </c>
      <c r="I4620" s="361">
        <v>1</v>
      </c>
      <c r="J4620" s="362" t="s">
        <v>286</v>
      </c>
      <c r="K4620" s="372"/>
      <c r="L4620" s="129"/>
      <c r="M4620" s="129"/>
      <c r="N4620" s="129"/>
      <c r="O4620" s="129"/>
      <c r="P4620" s="372"/>
      <c r="Q4620" s="372"/>
      <c r="R4620" s="129"/>
      <c r="S4620" s="129"/>
      <c r="T4620" s="129"/>
      <c r="W4620" s="129" t="s">
        <v>310</v>
      </c>
      <c r="X4620" s="337" t="b">
        <f t="shared" si="108"/>
        <v>0</v>
      </c>
    </row>
    <row r="4621" spans="1:24" s="337" customFormat="1" ht="12" customHeight="1" outlineLevel="1">
      <c r="A4621" s="335"/>
      <c r="B4621" s="118" t="s">
        <v>12</v>
      </c>
      <c r="C4621" s="334" t="s">
        <v>12806</v>
      </c>
      <c r="D4621" s="124" t="s">
        <v>12807</v>
      </c>
      <c r="E4621" s="125"/>
      <c r="F4621" s="118" t="s">
        <v>953</v>
      </c>
      <c r="G4621" s="126" t="s">
        <v>12661</v>
      </c>
      <c r="H4621" s="255">
        <v>1</v>
      </c>
      <c r="I4621" s="361">
        <v>1</v>
      </c>
      <c r="J4621" s="362" t="s">
        <v>286</v>
      </c>
      <c r="K4621" s="372"/>
      <c r="L4621" s="129"/>
      <c r="M4621" s="129"/>
      <c r="N4621" s="129"/>
      <c r="O4621" s="129"/>
      <c r="P4621" s="372"/>
      <c r="Q4621" s="372"/>
      <c r="R4621" s="129"/>
      <c r="S4621" s="129"/>
      <c r="T4621" s="129"/>
      <c r="W4621" s="129" t="s">
        <v>310</v>
      </c>
      <c r="X4621" s="337" t="b">
        <f t="shared" si="108"/>
        <v>0</v>
      </c>
    </row>
    <row r="4622" spans="1:24" s="337" customFormat="1" ht="12" customHeight="1" outlineLevel="1">
      <c r="A4622" s="335"/>
      <c r="B4622" s="118" t="s">
        <v>12</v>
      </c>
      <c r="C4622" s="334" t="s">
        <v>12808</v>
      </c>
      <c r="D4622" s="124" t="s">
        <v>12809</v>
      </c>
      <c r="E4622" s="125"/>
      <c r="F4622" s="118" t="s">
        <v>953</v>
      </c>
      <c r="G4622" s="126" t="s">
        <v>12661</v>
      </c>
      <c r="H4622" s="255">
        <v>1</v>
      </c>
      <c r="I4622" s="361">
        <v>1</v>
      </c>
      <c r="J4622" s="362" t="s">
        <v>286</v>
      </c>
      <c r="K4622" s="372"/>
      <c r="L4622" s="129"/>
      <c r="M4622" s="129"/>
      <c r="N4622" s="129"/>
      <c r="O4622" s="129"/>
      <c r="P4622" s="372"/>
      <c r="Q4622" s="372"/>
      <c r="R4622" s="129"/>
      <c r="S4622" s="129"/>
      <c r="T4622" s="129"/>
      <c r="W4622" s="129" t="s">
        <v>310</v>
      </c>
      <c r="X4622" s="337" t="b">
        <f t="shared" si="108"/>
        <v>0</v>
      </c>
    </row>
    <row r="4623" spans="1:24" s="337" customFormat="1" ht="12" customHeight="1" outlineLevel="1">
      <c r="A4623" s="335"/>
      <c r="B4623" s="118" t="s">
        <v>12</v>
      </c>
      <c r="C4623" s="334" t="s">
        <v>12810</v>
      </c>
      <c r="D4623" s="124" t="s">
        <v>12811</v>
      </c>
      <c r="E4623" s="125"/>
      <c r="F4623" s="118" t="s">
        <v>953</v>
      </c>
      <c r="G4623" s="126" t="s">
        <v>12661</v>
      </c>
      <c r="H4623" s="255">
        <v>1</v>
      </c>
      <c r="I4623" s="361">
        <v>1</v>
      </c>
      <c r="J4623" s="362" t="s">
        <v>286</v>
      </c>
      <c r="K4623" s="372"/>
      <c r="L4623" s="129"/>
      <c r="M4623" s="129"/>
      <c r="N4623" s="129"/>
      <c r="O4623" s="129"/>
      <c r="P4623" s="372"/>
      <c r="Q4623" s="372"/>
      <c r="R4623" s="129"/>
      <c r="S4623" s="129"/>
      <c r="T4623" s="129"/>
      <c r="W4623" s="129" t="s">
        <v>310</v>
      </c>
      <c r="X4623" s="337" t="b">
        <f t="shared" si="108"/>
        <v>0</v>
      </c>
    </row>
    <row r="4624" spans="1:24" s="337" customFormat="1" ht="12" customHeight="1" outlineLevel="1">
      <c r="A4624" s="335"/>
      <c r="B4624" s="118" t="s">
        <v>12</v>
      </c>
      <c r="C4624" s="334" t="s">
        <v>12812</v>
      </c>
      <c r="D4624" s="124" t="s">
        <v>12813</v>
      </c>
      <c r="E4624" s="125"/>
      <c r="F4624" s="118" t="s">
        <v>953</v>
      </c>
      <c r="G4624" s="126" t="s">
        <v>12661</v>
      </c>
      <c r="H4624" s="255">
        <v>1</v>
      </c>
      <c r="I4624" s="361">
        <v>1</v>
      </c>
      <c r="J4624" s="362" t="s">
        <v>310</v>
      </c>
      <c r="K4624" s="372"/>
      <c r="L4624" s="129"/>
      <c r="M4624" s="129"/>
      <c r="N4624" s="129"/>
      <c r="O4624" s="129"/>
      <c r="P4624" s="372"/>
      <c r="Q4624" s="372"/>
      <c r="R4624" s="129"/>
      <c r="S4624" s="129"/>
      <c r="T4624" s="129"/>
      <c r="W4624" s="129" t="s">
        <v>310</v>
      </c>
      <c r="X4624" s="337" t="b">
        <f t="shared" si="108"/>
        <v>1</v>
      </c>
    </row>
    <row r="4625" spans="1:24" s="337" customFormat="1" ht="12" customHeight="1" outlineLevel="1">
      <c r="A4625" s="335"/>
      <c r="B4625" s="118" t="s">
        <v>12</v>
      </c>
      <c r="C4625" s="334" t="s">
        <v>12814</v>
      </c>
      <c r="D4625" s="124" t="s">
        <v>12815</v>
      </c>
      <c r="E4625" s="125"/>
      <c r="F4625" s="118" t="s">
        <v>953</v>
      </c>
      <c r="G4625" s="126" t="s">
        <v>12661</v>
      </c>
      <c r="H4625" s="255">
        <v>1</v>
      </c>
      <c r="I4625" s="361">
        <v>1</v>
      </c>
      <c r="J4625" s="362" t="s">
        <v>310</v>
      </c>
      <c r="K4625" s="372"/>
      <c r="L4625" s="129"/>
      <c r="M4625" s="129"/>
      <c r="N4625" s="129"/>
      <c r="O4625" s="129"/>
      <c r="P4625" s="372"/>
      <c r="Q4625" s="372"/>
      <c r="R4625" s="129"/>
      <c r="S4625" s="129"/>
      <c r="T4625" s="129"/>
      <c r="W4625" s="129" t="s">
        <v>310</v>
      </c>
      <c r="X4625" s="337" t="b">
        <f t="shared" si="108"/>
        <v>1</v>
      </c>
    </row>
    <row r="4626" spans="1:24" s="337" customFormat="1" ht="12" customHeight="1" outlineLevel="1">
      <c r="A4626" s="335"/>
      <c r="B4626" s="118" t="s">
        <v>12</v>
      </c>
      <c r="C4626" s="334" t="s">
        <v>12816</v>
      </c>
      <c r="D4626" s="124" t="s">
        <v>12817</v>
      </c>
      <c r="E4626" s="125"/>
      <c r="F4626" s="118" t="s">
        <v>953</v>
      </c>
      <c r="G4626" s="126" t="s">
        <v>12661</v>
      </c>
      <c r="H4626" s="255">
        <v>1</v>
      </c>
      <c r="I4626" s="361">
        <v>1</v>
      </c>
      <c r="J4626" s="362" t="s">
        <v>286</v>
      </c>
      <c r="K4626" s="372"/>
      <c r="L4626" s="129"/>
      <c r="M4626" s="129"/>
      <c r="N4626" s="129"/>
      <c r="O4626" s="129"/>
      <c r="P4626" s="372"/>
      <c r="Q4626" s="372"/>
      <c r="R4626" s="129"/>
      <c r="S4626" s="129"/>
      <c r="T4626" s="129"/>
      <c r="W4626" s="129" t="s">
        <v>310</v>
      </c>
      <c r="X4626" s="337" t="b">
        <f t="shared" si="108"/>
        <v>0</v>
      </c>
    </row>
    <row r="4627" spans="1:24" s="337" customFormat="1" ht="12" customHeight="1" outlineLevel="1">
      <c r="A4627" s="335"/>
      <c r="B4627" s="118" t="s">
        <v>12</v>
      </c>
      <c r="C4627" s="334" t="s">
        <v>12818</v>
      </c>
      <c r="D4627" s="124" t="s">
        <v>12819</v>
      </c>
      <c r="E4627" s="125"/>
      <c r="F4627" s="118" t="s">
        <v>953</v>
      </c>
      <c r="G4627" s="126" t="s">
        <v>12661</v>
      </c>
      <c r="H4627" s="255">
        <v>1</v>
      </c>
      <c r="I4627" s="361">
        <v>1</v>
      </c>
      <c r="J4627" s="362" t="s">
        <v>310</v>
      </c>
      <c r="K4627" s="372"/>
      <c r="L4627" s="129"/>
      <c r="M4627" s="129"/>
      <c r="N4627" s="129"/>
      <c r="O4627" s="129"/>
      <c r="P4627" s="372"/>
      <c r="Q4627" s="372"/>
      <c r="R4627" s="129"/>
      <c r="S4627" s="129"/>
      <c r="T4627" s="129"/>
      <c r="W4627" s="129" t="s">
        <v>310</v>
      </c>
      <c r="X4627" s="337" t="b">
        <f t="shared" si="108"/>
        <v>1</v>
      </c>
    </row>
    <row r="4628" spans="1:24" s="337" customFormat="1" ht="12" customHeight="1" outlineLevel="1">
      <c r="A4628" s="335"/>
      <c r="B4628" s="118" t="s">
        <v>12</v>
      </c>
      <c r="C4628" s="334" t="s">
        <v>12820</v>
      </c>
      <c r="D4628" s="124" t="s">
        <v>12821</v>
      </c>
      <c r="E4628" s="125"/>
      <c r="F4628" s="118" t="s">
        <v>953</v>
      </c>
      <c r="G4628" s="126" t="s">
        <v>12661</v>
      </c>
      <c r="H4628" s="255">
        <v>1</v>
      </c>
      <c r="I4628" s="361">
        <v>1</v>
      </c>
      <c r="J4628" s="362" t="s">
        <v>310</v>
      </c>
      <c r="K4628" s="372"/>
      <c r="L4628" s="129"/>
      <c r="M4628" s="129"/>
      <c r="N4628" s="129"/>
      <c r="O4628" s="129"/>
      <c r="P4628" s="372"/>
      <c r="Q4628" s="372"/>
      <c r="R4628" s="129"/>
      <c r="S4628" s="129"/>
      <c r="T4628" s="129"/>
      <c r="W4628" s="129" t="s">
        <v>310</v>
      </c>
      <c r="X4628" s="337" t="b">
        <f t="shared" si="108"/>
        <v>1</v>
      </c>
    </row>
    <row r="4629" spans="1:24" s="337" customFormat="1" ht="12" customHeight="1" outlineLevel="1">
      <c r="A4629" s="335"/>
      <c r="B4629" s="118" t="s">
        <v>12</v>
      </c>
      <c r="C4629" s="334" t="s">
        <v>12822</v>
      </c>
      <c r="D4629" s="124" t="s">
        <v>12823</v>
      </c>
      <c r="E4629" s="125"/>
      <c r="F4629" s="118" t="s">
        <v>953</v>
      </c>
      <c r="G4629" s="126" t="s">
        <v>12661</v>
      </c>
      <c r="H4629" s="255">
        <v>1</v>
      </c>
      <c r="I4629" s="361">
        <v>1</v>
      </c>
      <c r="J4629" s="362" t="s">
        <v>286</v>
      </c>
      <c r="K4629" s="372"/>
      <c r="L4629" s="129"/>
      <c r="M4629" s="129"/>
      <c r="N4629" s="129"/>
      <c r="O4629" s="129"/>
      <c r="P4629" s="372"/>
      <c r="Q4629" s="372"/>
      <c r="R4629" s="129"/>
      <c r="S4629" s="129"/>
      <c r="T4629" s="129"/>
      <c r="W4629" s="129" t="s">
        <v>310</v>
      </c>
      <c r="X4629" s="337" t="b">
        <f t="shared" si="108"/>
        <v>0</v>
      </c>
    </row>
    <row r="4630" spans="1:24" s="337" customFormat="1" ht="12" customHeight="1" outlineLevel="1">
      <c r="A4630" s="335"/>
      <c r="B4630" s="118" t="s">
        <v>12</v>
      </c>
      <c r="C4630" s="334" t="s">
        <v>12824</v>
      </c>
      <c r="D4630" s="124" t="s">
        <v>12825</v>
      </c>
      <c r="E4630" s="125"/>
      <c r="F4630" s="118" t="s">
        <v>953</v>
      </c>
      <c r="G4630" s="126" t="s">
        <v>12661</v>
      </c>
      <c r="H4630" s="255">
        <v>1</v>
      </c>
      <c r="I4630" s="361">
        <v>1</v>
      </c>
      <c r="J4630" s="362" t="s">
        <v>286</v>
      </c>
      <c r="K4630" s="372"/>
      <c r="L4630" s="129"/>
      <c r="M4630" s="129"/>
      <c r="N4630" s="129"/>
      <c r="O4630" s="129"/>
      <c r="P4630" s="372"/>
      <c r="Q4630" s="372"/>
      <c r="R4630" s="129"/>
      <c r="S4630" s="129"/>
      <c r="T4630" s="129"/>
      <c r="W4630" s="129" t="s">
        <v>4876</v>
      </c>
      <c r="X4630" s="337" t="b">
        <f t="shared" si="108"/>
        <v>0</v>
      </c>
    </row>
    <row r="4631" spans="1:24" s="337" customFormat="1" ht="12" customHeight="1" outlineLevel="1">
      <c r="A4631" s="335"/>
      <c r="B4631" s="118" t="s">
        <v>12</v>
      </c>
      <c r="C4631" s="334" t="s">
        <v>12826</v>
      </c>
      <c r="D4631" s="124" t="s">
        <v>12827</v>
      </c>
      <c r="E4631" s="125"/>
      <c r="F4631" s="118" t="s">
        <v>953</v>
      </c>
      <c r="G4631" s="126" t="s">
        <v>12661</v>
      </c>
      <c r="H4631" s="255">
        <v>1</v>
      </c>
      <c r="I4631" s="361">
        <v>1</v>
      </c>
      <c r="J4631" s="362" t="s">
        <v>286</v>
      </c>
      <c r="K4631" s="372"/>
      <c r="L4631" s="129"/>
      <c r="M4631" s="129"/>
      <c r="N4631" s="129"/>
      <c r="O4631" s="129"/>
      <c r="P4631" s="372"/>
      <c r="Q4631" s="372"/>
      <c r="R4631" s="129"/>
      <c r="S4631" s="129"/>
      <c r="T4631" s="129"/>
      <c r="W4631" s="129" t="s">
        <v>4876</v>
      </c>
      <c r="X4631" s="337" t="b">
        <f t="shared" si="108"/>
        <v>0</v>
      </c>
    </row>
    <row r="4632" spans="1:24" s="337" customFormat="1" ht="12" customHeight="1" outlineLevel="1">
      <c r="A4632" s="335"/>
      <c r="B4632" s="118" t="s">
        <v>12</v>
      </c>
      <c r="C4632" s="334" t="s">
        <v>12828</v>
      </c>
      <c r="D4632" s="124" t="s">
        <v>12829</v>
      </c>
      <c r="E4632" s="125"/>
      <c r="F4632" s="118" t="s">
        <v>953</v>
      </c>
      <c r="G4632" s="126" t="s">
        <v>12661</v>
      </c>
      <c r="H4632" s="255">
        <v>1</v>
      </c>
      <c r="I4632" s="361">
        <v>1</v>
      </c>
      <c r="J4632" s="362" t="s">
        <v>286</v>
      </c>
      <c r="K4632" s="372"/>
      <c r="L4632" s="129"/>
      <c r="M4632" s="129"/>
      <c r="N4632" s="129"/>
      <c r="O4632" s="129"/>
      <c r="P4632" s="372"/>
      <c r="Q4632" s="372"/>
      <c r="R4632" s="129"/>
      <c r="S4632" s="129"/>
      <c r="T4632" s="129"/>
      <c r="W4632" s="129" t="s">
        <v>286</v>
      </c>
      <c r="X4632" s="337" t="b">
        <f t="shared" si="108"/>
        <v>1</v>
      </c>
    </row>
    <row r="4633" spans="1:24" s="337" customFormat="1" ht="12" customHeight="1" outlineLevel="1">
      <c r="A4633" s="335"/>
      <c r="B4633" s="118" t="s">
        <v>12</v>
      </c>
      <c r="C4633" s="334" t="s">
        <v>12830</v>
      </c>
      <c r="D4633" s="124" t="s">
        <v>12831</v>
      </c>
      <c r="E4633" s="125"/>
      <c r="F4633" s="118" t="s">
        <v>953</v>
      </c>
      <c r="G4633" s="126" t="s">
        <v>12661</v>
      </c>
      <c r="H4633" s="255">
        <v>1</v>
      </c>
      <c r="I4633" s="361">
        <v>1</v>
      </c>
      <c r="J4633" s="362" t="s">
        <v>286</v>
      </c>
      <c r="K4633" s="372"/>
      <c r="L4633" s="129"/>
      <c r="M4633" s="129"/>
      <c r="N4633" s="129"/>
      <c r="O4633" s="129"/>
      <c r="P4633" s="372"/>
      <c r="Q4633" s="372"/>
      <c r="R4633" s="129"/>
      <c r="S4633" s="129"/>
      <c r="T4633" s="129"/>
      <c r="W4633" s="129" t="s">
        <v>286</v>
      </c>
      <c r="X4633" s="337" t="b">
        <f t="shared" si="108"/>
        <v>1</v>
      </c>
    </row>
    <row r="4634" spans="1:24" s="337" customFormat="1" ht="12" customHeight="1" outlineLevel="1">
      <c r="A4634" s="335"/>
      <c r="B4634" s="118" t="s">
        <v>12</v>
      </c>
      <c r="C4634" s="334" t="s">
        <v>12832</v>
      </c>
      <c r="D4634" s="124" t="s">
        <v>12833</v>
      </c>
      <c r="E4634" s="125"/>
      <c r="F4634" s="118" t="s">
        <v>953</v>
      </c>
      <c r="G4634" s="126" t="s">
        <v>12661</v>
      </c>
      <c r="H4634" s="255">
        <v>1</v>
      </c>
      <c r="I4634" s="361">
        <v>1</v>
      </c>
      <c r="J4634" s="362" t="s">
        <v>286</v>
      </c>
      <c r="K4634" s="372"/>
      <c r="L4634" s="129"/>
      <c r="M4634" s="129"/>
      <c r="N4634" s="129"/>
      <c r="O4634" s="129"/>
      <c r="P4634" s="372"/>
      <c r="Q4634" s="372"/>
      <c r="R4634" s="129"/>
      <c r="S4634" s="129"/>
      <c r="T4634" s="129"/>
      <c r="W4634" s="129" t="s">
        <v>286</v>
      </c>
      <c r="X4634" s="337" t="b">
        <f t="shared" si="108"/>
        <v>1</v>
      </c>
    </row>
    <row r="4635" spans="1:24" s="337" customFormat="1" ht="12" customHeight="1" outlineLevel="1">
      <c r="A4635" s="335"/>
      <c r="B4635" s="118" t="s">
        <v>12</v>
      </c>
      <c r="C4635" s="334" t="s">
        <v>12834</v>
      </c>
      <c r="D4635" s="124" t="s">
        <v>12835</v>
      </c>
      <c r="E4635" s="125"/>
      <c r="F4635" s="118" t="s">
        <v>953</v>
      </c>
      <c r="G4635" s="126" t="s">
        <v>12661</v>
      </c>
      <c r="H4635" s="255">
        <v>1</v>
      </c>
      <c r="I4635" s="361">
        <v>1</v>
      </c>
      <c r="J4635" s="362" t="s">
        <v>286</v>
      </c>
      <c r="K4635" s="372"/>
      <c r="L4635" s="129"/>
      <c r="M4635" s="129"/>
      <c r="N4635" s="129"/>
      <c r="O4635" s="129"/>
      <c r="P4635" s="372"/>
      <c r="Q4635" s="372"/>
      <c r="R4635" s="129"/>
      <c r="S4635" s="129"/>
      <c r="T4635" s="129"/>
      <c r="W4635" s="129" t="s">
        <v>286</v>
      </c>
      <c r="X4635" s="337" t="b">
        <f t="shared" si="108"/>
        <v>1</v>
      </c>
    </row>
    <row r="4636" spans="1:24" s="337" customFormat="1" ht="12" customHeight="1" outlineLevel="1">
      <c r="A4636" s="335"/>
      <c r="B4636" s="118" t="s">
        <v>12</v>
      </c>
      <c r="C4636" s="334" t="s">
        <v>12836</v>
      </c>
      <c r="D4636" s="124" t="s">
        <v>12837</v>
      </c>
      <c r="E4636" s="125"/>
      <c r="F4636" s="118" t="s">
        <v>953</v>
      </c>
      <c r="G4636" s="126" t="s">
        <v>12661</v>
      </c>
      <c r="H4636" s="255">
        <v>1</v>
      </c>
      <c r="I4636" s="361">
        <v>1</v>
      </c>
      <c r="J4636" s="362" t="s">
        <v>286</v>
      </c>
      <c r="K4636" s="372"/>
      <c r="L4636" s="129"/>
      <c r="M4636" s="129"/>
      <c r="N4636" s="129"/>
      <c r="O4636" s="129"/>
      <c r="P4636" s="372"/>
      <c r="Q4636" s="372"/>
      <c r="R4636" s="129"/>
      <c r="S4636" s="129"/>
      <c r="T4636" s="129"/>
      <c r="W4636" s="129" t="s">
        <v>310</v>
      </c>
      <c r="X4636" s="337" t="b">
        <f t="shared" si="108"/>
        <v>0</v>
      </c>
    </row>
    <row r="4637" spans="1:24" s="337" customFormat="1" ht="12" customHeight="1" outlineLevel="1">
      <c r="A4637" s="335"/>
      <c r="B4637" s="118" t="s">
        <v>12</v>
      </c>
      <c r="C4637" s="334" t="s">
        <v>12838</v>
      </c>
      <c r="D4637" s="124" t="s">
        <v>12839</v>
      </c>
      <c r="E4637" s="125"/>
      <c r="F4637" s="118" t="s">
        <v>953</v>
      </c>
      <c r="G4637" s="126" t="s">
        <v>12661</v>
      </c>
      <c r="H4637" s="255">
        <v>1</v>
      </c>
      <c r="I4637" s="361">
        <v>1</v>
      </c>
      <c r="J4637" s="362" t="s">
        <v>286</v>
      </c>
      <c r="K4637" s="372"/>
      <c r="L4637" s="129"/>
      <c r="M4637" s="129"/>
      <c r="N4637" s="129"/>
      <c r="O4637" s="129"/>
      <c r="P4637" s="372"/>
      <c r="Q4637" s="372"/>
      <c r="R4637" s="129"/>
      <c r="S4637" s="129"/>
      <c r="T4637" s="129"/>
      <c r="W4637" s="129" t="s">
        <v>307</v>
      </c>
      <c r="X4637" s="337" t="b">
        <f t="shared" si="108"/>
        <v>0</v>
      </c>
    </row>
    <row r="4638" spans="1:24" s="337" customFormat="1" ht="12" customHeight="1" outlineLevel="1">
      <c r="A4638" s="335"/>
      <c r="B4638" s="118" t="s">
        <v>12</v>
      </c>
      <c r="C4638" s="334" t="s">
        <v>12840</v>
      </c>
      <c r="D4638" s="124" t="s">
        <v>12841</v>
      </c>
      <c r="E4638" s="125"/>
      <c r="F4638" s="118" t="s">
        <v>953</v>
      </c>
      <c r="G4638" s="126" t="s">
        <v>12661</v>
      </c>
      <c r="H4638" s="255">
        <v>1</v>
      </c>
      <c r="I4638" s="361">
        <v>1</v>
      </c>
      <c r="J4638" s="362" t="s">
        <v>286</v>
      </c>
      <c r="K4638" s="372"/>
      <c r="L4638" s="129"/>
      <c r="M4638" s="129"/>
      <c r="N4638" s="129"/>
      <c r="O4638" s="129"/>
      <c r="P4638" s="372"/>
      <c r="Q4638" s="372"/>
      <c r="R4638" s="129"/>
      <c r="S4638" s="129"/>
      <c r="T4638" s="129"/>
      <c r="W4638" s="129" t="s">
        <v>310</v>
      </c>
      <c r="X4638" s="337" t="b">
        <f t="shared" si="108"/>
        <v>0</v>
      </c>
    </row>
    <row r="4639" spans="1:24" s="337" customFormat="1" ht="12" customHeight="1" outlineLevel="1">
      <c r="A4639" s="335"/>
      <c r="B4639" s="118" t="s">
        <v>12</v>
      </c>
      <c r="C4639" s="334" t="s">
        <v>12842</v>
      </c>
      <c r="D4639" s="124" t="s">
        <v>12843</v>
      </c>
      <c r="E4639" s="125"/>
      <c r="F4639" s="118" t="s">
        <v>953</v>
      </c>
      <c r="G4639" s="126" t="s">
        <v>12661</v>
      </c>
      <c r="H4639" s="255">
        <v>1</v>
      </c>
      <c r="I4639" s="361">
        <v>1</v>
      </c>
      <c r="J4639" s="362" t="s">
        <v>286</v>
      </c>
      <c r="K4639" s="372"/>
      <c r="L4639" s="129"/>
      <c r="M4639" s="129"/>
      <c r="N4639" s="129"/>
      <c r="O4639" s="129"/>
      <c r="P4639" s="372"/>
      <c r="Q4639" s="372"/>
      <c r="R4639" s="129"/>
      <c r="S4639" s="129"/>
      <c r="T4639" s="129"/>
      <c r="W4639" s="129" t="s">
        <v>310</v>
      </c>
      <c r="X4639" s="337" t="b">
        <f t="shared" si="108"/>
        <v>0</v>
      </c>
    </row>
    <row r="4640" spans="1:24" s="337" customFormat="1" ht="12" customHeight="1" outlineLevel="1">
      <c r="A4640" s="335"/>
      <c r="B4640" s="118" t="s">
        <v>12</v>
      </c>
      <c r="C4640" s="334" t="s">
        <v>12844</v>
      </c>
      <c r="D4640" s="124" t="s">
        <v>12845</v>
      </c>
      <c r="E4640" s="125"/>
      <c r="F4640" s="118" t="s">
        <v>953</v>
      </c>
      <c r="G4640" s="126" t="s">
        <v>12661</v>
      </c>
      <c r="H4640" s="255">
        <v>1</v>
      </c>
      <c r="I4640" s="361">
        <v>1</v>
      </c>
      <c r="J4640" s="362" t="s">
        <v>286</v>
      </c>
      <c r="K4640" s="372"/>
      <c r="L4640" s="129"/>
      <c r="M4640" s="129"/>
      <c r="N4640" s="129"/>
      <c r="O4640" s="129"/>
      <c r="P4640" s="372"/>
      <c r="Q4640" s="372"/>
      <c r="R4640" s="129"/>
      <c r="S4640" s="129"/>
      <c r="T4640" s="129"/>
      <c r="W4640" s="129" t="s">
        <v>310</v>
      </c>
      <c r="X4640" s="337" t="b">
        <f t="shared" si="108"/>
        <v>0</v>
      </c>
    </row>
    <row r="4641" spans="1:24" s="337" customFormat="1" ht="12" customHeight="1" outlineLevel="1">
      <c r="A4641" s="335"/>
      <c r="B4641" s="118" t="s">
        <v>12</v>
      </c>
      <c r="C4641" s="334" t="s">
        <v>12846</v>
      </c>
      <c r="D4641" s="124" t="s">
        <v>12847</v>
      </c>
      <c r="E4641" s="125"/>
      <c r="F4641" s="118" t="s">
        <v>953</v>
      </c>
      <c r="G4641" s="126" t="s">
        <v>12661</v>
      </c>
      <c r="H4641" s="255">
        <v>1</v>
      </c>
      <c r="I4641" s="361">
        <v>1</v>
      </c>
      <c r="J4641" s="362" t="s">
        <v>286</v>
      </c>
      <c r="K4641" s="372"/>
      <c r="L4641" s="129"/>
      <c r="M4641" s="129"/>
      <c r="N4641" s="129"/>
      <c r="O4641" s="129"/>
      <c r="P4641" s="372"/>
      <c r="Q4641" s="372"/>
      <c r="R4641" s="129"/>
      <c r="S4641" s="129"/>
      <c r="T4641" s="129"/>
      <c r="W4641" s="129" t="s">
        <v>307</v>
      </c>
      <c r="X4641" s="337" t="b">
        <f t="shared" si="108"/>
        <v>0</v>
      </c>
    </row>
    <row r="4642" spans="1:24" s="337" customFormat="1" ht="12" customHeight="1" outlineLevel="1">
      <c r="A4642" s="335"/>
      <c r="B4642" s="118" t="s">
        <v>12</v>
      </c>
      <c r="C4642" s="334" t="s">
        <v>12848</v>
      </c>
      <c r="D4642" s="124" t="s">
        <v>12849</v>
      </c>
      <c r="E4642" s="125"/>
      <c r="F4642" s="118" t="s">
        <v>953</v>
      </c>
      <c r="G4642" s="126" t="s">
        <v>12661</v>
      </c>
      <c r="H4642" s="255">
        <v>1</v>
      </c>
      <c r="I4642" s="361">
        <v>1</v>
      </c>
      <c r="J4642" s="362" t="s">
        <v>286</v>
      </c>
      <c r="K4642" s="372"/>
      <c r="L4642" s="129"/>
      <c r="M4642" s="129"/>
      <c r="N4642" s="129"/>
      <c r="O4642" s="129"/>
      <c r="P4642" s="372"/>
      <c r="Q4642" s="372"/>
      <c r="R4642" s="129"/>
      <c r="S4642" s="129"/>
      <c r="T4642" s="129"/>
      <c r="W4642" s="129" t="s">
        <v>310</v>
      </c>
      <c r="X4642" s="337" t="b">
        <f t="shared" si="108"/>
        <v>0</v>
      </c>
    </row>
    <row r="4643" spans="1:24" s="337" customFormat="1" ht="12" customHeight="1" outlineLevel="1">
      <c r="A4643" s="335"/>
      <c r="B4643" s="118" t="s">
        <v>12</v>
      </c>
      <c r="C4643" s="334" t="s">
        <v>12850</v>
      </c>
      <c r="D4643" s="124" t="s">
        <v>12851</v>
      </c>
      <c r="E4643" s="125"/>
      <c r="F4643" s="118" t="s">
        <v>953</v>
      </c>
      <c r="G4643" s="126" t="s">
        <v>12661</v>
      </c>
      <c r="H4643" s="255">
        <v>1</v>
      </c>
      <c r="I4643" s="361">
        <v>1</v>
      </c>
      <c r="J4643" s="362" t="s">
        <v>286</v>
      </c>
      <c r="K4643" s="372"/>
      <c r="L4643" s="129"/>
      <c r="M4643" s="129"/>
      <c r="N4643" s="129"/>
      <c r="O4643" s="129"/>
      <c r="P4643" s="372"/>
      <c r="Q4643" s="372"/>
      <c r="R4643" s="129"/>
      <c r="S4643" s="129"/>
      <c r="T4643" s="129"/>
      <c r="W4643" s="129" t="s">
        <v>307</v>
      </c>
      <c r="X4643" s="337" t="b">
        <f t="shared" si="108"/>
        <v>0</v>
      </c>
    </row>
    <row r="4644" spans="1:24" s="337" customFormat="1" ht="12" customHeight="1" outlineLevel="1">
      <c r="A4644" s="335"/>
      <c r="B4644" s="118" t="s">
        <v>12</v>
      </c>
      <c r="C4644" s="334" t="s">
        <v>12852</v>
      </c>
      <c r="D4644" s="124" t="s">
        <v>12853</v>
      </c>
      <c r="E4644" s="125"/>
      <c r="F4644" s="118" t="s">
        <v>953</v>
      </c>
      <c r="G4644" s="126" t="s">
        <v>12661</v>
      </c>
      <c r="H4644" s="255">
        <v>1</v>
      </c>
      <c r="I4644" s="361">
        <v>1</v>
      </c>
      <c r="J4644" s="362" t="s">
        <v>286</v>
      </c>
      <c r="K4644" s="372"/>
      <c r="L4644" s="129"/>
      <c r="M4644" s="129"/>
      <c r="N4644" s="129"/>
      <c r="O4644" s="129"/>
      <c r="P4644" s="372"/>
      <c r="Q4644" s="372"/>
      <c r="R4644" s="129"/>
      <c r="S4644" s="129"/>
      <c r="T4644" s="129"/>
      <c r="W4644" s="129" t="s">
        <v>310</v>
      </c>
      <c r="X4644" s="337" t="b">
        <f t="shared" si="108"/>
        <v>0</v>
      </c>
    </row>
    <row r="4645" spans="1:24" s="337" customFormat="1" ht="12" customHeight="1" outlineLevel="1">
      <c r="A4645" s="335"/>
      <c r="B4645" s="118" t="s">
        <v>12</v>
      </c>
      <c r="C4645" s="334" t="s">
        <v>12854</v>
      </c>
      <c r="D4645" s="124" t="s">
        <v>12855</v>
      </c>
      <c r="E4645" s="125"/>
      <c r="F4645" s="118" t="s">
        <v>953</v>
      </c>
      <c r="G4645" s="126" t="s">
        <v>12661</v>
      </c>
      <c r="H4645" s="255">
        <v>1</v>
      </c>
      <c r="I4645" s="361">
        <v>1</v>
      </c>
      <c r="J4645" s="362" t="s">
        <v>286</v>
      </c>
      <c r="K4645" s="372"/>
      <c r="L4645" s="129"/>
      <c r="M4645" s="129"/>
      <c r="N4645" s="129"/>
      <c r="O4645" s="129"/>
      <c r="P4645" s="372"/>
      <c r="Q4645" s="372"/>
      <c r="R4645" s="129"/>
      <c r="S4645" s="129"/>
      <c r="T4645" s="129"/>
      <c r="W4645" s="129" t="s">
        <v>310</v>
      </c>
      <c r="X4645" s="337" t="b">
        <f t="shared" si="108"/>
        <v>0</v>
      </c>
    </row>
    <row r="4646" spans="1:24" s="337" customFormat="1" ht="12" customHeight="1" outlineLevel="1">
      <c r="A4646" s="335"/>
      <c r="B4646" s="118" t="s">
        <v>12</v>
      </c>
      <c r="C4646" s="334" t="s">
        <v>12856</v>
      </c>
      <c r="D4646" s="124" t="s">
        <v>12857</v>
      </c>
      <c r="E4646" s="125"/>
      <c r="F4646" s="118" t="s">
        <v>953</v>
      </c>
      <c r="G4646" s="126" t="s">
        <v>12661</v>
      </c>
      <c r="H4646" s="255">
        <v>1</v>
      </c>
      <c r="I4646" s="361">
        <v>1</v>
      </c>
      <c r="J4646" s="362" t="s">
        <v>286</v>
      </c>
      <c r="K4646" s="372"/>
      <c r="L4646" s="129"/>
      <c r="M4646" s="129"/>
      <c r="N4646" s="129"/>
      <c r="O4646" s="129"/>
      <c r="P4646" s="372"/>
      <c r="Q4646" s="372"/>
      <c r="R4646" s="129"/>
      <c r="S4646" s="129"/>
      <c r="T4646" s="129"/>
      <c r="W4646" s="129" t="s">
        <v>307</v>
      </c>
      <c r="X4646" s="337" t="b">
        <f t="shared" si="108"/>
        <v>0</v>
      </c>
    </row>
    <row r="4647" spans="1:24" s="337" customFormat="1" ht="12" customHeight="1" outlineLevel="1">
      <c r="A4647" s="335"/>
      <c r="B4647" s="118" t="s">
        <v>12</v>
      </c>
      <c r="C4647" s="334" t="s">
        <v>12858</v>
      </c>
      <c r="D4647" s="124" t="s">
        <v>12859</v>
      </c>
      <c r="E4647" s="125"/>
      <c r="F4647" s="118" t="s">
        <v>953</v>
      </c>
      <c r="G4647" s="126" t="s">
        <v>12661</v>
      </c>
      <c r="H4647" s="255">
        <v>1</v>
      </c>
      <c r="I4647" s="361">
        <v>1</v>
      </c>
      <c r="J4647" s="362" t="s">
        <v>286</v>
      </c>
      <c r="K4647" s="372"/>
      <c r="L4647" s="129"/>
      <c r="M4647" s="129"/>
      <c r="N4647" s="129"/>
      <c r="O4647" s="129"/>
      <c r="P4647" s="372"/>
      <c r="Q4647" s="372"/>
      <c r="R4647" s="129"/>
      <c r="S4647" s="129"/>
      <c r="T4647" s="129"/>
      <c r="W4647" s="129" t="s">
        <v>286</v>
      </c>
      <c r="X4647" s="337" t="b">
        <f t="shared" si="108"/>
        <v>1</v>
      </c>
    </row>
    <row r="4648" spans="1:24" s="337" customFormat="1" ht="12" customHeight="1" outlineLevel="1">
      <c r="A4648" s="335"/>
      <c r="B4648" s="118" t="s">
        <v>12</v>
      </c>
      <c r="C4648" s="334" t="s">
        <v>12860</v>
      </c>
      <c r="D4648" s="124" t="s">
        <v>12861</v>
      </c>
      <c r="E4648" s="125"/>
      <c r="F4648" s="118" t="s">
        <v>953</v>
      </c>
      <c r="G4648" s="126" t="s">
        <v>12661</v>
      </c>
      <c r="H4648" s="255">
        <v>1</v>
      </c>
      <c r="I4648" s="361">
        <v>1</v>
      </c>
      <c r="J4648" s="362" t="s">
        <v>286</v>
      </c>
      <c r="K4648" s="372"/>
      <c r="L4648" s="129"/>
      <c r="M4648" s="129"/>
      <c r="N4648" s="129"/>
      <c r="O4648" s="129"/>
      <c r="P4648" s="372"/>
      <c r="Q4648" s="372"/>
      <c r="R4648" s="129"/>
      <c r="S4648" s="129"/>
      <c r="T4648" s="129"/>
      <c r="W4648" s="129" t="s">
        <v>307</v>
      </c>
      <c r="X4648" s="337" t="b">
        <f t="shared" si="108"/>
        <v>0</v>
      </c>
    </row>
    <row r="4649" spans="1:24" s="337" customFormat="1" ht="12" customHeight="1" outlineLevel="1">
      <c r="A4649" s="335"/>
      <c r="B4649" s="118" t="s">
        <v>12</v>
      </c>
      <c r="C4649" s="334" t="s">
        <v>12862</v>
      </c>
      <c r="D4649" s="124" t="s">
        <v>12863</v>
      </c>
      <c r="E4649" s="125"/>
      <c r="F4649" s="118" t="s">
        <v>953</v>
      </c>
      <c r="G4649" s="126" t="s">
        <v>12661</v>
      </c>
      <c r="H4649" s="255">
        <v>1</v>
      </c>
      <c r="I4649" s="361">
        <v>1</v>
      </c>
      <c r="J4649" s="362" t="s">
        <v>286</v>
      </c>
      <c r="K4649" s="372"/>
      <c r="L4649" s="129"/>
      <c r="M4649" s="129"/>
      <c r="N4649" s="129"/>
      <c r="O4649" s="129"/>
      <c r="P4649" s="372"/>
      <c r="Q4649" s="372"/>
      <c r="R4649" s="129"/>
      <c r="S4649" s="129"/>
      <c r="T4649" s="129"/>
      <c r="W4649" s="129" t="s">
        <v>310</v>
      </c>
      <c r="X4649" s="337" t="b">
        <f t="shared" si="108"/>
        <v>0</v>
      </c>
    </row>
    <row r="4650" spans="1:24" s="337" customFormat="1" ht="12" customHeight="1" outlineLevel="1">
      <c r="A4650" s="335"/>
      <c r="B4650" s="118" t="s">
        <v>12</v>
      </c>
      <c r="C4650" s="334" t="s">
        <v>12864</v>
      </c>
      <c r="D4650" s="124" t="s">
        <v>12865</v>
      </c>
      <c r="E4650" s="125"/>
      <c r="F4650" s="118" t="s">
        <v>953</v>
      </c>
      <c r="G4650" s="126" t="s">
        <v>12661</v>
      </c>
      <c r="H4650" s="255">
        <v>1</v>
      </c>
      <c r="I4650" s="361">
        <v>1</v>
      </c>
      <c r="J4650" s="362" t="s">
        <v>310</v>
      </c>
      <c r="K4650" s="372"/>
      <c r="L4650" s="129"/>
      <c r="M4650" s="129"/>
      <c r="N4650" s="129"/>
      <c r="O4650" s="129"/>
      <c r="P4650" s="372"/>
      <c r="Q4650" s="372"/>
      <c r="R4650" s="129"/>
      <c r="S4650" s="129"/>
      <c r="T4650" s="129"/>
      <c r="W4650" s="129" t="s">
        <v>307</v>
      </c>
      <c r="X4650" s="337" t="b">
        <f t="shared" si="108"/>
        <v>0</v>
      </c>
    </row>
    <row r="4651" spans="1:24" s="337" customFormat="1" ht="12" customHeight="1" outlineLevel="1">
      <c r="A4651" s="335"/>
      <c r="B4651" s="118" t="s">
        <v>12</v>
      </c>
      <c r="C4651" s="334" t="s">
        <v>12866</v>
      </c>
      <c r="D4651" s="124" t="s">
        <v>12867</v>
      </c>
      <c r="E4651" s="125"/>
      <c r="F4651" s="118" t="s">
        <v>953</v>
      </c>
      <c r="G4651" s="126" t="s">
        <v>12661</v>
      </c>
      <c r="H4651" s="255">
        <v>1</v>
      </c>
      <c r="I4651" s="361">
        <v>1</v>
      </c>
      <c r="J4651" s="362" t="s">
        <v>286</v>
      </c>
      <c r="K4651" s="372"/>
      <c r="L4651" s="129"/>
      <c r="M4651" s="129"/>
      <c r="N4651" s="129"/>
      <c r="O4651" s="129"/>
      <c r="P4651" s="372"/>
      <c r="Q4651" s="372"/>
      <c r="R4651" s="129"/>
      <c r="S4651" s="129"/>
      <c r="T4651" s="129"/>
      <c r="W4651" s="129" t="s">
        <v>307</v>
      </c>
      <c r="X4651" s="337" t="b">
        <f t="shared" si="108"/>
        <v>0</v>
      </c>
    </row>
    <row r="4652" spans="1:24" s="337" customFormat="1" ht="12" customHeight="1" outlineLevel="1">
      <c r="A4652" s="335"/>
      <c r="B4652" s="118" t="s">
        <v>12</v>
      </c>
      <c r="C4652" s="334" t="s">
        <v>12868</v>
      </c>
      <c r="D4652" s="124" t="s">
        <v>12869</v>
      </c>
      <c r="E4652" s="125"/>
      <c r="F4652" s="118" t="s">
        <v>953</v>
      </c>
      <c r="G4652" s="126" t="s">
        <v>12661</v>
      </c>
      <c r="H4652" s="255">
        <v>1</v>
      </c>
      <c r="I4652" s="361">
        <v>1</v>
      </c>
      <c r="J4652" s="362" t="s">
        <v>286</v>
      </c>
      <c r="K4652" s="372"/>
      <c r="L4652" s="129"/>
      <c r="M4652" s="129"/>
      <c r="N4652" s="129"/>
      <c r="O4652" s="129"/>
      <c r="P4652" s="372"/>
      <c r="Q4652" s="372"/>
      <c r="R4652" s="129"/>
      <c r="S4652" s="129"/>
      <c r="T4652" s="129"/>
      <c r="W4652" s="129" t="s">
        <v>310</v>
      </c>
      <c r="X4652" s="337" t="b">
        <f t="shared" si="108"/>
        <v>0</v>
      </c>
    </row>
    <row r="4653" spans="1:24" s="337" customFormat="1" ht="12" customHeight="1" outlineLevel="1">
      <c r="A4653" s="335"/>
      <c r="B4653" s="118" t="s">
        <v>12</v>
      </c>
      <c r="C4653" s="334" t="s">
        <v>12870</v>
      </c>
      <c r="D4653" s="124" t="s">
        <v>12871</v>
      </c>
      <c r="E4653" s="125"/>
      <c r="F4653" s="118" t="s">
        <v>953</v>
      </c>
      <c r="G4653" s="126" t="s">
        <v>12661</v>
      </c>
      <c r="H4653" s="255">
        <v>1</v>
      </c>
      <c r="I4653" s="361">
        <v>1</v>
      </c>
      <c r="J4653" s="362" t="s">
        <v>286</v>
      </c>
      <c r="K4653" s="372"/>
      <c r="L4653" s="129"/>
      <c r="M4653" s="129"/>
      <c r="N4653" s="129"/>
      <c r="O4653" s="129"/>
      <c r="P4653" s="372"/>
      <c r="Q4653" s="372"/>
      <c r="R4653" s="129"/>
      <c r="S4653" s="129"/>
      <c r="T4653" s="129"/>
      <c r="W4653" s="129" t="s">
        <v>307</v>
      </c>
      <c r="X4653" s="337" t="b">
        <f t="shared" si="108"/>
        <v>0</v>
      </c>
    </row>
    <row r="4654" spans="1:24" s="337" customFormat="1" ht="12" customHeight="1" outlineLevel="1">
      <c r="A4654" s="335"/>
      <c r="B4654" s="118" t="s">
        <v>12</v>
      </c>
      <c r="C4654" s="334" t="s">
        <v>12872</v>
      </c>
      <c r="D4654" s="124" t="s">
        <v>12873</v>
      </c>
      <c r="E4654" s="125"/>
      <c r="F4654" s="118" t="s">
        <v>953</v>
      </c>
      <c r="G4654" s="126" t="s">
        <v>12661</v>
      </c>
      <c r="H4654" s="255">
        <v>1</v>
      </c>
      <c r="I4654" s="361">
        <v>1</v>
      </c>
      <c r="J4654" s="362" t="s">
        <v>286</v>
      </c>
      <c r="K4654" s="372"/>
      <c r="L4654" s="129"/>
      <c r="M4654" s="129"/>
      <c r="N4654" s="129"/>
      <c r="O4654" s="129"/>
      <c r="P4654" s="372"/>
      <c r="Q4654" s="372"/>
      <c r="R4654" s="129"/>
      <c r="S4654" s="129"/>
      <c r="T4654" s="129"/>
      <c r="W4654" s="129" t="s">
        <v>286</v>
      </c>
      <c r="X4654" s="337" t="b">
        <f t="shared" si="108"/>
        <v>1</v>
      </c>
    </row>
    <row r="4655" spans="1:24" s="337" customFormat="1" ht="12" customHeight="1" outlineLevel="1">
      <c r="A4655" s="335"/>
      <c r="B4655" s="118" t="s">
        <v>12</v>
      </c>
      <c r="C4655" s="334" t="s">
        <v>12874</v>
      </c>
      <c r="D4655" s="124" t="s">
        <v>12875</v>
      </c>
      <c r="E4655" s="125"/>
      <c r="F4655" s="118" t="s">
        <v>953</v>
      </c>
      <c r="G4655" s="126" t="s">
        <v>12661</v>
      </c>
      <c r="H4655" s="255">
        <v>1</v>
      </c>
      <c r="I4655" s="361">
        <v>1</v>
      </c>
      <c r="J4655" s="362" t="s">
        <v>286</v>
      </c>
      <c r="K4655" s="372"/>
      <c r="L4655" s="129"/>
      <c r="M4655" s="129"/>
      <c r="N4655" s="129"/>
      <c r="O4655" s="129"/>
      <c r="P4655" s="372"/>
      <c r="Q4655" s="372"/>
      <c r="R4655" s="129"/>
      <c r="S4655" s="129"/>
      <c r="T4655" s="129"/>
      <c r="W4655" s="129" t="s">
        <v>286</v>
      </c>
      <c r="X4655" s="337" t="b">
        <f t="shared" si="108"/>
        <v>1</v>
      </c>
    </row>
    <row r="4656" spans="1:24" s="337" customFormat="1" ht="12" customHeight="1" outlineLevel="1">
      <c r="A4656" s="335"/>
      <c r="B4656" s="118" t="s">
        <v>12</v>
      </c>
      <c r="C4656" s="334" t="s">
        <v>12876</v>
      </c>
      <c r="D4656" s="124" t="s">
        <v>12877</v>
      </c>
      <c r="E4656" s="125"/>
      <c r="F4656" s="118" t="s">
        <v>953</v>
      </c>
      <c r="G4656" s="126" t="s">
        <v>12661</v>
      </c>
      <c r="H4656" s="255">
        <v>1</v>
      </c>
      <c r="I4656" s="361">
        <v>1</v>
      </c>
      <c r="J4656" s="362" t="s">
        <v>286</v>
      </c>
      <c r="K4656" s="372"/>
      <c r="L4656" s="129"/>
      <c r="M4656" s="129"/>
      <c r="N4656" s="129"/>
      <c r="O4656" s="129"/>
      <c r="P4656" s="372"/>
      <c r="Q4656" s="372"/>
      <c r="R4656" s="129"/>
      <c r="S4656" s="129"/>
      <c r="T4656" s="129"/>
      <c r="W4656" s="129" t="s">
        <v>4876</v>
      </c>
      <c r="X4656" s="337" t="b">
        <f t="shared" si="108"/>
        <v>0</v>
      </c>
    </row>
    <row r="4657" spans="1:24" s="337" customFormat="1" ht="12" customHeight="1" outlineLevel="1">
      <c r="A4657" s="335"/>
      <c r="B4657" s="118" t="s">
        <v>12</v>
      </c>
      <c r="C4657" s="334" t="s">
        <v>12878</v>
      </c>
      <c r="D4657" s="124" t="s">
        <v>8723</v>
      </c>
      <c r="E4657" s="125"/>
      <c r="F4657" s="118" t="s">
        <v>953</v>
      </c>
      <c r="G4657" s="126" t="s">
        <v>12661</v>
      </c>
      <c r="H4657" s="255">
        <v>1</v>
      </c>
      <c r="I4657" s="361">
        <v>1</v>
      </c>
      <c r="J4657" s="362" t="s">
        <v>286</v>
      </c>
      <c r="K4657" s="372"/>
      <c r="L4657" s="129"/>
      <c r="M4657" s="129"/>
      <c r="N4657" s="129"/>
      <c r="O4657" s="129"/>
      <c r="P4657" s="372"/>
      <c r="Q4657" s="372"/>
      <c r="R4657" s="129"/>
      <c r="S4657" s="129"/>
      <c r="T4657" s="129"/>
      <c r="W4657" s="129" t="s">
        <v>286</v>
      </c>
      <c r="X4657" s="337" t="b">
        <f t="shared" si="108"/>
        <v>1</v>
      </c>
    </row>
    <row r="4658" spans="1:24" s="337" customFormat="1" ht="12" customHeight="1" outlineLevel="1">
      <c r="A4658" s="335"/>
      <c r="B4658" s="118" t="s">
        <v>12</v>
      </c>
      <c r="C4658" s="334" t="s">
        <v>12879</v>
      </c>
      <c r="D4658" s="124" t="s">
        <v>8725</v>
      </c>
      <c r="E4658" s="125"/>
      <c r="F4658" s="118" t="s">
        <v>953</v>
      </c>
      <c r="G4658" s="126" t="s">
        <v>12661</v>
      </c>
      <c r="H4658" s="255">
        <v>1</v>
      </c>
      <c r="I4658" s="361">
        <v>1</v>
      </c>
      <c r="J4658" s="362" t="s">
        <v>286</v>
      </c>
      <c r="K4658" s="372"/>
      <c r="L4658" s="129"/>
      <c r="M4658" s="129"/>
      <c r="N4658" s="129"/>
      <c r="O4658" s="129"/>
      <c r="P4658" s="372"/>
      <c r="Q4658" s="372"/>
      <c r="R4658" s="129"/>
      <c r="S4658" s="129"/>
      <c r="T4658" s="129"/>
      <c r="W4658" s="129" t="s">
        <v>286</v>
      </c>
      <c r="X4658" s="337" t="b">
        <f t="shared" si="108"/>
        <v>1</v>
      </c>
    </row>
    <row r="4659" spans="1:24" s="337" customFormat="1" ht="12" customHeight="1" outlineLevel="1">
      <c r="A4659" s="335"/>
      <c r="B4659" s="118" t="s">
        <v>12</v>
      </c>
      <c r="C4659" s="334" t="s">
        <v>12880</v>
      </c>
      <c r="D4659" s="124" t="s">
        <v>8727</v>
      </c>
      <c r="E4659" s="125"/>
      <c r="F4659" s="118" t="s">
        <v>953</v>
      </c>
      <c r="G4659" s="126" t="s">
        <v>12661</v>
      </c>
      <c r="H4659" s="255">
        <v>1</v>
      </c>
      <c r="I4659" s="361">
        <v>1</v>
      </c>
      <c r="J4659" s="362" t="s">
        <v>286</v>
      </c>
      <c r="K4659" s="372"/>
      <c r="L4659" s="129"/>
      <c r="M4659" s="129"/>
      <c r="N4659" s="129"/>
      <c r="O4659" s="129"/>
      <c r="P4659" s="372"/>
      <c r="Q4659" s="372"/>
      <c r="R4659" s="129"/>
      <c r="S4659" s="129"/>
      <c r="T4659" s="129"/>
      <c r="W4659" s="129" t="s">
        <v>286</v>
      </c>
      <c r="X4659" s="337" t="b">
        <f t="shared" si="108"/>
        <v>1</v>
      </c>
    </row>
    <row r="4660" spans="1:24" s="337" customFormat="1" ht="12" customHeight="1" outlineLevel="1">
      <c r="A4660" s="335"/>
      <c r="B4660" s="118" t="s">
        <v>12</v>
      </c>
      <c r="C4660" s="334" t="s">
        <v>12881</v>
      </c>
      <c r="D4660" s="124" t="s">
        <v>8729</v>
      </c>
      <c r="E4660" s="125"/>
      <c r="F4660" s="118" t="s">
        <v>953</v>
      </c>
      <c r="G4660" s="126" t="s">
        <v>12661</v>
      </c>
      <c r="H4660" s="255">
        <v>1</v>
      </c>
      <c r="I4660" s="361">
        <v>1</v>
      </c>
      <c r="J4660" s="362" t="s">
        <v>286</v>
      </c>
      <c r="K4660" s="372"/>
      <c r="L4660" s="129"/>
      <c r="M4660" s="129"/>
      <c r="N4660" s="129"/>
      <c r="O4660" s="129"/>
      <c r="P4660" s="372"/>
      <c r="Q4660" s="372"/>
      <c r="R4660" s="129"/>
      <c r="S4660" s="129"/>
      <c r="T4660" s="129"/>
      <c r="W4660" s="129" t="s">
        <v>286</v>
      </c>
      <c r="X4660" s="337" t="b">
        <f t="shared" si="108"/>
        <v>1</v>
      </c>
    </row>
    <row r="4661" spans="1:24" s="337" customFormat="1" ht="12" customHeight="1" outlineLevel="1">
      <c r="A4661" s="335"/>
      <c r="B4661" s="118" t="s">
        <v>12</v>
      </c>
      <c r="C4661" s="334" t="s">
        <v>12882</v>
      </c>
      <c r="D4661" s="124" t="s">
        <v>8731</v>
      </c>
      <c r="E4661" s="125"/>
      <c r="F4661" s="118" t="s">
        <v>953</v>
      </c>
      <c r="G4661" s="126" t="s">
        <v>12661</v>
      </c>
      <c r="H4661" s="255">
        <v>1</v>
      </c>
      <c r="I4661" s="361">
        <v>1</v>
      </c>
      <c r="J4661" s="362" t="s">
        <v>286</v>
      </c>
      <c r="K4661" s="372"/>
      <c r="L4661" s="129"/>
      <c r="M4661" s="129"/>
      <c r="N4661" s="129"/>
      <c r="O4661" s="129"/>
      <c r="P4661" s="372"/>
      <c r="Q4661" s="372"/>
      <c r="R4661" s="129"/>
      <c r="S4661" s="129"/>
      <c r="T4661" s="129"/>
      <c r="W4661" s="129" t="s">
        <v>286</v>
      </c>
      <c r="X4661" s="337" t="b">
        <f t="shared" si="108"/>
        <v>1</v>
      </c>
    </row>
    <row r="4662" spans="1:24" s="337" customFormat="1" ht="12" customHeight="1" outlineLevel="1">
      <c r="A4662" s="335"/>
      <c r="B4662" s="118" t="s">
        <v>12</v>
      </c>
      <c r="C4662" s="334" t="s">
        <v>12883</v>
      </c>
      <c r="D4662" s="124" t="s">
        <v>8733</v>
      </c>
      <c r="E4662" s="125"/>
      <c r="F4662" s="118" t="s">
        <v>953</v>
      </c>
      <c r="G4662" s="126" t="s">
        <v>12661</v>
      </c>
      <c r="H4662" s="255">
        <v>1</v>
      </c>
      <c r="I4662" s="361">
        <v>1</v>
      </c>
      <c r="J4662" s="362" t="s">
        <v>286</v>
      </c>
      <c r="K4662" s="372"/>
      <c r="L4662" s="129"/>
      <c r="M4662" s="129"/>
      <c r="N4662" s="129"/>
      <c r="O4662" s="129"/>
      <c r="P4662" s="372"/>
      <c r="Q4662" s="372"/>
      <c r="R4662" s="129"/>
      <c r="S4662" s="129"/>
      <c r="T4662" s="129"/>
      <c r="W4662" s="129" t="s">
        <v>286</v>
      </c>
      <c r="X4662" s="337" t="b">
        <f t="shared" si="108"/>
        <v>1</v>
      </c>
    </row>
    <row r="4663" spans="1:24" s="337" customFormat="1" ht="12" customHeight="1" outlineLevel="1">
      <c r="A4663" s="335"/>
      <c r="B4663" s="118" t="s">
        <v>12</v>
      </c>
      <c r="C4663" s="334" t="s">
        <v>12884</v>
      </c>
      <c r="D4663" s="124" t="s">
        <v>8735</v>
      </c>
      <c r="E4663" s="125"/>
      <c r="F4663" s="118" t="s">
        <v>953</v>
      </c>
      <c r="G4663" s="126" t="s">
        <v>12661</v>
      </c>
      <c r="H4663" s="255">
        <v>1</v>
      </c>
      <c r="I4663" s="361">
        <v>1</v>
      </c>
      <c r="J4663" s="362" t="s">
        <v>286</v>
      </c>
      <c r="K4663" s="372"/>
      <c r="L4663" s="129"/>
      <c r="M4663" s="129"/>
      <c r="N4663" s="129"/>
      <c r="O4663" s="129"/>
      <c r="P4663" s="372"/>
      <c r="Q4663" s="372"/>
      <c r="R4663" s="129"/>
      <c r="S4663" s="129"/>
      <c r="T4663" s="129"/>
      <c r="W4663" s="129" t="s">
        <v>286</v>
      </c>
      <c r="X4663" s="337" t="b">
        <f t="shared" si="108"/>
        <v>1</v>
      </c>
    </row>
    <row r="4664" spans="1:24" s="337" customFormat="1" ht="12" customHeight="1" outlineLevel="1">
      <c r="A4664" s="335"/>
      <c r="B4664" s="118" t="s">
        <v>12</v>
      </c>
      <c r="C4664" s="334" t="s">
        <v>12885</v>
      </c>
      <c r="D4664" s="124" t="s">
        <v>8737</v>
      </c>
      <c r="E4664" s="125"/>
      <c r="F4664" s="118" t="s">
        <v>953</v>
      </c>
      <c r="G4664" s="126" t="s">
        <v>12661</v>
      </c>
      <c r="H4664" s="255">
        <v>1</v>
      </c>
      <c r="I4664" s="361">
        <v>1</v>
      </c>
      <c r="J4664" s="362" t="s">
        <v>286</v>
      </c>
      <c r="K4664" s="372"/>
      <c r="L4664" s="129"/>
      <c r="M4664" s="129"/>
      <c r="N4664" s="129"/>
      <c r="O4664" s="129"/>
      <c r="P4664" s="372"/>
      <c r="Q4664" s="372"/>
      <c r="R4664" s="129"/>
      <c r="S4664" s="129"/>
      <c r="T4664" s="129"/>
      <c r="W4664" s="129" t="s">
        <v>286</v>
      </c>
      <c r="X4664" s="337" t="b">
        <f t="shared" si="108"/>
        <v>1</v>
      </c>
    </row>
    <row r="4665" spans="1:24" s="337" customFormat="1" ht="12" customHeight="1" outlineLevel="1">
      <c r="A4665" s="335"/>
      <c r="B4665" s="118" t="s">
        <v>12</v>
      </c>
      <c r="C4665" s="334" t="s">
        <v>12886</v>
      </c>
      <c r="D4665" s="124" t="s">
        <v>8739</v>
      </c>
      <c r="E4665" s="125"/>
      <c r="F4665" s="118" t="s">
        <v>953</v>
      </c>
      <c r="G4665" s="126" t="s">
        <v>12661</v>
      </c>
      <c r="H4665" s="255">
        <v>1</v>
      </c>
      <c r="I4665" s="361">
        <v>1</v>
      </c>
      <c r="J4665" s="362" t="s">
        <v>286</v>
      </c>
      <c r="K4665" s="372"/>
      <c r="L4665" s="129"/>
      <c r="M4665" s="129"/>
      <c r="N4665" s="129"/>
      <c r="O4665" s="129"/>
      <c r="P4665" s="372"/>
      <c r="Q4665" s="372"/>
      <c r="R4665" s="129"/>
      <c r="S4665" s="129"/>
      <c r="T4665" s="129"/>
      <c r="W4665" s="129" t="s">
        <v>286</v>
      </c>
      <c r="X4665" s="337" t="b">
        <f t="shared" si="108"/>
        <v>1</v>
      </c>
    </row>
    <row r="4666" spans="1:24" s="337" customFormat="1" ht="12" customHeight="1" outlineLevel="1">
      <c r="A4666" s="335"/>
      <c r="B4666" s="118" t="s">
        <v>12</v>
      </c>
      <c r="C4666" s="334" t="s">
        <v>12887</v>
      </c>
      <c r="D4666" s="124" t="s">
        <v>8741</v>
      </c>
      <c r="E4666" s="125"/>
      <c r="F4666" s="118" t="s">
        <v>953</v>
      </c>
      <c r="G4666" s="126" t="s">
        <v>12661</v>
      </c>
      <c r="H4666" s="255">
        <v>1</v>
      </c>
      <c r="I4666" s="361">
        <v>1</v>
      </c>
      <c r="J4666" s="362" t="s">
        <v>286</v>
      </c>
      <c r="K4666" s="372"/>
      <c r="L4666" s="129"/>
      <c r="M4666" s="129"/>
      <c r="N4666" s="129"/>
      <c r="O4666" s="129"/>
      <c r="P4666" s="372"/>
      <c r="Q4666" s="372"/>
      <c r="R4666" s="129"/>
      <c r="S4666" s="129"/>
      <c r="T4666" s="129"/>
      <c r="W4666" s="129" t="s">
        <v>286</v>
      </c>
      <c r="X4666" s="337" t="b">
        <f t="shared" si="108"/>
        <v>1</v>
      </c>
    </row>
    <row r="4667" spans="1:24" s="337" customFormat="1" ht="12" customHeight="1" outlineLevel="1">
      <c r="A4667" s="335"/>
      <c r="B4667" s="118" t="s">
        <v>12</v>
      </c>
      <c r="C4667" s="334" t="s">
        <v>12888</v>
      </c>
      <c r="D4667" s="124" t="s">
        <v>8743</v>
      </c>
      <c r="E4667" s="125"/>
      <c r="F4667" s="118" t="s">
        <v>953</v>
      </c>
      <c r="G4667" s="126" t="s">
        <v>12661</v>
      </c>
      <c r="H4667" s="255">
        <v>1</v>
      </c>
      <c r="I4667" s="361">
        <v>1</v>
      </c>
      <c r="J4667" s="362" t="s">
        <v>286</v>
      </c>
      <c r="K4667" s="372"/>
      <c r="L4667" s="129"/>
      <c r="M4667" s="129"/>
      <c r="N4667" s="129"/>
      <c r="O4667" s="129"/>
      <c r="P4667" s="372"/>
      <c r="Q4667" s="372"/>
      <c r="R4667" s="129"/>
      <c r="S4667" s="129"/>
      <c r="T4667" s="129"/>
      <c r="W4667" s="129" t="s">
        <v>286</v>
      </c>
      <c r="X4667" s="337" t="b">
        <f t="shared" si="108"/>
        <v>1</v>
      </c>
    </row>
    <row r="4668" spans="1:24" s="337" customFormat="1" ht="12" customHeight="1" outlineLevel="1">
      <c r="A4668" s="335"/>
      <c r="B4668" s="118" t="s">
        <v>12</v>
      </c>
      <c r="C4668" s="334" t="s">
        <v>12889</v>
      </c>
      <c r="D4668" s="124" t="s">
        <v>8745</v>
      </c>
      <c r="E4668" s="125"/>
      <c r="F4668" s="118" t="s">
        <v>953</v>
      </c>
      <c r="G4668" s="126" t="s">
        <v>12661</v>
      </c>
      <c r="H4668" s="255">
        <v>1</v>
      </c>
      <c r="I4668" s="361">
        <v>1</v>
      </c>
      <c r="J4668" s="362" t="s">
        <v>286</v>
      </c>
      <c r="K4668" s="372"/>
      <c r="L4668" s="129"/>
      <c r="M4668" s="129"/>
      <c r="N4668" s="129"/>
      <c r="O4668" s="129"/>
      <c r="P4668" s="372"/>
      <c r="Q4668" s="372"/>
      <c r="R4668" s="129"/>
      <c r="S4668" s="129"/>
      <c r="T4668" s="129"/>
      <c r="W4668" s="129" t="s">
        <v>286</v>
      </c>
      <c r="X4668" s="337" t="b">
        <f t="shared" si="108"/>
        <v>1</v>
      </c>
    </row>
    <row r="4669" spans="1:24" s="337" customFormat="1" ht="12" customHeight="1" outlineLevel="1">
      <c r="A4669" s="335"/>
      <c r="B4669" s="118" t="s">
        <v>12</v>
      </c>
      <c r="C4669" s="334" t="s">
        <v>12890</v>
      </c>
      <c r="D4669" s="124" t="s">
        <v>8747</v>
      </c>
      <c r="E4669" s="125"/>
      <c r="F4669" s="118" t="s">
        <v>953</v>
      </c>
      <c r="G4669" s="126" t="s">
        <v>12661</v>
      </c>
      <c r="H4669" s="255">
        <v>1</v>
      </c>
      <c r="I4669" s="361">
        <v>1</v>
      </c>
      <c r="J4669" s="362" t="s">
        <v>286</v>
      </c>
      <c r="K4669" s="372"/>
      <c r="L4669" s="129"/>
      <c r="M4669" s="129"/>
      <c r="N4669" s="129"/>
      <c r="O4669" s="129"/>
      <c r="P4669" s="372"/>
      <c r="Q4669" s="372"/>
      <c r="R4669" s="129"/>
      <c r="S4669" s="129"/>
      <c r="T4669" s="129"/>
      <c r="W4669" s="129" t="s">
        <v>286</v>
      </c>
      <c r="X4669" s="337" t="b">
        <f t="shared" si="108"/>
        <v>1</v>
      </c>
    </row>
    <row r="4670" spans="1:24" s="337" customFormat="1" ht="12" customHeight="1" outlineLevel="1">
      <c r="A4670" s="335"/>
      <c r="B4670" s="118" t="s">
        <v>12</v>
      </c>
      <c r="C4670" s="334" t="s">
        <v>12891</v>
      </c>
      <c r="D4670" s="124" t="s">
        <v>8749</v>
      </c>
      <c r="E4670" s="125"/>
      <c r="F4670" s="118" t="s">
        <v>953</v>
      </c>
      <c r="G4670" s="126" t="s">
        <v>12661</v>
      </c>
      <c r="H4670" s="255">
        <v>1</v>
      </c>
      <c r="I4670" s="361">
        <v>1</v>
      </c>
      <c r="J4670" s="362" t="s">
        <v>286</v>
      </c>
      <c r="K4670" s="372"/>
      <c r="L4670" s="129"/>
      <c r="M4670" s="129"/>
      <c r="N4670" s="129"/>
      <c r="O4670" s="129"/>
      <c r="P4670" s="372"/>
      <c r="Q4670" s="372"/>
      <c r="R4670" s="129"/>
      <c r="S4670" s="129"/>
      <c r="T4670" s="129"/>
      <c r="W4670" s="129" t="s">
        <v>286</v>
      </c>
      <c r="X4670" s="337" t="b">
        <f t="shared" si="108"/>
        <v>1</v>
      </c>
    </row>
    <row r="4671" spans="1:24" s="337" customFormat="1" ht="12" customHeight="1" outlineLevel="1">
      <c r="A4671" s="335"/>
      <c r="B4671" s="118" t="s">
        <v>12</v>
      </c>
      <c r="C4671" s="334" t="s">
        <v>12892</v>
      </c>
      <c r="D4671" s="124" t="s">
        <v>8751</v>
      </c>
      <c r="E4671" s="125"/>
      <c r="F4671" s="118" t="s">
        <v>953</v>
      </c>
      <c r="G4671" s="126" t="s">
        <v>12661</v>
      </c>
      <c r="H4671" s="255">
        <v>1</v>
      </c>
      <c r="I4671" s="361">
        <v>1</v>
      </c>
      <c r="J4671" s="362" t="s">
        <v>286</v>
      </c>
      <c r="K4671" s="372"/>
      <c r="L4671" s="129"/>
      <c r="M4671" s="129"/>
      <c r="N4671" s="129"/>
      <c r="O4671" s="129"/>
      <c r="P4671" s="372"/>
      <c r="Q4671" s="372"/>
      <c r="R4671" s="129"/>
      <c r="S4671" s="129"/>
      <c r="T4671" s="129"/>
      <c r="W4671" s="129" t="s">
        <v>286</v>
      </c>
      <c r="X4671" s="337" t="b">
        <f t="shared" ref="X4671:X4734" si="109">W4671=J4671</f>
        <v>1</v>
      </c>
    </row>
    <row r="4672" spans="1:24" s="337" customFormat="1" ht="12" customHeight="1" outlineLevel="1">
      <c r="A4672" s="335"/>
      <c r="B4672" s="118" t="s">
        <v>12</v>
      </c>
      <c r="C4672" s="334" t="s">
        <v>12893</v>
      </c>
      <c r="D4672" s="124" t="s">
        <v>8753</v>
      </c>
      <c r="E4672" s="125"/>
      <c r="F4672" s="118" t="s">
        <v>953</v>
      </c>
      <c r="G4672" s="126" t="s">
        <v>12661</v>
      </c>
      <c r="H4672" s="255">
        <v>1</v>
      </c>
      <c r="I4672" s="361">
        <v>1</v>
      </c>
      <c r="J4672" s="362" t="s">
        <v>286</v>
      </c>
      <c r="K4672" s="372"/>
      <c r="L4672" s="129"/>
      <c r="M4672" s="129"/>
      <c r="N4672" s="129"/>
      <c r="O4672" s="129"/>
      <c r="P4672" s="372"/>
      <c r="Q4672" s="372"/>
      <c r="R4672" s="129"/>
      <c r="S4672" s="129"/>
      <c r="T4672" s="129"/>
      <c r="W4672" s="129" t="s">
        <v>286</v>
      </c>
      <c r="X4672" s="337" t="b">
        <f t="shared" si="109"/>
        <v>1</v>
      </c>
    </row>
    <row r="4673" spans="1:24" s="337" customFormat="1" ht="12" customHeight="1" outlineLevel="1">
      <c r="A4673" s="335"/>
      <c r="B4673" s="118" t="s">
        <v>12</v>
      </c>
      <c r="C4673" s="334" t="s">
        <v>12894</v>
      </c>
      <c r="D4673" s="124" t="s">
        <v>8755</v>
      </c>
      <c r="E4673" s="125"/>
      <c r="F4673" s="118" t="s">
        <v>953</v>
      </c>
      <c r="G4673" s="126" t="s">
        <v>12661</v>
      </c>
      <c r="H4673" s="255">
        <v>1</v>
      </c>
      <c r="I4673" s="361">
        <v>1</v>
      </c>
      <c r="J4673" s="362" t="s">
        <v>286</v>
      </c>
      <c r="K4673" s="372"/>
      <c r="L4673" s="129"/>
      <c r="M4673" s="129"/>
      <c r="N4673" s="129"/>
      <c r="O4673" s="129"/>
      <c r="P4673" s="372"/>
      <c r="Q4673" s="372"/>
      <c r="R4673" s="129"/>
      <c r="S4673" s="129"/>
      <c r="T4673" s="129"/>
      <c r="W4673" s="129" t="s">
        <v>286</v>
      </c>
      <c r="X4673" s="337" t="b">
        <f t="shared" si="109"/>
        <v>1</v>
      </c>
    </row>
    <row r="4674" spans="1:24" s="337" customFormat="1" ht="12" customHeight="1" outlineLevel="1">
      <c r="A4674" s="335"/>
      <c r="B4674" s="118" t="s">
        <v>12</v>
      </c>
      <c r="C4674" s="334" t="s">
        <v>12895</v>
      </c>
      <c r="D4674" s="124" t="s">
        <v>8757</v>
      </c>
      <c r="E4674" s="125"/>
      <c r="F4674" s="118" t="s">
        <v>953</v>
      </c>
      <c r="G4674" s="126" t="s">
        <v>12661</v>
      </c>
      <c r="H4674" s="255">
        <v>1</v>
      </c>
      <c r="I4674" s="361">
        <v>1</v>
      </c>
      <c r="J4674" s="362" t="s">
        <v>286</v>
      </c>
      <c r="K4674" s="372"/>
      <c r="L4674" s="129"/>
      <c r="M4674" s="129"/>
      <c r="N4674" s="129"/>
      <c r="O4674" s="129"/>
      <c r="P4674" s="372"/>
      <c r="Q4674" s="372"/>
      <c r="R4674" s="129"/>
      <c r="S4674" s="129"/>
      <c r="T4674" s="129"/>
      <c r="W4674" s="129" t="s">
        <v>286</v>
      </c>
      <c r="X4674" s="337" t="b">
        <f t="shared" si="109"/>
        <v>1</v>
      </c>
    </row>
    <row r="4675" spans="1:24" s="337" customFormat="1" ht="12" customHeight="1" outlineLevel="1">
      <c r="A4675" s="335"/>
      <c r="B4675" s="118" t="s">
        <v>12</v>
      </c>
      <c r="C4675" s="334" t="s">
        <v>12896</v>
      </c>
      <c r="D4675" s="124" t="s">
        <v>8759</v>
      </c>
      <c r="E4675" s="125"/>
      <c r="F4675" s="118" t="s">
        <v>953</v>
      </c>
      <c r="G4675" s="126" t="s">
        <v>12661</v>
      </c>
      <c r="H4675" s="255">
        <v>1</v>
      </c>
      <c r="I4675" s="361">
        <v>1</v>
      </c>
      <c r="J4675" s="362" t="s">
        <v>286</v>
      </c>
      <c r="K4675" s="372"/>
      <c r="L4675" s="129"/>
      <c r="M4675" s="129"/>
      <c r="N4675" s="129"/>
      <c r="O4675" s="129"/>
      <c r="P4675" s="372"/>
      <c r="Q4675" s="372"/>
      <c r="R4675" s="129"/>
      <c r="S4675" s="129"/>
      <c r="T4675" s="129"/>
      <c r="W4675" s="129" t="s">
        <v>310</v>
      </c>
      <c r="X4675" s="337" t="b">
        <f t="shared" si="109"/>
        <v>0</v>
      </c>
    </row>
    <row r="4676" spans="1:24" s="337" customFormat="1" ht="12" customHeight="1" outlineLevel="1">
      <c r="A4676" s="335"/>
      <c r="B4676" s="118" t="s">
        <v>12</v>
      </c>
      <c r="C4676" s="334" t="s">
        <v>12897</v>
      </c>
      <c r="D4676" s="124" t="s">
        <v>8761</v>
      </c>
      <c r="E4676" s="125"/>
      <c r="F4676" s="118" t="s">
        <v>953</v>
      </c>
      <c r="G4676" s="126" t="s">
        <v>12661</v>
      </c>
      <c r="H4676" s="255">
        <v>1</v>
      </c>
      <c r="I4676" s="361">
        <v>1</v>
      </c>
      <c r="J4676" s="362" t="s">
        <v>286</v>
      </c>
      <c r="K4676" s="372"/>
      <c r="L4676" s="129"/>
      <c r="M4676" s="129"/>
      <c r="N4676" s="129"/>
      <c r="O4676" s="129"/>
      <c r="P4676" s="372"/>
      <c r="Q4676" s="372"/>
      <c r="R4676" s="129"/>
      <c r="S4676" s="129"/>
      <c r="T4676" s="129"/>
      <c r="W4676" s="129" t="s">
        <v>310</v>
      </c>
      <c r="X4676" s="337" t="b">
        <f t="shared" si="109"/>
        <v>0</v>
      </c>
    </row>
    <row r="4677" spans="1:24" s="337" customFormat="1" ht="12" customHeight="1" outlineLevel="1">
      <c r="A4677" s="335"/>
      <c r="B4677" s="118" t="s">
        <v>12</v>
      </c>
      <c r="C4677" s="334" t="s">
        <v>12898</v>
      </c>
      <c r="D4677" s="124" t="s">
        <v>8763</v>
      </c>
      <c r="E4677" s="125"/>
      <c r="F4677" s="118" t="s">
        <v>953</v>
      </c>
      <c r="G4677" s="126" t="s">
        <v>12661</v>
      </c>
      <c r="H4677" s="255">
        <v>1</v>
      </c>
      <c r="I4677" s="361">
        <v>1</v>
      </c>
      <c r="J4677" s="362" t="s">
        <v>286</v>
      </c>
      <c r="K4677" s="372"/>
      <c r="L4677" s="129"/>
      <c r="M4677" s="129"/>
      <c r="N4677" s="129"/>
      <c r="O4677" s="129"/>
      <c r="P4677" s="372"/>
      <c r="Q4677" s="372"/>
      <c r="R4677" s="129"/>
      <c r="S4677" s="129"/>
      <c r="T4677" s="129"/>
      <c r="W4677" s="129" t="s">
        <v>286</v>
      </c>
      <c r="X4677" s="337" t="b">
        <f t="shared" si="109"/>
        <v>1</v>
      </c>
    </row>
    <row r="4678" spans="1:24" s="337" customFormat="1" ht="12" customHeight="1" outlineLevel="1">
      <c r="A4678" s="335"/>
      <c r="B4678" s="118" t="s">
        <v>12</v>
      </c>
      <c r="C4678" s="334" t="s">
        <v>12899</v>
      </c>
      <c r="D4678" s="124" t="s">
        <v>8765</v>
      </c>
      <c r="E4678" s="125"/>
      <c r="F4678" s="118" t="s">
        <v>953</v>
      </c>
      <c r="G4678" s="126" t="s">
        <v>12900</v>
      </c>
      <c r="H4678" s="255">
        <v>2</v>
      </c>
      <c r="I4678" s="361">
        <v>1</v>
      </c>
      <c r="J4678" s="362" t="s">
        <v>6148</v>
      </c>
      <c r="K4678" s="372"/>
      <c r="L4678" s="129"/>
      <c r="M4678" s="129"/>
      <c r="N4678" s="129"/>
      <c r="O4678" s="129"/>
      <c r="P4678" s="372"/>
      <c r="Q4678" s="372"/>
      <c r="R4678" s="129"/>
      <c r="S4678" s="129"/>
      <c r="T4678" s="129"/>
      <c r="W4678" s="129" t="s">
        <v>286</v>
      </c>
      <c r="X4678" s="337" t="b">
        <f t="shared" si="109"/>
        <v>0</v>
      </c>
    </row>
    <row r="4679" spans="1:24" s="337" customFormat="1" ht="12" customHeight="1" outlineLevel="1">
      <c r="A4679" s="335"/>
      <c r="B4679" s="118" t="s">
        <v>12</v>
      </c>
      <c r="C4679" s="334" t="s">
        <v>12901</v>
      </c>
      <c r="D4679" s="124" t="s">
        <v>12902</v>
      </c>
      <c r="E4679" s="125"/>
      <c r="F4679" s="118" t="s">
        <v>953</v>
      </c>
      <c r="G4679" s="126" t="s">
        <v>12900</v>
      </c>
      <c r="H4679" s="255">
        <v>2</v>
      </c>
      <c r="I4679" s="361">
        <v>1</v>
      </c>
      <c r="J4679" s="362" t="s">
        <v>310</v>
      </c>
      <c r="K4679" s="372"/>
      <c r="L4679" s="129"/>
      <c r="M4679" s="129"/>
      <c r="N4679" s="129"/>
      <c r="O4679" s="129"/>
      <c r="P4679" s="372"/>
      <c r="Q4679" s="372"/>
      <c r="R4679" s="129"/>
      <c r="S4679" s="129"/>
      <c r="T4679" s="129"/>
      <c r="W4679" s="129" t="s">
        <v>286</v>
      </c>
      <c r="X4679" s="337" t="b">
        <f t="shared" si="109"/>
        <v>0</v>
      </c>
    </row>
    <row r="4680" spans="1:24" s="337" customFormat="1" ht="12" customHeight="1" outlineLevel="1">
      <c r="A4680" s="335"/>
      <c r="B4680" s="118" t="s">
        <v>12</v>
      </c>
      <c r="C4680" s="334" t="s">
        <v>12903</v>
      </c>
      <c r="D4680" s="124" t="s">
        <v>12904</v>
      </c>
      <c r="E4680" s="125"/>
      <c r="F4680" s="118" t="s">
        <v>953</v>
      </c>
      <c r="G4680" s="126" t="s">
        <v>12900</v>
      </c>
      <c r="H4680" s="255">
        <v>2</v>
      </c>
      <c r="I4680" s="361">
        <v>1</v>
      </c>
      <c r="J4680" s="362" t="s">
        <v>310</v>
      </c>
      <c r="K4680" s="372"/>
      <c r="L4680" s="129"/>
      <c r="M4680" s="129"/>
      <c r="N4680" s="129"/>
      <c r="O4680" s="129"/>
      <c r="P4680" s="372"/>
      <c r="Q4680" s="372"/>
      <c r="R4680" s="129"/>
      <c r="S4680" s="129"/>
      <c r="T4680" s="129"/>
      <c r="W4680" s="129" t="s">
        <v>286</v>
      </c>
      <c r="X4680" s="337" t="b">
        <f t="shared" si="109"/>
        <v>0</v>
      </c>
    </row>
    <row r="4681" spans="1:24" s="337" customFormat="1" ht="12" customHeight="1" outlineLevel="1">
      <c r="A4681" s="335"/>
      <c r="B4681" s="118" t="s">
        <v>12</v>
      </c>
      <c r="C4681" s="334" t="s">
        <v>12905</v>
      </c>
      <c r="D4681" s="124" t="s">
        <v>12906</v>
      </c>
      <c r="E4681" s="125"/>
      <c r="F4681" s="118" t="s">
        <v>953</v>
      </c>
      <c r="G4681" s="126" t="s">
        <v>12900</v>
      </c>
      <c r="H4681" s="255">
        <v>2</v>
      </c>
      <c r="I4681" s="361">
        <v>1</v>
      </c>
      <c r="J4681" s="362" t="s">
        <v>310</v>
      </c>
      <c r="K4681" s="372"/>
      <c r="L4681" s="129"/>
      <c r="M4681" s="129"/>
      <c r="N4681" s="129"/>
      <c r="O4681" s="129"/>
      <c r="P4681" s="372"/>
      <c r="Q4681" s="372"/>
      <c r="R4681" s="129"/>
      <c r="S4681" s="129"/>
      <c r="T4681" s="129"/>
      <c r="W4681" s="129" t="s">
        <v>286</v>
      </c>
      <c r="X4681" s="337" t="b">
        <f t="shared" si="109"/>
        <v>0</v>
      </c>
    </row>
    <row r="4682" spans="1:24" s="337" customFormat="1" ht="12" customHeight="1" outlineLevel="1">
      <c r="A4682" s="335"/>
      <c r="B4682" s="118" t="s">
        <v>12</v>
      </c>
      <c r="C4682" s="334" t="s">
        <v>12907</v>
      </c>
      <c r="D4682" s="124" t="s">
        <v>12908</v>
      </c>
      <c r="E4682" s="125"/>
      <c r="F4682" s="118" t="s">
        <v>953</v>
      </c>
      <c r="G4682" s="126" t="s">
        <v>12900</v>
      </c>
      <c r="H4682" s="255">
        <v>2</v>
      </c>
      <c r="I4682" s="361">
        <v>1</v>
      </c>
      <c r="J4682" s="362" t="s">
        <v>310</v>
      </c>
      <c r="K4682" s="372"/>
      <c r="L4682" s="129"/>
      <c r="M4682" s="129"/>
      <c r="N4682" s="129"/>
      <c r="O4682" s="129"/>
      <c r="P4682" s="372"/>
      <c r="Q4682" s="372"/>
      <c r="R4682" s="129"/>
      <c r="S4682" s="129"/>
      <c r="T4682" s="129"/>
      <c r="W4682" s="129" t="s">
        <v>286</v>
      </c>
      <c r="X4682" s="337" t="b">
        <f t="shared" si="109"/>
        <v>0</v>
      </c>
    </row>
    <row r="4683" spans="1:24" s="337" customFormat="1" ht="12" customHeight="1" outlineLevel="1">
      <c r="A4683" s="335"/>
      <c r="B4683" s="118" t="s">
        <v>12</v>
      </c>
      <c r="C4683" s="334" t="s">
        <v>12909</v>
      </c>
      <c r="D4683" s="124" t="s">
        <v>12910</v>
      </c>
      <c r="E4683" s="125"/>
      <c r="F4683" s="118" t="s">
        <v>953</v>
      </c>
      <c r="G4683" s="126" t="s">
        <v>12900</v>
      </c>
      <c r="H4683" s="255">
        <v>2</v>
      </c>
      <c r="I4683" s="361">
        <v>1</v>
      </c>
      <c r="J4683" s="362" t="s">
        <v>310</v>
      </c>
      <c r="K4683" s="372"/>
      <c r="L4683" s="129"/>
      <c r="M4683" s="129"/>
      <c r="N4683" s="129"/>
      <c r="O4683" s="129"/>
      <c r="P4683" s="372"/>
      <c r="Q4683" s="372"/>
      <c r="R4683" s="129"/>
      <c r="S4683" s="129"/>
      <c r="T4683" s="129"/>
      <c r="W4683" s="129" t="s">
        <v>286</v>
      </c>
      <c r="X4683" s="337" t="b">
        <f t="shared" si="109"/>
        <v>0</v>
      </c>
    </row>
    <row r="4684" spans="1:24" s="337" customFormat="1" ht="12" customHeight="1" outlineLevel="1">
      <c r="A4684" s="335"/>
      <c r="B4684" s="118" t="s">
        <v>12</v>
      </c>
      <c r="C4684" s="334" t="s">
        <v>12911</v>
      </c>
      <c r="D4684" s="124" t="s">
        <v>12912</v>
      </c>
      <c r="E4684" s="125"/>
      <c r="F4684" s="118" t="s">
        <v>953</v>
      </c>
      <c r="G4684" s="126" t="s">
        <v>12900</v>
      </c>
      <c r="H4684" s="255">
        <v>2</v>
      </c>
      <c r="I4684" s="361">
        <v>1</v>
      </c>
      <c r="J4684" s="362" t="s">
        <v>310</v>
      </c>
      <c r="K4684" s="372"/>
      <c r="L4684" s="129"/>
      <c r="M4684" s="129"/>
      <c r="N4684" s="129"/>
      <c r="O4684" s="129"/>
      <c r="P4684" s="372"/>
      <c r="Q4684" s="372"/>
      <c r="R4684" s="129"/>
      <c r="S4684" s="129"/>
      <c r="T4684" s="129"/>
      <c r="W4684" s="129" t="s">
        <v>286</v>
      </c>
      <c r="X4684" s="337" t="b">
        <f t="shared" si="109"/>
        <v>0</v>
      </c>
    </row>
    <row r="4685" spans="1:24" s="337" customFormat="1" ht="12" customHeight="1" outlineLevel="1">
      <c r="A4685" s="335"/>
      <c r="B4685" s="118" t="s">
        <v>12</v>
      </c>
      <c r="C4685" s="334" t="s">
        <v>12913</v>
      </c>
      <c r="D4685" s="124" t="s">
        <v>12914</v>
      </c>
      <c r="E4685" s="125"/>
      <c r="F4685" s="118" t="s">
        <v>953</v>
      </c>
      <c r="G4685" s="126" t="s">
        <v>12900</v>
      </c>
      <c r="H4685" s="255">
        <v>2</v>
      </c>
      <c r="I4685" s="361">
        <v>1</v>
      </c>
      <c r="J4685" s="362" t="s">
        <v>310</v>
      </c>
      <c r="K4685" s="372"/>
      <c r="L4685" s="129"/>
      <c r="M4685" s="129"/>
      <c r="N4685" s="129"/>
      <c r="O4685" s="129"/>
      <c r="P4685" s="372"/>
      <c r="Q4685" s="372"/>
      <c r="R4685" s="129"/>
      <c r="S4685" s="129"/>
      <c r="T4685" s="129"/>
      <c r="W4685" s="129" t="s">
        <v>286</v>
      </c>
      <c r="X4685" s="337" t="b">
        <f t="shared" si="109"/>
        <v>0</v>
      </c>
    </row>
    <row r="4686" spans="1:24" s="337" customFormat="1" ht="12" customHeight="1" outlineLevel="1">
      <c r="A4686" s="335"/>
      <c r="B4686" s="118" t="s">
        <v>12</v>
      </c>
      <c r="C4686" s="334" t="s">
        <v>12915</v>
      </c>
      <c r="D4686" s="124" t="s">
        <v>12916</v>
      </c>
      <c r="E4686" s="125"/>
      <c r="F4686" s="118" t="s">
        <v>953</v>
      </c>
      <c r="G4686" s="126" t="s">
        <v>12900</v>
      </c>
      <c r="H4686" s="255">
        <v>2</v>
      </c>
      <c r="I4686" s="361">
        <v>1</v>
      </c>
      <c r="J4686" s="362" t="s">
        <v>310</v>
      </c>
      <c r="K4686" s="372"/>
      <c r="L4686" s="129"/>
      <c r="M4686" s="129"/>
      <c r="N4686" s="129"/>
      <c r="O4686" s="129"/>
      <c r="P4686" s="372"/>
      <c r="Q4686" s="372"/>
      <c r="R4686" s="129"/>
      <c r="S4686" s="129"/>
      <c r="T4686" s="129"/>
      <c r="W4686" s="129" t="s">
        <v>286</v>
      </c>
      <c r="X4686" s="337" t="b">
        <f t="shared" si="109"/>
        <v>0</v>
      </c>
    </row>
    <row r="4687" spans="1:24" s="337" customFormat="1" ht="12" customHeight="1" outlineLevel="1">
      <c r="A4687" s="335"/>
      <c r="B4687" s="118" t="s">
        <v>12</v>
      </c>
      <c r="C4687" s="334" t="s">
        <v>12917</v>
      </c>
      <c r="D4687" s="124" t="s">
        <v>12918</v>
      </c>
      <c r="E4687" s="125"/>
      <c r="F4687" s="118" t="s">
        <v>953</v>
      </c>
      <c r="G4687" s="126" t="s">
        <v>12900</v>
      </c>
      <c r="H4687" s="255">
        <v>2</v>
      </c>
      <c r="I4687" s="361">
        <v>1</v>
      </c>
      <c r="J4687" s="362" t="s">
        <v>310</v>
      </c>
      <c r="K4687" s="372"/>
      <c r="L4687" s="129"/>
      <c r="M4687" s="129"/>
      <c r="N4687" s="129"/>
      <c r="O4687" s="129"/>
      <c r="P4687" s="372"/>
      <c r="Q4687" s="372"/>
      <c r="R4687" s="129"/>
      <c r="S4687" s="129"/>
      <c r="T4687" s="129"/>
      <c r="W4687" s="129" t="s">
        <v>286</v>
      </c>
      <c r="X4687" s="337" t="b">
        <f t="shared" si="109"/>
        <v>0</v>
      </c>
    </row>
    <row r="4688" spans="1:24" s="337" customFormat="1" ht="12" customHeight="1" outlineLevel="1">
      <c r="A4688" s="335"/>
      <c r="B4688" s="118" t="s">
        <v>12</v>
      </c>
      <c r="C4688" s="334" t="s">
        <v>12919</v>
      </c>
      <c r="D4688" s="124" t="s">
        <v>12920</v>
      </c>
      <c r="E4688" s="125"/>
      <c r="F4688" s="118" t="s">
        <v>953</v>
      </c>
      <c r="G4688" s="126" t="s">
        <v>12900</v>
      </c>
      <c r="H4688" s="255">
        <v>2</v>
      </c>
      <c r="I4688" s="361">
        <v>1</v>
      </c>
      <c r="J4688" s="362" t="s">
        <v>310</v>
      </c>
      <c r="K4688" s="372"/>
      <c r="L4688" s="129"/>
      <c r="M4688" s="129"/>
      <c r="N4688" s="129"/>
      <c r="O4688" s="129"/>
      <c r="P4688" s="372"/>
      <c r="Q4688" s="372"/>
      <c r="R4688" s="129"/>
      <c r="S4688" s="129"/>
      <c r="T4688" s="129"/>
      <c r="W4688" s="129" t="s">
        <v>286</v>
      </c>
      <c r="X4688" s="337" t="b">
        <f t="shared" si="109"/>
        <v>0</v>
      </c>
    </row>
    <row r="4689" spans="1:24" s="337" customFormat="1" ht="12" customHeight="1" outlineLevel="1">
      <c r="A4689" s="335"/>
      <c r="B4689" s="118" t="s">
        <v>12</v>
      </c>
      <c r="C4689" s="334" t="s">
        <v>12921</v>
      </c>
      <c r="D4689" s="124" t="s">
        <v>12922</v>
      </c>
      <c r="E4689" s="125"/>
      <c r="F4689" s="118" t="s">
        <v>953</v>
      </c>
      <c r="G4689" s="126" t="s">
        <v>12900</v>
      </c>
      <c r="H4689" s="255">
        <v>2</v>
      </c>
      <c r="I4689" s="361">
        <v>1</v>
      </c>
      <c r="J4689" s="362" t="s">
        <v>310</v>
      </c>
      <c r="K4689" s="372"/>
      <c r="L4689" s="129"/>
      <c r="M4689" s="129"/>
      <c r="N4689" s="129"/>
      <c r="O4689" s="129"/>
      <c r="P4689" s="372"/>
      <c r="Q4689" s="372"/>
      <c r="R4689" s="129"/>
      <c r="S4689" s="129"/>
      <c r="T4689" s="129"/>
      <c r="W4689" s="129" t="s">
        <v>286</v>
      </c>
      <c r="X4689" s="337" t="b">
        <f t="shared" si="109"/>
        <v>0</v>
      </c>
    </row>
    <row r="4690" spans="1:24" s="337" customFormat="1" ht="12" customHeight="1" outlineLevel="1">
      <c r="A4690" s="335"/>
      <c r="B4690" s="118" t="s">
        <v>12</v>
      </c>
      <c r="C4690" s="334" t="s">
        <v>12923</v>
      </c>
      <c r="D4690" s="124" t="s">
        <v>12924</v>
      </c>
      <c r="E4690" s="125"/>
      <c r="F4690" s="118" t="s">
        <v>953</v>
      </c>
      <c r="G4690" s="126" t="s">
        <v>12900</v>
      </c>
      <c r="H4690" s="255">
        <v>2</v>
      </c>
      <c r="I4690" s="361">
        <v>1</v>
      </c>
      <c r="J4690" s="362" t="s">
        <v>310</v>
      </c>
      <c r="K4690" s="372"/>
      <c r="L4690" s="129"/>
      <c r="M4690" s="129"/>
      <c r="N4690" s="129"/>
      <c r="O4690" s="129"/>
      <c r="P4690" s="372"/>
      <c r="Q4690" s="372"/>
      <c r="R4690" s="129"/>
      <c r="S4690" s="129"/>
      <c r="T4690" s="129"/>
      <c r="W4690" s="129" t="s">
        <v>286</v>
      </c>
      <c r="X4690" s="337" t="b">
        <f t="shared" si="109"/>
        <v>0</v>
      </c>
    </row>
    <row r="4691" spans="1:24" s="337" customFormat="1" ht="12" customHeight="1" outlineLevel="1">
      <c r="A4691" s="335"/>
      <c r="B4691" s="118" t="s">
        <v>12</v>
      </c>
      <c r="C4691" s="334" t="s">
        <v>12925</v>
      </c>
      <c r="D4691" s="124" t="s">
        <v>12926</v>
      </c>
      <c r="E4691" s="125"/>
      <c r="F4691" s="118" t="s">
        <v>953</v>
      </c>
      <c r="G4691" s="126" t="s">
        <v>12900</v>
      </c>
      <c r="H4691" s="255">
        <v>2</v>
      </c>
      <c r="I4691" s="361">
        <v>1</v>
      </c>
      <c r="J4691" s="362" t="s">
        <v>310</v>
      </c>
      <c r="K4691" s="372"/>
      <c r="L4691" s="129"/>
      <c r="M4691" s="129"/>
      <c r="N4691" s="129"/>
      <c r="O4691" s="129"/>
      <c r="P4691" s="372"/>
      <c r="Q4691" s="372"/>
      <c r="R4691" s="129"/>
      <c r="S4691" s="129"/>
      <c r="T4691" s="129"/>
      <c r="W4691" s="129" t="s">
        <v>286</v>
      </c>
      <c r="X4691" s="337" t="b">
        <f t="shared" si="109"/>
        <v>0</v>
      </c>
    </row>
    <row r="4692" spans="1:24" s="337" customFormat="1" ht="12" customHeight="1" outlineLevel="1">
      <c r="A4692" s="335"/>
      <c r="B4692" s="118" t="s">
        <v>12</v>
      </c>
      <c r="C4692" s="334" t="s">
        <v>12927</v>
      </c>
      <c r="D4692" s="124" t="s">
        <v>12928</v>
      </c>
      <c r="E4692" s="125"/>
      <c r="F4692" s="118" t="s">
        <v>953</v>
      </c>
      <c r="G4692" s="126" t="s">
        <v>12900</v>
      </c>
      <c r="H4692" s="255">
        <v>2</v>
      </c>
      <c r="I4692" s="361">
        <v>1</v>
      </c>
      <c r="J4692" s="362" t="s">
        <v>310</v>
      </c>
      <c r="K4692" s="372"/>
      <c r="L4692" s="129"/>
      <c r="M4692" s="129"/>
      <c r="N4692" s="129"/>
      <c r="O4692" s="129"/>
      <c r="P4692" s="372"/>
      <c r="Q4692" s="372"/>
      <c r="R4692" s="129"/>
      <c r="S4692" s="129"/>
      <c r="T4692" s="129"/>
      <c r="W4692" s="129" t="s">
        <v>286</v>
      </c>
      <c r="X4692" s="337" t="b">
        <f t="shared" si="109"/>
        <v>0</v>
      </c>
    </row>
    <row r="4693" spans="1:24" s="337" customFormat="1" ht="12" customHeight="1" outlineLevel="1">
      <c r="A4693" s="335"/>
      <c r="B4693" s="118" t="s">
        <v>12</v>
      </c>
      <c r="C4693" s="334" t="s">
        <v>12929</v>
      </c>
      <c r="D4693" s="124" t="s">
        <v>12930</v>
      </c>
      <c r="E4693" s="125"/>
      <c r="F4693" s="118" t="s">
        <v>953</v>
      </c>
      <c r="G4693" s="126" t="s">
        <v>12900</v>
      </c>
      <c r="H4693" s="255">
        <v>2</v>
      </c>
      <c r="I4693" s="361">
        <v>1</v>
      </c>
      <c r="J4693" s="362" t="s">
        <v>310</v>
      </c>
      <c r="K4693" s="372"/>
      <c r="L4693" s="129"/>
      <c r="M4693" s="129"/>
      <c r="N4693" s="129"/>
      <c r="O4693" s="129"/>
      <c r="P4693" s="372"/>
      <c r="Q4693" s="372"/>
      <c r="R4693" s="129"/>
      <c r="S4693" s="129"/>
      <c r="T4693" s="129"/>
      <c r="W4693" s="129" t="s">
        <v>286</v>
      </c>
      <c r="X4693" s="337" t="b">
        <f t="shared" si="109"/>
        <v>0</v>
      </c>
    </row>
    <row r="4694" spans="1:24" s="337" customFormat="1" ht="12" customHeight="1" outlineLevel="1">
      <c r="A4694" s="335"/>
      <c r="B4694" s="118" t="s">
        <v>12</v>
      </c>
      <c r="C4694" s="334" t="s">
        <v>12931</v>
      </c>
      <c r="D4694" s="124" t="s">
        <v>12932</v>
      </c>
      <c r="E4694" s="125"/>
      <c r="F4694" s="118" t="s">
        <v>953</v>
      </c>
      <c r="G4694" s="126" t="s">
        <v>12900</v>
      </c>
      <c r="H4694" s="255">
        <v>2</v>
      </c>
      <c r="I4694" s="361">
        <v>1</v>
      </c>
      <c r="J4694" s="362" t="s">
        <v>310</v>
      </c>
      <c r="K4694" s="372"/>
      <c r="L4694" s="129"/>
      <c r="M4694" s="129"/>
      <c r="N4694" s="129"/>
      <c r="O4694" s="129"/>
      <c r="P4694" s="372"/>
      <c r="Q4694" s="372"/>
      <c r="R4694" s="129"/>
      <c r="S4694" s="129"/>
      <c r="T4694" s="129"/>
      <c r="W4694" s="129" t="s">
        <v>286</v>
      </c>
      <c r="X4694" s="337" t="b">
        <f t="shared" si="109"/>
        <v>0</v>
      </c>
    </row>
    <row r="4695" spans="1:24" s="337" customFormat="1" ht="12" customHeight="1" outlineLevel="1">
      <c r="A4695" s="335"/>
      <c r="B4695" s="118" t="s">
        <v>12</v>
      </c>
      <c r="C4695" s="334" t="s">
        <v>12933</v>
      </c>
      <c r="D4695" s="124" t="s">
        <v>12934</v>
      </c>
      <c r="E4695" s="125"/>
      <c r="F4695" s="118" t="s">
        <v>953</v>
      </c>
      <c r="G4695" s="126" t="s">
        <v>12900</v>
      </c>
      <c r="H4695" s="255">
        <v>2</v>
      </c>
      <c r="I4695" s="361">
        <v>1</v>
      </c>
      <c r="J4695" s="362" t="s">
        <v>310</v>
      </c>
      <c r="K4695" s="372"/>
      <c r="L4695" s="129"/>
      <c r="M4695" s="129"/>
      <c r="N4695" s="129"/>
      <c r="O4695" s="129"/>
      <c r="P4695" s="372"/>
      <c r="Q4695" s="372"/>
      <c r="R4695" s="129"/>
      <c r="S4695" s="129"/>
      <c r="T4695" s="129"/>
      <c r="W4695" s="129" t="s">
        <v>286</v>
      </c>
      <c r="X4695" s="337" t="b">
        <f t="shared" si="109"/>
        <v>0</v>
      </c>
    </row>
    <row r="4696" spans="1:24" s="337" customFormat="1" ht="12" customHeight="1" outlineLevel="1">
      <c r="A4696" s="335"/>
      <c r="B4696" s="118" t="s">
        <v>12</v>
      </c>
      <c r="C4696" s="334" t="s">
        <v>12935</v>
      </c>
      <c r="D4696" s="124" t="s">
        <v>12936</v>
      </c>
      <c r="E4696" s="125"/>
      <c r="F4696" s="118" t="s">
        <v>953</v>
      </c>
      <c r="G4696" s="126" t="s">
        <v>12900</v>
      </c>
      <c r="H4696" s="255">
        <v>2</v>
      </c>
      <c r="I4696" s="361">
        <v>1</v>
      </c>
      <c r="J4696" s="362" t="s">
        <v>310</v>
      </c>
      <c r="K4696" s="372"/>
      <c r="L4696" s="129"/>
      <c r="M4696" s="129"/>
      <c r="N4696" s="129"/>
      <c r="O4696" s="129"/>
      <c r="P4696" s="372"/>
      <c r="Q4696" s="372"/>
      <c r="R4696" s="129"/>
      <c r="S4696" s="129"/>
      <c r="T4696" s="129"/>
      <c r="W4696" s="129" t="s">
        <v>286</v>
      </c>
      <c r="X4696" s="337" t="b">
        <f t="shared" si="109"/>
        <v>0</v>
      </c>
    </row>
    <row r="4697" spans="1:24" s="337" customFormat="1" ht="12" customHeight="1" outlineLevel="1">
      <c r="A4697" s="335"/>
      <c r="B4697" s="118" t="s">
        <v>12</v>
      </c>
      <c r="C4697" s="334" t="s">
        <v>12937</v>
      </c>
      <c r="D4697" s="124" t="s">
        <v>12938</v>
      </c>
      <c r="E4697" s="125"/>
      <c r="F4697" s="118" t="s">
        <v>953</v>
      </c>
      <c r="G4697" s="126" t="s">
        <v>12900</v>
      </c>
      <c r="H4697" s="255">
        <v>2</v>
      </c>
      <c r="I4697" s="361">
        <v>1</v>
      </c>
      <c r="J4697" s="362" t="s">
        <v>307</v>
      </c>
      <c r="K4697" s="372"/>
      <c r="L4697" s="129"/>
      <c r="M4697" s="129"/>
      <c r="N4697" s="129"/>
      <c r="O4697" s="129"/>
      <c r="P4697" s="372"/>
      <c r="Q4697" s="372"/>
      <c r="R4697" s="129"/>
      <c r="S4697" s="129"/>
      <c r="T4697" s="129"/>
      <c r="W4697" s="129" t="s">
        <v>286</v>
      </c>
      <c r="X4697" s="337" t="b">
        <f t="shared" si="109"/>
        <v>0</v>
      </c>
    </row>
    <row r="4698" spans="1:24" s="337" customFormat="1" ht="12" customHeight="1" outlineLevel="1">
      <c r="A4698" s="335"/>
      <c r="B4698" s="118" t="s">
        <v>12</v>
      </c>
      <c r="C4698" s="334" t="s">
        <v>12939</v>
      </c>
      <c r="D4698" s="124" t="s">
        <v>12940</v>
      </c>
      <c r="E4698" s="125"/>
      <c r="F4698" s="118" t="s">
        <v>953</v>
      </c>
      <c r="G4698" s="126" t="s">
        <v>12900</v>
      </c>
      <c r="H4698" s="255">
        <v>2</v>
      </c>
      <c r="I4698" s="361">
        <v>1</v>
      </c>
      <c r="J4698" s="362" t="s">
        <v>307</v>
      </c>
      <c r="K4698" s="372"/>
      <c r="L4698" s="129"/>
      <c r="M4698" s="129"/>
      <c r="N4698" s="129"/>
      <c r="O4698" s="129"/>
      <c r="P4698" s="372"/>
      <c r="Q4698" s="372"/>
      <c r="R4698" s="129"/>
      <c r="S4698" s="129"/>
      <c r="T4698" s="129"/>
      <c r="W4698" s="129" t="s">
        <v>286</v>
      </c>
      <c r="X4698" s="337" t="b">
        <f t="shared" si="109"/>
        <v>0</v>
      </c>
    </row>
    <row r="4699" spans="1:24" s="337" customFormat="1" ht="12" customHeight="1" outlineLevel="1">
      <c r="A4699" s="335"/>
      <c r="B4699" s="118" t="s">
        <v>12</v>
      </c>
      <c r="C4699" s="334" t="s">
        <v>12941</v>
      </c>
      <c r="D4699" s="124" t="s">
        <v>12942</v>
      </c>
      <c r="E4699" s="125"/>
      <c r="F4699" s="118" t="s">
        <v>953</v>
      </c>
      <c r="G4699" s="126" t="s">
        <v>12900</v>
      </c>
      <c r="H4699" s="255">
        <v>2</v>
      </c>
      <c r="I4699" s="361">
        <v>1</v>
      </c>
      <c r="J4699" s="362" t="s">
        <v>307</v>
      </c>
      <c r="K4699" s="372"/>
      <c r="L4699" s="129"/>
      <c r="M4699" s="129"/>
      <c r="N4699" s="129"/>
      <c r="O4699" s="129"/>
      <c r="P4699" s="372"/>
      <c r="Q4699" s="372"/>
      <c r="R4699" s="129"/>
      <c r="S4699" s="129"/>
      <c r="T4699" s="129"/>
      <c r="W4699" s="129" t="s">
        <v>286</v>
      </c>
      <c r="X4699" s="337" t="b">
        <f t="shared" si="109"/>
        <v>0</v>
      </c>
    </row>
    <row r="4700" spans="1:24" s="337" customFormat="1" ht="12" customHeight="1" outlineLevel="1">
      <c r="A4700" s="335"/>
      <c r="B4700" s="118" t="s">
        <v>12</v>
      </c>
      <c r="C4700" s="334" t="s">
        <v>12943</v>
      </c>
      <c r="D4700" s="124" t="s">
        <v>12944</v>
      </c>
      <c r="E4700" s="125"/>
      <c r="F4700" s="118" t="s">
        <v>953</v>
      </c>
      <c r="G4700" s="126" t="s">
        <v>12900</v>
      </c>
      <c r="H4700" s="255">
        <v>2</v>
      </c>
      <c r="I4700" s="361">
        <v>1</v>
      </c>
      <c r="J4700" s="362" t="s">
        <v>310</v>
      </c>
      <c r="K4700" s="372"/>
      <c r="L4700" s="129"/>
      <c r="M4700" s="129"/>
      <c r="N4700" s="129"/>
      <c r="O4700" s="129"/>
      <c r="P4700" s="372"/>
      <c r="Q4700" s="372"/>
      <c r="R4700" s="129"/>
      <c r="S4700" s="129"/>
      <c r="T4700" s="129"/>
      <c r="W4700" s="129" t="s">
        <v>286</v>
      </c>
      <c r="X4700" s="337" t="b">
        <f t="shared" si="109"/>
        <v>0</v>
      </c>
    </row>
    <row r="4701" spans="1:24" s="337" customFormat="1" ht="12" customHeight="1" outlineLevel="1">
      <c r="A4701" s="335"/>
      <c r="B4701" s="118" t="s">
        <v>12</v>
      </c>
      <c r="C4701" s="334" t="s">
        <v>12945</v>
      </c>
      <c r="D4701" s="124" t="s">
        <v>12946</v>
      </c>
      <c r="E4701" s="125"/>
      <c r="F4701" s="118" t="s">
        <v>953</v>
      </c>
      <c r="G4701" s="126" t="s">
        <v>12900</v>
      </c>
      <c r="H4701" s="255">
        <v>2</v>
      </c>
      <c r="I4701" s="361">
        <v>1</v>
      </c>
      <c r="J4701" s="362" t="s">
        <v>310</v>
      </c>
      <c r="K4701" s="372"/>
      <c r="L4701" s="129"/>
      <c r="M4701" s="129"/>
      <c r="N4701" s="129"/>
      <c r="O4701" s="129"/>
      <c r="P4701" s="372"/>
      <c r="Q4701" s="372"/>
      <c r="R4701" s="129"/>
      <c r="S4701" s="129"/>
      <c r="T4701" s="129"/>
      <c r="W4701" s="129" t="s">
        <v>286</v>
      </c>
      <c r="X4701" s="337" t="b">
        <f t="shared" si="109"/>
        <v>0</v>
      </c>
    </row>
    <row r="4702" spans="1:24" s="337" customFormat="1" ht="12" customHeight="1" outlineLevel="1">
      <c r="A4702" s="335"/>
      <c r="B4702" s="118" t="s">
        <v>12</v>
      </c>
      <c r="C4702" s="334" t="s">
        <v>12947</v>
      </c>
      <c r="D4702" s="124" t="s">
        <v>12948</v>
      </c>
      <c r="E4702" s="125"/>
      <c r="F4702" s="118" t="s">
        <v>953</v>
      </c>
      <c r="G4702" s="126" t="s">
        <v>12900</v>
      </c>
      <c r="H4702" s="255">
        <v>2</v>
      </c>
      <c r="I4702" s="361">
        <v>1</v>
      </c>
      <c r="J4702" s="362" t="s">
        <v>310</v>
      </c>
      <c r="K4702" s="372"/>
      <c r="L4702" s="129"/>
      <c r="M4702" s="129"/>
      <c r="N4702" s="129"/>
      <c r="O4702" s="129"/>
      <c r="P4702" s="372"/>
      <c r="Q4702" s="372"/>
      <c r="R4702" s="129"/>
      <c r="S4702" s="129"/>
      <c r="T4702" s="129"/>
      <c r="W4702" s="129" t="s">
        <v>286</v>
      </c>
      <c r="X4702" s="337" t="b">
        <f t="shared" si="109"/>
        <v>0</v>
      </c>
    </row>
    <row r="4703" spans="1:24" s="337" customFormat="1" ht="12" customHeight="1" outlineLevel="1">
      <c r="A4703" s="335"/>
      <c r="B4703" s="118" t="s">
        <v>12</v>
      </c>
      <c r="C4703" s="334" t="s">
        <v>12949</v>
      </c>
      <c r="D4703" s="124" t="s">
        <v>12950</v>
      </c>
      <c r="E4703" s="125"/>
      <c r="F4703" s="118" t="s">
        <v>953</v>
      </c>
      <c r="G4703" s="126" t="s">
        <v>12900</v>
      </c>
      <c r="H4703" s="255">
        <v>2</v>
      </c>
      <c r="I4703" s="361">
        <v>1</v>
      </c>
      <c r="J4703" s="362" t="s">
        <v>310</v>
      </c>
      <c r="K4703" s="372"/>
      <c r="L4703" s="129"/>
      <c r="M4703" s="129"/>
      <c r="N4703" s="129"/>
      <c r="O4703" s="129"/>
      <c r="P4703" s="372"/>
      <c r="Q4703" s="372"/>
      <c r="R4703" s="129"/>
      <c r="S4703" s="129"/>
      <c r="T4703" s="129"/>
      <c r="W4703" s="129" t="s">
        <v>286</v>
      </c>
      <c r="X4703" s="337" t="b">
        <f t="shared" si="109"/>
        <v>0</v>
      </c>
    </row>
    <row r="4704" spans="1:24" s="337" customFormat="1" ht="12" customHeight="1" outlineLevel="1">
      <c r="A4704" s="335"/>
      <c r="B4704" s="118" t="s">
        <v>12</v>
      </c>
      <c r="C4704" s="334" t="s">
        <v>12951</v>
      </c>
      <c r="D4704" s="124" t="s">
        <v>12952</v>
      </c>
      <c r="E4704" s="125"/>
      <c r="F4704" s="118" t="s">
        <v>953</v>
      </c>
      <c r="G4704" s="126" t="s">
        <v>12900</v>
      </c>
      <c r="H4704" s="255">
        <v>2</v>
      </c>
      <c r="I4704" s="361">
        <v>1</v>
      </c>
      <c r="J4704" s="362" t="s">
        <v>310</v>
      </c>
      <c r="K4704" s="372"/>
      <c r="L4704" s="129"/>
      <c r="M4704" s="129"/>
      <c r="N4704" s="129"/>
      <c r="O4704" s="129"/>
      <c r="P4704" s="372"/>
      <c r="Q4704" s="372"/>
      <c r="R4704" s="129"/>
      <c r="S4704" s="129"/>
      <c r="T4704" s="129"/>
      <c r="W4704" s="129" t="s">
        <v>286</v>
      </c>
      <c r="X4704" s="337" t="b">
        <f t="shared" si="109"/>
        <v>0</v>
      </c>
    </row>
    <row r="4705" spans="1:24" s="337" customFormat="1" ht="12" customHeight="1" outlineLevel="1">
      <c r="A4705" s="335"/>
      <c r="B4705" s="118" t="s">
        <v>12</v>
      </c>
      <c r="C4705" s="334" t="s">
        <v>12953</v>
      </c>
      <c r="D4705" s="124" t="s">
        <v>12954</v>
      </c>
      <c r="E4705" s="125"/>
      <c r="F4705" s="118" t="s">
        <v>953</v>
      </c>
      <c r="G4705" s="126" t="s">
        <v>12900</v>
      </c>
      <c r="H4705" s="255">
        <v>2</v>
      </c>
      <c r="I4705" s="361">
        <v>1</v>
      </c>
      <c r="J4705" s="362" t="s">
        <v>310</v>
      </c>
      <c r="K4705" s="372"/>
      <c r="L4705" s="129"/>
      <c r="M4705" s="129"/>
      <c r="N4705" s="129"/>
      <c r="O4705" s="129"/>
      <c r="P4705" s="372"/>
      <c r="Q4705" s="372"/>
      <c r="R4705" s="129"/>
      <c r="S4705" s="129"/>
      <c r="T4705" s="129"/>
      <c r="W4705" s="129" t="s">
        <v>286</v>
      </c>
      <c r="X4705" s="337" t="b">
        <f t="shared" si="109"/>
        <v>0</v>
      </c>
    </row>
    <row r="4706" spans="1:24" s="337" customFormat="1" ht="12" customHeight="1" outlineLevel="1">
      <c r="A4706" s="335"/>
      <c r="B4706" s="118" t="s">
        <v>12</v>
      </c>
      <c r="C4706" s="334" t="s">
        <v>12955</v>
      </c>
      <c r="D4706" s="124" t="s">
        <v>12956</v>
      </c>
      <c r="E4706" s="125"/>
      <c r="F4706" s="118" t="s">
        <v>953</v>
      </c>
      <c r="G4706" s="126" t="s">
        <v>12900</v>
      </c>
      <c r="H4706" s="255">
        <v>2</v>
      </c>
      <c r="I4706" s="361">
        <v>1</v>
      </c>
      <c r="J4706" s="362" t="s">
        <v>310</v>
      </c>
      <c r="K4706" s="372"/>
      <c r="L4706" s="129"/>
      <c r="M4706" s="129"/>
      <c r="N4706" s="129"/>
      <c r="O4706" s="129"/>
      <c r="P4706" s="372"/>
      <c r="Q4706" s="372"/>
      <c r="R4706" s="129"/>
      <c r="S4706" s="129"/>
      <c r="T4706" s="129"/>
      <c r="W4706" s="129" t="s">
        <v>286</v>
      </c>
      <c r="X4706" s="337" t="b">
        <f t="shared" si="109"/>
        <v>0</v>
      </c>
    </row>
    <row r="4707" spans="1:24" s="337" customFormat="1" ht="12" customHeight="1" outlineLevel="1">
      <c r="A4707" s="335"/>
      <c r="B4707" s="118" t="s">
        <v>12</v>
      </c>
      <c r="C4707" s="334" t="s">
        <v>12957</v>
      </c>
      <c r="D4707" s="124" t="s">
        <v>12958</v>
      </c>
      <c r="E4707" s="125"/>
      <c r="F4707" s="118" t="s">
        <v>953</v>
      </c>
      <c r="G4707" s="126" t="s">
        <v>12900</v>
      </c>
      <c r="H4707" s="255">
        <v>2</v>
      </c>
      <c r="I4707" s="361">
        <v>1</v>
      </c>
      <c r="J4707" s="362" t="s">
        <v>310</v>
      </c>
      <c r="K4707" s="372"/>
      <c r="L4707" s="129"/>
      <c r="M4707" s="129"/>
      <c r="N4707" s="129"/>
      <c r="O4707" s="129"/>
      <c r="P4707" s="372"/>
      <c r="Q4707" s="372"/>
      <c r="R4707" s="129"/>
      <c r="S4707" s="129"/>
      <c r="T4707" s="129"/>
      <c r="W4707" s="129" t="s">
        <v>286</v>
      </c>
      <c r="X4707" s="337" t="b">
        <f t="shared" si="109"/>
        <v>0</v>
      </c>
    </row>
    <row r="4708" spans="1:24" s="337" customFormat="1" ht="12" customHeight="1" outlineLevel="1">
      <c r="A4708" s="335"/>
      <c r="B4708" s="118" t="s">
        <v>12</v>
      </c>
      <c r="C4708" s="334" t="s">
        <v>12959</v>
      </c>
      <c r="D4708" s="124" t="s">
        <v>12960</v>
      </c>
      <c r="E4708" s="125"/>
      <c r="F4708" s="118" t="s">
        <v>953</v>
      </c>
      <c r="G4708" s="126" t="s">
        <v>12900</v>
      </c>
      <c r="H4708" s="255">
        <v>2</v>
      </c>
      <c r="I4708" s="361">
        <v>1</v>
      </c>
      <c r="J4708" s="362" t="s">
        <v>310</v>
      </c>
      <c r="K4708" s="372"/>
      <c r="L4708" s="129"/>
      <c r="M4708" s="129"/>
      <c r="N4708" s="129"/>
      <c r="O4708" s="129"/>
      <c r="P4708" s="372"/>
      <c r="Q4708" s="372"/>
      <c r="R4708" s="129"/>
      <c r="S4708" s="129"/>
      <c r="T4708" s="129"/>
      <c r="W4708" s="129" t="s">
        <v>286</v>
      </c>
      <c r="X4708" s="337" t="b">
        <f t="shared" si="109"/>
        <v>0</v>
      </c>
    </row>
    <row r="4709" spans="1:24" s="337" customFormat="1" ht="12" customHeight="1" outlineLevel="1">
      <c r="A4709" s="335"/>
      <c r="B4709" s="118" t="s">
        <v>12</v>
      </c>
      <c r="C4709" s="334" t="s">
        <v>12961</v>
      </c>
      <c r="D4709" s="124" t="s">
        <v>12962</v>
      </c>
      <c r="E4709" s="125"/>
      <c r="F4709" s="118" t="s">
        <v>953</v>
      </c>
      <c r="G4709" s="126" t="s">
        <v>12900</v>
      </c>
      <c r="H4709" s="255">
        <v>2</v>
      </c>
      <c r="I4709" s="361">
        <v>1</v>
      </c>
      <c r="J4709" s="362" t="s">
        <v>310</v>
      </c>
      <c r="K4709" s="372"/>
      <c r="L4709" s="129"/>
      <c r="M4709" s="129"/>
      <c r="N4709" s="129"/>
      <c r="O4709" s="129"/>
      <c r="P4709" s="372"/>
      <c r="Q4709" s="372"/>
      <c r="R4709" s="129"/>
      <c r="S4709" s="129"/>
      <c r="T4709" s="129"/>
      <c r="W4709" s="129" t="s">
        <v>310</v>
      </c>
      <c r="X4709" s="337" t="b">
        <f t="shared" si="109"/>
        <v>1</v>
      </c>
    </row>
    <row r="4710" spans="1:24" s="337" customFormat="1" ht="12" customHeight="1" outlineLevel="1">
      <c r="A4710" s="335"/>
      <c r="B4710" s="118" t="s">
        <v>12</v>
      </c>
      <c r="C4710" s="334" t="s">
        <v>12963</v>
      </c>
      <c r="D4710" s="124" t="s">
        <v>12964</v>
      </c>
      <c r="E4710" s="125"/>
      <c r="F4710" s="118" t="s">
        <v>953</v>
      </c>
      <c r="G4710" s="126" t="s">
        <v>12900</v>
      </c>
      <c r="H4710" s="255">
        <v>2</v>
      </c>
      <c r="I4710" s="361">
        <v>1</v>
      </c>
      <c r="J4710" s="362" t="s">
        <v>310</v>
      </c>
      <c r="K4710" s="372"/>
      <c r="L4710" s="129"/>
      <c r="M4710" s="129"/>
      <c r="N4710" s="129"/>
      <c r="O4710" s="129"/>
      <c r="P4710" s="372"/>
      <c r="Q4710" s="372"/>
      <c r="R4710" s="129"/>
      <c r="S4710" s="129"/>
      <c r="T4710" s="129"/>
      <c r="W4710" s="129" t="s">
        <v>286</v>
      </c>
      <c r="X4710" s="337" t="b">
        <f t="shared" si="109"/>
        <v>0</v>
      </c>
    </row>
    <row r="4711" spans="1:24" s="337" customFormat="1" ht="12" customHeight="1" outlineLevel="1">
      <c r="A4711" s="335"/>
      <c r="B4711" s="118" t="s">
        <v>12</v>
      </c>
      <c r="C4711" s="334" t="s">
        <v>12965</v>
      </c>
      <c r="D4711" s="124" t="s">
        <v>12966</v>
      </c>
      <c r="E4711" s="125"/>
      <c r="F4711" s="118" t="s">
        <v>953</v>
      </c>
      <c r="G4711" s="126" t="s">
        <v>12900</v>
      </c>
      <c r="H4711" s="255">
        <v>2</v>
      </c>
      <c r="I4711" s="361">
        <v>1</v>
      </c>
      <c r="J4711" s="362" t="s">
        <v>310</v>
      </c>
      <c r="K4711" s="372"/>
      <c r="L4711" s="129"/>
      <c r="M4711" s="129"/>
      <c r="N4711" s="129"/>
      <c r="O4711" s="129"/>
      <c r="P4711" s="372"/>
      <c r="Q4711" s="372"/>
      <c r="R4711" s="129"/>
      <c r="S4711" s="129"/>
      <c r="T4711" s="129"/>
      <c r="W4711" s="129" t="s">
        <v>286</v>
      </c>
      <c r="X4711" s="337" t="b">
        <f t="shared" si="109"/>
        <v>0</v>
      </c>
    </row>
    <row r="4712" spans="1:24" s="337" customFormat="1" ht="12" customHeight="1" outlineLevel="1">
      <c r="A4712" s="335"/>
      <c r="B4712" s="118" t="s">
        <v>12</v>
      </c>
      <c r="C4712" s="334" t="s">
        <v>12967</v>
      </c>
      <c r="D4712" s="124" t="s">
        <v>12968</v>
      </c>
      <c r="E4712" s="125"/>
      <c r="F4712" s="118" t="s">
        <v>953</v>
      </c>
      <c r="G4712" s="126" t="s">
        <v>12900</v>
      </c>
      <c r="H4712" s="255">
        <v>2</v>
      </c>
      <c r="I4712" s="361">
        <v>1</v>
      </c>
      <c r="J4712" s="362" t="s">
        <v>310</v>
      </c>
      <c r="K4712" s="372"/>
      <c r="L4712" s="129"/>
      <c r="M4712" s="129"/>
      <c r="N4712" s="129"/>
      <c r="O4712" s="129"/>
      <c r="P4712" s="372"/>
      <c r="Q4712" s="372"/>
      <c r="R4712" s="129"/>
      <c r="S4712" s="129"/>
      <c r="T4712" s="129"/>
      <c r="W4712" s="129" t="s">
        <v>286</v>
      </c>
      <c r="X4712" s="337" t="b">
        <f t="shared" si="109"/>
        <v>0</v>
      </c>
    </row>
    <row r="4713" spans="1:24" s="337" customFormat="1" ht="12" customHeight="1" outlineLevel="1">
      <c r="A4713" s="335"/>
      <c r="B4713" s="118" t="s">
        <v>12</v>
      </c>
      <c r="C4713" s="334" t="s">
        <v>12969</v>
      </c>
      <c r="D4713" s="124" t="s">
        <v>12970</v>
      </c>
      <c r="E4713" s="125"/>
      <c r="F4713" s="118" t="s">
        <v>953</v>
      </c>
      <c r="G4713" s="126" t="s">
        <v>12900</v>
      </c>
      <c r="H4713" s="255">
        <v>2</v>
      </c>
      <c r="I4713" s="361">
        <v>1</v>
      </c>
      <c r="J4713" s="362" t="s">
        <v>307</v>
      </c>
      <c r="K4713" s="372"/>
      <c r="L4713" s="129"/>
      <c r="M4713" s="129"/>
      <c r="N4713" s="129"/>
      <c r="O4713" s="129"/>
      <c r="P4713" s="372"/>
      <c r="Q4713" s="372"/>
      <c r="R4713" s="129"/>
      <c r="S4713" s="129"/>
      <c r="T4713" s="129"/>
      <c r="W4713" s="129" t="s">
        <v>310</v>
      </c>
      <c r="X4713" s="337" t="b">
        <f t="shared" si="109"/>
        <v>0</v>
      </c>
    </row>
    <row r="4714" spans="1:24" s="337" customFormat="1" ht="12" customHeight="1" outlineLevel="1">
      <c r="A4714" s="335"/>
      <c r="B4714" s="118" t="s">
        <v>12</v>
      </c>
      <c r="C4714" s="334" t="s">
        <v>12971</v>
      </c>
      <c r="D4714" s="124" t="s">
        <v>12972</v>
      </c>
      <c r="E4714" s="125"/>
      <c r="F4714" s="118" t="s">
        <v>953</v>
      </c>
      <c r="G4714" s="126" t="s">
        <v>12900</v>
      </c>
      <c r="H4714" s="255">
        <v>2</v>
      </c>
      <c r="I4714" s="361">
        <v>1</v>
      </c>
      <c r="J4714" s="362" t="s">
        <v>307</v>
      </c>
      <c r="K4714" s="372"/>
      <c r="L4714" s="129"/>
      <c r="M4714" s="129"/>
      <c r="N4714" s="129"/>
      <c r="O4714" s="129"/>
      <c r="P4714" s="372"/>
      <c r="Q4714" s="372"/>
      <c r="R4714" s="129"/>
      <c r="S4714" s="129"/>
      <c r="T4714" s="129"/>
      <c r="W4714" s="129" t="s">
        <v>286</v>
      </c>
      <c r="X4714" s="337" t="b">
        <f t="shared" si="109"/>
        <v>0</v>
      </c>
    </row>
    <row r="4715" spans="1:24" s="337" customFormat="1" ht="12" customHeight="1" outlineLevel="1">
      <c r="A4715" s="335"/>
      <c r="B4715" s="118" t="s">
        <v>12</v>
      </c>
      <c r="C4715" s="334" t="s">
        <v>12973</v>
      </c>
      <c r="D4715" s="124" t="s">
        <v>12974</v>
      </c>
      <c r="E4715" s="125"/>
      <c r="F4715" s="118" t="s">
        <v>953</v>
      </c>
      <c r="G4715" s="126" t="s">
        <v>12900</v>
      </c>
      <c r="H4715" s="255">
        <v>2</v>
      </c>
      <c r="I4715" s="361">
        <v>1</v>
      </c>
      <c r="J4715" s="362" t="s">
        <v>310</v>
      </c>
      <c r="K4715" s="372"/>
      <c r="L4715" s="129"/>
      <c r="M4715" s="129"/>
      <c r="N4715" s="129"/>
      <c r="O4715" s="129"/>
      <c r="P4715" s="372"/>
      <c r="Q4715" s="372"/>
      <c r="R4715" s="129"/>
      <c r="S4715" s="129"/>
      <c r="T4715" s="129"/>
      <c r="W4715" s="129" t="s">
        <v>286</v>
      </c>
      <c r="X4715" s="337" t="b">
        <f t="shared" si="109"/>
        <v>0</v>
      </c>
    </row>
    <row r="4716" spans="1:24" s="337" customFormat="1" ht="12" customHeight="1" outlineLevel="1">
      <c r="A4716" s="335"/>
      <c r="B4716" s="118" t="s">
        <v>12</v>
      </c>
      <c r="C4716" s="334" t="s">
        <v>12975</v>
      </c>
      <c r="D4716" s="124" t="s">
        <v>12976</v>
      </c>
      <c r="E4716" s="125"/>
      <c r="F4716" s="118" t="s">
        <v>953</v>
      </c>
      <c r="G4716" s="126" t="s">
        <v>12900</v>
      </c>
      <c r="H4716" s="255">
        <v>2</v>
      </c>
      <c r="I4716" s="361">
        <v>1</v>
      </c>
      <c r="J4716" s="362" t="s">
        <v>310</v>
      </c>
      <c r="K4716" s="372"/>
      <c r="L4716" s="129"/>
      <c r="M4716" s="129"/>
      <c r="N4716" s="129"/>
      <c r="O4716" s="129"/>
      <c r="P4716" s="372"/>
      <c r="Q4716" s="372"/>
      <c r="R4716" s="129"/>
      <c r="S4716" s="129"/>
      <c r="T4716" s="129"/>
      <c r="W4716" s="129" t="s">
        <v>286</v>
      </c>
      <c r="X4716" s="337" t="b">
        <f t="shared" si="109"/>
        <v>0</v>
      </c>
    </row>
    <row r="4717" spans="1:24" s="337" customFormat="1" ht="12" customHeight="1" outlineLevel="1">
      <c r="A4717" s="335"/>
      <c r="B4717" s="118" t="s">
        <v>12</v>
      </c>
      <c r="C4717" s="334" t="s">
        <v>12977</v>
      </c>
      <c r="D4717" s="124" t="s">
        <v>12978</v>
      </c>
      <c r="E4717" s="125"/>
      <c r="F4717" s="118" t="s">
        <v>953</v>
      </c>
      <c r="G4717" s="126" t="s">
        <v>12900</v>
      </c>
      <c r="H4717" s="255">
        <v>2</v>
      </c>
      <c r="I4717" s="361">
        <v>1</v>
      </c>
      <c r="J4717" s="362" t="s">
        <v>310</v>
      </c>
      <c r="K4717" s="372"/>
      <c r="L4717" s="129"/>
      <c r="M4717" s="129"/>
      <c r="N4717" s="129"/>
      <c r="O4717" s="129"/>
      <c r="P4717" s="372"/>
      <c r="Q4717" s="372"/>
      <c r="R4717" s="129"/>
      <c r="S4717" s="129"/>
      <c r="T4717" s="129"/>
      <c r="W4717" s="129" t="s">
        <v>286</v>
      </c>
      <c r="X4717" s="337" t="b">
        <f t="shared" si="109"/>
        <v>0</v>
      </c>
    </row>
    <row r="4718" spans="1:24" s="337" customFormat="1" ht="12" customHeight="1" outlineLevel="1">
      <c r="A4718" s="335"/>
      <c r="B4718" s="118" t="s">
        <v>12</v>
      </c>
      <c r="C4718" s="334" t="s">
        <v>12979</v>
      </c>
      <c r="D4718" s="124" t="s">
        <v>12980</v>
      </c>
      <c r="E4718" s="125"/>
      <c r="F4718" s="118" t="s">
        <v>953</v>
      </c>
      <c r="G4718" s="126" t="s">
        <v>12900</v>
      </c>
      <c r="H4718" s="255">
        <v>2</v>
      </c>
      <c r="I4718" s="361">
        <v>1</v>
      </c>
      <c r="J4718" s="362" t="s">
        <v>310</v>
      </c>
      <c r="K4718" s="372"/>
      <c r="L4718" s="129"/>
      <c r="M4718" s="129"/>
      <c r="N4718" s="129"/>
      <c r="O4718" s="129"/>
      <c r="P4718" s="372"/>
      <c r="Q4718" s="372"/>
      <c r="R4718" s="129"/>
      <c r="S4718" s="129"/>
      <c r="T4718" s="129"/>
      <c r="W4718" s="129" t="s">
        <v>286</v>
      </c>
      <c r="X4718" s="337" t="b">
        <f t="shared" si="109"/>
        <v>0</v>
      </c>
    </row>
    <row r="4719" spans="1:24" s="337" customFormat="1" ht="12" customHeight="1" outlineLevel="1">
      <c r="A4719" s="335"/>
      <c r="B4719" s="118" t="s">
        <v>12</v>
      </c>
      <c r="C4719" s="334" t="s">
        <v>12981</v>
      </c>
      <c r="D4719" s="124" t="s">
        <v>12982</v>
      </c>
      <c r="E4719" s="125"/>
      <c r="F4719" s="118" t="s">
        <v>953</v>
      </c>
      <c r="G4719" s="126" t="s">
        <v>12900</v>
      </c>
      <c r="H4719" s="255">
        <v>2</v>
      </c>
      <c r="I4719" s="361">
        <v>1</v>
      </c>
      <c r="J4719" s="362" t="s">
        <v>310</v>
      </c>
      <c r="K4719" s="372"/>
      <c r="L4719" s="129"/>
      <c r="M4719" s="129"/>
      <c r="N4719" s="129"/>
      <c r="O4719" s="129"/>
      <c r="P4719" s="372"/>
      <c r="Q4719" s="372"/>
      <c r="R4719" s="129"/>
      <c r="S4719" s="129"/>
      <c r="T4719" s="129"/>
      <c r="W4719" s="129" t="s">
        <v>286</v>
      </c>
      <c r="X4719" s="337" t="b">
        <f t="shared" si="109"/>
        <v>0</v>
      </c>
    </row>
    <row r="4720" spans="1:24" s="337" customFormat="1" ht="12" customHeight="1" outlineLevel="1">
      <c r="A4720" s="335"/>
      <c r="B4720" s="118" t="s">
        <v>12</v>
      </c>
      <c r="C4720" s="334" t="s">
        <v>12983</v>
      </c>
      <c r="D4720" s="124" t="s">
        <v>12984</v>
      </c>
      <c r="E4720" s="125"/>
      <c r="F4720" s="118" t="s">
        <v>953</v>
      </c>
      <c r="G4720" s="126" t="s">
        <v>12900</v>
      </c>
      <c r="H4720" s="255">
        <v>2</v>
      </c>
      <c r="I4720" s="361">
        <v>1</v>
      </c>
      <c r="J4720" s="362" t="s">
        <v>310</v>
      </c>
      <c r="K4720" s="372"/>
      <c r="L4720" s="129"/>
      <c r="M4720" s="129"/>
      <c r="N4720" s="129"/>
      <c r="O4720" s="129"/>
      <c r="P4720" s="372"/>
      <c r="Q4720" s="372"/>
      <c r="R4720" s="129"/>
      <c r="S4720" s="129"/>
      <c r="T4720" s="129"/>
      <c r="W4720" s="129" t="s">
        <v>286</v>
      </c>
      <c r="X4720" s="337" t="b">
        <f t="shared" si="109"/>
        <v>0</v>
      </c>
    </row>
    <row r="4721" spans="1:24" s="337" customFormat="1" ht="12" customHeight="1" outlineLevel="1">
      <c r="A4721" s="335"/>
      <c r="B4721" s="118" t="s">
        <v>12</v>
      </c>
      <c r="C4721" s="334" t="s">
        <v>12985</v>
      </c>
      <c r="D4721" s="124" t="s">
        <v>12986</v>
      </c>
      <c r="E4721" s="125"/>
      <c r="F4721" s="118" t="s">
        <v>953</v>
      </c>
      <c r="G4721" s="126" t="s">
        <v>12900</v>
      </c>
      <c r="H4721" s="255">
        <v>2</v>
      </c>
      <c r="I4721" s="361">
        <v>1</v>
      </c>
      <c r="J4721" s="362" t="s">
        <v>310</v>
      </c>
      <c r="K4721" s="372"/>
      <c r="L4721" s="129"/>
      <c r="M4721" s="129"/>
      <c r="N4721" s="129"/>
      <c r="O4721" s="129"/>
      <c r="P4721" s="372"/>
      <c r="Q4721" s="372"/>
      <c r="R4721" s="129"/>
      <c r="S4721" s="129"/>
      <c r="T4721" s="129"/>
      <c r="W4721" s="129" t="s">
        <v>286</v>
      </c>
      <c r="X4721" s="337" t="b">
        <f t="shared" si="109"/>
        <v>0</v>
      </c>
    </row>
    <row r="4722" spans="1:24" s="337" customFormat="1" ht="12" customHeight="1" outlineLevel="1">
      <c r="A4722" s="335"/>
      <c r="B4722" s="118" t="s">
        <v>12</v>
      </c>
      <c r="C4722" s="334" t="s">
        <v>12987</v>
      </c>
      <c r="D4722" s="124" t="s">
        <v>12988</v>
      </c>
      <c r="E4722" s="125"/>
      <c r="F4722" s="118" t="s">
        <v>953</v>
      </c>
      <c r="G4722" s="126" t="s">
        <v>12900</v>
      </c>
      <c r="H4722" s="255">
        <v>2</v>
      </c>
      <c r="I4722" s="361">
        <v>1</v>
      </c>
      <c r="J4722" s="362" t="s">
        <v>310</v>
      </c>
      <c r="K4722" s="372"/>
      <c r="L4722" s="129"/>
      <c r="M4722" s="129"/>
      <c r="N4722" s="129"/>
      <c r="O4722" s="129"/>
      <c r="P4722" s="372"/>
      <c r="Q4722" s="372"/>
      <c r="R4722" s="129"/>
      <c r="S4722" s="129"/>
      <c r="T4722" s="129"/>
      <c r="W4722" s="129" t="s">
        <v>286</v>
      </c>
      <c r="X4722" s="337" t="b">
        <f t="shared" si="109"/>
        <v>0</v>
      </c>
    </row>
    <row r="4723" spans="1:24" s="337" customFormat="1" ht="12" customHeight="1" outlineLevel="1">
      <c r="A4723" s="335"/>
      <c r="B4723" s="118" t="s">
        <v>12</v>
      </c>
      <c r="C4723" s="334" t="s">
        <v>12989</v>
      </c>
      <c r="D4723" s="124" t="s">
        <v>12990</v>
      </c>
      <c r="E4723" s="125"/>
      <c r="F4723" s="118" t="s">
        <v>953</v>
      </c>
      <c r="G4723" s="126" t="s">
        <v>12900</v>
      </c>
      <c r="H4723" s="255">
        <v>2</v>
      </c>
      <c r="I4723" s="361">
        <v>1</v>
      </c>
      <c r="J4723" s="362" t="s">
        <v>310</v>
      </c>
      <c r="K4723" s="372"/>
      <c r="L4723" s="129"/>
      <c r="M4723" s="129"/>
      <c r="N4723" s="129"/>
      <c r="O4723" s="129"/>
      <c r="P4723" s="372"/>
      <c r="Q4723" s="372"/>
      <c r="R4723" s="129"/>
      <c r="S4723" s="129"/>
      <c r="T4723" s="129"/>
      <c r="W4723" s="129" t="s">
        <v>286</v>
      </c>
      <c r="X4723" s="337" t="b">
        <f t="shared" si="109"/>
        <v>0</v>
      </c>
    </row>
    <row r="4724" spans="1:24" s="337" customFormat="1" ht="12" customHeight="1" outlineLevel="1">
      <c r="A4724" s="335"/>
      <c r="B4724" s="118" t="s">
        <v>12</v>
      </c>
      <c r="C4724" s="334" t="s">
        <v>12991</v>
      </c>
      <c r="D4724" s="124" t="s">
        <v>12992</v>
      </c>
      <c r="E4724" s="125"/>
      <c r="F4724" s="118" t="s">
        <v>953</v>
      </c>
      <c r="G4724" s="126" t="s">
        <v>12900</v>
      </c>
      <c r="H4724" s="255">
        <v>2</v>
      </c>
      <c r="I4724" s="361">
        <v>1</v>
      </c>
      <c r="J4724" s="362" t="s">
        <v>310</v>
      </c>
      <c r="K4724" s="372"/>
      <c r="L4724" s="129"/>
      <c r="M4724" s="129"/>
      <c r="N4724" s="129"/>
      <c r="O4724" s="129"/>
      <c r="P4724" s="372"/>
      <c r="Q4724" s="372"/>
      <c r="R4724" s="129"/>
      <c r="S4724" s="129"/>
      <c r="T4724" s="129"/>
      <c r="W4724" s="129" t="s">
        <v>286</v>
      </c>
      <c r="X4724" s="337" t="b">
        <f t="shared" si="109"/>
        <v>0</v>
      </c>
    </row>
    <row r="4725" spans="1:24" s="337" customFormat="1" ht="12" customHeight="1" outlineLevel="1">
      <c r="A4725" s="335"/>
      <c r="B4725" s="118" t="s">
        <v>12</v>
      </c>
      <c r="C4725" s="334" t="s">
        <v>12993</v>
      </c>
      <c r="D4725" s="124" t="s">
        <v>12994</v>
      </c>
      <c r="E4725" s="125"/>
      <c r="F4725" s="118" t="s">
        <v>953</v>
      </c>
      <c r="G4725" s="126" t="s">
        <v>12900</v>
      </c>
      <c r="H4725" s="255">
        <v>2</v>
      </c>
      <c r="I4725" s="361">
        <v>1</v>
      </c>
      <c r="J4725" s="362" t="s">
        <v>310</v>
      </c>
      <c r="K4725" s="372"/>
      <c r="L4725" s="129"/>
      <c r="M4725" s="129"/>
      <c r="N4725" s="129"/>
      <c r="O4725" s="129"/>
      <c r="P4725" s="372"/>
      <c r="Q4725" s="372"/>
      <c r="R4725" s="129"/>
      <c r="S4725" s="129"/>
      <c r="T4725" s="129"/>
      <c r="W4725" s="129" t="s">
        <v>286</v>
      </c>
      <c r="X4725" s="337" t="b">
        <f t="shared" si="109"/>
        <v>0</v>
      </c>
    </row>
    <row r="4726" spans="1:24" s="337" customFormat="1" ht="12" customHeight="1" outlineLevel="1">
      <c r="A4726" s="335"/>
      <c r="B4726" s="118" t="s">
        <v>12</v>
      </c>
      <c r="C4726" s="334" t="s">
        <v>12995</v>
      </c>
      <c r="D4726" s="124" t="s">
        <v>12996</v>
      </c>
      <c r="E4726" s="125"/>
      <c r="F4726" s="118" t="s">
        <v>953</v>
      </c>
      <c r="G4726" s="126" t="s">
        <v>12900</v>
      </c>
      <c r="H4726" s="255">
        <v>2</v>
      </c>
      <c r="I4726" s="361">
        <v>1</v>
      </c>
      <c r="J4726" s="362" t="s">
        <v>310</v>
      </c>
      <c r="K4726" s="372"/>
      <c r="L4726" s="129"/>
      <c r="M4726" s="129"/>
      <c r="N4726" s="129"/>
      <c r="O4726" s="129"/>
      <c r="P4726" s="372"/>
      <c r="Q4726" s="372"/>
      <c r="R4726" s="129"/>
      <c r="S4726" s="129"/>
      <c r="T4726" s="129"/>
      <c r="W4726" s="129" t="s">
        <v>286</v>
      </c>
      <c r="X4726" s="337" t="b">
        <f t="shared" si="109"/>
        <v>0</v>
      </c>
    </row>
    <row r="4727" spans="1:24" s="337" customFormat="1" ht="12" customHeight="1" outlineLevel="1">
      <c r="A4727" s="335"/>
      <c r="B4727" s="118" t="s">
        <v>12</v>
      </c>
      <c r="C4727" s="334" t="s">
        <v>12997</v>
      </c>
      <c r="D4727" s="124" t="s">
        <v>12998</v>
      </c>
      <c r="E4727" s="125"/>
      <c r="F4727" s="118" t="s">
        <v>953</v>
      </c>
      <c r="G4727" s="126" t="s">
        <v>12900</v>
      </c>
      <c r="H4727" s="255">
        <v>2</v>
      </c>
      <c r="I4727" s="361">
        <v>1</v>
      </c>
      <c r="J4727" s="362" t="s">
        <v>310</v>
      </c>
      <c r="K4727" s="372"/>
      <c r="L4727" s="129"/>
      <c r="M4727" s="129"/>
      <c r="N4727" s="129"/>
      <c r="O4727" s="129"/>
      <c r="P4727" s="372"/>
      <c r="Q4727" s="372"/>
      <c r="R4727" s="129"/>
      <c r="S4727" s="129"/>
      <c r="T4727" s="129"/>
      <c r="W4727" s="129" t="s">
        <v>286</v>
      </c>
      <c r="X4727" s="337" t="b">
        <f t="shared" si="109"/>
        <v>0</v>
      </c>
    </row>
    <row r="4728" spans="1:24" s="337" customFormat="1" ht="12" customHeight="1" outlineLevel="1">
      <c r="A4728" s="335"/>
      <c r="B4728" s="118" t="s">
        <v>12</v>
      </c>
      <c r="C4728" s="334" t="s">
        <v>12999</v>
      </c>
      <c r="D4728" s="124" t="s">
        <v>13000</v>
      </c>
      <c r="E4728" s="125"/>
      <c r="F4728" s="118" t="s">
        <v>953</v>
      </c>
      <c r="G4728" s="126" t="s">
        <v>12900</v>
      </c>
      <c r="H4728" s="255">
        <v>2</v>
      </c>
      <c r="I4728" s="361">
        <v>1</v>
      </c>
      <c r="J4728" s="362" t="s">
        <v>310</v>
      </c>
      <c r="K4728" s="372"/>
      <c r="L4728" s="129"/>
      <c r="M4728" s="129"/>
      <c r="N4728" s="129"/>
      <c r="O4728" s="129"/>
      <c r="P4728" s="372"/>
      <c r="Q4728" s="372"/>
      <c r="R4728" s="129"/>
      <c r="S4728" s="129"/>
      <c r="T4728" s="129"/>
      <c r="W4728" s="129" t="s">
        <v>286</v>
      </c>
      <c r="X4728" s="337" t="b">
        <f t="shared" si="109"/>
        <v>0</v>
      </c>
    </row>
    <row r="4729" spans="1:24" s="337" customFormat="1" ht="12" customHeight="1" outlineLevel="1">
      <c r="A4729" s="335"/>
      <c r="B4729" s="118" t="s">
        <v>12</v>
      </c>
      <c r="C4729" s="334" t="s">
        <v>13001</v>
      </c>
      <c r="D4729" s="124" t="s">
        <v>13002</v>
      </c>
      <c r="E4729" s="125"/>
      <c r="F4729" s="118" t="s">
        <v>953</v>
      </c>
      <c r="G4729" s="126" t="s">
        <v>12900</v>
      </c>
      <c r="H4729" s="255">
        <v>2</v>
      </c>
      <c r="I4729" s="361">
        <v>1</v>
      </c>
      <c r="J4729" s="362" t="s">
        <v>310</v>
      </c>
      <c r="K4729" s="372"/>
      <c r="L4729" s="129"/>
      <c r="M4729" s="129"/>
      <c r="N4729" s="129"/>
      <c r="O4729" s="129"/>
      <c r="P4729" s="372"/>
      <c r="Q4729" s="372"/>
      <c r="R4729" s="129"/>
      <c r="S4729" s="129"/>
      <c r="T4729" s="129"/>
      <c r="W4729" s="129" t="s">
        <v>286</v>
      </c>
      <c r="X4729" s="337" t="b">
        <f t="shared" si="109"/>
        <v>0</v>
      </c>
    </row>
    <row r="4730" spans="1:24" s="337" customFormat="1" ht="12" customHeight="1" outlineLevel="1">
      <c r="A4730" s="335"/>
      <c r="B4730" s="118" t="s">
        <v>12</v>
      </c>
      <c r="C4730" s="334" t="s">
        <v>13003</v>
      </c>
      <c r="D4730" s="124" t="s">
        <v>13004</v>
      </c>
      <c r="E4730" s="125"/>
      <c r="F4730" s="118" t="s">
        <v>953</v>
      </c>
      <c r="G4730" s="126" t="s">
        <v>12900</v>
      </c>
      <c r="H4730" s="255">
        <v>2</v>
      </c>
      <c r="I4730" s="361">
        <v>1</v>
      </c>
      <c r="J4730" s="362" t="s">
        <v>310</v>
      </c>
      <c r="K4730" s="372"/>
      <c r="L4730" s="129"/>
      <c r="M4730" s="129"/>
      <c r="N4730" s="129"/>
      <c r="O4730" s="129"/>
      <c r="P4730" s="372"/>
      <c r="Q4730" s="372"/>
      <c r="R4730" s="129"/>
      <c r="S4730" s="129"/>
      <c r="T4730" s="129"/>
      <c r="W4730" s="129" t="s">
        <v>286</v>
      </c>
      <c r="X4730" s="337" t="b">
        <f t="shared" si="109"/>
        <v>0</v>
      </c>
    </row>
    <row r="4731" spans="1:24" s="337" customFormat="1" ht="12" customHeight="1" outlineLevel="1">
      <c r="A4731" s="335"/>
      <c r="B4731" s="118" t="s">
        <v>12</v>
      </c>
      <c r="C4731" s="334" t="s">
        <v>13005</v>
      </c>
      <c r="D4731" s="124" t="s">
        <v>13006</v>
      </c>
      <c r="E4731" s="125"/>
      <c r="F4731" s="118" t="s">
        <v>953</v>
      </c>
      <c r="G4731" s="126" t="s">
        <v>12900</v>
      </c>
      <c r="H4731" s="255">
        <v>2</v>
      </c>
      <c r="I4731" s="361">
        <v>1</v>
      </c>
      <c r="J4731" s="362" t="s">
        <v>310</v>
      </c>
      <c r="K4731" s="372"/>
      <c r="L4731" s="129"/>
      <c r="M4731" s="129"/>
      <c r="N4731" s="129"/>
      <c r="O4731" s="129"/>
      <c r="P4731" s="372"/>
      <c r="Q4731" s="372"/>
      <c r="R4731" s="129"/>
      <c r="S4731" s="129"/>
      <c r="T4731" s="129"/>
      <c r="W4731" s="129" t="s">
        <v>286</v>
      </c>
      <c r="X4731" s="337" t="b">
        <f t="shared" si="109"/>
        <v>0</v>
      </c>
    </row>
    <row r="4732" spans="1:24" s="337" customFormat="1" ht="12" customHeight="1" outlineLevel="1">
      <c r="A4732" s="335"/>
      <c r="B4732" s="118" t="s">
        <v>12</v>
      </c>
      <c r="C4732" s="334" t="s">
        <v>13007</v>
      </c>
      <c r="D4732" s="124" t="s">
        <v>13008</v>
      </c>
      <c r="E4732" s="125"/>
      <c r="F4732" s="118" t="s">
        <v>953</v>
      </c>
      <c r="G4732" s="126" t="s">
        <v>12900</v>
      </c>
      <c r="H4732" s="255">
        <v>2</v>
      </c>
      <c r="I4732" s="361">
        <v>1</v>
      </c>
      <c r="J4732" s="362" t="s">
        <v>310</v>
      </c>
      <c r="K4732" s="372"/>
      <c r="L4732" s="129"/>
      <c r="M4732" s="129"/>
      <c r="N4732" s="129"/>
      <c r="O4732" s="129"/>
      <c r="P4732" s="372"/>
      <c r="Q4732" s="372"/>
      <c r="R4732" s="129"/>
      <c r="S4732" s="129"/>
      <c r="T4732" s="129"/>
      <c r="W4732" s="129" t="s">
        <v>286</v>
      </c>
      <c r="X4732" s="337" t="b">
        <f t="shared" si="109"/>
        <v>0</v>
      </c>
    </row>
    <row r="4733" spans="1:24" s="337" customFormat="1" ht="12" customHeight="1" outlineLevel="1">
      <c r="A4733" s="335"/>
      <c r="B4733" s="118" t="s">
        <v>12</v>
      </c>
      <c r="C4733" s="334" t="s">
        <v>13009</v>
      </c>
      <c r="D4733" s="124" t="s">
        <v>13010</v>
      </c>
      <c r="E4733" s="125"/>
      <c r="F4733" s="118" t="s">
        <v>953</v>
      </c>
      <c r="G4733" s="126" t="s">
        <v>12900</v>
      </c>
      <c r="H4733" s="255">
        <v>2</v>
      </c>
      <c r="I4733" s="361">
        <v>1</v>
      </c>
      <c r="J4733" s="362" t="s">
        <v>307</v>
      </c>
      <c r="K4733" s="372"/>
      <c r="L4733" s="129"/>
      <c r="M4733" s="129"/>
      <c r="N4733" s="129"/>
      <c r="O4733" s="129"/>
      <c r="P4733" s="372"/>
      <c r="Q4733" s="372"/>
      <c r="R4733" s="129"/>
      <c r="S4733" s="129"/>
      <c r="T4733" s="129"/>
      <c r="W4733" s="129" t="s">
        <v>286</v>
      </c>
      <c r="X4733" s="337" t="b">
        <f t="shared" si="109"/>
        <v>0</v>
      </c>
    </row>
    <row r="4734" spans="1:24" s="337" customFormat="1" ht="12" customHeight="1" outlineLevel="1">
      <c r="A4734" s="335"/>
      <c r="B4734" s="118" t="s">
        <v>12</v>
      </c>
      <c r="C4734" s="334" t="s">
        <v>13011</v>
      </c>
      <c r="D4734" s="124" t="s">
        <v>13012</v>
      </c>
      <c r="E4734" s="125"/>
      <c r="F4734" s="118" t="s">
        <v>953</v>
      </c>
      <c r="G4734" s="126" t="s">
        <v>12900</v>
      </c>
      <c r="H4734" s="255">
        <v>2</v>
      </c>
      <c r="I4734" s="361">
        <v>1</v>
      </c>
      <c r="J4734" s="362" t="s">
        <v>307</v>
      </c>
      <c r="K4734" s="372"/>
      <c r="L4734" s="129"/>
      <c r="M4734" s="129"/>
      <c r="N4734" s="129"/>
      <c r="O4734" s="129"/>
      <c r="P4734" s="372"/>
      <c r="Q4734" s="372"/>
      <c r="R4734" s="129"/>
      <c r="S4734" s="129"/>
      <c r="T4734" s="129"/>
      <c r="W4734" s="129" t="s">
        <v>286</v>
      </c>
      <c r="X4734" s="337" t="b">
        <f t="shared" si="109"/>
        <v>0</v>
      </c>
    </row>
    <row r="4735" spans="1:24" s="337" customFormat="1" ht="12" customHeight="1" outlineLevel="1">
      <c r="A4735" s="335"/>
      <c r="B4735" s="118" t="s">
        <v>12</v>
      </c>
      <c r="C4735" s="334" t="s">
        <v>13013</v>
      </c>
      <c r="D4735" s="124" t="s">
        <v>13014</v>
      </c>
      <c r="E4735" s="125"/>
      <c r="F4735" s="118" t="s">
        <v>953</v>
      </c>
      <c r="G4735" s="126" t="s">
        <v>12900</v>
      </c>
      <c r="H4735" s="255">
        <v>2</v>
      </c>
      <c r="I4735" s="361">
        <v>1</v>
      </c>
      <c r="J4735" s="362" t="s">
        <v>307</v>
      </c>
      <c r="K4735" s="372"/>
      <c r="L4735" s="129"/>
      <c r="M4735" s="129"/>
      <c r="N4735" s="129"/>
      <c r="O4735" s="129"/>
      <c r="P4735" s="372"/>
      <c r="Q4735" s="372"/>
      <c r="R4735" s="129"/>
      <c r="S4735" s="129"/>
      <c r="T4735" s="129"/>
      <c r="W4735" s="129" t="s">
        <v>286</v>
      </c>
      <c r="X4735" s="337" t="b">
        <f t="shared" ref="X4735:X4798" si="110">W4735=J4735</f>
        <v>0</v>
      </c>
    </row>
    <row r="4736" spans="1:24" s="337" customFormat="1" ht="12" customHeight="1" outlineLevel="1">
      <c r="A4736" s="335"/>
      <c r="B4736" s="118" t="s">
        <v>12</v>
      </c>
      <c r="C4736" s="334" t="s">
        <v>13015</v>
      </c>
      <c r="D4736" s="124" t="s">
        <v>13016</v>
      </c>
      <c r="E4736" s="125"/>
      <c r="F4736" s="118" t="s">
        <v>953</v>
      </c>
      <c r="G4736" s="126" t="s">
        <v>12900</v>
      </c>
      <c r="H4736" s="255">
        <v>2</v>
      </c>
      <c r="I4736" s="361">
        <v>1</v>
      </c>
      <c r="J4736" s="362" t="s">
        <v>310</v>
      </c>
      <c r="K4736" s="372"/>
      <c r="L4736" s="129"/>
      <c r="M4736" s="129"/>
      <c r="N4736" s="129"/>
      <c r="O4736" s="129"/>
      <c r="P4736" s="372"/>
      <c r="Q4736" s="372"/>
      <c r="R4736" s="129"/>
      <c r="S4736" s="129"/>
      <c r="T4736" s="129"/>
      <c r="W4736" s="129" t="s">
        <v>286</v>
      </c>
      <c r="X4736" s="337" t="b">
        <f t="shared" si="110"/>
        <v>0</v>
      </c>
    </row>
    <row r="4737" spans="1:24" s="337" customFormat="1" ht="12" customHeight="1" outlineLevel="1">
      <c r="A4737" s="335"/>
      <c r="B4737" s="118" t="s">
        <v>12</v>
      </c>
      <c r="C4737" s="334" t="s">
        <v>13017</v>
      </c>
      <c r="D4737" s="124" t="s">
        <v>13018</v>
      </c>
      <c r="E4737" s="125"/>
      <c r="F4737" s="118" t="s">
        <v>953</v>
      </c>
      <c r="G4737" s="126" t="s">
        <v>12900</v>
      </c>
      <c r="H4737" s="255">
        <v>2</v>
      </c>
      <c r="I4737" s="361">
        <v>1</v>
      </c>
      <c r="J4737" s="362" t="s">
        <v>310</v>
      </c>
      <c r="K4737" s="372"/>
      <c r="L4737" s="129"/>
      <c r="M4737" s="129"/>
      <c r="N4737" s="129"/>
      <c r="O4737" s="129"/>
      <c r="P4737" s="372"/>
      <c r="Q4737" s="372"/>
      <c r="R4737" s="129"/>
      <c r="S4737" s="129"/>
      <c r="T4737" s="129"/>
      <c r="W4737" s="129" t="s">
        <v>286</v>
      </c>
      <c r="X4737" s="337" t="b">
        <f t="shared" si="110"/>
        <v>0</v>
      </c>
    </row>
    <row r="4738" spans="1:24" s="337" customFormat="1" ht="12" customHeight="1" outlineLevel="1">
      <c r="A4738" s="335"/>
      <c r="B4738" s="118" t="s">
        <v>12</v>
      </c>
      <c r="C4738" s="334" t="s">
        <v>13019</v>
      </c>
      <c r="D4738" s="124" t="s">
        <v>13020</v>
      </c>
      <c r="E4738" s="125"/>
      <c r="F4738" s="118" t="s">
        <v>953</v>
      </c>
      <c r="G4738" s="126" t="s">
        <v>12900</v>
      </c>
      <c r="H4738" s="255">
        <v>2</v>
      </c>
      <c r="I4738" s="361">
        <v>1</v>
      </c>
      <c r="J4738" s="362" t="s">
        <v>310</v>
      </c>
      <c r="K4738" s="372"/>
      <c r="L4738" s="129"/>
      <c r="M4738" s="129"/>
      <c r="N4738" s="129"/>
      <c r="O4738" s="129"/>
      <c r="P4738" s="372"/>
      <c r="Q4738" s="372"/>
      <c r="R4738" s="129"/>
      <c r="S4738" s="129"/>
      <c r="T4738" s="129"/>
      <c r="W4738" s="129" t="s">
        <v>286</v>
      </c>
      <c r="X4738" s="337" t="b">
        <f t="shared" si="110"/>
        <v>0</v>
      </c>
    </row>
    <row r="4739" spans="1:24" s="337" customFormat="1" ht="12" customHeight="1" outlineLevel="1">
      <c r="A4739" s="335"/>
      <c r="B4739" s="118" t="s">
        <v>12</v>
      </c>
      <c r="C4739" s="334" t="s">
        <v>13021</v>
      </c>
      <c r="D4739" s="124" t="s">
        <v>13022</v>
      </c>
      <c r="E4739" s="125"/>
      <c r="F4739" s="118" t="s">
        <v>953</v>
      </c>
      <c r="G4739" s="126" t="s">
        <v>12900</v>
      </c>
      <c r="H4739" s="255">
        <v>2</v>
      </c>
      <c r="I4739" s="361">
        <v>1</v>
      </c>
      <c r="J4739" s="362" t="s">
        <v>310</v>
      </c>
      <c r="K4739" s="372"/>
      <c r="L4739" s="129"/>
      <c r="M4739" s="129"/>
      <c r="N4739" s="129"/>
      <c r="O4739" s="129"/>
      <c r="P4739" s="372"/>
      <c r="Q4739" s="372"/>
      <c r="R4739" s="129"/>
      <c r="S4739" s="129"/>
      <c r="T4739" s="129"/>
      <c r="W4739" s="129" t="s">
        <v>286</v>
      </c>
      <c r="X4739" s="337" t="b">
        <f t="shared" si="110"/>
        <v>0</v>
      </c>
    </row>
    <row r="4740" spans="1:24" s="337" customFormat="1" ht="12" customHeight="1" outlineLevel="1">
      <c r="A4740" s="335"/>
      <c r="B4740" s="118" t="s">
        <v>12</v>
      </c>
      <c r="C4740" s="334" t="s">
        <v>13023</v>
      </c>
      <c r="D4740" s="124" t="s">
        <v>13024</v>
      </c>
      <c r="E4740" s="125"/>
      <c r="F4740" s="118" t="s">
        <v>953</v>
      </c>
      <c r="G4740" s="126" t="s">
        <v>12900</v>
      </c>
      <c r="H4740" s="255">
        <v>2</v>
      </c>
      <c r="I4740" s="361">
        <v>1</v>
      </c>
      <c r="J4740" s="362" t="s">
        <v>310</v>
      </c>
      <c r="K4740" s="372"/>
      <c r="L4740" s="129"/>
      <c r="M4740" s="129"/>
      <c r="N4740" s="129"/>
      <c r="O4740" s="129"/>
      <c r="P4740" s="372"/>
      <c r="Q4740" s="372"/>
      <c r="R4740" s="129"/>
      <c r="S4740" s="129"/>
      <c r="T4740" s="129"/>
      <c r="W4740" s="129" t="s">
        <v>4876</v>
      </c>
      <c r="X4740" s="337" t="b">
        <f t="shared" si="110"/>
        <v>0</v>
      </c>
    </row>
    <row r="4741" spans="1:24" s="337" customFormat="1" ht="12" customHeight="1" outlineLevel="1">
      <c r="A4741" s="335"/>
      <c r="B4741" s="118" t="s">
        <v>12</v>
      </c>
      <c r="C4741" s="334" t="s">
        <v>13025</v>
      </c>
      <c r="D4741" s="124" t="s">
        <v>13026</v>
      </c>
      <c r="E4741" s="125"/>
      <c r="F4741" s="118" t="s">
        <v>953</v>
      </c>
      <c r="G4741" s="126" t="s">
        <v>12900</v>
      </c>
      <c r="H4741" s="255">
        <v>2</v>
      </c>
      <c r="I4741" s="361">
        <v>1</v>
      </c>
      <c r="J4741" s="362" t="s">
        <v>310</v>
      </c>
      <c r="K4741" s="372"/>
      <c r="L4741" s="129"/>
      <c r="M4741" s="129"/>
      <c r="N4741" s="129"/>
      <c r="O4741" s="129"/>
      <c r="P4741" s="372"/>
      <c r="Q4741" s="372"/>
      <c r="R4741" s="129"/>
      <c r="S4741" s="129"/>
      <c r="T4741" s="129"/>
      <c r="W4741" s="129" t="s">
        <v>4876</v>
      </c>
      <c r="X4741" s="337" t="b">
        <f t="shared" si="110"/>
        <v>0</v>
      </c>
    </row>
    <row r="4742" spans="1:24" s="337" customFormat="1" ht="12" customHeight="1" outlineLevel="1">
      <c r="A4742" s="335"/>
      <c r="B4742" s="118" t="s">
        <v>12</v>
      </c>
      <c r="C4742" s="334" t="s">
        <v>13027</v>
      </c>
      <c r="D4742" s="124" t="s">
        <v>13028</v>
      </c>
      <c r="E4742" s="125"/>
      <c r="F4742" s="118" t="s">
        <v>953</v>
      </c>
      <c r="G4742" s="126" t="s">
        <v>12900</v>
      </c>
      <c r="H4742" s="255">
        <v>2</v>
      </c>
      <c r="I4742" s="361">
        <v>1</v>
      </c>
      <c r="J4742" s="362" t="s">
        <v>310</v>
      </c>
      <c r="K4742" s="372"/>
      <c r="L4742" s="129"/>
      <c r="M4742" s="129"/>
      <c r="N4742" s="129"/>
      <c r="O4742" s="129"/>
      <c r="P4742" s="372"/>
      <c r="Q4742" s="372"/>
      <c r="R4742" s="129"/>
      <c r="S4742" s="129"/>
      <c r="T4742" s="129"/>
      <c r="W4742" s="129" t="s">
        <v>286</v>
      </c>
      <c r="X4742" s="337" t="b">
        <f t="shared" si="110"/>
        <v>0</v>
      </c>
    </row>
    <row r="4743" spans="1:24" s="337" customFormat="1" ht="12" customHeight="1" outlineLevel="1">
      <c r="A4743" s="335"/>
      <c r="B4743" s="118" t="s">
        <v>12</v>
      </c>
      <c r="C4743" s="334" t="s">
        <v>13029</v>
      </c>
      <c r="D4743" s="124" t="s">
        <v>13030</v>
      </c>
      <c r="E4743" s="125"/>
      <c r="F4743" s="118" t="s">
        <v>953</v>
      </c>
      <c r="G4743" s="126" t="s">
        <v>12900</v>
      </c>
      <c r="H4743" s="255">
        <v>2</v>
      </c>
      <c r="I4743" s="361">
        <v>1</v>
      </c>
      <c r="J4743" s="362" t="s">
        <v>310</v>
      </c>
      <c r="K4743" s="372"/>
      <c r="L4743" s="129"/>
      <c r="M4743" s="129"/>
      <c r="N4743" s="129"/>
      <c r="O4743" s="129"/>
      <c r="P4743" s="372"/>
      <c r="Q4743" s="372"/>
      <c r="R4743" s="129"/>
      <c r="S4743" s="129"/>
      <c r="T4743" s="129"/>
      <c r="W4743" s="129" t="s">
        <v>286</v>
      </c>
      <c r="X4743" s="337" t="b">
        <f t="shared" si="110"/>
        <v>0</v>
      </c>
    </row>
    <row r="4744" spans="1:24" s="337" customFormat="1" ht="12" customHeight="1" outlineLevel="1">
      <c r="A4744" s="335"/>
      <c r="B4744" s="118" t="s">
        <v>12</v>
      </c>
      <c r="C4744" s="334" t="s">
        <v>13031</v>
      </c>
      <c r="D4744" s="124" t="s">
        <v>13032</v>
      </c>
      <c r="E4744" s="125"/>
      <c r="F4744" s="118" t="s">
        <v>953</v>
      </c>
      <c r="G4744" s="126" t="s">
        <v>12900</v>
      </c>
      <c r="H4744" s="255">
        <v>2</v>
      </c>
      <c r="I4744" s="361">
        <v>1</v>
      </c>
      <c r="J4744" s="362" t="s">
        <v>310</v>
      </c>
      <c r="K4744" s="372"/>
      <c r="L4744" s="129"/>
      <c r="M4744" s="129"/>
      <c r="N4744" s="129"/>
      <c r="O4744" s="129"/>
      <c r="P4744" s="372"/>
      <c r="Q4744" s="372"/>
      <c r="R4744" s="129"/>
      <c r="S4744" s="129"/>
      <c r="T4744" s="129"/>
      <c r="W4744" s="129" t="s">
        <v>286</v>
      </c>
      <c r="X4744" s="337" t="b">
        <f t="shared" si="110"/>
        <v>0</v>
      </c>
    </row>
    <row r="4745" spans="1:24" s="337" customFormat="1" ht="12" customHeight="1" outlineLevel="1">
      <c r="A4745" s="335"/>
      <c r="B4745" s="118" t="s">
        <v>12</v>
      </c>
      <c r="C4745" s="334" t="s">
        <v>13033</v>
      </c>
      <c r="D4745" s="124" t="s">
        <v>13034</v>
      </c>
      <c r="E4745" s="125"/>
      <c r="F4745" s="118" t="s">
        <v>953</v>
      </c>
      <c r="G4745" s="126" t="s">
        <v>12900</v>
      </c>
      <c r="H4745" s="255">
        <v>2</v>
      </c>
      <c r="I4745" s="361">
        <v>1</v>
      </c>
      <c r="J4745" s="362" t="s">
        <v>310</v>
      </c>
      <c r="K4745" s="372"/>
      <c r="L4745" s="129"/>
      <c r="M4745" s="129"/>
      <c r="N4745" s="129"/>
      <c r="O4745" s="129"/>
      <c r="P4745" s="372"/>
      <c r="Q4745" s="372"/>
      <c r="R4745" s="129"/>
      <c r="S4745" s="129"/>
      <c r="T4745" s="129"/>
      <c r="W4745" s="129" t="s">
        <v>286</v>
      </c>
      <c r="X4745" s="337" t="b">
        <f t="shared" si="110"/>
        <v>0</v>
      </c>
    </row>
    <row r="4746" spans="1:24" s="337" customFormat="1" ht="12" customHeight="1" outlineLevel="1">
      <c r="A4746" s="335"/>
      <c r="B4746" s="118" t="s">
        <v>12</v>
      </c>
      <c r="C4746" s="334" t="s">
        <v>13035</v>
      </c>
      <c r="D4746" s="124" t="s">
        <v>13036</v>
      </c>
      <c r="E4746" s="125"/>
      <c r="F4746" s="118" t="s">
        <v>953</v>
      </c>
      <c r="G4746" s="126" t="s">
        <v>12900</v>
      </c>
      <c r="H4746" s="255">
        <v>2</v>
      </c>
      <c r="I4746" s="361">
        <v>1</v>
      </c>
      <c r="J4746" s="362" t="s">
        <v>310</v>
      </c>
      <c r="K4746" s="372"/>
      <c r="L4746" s="129"/>
      <c r="M4746" s="129"/>
      <c r="N4746" s="129"/>
      <c r="O4746" s="129"/>
      <c r="P4746" s="372"/>
      <c r="Q4746" s="372"/>
      <c r="R4746" s="129"/>
      <c r="S4746" s="129"/>
      <c r="T4746" s="129"/>
      <c r="W4746" s="129" t="s">
        <v>286</v>
      </c>
      <c r="X4746" s="337" t="b">
        <f t="shared" si="110"/>
        <v>0</v>
      </c>
    </row>
    <row r="4747" spans="1:24" s="337" customFormat="1" ht="12" customHeight="1" outlineLevel="1">
      <c r="A4747" s="335"/>
      <c r="B4747" s="118" t="s">
        <v>12</v>
      </c>
      <c r="C4747" s="334" t="s">
        <v>13037</v>
      </c>
      <c r="D4747" s="124" t="s">
        <v>13038</v>
      </c>
      <c r="E4747" s="125"/>
      <c r="F4747" s="118" t="s">
        <v>953</v>
      </c>
      <c r="G4747" s="126" t="s">
        <v>12900</v>
      </c>
      <c r="H4747" s="255">
        <v>2</v>
      </c>
      <c r="I4747" s="361">
        <v>1</v>
      </c>
      <c r="J4747" s="362" t="s">
        <v>310</v>
      </c>
      <c r="K4747" s="372"/>
      <c r="L4747" s="129"/>
      <c r="M4747" s="129"/>
      <c r="N4747" s="129"/>
      <c r="O4747" s="129"/>
      <c r="P4747" s="372"/>
      <c r="Q4747" s="372"/>
      <c r="R4747" s="129"/>
      <c r="S4747" s="129"/>
      <c r="T4747" s="129"/>
      <c r="W4747" s="129" t="s">
        <v>286</v>
      </c>
      <c r="X4747" s="337" t="b">
        <f t="shared" si="110"/>
        <v>0</v>
      </c>
    </row>
    <row r="4748" spans="1:24" s="337" customFormat="1" ht="12" customHeight="1" outlineLevel="1">
      <c r="A4748" s="335"/>
      <c r="B4748" s="118" t="s">
        <v>12</v>
      </c>
      <c r="C4748" s="334" t="s">
        <v>13039</v>
      </c>
      <c r="D4748" s="124" t="s">
        <v>13040</v>
      </c>
      <c r="E4748" s="125"/>
      <c r="F4748" s="118" t="s">
        <v>953</v>
      </c>
      <c r="G4748" s="126" t="s">
        <v>12900</v>
      </c>
      <c r="H4748" s="255">
        <v>2</v>
      </c>
      <c r="I4748" s="361">
        <v>1</v>
      </c>
      <c r="J4748" s="362" t="s">
        <v>310</v>
      </c>
      <c r="K4748" s="372"/>
      <c r="L4748" s="129"/>
      <c r="M4748" s="129"/>
      <c r="N4748" s="129"/>
      <c r="O4748" s="129"/>
      <c r="P4748" s="372"/>
      <c r="Q4748" s="372"/>
      <c r="R4748" s="129"/>
      <c r="S4748" s="129"/>
      <c r="T4748" s="129"/>
      <c r="W4748" s="129" t="s">
        <v>286</v>
      </c>
      <c r="X4748" s="337" t="b">
        <f t="shared" si="110"/>
        <v>0</v>
      </c>
    </row>
    <row r="4749" spans="1:24" s="337" customFormat="1" ht="12" customHeight="1" outlineLevel="1">
      <c r="A4749" s="335"/>
      <c r="B4749" s="118" t="s">
        <v>12</v>
      </c>
      <c r="C4749" s="334" t="s">
        <v>13041</v>
      </c>
      <c r="D4749" s="124" t="s">
        <v>13042</v>
      </c>
      <c r="E4749" s="125"/>
      <c r="F4749" s="118" t="s">
        <v>953</v>
      </c>
      <c r="G4749" s="126" t="s">
        <v>12900</v>
      </c>
      <c r="H4749" s="255">
        <v>2</v>
      </c>
      <c r="I4749" s="361">
        <v>1</v>
      </c>
      <c r="J4749" s="362" t="s">
        <v>310</v>
      </c>
      <c r="K4749" s="372"/>
      <c r="L4749" s="129"/>
      <c r="M4749" s="129"/>
      <c r="N4749" s="129"/>
      <c r="O4749" s="129"/>
      <c r="P4749" s="372"/>
      <c r="Q4749" s="372"/>
      <c r="R4749" s="129"/>
      <c r="S4749" s="129"/>
      <c r="T4749" s="129"/>
      <c r="W4749" s="129" t="s">
        <v>286</v>
      </c>
      <c r="X4749" s="337" t="b">
        <f t="shared" si="110"/>
        <v>0</v>
      </c>
    </row>
    <row r="4750" spans="1:24" s="337" customFormat="1" ht="12" customHeight="1" outlineLevel="1">
      <c r="A4750" s="335"/>
      <c r="B4750" s="118" t="s">
        <v>12</v>
      </c>
      <c r="C4750" s="334" t="s">
        <v>13043</v>
      </c>
      <c r="D4750" s="124" t="s">
        <v>13044</v>
      </c>
      <c r="E4750" s="125"/>
      <c r="F4750" s="118" t="s">
        <v>953</v>
      </c>
      <c r="G4750" s="126" t="s">
        <v>12900</v>
      </c>
      <c r="H4750" s="255">
        <v>2</v>
      </c>
      <c r="I4750" s="361">
        <v>1</v>
      </c>
      <c r="J4750" s="362" t="s">
        <v>310</v>
      </c>
      <c r="K4750" s="372"/>
      <c r="L4750" s="129"/>
      <c r="M4750" s="129"/>
      <c r="N4750" s="129"/>
      <c r="O4750" s="129"/>
      <c r="P4750" s="372"/>
      <c r="Q4750" s="372"/>
      <c r="R4750" s="129"/>
      <c r="S4750" s="129"/>
      <c r="T4750" s="129"/>
      <c r="W4750" s="129" t="s">
        <v>286</v>
      </c>
      <c r="X4750" s="337" t="b">
        <f t="shared" si="110"/>
        <v>0</v>
      </c>
    </row>
    <row r="4751" spans="1:24" s="337" customFormat="1" ht="12" customHeight="1" outlineLevel="1">
      <c r="A4751" s="335"/>
      <c r="B4751" s="118" t="s">
        <v>12</v>
      </c>
      <c r="C4751" s="334" t="s">
        <v>13045</v>
      </c>
      <c r="D4751" s="124" t="s">
        <v>13046</v>
      </c>
      <c r="E4751" s="125"/>
      <c r="F4751" s="118" t="s">
        <v>953</v>
      </c>
      <c r="G4751" s="126" t="s">
        <v>12900</v>
      </c>
      <c r="H4751" s="255">
        <v>2</v>
      </c>
      <c r="I4751" s="361">
        <v>1</v>
      </c>
      <c r="J4751" s="362" t="s">
        <v>286</v>
      </c>
      <c r="K4751" s="372"/>
      <c r="L4751" s="129"/>
      <c r="M4751" s="129"/>
      <c r="N4751" s="129"/>
      <c r="O4751" s="129"/>
      <c r="P4751" s="372"/>
      <c r="Q4751" s="372"/>
      <c r="R4751" s="129"/>
      <c r="S4751" s="129"/>
      <c r="T4751" s="129"/>
      <c r="W4751" s="129" t="s">
        <v>286</v>
      </c>
      <c r="X4751" s="337" t="b">
        <f t="shared" si="110"/>
        <v>1</v>
      </c>
    </row>
    <row r="4752" spans="1:24" s="337" customFormat="1" ht="12" customHeight="1" outlineLevel="1">
      <c r="A4752" s="335"/>
      <c r="B4752" s="118" t="s">
        <v>12</v>
      </c>
      <c r="C4752" s="334" t="s">
        <v>13047</v>
      </c>
      <c r="D4752" s="124" t="s">
        <v>13048</v>
      </c>
      <c r="E4752" s="125"/>
      <c r="F4752" s="118" t="s">
        <v>953</v>
      </c>
      <c r="G4752" s="126" t="s">
        <v>12900</v>
      </c>
      <c r="H4752" s="255">
        <v>2</v>
      </c>
      <c r="I4752" s="361">
        <v>1</v>
      </c>
      <c r="J4752" s="362" t="s">
        <v>286</v>
      </c>
      <c r="K4752" s="372"/>
      <c r="L4752" s="129"/>
      <c r="M4752" s="129"/>
      <c r="N4752" s="129"/>
      <c r="O4752" s="129"/>
      <c r="P4752" s="372"/>
      <c r="Q4752" s="372"/>
      <c r="R4752" s="129"/>
      <c r="S4752" s="129"/>
      <c r="T4752" s="129"/>
      <c r="W4752" s="129" t="s">
        <v>286</v>
      </c>
      <c r="X4752" s="337" t="b">
        <f t="shared" si="110"/>
        <v>1</v>
      </c>
    </row>
    <row r="4753" spans="1:24" s="337" customFormat="1" ht="12" customHeight="1" outlineLevel="1">
      <c r="A4753" s="335"/>
      <c r="B4753" s="118" t="s">
        <v>12</v>
      </c>
      <c r="C4753" s="334" t="s">
        <v>13049</v>
      </c>
      <c r="D4753" s="124" t="s">
        <v>13050</v>
      </c>
      <c r="E4753" s="125"/>
      <c r="F4753" s="118" t="s">
        <v>953</v>
      </c>
      <c r="G4753" s="126" t="s">
        <v>12900</v>
      </c>
      <c r="H4753" s="255">
        <v>2</v>
      </c>
      <c r="I4753" s="361">
        <v>1</v>
      </c>
      <c r="J4753" s="362" t="s">
        <v>307</v>
      </c>
      <c r="K4753" s="372"/>
      <c r="L4753" s="129"/>
      <c r="M4753" s="129"/>
      <c r="N4753" s="129"/>
      <c r="O4753" s="129"/>
      <c r="P4753" s="372"/>
      <c r="Q4753" s="372"/>
      <c r="R4753" s="129"/>
      <c r="S4753" s="129"/>
      <c r="T4753" s="129"/>
      <c r="W4753" s="129" t="s">
        <v>286</v>
      </c>
      <c r="X4753" s="337" t="b">
        <f t="shared" si="110"/>
        <v>0</v>
      </c>
    </row>
    <row r="4754" spans="1:24" s="337" customFormat="1" ht="12" customHeight="1" outlineLevel="1">
      <c r="A4754" s="335"/>
      <c r="B4754" s="118" t="s">
        <v>12</v>
      </c>
      <c r="C4754" s="334" t="s">
        <v>13051</v>
      </c>
      <c r="D4754" s="124" t="s">
        <v>13052</v>
      </c>
      <c r="E4754" s="125"/>
      <c r="F4754" s="118" t="s">
        <v>953</v>
      </c>
      <c r="G4754" s="126" t="s">
        <v>12900</v>
      </c>
      <c r="H4754" s="255">
        <v>2</v>
      </c>
      <c r="I4754" s="361">
        <v>1</v>
      </c>
      <c r="J4754" s="362" t="s">
        <v>286</v>
      </c>
      <c r="K4754" s="372"/>
      <c r="L4754" s="129"/>
      <c r="M4754" s="129"/>
      <c r="N4754" s="129"/>
      <c r="O4754" s="129"/>
      <c r="P4754" s="372"/>
      <c r="Q4754" s="372"/>
      <c r="R4754" s="129"/>
      <c r="S4754" s="129"/>
      <c r="T4754" s="129"/>
      <c r="W4754" s="129" t="s">
        <v>286</v>
      </c>
      <c r="X4754" s="337" t="b">
        <f t="shared" si="110"/>
        <v>1</v>
      </c>
    </row>
    <row r="4755" spans="1:24" s="337" customFormat="1" ht="12" customHeight="1" outlineLevel="1">
      <c r="A4755" s="335"/>
      <c r="B4755" s="118" t="s">
        <v>12</v>
      </c>
      <c r="C4755" s="334" t="s">
        <v>13053</v>
      </c>
      <c r="D4755" s="124" t="s">
        <v>13054</v>
      </c>
      <c r="E4755" s="125"/>
      <c r="F4755" s="118" t="s">
        <v>953</v>
      </c>
      <c r="G4755" s="126" t="s">
        <v>12900</v>
      </c>
      <c r="H4755" s="255">
        <v>2</v>
      </c>
      <c r="I4755" s="361">
        <v>1</v>
      </c>
      <c r="J4755" s="362" t="s">
        <v>286</v>
      </c>
      <c r="K4755" s="372"/>
      <c r="L4755" s="129"/>
      <c r="M4755" s="129"/>
      <c r="N4755" s="129"/>
      <c r="O4755" s="129"/>
      <c r="P4755" s="372"/>
      <c r="Q4755" s="372"/>
      <c r="R4755" s="129"/>
      <c r="S4755" s="129"/>
      <c r="T4755" s="129"/>
      <c r="W4755" s="129" t="s">
        <v>286</v>
      </c>
      <c r="X4755" s="337" t="b">
        <f t="shared" si="110"/>
        <v>1</v>
      </c>
    </row>
    <row r="4756" spans="1:24" s="337" customFormat="1" ht="12" customHeight="1" outlineLevel="1">
      <c r="A4756" s="335"/>
      <c r="B4756" s="118" t="s">
        <v>12</v>
      </c>
      <c r="C4756" s="334" t="s">
        <v>13055</v>
      </c>
      <c r="D4756" s="124" t="s">
        <v>13056</v>
      </c>
      <c r="E4756" s="125"/>
      <c r="F4756" s="118" t="s">
        <v>953</v>
      </c>
      <c r="G4756" s="126" t="s">
        <v>12900</v>
      </c>
      <c r="H4756" s="255">
        <v>2</v>
      </c>
      <c r="I4756" s="361">
        <v>1</v>
      </c>
      <c r="J4756" s="362" t="s">
        <v>286</v>
      </c>
      <c r="K4756" s="372"/>
      <c r="L4756" s="129"/>
      <c r="M4756" s="129"/>
      <c r="N4756" s="129"/>
      <c r="O4756" s="129"/>
      <c r="P4756" s="372"/>
      <c r="Q4756" s="372"/>
      <c r="R4756" s="129"/>
      <c r="S4756" s="129"/>
      <c r="T4756" s="129"/>
      <c r="W4756" s="129" t="s">
        <v>286</v>
      </c>
      <c r="X4756" s="337" t="b">
        <f t="shared" si="110"/>
        <v>1</v>
      </c>
    </row>
    <row r="4757" spans="1:24" s="337" customFormat="1" ht="12" customHeight="1" outlineLevel="1">
      <c r="A4757" s="335"/>
      <c r="B4757" s="118" t="s">
        <v>12</v>
      </c>
      <c r="C4757" s="334" t="s">
        <v>13057</v>
      </c>
      <c r="D4757" s="124" t="s">
        <v>13058</v>
      </c>
      <c r="E4757" s="125"/>
      <c r="F4757" s="118" t="s">
        <v>953</v>
      </c>
      <c r="G4757" s="126" t="s">
        <v>12900</v>
      </c>
      <c r="H4757" s="255">
        <v>2</v>
      </c>
      <c r="I4757" s="361">
        <v>1</v>
      </c>
      <c r="J4757" s="362" t="s">
        <v>286</v>
      </c>
      <c r="K4757" s="372"/>
      <c r="L4757" s="129"/>
      <c r="M4757" s="129"/>
      <c r="N4757" s="129"/>
      <c r="O4757" s="129"/>
      <c r="P4757" s="372"/>
      <c r="Q4757" s="372"/>
      <c r="R4757" s="129"/>
      <c r="S4757" s="129"/>
      <c r="T4757" s="129"/>
      <c r="W4757" s="129" t="s">
        <v>4876</v>
      </c>
      <c r="X4757" s="337" t="b">
        <f t="shared" si="110"/>
        <v>0</v>
      </c>
    </row>
    <row r="4758" spans="1:24" s="337" customFormat="1" ht="12" customHeight="1" outlineLevel="1">
      <c r="A4758" s="335"/>
      <c r="B4758" s="118" t="s">
        <v>12</v>
      </c>
      <c r="C4758" s="334" t="s">
        <v>13059</v>
      </c>
      <c r="D4758" s="124" t="s">
        <v>13060</v>
      </c>
      <c r="E4758" s="125"/>
      <c r="F4758" s="118" t="s">
        <v>953</v>
      </c>
      <c r="G4758" s="126" t="s">
        <v>12900</v>
      </c>
      <c r="H4758" s="255">
        <v>2</v>
      </c>
      <c r="I4758" s="361">
        <v>1</v>
      </c>
      <c r="J4758" s="362" t="s">
        <v>286</v>
      </c>
      <c r="K4758" s="372"/>
      <c r="L4758" s="129"/>
      <c r="M4758" s="129"/>
      <c r="N4758" s="129"/>
      <c r="O4758" s="129"/>
      <c r="P4758" s="372"/>
      <c r="Q4758" s="372"/>
      <c r="R4758" s="129"/>
      <c r="S4758" s="129"/>
      <c r="T4758" s="129"/>
      <c r="W4758" s="129" t="s">
        <v>4876</v>
      </c>
      <c r="X4758" s="337" t="b">
        <f t="shared" si="110"/>
        <v>0</v>
      </c>
    </row>
    <row r="4759" spans="1:24" s="337" customFormat="1" ht="12" customHeight="1" outlineLevel="1">
      <c r="A4759" s="335"/>
      <c r="B4759" s="118" t="s">
        <v>12</v>
      </c>
      <c r="C4759" s="334" t="s">
        <v>13061</v>
      </c>
      <c r="D4759" s="124" t="s">
        <v>13062</v>
      </c>
      <c r="E4759" s="125"/>
      <c r="F4759" s="118" t="s">
        <v>953</v>
      </c>
      <c r="G4759" s="126" t="s">
        <v>12900</v>
      </c>
      <c r="H4759" s="255">
        <v>2</v>
      </c>
      <c r="I4759" s="361">
        <v>1</v>
      </c>
      <c r="J4759" s="362" t="s">
        <v>286</v>
      </c>
      <c r="K4759" s="372"/>
      <c r="L4759" s="129"/>
      <c r="M4759" s="129"/>
      <c r="N4759" s="129"/>
      <c r="O4759" s="129"/>
      <c r="P4759" s="372"/>
      <c r="Q4759" s="372"/>
      <c r="R4759" s="129"/>
      <c r="S4759" s="129"/>
      <c r="T4759" s="129"/>
      <c r="W4759" s="129" t="s">
        <v>286</v>
      </c>
      <c r="X4759" s="337" t="b">
        <f t="shared" si="110"/>
        <v>1</v>
      </c>
    </row>
    <row r="4760" spans="1:24" s="337" customFormat="1" ht="12" customHeight="1" outlineLevel="1">
      <c r="A4760" s="335"/>
      <c r="B4760" s="118" t="s">
        <v>12</v>
      </c>
      <c r="C4760" s="334" t="s">
        <v>13063</v>
      </c>
      <c r="D4760" s="124" t="s">
        <v>13064</v>
      </c>
      <c r="E4760" s="125"/>
      <c r="F4760" s="118" t="s">
        <v>953</v>
      </c>
      <c r="G4760" s="126" t="s">
        <v>12900</v>
      </c>
      <c r="H4760" s="255">
        <v>2</v>
      </c>
      <c r="I4760" s="361">
        <v>1</v>
      </c>
      <c r="J4760" s="362" t="s">
        <v>286</v>
      </c>
      <c r="K4760" s="372"/>
      <c r="L4760" s="129"/>
      <c r="M4760" s="129"/>
      <c r="N4760" s="129"/>
      <c r="O4760" s="129"/>
      <c r="P4760" s="372"/>
      <c r="Q4760" s="372"/>
      <c r="R4760" s="129"/>
      <c r="S4760" s="129"/>
      <c r="T4760" s="129"/>
      <c r="W4760" s="129" t="s">
        <v>286</v>
      </c>
      <c r="X4760" s="337" t="b">
        <f t="shared" si="110"/>
        <v>1</v>
      </c>
    </row>
    <row r="4761" spans="1:24" s="337" customFormat="1" ht="12" customHeight="1" outlineLevel="1">
      <c r="A4761" s="335"/>
      <c r="B4761" s="118" t="s">
        <v>12</v>
      </c>
      <c r="C4761" s="334" t="s">
        <v>13065</v>
      </c>
      <c r="D4761" s="124" t="s">
        <v>13066</v>
      </c>
      <c r="E4761" s="125"/>
      <c r="F4761" s="118" t="s">
        <v>953</v>
      </c>
      <c r="G4761" s="126" t="s">
        <v>12900</v>
      </c>
      <c r="H4761" s="255">
        <v>2</v>
      </c>
      <c r="I4761" s="361">
        <v>1</v>
      </c>
      <c r="J4761" s="362" t="s">
        <v>286</v>
      </c>
      <c r="K4761" s="372"/>
      <c r="L4761" s="129"/>
      <c r="M4761" s="129"/>
      <c r="N4761" s="129"/>
      <c r="O4761" s="129"/>
      <c r="P4761" s="372"/>
      <c r="Q4761" s="372"/>
      <c r="R4761" s="129"/>
      <c r="S4761" s="129"/>
      <c r="T4761" s="129"/>
      <c r="W4761" s="129" t="s">
        <v>4876</v>
      </c>
      <c r="X4761" s="337" t="b">
        <f t="shared" si="110"/>
        <v>0</v>
      </c>
    </row>
    <row r="4762" spans="1:24" s="337" customFormat="1" ht="12" customHeight="1" outlineLevel="1">
      <c r="A4762" s="335"/>
      <c r="B4762" s="118" t="s">
        <v>12</v>
      </c>
      <c r="C4762" s="334" t="s">
        <v>13067</v>
      </c>
      <c r="D4762" s="124" t="s">
        <v>13068</v>
      </c>
      <c r="E4762" s="125"/>
      <c r="F4762" s="118" t="s">
        <v>953</v>
      </c>
      <c r="G4762" s="126" t="s">
        <v>12900</v>
      </c>
      <c r="H4762" s="255">
        <v>2</v>
      </c>
      <c r="I4762" s="361">
        <v>1</v>
      </c>
      <c r="J4762" s="362" t="s">
        <v>286</v>
      </c>
      <c r="K4762" s="372"/>
      <c r="L4762" s="129"/>
      <c r="M4762" s="129"/>
      <c r="N4762" s="129"/>
      <c r="O4762" s="129"/>
      <c r="P4762" s="372"/>
      <c r="Q4762" s="372"/>
      <c r="R4762" s="129"/>
      <c r="S4762" s="129"/>
      <c r="T4762" s="129"/>
      <c r="W4762" s="129" t="s">
        <v>286</v>
      </c>
      <c r="X4762" s="337" t="b">
        <f t="shared" si="110"/>
        <v>1</v>
      </c>
    </row>
    <row r="4763" spans="1:24" s="337" customFormat="1" ht="12" customHeight="1" outlineLevel="1">
      <c r="A4763" s="335"/>
      <c r="B4763" s="118" t="s">
        <v>12</v>
      </c>
      <c r="C4763" s="334" t="s">
        <v>13069</v>
      </c>
      <c r="D4763" s="124" t="s">
        <v>13070</v>
      </c>
      <c r="E4763" s="125"/>
      <c r="F4763" s="118" t="s">
        <v>953</v>
      </c>
      <c r="G4763" s="126" t="s">
        <v>12900</v>
      </c>
      <c r="H4763" s="255">
        <v>2</v>
      </c>
      <c r="I4763" s="361">
        <v>1</v>
      </c>
      <c r="J4763" s="362" t="s">
        <v>286</v>
      </c>
      <c r="K4763" s="372"/>
      <c r="L4763" s="129"/>
      <c r="M4763" s="129"/>
      <c r="N4763" s="129"/>
      <c r="O4763" s="129"/>
      <c r="P4763" s="372"/>
      <c r="Q4763" s="372"/>
      <c r="R4763" s="129"/>
      <c r="S4763" s="129"/>
      <c r="T4763" s="129"/>
      <c r="W4763" s="129" t="s">
        <v>286</v>
      </c>
      <c r="X4763" s="337" t="b">
        <f t="shared" si="110"/>
        <v>1</v>
      </c>
    </row>
    <row r="4764" spans="1:24" s="337" customFormat="1" ht="12" customHeight="1" outlineLevel="1">
      <c r="A4764" s="335"/>
      <c r="B4764" s="118" t="s">
        <v>12</v>
      </c>
      <c r="C4764" s="334" t="s">
        <v>13071</v>
      </c>
      <c r="D4764" s="124" t="s">
        <v>13072</v>
      </c>
      <c r="E4764" s="125"/>
      <c r="F4764" s="118" t="s">
        <v>953</v>
      </c>
      <c r="G4764" s="126" t="s">
        <v>12900</v>
      </c>
      <c r="H4764" s="255">
        <v>2</v>
      </c>
      <c r="I4764" s="361">
        <v>1</v>
      </c>
      <c r="J4764" s="362" t="s">
        <v>286</v>
      </c>
      <c r="K4764" s="372"/>
      <c r="L4764" s="129"/>
      <c r="M4764" s="129"/>
      <c r="N4764" s="129"/>
      <c r="O4764" s="129"/>
      <c r="P4764" s="372"/>
      <c r="Q4764" s="372"/>
      <c r="R4764" s="129"/>
      <c r="S4764" s="129"/>
      <c r="T4764" s="129"/>
      <c r="W4764" s="129" t="s">
        <v>286</v>
      </c>
      <c r="X4764" s="337" t="b">
        <f t="shared" si="110"/>
        <v>1</v>
      </c>
    </row>
    <row r="4765" spans="1:24" s="337" customFormat="1" ht="12" customHeight="1" outlineLevel="1">
      <c r="A4765" s="335"/>
      <c r="B4765" s="118" t="s">
        <v>12</v>
      </c>
      <c r="C4765" s="334" t="s">
        <v>13073</v>
      </c>
      <c r="D4765" s="124" t="s">
        <v>13074</v>
      </c>
      <c r="E4765" s="125"/>
      <c r="F4765" s="118" t="s">
        <v>953</v>
      </c>
      <c r="G4765" s="126" t="s">
        <v>12900</v>
      </c>
      <c r="H4765" s="255">
        <v>2</v>
      </c>
      <c r="I4765" s="361">
        <v>1</v>
      </c>
      <c r="J4765" s="362" t="s">
        <v>286</v>
      </c>
      <c r="K4765" s="372"/>
      <c r="L4765" s="129"/>
      <c r="M4765" s="129"/>
      <c r="N4765" s="129"/>
      <c r="O4765" s="129"/>
      <c r="P4765" s="372"/>
      <c r="Q4765" s="372"/>
      <c r="R4765" s="129"/>
      <c r="S4765" s="129"/>
      <c r="T4765" s="129"/>
      <c r="W4765" s="129" t="s">
        <v>286</v>
      </c>
      <c r="X4765" s="337" t="b">
        <f t="shared" si="110"/>
        <v>1</v>
      </c>
    </row>
    <row r="4766" spans="1:24" s="337" customFormat="1" ht="12" customHeight="1" outlineLevel="1">
      <c r="A4766" s="335"/>
      <c r="B4766" s="118" t="s">
        <v>12</v>
      </c>
      <c r="C4766" s="334" t="s">
        <v>13075</v>
      </c>
      <c r="D4766" s="124" t="s">
        <v>13076</v>
      </c>
      <c r="E4766" s="125"/>
      <c r="F4766" s="118" t="s">
        <v>953</v>
      </c>
      <c r="G4766" s="126" t="s">
        <v>12900</v>
      </c>
      <c r="H4766" s="255">
        <v>2</v>
      </c>
      <c r="I4766" s="361">
        <v>1</v>
      </c>
      <c r="J4766" s="362" t="s">
        <v>286</v>
      </c>
      <c r="K4766" s="372"/>
      <c r="L4766" s="129"/>
      <c r="M4766" s="129"/>
      <c r="N4766" s="129"/>
      <c r="O4766" s="129"/>
      <c r="P4766" s="372"/>
      <c r="Q4766" s="372"/>
      <c r="R4766" s="129"/>
      <c r="S4766" s="129"/>
      <c r="T4766" s="129"/>
      <c r="W4766" s="129" t="s">
        <v>286</v>
      </c>
      <c r="X4766" s="337" t="b">
        <f t="shared" si="110"/>
        <v>1</v>
      </c>
    </row>
    <row r="4767" spans="1:24" s="337" customFormat="1" ht="12" customHeight="1" outlineLevel="1">
      <c r="A4767" s="335"/>
      <c r="B4767" s="118" t="s">
        <v>12</v>
      </c>
      <c r="C4767" s="334" t="s">
        <v>13077</v>
      </c>
      <c r="D4767" s="124" t="s">
        <v>13078</v>
      </c>
      <c r="E4767" s="125"/>
      <c r="F4767" s="118" t="s">
        <v>953</v>
      </c>
      <c r="G4767" s="126" t="s">
        <v>12900</v>
      </c>
      <c r="H4767" s="255">
        <v>2</v>
      </c>
      <c r="I4767" s="361">
        <v>1</v>
      </c>
      <c r="J4767" s="362" t="s">
        <v>286</v>
      </c>
      <c r="K4767" s="372"/>
      <c r="L4767" s="129"/>
      <c r="M4767" s="129"/>
      <c r="N4767" s="129"/>
      <c r="O4767" s="129"/>
      <c r="P4767" s="372"/>
      <c r="Q4767" s="372"/>
      <c r="R4767" s="129"/>
      <c r="S4767" s="129"/>
      <c r="T4767" s="129"/>
      <c r="W4767" s="129" t="s">
        <v>286</v>
      </c>
      <c r="X4767" s="337" t="b">
        <f t="shared" si="110"/>
        <v>1</v>
      </c>
    </row>
    <row r="4768" spans="1:24" s="337" customFormat="1" ht="12" customHeight="1" outlineLevel="1">
      <c r="A4768" s="335"/>
      <c r="B4768" s="118" t="s">
        <v>12</v>
      </c>
      <c r="C4768" s="334" t="s">
        <v>13079</v>
      </c>
      <c r="D4768" s="124" t="s">
        <v>13080</v>
      </c>
      <c r="E4768" s="125"/>
      <c r="F4768" s="118" t="s">
        <v>953</v>
      </c>
      <c r="G4768" s="126" t="s">
        <v>12900</v>
      </c>
      <c r="H4768" s="255">
        <v>2</v>
      </c>
      <c r="I4768" s="361">
        <v>1</v>
      </c>
      <c r="J4768" s="362" t="s">
        <v>286</v>
      </c>
      <c r="K4768" s="372"/>
      <c r="L4768" s="129"/>
      <c r="M4768" s="129"/>
      <c r="N4768" s="129"/>
      <c r="O4768" s="129"/>
      <c r="P4768" s="372"/>
      <c r="Q4768" s="372"/>
      <c r="R4768" s="129"/>
      <c r="S4768" s="129"/>
      <c r="T4768" s="129"/>
      <c r="W4768" s="129" t="s">
        <v>286</v>
      </c>
      <c r="X4768" s="337" t="b">
        <f t="shared" si="110"/>
        <v>1</v>
      </c>
    </row>
    <row r="4769" spans="1:24" s="337" customFormat="1" ht="12" customHeight="1" outlineLevel="1">
      <c r="A4769" s="335"/>
      <c r="B4769" s="118" t="s">
        <v>12</v>
      </c>
      <c r="C4769" s="334" t="s">
        <v>13081</v>
      </c>
      <c r="D4769" s="124" t="s">
        <v>13082</v>
      </c>
      <c r="E4769" s="125"/>
      <c r="F4769" s="118" t="s">
        <v>953</v>
      </c>
      <c r="G4769" s="126" t="s">
        <v>12900</v>
      </c>
      <c r="H4769" s="255">
        <v>2</v>
      </c>
      <c r="I4769" s="361">
        <v>1</v>
      </c>
      <c r="J4769" s="362" t="s">
        <v>286</v>
      </c>
      <c r="K4769" s="372"/>
      <c r="L4769" s="129"/>
      <c r="M4769" s="129"/>
      <c r="N4769" s="129"/>
      <c r="O4769" s="129"/>
      <c r="P4769" s="372"/>
      <c r="Q4769" s="372"/>
      <c r="R4769" s="129"/>
      <c r="S4769" s="129"/>
      <c r="T4769" s="129"/>
      <c r="W4769" s="129" t="s">
        <v>286</v>
      </c>
      <c r="X4769" s="337" t="b">
        <f t="shared" si="110"/>
        <v>1</v>
      </c>
    </row>
    <row r="4770" spans="1:24" s="337" customFormat="1" ht="12" customHeight="1" outlineLevel="1">
      <c r="A4770" s="335"/>
      <c r="B4770" s="118" t="s">
        <v>12</v>
      </c>
      <c r="C4770" s="334" t="s">
        <v>13083</v>
      </c>
      <c r="D4770" s="124" t="s">
        <v>13084</v>
      </c>
      <c r="E4770" s="125"/>
      <c r="F4770" s="118" t="s">
        <v>953</v>
      </c>
      <c r="G4770" s="126" t="s">
        <v>12900</v>
      </c>
      <c r="H4770" s="255">
        <v>2</v>
      </c>
      <c r="I4770" s="361">
        <v>1</v>
      </c>
      <c r="J4770" s="362" t="s">
        <v>286</v>
      </c>
      <c r="K4770" s="372"/>
      <c r="L4770" s="129"/>
      <c r="M4770" s="129"/>
      <c r="N4770" s="129"/>
      <c r="O4770" s="129"/>
      <c r="P4770" s="372"/>
      <c r="Q4770" s="372"/>
      <c r="R4770" s="129"/>
      <c r="S4770" s="129"/>
      <c r="T4770" s="129"/>
      <c r="W4770" s="129" t="s">
        <v>286</v>
      </c>
      <c r="X4770" s="337" t="b">
        <f t="shared" si="110"/>
        <v>1</v>
      </c>
    </row>
    <row r="4771" spans="1:24" s="337" customFormat="1" ht="12" customHeight="1" outlineLevel="1">
      <c r="A4771" s="335"/>
      <c r="B4771" s="118" t="s">
        <v>12</v>
      </c>
      <c r="C4771" s="334" t="s">
        <v>13085</v>
      </c>
      <c r="D4771" s="124" t="s">
        <v>13086</v>
      </c>
      <c r="E4771" s="125"/>
      <c r="F4771" s="118" t="s">
        <v>953</v>
      </c>
      <c r="G4771" s="126" t="s">
        <v>12900</v>
      </c>
      <c r="H4771" s="255">
        <v>2</v>
      </c>
      <c r="I4771" s="361">
        <v>1</v>
      </c>
      <c r="J4771" s="362" t="s">
        <v>286</v>
      </c>
      <c r="K4771" s="372"/>
      <c r="L4771" s="129"/>
      <c r="M4771" s="129"/>
      <c r="N4771" s="129"/>
      <c r="O4771" s="129"/>
      <c r="P4771" s="372"/>
      <c r="Q4771" s="372"/>
      <c r="R4771" s="129"/>
      <c r="S4771" s="129"/>
      <c r="T4771" s="129"/>
      <c r="W4771" s="129" t="s">
        <v>286</v>
      </c>
      <c r="X4771" s="337" t="b">
        <f t="shared" si="110"/>
        <v>1</v>
      </c>
    </row>
    <row r="4772" spans="1:24" s="337" customFormat="1" ht="12" customHeight="1" outlineLevel="1">
      <c r="A4772" s="335"/>
      <c r="B4772" s="118" t="s">
        <v>12</v>
      </c>
      <c r="C4772" s="334" t="s">
        <v>13087</v>
      </c>
      <c r="D4772" s="124" t="s">
        <v>13088</v>
      </c>
      <c r="E4772" s="125"/>
      <c r="F4772" s="118" t="s">
        <v>953</v>
      </c>
      <c r="G4772" s="126" t="s">
        <v>12900</v>
      </c>
      <c r="H4772" s="255">
        <v>2</v>
      </c>
      <c r="I4772" s="361">
        <v>1</v>
      </c>
      <c r="J4772" s="362" t="s">
        <v>286</v>
      </c>
      <c r="K4772" s="372"/>
      <c r="L4772" s="129"/>
      <c r="M4772" s="129"/>
      <c r="N4772" s="129"/>
      <c r="O4772" s="129"/>
      <c r="P4772" s="372"/>
      <c r="Q4772" s="372"/>
      <c r="R4772" s="129"/>
      <c r="S4772" s="129"/>
      <c r="T4772" s="129"/>
      <c r="W4772" s="129" t="s">
        <v>4876</v>
      </c>
      <c r="X4772" s="337" t="b">
        <f t="shared" si="110"/>
        <v>0</v>
      </c>
    </row>
    <row r="4773" spans="1:24" s="337" customFormat="1" ht="12" customHeight="1" outlineLevel="1">
      <c r="A4773" s="335"/>
      <c r="B4773" s="118" t="s">
        <v>12</v>
      </c>
      <c r="C4773" s="334" t="s">
        <v>13089</v>
      </c>
      <c r="D4773" s="124" t="s">
        <v>13090</v>
      </c>
      <c r="E4773" s="125"/>
      <c r="F4773" s="118" t="s">
        <v>953</v>
      </c>
      <c r="G4773" s="126" t="s">
        <v>12900</v>
      </c>
      <c r="H4773" s="255">
        <v>2</v>
      </c>
      <c r="I4773" s="361">
        <v>1</v>
      </c>
      <c r="J4773" s="362" t="s">
        <v>310</v>
      </c>
      <c r="K4773" s="372"/>
      <c r="L4773" s="129"/>
      <c r="M4773" s="129"/>
      <c r="N4773" s="129"/>
      <c r="O4773" s="129"/>
      <c r="P4773" s="372"/>
      <c r="Q4773" s="372"/>
      <c r="R4773" s="129"/>
      <c r="S4773" s="129"/>
      <c r="T4773" s="129"/>
      <c r="W4773" s="129" t="s">
        <v>286</v>
      </c>
      <c r="X4773" s="337" t="b">
        <f t="shared" si="110"/>
        <v>0</v>
      </c>
    </row>
    <row r="4774" spans="1:24" s="337" customFormat="1" ht="12" customHeight="1" outlineLevel="1">
      <c r="A4774" s="335"/>
      <c r="B4774" s="118" t="s">
        <v>12</v>
      </c>
      <c r="C4774" s="334" t="s">
        <v>13091</v>
      </c>
      <c r="D4774" s="124" t="s">
        <v>13092</v>
      </c>
      <c r="E4774" s="125"/>
      <c r="F4774" s="118" t="s">
        <v>953</v>
      </c>
      <c r="G4774" s="126" t="s">
        <v>12900</v>
      </c>
      <c r="H4774" s="255">
        <v>2</v>
      </c>
      <c r="I4774" s="361">
        <v>1</v>
      </c>
      <c r="J4774" s="362" t="s">
        <v>310</v>
      </c>
      <c r="K4774" s="372"/>
      <c r="L4774" s="129"/>
      <c r="M4774" s="129"/>
      <c r="N4774" s="129"/>
      <c r="O4774" s="129"/>
      <c r="P4774" s="372"/>
      <c r="Q4774" s="372"/>
      <c r="R4774" s="129"/>
      <c r="S4774" s="129"/>
      <c r="T4774" s="129"/>
      <c r="W4774" s="129" t="s">
        <v>286</v>
      </c>
      <c r="X4774" s="337" t="b">
        <f t="shared" si="110"/>
        <v>0</v>
      </c>
    </row>
    <row r="4775" spans="1:24" s="337" customFormat="1" ht="12" customHeight="1" outlineLevel="1">
      <c r="A4775" s="335"/>
      <c r="B4775" s="118" t="s">
        <v>12</v>
      </c>
      <c r="C4775" s="334" t="s">
        <v>13093</v>
      </c>
      <c r="D4775" s="124" t="s">
        <v>13094</v>
      </c>
      <c r="E4775" s="125"/>
      <c r="F4775" s="118" t="s">
        <v>953</v>
      </c>
      <c r="G4775" s="126" t="s">
        <v>12900</v>
      </c>
      <c r="H4775" s="255">
        <v>2</v>
      </c>
      <c r="I4775" s="361">
        <v>1</v>
      </c>
      <c r="J4775" s="362" t="s">
        <v>310</v>
      </c>
      <c r="K4775" s="372"/>
      <c r="L4775" s="129"/>
      <c r="M4775" s="129"/>
      <c r="N4775" s="129"/>
      <c r="O4775" s="129"/>
      <c r="P4775" s="372"/>
      <c r="Q4775" s="372"/>
      <c r="R4775" s="129"/>
      <c r="S4775" s="129"/>
      <c r="T4775" s="129"/>
      <c r="W4775" s="129" t="s">
        <v>286</v>
      </c>
      <c r="X4775" s="337" t="b">
        <f t="shared" si="110"/>
        <v>0</v>
      </c>
    </row>
    <row r="4776" spans="1:24" s="337" customFormat="1" ht="12" customHeight="1" outlineLevel="1">
      <c r="A4776" s="335"/>
      <c r="B4776" s="118" t="s">
        <v>12</v>
      </c>
      <c r="C4776" s="334" t="s">
        <v>13095</v>
      </c>
      <c r="D4776" s="124" t="s">
        <v>13096</v>
      </c>
      <c r="E4776" s="125"/>
      <c r="F4776" s="118" t="s">
        <v>953</v>
      </c>
      <c r="G4776" s="126" t="s">
        <v>12900</v>
      </c>
      <c r="H4776" s="255">
        <v>2</v>
      </c>
      <c r="I4776" s="361">
        <v>1</v>
      </c>
      <c r="J4776" s="362" t="s">
        <v>307</v>
      </c>
      <c r="K4776" s="372"/>
      <c r="L4776" s="129"/>
      <c r="M4776" s="129"/>
      <c r="N4776" s="129"/>
      <c r="O4776" s="129"/>
      <c r="P4776" s="372"/>
      <c r="Q4776" s="372"/>
      <c r="R4776" s="129"/>
      <c r="S4776" s="129"/>
      <c r="T4776" s="129"/>
      <c r="W4776" s="129" t="s">
        <v>286</v>
      </c>
      <c r="X4776" s="337" t="b">
        <f t="shared" si="110"/>
        <v>0</v>
      </c>
    </row>
    <row r="4777" spans="1:24" s="337" customFormat="1" ht="12" customHeight="1" outlineLevel="1">
      <c r="A4777" s="335"/>
      <c r="B4777" s="118" t="s">
        <v>12</v>
      </c>
      <c r="C4777" s="334" t="s">
        <v>13097</v>
      </c>
      <c r="D4777" s="124" t="s">
        <v>13098</v>
      </c>
      <c r="E4777" s="125"/>
      <c r="F4777" s="118" t="s">
        <v>953</v>
      </c>
      <c r="G4777" s="126" t="s">
        <v>12900</v>
      </c>
      <c r="H4777" s="255">
        <v>2</v>
      </c>
      <c r="I4777" s="361">
        <v>1</v>
      </c>
      <c r="J4777" s="362" t="s">
        <v>310</v>
      </c>
      <c r="K4777" s="372"/>
      <c r="L4777" s="129"/>
      <c r="M4777" s="129"/>
      <c r="N4777" s="129"/>
      <c r="O4777" s="129"/>
      <c r="P4777" s="372"/>
      <c r="Q4777" s="372"/>
      <c r="R4777" s="129"/>
      <c r="S4777" s="129"/>
      <c r="T4777" s="129"/>
      <c r="W4777" s="129" t="s">
        <v>286</v>
      </c>
      <c r="X4777" s="337" t="b">
        <f t="shared" si="110"/>
        <v>0</v>
      </c>
    </row>
    <row r="4778" spans="1:24" s="337" customFormat="1" ht="12" customHeight="1" outlineLevel="1">
      <c r="A4778" s="335"/>
      <c r="B4778" s="118" t="s">
        <v>12</v>
      </c>
      <c r="C4778" s="334" t="s">
        <v>12969</v>
      </c>
      <c r="D4778" s="124" t="s">
        <v>13099</v>
      </c>
      <c r="E4778" s="125"/>
      <c r="F4778" s="118" t="s">
        <v>953</v>
      </c>
      <c r="G4778" s="126" t="s">
        <v>12900</v>
      </c>
      <c r="H4778" s="255">
        <v>2</v>
      </c>
      <c r="I4778" s="361">
        <v>1</v>
      </c>
      <c r="J4778" s="362" t="s">
        <v>286</v>
      </c>
      <c r="K4778" s="372"/>
      <c r="L4778" s="129"/>
      <c r="M4778" s="129"/>
      <c r="N4778" s="129"/>
      <c r="O4778" s="129"/>
      <c r="P4778" s="372"/>
      <c r="Q4778" s="372"/>
      <c r="R4778" s="129"/>
      <c r="S4778" s="129"/>
      <c r="T4778" s="129"/>
      <c r="W4778" s="129" t="s">
        <v>310</v>
      </c>
      <c r="X4778" s="337" t="b">
        <f t="shared" si="110"/>
        <v>0</v>
      </c>
    </row>
    <row r="4779" spans="1:24" s="337" customFormat="1" ht="12" customHeight="1" outlineLevel="1">
      <c r="A4779" s="335"/>
      <c r="B4779" s="118" t="s">
        <v>12</v>
      </c>
      <c r="C4779" s="334" t="s">
        <v>13100</v>
      </c>
      <c r="D4779" s="124" t="s">
        <v>13101</v>
      </c>
      <c r="E4779" s="125"/>
      <c r="F4779" s="118" t="s">
        <v>953</v>
      </c>
      <c r="G4779" s="126" t="s">
        <v>12900</v>
      </c>
      <c r="H4779" s="255">
        <v>2</v>
      </c>
      <c r="I4779" s="361">
        <v>1</v>
      </c>
      <c r="J4779" s="362" t="s">
        <v>307</v>
      </c>
      <c r="K4779" s="372"/>
      <c r="L4779" s="129"/>
      <c r="M4779" s="129"/>
      <c r="N4779" s="129"/>
      <c r="O4779" s="129"/>
      <c r="P4779" s="372"/>
      <c r="Q4779" s="372"/>
      <c r="R4779" s="129"/>
      <c r="S4779" s="129"/>
      <c r="T4779" s="129"/>
      <c r="W4779" s="129" t="s">
        <v>4876</v>
      </c>
      <c r="X4779" s="337" t="b">
        <f t="shared" si="110"/>
        <v>0</v>
      </c>
    </row>
    <row r="4780" spans="1:24" s="337" customFormat="1" ht="12" customHeight="1" outlineLevel="1">
      <c r="A4780" s="335"/>
      <c r="B4780" s="118" t="s">
        <v>12</v>
      </c>
      <c r="C4780" s="334" t="s">
        <v>13102</v>
      </c>
      <c r="D4780" s="124" t="s">
        <v>13103</v>
      </c>
      <c r="E4780" s="125"/>
      <c r="F4780" s="118" t="s">
        <v>953</v>
      </c>
      <c r="G4780" s="126" t="s">
        <v>12900</v>
      </c>
      <c r="H4780" s="255">
        <v>2</v>
      </c>
      <c r="I4780" s="361">
        <v>1</v>
      </c>
      <c r="J4780" s="362" t="s">
        <v>307</v>
      </c>
      <c r="K4780" s="372"/>
      <c r="L4780" s="129"/>
      <c r="M4780" s="129"/>
      <c r="N4780" s="129"/>
      <c r="O4780" s="129"/>
      <c r="P4780" s="372"/>
      <c r="Q4780" s="372"/>
      <c r="R4780" s="129"/>
      <c r="S4780" s="129"/>
      <c r="T4780" s="129"/>
      <c r="W4780" s="129" t="s">
        <v>4876</v>
      </c>
      <c r="X4780" s="337" t="b">
        <f t="shared" si="110"/>
        <v>0</v>
      </c>
    </row>
    <row r="4781" spans="1:24" s="337" customFormat="1" ht="12" customHeight="1" outlineLevel="1">
      <c r="A4781" s="335"/>
      <c r="B4781" s="118" t="s">
        <v>12</v>
      </c>
      <c r="C4781" s="334" t="s">
        <v>13104</v>
      </c>
      <c r="D4781" s="124" t="s">
        <v>13105</v>
      </c>
      <c r="E4781" s="125"/>
      <c r="F4781" s="118" t="s">
        <v>953</v>
      </c>
      <c r="G4781" s="126" t="s">
        <v>12900</v>
      </c>
      <c r="H4781" s="255">
        <v>2</v>
      </c>
      <c r="I4781" s="361">
        <v>1</v>
      </c>
      <c r="J4781" s="362" t="s">
        <v>307</v>
      </c>
      <c r="K4781" s="372"/>
      <c r="L4781" s="129"/>
      <c r="M4781" s="129"/>
      <c r="N4781" s="129"/>
      <c r="O4781" s="129"/>
      <c r="P4781" s="372"/>
      <c r="Q4781" s="372"/>
      <c r="R4781" s="129"/>
      <c r="S4781" s="129"/>
      <c r="T4781" s="129"/>
      <c r="W4781" s="129" t="s">
        <v>4876</v>
      </c>
      <c r="X4781" s="337" t="b">
        <f t="shared" si="110"/>
        <v>0</v>
      </c>
    </row>
    <row r="4782" spans="1:24" s="337" customFormat="1" ht="12" customHeight="1" outlineLevel="1">
      <c r="A4782" s="335"/>
      <c r="B4782" s="118" t="s">
        <v>12</v>
      </c>
      <c r="C4782" s="334" t="s">
        <v>13106</v>
      </c>
      <c r="D4782" s="124" t="s">
        <v>13107</v>
      </c>
      <c r="E4782" s="125"/>
      <c r="F4782" s="118" t="s">
        <v>953</v>
      </c>
      <c r="G4782" s="126" t="s">
        <v>12900</v>
      </c>
      <c r="H4782" s="255">
        <v>2</v>
      </c>
      <c r="I4782" s="361">
        <v>1</v>
      </c>
      <c r="J4782" s="362" t="s">
        <v>307</v>
      </c>
      <c r="K4782" s="372"/>
      <c r="L4782" s="129"/>
      <c r="M4782" s="129"/>
      <c r="N4782" s="129"/>
      <c r="O4782" s="129"/>
      <c r="P4782" s="372"/>
      <c r="Q4782" s="372"/>
      <c r="R4782" s="129"/>
      <c r="S4782" s="129"/>
      <c r="T4782" s="129"/>
      <c r="W4782" s="129" t="s">
        <v>4876</v>
      </c>
      <c r="X4782" s="337" t="b">
        <f t="shared" si="110"/>
        <v>0</v>
      </c>
    </row>
    <row r="4783" spans="1:24" s="337" customFormat="1" ht="12" customHeight="1" outlineLevel="1">
      <c r="A4783" s="335"/>
      <c r="B4783" s="118" t="s">
        <v>12</v>
      </c>
      <c r="C4783" s="334" t="s">
        <v>13108</v>
      </c>
      <c r="D4783" s="124" t="s">
        <v>13109</v>
      </c>
      <c r="E4783" s="125"/>
      <c r="F4783" s="118" t="s">
        <v>953</v>
      </c>
      <c r="G4783" s="126" t="s">
        <v>12900</v>
      </c>
      <c r="H4783" s="255">
        <v>2</v>
      </c>
      <c r="I4783" s="361">
        <v>1</v>
      </c>
      <c r="J4783" s="362" t="s">
        <v>286</v>
      </c>
      <c r="K4783" s="372"/>
      <c r="L4783" s="129"/>
      <c r="M4783" s="129"/>
      <c r="N4783" s="129"/>
      <c r="O4783" s="129"/>
      <c r="P4783" s="372"/>
      <c r="Q4783" s="372"/>
      <c r="R4783" s="129"/>
      <c r="S4783" s="129"/>
      <c r="T4783" s="129"/>
      <c r="W4783" s="129" t="s">
        <v>286</v>
      </c>
      <c r="X4783" s="337" t="b">
        <f t="shared" si="110"/>
        <v>1</v>
      </c>
    </row>
    <row r="4784" spans="1:24" s="337" customFormat="1" ht="12" customHeight="1" outlineLevel="1">
      <c r="A4784" s="335"/>
      <c r="B4784" s="118" t="s">
        <v>12</v>
      </c>
      <c r="C4784" s="334" t="s">
        <v>13110</v>
      </c>
      <c r="D4784" s="124" t="s">
        <v>13111</v>
      </c>
      <c r="E4784" s="125"/>
      <c r="F4784" s="118" t="s">
        <v>953</v>
      </c>
      <c r="G4784" s="126" t="s">
        <v>12900</v>
      </c>
      <c r="H4784" s="255">
        <v>2</v>
      </c>
      <c r="I4784" s="361">
        <v>1</v>
      </c>
      <c r="J4784" s="362" t="s">
        <v>286</v>
      </c>
      <c r="K4784" s="372"/>
      <c r="L4784" s="129"/>
      <c r="M4784" s="129"/>
      <c r="N4784" s="129"/>
      <c r="O4784" s="129"/>
      <c r="P4784" s="372"/>
      <c r="Q4784" s="372"/>
      <c r="R4784" s="129"/>
      <c r="S4784" s="129"/>
      <c r="T4784" s="129"/>
      <c r="W4784" s="129" t="s">
        <v>286</v>
      </c>
      <c r="X4784" s="337" t="b">
        <f t="shared" si="110"/>
        <v>1</v>
      </c>
    </row>
    <row r="4785" spans="1:24" s="337" customFormat="1" ht="12" customHeight="1" outlineLevel="1">
      <c r="A4785" s="335"/>
      <c r="B4785" s="118" t="s">
        <v>12</v>
      </c>
      <c r="C4785" s="334" t="s">
        <v>13112</v>
      </c>
      <c r="D4785" s="124" t="s">
        <v>13113</v>
      </c>
      <c r="E4785" s="125"/>
      <c r="F4785" s="118" t="s">
        <v>953</v>
      </c>
      <c r="G4785" s="126" t="s">
        <v>12900</v>
      </c>
      <c r="H4785" s="255">
        <v>2</v>
      </c>
      <c r="I4785" s="361">
        <v>1</v>
      </c>
      <c r="J4785" s="362" t="s">
        <v>286</v>
      </c>
      <c r="K4785" s="372"/>
      <c r="L4785" s="129"/>
      <c r="M4785" s="129"/>
      <c r="N4785" s="129"/>
      <c r="O4785" s="129"/>
      <c r="P4785" s="372"/>
      <c r="Q4785" s="372"/>
      <c r="R4785" s="129"/>
      <c r="S4785" s="129"/>
      <c r="T4785" s="129"/>
      <c r="W4785" s="129" t="s">
        <v>4876</v>
      </c>
      <c r="X4785" s="337" t="b">
        <f t="shared" si="110"/>
        <v>0</v>
      </c>
    </row>
    <row r="4786" spans="1:24" s="337" customFormat="1" ht="12" customHeight="1" outlineLevel="1">
      <c r="A4786" s="335"/>
      <c r="B4786" s="118" t="s">
        <v>12</v>
      </c>
      <c r="C4786" s="334" t="s">
        <v>13114</v>
      </c>
      <c r="D4786" s="124" t="s">
        <v>13115</v>
      </c>
      <c r="E4786" s="125"/>
      <c r="F4786" s="118" t="s">
        <v>953</v>
      </c>
      <c r="G4786" s="126" t="s">
        <v>12900</v>
      </c>
      <c r="H4786" s="255">
        <v>2</v>
      </c>
      <c r="I4786" s="361">
        <v>1</v>
      </c>
      <c r="J4786" s="362" t="s">
        <v>286</v>
      </c>
      <c r="K4786" s="372"/>
      <c r="L4786" s="129"/>
      <c r="M4786" s="129"/>
      <c r="N4786" s="129"/>
      <c r="O4786" s="129"/>
      <c r="P4786" s="372"/>
      <c r="Q4786" s="372"/>
      <c r="R4786" s="129"/>
      <c r="S4786" s="129"/>
      <c r="T4786" s="129"/>
      <c r="W4786" s="129" t="s">
        <v>4876</v>
      </c>
      <c r="X4786" s="337" t="b">
        <f t="shared" si="110"/>
        <v>0</v>
      </c>
    </row>
    <row r="4787" spans="1:24" s="337" customFormat="1" ht="12" customHeight="1" outlineLevel="1">
      <c r="A4787" s="335"/>
      <c r="B4787" s="118" t="s">
        <v>12</v>
      </c>
      <c r="C4787" s="334" t="s">
        <v>13116</v>
      </c>
      <c r="D4787" s="124" t="s">
        <v>13117</v>
      </c>
      <c r="E4787" s="125"/>
      <c r="F4787" s="118" t="s">
        <v>953</v>
      </c>
      <c r="G4787" s="126" t="s">
        <v>12900</v>
      </c>
      <c r="H4787" s="255">
        <v>2</v>
      </c>
      <c r="I4787" s="361">
        <v>1</v>
      </c>
      <c r="J4787" s="362" t="s">
        <v>286</v>
      </c>
      <c r="K4787" s="372"/>
      <c r="L4787" s="129"/>
      <c r="M4787" s="129"/>
      <c r="N4787" s="129"/>
      <c r="O4787" s="129"/>
      <c r="P4787" s="372"/>
      <c r="Q4787" s="372"/>
      <c r="R4787" s="129"/>
      <c r="S4787" s="129"/>
      <c r="T4787" s="129"/>
      <c r="W4787" s="129" t="s">
        <v>286</v>
      </c>
      <c r="X4787" s="337" t="b">
        <f t="shared" si="110"/>
        <v>1</v>
      </c>
    </row>
    <row r="4788" spans="1:24" s="337" customFormat="1" ht="12" customHeight="1" outlineLevel="1">
      <c r="A4788" s="335"/>
      <c r="B4788" s="118" t="s">
        <v>12</v>
      </c>
      <c r="C4788" s="334" t="s">
        <v>13118</v>
      </c>
      <c r="D4788" s="124" t="s">
        <v>13119</v>
      </c>
      <c r="E4788" s="125"/>
      <c r="F4788" s="118" t="s">
        <v>953</v>
      </c>
      <c r="G4788" s="126" t="s">
        <v>12900</v>
      </c>
      <c r="H4788" s="255">
        <v>2</v>
      </c>
      <c r="I4788" s="361">
        <v>1</v>
      </c>
      <c r="J4788" s="362" t="s">
        <v>286</v>
      </c>
      <c r="K4788" s="372"/>
      <c r="L4788" s="129"/>
      <c r="M4788" s="129"/>
      <c r="N4788" s="129"/>
      <c r="O4788" s="129"/>
      <c r="P4788" s="372"/>
      <c r="Q4788" s="372"/>
      <c r="R4788" s="129"/>
      <c r="S4788" s="129"/>
      <c r="T4788" s="129"/>
      <c r="W4788" s="129" t="s">
        <v>286</v>
      </c>
      <c r="X4788" s="337" t="b">
        <f t="shared" si="110"/>
        <v>1</v>
      </c>
    </row>
    <row r="4789" spans="1:24" s="337" customFormat="1" ht="12" customHeight="1" outlineLevel="1">
      <c r="A4789" s="335"/>
      <c r="B4789" s="118" t="s">
        <v>12</v>
      </c>
      <c r="C4789" s="334" t="s">
        <v>13120</v>
      </c>
      <c r="D4789" s="124" t="s">
        <v>13121</v>
      </c>
      <c r="E4789" s="125"/>
      <c r="F4789" s="118" t="s">
        <v>953</v>
      </c>
      <c r="G4789" s="126" t="s">
        <v>12900</v>
      </c>
      <c r="H4789" s="255">
        <v>2</v>
      </c>
      <c r="I4789" s="361">
        <v>1</v>
      </c>
      <c r="J4789" s="362" t="s">
        <v>286</v>
      </c>
      <c r="K4789" s="372"/>
      <c r="L4789" s="129"/>
      <c r="M4789" s="129"/>
      <c r="N4789" s="129"/>
      <c r="O4789" s="129"/>
      <c r="P4789" s="372"/>
      <c r="Q4789" s="372"/>
      <c r="R4789" s="129"/>
      <c r="S4789" s="129"/>
      <c r="T4789" s="129"/>
      <c r="W4789" s="129" t="s">
        <v>286</v>
      </c>
      <c r="X4789" s="337" t="b">
        <f t="shared" si="110"/>
        <v>1</v>
      </c>
    </row>
    <row r="4790" spans="1:24" s="337" customFormat="1" ht="12" customHeight="1" outlineLevel="1">
      <c r="A4790" s="335"/>
      <c r="B4790" s="118" t="s">
        <v>12</v>
      </c>
      <c r="C4790" s="334" t="s">
        <v>13122</v>
      </c>
      <c r="D4790" s="124" t="s">
        <v>13123</v>
      </c>
      <c r="E4790" s="125"/>
      <c r="F4790" s="118" t="s">
        <v>953</v>
      </c>
      <c r="G4790" s="126" t="s">
        <v>12900</v>
      </c>
      <c r="H4790" s="255">
        <v>2</v>
      </c>
      <c r="I4790" s="361">
        <v>1</v>
      </c>
      <c r="J4790" s="362" t="s">
        <v>286</v>
      </c>
      <c r="K4790" s="372"/>
      <c r="L4790" s="129"/>
      <c r="M4790" s="129"/>
      <c r="N4790" s="129"/>
      <c r="O4790" s="129"/>
      <c r="P4790" s="372"/>
      <c r="Q4790" s="372"/>
      <c r="R4790" s="129"/>
      <c r="S4790" s="129"/>
      <c r="T4790" s="129"/>
      <c r="W4790" s="129" t="s">
        <v>286</v>
      </c>
      <c r="X4790" s="337" t="b">
        <f t="shared" si="110"/>
        <v>1</v>
      </c>
    </row>
    <row r="4791" spans="1:24" s="337" customFormat="1" ht="12" customHeight="1" outlineLevel="1">
      <c r="A4791" s="335"/>
      <c r="B4791" s="118" t="s">
        <v>12</v>
      </c>
      <c r="C4791" s="334" t="s">
        <v>13124</v>
      </c>
      <c r="D4791" s="124" t="s">
        <v>7307</v>
      </c>
      <c r="E4791" s="125"/>
      <c r="F4791" s="118" t="s">
        <v>953</v>
      </c>
      <c r="G4791" s="126" t="s">
        <v>13125</v>
      </c>
      <c r="H4791" s="255">
        <v>4</v>
      </c>
      <c r="I4791" s="361">
        <v>1</v>
      </c>
      <c r="J4791" s="362" t="s">
        <v>6147</v>
      </c>
      <c r="K4791" s="372"/>
      <c r="L4791" s="129"/>
      <c r="M4791" s="129"/>
      <c r="N4791" s="129"/>
      <c r="O4791" s="129"/>
      <c r="P4791" s="372"/>
      <c r="Q4791" s="372"/>
      <c r="R4791" s="129"/>
      <c r="S4791" s="129"/>
      <c r="T4791" s="129"/>
      <c r="W4791" s="129" t="s">
        <v>6147</v>
      </c>
      <c r="X4791" s="337" t="b">
        <f t="shared" si="110"/>
        <v>1</v>
      </c>
    </row>
    <row r="4792" spans="1:24" s="337" customFormat="1" ht="12" customHeight="1" outlineLevel="1">
      <c r="A4792" s="335"/>
      <c r="B4792" s="118" t="s">
        <v>12</v>
      </c>
      <c r="C4792" s="334" t="s">
        <v>13126</v>
      </c>
      <c r="D4792" s="124" t="s">
        <v>9002</v>
      </c>
      <c r="E4792" s="125"/>
      <c r="F4792" s="118" t="s">
        <v>953</v>
      </c>
      <c r="G4792" s="126" t="s">
        <v>13125</v>
      </c>
      <c r="H4792" s="255">
        <v>4</v>
      </c>
      <c r="I4792" s="361">
        <v>1</v>
      </c>
      <c r="J4792" s="362" t="s">
        <v>6148</v>
      </c>
      <c r="K4792" s="372"/>
      <c r="L4792" s="129"/>
      <c r="M4792" s="129"/>
      <c r="N4792" s="129"/>
      <c r="O4792" s="129"/>
      <c r="P4792" s="372"/>
      <c r="Q4792" s="372"/>
      <c r="R4792" s="129"/>
      <c r="S4792" s="129"/>
      <c r="T4792" s="129"/>
      <c r="W4792" s="129" t="s">
        <v>310</v>
      </c>
      <c r="X4792" s="337" t="b">
        <f t="shared" si="110"/>
        <v>0</v>
      </c>
    </row>
    <row r="4793" spans="1:24" s="337" customFormat="1" ht="12" customHeight="1" outlineLevel="1">
      <c r="A4793" s="335"/>
      <c r="B4793" s="118" t="s">
        <v>12</v>
      </c>
      <c r="C4793" s="334" t="s">
        <v>13127</v>
      </c>
      <c r="D4793" s="124" t="s">
        <v>13128</v>
      </c>
      <c r="E4793" s="125"/>
      <c r="F4793" s="118" t="s">
        <v>953</v>
      </c>
      <c r="G4793" s="126" t="s">
        <v>13125</v>
      </c>
      <c r="H4793" s="255">
        <v>4</v>
      </c>
      <c r="I4793" s="361">
        <v>1</v>
      </c>
      <c r="J4793" s="362" t="s">
        <v>286</v>
      </c>
      <c r="K4793" s="372"/>
      <c r="L4793" s="129"/>
      <c r="M4793" s="129"/>
      <c r="N4793" s="129"/>
      <c r="O4793" s="129"/>
      <c r="P4793" s="372"/>
      <c r="Q4793" s="372"/>
      <c r="R4793" s="129"/>
      <c r="S4793" s="129"/>
      <c r="T4793" s="129"/>
      <c r="W4793" s="129" t="s">
        <v>286</v>
      </c>
      <c r="X4793" s="337" t="b">
        <f t="shared" si="110"/>
        <v>1</v>
      </c>
    </row>
    <row r="4794" spans="1:24" s="337" customFormat="1" ht="12" customHeight="1" outlineLevel="1">
      <c r="A4794" s="335"/>
      <c r="B4794" s="118" t="s">
        <v>12</v>
      </c>
      <c r="C4794" s="334" t="s">
        <v>13129</v>
      </c>
      <c r="D4794" s="124" t="s">
        <v>13130</v>
      </c>
      <c r="E4794" s="125"/>
      <c r="F4794" s="118" t="s">
        <v>953</v>
      </c>
      <c r="G4794" s="126" t="s">
        <v>13125</v>
      </c>
      <c r="H4794" s="255">
        <v>4</v>
      </c>
      <c r="I4794" s="361">
        <v>1</v>
      </c>
      <c r="J4794" s="362" t="s">
        <v>310</v>
      </c>
      <c r="K4794" s="372"/>
      <c r="L4794" s="129"/>
      <c r="M4794" s="129"/>
      <c r="N4794" s="129"/>
      <c r="O4794" s="129"/>
      <c r="P4794" s="372"/>
      <c r="Q4794" s="372"/>
      <c r="R4794" s="129"/>
      <c r="S4794" s="129"/>
      <c r="T4794" s="129"/>
      <c r="W4794" s="129" t="s">
        <v>286</v>
      </c>
      <c r="X4794" s="337" t="b">
        <f t="shared" si="110"/>
        <v>0</v>
      </c>
    </row>
    <row r="4795" spans="1:24" s="337" customFormat="1" ht="12" customHeight="1" outlineLevel="1">
      <c r="A4795" s="335"/>
      <c r="B4795" s="118" t="s">
        <v>12</v>
      </c>
      <c r="C4795" s="334" t="s">
        <v>13131</v>
      </c>
      <c r="D4795" s="124" t="s">
        <v>13132</v>
      </c>
      <c r="E4795" s="125"/>
      <c r="F4795" s="118" t="s">
        <v>953</v>
      </c>
      <c r="G4795" s="126" t="s">
        <v>13125</v>
      </c>
      <c r="H4795" s="255">
        <v>4</v>
      </c>
      <c r="I4795" s="361">
        <v>1</v>
      </c>
      <c r="J4795" s="362" t="s">
        <v>310</v>
      </c>
      <c r="K4795" s="372"/>
      <c r="L4795" s="129"/>
      <c r="M4795" s="129"/>
      <c r="N4795" s="129"/>
      <c r="O4795" s="129"/>
      <c r="P4795" s="372"/>
      <c r="Q4795" s="372"/>
      <c r="R4795" s="129"/>
      <c r="S4795" s="129"/>
      <c r="T4795" s="129"/>
      <c r="W4795" s="129" t="s">
        <v>307</v>
      </c>
      <c r="X4795" s="337" t="b">
        <f t="shared" si="110"/>
        <v>0</v>
      </c>
    </row>
    <row r="4796" spans="1:24" s="337" customFormat="1" ht="12" customHeight="1" outlineLevel="1">
      <c r="A4796" s="335"/>
      <c r="B4796" s="118" t="s">
        <v>12</v>
      </c>
      <c r="C4796" s="334" t="s">
        <v>13133</v>
      </c>
      <c r="D4796" s="124" t="s">
        <v>13134</v>
      </c>
      <c r="E4796" s="125"/>
      <c r="F4796" s="118" t="s">
        <v>953</v>
      </c>
      <c r="G4796" s="126" t="s">
        <v>13125</v>
      </c>
      <c r="H4796" s="255">
        <v>4</v>
      </c>
      <c r="I4796" s="361">
        <v>1</v>
      </c>
      <c r="J4796" s="362" t="s">
        <v>307</v>
      </c>
      <c r="K4796" s="372"/>
      <c r="L4796" s="129"/>
      <c r="M4796" s="129"/>
      <c r="N4796" s="129"/>
      <c r="O4796" s="129"/>
      <c r="P4796" s="372"/>
      <c r="Q4796" s="372"/>
      <c r="R4796" s="129"/>
      <c r="S4796" s="129"/>
      <c r="T4796" s="129"/>
      <c r="W4796" s="129" t="s">
        <v>325</v>
      </c>
      <c r="X4796" s="337" t="b">
        <f t="shared" si="110"/>
        <v>0</v>
      </c>
    </row>
    <row r="4797" spans="1:24" s="337" customFormat="1" ht="12" customHeight="1" outlineLevel="1">
      <c r="A4797" s="335"/>
      <c r="B4797" s="118" t="s">
        <v>12</v>
      </c>
      <c r="C4797" s="334" t="s">
        <v>13135</v>
      </c>
      <c r="D4797" s="124" t="s">
        <v>13136</v>
      </c>
      <c r="E4797" s="125"/>
      <c r="F4797" s="118" t="s">
        <v>953</v>
      </c>
      <c r="G4797" s="126" t="s">
        <v>13125</v>
      </c>
      <c r="H4797" s="255">
        <v>4</v>
      </c>
      <c r="I4797" s="361">
        <v>1</v>
      </c>
      <c r="J4797" s="362" t="s">
        <v>307</v>
      </c>
      <c r="K4797" s="372"/>
      <c r="L4797" s="129"/>
      <c r="M4797" s="129"/>
      <c r="N4797" s="129"/>
      <c r="O4797" s="129"/>
      <c r="P4797" s="372"/>
      <c r="Q4797" s="372"/>
      <c r="R4797" s="129"/>
      <c r="S4797" s="129"/>
      <c r="T4797" s="129"/>
      <c r="W4797" s="129" t="s">
        <v>307</v>
      </c>
      <c r="X4797" s="337" t="b">
        <f t="shared" si="110"/>
        <v>1</v>
      </c>
    </row>
    <row r="4798" spans="1:24" s="337" customFormat="1" ht="12" customHeight="1" outlineLevel="1">
      <c r="A4798" s="335"/>
      <c r="B4798" s="118" t="s">
        <v>12</v>
      </c>
      <c r="C4798" s="334" t="s">
        <v>13137</v>
      </c>
      <c r="D4798" s="124" t="s">
        <v>13138</v>
      </c>
      <c r="E4798" s="125"/>
      <c r="F4798" s="118" t="s">
        <v>953</v>
      </c>
      <c r="G4798" s="126" t="s">
        <v>13125</v>
      </c>
      <c r="H4798" s="255">
        <v>4</v>
      </c>
      <c r="I4798" s="361">
        <v>1</v>
      </c>
      <c r="J4798" s="362" t="s">
        <v>307</v>
      </c>
      <c r="K4798" s="372"/>
      <c r="L4798" s="129"/>
      <c r="M4798" s="129"/>
      <c r="N4798" s="129"/>
      <c r="O4798" s="129"/>
      <c r="P4798" s="372"/>
      <c r="Q4798" s="372"/>
      <c r="R4798" s="129"/>
      <c r="S4798" s="129"/>
      <c r="T4798" s="129"/>
      <c r="W4798" s="129" t="s">
        <v>307</v>
      </c>
      <c r="X4798" s="337" t="b">
        <f t="shared" si="110"/>
        <v>1</v>
      </c>
    </row>
    <row r="4799" spans="1:24" s="337" customFormat="1" ht="12" customHeight="1" outlineLevel="1">
      <c r="A4799" s="335"/>
      <c r="B4799" s="118" t="s">
        <v>12</v>
      </c>
      <c r="C4799" s="334" t="s">
        <v>13139</v>
      </c>
      <c r="D4799" s="124" t="s">
        <v>13140</v>
      </c>
      <c r="E4799" s="125"/>
      <c r="F4799" s="118" t="s">
        <v>953</v>
      </c>
      <c r="G4799" s="126" t="s">
        <v>13125</v>
      </c>
      <c r="H4799" s="255">
        <v>4</v>
      </c>
      <c r="I4799" s="361">
        <v>1</v>
      </c>
      <c r="J4799" s="362" t="s">
        <v>307</v>
      </c>
      <c r="K4799" s="372"/>
      <c r="L4799" s="129"/>
      <c r="M4799" s="129"/>
      <c r="N4799" s="129"/>
      <c r="O4799" s="129"/>
      <c r="P4799" s="372"/>
      <c r="Q4799" s="372"/>
      <c r="R4799" s="129"/>
      <c r="S4799" s="129"/>
      <c r="T4799" s="129"/>
      <c r="W4799" s="129" t="s">
        <v>325</v>
      </c>
      <c r="X4799" s="337" t="b">
        <f t="shared" ref="X4799:X4862" si="111">W4799=J4799</f>
        <v>0</v>
      </c>
    </row>
    <row r="4800" spans="1:24" s="337" customFormat="1" ht="12" customHeight="1" outlineLevel="1">
      <c r="A4800" s="335"/>
      <c r="B4800" s="118" t="s">
        <v>12</v>
      </c>
      <c r="C4800" s="334" t="s">
        <v>13141</v>
      </c>
      <c r="D4800" s="124" t="s">
        <v>13142</v>
      </c>
      <c r="E4800" s="125"/>
      <c r="F4800" s="118" t="s">
        <v>953</v>
      </c>
      <c r="G4800" s="126" t="s">
        <v>13125</v>
      </c>
      <c r="H4800" s="255">
        <v>4</v>
      </c>
      <c r="I4800" s="361">
        <v>1</v>
      </c>
      <c r="J4800" s="362" t="s">
        <v>307</v>
      </c>
      <c r="K4800" s="372"/>
      <c r="L4800" s="129"/>
      <c r="M4800" s="129"/>
      <c r="N4800" s="129"/>
      <c r="O4800" s="129"/>
      <c r="P4800" s="372"/>
      <c r="Q4800" s="372"/>
      <c r="R4800" s="129"/>
      <c r="S4800" s="129"/>
      <c r="T4800" s="129"/>
      <c r="W4800" s="129" t="s">
        <v>325</v>
      </c>
      <c r="X4800" s="337" t="b">
        <f t="shared" si="111"/>
        <v>0</v>
      </c>
    </row>
    <row r="4801" spans="1:24" s="337" customFormat="1" ht="12" customHeight="1" outlineLevel="1">
      <c r="A4801" s="335"/>
      <c r="B4801" s="118" t="s">
        <v>12</v>
      </c>
      <c r="C4801" s="334" t="s">
        <v>13143</v>
      </c>
      <c r="D4801" s="124" t="s">
        <v>13144</v>
      </c>
      <c r="E4801" s="125"/>
      <c r="F4801" s="118" t="s">
        <v>953</v>
      </c>
      <c r="G4801" s="126" t="s">
        <v>13125</v>
      </c>
      <c r="H4801" s="255">
        <v>4</v>
      </c>
      <c r="I4801" s="361">
        <v>1</v>
      </c>
      <c r="J4801" s="362" t="s">
        <v>307</v>
      </c>
      <c r="K4801" s="372"/>
      <c r="L4801" s="129"/>
      <c r="M4801" s="129"/>
      <c r="N4801" s="129"/>
      <c r="O4801" s="129"/>
      <c r="P4801" s="372"/>
      <c r="Q4801" s="372"/>
      <c r="R4801" s="129"/>
      <c r="S4801" s="129"/>
      <c r="T4801" s="129"/>
      <c r="W4801" s="129" t="s">
        <v>325</v>
      </c>
      <c r="X4801" s="337" t="b">
        <f t="shared" si="111"/>
        <v>0</v>
      </c>
    </row>
    <row r="4802" spans="1:24" s="337" customFormat="1" ht="12" customHeight="1" outlineLevel="1">
      <c r="A4802" s="335"/>
      <c r="B4802" s="118" t="s">
        <v>12</v>
      </c>
      <c r="C4802" s="334" t="s">
        <v>13145</v>
      </c>
      <c r="D4802" s="124" t="s">
        <v>13146</v>
      </c>
      <c r="E4802" s="125"/>
      <c r="F4802" s="118" t="s">
        <v>953</v>
      </c>
      <c r="G4802" s="126" t="s">
        <v>13125</v>
      </c>
      <c r="H4802" s="255">
        <v>4</v>
      </c>
      <c r="I4802" s="361">
        <v>1</v>
      </c>
      <c r="J4802" s="362" t="s">
        <v>325</v>
      </c>
      <c r="K4802" s="372"/>
      <c r="L4802" s="129"/>
      <c r="M4802" s="129"/>
      <c r="N4802" s="129"/>
      <c r="O4802" s="129"/>
      <c r="P4802" s="372"/>
      <c r="Q4802" s="372"/>
      <c r="R4802" s="129"/>
      <c r="S4802" s="129"/>
      <c r="T4802" s="129"/>
      <c r="W4802" s="129" t="s">
        <v>743</v>
      </c>
      <c r="X4802" s="337" t="b">
        <f t="shared" si="111"/>
        <v>0</v>
      </c>
    </row>
    <row r="4803" spans="1:24" s="337" customFormat="1" ht="12" customHeight="1" outlineLevel="1">
      <c r="A4803" s="335"/>
      <c r="B4803" s="118" t="s">
        <v>12</v>
      </c>
      <c r="C4803" s="334" t="s">
        <v>13147</v>
      </c>
      <c r="D4803" s="124" t="s">
        <v>13148</v>
      </c>
      <c r="E4803" s="125"/>
      <c r="F4803" s="118" t="s">
        <v>953</v>
      </c>
      <c r="G4803" s="126" t="s">
        <v>13125</v>
      </c>
      <c r="H4803" s="255">
        <v>4</v>
      </c>
      <c r="I4803" s="361">
        <v>1</v>
      </c>
      <c r="J4803" s="362" t="s">
        <v>310</v>
      </c>
      <c r="K4803" s="372"/>
      <c r="L4803" s="129"/>
      <c r="M4803" s="129"/>
      <c r="N4803" s="129"/>
      <c r="O4803" s="129"/>
      <c r="P4803" s="372"/>
      <c r="Q4803" s="372"/>
      <c r="R4803" s="129"/>
      <c r="S4803" s="129"/>
      <c r="T4803" s="129"/>
      <c r="W4803" s="129" t="s">
        <v>307</v>
      </c>
      <c r="X4803" s="337" t="b">
        <f t="shared" si="111"/>
        <v>0</v>
      </c>
    </row>
    <row r="4804" spans="1:24" s="337" customFormat="1" ht="12" customHeight="1" outlineLevel="1">
      <c r="A4804" s="335"/>
      <c r="B4804" s="118" t="s">
        <v>12</v>
      </c>
      <c r="C4804" s="334" t="s">
        <v>13149</v>
      </c>
      <c r="D4804" s="124" t="s">
        <v>13150</v>
      </c>
      <c r="E4804" s="125"/>
      <c r="F4804" s="118" t="s">
        <v>953</v>
      </c>
      <c r="G4804" s="126" t="s">
        <v>13125</v>
      </c>
      <c r="H4804" s="255">
        <v>4</v>
      </c>
      <c r="I4804" s="361">
        <v>1</v>
      </c>
      <c r="J4804" s="362" t="s">
        <v>286</v>
      </c>
      <c r="K4804" s="372"/>
      <c r="L4804" s="129"/>
      <c r="M4804" s="129"/>
      <c r="N4804" s="129"/>
      <c r="O4804" s="129"/>
      <c r="P4804" s="372"/>
      <c r="Q4804" s="372"/>
      <c r="R4804" s="129"/>
      <c r="S4804" s="129"/>
      <c r="T4804" s="129"/>
      <c r="W4804" s="129" t="s">
        <v>310</v>
      </c>
      <c r="X4804" s="337" t="b">
        <f t="shared" si="111"/>
        <v>0</v>
      </c>
    </row>
    <row r="4805" spans="1:24" s="337" customFormat="1" ht="12" customHeight="1" outlineLevel="1">
      <c r="A4805" s="335"/>
      <c r="B4805" s="118" t="s">
        <v>12</v>
      </c>
      <c r="C4805" s="334" t="s">
        <v>13151</v>
      </c>
      <c r="D4805" s="124" t="s">
        <v>13132</v>
      </c>
      <c r="E4805" s="125"/>
      <c r="F4805" s="118" t="s">
        <v>953</v>
      </c>
      <c r="G4805" s="126" t="s">
        <v>13125</v>
      </c>
      <c r="H4805" s="255">
        <v>4</v>
      </c>
      <c r="I4805" s="361">
        <v>1</v>
      </c>
      <c r="J4805" s="362" t="s">
        <v>286</v>
      </c>
      <c r="K4805" s="372"/>
      <c r="L4805" s="129"/>
      <c r="M4805" s="129"/>
      <c r="N4805" s="129"/>
      <c r="O4805" s="129"/>
      <c r="P4805" s="372"/>
      <c r="Q4805" s="372"/>
      <c r="R4805" s="129"/>
      <c r="S4805" s="129"/>
      <c r="T4805" s="129"/>
      <c r="W4805" s="129" t="s">
        <v>286</v>
      </c>
      <c r="X4805" s="337" t="b">
        <f t="shared" si="111"/>
        <v>1</v>
      </c>
    </row>
    <row r="4806" spans="1:24" s="337" customFormat="1" ht="12" customHeight="1" outlineLevel="1">
      <c r="A4806" s="335"/>
      <c r="B4806" s="118" t="s">
        <v>12</v>
      </c>
      <c r="C4806" s="334" t="s">
        <v>13152</v>
      </c>
      <c r="D4806" s="124" t="s">
        <v>13153</v>
      </c>
      <c r="E4806" s="125"/>
      <c r="F4806" s="118" t="s">
        <v>953</v>
      </c>
      <c r="G4806" s="126" t="s">
        <v>13125</v>
      </c>
      <c r="H4806" s="255">
        <v>4</v>
      </c>
      <c r="I4806" s="361">
        <v>1</v>
      </c>
      <c r="J4806" s="362" t="s">
        <v>307</v>
      </c>
      <c r="K4806" s="372"/>
      <c r="L4806" s="129"/>
      <c r="M4806" s="129"/>
      <c r="N4806" s="129"/>
      <c r="O4806" s="129"/>
      <c r="P4806" s="372"/>
      <c r="Q4806" s="372"/>
      <c r="R4806" s="129"/>
      <c r="S4806" s="129"/>
      <c r="T4806" s="129"/>
      <c r="W4806" s="129" t="s">
        <v>286</v>
      </c>
      <c r="X4806" s="337" t="b">
        <f t="shared" si="111"/>
        <v>0</v>
      </c>
    </row>
    <row r="4807" spans="1:24" s="337" customFormat="1" ht="12" customHeight="1" outlineLevel="1">
      <c r="A4807" s="335"/>
      <c r="B4807" s="118" t="s">
        <v>12</v>
      </c>
      <c r="C4807" s="334" t="s">
        <v>13154</v>
      </c>
      <c r="D4807" s="124" t="s">
        <v>13155</v>
      </c>
      <c r="E4807" s="125"/>
      <c r="F4807" s="118" t="s">
        <v>953</v>
      </c>
      <c r="G4807" s="126" t="s">
        <v>13125</v>
      </c>
      <c r="H4807" s="255">
        <v>4</v>
      </c>
      <c r="I4807" s="361">
        <v>1</v>
      </c>
      <c r="J4807" s="362" t="s">
        <v>307</v>
      </c>
      <c r="K4807" s="372"/>
      <c r="L4807" s="129"/>
      <c r="M4807" s="129"/>
      <c r="N4807" s="129"/>
      <c r="O4807" s="129"/>
      <c r="P4807" s="372"/>
      <c r="Q4807" s="372"/>
      <c r="R4807" s="129"/>
      <c r="S4807" s="129"/>
      <c r="T4807" s="129"/>
      <c r="W4807" s="129" t="s">
        <v>286</v>
      </c>
      <c r="X4807" s="337" t="b">
        <f t="shared" si="111"/>
        <v>0</v>
      </c>
    </row>
    <row r="4808" spans="1:24" s="337" customFormat="1" ht="12" customHeight="1" outlineLevel="1">
      <c r="A4808" s="335"/>
      <c r="B4808" s="118" t="s">
        <v>12</v>
      </c>
      <c r="C4808" s="334" t="s">
        <v>13156</v>
      </c>
      <c r="D4808" s="124" t="s">
        <v>13157</v>
      </c>
      <c r="E4808" s="125"/>
      <c r="F4808" s="118" t="s">
        <v>953</v>
      </c>
      <c r="G4808" s="126" t="s">
        <v>13125</v>
      </c>
      <c r="H4808" s="255">
        <v>4</v>
      </c>
      <c r="I4808" s="361">
        <v>1</v>
      </c>
      <c r="J4808" s="362" t="s">
        <v>325</v>
      </c>
      <c r="K4808" s="372"/>
      <c r="L4808" s="129"/>
      <c r="M4808" s="129"/>
      <c r="N4808" s="129"/>
      <c r="O4808" s="129"/>
      <c r="P4808" s="372"/>
      <c r="Q4808" s="372"/>
      <c r="R4808" s="129"/>
      <c r="S4808" s="129"/>
      <c r="T4808" s="129"/>
      <c r="W4808" s="129" t="s">
        <v>310</v>
      </c>
      <c r="X4808" s="337" t="b">
        <f t="shared" si="111"/>
        <v>0</v>
      </c>
    </row>
    <row r="4809" spans="1:24" s="337" customFormat="1" ht="12" customHeight="1" outlineLevel="1">
      <c r="A4809" s="335"/>
      <c r="B4809" s="118" t="s">
        <v>12</v>
      </c>
      <c r="C4809" s="334" t="s">
        <v>13158</v>
      </c>
      <c r="D4809" s="124" t="s">
        <v>13159</v>
      </c>
      <c r="E4809" s="125"/>
      <c r="F4809" s="118" t="s">
        <v>953</v>
      </c>
      <c r="G4809" s="126" t="s">
        <v>13125</v>
      </c>
      <c r="H4809" s="255">
        <v>4</v>
      </c>
      <c r="I4809" s="361">
        <v>1</v>
      </c>
      <c r="J4809" s="362" t="s">
        <v>310</v>
      </c>
      <c r="K4809" s="372"/>
      <c r="L4809" s="129"/>
      <c r="M4809" s="129"/>
      <c r="N4809" s="129"/>
      <c r="O4809" s="129"/>
      <c r="P4809" s="372"/>
      <c r="Q4809" s="372"/>
      <c r="R4809" s="129"/>
      <c r="S4809" s="129"/>
      <c r="T4809" s="129"/>
      <c r="W4809" s="129" t="s">
        <v>286</v>
      </c>
      <c r="X4809" s="337" t="b">
        <f t="shared" si="111"/>
        <v>0</v>
      </c>
    </row>
    <row r="4810" spans="1:24" s="337" customFormat="1" ht="12" customHeight="1" outlineLevel="1">
      <c r="A4810" s="335"/>
      <c r="B4810" s="118" t="s">
        <v>12</v>
      </c>
      <c r="C4810" s="334" t="s">
        <v>13160</v>
      </c>
      <c r="D4810" s="124" t="s">
        <v>13161</v>
      </c>
      <c r="E4810" s="125"/>
      <c r="F4810" s="118" t="s">
        <v>953</v>
      </c>
      <c r="G4810" s="126" t="s">
        <v>13125</v>
      </c>
      <c r="H4810" s="255">
        <v>4</v>
      </c>
      <c r="I4810" s="361">
        <v>1</v>
      </c>
      <c r="J4810" s="362" t="s">
        <v>307</v>
      </c>
      <c r="K4810" s="372"/>
      <c r="L4810" s="129"/>
      <c r="M4810" s="129"/>
      <c r="N4810" s="129"/>
      <c r="O4810" s="129"/>
      <c r="P4810" s="372"/>
      <c r="Q4810" s="372"/>
      <c r="R4810" s="129"/>
      <c r="S4810" s="129"/>
      <c r="T4810" s="129"/>
      <c r="W4810" s="129" t="s">
        <v>286</v>
      </c>
      <c r="X4810" s="337" t="b">
        <f t="shared" si="111"/>
        <v>0</v>
      </c>
    </row>
    <row r="4811" spans="1:24" s="337" customFormat="1" ht="12" customHeight="1" outlineLevel="1">
      <c r="A4811" s="335"/>
      <c r="B4811" s="118" t="s">
        <v>12</v>
      </c>
      <c r="C4811" s="334" t="s">
        <v>13162</v>
      </c>
      <c r="D4811" s="124" t="s">
        <v>13163</v>
      </c>
      <c r="E4811" s="125"/>
      <c r="F4811" s="118" t="s">
        <v>953</v>
      </c>
      <c r="G4811" s="126" t="s">
        <v>13125</v>
      </c>
      <c r="H4811" s="255">
        <v>4</v>
      </c>
      <c r="I4811" s="361">
        <v>1</v>
      </c>
      <c r="J4811" s="362" t="s">
        <v>307</v>
      </c>
      <c r="K4811" s="372"/>
      <c r="L4811" s="129"/>
      <c r="M4811" s="129"/>
      <c r="N4811" s="129"/>
      <c r="O4811" s="129"/>
      <c r="P4811" s="372"/>
      <c r="Q4811" s="372"/>
      <c r="R4811" s="129"/>
      <c r="S4811" s="129"/>
      <c r="T4811" s="129"/>
      <c r="W4811" s="129" t="s">
        <v>286</v>
      </c>
      <c r="X4811" s="337" t="b">
        <f t="shared" si="111"/>
        <v>0</v>
      </c>
    </row>
    <row r="4812" spans="1:24" s="337" customFormat="1" ht="12" customHeight="1" outlineLevel="1">
      <c r="A4812" s="335"/>
      <c r="B4812" s="118" t="s">
        <v>12</v>
      </c>
      <c r="C4812" s="334" t="s">
        <v>13164</v>
      </c>
      <c r="D4812" s="124" t="s">
        <v>13165</v>
      </c>
      <c r="E4812" s="125"/>
      <c r="F4812" s="118" t="s">
        <v>953</v>
      </c>
      <c r="G4812" s="126" t="s">
        <v>13125</v>
      </c>
      <c r="H4812" s="255">
        <v>4</v>
      </c>
      <c r="I4812" s="361">
        <v>1</v>
      </c>
      <c r="J4812" s="362" t="s">
        <v>310</v>
      </c>
      <c r="K4812" s="372"/>
      <c r="L4812" s="129"/>
      <c r="M4812" s="129"/>
      <c r="N4812" s="129"/>
      <c r="O4812" s="129"/>
      <c r="P4812" s="372"/>
      <c r="Q4812" s="372"/>
      <c r="R4812" s="129"/>
      <c r="S4812" s="129"/>
      <c r="T4812" s="129"/>
      <c r="W4812" s="129" t="s">
        <v>286</v>
      </c>
      <c r="X4812" s="337" t="b">
        <f t="shared" si="111"/>
        <v>0</v>
      </c>
    </row>
    <row r="4813" spans="1:24" s="337" customFormat="1" ht="12" customHeight="1" outlineLevel="1">
      <c r="A4813" s="335"/>
      <c r="B4813" s="118" t="s">
        <v>12</v>
      </c>
      <c r="C4813" s="334" t="s">
        <v>13166</v>
      </c>
      <c r="D4813" s="124" t="s">
        <v>13167</v>
      </c>
      <c r="E4813" s="125"/>
      <c r="F4813" s="118" t="s">
        <v>953</v>
      </c>
      <c r="G4813" s="126" t="s">
        <v>13125</v>
      </c>
      <c r="H4813" s="255">
        <v>4</v>
      </c>
      <c r="I4813" s="361">
        <v>1</v>
      </c>
      <c r="J4813" s="362" t="s">
        <v>286</v>
      </c>
      <c r="K4813" s="372"/>
      <c r="L4813" s="129"/>
      <c r="M4813" s="129"/>
      <c r="N4813" s="129"/>
      <c r="O4813" s="129"/>
      <c r="P4813" s="372"/>
      <c r="Q4813" s="372"/>
      <c r="R4813" s="129"/>
      <c r="S4813" s="129"/>
      <c r="T4813" s="129"/>
      <c r="W4813" s="129" t="s">
        <v>286</v>
      </c>
      <c r="X4813" s="337" t="b">
        <f t="shared" si="111"/>
        <v>1</v>
      </c>
    </row>
    <row r="4814" spans="1:24" s="337" customFormat="1" ht="12" customHeight="1" outlineLevel="1">
      <c r="A4814" s="335"/>
      <c r="B4814" s="118" t="s">
        <v>12</v>
      </c>
      <c r="C4814" s="334" t="s">
        <v>13168</v>
      </c>
      <c r="D4814" s="124" t="s">
        <v>13169</v>
      </c>
      <c r="E4814" s="125"/>
      <c r="F4814" s="118" t="s">
        <v>953</v>
      </c>
      <c r="G4814" s="126" t="s">
        <v>13125</v>
      </c>
      <c r="H4814" s="255">
        <v>4</v>
      </c>
      <c r="I4814" s="361">
        <v>1</v>
      </c>
      <c r="J4814" s="362" t="s">
        <v>310</v>
      </c>
      <c r="K4814" s="372"/>
      <c r="L4814" s="129"/>
      <c r="M4814" s="129"/>
      <c r="N4814" s="129"/>
      <c r="O4814" s="129"/>
      <c r="P4814" s="372"/>
      <c r="Q4814" s="372"/>
      <c r="R4814" s="129"/>
      <c r="S4814" s="129"/>
      <c r="T4814" s="129"/>
      <c r="W4814" s="129" t="s">
        <v>286</v>
      </c>
      <c r="X4814" s="337" t="b">
        <f t="shared" si="111"/>
        <v>0</v>
      </c>
    </row>
    <row r="4815" spans="1:24" s="337" customFormat="1" ht="12" customHeight="1" outlineLevel="1">
      <c r="A4815" s="335"/>
      <c r="B4815" s="118" t="s">
        <v>12</v>
      </c>
      <c r="C4815" s="334" t="s">
        <v>13170</v>
      </c>
      <c r="D4815" s="124" t="s">
        <v>13171</v>
      </c>
      <c r="E4815" s="125"/>
      <c r="F4815" s="118" t="s">
        <v>953</v>
      </c>
      <c r="G4815" s="126" t="s">
        <v>13125</v>
      </c>
      <c r="H4815" s="255">
        <v>4</v>
      </c>
      <c r="I4815" s="361">
        <v>1</v>
      </c>
      <c r="J4815" s="362" t="s">
        <v>310</v>
      </c>
      <c r="K4815" s="372"/>
      <c r="L4815" s="129"/>
      <c r="M4815" s="129"/>
      <c r="N4815" s="129"/>
      <c r="O4815" s="129"/>
      <c r="P4815" s="372"/>
      <c r="Q4815" s="372"/>
      <c r="R4815" s="129"/>
      <c r="S4815" s="129"/>
      <c r="T4815" s="129"/>
      <c r="W4815" s="129" t="s">
        <v>286</v>
      </c>
      <c r="X4815" s="337" t="b">
        <f t="shared" si="111"/>
        <v>0</v>
      </c>
    </row>
    <row r="4816" spans="1:24" s="337" customFormat="1" ht="12" customHeight="1" outlineLevel="1">
      <c r="A4816" s="335"/>
      <c r="B4816" s="118" t="s">
        <v>12</v>
      </c>
      <c r="C4816" s="334" t="s">
        <v>13172</v>
      </c>
      <c r="D4816" s="124" t="s">
        <v>13173</v>
      </c>
      <c r="E4816" s="125"/>
      <c r="F4816" s="118" t="s">
        <v>953</v>
      </c>
      <c r="G4816" s="126" t="s">
        <v>13125</v>
      </c>
      <c r="H4816" s="255">
        <v>4</v>
      </c>
      <c r="I4816" s="361">
        <v>1</v>
      </c>
      <c r="J4816" s="362" t="s">
        <v>310</v>
      </c>
      <c r="K4816" s="372"/>
      <c r="L4816" s="129"/>
      <c r="M4816" s="129"/>
      <c r="N4816" s="129"/>
      <c r="O4816" s="129"/>
      <c r="P4816" s="372"/>
      <c r="Q4816" s="372"/>
      <c r="R4816" s="129"/>
      <c r="S4816" s="129"/>
      <c r="T4816" s="129"/>
      <c r="W4816" s="129" t="s">
        <v>286</v>
      </c>
      <c r="X4816" s="337" t="b">
        <f t="shared" si="111"/>
        <v>0</v>
      </c>
    </row>
    <row r="4817" spans="1:24" s="337" customFormat="1" ht="12" customHeight="1" outlineLevel="1">
      <c r="A4817" s="335"/>
      <c r="B4817" s="118" t="s">
        <v>12</v>
      </c>
      <c r="C4817" s="334" t="s">
        <v>13174</v>
      </c>
      <c r="D4817" s="124" t="s">
        <v>13175</v>
      </c>
      <c r="E4817" s="125"/>
      <c r="F4817" s="118" t="s">
        <v>953</v>
      </c>
      <c r="G4817" s="126" t="s">
        <v>13125</v>
      </c>
      <c r="H4817" s="255">
        <v>4</v>
      </c>
      <c r="I4817" s="361">
        <v>1</v>
      </c>
      <c r="J4817" s="362" t="s">
        <v>310</v>
      </c>
      <c r="K4817" s="372"/>
      <c r="L4817" s="129"/>
      <c r="M4817" s="129"/>
      <c r="N4817" s="129"/>
      <c r="O4817" s="129"/>
      <c r="P4817" s="372"/>
      <c r="Q4817" s="372"/>
      <c r="R4817" s="129"/>
      <c r="S4817" s="129"/>
      <c r="T4817" s="129"/>
      <c r="W4817" s="129" t="s">
        <v>310</v>
      </c>
      <c r="X4817" s="337" t="b">
        <f t="shared" si="111"/>
        <v>1</v>
      </c>
    </row>
    <row r="4818" spans="1:24" s="337" customFormat="1" ht="12" customHeight="1" outlineLevel="1">
      <c r="A4818" s="335"/>
      <c r="B4818" s="118" t="s">
        <v>12</v>
      </c>
      <c r="C4818" s="334" t="s">
        <v>13176</v>
      </c>
      <c r="D4818" s="124" t="s">
        <v>13177</v>
      </c>
      <c r="E4818" s="125"/>
      <c r="F4818" s="118" t="s">
        <v>953</v>
      </c>
      <c r="G4818" s="126" t="s">
        <v>13125</v>
      </c>
      <c r="H4818" s="255">
        <v>4</v>
      </c>
      <c r="I4818" s="361">
        <v>1</v>
      </c>
      <c r="J4818" s="362" t="s">
        <v>286</v>
      </c>
      <c r="K4818" s="372"/>
      <c r="L4818" s="129"/>
      <c r="M4818" s="129"/>
      <c r="N4818" s="129"/>
      <c r="O4818" s="129"/>
      <c r="P4818" s="372"/>
      <c r="Q4818" s="372"/>
      <c r="R4818" s="129"/>
      <c r="S4818" s="129"/>
      <c r="T4818" s="129"/>
      <c r="W4818" s="129" t="s">
        <v>286</v>
      </c>
      <c r="X4818" s="337" t="b">
        <f t="shared" si="111"/>
        <v>1</v>
      </c>
    </row>
    <row r="4819" spans="1:24" s="337" customFormat="1" ht="12" customHeight="1" outlineLevel="1">
      <c r="A4819" s="335"/>
      <c r="B4819" s="118" t="s">
        <v>12</v>
      </c>
      <c r="C4819" s="334" t="s">
        <v>13178</v>
      </c>
      <c r="D4819" s="124" t="s">
        <v>13179</v>
      </c>
      <c r="E4819" s="125"/>
      <c r="F4819" s="118" t="s">
        <v>953</v>
      </c>
      <c r="G4819" s="126" t="s">
        <v>13125</v>
      </c>
      <c r="H4819" s="255">
        <v>4</v>
      </c>
      <c r="I4819" s="361">
        <v>1</v>
      </c>
      <c r="J4819" s="362" t="s">
        <v>286</v>
      </c>
      <c r="K4819" s="372"/>
      <c r="L4819" s="129"/>
      <c r="M4819" s="129"/>
      <c r="N4819" s="129"/>
      <c r="O4819" s="129"/>
      <c r="P4819" s="372"/>
      <c r="Q4819" s="372"/>
      <c r="R4819" s="129"/>
      <c r="S4819" s="129"/>
      <c r="T4819" s="129"/>
      <c r="W4819" s="129" t="s">
        <v>310</v>
      </c>
      <c r="X4819" s="337" t="b">
        <f t="shared" si="111"/>
        <v>0</v>
      </c>
    </row>
    <row r="4820" spans="1:24" s="337" customFormat="1" ht="12" customHeight="1" outlineLevel="1">
      <c r="A4820" s="335"/>
      <c r="B4820" s="118" t="s">
        <v>12</v>
      </c>
      <c r="C4820" s="334" t="s">
        <v>13180</v>
      </c>
      <c r="D4820" s="124" t="s">
        <v>13181</v>
      </c>
      <c r="E4820" s="125"/>
      <c r="F4820" s="118" t="s">
        <v>953</v>
      </c>
      <c r="G4820" s="126" t="s">
        <v>13125</v>
      </c>
      <c r="H4820" s="255">
        <v>4</v>
      </c>
      <c r="I4820" s="361">
        <v>1</v>
      </c>
      <c r="J4820" s="362" t="s">
        <v>310</v>
      </c>
      <c r="K4820" s="372"/>
      <c r="L4820" s="129"/>
      <c r="M4820" s="129"/>
      <c r="N4820" s="129"/>
      <c r="O4820" s="129"/>
      <c r="P4820" s="372"/>
      <c r="Q4820" s="372"/>
      <c r="R4820" s="129"/>
      <c r="S4820" s="129"/>
      <c r="T4820" s="129"/>
      <c r="W4820" s="129" t="s">
        <v>307</v>
      </c>
      <c r="X4820" s="337" t="b">
        <f t="shared" si="111"/>
        <v>0</v>
      </c>
    </row>
    <row r="4821" spans="1:24" s="337" customFormat="1" ht="12" customHeight="1" outlineLevel="1">
      <c r="A4821" s="335"/>
      <c r="B4821" s="118" t="s">
        <v>12</v>
      </c>
      <c r="C4821" s="334" t="s">
        <v>13182</v>
      </c>
      <c r="D4821" s="124" t="s">
        <v>13183</v>
      </c>
      <c r="E4821" s="125"/>
      <c r="F4821" s="118" t="s">
        <v>953</v>
      </c>
      <c r="G4821" s="126" t="s">
        <v>13125</v>
      </c>
      <c r="H4821" s="255">
        <v>4</v>
      </c>
      <c r="I4821" s="361">
        <v>1</v>
      </c>
      <c r="J4821" s="362" t="s">
        <v>286</v>
      </c>
      <c r="K4821" s="372"/>
      <c r="L4821" s="129"/>
      <c r="M4821" s="129"/>
      <c r="N4821" s="129"/>
      <c r="O4821" s="129"/>
      <c r="P4821" s="372"/>
      <c r="Q4821" s="372"/>
      <c r="R4821" s="129"/>
      <c r="S4821" s="129"/>
      <c r="T4821" s="129"/>
      <c r="W4821" s="129" t="s">
        <v>286</v>
      </c>
      <c r="X4821" s="337" t="b">
        <f t="shared" si="111"/>
        <v>1</v>
      </c>
    </row>
    <row r="4822" spans="1:24" s="337" customFormat="1" ht="12" customHeight="1" outlineLevel="1">
      <c r="A4822" s="335"/>
      <c r="B4822" s="118" t="s">
        <v>12</v>
      </c>
      <c r="C4822" s="334" t="s">
        <v>13184</v>
      </c>
      <c r="D4822" s="124" t="s">
        <v>13185</v>
      </c>
      <c r="E4822" s="125"/>
      <c r="F4822" s="118" t="s">
        <v>953</v>
      </c>
      <c r="G4822" s="126" t="s">
        <v>13125</v>
      </c>
      <c r="H4822" s="255">
        <v>4</v>
      </c>
      <c r="I4822" s="361">
        <v>1</v>
      </c>
      <c r="J4822" s="362" t="s">
        <v>310</v>
      </c>
      <c r="K4822" s="372"/>
      <c r="L4822" s="129"/>
      <c r="M4822" s="129"/>
      <c r="N4822" s="129"/>
      <c r="O4822" s="129"/>
      <c r="P4822" s="372"/>
      <c r="Q4822" s="372"/>
      <c r="R4822" s="129"/>
      <c r="S4822" s="129"/>
      <c r="T4822" s="129"/>
      <c r="W4822" s="129" t="s">
        <v>286</v>
      </c>
      <c r="X4822" s="337" t="b">
        <f t="shared" si="111"/>
        <v>0</v>
      </c>
    </row>
    <row r="4823" spans="1:24" s="337" customFormat="1" ht="12" customHeight="1" outlineLevel="1">
      <c r="A4823" s="335"/>
      <c r="B4823" s="118" t="s">
        <v>12</v>
      </c>
      <c r="C4823" s="334" t="s">
        <v>13186</v>
      </c>
      <c r="D4823" s="124" t="s">
        <v>13187</v>
      </c>
      <c r="E4823" s="125"/>
      <c r="F4823" s="118" t="s">
        <v>953</v>
      </c>
      <c r="G4823" s="126" t="s">
        <v>13125</v>
      </c>
      <c r="H4823" s="255">
        <v>4</v>
      </c>
      <c r="I4823" s="361">
        <v>1</v>
      </c>
      <c r="J4823" s="362" t="s">
        <v>310</v>
      </c>
      <c r="K4823" s="372"/>
      <c r="L4823" s="129"/>
      <c r="M4823" s="129"/>
      <c r="N4823" s="129"/>
      <c r="O4823" s="129"/>
      <c r="P4823" s="372"/>
      <c r="Q4823" s="372"/>
      <c r="R4823" s="129"/>
      <c r="S4823" s="129"/>
      <c r="T4823" s="129"/>
      <c r="W4823" s="129" t="s">
        <v>286</v>
      </c>
      <c r="X4823" s="337" t="b">
        <f t="shared" si="111"/>
        <v>0</v>
      </c>
    </row>
    <row r="4824" spans="1:24" s="337" customFormat="1" ht="12" customHeight="1" outlineLevel="1">
      <c r="A4824" s="335"/>
      <c r="B4824" s="118" t="s">
        <v>12</v>
      </c>
      <c r="C4824" s="334" t="s">
        <v>13188</v>
      </c>
      <c r="D4824" s="124" t="s">
        <v>13189</v>
      </c>
      <c r="E4824" s="125"/>
      <c r="F4824" s="118" t="s">
        <v>953</v>
      </c>
      <c r="G4824" s="126" t="s">
        <v>13125</v>
      </c>
      <c r="H4824" s="255">
        <v>4</v>
      </c>
      <c r="I4824" s="361">
        <v>1</v>
      </c>
      <c r="J4824" s="362" t="s">
        <v>310</v>
      </c>
      <c r="K4824" s="372"/>
      <c r="L4824" s="129"/>
      <c r="M4824" s="129"/>
      <c r="N4824" s="129"/>
      <c r="O4824" s="129"/>
      <c r="P4824" s="372"/>
      <c r="Q4824" s="372"/>
      <c r="R4824" s="129"/>
      <c r="S4824" s="129"/>
      <c r="T4824" s="129"/>
      <c r="W4824" s="129" t="s">
        <v>286</v>
      </c>
      <c r="X4824" s="337" t="b">
        <f t="shared" si="111"/>
        <v>0</v>
      </c>
    </row>
    <row r="4825" spans="1:24" s="337" customFormat="1" ht="12" customHeight="1" outlineLevel="1">
      <c r="A4825" s="335"/>
      <c r="B4825" s="118" t="s">
        <v>12</v>
      </c>
      <c r="C4825" s="334" t="s">
        <v>13190</v>
      </c>
      <c r="D4825" s="124" t="s">
        <v>13191</v>
      </c>
      <c r="E4825" s="125"/>
      <c r="F4825" s="118" t="s">
        <v>953</v>
      </c>
      <c r="G4825" s="126" t="s">
        <v>13125</v>
      </c>
      <c r="H4825" s="255">
        <v>4</v>
      </c>
      <c r="I4825" s="361">
        <v>1</v>
      </c>
      <c r="J4825" s="362" t="s">
        <v>307</v>
      </c>
      <c r="K4825" s="372"/>
      <c r="L4825" s="129"/>
      <c r="M4825" s="129"/>
      <c r="N4825" s="129"/>
      <c r="O4825" s="129"/>
      <c r="P4825" s="372"/>
      <c r="Q4825" s="372"/>
      <c r="R4825" s="129"/>
      <c r="S4825" s="129"/>
      <c r="T4825" s="129"/>
      <c r="W4825" s="129" t="s">
        <v>4876</v>
      </c>
      <c r="X4825" s="337" t="b">
        <f t="shared" si="111"/>
        <v>0</v>
      </c>
    </row>
    <row r="4826" spans="1:24" s="337" customFormat="1" ht="12" customHeight="1" outlineLevel="1">
      <c r="A4826" s="335"/>
      <c r="B4826" s="118" t="s">
        <v>12</v>
      </c>
      <c r="C4826" s="334" t="s">
        <v>13192</v>
      </c>
      <c r="D4826" s="124" t="s">
        <v>13193</v>
      </c>
      <c r="E4826" s="125"/>
      <c r="F4826" s="118" t="s">
        <v>953</v>
      </c>
      <c r="G4826" s="126" t="s">
        <v>13125</v>
      </c>
      <c r="H4826" s="255">
        <v>4</v>
      </c>
      <c r="I4826" s="361">
        <v>1</v>
      </c>
      <c r="J4826" s="362" t="s">
        <v>307</v>
      </c>
      <c r="K4826" s="372"/>
      <c r="L4826" s="129"/>
      <c r="M4826" s="129"/>
      <c r="N4826" s="129"/>
      <c r="O4826" s="129"/>
      <c r="P4826" s="372"/>
      <c r="Q4826" s="372"/>
      <c r="R4826" s="129"/>
      <c r="S4826" s="129"/>
      <c r="T4826" s="129"/>
      <c r="W4826" s="129" t="s">
        <v>4876</v>
      </c>
      <c r="X4826" s="337" t="b">
        <f t="shared" si="111"/>
        <v>0</v>
      </c>
    </row>
    <row r="4827" spans="1:24" s="337" customFormat="1" ht="12" customHeight="1" outlineLevel="1">
      <c r="A4827" s="335"/>
      <c r="B4827" s="118" t="s">
        <v>12</v>
      </c>
      <c r="C4827" s="334" t="s">
        <v>13194</v>
      </c>
      <c r="D4827" s="124" t="s">
        <v>13195</v>
      </c>
      <c r="E4827" s="125"/>
      <c r="F4827" s="118" t="s">
        <v>953</v>
      </c>
      <c r="G4827" s="126" t="s">
        <v>13125</v>
      </c>
      <c r="H4827" s="255">
        <v>4</v>
      </c>
      <c r="I4827" s="361">
        <v>1</v>
      </c>
      <c r="J4827" s="362" t="s">
        <v>307</v>
      </c>
      <c r="K4827" s="372"/>
      <c r="L4827" s="129"/>
      <c r="M4827" s="129"/>
      <c r="N4827" s="129"/>
      <c r="O4827" s="129"/>
      <c r="P4827" s="372"/>
      <c r="Q4827" s="372"/>
      <c r="R4827" s="129"/>
      <c r="S4827" s="129"/>
      <c r="T4827" s="129"/>
      <c r="W4827" s="129" t="s">
        <v>4876</v>
      </c>
      <c r="X4827" s="337" t="b">
        <f t="shared" si="111"/>
        <v>0</v>
      </c>
    </row>
    <row r="4828" spans="1:24" s="337" customFormat="1" ht="12" customHeight="1" outlineLevel="1">
      <c r="A4828" s="335"/>
      <c r="B4828" s="118" t="s">
        <v>12</v>
      </c>
      <c r="C4828" s="334" t="s">
        <v>13196</v>
      </c>
      <c r="D4828" s="124" t="s">
        <v>13197</v>
      </c>
      <c r="E4828" s="125"/>
      <c r="F4828" s="118" t="s">
        <v>953</v>
      </c>
      <c r="G4828" s="126" t="s">
        <v>13125</v>
      </c>
      <c r="H4828" s="255">
        <v>4</v>
      </c>
      <c r="I4828" s="361">
        <v>1</v>
      </c>
      <c r="J4828" s="362" t="s">
        <v>307</v>
      </c>
      <c r="K4828" s="372"/>
      <c r="L4828" s="129"/>
      <c r="M4828" s="129"/>
      <c r="N4828" s="129"/>
      <c r="O4828" s="129"/>
      <c r="P4828" s="372"/>
      <c r="Q4828" s="372"/>
      <c r="R4828" s="129"/>
      <c r="S4828" s="129"/>
      <c r="T4828" s="129"/>
      <c r="W4828" s="129" t="s">
        <v>4876</v>
      </c>
      <c r="X4828" s="337" t="b">
        <f t="shared" si="111"/>
        <v>0</v>
      </c>
    </row>
    <row r="4829" spans="1:24" s="337" customFormat="1" ht="12" customHeight="1" outlineLevel="1">
      <c r="A4829" s="335"/>
      <c r="B4829" s="118" t="s">
        <v>12</v>
      </c>
      <c r="C4829" s="334" t="s">
        <v>13198</v>
      </c>
      <c r="D4829" s="124" t="s">
        <v>13199</v>
      </c>
      <c r="E4829" s="125"/>
      <c r="F4829" s="118" t="s">
        <v>953</v>
      </c>
      <c r="G4829" s="126" t="s">
        <v>13125</v>
      </c>
      <c r="H4829" s="255">
        <v>4</v>
      </c>
      <c r="I4829" s="361">
        <v>1</v>
      </c>
      <c r="J4829" s="362" t="s">
        <v>286</v>
      </c>
      <c r="K4829" s="372"/>
      <c r="L4829" s="129"/>
      <c r="M4829" s="129"/>
      <c r="N4829" s="129"/>
      <c r="O4829" s="129"/>
      <c r="P4829" s="372"/>
      <c r="Q4829" s="372"/>
      <c r="R4829" s="129"/>
      <c r="S4829" s="129"/>
      <c r="T4829" s="129"/>
      <c r="W4829" s="129" t="s">
        <v>4876</v>
      </c>
      <c r="X4829" s="337" t="b">
        <f t="shared" si="111"/>
        <v>0</v>
      </c>
    </row>
    <row r="4830" spans="1:24" s="337" customFormat="1" ht="12" customHeight="1" outlineLevel="1">
      <c r="A4830" s="335"/>
      <c r="B4830" s="118" t="s">
        <v>12</v>
      </c>
      <c r="C4830" s="334" t="s">
        <v>13200</v>
      </c>
      <c r="D4830" s="124" t="s">
        <v>13201</v>
      </c>
      <c r="E4830" s="125"/>
      <c r="F4830" s="118" t="s">
        <v>953</v>
      </c>
      <c r="G4830" s="126" t="s">
        <v>13125</v>
      </c>
      <c r="H4830" s="255">
        <v>4</v>
      </c>
      <c r="I4830" s="361">
        <v>1</v>
      </c>
      <c r="J4830" s="362" t="s">
        <v>286</v>
      </c>
      <c r="K4830" s="372"/>
      <c r="L4830" s="129"/>
      <c r="M4830" s="129"/>
      <c r="N4830" s="129"/>
      <c r="O4830" s="129"/>
      <c r="P4830" s="372"/>
      <c r="Q4830" s="372"/>
      <c r="R4830" s="129"/>
      <c r="S4830" s="129"/>
      <c r="T4830" s="129"/>
      <c r="W4830" s="129" t="s">
        <v>4876</v>
      </c>
      <c r="X4830" s="337" t="b">
        <f t="shared" si="111"/>
        <v>0</v>
      </c>
    </row>
    <row r="4831" spans="1:24" s="337" customFormat="1" ht="12" customHeight="1" outlineLevel="1">
      <c r="A4831" s="335"/>
      <c r="B4831" s="118" t="s">
        <v>12</v>
      </c>
      <c r="C4831" s="334" t="s">
        <v>13202</v>
      </c>
      <c r="D4831" s="124" t="s">
        <v>13203</v>
      </c>
      <c r="E4831" s="125"/>
      <c r="F4831" s="118" t="s">
        <v>953</v>
      </c>
      <c r="G4831" s="126" t="s">
        <v>13125</v>
      </c>
      <c r="H4831" s="255">
        <v>4</v>
      </c>
      <c r="I4831" s="361">
        <v>1</v>
      </c>
      <c r="J4831" s="362" t="s">
        <v>286</v>
      </c>
      <c r="K4831" s="372"/>
      <c r="L4831" s="129"/>
      <c r="M4831" s="129"/>
      <c r="N4831" s="129"/>
      <c r="O4831" s="129"/>
      <c r="P4831" s="372"/>
      <c r="Q4831" s="372"/>
      <c r="R4831" s="129"/>
      <c r="S4831" s="129"/>
      <c r="T4831" s="129"/>
      <c r="W4831" s="129" t="s">
        <v>4876</v>
      </c>
      <c r="X4831" s="337" t="b">
        <f t="shared" si="111"/>
        <v>0</v>
      </c>
    </row>
    <row r="4832" spans="1:24" s="337" customFormat="1" ht="12" customHeight="1" outlineLevel="1">
      <c r="A4832" s="335"/>
      <c r="B4832" s="118" t="s">
        <v>12</v>
      </c>
      <c r="C4832" s="334" t="s">
        <v>13204</v>
      </c>
      <c r="D4832" s="124" t="s">
        <v>13205</v>
      </c>
      <c r="E4832" s="125"/>
      <c r="F4832" s="118" t="s">
        <v>953</v>
      </c>
      <c r="G4832" s="126" t="s">
        <v>13125</v>
      </c>
      <c r="H4832" s="255">
        <v>4</v>
      </c>
      <c r="I4832" s="361">
        <v>1</v>
      </c>
      <c r="J4832" s="362" t="s">
        <v>286</v>
      </c>
      <c r="K4832" s="372"/>
      <c r="L4832" s="129"/>
      <c r="M4832" s="129"/>
      <c r="N4832" s="129"/>
      <c r="O4832" s="129"/>
      <c r="P4832" s="372"/>
      <c r="Q4832" s="372"/>
      <c r="R4832" s="129"/>
      <c r="S4832" s="129"/>
      <c r="T4832" s="129"/>
      <c r="W4832" s="129" t="s">
        <v>4876</v>
      </c>
      <c r="X4832" s="337" t="b">
        <f t="shared" si="111"/>
        <v>0</v>
      </c>
    </row>
    <row r="4833" spans="1:24" s="337" customFormat="1" ht="12" customHeight="1" outlineLevel="1">
      <c r="A4833" s="335"/>
      <c r="B4833" s="118" t="s">
        <v>12</v>
      </c>
      <c r="C4833" s="334" t="s">
        <v>13206</v>
      </c>
      <c r="D4833" s="124" t="s">
        <v>13207</v>
      </c>
      <c r="E4833" s="125"/>
      <c r="F4833" s="118" t="s">
        <v>953</v>
      </c>
      <c r="G4833" s="126" t="s">
        <v>13125</v>
      </c>
      <c r="H4833" s="255">
        <v>4</v>
      </c>
      <c r="I4833" s="361">
        <v>1</v>
      </c>
      <c r="J4833" s="362" t="s">
        <v>286</v>
      </c>
      <c r="K4833" s="372"/>
      <c r="L4833" s="129"/>
      <c r="M4833" s="129"/>
      <c r="N4833" s="129"/>
      <c r="O4833" s="129"/>
      <c r="P4833" s="372"/>
      <c r="Q4833" s="372"/>
      <c r="R4833" s="129"/>
      <c r="S4833" s="129"/>
      <c r="T4833" s="129"/>
      <c r="W4833" s="129" t="s">
        <v>4876</v>
      </c>
      <c r="X4833" s="337" t="b">
        <f t="shared" si="111"/>
        <v>0</v>
      </c>
    </row>
    <row r="4834" spans="1:24" s="337" customFormat="1" ht="12" customHeight="1" outlineLevel="1">
      <c r="A4834" s="335"/>
      <c r="B4834" s="118" t="s">
        <v>12</v>
      </c>
      <c r="C4834" s="334" t="s">
        <v>13208</v>
      </c>
      <c r="D4834" s="124" t="s">
        <v>13209</v>
      </c>
      <c r="E4834" s="125"/>
      <c r="F4834" s="118" t="s">
        <v>953</v>
      </c>
      <c r="G4834" s="126" t="s">
        <v>13125</v>
      </c>
      <c r="H4834" s="255">
        <v>4</v>
      </c>
      <c r="I4834" s="361">
        <v>1</v>
      </c>
      <c r="J4834" s="362" t="s">
        <v>286</v>
      </c>
      <c r="K4834" s="372"/>
      <c r="L4834" s="129"/>
      <c r="M4834" s="129"/>
      <c r="N4834" s="129"/>
      <c r="O4834" s="129"/>
      <c r="P4834" s="372"/>
      <c r="Q4834" s="372"/>
      <c r="R4834" s="129"/>
      <c r="S4834" s="129"/>
      <c r="T4834" s="129"/>
      <c r="W4834" s="129" t="s">
        <v>4876</v>
      </c>
      <c r="X4834" s="337" t="b">
        <f t="shared" si="111"/>
        <v>0</v>
      </c>
    </row>
    <row r="4835" spans="1:24" s="337" customFormat="1" ht="12" customHeight="1" outlineLevel="1">
      <c r="A4835" s="335"/>
      <c r="B4835" s="118" t="s">
        <v>12</v>
      </c>
      <c r="C4835" s="334" t="s">
        <v>13210</v>
      </c>
      <c r="D4835" s="124" t="s">
        <v>13211</v>
      </c>
      <c r="E4835" s="125"/>
      <c r="F4835" s="118" t="s">
        <v>953</v>
      </c>
      <c r="G4835" s="126" t="s">
        <v>13125</v>
      </c>
      <c r="H4835" s="255">
        <v>4</v>
      </c>
      <c r="I4835" s="361">
        <v>1</v>
      </c>
      <c r="J4835" s="362" t="s">
        <v>286</v>
      </c>
      <c r="K4835" s="372"/>
      <c r="L4835" s="129"/>
      <c r="M4835" s="129"/>
      <c r="N4835" s="129"/>
      <c r="O4835" s="129"/>
      <c r="P4835" s="372"/>
      <c r="Q4835" s="372"/>
      <c r="R4835" s="129"/>
      <c r="S4835" s="129"/>
      <c r="T4835" s="129"/>
      <c r="W4835" s="129" t="s">
        <v>4876</v>
      </c>
      <c r="X4835" s="337" t="b">
        <f t="shared" si="111"/>
        <v>0</v>
      </c>
    </row>
    <row r="4836" spans="1:24" s="337" customFormat="1" ht="12" customHeight="1" outlineLevel="1">
      <c r="A4836" s="335"/>
      <c r="B4836" s="118" t="s">
        <v>12</v>
      </c>
      <c r="C4836" s="334" t="s">
        <v>13212</v>
      </c>
      <c r="D4836" s="124" t="s">
        <v>13213</v>
      </c>
      <c r="E4836" s="125"/>
      <c r="F4836" s="118" t="s">
        <v>953</v>
      </c>
      <c r="G4836" s="126" t="s">
        <v>13125</v>
      </c>
      <c r="H4836" s="255">
        <v>4</v>
      </c>
      <c r="I4836" s="361">
        <v>1</v>
      </c>
      <c r="J4836" s="362" t="s">
        <v>310</v>
      </c>
      <c r="K4836" s="372"/>
      <c r="L4836" s="129"/>
      <c r="M4836" s="129"/>
      <c r="N4836" s="129"/>
      <c r="O4836" s="129"/>
      <c r="P4836" s="372"/>
      <c r="Q4836" s="372"/>
      <c r="R4836" s="129"/>
      <c r="S4836" s="129"/>
      <c r="T4836" s="129"/>
      <c r="W4836" s="129" t="s">
        <v>4876</v>
      </c>
      <c r="X4836" s="337" t="b">
        <f t="shared" si="111"/>
        <v>0</v>
      </c>
    </row>
    <row r="4837" spans="1:24" s="337" customFormat="1" ht="12" customHeight="1" outlineLevel="1">
      <c r="A4837" s="335"/>
      <c r="B4837" s="118" t="s">
        <v>12</v>
      </c>
      <c r="C4837" s="334" t="s">
        <v>13214</v>
      </c>
      <c r="D4837" s="124" t="s">
        <v>13215</v>
      </c>
      <c r="E4837" s="125"/>
      <c r="F4837" s="118" t="s">
        <v>953</v>
      </c>
      <c r="G4837" s="126" t="s">
        <v>13125</v>
      </c>
      <c r="H4837" s="255">
        <v>4</v>
      </c>
      <c r="I4837" s="361">
        <v>1</v>
      </c>
      <c r="J4837" s="362" t="s">
        <v>310</v>
      </c>
      <c r="K4837" s="372"/>
      <c r="L4837" s="129"/>
      <c r="M4837" s="129"/>
      <c r="N4837" s="129"/>
      <c r="O4837" s="129"/>
      <c r="P4837" s="372"/>
      <c r="Q4837" s="372"/>
      <c r="R4837" s="129"/>
      <c r="S4837" s="129"/>
      <c r="T4837" s="129"/>
      <c r="W4837" s="129" t="s">
        <v>4876</v>
      </c>
      <c r="X4837" s="337" t="b">
        <f t="shared" si="111"/>
        <v>0</v>
      </c>
    </row>
    <row r="4838" spans="1:24" s="337" customFormat="1" ht="12" customHeight="1" outlineLevel="1">
      <c r="A4838" s="335"/>
      <c r="B4838" s="118" t="s">
        <v>12</v>
      </c>
      <c r="C4838" s="334" t="s">
        <v>13216</v>
      </c>
      <c r="D4838" s="124" t="s">
        <v>9668</v>
      </c>
      <c r="E4838" s="125"/>
      <c r="F4838" s="118" t="s">
        <v>953</v>
      </c>
      <c r="G4838" s="126" t="s">
        <v>13125</v>
      </c>
      <c r="H4838" s="255">
        <v>4</v>
      </c>
      <c r="I4838" s="361">
        <v>1</v>
      </c>
      <c r="J4838" s="362" t="s">
        <v>310</v>
      </c>
      <c r="K4838" s="372"/>
      <c r="L4838" s="129"/>
      <c r="M4838" s="129"/>
      <c r="N4838" s="129"/>
      <c r="O4838" s="129"/>
      <c r="P4838" s="372"/>
      <c r="Q4838" s="372"/>
      <c r="R4838" s="129"/>
      <c r="S4838" s="129"/>
      <c r="T4838" s="129"/>
      <c r="W4838" s="129" t="s">
        <v>4876</v>
      </c>
      <c r="X4838" s="337" t="b">
        <f t="shared" si="111"/>
        <v>0</v>
      </c>
    </row>
    <row r="4839" spans="1:24" s="337" customFormat="1" ht="12" customHeight="1" outlineLevel="1">
      <c r="A4839" s="335"/>
      <c r="B4839" s="118" t="s">
        <v>12</v>
      </c>
      <c r="C4839" s="334" t="s">
        <v>13217</v>
      </c>
      <c r="D4839" s="124" t="s">
        <v>13218</v>
      </c>
      <c r="E4839" s="125"/>
      <c r="F4839" s="118" t="s">
        <v>953</v>
      </c>
      <c r="G4839" s="126" t="s">
        <v>13125</v>
      </c>
      <c r="H4839" s="255">
        <v>4</v>
      </c>
      <c r="I4839" s="361">
        <v>1</v>
      </c>
      <c r="J4839" s="362" t="s">
        <v>286</v>
      </c>
      <c r="K4839" s="372"/>
      <c r="L4839" s="129"/>
      <c r="M4839" s="129"/>
      <c r="N4839" s="129"/>
      <c r="O4839" s="129"/>
      <c r="P4839" s="372"/>
      <c r="Q4839" s="372"/>
      <c r="R4839" s="129"/>
      <c r="S4839" s="129"/>
      <c r="T4839" s="129"/>
      <c r="W4839" s="129" t="s">
        <v>286</v>
      </c>
      <c r="X4839" s="337" t="b">
        <f t="shared" si="111"/>
        <v>1</v>
      </c>
    </row>
    <row r="4840" spans="1:24" s="337" customFormat="1" ht="12" customHeight="1" outlineLevel="1">
      <c r="A4840" s="335"/>
      <c r="B4840" s="118" t="s">
        <v>12</v>
      </c>
      <c r="C4840" s="334" t="s">
        <v>13219</v>
      </c>
      <c r="D4840" s="124" t="s">
        <v>9422</v>
      </c>
      <c r="E4840" s="125"/>
      <c r="F4840" s="118" t="s">
        <v>953</v>
      </c>
      <c r="G4840" s="126" t="s">
        <v>13220</v>
      </c>
      <c r="H4840" s="255">
        <v>5</v>
      </c>
      <c r="I4840" s="361">
        <v>1</v>
      </c>
      <c r="J4840" s="362" t="s">
        <v>310</v>
      </c>
      <c r="K4840" s="372"/>
      <c r="L4840" s="129"/>
      <c r="M4840" s="129"/>
      <c r="N4840" s="129"/>
      <c r="O4840" s="129"/>
      <c r="P4840" s="372"/>
      <c r="Q4840" s="372"/>
      <c r="R4840" s="129"/>
      <c r="S4840" s="129"/>
      <c r="T4840" s="129"/>
      <c r="W4840" s="129" t="s">
        <v>286</v>
      </c>
      <c r="X4840" s="337" t="b">
        <f t="shared" si="111"/>
        <v>0</v>
      </c>
    </row>
    <row r="4841" spans="1:24" s="337" customFormat="1" ht="12" customHeight="1" outlineLevel="1">
      <c r="A4841" s="335"/>
      <c r="B4841" s="118" t="s">
        <v>12</v>
      </c>
      <c r="C4841" s="334" t="s">
        <v>13221</v>
      </c>
      <c r="D4841" s="124" t="s">
        <v>7863</v>
      </c>
      <c r="E4841" s="125"/>
      <c r="F4841" s="118" t="s">
        <v>953</v>
      </c>
      <c r="G4841" s="126" t="s">
        <v>13220</v>
      </c>
      <c r="H4841" s="255">
        <v>5</v>
      </c>
      <c r="I4841" s="361">
        <v>1</v>
      </c>
      <c r="J4841" s="362" t="s">
        <v>310</v>
      </c>
      <c r="K4841" s="372"/>
      <c r="L4841" s="129"/>
      <c r="M4841" s="129"/>
      <c r="N4841" s="129"/>
      <c r="O4841" s="129"/>
      <c r="P4841" s="372"/>
      <c r="Q4841" s="372"/>
      <c r="R4841" s="129"/>
      <c r="S4841" s="129"/>
      <c r="T4841" s="129"/>
      <c r="W4841" s="129" t="s">
        <v>310</v>
      </c>
      <c r="X4841" s="337" t="b">
        <f t="shared" si="111"/>
        <v>1</v>
      </c>
    </row>
    <row r="4842" spans="1:24" s="337" customFormat="1" ht="12" customHeight="1" outlineLevel="1">
      <c r="A4842" s="335"/>
      <c r="B4842" s="118" t="s">
        <v>12</v>
      </c>
      <c r="C4842" s="334" t="s">
        <v>13222</v>
      </c>
      <c r="D4842" s="124" t="s">
        <v>7336</v>
      </c>
      <c r="E4842" s="125"/>
      <c r="F4842" s="118" t="s">
        <v>953</v>
      </c>
      <c r="G4842" s="126" t="s">
        <v>13220</v>
      </c>
      <c r="H4842" s="255">
        <v>5</v>
      </c>
      <c r="I4842" s="361">
        <v>1</v>
      </c>
      <c r="J4842" s="362" t="s">
        <v>310</v>
      </c>
      <c r="K4842" s="372"/>
      <c r="L4842" s="129"/>
      <c r="M4842" s="129"/>
      <c r="N4842" s="129"/>
      <c r="O4842" s="129"/>
      <c r="P4842" s="372"/>
      <c r="Q4842" s="372"/>
      <c r="R4842" s="129"/>
      <c r="S4842" s="129"/>
      <c r="T4842" s="129"/>
      <c r="W4842" s="129" t="s">
        <v>286</v>
      </c>
      <c r="X4842" s="337" t="b">
        <f t="shared" si="111"/>
        <v>0</v>
      </c>
    </row>
    <row r="4843" spans="1:24" s="337" customFormat="1" ht="12" customHeight="1" outlineLevel="1">
      <c r="A4843" s="335"/>
      <c r="B4843" s="118" t="s">
        <v>12</v>
      </c>
      <c r="C4843" s="334" t="s">
        <v>13223</v>
      </c>
      <c r="D4843" s="124" t="s">
        <v>9767</v>
      </c>
      <c r="E4843" s="125"/>
      <c r="F4843" s="118" t="s">
        <v>953</v>
      </c>
      <c r="G4843" s="126" t="s">
        <v>13220</v>
      </c>
      <c r="H4843" s="255">
        <v>5</v>
      </c>
      <c r="I4843" s="361">
        <v>1</v>
      </c>
      <c r="J4843" s="362" t="s">
        <v>286</v>
      </c>
      <c r="K4843" s="372"/>
      <c r="L4843" s="129"/>
      <c r="M4843" s="129"/>
      <c r="N4843" s="129"/>
      <c r="O4843" s="129"/>
      <c r="P4843" s="372"/>
      <c r="Q4843" s="372"/>
      <c r="R4843" s="129"/>
      <c r="S4843" s="129"/>
      <c r="T4843" s="129"/>
      <c r="W4843" s="129" t="s">
        <v>310</v>
      </c>
      <c r="X4843" s="337" t="b">
        <f t="shared" si="111"/>
        <v>0</v>
      </c>
    </row>
    <row r="4844" spans="1:24" s="337" customFormat="1" ht="12" customHeight="1" outlineLevel="1">
      <c r="A4844" s="335"/>
      <c r="B4844" s="118" t="s">
        <v>12</v>
      </c>
      <c r="C4844" s="334" t="s">
        <v>13224</v>
      </c>
      <c r="D4844" s="124" t="s">
        <v>13225</v>
      </c>
      <c r="E4844" s="125"/>
      <c r="F4844" s="118" t="s">
        <v>953</v>
      </c>
      <c r="G4844" s="126" t="s">
        <v>13220</v>
      </c>
      <c r="H4844" s="255">
        <v>5</v>
      </c>
      <c r="I4844" s="361">
        <v>1</v>
      </c>
      <c r="J4844" s="362" t="s">
        <v>286</v>
      </c>
      <c r="K4844" s="372"/>
      <c r="L4844" s="129"/>
      <c r="M4844" s="129"/>
      <c r="N4844" s="129"/>
      <c r="O4844" s="129"/>
      <c r="P4844" s="372"/>
      <c r="Q4844" s="372"/>
      <c r="R4844" s="129"/>
      <c r="S4844" s="129"/>
      <c r="T4844" s="129"/>
      <c r="W4844" s="129" t="s">
        <v>310</v>
      </c>
      <c r="X4844" s="337" t="b">
        <f t="shared" si="111"/>
        <v>0</v>
      </c>
    </row>
    <row r="4845" spans="1:24" s="337" customFormat="1" ht="12" customHeight="1" outlineLevel="1">
      <c r="A4845" s="335"/>
      <c r="B4845" s="118" t="s">
        <v>12</v>
      </c>
      <c r="C4845" s="334" t="s">
        <v>13226</v>
      </c>
      <c r="D4845" s="124" t="s">
        <v>13227</v>
      </c>
      <c r="E4845" s="125"/>
      <c r="F4845" s="118" t="s">
        <v>953</v>
      </c>
      <c r="G4845" s="126" t="s">
        <v>13220</v>
      </c>
      <c r="H4845" s="255">
        <v>5</v>
      </c>
      <c r="I4845" s="361">
        <v>1</v>
      </c>
      <c r="J4845" s="362" t="s">
        <v>286</v>
      </c>
      <c r="K4845" s="372"/>
      <c r="L4845" s="129"/>
      <c r="M4845" s="129"/>
      <c r="N4845" s="129"/>
      <c r="O4845" s="129"/>
      <c r="P4845" s="372"/>
      <c r="Q4845" s="372"/>
      <c r="R4845" s="129"/>
      <c r="S4845" s="129"/>
      <c r="T4845" s="129"/>
      <c r="W4845" s="129" t="s">
        <v>310</v>
      </c>
      <c r="X4845" s="337" t="b">
        <f t="shared" si="111"/>
        <v>0</v>
      </c>
    </row>
    <row r="4846" spans="1:24" s="337" customFormat="1" ht="12" customHeight="1" outlineLevel="1">
      <c r="A4846" s="335"/>
      <c r="B4846" s="118" t="s">
        <v>12</v>
      </c>
      <c r="C4846" s="334" t="s">
        <v>13228</v>
      </c>
      <c r="D4846" s="124" t="s">
        <v>13229</v>
      </c>
      <c r="E4846" s="125"/>
      <c r="F4846" s="118" t="s">
        <v>953</v>
      </c>
      <c r="G4846" s="126" t="s">
        <v>13220</v>
      </c>
      <c r="H4846" s="255">
        <v>5</v>
      </c>
      <c r="I4846" s="361">
        <v>1</v>
      </c>
      <c r="J4846" s="362" t="s">
        <v>286</v>
      </c>
      <c r="K4846" s="372"/>
      <c r="L4846" s="129"/>
      <c r="M4846" s="129"/>
      <c r="N4846" s="129"/>
      <c r="O4846" s="129"/>
      <c r="P4846" s="372"/>
      <c r="Q4846" s="372"/>
      <c r="R4846" s="129"/>
      <c r="S4846" s="129"/>
      <c r="T4846" s="129"/>
      <c r="W4846" s="129" t="s">
        <v>310</v>
      </c>
      <c r="X4846" s="337" t="b">
        <f t="shared" si="111"/>
        <v>0</v>
      </c>
    </row>
    <row r="4847" spans="1:24" s="337" customFormat="1" ht="12" customHeight="1" outlineLevel="1">
      <c r="A4847" s="335"/>
      <c r="B4847" s="118" t="s">
        <v>12</v>
      </c>
      <c r="C4847" s="334" t="s">
        <v>13230</v>
      </c>
      <c r="D4847" s="124" t="s">
        <v>13231</v>
      </c>
      <c r="E4847" s="125"/>
      <c r="F4847" s="118" t="s">
        <v>953</v>
      </c>
      <c r="G4847" s="126" t="s">
        <v>13220</v>
      </c>
      <c r="H4847" s="255">
        <v>5</v>
      </c>
      <c r="I4847" s="361">
        <v>1</v>
      </c>
      <c r="J4847" s="362" t="s">
        <v>286</v>
      </c>
      <c r="K4847" s="372"/>
      <c r="L4847" s="129"/>
      <c r="M4847" s="129"/>
      <c r="N4847" s="129"/>
      <c r="O4847" s="129"/>
      <c r="P4847" s="372"/>
      <c r="Q4847" s="372"/>
      <c r="R4847" s="129"/>
      <c r="S4847" s="129"/>
      <c r="T4847" s="129"/>
      <c r="W4847" s="129" t="s">
        <v>310</v>
      </c>
      <c r="X4847" s="337" t="b">
        <f t="shared" si="111"/>
        <v>0</v>
      </c>
    </row>
    <row r="4848" spans="1:24" s="337" customFormat="1" ht="12" customHeight="1" outlineLevel="1">
      <c r="A4848" s="335"/>
      <c r="B4848" s="118" t="s">
        <v>12</v>
      </c>
      <c r="C4848" s="334" t="s">
        <v>13232</v>
      </c>
      <c r="D4848" s="124" t="s">
        <v>13233</v>
      </c>
      <c r="E4848" s="125"/>
      <c r="F4848" s="118" t="s">
        <v>953</v>
      </c>
      <c r="G4848" s="126" t="s">
        <v>13220</v>
      </c>
      <c r="H4848" s="255">
        <v>5</v>
      </c>
      <c r="I4848" s="361">
        <v>1</v>
      </c>
      <c r="J4848" s="362" t="s">
        <v>286</v>
      </c>
      <c r="K4848" s="372"/>
      <c r="L4848" s="129"/>
      <c r="M4848" s="129"/>
      <c r="N4848" s="129"/>
      <c r="O4848" s="129"/>
      <c r="P4848" s="372"/>
      <c r="Q4848" s="372"/>
      <c r="R4848" s="129"/>
      <c r="S4848" s="129"/>
      <c r="T4848" s="129"/>
      <c r="W4848" s="129" t="s">
        <v>310</v>
      </c>
      <c r="X4848" s="337" t="b">
        <f t="shared" si="111"/>
        <v>0</v>
      </c>
    </row>
    <row r="4849" spans="1:24" s="337" customFormat="1" ht="12" customHeight="1" outlineLevel="1">
      <c r="A4849" s="335"/>
      <c r="B4849" s="118" t="s">
        <v>12</v>
      </c>
      <c r="C4849" s="334" t="s">
        <v>13234</v>
      </c>
      <c r="D4849" s="124" t="s">
        <v>13235</v>
      </c>
      <c r="E4849" s="125"/>
      <c r="F4849" s="118" t="s">
        <v>953</v>
      </c>
      <c r="G4849" s="126" t="s">
        <v>13220</v>
      </c>
      <c r="H4849" s="255">
        <v>5</v>
      </c>
      <c r="I4849" s="361">
        <v>1</v>
      </c>
      <c r="J4849" s="362" t="s">
        <v>286</v>
      </c>
      <c r="K4849" s="372"/>
      <c r="L4849" s="129"/>
      <c r="M4849" s="129"/>
      <c r="N4849" s="129"/>
      <c r="O4849" s="129"/>
      <c r="P4849" s="372"/>
      <c r="Q4849" s="372"/>
      <c r="R4849" s="129"/>
      <c r="S4849" s="129"/>
      <c r="T4849" s="129"/>
      <c r="W4849" s="129" t="s">
        <v>310</v>
      </c>
      <c r="X4849" s="337" t="b">
        <f t="shared" si="111"/>
        <v>0</v>
      </c>
    </row>
    <row r="4850" spans="1:24" s="337" customFormat="1" ht="12" customHeight="1" outlineLevel="1">
      <c r="A4850" s="335"/>
      <c r="B4850" s="118" t="s">
        <v>12</v>
      </c>
      <c r="C4850" s="334" t="s">
        <v>13236</v>
      </c>
      <c r="D4850" s="124" t="s">
        <v>13237</v>
      </c>
      <c r="E4850" s="125"/>
      <c r="F4850" s="118" t="s">
        <v>953</v>
      </c>
      <c r="G4850" s="126" t="s">
        <v>13220</v>
      </c>
      <c r="H4850" s="255">
        <v>5</v>
      </c>
      <c r="I4850" s="361">
        <v>1</v>
      </c>
      <c r="J4850" s="362" t="s">
        <v>286</v>
      </c>
      <c r="K4850" s="372"/>
      <c r="L4850" s="129"/>
      <c r="M4850" s="129"/>
      <c r="N4850" s="129"/>
      <c r="O4850" s="129"/>
      <c r="P4850" s="372"/>
      <c r="Q4850" s="372"/>
      <c r="R4850" s="129"/>
      <c r="S4850" s="129"/>
      <c r="T4850" s="129"/>
      <c r="W4850" s="129" t="s">
        <v>310</v>
      </c>
      <c r="X4850" s="337" t="b">
        <f t="shared" si="111"/>
        <v>0</v>
      </c>
    </row>
    <row r="4851" spans="1:24" s="337" customFormat="1" ht="12" customHeight="1" outlineLevel="1">
      <c r="A4851" s="335"/>
      <c r="B4851" s="118" t="s">
        <v>12</v>
      </c>
      <c r="C4851" s="334" t="s">
        <v>13238</v>
      </c>
      <c r="D4851" s="124" t="s">
        <v>13239</v>
      </c>
      <c r="E4851" s="125"/>
      <c r="F4851" s="118" t="s">
        <v>953</v>
      </c>
      <c r="G4851" s="126" t="s">
        <v>13220</v>
      </c>
      <c r="H4851" s="255">
        <v>5</v>
      </c>
      <c r="I4851" s="361">
        <v>1</v>
      </c>
      <c r="J4851" s="362" t="s">
        <v>286</v>
      </c>
      <c r="K4851" s="372"/>
      <c r="L4851" s="129"/>
      <c r="M4851" s="129"/>
      <c r="N4851" s="129"/>
      <c r="O4851" s="129"/>
      <c r="P4851" s="372"/>
      <c r="Q4851" s="372"/>
      <c r="R4851" s="129"/>
      <c r="S4851" s="129"/>
      <c r="T4851" s="129"/>
      <c r="W4851" s="129" t="s">
        <v>310</v>
      </c>
      <c r="X4851" s="337" t="b">
        <f t="shared" si="111"/>
        <v>0</v>
      </c>
    </row>
    <row r="4852" spans="1:24" s="337" customFormat="1" ht="12" customHeight="1" outlineLevel="1">
      <c r="A4852" s="335"/>
      <c r="B4852" s="118" t="s">
        <v>12</v>
      </c>
      <c r="C4852" s="334" t="s">
        <v>13240</v>
      </c>
      <c r="D4852" s="124" t="s">
        <v>13241</v>
      </c>
      <c r="E4852" s="125"/>
      <c r="F4852" s="118" t="s">
        <v>953</v>
      </c>
      <c r="G4852" s="126" t="s">
        <v>13220</v>
      </c>
      <c r="H4852" s="255">
        <v>5</v>
      </c>
      <c r="I4852" s="361">
        <v>1</v>
      </c>
      <c r="J4852" s="362" t="s">
        <v>310</v>
      </c>
      <c r="K4852" s="372"/>
      <c r="L4852" s="129"/>
      <c r="M4852" s="129"/>
      <c r="N4852" s="129"/>
      <c r="O4852" s="129"/>
      <c r="P4852" s="372"/>
      <c r="Q4852" s="372"/>
      <c r="R4852" s="129"/>
      <c r="S4852" s="129"/>
      <c r="T4852" s="129"/>
      <c r="W4852" s="129" t="s">
        <v>307</v>
      </c>
      <c r="X4852" s="337" t="b">
        <f t="shared" si="111"/>
        <v>0</v>
      </c>
    </row>
    <row r="4853" spans="1:24" s="337" customFormat="1" ht="12" customHeight="1" outlineLevel="1">
      <c r="A4853" s="335"/>
      <c r="B4853" s="118" t="s">
        <v>12</v>
      </c>
      <c r="C4853" s="334" t="s">
        <v>13242</v>
      </c>
      <c r="D4853" s="124" t="s">
        <v>13243</v>
      </c>
      <c r="E4853" s="125"/>
      <c r="F4853" s="118" t="s">
        <v>953</v>
      </c>
      <c r="G4853" s="126" t="s">
        <v>13220</v>
      </c>
      <c r="H4853" s="255">
        <v>5</v>
      </c>
      <c r="I4853" s="361">
        <v>1</v>
      </c>
      <c r="J4853" s="362" t="s">
        <v>286</v>
      </c>
      <c r="K4853" s="372"/>
      <c r="L4853" s="129"/>
      <c r="M4853" s="129"/>
      <c r="N4853" s="129"/>
      <c r="O4853" s="129"/>
      <c r="P4853" s="372"/>
      <c r="Q4853" s="372"/>
      <c r="R4853" s="129"/>
      <c r="S4853" s="129"/>
      <c r="T4853" s="129"/>
      <c r="W4853" s="129" t="s">
        <v>286</v>
      </c>
      <c r="X4853" s="337" t="b">
        <f t="shared" si="111"/>
        <v>1</v>
      </c>
    </row>
    <row r="4854" spans="1:24" s="337" customFormat="1" ht="12" customHeight="1" outlineLevel="1">
      <c r="A4854" s="335"/>
      <c r="B4854" s="118" t="s">
        <v>12</v>
      </c>
      <c r="C4854" s="334" t="s">
        <v>13244</v>
      </c>
      <c r="D4854" s="124" t="s">
        <v>9767</v>
      </c>
      <c r="E4854" s="125"/>
      <c r="F4854" s="118" t="s">
        <v>953</v>
      </c>
      <c r="G4854" s="126" t="s">
        <v>13220</v>
      </c>
      <c r="H4854" s="255">
        <v>5</v>
      </c>
      <c r="I4854" s="361">
        <v>1</v>
      </c>
      <c r="J4854" s="362" t="s">
        <v>286</v>
      </c>
      <c r="K4854" s="372"/>
      <c r="L4854" s="129"/>
      <c r="M4854" s="129"/>
      <c r="N4854" s="129"/>
      <c r="O4854" s="129"/>
      <c r="P4854" s="372"/>
      <c r="Q4854" s="372"/>
      <c r="R4854" s="129"/>
      <c r="S4854" s="129"/>
      <c r="T4854" s="129"/>
      <c r="W4854" s="129" t="s">
        <v>310</v>
      </c>
      <c r="X4854" s="337" t="b">
        <f t="shared" si="111"/>
        <v>0</v>
      </c>
    </row>
    <row r="4855" spans="1:24" s="337" customFormat="1" ht="12" customHeight="1" outlineLevel="1">
      <c r="A4855" s="335"/>
      <c r="B4855" s="118" t="s">
        <v>12</v>
      </c>
      <c r="C4855" s="334" t="s">
        <v>13245</v>
      </c>
      <c r="D4855" s="124" t="s">
        <v>13225</v>
      </c>
      <c r="E4855" s="125"/>
      <c r="F4855" s="118" t="s">
        <v>953</v>
      </c>
      <c r="G4855" s="126" t="s">
        <v>13220</v>
      </c>
      <c r="H4855" s="255">
        <v>5</v>
      </c>
      <c r="I4855" s="361">
        <v>1</v>
      </c>
      <c r="J4855" s="362" t="s">
        <v>286</v>
      </c>
      <c r="K4855" s="372"/>
      <c r="L4855" s="129"/>
      <c r="M4855" s="129"/>
      <c r="N4855" s="129"/>
      <c r="O4855" s="129"/>
      <c r="P4855" s="372"/>
      <c r="Q4855" s="372"/>
      <c r="R4855" s="129"/>
      <c r="S4855" s="129"/>
      <c r="T4855" s="129"/>
      <c r="W4855" s="129" t="s">
        <v>310</v>
      </c>
      <c r="X4855" s="337" t="b">
        <f t="shared" si="111"/>
        <v>0</v>
      </c>
    </row>
    <row r="4856" spans="1:24" s="337" customFormat="1" ht="12" customHeight="1" outlineLevel="1">
      <c r="A4856" s="335"/>
      <c r="B4856" s="118" t="s">
        <v>12</v>
      </c>
      <c r="C4856" s="334" t="s">
        <v>13246</v>
      </c>
      <c r="D4856" s="124" t="s">
        <v>13227</v>
      </c>
      <c r="E4856" s="125"/>
      <c r="F4856" s="118" t="s">
        <v>953</v>
      </c>
      <c r="G4856" s="126" t="s">
        <v>13220</v>
      </c>
      <c r="H4856" s="255">
        <v>5</v>
      </c>
      <c r="I4856" s="361">
        <v>1</v>
      </c>
      <c r="J4856" s="362" t="s">
        <v>286</v>
      </c>
      <c r="K4856" s="372"/>
      <c r="L4856" s="129"/>
      <c r="M4856" s="129"/>
      <c r="N4856" s="129"/>
      <c r="O4856" s="129"/>
      <c r="P4856" s="372"/>
      <c r="Q4856" s="372"/>
      <c r="R4856" s="129"/>
      <c r="S4856" s="129"/>
      <c r="T4856" s="129"/>
      <c r="W4856" s="129" t="s">
        <v>310</v>
      </c>
      <c r="X4856" s="337" t="b">
        <f t="shared" si="111"/>
        <v>0</v>
      </c>
    </row>
    <row r="4857" spans="1:24" s="337" customFormat="1" ht="12" customHeight="1" outlineLevel="1">
      <c r="A4857" s="335"/>
      <c r="B4857" s="118" t="s">
        <v>12</v>
      </c>
      <c r="C4857" s="334" t="s">
        <v>13247</v>
      </c>
      <c r="D4857" s="124" t="s">
        <v>13229</v>
      </c>
      <c r="E4857" s="125"/>
      <c r="F4857" s="118" t="s">
        <v>953</v>
      </c>
      <c r="G4857" s="126" t="s">
        <v>13220</v>
      </c>
      <c r="H4857" s="255">
        <v>5</v>
      </c>
      <c r="I4857" s="361">
        <v>1</v>
      </c>
      <c r="J4857" s="362" t="s">
        <v>286</v>
      </c>
      <c r="K4857" s="372"/>
      <c r="L4857" s="129"/>
      <c r="M4857" s="129"/>
      <c r="N4857" s="129"/>
      <c r="O4857" s="129"/>
      <c r="P4857" s="372"/>
      <c r="Q4857" s="372"/>
      <c r="R4857" s="129"/>
      <c r="S4857" s="129"/>
      <c r="T4857" s="129"/>
      <c r="W4857" s="129" t="s">
        <v>310</v>
      </c>
      <c r="X4857" s="337" t="b">
        <f t="shared" si="111"/>
        <v>0</v>
      </c>
    </row>
    <row r="4858" spans="1:24" s="337" customFormat="1" ht="12" customHeight="1" outlineLevel="1">
      <c r="A4858" s="335"/>
      <c r="B4858" s="118" t="s">
        <v>12</v>
      </c>
      <c r="C4858" s="334" t="s">
        <v>13248</v>
      </c>
      <c r="D4858" s="124" t="s">
        <v>13231</v>
      </c>
      <c r="E4858" s="125"/>
      <c r="F4858" s="118" t="s">
        <v>953</v>
      </c>
      <c r="G4858" s="126" t="s">
        <v>13220</v>
      </c>
      <c r="H4858" s="255">
        <v>5</v>
      </c>
      <c r="I4858" s="361">
        <v>1</v>
      </c>
      <c r="J4858" s="362" t="s">
        <v>286</v>
      </c>
      <c r="K4858" s="372"/>
      <c r="L4858" s="129"/>
      <c r="M4858" s="129"/>
      <c r="N4858" s="129"/>
      <c r="O4858" s="129"/>
      <c r="P4858" s="372"/>
      <c r="Q4858" s="372"/>
      <c r="R4858" s="129"/>
      <c r="S4858" s="129"/>
      <c r="T4858" s="129"/>
      <c r="W4858" s="129" t="s">
        <v>310</v>
      </c>
      <c r="X4858" s="337" t="b">
        <f t="shared" si="111"/>
        <v>0</v>
      </c>
    </row>
    <row r="4859" spans="1:24" s="337" customFormat="1" ht="12" customHeight="1" outlineLevel="1">
      <c r="A4859" s="335"/>
      <c r="B4859" s="118" t="s">
        <v>12</v>
      </c>
      <c r="C4859" s="334" t="s">
        <v>13249</v>
      </c>
      <c r="D4859" s="124" t="s">
        <v>13233</v>
      </c>
      <c r="E4859" s="125"/>
      <c r="F4859" s="118" t="s">
        <v>953</v>
      </c>
      <c r="G4859" s="126" t="s">
        <v>13220</v>
      </c>
      <c r="H4859" s="255">
        <v>5</v>
      </c>
      <c r="I4859" s="361">
        <v>1</v>
      </c>
      <c r="J4859" s="362" t="s">
        <v>286</v>
      </c>
      <c r="K4859" s="372"/>
      <c r="L4859" s="129"/>
      <c r="M4859" s="129"/>
      <c r="N4859" s="129"/>
      <c r="O4859" s="129"/>
      <c r="P4859" s="372"/>
      <c r="Q4859" s="372"/>
      <c r="R4859" s="129"/>
      <c r="S4859" s="129"/>
      <c r="T4859" s="129"/>
      <c r="W4859" s="129" t="s">
        <v>310</v>
      </c>
      <c r="X4859" s="337" t="b">
        <f t="shared" si="111"/>
        <v>0</v>
      </c>
    </row>
    <row r="4860" spans="1:24" s="337" customFormat="1" ht="12" customHeight="1" outlineLevel="1">
      <c r="A4860" s="335"/>
      <c r="B4860" s="118" t="s">
        <v>12</v>
      </c>
      <c r="C4860" s="334" t="s">
        <v>13250</v>
      </c>
      <c r="D4860" s="124" t="s">
        <v>13235</v>
      </c>
      <c r="E4860" s="125"/>
      <c r="F4860" s="118" t="s">
        <v>953</v>
      </c>
      <c r="G4860" s="126" t="s">
        <v>13220</v>
      </c>
      <c r="H4860" s="255">
        <v>5</v>
      </c>
      <c r="I4860" s="361">
        <v>1</v>
      </c>
      <c r="J4860" s="362" t="s">
        <v>286</v>
      </c>
      <c r="K4860" s="372"/>
      <c r="L4860" s="129"/>
      <c r="M4860" s="129"/>
      <c r="N4860" s="129"/>
      <c r="O4860" s="129"/>
      <c r="P4860" s="372"/>
      <c r="Q4860" s="372"/>
      <c r="R4860" s="129"/>
      <c r="S4860" s="129"/>
      <c r="T4860" s="129"/>
      <c r="W4860" s="129" t="s">
        <v>310</v>
      </c>
      <c r="X4860" s="337" t="b">
        <f t="shared" si="111"/>
        <v>0</v>
      </c>
    </row>
    <row r="4861" spans="1:24" s="337" customFormat="1" ht="12" customHeight="1" outlineLevel="1">
      <c r="A4861" s="335"/>
      <c r="B4861" s="118" t="s">
        <v>12</v>
      </c>
      <c r="C4861" s="334" t="s">
        <v>13251</v>
      </c>
      <c r="D4861" s="124" t="s">
        <v>13237</v>
      </c>
      <c r="E4861" s="125"/>
      <c r="F4861" s="118" t="s">
        <v>953</v>
      </c>
      <c r="G4861" s="126" t="s">
        <v>13220</v>
      </c>
      <c r="H4861" s="255">
        <v>5</v>
      </c>
      <c r="I4861" s="361">
        <v>1</v>
      </c>
      <c r="J4861" s="362" t="s">
        <v>286</v>
      </c>
      <c r="K4861" s="372"/>
      <c r="L4861" s="129"/>
      <c r="M4861" s="129"/>
      <c r="N4861" s="129"/>
      <c r="O4861" s="129"/>
      <c r="P4861" s="372"/>
      <c r="Q4861" s="372"/>
      <c r="R4861" s="129"/>
      <c r="S4861" s="129"/>
      <c r="T4861" s="129"/>
      <c r="W4861" s="129" t="s">
        <v>310</v>
      </c>
      <c r="X4861" s="337" t="b">
        <f t="shared" si="111"/>
        <v>0</v>
      </c>
    </row>
    <row r="4862" spans="1:24" s="337" customFormat="1" ht="12" customHeight="1" outlineLevel="1">
      <c r="A4862" s="335"/>
      <c r="B4862" s="118" t="s">
        <v>12</v>
      </c>
      <c r="C4862" s="334" t="s">
        <v>13252</v>
      </c>
      <c r="D4862" s="124" t="s">
        <v>13253</v>
      </c>
      <c r="E4862" s="125"/>
      <c r="F4862" s="118" t="s">
        <v>953</v>
      </c>
      <c r="G4862" s="126" t="s">
        <v>13220</v>
      </c>
      <c r="H4862" s="255">
        <v>5</v>
      </c>
      <c r="I4862" s="361">
        <v>1</v>
      </c>
      <c r="J4862" s="362" t="s">
        <v>286</v>
      </c>
      <c r="K4862" s="372"/>
      <c r="L4862" s="129"/>
      <c r="M4862" s="129"/>
      <c r="N4862" s="129"/>
      <c r="O4862" s="129"/>
      <c r="P4862" s="372"/>
      <c r="Q4862" s="372"/>
      <c r="R4862" s="129"/>
      <c r="S4862" s="129"/>
      <c r="T4862" s="129"/>
      <c r="W4862" s="129" t="s">
        <v>310</v>
      </c>
      <c r="X4862" s="337" t="b">
        <f t="shared" si="111"/>
        <v>0</v>
      </c>
    </row>
    <row r="4863" spans="1:24" s="337" customFormat="1" ht="12" customHeight="1" outlineLevel="1">
      <c r="A4863" s="335"/>
      <c r="B4863" s="118" t="s">
        <v>12</v>
      </c>
      <c r="C4863" s="334" t="s">
        <v>13254</v>
      </c>
      <c r="D4863" s="124" t="s">
        <v>13255</v>
      </c>
      <c r="E4863" s="125"/>
      <c r="F4863" s="118" t="s">
        <v>953</v>
      </c>
      <c r="G4863" s="126" t="s">
        <v>13220</v>
      </c>
      <c r="H4863" s="255">
        <v>5</v>
      </c>
      <c r="I4863" s="361">
        <v>1</v>
      </c>
      <c r="J4863" s="362" t="s">
        <v>286</v>
      </c>
      <c r="K4863" s="372"/>
      <c r="L4863" s="129"/>
      <c r="M4863" s="129"/>
      <c r="N4863" s="129"/>
      <c r="O4863" s="129"/>
      <c r="P4863" s="372"/>
      <c r="Q4863" s="372"/>
      <c r="R4863" s="129"/>
      <c r="S4863" s="129"/>
      <c r="T4863" s="129"/>
      <c r="W4863" s="129" t="s">
        <v>310</v>
      </c>
      <c r="X4863" s="337" t="b">
        <f t="shared" ref="X4863:X4926" si="112">W4863=J4863</f>
        <v>0</v>
      </c>
    </row>
    <row r="4864" spans="1:24" s="337" customFormat="1" ht="12" customHeight="1" outlineLevel="1">
      <c r="A4864" s="335"/>
      <c r="B4864" s="118" t="s">
        <v>12</v>
      </c>
      <c r="C4864" s="334" t="s">
        <v>13256</v>
      </c>
      <c r="D4864" s="124" t="s">
        <v>13257</v>
      </c>
      <c r="E4864" s="125"/>
      <c r="F4864" s="118" t="s">
        <v>953</v>
      </c>
      <c r="G4864" s="126" t="s">
        <v>13220</v>
      </c>
      <c r="H4864" s="255">
        <v>5</v>
      </c>
      <c r="I4864" s="361">
        <v>1</v>
      </c>
      <c r="J4864" s="362" t="s">
        <v>286</v>
      </c>
      <c r="K4864" s="372"/>
      <c r="L4864" s="129"/>
      <c r="M4864" s="129"/>
      <c r="N4864" s="129"/>
      <c r="O4864" s="129"/>
      <c r="P4864" s="372"/>
      <c r="Q4864" s="372"/>
      <c r="R4864" s="129"/>
      <c r="S4864" s="129"/>
      <c r="T4864" s="129"/>
      <c r="W4864" s="129" t="s">
        <v>310</v>
      </c>
      <c r="X4864" s="337" t="b">
        <f t="shared" si="112"/>
        <v>0</v>
      </c>
    </row>
    <row r="4865" spans="1:24" s="337" customFormat="1" ht="12" customHeight="1" outlineLevel="1">
      <c r="A4865" s="335"/>
      <c r="B4865" s="118" t="s">
        <v>12</v>
      </c>
      <c r="C4865" s="334" t="s">
        <v>13258</v>
      </c>
      <c r="D4865" s="124" t="s">
        <v>13259</v>
      </c>
      <c r="E4865" s="125"/>
      <c r="F4865" s="118" t="s">
        <v>953</v>
      </c>
      <c r="G4865" s="126" t="s">
        <v>13220</v>
      </c>
      <c r="H4865" s="255">
        <v>5</v>
      </c>
      <c r="I4865" s="361">
        <v>1</v>
      </c>
      <c r="J4865" s="362" t="s">
        <v>286</v>
      </c>
      <c r="K4865" s="372"/>
      <c r="L4865" s="129"/>
      <c r="M4865" s="129"/>
      <c r="N4865" s="129"/>
      <c r="O4865" s="129"/>
      <c r="P4865" s="372"/>
      <c r="Q4865" s="372"/>
      <c r="R4865" s="129"/>
      <c r="S4865" s="129"/>
      <c r="T4865" s="129"/>
      <c r="W4865" s="129" t="s">
        <v>310</v>
      </c>
      <c r="X4865" s="337" t="b">
        <f t="shared" si="112"/>
        <v>0</v>
      </c>
    </row>
    <row r="4866" spans="1:24" s="337" customFormat="1" ht="12" customHeight="1" outlineLevel="1">
      <c r="A4866" s="335"/>
      <c r="B4866" s="118" t="s">
        <v>12</v>
      </c>
      <c r="C4866" s="334" t="s">
        <v>13260</v>
      </c>
      <c r="D4866" s="124" t="s">
        <v>9767</v>
      </c>
      <c r="E4866" s="125"/>
      <c r="F4866" s="118" t="s">
        <v>953</v>
      </c>
      <c r="G4866" s="126" t="s">
        <v>13220</v>
      </c>
      <c r="H4866" s="255">
        <v>5</v>
      </c>
      <c r="I4866" s="361">
        <v>1</v>
      </c>
      <c r="J4866" s="362" t="s">
        <v>286</v>
      </c>
      <c r="K4866" s="372"/>
      <c r="L4866" s="129"/>
      <c r="M4866" s="129"/>
      <c r="N4866" s="129"/>
      <c r="O4866" s="129"/>
      <c r="P4866" s="372"/>
      <c r="Q4866" s="372"/>
      <c r="R4866" s="129"/>
      <c r="S4866" s="129"/>
      <c r="T4866" s="129"/>
      <c r="W4866" s="129" t="s">
        <v>286</v>
      </c>
      <c r="X4866" s="337" t="b">
        <f t="shared" si="112"/>
        <v>1</v>
      </c>
    </row>
    <row r="4867" spans="1:24" s="337" customFormat="1" ht="12" customHeight="1" outlineLevel="1">
      <c r="A4867" s="335"/>
      <c r="B4867" s="118" t="s">
        <v>12</v>
      </c>
      <c r="C4867" s="334" t="s">
        <v>13261</v>
      </c>
      <c r="D4867" s="124" t="s">
        <v>13262</v>
      </c>
      <c r="E4867" s="125"/>
      <c r="F4867" s="118" t="s">
        <v>953</v>
      </c>
      <c r="G4867" s="126" t="s">
        <v>13220</v>
      </c>
      <c r="H4867" s="255">
        <v>5</v>
      </c>
      <c r="I4867" s="361">
        <v>1</v>
      </c>
      <c r="J4867" s="362" t="s">
        <v>286</v>
      </c>
      <c r="K4867" s="372"/>
      <c r="L4867" s="129"/>
      <c r="M4867" s="129"/>
      <c r="N4867" s="129"/>
      <c r="O4867" s="129"/>
      <c r="P4867" s="372"/>
      <c r="Q4867" s="372"/>
      <c r="R4867" s="129"/>
      <c r="S4867" s="129"/>
      <c r="T4867" s="129"/>
      <c r="W4867" s="129" t="s">
        <v>286</v>
      </c>
      <c r="X4867" s="337" t="b">
        <f t="shared" si="112"/>
        <v>1</v>
      </c>
    </row>
    <row r="4868" spans="1:24" s="337" customFormat="1" ht="12" customHeight="1" outlineLevel="1">
      <c r="A4868" s="335"/>
      <c r="B4868" s="118" t="s">
        <v>12</v>
      </c>
      <c r="C4868" s="334" t="s">
        <v>13263</v>
      </c>
      <c r="D4868" s="124" t="s">
        <v>13264</v>
      </c>
      <c r="E4868" s="125"/>
      <c r="F4868" s="118" t="s">
        <v>953</v>
      </c>
      <c r="G4868" s="126" t="s">
        <v>13220</v>
      </c>
      <c r="H4868" s="255">
        <v>5</v>
      </c>
      <c r="I4868" s="361">
        <v>1</v>
      </c>
      <c r="J4868" s="362" t="s">
        <v>286</v>
      </c>
      <c r="K4868" s="372"/>
      <c r="L4868" s="129"/>
      <c r="M4868" s="129"/>
      <c r="N4868" s="129"/>
      <c r="O4868" s="129"/>
      <c r="P4868" s="372"/>
      <c r="Q4868" s="372"/>
      <c r="R4868" s="129"/>
      <c r="S4868" s="129"/>
      <c r="T4868" s="129"/>
      <c r="W4868" s="129" t="s">
        <v>286</v>
      </c>
      <c r="X4868" s="337" t="b">
        <f t="shared" si="112"/>
        <v>1</v>
      </c>
    </row>
    <row r="4869" spans="1:24" s="337" customFormat="1" ht="12" customHeight="1" outlineLevel="1">
      <c r="A4869" s="335"/>
      <c r="B4869" s="118" t="s">
        <v>12</v>
      </c>
      <c r="C4869" s="334" t="s">
        <v>13265</v>
      </c>
      <c r="D4869" s="124" t="s">
        <v>13266</v>
      </c>
      <c r="E4869" s="125"/>
      <c r="F4869" s="118" t="s">
        <v>953</v>
      </c>
      <c r="G4869" s="126" t="s">
        <v>13220</v>
      </c>
      <c r="H4869" s="255">
        <v>5</v>
      </c>
      <c r="I4869" s="361">
        <v>1</v>
      </c>
      <c r="J4869" s="362" t="s">
        <v>286</v>
      </c>
      <c r="K4869" s="372"/>
      <c r="L4869" s="129"/>
      <c r="M4869" s="129"/>
      <c r="N4869" s="129"/>
      <c r="O4869" s="129"/>
      <c r="P4869" s="372"/>
      <c r="Q4869" s="372"/>
      <c r="R4869" s="129"/>
      <c r="S4869" s="129"/>
      <c r="T4869" s="129"/>
      <c r="W4869" s="129" t="s">
        <v>286</v>
      </c>
      <c r="X4869" s="337" t="b">
        <f t="shared" si="112"/>
        <v>1</v>
      </c>
    </row>
    <row r="4870" spans="1:24" s="337" customFormat="1" ht="12" customHeight="1" outlineLevel="1">
      <c r="A4870" s="335"/>
      <c r="B4870" s="118" t="s">
        <v>12</v>
      </c>
      <c r="C4870" s="334" t="s">
        <v>13267</v>
      </c>
      <c r="D4870" s="124" t="s">
        <v>13268</v>
      </c>
      <c r="E4870" s="125"/>
      <c r="F4870" s="118" t="s">
        <v>953</v>
      </c>
      <c r="G4870" s="126" t="s">
        <v>13220</v>
      </c>
      <c r="H4870" s="255">
        <v>5</v>
      </c>
      <c r="I4870" s="361">
        <v>1</v>
      </c>
      <c r="J4870" s="362" t="s">
        <v>310</v>
      </c>
      <c r="K4870" s="372"/>
      <c r="L4870" s="129"/>
      <c r="M4870" s="129"/>
      <c r="N4870" s="129"/>
      <c r="O4870" s="129"/>
      <c r="P4870" s="372"/>
      <c r="Q4870" s="372"/>
      <c r="R4870" s="129"/>
      <c r="S4870" s="129"/>
      <c r="T4870" s="129"/>
      <c r="W4870" s="129" t="s">
        <v>286</v>
      </c>
      <c r="X4870" s="337" t="b">
        <f t="shared" si="112"/>
        <v>0</v>
      </c>
    </row>
    <row r="4871" spans="1:24" s="337" customFormat="1" ht="12" customHeight="1" outlineLevel="1">
      <c r="A4871" s="335"/>
      <c r="B4871" s="118" t="s">
        <v>12</v>
      </c>
      <c r="C4871" s="334" t="s">
        <v>13269</v>
      </c>
      <c r="D4871" s="124" t="s">
        <v>13270</v>
      </c>
      <c r="E4871" s="125"/>
      <c r="F4871" s="118" t="s">
        <v>953</v>
      </c>
      <c r="G4871" s="126" t="s">
        <v>13220</v>
      </c>
      <c r="H4871" s="255">
        <v>5</v>
      </c>
      <c r="I4871" s="361">
        <v>1</v>
      </c>
      <c r="J4871" s="362" t="s">
        <v>286</v>
      </c>
      <c r="K4871" s="372"/>
      <c r="L4871" s="129"/>
      <c r="M4871" s="129"/>
      <c r="N4871" s="129"/>
      <c r="O4871" s="129"/>
      <c r="P4871" s="372"/>
      <c r="Q4871" s="372"/>
      <c r="R4871" s="129"/>
      <c r="S4871" s="129"/>
      <c r="T4871" s="129"/>
      <c r="W4871" s="129" t="s">
        <v>286</v>
      </c>
      <c r="X4871" s="337" t="b">
        <f t="shared" si="112"/>
        <v>1</v>
      </c>
    </row>
    <row r="4872" spans="1:24" s="337" customFormat="1" ht="12" customHeight="1" outlineLevel="1">
      <c r="A4872" s="335"/>
      <c r="B4872" s="118" t="s">
        <v>12</v>
      </c>
      <c r="C4872" s="334" t="s">
        <v>13271</v>
      </c>
      <c r="D4872" s="124" t="s">
        <v>13272</v>
      </c>
      <c r="E4872" s="125"/>
      <c r="F4872" s="118" t="s">
        <v>953</v>
      </c>
      <c r="G4872" s="126" t="s">
        <v>13220</v>
      </c>
      <c r="H4872" s="255">
        <v>5</v>
      </c>
      <c r="I4872" s="361">
        <v>1</v>
      </c>
      <c r="J4872" s="362" t="s">
        <v>286</v>
      </c>
      <c r="K4872" s="372"/>
      <c r="L4872" s="129"/>
      <c r="M4872" s="129"/>
      <c r="N4872" s="129"/>
      <c r="O4872" s="129"/>
      <c r="P4872" s="372"/>
      <c r="Q4872" s="372"/>
      <c r="R4872" s="129"/>
      <c r="S4872" s="129"/>
      <c r="T4872" s="129"/>
      <c r="W4872" s="129" t="s">
        <v>286</v>
      </c>
      <c r="X4872" s="337" t="b">
        <f t="shared" si="112"/>
        <v>1</v>
      </c>
    </row>
    <row r="4873" spans="1:24" s="337" customFormat="1" ht="12" customHeight="1" outlineLevel="1">
      <c r="A4873" s="335"/>
      <c r="B4873" s="118" t="s">
        <v>12</v>
      </c>
      <c r="C4873" s="334" t="s">
        <v>13273</v>
      </c>
      <c r="D4873" s="124" t="s">
        <v>13274</v>
      </c>
      <c r="E4873" s="125"/>
      <c r="F4873" s="118" t="s">
        <v>953</v>
      </c>
      <c r="G4873" s="126" t="s">
        <v>13220</v>
      </c>
      <c r="H4873" s="255">
        <v>5</v>
      </c>
      <c r="I4873" s="361">
        <v>1</v>
      </c>
      <c r="J4873" s="362" t="s">
        <v>286</v>
      </c>
      <c r="K4873" s="372"/>
      <c r="L4873" s="129"/>
      <c r="M4873" s="129"/>
      <c r="N4873" s="129"/>
      <c r="O4873" s="129"/>
      <c r="P4873" s="372"/>
      <c r="Q4873" s="372"/>
      <c r="R4873" s="129"/>
      <c r="S4873" s="129"/>
      <c r="T4873" s="129"/>
      <c r="W4873" s="129" t="s">
        <v>310</v>
      </c>
      <c r="X4873" s="337" t="b">
        <f t="shared" si="112"/>
        <v>0</v>
      </c>
    </row>
    <row r="4874" spans="1:24" s="337" customFormat="1" ht="12" customHeight="1" outlineLevel="1">
      <c r="A4874" s="335"/>
      <c r="B4874" s="118" t="s">
        <v>12</v>
      </c>
      <c r="C4874" s="334" t="s">
        <v>13275</v>
      </c>
      <c r="D4874" s="124" t="s">
        <v>13272</v>
      </c>
      <c r="E4874" s="125"/>
      <c r="F4874" s="118" t="s">
        <v>953</v>
      </c>
      <c r="G4874" s="126" t="s">
        <v>13220</v>
      </c>
      <c r="H4874" s="255">
        <v>5</v>
      </c>
      <c r="I4874" s="361">
        <v>1</v>
      </c>
      <c r="J4874" s="362" t="s">
        <v>286</v>
      </c>
      <c r="K4874" s="372"/>
      <c r="L4874" s="129"/>
      <c r="M4874" s="129"/>
      <c r="N4874" s="129"/>
      <c r="O4874" s="129"/>
      <c r="P4874" s="372"/>
      <c r="Q4874" s="372"/>
      <c r="R4874" s="129"/>
      <c r="S4874" s="129"/>
      <c r="T4874" s="129"/>
      <c r="W4874" s="129" t="s">
        <v>286</v>
      </c>
      <c r="X4874" s="337" t="b">
        <f t="shared" si="112"/>
        <v>1</v>
      </c>
    </row>
    <row r="4875" spans="1:24" s="337" customFormat="1" ht="12" customHeight="1" outlineLevel="1">
      <c r="A4875" s="335"/>
      <c r="B4875" s="118" t="s">
        <v>12</v>
      </c>
      <c r="C4875" s="334" t="s">
        <v>13276</v>
      </c>
      <c r="D4875" s="124" t="s">
        <v>13274</v>
      </c>
      <c r="E4875" s="125"/>
      <c r="F4875" s="118" t="s">
        <v>953</v>
      </c>
      <c r="G4875" s="126" t="s">
        <v>13220</v>
      </c>
      <c r="H4875" s="255">
        <v>5</v>
      </c>
      <c r="I4875" s="361">
        <v>1</v>
      </c>
      <c r="J4875" s="362" t="s">
        <v>286</v>
      </c>
      <c r="K4875" s="372"/>
      <c r="L4875" s="129"/>
      <c r="M4875" s="129"/>
      <c r="N4875" s="129"/>
      <c r="O4875" s="129"/>
      <c r="P4875" s="372"/>
      <c r="Q4875" s="372"/>
      <c r="R4875" s="129"/>
      <c r="S4875" s="129"/>
      <c r="T4875" s="129"/>
      <c r="W4875" s="129" t="s">
        <v>286</v>
      </c>
      <c r="X4875" s="337" t="b">
        <f t="shared" si="112"/>
        <v>1</v>
      </c>
    </row>
    <row r="4876" spans="1:24" s="337" customFormat="1" ht="12" customHeight="1" outlineLevel="1">
      <c r="A4876" s="335"/>
      <c r="B4876" s="118" t="s">
        <v>12</v>
      </c>
      <c r="C4876" s="334" t="s">
        <v>13277</v>
      </c>
      <c r="D4876" s="124" t="s">
        <v>13278</v>
      </c>
      <c r="E4876" s="125"/>
      <c r="F4876" s="118" t="s">
        <v>953</v>
      </c>
      <c r="G4876" s="126" t="s">
        <v>13220</v>
      </c>
      <c r="H4876" s="255">
        <v>5</v>
      </c>
      <c r="I4876" s="361">
        <v>1</v>
      </c>
      <c r="J4876" s="362" t="s">
        <v>307</v>
      </c>
      <c r="K4876" s="372"/>
      <c r="L4876" s="129"/>
      <c r="M4876" s="129"/>
      <c r="N4876" s="129"/>
      <c r="O4876" s="129"/>
      <c r="P4876" s="372"/>
      <c r="Q4876" s="372"/>
      <c r="R4876" s="129"/>
      <c r="S4876" s="129"/>
      <c r="T4876" s="129"/>
      <c r="W4876" s="129" t="s">
        <v>310</v>
      </c>
      <c r="X4876" s="337" t="b">
        <f t="shared" si="112"/>
        <v>0</v>
      </c>
    </row>
    <row r="4877" spans="1:24" s="337" customFormat="1" ht="12" customHeight="1" outlineLevel="1">
      <c r="A4877" s="335"/>
      <c r="B4877" s="118" t="s">
        <v>12</v>
      </c>
      <c r="C4877" s="334" t="s">
        <v>13279</v>
      </c>
      <c r="D4877" s="124" t="s">
        <v>13280</v>
      </c>
      <c r="E4877" s="125"/>
      <c r="F4877" s="118" t="s">
        <v>953</v>
      </c>
      <c r="G4877" s="126" t="s">
        <v>13220</v>
      </c>
      <c r="H4877" s="255">
        <v>5</v>
      </c>
      <c r="I4877" s="361">
        <v>1</v>
      </c>
      <c r="J4877" s="362" t="s">
        <v>307</v>
      </c>
      <c r="K4877" s="372"/>
      <c r="L4877" s="129"/>
      <c r="M4877" s="129"/>
      <c r="N4877" s="129"/>
      <c r="O4877" s="129"/>
      <c r="P4877" s="372"/>
      <c r="Q4877" s="372"/>
      <c r="R4877" s="129"/>
      <c r="S4877" s="129"/>
      <c r="T4877" s="129"/>
      <c r="W4877" s="129" t="s">
        <v>286</v>
      </c>
      <c r="X4877" s="337" t="b">
        <f t="shared" si="112"/>
        <v>0</v>
      </c>
    </row>
    <row r="4878" spans="1:24" s="337" customFormat="1" ht="12" customHeight="1" outlineLevel="1">
      <c r="A4878" s="335"/>
      <c r="B4878" s="118" t="s">
        <v>12</v>
      </c>
      <c r="C4878" s="334" t="s">
        <v>13281</v>
      </c>
      <c r="D4878" s="124" t="s">
        <v>13282</v>
      </c>
      <c r="E4878" s="125"/>
      <c r="F4878" s="118" t="s">
        <v>953</v>
      </c>
      <c r="G4878" s="126" t="s">
        <v>13220</v>
      </c>
      <c r="H4878" s="255">
        <v>5</v>
      </c>
      <c r="I4878" s="361">
        <v>1</v>
      </c>
      <c r="J4878" s="362" t="s">
        <v>310</v>
      </c>
      <c r="K4878" s="372"/>
      <c r="L4878" s="129"/>
      <c r="M4878" s="129"/>
      <c r="N4878" s="129"/>
      <c r="O4878" s="129"/>
      <c r="P4878" s="372"/>
      <c r="Q4878" s="372"/>
      <c r="R4878" s="129"/>
      <c r="S4878" s="129"/>
      <c r="T4878" s="129"/>
      <c r="W4878" s="129" t="s">
        <v>4876</v>
      </c>
      <c r="X4878" s="337" t="b">
        <f t="shared" si="112"/>
        <v>0</v>
      </c>
    </row>
    <row r="4879" spans="1:24" s="337" customFormat="1" ht="12" customHeight="1" outlineLevel="1">
      <c r="A4879" s="335"/>
      <c r="B4879" s="118" t="s">
        <v>12</v>
      </c>
      <c r="C4879" s="334" t="s">
        <v>13283</v>
      </c>
      <c r="D4879" s="124" t="s">
        <v>13284</v>
      </c>
      <c r="E4879" s="125"/>
      <c r="F4879" s="118" t="s">
        <v>953</v>
      </c>
      <c r="G4879" s="126" t="s">
        <v>13220</v>
      </c>
      <c r="H4879" s="255">
        <v>5</v>
      </c>
      <c r="I4879" s="361">
        <v>1</v>
      </c>
      <c r="J4879" s="362" t="s">
        <v>310</v>
      </c>
      <c r="K4879" s="372"/>
      <c r="L4879" s="129"/>
      <c r="M4879" s="129"/>
      <c r="N4879" s="129"/>
      <c r="O4879" s="129"/>
      <c r="P4879" s="372"/>
      <c r="Q4879" s="372"/>
      <c r="R4879" s="129"/>
      <c r="S4879" s="129"/>
      <c r="T4879" s="129"/>
      <c r="W4879" s="129" t="s">
        <v>4876</v>
      </c>
      <c r="X4879" s="337" t="b">
        <f t="shared" si="112"/>
        <v>0</v>
      </c>
    </row>
    <row r="4880" spans="1:24" s="337" customFormat="1" ht="12" customHeight="1" outlineLevel="1">
      <c r="A4880" s="335"/>
      <c r="B4880" s="118" t="s">
        <v>12</v>
      </c>
      <c r="C4880" s="334" t="s">
        <v>13285</v>
      </c>
      <c r="D4880" s="124" t="s">
        <v>13286</v>
      </c>
      <c r="E4880" s="125"/>
      <c r="F4880" s="118" t="s">
        <v>953</v>
      </c>
      <c r="G4880" s="126" t="s">
        <v>13220</v>
      </c>
      <c r="H4880" s="255">
        <v>5</v>
      </c>
      <c r="I4880" s="361">
        <v>1</v>
      </c>
      <c r="J4880" s="362" t="s">
        <v>310</v>
      </c>
      <c r="K4880" s="372"/>
      <c r="L4880" s="129"/>
      <c r="M4880" s="129"/>
      <c r="N4880" s="129"/>
      <c r="O4880" s="129"/>
      <c r="P4880" s="372"/>
      <c r="Q4880" s="372"/>
      <c r="R4880" s="129"/>
      <c r="S4880" s="129"/>
      <c r="T4880" s="129"/>
      <c r="W4880" s="129" t="s">
        <v>4876</v>
      </c>
      <c r="X4880" s="337" t="b">
        <f t="shared" si="112"/>
        <v>0</v>
      </c>
    </row>
    <row r="4881" spans="1:24" s="337" customFormat="1" ht="12" customHeight="1" outlineLevel="1">
      <c r="A4881" s="335"/>
      <c r="B4881" s="118" t="s">
        <v>12</v>
      </c>
      <c r="C4881" s="334" t="s">
        <v>13287</v>
      </c>
      <c r="D4881" s="124" t="s">
        <v>13288</v>
      </c>
      <c r="E4881" s="125"/>
      <c r="F4881" s="118" t="s">
        <v>953</v>
      </c>
      <c r="G4881" s="126" t="s">
        <v>13220</v>
      </c>
      <c r="H4881" s="255">
        <v>5</v>
      </c>
      <c r="I4881" s="361">
        <v>1</v>
      </c>
      <c r="J4881" s="362" t="s">
        <v>310</v>
      </c>
      <c r="K4881" s="372"/>
      <c r="L4881" s="129"/>
      <c r="M4881" s="129"/>
      <c r="N4881" s="129"/>
      <c r="O4881" s="129"/>
      <c r="P4881" s="372"/>
      <c r="Q4881" s="372"/>
      <c r="R4881" s="129"/>
      <c r="S4881" s="129"/>
      <c r="T4881" s="129"/>
      <c r="W4881" s="129" t="s">
        <v>4876</v>
      </c>
      <c r="X4881" s="337" t="b">
        <f t="shared" si="112"/>
        <v>0</v>
      </c>
    </row>
    <row r="4882" spans="1:24" s="337" customFormat="1" ht="12" customHeight="1" outlineLevel="1">
      <c r="A4882" s="335"/>
      <c r="B4882" s="118" t="s">
        <v>12</v>
      </c>
      <c r="C4882" s="334" t="s">
        <v>13289</v>
      </c>
      <c r="D4882" s="124" t="s">
        <v>13290</v>
      </c>
      <c r="E4882" s="125"/>
      <c r="F4882" s="118" t="s">
        <v>953</v>
      </c>
      <c r="G4882" s="126" t="s">
        <v>13220</v>
      </c>
      <c r="H4882" s="255">
        <v>5</v>
      </c>
      <c r="I4882" s="361">
        <v>1</v>
      </c>
      <c r="J4882" s="362" t="s">
        <v>310</v>
      </c>
      <c r="K4882" s="372"/>
      <c r="L4882" s="129"/>
      <c r="M4882" s="129"/>
      <c r="N4882" s="129"/>
      <c r="O4882" s="129"/>
      <c r="P4882" s="372"/>
      <c r="Q4882" s="372"/>
      <c r="R4882" s="129"/>
      <c r="S4882" s="129"/>
      <c r="T4882" s="129"/>
      <c r="W4882" s="129" t="s">
        <v>4876</v>
      </c>
      <c r="X4882" s="337" t="b">
        <f t="shared" si="112"/>
        <v>0</v>
      </c>
    </row>
    <row r="4883" spans="1:24" s="337" customFormat="1" ht="12" customHeight="1" outlineLevel="1">
      <c r="A4883" s="335"/>
      <c r="B4883" s="118" t="s">
        <v>12</v>
      </c>
      <c r="C4883" s="334" t="s">
        <v>13291</v>
      </c>
      <c r="D4883" s="124" t="s">
        <v>13292</v>
      </c>
      <c r="E4883" s="125"/>
      <c r="F4883" s="118" t="s">
        <v>953</v>
      </c>
      <c r="G4883" s="126" t="s">
        <v>13220</v>
      </c>
      <c r="H4883" s="255">
        <v>5</v>
      </c>
      <c r="I4883" s="361">
        <v>1</v>
      </c>
      <c r="J4883" s="362" t="s">
        <v>310</v>
      </c>
      <c r="K4883" s="372"/>
      <c r="L4883" s="129"/>
      <c r="M4883" s="129"/>
      <c r="N4883" s="129"/>
      <c r="O4883" s="129"/>
      <c r="P4883" s="372"/>
      <c r="Q4883" s="372"/>
      <c r="R4883" s="129"/>
      <c r="S4883" s="129"/>
      <c r="T4883" s="129"/>
      <c r="W4883" s="129" t="s">
        <v>4876</v>
      </c>
      <c r="X4883" s="337" t="b">
        <f t="shared" si="112"/>
        <v>0</v>
      </c>
    </row>
    <row r="4884" spans="1:24" s="337" customFormat="1" ht="12" customHeight="1" outlineLevel="1">
      <c r="A4884" s="335"/>
      <c r="B4884" s="118" t="s">
        <v>12</v>
      </c>
      <c r="C4884" s="334" t="s">
        <v>13293</v>
      </c>
      <c r="D4884" s="124" t="s">
        <v>13294</v>
      </c>
      <c r="E4884" s="125"/>
      <c r="F4884" s="118" t="s">
        <v>953</v>
      </c>
      <c r="G4884" s="126" t="s">
        <v>13220</v>
      </c>
      <c r="H4884" s="255">
        <v>5</v>
      </c>
      <c r="I4884" s="361">
        <v>1</v>
      </c>
      <c r="J4884" s="362" t="s">
        <v>310</v>
      </c>
      <c r="K4884" s="372"/>
      <c r="L4884" s="129"/>
      <c r="M4884" s="129"/>
      <c r="N4884" s="129"/>
      <c r="O4884" s="129"/>
      <c r="P4884" s="372"/>
      <c r="Q4884" s="372"/>
      <c r="R4884" s="129"/>
      <c r="S4884" s="129"/>
      <c r="T4884" s="129"/>
      <c r="W4884" s="129" t="s">
        <v>4876</v>
      </c>
      <c r="X4884" s="337" t="b">
        <f t="shared" si="112"/>
        <v>0</v>
      </c>
    </row>
    <row r="4885" spans="1:24" s="337" customFormat="1" ht="12" customHeight="1" outlineLevel="1">
      <c r="A4885" s="335"/>
      <c r="B4885" s="118" t="s">
        <v>12</v>
      </c>
      <c r="C4885" s="334" t="s">
        <v>13295</v>
      </c>
      <c r="D4885" s="124" t="s">
        <v>13296</v>
      </c>
      <c r="E4885" s="125"/>
      <c r="F4885" s="118" t="s">
        <v>953</v>
      </c>
      <c r="G4885" s="126" t="s">
        <v>13220</v>
      </c>
      <c r="H4885" s="255">
        <v>5</v>
      </c>
      <c r="I4885" s="361">
        <v>1</v>
      </c>
      <c r="J4885" s="362" t="s">
        <v>307</v>
      </c>
      <c r="K4885" s="372"/>
      <c r="L4885" s="129"/>
      <c r="M4885" s="129"/>
      <c r="N4885" s="129"/>
      <c r="O4885" s="129"/>
      <c r="P4885" s="372"/>
      <c r="Q4885" s="372"/>
      <c r="R4885" s="129"/>
      <c r="S4885" s="129"/>
      <c r="T4885" s="129"/>
      <c r="W4885" s="129" t="s">
        <v>4876</v>
      </c>
      <c r="X4885" s="337" t="b">
        <f t="shared" si="112"/>
        <v>0</v>
      </c>
    </row>
    <row r="4886" spans="1:24" s="337" customFormat="1" ht="12" customHeight="1" outlineLevel="1">
      <c r="A4886" s="335"/>
      <c r="B4886" s="118" t="s">
        <v>12</v>
      </c>
      <c r="C4886" s="334" t="s">
        <v>13297</v>
      </c>
      <c r="D4886" s="124" t="s">
        <v>13298</v>
      </c>
      <c r="E4886" s="125"/>
      <c r="F4886" s="118" t="s">
        <v>953</v>
      </c>
      <c r="G4886" s="126" t="s">
        <v>13220</v>
      </c>
      <c r="H4886" s="255">
        <v>5</v>
      </c>
      <c r="I4886" s="361">
        <v>1</v>
      </c>
      <c r="J4886" s="362" t="s">
        <v>307</v>
      </c>
      <c r="K4886" s="372"/>
      <c r="L4886" s="129"/>
      <c r="M4886" s="129"/>
      <c r="N4886" s="129"/>
      <c r="O4886" s="129"/>
      <c r="P4886" s="372"/>
      <c r="Q4886" s="372"/>
      <c r="R4886" s="129"/>
      <c r="S4886" s="129"/>
      <c r="T4886" s="129"/>
      <c r="W4886" s="129" t="s">
        <v>4876</v>
      </c>
      <c r="X4886" s="337" t="b">
        <f t="shared" si="112"/>
        <v>0</v>
      </c>
    </row>
    <row r="4887" spans="1:24" s="337" customFormat="1" ht="12" customHeight="1" outlineLevel="1">
      <c r="A4887" s="335"/>
      <c r="B4887" s="118" t="s">
        <v>12</v>
      </c>
      <c r="C4887" s="334" t="s">
        <v>13299</v>
      </c>
      <c r="D4887" s="124" t="s">
        <v>13300</v>
      </c>
      <c r="E4887" s="125"/>
      <c r="F4887" s="118" t="s">
        <v>953</v>
      </c>
      <c r="G4887" s="126" t="s">
        <v>13220</v>
      </c>
      <c r="H4887" s="255">
        <v>5</v>
      </c>
      <c r="I4887" s="361">
        <v>1</v>
      </c>
      <c r="J4887" s="362" t="s">
        <v>307</v>
      </c>
      <c r="K4887" s="372"/>
      <c r="L4887" s="129"/>
      <c r="M4887" s="129"/>
      <c r="N4887" s="129"/>
      <c r="O4887" s="129"/>
      <c r="P4887" s="372"/>
      <c r="Q4887" s="372"/>
      <c r="R4887" s="129"/>
      <c r="S4887" s="129"/>
      <c r="T4887" s="129"/>
      <c r="W4887" s="129" t="s">
        <v>4876</v>
      </c>
      <c r="X4887" s="337" t="b">
        <f t="shared" si="112"/>
        <v>0</v>
      </c>
    </row>
    <row r="4888" spans="1:24" s="337" customFormat="1" ht="12" customHeight="1" outlineLevel="1">
      <c r="A4888" s="335"/>
      <c r="B4888" s="118" t="s">
        <v>12</v>
      </c>
      <c r="C4888" s="334" t="s">
        <v>13301</v>
      </c>
      <c r="D4888" s="124" t="s">
        <v>13302</v>
      </c>
      <c r="E4888" s="125"/>
      <c r="F4888" s="118" t="s">
        <v>953</v>
      </c>
      <c r="G4888" s="126" t="s">
        <v>13220</v>
      </c>
      <c r="H4888" s="255">
        <v>5</v>
      </c>
      <c r="I4888" s="361">
        <v>1</v>
      </c>
      <c r="J4888" s="362" t="s">
        <v>286</v>
      </c>
      <c r="K4888" s="372"/>
      <c r="L4888" s="129"/>
      <c r="M4888" s="129"/>
      <c r="N4888" s="129"/>
      <c r="O4888" s="129"/>
      <c r="P4888" s="372"/>
      <c r="Q4888" s="372"/>
      <c r="R4888" s="129"/>
      <c r="S4888" s="129"/>
      <c r="T4888" s="129"/>
      <c r="W4888" s="129" t="s">
        <v>4876</v>
      </c>
      <c r="X4888" s="337" t="b">
        <f t="shared" si="112"/>
        <v>0</v>
      </c>
    </row>
    <row r="4889" spans="1:24" s="337" customFormat="1" ht="12" customHeight="1" outlineLevel="1">
      <c r="A4889" s="335"/>
      <c r="B4889" s="118" t="s">
        <v>12</v>
      </c>
      <c r="C4889" s="334" t="s">
        <v>13303</v>
      </c>
      <c r="D4889" s="124" t="s">
        <v>13304</v>
      </c>
      <c r="E4889" s="125"/>
      <c r="F4889" s="118" t="s">
        <v>953</v>
      </c>
      <c r="G4889" s="126" t="s">
        <v>13220</v>
      </c>
      <c r="H4889" s="255">
        <v>5</v>
      </c>
      <c r="I4889" s="361">
        <v>1</v>
      </c>
      <c r="J4889" s="362" t="s">
        <v>286</v>
      </c>
      <c r="K4889" s="372"/>
      <c r="L4889" s="129"/>
      <c r="M4889" s="129"/>
      <c r="N4889" s="129"/>
      <c r="O4889" s="129"/>
      <c r="P4889" s="372"/>
      <c r="Q4889" s="372"/>
      <c r="R4889" s="129"/>
      <c r="S4889" s="129"/>
      <c r="T4889" s="129"/>
      <c r="W4889" s="129" t="s">
        <v>4876</v>
      </c>
      <c r="X4889" s="337" t="b">
        <f t="shared" si="112"/>
        <v>0</v>
      </c>
    </row>
    <row r="4890" spans="1:24" s="337" customFormat="1" ht="12" customHeight="1" outlineLevel="1">
      <c r="A4890" s="335"/>
      <c r="B4890" s="118" t="s">
        <v>12</v>
      </c>
      <c r="C4890" s="334" t="s">
        <v>13305</v>
      </c>
      <c r="D4890" s="124" t="s">
        <v>13306</v>
      </c>
      <c r="E4890" s="125"/>
      <c r="F4890" s="118" t="s">
        <v>953</v>
      </c>
      <c r="G4890" s="126" t="s">
        <v>13220</v>
      </c>
      <c r="H4890" s="255">
        <v>5</v>
      </c>
      <c r="I4890" s="361">
        <v>1</v>
      </c>
      <c r="J4890" s="362" t="s">
        <v>286</v>
      </c>
      <c r="K4890" s="372"/>
      <c r="L4890" s="129"/>
      <c r="M4890" s="129"/>
      <c r="N4890" s="129"/>
      <c r="O4890" s="129"/>
      <c r="P4890" s="372"/>
      <c r="Q4890" s="372"/>
      <c r="R4890" s="129"/>
      <c r="S4890" s="129"/>
      <c r="T4890" s="129"/>
      <c r="W4890" s="129" t="s">
        <v>4876</v>
      </c>
      <c r="X4890" s="337" t="b">
        <f t="shared" si="112"/>
        <v>0</v>
      </c>
    </row>
    <row r="4891" spans="1:24" s="337" customFormat="1" ht="12" customHeight="1" outlineLevel="1">
      <c r="A4891" s="335"/>
      <c r="B4891" s="118" t="s">
        <v>12</v>
      </c>
      <c r="C4891" s="334" t="s">
        <v>13307</v>
      </c>
      <c r="D4891" s="124" t="s">
        <v>13308</v>
      </c>
      <c r="E4891" s="125"/>
      <c r="F4891" s="118" t="s">
        <v>953</v>
      </c>
      <c r="G4891" s="126" t="s">
        <v>13220</v>
      </c>
      <c r="H4891" s="255">
        <v>5</v>
      </c>
      <c r="I4891" s="361">
        <v>1</v>
      </c>
      <c r="J4891" s="362" t="s">
        <v>286</v>
      </c>
      <c r="K4891" s="372"/>
      <c r="L4891" s="129"/>
      <c r="M4891" s="129"/>
      <c r="N4891" s="129"/>
      <c r="O4891" s="129"/>
      <c r="P4891" s="372"/>
      <c r="Q4891" s="372"/>
      <c r="R4891" s="129"/>
      <c r="S4891" s="129"/>
      <c r="T4891" s="129"/>
      <c r="W4891" s="129" t="s">
        <v>4876</v>
      </c>
      <c r="X4891" s="337" t="b">
        <f t="shared" si="112"/>
        <v>0</v>
      </c>
    </row>
    <row r="4892" spans="1:24" s="337" customFormat="1" ht="12" customHeight="1" outlineLevel="1">
      <c r="A4892" s="335"/>
      <c r="B4892" s="118" t="s">
        <v>12</v>
      </c>
      <c r="C4892" s="334" t="s">
        <v>13309</v>
      </c>
      <c r="D4892" s="124" t="s">
        <v>7865</v>
      </c>
      <c r="E4892" s="125"/>
      <c r="F4892" s="118" t="s">
        <v>953</v>
      </c>
      <c r="G4892" s="126" t="s">
        <v>13310</v>
      </c>
      <c r="H4892" s="255">
        <v>7</v>
      </c>
      <c r="I4892" s="361">
        <v>1</v>
      </c>
      <c r="J4892" s="362" t="s">
        <v>310</v>
      </c>
      <c r="K4892" s="372"/>
      <c r="L4892" s="129"/>
      <c r="M4892" s="129"/>
      <c r="N4892" s="129"/>
      <c r="O4892" s="129"/>
      <c r="P4892" s="372"/>
      <c r="Q4892" s="372"/>
      <c r="R4892" s="129"/>
      <c r="S4892" s="129"/>
      <c r="T4892" s="129"/>
      <c r="W4892" s="129" t="s">
        <v>310</v>
      </c>
      <c r="X4892" s="337" t="b">
        <f t="shared" si="112"/>
        <v>1</v>
      </c>
    </row>
    <row r="4893" spans="1:24" s="337" customFormat="1" ht="12" customHeight="1" outlineLevel="1">
      <c r="A4893" s="335"/>
      <c r="B4893" s="118" t="s">
        <v>12</v>
      </c>
      <c r="C4893" s="334" t="s">
        <v>13311</v>
      </c>
      <c r="D4893" s="124" t="s">
        <v>9767</v>
      </c>
      <c r="E4893" s="125"/>
      <c r="F4893" s="118" t="s">
        <v>953</v>
      </c>
      <c r="G4893" s="126" t="s">
        <v>13310</v>
      </c>
      <c r="H4893" s="255">
        <v>7</v>
      </c>
      <c r="I4893" s="361">
        <v>1</v>
      </c>
      <c r="J4893" s="362" t="s">
        <v>286</v>
      </c>
      <c r="K4893" s="372"/>
      <c r="L4893" s="129"/>
      <c r="M4893" s="129"/>
      <c r="N4893" s="129"/>
      <c r="O4893" s="129"/>
      <c r="P4893" s="372"/>
      <c r="Q4893" s="372"/>
      <c r="R4893" s="129"/>
      <c r="S4893" s="129"/>
      <c r="T4893" s="129"/>
      <c r="W4893" s="129" t="s">
        <v>286</v>
      </c>
      <c r="X4893" s="337" t="b">
        <f t="shared" si="112"/>
        <v>1</v>
      </c>
    </row>
    <row r="4894" spans="1:24" s="337" customFormat="1" ht="12" customHeight="1" outlineLevel="1">
      <c r="A4894" s="335"/>
      <c r="B4894" s="118" t="s">
        <v>12</v>
      </c>
      <c r="C4894" s="334" t="s">
        <v>13312</v>
      </c>
      <c r="D4894" s="124" t="s">
        <v>13313</v>
      </c>
      <c r="E4894" s="125"/>
      <c r="F4894" s="118" t="s">
        <v>953</v>
      </c>
      <c r="G4894" s="126" t="s">
        <v>13310</v>
      </c>
      <c r="H4894" s="255">
        <v>7</v>
      </c>
      <c r="I4894" s="361">
        <v>1</v>
      </c>
      <c r="J4894" s="362" t="s">
        <v>286</v>
      </c>
      <c r="K4894" s="372"/>
      <c r="L4894" s="129"/>
      <c r="M4894" s="129"/>
      <c r="N4894" s="129"/>
      <c r="O4894" s="129"/>
      <c r="P4894" s="372"/>
      <c r="Q4894" s="372"/>
      <c r="R4894" s="129"/>
      <c r="S4894" s="129"/>
      <c r="T4894" s="129"/>
      <c r="W4894" s="129" t="s">
        <v>286</v>
      </c>
      <c r="X4894" s="337" t="b">
        <f t="shared" si="112"/>
        <v>1</v>
      </c>
    </row>
    <row r="4895" spans="1:24" s="337" customFormat="1" ht="12" customHeight="1" outlineLevel="1">
      <c r="A4895" s="335"/>
      <c r="B4895" s="118" t="s">
        <v>12</v>
      </c>
      <c r="C4895" s="334" t="s">
        <v>13314</v>
      </c>
      <c r="D4895" s="124" t="s">
        <v>13315</v>
      </c>
      <c r="E4895" s="125"/>
      <c r="F4895" s="118" t="s">
        <v>953</v>
      </c>
      <c r="G4895" s="126" t="s">
        <v>13310</v>
      </c>
      <c r="H4895" s="255">
        <v>7</v>
      </c>
      <c r="I4895" s="361">
        <v>1</v>
      </c>
      <c r="J4895" s="362" t="s">
        <v>286</v>
      </c>
      <c r="K4895" s="372"/>
      <c r="L4895" s="129"/>
      <c r="M4895" s="129"/>
      <c r="N4895" s="129"/>
      <c r="O4895" s="129"/>
      <c r="P4895" s="372"/>
      <c r="Q4895" s="372"/>
      <c r="R4895" s="129"/>
      <c r="S4895" s="129"/>
      <c r="T4895" s="129"/>
      <c r="W4895" s="129" t="s">
        <v>286</v>
      </c>
      <c r="X4895" s="337" t="b">
        <f t="shared" si="112"/>
        <v>1</v>
      </c>
    </row>
    <row r="4896" spans="1:24" s="337" customFormat="1" ht="12" customHeight="1" outlineLevel="1">
      <c r="A4896" s="335"/>
      <c r="B4896" s="118" t="s">
        <v>12</v>
      </c>
      <c r="C4896" s="334" t="s">
        <v>13316</v>
      </c>
      <c r="D4896" s="124" t="s">
        <v>13317</v>
      </c>
      <c r="E4896" s="125"/>
      <c r="F4896" s="118" t="s">
        <v>953</v>
      </c>
      <c r="G4896" s="126" t="s">
        <v>13310</v>
      </c>
      <c r="H4896" s="255">
        <v>7</v>
      </c>
      <c r="I4896" s="361">
        <v>1</v>
      </c>
      <c r="J4896" s="362" t="s">
        <v>286</v>
      </c>
      <c r="K4896" s="372"/>
      <c r="L4896" s="129"/>
      <c r="M4896" s="129"/>
      <c r="N4896" s="129"/>
      <c r="O4896" s="129"/>
      <c r="P4896" s="372"/>
      <c r="Q4896" s="372"/>
      <c r="R4896" s="129"/>
      <c r="S4896" s="129"/>
      <c r="T4896" s="129"/>
      <c r="W4896" s="129" t="s">
        <v>286</v>
      </c>
      <c r="X4896" s="337" t="b">
        <f t="shared" si="112"/>
        <v>1</v>
      </c>
    </row>
    <row r="4897" spans="1:24" s="337" customFormat="1" ht="12" customHeight="1" outlineLevel="1">
      <c r="A4897" s="335"/>
      <c r="B4897" s="118" t="s">
        <v>12</v>
      </c>
      <c r="C4897" s="334" t="s">
        <v>13318</v>
      </c>
      <c r="D4897" s="124" t="s">
        <v>13319</v>
      </c>
      <c r="E4897" s="125"/>
      <c r="F4897" s="118" t="s">
        <v>953</v>
      </c>
      <c r="G4897" s="126" t="s">
        <v>13310</v>
      </c>
      <c r="H4897" s="255">
        <v>7</v>
      </c>
      <c r="I4897" s="361">
        <v>1</v>
      </c>
      <c r="J4897" s="362" t="s">
        <v>286</v>
      </c>
      <c r="K4897" s="372"/>
      <c r="L4897" s="129"/>
      <c r="M4897" s="129"/>
      <c r="N4897" s="129"/>
      <c r="O4897" s="129"/>
      <c r="P4897" s="372"/>
      <c r="Q4897" s="372"/>
      <c r="R4897" s="129"/>
      <c r="S4897" s="129"/>
      <c r="T4897" s="129"/>
      <c r="W4897" s="129" t="s">
        <v>286</v>
      </c>
      <c r="X4897" s="337" t="b">
        <f t="shared" si="112"/>
        <v>1</v>
      </c>
    </row>
    <row r="4898" spans="1:24" s="337" customFormat="1" ht="12" customHeight="1" outlineLevel="1">
      <c r="A4898" s="335"/>
      <c r="B4898" s="118" t="s">
        <v>12</v>
      </c>
      <c r="C4898" s="334" t="s">
        <v>13320</v>
      </c>
      <c r="D4898" s="124" t="s">
        <v>13321</v>
      </c>
      <c r="E4898" s="125"/>
      <c r="F4898" s="118" t="s">
        <v>953</v>
      </c>
      <c r="G4898" s="126" t="s">
        <v>13310</v>
      </c>
      <c r="H4898" s="255">
        <v>7</v>
      </c>
      <c r="I4898" s="361">
        <v>1</v>
      </c>
      <c r="J4898" s="362" t="s">
        <v>286</v>
      </c>
      <c r="K4898" s="372"/>
      <c r="L4898" s="129"/>
      <c r="M4898" s="129"/>
      <c r="N4898" s="129"/>
      <c r="O4898" s="129"/>
      <c r="P4898" s="372"/>
      <c r="Q4898" s="372"/>
      <c r="R4898" s="129"/>
      <c r="S4898" s="129"/>
      <c r="T4898" s="129"/>
      <c r="W4898" s="129" t="s">
        <v>286</v>
      </c>
      <c r="X4898" s="337" t="b">
        <f t="shared" si="112"/>
        <v>1</v>
      </c>
    </row>
    <row r="4899" spans="1:24" s="337" customFormat="1" ht="12" customHeight="1" outlineLevel="1">
      <c r="A4899" s="335"/>
      <c r="B4899" s="118" t="s">
        <v>12</v>
      </c>
      <c r="C4899" s="334" t="s">
        <v>13322</v>
      </c>
      <c r="D4899" s="124" t="s">
        <v>13323</v>
      </c>
      <c r="E4899" s="125"/>
      <c r="F4899" s="118" t="s">
        <v>953</v>
      </c>
      <c r="G4899" s="126" t="s">
        <v>13310</v>
      </c>
      <c r="H4899" s="255">
        <v>7</v>
      </c>
      <c r="I4899" s="361">
        <v>1</v>
      </c>
      <c r="J4899" s="362" t="s">
        <v>286</v>
      </c>
      <c r="K4899" s="372"/>
      <c r="L4899" s="129"/>
      <c r="M4899" s="129"/>
      <c r="N4899" s="129"/>
      <c r="O4899" s="129"/>
      <c r="P4899" s="372"/>
      <c r="Q4899" s="372"/>
      <c r="R4899" s="129"/>
      <c r="S4899" s="129"/>
      <c r="T4899" s="129"/>
      <c r="W4899" s="129" t="s">
        <v>286</v>
      </c>
      <c r="X4899" s="337" t="b">
        <f t="shared" si="112"/>
        <v>1</v>
      </c>
    </row>
    <row r="4900" spans="1:24" s="337" customFormat="1" ht="12" customHeight="1" outlineLevel="1">
      <c r="A4900" s="335"/>
      <c r="B4900" s="118" t="s">
        <v>12</v>
      </c>
      <c r="C4900" s="334" t="s">
        <v>13324</v>
      </c>
      <c r="D4900" s="124" t="s">
        <v>13325</v>
      </c>
      <c r="E4900" s="125"/>
      <c r="F4900" s="118" t="s">
        <v>953</v>
      </c>
      <c r="G4900" s="126" t="s">
        <v>13310</v>
      </c>
      <c r="H4900" s="255">
        <v>7</v>
      </c>
      <c r="I4900" s="361">
        <v>1</v>
      </c>
      <c r="J4900" s="362" t="s">
        <v>286</v>
      </c>
      <c r="K4900" s="372"/>
      <c r="L4900" s="129"/>
      <c r="M4900" s="129"/>
      <c r="N4900" s="129"/>
      <c r="O4900" s="129"/>
      <c r="P4900" s="372"/>
      <c r="Q4900" s="372"/>
      <c r="R4900" s="129"/>
      <c r="S4900" s="129"/>
      <c r="T4900" s="129"/>
      <c r="W4900" s="129" t="s">
        <v>286</v>
      </c>
      <c r="X4900" s="337" t="b">
        <f t="shared" si="112"/>
        <v>1</v>
      </c>
    </row>
    <row r="4901" spans="1:24" s="337" customFormat="1" ht="12" customHeight="1" outlineLevel="1">
      <c r="A4901" s="335"/>
      <c r="B4901" s="118" t="s">
        <v>12</v>
      </c>
      <c r="C4901" s="334" t="s">
        <v>13326</v>
      </c>
      <c r="D4901" s="124" t="s">
        <v>13327</v>
      </c>
      <c r="E4901" s="125"/>
      <c r="F4901" s="118" t="s">
        <v>953</v>
      </c>
      <c r="G4901" s="126" t="s">
        <v>13310</v>
      </c>
      <c r="H4901" s="255">
        <v>7</v>
      </c>
      <c r="I4901" s="361">
        <v>1</v>
      </c>
      <c r="J4901" s="362" t="s">
        <v>286</v>
      </c>
      <c r="K4901" s="372"/>
      <c r="L4901" s="129"/>
      <c r="M4901" s="129"/>
      <c r="N4901" s="129"/>
      <c r="O4901" s="129"/>
      <c r="P4901" s="372"/>
      <c r="Q4901" s="372"/>
      <c r="R4901" s="129"/>
      <c r="S4901" s="129"/>
      <c r="T4901" s="129"/>
      <c r="W4901" s="129" t="s">
        <v>286</v>
      </c>
      <c r="X4901" s="337" t="b">
        <f t="shared" si="112"/>
        <v>1</v>
      </c>
    </row>
    <row r="4902" spans="1:24" s="337" customFormat="1" ht="12" customHeight="1" outlineLevel="1">
      <c r="A4902" s="335"/>
      <c r="B4902" s="118" t="s">
        <v>12</v>
      </c>
      <c r="C4902" s="334" t="s">
        <v>13328</v>
      </c>
      <c r="D4902" s="124" t="s">
        <v>13329</v>
      </c>
      <c r="E4902" s="125"/>
      <c r="F4902" s="118" t="s">
        <v>953</v>
      </c>
      <c r="G4902" s="126" t="s">
        <v>13310</v>
      </c>
      <c r="H4902" s="255">
        <v>7</v>
      </c>
      <c r="I4902" s="361">
        <v>1</v>
      </c>
      <c r="J4902" s="362" t="s">
        <v>286</v>
      </c>
      <c r="K4902" s="372"/>
      <c r="L4902" s="129"/>
      <c r="M4902" s="129"/>
      <c r="N4902" s="129"/>
      <c r="O4902" s="129"/>
      <c r="P4902" s="372"/>
      <c r="Q4902" s="372"/>
      <c r="R4902" s="129"/>
      <c r="S4902" s="129"/>
      <c r="T4902" s="129"/>
      <c r="W4902" s="129" t="s">
        <v>286</v>
      </c>
      <c r="X4902" s="337" t="b">
        <f t="shared" si="112"/>
        <v>1</v>
      </c>
    </row>
    <row r="4903" spans="1:24" s="337" customFormat="1" ht="12" customHeight="1" outlineLevel="1">
      <c r="A4903" s="335"/>
      <c r="B4903" s="118" t="s">
        <v>12</v>
      </c>
      <c r="C4903" s="334" t="s">
        <v>13330</v>
      </c>
      <c r="D4903" s="124" t="s">
        <v>13331</v>
      </c>
      <c r="E4903" s="125"/>
      <c r="F4903" s="118" t="s">
        <v>953</v>
      </c>
      <c r="G4903" s="126" t="s">
        <v>13310</v>
      </c>
      <c r="H4903" s="255">
        <v>7</v>
      </c>
      <c r="I4903" s="361">
        <v>1</v>
      </c>
      <c r="J4903" s="362" t="s">
        <v>286</v>
      </c>
      <c r="K4903" s="372"/>
      <c r="L4903" s="129"/>
      <c r="M4903" s="129"/>
      <c r="N4903" s="129"/>
      <c r="O4903" s="129"/>
      <c r="P4903" s="372"/>
      <c r="Q4903" s="372"/>
      <c r="R4903" s="129"/>
      <c r="S4903" s="129"/>
      <c r="T4903" s="129"/>
      <c r="W4903" s="129" t="s">
        <v>4876</v>
      </c>
      <c r="X4903" s="337" t="b">
        <f t="shared" si="112"/>
        <v>0</v>
      </c>
    </row>
    <row r="4904" spans="1:24" s="337" customFormat="1" ht="12" customHeight="1" outlineLevel="1">
      <c r="A4904" s="335"/>
      <c r="B4904" s="118" t="s">
        <v>12</v>
      </c>
      <c r="C4904" s="334" t="s">
        <v>13332</v>
      </c>
      <c r="D4904" s="124" t="s">
        <v>13333</v>
      </c>
      <c r="E4904" s="125"/>
      <c r="F4904" s="118" t="s">
        <v>953</v>
      </c>
      <c r="G4904" s="126" t="s">
        <v>13310</v>
      </c>
      <c r="H4904" s="255">
        <v>7</v>
      </c>
      <c r="I4904" s="361">
        <v>1</v>
      </c>
      <c r="J4904" s="362" t="s">
        <v>286</v>
      </c>
      <c r="K4904" s="372"/>
      <c r="L4904" s="129"/>
      <c r="M4904" s="129"/>
      <c r="N4904" s="129"/>
      <c r="O4904" s="129"/>
      <c r="P4904" s="372"/>
      <c r="Q4904" s="372"/>
      <c r="R4904" s="129"/>
      <c r="S4904" s="129"/>
      <c r="T4904" s="129"/>
      <c r="W4904" s="129" t="s">
        <v>4876</v>
      </c>
      <c r="X4904" s="337" t="b">
        <f t="shared" si="112"/>
        <v>0</v>
      </c>
    </row>
    <row r="4905" spans="1:24" s="337" customFormat="1" ht="12" customHeight="1" outlineLevel="1">
      <c r="A4905" s="335"/>
      <c r="B4905" s="118" t="s">
        <v>12</v>
      </c>
      <c r="C4905" s="334" t="s">
        <v>13334</v>
      </c>
      <c r="D4905" s="124" t="s">
        <v>13335</v>
      </c>
      <c r="E4905" s="125"/>
      <c r="F4905" s="118" t="s">
        <v>953</v>
      </c>
      <c r="G4905" s="126" t="s">
        <v>13310</v>
      </c>
      <c r="H4905" s="255">
        <v>7</v>
      </c>
      <c r="I4905" s="361">
        <v>1</v>
      </c>
      <c r="J4905" s="362" t="s">
        <v>286</v>
      </c>
      <c r="K4905" s="372"/>
      <c r="L4905" s="129"/>
      <c r="M4905" s="129"/>
      <c r="N4905" s="129"/>
      <c r="O4905" s="129"/>
      <c r="P4905" s="372"/>
      <c r="Q4905" s="372"/>
      <c r="R4905" s="129"/>
      <c r="S4905" s="129"/>
      <c r="T4905" s="129"/>
      <c r="W4905" s="129" t="s">
        <v>4876</v>
      </c>
      <c r="X4905" s="337" t="b">
        <f t="shared" si="112"/>
        <v>0</v>
      </c>
    </row>
    <row r="4906" spans="1:24" s="337" customFormat="1" ht="12" customHeight="1" outlineLevel="1">
      <c r="A4906" s="335"/>
      <c r="B4906" s="118" t="s">
        <v>12</v>
      </c>
      <c r="C4906" s="334" t="s">
        <v>13336</v>
      </c>
      <c r="D4906" s="124" t="s">
        <v>13337</v>
      </c>
      <c r="E4906" s="125"/>
      <c r="F4906" s="118" t="s">
        <v>953</v>
      </c>
      <c r="G4906" s="126" t="s">
        <v>13310</v>
      </c>
      <c r="H4906" s="255">
        <v>7</v>
      </c>
      <c r="I4906" s="361">
        <v>1</v>
      </c>
      <c r="J4906" s="362" t="s">
        <v>286</v>
      </c>
      <c r="K4906" s="372"/>
      <c r="L4906" s="129"/>
      <c r="M4906" s="129"/>
      <c r="N4906" s="129"/>
      <c r="O4906" s="129"/>
      <c r="P4906" s="372"/>
      <c r="Q4906" s="372"/>
      <c r="R4906" s="129"/>
      <c r="S4906" s="129"/>
      <c r="T4906" s="129"/>
      <c r="W4906" s="129" t="s">
        <v>4876</v>
      </c>
      <c r="X4906" s="337" t="b">
        <f t="shared" si="112"/>
        <v>0</v>
      </c>
    </row>
    <row r="4907" spans="1:24" s="337" customFormat="1" ht="12" customHeight="1" outlineLevel="1">
      <c r="A4907" s="335"/>
      <c r="B4907" s="118" t="s">
        <v>12</v>
      </c>
      <c r="C4907" s="334" t="s">
        <v>13338</v>
      </c>
      <c r="D4907" s="124" t="s">
        <v>13339</v>
      </c>
      <c r="E4907" s="125"/>
      <c r="F4907" s="118" t="s">
        <v>953</v>
      </c>
      <c r="G4907" s="126" t="s">
        <v>13310</v>
      </c>
      <c r="H4907" s="255">
        <v>7</v>
      </c>
      <c r="I4907" s="361">
        <v>1</v>
      </c>
      <c r="J4907" s="362" t="s">
        <v>286</v>
      </c>
      <c r="K4907" s="372"/>
      <c r="L4907" s="129"/>
      <c r="M4907" s="129"/>
      <c r="N4907" s="129"/>
      <c r="O4907" s="129"/>
      <c r="P4907" s="372"/>
      <c r="Q4907" s="372"/>
      <c r="R4907" s="129"/>
      <c r="S4907" s="129"/>
      <c r="T4907" s="129"/>
      <c r="W4907" s="129" t="s">
        <v>4876</v>
      </c>
      <c r="X4907" s="337" t="b">
        <f t="shared" si="112"/>
        <v>0</v>
      </c>
    </row>
    <row r="4908" spans="1:24" s="337" customFormat="1" ht="12" customHeight="1" outlineLevel="1">
      <c r="A4908" s="335"/>
      <c r="B4908" s="118" t="s">
        <v>12</v>
      </c>
      <c r="C4908" s="334" t="s">
        <v>13340</v>
      </c>
      <c r="D4908" s="124" t="s">
        <v>13341</v>
      </c>
      <c r="E4908" s="125"/>
      <c r="F4908" s="118" t="s">
        <v>953</v>
      </c>
      <c r="G4908" s="126" t="s">
        <v>13310</v>
      </c>
      <c r="H4908" s="255">
        <v>7</v>
      </c>
      <c r="I4908" s="361">
        <v>1</v>
      </c>
      <c r="J4908" s="362" t="s">
        <v>286</v>
      </c>
      <c r="K4908" s="372"/>
      <c r="L4908" s="129"/>
      <c r="M4908" s="129"/>
      <c r="N4908" s="129"/>
      <c r="O4908" s="129"/>
      <c r="P4908" s="372"/>
      <c r="Q4908" s="372"/>
      <c r="R4908" s="129"/>
      <c r="S4908" s="129"/>
      <c r="T4908" s="129"/>
      <c r="W4908" s="129" t="s">
        <v>4876</v>
      </c>
      <c r="X4908" s="337" t="b">
        <f t="shared" si="112"/>
        <v>0</v>
      </c>
    </row>
    <row r="4909" spans="1:24" s="337" customFormat="1" ht="12" customHeight="1" outlineLevel="1">
      <c r="A4909" s="335"/>
      <c r="B4909" s="118" t="s">
        <v>12</v>
      </c>
      <c r="C4909" s="334" t="s">
        <v>13342</v>
      </c>
      <c r="D4909" s="124" t="s">
        <v>7340</v>
      </c>
      <c r="E4909" s="125"/>
      <c r="F4909" s="118" t="s">
        <v>953</v>
      </c>
      <c r="G4909" s="126" t="s">
        <v>13343</v>
      </c>
      <c r="H4909" s="255">
        <v>8</v>
      </c>
      <c r="I4909" s="361">
        <v>1</v>
      </c>
      <c r="J4909" s="362" t="s">
        <v>325</v>
      </c>
      <c r="K4909" s="372"/>
      <c r="L4909" s="129"/>
      <c r="M4909" s="129"/>
      <c r="N4909" s="129"/>
      <c r="O4909" s="129"/>
      <c r="P4909" s="372"/>
      <c r="Q4909" s="372"/>
      <c r="R4909" s="129"/>
      <c r="S4909" s="129"/>
      <c r="T4909" s="129"/>
      <c r="W4909" s="129" t="s">
        <v>310</v>
      </c>
      <c r="X4909" s="337" t="b">
        <f t="shared" si="112"/>
        <v>0</v>
      </c>
    </row>
    <row r="4910" spans="1:24" s="337" customFormat="1" ht="12" customHeight="1" outlineLevel="1">
      <c r="A4910" s="335"/>
      <c r="B4910" s="118" t="s">
        <v>12</v>
      </c>
      <c r="C4910" s="334" t="s">
        <v>13344</v>
      </c>
      <c r="D4910" s="124" t="s">
        <v>9767</v>
      </c>
      <c r="E4910" s="125"/>
      <c r="F4910" s="118" t="s">
        <v>953</v>
      </c>
      <c r="G4910" s="126" t="s">
        <v>13343</v>
      </c>
      <c r="H4910" s="255">
        <v>8</v>
      </c>
      <c r="I4910" s="361">
        <v>1</v>
      </c>
      <c r="J4910" s="362" t="s">
        <v>286</v>
      </c>
      <c r="K4910" s="372"/>
      <c r="L4910" s="129"/>
      <c r="M4910" s="129"/>
      <c r="N4910" s="129"/>
      <c r="O4910" s="129"/>
      <c r="P4910" s="372"/>
      <c r="Q4910" s="372"/>
      <c r="R4910" s="129"/>
      <c r="S4910" s="129"/>
      <c r="T4910" s="129"/>
      <c r="W4910" s="129" t="s">
        <v>286</v>
      </c>
      <c r="X4910" s="337" t="b">
        <f t="shared" si="112"/>
        <v>1</v>
      </c>
    </row>
    <row r="4911" spans="1:24" s="337" customFormat="1" ht="12" customHeight="1" outlineLevel="1">
      <c r="A4911" s="335"/>
      <c r="B4911" s="118" t="s">
        <v>12</v>
      </c>
      <c r="C4911" s="334" t="s">
        <v>13345</v>
      </c>
      <c r="D4911" s="124" t="s">
        <v>13346</v>
      </c>
      <c r="E4911" s="125"/>
      <c r="F4911" s="118" t="s">
        <v>953</v>
      </c>
      <c r="G4911" s="126" t="s">
        <v>13343</v>
      </c>
      <c r="H4911" s="255">
        <v>8</v>
      </c>
      <c r="I4911" s="361">
        <v>1</v>
      </c>
      <c r="J4911" s="362" t="s">
        <v>310</v>
      </c>
      <c r="K4911" s="372"/>
      <c r="L4911" s="129"/>
      <c r="M4911" s="129"/>
      <c r="N4911" s="129"/>
      <c r="O4911" s="129"/>
      <c r="P4911" s="372"/>
      <c r="Q4911" s="372"/>
      <c r="R4911" s="129"/>
      <c r="S4911" s="129"/>
      <c r="T4911" s="129"/>
      <c r="W4911" s="129" t="s">
        <v>310</v>
      </c>
      <c r="X4911" s="337" t="b">
        <f t="shared" si="112"/>
        <v>1</v>
      </c>
    </row>
    <row r="4912" spans="1:24" s="337" customFormat="1" ht="12" customHeight="1" outlineLevel="1">
      <c r="A4912" s="335"/>
      <c r="B4912" s="118" t="s">
        <v>12</v>
      </c>
      <c r="C4912" s="334" t="s">
        <v>13347</v>
      </c>
      <c r="D4912" s="124" t="s">
        <v>13348</v>
      </c>
      <c r="E4912" s="125"/>
      <c r="F4912" s="118" t="s">
        <v>953</v>
      </c>
      <c r="G4912" s="126" t="s">
        <v>13343</v>
      </c>
      <c r="H4912" s="255">
        <v>8</v>
      </c>
      <c r="I4912" s="361">
        <v>1</v>
      </c>
      <c r="J4912" s="362" t="s">
        <v>310</v>
      </c>
      <c r="K4912" s="372"/>
      <c r="L4912" s="129"/>
      <c r="M4912" s="129"/>
      <c r="N4912" s="129"/>
      <c r="O4912" s="129"/>
      <c r="P4912" s="372"/>
      <c r="Q4912" s="372"/>
      <c r="R4912" s="129"/>
      <c r="S4912" s="129"/>
      <c r="T4912" s="129"/>
      <c r="W4912" s="129" t="s">
        <v>310</v>
      </c>
      <c r="X4912" s="337" t="b">
        <f t="shared" si="112"/>
        <v>1</v>
      </c>
    </row>
    <row r="4913" spans="1:24" s="337" customFormat="1" ht="12" customHeight="1" outlineLevel="1">
      <c r="A4913" s="335"/>
      <c r="B4913" s="118" t="s">
        <v>12</v>
      </c>
      <c r="C4913" s="334" t="s">
        <v>13349</v>
      </c>
      <c r="D4913" s="124" t="s">
        <v>13350</v>
      </c>
      <c r="E4913" s="125"/>
      <c r="F4913" s="118" t="s">
        <v>953</v>
      </c>
      <c r="G4913" s="126" t="s">
        <v>13343</v>
      </c>
      <c r="H4913" s="255">
        <v>8</v>
      </c>
      <c r="I4913" s="361">
        <v>1</v>
      </c>
      <c r="J4913" s="362" t="s">
        <v>286</v>
      </c>
      <c r="K4913" s="372"/>
      <c r="L4913" s="129"/>
      <c r="M4913" s="129"/>
      <c r="N4913" s="129"/>
      <c r="O4913" s="129"/>
      <c r="P4913" s="372"/>
      <c r="Q4913" s="372"/>
      <c r="R4913" s="129"/>
      <c r="S4913" s="129"/>
      <c r="T4913" s="129"/>
      <c r="W4913" s="129" t="s">
        <v>286</v>
      </c>
      <c r="X4913" s="337" t="b">
        <f t="shared" si="112"/>
        <v>1</v>
      </c>
    </row>
    <row r="4914" spans="1:24" s="337" customFormat="1" ht="12" customHeight="1" outlineLevel="1">
      <c r="A4914" s="335"/>
      <c r="B4914" s="118" t="s">
        <v>12</v>
      </c>
      <c r="C4914" s="334" t="s">
        <v>13351</v>
      </c>
      <c r="D4914" s="124" t="s">
        <v>13352</v>
      </c>
      <c r="E4914" s="125"/>
      <c r="F4914" s="118" t="s">
        <v>953</v>
      </c>
      <c r="G4914" s="126" t="s">
        <v>13343</v>
      </c>
      <c r="H4914" s="255">
        <v>8</v>
      </c>
      <c r="I4914" s="361">
        <v>1</v>
      </c>
      <c r="J4914" s="362" t="s">
        <v>286</v>
      </c>
      <c r="K4914" s="372"/>
      <c r="L4914" s="129"/>
      <c r="M4914" s="129"/>
      <c r="N4914" s="129"/>
      <c r="O4914" s="129"/>
      <c r="P4914" s="372"/>
      <c r="Q4914" s="372"/>
      <c r="R4914" s="129"/>
      <c r="S4914" s="129"/>
      <c r="T4914" s="129"/>
      <c r="W4914" s="129" t="s">
        <v>286</v>
      </c>
      <c r="X4914" s="337" t="b">
        <f t="shared" si="112"/>
        <v>1</v>
      </c>
    </row>
    <row r="4915" spans="1:24" s="337" customFormat="1" ht="12" customHeight="1" outlineLevel="1">
      <c r="A4915" s="335"/>
      <c r="B4915" s="118" t="s">
        <v>12</v>
      </c>
      <c r="C4915" s="334" t="s">
        <v>13353</v>
      </c>
      <c r="D4915" s="124" t="s">
        <v>13354</v>
      </c>
      <c r="E4915" s="125"/>
      <c r="F4915" s="118" t="s">
        <v>953</v>
      </c>
      <c r="G4915" s="126" t="s">
        <v>13343</v>
      </c>
      <c r="H4915" s="255">
        <v>8</v>
      </c>
      <c r="I4915" s="361">
        <v>1</v>
      </c>
      <c r="J4915" s="362" t="s">
        <v>286</v>
      </c>
      <c r="K4915" s="372"/>
      <c r="L4915" s="129"/>
      <c r="M4915" s="129"/>
      <c r="N4915" s="129"/>
      <c r="O4915" s="129"/>
      <c r="P4915" s="372"/>
      <c r="Q4915" s="372"/>
      <c r="R4915" s="129"/>
      <c r="S4915" s="129"/>
      <c r="T4915" s="129"/>
      <c r="W4915" s="129" t="s">
        <v>286</v>
      </c>
      <c r="X4915" s="337" t="b">
        <f t="shared" si="112"/>
        <v>1</v>
      </c>
    </row>
    <row r="4916" spans="1:24" s="337" customFormat="1" ht="12" customHeight="1" outlineLevel="1">
      <c r="A4916" s="335"/>
      <c r="B4916" s="118" t="s">
        <v>12</v>
      </c>
      <c r="C4916" s="334" t="s">
        <v>13355</v>
      </c>
      <c r="D4916" s="124" t="s">
        <v>13356</v>
      </c>
      <c r="E4916" s="125"/>
      <c r="F4916" s="118" t="s">
        <v>953</v>
      </c>
      <c r="G4916" s="126" t="s">
        <v>13343</v>
      </c>
      <c r="H4916" s="255">
        <v>8</v>
      </c>
      <c r="I4916" s="361">
        <v>1</v>
      </c>
      <c r="J4916" s="362" t="s">
        <v>286</v>
      </c>
      <c r="K4916" s="372"/>
      <c r="L4916" s="129"/>
      <c r="M4916" s="129"/>
      <c r="N4916" s="129"/>
      <c r="O4916" s="129"/>
      <c r="P4916" s="372"/>
      <c r="Q4916" s="372"/>
      <c r="R4916" s="129"/>
      <c r="S4916" s="129"/>
      <c r="T4916" s="129"/>
      <c r="W4916" s="129" t="s">
        <v>286</v>
      </c>
      <c r="X4916" s="337" t="b">
        <f t="shared" si="112"/>
        <v>1</v>
      </c>
    </row>
    <row r="4917" spans="1:24" s="337" customFormat="1" ht="12" customHeight="1" outlineLevel="1">
      <c r="A4917" s="335"/>
      <c r="B4917" s="118" t="s">
        <v>12</v>
      </c>
      <c r="C4917" s="334" t="s">
        <v>13357</v>
      </c>
      <c r="D4917" s="124" t="s">
        <v>13358</v>
      </c>
      <c r="E4917" s="125"/>
      <c r="F4917" s="118" t="s">
        <v>953</v>
      </c>
      <c r="G4917" s="126" t="s">
        <v>13343</v>
      </c>
      <c r="H4917" s="255">
        <v>8</v>
      </c>
      <c r="I4917" s="361">
        <v>1</v>
      </c>
      <c r="J4917" s="362" t="s">
        <v>286</v>
      </c>
      <c r="K4917" s="372"/>
      <c r="L4917" s="129"/>
      <c r="M4917" s="129"/>
      <c r="N4917" s="129"/>
      <c r="O4917" s="129"/>
      <c r="P4917" s="372"/>
      <c r="Q4917" s="372"/>
      <c r="R4917" s="129"/>
      <c r="S4917" s="129"/>
      <c r="T4917" s="129"/>
      <c r="W4917" s="129" t="s">
        <v>286</v>
      </c>
      <c r="X4917" s="337" t="b">
        <f t="shared" si="112"/>
        <v>1</v>
      </c>
    </row>
    <row r="4918" spans="1:24" s="337" customFormat="1" ht="12" customHeight="1" outlineLevel="1">
      <c r="A4918" s="335"/>
      <c r="B4918" s="118" t="s">
        <v>12</v>
      </c>
      <c r="C4918" s="334" t="s">
        <v>13359</v>
      </c>
      <c r="D4918" s="124" t="s">
        <v>13360</v>
      </c>
      <c r="E4918" s="125"/>
      <c r="F4918" s="118" t="s">
        <v>953</v>
      </c>
      <c r="G4918" s="126" t="s">
        <v>13343</v>
      </c>
      <c r="H4918" s="255">
        <v>8</v>
      </c>
      <c r="I4918" s="361">
        <v>1</v>
      </c>
      <c r="J4918" s="362" t="s">
        <v>310</v>
      </c>
      <c r="K4918" s="372"/>
      <c r="L4918" s="129"/>
      <c r="M4918" s="129"/>
      <c r="N4918" s="129"/>
      <c r="O4918" s="129"/>
      <c r="P4918" s="372"/>
      <c r="Q4918" s="372"/>
      <c r="R4918" s="129"/>
      <c r="S4918" s="129"/>
      <c r="T4918" s="129"/>
      <c r="W4918" s="129" t="s">
        <v>286</v>
      </c>
      <c r="X4918" s="337" t="b">
        <f t="shared" si="112"/>
        <v>0</v>
      </c>
    </row>
    <row r="4919" spans="1:24" s="337" customFormat="1" ht="12" customHeight="1" outlineLevel="1">
      <c r="A4919" s="335"/>
      <c r="B4919" s="118" t="s">
        <v>12</v>
      </c>
      <c r="C4919" s="334" t="s">
        <v>13361</v>
      </c>
      <c r="D4919" s="124" t="s">
        <v>13362</v>
      </c>
      <c r="E4919" s="125"/>
      <c r="F4919" s="118" t="s">
        <v>953</v>
      </c>
      <c r="G4919" s="126" t="s">
        <v>13343</v>
      </c>
      <c r="H4919" s="255">
        <v>8</v>
      </c>
      <c r="I4919" s="361">
        <v>1</v>
      </c>
      <c r="J4919" s="362" t="s">
        <v>310</v>
      </c>
      <c r="K4919" s="372"/>
      <c r="L4919" s="129"/>
      <c r="M4919" s="129"/>
      <c r="N4919" s="129"/>
      <c r="O4919" s="129"/>
      <c r="P4919" s="372"/>
      <c r="Q4919" s="372"/>
      <c r="R4919" s="129"/>
      <c r="S4919" s="129"/>
      <c r="T4919" s="129"/>
      <c r="W4919" s="129" t="s">
        <v>286</v>
      </c>
      <c r="X4919" s="337" t="b">
        <f t="shared" si="112"/>
        <v>0</v>
      </c>
    </row>
    <row r="4920" spans="1:24" s="337" customFormat="1" ht="12" customHeight="1" outlineLevel="1">
      <c r="A4920" s="335"/>
      <c r="B4920" s="118" t="s">
        <v>12</v>
      </c>
      <c r="C4920" s="334" t="s">
        <v>13363</v>
      </c>
      <c r="D4920" s="124" t="s">
        <v>13364</v>
      </c>
      <c r="E4920" s="125"/>
      <c r="F4920" s="118" t="s">
        <v>953</v>
      </c>
      <c r="G4920" s="126" t="s">
        <v>13343</v>
      </c>
      <c r="H4920" s="255">
        <v>8</v>
      </c>
      <c r="I4920" s="361">
        <v>1</v>
      </c>
      <c r="J4920" s="362" t="s">
        <v>310</v>
      </c>
      <c r="K4920" s="372"/>
      <c r="L4920" s="129"/>
      <c r="M4920" s="129"/>
      <c r="N4920" s="129"/>
      <c r="O4920" s="129"/>
      <c r="P4920" s="372"/>
      <c r="Q4920" s="372"/>
      <c r="R4920" s="129"/>
      <c r="S4920" s="129"/>
      <c r="T4920" s="129"/>
      <c r="W4920" s="129" t="s">
        <v>286</v>
      </c>
      <c r="X4920" s="337" t="b">
        <f t="shared" si="112"/>
        <v>0</v>
      </c>
    </row>
    <row r="4921" spans="1:24" s="337" customFormat="1" ht="12" customHeight="1" outlineLevel="1">
      <c r="A4921" s="335"/>
      <c r="B4921" s="118" t="s">
        <v>12</v>
      </c>
      <c r="C4921" s="334" t="s">
        <v>13365</v>
      </c>
      <c r="D4921" s="124" t="s">
        <v>13366</v>
      </c>
      <c r="E4921" s="125"/>
      <c r="F4921" s="118" t="s">
        <v>953</v>
      </c>
      <c r="G4921" s="126" t="s">
        <v>13343</v>
      </c>
      <c r="H4921" s="255">
        <v>8</v>
      </c>
      <c r="I4921" s="361">
        <v>1</v>
      </c>
      <c r="J4921" s="362" t="s">
        <v>310</v>
      </c>
      <c r="K4921" s="372"/>
      <c r="L4921" s="129"/>
      <c r="M4921" s="129"/>
      <c r="N4921" s="129"/>
      <c r="O4921" s="129"/>
      <c r="P4921" s="372"/>
      <c r="Q4921" s="372"/>
      <c r="R4921" s="129"/>
      <c r="S4921" s="129"/>
      <c r="T4921" s="129"/>
      <c r="W4921" s="129" t="s">
        <v>286</v>
      </c>
      <c r="X4921" s="337" t="b">
        <f t="shared" si="112"/>
        <v>0</v>
      </c>
    </row>
    <row r="4922" spans="1:24" s="337" customFormat="1" ht="12" customHeight="1" outlineLevel="1">
      <c r="A4922" s="335"/>
      <c r="B4922" s="118" t="s">
        <v>12</v>
      </c>
      <c r="C4922" s="334" t="s">
        <v>13367</v>
      </c>
      <c r="D4922" s="124" t="s">
        <v>13368</v>
      </c>
      <c r="E4922" s="125"/>
      <c r="F4922" s="118" t="s">
        <v>953</v>
      </c>
      <c r="G4922" s="126" t="s">
        <v>13343</v>
      </c>
      <c r="H4922" s="255">
        <v>8</v>
      </c>
      <c r="I4922" s="361">
        <v>1</v>
      </c>
      <c r="J4922" s="362" t="s">
        <v>286</v>
      </c>
      <c r="K4922" s="372"/>
      <c r="L4922" s="129"/>
      <c r="M4922" s="129"/>
      <c r="N4922" s="129"/>
      <c r="O4922" s="129"/>
      <c r="P4922" s="372"/>
      <c r="Q4922" s="372"/>
      <c r="R4922" s="129"/>
      <c r="S4922" s="129"/>
      <c r="T4922" s="129"/>
      <c r="W4922" s="129" t="s">
        <v>310</v>
      </c>
      <c r="X4922" s="337" t="b">
        <f t="shared" si="112"/>
        <v>0</v>
      </c>
    </row>
    <row r="4923" spans="1:24" s="337" customFormat="1" ht="12" customHeight="1" outlineLevel="1">
      <c r="A4923" s="335"/>
      <c r="B4923" s="118" t="s">
        <v>12</v>
      </c>
      <c r="C4923" s="334" t="s">
        <v>13369</v>
      </c>
      <c r="D4923" s="124" t="s">
        <v>13370</v>
      </c>
      <c r="E4923" s="125"/>
      <c r="F4923" s="118" t="s">
        <v>953</v>
      </c>
      <c r="G4923" s="126" t="s">
        <v>13343</v>
      </c>
      <c r="H4923" s="255">
        <v>8</v>
      </c>
      <c r="I4923" s="361">
        <v>1</v>
      </c>
      <c r="J4923" s="362" t="s">
        <v>286</v>
      </c>
      <c r="K4923" s="372"/>
      <c r="L4923" s="129"/>
      <c r="M4923" s="129"/>
      <c r="N4923" s="129"/>
      <c r="O4923" s="129"/>
      <c r="P4923" s="372"/>
      <c r="Q4923" s="372"/>
      <c r="R4923" s="129"/>
      <c r="S4923" s="129"/>
      <c r="T4923" s="129"/>
      <c r="W4923" s="129" t="s">
        <v>4876</v>
      </c>
      <c r="X4923" s="337" t="b">
        <f t="shared" si="112"/>
        <v>0</v>
      </c>
    </row>
    <row r="4924" spans="1:24" s="337" customFormat="1" ht="12" customHeight="1" outlineLevel="1">
      <c r="A4924" s="335"/>
      <c r="B4924" s="118" t="s">
        <v>12</v>
      </c>
      <c r="C4924" s="334" t="s">
        <v>13371</v>
      </c>
      <c r="D4924" s="124" t="s">
        <v>13372</v>
      </c>
      <c r="E4924" s="125"/>
      <c r="F4924" s="118" t="s">
        <v>953</v>
      </c>
      <c r="G4924" s="126" t="s">
        <v>13343</v>
      </c>
      <c r="H4924" s="255">
        <v>8</v>
      </c>
      <c r="I4924" s="361">
        <v>1</v>
      </c>
      <c r="J4924" s="362" t="s">
        <v>310</v>
      </c>
      <c r="K4924" s="372"/>
      <c r="L4924" s="129"/>
      <c r="M4924" s="129"/>
      <c r="N4924" s="129"/>
      <c r="O4924" s="129"/>
      <c r="P4924" s="372"/>
      <c r="Q4924" s="372"/>
      <c r="R4924" s="129"/>
      <c r="S4924" s="129"/>
      <c r="T4924" s="129"/>
      <c r="W4924" s="129" t="s">
        <v>4876</v>
      </c>
      <c r="X4924" s="337" t="b">
        <f t="shared" si="112"/>
        <v>0</v>
      </c>
    </row>
    <row r="4925" spans="1:24" s="337" customFormat="1" ht="12" customHeight="1" outlineLevel="1">
      <c r="A4925" s="335"/>
      <c r="B4925" s="118" t="s">
        <v>12</v>
      </c>
      <c r="C4925" s="334" t="s">
        <v>13373</v>
      </c>
      <c r="D4925" s="124" t="s">
        <v>13374</v>
      </c>
      <c r="E4925" s="125"/>
      <c r="F4925" s="118" t="s">
        <v>953</v>
      </c>
      <c r="G4925" s="126" t="s">
        <v>13343</v>
      </c>
      <c r="H4925" s="255">
        <v>8</v>
      </c>
      <c r="I4925" s="361">
        <v>1</v>
      </c>
      <c r="J4925" s="362" t="s">
        <v>310</v>
      </c>
      <c r="K4925" s="372"/>
      <c r="L4925" s="129"/>
      <c r="M4925" s="129"/>
      <c r="N4925" s="129"/>
      <c r="O4925" s="129"/>
      <c r="P4925" s="372"/>
      <c r="Q4925" s="372"/>
      <c r="R4925" s="129"/>
      <c r="S4925" s="129"/>
      <c r="T4925" s="129"/>
      <c r="W4925" s="129" t="s">
        <v>4876</v>
      </c>
      <c r="X4925" s="337" t="b">
        <f t="shared" si="112"/>
        <v>0</v>
      </c>
    </row>
    <row r="4926" spans="1:24" s="337" customFormat="1" ht="12" customHeight="1" outlineLevel="1">
      <c r="A4926" s="335"/>
      <c r="B4926" s="118" t="s">
        <v>12</v>
      </c>
      <c r="C4926" s="334" t="s">
        <v>13375</v>
      </c>
      <c r="D4926" s="124" t="s">
        <v>13376</v>
      </c>
      <c r="E4926" s="125"/>
      <c r="F4926" s="118" t="s">
        <v>953</v>
      </c>
      <c r="G4926" s="126" t="s">
        <v>13343</v>
      </c>
      <c r="H4926" s="255">
        <v>8</v>
      </c>
      <c r="I4926" s="361">
        <v>1</v>
      </c>
      <c r="J4926" s="362" t="s">
        <v>307</v>
      </c>
      <c r="K4926" s="372"/>
      <c r="L4926" s="129"/>
      <c r="M4926" s="129"/>
      <c r="N4926" s="129"/>
      <c r="O4926" s="129"/>
      <c r="P4926" s="372"/>
      <c r="Q4926" s="372"/>
      <c r="R4926" s="129"/>
      <c r="S4926" s="129"/>
      <c r="T4926" s="129"/>
      <c r="W4926" s="129" t="s">
        <v>286</v>
      </c>
      <c r="X4926" s="337" t="b">
        <f t="shared" si="112"/>
        <v>0</v>
      </c>
    </row>
    <row r="4927" spans="1:24" s="337" customFormat="1" ht="12" customHeight="1" outlineLevel="1">
      <c r="A4927" s="335"/>
      <c r="B4927" s="118" t="s">
        <v>12</v>
      </c>
      <c r="C4927" s="334" t="s">
        <v>13377</v>
      </c>
      <c r="D4927" s="124" t="s">
        <v>13378</v>
      </c>
      <c r="E4927" s="125"/>
      <c r="F4927" s="118" t="s">
        <v>953</v>
      </c>
      <c r="G4927" s="126" t="s">
        <v>13343</v>
      </c>
      <c r="H4927" s="255">
        <v>8</v>
      </c>
      <c r="I4927" s="361">
        <v>1</v>
      </c>
      <c r="J4927" s="362" t="s">
        <v>286</v>
      </c>
      <c r="K4927" s="372"/>
      <c r="L4927" s="129"/>
      <c r="M4927" s="129"/>
      <c r="N4927" s="129"/>
      <c r="O4927" s="129"/>
      <c r="P4927" s="372"/>
      <c r="Q4927" s="372"/>
      <c r="R4927" s="129"/>
      <c r="S4927" s="129"/>
      <c r="T4927" s="129"/>
      <c r="W4927" s="129" t="s">
        <v>286</v>
      </c>
      <c r="X4927" s="337" t="b">
        <f t="shared" ref="X4927" si="113">W4927=J4927</f>
        <v>1</v>
      </c>
    </row>
    <row r="4928" spans="1:24" ht="3" customHeight="1"/>
    <row r="4929" spans="1:24" s="360" customFormat="1" ht="12" customHeight="1">
      <c r="A4929" s="110" t="s">
        <v>1015</v>
      </c>
      <c r="B4929" s="118"/>
      <c r="C4929" s="334"/>
      <c r="D4929" s="124"/>
      <c r="E4929" s="125"/>
      <c r="F4929" s="118"/>
      <c r="G4929" s="126"/>
      <c r="H4929" s="255"/>
      <c r="I4929" s="62"/>
      <c r="J4929" s="358"/>
      <c r="K4929" s="62"/>
      <c r="L4929" s="62"/>
      <c r="M4929" s="62"/>
      <c r="N4929" s="62"/>
      <c r="O4929" s="62"/>
      <c r="P4929" s="359"/>
      <c r="Q4929" s="359"/>
      <c r="R4929" s="359"/>
      <c r="S4929" s="359"/>
      <c r="T4929" s="359"/>
      <c r="W4929" s="359"/>
    </row>
    <row r="4930" spans="1:24" s="337" customFormat="1" ht="12" customHeight="1" outlineLevel="1">
      <c r="A4930" s="335"/>
      <c r="B4930" s="118" t="s">
        <v>12</v>
      </c>
      <c r="C4930" s="334" t="s">
        <v>13379</v>
      </c>
      <c r="D4930" s="124" t="s">
        <v>13380</v>
      </c>
      <c r="E4930" s="125"/>
      <c r="F4930" s="118" t="s">
        <v>1018</v>
      </c>
      <c r="G4930" s="126" t="s">
        <v>13381</v>
      </c>
      <c r="H4930" s="255">
        <v>1</v>
      </c>
      <c r="I4930" s="361">
        <v>1</v>
      </c>
      <c r="J4930" s="362" t="s">
        <v>286</v>
      </c>
      <c r="K4930" s="363"/>
      <c r="L4930" s="129"/>
      <c r="M4930" s="129"/>
      <c r="N4930" s="129"/>
      <c r="O4930" s="129"/>
      <c r="P4930" s="364"/>
      <c r="Q4930" s="364"/>
      <c r="R4930" s="129"/>
      <c r="S4930" s="129"/>
      <c r="T4930" s="129"/>
      <c r="W4930" s="129" t="s">
        <v>286</v>
      </c>
      <c r="X4930" s="337" t="b">
        <f t="shared" ref="X4930:X4993" si="114">W4930=J4930</f>
        <v>1</v>
      </c>
    </row>
    <row r="4931" spans="1:24" s="337" customFormat="1" ht="12" customHeight="1" outlineLevel="1">
      <c r="A4931" s="335"/>
      <c r="B4931" s="118" t="s">
        <v>12</v>
      </c>
      <c r="C4931" s="334" t="s">
        <v>13382</v>
      </c>
      <c r="D4931" s="124" t="s">
        <v>6275</v>
      </c>
      <c r="E4931" s="125"/>
      <c r="F4931" s="118" t="s">
        <v>1018</v>
      </c>
      <c r="G4931" s="126" t="s">
        <v>13381</v>
      </c>
      <c r="H4931" s="255">
        <v>1</v>
      </c>
      <c r="I4931" s="361">
        <v>1</v>
      </c>
      <c r="J4931" s="362" t="s">
        <v>307</v>
      </c>
      <c r="K4931" s="363"/>
      <c r="L4931" s="129"/>
      <c r="M4931" s="129"/>
      <c r="N4931" s="129"/>
      <c r="O4931" s="129"/>
      <c r="P4931" s="364"/>
      <c r="Q4931" s="364"/>
      <c r="R4931" s="129"/>
      <c r="S4931" s="129"/>
      <c r="T4931" s="129"/>
      <c r="W4931" s="129" t="s">
        <v>325</v>
      </c>
      <c r="X4931" s="337" t="b">
        <f t="shared" si="114"/>
        <v>0</v>
      </c>
    </row>
    <row r="4932" spans="1:24" s="337" customFormat="1" ht="12" customHeight="1" outlineLevel="1">
      <c r="A4932" s="335"/>
      <c r="B4932" s="118" t="s">
        <v>12</v>
      </c>
      <c r="C4932" s="334" t="s">
        <v>13383</v>
      </c>
      <c r="D4932" s="124" t="s">
        <v>9803</v>
      </c>
      <c r="E4932" s="125"/>
      <c r="F4932" s="118" t="s">
        <v>1018</v>
      </c>
      <c r="G4932" s="126" t="s">
        <v>13381</v>
      </c>
      <c r="H4932" s="255">
        <v>1</v>
      </c>
      <c r="I4932" s="361">
        <v>1</v>
      </c>
      <c r="J4932" s="362" t="s">
        <v>286</v>
      </c>
      <c r="K4932" s="363"/>
      <c r="L4932" s="129"/>
      <c r="M4932" s="129"/>
      <c r="N4932" s="129"/>
      <c r="O4932" s="129"/>
      <c r="P4932" s="364"/>
      <c r="Q4932" s="364"/>
      <c r="R4932" s="129"/>
      <c r="S4932" s="129"/>
      <c r="T4932" s="129"/>
      <c r="W4932" s="129" t="s">
        <v>310</v>
      </c>
      <c r="X4932" s="337" t="b">
        <f t="shared" si="114"/>
        <v>0</v>
      </c>
    </row>
    <row r="4933" spans="1:24" s="337" customFormat="1" ht="12" customHeight="1" outlineLevel="1">
      <c r="A4933" s="335"/>
      <c r="B4933" s="118" t="s">
        <v>12</v>
      </c>
      <c r="C4933" s="334" t="s">
        <v>13384</v>
      </c>
      <c r="D4933" s="124" t="s">
        <v>13385</v>
      </c>
      <c r="E4933" s="125"/>
      <c r="F4933" s="118" t="s">
        <v>1018</v>
      </c>
      <c r="G4933" s="126" t="s">
        <v>13381</v>
      </c>
      <c r="H4933" s="255">
        <v>1</v>
      </c>
      <c r="I4933" s="361">
        <v>1</v>
      </c>
      <c r="J4933" s="362" t="s">
        <v>286</v>
      </c>
      <c r="K4933" s="363"/>
      <c r="L4933" s="129"/>
      <c r="M4933" s="129"/>
      <c r="N4933" s="129"/>
      <c r="O4933" s="129"/>
      <c r="P4933" s="364"/>
      <c r="Q4933" s="364"/>
      <c r="R4933" s="129"/>
      <c r="S4933" s="129"/>
      <c r="T4933" s="129"/>
      <c r="W4933" s="129" t="s">
        <v>310</v>
      </c>
      <c r="X4933" s="337" t="b">
        <f t="shared" si="114"/>
        <v>0</v>
      </c>
    </row>
    <row r="4934" spans="1:24" s="337" customFormat="1" ht="12" customHeight="1" outlineLevel="1">
      <c r="A4934" s="335"/>
      <c r="B4934" s="118" t="s">
        <v>12</v>
      </c>
      <c r="C4934" s="334" t="s">
        <v>13386</v>
      </c>
      <c r="D4934" s="124" t="s">
        <v>13387</v>
      </c>
      <c r="E4934" s="125"/>
      <c r="F4934" s="118" t="s">
        <v>1018</v>
      </c>
      <c r="G4934" s="126" t="s">
        <v>13381</v>
      </c>
      <c r="H4934" s="255">
        <v>1</v>
      </c>
      <c r="I4934" s="361">
        <v>1</v>
      </c>
      <c r="J4934" s="362" t="s">
        <v>310</v>
      </c>
      <c r="K4934" s="363"/>
      <c r="L4934" s="129"/>
      <c r="M4934" s="129"/>
      <c r="N4934" s="129"/>
      <c r="O4934" s="129"/>
      <c r="P4934" s="364"/>
      <c r="Q4934" s="364"/>
      <c r="R4934" s="129"/>
      <c r="S4934" s="129"/>
      <c r="T4934" s="129"/>
      <c r="W4934" s="129" t="s">
        <v>286</v>
      </c>
      <c r="X4934" s="337" t="b">
        <f t="shared" si="114"/>
        <v>0</v>
      </c>
    </row>
    <row r="4935" spans="1:24" s="337" customFormat="1" ht="12" customHeight="1" outlineLevel="1">
      <c r="A4935" s="335"/>
      <c r="B4935" s="118" t="s">
        <v>12</v>
      </c>
      <c r="C4935" s="334" t="s">
        <v>13388</v>
      </c>
      <c r="D4935" s="124" t="s">
        <v>13389</v>
      </c>
      <c r="E4935" s="125"/>
      <c r="F4935" s="118" t="s">
        <v>1018</v>
      </c>
      <c r="G4935" s="126" t="s">
        <v>13381</v>
      </c>
      <c r="H4935" s="255">
        <v>1</v>
      </c>
      <c r="I4935" s="361">
        <v>1</v>
      </c>
      <c r="J4935" s="362" t="s">
        <v>286</v>
      </c>
      <c r="K4935" s="363"/>
      <c r="L4935" s="129"/>
      <c r="M4935" s="129"/>
      <c r="N4935" s="129"/>
      <c r="O4935" s="129"/>
      <c r="P4935" s="364"/>
      <c r="Q4935" s="364"/>
      <c r="R4935" s="129"/>
      <c r="S4935" s="129"/>
      <c r="T4935" s="129"/>
      <c r="W4935" s="129" t="s">
        <v>286</v>
      </c>
      <c r="X4935" s="337" t="b">
        <f t="shared" si="114"/>
        <v>1</v>
      </c>
    </row>
    <row r="4936" spans="1:24" s="337" customFormat="1" ht="12" customHeight="1" outlineLevel="1">
      <c r="A4936" s="335"/>
      <c r="B4936" s="118" t="s">
        <v>12</v>
      </c>
      <c r="C4936" s="334" t="s">
        <v>13390</v>
      </c>
      <c r="D4936" s="124" t="s">
        <v>13391</v>
      </c>
      <c r="E4936" s="125"/>
      <c r="F4936" s="118" t="s">
        <v>1018</v>
      </c>
      <c r="G4936" s="126" t="s">
        <v>13381</v>
      </c>
      <c r="H4936" s="255">
        <v>1</v>
      </c>
      <c r="I4936" s="361">
        <v>1</v>
      </c>
      <c r="J4936" s="362" t="s">
        <v>286</v>
      </c>
      <c r="K4936" s="363"/>
      <c r="L4936" s="129"/>
      <c r="M4936" s="129"/>
      <c r="N4936" s="129"/>
      <c r="O4936" s="129"/>
      <c r="P4936" s="364"/>
      <c r="Q4936" s="364"/>
      <c r="R4936" s="129"/>
      <c r="S4936" s="129"/>
      <c r="T4936" s="129"/>
      <c r="W4936" s="129" t="s">
        <v>286</v>
      </c>
      <c r="X4936" s="337" t="b">
        <f t="shared" si="114"/>
        <v>1</v>
      </c>
    </row>
    <row r="4937" spans="1:24" s="337" customFormat="1" ht="12" customHeight="1" outlineLevel="1">
      <c r="A4937" s="335"/>
      <c r="B4937" s="118" t="s">
        <v>12</v>
      </c>
      <c r="C4937" s="334" t="s">
        <v>13392</v>
      </c>
      <c r="D4937" s="124" t="s">
        <v>9807</v>
      </c>
      <c r="E4937" s="125"/>
      <c r="F4937" s="118" t="s">
        <v>1018</v>
      </c>
      <c r="G4937" s="126" t="s">
        <v>13381</v>
      </c>
      <c r="H4937" s="255">
        <v>1</v>
      </c>
      <c r="I4937" s="361">
        <v>1</v>
      </c>
      <c r="J4937" s="362" t="s">
        <v>286</v>
      </c>
      <c r="K4937" s="363"/>
      <c r="L4937" s="129"/>
      <c r="M4937" s="129"/>
      <c r="N4937" s="129"/>
      <c r="O4937" s="129"/>
      <c r="P4937" s="364"/>
      <c r="Q4937" s="364"/>
      <c r="R4937" s="129"/>
      <c r="S4937" s="129"/>
      <c r="T4937" s="129"/>
      <c r="W4937" s="129" t="s">
        <v>4876</v>
      </c>
      <c r="X4937" s="337" t="b">
        <f t="shared" si="114"/>
        <v>0</v>
      </c>
    </row>
    <row r="4938" spans="1:24" s="337" customFormat="1" ht="12" customHeight="1" outlineLevel="1">
      <c r="A4938" s="335"/>
      <c r="B4938" s="118" t="s">
        <v>12</v>
      </c>
      <c r="C4938" s="334" t="s">
        <v>13393</v>
      </c>
      <c r="D4938" s="124" t="s">
        <v>9809</v>
      </c>
      <c r="E4938" s="125"/>
      <c r="F4938" s="118" t="s">
        <v>1018</v>
      </c>
      <c r="G4938" s="126" t="s">
        <v>13381</v>
      </c>
      <c r="H4938" s="255">
        <v>1</v>
      </c>
      <c r="I4938" s="361">
        <v>1</v>
      </c>
      <c r="J4938" s="362" t="s">
        <v>286</v>
      </c>
      <c r="K4938" s="363"/>
      <c r="L4938" s="129"/>
      <c r="M4938" s="129"/>
      <c r="N4938" s="129"/>
      <c r="O4938" s="129"/>
      <c r="P4938" s="364"/>
      <c r="Q4938" s="364"/>
      <c r="R4938" s="129"/>
      <c r="S4938" s="129"/>
      <c r="T4938" s="129"/>
      <c r="W4938" s="129" t="s">
        <v>4876</v>
      </c>
      <c r="X4938" s="337" t="b">
        <f t="shared" si="114"/>
        <v>0</v>
      </c>
    </row>
    <row r="4939" spans="1:24" s="337" customFormat="1" ht="12" customHeight="1" outlineLevel="1">
      <c r="A4939" s="335"/>
      <c r="B4939" s="118" t="s">
        <v>12</v>
      </c>
      <c r="C4939" s="334" t="s">
        <v>13394</v>
      </c>
      <c r="D4939" s="124" t="s">
        <v>9811</v>
      </c>
      <c r="E4939" s="125"/>
      <c r="F4939" s="118" t="s">
        <v>1018</v>
      </c>
      <c r="G4939" s="126" t="s">
        <v>13381</v>
      </c>
      <c r="H4939" s="255">
        <v>1</v>
      </c>
      <c r="I4939" s="361">
        <v>1</v>
      </c>
      <c r="J4939" s="362" t="s">
        <v>286</v>
      </c>
      <c r="K4939" s="363"/>
      <c r="L4939" s="129"/>
      <c r="M4939" s="129"/>
      <c r="N4939" s="129"/>
      <c r="O4939" s="129"/>
      <c r="P4939" s="364"/>
      <c r="Q4939" s="364"/>
      <c r="R4939" s="129"/>
      <c r="S4939" s="129"/>
      <c r="T4939" s="129"/>
      <c r="W4939" s="129" t="s">
        <v>4876</v>
      </c>
      <c r="X4939" s="337" t="b">
        <f t="shared" si="114"/>
        <v>0</v>
      </c>
    </row>
    <row r="4940" spans="1:24" s="337" customFormat="1" ht="12" customHeight="1" outlineLevel="1">
      <c r="A4940" s="335"/>
      <c r="B4940" s="118" t="s">
        <v>12</v>
      </c>
      <c r="C4940" s="334" t="s">
        <v>13395</v>
      </c>
      <c r="D4940" s="124" t="s">
        <v>9813</v>
      </c>
      <c r="E4940" s="125"/>
      <c r="F4940" s="118" t="s">
        <v>1018</v>
      </c>
      <c r="G4940" s="126" t="s">
        <v>13381</v>
      </c>
      <c r="H4940" s="255">
        <v>1</v>
      </c>
      <c r="I4940" s="361">
        <v>1</v>
      </c>
      <c r="J4940" s="362" t="s">
        <v>286</v>
      </c>
      <c r="K4940" s="363"/>
      <c r="L4940" s="129"/>
      <c r="M4940" s="129"/>
      <c r="N4940" s="129"/>
      <c r="O4940" s="129"/>
      <c r="P4940" s="364"/>
      <c r="Q4940" s="364"/>
      <c r="R4940" s="129"/>
      <c r="S4940" s="129"/>
      <c r="T4940" s="129"/>
      <c r="W4940" s="129" t="s">
        <v>4876</v>
      </c>
      <c r="X4940" s="337" t="b">
        <f t="shared" si="114"/>
        <v>0</v>
      </c>
    </row>
    <row r="4941" spans="1:24" s="337" customFormat="1" ht="12" customHeight="1" outlineLevel="1">
      <c r="A4941" s="335"/>
      <c r="B4941" s="118" t="s">
        <v>12</v>
      </c>
      <c r="C4941" s="334" t="s">
        <v>13396</v>
      </c>
      <c r="D4941" s="124" t="s">
        <v>9815</v>
      </c>
      <c r="E4941" s="125"/>
      <c r="F4941" s="118" t="s">
        <v>1018</v>
      </c>
      <c r="G4941" s="126" t="s">
        <v>13381</v>
      </c>
      <c r="H4941" s="255">
        <v>1</v>
      </c>
      <c r="I4941" s="361">
        <v>1</v>
      </c>
      <c r="J4941" s="362" t="s">
        <v>286</v>
      </c>
      <c r="K4941" s="363"/>
      <c r="L4941" s="129"/>
      <c r="M4941" s="129"/>
      <c r="N4941" s="129"/>
      <c r="O4941" s="129"/>
      <c r="P4941" s="364"/>
      <c r="Q4941" s="364"/>
      <c r="R4941" s="129"/>
      <c r="S4941" s="129"/>
      <c r="T4941" s="129"/>
      <c r="W4941" s="129" t="s">
        <v>4876</v>
      </c>
      <c r="X4941" s="337" t="b">
        <f t="shared" si="114"/>
        <v>0</v>
      </c>
    </row>
    <row r="4942" spans="1:24" s="337" customFormat="1" ht="12" customHeight="1" outlineLevel="1">
      <c r="A4942" s="335"/>
      <c r="B4942" s="118" t="s">
        <v>12</v>
      </c>
      <c r="C4942" s="334" t="s">
        <v>13397</v>
      </c>
      <c r="D4942" s="124" t="s">
        <v>9819</v>
      </c>
      <c r="E4942" s="125"/>
      <c r="F4942" s="118" t="s">
        <v>1018</v>
      </c>
      <c r="G4942" s="126" t="s">
        <v>13381</v>
      </c>
      <c r="H4942" s="255">
        <v>1</v>
      </c>
      <c r="I4942" s="361">
        <v>1</v>
      </c>
      <c r="J4942" s="362" t="s">
        <v>286</v>
      </c>
      <c r="K4942" s="363"/>
      <c r="L4942" s="129"/>
      <c r="M4942" s="129"/>
      <c r="N4942" s="129"/>
      <c r="O4942" s="129"/>
      <c r="P4942" s="364"/>
      <c r="Q4942" s="364"/>
      <c r="R4942" s="129"/>
      <c r="S4942" s="129"/>
      <c r="T4942" s="129"/>
      <c r="W4942" s="129" t="s">
        <v>4876</v>
      </c>
      <c r="X4942" s="337" t="b">
        <f t="shared" si="114"/>
        <v>0</v>
      </c>
    </row>
    <row r="4943" spans="1:24" s="337" customFormat="1" ht="12" customHeight="1" outlineLevel="1">
      <c r="A4943" s="335"/>
      <c r="B4943" s="118" t="s">
        <v>12</v>
      </c>
      <c r="C4943" s="334" t="s">
        <v>13398</v>
      </c>
      <c r="D4943" s="124" t="s">
        <v>9821</v>
      </c>
      <c r="E4943" s="125"/>
      <c r="F4943" s="118" t="s">
        <v>1018</v>
      </c>
      <c r="G4943" s="126" t="s">
        <v>13381</v>
      </c>
      <c r="H4943" s="255">
        <v>1</v>
      </c>
      <c r="I4943" s="361">
        <v>1</v>
      </c>
      <c r="J4943" s="362" t="s">
        <v>286</v>
      </c>
      <c r="K4943" s="363"/>
      <c r="L4943" s="129"/>
      <c r="M4943" s="129"/>
      <c r="N4943" s="129"/>
      <c r="O4943" s="129"/>
      <c r="P4943" s="364"/>
      <c r="Q4943" s="364"/>
      <c r="R4943" s="129"/>
      <c r="S4943" s="129"/>
      <c r="T4943" s="129"/>
      <c r="W4943" s="129" t="s">
        <v>4876</v>
      </c>
      <c r="X4943" s="337" t="b">
        <f t="shared" si="114"/>
        <v>0</v>
      </c>
    </row>
    <row r="4944" spans="1:24" s="337" customFormat="1" ht="12" customHeight="1" outlineLevel="1">
      <c r="A4944" s="335"/>
      <c r="B4944" s="118" t="s">
        <v>12</v>
      </c>
      <c r="C4944" s="334" t="s">
        <v>13399</v>
      </c>
      <c r="D4944" s="124" t="s">
        <v>9825</v>
      </c>
      <c r="E4944" s="125"/>
      <c r="F4944" s="118" t="s">
        <v>1018</v>
      </c>
      <c r="G4944" s="126" t="s">
        <v>13381</v>
      </c>
      <c r="H4944" s="255">
        <v>1</v>
      </c>
      <c r="I4944" s="361">
        <v>1</v>
      </c>
      <c r="J4944" s="362" t="s">
        <v>286</v>
      </c>
      <c r="K4944" s="363"/>
      <c r="L4944" s="129"/>
      <c r="M4944" s="129"/>
      <c r="N4944" s="129"/>
      <c r="O4944" s="129"/>
      <c r="P4944" s="364"/>
      <c r="Q4944" s="364"/>
      <c r="R4944" s="129"/>
      <c r="S4944" s="129"/>
      <c r="T4944" s="129"/>
      <c r="W4944" s="129" t="s">
        <v>4876</v>
      </c>
      <c r="X4944" s="337" t="b">
        <f t="shared" si="114"/>
        <v>0</v>
      </c>
    </row>
    <row r="4945" spans="1:24" s="337" customFormat="1" ht="12" customHeight="1" outlineLevel="1">
      <c r="A4945" s="335"/>
      <c r="B4945" s="118" t="s">
        <v>12</v>
      </c>
      <c r="C4945" s="334" t="s">
        <v>13400</v>
      </c>
      <c r="D4945" s="124" t="s">
        <v>9827</v>
      </c>
      <c r="E4945" s="125"/>
      <c r="F4945" s="118" t="s">
        <v>1018</v>
      </c>
      <c r="G4945" s="126" t="s">
        <v>13381</v>
      </c>
      <c r="H4945" s="255">
        <v>1</v>
      </c>
      <c r="I4945" s="361">
        <v>1</v>
      </c>
      <c r="J4945" s="362" t="s">
        <v>286</v>
      </c>
      <c r="K4945" s="363"/>
      <c r="L4945" s="129"/>
      <c r="M4945" s="129"/>
      <c r="N4945" s="129"/>
      <c r="O4945" s="129"/>
      <c r="P4945" s="364"/>
      <c r="Q4945" s="364"/>
      <c r="R4945" s="129"/>
      <c r="S4945" s="129"/>
      <c r="T4945" s="129"/>
      <c r="W4945" s="129" t="s">
        <v>4876</v>
      </c>
      <c r="X4945" s="337" t="b">
        <f t="shared" si="114"/>
        <v>0</v>
      </c>
    </row>
    <row r="4946" spans="1:24" s="337" customFormat="1" ht="12" customHeight="1" outlineLevel="1">
      <c r="A4946" s="335"/>
      <c r="B4946" s="118" t="s">
        <v>12</v>
      </c>
      <c r="C4946" s="334" t="s">
        <v>13401</v>
      </c>
      <c r="D4946" s="124" t="s">
        <v>10029</v>
      </c>
      <c r="E4946" s="125"/>
      <c r="F4946" s="118" t="s">
        <v>1018</v>
      </c>
      <c r="G4946" s="126" t="s">
        <v>13381</v>
      </c>
      <c r="H4946" s="255">
        <v>1</v>
      </c>
      <c r="I4946" s="361">
        <v>1</v>
      </c>
      <c r="J4946" s="362" t="s">
        <v>286</v>
      </c>
      <c r="K4946" s="363"/>
      <c r="L4946" s="129"/>
      <c r="M4946" s="129"/>
      <c r="N4946" s="129"/>
      <c r="O4946" s="129"/>
      <c r="P4946" s="364"/>
      <c r="Q4946" s="364"/>
      <c r="R4946" s="129"/>
      <c r="S4946" s="129"/>
      <c r="T4946" s="129"/>
      <c r="W4946" s="129" t="s">
        <v>4876</v>
      </c>
      <c r="X4946" s="337" t="b">
        <f t="shared" si="114"/>
        <v>0</v>
      </c>
    </row>
    <row r="4947" spans="1:24" s="337" customFormat="1" ht="12" customHeight="1" outlineLevel="1">
      <c r="A4947" s="335"/>
      <c r="B4947" s="118" t="s">
        <v>12</v>
      </c>
      <c r="C4947" s="334" t="s">
        <v>13402</v>
      </c>
      <c r="D4947" s="124" t="s">
        <v>9841</v>
      </c>
      <c r="E4947" s="125"/>
      <c r="F4947" s="118" t="s">
        <v>1018</v>
      </c>
      <c r="G4947" s="126" t="s">
        <v>13381</v>
      </c>
      <c r="H4947" s="255">
        <v>1</v>
      </c>
      <c r="I4947" s="361">
        <v>1</v>
      </c>
      <c r="J4947" s="362" t="s">
        <v>286</v>
      </c>
      <c r="K4947" s="363"/>
      <c r="L4947" s="129"/>
      <c r="M4947" s="129"/>
      <c r="N4947" s="129"/>
      <c r="O4947" s="129"/>
      <c r="P4947" s="364"/>
      <c r="Q4947" s="364"/>
      <c r="R4947" s="129"/>
      <c r="S4947" s="129"/>
      <c r="T4947" s="129"/>
      <c r="W4947" s="129" t="s">
        <v>4876</v>
      </c>
      <c r="X4947" s="337" t="b">
        <f t="shared" si="114"/>
        <v>0</v>
      </c>
    </row>
    <row r="4948" spans="1:24" s="337" customFormat="1" ht="12" customHeight="1" outlineLevel="1">
      <c r="A4948" s="335"/>
      <c r="B4948" s="118" t="s">
        <v>12</v>
      </c>
      <c r="C4948" s="334" t="s">
        <v>13403</v>
      </c>
      <c r="D4948" s="124" t="s">
        <v>9843</v>
      </c>
      <c r="E4948" s="125"/>
      <c r="F4948" s="118" t="s">
        <v>1018</v>
      </c>
      <c r="G4948" s="126" t="s">
        <v>13381</v>
      </c>
      <c r="H4948" s="255">
        <v>1</v>
      </c>
      <c r="I4948" s="361">
        <v>1</v>
      </c>
      <c r="J4948" s="362" t="s">
        <v>286</v>
      </c>
      <c r="K4948" s="363"/>
      <c r="L4948" s="129"/>
      <c r="M4948" s="129"/>
      <c r="N4948" s="129"/>
      <c r="O4948" s="129"/>
      <c r="P4948" s="364"/>
      <c r="Q4948" s="364"/>
      <c r="R4948" s="129"/>
      <c r="S4948" s="129"/>
      <c r="T4948" s="129"/>
      <c r="W4948" s="129" t="s">
        <v>4876</v>
      </c>
      <c r="X4948" s="337" t="b">
        <f t="shared" si="114"/>
        <v>0</v>
      </c>
    </row>
    <row r="4949" spans="1:24" s="337" customFormat="1" ht="12" customHeight="1" outlineLevel="1">
      <c r="A4949" s="335"/>
      <c r="B4949" s="118" t="s">
        <v>12</v>
      </c>
      <c r="C4949" s="334" t="s">
        <v>13404</v>
      </c>
      <c r="D4949" s="124" t="s">
        <v>10033</v>
      </c>
      <c r="E4949" s="125"/>
      <c r="F4949" s="118" t="s">
        <v>1018</v>
      </c>
      <c r="G4949" s="126" t="s">
        <v>13381</v>
      </c>
      <c r="H4949" s="255">
        <v>1</v>
      </c>
      <c r="I4949" s="361">
        <v>1</v>
      </c>
      <c r="J4949" s="362" t="s">
        <v>286</v>
      </c>
      <c r="K4949" s="363"/>
      <c r="L4949" s="129"/>
      <c r="M4949" s="129"/>
      <c r="N4949" s="129"/>
      <c r="O4949" s="129"/>
      <c r="P4949" s="364"/>
      <c r="Q4949" s="364"/>
      <c r="R4949" s="129"/>
      <c r="S4949" s="129"/>
      <c r="T4949" s="129"/>
      <c r="W4949" s="129" t="s">
        <v>4876</v>
      </c>
      <c r="X4949" s="337" t="b">
        <f t="shared" si="114"/>
        <v>0</v>
      </c>
    </row>
    <row r="4950" spans="1:24" s="337" customFormat="1" ht="12" customHeight="1" outlineLevel="1">
      <c r="A4950" s="335"/>
      <c r="B4950" s="118" t="s">
        <v>12</v>
      </c>
      <c r="C4950" s="334" t="s">
        <v>13405</v>
      </c>
      <c r="D4950" s="124" t="s">
        <v>9847</v>
      </c>
      <c r="E4950" s="125"/>
      <c r="F4950" s="118" t="s">
        <v>1018</v>
      </c>
      <c r="G4950" s="126" t="s">
        <v>13381</v>
      </c>
      <c r="H4950" s="255">
        <v>1</v>
      </c>
      <c r="I4950" s="361">
        <v>1</v>
      </c>
      <c r="J4950" s="362" t="s">
        <v>286</v>
      </c>
      <c r="K4950" s="363"/>
      <c r="L4950" s="129"/>
      <c r="M4950" s="129"/>
      <c r="N4950" s="129"/>
      <c r="O4950" s="129"/>
      <c r="P4950" s="364"/>
      <c r="Q4950" s="364"/>
      <c r="R4950" s="129"/>
      <c r="S4950" s="129"/>
      <c r="T4950" s="129"/>
      <c r="W4950" s="129" t="s">
        <v>4876</v>
      </c>
      <c r="X4950" s="337" t="b">
        <f t="shared" si="114"/>
        <v>0</v>
      </c>
    </row>
    <row r="4951" spans="1:24" s="337" customFormat="1" ht="12" customHeight="1" outlineLevel="1">
      <c r="A4951" s="335"/>
      <c r="B4951" s="118" t="s">
        <v>12</v>
      </c>
      <c r="C4951" s="334" t="s">
        <v>13406</v>
      </c>
      <c r="D4951" s="124" t="s">
        <v>9849</v>
      </c>
      <c r="E4951" s="125"/>
      <c r="F4951" s="118" t="s">
        <v>1018</v>
      </c>
      <c r="G4951" s="126" t="s">
        <v>13381</v>
      </c>
      <c r="H4951" s="255">
        <v>1</v>
      </c>
      <c r="I4951" s="361">
        <v>1</v>
      </c>
      <c r="J4951" s="362" t="s">
        <v>286</v>
      </c>
      <c r="K4951" s="363"/>
      <c r="L4951" s="129"/>
      <c r="M4951" s="129"/>
      <c r="N4951" s="129"/>
      <c r="O4951" s="129"/>
      <c r="P4951" s="364"/>
      <c r="Q4951" s="364"/>
      <c r="R4951" s="129"/>
      <c r="S4951" s="129"/>
      <c r="T4951" s="129"/>
      <c r="W4951" s="129" t="s">
        <v>4876</v>
      </c>
      <c r="X4951" s="337" t="b">
        <f t="shared" si="114"/>
        <v>0</v>
      </c>
    </row>
    <row r="4952" spans="1:24" s="337" customFormat="1" ht="12" customHeight="1" outlineLevel="1">
      <c r="A4952" s="335"/>
      <c r="B4952" s="118" t="s">
        <v>12</v>
      </c>
      <c r="C4952" s="334" t="s">
        <v>13407</v>
      </c>
      <c r="D4952" s="124" t="s">
        <v>10037</v>
      </c>
      <c r="E4952" s="125"/>
      <c r="F4952" s="118" t="s">
        <v>1018</v>
      </c>
      <c r="G4952" s="126" t="s">
        <v>13381</v>
      </c>
      <c r="H4952" s="255">
        <v>1</v>
      </c>
      <c r="I4952" s="361">
        <v>1</v>
      </c>
      <c r="J4952" s="362" t="s">
        <v>286</v>
      </c>
      <c r="K4952" s="363"/>
      <c r="L4952" s="129"/>
      <c r="M4952" s="129"/>
      <c r="N4952" s="129"/>
      <c r="O4952" s="129"/>
      <c r="P4952" s="364"/>
      <c r="Q4952" s="364"/>
      <c r="R4952" s="129"/>
      <c r="S4952" s="129"/>
      <c r="T4952" s="129"/>
      <c r="W4952" s="129" t="s">
        <v>4876</v>
      </c>
      <c r="X4952" s="337" t="b">
        <f t="shared" si="114"/>
        <v>0</v>
      </c>
    </row>
    <row r="4953" spans="1:24" s="337" customFormat="1" ht="12" customHeight="1" outlineLevel="1">
      <c r="A4953" s="335"/>
      <c r="B4953" s="118" t="s">
        <v>12</v>
      </c>
      <c r="C4953" s="334" t="s">
        <v>13408</v>
      </c>
      <c r="D4953" s="124" t="s">
        <v>9853</v>
      </c>
      <c r="E4953" s="125"/>
      <c r="F4953" s="118" t="s">
        <v>1018</v>
      </c>
      <c r="G4953" s="126" t="s">
        <v>13381</v>
      </c>
      <c r="H4953" s="255">
        <v>1</v>
      </c>
      <c r="I4953" s="361">
        <v>1</v>
      </c>
      <c r="J4953" s="362" t="s">
        <v>286</v>
      </c>
      <c r="K4953" s="363"/>
      <c r="L4953" s="129"/>
      <c r="M4953" s="129"/>
      <c r="N4953" s="129"/>
      <c r="O4953" s="129"/>
      <c r="P4953" s="364"/>
      <c r="Q4953" s="364"/>
      <c r="R4953" s="129"/>
      <c r="S4953" s="129"/>
      <c r="T4953" s="129"/>
      <c r="W4953" s="129" t="s">
        <v>4876</v>
      </c>
      <c r="X4953" s="337" t="b">
        <f t="shared" si="114"/>
        <v>0</v>
      </c>
    </row>
    <row r="4954" spans="1:24" s="337" customFormat="1" ht="12" customHeight="1" outlineLevel="1">
      <c r="A4954" s="335"/>
      <c r="B4954" s="118" t="s">
        <v>12</v>
      </c>
      <c r="C4954" s="334" t="s">
        <v>13409</v>
      </c>
      <c r="D4954" s="124" t="s">
        <v>9855</v>
      </c>
      <c r="E4954" s="125"/>
      <c r="F4954" s="118" t="s">
        <v>1018</v>
      </c>
      <c r="G4954" s="126" t="s">
        <v>13381</v>
      </c>
      <c r="H4954" s="255">
        <v>1</v>
      </c>
      <c r="I4954" s="361">
        <v>1</v>
      </c>
      <c r="J4954" s="362" t="s">
        <v>286</v>
      </c>
      <c r="K4954" s="363"/>
      <c r="L4954" s="129"/>
      <c r="M4954" s="129"/>
      <c r="N4954" s="129"/>
      <c r="O4954" s="129"/>
      <c r="P4954" s="364"/>
      <c r="Q4954" s="364"/>
      <c r="R4954" s="129"/>
      <c r="S4954" s="129"/>
      <c r="T4954" s="129"/>
      <c r="W4954" s="129" t="s">
        <v>4876</v>
      </c>
      <c r="X4954" s="337" t="b">
        <f t="shared" si="114"/>
        <v>0</v>
      </c>
    </row>
    <row r="4955" spans="1:24" s="337" customFormat="1" ht="12" customHeight="1" outlineLevel="1">
      <c r="A4955" s="335"/>
      <c r="B4955" s="118" t="s">
        <v>12</v>
      </c>
      <c r="C4955" s="334" t="s">
        <v>13410</v>
      </c>
      <c r="D4955" s="124" t="s">
        <v>9857</v>
      </c>
      <c r="E4955" s="125"/>
      <c r="F4955" s="118" t="s">
        <v>1018</v>
      </c>
      <c r="G4955" s="126" t="s">
        <v>13381</v>
      </c>
      <c r="H4955" s="255">
        <v>1</v>
      </c>
      <c r="I4955" s="361">
        <v>1</v>
      </c>
      <c r="J4955" s="362" t="s">
        <v>286</v>
      </c>
      <c r="K4955" s="363"/>
      <c r="L4955" s="129"/>
      <c r="M4955" s="129"/>
      <c r="N4955" s="129"/>
      <c r="O4955" s="129"/>
      <c r="P4955" s="364"/>
      <c r="Q4955" s="364"/>
      <c r="R4955" s="129"/>
      <c r="S4955" s="129"/>
      <c r="T4955" s="129"/>
      <c r="W4955" s="129" t="s">
        <v>4876</v>
      </c>
      <c r="X4955" s="337" t="b">
        <f t="shared" si="114"/>
        <v>0</v>
      </c>
    </row>
    <row r="4956" spans="1:24" s="337" customFormat="1" ht="12" customHeight="1" outlineLevel="1">
      <c r="A4956" s="335"/>
      <c r="B4956" s="118" t="s">
        <v>12</v>
      </c>
      <c r="C4956" s="334" t="s">
        <v>13411</v>
      </c>
      <c r="D4956" s="124" t="s">
        <v>9859</v>
      </c>
      <c r="E4956" s="125"/>
      <c r="F4956" s="118" t="s">
        <v>1018</v>
      </c>
      <c r="G4956" s="126" t="s">
        <v>13381</v>
      </c>
      <c r="H4956" s="255">
        <v>1</v>
      </c>
      <c r="I4956" s="361">
        <v>1</v>
      </c>
      <c r="J4956" s="362" t="s">
        <v>286</v>
      </c>
      <c r="K4956" s="363"/>
      <c r="L4956" s="129"/>
      <c r="M4956" s="129"/>
      <c r="N4956" s="129"/>
      <c r="O4956" s="129"/>
      <c r="P4956" s="364"/>
      <c r="Q4956" s="364"/>
      <c r="R4956" s="129"/>
      <c r="S4956" s="129"/>
      <c r="T4956" s="129"/>
      <c r="W4956" s="129" t="s">
        <v>4876</v>
      </c>
      <c r="X4956" s="337" t="b">
        <f t="shared" si="114"/>
        <v>0</v>
      </c>
    </row>
    <row r="4957" spans="1:24" s="337" customFormat="1" ht="12" customHeight="1" outlineLevel="1">
      <c r="A4957" s="335"/>
      <c r="B4957" s="118" t="s">
        <v>12</v>
      </c>
      <c r="C4957" s="334" t="s">
        <v>13412</v>
      </c>
      <c r="D4957" s="124" t="s">
        <v>10043</v>
      </c>
      <c r="E4957" s="125"/>
      <c r="F4957" s="118" t="s">
        <v>1018</v>
      </c>
      <c r="G4957" s="126" t="s">
        <v>13381</v>
      </c>
      <c r="H4957" s="255">
        <v>1</v>
      </c>
      <c r="I4957" s="361">
        <v>1</v>
      </c>
      <c r="J4957" s="362" t="s">
        <v>286</v>
      </c>
      <c r="K4957" s="363"/>
      <c r="L4957" s="129"/>
      <c r="M4957" s="129"/>
      <c r="N4957" s="129"/>
      <c r="O4957" s="129"/>
      <c r="P4957" s="364"/>
      <c r="Q4957" s="364"/>
      <c r="R4957" s="129"/>
      <c r="S4957" s="129"/>
      <c r="T4957" s="129"/>
      <c r="W4957" s="129" t="s">
        <v>4876</v>
      </c>
      <c r="X4957" s="337" t="b">
        <f t="shared" si="114"/>
        <v>0</v>
      </c>
    </row>
    <row r="4958" spans="1:24" s="337" customFormat="1" ht="12" customHeight="1" outlineLevel="1">
      <c r="A4958" s="335"/>
      <c r="B4958" s="118" t="s">
        <v>12</v>
      </c>
      <c r="C4958" s="334" t="s">
        <v>13413</v>
      </c>
      <c r="D4958" s="124" t="s">
        <v>9861</v>
      </c>
      <c r="E4958" s="125"/>
      <c r="F4958" s="118" t="s">
        <v>1018</v>
      </c>
      <c r="G4958" s="126" t="s">
        <v>13381</v>
      </c>
      <c r="H4958" s="255">
        <v>1</v>
      </c>
      <c r="I4958" s="361">
        <v>1</v>
      </c>
      <c r="J4958" s="362" t="s">
        <v>286</v>
      </c>
      <c r="K4958" s="363"/>
      <c r="L4958" s="129"/>
      <c r="M4958" s="129"/>
      <c r="N4958" s="129"/>
      <c r="O4958" s="129"/>
      <c r="P4958" s="364"/>
      <c r="Q4958" s="364"/>
      <c r="R4958" s="129"/>
      <c r="S4958" s="129"/>
      <c r="T4958" s="129"/>
      <c r="W4958" s="129" t="s">
        <v>4876</v>
      </c>
      <c r="X4958" s="337" t="b">
        <f t="shared" si="114"/>
        <v>0</v>
      </c>
    </row>
    <row r="4959" spans="1:24" s="337" customFormat="1" ht="12" customHeight="1" outlineLevel="1">
      <c r="A4959" s="335"/>
      <c r="B4959" s="118" t="s">
        <v>12</v>
      </c>
      <c r="C4959" s="334" t="s">
        <v>13414</v>
      </c>
      <c r="D4959" s="124" t="s">
        <v>9863</v>
      </c>
      <c r="E4959" s="125"/>
      <c r="F4959" s="118" t="s">
        <v>1018</v>
      </c>
      <c r="G4959" s="126" t="s">
        <v>13381</v>
      </c>
      <c r="H4959" s="255">
        <v>1</v>
      </c>
      <c r="I4959" s="361">
        <v>1</v>
      </c>
      <c r="J4959" s="362" t="s">
        <v>286</v>
      </c>
      <c r="K4959" s="363"/>
      <c r="L4959" s="129"/>
      <c r="M4959" s="129"/>
      <c r="N4959" s="129"/>
      <c r="O4959" s="129"/>
      <c r="P4959" s="364"/>
      <c r="Q4959" s="364"/>
      <c r="R4959" s="129"/>
      <c r="S4959" s="129"/>
      <c r="T4959" s="129"/>
      <c r="W4959" s="129" t="s">
        <v>4876</v>
      </c>
      <c r="X4959" s="337" t="b">
        <f t="shared" si="114"/>
        <v>0</v>
      </c>
    </row>
    <row r="4960" spans="1:24" s="337" customFormat="1" ht="12" customHeight="1" outlineLevel="1">
      <c r="A4960" s="335"/>
      <c r="B4960" s="118" t="s">
        <v>12</v>
      </c>
      <c r="C4960" s="334" t="s">
        <v>13415</v>
      </c>
      <c r="D4960" s="124" t="s">
        <v>9865</v>
      </c>
      <c r="E4960" s="125"/>
      <c r="F4960" s="118" t="s">
        <v>1018</v>
      </c>
      <c r="G4960" s="126" t="s">
        <v>13381</v>
      </c>
      <c r="H4960" s="255">
        <v>1</v>
      </c>
      <c r="I4960" s="361">
        <v>1</v>
      </c>
      <c r="J4960" s="362" t="s">
        <v>286</v>
      </c>
      <c r="K4960" s="363"/>
      <c r="L4960" s="129"/>
      <c r="M4960" s="129"/>
      <c r="N4960" s="129"/>
      <c r="O4960" s="129"/>
      <c r="P4960" s="364"/>
      <c r="Q4960" s="364"/>
      <c r="R4960" s="129"/>
      <c r="S4960" s="129"/>
      <c r="T4960" s="129"/>
      <c r="W4960" s="129" t="s">
        <v>4876</v>
      </c>
      <c r="X4960" s="337" t="b">
        <f t="shared" si="114"/>
        <v>0</v>
      </c>
    </row>
    <row r="4961" spans="1:24" s="337" customFormat="1" ht="12" customHeight="1" outlineLevel="1">
      <c r="A4961" s="335"/>
      <c r="B4961" s="118" t="s">
        <v>12</v>
      </c>
      <c r="C4961" s="334" t="s">
        <v>13416</v>
      </c>
      <c r="D4961" s="124" t="s">
        <v>13417</v>
      </c>
      <c r="E4961" s="125"/>
      <c r="F4961" s="118" t="s">
        <v>1018</v>
      </c>
      <c r="G4961" s="126" t="s">
        <v>13381</v>
      </c>
      <c r="H4961" s="255">
        <v>1</v>
      </c>
      <c r="I4961" s="361">
        <v>1</v>
      </c>
      <c r="J4961" s="362" t="s">
        <v>286</v>
      </c>
      <c r="K4961" s="363"/>
      <c r="L4961" s="129"/>
      <c r="M4961" s="129"/>
      <c r="N4961" s="129"/>
      <c r="O4961" s="129"/>
      <c r="P4961" s="364"/>
      <c r="Q4961" s="364"/>
      <c r="R4961" s="129"/>
      <c r="S4961" s="129"/>
      <c r="T4961" s="129"/>
      <c r="W4961" s="129" t="s">
        <v>4876</v>
      </c>
      <c r="X4961" s="337" t="b">
        <f t="shared" si="114"/>
        <v>0</v>
      </c>
    </row>
    <row r="4962" spans="1:24" s="337" customFormat="1" ht="12" customHeight="1" outlineLevel="1">
      <c r="A4962" s="335"/>
      <c r="B4962" s="118" t="s">
        <v>12</v>
      </c>
      <c r="C4962" s="334" t="s">
        <v>13418</v>
      </c>
      <c r="D4962" s="124" t="s">
        <v>13419</v>
      </c>
      <c r="E4962" s="125"/>
      <c r="F4962" s="118" t="s">
        <v>1018</v>
      </c>
      <c r="G4962" s="126" t="s">
        <v>13381</v>
      </c>
      <c r="H4962" s="255">
        <v>1</v>
      </c>
      <c r="I4962" s="361">
        <v>1</v>
      </c>
      <c r="J4962" s="362" t="s">
        <v>286</v>
      </c>
      <c r="K4962" s="363"/>
      <c r="L4962" s="129"/>
      <c r="M4962" s="129"/>
      <c r="N4962" s="129"/>
      <c r="O4962" s="129"/>
      <c r="P4962" s="364"/>
      <c r="Q4962" s="364"/>
      <c r="R4962" s="129"/>
      <c r="S4962" s="129"/>
      <c r="T4962" s="129"/>
      <c r="W4962" s="129" t="s">
        <v>4876</v>
      </c>
      <c r="X4962" s="337" t="b">
        <f t="shared" si="114"/>
        <v>0</v>
      </c>
    </row>
    <row r="4963" spans="1:24" s="337" customFormat="1" ht="12" customHeight="1" outlineLevel="1">
      <c r="A4963" s="335"/>
      <c r="B4963" s="118" t="s">
        <v>12</v>
      </c>
      <c r="C4963" s="334" t="s">
        <v>13420</v>
      </c>
      <c r="D4963" s="124" t="s">
        <v>13421</v>
      </c>
      <c r="E4963" s="125"/>
      <c r="F4963" s="118" t="s">
        <v>1018</v>
      </c>
      <c r="G4963" s="126" t="s">
        <v>13381</v>
      </c>
      <c r="H4963" s="255">
        <v>1</v>
      </c>
      <c r="I4963" s="361">
        <v>1</v>
      </c>
      <c r="J4963" s="362" t="s">
        <v>310</v>
      </c>
      <c r="K4963" s="363"/>
      <c r="L4963" s="129"/>
      <c r="M4963" s="129"/>
      <c r="N4963" s="129"/>
      <c r="O4963" s="129"/>
      <c r="P4963" s="364"/>
      <c r="Q4963" s="364"/>
      <c r="R4963" s="129"/>
      <c r="S4963" s="129"/>
      <c r="T4963" s="129"/>
      <c r="W4963" s="129" t="s">
        <v>4876</v>
      </c>
      <c r="X4963" s="337" t="b">
        <f t="shared" si="114"/>
        <v>0</v>
      </c>
    </row>
    <row r="4964" spans="1:24" s="337" customFormat="1" ht="12" customHeight="1" outlineLevel="1">
      <c r="A4964" s="335"/>
      <c r="B4964" s="118" t="s">
        <v>12</v>
      </c>
      <c r="C4964" s="334" t="s">
        <v>13422</v>
      </c>
      <c r="D4964" s="124" t="s">
        <v>13423</v>
      </c>
      <c r="E4964" s="125"/>
      <c r="F4964" s="118" t="s">
        <v>1018</v>
      </c>
      <c r="G4964" s="126" t="s">
        <v>13381</v>
      </c>
      <c r="H4964" s="255">
        <v>1</v>
      </c>
      <c r="I4964" s="361">
        <v>1</v>
      </c>
      <c r="J4964" s="362" t="s">
        <v>286</v>
      </c>
      <c r="K4964" s="363"/>
      <c r="L4964" s="129"/>
      <c r="M4964" s="129"/>
      <c r="N4964" s="129"/>
      <c r="O4964" s="129"/>
      <c r="P4964" s="364"/>
      <c r="Q4964" s="364"/>
      <c r="R4964" s="129"/>
      <c r="S4964" s="129"/>
      <c r="T4964" s="129"/>
      <c r="W4964" s="129" t="s">
        <v>4876</v>
      </c>
      <c r="X4964" s="337" t="b">
        <f t="shared" si="114"/>
        <v>0</v>
      </c>
    </row>
    <row r="4965" spans="1:24" s="337" customFormat="1" ht="12" customHeight="1" outlineLevel="1">
      <c r="A4965" s="335"/>
      <c r="B4965" s="118" t="s">
        <v>12</v>
      </c>
      <c r="C4965" s="334" t="s">
        <v>13424</v>
      </c>
      <c r="D4965" s="124" t="s">
        <v>9876</v>
      </c>
      <c r="E4965" s="125"/>
      <c r="F4965" s="118" t="s">
        <v>1018</v>
      </c>
      <c r="G4965" s="126" t="s">
        <v>13381</v>
      </c>
      <c r="H4965" s="255">
        <v>1</v>
      </c>
      <c r="I4965" s="361">
        <v>1</v>
      </c>
      <c r="J4965" s="362" t="s">
        <v>286</v>
      </c>
      <c r="K4965" s="363"/>
      <c r="L4965" s="129"/>
      <c r="M4965" s="129"/>
      <c r="N4965" s="129"/>
      <c r="O4965" s="129"/>
      <c r="P4965" s="364"/>
      <c r="Q4965" s="364"/>
      <c r="R4965" s="129"/>
      <c r="S4965" s="129"/>
      <c r="T4965" s="129"/>
      <c r="W4965" s="129" t="s">
        <v>286</v>
      </c>
      <c r="X4965" s="337" t="b">
        <f t="shared" si="114"/>
        <v>1</v>
      </c>
    </row>
    <row r="4966" spans="1:24" s="337" customFormat="1" ht="12" customHeight="1" outlineLevel="1">
      <c r="A4966" s="335"/>
      <c r="B4966" s="118" t="s">
        <v>12</v>
      </c>
      <c r="C4966" s="334" t="s">
        <v>13425</v>
      </c>
      <c r="D4966" s="124" t="s">
        <v>9878</v>
      </c>
      <c r="E4966" s="125"/>
      <c r="F4966" s="118" t="s">
        <v>1018</v>
      </c>
      <c r="G4966" s="126" t="s">
        <v>13381</v>
      </c>
      <c r="H4966" s="255">
        <v>1</v>
      </c>
      <c r="I4966" s="361">
        <v>1</v>
      </c>
      <c r="J4966" s="362" t="s">
        <v>325</v>
      </c>
      <c r="K4966" s="363"/>
      <c r="L4966" s="129"/>
      <c r="M4966" s="129"/>
      <c r="N4966" s="129"/>
      <c r="O4966" s="129"/>
      <c r="P4966" s="364"/>
      <c r="Q4966" s="364"/>
      <c r="R4966" s="129"/>
      <c r="S4966" s="129"/>
      <c r="T4966" s="129"/>
      <c r="W4966" s="129" t="s">
        <v>4876</v>
      </c>
      <c r="X4966" s="337" t="b">
        <f t="shared" si="114"/>
        <v>0</v>
      </c>
    </row>
    <row r="4967" spans="1:24" s="337" customFormat="1" ht="12" customHeight="1" outlineLevel="1">
      <c r="A4967" s="335"/>
      <c r="B4967" s="118" t="s">
        <v>12</v>
      </c>
      <c r="C4967" s="334" t="s">
        <v>13426</v>
      </c>
      <c r="D4967" s="124" t="s">
        <v>9880</v>
      </c>
      <c r="E4967" s="125"/>
      <c r="F4967" s="118" t="s">
        <v>1018</v>
      </c>
      <c r="G4967" s="126" t="s">
        <v>13381</v>
      </c>
      <c r="H4967" s="255">
        <v>1</v>
      </c>
      <c r="I4967" s="361">
        <v>1</v>
      </c>
      <c r="J4967" s="362" t="s">
        <v>310</v>
      </c>
      <c r="K4967" s="363"/>
      <c r="L4967" s="129"/>
      <c r="M4967" s="129"/>
      <c r="N4967" s="129"/>
      <c r="O4967" s="129"/>
      <c r="P4967" s="364"/>
      <c r="Q4967" s="364"/>
      <c r="R4967" s="129"/>
      <c r="S4967" s="129"/>
      <c r="T4967" s="129"/>
      <c r="W4967" s="129" t="s">
        <v>4876</v>
      </c>
      <c r="X4967" s="337" t="b">
        <f t="shared" si="114"/>
        <v>0</v>
      </c>
    </row>
    <row r="4968" spans="1:24" s="337" customFormat="1" ht="12" customHeight="1" outlineLevel="1">
      <c r="A4968" s="335"/>
      <c r="B4968" s="118" t="s">
        <v>12</v>
      </c>
      <c r="C4968" s="334" t="s">
        <v>13427</v>
      </c>
      <c r="D4968" s="124" t="s">
        <v>9882</v>
      </c>
      <c r="E4968" s="125"/>
      <c r="F4968" s="118" t="s">
        <v>1018</v>
      </c>
      <c r="G4968" s="126" t="s">
        <v>13381</v>
      </c>
      <c r="H4968" s="255">
        <v>1</v>
      </c>
      <c r="I4968" s="361">
        <v>1</v>
      </c>
      <c r="J4968" s="362" t="s">
        <v>286</v>
      </c>
      <c r="K4968" s="363"/>
      <c r="L4968" s="129"/>
      <c r="M4968" s="129"/>
      <c r="N4968" s="129"/>
      <c r="O4968" s="129"/>
      <c r="P4968" s="364"/>
      <c r="Q4968" s="364"/>
      <c r="R4968" s="129"/>
      <c r="S4968" s="129"/>
      <c r="T4968" s="129"/>
      <c r="W4968" s="129" t="s">
        <v>4876</v>
      </c>
      <c r="X4968" s="337" t="b">
        <f t="shared" si="114"/>
        <v>0</v>
      </c>
    </row>
    <row r="4969" spans="1:24" s="337" customFormat="1" ht="12" customHeight="1" outlineLevel="1">
      <c r="A4969" s="335"/>
      <c r="B4969" s="118" t="s">
        <v>12</v>
      </c>
      <c r="C4969" s="334" t="s">
        <v>13428</v>
      </c>
      <c r="D4969" s="124" t="s">
        <v>9884</v>
      </c>
      <c r="E4969" s="125"/>
      <c r="F4969" s="118" t="s">
        <v>1018</v>
      </c>
      <c r="G4969" s="126" t="s">
        <v>13381</v>
      </c>
      <c r="H4969" s="255">
        <v>1</v>
      </c>
      <c r="I4969" s="361">
        <v>1</v>
      </c>
      <c r="J4969" s="362" t="s">
        <v>307</v>
      </c>
      <c r="K4969" s="363"/>
      <c r="L4969" s="129"/>
      <c r="M4969" s="129"/>
      <c r="N4969" s="129"/>
      <c r="O4969" s="129"/>
      <c r="P4969" s="364"/>
      <c r="Q4969" s="364"/>
      <c r="R4969" s="129"/>
      <c r="S4969" s="129"/>
      <c r="T4969" s="129"/>
      <c r="W4969" s="129" t="s">
        <v>4876</v>
      </c>
      <c r="X4969" s="337" t="b">
        <f t="shared" si="114"/>
        <v>0</v>
      </c>
    </row>
    <row r="4970" spans="1:24" s="337" customFormat="1" ht="12" customHeight="1" outlineLevel="1">
      <c r="A4970" s="335"/>
      <c r="B4970" s="118" t="s">
        <v>12</v>
      </c>
      <c r="C4970" s="334" t="s">
        <v>13429</v>
      </c>
      <c r="D4970" s="124" t="s">
        <v>9886</v>
      </c>
      <c r="E4970" s="125"/>
      <c r="F4970" s="118" t="s">
        <v>1018</v>
      </c>
      <c r="G4970" s="126" t="s">
        <v>13381</v>
      </c>
      <c r="H4970" s="255">
        <v>1</v>
      </c>
      <c r="I4970" s="361">
        <v>1</v>
      </c>
      <c r="J4970" s="362" t="s">
        <v>325</v>
      </c>
      <c r="K4970" s="363"/>
      <c r="L4970" s="129"/>
      <c r="M4970" s="129"/>
      <c r="N4970" s="129"/>
      <c r="O4970" s="129"/>
      <c r="P4970" s="364"/>
      <c r="Q4970" s="364"/>
      <c r="R4970" s="129"/>
      <c r="S4970" s="129"/>
      <c r="T4970" s="129"/>
      <c r="W4970" s="129" t="s">
        <v>4876</v>
      </c>
      <c r="X4970" s="337" t="b">
        <f t="shared" si="114"/>
        <v>0</v>
      </c>
    </row>
    <row r="4971" spans="1:24" s="337" customFormat="1" ht="12" customHeight="1" outlineLevel="1">
      <c r="A4971" s="335"/>
      <c r="B4971" s="118" t="s">
        <v>12</v>
      </c>
      <c r="C4971" s="334" t="s">
        <v>13430</v>
      </c>
      <c r="D4971" s="124" t="s">
        <v>9888</v>
      </c>
      <c r="E4971" s="125"/>
      <c r="F4971" s="118" t="s">
        <v>1018</v>
      </c>
      <c r="G4971" s="126" t="s">
        <v>13381</v>
      </c>
      <c r="H4971" s="255">
        <v>1</v>
      </c>
      <c r="I4971" s="361">
        <v>1</v>
      </c>
      <c r="J4971" s="362" t="s">
        <v>286</v>
      </c>
      <c r="K4971" s="363"/>
      <c r="L4971" s="129"/>
      <c r="M4971" s="129"/>
      <c r="N4971" s="129"/>
      <c r="O4971" s="129"/>
      <c r="P4971" s="364"/>
      <c r="Q4971" s="364"/>
      <c r="R4971" s="129"/>
      <c r="S4971" s="129"/>
      <c r="T4971" s="129"/>
      <c r="W4971" s="129" t="s">
        <v>4876</v>
      </c>
      <c r="X4971" s="337" t="b">
        <f t="shared" si="114"/>
        <v>0</v>
      </c>
    </row>
    <row r="4972" spans="1:24" s="337" customFormat="1" ht="12" customHeight="1" outlineLevel="1">
      <c r="A4972" s="335"/>
      <c r="B4972" s="118" t="s">
        <v>12</v>
      </c>
      <c r="C4972" s="334" t="s">
        <v>13431</v>
      </c>
      <c r="D4972" s="124" t="s">
        <v>9890</v>
      </c>
      <c r="E4972" s="125"/>
      <c r="F4972" s="118" t="s">
        <v>1018</v>
      </c>
      <c r="G4972" s="126" t="s">
        <v>13381</v>
      </c>
      <c r="H4972" s="255">
        <v>1</v>
      </c>
      <c r="I4972" s="361">
        <v>1</v>
      </c>
      <c r="J4972" s="362" t="s">
        <v>325</v>
      </c>
      <c r="K4972" s="363"/>
      <c r="L4972" s="129"/>
      <c r="M4972" s="129"/>
      <c r="N4972" s="129"/>
      <c r="O4972" s="129"/>
      <c r="P4972" s="364"/>
      <c r="Q4972" s="364"/>
      <c r="R4972" s="129"/>
      <c r="S4972" s="129"/>
      <c r="T4972" s="129"/>
      <c r="W4972" s="129" t="s">
        <v>4876</v>
      </c>
      <c r="X4972" s="337" t="b">
        <f t="shared" si="114"/>
        <v>0</v>
      </c>
    </row>
    <row r="4973" spans="1:24" s="337" customFormat="1" ht="12" customHeight="1" outlineLevel="1">
      <c r="A4973" s="335"/>
      <c r="B4973" s="118" t="s">
        <v>12</v>
      </c>
      <c r="C4973" s="334" t="s">
        <v>13432</v>
      </c>
      <c r="D4973" s="124" t="s">
        <v>9892</v>
      </c>
      <c r="E4973" s="125"/>
      <c r="F4973" s="118" t="s">
        <v>1018</v>
      </c>
      <c r="G4973" s="126" t="s">
        <v>13381</v>
      </c>
      <c r="H4973" s="255">
        <v>1</v>
      </c>
      <c r="I4973" s="361">
        <v>1</v>
      </c>
      <c r="J4973" s="362" t="s">
        <v>325</v>
      </c>
      <c r="K4973" s="363"/>
      <c r="L4973" s="129"/>
      <c r="M4973" s="129"/>
      <c r="N4973" s="129"/>
      <c r="O4973" s="129"/>
      <c r="P4973" s="364"/>
      <c r="Q4973" s="364"/>
      <c r="R4973" s="129"/>
      <c r="S4973" s="129"/>
      <c r="T4973" s="129"/>
      <c r="W4973" s="129" t="s">
        <v>4876</v>
      </c>
      <c r="X4973" s="337" t="b">
        <f t="shared" si="114"/>
        <v>0</v>
      </c>
    </row>
    <row r="4974" spans="1:24" s="337" customFormat="1" ht="12" customHeight="1" outlineLevel="1">
      <c r="A4974" s="335"/>
      <c r="B4974" s="118" t="s">
        <v>12</v>
      </c>
      <c r="C4974" s="334" t="s">
        <v>13433</v>
      </c>
      <c r="D4974" s="124" t="s">
        <v>9894</v>
      </c>
      <c r="E4974" s="125"/>
      <c r="F4974" s="118" t="s">
        <v>1018</v>
      </c>
      <c r="G4974" s="126" t="s">
        <v>13381</v>
      </c>
      <c r="H4974" s="255">
        <v>1</v>
      </c>
      <c r="I4974" s="361">
        <v>1</v>
      </c>
      <c r="J4974" s="362" t="s">
        <v>286</v>
      </c>
      <c r="K4974" s="363"/>
      <c r="L4974" s="129"/>
      <c r="M4974" s="129"/>
      <c r="N4974" s="129"/>
      <c r="O4974" s="129"/>
      <c r="P4974" s="364"/>
      <c r="Q4974" s="364"/>
      <c r="R4974" s="129"/>
      <c r="S4974" s="129"/>
      <c r="T4974" s="129"/>
      <c r="W4974" s="129" t="s">
        <v>4876</v>
      </c>
      <c r="X4974" s="337" t="b">
        <f t="shared" si="114"/>
        <v>0</v>
      </c>
    </row>
    <row r="4975" spans="1:24" s="337" customFormat="1" ht="12" customHeight="1" outlineLevel="1">
      <c r="A4975" s="335"/>
      <c r="B4975" s="118" t="s">
        <v>12</v>
      </c>
      <c r="C4975" s="334" t="s">
        <v>13434</v>
      </c>
      <c r="D4975" s="124" t="s">
        <v>9896</v>
      </c>
      <c r="E4975" s="125"/>
      <c r="F4975" s="118" t="s">
        <v>1018</v>
      </c>
      <c r="G4975" s="126" t="s">
        <v>13381</v>
      </c>
      <c r="H4975" s="255">
        <v>1</v>
      </c>
      <c r="I4975" s="361">
        <v>1</v>
      </c>
      <c r="J4975" s="362" t="s">
        <v>325</v>
      </c>
      <c r="K4975" s="363"/>
      <c r="L4975" s="129"/>
      <c r="M4975" s="129"/>
      <c r="N4975" s="129"/>
      <c r="O4975" s="129"/>
      <c r="P4975" s="364"/>
      <c r="Q4975" s="364"/>
      <c r="R4975" s="129"/>
      <c r="S4975" s="129"/>
      <c r="T4975" s="129"/>
      <c r="W4975" s="129" t="s">
        <v>4876</v>
      </c>
      <c r="X4975" s="337" t="b">
        <f t="shared" si="114"/>
        <v>0</v>
      </c>
    </row>
    <row r="4976" spans="1:24" s="337" customFormat="1" ht="12" customHeight="1" outlineLevel="1">
      <c r="A4976" s="335"/>
      <c r="B4976" s="118" t="s">
        <v>12</v>
      </c>
      <c r="C4976" s="334" t="s">
        <v>13435</v>
      </c>
      <c r="D4976" s="124" t="s">
        <v>9898</v>
      </c>
      <c r="E4976" s="125"/>
      <c r="F4976" s="118" t="s">
        <v>1018</v>
      </c>
      <c r="G4976" s="126" t="s">
        <v>13381</v>
      </c>
      <c r="H4976" s="255">
        <v>1</v>
      </c>
      <c r="I4976" s="361">
        <v>1</v>
      </c>
      <c r="J4976" s="362" t="s">
        <v>325</v>
      </c>
      <c r="K4976" s="363"/>
      <c r="L4976" s="129"/>
      <c r="M4976" s="129"/>
      <c r="N4976" s="129"/>
      <c r="O4976" s="129"/>
      <c r="P4976" s="364"/>
      <c r="Q4976" s="364"/>
      <c r="R4976" s="129"/>
      <c r="S4976" s="129"/>
      <c r="T4976" s="129"/>
      <c r="W4976" s="129" t="s">
        <v>4876</v>
      </c>
      <c r="X4976" s="337" t="b">
        <f t="shared" si="114"/>
        <v>0</v>
      </c>
    </row>
    <row r="4977" spans="1:24" s="337" customFormat="1" ht="12" customHeight="1" outlineLevel="1">
      <c r="A4977" s="335"/>
      <c r="B4977" s="118" t="s">
        <v>12</v>
      </c>
      <c r="C4977" s="334" t="s">
        <v>13436</v>
      </c>
      <c r="D4977" s="124" t="s">
        <v>9900</v>
      </c>
      <c r="E4977" s="125"/>
      <c r="F4977" s="118" t="s">
        <v>1018</v>
      </c>
      <c r="G4977" s="126" t="s">
        <v>13381</v>
      </c>
      <c r="H4977" s="255">
        <v>1</v>
      </c>
      <c r="I4977" s="361">
        <v>1</v>
      </c>
      <c r="J4977" s="362" t="s">
        <v>286</v>
      </c>
      <c r="K4977" s="363"/>
      <c r="L4977" s="129"/>
      <c r="M4977" s="129"/>
      <c r="N4977" s="129"/>
      <c r="O4977" s="129"/>
      <c r="P4977" s="364"/>
      <c r="Q4977" s="364"/>
      <c r="R4977" s="129"/>
      <c r="S4977" s="129"/>
      <c r="T4977" s="129"/>
      <c r="W4977" s="129" t="s">
        <v>4876</v>
      </c>
      <c r="X4977" s="337" t="b">
        <f t="shared" si="114"/>
        <v>0</v>
      </c>
    </row>
    <row r="4978" spans="1:24" s="337" customFormat="1" ht="12" customHeight="1" outlineLevel="1">
      <c r="A4978" s="335"/>
      <c r="B4978" s="118" t="s">
        <v>12</v>
      </c>
      <c r="C4978" s="334" t="s">
        <v>13437</v>
      </c>
      <c r="D4978" s="124" t="s">
        <v>9902</v>
      </c>
      <c r="E4978" s="125"/>
      <c r="F4978" s="118" t="s">
        <v>1018</v>
      </c>
      <c r="G4978" s="126" t="s">
        <v>13381</v>
      </c>
      <c r="H4978" s="255">
        <v>1</v>
      </c>
      <c r="I4978" s="361">
        <v>1</v>
      </c>
      <c r="J4978" s="362" t="s">
        <v>325</v>
      </c>
      <c r="K4978" s="363"/>
      <c r="L4978" s="129"/>
      <c r="M4978" s="129"/>
      <c r="N4978" s="129"/>
      <c r="O4978" s="129"/>
      <c r="P4978" s="364"/>
      <c r="Q4978" s="364"/>
      <c r="R4978" s="129"/>
      <c r="S4978" s="129"/>
      <c r="T4978" s="129"/>
      <c r="W4978" s="129" t="s">
        <v>4876</v>
      </c>
      <c r="X4978" s="337" t="b">
        <f t="shared" si="114"/>
        <v>0</v>
      </c>
    </row>
    <row r="4979" spans="1:24" s="337" customFormat="1" ht="12" customHeight="1" outlineLevel="1">
      <c r="A4979" s="335"/>
      <c r="B4979" s="118" t="s">
        <v>12</v>
      </c>
      <c r="C4979" s="334" t="s">
        <v>13438</v>
      </c>
      <c r="D4979" s="124" t="s">
        <v>9904</v>
      </c>
      <c r="E4979" s="125"/>
      <c r="F4979" s="118" t="s">
        <v>1018</v>
      </c>
      <c r="G4979" s="126" t="s">
        <v>13381</v>
      </c>
      <c r="H4979" s="255">
        <v>1</v>
      </c>
      <c r="I4979" s="361">
        <v>1</v>
      </c>
      <c r="J4979" s="362" t="s">
        <v>6148</v>
      </c>
      <c r="K4979" s="363"/>
      <c r="L4979" s="129"/>
      <c r="M4979" s="129"/>
      <c r="N4979" s="129"/>
      <c r="O4979" s="129"/>
      <c r="P4979" s="364"/>
      <c r="Q4979" s="364"/>
      <c r="R4979" s="129"/>
      <c r="S4979" s="129"/>
      <c r="T4979" s="129"/>
      <c r="W4979" s="129" t="s">
        <v>4876</v>
      </c>
      <c r="X4979" s="337" t="b">
        <f t="shared" si="114"/>
        <v>0</v>
      </c>
    </row>
    <row r="4980" spans="1:24" s="337" customFormat="1" ht="12" customHeight="1" outlineLevel="1">
      <c r="A4980" s="335"/>
      <c r="B4980" s="118" t="s">
        <v>12</v>
      </c>
      <c r="C4980" s="334" t="s">
        <v>13439</v>
      </c>
      <c r="D4980" s="124" t="s">
        <v>10071</v>
      </c>
      <c r="E4980" s="125"/>
      <c r="F4980" s="118" t="s">
        <v>1018</v>
      </c>
      <c r="G4980" s="126" t="s">
        <v>13381</v>
      </c>
      <c r="H4980" s="255">
        <v>1</v>
      </c>
      <c r="I4980" s="361">
        <v>1</v>
      </c>
      <c r="J4980" s="362" t="s">
        <v>325</v>
      </c>
      <c r="K4980" s="363"/>
      <c r="L4980" s="129"/>
      <c r="M4980" s="129"/>
      <c r="N4980" s="129"/>
      <c r="O4980" s="129"/>
      <c r="P4980" s="364"/>
      <c r="Q4980" s="364"/>
      <c r="R4980" s="129"/>
      <c r="S4980" s="129"/>
      <c r="T4980" s="129"/>
      <c r="W4980" s="129" t="s">
        <v>4876</v>
      </c>
      <c r="X4980" s="337" t="b">
        <f t="shared" si="114"/>
        <v>0</v>
      </c>
    </row>
    <row r="4981" spans="1:24" s="337" customFormat="1" ht="12" customHeight="1" outlineLevel="1">
      <c r="A4981" s="335"/>
      <c r="B4981" s="118" t="s">
        <v>12</v>
      </c>
      <c r="C4981" s="334" t="s">
        <v>13440</v>
      </c>
      <c r="D4981" s="124" t="s">
        <v>9910</v>
      </c>
      <c r="E4981" s="125"/>
      <c r="F4981" s="118" t="s">
        <v>1018</v>
      </c>
      <c r="G4981" s="126" t="s">
        <v>13381</v>
      </c>
      <c r="H4981" s="255">
        <v>1</v>
      </c>
      <c r="I4981" s="361">
        <v>1</v>
      </c>
      <c r="J4981" s="362" t="s">
        <v>286</v>
      </c>
      <c r="K4981" s="363"/>
      <c r="L4981" s="129"/>
      <c r="M4981" s="129"/>
      <c r="N4981" s="129"/>
      <c r="O4981" s="129"/>
      <c r="P4981" s="364"/>
      <c r="Q4981" s="364"/>
      <c r="R4981" s="129"/>
      <c r="S4981" s="129"/>
      <c r="T4981" s="129"/>
      <c r="W4981" s="129" t="s">
        <v>4876</v>
      </c>
      <c r="X4981" s="337" t="b">
        <f t="shared" si="114"/>
        <v>0</v>
      </c>
    </row>
    <row r="4982" spans="1:24" s="337" customFormat="1" ht="12" customHeight="1" outlineLevel="1">
      <c r="A4982" s="335"/>
      <c r="B4982" s="118" t="s">
        <v>12</v>
      </c>
      <c r="C4982" s="334" t="s">
        <v>13441</v>
      </c>
      <c r="D4982" s="124" t="s">
        <v>9912</v>
      </c>
      <c r="E4982" s="125"/>
      <c r="F4982" s="118" t="s">
        <v>1018</v>
      </c>
      <c r="G4982" s="126" t="s">
        <v>13381</v>
      </c>
      <c r="H4982" s="255">
        <v>1</v>
      </c>
      <c r="I4982" s="361">
        <v>1</v>
      </c>
      <c r="J4982" s="362" t="s">
        <v>325</v>
      </c>
      <c r="K4982" s="363"/>
      <c r="L4982" s="129"/>
      <c r="M4982" s="129"/>
      <c r="N4982" s="129"/>
      <c r="O4982" s="129"/>
      <c r="P4982" s="364"/>
      <c r="Q4982" s="364"/>
      <c r="R4982" s="129"/>
      <c r="S4982" s="129"/>
      <c r="T4982" s="129"/>
      <c r="W4982" s="129" t="s">
        <v>4876</v>
      </c>
      <c r="X4982" s="337" t="b">
        <f t="shared" si="114"/>
        <v>0</v>
      </c>
    </row>
    <row r="4983" spans="1:24" s="337" customFormat="1" ht="12" customHeight="1" outlineLevel="1">
      <c r="A4983" s="335"/>
      <c r="B4983" s="118" t="s">
        <v>12</v>
      </c>
      <c r="C4983" s="334" t="s">
        <v>13442</v>
      </c>
      <c r="D4983" s="124" t="s">
        <v>9914</v>
      </c>
      <c r="E4983" s="125"/>
      <c r="F4983" s="118" t="s">
        <v>1018</v>
      </c>
      <c r="G4983" s="126" t="s">
        <v>13381</v>
      </c>
      <c r="H4983" s="255">
        <v>1</v>
      </c>
      <c r="I4983" s="361">
        <v>1</v>
      </c>
      <c r="J4983" s="362" t="s">
        <v>743</v>
      </c>
      <c r="K4983" s="363"/>
      <c r="L4983" s="129"/>
      <c r="M4983" s="129"/>
      <c r="N4983" s="129"/>
      <c r="O4983" s="129"/>
      <c r="P4983" s="364"/>
      <c r="Q4983" s="364"/>
      <c r="R4983" s="129"/>
      <c r="S4983" s="129"/>
      <c r="T4983" s="129"/>
      <c r="W4983" s="129" t="s">
        <v>4876</v>
      </c>
      <c r="X4983" s="337" t="b">
        <f t="shared" si="114"/>
        <v>0</v>
      </c>
    </row>
    <row r="4984" spans="1:24" s="337" customFormat="1" ht="12" customHeight="1" outlineLevel="1">
      <c r="A4984" s="335"/>
      <c r="B4984" s="118" t="s">
        <v>12</v>
      </c>
      <c r="C4984" s="334" t="s">
        <v>13443</v>
      </c>
      <c r="D4984" s="124" t="s">
        <v>9916</v>
      </c>
      <c r="E4984" s="125"/>
      <c r="F4984" s="118" t="s">
        <v>1018</v>
      </c>
      <c r="G4984" s="126" t="s">
        <v>13381</v>
      </c>
      <c r="H4984" s="255">
        <v>1</v>
      </c>
      <c r="I4984" s="361">
        <v>1</v>
      </c>
      <c r="J4984" s="362" t="s">
        <v>325</v>
      </c>
      <c r="K4984" s="363"/>
      <c r="L4984" s="129"/>
      <c r="M4984" s="129"/>
      <c r="N4984" s="129"/>
      <c r="O4984" s="129"/>
      <c r="P4984" s="364"/>
      <c r="Q4984" s="364"/>
      <c r="R4984" s="129"/>
      <c r="S4984" s="129"/>
      <c r="T4984" s="129"/>
      <c r="W4984" s="129" t="s">
        <v>4876</v>
      </c>
      <c r="X4984" s="337" t="b">
        <f t="shared" si="114"/>
        <v>0</v>
      </c>
    </row>
    <row r="4985" spans="1:24" s="337" customFormat="1" ht="12" customHeight="1" outlineLevel="1">
      <c r="A4985" s="335"/>
      <c r="B4985" s="118" t="s">
        <v>12</v>
      </c>
      <c r="C4985" s="334" t="s">
        <v>13444</v>
      </c>
      <c r="D4985" s="124" t="s">
        <v>9918</v>
      </c>
      <c r="E4985" s="125"/>
      <c r="F4985" s="118" t="s">
        <v>1018</v>
      </c>
      <c r="G4985" s="126" t="s">
        <v>13381</v>
      </c>
      <c r="H4985" s="255">
        <v>1</v>
      </c>
      <c r="I4985" s="361">
        <v>1</v>
      </c>
      <c r="J4985" s="362" t="s">
        <v>743</v>
      </c>
      <c r="K4985" s="363"/>
      <c r="L4985" s="129"/>
      <c r="M4985" s="129"/>
      <c r="N4985" s="129"/>
      <c r="O4985" s="129"/>
      <c r="P4985" s="364"/>
      <c r="Q4985" s="364"/>
      <c r="R4985" s="129"/>
      <c r="S4985" s="129"/>
      <c r="T4985" s="129"/>
      <c r="W4985" s="129" t="s">
        <v>4876</v>
      </c>
      <c r="X4985" s="337" t="b">
        <f t="shared" si="114"/>
        <v>0</v>
      </c>
    </row>
    <row r="4986" spans="1:24" s="337" customFormat="1" ht="12" customHeight="1" outlineLevel="1">
      <c r="A4986" s="335"/>
      <c r="B4986" s="118" t="s">
        <v>12</v>
      </c>
      <c r="C4986" s="334" t="s">
        <v>13445</v>
      </c>
      <c r="D4986" s="124" t="s">
        <v>9920</v>
      </c>
      <c r="E4986" s="125"/>
      <c r="F4986" s="118" t="s">
        <v>1018</v>
      </c>
      <c r="G4986" s="126" t="s">
        <v>13381</v>
      </c>
      <c r="H4986" s="255">
        <v>1</v>
      </c>
      <c r="I4986" s="361">
        <v>1</v>
      </c>
      <c r="J4986" s="362" t="s">
        <v>743</v>
      </c>
      <c r="K4986" s="363"/>
      <c r="L4986" s="129"/>
      <c r="M4986" s="129"/>
      <c r="N4986" s="129"/>
      <c r="O4986" s="129"/>
      <c r="P4986" s="364"/>
      <c r="Q4986" s="364"/>
      <c r="R4986" s="129"/>
      <c r="S4986" s="129"/>
      <c r="T4986" s="129"/>
      <c r="W4986" s="129" t="s">
        <v>4876</v>
      </c>
      <c r="X4986" s="337" t="b">
        <f t="shared" si="114"/>
        <v>0</v>
      </c>
    </row>
    <row r="4987" spans="1:24" s="337" customFormat="1" ht="12" customHeight="1" outlineLevel="1">
      <c r="A4987" s="335"/>
      <c r="B4987" s="118" t="s">
        <v>12</v>
      </c>
      <c r="C4987" s="334" t="s">
        <v>13446</v>
      </c>
      <c r="D4987" s="124" t="s">
        <v>10079</v>
      </c>
      <c r="E4987" s="125"/>
      <c r="F4987" s="118" t="s">
        <v>1018</v>
      </c>
      <c r="G4987" s="126" t="s">
        <v>13381</v>
      </c>
      <c r="H4987" s="255">
        <v>1</v>
      </c>
      <c r="I4987" s="361">
        <v>1</v>
      </c>
      <c r="J4987" s="362" t="s">
        <v>325</v>
      </c>
      <c r="K4987" s="363"/>
      <c r="L4987" s="129"/>
      <c r="M4987" s="129"/>
      <c r="N4987" s="129"/>
      <c r="O4987" s="129"/>
      <c r="P4987" s="364"/>
      <c r="Q4987" s="364"/>
      <c r="R4987" s="129"/>
      <c r="S4987" s="129"/>
      <c r="T4987" s="129"/>
      <c r="W4987" s="129" t="s">
        <v>4876</v>
      </c>
      <c r="X4987" s="337" t="b">
        <f t="shared" si="114"/>
        <v>0</v>
      </c>
    </row>
    <row r="4988" spans="1:24" s="337" customFormat="1" ht="12" customHeight="1" outlineLevel="1">
      <c r="A4988" s="335"/>
      <c r="B4988" s="118" t="s">
        <v>12</v>
      </c>
      <c r="C4988" s="334" t="s">
        <v>13447</v>
      </c>
      <c r="D4988" s="124" t="s">
        <v>9926</v>
      </c>
      <c r="E4988" s="125"/>
      <c r="F4988" s="118" t="s">
        <v>1018</v>
      </c>
      <c r="G4988" s="126" t="s">
        <v>13381</v>
      </c>
      <c r="H4988" s="255">
        <v>1</v>
      </c>
      <c r="I4988" s="361">
        <v>1</v>
      </c>
      <c r="J4988" s="362" t="s">
        <v>325</v>
      </c>
      <c r="K4988" s="363"/>
      <c r="L4988" s="129"/>
      <c r="M4988" s="129"/>
      <c r="N4988" s="129"/>
      <c r="O4988" s="129"/>
      <c r="P4988" s="364"/>
      <c r="Q4988" s="364"/>
      <c r="R4988" s="129"/>
      <c r="S4988" s="129"/>
      <c r="T4988" s="129"/>
      <c r="W4988" s="129" t="s">
        <v>4876</v>
      </c>
      <c r="X4988" s="337" t="b">
        <f t="shared" si="114"/>
        <v>0</v>
      </c>
    </row>
    <row r="4989" spans="1:24" s="337" customFormat="1" ht="12" customHeight="1" outlineLevel="1">
      <c r="A4989" s="335"/>
      <c r="B4989" s="118" t="s">
        <v>12</v>
      </c>
      <c r="C4989" s="334" t="s">
        <v>13448</v>
      </c>
      <c r="D4989" s="124" t="s">
        <v>9930</v>
      </c>
      <c r="E4989" s="125"/>
      <c r="F4989" s="118" t="s">
        <v>1018</v>
      </c>
      <c r="G4989" s="126" t="s">
        <v>13381</v>
      </c>
      <c r="H4989" s="255">
        <v>1</v>
      </c>
      <c r="I4989" s="361">
        <v>1</v>
      </c>
      <c r="J4989" s="362" t="s">
        <v>286</v>
      </c>
      <c r="K4989" s="363"/>
      <c r="L4989" s="129"/>
      <c r="M4989" s="129"/>
      <c r="N4989" s="129"/>
      <c r="O4989" s="129"/>
      <c r="P4989" s="364"/>
      <c r="Q4989" s="364"/>
      <c r="R4989" s="129"/>
      <c r="S4989" s="129"/>
      <c r="T4989" s="129"/>
      <c r="W4989" s="129" t="s">
        <v>4876</v>
      </c>
      <c r="X4989" s="337" t="b">
        <f t="shared" si="114"/>
        <v>0</v>
      </c>
    </row>
    <row r="4990" spans="1:24" s="337" customFormat="1" ht="12" customHeight="1" outlineLevel="1">
      <c r="A4990" s="335"/>
      <c r="B4990" s="118" t="s">
        <v>12</v>
      </c>
      <c r="C4990" s="334" t="s">
        <v>13449</v>
      </c>
      <c r="D4990" s="124" t="s">
        <v>9932</v>
      </c>
      <c r="E4990" s="125"/>
      <c r="F4990" s="118" t="s">
        <v>1018</v>
      </c>
      <c r="G4990" s="126" t="s">
        <v>13381</v>
      </c>
      <c r="H4990" s="255">
        <v>1</v>
      </c>
      <c r="I4990" s="361">
        <v>1</v>
      </c>
      <c r="J4990" s="362" t="s">
        <v>307</v>
      </c>
      <c r="K4990" s="363"/>
      <c r="L4990" s="129"/>
      <c r="M4990" s="129"/>
      <c r="N4990" s="129"/>
      <c r="O4990" s="129"/>
      <c r="P4990" s="364"/>
      <c r="Q4990" s="364"/>
      <c r="R4990" s="129"/>
      <c r="S4990" s="129"/>
      <c r="T4990" s="129"/>
      <c r="W4990" s="129" t="s">
        <v>4876</v>
      </c>
      <c r="X4990" s="337" t="b">
        <f t="shared" si="114"/>
        <v>0</v>
      </c>
    </row>
    <row r="4991" spans="1:24" s="337" customFormat="1" ht="12" customHeight="1" outlineLevel="1">
      <c r="A4991" s="335"/>
      <c r="B4991" s="118" t="s">
        <v>12</v>
      </c>
      <c r="C4991" s="334" t="s">
        <v>13450</v>
      </c>
      <c r="D4991" s="124" t="s">
        <v>9934</v>
      </c>
      <c r="E4991" s="125"/>
      <c r="F4991" s="118" t="s">
        <v>1018</v>
      </c>
      <c r="G4991" s="126" t="s">
        <v>13381</v>
      </c>
      <c r="H4991" s="255">
        <v>1</v>
      </c>
      <c r="I4991" s="361">
        <v>1</v>
      </c>
      <c r="J4991" s="362" t="s">
        <v>743</v>
      </c>
      <c r="K4991" s="363"/>
      <c r="L4991" s="129"/>
      <c r="M4991" s="129"/>
      <c r="N4991" s="129"/>
      <c r="O4991" s="129"/>
      <c r="P4991" s="364"/>
      <c r="Q4991" s="364"/>
      <c r="R4991" s="129"/>
      <c r="S4991" s="129"/>
      <c r="T4991" s="129"/>
      <c r="W4991" s="129" t="s">
        <v>4876</v>
      </c>
      <c r="X4991" s="337" t="b">
        <f t="shared" si="114"/>
        <v>0</v>
      </c>
    </row>
    <row r="4992" spans="1:24" s="337" customFormat="1" ht="12" customHeight="1" outlineLevel="1">
      <c r="A4992" s="335"/>
      <c r="B4992" s="118" t="s">
        <v>12</v>
      </c>
      <c r="C4992" s="334" t="s">
        <v>13451</v>
      </c>
      <c r="D4992" s="124" t="s">
        <v>9938</v>
      </c>
      <c r="E4992" s="125"/>
      <c r="F4992" s="118" t="s">
        <v>1018</v>
      </c>
      <c r="G4992" s="126" t="s">
        <v>13381</v>
      </c>
      <c r="H4992" s="255">
        <v>1</v>
      </c>
      <c r="I4992" s="361">
        <v>1</v>
      </c>
      <c r="J4992" s="362" t="s">
        <v>286</v>
      </c>
      <c r="K4992" s="363"/>
      <c r="L4992" s="129"/>
      <c r="M4992" s="129"/>
      <c r="N4992" s="129"/>
      <c r="O4992" s="129"/>
      <c r="P4992" s="364"/>
      <c r="Q4992" s="364"/>
      <c r="R4992" s="129"/>
      <c r="S4992" s="129"/>
      <c r="T4992" s="129"/>
      <c r="W4992" s="129" t="s">
        <v>4876</v>
      </c>
      <c r="X4992" s="337" t="b">
        <f t="shared" si="114"/>
        <v>0</v>
      </c>
    </row>
    <row r="4993" spans="1:24" s="337" customFormat="1" ht="12" customHeight="1" outlineLevel="1">
      <c r="A4993" s="335"/>
      <c r="B4993" s="118" t="s">
        <v>12</v>
      </c>
      <c r="C4993" s="334" t="s">
        <v>13452</v>
      </c>
      <c r="D4993" s="124" t="s">
        <v>9940</v>
      </c>
      <c r="E4993" s="125"/>
      <c r="F4993" s="118" t="s">
        <v>1018</v>
      </c>
      <c r="G4993" s="126" t="s">
        <v>13381</v>
      </c>
      <c r="H4993" s="255">
        <v>1</v>
      </c>
      <c r="I4993" s="361">
        <v>1</v>
      </c>
      <c r="J4993" s="362" t="s">
        <v>325</v>
      </c>
      <c r="K4993" s="363"/>
      <c r="L4993" s="129"/>
      <c r="M4993" s="129"/>
      <c r="N4993" s="129"/>
      <c r="O4993" s="129"/>
      <c r="P4993" s="364"/>
      <c r="Q4993" s="364"/>
      <c r="R4993" s="129"/>
      <c r="S4993" s="129"/>
      <c r="T4993" s="129"/>
      <c r="W4993" s="129" t="s">
        <v>4876</v>
      </c>
      <c r="X4993" s="337" t="b">
        <f t="shared" si="114"/>
        <v>0</v>
      </c>
    </row>
    <row r="4994" spans="1:24" s="337" customFormat="1" ht="12" customHeight="1" outlineLevel="1">
      <c r="A4994" s="335"/>
      <c r="B4994" s="118" t="s">
        <v>12</v>
      </c>
      <c r="C4994" s="334" t="s">
        <v>13453</v>
      </c>
      <c r="D4994" s="124" t="s">
        <v>9942</v>
      </c>
      <c r="E4994" s="125"/>
      <c r="F4994" s="118" t="s">
        <v>1018</v>
      </c>
      <c r="G4994" s="126" t="s">
        <v>13381</v>
      </c>
      <c r="H4994" s="255">
        <v>1</v>
      </c>
      <c r="I4994" s="361">
        <v>1</v>
      </c>
      <c r="J4994" s="362" t="s">
        <v>743</v>
      </c>
      <c r="K4994" s="363"/>
      <c r="L4994" s="129"/>
      <c r="M4994" s="129"/>
      <c r="N4994" s="129"/>
      <c r="O4994" s="129"/>
      <c r="P4994" s="364"/>
      <c r="Q4994" s="364"/>
      <c r="R4994" s="129"/>
      <c r="S4994" s="129"/>
      <c r="T4994" s="129"/>
      <c r="W4994" s="129" t="s">
        <v>4876</v>
      </c>
      <c r="X4994" s="337" t="b">
        <f t="shared" ref="X4994:X5057" si="115">W4994=J4994</f>
        <v>0</v>
      </c>
    </row>
    <row r="4995" spans="1:24" s="337" customFormat="1" ht="12" customHeight="1" outlineLevel="1">
      <c r="A4995" s="335"/>
      <c r="B4995" s="118" t="s">
        <v>12</v>
      </c>
      <c r="C4995" s="334" t="s">
        <v>13454</v>
      </c>
      <c r="D4995" s="124" t="s">
        <v>9944</v>
      </c>
      <c r="E4995" s="125"/>
      <c r="F4995" s="118" t="s">
        <v>1018</v>
      </c>
      <c r="G4995" s="126" t="s">
        <v>13381</v>
      </c>
      <c r="H4995" s="255">
        <v>1</v>
      </c>
      <c r="I4995" s="361">
        <v>1</v>
      </c>
      <c r="J4995" s="362" t="s">
        <v>310</v>
      </c>
      <c r="K4995" s="363"/>
      <c r="L4995" s="129"/>
      <c r="M4995" s="129"/>
      <c r="N4995" s="129"/>
      <c r="O4995" s="129"/>
      <c r="P4995" s="364"/>
      <c r="Q4995" s="364"/>
      <c r="R4995" s="129"/>
      <c r="S4995" s="129"/>
      <c r="T4995" s="129"/>
      <c r="W4995" s="129" t="s">
        <v>4876</v>
      </c>
      <c r="X4995" s="337" t="b">
        <f t="shared" si="115"/>
        <v>0</v>
      </c>
    </row>
    <row r="4996" spans="1:24" s="337" customFormat="1" ht="12" customHeight="1" outlineLevel="1">
      <c r="A4996" s="335"/>
      <c r="B4996" s="118" t="s">
        <v>12</v>
      </c>
      <c r="C4996" s="334" t="s">
        <v>13455</v>
      </c>
      <c r="D4996" s="124" t="s">
        <v>9946</v>
      </c>
      <c r="E4996" s="125"/>
      <c r="F4996" s="118" t="s">
        <v>1018</v>
      </c>
      <c r="G4996" s="126" t="s">
        <v>13381</v>
      </c>
      <c r="H4996" s="255">
        <v>1</v>
      </c>
      <c r="I4996" s="361">
        <v>1</v>
      </c>
      <c r="J4996" s="362" t="s">
        <v>307</v>
      </c>
      <c r="K4996" s="363"/>
      <c r="L4996" s="129"/>
      <c r="M4996" s="129"/>
      <c r="N4996" s="129"/>
      <c r="O4996" s="129"/>
      <c r="P4996" s="364"/>
      <c r="Q4996" s="364"/>
      <c r="R4996" s="129"/>
      <c r="S4996" s="129"/>
      <c r="T4996" s="129"/>
      <c r="W4996" s="129" t="s">
        <v>4876</v>
      </c>
      <c r="X4996" s="337" t="b">
        <f t="shared" si="115"/>
        <v>0</v>
      </c>
    </row>
    <row r="4997" spans="1:24" s="337" customFormat="1" ht="12" customHeight="1" outlineLevel="1">
      <c r="A4997" s="335"/>
      <c r="B4997" s="118" t="s">
        <v>12</v>
      </c>
      <c r="C4997" s="334" t="s">
        <v>13456</v>
      </c>
      <c r="D4997" s="124" t="s">
        <v>9948</v>
      </c>
      <c r="E4997" s="125"/>
      <c r="F4997" s="118" t="s">
        <v>1018</v>
      </c>
      <c r="G4997" s="126" t="s">
        <v>13381</v>
      </c>
      <c r="H4997" s="255">
        <v>1</v>
      </c>
      <c r="I4997" s="361">
        <v>1</v>
      </c>
      <c r="J4997" s="362" t="s">
        <v>6148</v>
      </c>
      <c r="K4997" s="363"/>
      <c r="L4997" s="129"/>
      <c r="M4997" s="129"/>
      <c r="N4997" s="129"/>
      <c r="O4997" s="129"/>
      <c r="P4997" s="364"/>
      <c r="Q4997" s="364"/>
      <c r="R4997" s="129"/>
      <c r="S4997" s="129"/>
      <c r="T4997" s="129"/>
      <c r="W4997" s="129" t="s">
        <v>4876</v>
      </c>
      <c r="X4997" s="337" t="b">
        <f t="shared" si="115"/>
        <v>0</v>
      </c>
    </row>
    <row r="4998" spans="1:24" s="337" customFormat="1" ht="12" customHeight="1" outlineLevel="1">
      <c r="A4998" s="335"/>
      <c r="B4998" s="118" t="s">
        <v>12</v>
      </c>
      <c r="C4998" s="334" t="s">
        <v>13457</v>
      </c>
      <c r="D4998" s="124" t="s">
        <v>9950</v>
      </c>
      <c r="E4998" s="125"/>
      <c r="F4998" s="118" t="s">
        <v>1018</v>
      </c>
      <c r="G4998" s="126" t="s">
        <v>13381</v>
      </c>
      <c r="H4998" s="255">
        <v>1</v>
      </c>
      <c r="I4998" s="361">
        <v>1</v>
      </c>
      <c r="J4998" s="362" t="s">
        <v>310</v>
      </c>
      <c r="K4998" s="363"/>
      <c r="L4998" s="129"/>
      <c r="M4998" s="129"/>
      <c r="N4998" s="129"/>
      <c r="O4998" s="129"/>
      <c r="P4998" s="364"/>
      <c r="Q4998" s="364"/>
      <c r="R4998" s="129"/>
      <c r="S4998" s="129"/>
      <c r="T4998" s="129"/>
      <c r="W4998" s="129" t="s">
        <v>4876</v>
      </c>
      <c r="X4998" s="337" t="b">
        <f t="shared" si="115"/>
        <v>0</v>
      </c>
    </row>
    <row r="4999" spans="1:24" s="337" customFormat="1" ht="12" customHeight="1" outlineLevel="1">
      <c r="A4999" s="335"/>
      <c r="B4999" s="118" t="s">
        <v>12</v>
      </c>
      <c r="C4999" s="334" t="s">
        <v>13458</v>
      </c>
      <c r="D4999" s="124" t="s">
        <v>9952</v>
      </c>
      <c r="E4999" s="125"/>
      <c r="F4999" s="118" t="s">
        <v>1018</v>
      </c>
      <c r="G4999" s="126" t="s">
        <v>13381</v>
      </c>
      <c r="H4999" s="255">
        <v>1</v>
      </c>
      <c r="I4999" s="361">
        <v>1</v>
      </c>
      <c r="J4999" s="362" t="s">
        <v>286</v>
      </c>
      <c r="K4999" s="363"/>
      <c r="L4999" s="129"/>
      <c r="M4999" s="129"/>
      <c r="N4999" s="129"/>
      <c r="O4999" s="129"/>
      <c r="P4999" s="364"/>
      <c r="Q4999" s="364"/>
      <c r="R4999" s="129"/>
      <c r="S4999" s="129"/>
      <c r="T4999" s="129"/>
      <c r="W4999" s="129" t="s">
        <v>4876</v>
      </c>
      <c r="X4999" s="337" t="b">
        <f t="shared" si="115"/>
        <v>0</v>
      </c>
    </row>
    <row r="5000" spans="1:24" s="337" customFormat="1" ht="12" customHeight="1" outlineLevel="1">
      <c r="A5000" s="335"/>
      <c r="B5000" s="118" t="s">
        <v>12</v>
      </c>
      <c r="C5000" s="334" t="s">
        <v>13459</v>
      </c>
      <c r="D5000" s="124" t="s">
        <v>9954</v>
      </c>
      <c r="E5000" s="125"/>
      <c r="F5000" s="118" t="s">
        <v>1018</v>
      </c>
      <c r="G5000" s="126" t="s">
        <v>13381</v>
      </c>
      <c r="H5000" s="255">
        <v>1</v>
      </c>
      <c r="I5000" s="361">
        <v>1</v>
      </c>
      <c r="J5000" s="362" t="s">
        <v>6148</v>
      </c>
      <c r="K5000" s="363"/>
      <c r="L5000" s="129"/>
      <c r="M5000" s="129"/>
      <c r="N5000" s="129"/>
      <c r="O5000" s="129"/>
      <c r="P5000" s="364"/>
      <c r="Q5000" s="364"/>
      <c r="R5000" s="129"/>
      <c r="S5000" s="129"/>
      <c r="T5000" s="129"/>
      <c r="W5000" s="129" t="s">
        <v>4876</v>
      </c>
      <c r="X5000" s="337" t="b">
        <f t="shared" si="115"/>
        <v>0</v>
      </c>
    </row>
    <row r="5001" spans="1:24" s="337" customFormat="1" ht="12" customHeight="1" outlineLevel="1">
      <c r="A5001" s="335"/>
      <c r="B5001" s="118" t="s">
        <v>12</v>
      </c>
      <c r="C5001" s="334" t="s">
        <v>13460</v>
      </c>
      <c r="D5001" s="124" t="s">
        <v>9956</v>
      </c>
      <c r="E5001" s="125"/>
      <c r="F5001" s="118" t="s">
        <v>1018</v>
      </c>
      <c r="G5001" s="126" t="s">
        <v>13381</v>
      </c>
      <c r="H5001" s="255">
        <v>1</v>
      </c>
      <c r="I5001" s="361">
        <v>1</v>
      </c>
      <c r="J5001" s="362" t="s">
        <v>286</v>
      </c>
      <c r="K5001" s="363"/>
      <c r="L5001" s="129"/>
      <c r="M5001" s="129"/>
      <c r="N5001" s="129"/>
      <c r="O5001" s="129"/>
      <c r="P5001" s="364"/>
      <c r="Q5001" s="364"/>
      <c r="R5001" s="129"/>
      <c r="S5001" s="129"/>
      <c r="T5001" s="129"/>
      <c r="W5001" s="129" t="s">
        <v>4876</v>
      </c>
      <c r="X5001" s="337" t="b">
        <f t="shared" si="115"/>
        <v>0</v>
      </c>
    </row>
    <row r="5002" spans="1:24" s="337" customFormat="1" ht="12" customHeight="1" outlineLevel="1">
      <c r="A5002" s="335"/>
      <c r="B5002" s="118" t="s">
        <v>12</v>
      </c>
      <c r="C5002" s="334" t="s">
        <v>13461</v>
      </c>
      <c r="D5002" s="124" t="s">
        <v>9958</v>
      </c>
      <c r="E5002" s="125"/>
      <c r="F5002" s="118" t="s">
        <v>1018</v>
      </c>
      <c r="G5002" s="126" t="s">
        <v>13381</v>
      </c>
      <c r="H5002" s="255">
        <v>1</v>
      </c>
      <c r="I5002" s="361">
        <v>1</v>
      </c>
      <c r="J5002" s="362" t="s">
        <v>286</v>
      </c>
      <c r="K5002" s="363"/>
      <c r="L5002" s="129"/>
      <c r="M5002" s="129"/>
      <c r="N5002" s="129"/>
      <c r="O5002" s="129"/>
      <c r="P5002" s="364"/>
      <c r="Q5002" s="364"/>
      <c r="R5002" s="129"/>
      <c r="S5002" s="129"/>
      <c r="T5002" s="129"/>
      <c r="W5002" s="129" t="s">
        <v>4876</v>
      </c>
      <c r="X5002" s="337" t="b">
        <f t="shared" si="115"/>
        <v>0</v>
      </c>
    </row>
    <row r="5003" spans="1:24" s="337" customFormat="1" ht="12" customHeight="1" outlineLevel="1">
      <c r="A5003" s="335"/>
      <c r="B5003" s="118" t="s">
        <v>12</v>
      </c>
      <c r="C5003" s="334" t="s">
        <v>13462</v>
      </c>
      <c r="D5003" s="124" t="s">
        <v>9960</v>
      </c>
      <c r="E5003" s="125"/>
      <c r="F5003" s="118" t="s">
        <v>1018</v>
      </c>
      <c r="G5003" s="126" t="s">
        <v>13381</v>
      </c>
      <c r="H5003" s="255">
        <v>1</v>
      </c>
      <c r="I5003" s="361">
        <v>1</v>
      </c>
      <c r="J5003" s="362" t="s">
        <v>286</v>
      </c>
      <c r="K5003" s="363"/>
      <c r="L5003" s="129"/>
      <c r="M5003" s="129"/>
      <c r="N5003" s="129"/>
      <c r="O5003" s="129"/>
      <c r="P5003" s="364"/>
      <c r="Q5003" s="364"/>
      <c r="R5003" s="129"/>
      <c r="S5003" s="129"/>
      <c r="T5003" s="129"/>
      <c r="W5003" s="129" t="s">
        <v>4876</v>
      </c>
      <c r="X5003" s="337" t="b">
        <f t="shared" si="115"/>
        <v>0</v>
      </c>
    </row>
    <row r="5004" spans="1:24" s="337" customFormat="1" ht="12" customHeight="1" outlineLevel="1">
      <c r="A5004" s="335"/>
      <c r="B5004" s="118" t="s">
        <v>12</v>
      </c>
      <c r="C5004" s="334" t="s">
        <v>13463</v>
      </c>
      <c r="D5004" s="124" t="s">
        <v>9962</v>
      </c>
      <c r="E5004" s="125"/>
      <c r="F5004" s="118" t="s">
        <v>1018</v>
      </c>
      <c r="G5004" s="126" t="s">
        <v>13381</v>
      </c>
      <c r="H5004" s="255">
        <v>1</v>
      </c>
      <c r="I5004" s="361">
        <v>1</v>
      </c>
      <c r="J5004" s="362" t="s">
        <v>325</v>
      </c>
      <c r="K5004" s="363"/>
      <c r="L5004" s="129"/>
      <c r="M5004" s="129"/>
      <c r="N5004" s="129"/>
      <c r="O5004" s="129"/>
      <c r="P5004" s="364"/>
      <c r="Q5004" s="364"/>
      <c r="R5004" s="129"/>
      <c r="S5004" s="129"/>
      <c r="T5004" s="129"/>
      <c r="W5004" s="129" t="s">
        <v>4876</v>
      </c>
      <c r="X5004" s="337" t="b">
        <f t="shared" si="115"/>
        <v>0</v>
      </c>
    </row>
    <row r="5005" spans="1:24" s="337" customFormat="1" ht="12" customHeight="1" outlineLevel="1">
      <c r="A5005" s="335"/>
      <c r="B5005" s="118" t="s">
        <v>12</v>
      </c>
      <c r="C5005" s="334" t="s">
        <v>13464</v>
      </c>
      <c r="D5005" s="124" t="s">
        <v>9964</v>
      </c>
      <c r="E5005" s="125"/>
      <c r="F5005" s="118" t="s">
        <v>1018</v>
      </c>
      <c r="G5005" s="126" t="s">
        <v>13381</v>
      </c>
      <c r="H5005" s="255">
        <v>1</v>
      </c>
      <c r="I5005" s="361">
        <v>1</v>
      </c>
      <c r="J5005" s="362" t="s">
        <v>325</v>
      </c>
      <c r="K5005" s="363"/>
      <c r="L5005" s="129"/>
      <c r="M5005" s="129"/>
      <c r="N5005" s="129"/>
      <c r="O5005" s="129"/>
      <c r="P5005" s="364"/>
      <c r="Q5005" s="364"/>
      <c r="R5005" s="129"/>
      <c r="S5005" s="129"/>
      <c r="T5005" s="129"/>
      <c r="W5005" s="129" t="s">
        <v>4876</v>
      </c>
      <c r="X5005" s="337" t="b">
        <f t="shared" si="115"/>
        <v>0</v>
      </c>
    </row>
    <row r="5006" spans="1:24" s="337" customFormat="1" ht="12" customHeight="1" outlineLevel="1">
      <c r="A5006" s="335"/>
      <c r="B5006" s="118" t="s">
        <v>12</v>
      </c>
      <c r="C5006" s="334" t="s">
        <v>13465</v>
      </c>
      <c r="D5006" s="124" t="s">
        <v>13466</v>
      </c>
      <c r="E5006" s="125"/>
      <c r="F5006" s="118" t="s">
        <v>1018</v>
      </c>
      <c r="G5006" s="126" t="s">
        <v>13381</v>
      </c>
      <c r="H5006" s="255">
        <v>1</v>
      </c>
      <c r="I5006" s="361">
        <v>1</v>
      </c>
      <c r="J5006" s="362" t="s">
        <v>286</v>
      </c>
      <c r="K5006" s="363"/>
      <c r="L5006" s="129"/>
      <c r="M5006" s="129"/>
      <c r="N5006" s="129"/>
      <c r="O5006" s="129"/>
      <c r="P5006" s="364"/>
      <c r="Q5006" s="364"/>
      <c r="R5006" s="129"/>
      <c r="S5006" s="129"/>
      <c r="T5006" s="129"/>
      <c r="W5006" s="129" t="s">
        <v>4876</v>
      </c>
      <c r="X5006" s="337" t="b">
        <f t="shared" si="115"/>
        <v>0</v>
      </c>
    </row>
    <row r="5007" spans="1:24" s="337" customFormat="1" ht="12" customHeight="1" outlineLevel="1">
      <c r="A5007" s="335"/>
      <c r="B5007" s="118" t="s">
        <v>12</v>
      </c>
      <c r="C5007" s="334" t="s">
        <v>13467</v>
      </c>
      <c r="D5007" s="124" t="s">
        <v>9967</v>
      </c>
      <c r="E5007" s="125"/>
      <c r="F5007" s="118" t="s">
        <v>1018</v>
      </c>
      <c r="G5007" s="126" t="s">
        <v>13381</v>
      </c>
      <c r="H5007" s="255">
        <v>1</v>
      </c>
      <c r="I5007" s="361">
        <v>1</v>
      </c>
      <c r="J5007" s="362" t="s">
        <v>286</v>
      </c>
      <c r="K5007" s="363"/>
      <c r="L5007" s="129"/>
      <c r="M5007" s="129"/>
      <c r="N5007" s="129"/>
      <c r="O5007" s="129"/>
      <c r="P5007" s="364"/>
      <c r="Q5007" s="364"/>
      <c r="R5007" s="129"/>
      <c r="S5007" s="129"/>
      <c r="T5007" s="129"/>
      <c r="W5007" s="129" t="s">
        <v>4876</v>
      </c>
      <c r="X5007" s="337" t="b">
        <f t="shared" si="115"/>
        <v>0</v>
      </c>
    </row>
    <row r="5008" spans="1:24" s="337" customFormat="1" ht="12" customHeight="1" outlineLevel="1">
      <c r="A5008" s="335"/>
      <c r="B5008" s="118" t="s">
        <v>12</v>
      </c>
      <c r="C5008" s="334" t="s">
        <v>13468</v>
      </c>
      <c r="D5008" s="124" t="s">
        <v>9969</v>
      </c>
      <c r="E5008" s="125"/>
      <c r="F5008" s="118" t="s">
        <v>1018</v>
      </c>
      <c r="G5008" s="126" t="s">
        <v>13381</v>
      </c>
      <c r="H5008" s="255">
        <v>1</v>
      </c>
      <c r="I5008" s="361">
        <v>1</v>
      </c>
      <c r="J5008" s="362" t="s">
        <v>286</v>
      </c>
      <c r="K5008" s="363"/>
      <c r="L5008" s="129"/>
      <c r="M5008" s="129"/>
      <c r="N5008" s="129"/>
      <c r="O5008" s="129"/>
      <c r="P5008" s="364"/>
      <c r="Q5008" s="364"/>
      <c r="R5008" s="129"/>
      <c r="S5008" s="129"/>
      <c r="T5008" s="129"/>
      <c r="W5008" s="129" t="s">
        <v>4876</v>
      </c>
      <c r="X5008" s="337" t="b">
        <f t="shared" si="115"/>
        <v>0</v>
      </c>
    </row>
    <row r="5009" spans="1:24" s="337" customFormat="1" ht="12" customHeight="1" outlineLevel="1">
      <c r="A5009" s="335"/>
      <c r="B5009" s="118" t="s">
        <v>12</v>
      </c>
      <c r="C5009" s="334" t="s">
        <v>13469</v>
      </c>
      <c r="D5009" s="124" t="s">
        <v>9971</v>
      </c>
      <c r="E5009" s="125"/>
      <c r="F5009" s="118" t="s">
        <v>1018</v>
      </c>
      <c r="G5009" s="126" t="s">
        <v>13381</v>
      </c>
      <c r="H5009" s="255">
        <v>1</v>
      </c>
      <c r="I5009" s="361">
        <v>1</v>
      </c>
      <c r="J5009" s="362" t="s">
        <v>286</v>
      </c>
      <c r="K5009" s="363"/>
      <c r="L5009" s="129"/>
      <c r="M5009" s="129"/>
      <c r="N5009" s="129"/>
      <c r="O5009" s="129"/>
      <c r="P5009" s="364"/>
      <c r="Q5009" s="364"/>
      <c r="R5009" s="129"/>
      <c r="S5009" s="129"/>
      <c r="T5009" s="129"/>
      <c r="W5009" s="129" t="s">
        <v>4876</v>
      </c>
      <c r="X5009" s="337" t="b">
        <f t="shared" si="115"/>
        <v>0</v>
      </c>
    </row>
    <row r="5010" spans="1:24" s="337" customFormat="1" ht="12" customHeight="1" outlineLevel="1">
      <c r="A5010" s="335"/>
      <c r="B5010" s="118" t="s">
        <v>12</v>
      </c>
      <c r="C5010" s="334" t="s">
        <v>13470</v>
      </c>
      <c r="D5010" s="124" t="s">
        <v>9973</v>
      </c>
      <c r="E5010" s="125"/>
      <c r="F5010" s="118" t="s">
        <v>1018</v>
      </c>
      <c r="G5010" s="126" t="s">
        <v>13381</v>
      </c>
      <c r="H5010" s="255">
        <v>1</v>
      </c>
      <c r="I5010" s="361">
        <v>1</v>
      </c>
      <c r="J5010" s="362" t="s">
        <v>325</v>
      </c>
      <c r="K5010" s="363"/>
      <c r="L5010" s="129"/>
      <c r="M5010" s="129"/>
      <c r="N5010" s="129"/>
      <c r="O5010" s="129"/>
      <c r="P5010" s="364"/>
      <c r="Q5010" s="364"/>
      <c r="R5010" s="129"/>
      <c r="S5010" s="129"/>
      <c r="T5010" s="129"/>
      <c r="W5010" s="129" t="s">
        <v>4876</v>
      </c>
      <c r="X5010" s="337" t="b">
        <f t="shared" si="115"/>
        <v>0</v>
      </c>
    </row>
    <row r="5011" spans="1:24" s="337" customFormat="1" ht="12" customHeight="1" outlineLevel="1">
      <c r="A5011" s="335"/>
      <c r="B5011" s="118" t="s">
        <v>12</v>
      </c>
      <c r="C5011" s="334" t="s">
        <v>13471</v>
      </c>
      <c r="D5011" s="124" t="s">
        <v>9975</v>
      </c>
      <c r="E5011" s="125"/>
      <c r="F5011" s="118" t="s">
        <v>1018</v>
      </c>
      <c r="G5011" s="126" t="s">
        <v>13381</v>
      </c>
      <c r="H5011" s="255">
        <v>1</v>
      </c>
      <c r="I5011" s="361">
        <v>1</v>
      </c>
      <c r="J5011" s="362" t="s">
        <v>325</v>
      </c>
      <c r="K5011" s="363"/>
      <c r="L5011" s="129"/>
      <c r="M5011" s="129"/>
      <c r="N5011" s="129"/>
      <c r="O5011" s="129"/>
      <c r="P5011" s="364"/>
      <c r="Q5011" s="364"/>
      <c r="R5011" s="129"/>
      <c r="S5011" s="129"/>
      <c r="T5011" s="129"/>
      <c r="W5011" s="129" t="s">
        <v>4876</v>
      </c>
      <c r="X5011" s="337" t="b">
        <f t="shared" si="115"/>
        <v>0</v>
      </c>
    </row>
    <row r="5012" spans="1:24" s="337" customFormat="1" ht="12" customHeight="1" outlineLevel="1">
      <c r="A5012" s="335"/>
      <c r="B5012" s="118" t="s">
        <v>12</v>
      </c>
      <c r="C5012" s="334" t="s">
        <v>13472</v>
      </c>
      <c r="D5012" s="124" t="s">
        <v>13473</v>
      </c>
      <c r="E5012" s="125"/>
      <c r="F5012" s="118" t="s">
        <v>1018</v>
      </c>
      <c r="G5012" s="126" t="s">
        <v>13381</v>
      </c>
      <c r="H5012" s="255">
        <v>1</v>
      </c>
      <c r="I5012" s="361">
        <v>1</v>
      </c>
      <c r="J5012" s="362" t="s">
        <v>325</v>
      </c>
      <c r="K5012" s="363"/>
      <c r="L5012" s="129"/>
      <c r="M5012" s="129"/>
      <c r="N5012" s="129"/>
      <c r="O5012" s="129"/>
      <c r="P5012" s="364"/>
      <c r="Q5012" s="364"/>
      <c r="R5012" s="129"/>
      <c r="S5012" s="129"/>
      <c r="T5012" s="129"/>
      <c r="W5012" s="129" t="s">
        <v>4876</v>
      </c>
      <c r="X5012" s="337" t="b">
        <f t="shared" si="115"/>
        <v>0</v>
      </c>
    </row>
    <row r="5013" spans="1:24" s="337" customFormat="1" ht="12" customHeight="1" outlineLevel="1">
      <c r="A5013" s="335"/>
      <c r="B5013" s="118" t="s">
        <v>12</v>
      </c>
      <c r="C5013" s="334" t="s">
        <v>13474</v>
      </c>
      <c r="D5013" s="124" t="s">
        <v>5936</v>
      </c>
      <c r="E5013" s="125"/>
      <c r="F5013" s="118" t="s">
        <v>1018</v>
      </c>
      <c r="G5013" s="126" t="s">
        <v>13381</v>
      </c>
      <c r="H5013" s="255">
        <v>1</v>
      </c>
      <c r="I5013" s="361">
        <v>1</v>
      </c>
      <c r="J5013" s="362" t="s">
        <v>310</v>
      </c>
      <c r="K5013" s="363"/>
      <c r="L5013" s="129"/>
      <c r="M5013" s="129"/>
      <c r="N5013" s="129"/>
      <c r="O5013" s="129"/>
      <c r="P5013" s="364"/>
      <c r="Q5013" s="364"/>
      <c r="R5013" s="129"/>
      <c r="S5013" s="129"/>
      <c r="T5013" s="129"/>
      <c r="W5013" s="129" t="s">
        <v>286</v>
      </c>
      <c r="X5013" s="337" t="b">
        <f t="shared" si="115"/>
        <v>0</v>
      </c>
    </row>
    <row r="5014" spans="1:24" s="337" customFormat="1" ht="12" customHeight="1" outlineLevel="1">
      <c r="A5014" s="335"/>
      <c r="B5014" s="118" t="s">
        <v>12</v>
      </c>
      <c r="C5014" s="334" t="s">
        <v>10220</v>
      </c>
      <c r="D5014" s="124" t="s">
        <v>13475</v>
      </c>
      <c r="E5014" s="125"/>
      <c r="F5014" s="118" t="s">
        <v>1018</v>
      </c>
      <c r="G5014" s="126" t="s">
        <v>13381</v>
      </c>
      <c r="H5014" s="255">
        <v>1</v>
      </c>
      <c r="I5014" s="361">
        <v>1</v>
      </c>
      <c r="J5014" s="362" t="s">
        <v>286</v>
      </c>
      <c r="K5014" s="363"/>
      <c r="L5014" s="129"/>
      <c r="M5014" s="129"/>
      <c r="N5014" s="129"/>
      <c r="O5014" s="129"/>
      <c r="P5014" s="364"/>
      <c r="Q5014" s="364"/>
      <c r="R5014" s="129"/>
      <c r="S5014" s="129"/>
      <c r="T5014" s="129"/>
      <c r="W5014" s="129" t="s">
        <v>286</v>
      </c>
      <c r="X5014" s="337" t="b">
        <f t="shared" si="115"/>
        <v>1</v>
      </c>
    </row>
    <row r="5015" spans="1:24" s="337" customFormat="1" ht="12" customHeight="1" outlineLevel="1">
      <c r="A5015" s="335"/>
      <c r="B5015" s="118" t="s">
        <v>12</v>
      </c>
      <c r="C5015" s="334" t="s">
        <v>13476</v>
      </c>
      <c r="D5015" s="124" t="s">
        <v>9986</v>
      </c>
      <c r="E5015" s="125"/>
      <c r="F5015" s="118" t="s">
        <v>1018</v>
      </c>
      <c r="G5015" s="126" t="s">
        <v>13381</v>
      </c>
      <c r="H5015" s="255">
        <v>1</v>
      </c>
      <c r="I5015" s="361">
        <v>1</v>
      </c>
      <c r="J5015" s="362" t="s">
        <v>286</v>
      </c>
      <c r="K5015" s="363"/>
      <c r="L5015" s="129"/>
      <c r="M5015" s="129"/>
      <c r="N5015" s="129"/>
      <c r="O5015" s="129"/>
      <c r="P5015" s="364"/>
      <c r="Q5015" s="364"/>
      <c r="R5015" s="129"/>
      <c r="S5015" s="129"/>
      <c r="T5015" s="129"/>
      <c r="W5015" s="129" t="s">
        <v>286</v>
      </c>
      <c r="X5015" s="337" t="b">
        <f t="shared" si="115"/>
        <v>1</v>
      </c>
    </row>
    <row r="5016" spans="1:24" s="337" customFormat="1" ht="12" customHeight="1" outlineLevel="1">
      <c r="A5016" s="335"/>
      <c r="B5016" s="118" t="s">
        <v>12</v>
      </c>
      <c r="C5016" s="334" t="s">
        <v>13477</v>
      </c>
      <c r="D5016" s="124" t="s">
        <v>9988</v>
      </c>
      <c r="E5016" s="125"/>
      <c r="F5016" s="118" t="s">
        <v>1018</v>
      </c>
      <c r="G5016" s="126" t="s">
        <v>13381</v>
      </c>
      <c r="H5016" s="255">
        <v>1</v>
      </c>
      <c r="I5016" s="361">
        <v>1</v>
      </c>
      <c r="J5016" s="362" t="s">
        <v>286</v>
      </c>
      <c r="K5016" s="363"/>
      <c r="L5016" s="129"/>
      <c r="M5016" s="129"/>
      <c r="N5016" s="129"/>
      <c r="O5016" s="129"/>
      <c r="P5016" s="364"/>
      <c r="Q5016" s="364"/>
      <c r="R5016" s="129"/>
      <c r="S5016" s="129"/>
      <c r="T5016" s="129"/>
      <c r="W5016" s="129" t="s">
        <v>286</v>
      </c>
      <c r="X5016" s="337" t="b">
        <f t="shared" si="115"/>
        <v>1</v>
      </c>
    </row>
    <row r="5017" spans="1:24" s="337" customFormat="1" ht="12" customHeight="1" outlineLevel="1">
      <c r="A5017" s="335"/>
      <c r="B5017" s="118" t="s">
        <v>12</v>
      </c>
      <c r="C5017" s="334" t="s">
        <v>13478</v>
      </c>
      <c r="D5017" s="124" t="s">
        <v>9990</v>
      </c>
      <c r="E5017" s="125"/>
      <c r="F5017" s="118" t="s">
        <v>1018</v>
      </c>
      <c r="G5017" s="126" t="s">
        <v>13381</v>
      </c>
      <c r="H5017" s="255">
        <v>1</v>
      </c>
      <c r="I5017" s="361">
        <v>1</v>
      </c>
      <c r="J5017" s="362" t="s">
        <v>286</v>
      </c>
      <c r="K5017" s="363"/>
      <c r="L5017" s="129"/>
      <c r="M5017" s="129"/>
      <c r="N5017" s="129"/>
      <c r="O5017" s="129"/>
      <c r="P5017" s="364"/>
      <c r="Q5017" s="364"/>
      <c r="R5017" s="129"/>
      <c r="S5017" s="129"/>
      <c r="T5017" s="129"/>
      <c r="W5017" s="129" t="s">
        <v>286</v>
      </c>
      <c r="X5017" s="337" t="b">
        <f t="shared" si="115"/>
        <v>1</v>
      </c>
    </row>
    <row r="5018" spans="1:24" s="337" customFormat="1" ht="12" customHeight="1" outlineLevel="1">
      <c r="A5018" s="335"/>
      <c r="B5018" s="118" t="s">
        <v>12</v>
      </c>
      <c r="C5018" s="334" t="s">
        <v>13479</v>
      </c>
      <c r="D5018" s="124" t="s">
        <v>9992</v>
      </c>
      <c r="E5018" s="125"/>
      <c r="F5018" s="118" t="s">
        <v>1018</v>
      </c>
      <c r="G5018" s="126" t="s">
        <v>13381</v>
      </c>
      <c r="H5018" s="255">
        <v>1</v>
      </c>
      <c r="I5018" s="361">
        <v>1</v>
      </c>
      <c r="J5018" s="362" t="s">
        <v>286</v>
      </c>
      <c r="K5018" s="363"/>
      <c r="L5018" s="129"/>
      <c r="M5018" s="129"/>
      <c r="N5018" s="129"/>
      <c r="O5018" s="129"/>
      <c r="P5018" s="364"/>
      <c r="Q5018" s="364"/>
      <c r="R5018" s="129"/>
      <c r="S5018" s="129"/>
      <c r="T5018" s="129"/>
      <c r="W5018" s="129" t="s">
        <v>286</v>
      </c>
      <c r="X5018" s="337" t="b">
        <f t="shared" si="115"/>
        <v>1</v>
      </c>
    </row>
    <row r="5019" spans="1:24" s="337" customFormat="1" ht="12" customHeight="1" outlineLevel="1">
      <c r="A5019" s="335"/>
      <c r="B5019" s="118" t="s">
        <v>12</v>
      </c>
      <c r="C5019" s="334" t="s">
        <v>13480</v>
      </c>
      <c r="D5019" s="124" t="s">
        <v>9994</v>
      </c>
      <c r="E5019" s="125"/>
      <c r="F5019" s="118" t="s">
        <v>1018</v>
      </c>
      <c r="G5019" s="126" t="s">
        <v>13381</v>
      </c>
      <c r="H5019" s="255">
        <v>1</v>
      </c>
      <c r="I5019" s="361">
        <v>1</v>
      </c>
      <c r="J5019" s="362" t="s">
        <v>286</v>
      </c>
      <c r="K5019" s="363"/>
      <c r="L5019" s="129"/>
      <c r="M5019" s="129"/>
      <c r="N5019" s="129"/>
      <c r="O5019" s="129"/>
      <c r="P5019" s="364"/>
      <c r="Q5019" s="364"/>
      <c r="R5019" s="129"/>
      <c r="S5019" s="129"/>
      <c r="T5019" s="129"/>
      <c r="W5019" s="129" t="s">
        <v>286</v>
      </c>
      <c r="X5019" s="337" t="b">
        <f t="shared" si="115"/>
        <v>1</v>
      </c>
    </row>
    <row r="5020" spans="1:24" s="337" customFormat="1" ht="12" customHeight="1" outlineLevel="1">
      <c r="A5020" s="335"/>
      <c r="B5020" s="118" t="s">
        <v>12</v>
      </c>
      <c r="C5020" s="334" t="s">
        <v>13481</v>
      </c>
      <c r="D5020" s="124" t="s">
        <v>9996</v>
      </c>
      <c r="E5020" s="125"/>
      <c r="F5020" s="118" t="s">
        <v>1018</v>
      </c>
      <c r="G5020" s="126" t="s">
        <v>13381</v>
      </c>
      <c r="H5020" s="255">
        <v>1</v>
      </c>
      <c r="I5020" s="361">
        <v>1</v>
      </c>
      <c r="J5020" s="362" t="s">
        <v>286</v>
      </c>
      <c r="K5020" s="363"/>
      <c r="L5020" s="129"/>
      <c r="M5020" s="129"/>
      <c r="N5020" s="129"/>
      <c r="O5020" s="129"/>
      <c r="P5020" s="364"/>
      <c r="Q5020" s="364"/>
      <c r="R5020" s="129"/>
      <c r="S5020" s="129"/>
      <c r="T5020" s="129"/>
      <c r="W5020" s="129" t="s">
        <v>286</v>
      </c>
      <c r="X5020" s="337" t="b">
        <f t="shared" si="115"/>
        <v>1</v>
      </c>
    </row>
    <row r="5021" spans="1:24" s="337" customFormat="1" ht="12" customHeight="1" outlineLevel="1">
      <c r="A5021" s="335"/>
      <c r="B5021" s="118" t="s">
        <v>12</v>
      </c>
      <c r="C5021" s="334" t="s">
        <v>13482</v>
      </c>
      <c r="D5021" s="124" t="s">
        <v>9998</v>
      </c>
      <c r="E5021" s="125"/>
      <c r="F5021" s="118" t="s">
        <v>1018</v>
      </c>
      <c r="G5021" s="126" t="s">
        <v>13381</v>
      </c>
      <c r="H5021" s="255">
        <v>1</v>
      </c>
      <c r="I5021" s="361">
        <v>1</v>
      </c>
      <c r="J5021" s="362" t="s">
        <v>286</v>
      </c>
      <c r="K5021" s="363"/>
      <c r="L5021" s="129"/>
      <c r="M5021" s="129"/>
      <c r="N5021" s="129"/>
      <c r="O5021" s="129"/>
      <c r="P5021" s="364"/>
      <c r="Q5021" s="364"/>
      <c r="R5021" s="129"/>
      <c r="S5021" s="129"/>
      <c r="T5021" s="129"/>
      <c r="W5021" s="129" t="s">
        <v>286</v>
      </c>
      <c r="X5021" s="337" t="b">
        <f t="shared" si="115"/>
        <v>1</v>
      </c>
    </row>
    <row r="5022" spans="1:24" s="337" customFormat="1" ht="12" customHeight="1" outlineLevel="1">
      <c r="A5022" s="335"/>
      <c r="B5022" s="118" t="s">
        <v>12</v>
      </c>
      <c r="C5022" s="334" t="s">
        <v>13483</v>
      </c>
      <c r="D5022" s="124" t="s">
        <v>10000</v>
      </c>
      <c r="E5022" s="125"/>
      <c r="F5022" s="118" t="s">
        <v>1018</v>
      </c>
      <c r="G5022" s="126" t="s">
        <v>13381</v>
      </c>
      <c r="H5022" s="255">
        <v>1</v>
      </c>
      <c r="I5022" s="361">
        <v>1</v>
      </c>
      <c r="J5022" s="362" t="s">
        <v>286</v>
      </c>
      <c r="K5022" s="363"/>
      <c r="L5022" s="129"/>
      <c r="M5022" s="129"/>
      <c r="N5022" s="129"/>
      <c r="O5022" s="129"/>
      <c r="P5022" s="364"/>
      <c r="Q5022" s="364"/>
      <c r="R5022" s="129"/>
      <c r="S5022" s="129"/>
      <c r="T5022" s="129"/>
      <c r="W5022" s="129" t="s">
        <v>286</v>
      </c>
      <c r="X5022" s="337" t="b">
        <f t="shared" si="115"/>
        <v>1</v>
      </c>
    </row>
    <row r="5023" spans="1:24" s="337" customFormat="1" ht="12" customHeight="1" outlineLevel="1">
      <c r="A5023" s="335"/>
      <c r="B5023" s="118" t="s">
        <v>12</v>
      </c>
      <c r="C5023" s="334" t="s">
        <v>13484</v>
      </c>
      <c r="D5023" s="124" t="s">
        <v>10002</v>
      </c>
      <c r="E5023" s="125"/>
      <c r="F5023" s="118" t="s">
        <v>1018</v>
      </c>
      <c r="G5023" s="126" t="s">
        <v>13381</v>
      </c>
      <c r="H5023" s="255">
        <v>1</v>
      </c>
      <c r="I5023" s="361">
        <v>1</v>
      </c>
      <c r="J5023" s="362" t="s">
        <v>286</v>
      </c>
      <c r="K5023" s="363"/>
      <c r="L5023" s="129"/>
      <c r="M5023" s="129"/>
      <c r="N5023" s="129"/>
      <c r="O5023" s="129"/>
      <c r="P5023" s="364"/>
      <c r="Q5023" s="364"/>
      <c r="R5023" s="129"/>
      <c r="S5023" s="129"/>
      <c r="T5023" s="129"/>
      <c r="W5023" s="129" t="s">
        <v>286</v>
      </c>
      <c r="X5023" s="337" t="b">
        <f t="shared" si="115"/>
        <v>1</v>
      </c>
    </row>
    <row r="5024" spans="1:24" s="337" customFormat="1" ht="12" customHeight="1" outlineLevel="1">
      <c r="A5024" s="335"/>
      <c r="B5024" s="118" t="s">
        <v>12</v>
      </c>
      <c r="C5024" s="334" t="s">
        <v>13485</v>
      </c>
      <c r="D5024" s="124" t="s">
        <v>10004</v>
      </c>
      <c r="E5024" s="125"/>
      <c r="F5024" s="118" t="s">
        <v>1018</v>
      </c>
      <c r="G5024" s="126" t="s">
        <v>13381</v>
      </c>
      <c r="H5024" s="255">
        <v>1</v>
      </c>
      <c r="I5024" s="361">
        <v>1</v>
      </c>
      <c r="J5024" s="362" t="s">
        <v>286</v>
      </c>
      <c r="K5024" s="363"/>
      <c r="L5024" s="129"/>
      <c r="M5024" s="129"/>
      <c r="N5024" s="129"/>
      <c r="O5024" s="129"/>
      <c r="P5024" s="364"/>
      <c r="Q5024" s="364"/>
      <c r="R5024" s="129"/>
      <c r="S5024" s="129"/>
      <c r="T5024" s="129"/>
      <c r="W5024" s="129" t="s">
        <v>286</v>
      </c>
      <c r="X5024" s="337" t="b">
        <f t="shared" si="115"/>
        <v>1</v>
      </c>
    </row>
    <row r="5025" spans="1:24" s="337" customFormat="1" ht="12" customHeight="1" outlineLevel="1">
      <c r="A5025" s="335"/>
      <c r="B5025" s="118" t="s">
        <v>12</v>
      </c>
      <c r="C5025" s="334" t="s">
        <v>13486</v>
      </c>
      <c r="D5025" s="124" t="s">
        <v>10006</v>
      </c>
      <c r="E5025" s="125"/>
      <c r="F5025" s="118" t="s">
        <v>1018</v>
      </c>
      <c r="G5025" s="126" t="s">
        <v>13381</v>
      </c>
      <c r="H5025" s="255">
        <v>1</v>
      </c>
      <c r="I5025" s="361">
        <v>1</v>
      </c>
      <c r="J5025" s="362" t="s">
        <v>286</v>
      </c>
      <c r="K5025" s="363"/>
      <c r="L5025" s="129"/>
      <c r="M5025" s="129"/>
      <c r="N5025" s="129"/>
      <c r="O5025" s="129"/>
      <c r="P5025" s="364"/>
      <c r="Q5025" s="364"/>
      <c r="R5025" s="129"/>
      <c r="S5025" s="129"/>
      <c r="T5025" s="129"/>
      <c r="W5025" s="129" t="s">
        <v>286</v>
      </c>
      <c r="X5025" s="337" t="b">
        <f t="shared" si="115"/>
        <v>1</v>
      </c>
    </row>
    <row r="5026" spans="1:24" s="337" customFormat="1" ht="12" customHeight="1" outlineLevel="1">
      <c r="A5026" s="335"/>
      <c r="B5026" s="118" t="s">
        <v>12</v>
      </c>
      <c r="C5026" s="334" t="s">
        <v>13487</v>
      </c>
      <c r="D5026" s="124" t="s">
        <v>10008</v>
      </c>
      <c r="E5026" s="125"/>
      <c r="F5026" s="118" t="s">
        <v>1018</v>
      </c>
      <c r="G5026" s="126" t="s">
        <v>13381</v>
      </c>
      <c r="H5026" s="255">
        <v>1</v>
      </c>
      <c r="I5026" s="361">
        <v>1</v>
      </c>
      <c r="J5026" s="362" t="s">
        <v>286</v>
      </c>
      <c r="K5026" s="363"/>
      <c r="L5026" s="129"/>
      <c r="M5026" s="129"/>
      <c r="N5026" s="129"/>
      <c r="O5026" s="129"/>
      <c r="P5026" s="364"/>
      <c r="Q5026" s="364"/>
      <c r="R5026" s="129"/>
      <c r="S5026" s="129"/>
      <c r="T5026" s="129"/>
      <c r="W5026" s="129" t="s">
        <v>286</v>
      </c>
      <c r="X5026" s="337" t="b">
        <f t="shared" si="115"/>
        <v>1</v>
      </c>
    </row>
    <row r="5027" spans="1:24" s="337" customFormat="1" ht="12" customHeight="1" outlineLevel="1">
      <c r="A5027" s="335"/>
      <c r="B5027" s="118" t="s">
        <v>12</v>
      </c>
      <c r="C5027" s="334" t="s">
        <v>13488</v>
      </c>
      <c r="D5027" s="124" t="s">
        <v>10234</v>
      </c>
      <c r="E5027" s="125"/>
      <c r="F5027" s="118" t="s">
        <v>1018</v>
      </c>
      <c r="G5027" s="126" t="s">
        <v>13489</v>
      </c>
      <c r="H5027" s="255">
        <v>2</v>
      </c>
      <c r="I5027" s="361">
        <v>1</v>
      </c>
      <c r="J5027" s="362" t="s">
        <v>286</v>
      </c>
      <c r="K5027" s="363"/>
      <c r="L5027" s="129"/>
      <c r="M5027" s="129"/>
      <c r="N5027" s="129"/>
      <c r="O5027" s="129"/>
      <c r="P5027" s="364"/>
      <c r="Q5027" s="364"/>
      <c r="R5027" s="129"/>
      <c r="S5027" s="129"/>
      <c r="T5027" s="129"/>
      <c r="W5027" s="129" t="s">
        <v>4876</v>
      </c>
      <c r="X5027" s="337" t="b">
        <f t="shared" si="115"/>
        <v>0</v>
      </c>
    </row>
    <row r="5028" spans="1:24" s="337" customFormat="1" ht="12" customHeight="1" outlineLevel="1">
      <c r="A5028" s="335"/>
      <c r="B5028" s="118" t="s">
        <v>12</v>
      </c>
      <c r="C5028" s="334" t="s">
        <v>13490</v>
      </c>
      <c r="D5028" s="124" t="s">
        <v>10236</v>
      </c>
      <c r="E5028" s="125"/>
      <c r="F5028" s="118" t="s">
        <v>1018</v>
      </c>
      <c r="G5028" s="126" t="s">
        <v>13489</v>
      </c>
      <c r="H5028" s="255">
        <v>2</v>
      </c>
      <c r="I5028" s="361">
        <v>1</v>
      </c>
      <c r="J5028" s="362" t="s">
        <v>286</v>
      </c>
      <c r="K5028" s="363"/>
      <c r="L5028" s="129"/>
      <c r="M5028" s="129"/>
      <c r="N5028" s="129"/>
      <c r="O5028" s="129"/>
      <c r="P5028" s="364"/>
      <c r="Q5028" s="364"/>
      <c r="R5028" s="129"/>
      <c r="S5028" s="129"/>
      <c r="T5028" s="129"/>
      <c r="W5028" s="129" t="s">
        <v>286</v>
      </c>
      <c r="X5028" s="337" t="b">
        <f t="shared" si="115"/>
        <v>1</v>
      </c>
    </row>
    <row r="5029" spans="1:24" s="337" customFormat="1" ht="12" customHeight="1" outlineLevel="1">
      <c r="A5029" s="335"/>
      <c r="B5029" s="118" t="s">
        <v>12</v>
      </c>
      <c r="C5029" s="334" t="s">
        <v>13491</v>
      </c>
      <c r="D5029" s="124" t="s">
        <v>10238</v>
      </c>
      <c r="E5029" s="125"/>
      <c r="F5029" s="118" t="s">
        <v>1018</v>
      </c>
      <c r="G5029" s="126" t="s">
        <v>13489</v>
      </c>
      <c r="H5029" s="255">
        <v>2</v>
      </c>
      <c r="I5029" s="361">
        <v>1</v>
      </c>
      <c r="J5029" s="362" t="s">
        <v>286</v>
      </c>
      <c r="K5029" s="363"/>
      <c r="L5029" s="129"/>
      <c r="M5029" s="129"/>
      <c r="N5029" s="129"/>
      <c r="O5029" s="129"/>
      <c r="P5029" s="364"/>
      <c r="Q5029" s="364"/>
      <c r="R5029" s="129"/>
      <c r="S5029" s="129"/>
      <c r="T5029" s="129"/>
      <c r="W5029" s="129" t="s">
        <v>286</v>
      </c>
      <c r="X5029" s="337" t="b">
        <f t="shared" si="115"/>
        <v>1</v>
      </c>
    </row>
    <row r="5030" spans="1:24" s="337" customFormat="1" ht="12" customHeight="1" outlineLevel="1">
      <c r="A5030" s="335"/>
      <c r="B5030" s="118" t="s">
        <v>12</v>
      </c>
      <c r="C5030" s="334" t="s">
        <v>13492</v>
      </c>
      <c r="D5030" s="124" t="s">
        <v>10240</v>
      </c>
      <c r="E5030" s="125"/>
      <c r="F5030" s="118" t="s">
        <v>1018</v>
      </c>
      <c r="G5030" s="126" t="s">
        <v>13489</v>
      </c>
      <c r="H5030" s="255">
        <v>2</v>
      </c>
      <c r="I5030" s="361">
        <v>1</v>
      </c>
      <c r="J5030" s="362" t="s">
        <v>286</v>
      </c>
      <c r="K5030" s="363"/>
      <c r="L5030" s="129"/>
      <c r="M5030" s="129"/>
      <c r="N5030" s="129"/>
      <c r="O5030" s="129"/>
      <c r="P5030" s="364"/>
      <c r="Q5030" s="364"/>
      <c r="R5030" s="129"/>
      <c r="S5030" s="129"/>
      <c r="T5030" s="129"/>
      <c r="W5030" s="129" t="s">
        <v>286</v>
      </c>
      <c r="X5030" s="337" t="b">
        <f t="shared" si="115"/>
        <v>1</v>
      </c>
    </row>
    <row r="5031" spans="1:24" s="337" customFormat="1" ht="12" customHeight="1" outlineLevel="1">
      <c r="A5031" s="335"/>
      <c r="B5031" s="118" t="s">
        <v>12</v>
      </c>
      <c r="C5031" s="334" t="s">
        <v>13493</v>
      </c>
      <c r="D5031" s="124" t="s">
        <v>13494</v>
      </c>
      <c r="E5031" s="125"/>
      <c r="F5031" s="118" t="s">
        <v>1018</v>
      </c>
      <c r="G5031" s="126" t="s">
        <v>13489</v>
      </c>
      <c r="H5031" s="255">
        <v>2</v>
      </c>
      <c r="I5031" s="361">
        <v>1</v>
      </c>
      <c r="J5031" s="362" t="s">
        <v>286</v>
      </c>
      <c r="K5031" s="363"/>
      <c r="L5031" s="129"/>
      <c r="M5031" s="129"/>
      <c r="N5031" s="129"/>
      <c r="O5031" s="129"/>
      <c r="P5031" s="364"/>
      <c r="Q5031" s="364"/>
      <c r="R5031" s="129"/>
      <c r="S5031" s="129"/>
      <c r="T5031" s="129"/>
      <c r="W5031" s="129" t="s">
        <v>286</v>
      </c>
      <c r="X5031" s="337" t="b">
        <f t="shared" si="115"/>
        <v>1</v>
      </c>
    </row>
    <row r="5032" spans="1:24" s="337" customFormat="1" ht="12" customHeight="1" outlineLevel="1">
      <c r="A5032" s="335"/>
      <c r="B5032" s="118" t="s">
        <v>12</v>
      </c>
      <c r="C5032" s="334" t="s">
        <v>13495</v>
      </c>
      <c r="D5032" s="124" t="s">
        <v>10242</v>
      </c>
      <c r="E5032" s="125"/>
      <c r="F5032" s="118" t="s">
        <v>1018</v>
      </c>
      <c r="G5032" s="126" t="s">
        <v>13489</v>
      </c>
      <c r="H5032" s="255">
        <v>2</v>
      </c>
      <c r="I5032" s="361">
        <v>1</v>
      </c>
      <c r="J5032" s="362" t="s">
        <v>286</v>
      </c>
      <c r="K5032" s="363"/>
      <c r="L5032" s="129"/>
      <c r="M5032" s="129"/>
      <c r="N5032" s="129"/>
      <c r="O5032" s="129"/>
      <c r="P5032" s="364"/>
      <c r="Q5032" s="364"/>
      <c r="R5032" s="129"/>
      <c r="S5032" s="129"/>
      <c r="T5032" s="129"/>
      <c r="W5032" s="129" t="s">
        <v>286</v>
      </c>
      <c r="X5032" s="337" t="b">
        <f t="shared" si="115"/>
        <v>1</v>
      </c>
    </row>
    <row r="5033" spans="1:24" s="337" customFormat="1" ht="12" customHeight="1" outlineLevel="1">
      <c r="A5033" s="335"/>
      <c r="B5033" s="118" t="s">
        <v>12</v>
      </c>
      <c r="C5033" s="334" t="s">
        <v>13496</v>
      </c>
      <c r="D5033" s="124" t="s">
        <v>10242</v>
      </c>
      <c r="E5033" s="125"/>
      <c r="F5033" s="118" t="s">
        <v>1018</v>
      </c>
      <c r="G5033" s="126" t="s">
        <v>13489</v>
      </c>
      <c r="H5033" s="255">
        <v>2</v>
      </c>
      <c r="I5033" s="361">
        <v>1</v>
      </c>
      <c r="J5033" s="362" t="s">
        <v>286</v>
      </c>
      <c r="K5033" s="363"/>
      <c r="L5033" s="129"/>
      <c r="M5033" s="129"/>
      <c r="N5033" s="129"/>
      <c r="O5033" s="129"/>
      <c r="P5033" s="364"/>
      <c r="Q5033" s="364"/>
      <c r="R5033" s="129"/>
      <c r="S5033" s="129"/>
      <c r="T5033" s="129"/>
      <c r="W5033" s="129" t="s">
        <v>286</v>
      </c>
      <c r="X5033" s="337" t="b">
        <f t="shared" si="115"/>
        <v>1</v>
      </c>
    </row>
    <row r="5034" spans="1:24" s="337" customFormat="1" ht="12" customHeight="1" outlineLevel="1">
      <c r="A5034" s="335"/>
      <c r="B5034" s="118" t="s">
        <v>12</v>
      </c>
      <c r="C5034" s="334" t="s">
        <v>13497</v>
      </c>
      <c r="D5034" s="124" t="s">
        <v>10242</v>
      </c>
      <c r="E5034" s="125"/>
      <c r="F5034" s="118" t="s">
        <v>1018</v>
      </c>
      <c r="G5034" s="126" t="s">
        <v>13489</v>
      </c>
      <c r="H5034" s="255">
        <v>2</v>
      </c>
      <c r="I5034" s="361">
        <v>1</v>
      </c>
      <c r="J5034" s="362" t="s">
        <v>286</v>
      </c>
      <c r="K5034" s="363"/>
      <c r="L5034" s="129"/>
      <c r="M5034" s="129"/>
      <c r="N5034" s="129"/>
      <c r="O5034" s="129"/>
      <c r="P5034" s="364"/>
      <c r="Q5034" s="364"/>
      <c r="R5034" s="129"/>
      <c r="S5034" s="129"/>
      <c r="T5034" s="129"/>
      <c r="W5034" s="129" t="s">
        <v>286</v>
      </c>
      <c r="X5034" s="337" t="b">
        <f t="shared" si="115"/>
        <v>1</v>
      </c>
    </row>
    <row r="5035" spans="1:24" s="337" customFormat="1" ht="12" customHeight="1" outlineLevel="1">
      <c r="A5035" s="335"/>
      <c r="B5035" s="118" t="s">
        <v>12</v>
      </c>
      <c r="C5035" s="334" t="s">
        <v>13498</v>
      </c>
      <c r="D5035" s="124" t="s">
        <v>13499</v>
      </c>
      <c r="E5035" s="125"/>
      <c r="F5035" s="118" t="s">
        <v>1018</v>
      </c>
      <c r="G5035" s="126" t="s">
        <v>13489</v>
      </c>
      <c r="H5035" s="255">
        <v>2</v>
      </c>
      <c r="I5035" s="361">
        <v>1</v>
      </c>
      <c r="J5035" s="362" t="s">
        <v>286</v>
      </c>
      <c r="K5035" s="363"/>
      <c r="L5035" s="129"/>
      <c r="M5035" s="129"/>
      <c r="N5035" s="129"/>
      <c r="O5035" s="129"/>
      <c r="P5035" s="364"/>
      <c r="Q5035" s="364"/>
      <c r="R5035" s="129"/>
      <c r="S5035" s="129"/>
      <c r="T5035" s="129"/>
      <c r="W5035" s="129" t="s">
        <v>286</v>
      </c>
      <c r="X5035" s="337" t="b">
        <f t="shared" si="115"/>
        <v>1</v>
      </c>
    </row>
    <row r="5036" spans="1:24" s="337" customFormat="1" ht="12" customHeight="1" outlineLevel="1">
      <c r="A5036" s="335"/>
      <c r="B5036" s="118" t="s">
        <v>12</v>
      </c>
      <c r="C5036" s="334" t="s">
        <v>13500</v>
      </c>
      <c r="D5036" s="124" t="s">
        <v>13501</v>
      </c>
      <c r="E5036" s="125"/>
      <c r="F5036" s="118" t="s">
        <v>1018</v>
      </c>
      <c r="G5036" s="126" t="s">
        <v>13502</v>
      </c>
      <c r="H5036" s="255">
        <v>4</v>
      </c>
      <c r="I5036" s="361">
        <v>1</v>
      </c>
      <c r="J5036" s="362" t="s">
        <v>286</v>
      </c>
      <c r="K5036" s="363"/>
      <c r="L5036" s="129"/>
      <c r="M5036" s="129"/>
      <c r="N5036" s="129"/>
      <c r="O5036" s="129"/>
      <c r="P5036" s="364"/>
      <c r="Q5036" s="364"/>
      <c r="R5036" s="129"/>
      <c r="S5036" s="129"/>
      <c r="T5036" s="129"/>
      <c r="W5036" s="129" t="s">
        <v>4876</v>
      </c>
      <c r="X5036" s="337" t="b">
        <f t="shared" si="115"/>
        <v>0</v>
      </c>
    </row>
    <row r="5037" spans="1:24" s="337" customFormat="1" ht="12" customHeight="1" outlineLevel="1">
      <c r="A5037" s="335"/>
      <c r="B5037" s="118" t="s">
        <v>12</v>
      </c>
      <c r="C5037" s="334" t="s">
        <v>13503</v>
      </c>
      <c r="D5037" s="124" t="s">
        <v>10246</v>
      </c>
      <c r="E5037" s="125"/>
      <c r="F5037" s="118" t="s">
        <v>1018</v>
      </c>
      <c r="G5037" s="126" t="s">
        <v>13502</v>
      </c>
      <c r="H5037" s="255">
        <v>4</v>
      </c>
      <c r="I5037" s="361">
        <v>1</v>
      </c>
      <c r="J5037" s="362" t="s">
        <v>286</v>
      </c>
      <c r="K5037" s="363"/>
      <c r="L5037" s="129"/>
      <c r="M5037" s="129"/>
      <c r="N5037" s="129"/>
      <c r="O5037" s="129"/>
      <c r="P5037" s="364"/>
      <c r="Q5037" s="364"/>
      <c r="R5037" s="129"/>
      <c r="S5037" s="129"/>
      <c r="T5037" s="129"/>
      <c r="W5037" s="129" t="s">
        <v>4876</v>
      </c>
      <c r="X5037" s="337" t="b">
        <f t="shared" si="115"/>
        <v>0</v>
      </c>
    </row>
    <row r="5038" spans="1:24" s="337" customFormat="1" ht="12" customHeight="1" outlineLevel="1">
      <c r="A5038" s="335"/>
      <c r="B5038" s="118" t="s">
        <v>12</v>
      </c>
      <c r="C5038" s="334" t="s">
        <v>13504</v>
      </c>
      <c r="D5038" s="124" t="s">
        <v>10246</v>
      </c>
      <c r="E5038" s="125"/>
      <c r="F5038" s="118" t="s">
        <v>1018</v>
      </c>
      <c r="G5038" s="126" t="s">
        <v>13502</v>
      </c>
      <c r="H5038" s="255">
        <v>4</v>
      </c>
      <c r="I5038" s="361">
        <v>1</v>
      </c>
      <c r="J5038" s="362" t="s">
        <v>286</v>
      </c>
      <c r="K5038" s="363"/>
      <c r="L5038" s="129"/>
      <c r="M5038" s="129"/>
      <c r="N5038" s="129"/>
      <c r="O5038" s="129"/>
      <c r="P5038" s="364"/>
      <c r="Q5038" s="364"/>
      <c r="R5038" s="129"/>
      <c r="S5038" s="129"/>
      <c r="T5038" s="129"/>
      <c r="W5038" s="129" t="s">
        <v>4876</v>
      </c>
      <c r="X5038" s="337" t="b">
        <f t="shared" si="115"/>
        <v>0</v>
      </c>
    </row>
    <row r="5039" spans="1:24" s="337" customFormat="1" ht="12" customHeight="1" outlineLevel="1">
      <c r="A5039" s="335"/>
      <c r="B5039" s="118" t="s">
        <v>12</v>
      </c>
      <c r="C5039" s="334" t="s">
        <v>13505</v>
      </c>
      <c r="D5039" s="124" t="s">
        <v>13506</v>
      </c>
      <c r="E5039" s="125"/>
      <c r="F5039" s="118" t="s">
        <v>1018</v>
      </c>
      <c r="G5039" s="126" t="s">
        <v>13502</v>
      </c>
      <c r="H5039" s="255">
        <v>4</v>
      </c>
      <c r="I5039" s="361">
        <v>1</v>
      </c>
      <c r="J5039" s="362" t="s">
        <v>286</v>
      </c>
      <c r="K5039" s="363"/>
      <c r="L5039" s="129"/>
      <c r="M5039" s="129"/>
      <c r="N5039" s="129"/>
      <c r="O5039" s="129"/>
      <c r="P5039" s="364"/>
      <c r="Q5039" s="364"/>
      <c r="R5039" s="129"/>
      <c r="S5039" s="129"/>
      <c r="T5039" s="129"/>
      <c r="W5039" s="129" t="s">
        <v>4876</v>
      </c>
      <c r="X5039" s="337" t="b">
        <f t="shared" si="115"/>
        <v>0</v>
      </c>
    </row>
    <row r="5040" spans="1:24" s="337" customFormat="1" ht="12" customHeight="1" outlineLevel="1">
      <c r="A5040" s="335"/>
      <c r="B5040" s="118" t="s">
        <v>12</v>
      </c>
      <c r="C5040" s="334" t="s">
        <v>13507</v>
      </c>
      <c r="D5040" s="124" t="s">
        <v>13508</v>
      </c>
      <c r="E5040" s="125"/>
      <c r="F5040" s="118" t="s">
        <v>1018</v>
      </c>
      <c r="G5040" s="126" t="s">
        <v>13502</v>
      </c>
      <c r="H5040" s="255">
        <v>4</v>
      </c>
      <c r="I5040" s="361">
        <v>1</v>
      </c>
      <c r="J5040" s="362" t="s">
        <v>286</v>
      </c>
      <c r="K5040" s="363"/>
      <c r="L5040" s="129"/>
      <c r="M5040" s="129"/>
      <c r="N5040" s="129"/>
      <c r="O5040" s="129"/>
      <c r="P5040" s="364"/>
      <c r="Q5040" s="364"/>
      <c r="R5040" s="129"/>
      <c r="S5040" s="129"/>
      <c r="T5040" s="129"/>
      <c r="W5040" s="129" t="s">
        <v>286</v>
      </c>
      <c r="X5040" s="337" t="b">
        <f t="shared" si="115"/>
        <v>1</v>
      </c>
    </row>
    <row r="5041" spans="1:24" s="337" customFormat="1" ht="12" customHeight="1" outlineLevel="1">
      <c r="A5041" s="335"/>
      <c r="B5041" s="118" t="s">
        <v>12</v>
      </c>
      <c r="C5041" s="334" t="s">
        <v>13509</v>
      </c>
      <c r="D5041" s="124" t="s">
        <v>13510</v>
      </c>
      <c r="E5041" s="125"/>
      <c r="F5041" s="118" t="s">
        <v>1018</v>
      </c>
      <c r="G5041" s="126" t="s">
        <v>13502</v>
      </c>
      <c r="H5041" s="255">
        <v>4</v>
      </c>
      <c r="I5041" s="361">
        <v>1</v>
      </c>
      <c r="J5041" s="362" t="s">
        <v>286</v>
      </c>
      <c r="K5041" s="363"/>
      <c r="L5041" s="129"/>
      <c r="M5041" s="129"/>
      <c r="N5041" s="129"/>
      <c r="O5041" s="129"/>
      <c r="P5041" s="364"/>
      <c r="Q5041" s="364"/>
      <c r="R5041" s="129"/>
      <c r="S5041" s="129"/>
      <c r="T5041" s="129"/>
      <c r="W5041" s="129" t="s">
        <v>286</v>
      </c>
      <c r="X5041" s="337" t="b">
        <f t="shared" si="115"/>
        <v>1</v>
      </c>
    </row>
    <row r="5042" spans="1:24" s="337" customFormat="1" ht="12" customHeight="1" outlineLevel="1">
      <c r="A5042" s="335"/>
      <c r="B5042" s="118" t="s">
        <v>12</v>
      </c>
      <c r="C5042" s="334" t="s">
        <v>13511</v>
      </c>
      <c r="D5042" s="124" t="s">
        <v>13512</v>
      </c>
      <c r="E5042" s="125"/>
      <c r="F5042" s="118" t="s">
        <v>1018</v>
      </c>
      <c r="G5042" s="126" t="s">
        <v>13502</v>
      </c>
      <c r="H5042" s="255">
        <v>4</v>
      </c>
      <c r="I5042" s="361">
        <v>1</v>
      </c>
      <c r="J5042" s="362" t="s">
        <v>286</v>
      </c>
      <c r="K5042" s="363"/>
      <c r="L5042" s="129"/>
      <c r="M5042" s="129"/>
      <c r="N5042" s="129"/>
      <c r="O5042" s="129"/>
      <c r="P5042" s="364"/>
      <c r="Q5042" s="364"/>
      <c r="R5042" s="129"/>
      <c r="S5042" s="129"/>
      <c r="T5042" s="129"/>
      <c r="W5042" s="129" t="s">
        <v>286</v>
      </c>
      <c r="X5042" s="337" t="b">
        <f t="shared" si="115"/>
        <v>1</v>
      </c>
    </row>
    <row r="5043" spans="1:24" s="337" customFormat="1" ht="12" customHeight="1" outlineLevel="1">
      <c r="A5043" s="335"/>
      <c r="B5043" s="118" t="s">
        <v>12</v>
      </c>
      <c r="C5043" s="334" t="s">
        <v>13513</v>
      </c>
      <c r="D5043" s="124" t="s">
        <v>13514</v>
      </c>
      <c r="E5043" s="125"/>
      <c r="F5043" s="118" t="s">
        <v>1018</v>
      </c>
      <c r="G5043" s="126" t="s">
        <v>13502</v>
      </c>
      <c r="H5043" s="255">
        <v>4</v>
      </c>
      <c r="I5043" s="361">
        <v>1</v>
      </c>
      <c r="J5043" s="362" t="s">
        <v>286</v>
      </c>
      <c r="K5043" s="363"/>
      <c r="L5043" s="129"/>
      <c r="M5043" s="129"/>
      <c r="N5043" s="129"/>
      <c r="O5043" s="129"/>
      <c r="P5043" s="364"/>
      <c r="Q5043" s="364"/>
      <c r="R5043" s="129"/>
      <c r="S5043" s="129"/>
      <c r="T5043" s="129"/>
      <c r="W5043" s="129" t="s">
        <v>286</v>
      </c>
      <c r="X5043" s="337" t="b">
        <f t="shared" si="115"/>
        <v>1</v>
      </c>
    </row>
    <row r="5044" spans="1:24" s="337" customFormat="1" ht="12" customHeight="1" outlineLevel="1">
      <c r="A5044" s="335"/>
      <c r="B5044" s="118" t="s">
        <v>12</v>
      </c>
      <c r="C5044" s="334" t="s">
        <v>13515</v>
      </c>
      <c r="D5044" s="124" t="s">
        <v>13516</v>
      </c>
      <c r="E5044" s="125"/>
      <c r="F5044" s="118" t="s">
        <v>1018</v>
      </c>
      <c r="G5044" s="126" t="s">
        <v>13502</v>
      </c>
      <c r="H5044" s="255">
        <v>4</v>
      </c>
      <c r="I5044" s="361">
        <v>1</v>
      </c>
      <c r="J5044" s="362" t="s">
        <v>286</v>
      </c>
      <c r="K5044" s="363"/>
      <c r="L5044" s="129"/>
      <c r="M5044" s="129"/>
      <c r="N5044" s="129"/>
      <c r="O5044" s="129"/>
      <c r="P5044" s="364"/>
      <c r="Q5044" s="364"/>
      <c r="R5044" s="129"/>
      <c r="S5044" s="129"/>
      <c r="T5044" s="129"/>
      <c r="W5044" s="129" t="s">
        <v>286</v>
      </c>
      <c r="X5044" s="337" t="b">
        <f t="shared" si="115"/>
        <v>1</v>
      </c>
    </row>
    <row r="5045" spans="1:24" s="337" customFormat="1" ht="12" customHeight="1" outlineLevel="1">
      <c r="A5045" s="335"/>
      <c r="B5045" s="118" t="s">
        <v>12</v>
      </c>
      <c r="C5045" s="334" t="s">
        <v>13517</v>
      </c>
      <c r="D5045" s="124" t="s">
        <v>13518</v>
      </c>
      <c r="E5045" s="125"/>
      <c r="F5045" s="118" t="s">
        <v>1018</v>
      </c>
      <c r="G5045" s="126" t="s">
        <v>13502</v>
      </c>
      <c r="H5045" s="255">
        <v>4</v>
      </c>
      <c r="I5045" s="361">
        <v>1</v>
      </c>
      <c r="J5045" s="362" t="s">
        <v>286</v>
      </c>
      <c r="K5045" s="363"/>
      <c r="L5045" s="129"/>
      <c r="M5045" s="129"/>
      <c r="N5045" s="129"/>
      <c r="O5045" s="129"/>
      <c r="P5045" s="364"/>
      <c r="Q5045" s="364"/>
      <c r="R5045" s="129"/>
      <c r="S5045" s="129"/>
      <c r="T5045" s="129"/>
      <c r="W5045" s="129" t="s">
        <v>286</v>
      </c>
      <c r="X5045" s="337" t="b">
        <f t="shared" si="115"/>
        <v>1</v>
      </c>
    </row>
    <row r="5046" spans="1:24" s="337" customFormat="1" ht="12" customHeight="1" outlineLevel="1">
      <c r="A5046" s="335"/>
      <c r="B5046" s="118" t="s">
        <v>12</v>
      </c>
      <c r="C5046" s="334" t="s">
        <v>13519</v>
      </c>
      <c r="D5046" s="124" t="s">
        <v>13520</v>
      </c>
      <c r="E5046" s="125"/>
      <c r="F5046" s="118" t="s">
        <v>1018</v>
      </c>
      <c r="G5046" s="126" t="s">
        <v>13502</v>
      </c>
      <c r="H5046" s="255">
        <v>4</v>
      </c>
      <c r="I5046" s="361">
        <v>1</v>
      </c>
      <c r="J5046" s="362" t="s">
        <v>286</v>
      </c>
      <c r="K5046" s="363"/>
      <c r="L5046" s="129"/>
      <c r="M5046" s="129"/>
      <c r="N5046" s="129"/>
      <c r="O5046" s="129"/>
      <c r="P5046" s="364"/>
      <c r="Q5046" s="364"/>
      <c r="R5046" s="129"/>
      <c r="S5046" s="129"/>
      <c r="T5046" s="129"/>
      <c r="W5046" s="129" t="s">
        <v>286</v>
      </c>
      <c r="X5046" s="337" t="b">
        <f t="shared" si="115"/>
        <v>1</v>
      </c>
    </row>
    <row r="5047" spans="1:24" s="337" customFormat="1" ht="12" customHeight="1" outlineLevel="1">
      <c r="A5047" s="335"/>
      <c r="B5047" s="118" t="s">
        <v>12</v>
      </c>
      <c r="C5047" s="334" t="s">
        <v>13521</v>
      </c>
      <c r="D5047" s="124" t="s">
        <v>10271</v>
      </c>
      <c r="E5047" s="125"/>
      <c r="F5047" s="118" t="s">
        <v>1018</v>
      </c>
      <c r="G5047" s="126" t="s">
        <v>13489</v>
      </c>
      <c r="H5047" s="255">
        <v>2</v>
      </c>
      <c r="I5047" s="361">
        <v>1</v>
      </c>
      <c r="J5047" s="362" t="s">
        <v>286</v>
      </c>
      <c r="K5047" s="363"/>
      <c r="L5047" s="129"/>
      <c r="M5047" s="129"/>
      <c r="N5047" s="129"/>
      <c r="O5047" s="129"/>
      <c r="P5047" s="364"/>
      <c r="Q5047" s="364"/>
      <c r="R5047" s="129"/>
      <c r="S5047" s="129"/>
      <c r="T5047" s="129"/>
      <c r="W5047" s="129" t="s">
        <v>286</v>
      </c>
      <c r="X5047" s="337" t="b">
        <f t="shared" si="115"/>
        <v>1</v>
      </c>
    </row>
    <row r="5048" spans="1:24" s="337" customFormat="1" ht="12" customHeight="1" outlineLevel="1">
      <c r="A5048" s="335"/>
      <c r="B5048" s="118" t="s">
        <v>12</v>
      </c>
      <c r="C5048" s="334" t="s">
        <v>13522</v>
      </c>
      <c r="D5048" s="124" t="s">
        <v>10254</v>
      </c>
      <c r="E5048" s="125"/>
      <c r="F5048" s="118" t="s">
        <v>1018</v>
      </c>
      <c r="G5048" s="126" t="s">
        <v>13502</v>
      </c>
      <c r="H5048" s="255">
        <v>4</v>
      </c>
      <c r="I5048" s="361">
        <v>1</v>
      </c>
      <c r="J5048" s="362" t="s">
        <v>286</v>
      </c>
      <c r="K5048" s="363"/>
      <c r="L5048" s="129"/>
      <c r="M5048" s="129"/>
      <c r="N5048" s="129"/>
      <c r="O5048" s="129"/>
      <c r="P5048" s="364"/>
      <c r="Q5048" s="364"/>
      <c r="R5048" s="129"/>
      <c r="S5048" s="129"/>
      <c r="T5048" s="129"/>
      <c r="W5048" s="129" t="s">
        <v>286</v>
      </c>
      <c r="X5048" s="337" t="b">
        <f t="shared" si="115"/>
        <v>1</v>
      </c>
    </row>
    <row r="5049" spans="1:24" s="337" customFormat="1" ht="12" customHeight="1" outlineLevel="1">
      <c r="A5049" s="335"/>
      <c r="B5049" s="118" t="s">
        <v>12</v>
      </c>
      <c r="C5049" s="334" t="s">
        <v>13523</v>
      </c>
      <c r="D5049" s="124" t="s">
        <v>7328</v>
      </c>
      <c r="E5049" s="125"/>
      <c r="F5049" s="118" t="s">
        <v>1018</v>
      </c>
      <c r="G5049" s="126" t="s">
        <v>13502</v>
      </c>
      <c r="H5049" s="255">
        <v>4</v>
      </c>
      <c r="I5049" s="361">
        <v>1</v>
      </c>
      <c r="J5049" s="362" t="s">
        <v>286</v>
      </c>
      <c r="K5049" s="363"/>
      <c r="L5049" s="129"/>
      <c r="M5049" s="129"/>
      <c r="N5049" s="129"/>
      <c r="O5049" s="129"/>
      <c r="P5049" s="364"/>
      <c r="Q5049" s="364"/>
      <c r="R5049" s="129"/>
      <c r="S5049" s="129"/>
      <c r="T5049" s="129"/>
      <c r="W5049" s="129" t="s">
        <v>286</v>
      </c>
      <c r="X5049" s="337" t="b">
        <f t="shared" si="115"/>
        <v>1</v>
      </c>
    </row>
    <row r="5050" spans="1:24" s="337" customFormat="1" ht="12" customHeight="1" outlineLevel="1">
      <c r="A5050" s="335"/>
      <c r="B5050" s="118" t="s">
        <v>12</v>
      </c>
      <c r="C5050" s="334" t="s">
        <v>13524</v>
      </c>
      <c r="D5050" s="124" t="s">
        <v>10314</v>
      </c>
      <c r="E5050" s="125"/>
      <c r="F5050" s="118" t="s">
        <v>1018</v>
      </c>
      <c r="G5050" s="126" t="s">
        <v>13525</v>
      </c>
      <c r="H5050" s="255">
        <v>5</v>
      </c>
      <c r="I5050" s="361">
        <v>1</v>
      </c>
      <c r="J5050" s="362" t="s">
        <v>286</v>
      </c>
      <c r="K5050" s="363"/>
      <c r="L5050" s="129"/>
      <c r="M5050" s="129"/>
      <c r="N5050" s="129"/>
      <c r="O5050" s="129"/>
      <c r="P5050" s="364"/>
      <c r="Q5050" s="364"/>
      <c r="R5050" s="129"/>
      <c r="S5050" s="129"/>
      <c r="T5050" s="129"/>
      <c r="W5050" s="129" t="s">
        <v>286</v>
      </c>
      <c r="X5050" s="337" t="b">
        <f t="shared" si="115"/>
        <v>1</v>
      </c>
    </row>
    <row r="5051" spans="1:24" s="337" customFormat="1" ht="12" customHeight="1" outlineLevel="1">
      <c r="A5051" s="335"/>
      <c r="B5051" s="118" t="s">
        <v>12</v>
      </c>
      <c r="C5051" s="334" t="s">
        <v>13526</v>
      </c>
      <c r="D5051" s="124" t="s">
        <v>10316</v>
      </c>
      <c r="E5051" s="125"/>
      <c r="F5051" s="118" t="s">
        <v>1018</v>
      </c>
      <c r="G5051" s="126" t="s">
        <v>13525</v>
      </c>
      <c r="H5051" s="255">
        <v>5</v>
      </c>
      <c r="I5051" s="361">
        <v>1</v>
      </c>
      <c r="J5051" s="362" t="s">
        <v>286</v>
      </c>
      <c r="K5051" s="363"/>
      <c r="L5051" s="129"/>
      <c r="M5051" s="129"/>
      <c r="N5051" s="129"/>
      <c r="O5051" s="129"/>
      <c r="P5051" s="364"/>
      <c r="Q5051" s="364"/>
      <c r="R5051" s="129"/>
      <c r="S5051" s="129"/>
      <c r="T5051" s="129"/>
      <c r="W5051" s="129" t="s">
        <v>286</v>
      </c>
      <c r="X5051" s="337" t="b">
        <f t="shared" si="115"/>
        <v>1</v>
      </c>
    </row>
    <row r="5052" spans="1:24" s="337" customFormat="1" ht="12" customHeight="1" outlineLevel="1">
      <c r="A5052" s="335"/>
      <c r="B5052" s="118" t="s">
        <v>12</v>
      </c>
      <c r="C5052" s="334" t="s">
        <v>13527</v>
      </c>
      <c r="D5052" s="124" t="s">
        <v>10318</v>
      </c>
      <c r="E5052" s="125"/>
      <c r="F5052" s="118" t="s">
        <v>1018</v>
      </c>
      <c r="G5052" s="126" t="s">
        <v>13525</v>
      </c>
      <c r="H5052" s="255">
        <v>5</v>
      </c>
      <c r="I5052" s="361">
        <v>1</v>
      </c>
      <c r="J5052" s="362" t="s">
        <v>286</v>
      </c>
      <c r="K5052" s="363"/>
      <c r="L5052" s="129"/>
      <c r="M5052" s="129"/>
      <c r="N5052" s="129"/>
      <c r="O5052" s="129"/>
      <c r="P5052" s="364"/>
      <c r="Q5052" s="364"/>
      <c r="R5052" s="129"/>
      <c r="S5052" s="129"/>
      <c r="T5052" s="129"/>
      <c r="W5052" s="129" t="s">
        <v>286</v>
      </c>
      <c r="X5052" s="337" t="b">
        <f t="shared" si="115"/>
        <v>1</v>
      </c>
    </row>
    <row r="5053" spans="1:24" s="337" customFormat="1" ht="12" customHeight="1" outlineLevel="1">
      <c r="A5053" s="335"/>
      <c r="B5053" s="118" t="s">
        <v>12</v>
      </c>
      <c r="C5053" s="334" t="s">
        <v>13528</v>
      </c>
      <c r="D5053" s="124" t="s">
        <v>10320</v>
      </c>
      <c r="E5053" s="125"/>
      <c r="F5053" s="118" t="s">
        <v>1018</v>
      </c>
      <c r="G5053" s="126" t="s">
        <v>13525</v>
      </c>
      <c r="H5053" s="255">
        <v>5</v>
      </c>
      <c r="I5053" s="361">
        <v>1</v>
      </c>
      <c r="J5053" s="362" t="s">
        <v>286</v>
      </c>
      <c r="K5053" s="363"/>
      <c r="L5053" s="129"/>
      <c r="M5053" s="129"/>
      <c r="N5053" s="129"/>
      <c r="O5053" s="129"/>
      <c r="P5053" s="364"/>
      <c r="Q5053" s="364"/>
      <c r="R5053" s="129"/>
      <c r="S5053" s="129"/>
      <c r="T5053" s="129"/>
      <c r="W5053" s="129" t="s">
        <v>286</v>
      </c>
      <c r="X5053" s="337" t="b">
        <f t="shared" si="115"/>
        <v>1</v>
      </c>
    </row>
    <row r="5054" spans="1:24" s="337" customFormat="1" ht="12" customHeight="1" outlineLevel="1">
      <c r="A5054" s="335"/>
      <c r="B5054" s="118" t="s">
        <v>12</v>
      </c>
      <c r="C5054" s="334" t="s">
        <v>13529</v>
      </c>
      <c r="D5054" s="124" t="s">
        <v>10322</v>
      </c>
      <c r="E5054" s="125"/>
      <c r="F5054" s="118" t="s">
        <v>1018</v>
      </c>
      <c r="G5054" s="126" t="s">
        <v>13525</v>
      </c>
      <c r="H5054" s="255">
        <v>5</v>
      </c>
      <c r="I5054" s="361">
        <v>1</v>
      </c>
      <c r="J5054" s="362" t="s">
        <v>286</v>
      </c>
      <c r="K5054" s="363"/>
      <c r="L5054" s="129"/>
      <c r="M5054" s="129"/>
      <c r="N5054" s="129"/>
      <c r="O5054" s="129"/>
      <c r="P5054" s="364"/>
      <c r="Q5054" s="364"/>
      <c r="R5054" s="129"/>
      <c r="S5054" s="129"/>
      <c r="T5054" s="129"/>
      <c r="W5054" s="129" t="s">
        <v>286</v>
      </c>
      <c r="X5054" s="337" t="b">
        <f t="shared" si="115"/>
        <v>1</v>
      </c>
    </row>
    <row r="5055" spans="1:24" s="337" customFormat="1" ht="12" customHeight="1" outlineLevel="1">
      <c r="A5055" s="335"/>
      <c r="B5055" s="118" t="s">
        <v>12</v>
      </c>
      <c r="C5055" s="334" t="s">
        <v>13530</v>
      </c>
      <c r="D5055" s="124" t="s">
        <v>10324</v>
      </c>
      <c r="E5055" s="125"/>
      <c r="F5055" s="118" t="s">
        <v>1018</v>
      </c>
      <c r="G5055" s="126" t="s">
        <v>13525</v>
      </c>
      <c r="H5055" s="255">
        <v>5</v>
      </c>
      <c r="I5055" s="361">
        <v>1</v>
      </c>
      <c r="J5055" s="362" t="s">
        <v>286</v>
      </c>
      <c r="K5055" s="363"/>
      <c r="L5055" s="129"/>
      <c r="M5055" s="129"/>
      <c r="N5055" s="129"/>
      <c r="O5055" s="129"/>
      <c r="P5055" s="364"/>
      <c r="Q5055" s="364"/>
      <c r="R5055" s="129"/>
      <c r="S5055" s="129"/>
      <c r="T5055" s="129"/>
      <c r="W5055" s="129" t="s">
        <v>286</v>
      </c>
      <c r="X5055" s="337" t="b">
        <f t="shared" si="115"/>
        <v>1</v>
      </c>
    </row>
    <row r="5056" spans="1:24" s="337" customFormat="1" ht="12" customHeight="1" outlineLevel="1">
      <c r="A5056" s="335"/>
      <c r="B5056" s="118" t="s">
        <v>12</v>
      </c>
      <c r="C5056" s="334" t="s">
        <v>13531</v>
      </c>
      <c r="D5056" s="124" t="s">
        <v>10326</v>
      </c>
      <c r="E5056" s="125"/>
      <c r="F5056" s="118" t="s">
        <v>1018</v>
      </c>
      <c r="G5056" s="126" t="s">
        <v>13525</v>
      </c>
      <c r="H5056" s="255">
        <v>5</v>
      </c>
      <c r="I5056" s="361">
        <v>1</v>
      </c>
      <c r="J5056" s="362" t="s">
        <v>286</v>
      </c>
      <c r="K5056" s="363"/>
      <c r="L5056" s="129"/>
      <c r="M5056" s="129"/>
      <c r="N5056" s="129"/>
      <c r="O5056" s="129"/>
      <c r="P5056" s="364"/>
      <c r="Q5056" s="364"/>
      <c r="R5056" s="129"/>
      <c r="S5056" s="129"/>
      <c r="T5056" s="129"/>
      <c r="W5056" s="129" t="s">
        <v>286</v>
      </c>
      <c r="X5056" s="337" t="b">
        <f t="shared" si="115"/>
        <v>1</v>
      </c>
    </row>
    <row r="5057" spans="1:24" s="337" customFormat="1" ht="12" customHeight="1" outlineLevel="1">
      <c r="A5057" s="335"/>
      <c r="B5057" s="118" t="s">
        <v>12</v>
      </c>
      <c r="C5057" s="334" t="s">
        <v>13532</v>
      </c>
      <c r="D5057" s="124" t="s">
        <v>10328</v>
      </c>
      <c r="E5057" s="125"/>
      <c r="F5057" s="118" t="s">
        <v>1018</v>
      </c>
      <c r="G5057" s="126" t="s">
        <v>13525</v>
      </c>
      <c r="H5057" s="255">
        <v>5</v>
      </c>
      <c r="I5057" s="361">
        <v>1</v>
      </c>
      <c r="J5057" s="362" t="s">
        <v>286</v>
      </c>
      <c r="K5057" s="363"/>
      <c r="L5057" s="129"/>
      <c r="M5057" s="129"/>
      <c r="N5057" s="129"/>
      <c r="O5057" s="129"/>
      <c r="P5057" s="364"/>
      <c r="Q5057" s="364"/>
      <c r="R5057" s="129"/>
      <c r="S5057" s="129"/>
      <c r="T5057" s="129"/>
      <c r="W5057" s="129" t="s">
        <v>286</v>
      </c>
      <c r="X5057" s="337" t="b">
        <f t="shared" si="115"/>
        <v>1</v>
      </c>
    </row>
    <row r="5058" spans="1:24" s="337" customFormat="1" ht="12" customHeight="1" outlineLevel="1">
      <c r="A5058" s="335"/>
      <c r="B5058" s="118" t="s">
        <v>12</v>
      </c>
      <c r="C5058" s="334" t="s">
        <v>13533</v>
      </c>
      <c r="D5058" s="124" t="s">
        <v>10330</v>
      </c>
      <c r="E5058" s="125"/>
      <c r="F5058" s="118" t="s">
        <v>1018</v>
      </c>
      <c r="G5058" s="126" t="s">
        <v>13525</v>
      </c>
      <c r="H5058" s="255">
        <v>5</v>
      </c>
      <c r="I5058" s="361">
        <v>1</v>
      </c>
      <c r="J5058" s="362" t="s">
        <v>286</v>
      </c>
      <c r="K5058" s="363"/>
      <c r="L5058" s="129"/>
      <c r="M5058" s="129"/>
      <c r="N5058" s="129"/>
      <c r="O5058" s="129"/>
      <c r="P5058" s="364"/>
      <c r="Q5058" s="364"/>
      <c r="R5058" s="129"/>
      <c r="S5058" s="129"/>
      <c r="T5058" s="129"/>
      <c r="W5058" s="129" t="s">
        <v>286</v>
      </c>
      <c r="X5058" s="337" t="b">
        <f t="shared" ref="X5058:X5068" si="116">W5058=J5058</f>
        <v>1</v>
      </c>
    </row>
    <row r="5059" spans="1:24" s="337" customFormat="1" ht="12" customHeight="1" outlineLevel="1">
      <c r="A5059" s="335"/>
      <c r="B5059" s="118" t="s">
        <v>12</v>
      </c>
      <c r="C5059" s="334" t="s">
        <v>13534</v>
      </c>
      <c r="D5059" s="124" t="s">
        <v>10332</v>
      </c>
      <c r="E5059" s="125"/>
      <c r="F5059" s="118" t="s">
        <v>1018</v>
      </c>
      <c r="G5059" s="126" t="s">
        <v>13525</v>
      </c>
      <c r="H5059" s="255">
        <v>5</v>
      </c>
      <c r="I5059" s="361">
        <v>1</v>
      </c>
      <c r="J5059" s="362" t="s">
        <v>286</v>
      </c>
      <c r="K5059" s="363"/>
      <c r="L5059" s="129"/>
      <c r="M5059" s="129"/>
      <c r="N5059" s="129"/>
      <c r="O5059" s="129"/>
      <c r="P5059" s="364"/>
      <c r="Q5059" s="364"/>
      <c r="R5059" s="129"/>
      <c r="S5059" s="129"/>
      <c r="T5059" s="129"/>
      <c r="W5059" s="129" t="s">
        <v>286</v>
      </c>
      <c r="X5059" s="337" t="b">
        <f t="shared" si="116"/>
        <v>1</v>
      </c>
    </row>
    <row r="5060" spans="1:24" s="337" customFormat="1" ht="12" customHeight="1" outlineLevel="1">
      <c r="A5060" s="335"/>
      <c r="B5060" s="118" t="s">
        <v>12</v>
      </c>
      <c r="C5060" s="334" t="s">
        <v>13535</v>
      </c>
      <c r="D5060" s="124" t="s">
        <v>10334</v>
      </c>
      <c r="E5060" s="125"/>
      <c r="F5060" s="118" t="s">
        <v>1018</v>
      </c>
      <c r="G5060" s="126" t="s">
        <v>13525</v>
      </c>
      <c r="H5060" s="255">
        <v>5</v>
      </c>
      <c r="I5060" s="361">
        <v>1</v>
      </c>
      <c r="J5060" s="362" t="s">
        <v>286</v>
      </c>
      <c r="K5060" s="363"/>
      <c r="L5060" s="129"/>
      <c r="M5060" s="129"/>
      <c r="N5060" s="129"/>
      <c r="O5060" s="129"/>
      <c r="P5060" s="364"/>
      <c r="Q5060" s="364"/>
      <c r="R5060" s="129"/>
      <c r="S5060" s="129"/>
      <c r="T5060" s="129"/>
      <c r="W5060" s="129" t="s">
        <v>286</v>
      </c>
      <c r="X5060" s="337" t="b">
        <f t="shared" si="116"/>
        <v>1</v>
      </c>
    </row>
    <row r="5061" spans="1:24" s="337" customFormat="1" ht="12" customHeight="1" outlineLevel="1">
      <c r="A5061" s="335"/>
      <c r="B5061" s="118" t="s">
        <v>12</v>
      </c>
      <c r="C5061" s="334" t="s">
        <v>13536</v>
      </c>
      <c r="D5061" s="124" t="s">
        <v>10336</v>
      </c>
      <c r="E5061" s="125"/>
      <c r="F5061" s="118" t="s">
        <v>1018</v>
      </c>
      <c r="G5061" s="126" t="s">
        <v>13525</v>
      </c>
      <c r="H5061" s="255">
        <v>5</v>
      </c>
      <c r="I5061" s="361">
        <v>1</v>
      </c>
      <c r="J5061" s="362" t="s">
        <v>286</v>
      </c>
      <c r="K5061" s="363"/>
      <c r="L5061" s="129"/>
      <c r="M5061" s="129"/>
      <c r="N5061" s="129"/>
      <c r="O5061" s="129"/>
      <c r="P5061" s="364"/>
      <c r="Q5061" s="364"/>
      <c r="R5061" s="129"/>
      <c r="S5061" s="129"/>
      <c r="T5061" s="129"/>
      <c r="W5061" s="129" t="s">
        <v>286</v>
      </c>
      <c r="X5061" s="337" t="b">
        <f t="shared" si="116"/>
        <v>1</v>
      </c>
    </row>
    <row r="5062" spans="1:24" s="337" customFormat="1" ht="12" customHeight="1" outlineLevel="1">
      <c r="A5062" s="335"/>
      <c r="B5062" s="118" t="s">
        <v>12</v>
      </c>
      <c r="C5062" s="334" t="s">
        <v>13537</v>
      </c>
      <c r="D5062" s="124" t="s">
        <v>10338</v>
      </c>
      <c r="E5062" s="125"/>
      <c r="F5062" s="118" t="s">
        <v>1018</v>
      </c>
      <c r="G5062" s="126" t="s">
        <v>13525</v>
      </c>
      <c r="H5062" s="255">
        <v>5</v>
      </c>
      <c r="I5062" s="361">
        <v>1</v>
      </c>
      <c r="J5062" s="362" t="s">
        <v>286</v>
      </c>
      <c r="K5062" s="363"/>
      <c r="L5062" s="129"/>
      <c r="M5062" s="129"/>
      <c r="N5062" s="129"/>
      <c r="O5062" s="129"/>
      <c r="P5062" s="364"/>
      <c r="Q5062" s="364"/>
      <c r="R5062" s="129"/>
      <c r="S5062" s="129"/>
      <c r="T5062" s="129"/>
      <c r="W5062" s="129" t="s">
        <v>286</v>
      </c>
      <c r="X5062" s="337" t="b">
        <f t="shared" si="116"/>
        <v>1</v>
      </c>
    </row>
    <row r="5063" spans="1:24" s="337" customFormat="1" ht="12" customHeight="1" outlineLevel="1">
      <c r="A5063" s="335"/>
      <c r="B5063" s="118" t="s">
        <v>12</v>
      </c>
      <c r="C5063" s="334" t="s">
        <v>13538</v>
      </c>
      <c r="D5063" s="124" t="s">
        <v>10340</v>
      </c>
      <c r="E5063" s="125"/>
      <c r="F5063" s="118" t="s">
        <v>1018</v>
      </c>
      <c r="G5063" s="126" t="s">
        <v>13525</v>
      </c>
      <c r="H5063" s="255">
        <v>5</v>
      </c>
      <c r="I5063" s="361">
        <v>1</v>
      </c>
      <c r="J5063" s="362" t="s">
        <v>286</v>
      </c>
      <c r="K5063" s="363"/>
      <c r="L5063" s="129"/>
      <c r="M5063" s="129"/>
      <c r="N5063" s="129"/>
      <c r="O5063" s="129"/>
      <c r="P5063" s="364"/>
      <c r="Q5063" s="364"/>
      <c r="R5063" s="129"/>
      <c r="S5063" s="129"/>
      <c r="T5063" s="129"/>
      <c r="W5063" s="129" t="s">
        <v>286</v>
      </c>
      <c r="X5063" s="337" t="b">
        <f t="shared" si="116"/>
        <v>1</v>
      </c>
    </row>
    <row r="5064" spans="1:24" s="337" customFormat="1" ht="12" customHeight="1" outlineLevel="1">
      <c r="A5064" s="335"/>
      <c r="B5064" s="118" t="s">
        <v>12</v>
      </c>
      <c r="C5064" s="334" t="s">
        <v>13539</v>
      </c>
      <c r="D5064" s="124" t="s">
        <v>13540</v>
      </c>
      <c r="E5064" s="125"/>
      <c r="F5064" s="118" t="s">
        <v>1018</v>
      </c>
      <c r="G5064" s="126" t="s">
        <v>13525</v>
      </c>
      <c r="H5064" s="255">
        <v>5</v>
      </c>
      <c r="I5064" s="361">
        <v>1</v>
      </c>
      <c r="J5064" s="362" t="s">
        <v>286</v>
      </c>
      <c r="K5064" s="363"/>
      <c r="L5064" s="129"/>
      <c r="M5064" s="129"/>
      <c r="N5064" s="129"/>
      <c r="O5064" s="129"/>
      <c r="P5064" s="364"/>
      <c r="Q5064" s="364"/>
      <c r="R5064" s="129"/>
      <c r="S5064" s="129"/>
      <c r="T5064" s="129"/>
      <c r="W5064" s="129" t="s">
        <v>286</v>
      </c>
      <c r="X5064" s="337" t="b">
        <f t="shared" si="116"/>
        <v>1</v>
      </c>
    </row>
    <row r="5065" spans="1:24" s="337" customFormat="1" ht="12" customHeight="1" outlineLevel="1">
      <c r="A5065" s="335"/>
      <c r="B5065" s="118" t="s">
        <v>12</v>
      </c>
      <c r="C5065" s="334" t="s">
        <v>13541</v>
      </c>
      <c r="D5065" s="124" t="s">
        <v>10344</v>
      </c>
      <c r="E5065" s="125"/>
      <c r="F5065" s="118" t="s">
        <v>1018</v>
      </c>
      <c r="G5065" s="126" t="s">
        <v>13525</v>
      </c>
      <c r="H5065" s="255">
        <v>5</v>
      </c>
      <c r="I5065" s="361">
        <v>1</v>
      </c>
      <c r="J5065" s="362" t="s">
        <v>286</v>
      </c>
      <c r="K5065" s="363"/>
      <c r="L5065" s="129"/>
      <c r="M5065" s="129"/>
      <c r="N5065" s="129"/>
      <c r="O5065" s="129"/>
      <c r="P5065" s="364"/>
      <c r="Q5065" s="364"/>
      <c r="R5065" s="129"/>
      <c r="S5065" s="129"/>
      <c r="T5065" s="129"/>
      <c r="W5065" s="129" t="s">
        <v>286</v>
      </c>
      <c r="X5065" s="337" t="b">
        <f t="shared" si="116"/>
        <v>1</v>
      </c>
    </row>
    <row r="5066" spans="1:24" s="337" customFormat="1" ht="12" customHeight="1" outlineLevel="1">
      <c r="A5066" s="335"/>
      <c r="B5066" s="118" t="s">
        <v>12</v>
      </c>
      <c r="C5066" s="334" t="s">
        <v>13542</v>
      </c>
      <c r="D5066" s="124" t="s">
        <v>10346</v>
      </c>
      <c r="E5066" s="125"/>
      <c r="F5066" s="118" t="s">
        <v>1018</v>
      </c>
      <c r="G5066" s="126" t="s">
        <v>13525</v>
      </c>
      <c r="H5066" s="255">
        <v>5</v>
      </c>
      <c r="I5066" s="361">
        <v>1</v>
      </c>
      <c r="J5066" s="362" t="s">
        <v>286</v>
      </c>
      <c r="K5066" s="363"/>
      <c r="L5066" s="129"/>
      <c r="M5066" s="129"/>
      <c r="N5066" s="129"/>
      <c r="O5066" s="129"/>
      <c r="P5066" s="364"/>
      <c r="Q5066" s="364"/>
      <c r="R5066" s="129"/>
      <c r="S5066" s="129"/>
      <c r="T5066" s="129"/>
      <c r="W5066" s="129" t="s">
        <v>286</v>
      </c>
      <c r="X5066" s="337" t="b">
        <f t="shared" si="116"/>
        <v>1</v>
      </c>
    </row>
    <row r="5067" spans="1:24" s="337" customFormat="1" ht="12" customHeight="1" outlineLevel="1">
      <c r="A5067" s="335"/>
      <c r="B5067" s="118" t="s">
        <v>12</v>
      </c>
      <c r="C5067" s="334" t="s">
        <v>13543</v>
      </c>
      <c r="D5067" s="124" t="s">
        <v>10348</v>
      </c>
      <c r="E5067" s="125"/>
      <c r="F5067" s="118" t="s">
        <v>1018</v>
      </c>
      <c r="G5067" s="126" t="s">
        <v>13525</v>
      </c>
      <c r="H5067" s="255">
        <v>5</v>
      </c>
      <c r="I5067" s="361">
        <v>1</v>
      </c>
      <c r="J5067" s="362" t="s">
        <v>286</v>
      </c>
      <c r="K5067" s="363"/>
      <c r="L5067" s="129"/>
      <c r="M5067" s="129"/>
      <c r="N5067" s="129"/>
      <c r="O5067" s="129"/>
      <c r="P5067" s="364"/>
      <c r="Q5067" s="364"/>
      <c r="R5067" s="129"/>
      <c r="S5067" s="129"/>
      <c r="T5067" s="129"/>
      <c r="W5067" s="129" t="s">
        <v>286</v>
      </c>
      <c r="X5067" s="337" t="b">
        <f t="shared" si="116"/>
        <v>1</v>
      </c>
    </row>
    <row r="5068" spans="1:24" s="337" customFormat="1" ht="12" customHeight="1" outlineLevel="1">
      <c r="A5068" s="335"/>
      <c r="B5068" s="118" t="s">
        <v>12</v>
      </c>
      <c r="C5068" s="334" t="s">
        <v>13544</v>
      </c>
      <c r="D5068" s="124" t="s">
        <v>10350</v>
      </c>
      <c r="E5068" s="125"/>
      <c r="F5068" s="118" t="s">
        <v>1018</v>
      </c>
      <c r="G5068" s="126" t="s">
        <v>13525</v>
      </c>
      <c r="H5068" s="255">
        <v>5</v>
      </c>
      <c r="I5068" s="361">
        <v>1</v>
      </c>
      <c r="J5068" s="362" t="s">
        <v>286</v>
      </c>
      <c r="K5068" s="363"/>
      <c r="L5068" s="129"/>
      <c r="M5068" s="129"/>
      <c r="N5068" s="129"/>
      <c r="O5068" s="129"/>
      <c r="P5068" s="364"/>
      <c r="Q5068" s="364"/>
      <c r="R5068" s="129"/>
      <c r="S5068" s="129"/>
      <c r="T5068" s="129"/>
      <c r="W5068" s="129" t="s">
        <v>286</v>
      </c>
      <c r="X5068" s="337" t="b">
        <f t="shared" si="116"/>
        <v>1</v>
      </c>
    </row>
    <row r="5069" spans="1:24" s="337" customFormat="1" ht="12" customHeight="1" outlineLevel="1">
      <c r="A5069" s="335"/>
      <c r="B5069" s="118" t="s">
        <v>12</v>
      </c>
      <c r="C5069" s="334" t="s">
        <v>13545</v>
      </c>
      <c r="D5069" s="124" t="s">
        <v>10352</v>
      </c>
      <c r="E5069" s="125"/>
      <c r="F5069" s="118" t="s">
        <v>1018</v>
      </c>
      <c r="G5069" s="126" t="s">
        <v>13525</v>
      </c>
      <c r="H5069" s="255">
        <v>5</v>
      </c>
      <c r="I5069" s="361">
        <v>1</v>
      </c>
      <c r="J5069" s="362" t="s">
        <v>299</v>
      </c>
      <c r="K5069" s="363"/>
      <c r="L5069" s="129"/>
      <c r="M5069" s="129"/>
      <c r="N5069" s="129"/>
      <c r="O5069" s="129"/>
      <c r="P5069" s="364"/>
      <c r="Q5069" s="364"/>
      <c r="R5069" s="129"/>
      <c r="S5069" s="129"/>
      <c r="T5069" s="129"/>
      <c r="W5069" s="129"/>
    </row>
    <row r="5070" spans="1:24" s="337" customFormat="1" ht="12" customHeight="1" outlineLevel="1">
      <c r="A5070" s="335"/>
      <c r="B5070" s="118" t="s">
        <v>12</v>
      </c>
      <c r="C5070" s="334" t="s">
        <v>13546</v>
      </c>
      <c r="D5070" s="124" t="s">
        <v>10354</v>
      </c>
      <c r="E5070" s="125"/>
      <c r="F5070" s="118" t="s">
        <v>1018</v>
      </c>
      <c r="G5070" s="126" t="s">
        <v>13525</v>
      </c>
      <c r="H5070" s="255">
        <v>5</v>
      </c>
      <c r="I5070" s="361">
        <v>1</v>
      </c>
      <c r="J5070" s="362" t="s">
        <v>286</v>
      </c>
      <c r="K5070" s="363"/>
      <c r="L5070" s="129"/>
      <c r="M5070" s="129"/>
      <c r="N5070" s="129"/>
      <c r="O5070" s="129"/>
      <c r="P5070" s="364"/>
      <c r="Q5070" s="364"/>
      <c r="R5070" s="129"/>
      <c r="S5070" s="129"/>
      <c r="T5070" s="129"/>
      <c r="W5070" s="129" t="s">
        <v>286</v>
      </c>
      <c r="X5070" s="337" t="b">
        <f t="shared" ref="X5070:X5133" si="117">W5070=J5070</f>
        <v>1</v>
      </c>
    </row>
    <row r="5071" spans="1:24" s="337" customFormat="1" ht="12" customHeight="1" outlineLevel="1">
      <c r="A5071" s="335"/>
      <c r="B5071" s="118" t="s">
        <v>12</v>
      </c>
      <c r="C5071" s="334" t="s">
        <v>13547</v>
      </c>
      <c r="D5071" s="124" t="s">
        <v>10356</v>
      </c>
      <c r="E5071" s="125"/>
      <c r="F5071" s="118" t="s">
        <v>1018</v>
      </c>
      <c r="G5071" s="126" t="s">
        <v>13525</v>
      </c>
      <c r="H5071" s="255">
        <v>5</v>
      </c>
      <c r="I5071" s="361">
        <v>1</v>
      </c>
      <c r="J5071" s="362" t="s">
        <v>286</v>
      </c>
      <c r="K5071" s="363"/>
      <c r="L5071" s="129"/>
      <c r="M5071" s="129"/>
      <c r="N5071" s="129"/>
      <c r="O5071" s="129"/>
      <c r="P5071" s="364"/>
      <c r="Q5071" s="364"/>
      <c r="R5071" s="129"/>
      <c r="S5071" s="129"/>
      <c r="T5071" s="129"/>
      <c r="W5071" s="129" t="s">
        <v>286</v>
      </c>
      <c r="X5071" s="337" t="b">
        <f t="shared" si="117"/>
        <v>1</v>
      </c>
    </row>
    <row r="5072" spans="1:24" s="337" customFormat="1" ht="12" customHeight="1" outlineLevel="1">
      <c r="A5072" s="335"/>
      <c r="B5072" s="118" t="s">
        <v>12</v>
      </c>
      <c r="C5072" s="334" t="s">
        <v>13548</v>
      </c>
      <c r="D5072" s="124" t="s">
        <v>10358</v>
      </c>
      <c r="E5072" s="125"/>
      <c r="F5072" s="118" t="s">
        <v>1018</v>
      </c>
      <c r="G5072" s="126" t="s">
        <v>13525</v>
      </c>
      <c r="H5072" s="255">
        <v>5</v>
      </c>
      <c r="I5072" s="361">
        <v>1</v>
      </c>
      <c r="J5072" s="362" t="s">
        <v>286</v>
      </c>
      <c r="K5072" s="363"/>
      <c r="L5072" s="129"/>
      <c r="M5072" s="129"/>
      <c r="N5072" s="129"/>
      <c r="O5072" s="129"/>
      <c r="P5072" s="364"/>
      <c r="Q5072" s="364"/>
      <c r="R5072" s="129"/>
      <c r="S5072" s="129"/>
      <c r="T5072" s="129"/>
      <c r="W5072" s="129" t="s">
        <v>286</v>
      </c>
      <c r="X5072" s="337" t="b">
        <f t="shared" si="117"/>
        <v>1</v>
      </c>
    </row>
    <row r="5073" spans="1:24" s="337" customFormat="1" ht="12" customHeight="1" outlineLevel="1">
      <c r="A5073" s="335"/>
      <c r="B5073" s="118" t="s">
        <v>12</v>
      </c>
      <c r="C5073" s="334" t="s">
        <v>13549</v>
      </c>
      <c r="D5073" s="124" t="s">
        <v>10847</v>
      </c>
      <c r="E5073" s="125"/>
      <c r="F5073" s="118" t="s">
        <v>1018</v>
      </c>
      <c r="G5073" s="126" t="s">
        <v>13525</v>
      </c>
      <c r="H5073" s="255">
        <v>5</v>
      </c>
      <c r="I5073" s="361">
        <v>1</v>
      </c>
      <c r="J5073" s="362" t="s">
        <v>286</v>
      </c>
      <c r="K5073" s="363"/>
      <c r="L5073" s="129"/>
      <c r="M5073" s="129"/>
      <c r="N5073" s="129"/>
      <c r="O5073" s="129"/>
      <c r="P5073" s="364"/>
      <c r="Q5073" s="364"/>
      <c r="R5073" s="129"/>
      <c r="S5073" s="129"/>
      <c r="T5073" s="129"/>
      <c r="W5073" s="129" t="s">
        <v>286</v>
      </c>
      <c r="X5073" s="337" t="b">
        <f t="shared" si="117"/>
        <v>1</v>
      </c>
    </row>
    <row r="5074" spans="1:24" s="337" customFormat="1" ht="12" customHeight="1" outlineLevel="1">
      <c r="A5074" s="335"/>
      <c r="B5074" s="118" t="s">
        <v>12</v>
      </c>
      <c r="C5074" s="334" t="s">
        <v>13550</v>
      </c>
      <c r="D5074" s="124" t="s">
        <v>10362</v>
      </c>
      <c r="E5074" s="125"/>
      <c r="F5074" s="118" t="s">
        <v>1018</v>
      </c>
      <c r="G5074" s="126" t="s">
        <v>13525</v>
      </c>
      <c r="H5074" s="255">
        <v>5</v>
      </c>
      <c r="I5074" s="361">
        <v>1</v>
      </c>
      <c r="J5074" s="362" t="s">
        <v>286</v>
      </c>
      <c r="K5074" s="363"/>
      <c r="L5074" s="129"/>
      <c r="M5074" s="129"/>
      <c r="N5074" s="129"/>
      <c r="O5074" s="129"/>
      <c r="P5074" s="364"/>
      <c r="Q5074" s="364"/>
      <c r="R5074" s="129"/>
      <c r="S5074" s="129"/>
      <c r="T5074" s="129"/>
      <c r="W5074" s="129" t="s">
        <v>286</v>
      </c>
      <c r="X5074" s="337" t="b">
        <f t="shared" si="117"/>
        <v>1</v>
      </c>
    </row>
    <row r="5075" spans="1:24" s="337" customFormat="1" ht="12" customHeight="1" outlineLevel="1">
      <c r="A5075" s="335"/>
      <c r="B5075" s="118" t="s">
        <v>12</v>
      </c>
      <c r="C5075" s="334" t="s">
        <v>13551</v>
      </c>
      <c r="D5075" s="124" t="s">
        <v>10364</v>
      </c>
      <c r="E5075" s="125"/>
      <c r="F5075" s="118" t="s">
        <v>1018</v>
      </c>
      <c r="G5075" s="126" t="s">
        <v>13525</v>
      </c>
      <c r="H5075" s="255">
        <v>5</v>
      </c>
      <c r="I5075" s="361">
        <v>1</v>
      </c>
      <c r="J5075" s="362" t="s">
        <v>286</v>
      </c>
      <c r="K5075" s="363"/>
      <c r="L5075" s="129"/>
      <c r="M5075" s="129"/>
      <c r="N5075" s="129"/>
      <c r="O5075" s="129"/>
      <c r="P5075" s="364"/>
      <c r="Q5075" s="364"/>
      <c r="R5075" s="129"/>
      <c r="S5075" s="129"/>
      <c r="T5075" s="129"/>
      <c r="W5075" s="129" t="s">
        <v>286</v>
      </c>
      <c r="X5075" s="337" t="b">
        <f t="shared" si="117"/>
        <v>1</v>
      </c>
    </row>
    <row r="5076" spans="1:24" s="337" customFormat="1" ht="12" customHeight="1" outlineLevel="1">
      <c r="A5076" s="335"/>
      <c r="B5076" s="118" t="s">
        <v>12</v>
      </c>
      <c r="C5076" s="334" t="s">
        <v>13552</v>
      </c>
      <c r="D5076" s="124" t="s">
        <v>10366</v>
      </c>
      <c r="E5076" s="125"/>
      <c r="F5076" s="118" t="s">
        <v>1018</v>
      </c>
      <c r="G5076" s="126" t="s">
        <v>13525</v>
      </c>
      <c r="H5076" s="255">
        <v>5</v>
      </c>
      <c r="I5076" s="361">
        <v>1</v>
      </c>
      <c r="J5076" s="362" t="s">
        <v>286</v>
      </c>
      <c r="K5076" s="363"/>
      <c r="L5076" s="129"/>
      <c r="M5076" s="129"/>
      <c r="N5076" s="129"/>
      <c r="O5076" s="129"/>
      <c r="P5076" s="364"/>
      <c r="Q5076" s="364"/>
      <c r="R5076" s="129"/>
      <c r="S5076" s="129"/>
      <c r="T5076" s="129"/>
      <c r="W5076" s="129" t="s">
        <v>286</v>
      </c>
      <c r="X5076" s="337" t="b">
        <f t="shared" si="117"/>
        <v>1</v>
      </c>
    </row>
    <row r="5077" spans="1:24" s="337" customFormat="1" ht="12" customHeight="1" outlineLevel="1">
      <c r="A5077" s="335"/>
      <c r="B5077" s="118" t="s">
        <v>12</v>
      </c>
      <c r="C5077" s="334" t="s">
        <v>13553</v>
      </c>
      <c r="D5077" s="124" t="s">
        <v>10368</v>
      </c>
      <c r="E5077" s="125"/>
      <c r="F5077" s="118" t="s">
        <v>1018</v>
      </c>
      <c r="G5077" s="126" t="s">
        <v>13525</v>
      </c>
      <c r="H5077" s="255">
        <v>5</v>
      </c>
      <c r="I5077" s="361">
        <v>1</v>
      </c>
      <c r="J5077" s="362" t="s">
        <v>286</v>
      </c>
      <c r="K5077" s="363"/>
      <c r="L5077" s="129"/>
      <c r="M5077" s="129"/>
      <c r="N5077" s="129"/>
      <c r="O5077" s="129"/>
      <c r="P5077" s="364"/>
      <c r="Q5077" s="364"/>
      <c r="R5077" s="129"/>
      <c r="S5077" s="129"/>
      <c r="T5077" s="129"/>
      <c r="W5077" s="129" t="s">
        <v>286</v>
      </c>
      <c r="X5077" s="337" t="b">
        <f t="shared" si="117"/>
        <v>1</v>
      </c>
    </row>
    <row r="5078" spans="1:24" s="337" customFormat="1" ht="12" customHeight="1" outlineLevel="1">
      <c r="A5078" s="335"/>
      <c r="B5078" s="118" t="s">
        <v>12</v>
      </c>
      <c r="C5078" s="334" t="s">
        <v>13554</v>
      </c>
      <c r="D5078" s="124" t="s">
        <v>10370</v>
      </c>
      <c r="E5078" s="125"/>
      <c r="F5078" s="118" t="s">
        <v>1018</v>
      </c>
      <c r="G5078" s="126" t="s">
        <v>13525</v>
      </c>
      <c r="H5078" s="255">
        <v>5</v>
      </c>
      <c r="I5078" s="361">
        <v>1</v>
      </c>
      <c r="J5078" s="362" t="s">
        <v>286</v>
      </c>
      <c r="K5078" s="363"/>
      <c r="L5078" s="129"/>
      <c r="M5078" s="129"/>
      <c r="N5078" s="129"/>
      <c r="O5078" s="129"/>
      <c r="P5078" s="364"/>
      <c r="Q5078" s="364"/>
      <c r="R5078" s="129"/>
      <c r="S5078" s="129"/>
      <c r="T5078" s="129"/>
      <c r="W5078" s="129" t="s">
        <v>286</v>
      </c>
      <c r="X5078" s="337" t="b">
        <f t="shared" si="117"/>
        <v>1</v>
      </c>
    </row>
    <row r="5079" spans="1:24" s="337" customFormat="1" ht="12" customHeight="1" outlineLevel="1">
      <c r="A5079" s="335"/>
      <c r="B5079" s="118" t="s">
        <v>12</v>
      </c>
      <c r="C5079" s="334" t="s">
        <v>13555</v>
      </c>
      <c r="D5079" s="124" t="s">
        <v>10372</v>
      </c>
      <c r="E5079" s="125"/>
      <c r="F5079" s="118" t="s">
        <v>1018</v>
      </c>
      <c r="G5079" s="126" t="s">
        <v>13525</v>
      </c>
      <c r="H5079" s="255">
        <v>5</v>
      </c>
      <c r="I5079" s="361">
        <v>1</v>
      </c>
      <c r="J5079" s="362" t="s">
        <v>286</v>
      </c>
      <c r="K5079" s="363"/>
      <c r="L5079" s="129"/>
      <c r="M5079" s="129"/>
      <c r="N5079" s="129"/>
      <c r="O5079" s="129"/>
      <c r="P5079" s="364"/>
      <c r="Q5079" s="364"/>
      <c r="R5079" s="129"/>
      <c r="S5079" s="129"/>
      <c r="T5079" s="129"/>
      <c r="W5079" s="129" t="s">
        <v>286</v>
      </c>
      <c r="X5079" s="337" t="b">
        <f t="shared" si="117"/>
        <v>1</v>
      </c>
    </row>
    <row r="5080" spans="1:24" s="337" customFormat="1" ht="12" customHeight="1" outlineLevel="1">
      <c r="A5080" s="335"/>
      <c r="B5080" s="118" t="s">
        <v>12</v>
      </c>
      <c r="C5080" s="334" t="s">
        <v>13556</v>
      </c>
      <c r="D5080" s="124" t="s">
        <v>10374</v>
      </c>
      <c r="E5080" s="125"/>
      <c r="F5080" s="118" t="s">
        <v>1018</v>
      </c>
      <c r="G5080" s="126" t="s">
        <v>13525</v>
      </c>
      <c r="H5080" s="255">
        <v>5</v>
      </c>
      <c r="I5080" s="361">
        <v>1</v>
      </c>
      <c r="J5080" s="362" t="s">
        <v>310</v>
      </c>
      <c r="K5080" s="363"/>
      <c r="L5080" s="129"/>
      <c r="M5080" s="129"/>
      <c r="N5080" s="129"/>
      <c r="O5080" s="129"/>
      <c r="P5080" s="364"/>
      <c r="Q5080" s="364"/>
      <c r="R5080" s="129"/>
      <c r="S5080" s="129"/>
      <c r="T5080" s="129"/>
      <c r="W5080" s="129" t="s">
        <v>286</v>
      </c>
      <c r="X5080" s="337" t="b">
        <f t="shared" si="117"/>
        <v>0</v>
      </c>
    </row>
    <row r="5081" spans="1:24" s="337" customFormat="1" ht="12" customHeight="1" outlineLevel="1">
      <c r="A5081" s="335"/>
      <c r="B5081" s="118" t="s">
        <v>12</v>
      </c>
      <c r="C5081" s="334" t="s">
        <v>13557</v>
      </c>
      <c r="D5081" s="124" t="s">
        <v>10376</v>
      </c>
      <c r="E5081" s="125"/>
      <c r="F5081" s="118" t="s">
        <v>1018</v>
      </c>
      <c r="G5081" s="126" t="s">
        <v>13525</v>
      </c>
      <c r="H5081" s="255">
        <v>5</v>
      </c>
      <c r="I5081" s="361">
        <v>1</v>
      </c>
      <c r="J5081" s="362" t="s">
        <v>310</v>
      </c>
      <c r="K5081" s="363"/>
      <c r="L5081" s="129"/>
      <c r="M5081" s="129"/>
      <c r="N5081" s="129"/>
      <c r="O5081" s="129"/>
      <c r="P5081" s="364"/>
      <c r="Q5081" s="364"/>
      <c r="R5081" s="129"/>
      <c r="S5081" s="129"/>
      <c r="T5081" s="129"/>
      <c r="W5081" s="129" t="s">
        <v>286</v>
      </c>
      <c r="X5081" s="337" t="b">
        <f t="shared" si="117"/>
        <v>0</v>
      </c>
    </row>
    <row r="5082" spans="1:24" s="337" customFormat="1" ht="12" customHeight="1" outlineLevel="1">
      <c r="A5082" s="335"/>
      <c r="B5082" s="118" t="s">
        <v>12</v>
      </c>
      <c r="C5082" s="334" t="s">
        <v>13558</v>
      </c>
      <c r="D5082" s="124" t="s">
        <v>10378</v>
      </c>
      <c r="E5082" s="125"/>
      <c r="F5082" s="118" t="s">
        <v>1018</v>
      </c>
      <c r="G5082" s="126" t="s">
        <v>13525</v>
      </c>
      <c r="H5082" s="255">
        <v>5</v>
      </c>
      <c r="I5082" s="361">
        <v>1</v>
      </c>
      <c r="J5082" s="362" t="s">
        <v>286</v>
      </c>
      <c r="K5082" s="363"/>
      <c r="L5082" s="129"/>
      <c r="M5082" s="129"/>
      <c r="N5082" s="129"/>
      <c r="O5082" s="129"/>
      <c r="P5082" s="364"/>
      <c r="Q5082" s="364"/>
      <c r="R5082" s="129"/>
      <c r="S5082" s="129"/>
      <c r="T5082" s="129"/>
      <c r="W5082" s="129" t="s">
        <v>286</v>
      </c>
      <c r="X5082" s="337" t="b">
        <f t="shared" si="117"/>
        <v>1</v>
      </c>
    </row>
    <row r="5083" spans="1:24" s="337" customFormat="1" ht="12" customHeight="1" outlineLevel="1">
      <c r="A5083" s="335"/>
      <c r="B5083" s="118" t="s">
        <v>12</v>
      </c>
      <c r="C5083" s="334" t="s">
        <v>13559</v>
      </c>
      <c r="D5083" s="124" t="s">
        <v>13560</v>
      </c>
      <c r="E5083" s="125"/>
      <c r="F5083" s="118" t="s">
        <v>1018</v>
      </c>
      <c r="G5083" s="126" t="s">
        <v>13525</v>
      </c>
      <c r="H5083" s="255">
        <v>5</v>
      </c>
      <c r="I5083" s="361">
        <v>1</v>
      </c>
      <c r="J5083" s="362" t="s">
        <v>310</v>
      </c>
      <c r="K5083" s="363"/>
      <c r="L5083" s="129"/>
      <c r="M5083" s="129"/>
      <c r="N5083" s="129"/>
      <c r="O5083" s="129"/>
      <c r="P5083" s="364"/>
      <c r="Q5083" s="364"/>
      <c r="R5083" s="129"/>
      <c r="S5083" s="129"/>
      <c r="T5083" s="129"/>
      <c r="W5083" s="129" t="s">
        <v>286</v>
      </c>
      <c r="X5083" s="337" t="b">
        <f t="shared" si="117"/>
        <v>0</v>
      </c>
    </row>
    <row r="5084" spans="1:24" s="337" customFormat="1" ht="12" customHeight="1" outlineLevel="1">
      <c r="A5084" s="335"/>
      <c r="B5084" s="118" t="s">
        <v>12</v>
      </c>
      <c r="C5084" s="334" t="s">
        <v>13561</v>
      </c>
      <c r="D5084" s="124" t="s">
        <v>10382</v>
      </c>
      <c r="E5084" s="125"/>
      <c r="F5084" s="118" t="s">
        <v>1018</v>
      </c>
      <c r="G5084" s="126" t="s">
        <v>13525</v>
      </c>
      <c r="H5084" s="255">
        <v>5</v>
      </c>
      <c r="I5084" s="361">
        <v>1</v>
      </c>
      <c r="J5084" s="362" t="s">
        <v>286</v>
      </c>
      <c r="K5084" s="363"/>
      <c r="L5084" s="129"/>
      <c r="M5084" s="129"/>
      <c r="N5084" s="129"/>
      <c r="O5084" s="129"/>
      <c r="P5084" s="364"/>
      <c r="Q5084" s="364"/>
      <c r="R5084" s="129"/>
      <c r="S5084" s="129"/>
      <c r="T5084" s="129"/>
      <c r="W5084" s="129" t="s">
        <v>286</v>
      </c>
      <c r="X5084" s="337" t="b">
        <f t="shared" si="117"/>
        <v>1</v>
      </c>
    </row>
    <row r="5085" spans="1:24" s="337" customFormat="1" ht="12" customHeight="1" outlineLevel="1">
      <c r="A5085" s="335"/>
      <c r="B5085" s="118" t="s">
        <v>12</v>
      </c>
      <c r="C5085" s="334" t="s">
        <v>13562</v>
      </c>
      <c r="D5085" s="124" t="s">
        <v>10385</v>
      </c>
      <c r="E5085" s="125"/>
      <c r="F5085" s="118" t="s">
        <v>1018</v>
      </c>
      <c r="G5085" s="126" t="s">
        <v>13525</v>
      </c>
      <c r="H5085" s="255">
        <v>5</v>
      </c>
      <c r="I5085" s="361">
        <v>1</v>
      </c>
      <c r="J5085" s="362" t="s">
        <v>286</v>
      </c>
      <c r="K5085" s="363"/>
      <c r="L5085" s="129"/>
      <c r="M5085" s="129"/>
      <c r="N5085" s="129"/>
      <c r="O5085" s="129"/>
      <c r="P5085" s="364"/>
      <c r="Q5085" s="364"/>
      <c r="R5085" s="129"/>
      <c r="S5085" s="129"/>
      <c r="T5085" s="129"/>
      <c r="W5085" s="129" t="s">
        <v>286</v>
      </c>
      <c r="X5085" s="337" t="b">
        <f t="shared" si="117"/>
        <v>1</v>
      </c>
    </row>
    <row r="5086" spans="1:24" s="337" customFormat="1" ht="12" customHeight="1" outlineLevel="1">
      <c r="A5086" s="335"/>
      <c r="B5086" s="118" t="s">
        <v>12</v>
      </c>
      <c r="C5086" s="334" t="s">
        <v>13563</v>
      </c>
      <c r="D5086" s="124" t="s">
        <v>10387</v>
      </c>
      <c r="E5086" s="125"/>
      <c r="F5086" s="118" t="s">
        <v>1018</v>
      </c>
      <c r="G5086" s="126" t="s">
        <v>13525</v>
      </c>
      <c r="H5086" s="255">
        <v>5</v>
      </c>
      <c r="I5086" s="361">
        <v>1</v>
      </c>
      <c r="J5086" s="362" t="s">
        <v>286</v>
      </c>
      <c r="K5086" s="363"/>
      <c r="L5086" s="129"/>
      <c r="M5086" s="129"/>
      <c r="N5086" s="129"/>
      <c r="O5086" s="129"/>
      <c r="P5086" s="364"/>
      <c r="Q5086" s="364"/>
      <c r="R5086" s="129"/>
      <c r="S5086" s="129"/>
      <c r="T5086" s="129"/>
      <c r="W5086" s="129" t="s">
        <v>286</v>
      </c>
      <c r="X5086" s="337" t="b">
        <f t="shared" si="117"/>
        <v>1</v>
      </c>
    </row>
    <row r="5087" spans="1:24" s="337" customFormat="1" ht="12" customHeight="1" outlineLevel="1">
      <c r="A5087" s="335"/>
      <c r="B5087" s="118" t="s">
        <v>12</v>
      </c>
      <c r="C5087" s="334" t="s">
        <v>13564</v>
      </c>
      <c r="D5087" s="124" t="s">
        <v>10389</v>
      </c>
      <c r="E5087" s="125"/>
      <c r="F5087" s="118" t="s">
        <v>1018</v>
      </c>
      <c r="G5087" s="126" t="s">
        <v>13525</v>
      </c>
      <c r="H5087" s="255">
        <v>5</v>
      </c>
      <c r="I5087" s="361">
        <v>1</v>
      </c>
      <c r="J5087" s="362" t="s">
        <v>286</v>
      </c>
      <c r="K5087" s="363"/>
      <c r="L5087" s="129"/>
      <c r="M5087" s="129"/>
      <c r="N5087" s="129"/>
      <c r="O5087" s="129"/>
      <c r="P5087" s="364"/>
      <c r="Q5087" s="364"/>
      <c r="R5087" s="129"/>
      <c r="S5087" s="129"/>
      <c r="T5087" s="129"/>
      <c r="W5087" s="129" t="s">
        <v>286</v>
      </c>
      <c r="X5087" s="337" t="b">
        <f t="shared" si="117"/>
        <v>1</v>
      </c>
    </row>
    <row r="5088" spans="1:24" s="337" customFormat="1" ht="12" customHeight="1" outlineLevel="1">
      <c r="A5088" s="335"/>
      <c r="B5088" s="118" t="s">
        <v>12</v>
      </c>
      <c r="C5088" s="334" t="s">
        <v>13565</v>
      </c>
      <c r="D5088" s="124" t="s">
        <v>10391</v>
      </c>
      <c r="E5088" s="125"/>
      <c r="F5088" s="118" t="s">
        <v>1018</v>
      </c>
      <c r="G5088" s="126" t="s">
        <v>13525</v>
      </c>
      <c r="H5088" s="255">
        <v>5</v>
      </c>
      <c r="I5088" s="361">
        <v>1</v>
      </c>
      <c r="J5088" s="362" t="s">
        <v>286</v>
      </c>
      <c r="K5088" s="363"/>
      <c r="L5088" s="129"/>
      <c r="M5088" s="129"/>
      <c r="N5088" s="129"/>
      <c r="O5088" s="129"/>
      <c r="P5088" s="364"/>
      <c r="Q5088" s="364"/>
      <c r="R5088" s="129"/>
      <c r="S5088" s="129"/>
      <c r="T5088" s="129"/>
      <c r="W5088" s="129" t="s">
        <v>286</v>
      </c>
      <c r="X5088" s="337" t="b">
        <f t="shared" si="117"/>
        <v>1</v>
      </c>
    </row>
    <row r="5089" spans="1:24" s="337" customFormat="1" ht="12" customHeight="1" outlineLevel="1">
      <c r="A5089" s="335"/>
      <c r="B5089" s="118" t="s">
        <v>12</v>
      </c>
      <c r="C5089" s="334" t="s">
        <v>13566</v>
      </c>
      <c r="D5089" s="124" t="s">
        <v>10393</v>
      </c>
      <c r="E5089" s="125"/>
      <c r="F5089" s="118" t="s">
        <v>1018</v>
      </c>
      <c r="G5089" s="126" t="s">
        <v>13525</v>
      </c>
      <c r="H5089" s="255">
        <v>5</v>
      </c>
      <c r="I5089" s="361">
        <v>1</v>
      </c>
      <c r="J5089" s="362" t="s">
        <v>286</v>
      </c>
      <c r="K5089" s="363"/>
      <c r="L5089" s="129"/>
      <c r="M5089" s="129"/>
      <c r="N5089" s="129"/>
      <c r="O5089" s="129"/>
      <c r="P5089" s="364"/>
      <c r="Q5089" s="364"/>
      <c r="R5089" s="129"/>
      <c r="S5089" s="129"/>
      <c r="T5089" s="129"/>
      <c r="W5089" s="129" t="s">
        <v>286</v>
      </c>
      <c r="X5089" s="337" t="b">
        <f t="shared" si="117"/>
        <v>1</v>
      </c>
    </row>
    <row r="5090" spans="1:24" s="337" customFormat="1" ht="12" customHeight="1" outlineLevel="1">
      <c r="A5090" s="335"/>
      <c r="B5090" s="118" t="s">
        <v>12</v>
      </c>
      <c r="C5090" s="334" t="s">
        <v>13567</v>
      </c>
      <c r="D5090" s="124" t="s">
        <v>10395</v>
      </c>
      <c r="E5090" s="125"/>
      <c r="F5090" s="118" t="s">
        <v>1018</v>
      </c>
      <c r="G5090" s="126" t="s">
        <v>13525</v>
      </c>
      <c r="H5090" s="255">
        <v>5</v>
      </c>
      <c r="I5090" s="361">
        <v>1</v>
      </c>
      <c r="J5090" s="362" t="s">
        <v>286</v>
      </c>
      <c r="K5090" s="363"/>
      <c r="L5090" s="129"/>
      <c r="M5090" s="129"/>
      <c r="N5090" s="129"/>
      <c r="O5090" s="129"/>
      <c r="P5090" s="364"/>
      <c r="Q5090" s="364"/>
      <c r="R5090" s="129"/>
      <c r="S5090" s="129"/>
      <c r="T5090" s="129"/>
      <c r="W5090" s="129" t="s">
        <v>286</v>
      </c>
      <c r="X5090" s="337" t="b">
        <f t="shared" si="117"/>
        <v>1</v>
      </c>
    </row>
    <row r="5091" spans="1:24" s="337" customFormat="1" ht="12" customHeight="1" outlineLevel="1">
      <c r="A5091" s="335"/>
      <c r="B5091" s="118" t="s">
        <v>12</v>
      </c>
      <c r="C5091" s="334" t="s">
        <v>13568</v>
      </c>
      <c r="D5091" s="124" t="s">
        <v>10413</v>
      </c>
      <c r="E5091" s="125"/>
      <c r="F5091" s="118" t="s">
        <v>1018</v>
      </c>
      <c r="G5091" s="126" t="s">
        <v>13525</v>
      </c>
      <c r="H5091" s="255">
        <v>5</v>
      </c>
      <c r="I5091" s="361">
        <v>1</v>
      </c>
      <c r="J5091" s="362" t="s">
        <v>286</v>
      </c>
      <c r="K5091" s="363"/>
      <c r="L5091" s="129"/>
      <c r="M5091" s="129"/>
      <c r="N5091" s="129"/>
      <c r="O5091" s="129"/>
      <c r="P5091" s="364"/>
      <c r="Q5091" s="364"/>
      <c r="R5091" s="129"/>
      <c r="S5091" s="129"/>
      <c r="T5091" s="129"/>
      <c r="W5091" s="129" t="s">
        <v>286</v>
      </c>
      <c r="X5091" s="337" t="b">
        <f t="shared" si="117"/>
        <v>1</v>
      </c>
    </row>
    <row r="5092" spans="1:24" s="337" customFormat="1" ht="12" customHeight="1" outlineLevel="1">
      <c r="A5092" s="335"/>
      <c r="B5092" s="118" t="s">
        <v>12</v>
      </c>
      <c r="C5092" s="334" t="s">
        <v>13569</v>
      </c>
      <c r="D5092" s="124" t="s">
        <v>10415</v>
      </c>
      <c r="E5092" s="125"/>
      <c r="F5092" s="118" t="s">
        <v>1018</v>
      </c>
      <c r="G5092" s="126" t="s">
        <v>13525</v>
      </c>
      <c r="H5092" s="255">
        <v>5</v>
      </c>
      <c r="I5092" s="361">
        <v>1</v>
      </c>
      <c r="J5092" s="362" t="s">
        <v>286</v>
      </c>
      <c r="K5092" s="363"/>
      <c r="L5092" s="129"/>
      <c r="M5092" s="129"/>
      <c r="N5092" s="129"/>
      <c r="O5092" s="129"/>
      <c r="P5092" s="364"/>
      <c r="Q5092" s="364"/>
      <c r="R5092" s="129"/>
      <c r="S5092" s="129"/>
      <c r="T5092" s="129"/>
      <c r="W5092" s="129" t="s">
        <v>286</v>
      </c>
      <c r="X5092" s="337" t="b">
        <f t="shared" si="117"/>
        <v>1</v>
      </c>
    </row>
    <row r="5093" spans="1:24" s="337" customFormat="1" ht="12" customHeight="1" outlineLevel="1">
      <c r="A5093" s="335"/>
      <c r="B5093" s="118" t="s">
        <v>12</v>
      </c>
      <c r="C5093" s="334" t="s">
        <v>13570</v>
      </c>
      <c r="D5093" s="124" t="s">
        <v>10417</v>
      </c>
      <c r="E5093" s="125"/>
      <c r="F5093" s="118" t="s">
        <v>1018</v>
      </c>
      <c r="G5093" s="126" t="s">
        <v>13525</v>
      </c>
      <c r="H5093" s="255">
        <v>5</v>
      </c>
      <c r="I5093" s="361">
        <v>1</v>
      </c>
      <c r="J5093" s="362" t="s">
        <v>286</v>
      </c>
      <c r="K5093" s="363"/>
      <c r="L5093" s="129"/>
      <c r="M5093" s="129"/>
      <c r="N5093" s="129"/>
      <c r="O5093" s="129"/>
      <c r="P5093" s="364"/>
      <c r="Q5093" s="364"/>
      <c r="R5093" s="129"/>
      <c r="S5093" s="129"/>
      <c r="T5093" s="129"/>
      <c r="W5093" s="129" t="s">
        <v>286</v>
      </c>
      <c r="X5093" s="337" t="b">
        <f t="shared" si="117"/>
        <v>1</v>
      </c>
    </row>
    <row r="5094" spans="1:24" s="337" customFormat="1" ht="12" customHeight="1" outlineLevel="1">
      <c r="A5094" s="335"/>
      <c r="B5094" s="118" t="s">
        <v>12</v>
      </c>
      <c r="C5094" s="334" t="s">
        <v>13571</v>
      </c>
      <c r="D5094" s="124" t="s">
        <v>10419</v>
      </c>
      <c r="E5094" s="125"/>
      <c r="F5094" s="118" t="s">
        <v>1018</v>
      </c>
      <c r="G5094" s="126" t="s">
        <v>13525</v>
      </c>
      <c r="H5094" s="255">
        <v>5</v>
      </c>
      <c r="I5094" s="361">
        <v>1</v>
      </c>
      <c r="J5094" s="362" t="s">
        <v>286</v>
      </c>
      <c r="K5094" s="363"/>
      <c r="L5094" s="129"/>
      <c r="M5094" s="129"/>
      <c r="N5094" s="129"/>
      <c r="O5094" s="129"/>
      <c r="P5094" s="364"/>
      <c r="Q5094" s="364"/>
      <c r="R5094" s="129"/>
      <c r="S5094" s="129"/>
      <c r="T5094" s="129"/>
      <c r="W5094" s="129" t="s">
        <v>286</v>
      </c>
      <c r="X5094" s="337" t="b">
        <f t="shared" si="117"/>
        <v>1</v>
      </c>
    </row>
    <row r="5095" spans="1:24" s="337" customFormat="1" ht="12" customHeight="1" outlineLevel="1">
      <c r="A5095" s="335"/>
      <c r="B5095" s="118" t="s">
        <v>12</v>
      </c>
      <c r="C5095" s="334" t="s">
        <v>13572</v>
      </c>
      <c r="D5095" s="124" t="s">
        <v>10421</v>
      </c>
      <c r="E5095" s="125"/>
      <c r="F5095" s="118" t="s">
        <v>1018</v>
      </c>
      <c r="G5095" s="126" t="s">
        <v>13525</v>
      </c>
      <c r="H5095" s="255">
        <v>5</v>
      </c>
      <c r="I5095" s="361">
        <v>1</v>
      </c>
      <c r="J5095" s="362" t="s">
        <v>286</v>
      </c>
      <c r="K5095" s="363"/>
      <c r="L5095" s="129"/>
      <c r="M5095" s="129"/>
      <c r="N5095" s="129"/>
      <c r="O5095" s="129"/>
      <c r="P5095" s="364"/>
      <c r="Q5095" s="364"/>
      <c r="R5095" s="129"/>
      <c r="S5095" s="129"/>
      <c r="T5095" s="129"/>
      <c r="W5095" s="129" t="s">
        <v>286</v>
      </c>
      <c r="X5095" s="337" t="b">
        <f t="shared" si="117"/>
        <v>1</v>
      </c>
    </row>
    <row r="5096" spans="1:24" s="337" customFormat="1" ht="12" customHeight="1" outlineLevel="1">
      <c r="A5096" s="335"/>
      <c r="B5096" s="118" t="s">
        <v>12</v>
      </c>
      <c r="C5096" s="334" t="s">
        <v>13573</v>
      </c>
      <c r="D5096" s="124" t="s">
        <v>10423</v>
      </c>
      <c r="E5096" s="125"/>
      <c r="F5096" s="118" t="s">
        <v>1018</v>
      </c>
      <c r="G5096" s="126" t="s">
        <v>13525</v>
      </c>
      <c r="H5096" s="255">
        <v>5</v>
      </c>
      <c r="I5096" s="361">
        <v>1</v>
      </c>
      <c r="J5096" s="362" t="s">
        <v>286</v>
      </c>
      <c r="K5096" s="363"/>
      <c r="L5096" s="129"/>
      <c r="M5096" s="129"/>
      <c r="N5096" s="129"/>
      <c r="O5096" s="129"/>
      <c r="P5096" s="364"/>
      <c r="Q5096" s="364"/>
      <c r="R5096" s="129"/>
      <c r="S5096" s="129"/>
      <c r="T5096" s="129"/>
      <c r="W5096" s="129" t="s">
        <v>286</v>
      </c>
      <c r="X5096" s="337" t="b">
        <f t="shared" si="117"/>
        <v>1</v>
      </c>
    </row>
    <row r="5097" spans="1:24" s="337" customFormat="1" ht="12" customHeight="1" outlineLevel="1">
      <c r="A5097" s="335"/>
      <c r="B5097" s="118" t="s">
        <v>12</v>
      </c>
      <c r="C5097" s="334" t="s">
        <v>13574</v>
      </c>
      <c r="D5097" s="124" t="s">
        <v>10425</v>
      </c>
      <c r="E5097" s="125"/>
      <c r="F5097" s="118" t="s">
        <v>1018</v>
      </c>
      <c r="G5097" s="126" t="s">
        <v>13525</v>
      </c>
      <c r="H5097" s="255">
        <v>5</v>
      </c>
      <c r="I5097" s="361">
        <v>1</v>
      </c>
      <c r="J5097" s="362" t="s">
        <v>286</v>
      </c>
      <c r="K5097" s="363"/>
      <c r="L5097" s="129"/>
      <c r="M5097" s="129"/>
      <c r="N5097" s="129"/>
      <c r="O5097" s="129"/>
      <c r="P5097" s="364"/>
      <c r="Q5097" s="364"/>
      <c r="R5097" s="129"/>
      <c r="S5097" s="129"/>
      <c r="T5097" s="129"/>
      <c r="W5097" s="129" t="s">
        <v>286</v>
      </c>
      <c r="X5097" s="337" t="b">
        <f t="shared" si="117"/>
        <v>1</v>
      </c>
    </row>
    <row r="5098" spans="1:24" s="337" customFormat="1" ht="12" customHeight="1" outlineLevel="1">
      <c r="A5098" s="335"/>
      <c r="B5098" s="118" t="s">
        <v>12</v>
      </c>
      <c r="C5098" s="334" t="s">
        <v>13575</v>
      </c>
      <c r="D5098" s="124" t="s">
        <v>10427</v>
      </c>
      <c r="E5098" s="125"/>
      <c r="F5098" s="118" t="s">
        <v>1018</v>
      </c>
      <c r="G5098" s="126" t="s">
        <v>13525</v>
      </c>
      <c r="H5098" s="255">
        <v>5</v>
      </c>
      <c r="I5098" s="361">
        <v>1</v>
      </c>
      <c r="J5098" s="362" t="s">
        <v>286</v>
      </c>
      <c r="K5098" s="363"/>
      <c r="L5098" s="129"/>
      <c r="M5098" s="129"/>
      <c r="N5098" s="129"/>
      <c r="O5098" s="129"/>
      <c r="P5098" s="364"/>
      <c r="Q5098" s="364"/>
      <c r="R5098" s="129"/>
      <c r="S5098" s="129"/>
      <c r="T5098" s="129"/>
      <c r="W5098" s="129" t="s">
        <v>286</v>
      </c>
      <c r="X5098" s="337" t="b">
        <f t="shared" si="117"/>
        <v>1</v>
      </c>
    </row>
    <row r="5099" spans="1:24" s="337" customFormat="1" ht="12" customHeight="1" outlineLevel="1">
      <c r="A5099" s="335"/>
      <c r="B5099" s="118" t="s">
        <v>12</v>
      </c>
      <c r="C5099" s="334" t="s">
        <v>13576</v>
      </c>
      <c r="D5099" s="124" t="s">
        <v>10429</v>
      </c>
      <c r="E5099" s="125"/>
      <c r="F5099" s="118" t="s">
        <v>1018</v>
      </c>
      <c r="G5099" s="126" t="s">
        <v>13525</v>
      </c>
      <c r="H5099" s="255">
        <v>5</v>
      </c>
      <c r="I5099" s="361">
        <v>1</v>
      </c>
      <c r="J5099" s="362" t="s">
        <v>286</v>
      </c>
      <c r="K5099" s="363"/>
      <c r="L5099" s="129"/>
      <c r="M5099" s="129"/>
      <c r="N5099" s="129"/>
      <c r="O5099" s="129"/>
      <c r="P5099" s="364"/>
      <c r="Q5099" s="364"/>
      <c r="R5099" s="129"/>
      <c r="S5099" s="129"/>
      <c r="T5099" s="129"/>
      <c r="W5099" s="129" t="s">
        <v>286</v>
      </c>
      <c r="X5099" s="337" t="b">
        <f t="shared" si="117"/>
        <v>1</v>
      </c>
    </row>
    <row r="5100" spans="1:24" s="337" customFormat="1" ht="12" customHeight="1" outlineLevel="1">
      <c r="A5100" s="335"/>
      <c r="B5100" s="118" t="s">
        <v>12</v>
      </c>
      <c r="C5100" s="334" t="s">
        <v>13577</v>
      </c>
      <c r="D5100" s="124" t="s">
        <v>10431</v>
      </c>
      <c r="E5100" s="125"/>
      <c r="F5100" s="118" t="s">
        <v>1018</v>
      </c>
      <c r="G5100" s="126" t="s">
        <v>13525</v>
      </c>
      <c r="H5100" s="255">
        <v>5</v>
      </c>
      <c r="I5100" s="361">
        <v>1</v>
      </c>
      <c r="J5100" s="362" t="s">
        <v>286</v>
      </c>
      <c r="K5100" s="363"/>
      <c r="L5100" s="129"/>
      <c r="M5100" s="129"/>
      <c r="N5100" s="129"/>
      <c r="O5100" s="129"/>
      <c r="P5100" s="364"/>
      <c r="Q5100" s="364"/>
      <c r="R5100" s="129"/>
      <c r="S5100" s="129"/>
      <c r="T5100" s="129"/>
      <c r="W5100" s="129" t="s">
        <v>286</v>
      </c>
      <c r="X5100" s="337" t="b">
        <f t="shared" si="117"/>
        <v>1</v>
      </c>
    </row>
    <row r="5101" spans="1:24" s="337" customFormat="1" ht="12" customHeight="1" outlineLevel="1">
      <c r="A5101" s="335"/>
      <c r="B5101" s="118" t="s">
        <v>12</v>
      </c>
      <c r="C5101" s="334" t="s">
        <v>13578</v>
      </c>
      <c r="D5101" s="124" t="s">
        <v>10433</v>
      </c>
      <c r="E5101" s="125"/>
      <c r="F5101" s="118" t="s">
        <v>1018</v>
      </c>
      <c r="G5101" s="126" t="s">
        <v>13525</v>
      </c>
      <c r="H5101" s="255">
        <v>5</v>
      </c>
      <c r="I5101" s="361">
        <v>1</v>
      </c>
      <c r="J5101" s="362" t="s">
        <v>286</v>
      </c>
      <c r="K5101" s="363"/>
      <c r="L5101" s="129"/>
      <c r="M5101" s="129"/>
      <c r="N5101" s="129"/>
      <c r="O5101" s="129"/>
      <c r="P5101" s="364"/>
      <c r="Q5101" s="364"/>
      <c r="R5101" s="129"/>
      <c r="S5101" s="129"/>
      <c r="T5101" s="129"/>
      <c r="W5101" s="129" t="s">
        <v>286</v>
      </c>
      <c r="X5101" s="337" t="b">
        <f t="shared" si="117"/>
        <v>1</v>
      </c>
    </row>
    <row r="5102" spans="1:24" s="337" customFormat="1" ht="12" customHeight="1" outlineLevel="1">
      <c r="A5102" s="335"/>
      <c r="B5102" s="118" t="s">
        <v>12</v>
      </c>
      <c r="C5102" s="334" t="s">
        <v>13579</v>
      </c>
      <c r="D5102" s="124" t="s">
        <v>10435</v>
      </c>
      <c r="E5102" s="125"/>
      <c r="F5102" s="118" t="s">
        <v>1018</v>
      </c>
      <c r="G5102" s="126" t="s">
        <v>13525</v>
      </c>
      <c r="H5102" s="255">
        <v>5</v>
      </c>
      <c r="I5102" s="361">
        <v>1</v>
      </c>
      <c r="J5102" s="362" t="s">
        <v>286</v>
      </c>
      <c r="K5102" s="363"/>
      <c r="L5102" s="129"/>
      <c r="M5102" s="129"/>
      <c r="N5102" s="129"/>
      <c r="O5102" s="129"/>
      <c r="P5102" s="364"/>
      <c r="Q5102" s="364"/>
      <c r="R5102" s="129"/>
      <c r="S5102" s="129"/>
      <c r="T5102" s="129"/>
      <c r="W5102" s="129" t="s">
        <v>286</v>
      </c>
      <c r="X5102" s="337" t="b">
        <f t="shared" si="117"/>
        <v>1</v>
      </c>
    </row>
    <row r="5103" spans="1:24" s="337" customFormat="1" ht="12" customHeight="1" outlineLevel="1">
      <c r="A5103" s="335"/>
      <c r="B5103" s="118" t="s">
        <v>12</v>
      </c>
      <c r="C5103" s="334" t="s">
        <v>13580</v>
      </c>
      <c r="D5103" s="124" t="s">
        <v>10437</v>
      </c>
      <c r="E5103" s="125"/>
      <c r="F5103" s="118" t="s">
        <v>1018</v>
      </c>
      <c r="G5103" s="126" t="s">
        <v>13525</v>
      </c>
      <c r="H5103" s="255">
        <v>5</v>
      </c>
      <c r="I5103" s="361">
        <v>1</v>
      </c>
      <c r="J5103" s="362" t="s">
        <v>286</v>
      </c>
      <c r="K5103" s="363"/>
      <c r="L5103" s="129"/>
      <c r="M5103" s="129"/>
      <c r="N5103" s="129"/>
      <c r="O5103" s="129"/>
      <c r="P5103" s="364"/>
      <c r="Q5103" s="364"/>
      <c r="R5103" s="129"/>
      <c r="S5103" s="129"/>
      <c r="T5103" s="129"/>
      <c r="W5103" s="129" t="s">
        <v>286</v>
      </c>
      <c r="X5103" s="337" t="b">
        <f t="shared" si="117"/>
        <v>1</v>
      </c>
    </row>
    <row r="5104" spans="1:24" s="337" customFormat="1" ht="12" customHeight="1" outlineLevel="1">
      <c r="A5104" s="335"/>
      <c r="B5104" s="118" t="s">
        <v>12</v>
      </c>
      <c r="C5104" s="334" t="s">
        <v>13581</v>
      </c>
      <c r="D5104" s="124" t="s">
        <v>10439</v>
      </c>
      <c r="E5104" s="125"/>
      <c r="F5104" s="118" t="s">
        <v>1018</v>
      </c>
      <c r="G5104" s="126" t="s">
        <v>13525</v>
      </c>
      <c r="H5104" s="255">
        <v>5</v>
      </c>
      <c r="I5104" s="361">
        <v>1</v>
      </c>
      <c r="J5104" s="362" t="s">
        <v>286</v>
      </c>
      <c r="K5104" s="363"/>
      <c r="L5104" s="129"/>
      <c r="M5104" s="129"/>
      <c r="N5104" s="129"/>
      <c r="O5104" s="129"/>
      <c r="P5104" s="364"/>
      <c r="Q5104" s="364"/>
      <c r="R5104" s="129"/>
      <c r="S5104" s="129"/>
      <c r="T5104" s="129"/>
      <c r="W5104" s="129" t="s">
        <v>286</v>
      </c>
      <c r="X5104" s="337" t="b">
        <f t="shared" si="117"/>
        <v>1</v>
      </c>
    </row>
    <row r="5105" spans="1:24" s="337" customFormat="1" ht="12" customHeight="1" outlineLevel="1">
      <c r="A5105" s="335"/>
      <c r="B5105" s="118" t="s">
        <v>12</v>
      </c>
      <c r="C5105" s="334" t="s">
        <v>13582</v>
      </c>
      <c r="D5105" s="124" t="s">
        <v>10441</v>
      </c>
      <c r="E5105" s="125"/>
      <c r="F5105" s="118" t="s">
        <v>1018</v>
      </c>
      <c r="G5105" s="126" t="s">
        <v>13525</v>
      </c>
      <c r="H5105" s="255">
        <v>5</v>
      </c>
      <c r="I5105" s="361">
        <v>1</v>
      </c>
      <c r="J5105" s="362" t="s">
        <v>286</v>
      </c>
      <c r="K5105" s="363"/>
      <c r="L5105" s="129"/>
      <c r="M5105" s="129"/>
      <c r="N5105" s="129"/>
      <c r="O5105" s="129"/>
      <c r="P5105" s="364"/>
      <c r="Q5105" s="364"/>
      <c r="R5105" s="129"/>
      <c r="S5105" s="129"/>
      <c r="T5105" s="129"/>
      <c r="W5105" s="129" t="s">
        <v>286</v>
      </c>
      <c r="X5105" s="337" t="b">
        <f t="shared" si="117"/>
        <v>1</v>
      </c>
    </row>
    <row r="5106" spans="1:24" s="337" customFormat="1" ht="12" customHeight="1" outlineLevel="1">
      <c r="A5106" s="335"/>
      <c r="B5106" s="118" t="s">
        <v>12</v>
      </c>
      <c r="C5106" s="334" t="s">
        <v>13583</v>
      </c>
      <c r="D5106" s="124" t="s">
        <v>10443</v>
      </c>
      <c r="E5106" s="125"/>
      <c r="F5106" s="118" t="s">
        <v>1018</v>
      </c>
      <c r="G5106" s="126" t="s">
        <v>13525</v>
      </c>
      <c r="H5106" s="255">
        <v>5</v>
      </c>
      <c r="I5106" s="361">
        <v>1</v>
      </c>
      <c r="J5106" s="362" t="s">
        <v>286</v>
      </c>
      <c r="K5106" s="363"/>
      <c r="L5106" s="129"/>
      <c r="M5106" s="129"/>
      <c r="N5106" s="129"/>
      <c r="O5106" s="129"/>
      <c r="P5106" s="364"/>
      <c r="Q5106" s="364"/>
      <c r="R5106" s="129"/>
      <c r="S5106" s="129"/>
      <c r="T5106" s="129"/>
      <c r="W5106" s="129" t="s">
        <v>286</v>
      </c>
      <c r="X5106" s="337" t="b">
        <f t="shared" si="117"/>
        <v>1</v>
      </c>
    </row>
    <row r="5107" spans="1:24" s="337" customFormat="1" ht="12" customHeight="1" outlineLevel="1">
      <c r="A5107" s="335"/>
      <c r="B5107" s="118" t="s">
        <v>12</v>
      </c>
      <c r="C5107" s="334" t="s">
        <v>13584</v>
      </c>
      <c r="D5107" s="124" t="s">
        <v>10445</v>
      </c>
      <c r="E5107" s="125"/>
      <c r="F5107" s="118" t="s">
        <v>1018</v>
      </c>
      <c r="G5107" s="126" t="s">
        <v>13525</v>
      </c>
      <c r="H5107" s="255">
        <v>5</v>
      </c>
      <c r="I5107" s="361">
        <v>1</v>
      </c>
      <c r="J5107" s="362" t="s">
        <v>286</v>
      </c>
      <c r="K5107" s="363"/>
      <c r="L5107" s="129"/>
      <c r="M5107" s="129"/>
      <c r="N5107" s="129"/>
      <c r="O5107" s="129"/>
      <c r="P5107" s="364"/>
      <c r="Q5107" s="364"/>
      <c r="R5107" s="129"/>
      <c r="S5107" s="129"/>
      <c r="T5107" s="129"/>
      <c r="W5107" s="129" t="s">
        <v>286</v>
      </c>
      <c r="X5107" s="337" t="b">
        <f t="shared" si="117"/>
        <v>1</v>
      </c>
    </row>
    <row r="5108" spans="1:24" s="337" customFormat="1" ht="12" customHeight="1" outlineLevel="1">
      <c r="A5108" s="335"/>
      <c r="B5108" s="118" t="s">
        <v>12</v>
      </c>
      <c r="C5108" s="334" t="s">
        <v>13585</v>
      </c>
      <c r="D5108" s="124" t="s">
        <v>10447</v>
      </c>
      <c r="E5108" s="125"/>
      <c r="F5108" s="118" t="s">
        <v>1018</v>
      </c>
      <c r="G5108" s="126" t="s">
        <v>13525</v>
      </c>
      <c r="H5108" s="255">
        <v>5</v>
      </c>
      <c r="I5108" s="361">
        <v>1</v>
      </c>
      <c r="J5108" s="362" t="s">
        <v>286</v>
      </c>
      <c r="K5108" s="363"/>
      <c r="L5108" s="129"/>
      <c r="M5108" s="129"/>
      <c r="N5108" s="129"/>
      <c r="O5108" s="129"/>
      <c r="P5108" s="364"/>
      <c r="Q5108" s="364"/>
      <c r="R5108" s="129"/>
      <c r="S5108" s="129"/>
      <c r="T5108" s="129"/>
      <c r="W5108" s="129" t="s">
        <v>286</v>
      </c>
      <c r="X5108" s="337" t="b">
        <f t="shared" si="117"/>
        <v>1</v>
      </c>
    </row>
    <row r="5109" spans="1:24" s="337" customFormat="1" ht="12" customHeight="1" outlineLevel="1">
      <c r="A5109" s="335"/>
      <c r="B5109" s="118" t="s">
        <v>12</v>
      </c>
      <c r="C5109" s="334" t="s">
        <v>13586</v>
      </c>
      <c r="D5109" s="124" t="s">
        <v>10449</v>
      </c>
      <c r="E5109" s="125"/>
      <c r="F5109" s="118" t="s">
        <v>1018</v>
      </c>
      <c r="G5109" s="126" t="s">
        <v>13525</v>
      </c>
      <c r="H5109" s="255">
        <v>5</v>
      </c>
      <c r="I5109" s="361">
        <v>1</v>
      </c>
      <c r="J5109" s="362" t="s">
        <v>286</v>
      </c>
      <c r="K5109" s="363"/>
      <c r="L5109" s="129"/>
      <c r="M5109" s="129"/>
      <c r="N5109" s="129"/>
      <c r="O5109" s="129"/>
      <c r="P5109" s="364"/>
      <c r="Q5109" s="364"/>
      <c r="R5109" s="129"/>
      <c r="S5109" s="129"/>
      <c r="T5109" s="129"/>
      <c r="W5109" s="129" t="s">
        <v>286</v>
      </c>
      <c r="X5109" s="337" t="b">
        <f t="shared" si="117"/>
        <v>1</v>
      </c>
    </row>
    <row r="5110" spans="1:24" s="337" customFormat="1" ht="12" customHeight="1" outlineLevel="1">
      <c r="A5110" s="335"/>
      <c r="B5110" s="118" t="s">
        <v>12</v>
      </c>
      <c r="C5110" s="334" t="s">
        <v>13587</v>
      </c>
      <c r="D5110" s="124" t="s">
        <v>10451</v>
      </c>
      <c r="E5110" s="125"/>
      <c r="F5110" s="118" t="s">
        <v>1018</v>
      </c>
      <c r="G5110" s="126" t="s">
        <v>13525</v>
      </c>
      <c r="H5110" s="255">
        <v>5</v>
      </c>
      <c r="I5110" s="361">
        <v>1</v>
      </c>
      <c r="J5110" s="362" t="s">
        <v>286</v>
      </c>
      <c r="K5110" s="363"/>
      <c r="L5110" s="129"/>
      <c r="M5110" s="129"/>
      <c r="N5110" s="129"/>
      <c r="O5110" s="129"/>
      <c r="P5110" s="364"/>
      <c r="Q5110" s="364"/>
      <c r="R5110" s="129"/>
      <c r="S5110" s="129"/>
      <c r="T5110" s="129"/>
      <c r="W5110" s="129" t="s">
        <v>286</v>
      </c>
      <c r="X5110" s="337" t="b">
        <f t="shared" si="117"/>
        <v>1</v>
      </c>
    </row>
    <row r="5111" spans="1:24" s="337" customFormat="1" ht="12" customHeight="1" outlineLevel="1">
      <c r="A5111" s="335"/>
      <c r="B5111" s="118" t="s">
        <v>12</v>
      </c>
      <c r="C5111" s="334" t="s">
        <v>13588</v>
      </c>
      <c r="D5111" s="124" t="s">
        <v>10453</v>
      </c>
      <c r="E5111" s="125"/>
      <c r="F5111" s="118" t="s">
        <v>1018</v>
      </c>
      <c r="G5111" s="126" t="s">
        <v>13525</v>
      </c>
      <c r="H5111" s="255">
        <v>5</v>
      </c>
      <c r="I5111" s="361">
        <v>1</v>
      </c>
      <c r="J5111" s="362" t="s">
        <v>286</v>
      </c>
      <c r="K5111" s="363"/>
      <c r="L5111" s="129"/>
      <c r="M5111" s="129"/>
      <c r="N5111" s="129"/>
      <c r="O5111" s="129"/>
      <c r="P5111" s="364"/>
      <c r="Q5111" s="364"/>
      <c r="R5111" s="129"/>
      <c r="S5111" s="129"/>
      <c r="T5111" s="129"/>
      <c r="W5111" s="129" t="s">
        <v>286</v>
      </c>
      <c r="X5111" s="337" t="b">
        <f t="shared" si="117"/>
        <v>1</v>
      </c>
    </row>
    <row r="5112" spans="1:24" s="337" customFormat="1" ht="12" customHeight="1" outlineLevel="1">
      <c r="A5112" s="335"/>
      <c r="B5112" s="118" t="s">
        <v>12</v>
      </c>
      <c r="C5112" s="334" t="s">
        <v>13589</v>
      </c>
      <c r="D5112" s="124" t="s">
        <v>10455</v>
      </c>
      <c r="E5112" s="125"/>
      <c r="F5112" s="118" t="s">
        <v>1018</v>
      </c>
      <c r="G5112" s="126" t="s">
        <v>13525</v>
      </c>
      <c r="H5112" s="255">
        <v>5</v>
      </c>
      <c r="I5112" s="361">
        <v>1</v>
      </c>
      <c r="J5112" s="362" t="s">
        <v>286</v>
      </c>
      <c r="K5112" s="363"/>
      <c r="L5112" s="129"/>
      <c r="M5112" s="129"/>
      <c r="N5112" s="129"/>
      <c r="O5112" s="129"/>
      <c r="P5112" s="364"/>
      <c r="Q5112" s="364"/>
      <c r="R5112" s="129"/>
      <c r="S5112" s="129"/>
      <c r="T5112" s="129"/>
      <c r="W5112" s="129" t="s">
        <v>286</v>
      </c>
      <c r="X5112" s="337" t="b">
        <f t="shared" si="117"/>
        <v>1</v>
      </c>
    </row>
    <row r="5113" spans="1:24" s="337" customFormat="1" ht="12" customHeight="1" outlineLevel="1">
      <c r="A5113" s="335"/>
      <c r="B5113" s="118" t="s">
        <v>12</v>
      </c>
      <c r="C5113" s="334" t="s">
        <v>13590</v>
      </c>
      <c r="D5113" s="124" t="s">
        <v>10457</v>
      </c>
      <c r="E5113" s="125"/>
      <c r="F5113" s="118" t="s">
        <v>1018</v>
      </c>
      <c r="G5113" s="126" t="s">
        <v>13525</v>
      </c>
      <c r="H5113" s="255">
        <v>5</v>
      </c>
      <c r="I5113" s="361">
        <v>1</v>
      </c>
      <c r="J5113" s="362" t="s">
        <v>286</v>
      </c>
      <c r="K5113" s="363"/>
      <c r="L5113" s="129"/>
      <c r="M5113" s="129"/>
      <c r="N5113" s="129"/>
      <c r="O5113" s="129"/>
      <c r="P5113" s="364"/>
      <c r="Q5113" s="364"/>
      <c r="R5113" s="129"/>
      <c r="S5113" s="129"/>
      <c r="T5113" s="129"/>
      <c r="W5113" s="129" t="s">
        <v>286</v>
      </c>
      <c r="X5113" s="337" t="b">
        <f t="shared" si="117"/>
        <v>1</v>
      </c>
    </row>
    <row r="5114" spans="1:24" s="337" customFormat="1" ht="12" customHeight="1" outlineLevel="1">
      <c r="A5114" s="335"/>
      <c r="B5114" s="118" t="s">
        <v>12</v>
      </c>
      <c r="C5114" s="334" t="s">
        <v>13591</v>
      </c>
      <c r="D5114" s="124" t="s">
        <v>10459</v>
      </c>
      <c r="E5114" s="125"/>
      <c r="F5114" s="118" t="s">
        <v>1018</v>
      </c>
      <c r="G5114" s="126" t="s">
        <v>13525</v>
      </c>
      <c r="H5114" s="255">
        <v>5</v>
      </c>
      <c r="I5114" s="361">
        <v>1</v>
      </c>
      <c r="J5114" s="362" t="s">
        <v>286</v>
      </c>
      <c r="K5114" s="363"/>
      <c r="L5114" s="129"/>
      <c r="M5114" s="129"/>
      <c r="N5114" s="129"/>
      <c r="O5114" s="129"/>
      <c r="P5114" s="364"/>
      <c r="Q5114" s="364"/>
      <c r="R5114" s="129"/>
      <c r="S5114" s="129"/>
      <c r="T5114" s="129"/>
      <c r="W5114" s="129" t="s">
        <v>286</v>
      </c>
      <c r="X5114" s="337" t="b">
        <f t="shared" si="117"/>
        <v>1</v>
      </c>
    </row>
    <row r="5115" spans="1:24" s="337" customFormat="1" ht="12" customHeight="1" outlineLevel="1">
      <c r="A5115" s="335"/>
      <c r="B5115" s="118" t="s">
        <v>12</v>
      </c>
      <c r="C5115" s="334" t="s">
        <v>13592</v>
      </c>
      <c r="D5115" s="124" t="s">
        <v>10461</v>
      </c>
      <c r="E5115" s="125"/>
      <c r="F5115" s="118" t="s">
        <v>1018</v>
      </c>
      <c r="G5115" s="126" t="s">
        <v>13525</v>
      </c>
      <c r="H5115" s="255">
        <v>5</v>
      </c>
      <c r="I5115" s="361">
        <v>1</v>
      </c>
      <c r="J5115" s="362" t="s">
        <v>286</v>
      </c>
      <c r="K5115" s="363"/>
      <c r="L5115" s="129"/>
      <c r="M5115" s="129"/>
      <c r="N5115" s="129"/>
      <c r="O5115" s="129"/>
      <c r="P5115" s="364"/>
      <c r="Q5115" s="364"/>
      <c r="R5115" s="129"/>
      <c r="S5115" s="129"/>
      <c r="T5115" s="129"/>
      <c r="W5115" s="129" t="s">
        <v>286</v>
      </c>
      <c r="X5115" s="337" t="b">
        <f t="shared" si="117"/>
        <v>1</v>
      </c>
    </row>
    <row r="5116" spans="1:24" s="337" customFormat="1" ht="12" customHeight="1" outlineLevel="1">
      <c r="A5116" s="335"/>
      <c r="B5116" s="118" t="s">
        <v>12</v>
      </c>
      <c r="C5116" s="334" t="s">
        <v>13593</v>
      </c>
      <c r="D5116" s="124" t="s">
        <v>10463</v>
      </c>
      <c r="E5116" s="125"/>
      <c r="F5116" s="118" t="s">
        <v>1018</v>
      </c>
      <c r="G5116" s="126" t="s">
        <v>13525</v>
      </c>
      <c r="H5116" s="255">
        <v>5</v>
      </c>
      <c r="I5116" s="361">
        <v>1</v>
      </c>
      <c r="J5116" s="362" t="s">
        <v>286</v>
      </c>
      <c r="K5116" s="363"/>
      <c r="L5116" s="129"/>
      <c r="M5116" s="129"/>
      <c r="N5116" s="129"/>
      <c r="O5116" s="129"/>
      <c r="P5116" s="364"/>
      <c r="Q5116" s="364"/>
      <c r="R5116" s="129"/>
      <c r="S5116" s="129"/>
      <c r="T5116" s="129"/>
      <c r="W5116" s="129" t="s">
        <v>286</v>
      </c>
      <c r="X5116" s="337" t="b">
        <f t="shared" si="117"/>
        <v>1</v>
      </c>
    </row>
    <row r="5117" spans="1:24" s="337" customFormat="1" ht="12" customHeight="1" outlineLevel="1">
      <c r="A5117" s="335"/>
      <c r="B5117" s="118" t="s">
        <v>12</v>
      </c>
      <c r="C5117" s="334" t="s">
        <v>13594</v>
      </c>
      <c r="D5117" s="124" t="s">
        <v>10465</v>
      </c>
      <c r="E5117" s="125"/>
      <c r="F5117" s="118" t="s">
        <v>1018</v>
      </c>
      <c r="G5117" s="126" t="s">
        <v>13525</v>
      </c>
      <c r="H5117" s="255">
        <v>5</v>
      </c>
      <c r="I5117" s="361">
        <v>1</v>
      </c>
      <c r="J5117" s="362" t="s">
        <v>286</v>
      </c>
      <c r="K5117" s="363"/>
      <c r="L5117" s="129"/>
      <c r="M5117" s="129"/>
      <c r="N5117" s="129"/>
      <c r="O5117" s="129"/>
      <c r="P5117" s="364"/>
      <c r="Q5117" s="364"/>
      <c r="R5117" s="129"/>
      <c r="S5117" s="129"/>
      <c r="T5117" s="129"/>
      <c r="W5117" s="129" t="s">
        <v>286</v>
      </c>
      <c r="X5117" s="337" t="b">
        <f t="shared" si="117"/>
        <v>1</v>
      </c>
    </row>
    <row r="5118" spans="1:24" s="337" customFormat="1" ht="12" customHeight="1" outlineLevel="1">
      <c r="A5118" s="335"/>
      <c r="B5118" s="118" t="s">
        <v>12</v>
      </c>
      <c r="C5118" s="334" t="s">
        <v>13595</v>
      </c>
      <c r="D5118" s="124" t="s">
        <v>10467</v>
      </c>
      <c r="E5118" s="125"/>
      <c r="F5118" s="118" t="s">
        <v>1018</v>
      </c>
      <c r="G5118" s="126" t="s">
        <v>13525</v>
      </c>
      <c r="H5118" s="255">
        <v>5</v>
      </c>
      <c r="I5118" s="361">
        <v>1</v>
      </c>
      <c r="J5118" s="362" t="s">
        <v>286</v>
      </c>
      <c r="K5118" s="363"/>
      <c r="L5118" s="129"/>
      <c r="M5118" s="129"/>
      <c r="N5118" s="129"/>
      <c r="O5118" s="129"/>
      <c r="P5118" s="364"/>
      <c r="Q5118" s="364"/>
      <c r="R5118" s="129"/>
      <c r="S5118" s="129"/>
      <c r="T5118" s="129"/>
      <c r="W5118" s="129" t="s">
        <v>286</v>
      </c>
      <c r="X5118" s="337" t="b">
        <f t="shared" si="117"/>
        <v>1</v>
      </c>
    </row>
    <row r="5119" spans="1:24" s="337" customFormat="1" ht="12" customHeight="1" outlineLevel="1">
      <c r="A5119" s="335"/>
      <c r="B5119" s="118" t="s">
        <v>12</v>
      </c>
      <c r="C5119" s="334" t="s">
        <v>13596</v>
      </c>
      <c r="D5119" s="124" t="s">
        <v>10469</v>
      </c>
      <c r="E5119" s="125"/>
      <c r="F5119" s="118" t="s">
        <v>1018</v>
      </c>
      <c r="G5119" s="126" t="s">
        <v>13525</v>
      </c>
      <c r="H5119" s="255">
        <v>5</v>
      </c>
      <c r="I5119" s="361">
        <v>1</v>
      </c>
      <c r="J5119" s="362" t="s">
        <v>286</v>
      </c>
      <c r="K5119" s="363"/>
      <c r="L5119" s="129"/>
      <c r="M5119" s="129"/>
      <c r="N5119" s="129"/>
      <c r="O5119" s="129"/>
      <c r="P5119" s="364"/>
      <c r="Q5119" s="364"/>
      <c r="R5119" s="129"/>
      <c r="S5119" s="129"/>
      <c r="T5119" s="129"/>
      <c r="W5119" s="129" t="s">
        <v>286</v>
      </c>
      <c r="X5119" s="337" t="b">
        <f t="shared" si="117"/>
        <v>1</v>
      </c>
    </row>
    <row r="5120" spans="1:24" s="337" customFormat="1" ht="12" customHeight="1" outlineLevel="1">
      <c r="A5120" s="335"/>
      <c r="B5120" s="118" t="s">
        <v>12</v>
      </c>
      <c r="C5120" s="334" t="s">
        <v>13597</v>
      </c>
      <c r="D5120" s="124" t="s">
        <v>10471</v>
      </c>
      <c r="E5120" s="125"/>
      <c r="F5120" s="118" t="s">
        <v>1018</v>
      </c>
      <c r="G5120" s="126" t="s">
        <v>13525</v>
      </c>
      <c r="H5120" s="255">
        <v>5</v>
      </c>
      <c r="I5120" s="361">
        <v>1</v>
      </c>
      <c r="J5120" s="362" t="s">
        <v>286</v>
      </c>
      <c r="K5120" s="363"/>
      <c r="L5120" s="129"/>
      <c r="M5120" s="129"/>
      <c r="N5120" s="129"/>
      <c r="O5120" s="129"/>
      <c r="P5120" s="364"/>
      <c r="Q5120" s="364"/>
      <c r="R5120" s="129"/>
      <c r="S5120" s="129"/>
      <c r="T5120" s="129"/>
      <c r="W5120" s="129" t="s">
        <v>286</v>
      </c>
      <c r="X5120" s="337" t="b">
        <f t="shared" si="117"/>
        <v>1</v>
      </c>
    </row>
    <row r="5121" spans="1:24" s="337" customFormat="1" ht="12" customHeight="1" outlineLevel="1">
      <c r="A5121" s="335"/>
      <c r="B5121" s="118" t="s">
        <v>12</v>
      </c>
      <c r="C5121" s="334" t="s">
        <v>13598</v>
      </c>
      <c r="D5121" s="124" t="s">
        <v>10473</v>
      </c>
      <c r="E5121" s="125"/>
      <c r="F5121" s="118" t="s">
        <v>1018</v>
      </c>
      <c r="G5121" s="126" t="s">
        <v>13525</v>
      </c>
      <c r="H5121" s="255">
        <v>5</v>
      </c>
      <c r="I5121" s="361">
        <v>1</v>
      </c>
      <c r="J5121" s="362" t="s">
        <v>286</v>
      </c>
      <c r="K5121" s="363"/>
      <c r="L5121" s="129"/>
      <c r="M5121" s="129"/>
      <c r="N5121" s="129"/>
      <c r="O5121" s="129"/>
      <c r="P5121" s="364"/>
      <c r="Q5121" s="364"/>
      <c r="R5121" s="129"/>
      <c r="S5121" s="129"/>
      <c r="T5121" s="129"/>
      <c r="W5121" s="129" t="s">
        <v>286</v>
      </c>
      <c r="X5121" s="337" t="b">
        <f t="shared" si="117"/>
        <v>1</v>
      </c>
    </row>
    <row r="5122" spans="1:24" s="337" customFormat="1" ht="12" customHeight="1" outlineLevel="1">
      <c r="A5122" s="335"/>
      <c r="B5122" s="118" t="s">
        <v>12</v>
      </c>
      <c r="C5122" s="334" t="s">
        <v>13599</v>
      </c>
      <c r="D5122" s="124" t="s">
        <v>10475</v>
      </c>
      <c r="E5122" s="125"/>
      <c r="F5122" s="118" t="s">
        <v>1018</v>
      </c>
      <c r="G5122" s="126" t="s">
        <v>13525</v>
      </c>
      <c r="H5122" s="255">
        <v>5</v>
      </c>
      <c r="I5122" s="361">
        <v>1</v>
      </c>
      <c r="J5122" s="362" t="s">
        <v>286</v>
      </c>
      <c r="K5122" s="363"/>
      <c r="L5122" s="129"/>
      <c r="M5122" s="129"/>
      <c r="N5122" s="129"/>
      <c r="O5122" s="129"/>
      <c r="P5122" s="364"/>
      <c r="Q5122" s="364"/>
      <c r="R5122" s="129"/>
      <c r="S5122" s="129"/>
      <c r="T5122" s="129"/>
      <c r="W5122" s="129" t="s">
        <v>286</v>
      </c>
      <c r="X5122" s="337" t="b">
        <f t="shared" si="117"/>
        <v>1</v>
      </c>
    </row>
    <row r="5123" spans="1:24" s="337" customFormat="1" ht="12" customHeight="1" outlineLevel="1">
      <c r="A5123" s="335"/>
      <c r="B5123" s="118" t="s">
        <v>12</v>
      </c>
      <c r="C5123" s="334" t="s">
        <v>13600</v>
      </c>
      <c r="D5123" s="124" t="s">
        <v>10477</v>
      </c>
      <c r="E5123" s="125"/>
      <c r="F5123" s="118" t="s">
        <v>1018</v>
      </c>
      <c r="G5123" s="126" t="s">
        <v>13525</v>
      </c>
      <c r="H5123" s="255">
        <v>5</v>
      </c>
      <c r="I5123" s="361">
        <v>1</v>
      </c>
      <c r="J5123" s="362" t="s">
        <v>286</v>
      </c>
      <c r="K5123" s="363"/>
      <c r="L5123" s="129"/>
      <c r="M5123" s="129"/>
      <c r="N5123" s="129"/>
      <c r="O5123" s="129"/>
      <c r="P5123" s="364"/>
      <c r="Q5123" s="364"/>
      <c r="R5123" s="129"/>
      <c r="S5123" s="129"/>
      <c r="T5123" s="129"/>
      <c r="W5123" s="129" t="s">
        <v>286</v>
      </c>
      <c r="X5123" s="337" t="b">
        <f t="shared" si="117"/>
        <v>1</v>
      </c>
    </row>
    <row r="5124" spans="1:24" s="337" customFormat="1" ht="12" customHeight="1" outlineLevel="1">
      <c r="A5124" s="335"/>
      <c r="B5124" s="118" t="s">
        <v>12</v>
      </c>
      <c r="C5124" s="334" t="s">
        <v>13601</v>
      </c>
      <c r="D5124" s="124" t="s">
        <v>10479</v>
      </c>
      <c r="E5124" s="125"/>
      <c r="F5124" s="118" t="s">
        <v>1018</v>
      </c>
      <c r="G5124" s="126" t="s">
        <v>13525</v>
      </c>
      <c r="H5124" s="255">
        <v>5</v>
      </c>
      <c r="I5124" s="361">
        <v>1</v>
      </c>
      <c r="J5124" s="362" t="s">
        <v>286</v>
      </c>
      <c r="K5124" s="363"/>
      <c r="L5124" s="129"/>
      <c r="M5124" s="129"/>
      <c r="N5124" s="129"/>
      <c r="O5124" s="129"/>
      <c r="P5124" s="364"/>
      <c r="Q5124" s="364"/>
      <c r="R5124" s="129"/>
      <c r="S5124" s="129"/>
      <c r="T5124" s="129"/>
      <c r="W5124" s="129" t="s">
        <v>286</v>
      </c>
      <c r="X5124" s="337" t="b">
        <f t="shared" si="117"/>
        <v>1</v>
      </c>
    </row>
    <row r="5125" spans="1:24" s="337" customFormat="1" ht="12" customHeight="1" outlineLevel="1">
      <c r="A5125" s="335"/>
      <c r="B5125" s="118" t="s">
        <v>12</v>
      </c>
      <c r="C5125" s="334" t="s">
        <v>13602</v>
      </c>
      <c r="D5125" s="124" t="s">
        <v>10481</v>
      </c>
      <c r="E5125" s="125"/>
      <c r="F5125" s="118" t="s">
        <v>1018</v>
      </c>
      <c r="G5125" s="126" t="s">
        <v>13525</v>
      </c>
      <c r="H5125" s="255">
        <v>5</v>
      </c>
      <c r="I5125" s="361">
        <v>1</v>
      </c>
      <c r="J5125" s="362" t="s">
        <v>286</v>
      </c>
      <c r="K5125" s="363"/>
      <c r="L5125" s="129"/>
      <c r="M5125" s="129"/>
      <c r="N5125" s="129"/>
      <c r="O5125" s="129"/>
      <c r="P5125" s="364"/>
      <c r="Q5125" s="364"/>
      <c r="R5125" s="129"/>
      <c r="S5125" s="129"/>
      <c r="T5125" s="129"/>
      <c r="W5125" s="129" t="s">
        <v>286</v>
      </c>
      <c r="X5125" s="337" t="b">
        <f t="shared" si="117"/>
        <v>1</v>
      </c>
    </row>
    <row r="5126" spans="1:24" s="337" customFormat="1" ht="12" customHeight="1" outlineLevel="1">
      <c r="A5126" s="335"/>
      <c r="B5126" s="118" t="s">
        <v>12</v>
      </c>
      <c r="C5126" s="334" t="s">
        <v>13603</v>
      </c>
      <c r="D5126" s="124" t="s">
        <v>10483</v>
      </c>
      <c r="E5126" s="125"/>
      <c r="F5126" s="118" t="s">
        <v>1018</v>
      </c>
      <c r="G5126" s="126" t="s">
        <v>13525</v>
      </c>
      <c r="H5126" s="255">
        <v>5</v>
      </c>
      <c r="I5126" s="361">
        <v>1</v>
      </c>
      <c r="J5126" s="362" t="s">
        <v>286</v>
      </c>
      <c r="K5126" s="363"/>
      <c r="L5126" s="129"/>
      <c r="M5126" s="129"/>
      <c r="N5126" s="129"/>
      <c r="O5126" s="129"/>
      <c r="P5126" s="364"/>
      <c r="Q5126" s="364"/>
      <c r="R5126" s="129"/>
      <c r="S5126" s="129"/>
      <c r="T5126" s="129"/>
      <c r="W5126" s="129" t="s">
        <v>286</v>
      </c>
      <c r="X5126" s="337" t="b">
        <f t="shared" si="117"/>
        <v>1</v>
      </c>
    </row>
    <row r="5127" spans="1:24" s="337" customFormat="1" ht="12" customHeight="1" outlineLevel="1">
      <c r="A5127" s="335"/>
      <c r="B5127" s="118" t="s">
        <v>12</v>
      </c>
      <c r="C5127" s="334" t="s">
        <v>13604</v>
      </c>
      <c r="D5127" s="124" t="s">
        <v>10537</v>
      </c>
      <c r="E5127" s="125"/>
      <c r="F5127" s="118" t="s">
        <v>1018</v>
      </c>
      <c r="G5127" s="126" t="s">
        <v>13525</v>
      </c>
      <c r="H5127" s="255">
        <v>5</v>
      </c>
      <c r="I5127" s="361">
        <v>1</v>
      </c>
      <c r="J5127" s="362" t="s">
        <v>286</v>
      </c>
      <c r="K5127" s="363"/>
      <c r="L5127" s="129"/>
      <c r="M5127" s="129"/>
      <c r="N5127" s="129"/>
      <c r="O5127" s="129"/>
      <c r="P5127" s="364"/>
      <c r="Q5127" s="364"/>
      <c r="R5127" s="129"/>
      <c r="S5127" s="129"/>
      <c r="T5127" s="129"/>
      <c r="W5127" s="129" t="s">
        <v>286</v>
      </c>
      <c r="X5127" s="337" t="b">
        <f t="shared" si="117"/>
        <v>1</v>
      </c>
    </row>
    <row r="5128" spans="1:24" s="337" customFormat="1" ht="12" customHeight="1" outlineLevel="1">
      <c r="A5128" s="335"/>
      <c r="B5128" s="118" t="s">
        <v>12</v>
      </c>
      <c r="C5128" s="334" t="s">
        <v>13605</v>
      </c>
      <c r="D5128" s="124" t="s">
        <v>10539</v>
      </c>
      <c r="E5128" s="125"/>
      <c r="F5128" s="118" t="s">
        <v>1018</v>
      </c>
      <c r="G5128" s="126" t="s">
        <v>13525</v>
      </c>
      <c r="H5128" s="255">
        <v>5</v>
      </c>
      <c r="I5128" s="361">
        <v>1</v>
      </c>
      <c r="J5128" s="362" t="s">
        <v>286</v>
      </c>
      <c r="K5128" s="363"/>
      <c r="L5128" s="129"/>
      <c r="M5128" s="129"/>
      <c r="N5128" s="129"/>
      <c r="O5128" s="129"/>
      <c r="P5128" s="364"/>
      <c r="Q5128" s="364"/>
      <c r="R5128" s="129"/>
      <c r="S5128" s="129"/>
      <c r="T5128" s="129"/>
      <c r="W5128" s="129" t="s">
        <v>286</v>
      </c>
      <c r="X5128" s="337" t="b">
        <f t="shared" si="117"/>
        <v>1</v>
      </c>
    </row>
    <row r="5129" spans="1:24" s="337" customFormat="1" ht="12" customHeight="1" outlineLevel="1">
      <c r="A5129" s="335"/>
      <c r="B5129" s="118" t="s">
        <v>12</v>
      </c>
      <c r="C5129" s="334" t="s">
        <v>13606</v>
      </c>
      <c r="D5129" s="124" t="s">
        <v>10541</v>
      </c>
      <c r="E5129" s="125"/>
      <c r="F5129" s="118" t="s">
        <v>1018</v>
      </c>
      <c r="G5129" s="126" t="s">
        <v>13525</v>
      </c>
      <c r="H5129" s="255">
        <v>5</v>
      </c>
      <c r="I5129" s="361">
        <v>1</v>
      </c>
      <c r="J5129" s="362" t="s">
        <v>286</v>
      </c>
      <c r="K5129" s="363"/>
      <c r="L5129" s="129"/>
      <c r="M5129" s="129"/>
      <c r="N5129" s="129"/>
      <c r="O5129" s="129"/>
      <c r="P5129" s="364"/>
      <c r="Q5129" s="364"/>
      <c r="R5129" s="129"/>
      <c r="S5129" s="129"/>
      <c r="T5129" s="129"/>
      <c r="W5129" s="129" t="s">
        <v>286</v>
      </c>
      <c r="X5129" s="337" t="b">
        <f t="shared" si="117"/>
        <v>1</v>
      </c>
    </row>
    <row r="5130" spans="1:24" s="337" customFormat="1" ht="12" customHeight="1" outlineLevel="1">
      <c r="A5130" s="335"/>
      <c r="B5130" s="118" t="s">
        <v>12</v>
      </c>
      <c r="C5130" s="334" t="s">
        <v>13607</v>
      </c>
      <c r="D5130" s="124" t="s">
        <v>10543</v>
      </c>
      <c r="E5130" s="125"/>
      <c r="F5130" s="118" t="s">
        <v>1018</v>
      </c>
      <c r="G5130" s="126" t="s">
        <v>13525</v>
      </c>
      <c r="H5130" s="255">
        <v>5</v>
      </c>
      <c r="I5130" s="361">
        <v>1</v>
      </c>
      <c r="J5130" s="362" t="s">
        <v>310</v>
      </c>
      <c r="K5130" s="363"/>
      <c r="L5130" s="129"/>
      <c r="M5130" s="129"/>
      <c r="N5130" s="129"/>
      <c r="O5130" s="129"/>
      <c r="P5130" s="364"/>
      <c r="Q5130" s="364"/>
      <c r="R5130" s="129"/>
      <c r="S5130" s="129"/>
      <c r="T5130" s="129"/>
      <c r="W5130" s="129" t="s">
        <v>286</v>
      </c>
      <c r="X5130" s="337" t="b">
        <f t="shared" si="117"/>
        <v>0</v>
      </c>
    </row>
    <row r="5131" spans="1:24" s="337" customFormat="1" ht="12" customHeight="1" outlineLevel="1">
      <c r="A5131" s="335"/>
      <c r="B5131" s="118" t="s">
        <v>12</v>
      </c>
      <c r="C5131" s="334" t="s">
        <v>13608</v>
      </c>
      <c r="D5131" s="124" t="s">
        <v>10545</v>
      </c>
      <c r="E5131" s="125"/>
      <c r="F5131" s="118" t="s">
        <v>1018</v>
      </c>
      <c r="G5131" s="126" t="s">
        <v>13525</v>
      </c>
      <c r="H5131" s="255">
        <v>5</v>
      </c>
      <c r="I5131" s="361">
        <v>1</v>
      </c>
      <c r="J5131" s="362" t="s">
        <v>310</v>
      </c>
      <c r="K5131" s="363"/>
      <c r="L5131" s="129"/>
      <c r="M5131" s="129"/>
      <c r="N5131" s="129"/>
      <c r="O5131" s="129"/>
      <c r="P5131" s="364"/>
      <c r="Q5131" s="364"/>
      <c r="R5131" s="129"/>
      <c r="S5131" s="129"/>
      <c r="T5131" s="129"/>
      <c r="W5131" s="129" t="s">
        <v>310</v>
      </c>
      <c r="X5131" s="337" t="b">
        <f t="shared" si="117"/>
        <v>1</v>
      </c>
    </row>
    <row r="5132" spans="1:24" s="337" customFormat="1" ht="12" customHeight="1" outlineLevel="1">
      <c r="A5132" s="335"/>
      <c r="B5132" s="118" t="s">
        <v>12</v>
      </c>
      <c r="C5132" s="334" t="s">
        <v>13609</v>
      </c>
      <c r="D5132" s="124" t="s">
        <v>10547</v>
      </c>
      <c r="E5132" s="125"/>
      <c r="F5132" s="118" t="s">
        <v>1018</v>
      </c>
      <c r="G5132" s="126" t="s">
        <v>13525</v>
      </c>
      <c r="H5132" s="255">
        <v>5</v>
      </c>
      <c r="I5132" s="361">
        <v>1</v>
      </c>
      <c r="J5132" s="362" t="s">
        <v>286</v>
      </c>
      <c r="K5132" s="363"/>
      <c r="L5132" s="129"/>
      <c r="M5132" s="129"/>
      <c r="N5132" s="129"/>
      <c r="O5132" s="129"/>
      <c r="P5132" s="364"/>
      <c r="Q5132" s="364"/>
      <c r="R5132" s="129"/>
      <c r="S5132" s="129"/>
      <c r="T5132" s="129"/>
      <c r="W5132" s="129" t="s">
        <v>286</v>
      </c>
      <c r="X5132" s="337" t="b">
        <f t="shared" si="117"/>
        <v>1</v>
      </c>
    </row>
    <row r="5133" spans="1:24" s="337" customFormat="1" ht="12" customHeight="1" outlineLevel="1">
      <c r="A5133" s="335"/>
      <c r="B5133" s="118" t="s">
        <v>12</v>
      </c>
      <c r="C5133" s="334" t="s">
        <v>13610</v>
      </c>
      <c r="D5133" s="124" t="s">
        <v>10549</v>
      </c>
      <c r="E5133" s="125"/>
      <c r="F5133" s="118" t="s">
        <v>1018</v>
      </c>
      <c r="G5133" s="126" t="s">
        <v>13525</v>
      </c>
      <c r="H5133" s="255">
        <v>5</v>
      </c>
      <c r="I5133" s="361">
        <v>1</v>
      </c>
      <c r="J5133" s="362" t="s">
        <v>286</v>
      </c>
      <c r="K5133" s="363"/>
      <c r="L5133" s="129"/>
      <c r="M5133" s="129"/>
      <c r="N5133" s="129"/>
      <c r="O5133" s="129"/>
      <c r="P5133" s="364"/>
      <c r="Q5133" s="364"/>
      <c r="R5133" s="129"/>
      <c r="S5133" s="129"/>
      <c r="T5133" s="129"/>
      <c r="W5133" s="129" t="s">
        <v>286</v>
      </c>
      <c r="X5133" s="337" t="b">
        <f t="shared" si="117"/>
        <v>1</v>
      </c>
    </row>
    <row r="5134" spans="1:24" s="337" customFormat="1" ht="12" customHeight="1" outlineLevel="1">
      <c r="A5134" s="335"/>
      <c r="B5134" s="118" t="s">
        <v>12</v>
      </c>
      <c r="C5134" s="334" t="s">
        <v>13611</v>
      </c>
      <c r="D5134" s="124" t="s">
        <v>13612</v>
      </c>
      <c r="E5134" s="125"/>
      <c r="F5134" s="118" t="s">
        <v>1018</v>
      </c>
      <c r="G5134" s="126" t="s">
        <v>13525</v>
      </c>
      <c r="H5134" s="255">
        <v>5</v>
      </c>
      <c r="I5134" s="361">
        <v>1</v>
      </c>
      <c r="J5134" s="362" t="s">
        <v>310</v>
      </c>
      <c r="K5134" s="363"/>
      <c r="L5134" s="129"/>
      <c r="M5134" s="129"/>
      <c r="N5134" s="129"/>
      <c r="O5134" s="129"/>
      <c r="P5134" s="364"/>
      <c r="Q5134" s="364"/>
      <c r="R5134" s="129"/>
      <c r="S5134" s="129"/>
      <c r="T5134" s="129"/>
      <c r="W5134" s="129" t="s">
        <v>310</v>
      </c>
      <c r="X5134" s="337" t="b">
        <f t="shared" ref="X5134:X5197" si="118">W5134=J5134</f>
        <v>1</v>
      </c>
    </row>
    <row r="5135" spans="1:24" s="337" customFormat="1" ht="12" customHeight="1" outlineLevel="1">
      <c r="A5135" s="335"/>
      <c r="B5135" s="118" t="s">
        <v>12</v>
      </c>
      <c r="C5135" s="334" t="s">
        <v>13613</v>
      </c>
      <c r="D5135" s="124" t="s">
        <v>13614</v>
      </c>
      <c r="E5135" s="125"/>
      <c r="F5135" s="118" t="s">
        <v>1018</v>
      </c>
      <c r="G5135" s="126" t="s">
        <v>13525</v>
      </c>
      <c r="H5135" s="255">
        <v>5</v>
      </c>
      <c r="I5135" s="361">
        <v>1</v>
      </c>
      <c r="J5135" s="362" t="s">
        <v>310</v>
      </c>
      <c r="K5135" s="363"/>
      <c r="L5135" s="129"/>
      <c r="M5135" s="129"/>
      <c r="N5135" s="129"/>
      <c r="O5135" s="129"/>
      <c r="P5135" s="364"/>
      <c r="Q5135" s="364"/>
      <c r="R5135" s="129"/>
      <c r="S5135" s="129"/>
      <c r="T5135" s="129"/>
      <c r="W5135" s="129" t="s">
        <v>310</v>
      </c>
      <c r="X5135" s="337" t="b">
        <f t="shared" si="118"/>
        <v>1</v>
      </c>
    </row>
    <row r="5136" spans="1:24" s="337" customFormat="1" ht="12" customHeight="1" outlineLevel="1">
      <c r="A5136" s="335"/>
      <c r="B5136" s="118" t="s">
        <v>12</v>
      </c>
      <c r="C5136" s="334" t="s">
        <v>13615</v>
      </c>
      <c r="D5136" s="124" t="s">
        <v>13616</v>
      </c>
      <c r="E5136" s="125"/>
      <c r="F5136" s="118" t="s">
        <v>1018</v>
      </c>
      <c r="G5136" s="126" t="s">
        <v>13525</v>
      </c>
      <c r="H5136" s="255">
        <v>5</v>
      </c>
      <c r="I5136" s="361">
        <v>1</v>
      </c>
      <c r="J5136" s="362" t="s">
        <v>310</v>
      </c>
      <c r="K5136" s="363"/>
      <c r="L5136" s="129"/>
      <c r="M5136" s="129"/>
      <c r="N5136" s="129"/>
      <c r="O5136" s="129"/>
      <c r="P5136" s="364"/>
      <c r="Q5136" s="364"/>
      <c r="R5136" s="129"/>
      <c r="S5136" s="129"/>
      <c r="T5136" s="129"/>
      <c r="W5136" s="129" t="s">
        <v>310</v>
      </c>
      <c r="X5136" s="337" t="b">
        <f t="shared" si="118"/>
        <v>1</v>
      </c>
    </row>
    <row r="5137" spans="1:24" s="337" customFormat="1" ht="12" customHeight="1" outlineLevel="1">
      <c r="A5137" s="335"/>
      <c r="B5137" s="118" t="s">
        <v>12</v>
      </c>
      <c r="C5137" s="334" t="s">
        <v>13617</v>
      </c>
      <c r="D5137" s="124" t="s">
        <v>13618</v>
      </c>
      <c r="E5137" s="125"/>
      <c r="F5137" s="118" t="s">
        <v>1018</v>
      </c>
      <c r="G5137" s="126" t="s">
        <v>13525</v>
      </c>
      <c r="H5137" s="255">
        <v>5</v>
      </c>
      <c r="I5137" s="361">
        <v>1</v>
      </c>
      <c r="J5137" s="362" t="s">
        <v>310</v>
      </c>
      <c r="K5137" s="363"/>
      <c r="L5137" s="129"/>
      <c r="M5137" s="129"/>
      <c r="N5137" s="129"/>
      <c r="O5137" s="129"/>
      <c r="P5137" s="364"/>
      <c r="Q5137" s="364"/>
      <c r="R5137" s="129"/>
      <c r="S5137" s="129"/>
      <c r="T5137" s="129"/>
      <c r="W5137" s="129" t="s">
        <v>310</v>
      </c>
      <c r="X5137" s="337" t="b">
        <f t="shared" si="118"/>
        <v>1</v>
      </c>
    </row>
    <row r="5138" spans="1:24" s="337" customFormat="1" ht="12" customHeight="1" outlineLevel="1">
      <c r="A5138" s="335"/>
      <c r="B5138" s="118" t="s">
        <v>12</v>
      </c>
      <c r="C5138" s="334" t="s">
        <v>13619</v>
      </c>
      <c r="D5138" s="124" t="s">
        <v>13620</v>
      </c>
      <c r="E5138" s="125"/>
      <c r="F5138" s="118" t="s">
        <v>1018</v>
      </c>
      <c r="G5138" s="126" t="s">
        <v>13525</v>
      </c>
      <c r="H5138" s="255">
        <v>5</v>
      </c>
      <c r="I5138" s="361">
        <v>1</v>
      </c>
      <c r="J5138" s="362" t="s">
        <v>310</v>
      </c>
      <c r="K5138" s="363"/>
      <c r="L5138" s="129"/>
      <c r="M5138" s="129"/>
      <c r="N5138" s="129"/>
      <c r="O5138" s="129"/>
      <c r="P5138" s="364"/>
      <c r="Q5138" s="364"/>
      <c r="R5138" s="129"/>
      <c r="S5138" s="129"/>
      <c r="T5138" s="129"/>
      <c r="W5138" s="129" t="s">
        <v>310</v>
      </c>
      <c r="X5138" s="337" t="b">
        <f t="shared" si="118"/>
        <v>1</v>
      </c>
    </row>
    <row r="5139" spans="1:24" s="337" customFormat="1" ht="12" customHeight="1" outlineLevel="1">
      <c r="A5139" s="335"/>
      <c r="B5139" s="118" t="s">
        <v>12</v>
      </c>
      <c r="C5139" s="334" t="s">
        <v>13621</v>
      </c>
      <c r="D5139" s="124" t="s">
        <v>13622</v>
      </c>
      <c r="E5139" s="125"/>
      <c r="F5139" s="118" t="s">
        <v>1018</v>
      </c>
      <c r="G5139" s="126" t="s">
        <v>13525</v>
      </c>
      <c r="H5139" s="255">
        <v>5</v>
      </c>
      <c r="I5139" s="361">
        <v>1</v>
      </c>
      <c r="J5139" s="362" t="s">
        <v>286</v>
      </c>
      <c r="K5139" s="363"/>
      <c r="L5139" s="129"/>
      <c r="M5139" s="129"/>
      <c r="N5139" s="129"/>
      <c r="O5139" s="129"/>
      <c r="P5139" s="364"/>
      <c r="Q5139" s="364"/>
      <c r="R5139" s="129"/>
      <c r="S5139" s="129"/>
      <c r="T5139" s="129"/>
      <c r="W5139" s="129" t="s">
        <v>286</v>
      </c>
      <c r="X5139" s="337" t="b">
        <f t="shared" si="118"/>
        <v>1</v>
      </c>
    </row>
    <row r="5140" spans="1:24" s="337" customFormat="1" ht="12" customHeight="1" outlineLevel="1">
      <c r="A5140" s="335"/>
      <c r="B5140" s="118" t="s">
        <v>12</v>
      </c>
      <c r="C5140" s="334" t="s">
        <v>13623</v>
      </c>
      <c r="D5140" s="124" t="s">
        <v>13624</v>
      </c>
      <c r="E5140" s="125"/>
      <c r="F5140" s="118" t="s">
        <v>1018</v>
      </c>
      <c r="G5140" s="126" t="s">
        <v>13525</v>
      </c>
      <c r="H5140" s="255">
        <v>5</v>
      </c>
      <c r="I5140" s="361">
        <v>1</v>
      </c>
      <c r="J5140" s="362" t="s">
        <v>286</v>
      </c>
      <c r="K5140" s="363"/>
      <c r="L5140" s="129"/>
      <c r="M5140" s="129"/>
      <c r="N5140" s="129"/>
      <c r="O5140" s="129"/>
      <c r="P5140" s="364"/>
      <c r="Q5140" s="364"/>
      <c r="R5140" s="129"/>
      <c r="S5140" s="129"/>
      <c r="T5140" s="129"/>
      <c r="W5140" s="129" t="s">
        <v>286</v>
      </c>
      <c r="X5140" s="337" t="b">
        <f t="shared" si="118"/>
        <v>1</v>
      </c>
    </row>
    <row r="5141" spans="1:24" s="337" customFormat="1" ht="12" customHeight="1" outlineLevel="1">
      <c r="A5141" s="335"/>
      <c r="B5141" s="118" t="s">
        <v>12</v>
      </c>
      <c r="C5141" s="334" t="s">
        <v>13625</v>
      </c>
      <c r="D5141" s="124" t="s">
        <v>13626</v>
      </c>
      <c r="E5141" s="125"/>
      <c r="F5141" s="118" t="s">
        <v>1018</v>
      </c>
      <c r="G5141" s="126" t="s">
        <v>13525</v>
      </c>
      <c r="H5141" s="255">
        <v>5</v>
      </c>
      <c r="I5141" s="361">
        <v>1</v>
      </c>
      <c r="J5141" s="362" t="s">
        <v>286</v>
      </c>
      <c r="K5141" s="363"/>
      <c r="L5141" s="129"/>
      <c r="M5141" s="129"/>
      <c r="N5141" s="129"/>
      <c r="O5141" s="129"/>
      <c r="P5141" s="364"/>
      <c r="Q5141" s="364"/>
      <c r="R5141" s="129"/>
      <c r="S5141" s="129"/>
      <c r="T5141" s="129"/>
      <c r="W5141" s="129" t="s">
        <v>286</v>
      </c>
      <c r="X5141" s="337" t="b">
        <f t="shared" si="118"/>
        <v>1</v>
      </c>
    </row>
    <row r="5142" spans="1:24" s="337" customFormat="1" ht="12" customHeight="1" outlineLevel="1">
      <c r="A5142" s="335"/>
      <c r="B5142" s="118" t="s">
        <v>12</v>
      </c>
      <c r="C5142" s="334" t="s">
        <v>13627</v>
      </c>
      <c r="D5142" s="124" t="s">
        <v>13628</v>
      </c>
      <c r="E5142" s="125"/>
      <c r="F5142" s="118" t="s">
        <v>1018</v>
      </c>
      <c r="G5142" s="126" t="s">
        <v>13525</v>
      </c>
      <c r="H5142" s="255">
        <v>5</v>
      </c>
      <c r="I5142" s="361">
        <v>1</v>
      </c>
      <c r="J5142" s="362" t="s">
        <v>286</v>
      </c>
      <c r="K5142" s="363"/>
      <c r="L5142" s="129"/>
      <c r="M5142" s="129"/>
      <c r="N5142" s="129"/>
      <c r="O5142" s="129"/>
      <c r="P5142" s="364"/>
      <c r="Q5142" s="364"/>
      <c r="R5142" s="129"/>
      <c r="S5142" s="129"/>
      <c r="T5142" s="129"/>
      <c r="W5142" s="129" t="s">
        <v>286</v>
      </c>
      <c r="X5142" s="337" t="b">
        <f t="shared" si="118"/>
        <v>1</v>
      </c>
    </row>
    <row r="5143" spans="1:24" s="337" customFormat="1" ht="12" customHeight="1" outlineLevel="1">
      <c r="A5143" s="335"/>
      <c r="B5143" s="118" t="s">
        <v>12</v>
      </c>
      <c r="C5143" s="334" t="s">
        <v>13629</v>
      </c>
      <c r="D5143" s="124" t="s">
        <v>13630</v>
      </c>
      <c r="E5143" s="125"/>
      <c r="F5143" s="118" t="s">
        <v>1018</v>
      </c>
      <c r="G5143" s="126" t="s">
        <v>13525</v>
      </c>
      <c r="H5143" s="255">
        <v>5</v>
      </c>
      <c r="I5143" s="361">
        <v>1</v>
      </c>
      <c r="J5143" s="362" t="s">
        <v>286</v>
      </c>
      <c r="K5143" s="363"/>
      <c r="L5143" s="129"/>
      <c r="M5143" s="129"/>
      <c r="N5143" s="129"/>
      <c r="O5143" s="129"/>
      <c r="P5143" s="364"/>
      <c r="Q5143" s="364"/>
      <c r="R5143" s="129"/>
      <c r="S5143" s="129"/>
      <c r="T5143" s="129"/>
      <c r="W5143" s="129" t="s">
        <v>286</v>
      </c>
      <c r="X5143" s="337" t="b">
        <f t="shared" si="118"/>
        <v>1</v>
      </c>
    </row>
    <row r="5144" spans="1:24" s="337" customFormat="1" ht="12" customHeight="1" outlineLevel="1">
      <c r="A5144" s="335"/>
      <c r="B5144" s="118" t="s">
        <v>12</v>
      </c>
      <c r="C5144" s="334" t="s">
        <v>13631</v>
      </c>
      <c r="D5144" s="124" t="s">
        <v>13632</v>
      </c>
      <c r="E5144" s="125"/>
      <c r="F5144" s="118" t="s">
        <v>1018</v>
      </c>
      <c r="G5144" s="126" t="s">
        <v>13525</v>
      </c>
      <c r="H5144" s="255">
        <v>5</v>
      </c>
      <c r="I5144" s="361">
        <v>1</v>
      </c>
      <c r="J5144" s="362" t="s">
        <v>286</v>
      </c>
      <c r="K5144" s="363"/>
      <c r="L5144" s="129"/>
      <c r="M5144" s="129"/>
      <c r="N5144" s="129"/>
      <c r="O5144" s="129"/>
      <c r="P5144" s="364"/>
      <c r="Q5144" s="364"/>
      <c r="R5144" s="129"/>
      <c r="S5144" s="129"/>
      <c r="T5144" s="129"/>
      <c r="W5144" s="129" t="s">
        <v>286</v>
      </c>
      <c r="X5144" s="337" t="b">
        <f t="shared" si="118"/>
        <v>1</v>
      </c>
    </row>
    <row r="5145" spans="1:24" s="337" customFormat="1" ht="12" customHeight="1" outlineLevel="1">
      <c r="A5145" s="335"/>
      <c r="B5145" s="118" t="s">
        <v>12</v>
      </c>
      <c r="C5145" s="334" t="s">
        <v>13633</v>
      </c>
      <c r="D5145" s="124" t="s">
        <v>13634</v>
      </c>
      <c r="E5145" s="125"/>
      <c r="F5145" s="118" t="s">
        <v>1018</v>
      </c>
      <c r="G5145" s="126" t="s">
        <v>13525</v>
      </c>
      <c r="H5145" s="255">
        <v>5</v>
      </c>
      <c r="I5145" s="361">
        <v>1</v>
      </c>
      <c r="J5145" s="362" t="s">
        <v>286</v>
      </c>
      <c r="K5145" s="363"/>
      <c r="L5145" s="129"/>
      <c r="M5145" s="129"/>
      <c r="N5145" s="129"/>
      <c r="O5145" s="129"/>
      <c r="P5145" s="364"/>
      <c r="Q5145" s="364"/>
      <c r="R5145" s="129"/>
      <c r="S5145" s="129"/>
      <c r="T5145" s="129"/>
      <c r="W5145" s="129" t="s">
        <v>286</v>
      </c>
      <c r="X5145" s="337" t="b">
        <f t="shared" si="118"/>
        <v>1</v>
      </c>
    </row>
    <row r="5146" spans="1:24" s="337" customFormat="1" ht="12" customHeight="1" outlineLevel="1">
      <c r="A5146" s="335"/>
      <c r="B5146" s="118" t="s">
        <v>12</v>
      </c>
      <c r="C5146" s="334" t="s">
        <v>13635</v>
      </c>
      <c r="D5146" s="124" t="s">
        <v>13636</v>
      </c>
      <c r="E5146" s="125"/>
      <c r="F5146" s="118" t="s">
        <v>1018</v>
      </c>
      <c r="G5146" s="126" t="s">
        <v>13525</v>
      </c>
      <c r="H5146" s="255">
        <v>5</v>
      </c>
      <c r="I5146" s="361">
        <v>1</v>
      </c>
      <c r="J5146" s="362" t="s">
        <v>286</v>
      </c>
      <c r="K5146" s="363"/>
      <c r="L5146" s="129"/>
      <c r="M5146" s="129"/>
      <c r="N5146" s="129"/>
      <c r="O5146" s="129"/>
      <c r="P5146" s="364"/>
      <c r="Q5146" s="364"/>
      <c r="R5146" s="129"/>
      <c r="S5146" s="129"/>
      <c r="T5146" s="129"/>
      <c r="W5146" s="129" t="s">
        <v>286</v>
      </c>
      <c r="X5146" s="337" t="b">
        <f t="shared" si="118"/>
        <v>1</v>
      </c>
    </row>
    <row r="5147" spans="1:24" s="337" customFormat="1" ht="12" customHeight="1" outlineLevel="1">
      <c r="A5147" s="335"/>
      <c r="B5147" s="118" t="s">
        <v>12</v>
      </c>
      <c r="C5147" s="334" t="s">
        <v>13637</v>
      </c>
      <c r="D5147" s="124" t="s">
        <v>13638</v>
      </c>
      <c r="E5147" s="125"/>
      <c r="F5147" s="118" t="s">
        <v>1018</v>
      </c>
      <c r="G5147" s="126" t="s">
        <v>13525</v>
      </c>
      <c r="H5147" s="255">
        <v>5</v>
      </c>
      <c r="I5147" s="361">
        <v>1</v>
      </c>
      <c r="J5147" s="362" t="s">
        <v>286</v>
      </c>
      <c r="K5147" s="363"/>
      <c r="L5147" s="129"/>
      <c r="M5147" s="129"/>
      <c r="N5147" s="129"/>
      <c r="O5147" s="129"/>
      <c r="P5147" s="364"/>
      <c r="Q5147" s="364"/>
      <c r="R5147" s="129"/>
      <c r="S5147" s="129"/>
      <c r="T5147" s="129"/>
      <c r="W5147" s="129" t="s">
        <v>286</v>
      </c>
      <c r="X5147" s="337" t="b">
        <f t="shared" si="118"/>
        <v>1</v>
      </c>
    </row>
    <row r="5148" spans="1:24" s="337" customFormat="1" ht="12" customHeight="1" outlineLevel="1">
      <c r="A5148" s="335"/>
      <c r="B5148" s="118" t="s">
        <v>12</v>
      </c>
      <c r="C5148" s="334" t="s">
        <v>13639</v>
      </c>
      <c r="D5148" s="124" t="s">
        <v>13640</v>
      </c>
      <c r="E5148" s="125"/>
      <c r="F5148" s="118" t="s">
        <v>1018</v>
      </c>
      <c r="G5148" s="126" t="s">
        <v>13525</v>
      </c>
      <c r="H5148" s="255">
        <v>5</v>
      </c>
      <c r="I5148" s="361">
        <v>1</v>
      </c>
      <c r="J5148" s="362" t="s">
        <v>286</v>
      </c>
      <c r="K5148" s="363"/>
      <c r="L5148" s="129"/>
      <c r="M5148" s="129"/>
      <c r="N5148" s="129"/>
      <c r="O5148" s="129"/>
      <c r="P5148" s="364"/>
      <c r="Q5148" s="364"/>
      <c r="R5148" s="129"/>
      <c r="S5148" s="129"/>
      <c r="T5148" s="129"/>
      <c r="W5148" s="129" t="s">
        <v>286</v>
      </c>
      <c r="X5148" s="337" t="b">
        <f t="shared" si="118"/>
        <v>1</v>
      </c>
    </row>
    <row r="5149" spans="1:24" s="337" customFormat="1" ht="12" customHeight="1" outlineLevel="1">
      <c r="A5149" s="335"/>
      <c r="B5149" s="118" t="s">
        <v>12</v>
      </c>
      <c r="C5149" s="334" t="s">
        <v>13641</v>
      </c>
      <c r="D5149" s="124" t="s">
        <v>13642</v>
      </c>
      <c r="E5149" s="125"/>
      <c r="F5149" s="118" t="s">
        <v>1018</v>
      </c>
      <c r="G5149" s="126" t="s">
        <v>13525</v>
      </c>
      <c r="H5149" s="255">
        <v>5</v>
      </c>
      <c r="I5149" s="361">
        <v>1</v>
      </c>
      <c r="J5149" s="362" t="s">
        <v>286</v>
      </c>
      <c r="K5149" s="363"/>
      <c r="L5149" s="129"/>
      <c r="M5149" s="129"/>
      <c r="N5149" s="129"/>
      <c r="O5149" s="129"/>
      <c r="P5149" s="364"/>
      <c r="Q5149" s="364"/>
      <c r="R5149" s="129"/>
      <c r="S5149" s="129"/>
      <c r="T5149" s="129"/>
      <c r="W5149" s="129" t="s">
        <v>286</v>
      </c>
      <c r="X5149" s="337" t="b">
        <f t="shared" si="118"/>
        <v>1</v>
      </c>
    </row>
    <row r="5150" spans="1:24" s="337" customFormat="1" ht="12" customHeight="1" outlineLevel="1">
      <c r="A5150" s="335"/>
      <c r="B5150" s="118" t="s">
        <v>12</v>
      </c>
      <c r="C5150" s="334" t="s">
        <v>13643</v>
      </c>
      <c r="D5150" s="124" t="s">
        <v>13644</v>
      </c>
      <c r="E5150" s="125"/>
      <c r="F5150" s="118" t="s">
        <v>1018</v>
      </c>
      <c r="G5150" s="126" t="s">
        <v>13525</v>
      </c>
      <c r="H5150" s="255">
        <v>5</v>
      </c>
      <c r="I5150" s="361">
        <v>1</v>
      </c>
      <c r="J5150" s="362" t="s">
        <v>286</v>
      </c>
      <c r="K5150" s="363"/>
      <c r="L5150" s="129"/>
      <c r="M5150" s="129"/>
      <c r="N5150" s="129"/>
      <c r="O5150" s="129"/>
      <c r="P5150" s="364"/>
      <c r="Q5150" s="364"/>
      <c r="R5150" s="129"/>
      <c r="S5150" s="129"/>
      <c r="T5150" s="129"/>
      <c r="W5150" s="129" t="s">
        <v>286</v>
      </c>
      <c r="X5150" s="337" t="b">
        <f t="shared" si="118"/>
        <v>1</v>
      </c>
    </row>
    <row r="5151" spans="1:24" s="337" customFormat="1" ht="12" customHeight="1" outlineLevel="1">
      <c r="A5151" s="335"/>
      <c r="B5151" s="118" t="s">
        <v>12</v>
      </c>
      <c r="C5151" s="334" t="s">
        <v>13645</v>
      </c>
      <c r="D5151" s="124" t="s">
        <v>13646</v>
      </c>
      <c r="E5151" s="125"/>
      <c r="F5151" s="118" t="s">
        <v>1018</v>
      </c>
      <c r="G5151" s="126" t="s">
        <v>13525</v>
      </c>
      <c r="H5151" s="255">
        <v>5</v>
      </c>
      <c r="I5151" s="361">
        <v>1</v>
      </c>
      <c r="J5151" s="362" t="s">
        <v>286</v>
      </c>
      <c r="K5151" s="363"/>
      <c r="L5151" s="129"/>
      <c r="M5151" s="129"/>
      <c r="N5151" s="129"/>
      <c r="O5151" s="129"/>
      <c r="P5151" s="364"/>
      <c r="Q5151" s="364"/>
      <c r="R5151" s="129"/>
      <c r="S5151" s="129"/>
      <c r="T5151" s="129"/>
      <c r="W5151" s="129" t="s">
        <v>286</v>
      </c>
      <c r="X5151" s="337" t="b">
        <f t="shared" si="118"/>
        <v>1</v>
      </c>
    </row>
    <row r="5152" spans="1:24" s="337" customFormat="1" ht="12" customHeight="1" outlineLevel="1">
      <c r="A5152" s="335"/>
      <c r="B5152" s="118" t="s">
        <v>12</v>
      </c>
      <c r="C5152" s="334" t="s">
        <v>13647</v>
      </c>
      <c r="D5152" s="124" t="s">
        <v>13648</v>
      </c>
      <c r="E5152" s="125"/>
      <c r="F5152" s="118" t="s">
        <v>1018</v>
      </c>
      <c r="G5152" s="126" t="s">
        <v>13525</v>
      </c>
      <c r="H5152" s="255">
        <v>5</v>
      </c>
      <c r="I5152" s="361">
        <v>1</v>
      </c>
      <c r="J5152" s="362" t="s">
        <v>286</v>
      </c>
      <c r="K5152" s="363"/>
      <c r="L5152" s="129"/>
      <c r="M5152" s="129"/>
      <c r="N5152" s="129"/>
      <c r="O5152" s="129"/>
      <c r="P5152" s="364"/>
      <c r="Q5152" s="364"/>
      <c r="R5152" s="129"/>
      <c r="S5152" s="129"/>
      <c r="T5152" s="129"/>
      <c r="W5152" s="129" t="s">
        <v>286</v>
      </c>
      <c r="X5152" s="337" t="b">
        <f t="shared" si="118"/>
        <v>1</v>
      </c>
    </row>
    <row r="5153" spans="1:24" s="337" customFormat="1" ht="12" customHeight="1" outlineLevel="1">
      <c r="A5153" s="335"/>
      <c r="B5153" s="118" t="s">
        <v>12</v>
      </c>
      <c r="C5153" s="334" t="s">
        <v>13649</v>
      </c>
      <c r="D5153" s="124" t="s">
        <v>13650</v>
      </c>
      <c r="E5153" s="125"/>
      <c r="F5153" s="118" t="s">
        <v>1018</v>
      </c>
      <c r="G5153" s="126" t="s">
        <v>13525</v>
      </c>
      <c r="H5153" s="255">
        <v>5</v>
      </c>
      <c r="I5153" s="361">
        <v>1</v>
      </c>
      <c r="J5153" s="362" t="s">
        <v>286</v>
      </c>
      <c r="K5153" s="363"/>
      <c r="L5153" s="129"/>
      <c r="M5153" s="129"/>
      <c r="N5153" s="129"/>
      <c r="O5153" s="129"/>
      <c r="P5153" s="364"/>
      <c r="Q5153" s="364"/>
      <c r="R5153" s="129"/>
      <c r="S5153" s="129"/>
      <c r="T5153" s="129"/>
      <c r="W5153" s="129" t="s">
        <v>286</v>
      </c>
      <c r="X5153" s="337" t="b">
        <f t="shared" si="118"/>
        <v>1</v>
      </c>
    </row>
    <row r="5154" spans="1:24" s="337" customFormat="1" ht="12" customHeight="1" outlineLevel="1">
      <c r="A5154" s="335"/>
      <c r="B5154" s="118" t="s">
        <v>12</v>
      </c>
      <c r="C5154" s="334" t="s">
        <v>13651</v>
      </c>
      <c r="D5154" s="124" t="s">
        <v>13652</v>
      </c>
      <c r="E5154" s="125"/>
      <c r="F5154" s="118" t="s">
        <v>1018</v>
      </c>
      <c r="G5154" s="126" t="s">
        <v>13525</v>
      </c>
      <c r="H5154" s="255">
        <v>5</v>
      </c>
      <c r="I5154" s="361">
        <v>1</v>
      </c>
      <c r="J5154" s="362" t="s">
        <v>286</v>
      </c>
      <c r="K5154" s="363"/>
      <c r="L5154" s="129"/>
      <c r="M5154" s="129"/>
      <c r="N5154" s="129"/>
      <c r="O5154" s="129"/>
      <c r="P5154" s="364"/>
      <c r="Q5154" s="364"/>
      <c r="R5154" s="129"/>
      <c r="S5154" s="129"/>
      <c r="T5154" s="129"/>
      <c r="W5154" s="129" t="s">
        <v>286</v>
      </c>
      <c r="X5154" s="337" t="b">
        <f t="shared" si="118"/>
        <v>1</v>
      </c>
    </row>
    <row r="5155" spans="1:24" s="337" customFormat="1" ht="12" customHeight="1" outlineLevel="1">
      <c r="A5155" s="335"/>
      <c r="B5155" s="118" t="s">
        <v>12</v>
      </c>
      <c r="C5155" s="334" t="s">
        <v>13653</v>
      </c>
      <c r="D5155" s="124" t="s">
        <v>13654</v>
      </c>
      <c r="E5155" s="125"/>
      <c r="F5155" s="118" t="s">
        <v>1018</v>
      </c>
      <c r="G5155" s="126" t="s">
        <v>13525</v>
      </c>
      <c r="H5155" s="255">
        <v>5</v>
      </c>
      <c r="I5155" s="361">
        <v>1</v>
      </c>
      <c r="J5155" s="362" t="s">
        <v>286</v>
      </c>
      <c r="K5155" s="363"/>
      <c r="L5155" s="129"/>
      <c r="M5155" s="129"/>
      <c r="N5155" s="129"/>
      <c r="O5155" s="129"/>
      <c r="P5155" s="364"/>
      <c r="Q5155" s="364"/>
      <c r="R5155" s="129"/>
      <c r="S5155" s="129"/>
      <c r="T5155" s="129"/>
      <c r="W5155" s="129" t="s">
        <v>286</v>
      </c>
      <c r="X5155" s="337" t="b">
        <f t="shared" si="118"/>
        <v>1</v>
      </c>
    </row>
    <row r="5156" spans="1:24" s="337" customFormat="1" ht="12" customHeight="1" outlineLevel="1">
      <c r="A5156" s="335"/>
      <c r="B5156" s="118" t="s">
        <v>12</v>
      </c>
      <c r="C5156" s="334" t="s">
        <v>13655</v>
      </c>
      <c r="D5156" s="124" t="s">
        <v>13656</v>
      </c>
      <c r="E5156" s="125"/>
      <c r="F5156" s="118" t="s">
        <v>1018</v>
      </c>
      <c r="G5156" s="126" t="s">
        <v>13525</v>
      </c>
      <c r="H5156" s="255">
        <v>5</v>
      </c>
      <c r="I5156" s="361">
        <v>1</v>
      </c>
      <c r="J5156" s="362" t="s">
        <v>286</v>
      </c>
      <c r="K5156" s="363"/>
      <c r="L5156" s="129"/>
      <c r="M5156" s="129"/>
      <c r="N5156" s="129"/>
      <c r="O5156" s="129"/>
      <c r="P5156" s="364"/>
      <c r="Q5156" s="364"/>
      <c r="R5156" s="129"/>
      <c r="S5156" s="129"/>
      <c r="T5156" s="129"/>
      <c r="W5156" s="129" t="s">
        <v>286</v>
      </c>
      <c r="X5156" s="337" t="b">
        <f t="shared" si="118"/>
        <v>1</v>
      </c>
    </row>
    <row r="5157" spans="1:24" s="337" customFormat="1" ht="12" customHeight="1" outlineLevel="1">
      <c r="A5157" s="335"/>
      <c r="B5157" s="118" t="s">
        <v>12</v>
      </c>
      <c r="C5157" s="334" t="s">
        <v>13657</v>
      </c>
      <c r="D5157" s="124" t="s">
        <v>13658</v>
      </c>
      <c r="E5157" s="125"/>
      <c r="F5157" s="118" t="s">
        <v>1018</v>
      </c>
      <c r="G5157" s="126" t="s">
        <v>13525</v>
      </c>
      <c r="H5157" s="255">
        <v>5</v>
      </c>
      <c r="I5157" s="361">
        <v>1</v>
      </c>
      <c r="J5157" s="362" t="s">
        <v>286</v>
      </c>
      <c r="K5157" s="363"/>
      <c r="L5157" s="129"/>
      <c r="M5157" s="129"/>
      <c r="N5157" s="129"/>
      <c r="O5157" s="129"/>
      <c r="P5157" s="364"/>
      <c r="Q5157" s="364"/>
      <c r="R5157" s="129"/>
      <c r="S5157" s="129"/>
      <c r="T5157" s="129"/>
      <c r="W5157" s="129" t="s">
        <v>286</v>
      </c>
      <c r="X5157" s="337" t="b">
        <f t="shared" si="118"/>
        <v>1</v>
      </c>
    </row>
    <row r="5158" spans="1:24" s="337" customFormat="1" ht="12" customHeight="1" outlineLevel="1">
      <c r="A5158" s="335"/>
      <c r="B5158" s="118" t="s">
        <v>12</v>
      </c>
      <c r="C5158" s="334" t="s">
        <v>13659</v>
      </c>
      <c r="D5158" s="124" t="s">
        <v>13660</v>
      </c>
      <c r="E5158" s="125"/>
      <c r="F5158" s="118" t="s">
        <v>1018</v>
      </c>
      <c r="G5158" s="126" t="s">
        <v>13525</v>
      </c>
      <c r="H5158" s="255">
        <v>5</v>
      </c>
      <c r="I5158" s="361">
        <v>1</v>
      </c>
      <c r="J5158" s="362" t="s">
        <v>286</v>
      </c>
      <c r="K5158" s="363"/>
      <c r="L5158" s="129"/>
      <c r="M5158" s="129"/>
      <c r="N5158" s="129"/>
      <c r="O5158" s="129"/>
      <c r="P5158" s="364"/>
      <c r="Q5158" s="364"/>
      <c r="R5158" s="129"/>
      <c r="S5158" s="129"/>
      <c r="T5158" s="129"/>
      <c r="W5158" s="129" t="s">
        <v>286</v>
      </c>
      <c r="X5158" s="337" t="b">
        <f t="shared" si="118"/>
        <v>1</v>
      </c>
    </row>
    <row r="5159" spans="1:24" s="337" customFormat="1" ht="12" customHeight="1" outlineLevel="1">
      <c r="A5159" s="335"/>
      <c r="B5159" s="118" t="s">
        <v>12</v>
      </c>
      <c r="C5159" s="334" t="s">
        <v>13661</v>
      </c>
      <c r="D5159" s="124" t="s">
        <v>13662</v>
      </c>
      <c r="E5159" s="125"/>
      <c r="F5159" s="118" t="s">
        <v>1018</v>
      </c>
      <c r="G5159" s="126" t="s">
        <v>13525</v>
      </c>
      <c r="H5159" s="255">
        <v>5</v>
      </c>
      <c r="I5159" s="361">
        <v>1</v>
      </c>
      <c r="J5159" s="362" t="s">
        <v>286</v>
      </c>
      <c r="K5159" s="363"/>
      <c r="L5159" s="129"/>
      <c r="M5159" s="129"/>
      <c r="N5159" s="129"/>
      <c r="O5159" s="129"/>
      <c r="P5159" s="364"/>
      <c r="Q5159" s="364"/>
      <c r="R5159" s="129"/>
      <c r="S5159" s="129"/>
      <c r="T5159" s="129"/>
      <c r="W5159" s="129" t="s">
        <v>286</v>
      </c>
      <c r="X5159" s="337" t="b">
        <f t="shared" si="118"/>
        <v>1</v>
      </c>
    </row>
    <row r="5160" spans="1:24" s="337" customFormat="1" ht="12" customHeight="1" outlineLevel="1">
      <c r="A5160" s="335"/>
      <c r="B5160" s="118" t="s">
        <v>12</v>
      </c>
      <c r="C5160" s="334" t="s">
        <v>13663</v>
      </c>
      <c r="D5160" s="124" t="s">
        <v>13664</v>
      </c>
      <c r="E5160" s="125"/>
      <c r="F5160" s="118" t="s">
        <v>1018</v>
      </c>
      <c r="G5160" s="126" t="s">
        <v>13525</v>
      </c>
      <c r="H5160" s="255">
        <v>5</v>
      </c>
      <c r="I5160" s="361">
        <v>1</v>
      </c>
      <c r="J5160" s="362" t="s">
        <v>286</v>
      </c>
      <c r="K5160" s="363"/>
      <c r="L5160" s="129"/>
      <c r="M5160" s="129"/>
      <c r="N5160" s="129"/>
      <c r="O5160" s="129"/>
      <c r="P5160" s="364"/>
      <c r="Q5160" s="364"/>
      <c r="R5160" s="129"/>
      <c r="S5160" s="129"/>
      <c r="T5160" s="129"/>
      <c r="W5160" s="129" t="s">
        <v>286</v>
      </c>
      <c r="X5160" s="337" t="b">
        <f t="shared" si="118"/>
        <v>1</v>
      </c>
    </row>
    <row r="5161" spans="1:24" s="337" customFormat="1" ht="12" customHeight="1" outlineLevel="1">
      <c r="A5161" s="335"/>
      <c r="B5161" s="118" t="s">
        <v>12</v>
      </c>
      <c r="C5161" s="334" t="s">
        <v>13665</v>
      </c>
      <c r="D5161" s="124" t="s">
        <v>13666</v>
      </c>
      <c r="E5161" s="125"/>
      <c r="F5161" s="118" t="s">
        <v>1018</v>
      </c>
      <c r="G5161" s="126" t="s">
        <v>13525</v>
      </c>
      <c r="H5161" s="255">
        <v>5</v>
      </c>
      <c r="I5161" s="361">
        <v>1</v>
      </c>
      <c r="J5161" s="362" t="s">
        <v>286</v>
      </c>
      <c r="K5161" s="363"/>
      <c r="L5161" s="129"/>
      <c r="M5161" s="129"/>
      <c r="N5161" s="129"/>
      <c r="O5161" s="129"/>
      <c r="P5161" s="364"/>
      <c r="Q5161" s="364"/>
      <c r="R5161" s="129"/>
      <c r="S5161" s="129"/>
      <c r="T5161" s="129"/>
      <c r="W5161" s="129" t="s">
        <v>286</v>
      </c>
      <c r="X5161" s="337" t="b">
        <f t="shared" si="118"/>
        <v>1</v>
      </c>
    </row>
    <row r="5162" spans="1:24" s="337" customFormat="1" ht="12" customHeight="1" outlineLevel="1">
      <c r="A5162" s="335"/>
      <c r="B5162" s="118" t="s">
        <v>12</v>
      </c>
      <c r="C5162" s="334" t="s">
        <v>13667</v>
      </c>
      <c r="D5162" s="124" t="s">
        <v>13668</v>
      </c>
      <c r="E5162" s="125"/>
      <c r="F5162" s="118" t="s">
        <v>1018</v>
      </c>
      <c r="G5162" s="126" t="s">
        <v>13525</v>
      </c>
      <c r="H5162" s="255">
        <v>5</v>
      </c>
      <c r="I5162" s="361">
        <v>1</v>
      </c>
      <c r="J5162" s="362" t="s">
        <v>286</v>
      </c>
      <c r="K5162" s="363"/>
      <c r="L5162" s="129"/>
      <c r="M5162" s="129"/>
      <c r="N5162" s="129"/>
      <c r="O5162" s="129"/>
      <c r="P5162" s="364"/>
      <c r="Q5162" s="364"/>
      <c r="R5162" s="129"/>
      <c r="S5162" s="129"/>
      <c r="T5162" s="129"/>
      <c r="W5162" s="129" t="s">
        <v>286</v>
      </c>
      <c r="X5162" s="337" t="b">
        <f t="shared" si="118"/>
        <v>1</v>
      </c>
    </row>
    <row r="5163" spans="1:24" s="337" customFormat="1" ht="12" customHeight="1" outlineLevel="1">
      <c r="A5163" s="335"/>
      <c r="B5163" s="118" t="s">
        <v>12</v>
      </c>
      <c r="C5163" s="334" t="s">
        <v>13669</v>
      </c>
      <c r="D5163" s="124" t="s">
        <v>13670</v>
      </c>
      <c r="E5163" s="125"/>
      <c r="F5163" s="118" t="s">
        <v>1018</v>
      </c>
      <c r="G5163" s="126" t="s">
        <v>13525</v>
      </c>
      <c r="H5163" s="255">
        <v>5</v>
      </c>
      <c r="I5163" s="361">
        <v>1</v>
      </c>
      <c r="J5163" s="362" t="s">
        <v>286</v>
      </c>
      <c r="K5163" s="363"/>
      <c r="L5163" s="129"/>
      <c r="M5163" s="129"/>
      <c r="N5163" s="129"/>
      <c r="O5163" s="129"/>
      <c r="P5163" s="364"/>
      <c r="Q5163" s="364"/>
      <c r="R5163" s="129"/>
      <c r="S5163" s="129"/>
      <c r="T5163" s="129"/>
      <c r="W5163" s="129" t="s">
        <v>286</v>
      </c>
      <c r="X5163" s="337" t="b">
        <f t="shared" si="118"/>
        <v>1</v>
      </c>
    </row>
    <row r="5164" spans="1:24" s="337" customFormat="1" ht="12" customHeight="1" outlineLevel="1">
      <c r="A5164" s="335"/>
      <c r="B5164" s="118" t="s">
        <v>12</v>
      </c>
      <c r="C5164" s="334" t="s">
        <v>13671</v>
      </c>
      <c r="D5164" s="124" t="s">
        <v>13672</v>
      </c>
      <c r="E5164" s="125"/>
      <c r="F5164" s="118" t="s">
        <v>1018</v>
      </c>
      <c r="G5164" s="126" t="s">
        <v>13525</v>
      </c>
      <c r="H5164" s="255">
        <v>5</v>
      </c>
      <c r="I5164" s="361">
        <v>1</v>
      </c>
      <c r="J5164" s="362" t="s">
        <v>286</v>
      </c>
      <c r="K5164" s="363"/>
      <c r="L5164" s="129"/>
      <c r="M5164" s="129"/>
      <c r="N5164" s="129"/>
      <c r="O5164" s="129"/>
      <c r="P5164" s="364"/>
      <c r="Q5164" s="364"/>
      <c r="R5164" s="129"/>
      <c r="S5164" s="129"/>
      <c r="T5164" s="129"/>
      <c r="W5164" s="129" t="s">
        <v>286</v>
      </c>
      <c r="X5164" s="337" t="b">
        <f t="shared" si="118"/>
        <v>1</v>
      </c>
    </row>
    <row r="5165" spans="1:24" s="337" customFormat="1" ht="12" customHeight="1" outlineLevel="1">
      <c r="A5165" s="335"/>
      <c r="B5165" s="118" t="s">
        <v>12</v>
      </c>
      <c r="C5165" s="334" t="s">
        <v>13673</v>
      </c>
      <c r="D5165" s="124" t="s">
        <v>13674</v>
      </c>
      <c r="E5165" s="125"/>
      <c r="F5165" s="118" t="s">
        <v>1018</v>
      </c>
      <c r="G5165" s="126" t="s">
        <v>13525</v>
      </c>
      <c r="H5165" s="255">
        <v>5</v>
      </c>
      <c r="I5165" s="361">
        <v>1</v>
      </c>
      <c r="J5165" s="362" t="s">
        <v>286</v>
      </c>
      <c r="K5165" s="363"/>
      <c r="L5165" s="129"/>
      <c r="M5165" s="129"/>
      <c r="N5165" s="129"/>
      <c r="O5165" s="129"/>
      <c r="P5165" s="364"/>
      <c r="Q5165" s="364"/>
      <c r="R5165" s="129"/>
      <c r="S5165" s="129"/>
      <c r="T5165" s="129"/>
      <c r="W5165" s="129" t="s">
        <v>286</v>
      </c>
      <c r="X5165" s="337" t="b">
        <f t="shared" si="118"/>
        <v>1</v>
      </c>
    </row>
    <row r="5166" spans="1:24" s="337" customFormat="1" ht="12" customHeight="1" outlineLevel="1">
      <c r="A5166" s="335"/>
      <c r="B5166" s="118" t="s">
        <v>12</v>
      </c>
      <c r="C5166" s="334" t="s">
        <v>13675</v>
      </c>
      <c r="D5166" s="124" t="s">
        <v>13676</v>
      </c>
      <c r="E5166" s="125"/>
      <c r="F5166" s="118" t="s">
        <v>1018</v>
      </c>
      <c r="G5166" s="126" t="s">
        <v>13525</v>
      </c>
      <c r="H5166" s="255">
        <v>5</v>
      </c>
      <c r="I5166" s="361">
        <v>1</v>
      </c>
      <c r="J5166" s="362" t="s">
        <v>286</v>
      </c>
      <c r="K5166" s="363"/>
      <c r="L5166" s="129"/>
      <c r="M5166" s="129"/>
      <c r="N5166" s="129"/>
      <c r="O5166" s="129"/>
      <c r="P5166" s="364"/>
      <c r="Q5166" s="364"/>
      <c r="R5166" s="129"/>
      <c r="S5166" s="129"/>
      <c r="T5166" s="129"/>
      <c r="W5166" s="129" t="s">
        <v>286</v>
      </c>
      <c r="X5166" s="337" t="b">
        <f t="shared" si="118"/>
        <v>1</v>
      </c>
    </row>
    <row r="5167" spans="1:24" s="337" customFormat="1" ht="12" customHeight="1" outlineLevel="1">
      <c r="A5167" s="335"/>
      <c r="B5167" s="118" t="s">
        <v>12</v>
      </c>
      <c r="C5167" s="334" t="s">
        <v>13677</v>
      </c>
      <c r="D5167" s="124" t="s">
        <v>13678</v>
      </c>
      <c r="E5167" s="125"/>
      <c r="F5167" s="118" t="s">
        <v>1018</v>
      </c>
      <c r="G5167" s="126" t="s">
        <v>13525</v>
      </c>
      <c r="H5167" s="255">
        <v>5</v>
      </c>
      <c r="I5167" s="361">
        <v>1</v>
      </c>
      <c r="J5167" s="362" t="s">
        <v>286</v>
      </c>
      <c r="K5167" s="363"/>
      <c r="L5167" s="129"/>
      <c r="M5167" s="129"/>
      <c r="N5167" s="129"/>
      <c r="O5167" s="129"/>
      <c r="P5167" s="364"/>
      <c r="Q5167" s="364"/>
      <c r="R5167" s="129"/>
      <c r="S5167" s="129"/>
      <c r="T5167" s="129"/>
      <c r="W5167" s="129" t="s">
        <v>286</v>
      </c>
      <c r="X5167" s="337" t="b">
        <f t="shared" si="118"/>
        <v>1</v>
      </c>
    </row>
    <row r="5168" spans="1:24" s="337" customFormat="1" ht="12" customHeight="1" outlineLevel="1">
      <c r="A5168" s="335"/>
      <c r="B5168" s="118" t="s">
        <v>12</v>
      </c>
      <c r="C5168" s="334" t="s">
        <v>13679</v>
      </c>
      <c r="D5168" s="124" t="s">
        <v>13680</v>
      </c>
      <c r="E5168" s="125"/>
      <c r="F5168" s="118" t="s">
        <v>1018</v>
      </c>
      <c r="G5168" s="126" t="s">
        <v>13525</v>
      </c>
      <c r="H5168" s="255">
        <v>5</v>
      </c>
      <c r="I5168" s="361">
        <v>1</v>
      </c>
      <c r="J5168" s="362" t="s">
        <v>286</v>
      </c>
      <c r="K5168" s="363"/>
      <c r="L5168" s="129"/>
      <c r="M5168" s="129"/>
      <c r="N5168" s="129"/>
      <c r="O5168" s="129"/>
      <c r="P5168" s="364"/>
      <c r="Q5168" s="364"/>
      <c r="R5168" s="129"/>
      <c r="S5168" s="129"/>
      <c r="T5168" s="129"/>
      <c r="W5168" s="129" t="s">
        <v>286</v>
      </c>
      <c r="X5168" s="337" t="b">
        <f t="shared" si="118"/>
        <v>1</v>
      </c>
    </row>
    <row r="5169" spans="1:24" s="337" customFormat="1" ht="12" customHeight="1" outlineLevel="1">
      <c r="A5169" s="335"/>
      <c r="B5169" s="118" t="s">
        <v>12</v>
      </c>
      <c r="C5169" s="334" t="s">
        <v>13681</v>
      </c>
      <c r="D5169" s="124" t="s">
        <v>13682</v>
      </c>
      <c r="E5169" s="125"/>
      <c r="F5169" s="118" t="s">
        <v>1018</v>
      </c>
      <c r="G5169" s="126" t="s">
        <v>13525</v>
      </c>
      <c r="H5169" s="255">
        <v>5</v>
      </c>
      <c r="I5169" s="361">
        <v>1</v>
      </c>
      <c r="J5169" s="362" t="s">
        <v>286</v>
      </c>
      <c r="K5169" s="363"/>
      <c r="L5169" s="129"/>
      <c r="M5169" s="129"/>
      <c r="N5169" s="129"/>
      <c r="O5169" s="129"/>
      <c r="P5169" s="364"/>
      <c r="Q5169" s="364"/>
      <c r="R5169" s="129"/>
      <c r="S5169" s="129"/>
      <c r="T5169" s="129"/>
      <c r="W5169" s="129" t="s">
        <v>286</v>
      </c>
      <c r="X5169" s="337" t="b">
        <f t="shared" si="118"/>
        <v>1</v>
      </c>
    </row>
    <row r="5170" spans="1:24" s="337" customFormat="1" ht="12" customHeight="1" outlineLevel="1">
      <c r="A5170" s="335"/>
      <c r="B5170" s="118" t="s">
        <v>12</v>
      </c>
      <c r="C5170" s="334" t="s">
        <v>13683</v>
      </c>
      <c r="D5170" s="124" t="s">
        <v>13684</v>
      </c>
      <c r="E5170" s="125"/>
      <c r="F5170" s="118" t="s">
        <v>1018</v>
      </c>
      <c r="G5170" s="126" t="s">
        <v>13525</v>
      </c>
      <c r="H5170" s="255">
        <v>5</v>
      </c>
      <c r="I5170" s="361">
        <v>1</v>
      </c>
      <c r="J5170" s="362" t="s">
        <v>286</v>
      </c>
      <c r="K5170" s="363"/>
      <c r="L5170" s="129"/>
      <c r="M5170" s="129"/>
      <c r="N5170" s="129"/>
      <c r="O5170" s="129"/>
      <c r="P5170" s="364"/>
      <c r="Q5170" s="364"/>
      <c r="R5170" s="129"/>
      <c r="S5170" s="129"/>
      <c r="T5170" s="129"/>
      <c r="W5170" s="129" t="s">
        <v>286</v>
      </c>
      <c r="X5170" s="337" t="b">
        <f t="shared" si="118"/>
        <v>1</v>
      </c>
    </row>
    <row r="5171" spans="1:24" s="337" customFormat="1" ht="12" customHeight="1" outlineLevel="1">
      <c r="A5171" s="335"/>
      <c r="B5171" s="118" t="s">
        <v>12</v>
      </c>
      <c r="C5171" s="334" t="s">
        <v>13685</v>
      </c>
      <c r="D5171" s="124" t="s">
        <v>13686</v>
      </c>
      <c r="E5171" s="125"/>
      <c r="F5171" s="118" t="s">
        <v>1018</v>
      </c>
      <c r="G5171" s="126" t="s">
        <v>13525</v>
      </c>
      <c r="H5171" s="255">
        <v>5</v>
      </c>
      <c r="I5171" s="361">
        <v>1</v>
      </c>
      <c r="J5171" s="362" t="s">
        <v>286</v>
      </c>
      <c r="K5171" s="363"/>
      <c r="L5171" s="129"/>
      <c r="M5171" s="129"/>
      <c r="N5171" s="129"/>
      <c r="O5171" s="129"/>
      <c r="P5171" s="364"/>
      <c r="Q5171" s="364"/>
      <c r="R5171" s="129"/>
      <c r="S5171" s="129"/>
      <c r="T5171" s="129"/>
      <c r="W5171" s="129" t="s">
        <v>286</v>
      </c>
      <c r="X5171" s="337" t="b">
        <f t="shared" si="118"/>
        <v>1</v>
      </c>
    </row>
    <row r="5172" spans="1:24" s="337" customFormat="1" ht="12" customHeight="1" outlineLevel="1">
      <c r="A5172" s="335"/>
      <c r="B5172" s="118" t="s">
        <v>12</v>
      </c>
      <c r="C5172" s="334" t="s">
        <v>13687</v>
      </c>
      <c r="D5172" s="124" t="s">
        <v>13688</v>
      </c>
      <c r="E5172" s="125"/>
      <c r="F5172" s="118" t="s">
        <v>1018</v>
      </c>
      <c r="G5172" s="126" t="s">
        <v>13525</v>
      </c>
      <c r="H5172" s="255">
        <v>5</v>
      </c>
      <c r="I5172" s="361">
        <v>1</v>
      </c>
      <c r="J5172" s="362" t="s">
        <v>286</v>
      </c>
      <c r="K5172" s="363"/>
      <c r="L5172" s="129"/>
      <c r="M5172" s="129"/>
      <c r="N5172" s="129"/>
      <c r="O5172" s="129"/>
      <c r="P5172" s="364"/>
      <c r="Q5172" s="364"/>
      <c r="R5172" s="129"/>
      <c r="S5172" s="129"/>
      <c r="T5172" s="129"/>
      <c r="W5172" s="129" t="s">
        <v>4876</v>
      </c>
      <c r="X5172" s="337" t="b">
        <f t="shared" si="118"/>
        <v>0</v>
      </c>
    </row>
    <row r="5173" spans="1:24" s="337" customFormat="1" ht="12" customHeight="1" outlineLevel="1">
      <c r="A5173" s="335"/>
      <c r="B5173" s="118" t="s">
        <v>12</v>
      </c>
      <c r="C5173" s="334" t="s">
        <v>13689</v>
      </c>
      <c r="D5173" s="124" t="s">
        <v>13690</v>
      </c>
      <c r="E5173" s="125"/>
      <c r="F5173" s="118" t="s">
        <v>1018</v>
      </c>
      <c r="G5173" s="126" t="s">
        <v>13525</v>
      </c>
      <c r="H5173" s="255">
        <v>5</v>
      </c>
      <c r="I5173" s="361">
        <v>1</v>
      </c>
      <c r="J5173" s="362" t="s">
        <v>286</v>
      </c>
      <c r="K5173" s="363"/>
      <c r="L5173" s="129"/>
      <c r="M5173" s="129"/>
      <c r="N5173" s="129"/>
      <c r="O5173" s="129"/>
      <c r="P5173" s="364"/>
      <c r="Q5173" s="364"/>
      <c r="R5173" s="129"/>
      <c r="S5173" s="129"/>
      <c r="T5173" s="129"/>
      <c r="W5173" s="129" t="s">
        <v>286</v>
      </c>
      <c r="X5173" s="337" t="b">
        <f t="shared" si="118"/>
        <v>1</v>
      </c>
    </row>
    <row r="5174" spans="1:24" s="337" customFormat="1" ht="12" customHeight="1" outlineLevel="1">
      <c r="A5174" s="335"/>
      <c r="B5174" s="118" t="s">
        <v>12</v>
      </c>
      <c r="C5174" s="334" t="s">
        <v>13691</v>
      </c>
      <c r="D5174" s="124" t="s">
        <v>13692</v>
      </c>
      <c r="E5174" s="125"/>
      <c r="F5174" s="118" t="s">
        <v>1018</v>
      </c>
      <c r="G5174" s="126" t="s">
        <v>13525</v>
      </c>
      <c r="H5174" s="255">
        <v>5</v>
      </c>
      <c r="I5174" s="361">
        <v>1</v>
      </c>
      <c r="J5174" s="362" t="s">
        <v>286</v>
      </c>
      <c r="K5174" s="363"/>
      <c r="L5174" s="129"/>
      <c r="M5174" s="129"/>
      <c r="N5174" s="129"/>
      <c r="O5174" s="129"/>
      <c r="P5174" s="364"/>
      <c r="Q5174" s="364"/>
      <c r="R5174" s="129"/>
      <c r="S5174" s="129"/>
      <c r="T5174" s="129"/>
      <c r="W5174" s="129" t="s">
        <v>286</v>
      </c>
      <c r="X5174" s="337" t="b">
        <f t="shared" si="118"/>
        <v>1</v>
      </c>
    </row>
    <row r="5175" spans="1:24" s="337" customFormat="1" ht="12" customHeight="1" outlineLevel="1">
      <c r="A5175" s="335"/>
      <c r="B5175" s="118" t="s">
        <v>12</v>
      </c>
      <c r="C5175" s="334" t="s">
        <v>13693</v>
      </c>
      <c r="D5175" s="124" t="s">
        <v>13694</v>
      </c>
      <c r="E5175" s="125"/>
      <c r="F5175" s="118" t="s">
        <v>1018</v>
      </c>
      <c r="G5175" s="126" t="s">
        <v>13525</v>
      </c>
      <c r="H5175" s="255">
        <v>5</v>
      </c>
      <c r="I5175" s="361">
        <v>1</v>
      </c>
      <c r="J5175" s="362" t="s">
        <v>286</v>
      </c>
      <c r="K5175" s="363"/>
      <c r="L5175" s="129"/>
      <c r="M5175" s="129"/>
      <c r="N5175" s="129"/>
      <c r="O5175" s="129"/>
      <c r="P5175" s="364"/>
      <c r="Q5175" s="364"/>
      <c r="R5175" s="129"/>
      <c r="S5175" s="129"/>
      <c r="T5175" s="129"/>
      <c r="W5175" s="129" t="s">
        <v>286</v>
      </c>
      <c r="X5175" s="337" t="b">
        <f t="shared" si="118"/>
        <v>1</v>
      </c>
    </row>
    <row r="5176" spans="1:24" s="337" customFormat="1" ht="12" customHeight="1" outlineLevel="1">
      <c r="A5176" s="335"/>
      <c r="B5176" s="118" t="s">
        <v>12</v>
      </c>
      <c r="C5176" s="334" t="s">
        <v>13695</v>
      </c>
      <c r="D5176" s="124" t="s">
        <v>13696</v>
      </c>
      <c r="E5176" s="125"/>
      <c r="F5176" s="118" t="s">
        <v>1018</v>
      </c>
      <c r="G5176" s="126" t="s">
        <v>13525</v>
      </c>
      <c r="H5176" s="255">
        <v>5</v>
      </c>
      <c r="I5176" s="361">
        <v>1</v>
      </c>
      <c r="J5176" s="362" t="s">
        <v>286</v>
      </c>
      <c r="K5176" s="363"/>
      <c r="L5176" s="129"/>
      <c r="M5176" s="129"/>
      <c r="N5176" s="129"/>
      <c r="O5176" s="129"/>
      <c r="P5176" s="364"/>
      <c r="Q5176" s="364"/>
      <c r="R5176" s="129"/>
      <c r="S5176" s="129"/>
      <c r="T5176" s="129"/>
      <c r="W5176" s="129" t="s">
        <v>286</v>
      </c>
      <c r="X5176" s="337" t="b">
        <f t="shared" si="118"/>
        <v>1</v>
      </c>
    </row>
    <row r="5177" spans="1:24" s="337" customFormat="1" ht="12" customHeight="1" outlineLevel="1">
      <c r="A5177" s="335"/>
      <c r="B5177" s="118" t="s">
        <v>12</v>
      </c>
      <c r="C5177" s="334" t="s">
        <v>13697</v>
      </c>
      <c r="D5177" s="124" t="s">
        <v>13698</v>
      </c>
      <c r="E5177" s="125"/>
      <c r="F5177" s="118" t="s">
        <v>1018</v>
      </c>
      <c r="G5177" s="126" t="s">
        <v>13525</v>
      </c>
      <c r="H5177" s="255">
        <v>5</v>
      </c>
      <c r="I5177" s="361">
        <v>1</v>
      </c>
      <c r="J5177" s="362" t="s">
        <v>286</v>
      </c>
      <c r="K5177" s="363"/>
      <c r="L5177" s="129"/>
      <c r="M5177" s="129"/>
      <c r="N5177" s="129"/>
      <c r="O5177" s="129"/>
      <c r="P5177" s="364"/>
      <c r="Q5177" s="364"/>
      <c r="R5177" s="129"/>
      <c r="S5177" s="129"/>
      <c r="T5177" s="129"/>
      <c r="W5177" s="129" t="s">
        <v>286</v>
      </c>
      <c r="X5177" s="337" t="b">
        <f t="shared" si="118"/>
        <v>1</v>
      </c>
    </row>
    <row r="5178" spans="1:24" s="337" customFormat="1" ht="12" customHeight="1" outlineLevel="1">
      <c r="A5178" s="335"/>
      <c r="B5178" s="118" t="s">
        <v>12</v>
      </c>
      <c r="C5178" s="334" t="s">
        <v>13699</v>
      </c>
      <c r="D5178" s="124" t="s">
        <v>13700</v>
      </c>
      <c r="E5178" s="125"/>
      <c r="F5178" s="118" t="s">
        <v>1018</v>
      </c>
      <c r="G5178" s="126" t="s">
        <v>13525</v>
      </c>
      <c r="H5178" s="255">
        <v>5</v>
      </c>
      <c r="I5178" s="361">
        <v>1</v>
      </c>
      <c r="J5178" s="362" t="s">
        <v>286</v>
      </c>
      <c r="K5178" s="363"/>
      <c r="L5178" s="129"/>
      <c r="M5178" s="129"/>
      <c r="N5178" s="129"/>
      <c r="O5178" s="129"/>
      <c r="P5178" s="364"/>
      <c r="Q5178" s="364"/>
      <c r="R5178" s="129"/>
      <c r="S5178" s="129"/>
      <c r="T5178" s="129"/>
      <c r="W5178" s="129" t="s">
        <v>286</v>
      </c>
      <c r="X5178" s="337" t="b">
        <f t="shared" si="118"/>
        <v>1</v>
      </c>
    </row>
    <row r="5179" spans="1:24" s="337" customFormat="1" ht="12" customHeight="1" outlineLevel="1">
      <c r="A5179" s="335"/>
      <c r="B5179" s="118" t="s">
        <v>12</v>
      </c>
      <c r="C5179" s="334" t="s">
        <v>13701</v>
      </c>
      <c r="D5179" s="124" t="s">
        <v>13702</v>
      </c>
      <c r="E5179" s="125"/>
      <c r="F5179" s="118" t="s">
        <v>1018</v>
      </c>
      <c r="G5179" s="126" t="s">
        <v>13525</v>
      </c>
      <c r="H5179" s="255">
        <v>5</v>
      </c>
      <c r="I5179" s="361">
        <v>1</v>
      </c>
      <c r="J5179" s="362" t="s">
        <v>286</v>
      </c>
      <c r="K5179" s="363"/>
      <c r="L5179" s="129"/>
      <c r="M5179" s="129"/>
      <c r="N5179" s="129"/>
      <c r="O5179" s="129"/>
      <c r="P5179" s="364"/>
      <c r="Q5179" s="364"/>
      <c r="R5179" s="129"/>
      <c r="S5179" s="129"/>
      <c r="T5179" s="129"/>
      <c r="W5179" s="129" t="s">
        <v>286</v>
      </c>
      <c r="X5179" s="337" t="b">
        <f t="shared" si="118"/>
        <v>1</v>
      </c>
    </row>
    <row r="5180" spans="1:24" s="337" customFormat="1" ht="12" customHeight="1" outlineLevel="1">
      <c r="A5180" s="335"/>
      <c r="B5180" s="118" t="s">
        <v>12</v>
      </c>
      <c r="C5180" s="334" t="s">
        <v>13703</v>
      </c>
      <c r="D5180" s="124" t="s">
        <v>13704</v>
      </c>
      <c r="E5180" s="125"/>
      <c r="F5180" s="118" t="s">
        <v>1018</v>
      </c>
      <c r="G5180" s="126" t="s">
        <v>13525</v>
      </c>
      <c r="H5180" s="255">
        <v>5</v>
      </c>
      <c r="I5180" s="361">
        <v>1</v>
      </c>
      <c r="J5180" s="362" t="s">
        <v>286</v>
      </c>
      <c r="K5180" s="363"/>
      <c r="L5180" s="129"/>
      <c r="M5180" s="129"/>
      <c r="N5180" s="129"/>
      <c r="O5180" s="129"/>
      <c r="P5180" s="364"/>
      <c r="Q5180" s="364"/>
      <c r="R5180" s="129"/>
      <c r="S5180" s="129"/>
      <c r="T5180" s="129"/>
      <c r="W5180" s="129" t="s">
        <v>286</v>
      </c>
      <c r="X5180" s="337" t="b">
        <f t="shared" si="118"/>
        <v>1</v>
      </c>
    </row>
    <row r="5181" spans="1:24" s="337" customFormat="1" ht="12" customHeight="1" outlineLevel="1">
      <c r="A5181" s="335"/>
      <c r="B5181" s="118" t="s">
        <v>12</v>
      </c>
      <c r="C5181" s="334" t="s">
        <v>13705</v>
      </c>
      <c r="D5181" s="124" t="s">
        <v>13706</v>
      </c>
      <c r="E5181" s="125"/>
      <c r="F5181" s="118" t="s">
        <v>1018</v>
      </c>
      <c r="G5181" s="126" t="s">
        <v>13525</v>
      </c>
      <c r="H5181" s="255">
        <v>5</v>
      </c>
      <c r="I5181" s="361">
        <v>1</v>
      </c>
      <c r="J5181" s="362" t="s">
        <v>286</v>
      </c>
      <c r="K5181" s="363"/>
      <c r="L5181" s="129"/>
      <c r="M5181" s="129"/>
      <c r="N5181" s="129"/>
      <c r="O5181" s="129"/>
      <c r="P5181" s="364"/>
      <c r="Q5181" s="364"/>
      <c r="R5181" s="129"/>
      <c r="S5181" s="129"/>
      <c r="T5181" s="129"/>
      <c r="W5181" s="129" t="s">
        <v>286</v>
      </c>
      <c r="X5181" s="337" t="b">
        <f t="shared" si="118"/>
        <v>1</v>
      </c>
    </row>
    <row r="5182" spans="1:24" s="337" customFormat="1" ht="12" customHeight="1" outlineLevel="1">
      <c r="A5182" s="335"/>
      <c r="B5182" s="118" t="s">
        <v>12</v>
      </c>
      <c r="C5182" s="334" t="s">
        <v>13707</v>
      </c>
      <c r="D5182" s="124" t="s">
        <v>13708</v>
      </c>
      <c r="E5182" s="125"/>
      <c r="F5182" s="118" t="s">
        <v>1018</v>
      </c>
      <c r="G5182" s="126" t="s">
        <v>13525</v>
      </c>
      <c r="H5182" s="255">
        <v>5</v>
      </c>
      <c r="I5182" s="361">
        <v>1</v>
      </c>
      <c r="J5182" s="362" t="s">
        <v>286</v>
      </c>
      <c r="K5182" s="363"/>
      <c r="L5182" s="129"/>
      <c r="M5182" s="129"/>
      <c r="N5182" s="129"/>
      <c r="O5182" s="129"/>
      <c r="P5182" s="364"/>
      <c r="Q5182" s="364"/>
      <c r="R5182" s="129"/>
      <c r="S5182" s="129"/>
      <c r="T5182" s="129"/>
      <c r="W5182" s="129" t="s">
        <v>286</v>
      </c>
      <c r="X5182" s="337" t="b">
        <f t="shared" si="118"/>
        <v>1</v>
      </c>
    </row>
    <row r="5183" spans="1:24" s="337" customFormat="1" ht="12" customHeight="1" outlineLevel="1">
      <c r="A5183" s="335"/>
      <c r="B5183" s="118" t="s">
        <v>12</v>
      </c>
      <c r="C5183" s="334" t="s">
        <v>13709</v>
      </c>
      <c r="D5183" s="124" t="s">
        <v>13710</v>
      </c>
      <c r="E5183" s="125"/>
      <c r="F5183" s="118" t="s">
        <v>1018</v>
      </c>
      <c r="G5183" s="126" t="s">
        <v>13525</v>
      </c>
      <c r="H5183" s="255">
        <v>5</v>
      </c>
      <c r="I5183" s="361">
        <v>1</v>
      </c>
      <c r="J5183" s="362" t="s">
        <v>286</v>
      </c>
      <c r="K5183" s="363"/>
      <c r="L5183" s="129"/>
      <c r="M5183" s="129"/>
      <c r="N5183" s="129"/>
      <c r="O5183" s="129"/>
      <c r="P5183" s="364"/>
      <c r="Q5183" s="364"/>
      <c r="R5183" s="129"/>
      <c r="S5183" s="129"/>
      <c r="T5183" s="129"/>
      <c r="W5183" s="129" t="s">
        <v>286</v>
      </c>
      <c r="X5183" s="337" t="b">
        <f t="shared" si="118"/>
        <v>1</v>
      </c>
    </row>
    <row r="5184" spans="1:24" s="337" customFormat="1" ht="12" customHeight="1" outlineLevel="1">
      <c r="A5184" s="335"/>
      <c r="B5184" s="118" t="s">
        <v>12</v>
      </c>
      <c r="C5184" s="334" t="s">
        <v>13711</v>
      </c>
      <c r="D5184" s="124" t="s">
        <v>13712</v>
      </c>
      <c r="E5184" s="125"/>
      <c r="F5184" s="118" t="s">
        <v>1018</v>
      </c>
      <c r="G5184" s="126" t="s">
        <v>13525</v>
      </c>
      <c r="H5184" s="255">
        <v>5</v>
      </c>
      <c r="I5184" s="361">
        <v>1</v>
      </c>
      <c r="J5184" s="362" t="s">
        <v>286</v>
      </c>
      <c r="K5184" s="363"/>
      <c r="L5184" s="129"/>
      <c r="M5184" s="129"/>
      <c r="N5184" s="129"/>
      <c r="O5184" s="129"/>
      <c r="P5184" s="364"/>
      <c r="Q5184" s="364"/>
      <c r="R5184" s="129"/>
      <c r="S5184" s="129"/>
      <c r="T5184" s="129"/>
      <c r="W5184" s="129" t="s">
        <v>286</v>
      </c>
      <c r="X5184" s="337" t="b">
        <f t="shared" si="118"/>
        <v>1</v>
      </c>
    </row>
    <row r="5185" spans="1:24" s="337" customFormat="1" ht="12" customHeight="1" outlineLevel="1">
      <c r="A5185" s="335"/>
      <c r="B5185" s="118" t="s">
        <v>12</v>
      </c>
      <c r="C5185" s="334" t="s">
        <v>13713</v>
      </c>
      <c r="D5185" s="124" t="s">
        <v>13714</v>
      </c>
      <c r="E5185" s="125"/>
      <c r="F5185" s="118" t="s">
        <v>1018</v>
      </c>
      <c r="G5185" s="126" t="s">
        <v>13525</v>
      </c>
      <c r="H5185" s="255">
        <v>5</v>
      </c>
      <c r="I5185" s="361">
        <v>1</v>
      </c>
      <c r="J5185" s="362" t="s">
        <v>286</v>
      </c>
      <c r="K5185" s="363"/>
      <c r="L5185" s="129"/>
      <c r="M5185" s="129"/>
      <c r="N5185" s="129"/>
      <c r="O5185" s="129"/>
      <c r="P5185" s="364"/>
      <c r="Q5185" s="364"/>
      <c r="R5185" s="129"/>
      <c r="S5185" s="129"/>
      <c r="T5185" s="129"/>
      <c r="W5185" s="129" t="s">
        <v>286</v>
      </c>
      <c r="X5185" s="337" t="b">
        <f t="shared" si="118"/>
        <v>1</v>
      </c>
    </row>
    <row r="5186" spans="1:24" s="337" customFormat="1" ht="12" customHeight="1" outlineLevel="1">
      <c r="A5186" s="335"/>
      <c r="B5186" s="118" t="s">
        <v>12</v>
      </c>
      <c r="C5186" s="334" t="s">
        <v>13715</v>
      </c>
      <c r="D5186" s="124" t="s">
        <v>13716</v>
      </c>
      <c r="E5186" s="125"/>
      <c r="F5186" s="118" t="s">
        <v>1018</v>
      </c>
      <c r="G5186" s="126" t="s">
        <v>13525</v>
      </c>
      <c r="H5186" s="255">
        <v>5</v>
      </c>
      <c r="I5186" s="361">
        <v>1</v>
      </c>
      <c r="J5186" s="362" t="s">
        <v>286</v>
      </c>
      <c r="K5186" s="363"/>
      <c r="L5186" s="129"/>
      <c r="M5186" s="129"/>
      <c r="N5186" s="129"/>
      <c r="O5186" s="129"/>
      <c r="P5186" s="364"/>
      <c r="Q5186" s="364"/>
      <c r="R5186" s="129"/>
      <c r="S5186" s="129"/>
      <c r="T5186" s="129"/>
      <c r="W5186" s="129" t="s">
        <v>286</v>
      </c>
      <c r="X5186" s="337" t="b">
        <f t="shared" si="118"/>
        <v>1</v>
      </c>
    </row>
    <row r="5187" spans="1:24" s="337" customFormat="1" ht="12" customHeight="1" outlineLevel="1">
      <c r="A5187" s="335"/>
      <c r="B5187" s="118" t="s">
        <v>12</v>
      </c>
      <c r="C5187" s="334" t="s">
        <v>13717</v>
      </c>
      <c r="D5187" s="124" t="s">
        <v>13718</v>
      </c>
      <c r="E5187" s="125"/>
      <c r="F5187" s="118" t="s">
        <v>1018</v>
      </c>
      <c r="G5187" s="126" t="s">
        <v>13525</v>
      </c>
      <c r="H5187" s="255">
        <v>5</v>
      </c>
      <c r="I5187" s="361">
        <v>1</v>
      </c>
      <c r="J5187" s="362" t="s">
        <v>286</v>
      </c>
      <c r="K5187" s="363"/>
      <c r="L5187" s="129"/>
      <c r="M5187" s="129"/>
      <c r="N5187" s="129"/>
      <c r="O5187" s="129"/>
      <c r="P5187" s="364"/>
      <c r="Q5187" s="364"/>
      <c r="R5187" s="129"/>
      <c r="S5187" s="129"/>
      <c r="T5187" s="129"/>
      <c r="W5187" s="129" t="s">
        <v>286</v>
      </c>
      <c r="X5187" s="337" t="b">
        <f t="shared" si="118"/>
        <v>1</v>
      </c>
    </row>
    <row r="5188" spans="1:24" s="337" customFormat="1" ht="12" customHeight="1" outlineLevel="1">
      <c r="A5188" s="335"/>
      <c r="B5188" s="118" t="s">
        <v>12</v>
      </c>
      <c r="C5188" s="334" t="s">
        <v>13719</v>
      </c>
      <c r="D5188" s="124" t="s">
        <v>13720</v>
      </c>
      <c r="E5188" s="125"/>
      <c r="F5188" s="118" t="s">
        <v>1018</v>
      </c>
      <c r="G5188" s="126" t="s">
        <v>13525</v>
      </c>
      <c r="H5188" s="255">
        <v>5</v>
      </c>
      <c r="I5188" s="361">
        <v>1</v>
      </c>
      <c r="J5188" s="362" t="s">
        <v>286</v>
      </c>
      <c r="K5188" s="363"/>
      <c r="L5188" s="129"/>
      <c r="M5188" s="129"/>
      <c r="N5188" s="129"/>
      <c r="O5188" s="129"/>
      <c r="P5188" s="364"/>
      <c r="Q5188" s="364"/>
      <c r="R5188" s="129"/>
      <c r="S5188" s="129"/>
      <c r="T5188" s="129"/>
      <c r="W5188" s="129" t="s">
        <v>286</v>
      </c>
      <c r="X5188" s="337" t="b">
        <f t="shared" si="118"/>
        <v>1</v>
      </c>
    </row>
    <row r="5189" spans="1:24" s="337" customFormat="1" ht="12" customHeight="1" outlineLevel="1">
      <c r="A5189" s="335"/>
      <c r="B5189" s="118" t="s">
        <v>12</v>
      </c>
      <c r="C5189" s="334" t="s">
        <v>13721</v>
      </c>
      <c r="D5189" s="124" t="s">
        <v>13722</v>
      </c>
      <c r="E5189" s="125"/>
      <c r="F5189" s="118" t="s">
        <v>1018</v>
      </c>
      <c r="G5189" s="126" t="s">
        <v>13525</v>
      </c>
      <c r="H5189" s="255">
        <v>5</v>
      </c>
      <c r="I5189" s="361">
        <v>1</v>
      </c>
      <c r="J5189" s="362" t="s">
        <v>286</v>
      </c>
      <c r="K5189" s="363"/>
      <c r="L5189" s="129"/>
      <c r="M5189" s="129"/>
      <c r="N5189" s="129"/>
      <c r="O5189" s="129"/>
      <c r="P5189" s="364"/>
      <c r="Q5189" s="364"/>
      <c r="R5189" s="129"/>
      <c r="S5189" s="129"/>
      <c r="T5189" s="129"/>
      <c r="W5189" s="129" t="s">
        <v>286</v>
      </c>
      <c r="X5189" s="337" t="b">
        <f t="shared" si="118"/>
        <v>1</v>
      </c>
    </row>
    <row r="5190" spans="1:24" s="337" customFormat="1" ht="12" customHeight="1" outlineLevel="1">
      <c r="A5190" s="335"/>
      <c r="B5190" s="118" t="s">
        <v>12</v>
      </c>
      <c r="C5190" s="334" t="s">
        <v>13723</v>
      </c>
      <c r="D5190" s="124" t="s">
        <v>13724</v>
      </c>
      <c r="E5190" s="125"/>
      <c r="F5190" s="118" t="s">
        <v>1018</v>
      </c>
      <c r="G5190" s="126" t="s">
        <v>13525</v>
      </c>
      <c r="H5190" s="255">
        <v>5</v>
      </c>
      <c r="I5190" s="361">
        <v>1</v>
      </c>
      <c r="J5190" s="362" t="s">
        <v>286</v>
      </c>
      <c r="K5190" s="363"/>
      <c r="L5190" s="129"/>
      <c r="M5190" s="129"/>
      <c r="N5190" s="129"/>
      <c r="O5190" s="129"/>
      <c r="P5190" s="364"/>
      <c r="Q5190" s="364"/>
      <c r="R5190" s="129"/>
      <c r="S5190" s="129"/>
      <c r="T5190" s="129"/>
      <c r="W5190" s="129" t="s">
        <v>286</v>
      </c>
      <c r="X5190" s="337" t="b">
        <f t="shared" si="118"/>
        <v>1</v>
      </c>
    </row>
    <row r="5191" spans="1:24" s="337" customFormat="1" ht="12" customHeight="1" outlineLevel="1">
      <c r="A5191" s="335"/>
      <c r="B5191" s="118" t="s">
        <v>12</v>
      </c>
      <c r="C5191" s="334" t="s">
        <v>13725</v>
      </c>
      <c r="D5191" s="124" t="s">
        <v>13726</v>
      </c>
      <c r="E5191" s="125"/>
      <c r="F5191" s="118" t="s">
        <v>1018</v>
      </c>
      <c r="G5191" s="126" t="s">
        <v>13525</v>
      </c>
      <c r="H5191" s="255">
        <v>5</v>
      </c>
      <c r="I5191" s="361">
        <v>1</v>
      </c>
      <c r="J5191" s="362" t="s">
        <v>286</v>
      </c>
      <c r="K5191" s="363"/>
      <c r="L5191" s="129"/>
      <c r="M5191" s="129"/>
      <c r="N5191" s="129"/>
      <c r="O5191" s="129"/>
      <c r="P5191" s="364"/>
      <c r="Q5191" s="364"/>
      <c r="R5191" s="129"/>
      <c r="S5191" s="129"/>
      <c r="T5191" s="129"/>
      <c r="W5191" s="129" t="s">
        <v>286</v>
      </c>
      <c r="X5191" s="337" t="b">
        <f t="shared" si="118"/>
        <v>1</v>
      </c>
    </row>
    <row r="5192" spans="1:24" s="337" customFormat="1" ht="12" customHeight="1" outlineLevel="1">
      <c r="A5192" s="335"/>
      <c r="B5192" s="118" t="s">
        <v>12</v>
      </c>
      <c r="C5192" s="334" t="s">
        <v>13727</v>
      </c>
      <c r="D5192" s="124" t="s">
        <v>13728</v>
      </c>
      <c r="E5192" s="125"/>
      <c r="F5192" s="118" t="s">
        <v>1018</v>
      </c>
      <c r="G5192" s="126" t="s">
        <v>13525</v>
      </c>
      <c r="H5192" s="255">
        <v>5</v>
      </c>
      <c r="I5192" s="361">
        <v>1</v>
      </c>
      <c r="J5192" s="362" t="s">
        <v>286</v>
      </c>
      <c r="K5192" s="363"/>
      <c r="L5192" s="129"/>
      <c r="M5192" s="129"/>
      <c r="N5192" s="129"/>
      <c r="O5192" s="129"/>
      <c r="P5192" s="364"/>
      <c r="Q5192" s="364"/>
      <c r="R5192" s="129"/>
      <c r="S5192" s="129"/>
      <c r="T5192" s="129"/>
      <c r="W5192" s="129" t="s">
        <v>286</v>
      </c>
      <c r="X5192" s="337" t="b">
        <f t="shared" si="118"/>
        <v>1</v>
      </c>
    </row>
    <row r="5193" spans="1:24" s="337" customFormat="1" ht="12" customHeight="1" outlineLevel="1">
      <c r="A5193" s="335"/>
      <c r="B5193" s="118" t="s">
        <v>12</v>
      </c>
      <c r="C5193" s="334" t="s">
        <v>13729</v>
      </c>
      <c r="D5193" s="124" t="s">
        <v>13730</v>
      </c>
      <c r="E5193" s="125"/>
      <c r="F5193" s="118" t="s">
        <v>1018</v>
      </c>
      <c r="G5193" s="126" t="s">
        <v>13525</v>
      </c>
      <c r="H5193" s="255">
        <v>5</v>
      </c>
      <c r="I5193" s="361">
        <v>1</v>
      </c>
      <c r="J5193" s="362" t="s">
        <v>286</v>
      </c>
      <c r="K5193" s="363"/>
      <c r="L5193" s="129"/>
      <c r="M5193" s="129"/>
      <c r="N5193" s="129"/>
      <c r="O5193" s="129"/>
      <c r="P5193" s="364"/>
      <c r="Q5193" s="364"/>
      <c r="R5193" s="129"/>
      <c r="S5193" s="129"/>
      <c r="T5193" s="129"/>
      <c r="W5193" s="129" t="s">
        <v>286</v>
      </c>
      <c r="X5193" s="337" t="b">
        <f t="shared" si="118"/>
        <v>1</v>
      </c>
    </row>
    <row r="5194" spans="1:24" s="337" customFormat="1" ht="12" customHeight="1" outlineLevel="1">
      <c r="A5194" s="335"/>
      <c r="B5194" s="118" t="s">
        <v>12</v>
      </c>
      <c r="C5194" s="334" t="s">
        <v>13731</v>
      </c>
      <c r="D5194" s="124" t="s">
        <v>13732</v>
      </c>
      <c r="E5194" s="125"/>
      <c r="F5194" s="118" t="s">
        <v>1018</v>
      </c>
      <c r="G5194" s="126" t="s">
        <v>13525</v>
      </c>
      <c r="H5194" s="255">
        <v>5</v>
      </c>
      <c r="I5194" s="361">
        <v>1</v>
      </c>
      <c r="J5194" s="362" t="s">
        <v>286</v>
      </c>
      <c r="K5194" s="363"/>
      <c r="L5194" s="129"/>
      <c r="M5194" s="129"/>
      <c r="N5194" s="129"/>
      <c r="O5194" s="129"/>
      <c r="P5194" s="364"/>
      <c r="Q5194" s="364"/>
      <c r="R5194" s="129"/>
      <c r="S5194" s="129"/>
      <c r="T5194" s="129"/>
      <c r="W5194" s="129" t="s">
        <v>286</v>
      </c>
      <c r="X5194" s="337" t="b">
        <f t="shared" si="118"/>
        <v>1</v>
      </c>
    </row>
    <row r="5195" spans="1:24" s="337" customFormat="1" ht="12" customHeight="1" outlineLevel="1">
      <c r="A5195" s="335"/>
      <c r="B5195" s="118" t="s">
        <v>12</v>
      </c>
      <c r="C5195" s="334" t="s">
        <v>13733</v>
      </c>
      <c r="D5195" s="124" t="s">
        <v>13734</v>
      </c>
      <c r="E5195" s="125"/>
      <c r="F5195" s="118" t="s">
        <v>1018</v>
      </c>
      <c r="G5195" s="126" t="s">
        <v>13525</v>
      </c>
      <c r="H5195" s="255">
        <v>5</v>
      </c>
      <c r="I5195" s="361">
        <v>1</v>
      </c>
      <c r="J5195" s="362" t="s">
        <v>286</v>
      </c>
      <c r="K5195" s="363"/>
      <c r="L5195" s="129"/>
      <c r="M5195" s="129"/>
      <c r="N5195" s="129"/>
      <c r="O5195" s="129"/>
      <c r="P5195" s="364"/>
      <c r="Q5195" s="364"/>
      <c r="R5195" s="129"/>
      <c r="S5195" s="129"/>
      <c r="T5195" s="129"/>
      <c r="W5195" s="129" t="s">
        <v>286</v>
      </c>
      <c r="X5195" s="337" t="b">
        <f t="shared" si="118"/>
        <v>1</v>
      </c>
    </row>
    <row r="5196" spans="1:24" s="337" customFormat="1" ht="12" customHeight="1" outlineLevel="1">
      <c r="A5196" s="335"/>
      <c r="B5196" s="118" t="s">
        <v>12</v>
      </c>
      <c r="C5196" s="334" t="s">
        <v>13735</v>
      </c>
      <c r="D5196" s="124" t="s">
        <v>13736</v>
      </c>
      <c r="E5196" s="125"/>
      <c r="F5196" s="118" t="s">
        <v>1018</v>
      </c>
      <c r="G5196" s="126" t="s">
        <v>13525</v>
      </c>
      <c r="H5196" s="255">
        <v>5</v>
      </c>
      <c r="I5196" s="361">
        <v>1</v>
      </c>
      <c r="J5196" s="362" t="s">
        <v>286</v>
      </c>
      <c r="K5196" s="363"/>
      <c r="L5196" s="129"/>
      <c r="M5196" s="129"/>
      <c r="N5196" s="129"/>
      <c r="O5196" s="129"/>
      <c r="P5196" s="364"/>
      <c r="Q5196" s="364"/>
      <c r="R5196" s="129"/>
      <c r="S5196" s="129"/>
      <c r="T5196" s="129"/>
      <c r="W5196" s="129" t="s">
        <v>286</v>
      </c>
      <c r="X5196" s="337" t="b">
        <f t="shared" si="118"/>
        <v>1</v>
      </c>
    </row>
    <row r="5197" spans="1:24" s="337" customFormat="1" ht="12" customHeight="1" outlineLevel="1">
      <c r="A5197" s="335"/>
      <c r="B5197" s="118" t="s">
        <v>12</v>
      </c>
      <c r="C5197" s="334" t="s">
        <v>13737</v>
      </c>
      <c r="D5197" s="124" t="s">
        <v>13738</v>
      </c>
      <c r="E5197" s="125"/>
      <c r="F5197" s="118" t="s">
        <v>1018</v>
      </c>
      <c r="G5197" s="126" t="s">
        <v>13525</v>
      </c>
      <c r="H5197" s="255">
        <v>5</v>
      </c>
      <c r="I5197" s="361">
        <v>1</v>
      </c>
      <c r="J5197" s="362" t="s">
        <v>286</v>
      </c>
      <c r="K5197" s="363"/>
      <c r="L5197" s="129"/>
      <c r="M5197" s="129"/>
      <c r="N5197" s="129"/>
      <c r="O5197" s="129"/>
      <c r="P5197" s="364"/>
      <c r="Q5197" s="364"/>
      <c r="R5197" s="129"/>
      <c r="S5197" s="129"/>
      <c r="T5197" s="129"/>
      <c r="W5197" s="129" t="s">
        <v>286</v>
      </c>
      <c r="X5197" s="337" t="b">
        <f t="shared" si="118"/>
        <v>1</v>
      </c>
    </row>
    <row r="5198" spans="1:24" s="337" customFormat="1" ht="12" customHeight="1" outlineLevel="1">
      <c r="A5198" s="335"/>
      <c r="B5198" s="118" t="s">
        <v>12</v>
      </c>
      <c r="C5198" s="334" t="s">
        <v>13739</v>
      </c>
      <c r="D5198" s="124" t="s">
        <v>13740</v>
      </c>
      <c r="E5198" s="125"/>
      <c r="F5198" s="118" t="s">
        <v>1018</v>
      </c>
      <c r="G5198" s="126" t="s">
        <v>13525</v>
      </c>
      <c r="H5198" s="255">
        <v>5</v>
      </c>
      <c r="I5198" s="361">
        <v>1</v>
      </c>
      <c r="J5198" s="362" t="s">
        <v>286</v>
      </c>
      <c r="K5198" s="363"/>
      <c r="L5198" s="129"/>
      <c r="M5198" s="129"/>
      <c r="N5198" s="129"/>
      <c r="O5198" s="129"/>
      <c r="P5198" s="364"/>
      <c r="Q5198" s="364"/>
      <c r="R5198" s="129"/>
      <c r="S5198" s="129"/>
      <c r="T5198" s="129"/>
      <c r="W5198" s="129" t="s">
        <v>286</v>
      </c>
      <c r="X5198" s="337" t="b">
        <f t="shared" ref="X5198:X5261" si="119">W5198=J5198</f>
        <v>1</v>
      </c>
    </row>
    <row r="5199" spans="1:24" s="337" customFormat="1" ht="12" customHeight="1" outlineLevel="1">
      <c r="A5199" s="335"/>
      <c r="B5199" s="118" t="s">
        <v>12</v>
      </c>
      <c r="C5199" s="334" t="s">
        <v>13741</v>
      </c>
      <c r="D5199" s="124" t="s">
        <v>13742</v>
      </c>
      <c r="E5199" s="125"/>
      <c r="F5199" s="118" t="s">
        <v>1018</v>
      </c>
      <c r="G5199" s="126" t="s">
        <v>13525</v>
      </c>
      <c r="H5199" s="255">
        <v>5</v>
      </c>
      <c r="I5199" s="361">
        <v>1</v>
      </c>
      <c r="J5199" s="362" t="s">
        <v>286</v>
      </c>
      <c r="K5199" s="363"/>
      <c r="L5199" s="129"/>
      <c r="M5199" s="129"/>
      <c r="N5199" s="129"/>
      <c r="O5199" s="129"/>
      <c r="P5199" s="364"/>
      <c r="Q5199" s="364"/>
      <c r="R5199" s="129"/>
      <c r="S5199" s="129"/>
      <c r="T5199" s="129"/>
      <c r="W5199" s="129" t="s">
        <v>286</v>
      </c>
      <c r="X5199" s="337" t="b">
        <f t="shared" si="119"/>
        <v>1</v>
      </c>
    </row>
    <row r="5200" spans="1:24" s="337" customFormat="1" ht="12" customHeight="1" outlineLevel="1">
      <c r="A5200" s="335"/>
      <c r="B5200" s="118" t="s">
        <v>12</v>
      </c>
      <c r="C5200" s="334" t="s">
        <v>13743</v>
      </c>
      <c r="D5200" s="124" t="s">
        <v>13744</v>
      </c>
      <c r="E5200" s="125"/>
      <c r="F5200" s="118" t="s">
        <v>1018</v>
      </c>
      <c r="G5200" s="126" t="s">
        <v>13525</v>
      </c>
      <c r="H5200" s="255">
        <v>5</v>
      </c>
      <c r="I5200" s="361">
        <v>1</v>
      </c>
      <c r="J5200" s="362" t="s">
        <v>286</v>
      </c>
      <c r="K5200" s="363"/>
      <c r="L5200" s="129"/>
      <c r="M5200" s="129"/>
      <c r="N5200" s="129"/>
      <c r="O5200" s="129"/>
      <c r="P5200" s="364"/>
      <c r="Q5200" s="364"/>
      <c r="R5200" s="129"/>
      <c r="S5200" s="129"/>
      <c r="T5200" s="129"/>
      <c r="W5200" s="129" t="s">
        <v>286</v>
      </c>
      <c r="X5200" s="337" t="b">
        <f t="shared" si="119"/>
        <v>1</v>
      </c>
    </row>
    <row r="5201" spans="1:24" s="337" customFormat="1" ht="12" customHeight="1" outlineLevel="1">
      <c r="A5201" s="335"/>
      <c r="B5201" s="118" t="s">
        <v>12</v>
      </c>
      <c r="C5201" s="334" t="s">
        <v>13745</v>
      </c>
      <c r="D5201" s="124" t="s">
        <v>13746</v>
      </c>
      <c r="E5201" s="125"/>
      <c r="F5201" s="118" t="s">
        <v>1018</v>
      </c>
      <c r="G5201" s="126" t="s">
        <v>13525</v>
      </c>
      <c r="H5201" s="255">
        <v>5</v>
      </c>
      <c r="I5201" s="361">
        <v>1</v>
      </c>
      <c r="J5201" s="362" t="s">
        <v>286</v>
      </c>
      <c r="K5201" s="363"/>
      <c r="L5201" s="129"/>
      <c r="M5201" s="129"/>
      <c r="N5201" s="129"/>
      <c r="O5201" s="129"/>
      <c r="P5201" s="364"/>
      <c r="Q5201" s="364"/>
      <c r="R5201" s="129"/>
      <c r="S5201" s="129"/>
      <c r="T5201" s="129"/>
      <c r="W5201" s="129" t="s">
        <v>286</v>
      </c>
      <c r="X5201" s="337" t="b">
        <f t="shared" si="119"/>
        <v>1</v>
      </c>
    </row>
    <row r="5202" spans="1:24" s="337" customFormat="1" ht="12" customHeight="1" outlineLevel="1">
      <c r="A5202" s="335"/>
      <c r="B5202" s="118" t="s">
        <v>12</v>
      </c>
      <c r="C5202" s="334" t="s">
        <v>13747</v>
      </c>
      <c r="D5202" s="124" t="s">
        <v>13748</v>
      </c>
      <c r="E5202" s="125"/>
      <c r="F5202" s="118" t="s">
        <v>1018</v>
      </c>
      <c r="G5202" s="126" t="s">
        <v>13525</v>
      </c>
      <c r="H5202" s="255">
        <v>5</v>
      </c>
      <c r="I5202" s="361">
        <v>1</v>
      </c>
      <c r="J5202" s="362" t="s">
        <v>286</v>
      </c>
      <c r="K5202" s="363"/>
      <c r="L5202" s="129"/>
      <c r="M5202" s="129"/>
      <c r="N5202" s="129"/>
      <c r="O5202" s="129"/>
      <c r="P5202" s="364"/>
      <c r="Q5202" s="364"/>
      <c r="R5202" s="129"/>
      <c r="S5202" s="129"/>
      <c r="T5202" s="129"/>
      <c r="W5202" s="129" t="s">
        <v>286</v>
      </c>
      <c r="X5202" s="337" t="b">
        <f t="shared" si="119"/>
        <v>1</v>
      </c>
    </row>
    <row r="5203" spans="1:24" s="337" customFormat="1" ht="12" customHeight="1" outlineLevel="1">
      <c r="A5203" s="335"/>
      <c r="B5203" s="118" t="s">
        <v>12</v>
      </c>
      <c r="C5203" s="334" t="s">
        <v>13749</v>
      </c>
      <c r="D5203" s="124" t="s">
        <v>13750</v>
      </c>
      <c r="E5203" s="125"/>
      <c r="F5203" s="118" t="s">
        <v>1018</v>
      </c>
      <c r="G5203" s="126" t="s">
        <v>13525</v>
      </c>
      <c r="H5203" s="255">
        <v>5</v>
      </c>
      <c r="I5203" s="361">
        <v>1</v>
      </c>
      <c r="J5203" s="362" t="s">
        <v>286</v>
      </c>
      <c r="K5203" s="363"/>
      <c r="L5203" s="129"/>
      <c r="M5203" s="129"/>
      <c r="N5203" s="129"/>
      <c r="O5203" s="129"/>
      <c r="P5203" s="364"/>
      <c r="Q5203" s="364"/>
      <c r="R5203" s="129"/>
      <c r="S5203" s="129"/>
      <c r="T5203" s="129"/>
      <c r="W5203" s="129" t="s">
        <v>286</v>
      </c>
      <c r="X5203" s="337" t="b">
        <f t="shared" si="119"/>
        <v>1</v>
      </c>
    </row>
    <row r="5204" spans="1:24" s="337" customFormat="1" ht="12" customHeight="1" outlineLevel="1">
      <c r="A5204" s="335"/>
      <c r="B5204" s="118" t="s">
        <v>12</v>
      </c>
      <c r="C5204" s="334" t="s">
        <v>13751</v>
      </c>
      <c r="D5204" s="124" t="s">
        <v>13752</v>
      </c>
      <c r="E5204" s="125"/>
      <c r="F5204" s="118" t="s">
        <v>1018</v>
      </c>
      <c r="G5204" s="126" t="s">
        <v>13525</v>
      </c>
      <c r="H5204" s="255">
        <v>5</v>
      </c>
      <c r="I5204" s="361">
        <v>1</v>
      </c>
      <c r="J5204" s="362" t="s">
        <v>286</v>
      </c>
      <c r="K5204" s="363"/>
      <c r="L5204" s="129"/>
      <c r="M5204" s="129"/>
      <c r="N5204" s="129"/>
      <c r="O5204" s="129"/>
      <c r="P5204" s="364"/>
      <c r="Q5204" s="364"/>
      <c r="R5204" s="129"/>
      <c r="S5204" s="129"/>
      <c r="T5204" s="129"/>
      <c r="W5204" s="129" t="s">
        <v>286</v>
      </c>
      <c r="X5204" s="337" t="b">
        <f t="shared" si="119"/>
        <v>1</v>
      </c>
    </row>
    <row r="5205" spans="1:24" s="337" customFormat="1" ht="12" customHeight="1" outlineLevel="1">
      <c r="A5205" s="335"/>
      <c r="B5205" s="118" t="s">
        <v>12</v>
      </c>
      <c r="C5205" s="334" t="s">
        <v>13753</v>
      </c>
      <c r="D5205" s="124" t="s">
        <v>13754</v>
      </c>
      <c r="E5205" s="125"/>
      <c r="F5205" s="118" t="s">
        <v>1018</v>
      </c>
      <c r="G5205" s="126" t="s">
        <v>13525</v>
      </c>
      <c r="H5205" s="255">
        <v>5</v>
      </c>
      <c r="I5205" s="361">
        <v>1</v>
      </c>
      <c r="J5205" s="362" t="s">
        <v>286</v>
      </c>
      <c r="K5205" s="363"/>
      <c r="L5205" s="129"/>
      <c r="M5205" s="129"/>
      <c r="N5205" s="129"/>
      <c r="O5205" s="129"/>
      <c r="P5205" s="364"/>
      <c r="Q5205" s="364"/>
      <c r="R5205" s="129"/>
      <c r="S5205" s="129"/>
      <c r="T5205" s="129"/>
      <c r="W5205" s="129" t="s">
        <v>286</v>
      </c>
      <c r="X5205" s="337" t="b">
        <f t="shared" si="119"/>
        <v>1</v>
      </c>
    </row>
    <row r="5206" spans="1:24" s="337" customFormat="1" ht="12" customHeight="1" outlineLevel="1">
      <c r="A5206" s="335"/>
      <c r="B5206" s="118" t="s">
        <v>12</v>
      </c>
      <c r="C5206" s="334" t="s">
        <v>13755</v>
      </c>
      <c r="D5206" s="124" t="s">
        <v>10671</v>
      </c>
      <c r="E5206" s="125"/>
      <c r="F5206" s="118" t="s">
        <v>1018</v>
      </c>
      <c r="G5206" s="126" t="s">
        <v>13525</v>
      </c>
      <c r="H5206" s="255">
        <v>5</v>
      </c>
      <c r="I5206" s="361">
        <v>1</v>
      </c>
      <c r="J5206" s="362" t="s">
        <v>286</v>
      </c>
      <c r="K5206" s="363"/>
      <c r="L5206" s="129"/>
      <c r="M5206" s="129"/>
      <c r="N5206" s="129"/>
      <c r="O5206" s="129"/>
      <c r="P5206" s="364"/>
      <c r="Q5206" s="364"/>
      <c r="R5206" s="129"/>
      <c r="S5206" s="129"/>
      <c r="T5206" s="129"/>
      <c r="W5206" s="129" t="s">
        <v>286</v>
      </c>
      <c r="X5206" s="337" t="b">
        <f t="shared" si="119"/>
        <v>1</v>
      </c>
    </row>
    <row r="5207" spans="1:24" s="337" customFormat="1" ht="12" customHeight="1" outlineLevel="1">
      <c r="A5207" s="335"/>
      <c r="B5207" s="118" t="s">
        <v>12</v>
      </c>
      <c r="C5207" s="334" t="s">
        <v>13756</v>
      </c>
      <c r="D5207" s="124" t="s">
        <v>10673</v>
      </c>
      <c r="E5207" s="125"/>
      <c r="F5207" s="118" t="s">
        <v>1018</v>
      </c>
      <c r="G5207" s="126" t="s">
        <v>13525</v>
      </c>
      <c r="H5207" s="255">
        <v>5</v>
      </c>
      <c r="I5207" s="361">
        <v>1</v>
      </c>
      <c r="J5207" s="362" t="s">
        <v>286</v>
      </c>
      <c r="K5207" s="363"/>
      <c r="L5207" s="129"/>
      <c r="M5207" s="129"/>
      <c r="N5207" s="129"/>
      <c r="O5207" s="129"/>
      <c r="P5207" s="364"/>
      <c r="Q5207" s="364"/>
      <c r="R5207" s="129"/>
      <c r="S5207" s="129"/>
      <c r="T5207" s="129"/>
      <c r="W5207" s="129" t="s">
        <v>286</v>
      </c>
      <c r="X5207" s="337" t="b">
        <f t="shared" si="119"/>
        <v>1</v>
      </c>
    </row>
    <row r="5208" spans="1:24" s="337" customFormat="1" ht="12" customHeight="1" outlineLevel="1">
      <c r="A5208" s="335"/>
      <c r="B5208" s="118" t="s">
        <v>12</v>
      </c>
      <c r="C5208" s="334" t="s">
        <v>13757</v>
      </c>
      <c r="D5208" s="124" t="s">
        <v>10675</v>
      </c>
      <c r="E5208" s="125"/>
      <c r="F5208" s="118" t="s">
        <v>1018</v>
      </c>
      <c r="G5208" s="126" t="s">
        <v>13525</v>
      </c>
      <c r="H5208" s="255">
        <v>5</v>
      </c>
      <c r="I5208" s="361">
        <v>1</v>
      </c>
      <c r="J5208" s="362" t="s">
        <v>286</v>
      </c>
      <c r="K5208" s="363"/>
      <c r="L5208" s="129"/>
      <c r="M5208" s="129"/>
      <c r="N5208" s="129"/>
      <c r="O5208" s="129"/>
      <c r="P5208" s="364"/>
      <c r="Q5208" s="364"/>
      <c r="R5208" s="129"/>
      <c r="S5208" s="129"/>
      <c r="T5208" s="129"/>
      <c r="W5208" s="129" t="s">
        <v>286</v>
      </c>
      <c r="X5208" s="337" t="b">
        <f t="shared" si="119"/>
        <v>1</v>
      </c>
    </row>
    <row r="5209" spans="1:24" s="337" customFormat="1" ht="12" customHeight="1" outlineLevel="1">
      <c r="A5209" s="335"/>
      <c r="B5209" s="118" t="s">
        <v>12</v>
      </c>
      <c r="C5209" s="334" t="s">
        <v>13758</v>
      </c>
      <c r="D5209" s="124" t="s">
        <v>10677</v>
      </c>
      <c r="E5209" s="125"/>
      <c r="F5209" s="118" t="s">
        <v>1018</v>
      </c>
      <c r="G5209" s="126" t="s">
        <v>13525</v>
      </c>
      <c r="H5209" s="255">
        <v>5</v>
      </c>
      <c r="I5209" s="361">
        <v>1</v>
      </c>
      <c r="J5209" s="362" t="s">
        <v>286</v>
      </c>
      <c r="K5209" s="363"/>
      <c r="L5209" s="129"/>
      <c r="M5209" s="129"/>
      <c r="N5209" s="129"/>
      <c r="O5209" s="129"/>
      <c r="P5209" s="364"/>
      <c r="Q5209" s="364"/>
      <c r="R5209" s="129"/>
      <c r="S5209" s="129"/>
      <c r="T5209" s="129"/>
      <c r="W5209" s="129" t="s">
        <v>286</v>
      </c>
      <c r="X5209" s="337" t="b">
        <f t="shared" si="119"/>
        <v>1</v>
      </c>
    </row>
    <row r="5210" spans="1:24" s="337" customFormat="1" ht="12" customHeight="1" outlineLevel="1">
      <c r="A5210" s="335"/>
      <c r="B5210" s="118" t="s">
        <v>12</v>
      </c>
      <c r="C5210" s="334" t="s">
        <v>13759</v>
      </c>
      <c r="D5210" s="124" t="s">
        <v>10679</v>
      </c>
      <c r="E5210" s="125"/>
      <c r="F5210" s="118" t="s">
        <v>1018</v>
      </c>
      <c r="G5210" s="126" t="s">
        <v>13525</v>
      </c>
      <c r="H5210" s="255">
        <v>5</v>
      </c>
      <c r="I5210" s="361">
        <v>1</v>
      </c>
      <c r="J5210" s="362" t="s">
        <v>286</v>
      </c>
      <c r="K5210" s="363"/>
      <c r="L5210" s="129"/>
      <c r="M5210" s="129"/>
      <c r="N5210" s="129"/>
      <c r="O5210" s="129"/>
      <c r="P5210" s="364"/>
      <c r="Q5210" s="364"/>
      <c r="R5210" s="129"/>
      <c r="S5210" s="129"/>
      <c r="T5210" s="129"/>
      <c r="W5210" s="129" t="s">
        <v>286</v>
      </c>
      <c r="X5210" s="337" t="b">
        <f t="shared" si="119"/>
        <v>1</v>
      </c>
    </row>
    <row r="5211" spans="1:24" s="337" customFormat="1" ht="12" customHeight="1" outlineLevel="1">
      <c r="A5211" s="335"/>
      <c r="B5211" s="118" t="s">
        <v>12</v>
      </c>
      <c r="C5211" s="334" t="s">
        <v>13760</v>
      </c>
      <c r="D5211" s="124" t="s">
        <v>10681</v>
      </c>
      <c r="E5211" s="125"/>
      <c r="F5211" s="118" t="s">
        <v>1018</v>
      </c>
      <c r="G5211" s="126" t="s">
        <v>13525</v>
      </c>
      <c r="H5211" s="255">
        <v>5</v>
      </c>
      <c r="I5211" s="361">
        <v>1</v>
      </c>
      <c r="J5211" s="362" t="s">
        <v>286</v>
      </c>
      <c r="K5211" s="363"/>
      <c r="L5211" s="129"/>
      <c r="M5211" s="129"/>
      <c r="N5211" s="129"/>
      <c r="O5211" s="129"/>
      <c r="P5211" s="364"/>
      <c r="Q5211" s="364"/>
      <c r="R5211" s="129"/>
      <c r="S5211" s="129"/>
      <c r="T5211" s="129"/>
      <c r="W5211" s="129" t="s">
        <v>286</v>
      </c>
      <c r="X5211" s="337" t="b">
        <f t="shared" si="119"/>
        <v>1</v>
      </c>
    </row>
    <row r="5212" spans="1:24" s="337" customFormat="1" ht="12" customHeight="1" outlineLevel="1">
      <c r="A5212" s="335"/>
      <c r="B5212" s="118" t="s">
        <v>12</v>
      </c>
      <c r="C5212" s="334" t="s">
        <v>13761</v>
      </c>
      <c r="D5212" s="124" t="s">
        <v>10683</v>
      </c>
      <c r="E5212" s="125"/>
      <c r="F5212" s="118" t="s">
        <v>1018</v>
      </c>
      <c r="G5212" s="126" t="s">
        <v>13525</v>
      </c>
      <c r="H5212" s="255">
        <v>5</v>
      </c>
      <c r="I5212" s="361">
        <v>1</v>
      </c>
      <c r="J5212" s="362" t="s">
        <v>286</v>
      </c>
      <c r="K5212" s="363"/>
      <c r="L5212" s="129"/>
      <c r="M5212" s="129"/>
      <c r="N5212" s="129"/>
      <c r="O5212" s="129"/>
      <c r="P5212" s="364"/>
      <c r="Q5212" s="364"/>
      <c r="R5212" s="129"/>
      <c r="S5212" s="129"/>
      <c r="T5212" s="129"/>
      <c r="W5212" s="129" t="s">
        <v>286</v>
      </c>
      <c r="X5212" s="337" t="b">
        <f t="shared" si="119"/>
        <v>1</v>
      </c>
    </row>
    <row r="5213" spans="1:24" s="337" customFormat="1" ht="12" customHeight="1" outlineLevel="1">
      <c r="A5213" s="335"/>
      <c r="B5213" s="118" t="s">
        <v>12</v>
      </c>
      <c r="C5213" s="334" t="s">
        <v>13762</v>
      </c>
      <c r="D5213" s="124" t="s">
        <v>10685</v>
      </c>
      <c r="E5213" s="125"/>
      <c r="F5213" s="118" t="s">
        <v>1018</v>
      </c>
      <c r="G5213" s="126" t="s">
        <v>13525</v>
      </c>
      <c r="H5213" s="255">
        <v>5</v>
      </c>
      <c r="I5213" s="361">
        <v>1</v>
      </c>
      <c r="J5213" s="362" t="s">
        <v>286</v>
      </c>
      <c r="K5213" s="363"/>
      <c r="L5213" s="129"/>
      <c r="M5213" s="129"/>
      <c r="N5213" s="129"/>
      <c r="O5213" s="129"/>
      <c r="P5213" s="364"/>
      <c r="Q5213" s="364"/>
      <c r="R5213" s="129"/>
      <c r="S5213" s="129"/>
      <c r="T5213" s="129"/>
      <c r="W5213" s="129" t="s">
        <v>286</v>
      </c>
      <c r="X5213" s="337" t="b">
        <f t="shared" si="119"/>
        <v>1</v>
      </c>
    </row>
    <row r="5214" spans="1:24" s="337" customFormat="1" ht="12" customHeight="1" outlineLevel="1">
      <c r="A5214" s="335"/>
      <c r="B5214" s="118" t="s">
        <v>12</v>
      </c>
      <c r="C5214" s="334" t="s">
        <v>13763</v>
      </c>
      <c r="D5214" s="124" t="s">
        <v>10687</v>
      </c>
      <c r="E5214" s="125"/>
      <c r="F5214" s="118" t="s">
        <v>1018</v>
      </c>
      <c r="G5214" s="126" t="s">
        <v>13525</v>
      </c>
      <c r="H5214" s="255">
        <v>5</v>
      </c>
      <c r="I5214" s="361">
        <v>1</v>
      </c>
      <c r="J5214" s="362" t="s">
        <v>286</v>
      </c>
      <c r="K5214" s="363"/>
      <c r="L5214" s="129"/>
      <c r="M5214" s="129"/>
      <c r="N5214" s="129"/>
      <c r="O5214" s="129"/>
      <c r="P5214" s="364"/>
      <c r="Q5214" s="364"/>
      <c r="R5214" s="129"/>
      <c r="S5214" s="129"/>
      <c r="T5214" s="129"/>
      <c r="W5214" s="129" t="s">
        <v>4876</v>
      </c>
      <c r="X5214" s="337" t="b">
        <f t="shared" si="119"/>
        <v>0</v>
      </c>
    </row>
    <row r="5215" spans="1:24" s="337" customFormat="1" ht="12" customHeight="1" outlineLevel="1">
      <c r="A5215" s="335"/>
      <c r="B5215" s="118" t="s">
        <v>12</v>
      </c>
      <c r="C5215" s="334" t="s">
        <v>13764</v>
      </c>
      <c r="D5215" s="124" t="s">
        <v>10689</v>
      </c>
      <c r="E5215" s="125"/>
      <c r="F5215" s="118" t="s">
        <v>1018</v>
      </c>
      <c r="G5215" s="126" t="s">
        <v>13525</v>
      </c>
      <c r="H5215" s="255">
        <v>5</v>
      </c>
      <c r="I5215" s="361">
        <v>1</v>
      </c>
      <c r="J5215" s="362" t="s">
        <v>286</v>
      </c>
      <c r="K5215" s="363"/>
      <c r="L5215" s="129"/>
      <c r="M5215" s="129"/>
      <c r="N5215" s="129"/>
      <c r="O5215" s="129"/>
      <c r="P5215" s="364"/>
      <c r="Q5215" s="364"/>
      <c r="R5215" s="129"/>
      <c r="S5215" s="129"/>
      <c r="T5215" s="129"/>
      <c r="W5215" s="129" t="s">
        <v>286</v>
      </c>
      <c r="X5215" s="337" t="b">
        <f t="shared" si="119"/>
        <v>1</v>
      </c>
    </row>
    <row r="5216" spans="1:24" s="337" customFormat="1" ht="12" customHeight="1" outlineLevel="1">
      <c r="A5216" s="335"/>
      <c r="B5216" s="118" t="s">
        <v>12</v>
      </c>
      <c r="C5216" s="334" t="s">
        <v>13765</v>
      </c>
      <c r="D5216" s="124" t="s">
        <v>10691</v>
      </c>
      <c r="E5216" s="125"/>
      <c r="F5216" s="118" t="s">
        <v>1018</v>
      </c>
      <c r="G5216" s="126" t="s">
        <v>13525</v>
      </c>
      <c r="H5216" s="255">
        <v>5</v>
      </c>
      <c r="I5216" s="361">
        <v>1</v>
      </c>
      <c r="J5216" s="362" t="s">
        <v>286</v>
      </c>
      <c r="K5216" s="363"/>
      <c r="L5216" s="129"/>
      <c r="M5216" s="129"/>
      <c r="N5216" s="129"/>
      <c r="O5216" s="129"/>
      <c r="P5216" s="364"/>
      <c r="Q5216" s="364"/>
      <c r="R5216" s="129"/>
      <c r="S5216" s="129"/>
      <c r="T5216" s="129"/>
      <c r="W5216" s="129" t="s">
        <v>286</v>
      </c>
      <c r="X5216" s="337" t="b">
        <f t="shared" si="119"/>
        <v>1</v>
      </c>
    </row>
    <row r="5217" spans="1:24" s="337" customFormat="1" ht="12" customHeight="1" outlineLevel="1">
      <c r="A5217" s="335"/>
      <c r="B5217" s="118" t="s">
        <v>12</v>
      </c>
      <c r="C5217" s="334" t="s">
        <v>13766</v>
      </c>
      <c r="D5217" s="124" t="s">
        <v>10693</v>
      </c>
      <c r="E5217" s="125"/>
      <c r="F5217" s="118" t="s">
        <v>1018</v>
      </c>
      <c r="G5217" s="126" t="s">
        <v>13525</v>
      </c>
      <c r="H5217" s="255">
        <v>5</v>
      </c>
      <c r="I5217" s="361">
        <v>1</v>
      </c>
      <c r="J5217" s="362" t="s">
        <v>286</v>
      </c>
      <c r="K5217" s="363"/>
      <c r="L5217" s="129"/>
      <c r="M5217" s="129"/>
      <c r="N5217" s="129"/>
      <c r="O5217" s="129"/>
      <c r="P5217" s="364"/>
      <c r="Q5217" s="364"/>
      <c r="R5217" s="129"/>
      <c r="S5217" s="129"/>
      <c r="T5217" s="129"/>
      <c r="W5217" s="129" t="s">
        <v>286</v>
      </c>
      <c r="X5217" s="337" t="b">
        <f t="shared" si="119"/>
        <v>1</v>
      </c>
    </row>
    <row r="5218" spans="1:24" s="337" customFormat="1" ht="12" customHeight="1" outlineLevel="1">
      <c r="A5218" s="335"/>
      <c r="B5218" s="118" t="s">
        <v>12</v>
      </c>
      <c r="C5218" s="334" t="s">
        <v>13767</v>
      </c>
      <c r="D5218" s="124" t="s">
        <v>10695</v>
      </c>
      <c r="E5218" s="125"/>
      <c r="F5218" s="118" t="s">
        <v>1018</v>
      </c>
      <c r="G5218" s="126" t="s">
        <v>13525</v>
      </c>
      <c r="H5218" s="255">
        <v>5</v>
      </c>
      <c r="I5218" s="361">
        <v>1</v>
      </c>
      <c r="J5218" s="362" t="s">
        <v>286</v>
      </c>
      <c r="K5218" s="363"/>
      <c r="L5218" s="129"/>
      <c r="M5218" s="129"/>
      <c r="N5218" s="129"/>
      <c r="O5218" s="129"/>
      <c r="P5218" s="364"/>
      <c r="Q5218" s="364"/>
      <c r="R5218" s="129"/>
      <c r="S5218" s="129"/>
      <c r="T5218" s="129"/>
      <c r="W5218" s="129" t="s">
        <v>286</v>
      </c>
      <c r="X5218" s="337" t="b">
        <f t="shared" si="119"/>
        <v>1</v>
      </c>
    </row>
    <row r="5219" spans="1:24" s="337" customFormat="1" ht="12" customHeight="1" outlineLevel="1">
      <c r="A5219" s="335"/>
      <c r="B5219" s="118" t="s">
        <v>12</v>
      </c>
      <c r="C5219" s="334" t="s">
        <v>13768</v>
      </c>
      <c r="D5219" s="124" t="s">
        <v>10697</v>
      </c>
      <c r="E5219" s="125"/>
      <c r="F5219" s="118" t="s">
        <v>1018</v>
      </c>
      <c r="G5219" s="126" t="s">
        <v>13525</v>
      </c>
      <c r="H5219" s="255">
        <v>5</v>
      </c>
      <c r="I5219" s="361">
        <v>1</v>
      </c>
      <c r="J5219" s="362" t="s">
        <v>286</v>
      </c>
      <c r="K5219" s="363"/>
      <c r="L5219" s="129"/>
      <c r="M5219" s="129"/>
      <c r="N5219" s="129"/>
      <c r="O5219" s="129"/>
      <c r="P5219" s="364"/>
      <c r="Q5219" s="364"/>
      <c r="R5219" s="129"/>
      <c r="S5219" s="129"/>
      <c r="T5219" s="129"/>
      <c r="W5219" s="129" t="s">
        <v>286</v>
      </c>
      <c r="X5219" s="337" t="b">
        <f t="shared" si="119"/>
        <v>1</v>
      </c>
    </row>
    <row r="5220" spans="1:24" s="337" customFormat="1" ht="12" customHeight="1" outlineLevel="1">
      <c r="A5220" s="335"/>
      <c r="B5220" s="118" t="s">
        <v>12</v>
      </c>
      <c r="C5220" s="334" t="s">
        <v>13769</v>
      </c>
      <c r="D5220" s="124" t="s">
        <v>10699</v>
      </c>
      <c r="E5220" s="125"/>
      <c r="F5220" s="118" t="s">
        <v>1018</v>
      </c>
      <c r="G5220" s="126" t="s">
        <v>13525</v>
      </c>
      <c r="H5220" s="255">
        <v>5</v>
      </c>
      <c r="I5220" s="361">
        <v>1</v>
      </c>
      <c r="J5220" s="362" t="s">
        <v>286</v>
      </c>
      <c r="K5220" s="363"/>
      <c r="L5220" s="129"/>
      <c r="M5220" s="129"/>
      <c r="N5220" s="129"/>
      <c r="O5220" s="129"/>
      <c r="P5220" s="364"/>
      <c r="Q5220" s="364"/>
      <c r="R5220" s="129"/>
      <c r="S5220" s="129"/>
      <c r="T5220" s="129"/>
      <c r="W5220" s="129" t="s">
        <v>286</v>
      </c>
      <c r="X5220" s="337" t="b">
        <f t="shared" si="119"/>
        <v>1</v>
      </c>
    </row>
    <row r="5221" spans="1:24" s="337" customFormat="1" ht="12" customHeight="1" outlineLevel="1">
      <c r="A5221" s="335"/>
      <c r="B5221" s="118" t="s">
        <v>12</v>
      </c>
      <c r="C5221" s="334" t="s">
        <v>13770</v>
      </c>
      <c r="D5221" s="124" t="s">
        <v>10701</v>
      </c>
      <c r="E5221" s="125"/>
      <c r="F5221" s="118" t="s">
        <v>1018</v>
      </c>
      <c r="G5221" s="126" t="s">
        <v>13525</v>
      </c>
      <c r="H5221" s="255">
        <v>5</v>
      </c>
      <c r="I5221" s="361">
        <v>1</v>
      </c>
      <c r="J5221" s="362" t="s">
        <v>286</v>
      </c>
      <c r="K5221" s="363"/>
      <c r="L5221" s="129"/>
      <c r="M5221" s="129"/>
      <c r="N5221" s="129"/>
      <c r="O5221" s="129"/>
      <c r="P5221" s="364"/>
      <c r="Q5221" s="364"/>
      <c r="R5221" s="129"/>
      <c r="S5221" s="129"/>
      <c r="T5221" s="129"/>
      <c r="W5221" s="129" t="s">
        <v>286</v>
      </c>
      <c r="X5221" s="337" t="b">
        <f t="shared" si="119"/>
        <v>1</v>
      </c>
    </row>
    <row r="5222" spans="1:24" s="337" customFormat="1" ht="12" customHeight="1" outlineLevel="1">
      <c r="A5222" s="335"/>
      <c r="B5222" s="118" t="s">
        <v>12</v>
      </c>
      <c r="C5222" s="334" t="s">
        <v>13771</v>
      </c>
      <c r="D5222" s="124" t="s">
        <v>10703</v>
      </c>
      <c r="E5222" s="125"/>
      <c r="F5222" s="118" t="s">
        <v>1018</v>
      </c>
      <c r="G5222" s="126" t="s">
        <v>13525</v>
      </c>
      <c r="H5222" s="255">
        <v>5</v>
      </c>
      <c r="I5222" s="361">
        <v>1</v>
      </c>
      <c r="J5222" s="362" t="s">
        <v>286</v>
      </c>
      <c r="K5222" s="363"/>
      <c r="L5222" s="129"/>
      <c r="M5222" s="129"/>
      <c r="N5222" s="129"/>
      <c r="O5222" s="129"/>
      <c r="P5222" s="364"/>
      <c r="Q5222" s="364"/>
      <c r="R5222" s="129"/>
      <c r="S5222" s="129"/>
      <c r="T5222" s="129"/>
      <c r="W5222" s="129" t="s">
        <v>286</v>
      </c>
      <c r="X5222" s="337" t="b">
        <f t="shared" si="119"/>
        <v>1</v>
      </c>
    </row>
    <row r="5223" spans="1:24" s="337" customFormat="1" ht="12" customHeight="1" outlineLevel="1">
      <c r="A5223" s="335"/>
      <c r="B5223" s="118" t="s">
        <v>12</v>
      </c>
      <c r="C5223" s="334" t="s">
        <v>13772</v>
      </c>
      <c r="D5223" s="124" t="s">
        <v>10705</v>
      </c>
      <c r="E5223" s="125"/>
      <c r="F5223" s="118" t="s">
        <v>1018</v>
      </c>
      <c r="G5223" s="126" t="s">
        <v>13525</v>
      </c>
      <c r="H5223" s="255">
        <v>5</v>
      </c>
      <c r="I5223" s="361">
        <v>1</v>
      </c>
      <c r="J5223" s="362" t="s">
        <v>286</v>
      </c>
      <c r="K5223" s="363"/>
      <c r="L5223" s="129"/>
      <c r="M5223" s="129"/>
      <c r="N5223" s="129"/>
      <c r="O5223" s="129"/>
      <c r="P5223" s="364"/>
      <c r="Q5223" s="364"/>
      <c r="R5223" s="129"/>
      <c r="S5223" s="129"/>
      <c r="T5223" s="129"/>
      <c r="W5223" s="129" t="s">
        <v>286</v>
      </c>
      <c r="X5223" s="337" t="b">
        <f t="shared" si="119"/>
        <v>1</v>
      </c>
    </row>
    <row r="5224" spans="1:24" s="337" customFormat="1" ht="12" customHeight="1" outlineLevel="1">
      <c r="A5224" s="335"/>
      <c r="B5224" s="118" t="s">
        <v>12</v>
      </c>
      <c r="C5224" s="334" t="s">
        <v>13773</v>
      </c>
      <c r="D5224" s="124" t="s">
        <v>10707</v>
      </c>
      <c r="E5224" s="125"/>
      <c r="F5224" s="118" t="s">
        <v>1018</v>
      </c>
      <c r="G5224" s="126" t="s">
        <v>13525</v>
      </c>
      <c r="H5224" s="255">
        <v>5</v>
      </c>
      <c r="I5224" s="361">
        <v>1</v>
      </c>
      <c r="J5224" s="362" t="s">
        <v>286</v>
      </c>
      <c r="K5224" s="363"/>
      <c r="L5224" s="129"/>
      <c r="M5224" s="129"/>
      <c r="N5224" s="129"/>
      <c r="O5224" s="129"/>
      <c r="P5224" s="364"/>
      <c r="Q5224" s="364"/>
      <c r="R5224" s="129"/>
      <c r="S5224" s="129"/>
      <c r="T5224" s="129"/>
      <c r="W5224" s="129" t="s">
        <v>286</v>
      </c>
      <c r="X5224" s="337" t="b">
        <f t="shared" si="119"/>
        <v>1</v>
      </c>
    </row>
    <row r="5225" spans="1:24" s="337" customFormat="1" ht="12" customHeight="1" outlineLevel="1">
      <c r="A5225" s="335"/>
      <c r="B5225" s="118" t="s">
        <v>12</v>
      </c>
      <c r="C5225" s="334" t="s">
        <v>13774</v>
      </c>
      <c r="D5225" s="124" t="s">
        <v>10709</v>
      </c>
      <c r="E5225" s="125"/>
      <c r="F5225" s="118" t="s">
        <v>1018</v>
      </c>
      <c r="G5225" s="126" t="s">
        <v>13525</v>
      </c>
      <c r="H5225" s="255">
        <v>5</v>
      </c>
      <c r="I5225" s="361">
        <v>1</v>
      </c>
      <c r="J5225" s="362" t="s">
        <v>286</v>
      </c>
      <c r="K5225" s="363"/>
      <c r="L5225" s="129"/>
      <c r="M5225" s="129"/>
      <c r="N5225" s="129"/>
      <c r="O5225" s="129"/>
      <c r="P5225" s="364"/>
      <c r="Q5225" s="364"/>
      <c r="R5225" s="129"/>
      <c r="S5225" s="129"/>
      <c r="T5225" s="129"/>
      <c r="W5225" s="129" t="s">
        <v>286</v>
      </c>
      <c r="X5225" s="337" t="b">
        <f t="shared" si="119"/>
        <v>1</v>
      </c>
    </row>
    <row r="5226" spans="1:24" s="337" customFormat="1" ht="12" customHeight="1" outlineLevel="1">
      <c r="A5226" s="335"/>
      <c r="B5226" s="118" t="s">
        <v>12</v>
      </c>
      <c r="C5226" s="334" t="s">
        <v>13775</v>
      </c>
      <c r="D5226" s="124" t="s">
        <v>10711</v>
      </c>
      <c r="E5226" s="125"/>
      <c r="F5226" s="118" t="s">
        <v>1018</v>
      </c>
      <c r="G5226" s="126" t="s">
        <v>13525</v>
      </c>
      <c r="H5226" s="255">
        <v>5</v>
      </c>
      <c r="I5226" s="361">
        <v>1</v>
      </c>
      <c r="J5226" s="362" t="s">
        <v>286</v>
      </c>
      <c r="K5226" s="363"/>
      <c r="L5226" s="129"/>
      <c r="M5226" s="129"/>
      <c r="N5226" s="129"/>
      <c r="O5226" s="129"/>
      <c r="P5226" s="364"/>
      <c r="Q5226" s="364"/>
      <c r="R5226" s="129"/>
      <c r="S5226" s="129"/>
      <c r="T5226" s="129"/>
      <c r="W5226" s="129" t="s">
        <v>286</v>
      </c>
      <c r="X5226" s="337" t="b">
        <f t="shared" si="119"/>
        <v>1</v>
      </c>
    </row>
    <row r="5227" spans="1:24" s="337" customFormat="1" ht="12" customHeight="1" outlineLevel="1">
      <c r="A5227" s="335"/>
      <c r="B5227" s="118" t="s">
        <v>12</v>
      </c>
      <c r="C5227" s="334" t="s">
        <v>13776</v>
      </c>
      <c r="D5227" s="124" t="s">
        <v>10713</v>
      </c>
      <c r="E5227" s="125"/>
      <c r="F5227" s="118" t="s">
        <v>1018</v>
      </c>
      <c r="G5227" s="126" t="s">
        <v>13525</v>
      </c>
      <c r="H5227" s="255">
        <v>5</v>
      </c>
      <c r="I5227" s="361">
        <v>1</v>
      </c>
      <c r="J5227" s="362" t="s">
        <v>286</v>
      </c>
      <c r="K5227" s="363"/>
      <c r="L5227" s="129"/>
      <c r="M5227" s="129"/>
      <c r="N5227" s="129"/>
      <c r="O5227" s="129"/>
      <c r="P5227" s="364"/>
      <c r="Q5227" s="364"/>
      <c r="R5227" s="129"/>
      <c r="S5227" s="129"/>
      <c r="T5227" s="129"/>
      <c r="W5227" s="129" t="s">
        <v>286</v>
      </c>
      <c r="X5227" s="337" t="b">
        <f t="shared" si="119"/>
        <v>1</v>
      </c>
    </row>
    <row r="5228" spans="1:24" s="337" customFormat="1" ht="12" customHeight="1" outlineLevel="1">
      <c r="A5228" s="335"/>
      <c r="B5228" s="118" t="s">
        <v>12</v>
      </c>
      <c r="C5228" s="334" t="s">
        <v>13777</v>
      </c>
      <c r="D5228" s="124" t="s">
        <v>10715</v>
      </c>
      <c r="E5228" s="125"/>
      <c r="F5228" s="118" t="s">
        <v>1018</v>
      </c>
      <c r="G5228" s="126" t="s">
        <v>13525</v>
      </c>
      <c r="H5228" s="255">
        <v>5</v>
      </c>
      <c r="I5228" s="361">
        <v>1</v>
      </c>
      <c r="J5228" s="362" t="s">
        <v>286</v>
      </c>
      <c r="K5228" s="363"/>
      <c r="L5228" s="129"/>
      <c r="M5228" s="129"/>
      <c r="N5228" s="129"/>
      <c r="O5228" s="129"/>
      <c r="P5228" s="364"/>
      <c r="Q5228" s="364"/>
      <c r="R5228" s="129"/>
      <c r="S5228" s="129"/>
      <c r="T5228" s="129"/>
      <c r="W5228" s="129" t="s">
        <v>286</v>
      </c>
      <c r="X5228" s="337" t="b">
        <f t="shared" si="119"/>
        <v>1</v>
      </c>
    </row>
    <row r="5229" spans="1:24" s="337" customFormat="1" ht="12" customHeight="1" outlineLevel="1">
      <c r="A5229" s="335"/>
      <c r="B5229" s="118" t="s">
        <v>12</v>
      </c>
      <c r="C5229" s="334" t="s">
        <v>13778</v>
      </c>
      <c r="D5229" s="124" t="s">
        <v>10717</v>
      </c>
      <c r="E5229" s="125"/>
      <c r="F5229" s="118" t="s">
        <v>1018</v>
      </c>
      <c r="G5229" s="126" t="s">
        <v>13525</v>
      </c>
      <c r="H5229" s="255">
        <v>5</v>
      </c>
      <c r="I5229" s="361">
        <v>1</v>
      </c>
      <c r="J5229" s="362" t="s">
        <v>286</v>
      </c>
      <c r="K5229" s="363"/>
      <c r="L5229" s="129"/>
      <c r="M5229" s="129"/>
      <c r="N5229" s="129"/>
      <c r="O5229" s="129"/>
      <c r="P5229" s="364"/>
      <c r="Q5229" s="364"/>
      <c r="R5229" s="129"/>
      <c r="S5229" s="129"/>
      <c r="T5229" s="129"/>
      <c r="W5229" s="129" t="s">
        <v>286</v>
      </c>
      <c r="X5229" s="337" t="b">
        <f t="shared" si="119"/>
        <v>1</v>
      </c>
    </row>
    <row r="5230" spans="1:24" s="337" customFormat="1" ht="12" customHeight="1" outlineLevel="1">
      <c r="A5230" s="335"/>
      <c r="B5230" s="118" t="s">
        <v>12</v>
      </c>
      <c r="C5230" s="334" t="s">
        <v>13779</v>
      </c>
      <c r="D5230" s="124" t="s">
        <v>10719</v>
      </c>
      <c r="E5230" s="125"/>
      <c r="F5230" s="118" t="s">
        <v>1018</v>
      </c>
      <c r="G5230" s="126" t="s">
        <v>13525</v>
      </c>
      <c r="H5230" s="255">
        <v>5</v>
      </c>
      <c r="I5230" s="361">
        <v>1</v>
      </c>
      <c r="J5230" s="362" t="s">
        <v>286</v>
      </c>
      <c r="K5230" s="363"/>
      <c r="L5230" s="129"/>
      <c r="M5230" s="129"/>
      <c r="N5230" s="129"/>
      <c r="O5230" s="129"/>
      <c r="P5230" s="364"/>
      <c r="Q5230" s="364"/>
      <c r="R5230" s="129"/>
      <c r="S5230" s="129"/>
      <c r="T5230" s="129"/>
      <c r="W5230" s="129" t="s">
        <v>286</v>
      </c>
      <c r="X5230" s="337" t="b">
        <f t="shared" si="119"/>
        <v>1</v>
      </c>
    </row>
    <row r="5231" spans="1:24" s="337" customFormat="1" ht="12" customHeight="1" outlineLevel="1">
      <c r="A5231" s="335"/>
      <c r="B5231" s="118" t="s">
        <v>12</v>
      </c>
      <c r="C5231" s="334" t="s">
        <v>13780</v>
      </c>
      <c r="D5231" s="124" t="s">
        <v>10721</v>
      </c>
      <c r="E5231" s="125"/>
      <c r="F5231" s="118" t="s">
        <v>1018</v>
      </c>
      <c r="G5231" s="126" t="s">
        <v>13525</v>
      </c>
      <c r="H5231" s="255">
        <v>5</v>
      </c>
      <c r="I5231" s="361">
        <v>1</v>
      </c>
      <c r="J5231" s="362" t="s">
        <v>286</v>
      </c>
      <c r="K5231" s="363"/>
      <c r="L5231" s="129"/>
      <c r="M5231" s="129"/>
      <c r="N5231" s="129"/>
      <c r="O5231" s="129"/>
      <c r="P5231" s="364"/>
      <c r="Q5231" s="364"/>
      <c r="R5231" s="129"/>
      <c r="S5231" s="129"/>
      <c r="T5231" s="129"/>
      <c r="W5231" s="129" t="s">
        <v>286</v>
      </c>
      <c r="X5231" s="337" t="b">
        <f t="shared" si="119"/>
        <v>1</v>
      </c>
    </row>
    <row r="5232" spans="1:24" s="337" customFormat="1" ht="12" customHeight="1" outlineLevel="1">
      <c r="A5232" s="335"/>
      <c r="B5232" s="118" t="s">
        <v>12</v>
      </c>
      <c r="C5232" s="334" t="s">
        <v>13781</v>
      </c>
      <c r="D5232" s="124" t="s">
        <v>10723</v>
      </c>
      <c r="E5232" s="125"/>
      <c r="F5232" s="118" t="s">
        <v>1018</v>
      </c>
      <c r="G5232" s="126" t="s">
        <v>13525</v>
      </c>
      <c r="H5232" s="255">
        <v>5</v>
      </c>
      <c r="I5232" s="361">
        <v>1</v>
      </c>
      <c r="J5232" s="362" t="s">
        <v>286</v>
      </c>
      <c r="K5232" s="363"/>
      <c r="L5232" s="129"/>
      <c r="M5232" s="129"/>
      <c r="N5232" s="129"/>
      <c r="O5232" s="129"/>
      <c r="P5232" s="364"/>
      <c r="Q5232" s="364"/>
      <c r="R5232" s="129"/>
      <c r="S5232" s="129"/>
      <c r="T5232" s="129"/>
      <c r="W5232" s="129" t="s">
        <v>286</v>
      </c>
      <c r="X5232" s="337" t="b">
        <f t="shared" si="119"/>
        <v>1</v>
      </c>
    </row>
    <row r="5233" spans="1:24" s="337" customFormat="1" ht="12" customHeight="1" outlineLevel="1">
      <c r="A5233" s="335"/>
      <c r="B5233" s="118" t="s">
        <v>12</v>
      </c>
      <c r="C5233" s="334" t="s">
        <v>13782</v>
      </c>
      <c r="D5233" s="124" t="s">
        <v>7724</v>
      </c>
      <c r="E5233" s="125"/>
      <c r="F5233" s="118" t="s">
        <v>1018</v>
      </c>
      <c r="G5233" s="126" t="s">
        <v>13525</v>
      </c>
      <c r="H5233" s="255">
        <v>5</v>
      </c>
      <c r="I5233" s="361">
        <v>1</v>
      </c>
      <c r="J5233" s="362" t="s">
        <v>286</v>
      </c>
      <c r="K5233" s="363"/>
      <c r="L5233" s="129"/>
      <c r="M5233" s="129"/>
      <c r="N5233" s="129"/>
      <c r="O5233" s="129"/>
      <c r="P5233" s="364"/>
      <c r="Q5233" s="364"/>
      <c r="R5233" s="129"/>
      <c r="S5233" s="129"/>
      <c r="T5233" s="129"/>
      <c r="W5233" s="129" t="s">
        <v>286</v>
      </c>
      <c r="X5233" s="337" t="b">
        <f t="shared" si="119"/>
        <v>1</v>
      </c>
    </row>
    <row r="5234" spans="1:24" s="337" customFormat="1" ht="12" customHeight="1" outlineLevel="1">
      <c r="A5234" s="335"/>
      <c r="B5234" s="118" t="s">
        <v>12</v>
      </c>
      <c r="C5234" s="334" t="s">
        <v>13783</v>
      </c>
      <c r="D5234" s="124" t="s">
        <v>7726</v>
      </c>
      <c r="E5234" s="125"/>
      <c r="F5234" s="118" t="s">
        <v>1018</v>
      </c>
      <c r="G5234" s="126" t="s">
        <v>13525</v>
      </c>
      <c r="H5234" s="255">
        <v>5</v>
      </c>
      <c r="I5234" s="361">
        <v>1</v>
      </c>
      <c r="J5234" s="362" t="s">
        <v>286</v>
      </c>
      <c r="K5234" s="363"/>
      <c r="L5234" s="129"/>
      <c r="M5234" s="129"/>
      <c r="N5234" s="129"/>
      <c r="O5234" s="129"/>
      <c r="P5234" s="364"/>
      <c r="Q5234" s="364"/>
      <c r="R5234" s="129"/>
      <c r="S5234" s="129"/>
      <c r="T5234" s="129"/>
      <c r="W5234" s="129" t="s">
        <v>286</v>
      </c>
      <c r="X5234" s="337" t="b">
        <f t="shared" si="119"/>
        <v>1</v>
      </c>
    </row>
    <row r="5235" spans="1:24" s="337" customFormat="1" ht="12" customHeight="1" outlineLevel="1">
      <c r="A5235" s="335"/>
      <c r="B5235" s="118" t="s">
        <v>12</v>
      </c>
      <c r="C5235" s="334" t="s">
        <v>13784</v>
      </c>
      <c r="D5235" s="124" t="s">
        <v>10727</v>
      </c>
      <c r="E5235" s="125"/>
      <c r="F5235" s="118" t="s">
        <v>1018</v>
      </c>
      <c r="G5235" s="126" t="s">
        <v>13525</v>
      </c>
      <c r="H5235" s="255">
        <v>5</v>
      </c>
      <c r="I5235" s="361">
        <v>1</v>
      </c>
      <c r="J5235" s="362" t="s">
        <v>286</v>
      </c>
      <c r="K5235" s="363"/>
      <c r="L5235" s="129"/>
      <c r="M5235" s="129"/>
      <c r="N5235" s="129"/>
      <c r="O5235" s="129"/>
      <c r="P5235" s="364"/>
      <c r="Q5235" s="364"/>
      <c r="R5235" s="129"/>
      <c r="S5235" s="129"/>
      <c r="T5235" s="129"/>
      <c r="W5235" s="129" t="s">
        <v>286</v>
      </c>
      <c r="X5235" s="337" t="b">
        <f t="shared" si="119"/>
        <v>1</v>
      </c>
    </row>
    <row r="5236" spans="1:24" s="337" customFormat="1" ht="12" customHeight="1" outlineLevel="1">
      <c r="A5236" s="335"/>
      <c r="B5236" s="118" t="s">
        <v>12</v>
      </c>
      <c r="C5236" s="334" t="s">
        <v>13785</v>
      </c>
      <c r="D5236" s="124" t="s">
        <v>10729</v>
      </c>
      <c r="E5236" s="125"/>
      <c r="F5236" s="118" t="s">
        <v>1018</v>
      </c>
      <c r="G5236" s="126" t="s">
        <v>13525</v>
      </c>
      <c r="H5236" s="255">
        <v>5</v>
      </c>
      <c r="I5236" s="361">
        <v>1</v>
      </c>
      <c r="J5236" s="362" t="s">
        <v>286</v>
      </c>
      <c r="K5236" s="363"/>
      <c r="L5236" s="129"/>
      <c r="M5236" s="129"/>
      <c r="N5236" s="129"/>
      <c r="O5236" s="129"/>
      <c r="P5236" s="364"/>
      <c r="Q5236" s="364"/>
      <c r="R5236" s="129"/>
      <c r="S5236" s="129"/>
      <c r="T5236" s="129"/>
      <c r="W5236" s="129" t="s">
        <v>286</v>
      </c>
      <c r="X5236" s="337" t="b">
        <f t="shared" si="119"/>
        <v>1</v>
      </c>
    </row>
    <row r="5237" spans="1:24" s="337" customFormat="1" ht="12" customHeight="1" outlineLevel="1">
      <c r="A5237" s="335"/>
      <c r="B5237" s="118" t="s">
        <v>12</v>
      </c>
      <c r="C5237" s="334" t="s">
        <v>13786</v>
      </c>
      <c r="D5237" s="124" t="s">
        <v>10731</v>
      </c>
      <c r="E5237" s="125"/>
      <c r="F5237" s="118" t="s">
        <v>1018</v>
      </c>
      <c r="G5237" s="126" t="s">
        <v>13525</v>
      </c>
      <c r="H5237" s="255">
        <v>5</v>
      </c>
      <c r="I5237" s="361">
        <v>1</v>
      </c>
      <c r="J5237" s="362" t="s">
        <v>286</v>
      </c>
      <c r="K5237" s="363"/>
      <c r="L5237" s="129"/>
      <c r="M5237" s="129"/>
      <c r="N5237" s="129"/>
      <c r="O5237" s="129"/>
      <c r="P5237" s="364"/>
      <c r="Q5237" s="364"/>
      <c r="R5237" s="129"/>
      <c r="S5237" s="129"/>
      <c r="T5237" s="129"/>
      <c r="W5237" s="129" t="s">
        <v>286</v>
      </c>
      <c r="X5237" s="337" t="b">
        <f t="shared" si="119"/>
        <v>1</v>
      </c>
    </row>
    <row r="5238" spans="1:24" s="337" customFormat="1" ht="12" customHeight="1" outlineLevel="1">
      <c r="A5238" s="335"/>
      <c r="B5238" s="118" t="s">
        <v>12</v>
      </c>
      <c r="C5238" s="334" t="s">
        <v>13787</v>
      </c>
      <c r="D5238" s="124" t="s">
        <v>7736</v>
      </c>
      <c r="E5238" s="125"/>
      <c r="F5238" s="118" t="s">
        <v>1018</v>
      </c>
      <c r="G5238" s="126" t="s">
        <v>13525</v>
      </c>
      <c r="H5238" s="255">
        <v>5</v>
      </c>
      <c r="I5238" s="361">
        <v>1</v>
      </c>
      <c r="J5238" s="362" t="s">
        <v>286</v>
      </c>
      <c r="K5238" s="363"/>
      <c r="L5238" s="129"/>
      <c r="M5238" s="129"/>
      <c r="N5238" s="129"/>
      <c r="O5238" s="129"/>
      <c r="P5238" s="364"/>
      <c r="Q5238" s="364"/>
      <c r="R5238" s="129"/>
      <c r="S5238" s="129"/>
      <c r="T5238" s="129"/>
      <c r="W5238" s="129" t="s">
        <v>286</v>
      </c>
      <c r="X5238" s="337" t="b">
        <f t="shared" si="119"/>
        <v>1</v>
      </c>
    </row>
    <row r="5239" spans="1:24" s="337" customFormat="1" ht="12" customHeight="1" outlineLevel="1">
      <c r="A5239" s="335"/>
      <c r="B5239" s="118" t="s">
        <v>12</v>
      </c>
      <c r="C5239" s="334" t="s">
        <v>13788</v>
      </c>
      <c r="D5239" s="124" t="s">
        <v>7738</v>
      </c>
      <c r="E5239" s="125"/>
      <c r="F5239" s="118" t="s">
        <v>1018</v>
      </c>
      <c r="G5239" s="126" t="s">
        <v>13525</v>
      </c>
      <c r="H5239" s="255">
        <v>5</v>
      </c>
      <c r="I5239" s="361">
        <v>1</v>
      </c>
      <c r="J5239" s="362" t="s">
        <v>286</v>
      </c>
      <c r="K5239" s="363"/>
      <c r="L5239" s="129"/>
      <c r="M5239" s="129"/>
      <c r="N5239" s="129"/>
      <c r="O5239" s="129"/>
      <c r="P5239" s="364"/>
      <c r="Q5239" s="364"/>
      <c r="R5239" s="129"/>
      <c r="S5239" s="129"/>
      <c r="T5239" s="129"/>
      <c r="W5239" s="129" t="s">
        <v>286</v>
      </c>
      <c r="X5239" s="337" t="b">
        <f t="shared" si="119"/>
        <v>1</v>
      </c>
    </row>
    <row r="5240" spans="1:24" s="337" customFormat="1" ht="12" customHeight="1" outlineLevel="1">
      <c r="A5240" s="335"/>
      <c r="B5240" s="118" t="s">
        <v>12</v>
      </c>
      <c r="C5240" s="334" t="s">
        <v>13789</v>
      </c>
      <c r="D5240" s="124" t="s">
        <v>10735</v>
      </c>
      <c r="E5240" s="125"/>
      <c r="F5240" s="118" t="s">
        <v>1018</v>
      </c>
      <c r="G5240" s="126" t="s">
        <v>13525</v>
      </c>
      <c r="H5240" s="255">
        <v>5</v>
      </c>
      <c r="I5240" s="361">
        <v>1</v>
      </c>
      <c r="J5240" s="362" t="s">
        <v>286</v>
      </c>
      <c r="K5240" s="363"/>
      <c r="L5240" s="129"/>
      <c r="M5240" s="129"/>
      <c r="N5240" s="129"/>
      <c r="O5240" s="129"/>
      <c r="P5240" s="364"/>
      <c r="Q5240" s="364"/>
      <c r="R5240" s="129"/>
      <c r="S5240" s="129"/>
      <c r="T5240" s="129"/>
      <c r="W5240" s="129" t="s">
        <v>286</v>
      </c>
      <c r="X5240" s="337" t="b">
        <f t="shared" si="119"/>
        <v>1</v>
      </c>
    </row>
    <row r="5241" spans="1:24" s="337" customFormat="1" ht="12" customHeight="1" outlineLevel="1">
      <c r="A5241" s="335"/>
      <c r="B5241" s="118" t="s">
        <v>12</v>
      </c>
      <c r="C5241" s="334" t="s">
        <v>13790</v>
      </c>
      <c r="D5241" s="124" t="s">
        <v>10737</v>
      </c>
      <c r="E5241" s="125"/>
      <c r="F5241" s="118" t="s">
        <v>1018</v>
      </c>
      <c r="G5241" s="126" t="s">
        <v>13525</v>
      </c>
      <c r="H5241" s="255">
        <v>5</v>
      </c>
      <c r="I5241" s="361">
        <v>1</v>
      </c>
      <c r="J5241" s="362" t="s">
        <v>286</v>
      </c>
      <c r="K5241" s="363"/>
      <c r="L5241" s="129"/>
      <c r="M5241" s="129"/>
      <c r="N5241" s="129"/>
      <c r="O5241" s="129"/>
      <c r="P5241" s="364"/>
      <c r="Q5241" s="364"/>
      <c r="R5241" s="129"/>
      <c r="S5241" s="129"/>
      <c r="T5241" s="129"/>
      <c r="W5241" s="129" t="s">
        <v>286</v>
      </c>
      <c r="X5241" s="337" t="b">
        <f t="shared" si="119"/>
        <v>1</v>
      </c>
    </row>
    <row r="5242" spans="1:24" s="337" customFormat="1" ht="12" customHeight="1" outlineLevel="1">
      <c r="A5242" s="335"/>
      <c r="B5242" s="118" t="s">
        <v>12</v>
      </c>
      <c r="C5242" s="334" t="s">
        <v>13791</v>
      </c>
      <c r="D5242" s="124" t="s">
        <v>10739</v>
      </c>
      <c r="E5242" s="125"/>
      <c r="F5242" s="118" t="s">
        <v>1018</v>
      </c>
      <c r="G5242" s="126" t="s">
        <v>13525</v>
      </c>
      <c r="H5242" s="255">
        <v>5</v>
      </c>
      <c r="I5242" s="361">
        <v>1</v>
      </c>
      <c r="J5242" s="362" t="s">
        <v>286</v>
      </c>
      <c r="K5242" s="363"/>
      <c r="L5242" s="129"/>
      <c r="M5242" s="129"/>
      <c r="N5242" s="129"/>
      <c r="O5242" s="129"/>
      <c r="P5242" s="364"/>
      <c r="Q5242" s="364"/>
      <c r="R5242" s="129"/>
      <c r="S5242" s="129"/>
      <c r="T5242" s="129"/>
      <c r="W5242" s="129" t="s">
        <v>286</v>
      </c>
      <c r="X5242" s="337" t="b">
        <f t="shared" si="119"/>
        <v>1</v>
      </c>
    </row>
    <row r="5243" spans="1:24" s="337" customFormat="1" ht="12" customHeight="1" outlineLevel="1">
      <c r="A5243" s="335"/>
      <c r="B5243" s="118" t="s">
        <v>12</v>
      </c>
      <c r="C5243" s="334" t="s">
        <v>13792</v>
      </c>
      <c r="D5243" s="124" t="s">
        <v>10741</v>
      </c>
      <c r="E5243" s="125"/>
      <c r="F5243" s="118" t="s">
        <v>1018</v>
      </c>
      <c r="G5243" s="126" t="s">
        <v>13525</v>
      </c>
      <c r="H5243" s="255">
        <v>5</v>
      </c>
      <c r="I5243" s="361">
        <v>1</v>
      </c>
      <c r="J5243" s="362" t="s">
        <v>286</v>
      </c>
      <c r="K5243" s="363"/>
      <c r="L5243" s="129"/>
      <c r="M5243" s="129"/>
      <c r="N5243" s="129"/>
      <c r="O5243" s="129"/>
      <c r="P5243" s="364"/>
      <c r="Q5243" s="364"/>
      <c r="R5243" s="129"/>
      <c r="S5243" s="129"/>
      <c r="T5243" s="129"/>
      <c r="W5243" s="129" t="s">
        <v>286</v>
      </c>
      <c r="X5243" s="337" t="b">
        <f t="shared" si="119"/>
        <v>1</v>
      </c>
    </row>
    <row r="5244" spans="1:24" s="337" customFormat="1" ht="12" customHeight="1" outlineLevel="1">
      <c r="A5244" s="335"/>
      <c r="B5244" s="118" t="s">
        <v>12</v>
      </c>
      <c r="C5244" s="334" t="s">
        <v>13793</v>
      </c>
      <c r="D5244" s="124" t="s">
        <v>10743</v>
      </c>
      <c r="E5244" s="125"/>
      <c r="F5244" s="118" t="s">
        <v>1018</v>
      </c>
      <c r="G5244" s="126" t="s">
        <v>13525</v>
      </c>
      <c r="H5244" s="255">
        <v>5</v>
      </c>
      <c r="I5244" s="361">
        <v>1</v>
      </c>
      <c r="J5244" s="362" t="s">
        <v>286</v>
      </c>
      <c r="K5244" s="363"/>
      <c r="L5244" s="129"/>
      <c r="M5244" s="129"/>
      <c r="N5244" s="129"/>
      <c r="O5244" s="129"/>
      <c r="P5244" s="364"/>
      <c r="Q5244" s="364"/>
      <c r="R5244" s="129"/>
      <c r="S5244" s="129"/>
      <c r="T5244" s="129"/>
      <c r="W5244" s="129" t="s">
        <v>286</v>
      </c>
      <c r="X5244" s="337" t="b">
        <f t="shared" si="119"/>
        <v>1</v>
      </c>
    </row>
    <row r="5245" spans="1:24" s="337" customFormat="1" ht="12" customHeight="1" outlineLevel="1">
      <c r="A5245" s="335"/>
      <c r="B5245" s="118" t="s">
        <v>12</v>
      </c>
      <c r="C5245" s="334" t="s">
        <v>13794</v>
      </c>
      <c r="D5245" s="124" t="s">
        <v>10745</v>
      </c>
      <c r="E5245" s="125"/>
      <c r="F5245" s="118" t="s">
        <v>1018</v>
      </c>
      <c r="G5245" s="126" t="s">
        <v>13525</v>
      </c>
      <c r="H5245" s="255">
        <v>5</v>
      </c>
      <c r="I5245" s="361">
        <v>1</v>
      </c>
      <c r="J5245" s="362" t="s">
        <v>286</v>
      </c>
      <c r="K5245" s="363"/>
      <c r="L5245" s="129"/>
      <c r="M5245" s="129"/>
      <c r="N5245" s="129"/>
      <c r="O5245" s="129"/>
      <c r="P5245" s="364"/>
      <c r="Q5245" s="364"/>
      <c r="R5245" s="129"/>
      <c r="S5245" s="129"/>
      <c r="T5245" s="129"/>
      <c r="W5245" s="129" t="s">
        <v>286</v>
      </c>
      <c r="X5245" s="337" t="b">
        <f t="shared" si="119"/>
        <v>1</v>
      </c>
    </row>
    <row r="5246" spans="1:24" s="337" customFormat="1" ht="12" customHeight="1" outlineLevel="1">
      <c r="A5246" s="335"/>
      <c r="B5246" s="118" t="s">
        <v>12</v>
      </c>
      <c r="C5246" s="334" t="s">
        <v>13795</v>
      </c>
      <c r="D5246" s="124" t="s">
        <v>7754</v>
      </c>
      <c r="E5246" s="125"/>
      <c r="F5246" s="118" t="s">
        <v>1018</v>
      </c>
      <c r="G5246" s="126" t="s">
        <v>13525</v>
      </c>
      <c r="H5246" s="255">
        <v>5</v>
      </c>
      <c r="I5246" s="361">
        <v>1</v>
      </c>
      <c r="J5246" s="362" t="s">
        <v>286</v>
      </c>
      <c r="K5246" s="363"/>
      <c r="L5246" s="129"/>
      <c r="M5246" s="129"/>
      <c r="N5246" s="129"/>
      <c r="O5246" s="129"/>
      <c r="P5246" s="364"/>
      <c r="Q5246" s="364"/>
      <c r="R5246" s="129"/>
      <c r="S5246" s="129"/>
      <c r="T5246" s="129"/>
      <c r="W5246" s="129" t="s">
        <v>286</v>
      </c>
      <c r="X5246" s="337" t="b">
        <f t="shared" si="119"/>
        <v>1</v>
      </c>
    </row>
    <row r="5247" spans="1:24" s="337" customFormat="1" ht="12" customHeight="1" outlineLevel="1">
      <c r="A5247" s="335"/>
      <c r="B5247" s="118" t="s">
        <v>12</v>
      </c>
      <c r="C5247" s="334" t="s">
        <v>13796</v>
      </c>
      <c r="D5247" s="124" t="s">
        <v>10748</v>
      </c>
      <c r="E5247" s="125"/>
      <c r="F5247" s="118" t="s">
        <v>1018</v>
      </c>
      <c r="G5247" s="126" t="s">
        <v>13525</v>
      </c>
      <c r="H5247" s="255">
        <v>5</v>
      </c>
      <c r="I5247" s="361">
        <v>1</v>
      </c>
      <c r="J5247" s="362" t="s">
        <v>286</v>
      </c>
      <c r="K5247" s="363"/>
      <c r="L5247" s="129"/>
      <c r="M5247" s="129"/>
      <c r="N5247" s="129"/>
      <c r="O5247" s="129"/>
      <c r="P5247" s="364"/>
      <c r="Q5247" s="364"/>
      <c r="R5247" s="129"/>
      <c r="S5247" s="129"/>
      <c r="T5247" s="129"/>
      <c r="W5247" s="129" t="s">
        <v>286</v>
      </c>
      <c r="X5247" s="337" t="b">
        <f t="shared" si="119"/>
        <v>1</v>
      </c>
    </row>
    <row r="5248" spans="1:24" s="337" customFormat="1" ht="12" customHeight="1" outlineLevel="1">
      <c r="A5248" s="335"/>
      <c r="B5248" s="118" t="s">
        <v>12</v>
      </c>
      <c r="C5248" s="334" t="s">
        <v>13797</v>
      </c>
      <c r="D5248" s="124" t="s">
        <v>7760</v>
      </c>
      <c r="E5248" s="125"/>
      <c r="F5248" s="118" t="s">
        <v>1018</v>
      </c>
      <c r="G5248" s="126" t="s">
        <v>13525</v>
      </c>
      <c r="H5248" s="255">
        <v>5</v>
      </c>
      <c r="I5248" s="361">
        <v>1</v>
      </c>
      <c r="J5248" s="362" t="s">
        <v>286</v>
      </c>
      <c r="K5248" s="363"/>
      <c r="L5248" s="129"/>
      <c r="M5248" s="129"/>
      <c r="N5248" s="129"/>
      <c r="O5248" s="129"/>
      <c r="P5248" s="364"/>
      <c r="Q5248" s="364"/>
      <c r="R5248" s="129"/>
      <c r="S5248" s="129"/>
      <c r="T5248" s="129"/>
      <c r="W5248" s="129" t="s">
        <v>286</v>
      </c>
      <c r="X5248" s="337" t="b">
        <f t="shared" si="119"/>
        <v>1</v>
      </c>
    </row>
    <row r="5249" spans="1:24" s="337" customFormat="1" ht="12" customHeight="1" outlineLevel="1">
      <c r="A5249" s="335"/>
      <c r="B5249" s="118" t="s">
        <v>12</v>
      </c>
      <c r="C5249" s="334" t="s">
        <v>13798</v>
      </c>
      <c r="D5249" s="124" t="s">
        <v>7762</v>
      </c>
      <c r="E5249" s="125"/>
      <c r="F5249" s="118" t="s">
        <v>1018</v>
      </c>
      <c r="G5249" s="126" t="s">
        <v>13525</v>
      </c>
      <c r="H5249" s="255">
        <v>5</v>
      </c>
      <c r="I5249" s="361">
        <v>1</v>
      </c>
      <c r="J5249" s="362" t="s">
        <v>286</v>
      </c>
      <c r="K5249" s="363"/>
      <c r="L5249" s="129"/>
      <c r="M5249" s="129"/>
      <c r="N5249" s="129"/>
      <c r="O5249" s="129"/>
      <c r="P5249" s="364"/>
      <c r="Q5249" s="364"/>
      <c r="R5249" s="129"/>
      <c r="S5249" s="129"/>
      <c r="T5249" s="129"/>
      <c r="W5249" s="129" t="s">
        <v>286</v>
      </c>
      <c r="X5249" s="337" t="b">
        <f t="shared" si="119"/>
        <v>1</v>
      </c>
    </row>
    <row r="5250" spans="1:24" s="337" customFormat="1" ht="12" customHeight="1" outlineLevel="1">
      <c r="A5250" s="335"/>
      <c r="B5250" s="118" t="s">
        <v>12</v>
      </c>
      <c r="C5250" s="334" t="s">
        <v>13799</v>
      </c>
      <c r="D5250" s="124" t="s">
        <v>10752</v>
      </c>
      <c r="E5250" s="125"/>
      <c r="F5250" s="118" t="s">
        <v>1018</v>
      </c>
      <c r="G5250" s="126" t="s">
        <v>13525</v>
      </c>
      <c r="H5250" s="255">
        <v>5</v>
      </c>
      <c r="I5250" s="361">
        <v>1</v>
      </c>
      <c r="J5250" s="362" t="s">
        <v>286</v>
      </c>
      <c r="K5250" s="363"/>
      <c r="L5250" s="129"/>
      <c r="M5250" s="129"/>
      <c r="N5250" s="129"/>
      <c r="O5250" s="129"/>
      <c r="P5250" s="364"/>
      <c r="Q5250" s="364"/>
      <c r="R5250" s="129"/>
      <c r="S5250" s="129"/>
      <c r="T5250" s="129"/>
      <c r="W5250" s="129" t="s">
        <v>286</v>
      </c>
      <c r="X5250" s="337" t="b">
        <f t="shared" si="119"/>
        <v>1</v>
      </c>
    </row>
    <row r="5251" spans="1:24" s="337" customFormat="1" ht="12" customHeight="1" outlineLevel="1">
      <c r="A5251" s="335"/>
      <c r="B5251" s="118" t="s">
        <v>12</v>
      </c>
      <c r="C5251" s="334" t="s">
        <v>13800</v>
      </c>
      <c r="D5251" s="124" t="s">
        <v>7766</v>
      </c>
      <c r="E5251" s="125"/>
      <c r="F5251" s="118" t="s">
        <v>1018</v>
      </c>
      <c r="G5251" s="126" t="s">
        <v>13525</v>
      </c>
      <c r="H5251" s="255">
        <v>5</v>
      </c>
      <c r="I5251" s="361">
        <v>1</v>
      </c>
      <c r="J5251" s="362" t="s">
        <v>286</v>
      </c>
      <c r="K5251" s="363"/>
      <c r="L5251" s="129"/>
      <c r="M5251" s="129"/>
      <c r="N5251" s="129"/>
      <c r="O5251" s="129"/>
      <c r="P5251" s="364"/>
      <c r="Q5251" s="364"/>
      <c r="R5251" s="129"/>
      <c r="S5251" s="129"/>
      <c r="T5251" s="129"/>
      <c r="W5251" s="129" t="s">
        <v>286</v>
      </c>
      <c r="X5251" s="337" t="b">
        <f t="shared" si="119"/>
        <v>1</v>
      </c>
    </row>
    <row r="5252" spans="1:24" s="337" customFormat="1" ht="12" customHeight="1" outlineLevel="1">
      <c r="A5252" s="335"/>
      <c r="B5252" s="118" t="s">
        <v>12</v>
      </c>
      <c r="C5252" s="334" t="s">
        <v>13801</v>
      </c>
      <c r="D5252" s="124" t="s">
        <v>7768</v>
      </c>
      <c r="E5252" s="125"/>
      <c r="F5252" s="118" t="s">
        <v>1018</v>
      </c>
      <c r="G5252" s="126" t="s">
        <v>13525</v>
      </c>
      <c r="H5252" s="255">
        <v>5</v>
      </c>
      <c r="I5252" s="361">
        <v>1</v>
      </c>
      <c r="J5252" s="362" t="s">
        <v>286</v>
      </c>
      <c r="K5252" s="363"/>
      <c r="L5252" s="129"/>
      <c r="M5252" s="129"/>
      <c r="N5252" s="129"/>
      <c r="O5252" s="129"/>
      <c r="P5252" s="364"/>
      <c r="Q5252" s="364"/>
      <c r="R5252" s="129"/>
      <c r="S5252" s="129"/>
      <c r="T5252" s="129"/>
      <c r="W5252" s="129" t="s">
        <v>286</v>
      </c>
      <c r="X5252" s="337" t="b">
        <f t="shared" si="119"/>
        <v>1</v>
      </c>
    </row>
    <row r="5253" spans="1:24" s="337" customFormat="1" ht="12" customHeight="1" outlineLevel="1">
      <c r="A5253" s="335"/>
      <c r="B5253" s="118" t="s">
        <v>12</v>
      </c>
      <c r="C5253" s="334" t="s">
        <v>13802</v>
      </c>
      <c r="D5253" s="124" t="s">
        <v>10756</v>
      </c>
      <c r="E5253" s="125"/>
      <c r="F5253" s="118" t="s">
        <v>1018</v>
      </c>
      <c r="G5253" s="126" t="s">
        <v>13525</v>
      </c>
      <c r="H5253" s="255">
        <v>5</v>
      </c>
      <c r="I5253" s="361">
        <v>1</v>
      </c>
      <c r="J5253" s="362" t="s">
        <v>286</v>
      </c>
      <c r="K5253" s="363"/>
      <c r="L5253" s="129"/>
      <c r="M5253" s="129"/>
      <c r="N5253" s="129"/>
      <c r="O5253" s="129"/>
      <c r="P5253" s="364"/>
      <c r="Q5253" s="364"/>
      <c r="R5253" s="129"/>
      <c r="S5253" s="129"/>
      <c r="T5253" s="129"/>
      <c r="W5253" s="129" t="s">
        <v>286</v>
      </c>
      <c r="X5253" s="337" t="b">
        <f t="shared" si="119"/>
        <v>1</v>
      </c>
    </row>
    <row r="5254" spans="1:24" s="337" customFormat="1" ht="12" customHeight="1" outlineLevel="1">
      <c r="A5254" s="335"/>
      <c r="B5254" s="118" t="s">
        <v>12</v>
      </c>
      <c r="C5254" s="334" t="s">
        <v>13803</v>
      </c>
      <c r="D5254" s="124" t="s">
        <v>10758</v>
      </c>
      <c r="E5254" s="125"/>
      <c r="F5254" s="118" t="s">
        <v>1018</v>
      </c>
      <c r="G5254" s="126" t="s">
        <v>13525</v>
      </c>
      <c r="H5254" s="255">
        <v>5</v>
      </c>
      <c r="I5254" s="361">
        <v>1</v>
      </c>
      <c r="J5254" s="362" t="s">
        <v>286</v>
      </c>
      <c r="K5254" s="363"/>
      <c r="L5254" s="129"/>
      <c r="M5254" s="129"/>
      <c r="N5254" s="129"/>
      <c r="O5254" s="129"/>
      <c r="P5254" s="364"/>
      <c r="Q5254" s="364"/>
      <c r="R5254" s="129"/>
      <c r="S5254" s="129"/>
      <c r="T5254" s="129"/>
      <c r="W5254" s="129" t="s">
        <v>286</v>
      </c>
      <c r="X5254" s="337" t="b">
        <f t="shared" si="119"/>
        <v>1</v>
      </c>
    </row>
    <row r="5255" spans="1:24" s="337" customFormat="1" ht="12" customHeight="1" outlineLevel="1">
      <c r="A5255" s="335"/>
      <c r="B5255" s="118" t="s">
        <v>12</v>
      </c>
      <c r="C5255" s="334" t="s">
        <v>13804</v>
      </c>
      <c r="D5255" s="124" t="s">
        <v>7778</v>
      </c>
      <c r="E5255" s="125"/>
      <c r="F5255" s="118" t="s">
        <v>1018</v>
      </c>
      <c r="G5255" s="126" t="s">
        <v>13525</v>
      </c>
      <c r="H5255" s="255">
        <v>5</v>
      </c>
      <c r="I5255" s="361">
        <v>1</v>
      </c>
      <c r="J5255" s="362" t="s">
        <v>286</v>
      </c>
      <c r="K5255" s="363"/>
      <c r="L5255" s="129"/>
      <c r="M5255" s="129"/>
      <c r="N5255" s="129"/>
      <c r="O5255" s="129"/>
      <c r="P5255" s="364"/>
      <c r="Q5255" s="364"/>
      <c r="R5255" s="129"/>
      <c r="S5255" s="129"/>
      <c r="T5255" s="129"/>
      <c r="W5255" s="129" t="s">
        <v>286</v>
      </c>
      <c r="X5255" s="337" t="b">
        <f t="shared" si="119"/>
        <v>1</v>
      </c>
    </row>
    <row r="5256" spans="1:24" s="337" customFormat="1" ht="12" customHeight="1" outlineLevel="1">
      <c r="A5256" s="335"/>
      <c r="B5256" s="118" t="s">
        <v>12</v>
      </c>
      <c r="C5256" s="334" t="s">
        <v>13805</v>
      </c>
      <c r="D5256" s="124" t="s">
        <v>10761</v>
      </c>
      <c r="E5256" s="125"/>
      <c r="F5256" s="118" t="s">
        <v>1018</v>
      </c>
      <c r="G5256" s="126" t="s">
        <v>13525</v>
      </c>
      <c r="H5256" s="255">
        <v>5</v>
      </c>
      <c r="I5256" s="361">
        <v>1</v>
      </c>
      <c r="J5256" s="362" t="s">
        <v>286</v>
      </c>
      <c r="K5256" s="363"/>
      <c r="L5256" s="129"/>
      <c r="M5256" s="129"/>
      <c r="N5256" s="129"/>
      <c r="O5256" s="129"/>
      <c r="P5256" s="364"/>
      <c r="Q5256" s="364"/>
      <c r="R5256" s="129"/>
      <c r="S5256" s="129"/>
      <c r="T5256" s="129"/>
      <c r="W5256" s="129" t="s">
        <v>286</v>
      </c>
      <c r="X5256" s="337" t="b">
        <f t="shared" si="119"/>
        <v>1</v>
      </c>
    </row>
    <row r="5257" spans="1:24" s="337" customFormat="1" ht="12" customHeight="1" outlineLevel="1">
      <c r="A5257" s="335"/>
      <c r="B5257" s="118" t="s">
        <v>12</v>
      </c>
      <c r="C5257" s="334" t="s">
        <v>13806</v>
      </c>
      <c r="D5257" s="124" t="s">
        <v>7782</v>
      </c>
      <c r="E5257" s="125"/>
      <c r="F5257" s="118" t="s">
        <v>1018</v>
      </c>
      <c r="G5257" s="126" t="s">
        <v>13525</v>
      </c>
      <c r="H5257" s="255">
        <v>5</v>
      </c>
      <c r="I5257" s="361">
        <v>1</v>
      </c>
      <c r="J5257" s="362" t="s">
        <v>286</v>
      </c>
      <c r="K5257" s="363"/>
      <c r="L5257" s="129"/>
      <c r="M5257" s="129"/>
      <c r="N5257" s="129"/>
      <c r="O5257" s="129"/>
      <c r="P5257" s="364"/>
      <c r="Q5257" s="364"/>
      <c r="R5257" s="129"/>
      <c r="S5257" s="129"/>
      <c r="T5257" s="129"/>
      <c r="W5257" s="129" t="s">
        <v>286</v>
      </c>
      <c r="X5257" s="337" t="b">
        <f t="shared" si="119"/>
        <v>1</v>
      </c>
    </row>
    <row r="5258" spans="1:24" s="337" customFormat="1" ht="12" customHeight="1" outlineLevel="1">
      <c r="A5258" s="335"/>
      <c r="B5258" s="118" t="s">
        <v>12</v>
      </c>
      <c r="C5258" s="334" t="s">
        <v>13807</v>
      </c>
      <c r="D5258" s="124" t="s">
        <v>10764</v>
      </c>
      <c r="E5258" s="125"/>
      <c r="F5258" s="118" t="s">
        <v>1018</v>
      </c>
      <c r="G5258" s="126" t="s">
        <v>13525</v>
      </c>
      <c r="H5258" s="255">
        <v>5</v>
      </c>
      <c r="I5258" s="361">
        <v>1</v>
      </c>
      <c r="J5258" s="362" t="s">
        <v>286</v>
      </c>
      <c r="K5258" s="363"/>
      <c r="L5258" s="129"/>
      <c r="M5258" s="129"/>
      <c r="N5258" s="129"/>
      <c r="O5258" s="129"/>
      <c r="P5258" s="364"/>
      <c r="Q5258" s="364"/>
      <c r="R5258" s="129"/>
      <c r="S5258" s="129"/>
      <c r="T5258" s="129"/>
      <c r="W5258" s="129" t="s">
        <v>286</v>
      </c>
      <c r="X5258" s="337" t="b">
        <f t="shared" si="119"/>
        <v>1</v>
      </c>
    </row>
    <row r="5259" spans="1:24" s="337" customFormat="1" ht="12" customHeight="1" outlineLevel="1">
      <c r="A5259" s="335"/>
      <c r="B5259" s="118" t="s">
        <v>12</v>
      </c>
      <c r="C5259" s="334" t="s">
        <v>13808</v>
      </c>
      <c r="D5259" s="124" t="s">
        <v>13809</v>
      </c>
      <c r="E5259" s="125"/>
      <c r="F5259" s="118" t="s">
        <v>1018</v>
      </c>
      <c r="G5259" s="126" t="s">
        <v>13525</v>
      </c>
      <c r="H5259" s="255">
        <v>5</v>
      </c>
      <c r="I5259" s="361">
        <v>1</v>
      </c>
      <c r="J5259" s="362" t="s">
        <v>286</v>
      </c>
      <c r="K5259" s="363"/>
      <c r="L5259" s="129"/>
      <c r="M5259" s="129"/>
      <c r="N5259" s="129"/>
      <c r="O5259" s="129"/>
      <c r="P5259" s="364"/>
      <c r="Q5259" s="364"/>
      <c r="R5259" s="129"/>
      <c r="S5259" s="129"/>
      <c r="T5259" s="129"/>
      <c r="W5259" s="129" t="s">
        <v>4876</v>
      </c>
      <c r="X5259" s="337" t="b">
        <f t="shared" si="119"/>
        <v>0</v>
      </c>
    </row>
    <row r="5260" spans="1:24" s="337" customFormat="1" ht="12" customHeight="1" outlineLevel="1">
      <c r="A5260" s="335"/>
      <c r="B5260" s="118" t="s">
        <v>12</v>
      </c>
      <c r="C5260" s="334" t="s">
        <v>13810</v>
      </c>
      <c r="D5260" s="124" t="s">
        <v>10768</v>
      </c>
      <c r="E5260" s="125"/>
      <c r="F5260" s="118" t="s">
        <v>1018</v>
      </c>
      <c r="G5260" s="126" t="s">
        <v>13525</v>
      </c>
      <c r="H5260" s="255">
        <v>5</v>
      </c>
      <c r="I5260" s="361">
        <v>1</v>
      </c>
      <c r="J5260" s="362" t="s">
        <v>286</v>
      </c>
      <c r="K5260" s="363"/>
      <c r="L5260" s="129"/>
      <c r="M5260" s="129"/>
      <c r="N5260" s="129"/>
      <c r="O5260" s="129"/>
      <c r="P5260" s="364"/>
      <c r="Q5260" s="364"/>
      <c r="R5260" s="129"/>
      <c r="S5260" s="129"/>
      <c r="T5260" s="129"/>
      <c r="W5260" s="129" t="s">
        <v>4876</v>
      </c>
      <c r="X5260" s="337" t="b">
        <f t="shared" si="119"/>
        <v>0</v>
      </c>
    </row>
    <row r="5261" spans="1:24" s="337" customFormat="1" ht="12" customHeight="1" outlineLevel="1">
      <c r="A5261" s="335"/>
      <c r="B5261" s="118" t="s">
        <v>12</v>
      </c>
      <c r="C5261" s="334" t="s">
        <v>13811</v>
      </c>
      <c r="D5261" s="124" t="s">
        <v>10770</v>
      </c>
      <c r="E5261" s="125"/>
      <c r="F5261" s="118" t="s">
        <v>1018</v>
      </c>
      <c r="G5261" s="126" t="s">
        <v>13525</v>
      </c>
      <c r="H5261" s="255">
        <v>5</v>
      </c>
      <c r="I5261" s="361">
        <v>1</v>
      </c>
      <c r="J5261" s="362" t="s">
        <v>286</v>
      </c>
      <c r="K5261" s="363"/>
      <c r="L5261" s="129"/>
      <c r="M5261" s="129"/>
      <c r="N5261" s="129"/>
      <c r="O5261" s="129"/>
      <c r="P5261" s="364"/>
      <c r="Q5261" s="364"/>
      <c r="R5261" s="129"/>
      <c r="S5261" s="129"/>
      <c r="T5261" s="129"/>
      <c r="W5261" s="129" t="s">
        <v>4876</v>
      </c>
      <c r="X5261" s="337" t="b">
        <f t="shared" si="119"/>
        <v>0</v>
      </c>
    </row>
    <row r="5262" spans="1:24" s="337" customFormat="1" ht="12" customHeight="1" outlineLevel="1">
      <c r="A5262" s="335"/>
      <c r="B5262" s="118" t="s">
        <v>12</v>
      </c>
      <c r="C5262" s="334" t="s">
        <v>13812</v>
      </c>
      <c r="D5262" s="124" t="s">
        <v>10772</v>
      </c>
      <c r="E5262" s="125"/>
      <c r="F5262" s="118" t="s">
        <v>1018</v>
      </c>
      <c r="G5262" s="126" t="s">
        <v>13525</v>
      </c>
      <c r="H5262" s="255">
        <v>5</v>
      </c>
      <c r="I5262" s="361">
        <v>1</v>
      </c>
      <c r="J5262" s="362" t="s">
        <v>286</v>
      </c>
      <c r="K5262" s="363"/>
      <c r="L5262" s="129"/>
      <c r="M5262" s="129"/>
      <c r="N5262" s="129"/>
      <c r="O5262" s="129"/>
      <c r="P5262" s="364"/>
      <c r="Q5262" s="364"/>
      <c r="R5262" s="129"/>
      <c r="S5262" s="129"/>
      <c r="T5262" s="129"/>
      <c r="W5262" s="129" t="s">
        <v>4876</v>
      </c>
      <c r="X5262" s="337" t="b">
        <f t="shared" ref="X5262:X5325" si="120">W5262=J5262</f>
        <v>0</v>
      </c>
    </row>
    <row r="5263" spans="1:24" s="337" customFormat="1" ht="12" customHeight="1" outlineLevel="1">
      <c r="A5263" s="335"/>
      <c r="B5263" s="118" t="s">
        <v>12</v>
      </c>
      <c r="C5263" s="334" t="s">
        <v>13813</v>
      </c>
      <c r="D5263" s="124" t="s">
        <v>10774</v>
      </c>
      <c r="E5263" s="125"/>
      <c r="F5263" s="118" t="s">
        <v>1018</v>
      </c>
      <c r="G5263" s="126" t="s">
        <v>13525</v>
      </c>
      <c r="H5263" s="255">
        <v>5</v>
      </c>
      <c r="I5263" s="361">
        <v>1</v>
      </c>
      <c r="J5263" s="362" t="s">
        <v>286</v>
      </c>
      <c r="K5263" s="363"/>
      <c r="L5263" s="129"/>
      <c r="M5263" s="129"/>
      <c r="N5263" s="129"/>
      <c r="O5263" s="129"/>
      <c r="P5263" s="364"/>
      <c r="Q5263" s="364"/>
      <c r="R5263" s="129"/>
      <c r="S5263" s="129"/>
      <c r="T5263" s="129"/>
      <c r="W5263" s="129" t="s">
        <v>4876</v>
      </c>
      <c r="X5263" s="337" t="b">
        <f t="shared" si="120"/>
        <v>0</v>
      </c>
    </row>
    <row r="5264" spans="1:24" s="337" customFormat="1" ht="12" customHeight="1" outlineLevel="1">
      <c r="A5264" s="335"/>
      <c r="B5264" s="118" t="s">
        <v>12</v>
      </c>
      <c r="C5264" s="334" t="s">
        <v>13814</v>
      </c>
      <c r="D5264" s="124" t="s">
        <v>10778</v>
      </c>
      <c r="E5264" s="125"/>
      <c r="F5264" s="118" t="s">
        <v>1018</v>
      </c>
      <c r="G5264" s="126" t="s">
        <v>13525</v>
      </c>
      <c r="H5264" s="255">
        <v>5</v>
      </c>
      <c r="I5264" s="361">
        <v>1</v>
      </c>
      <c r="J5264" s="362" t="s">
        <v>286</v>
      </c>
      <c r="K5264" s="363"/>
      <c r="L5264" s="129"/>
      <c r="M5264" s="129"/>
      <c r="N5264" s="129"/>
      <c r="O5264" s="129"/>
      <c r="P5264" s="364"/>
      <c r="Q5264" s="364"/>
      <c r="R5264" s="129"/>
      <c r="S5264" s="129"/>
      <c r="T5264" s="129"/>
      <c r="W5264" s="129" t="s">
        <v>286</v>
      </c>
      <c r="X5264" s="337" t="b">
        <f t="shared" si="120"/>
        <v>1</v>
      </c>
    </row>
    <row r="5265" spans="1:24" s="337" customFormat="1" ht="12" customHeight="1" outlineLevel="1">
      <c r="A5265" s="335"/>
      <c r="B5265" s="118" t="s">
        <v>12</v>
      </c>
      <c r="C5265" s="334" t="s">
        <v>13815</v>
      </c>
      <c r="D5265" s="124" t="s">
        <v>11028</v>
      </c>
      <c r="E5265" s="125"/>
      <c r="F5265" s="118" t="s">
        <v>1018</v>
      </c>
      <c r="G5265" s="126" t="s">
        <v>13525</v>
      </c>
      <c r="H5265" s="255">
        <v>5</v>
      </c>
      <c r="I5265" s="361">
        <v>1</v>
      </c>
      <c r="J5265" s="362" t="s">
        <v>286</v>
      </c>
      <c r="K5265" s="363"/>
      <c r="L5265" s="129"/>
      <c r="M5265" s="129"/>
      <c r="N5265" s="129"/>
      <c r="O5265" s="129"/>
      <c r="P5265" s="364"/>
      <c r="Q5265" s="364"/>
      <c r="R5265" s="129"/>
      <c r="S5265" s="129"/>
      <c r="T5265" s="129"/>
      <c r="W5265" s="129" t="s">
        <v>286</v>
      </c>
      <c r="X5265" s="337" t="b">
        <f t="shared" si="120"/>
        <v>1</v>
      </c>
    </row>
    <row r="5266" spans="1:24" s="337" customFormat="1" ht="12" customHeight="1" outlineLevel="1">
      <c r="A5266" s="335"/>
      <c r="B5266" s="118" t="s">
        <v>12</v>
      </c>
      <c r="C5266" s="334" t="s">
        <v>13816</v>
      </c>
      <c r="D5266" s="124" t="s">
        <v>10786</v>
      </c>
      <c r="E5266" s="125"/>
      <c r="F5266" s="118" t="s">
        <v>1018</v>
      </c>
      <c r="G5266" s="126" t="s">
        <v>13525</v>
      </c>
      <c r="H5266" s="255">
        <v>5</v>
      </c>
      <c r="I5266" s="361">
        <v>1</v>
      </c>
      <c r="J5266" s="362" t="s">
        <v>286</v>
      </c>
      <c r="K5266" s="363"/>
      <c r="L5266" s="129"/>
      <c r="M5266" s="129"/>
      <c r="N5266" s="129"/>
      <c r="O5266" s="129"/>
      <c r="P5266" s="364"/>
      <c r="Q5266" s="364"/>
      <c r="R5266" s="129"/>
      <c r="S5266" s="129"/>
      <c r="T5266" s="129"/>
      <c r="W5266" s="129" t="s">
        <v>4876</v>
      </c>
      <c r="X5266" s="337" t="b">
        <f t="shared" si="120"/>
        <v>0</v>
      </c>
    </row>
    <row r="5267" spans="1:24" s="337" customFormat="1" ht="12" customHeight="1" outlineLevel="1">
      <c r="A5267" s="335"/>
      <c r="B5267" s="118" t="s">
        <v>12</v>
      </c>
      <c r="C5267" s="334" t="s">
        <v>13817</v>
      </c>
      <c r="D5267" s="124" t="s">
        <v>10788</v>
      </c>
      <c r="E5267" s="125"/>
      <c r="F5267" s="118" t="s">
        <v>1018</v>
      </c>
      <c r="G5267" s="126" t="s">
        <v>13525</v>
      </c>
      <c r="H5267" s="255">
        <v>5</v>
      </c>
      <c r="I5267" s="361">
        <v>1</v>
      </c>
      <c r="J5267" s="362" t="s">
        <v>286</v>
      </c>
      <c r="K5267" s="363"/>
      <c r="L5267" s="129"/>
      <c r="M5267" s="129"/>
      <c r="N5267" s="129"/>
      <c r="O5267" s="129"/>
      <c r="P5267" s="364"/>
      <c r="Q5267" s="364"/>
      <c r="R5267" s="129"/>
      <c r="S5267" s="129"/>
      <c r="T5267" s="129"/>
      <c r="W5267" s="129" t="s">
        <v>4876</v>
      </c>
      <c r="X5267" s="337" t="b">
        <f t="shared" si="120"/>
        <v>0</v>
      </c>
    </row>
    <row r="5268" spans="1:24" s="337" customFormat="1" ht="12" customHeight="1" outlineLevel="1">
      <c r="A5268" s="335"/>
      <c r="B5268" s="118" t="s">
        <v>12</v>
      </c>
      <c r="C5268" s="334" t="s">
        <v>13818</v>
      </c>
      <c r="D5268" s="124" t="s">
        <v>10790</v>
      </c>
      <c r="E5268" s="125"/>
      <c r="F5268" s="118" t="s">
        <v>1018</v>
      </c>
      <c r="G5268" s="126" t="s">
        <v>13525</v>
      </c>
      <c r="H5268" s="255">
        <v>5</v>
      </c>
      <c r="I5268" s="361">
        <v>1</v>
      </c>
      <c r="J5268" s="362" t="s">
        <v>286</v>
      </c>
      <c r="K5268" s="363"/>
      <c r="L5268" s="129"/>
      <c r="M5268" s="129"/>
      <c r="N5268" s="129"/>
      <c r="O5268" s="129"/>
      <c r="P5268" s="364"/>
      <c r="Q5268" s="364"/>
      <c r="R5268" s="129"/>
      <c r="S5268" s="129"/>
      <c r="T5268" s="129"/>
      <c r="W5268" s="129" t="s">
        <v>4876</v>
      </c>
      <c r="X5268" s="337" t="b">
        <f t="shared" si="120"/>
        <v>0</v>
      </c>
    </row>
    <row r="5269" spans="1:24" s="337" customFormat="1" ht="12" customHeight="1" outlineLevel="1">
      <c r="A5269" s="335"/>
      <c r="B5269" s="118" t="s">
        <v>12</v>
      </c>
      <c r="C5269" s="334" t="s">
        <v>13819</v>
      </c>
      <c r="D5269" s="124" t="s">
        <v>10792</v>
      </c>
      <c r="E5269" s="125"/>
      <c r="F5269" s="118" t="s">
        <v>1018</v>
      </c>
      <c r="G5269" s="126" t="s">
        <v>13525</v>
      </c>
      <c r="H5269" s="255">
        <v>5</v>
      </c>
      <c r="I5269" s="361">
        <v>1</v>
      </c>
      <c r="J5269" s="362" t="s">
        <v>286</v>
      </c>
      <c r="K5269" s="363"/>
      <c r="L5269" s="129"/>
      <c r="M5269" s="129"/>
      <c r="N5269" s="129"/>
      <c r="O5269" s="129"/>
      <c r="P5269" s="364"/>
      <c r="Q5269" s="364"/>
      <c r="R5269" s="129"/>
      <c r="S5269" s="129"/>
      <c r="T5269" s="129"/>
      <c r="W5269" s="129" t="s">
        <v>4876</v>
      </c>
      <c r="X5269" s="337" t="b">
        <f t="shared" si="120"/>
        <v>0</v>
      </c>
    </row>
    <row r="5270" spans="1:24" s="337" customFormat="1" ht="12" customHeight="1" outlineLevel="1">
      <c r="A5270" s="335"/>
      <c r="B5270" s="118" t="s">
        <v>12</v>
      </c>
      <c r="C5270" s="334" t="s">
        <v>13820</v>
      </c>
      <c r="D5270" s="124" t="s">
        <v>10794</v>
      </c>
      <c r="E5270" s="125"/>
      <c r="F5270" s="118" t="s">
        <v>1018</v>
      </c>
      <c r="G5270" s="126" t="s">
        <v>13525</v>
      </c>
      <c r="H5270" s="255">
        <v>5</v>
      </c>
      <c r="I5270" s="361">
        <v>1</v>
      </c>
      <c r="J5270" s="362" t="s">
        <v>286</v>
      </c>
      <c r="K5270" s="363"/>
      <c r="L5270" s="129"/>
      <c r="M5270" s="129"/>
      <c r="N5270" s="129"/>
      <c r="O5270" s="129"/>
      <c r="P5270" s="364"/>
      <c r="Q5270" s="364"/>
      <c r="R5270" s="129"/>
      <c r="S5270" s="129"/>
      <c r="T5270" s="129"/>
      <c r="W5270" s="129" t="s">
        <v>4876</v>
      </c>
      <c r="X5270" s="337" t="b">
        <f t="shared" si="120"/>
        <v>0</v>
      </c>
    </row>
    <row r="5271" spans="1:24" s="337" customFormat="1" ht="12" customHeight="1" outlineLevel="1">
      <c r="A5271" s="335"/>
      <c r="B5271" s="118" t="s">
        <v>12</v>
      </c>
      <c r="C5271" s="334" t="s">
        <v>13821</v>
      </c>
      <c r="D5271" s="124" t="s">
        <v>10796</v>
      </c>
      <c r="E5271" s="125"/>
      <c r="F5271" s="118" t="s">
        <v>1018</v>
      </c>
      <c r="G5271" s="126" t="s">
        <v>13525</v>
      </c>
      <c r="H5271" s="255">
        <v>5</v>
      </c>
      <c r="I5271" s="361">
        <v>1</v>
      </c>
      <c r="J5271" s="362" t="s">
        <v>286</v>
      </c>
      <c r="K5271" s="363"/>
      <c r="L5271" s="129"/>
      <c r="M5271" s="129"/>
      <c r="N5271" s="129"/>
      <c r="O5271" s="129"/>
      <c r="P5271" s="364"/>
      <c r="Q5271" s="364"/>
      <c r="R5271" s="129"/>
      <c r="S5271" s="129"/>
      <c r="T5271" s="129"/>
      <c r="W5271" s="129" t="s">
        <v>4876</v>
      </c>
      <c r="X5271" s="337" t="b">
        <f t="shared" si="120"/>
        <v>0</v>
      </c>
    </row>
    <row r="5272" spans="1:24" s="337" customFormat="1" ht="12" customHeight="1" outlineLevel="1">
      <c r="A5272" s="335"/>
      <c r="B5272" s="118" t="s">
        <v>12</v>
      </c>
      <c r="C5272" s="334" t="s">
        <v>13821</v>
      </c>
      <c r="D5272" s="124" t="s">
        <v>10797</v>
      </c>
      <c r="E5272" s="125"/>
      <c r="F5272" s="118" t="s">
        <v>1018</v>
      </c>
      <c r="G5272" s="126" t="s">
        <v>13525</v>
      </c>
      <c r="H5272" s="255">
        <v>5</v>
      </c>
      <c r="I5272" s="361">
        <v>1</v>
      </c>
      <c r="J5272" s="362" t="s">
        <v>286</v>
      </c>
      <c r="K5272" s="363"/>
      <c r="L5272" s="129"/>
      <c r="M5272" s="129"/>
      <c r="N5272" s="129"/>
      <c r="O5272" s="129"/>
      <c r="P5272" s="364"/>
      <c r="Q5272" s="364"/>
      <c r="R5272" s="129"/>
      <c r="S5272" s="129"/>
      <c r="T5272" s="129"/>
      <c r="W5272" s="129" t="s">
        <v>4876</v>
      </c>
      <c r="X5272" s="337" t="b">
        <f t="shared" si="120"/>
        <v>0</v>
      </c>
    </row>
    <row r="5273" spans="1:24" s="337" customFormat="1" ht="12" customHeight="1" outlineLevel="1">
      <c r="A5273" s="335"/>
      <c r="B5273" s="118" t="s">
        <v>12</v>
      </c>
      <c r="C5273" s="334" t="s">
        <v>13822</v>
      </c>
      <c r="D5273" s="124" t="s">
        <v>10799</v>
      </c>
      <c r="E5273" s="125"/>
      <c r="F5273" s="118" t="s">
        <v>1018</v>
      </c>
      <c r="G5273" s="126" t="s">
        <v>13525</v>
      </c>
      <c r="H5273" s="255">
        <v>5</v>
      </c>
      <c r="I5273" s="361">
        <v>1</v>
      </c>
      <c r="J5273" s="362" t="s">
        <v>286</v>
      </c>
      <c r="K5273" s="363"/>
      <c r="L5273" s="129"/>
      <c r="M5273" s="129"/>
      <c r="N5273" s="129"/>
      <c r="O5273" s="129"/>
      <c r="P5273" s="364"/>
      <c r="Q5273" s="364"/>
      <c r="R5273" s="129"/>
      <c r="S5273" s="129"/>
      <c r="T5273" s="129"/>
      <c r="W5273" s="129" t="s">
        <v>4876</v>
      </c>
      <c r="X5273" s="337" t="b">
        <f t="shared" si="120"/>
        <v>0</v>
      </c>
    </row>
    <row r="5274" spans="1:24" s="337" customFormat="1" ht="12" customHeight="1" outlineLevel="1">
      <c r="A5274" s="335"/>
      <c r="B5274" s="118" t="s">
        <v>12</v>
      </c>
      <c r="C5274" s="334" t="s">
        <v>13823</v>
      </c>
      <c r="D5274" s="124" t="s">
        <v>10801</v>
      </c>
      <c r="E5274" s="125"/>
      <c r="F5274" s="118" t="s">
        <v>1018</v>
      </c>
      <c r="G5274" s="126" t="s">
        <v>13525</v>
      </c>
      <c r="H5274" s="255">
        <v>5</v>
      </c>
      <c r="I5274" s="361">
        <v>1</v>
      </c>
      <c r="J5274" s="362" t="s">
        <v>286</v>
      </c>
      <c r="K5274" s="363"/>
      <c r="L5274" s="129"/>
      <c r="M5274" s="129"/>
      <c r="N5274" s="129"/>
      <c r="O5274" s="129"/>
      <c r="P5274" s="364"/>
      <c r="Q5274" s="364"/>
      <c r="R5274" s="129"/>
      <c r="S5274" s="129"/>
      <c r="T5274" s="129"/>
      <c r="W5274" s="129" t="s">
        <v>4876</v>
      </c>
      <c r="X5274" s="337" t="b">
        <f t="shared" si="120"/>
        <v>0</v>
      </c>
    </row>
    <row r="5275" spans="1:24" s="337" customFormat="1" ht="12" customHeight="1" outlineLevel="1">
      <c r="A5275" s="335"/>
      <c r="B5275" s="118" t="s">
        <v>12</v>
      </c>
      <c r="C5275" s="334" t="s">
        <v>13824</v>
      </c>
      <c r="D5275" s="124" t="s">
        <v>10803</v>
      </c>
      <c r="E5275" s="125"/>
      <c r="F5275" s="118" t="s">
        <v>1018</v>
      </c>
      <c r="G5275" s="126" t="s">
        <v>13525</v>
      </c>
      <c r="H5275" s="255">
        <v>5</v>
      </c>
      <c r="I5275" s="361">
        <v>1</v>
      </c>
      <c r="J5275" s="362" t="s">
        <v>286</v>
      </c>
      <c r="K5275" s="363"/>
      <c r="L5275" s="129"/>
      <c r="M5275" s="129"/>
      <c r="N5275" s="129"/>
      <c r="O5275" s="129"/>
      <c r="P5275" s="364"/>
      <c r="Q5275" s="364"/>
      <c r="R5275" s="129"/>
      <c r="S5275" s="129"/>
      <c r="T5275" s="129"/>
      <c r="W5275" s="129" t="s">
        <v>4876</v>
      </c>
      <c r="X5275" s="337" t="b">
        <f t="shared" si="120"/>
        <v>0</v>
      </c>
    </row>
    <row r="5276" spans="1:24" s="337" customFormat="1" ht="12" customHeight="1" outlineLevel="1">
      <c r="A5276" s="335"/>
      <c r="B5276" s="118" t="s">
        <v>12</v>
      </c>
      <c r="C5276" s="334" t="s">
        <v>13825</v>
      </c>
      <c r="D5276" s="124" t="s">
        <v>10805</v>
      </c>
      <c r="E5276" s="125"/>
      <c r="F5276" s="118" t="s">
        <v>1018</v>
      </c>
      <c r="G5276" s="126" t="s">
        <v>13525</v>
      </c>
      <c r="H5276" s="255">
        <v>5</v>
      </c>
      <c r="I5276" s="361">
        <v>1</v>
      </c>
      <c r="J5276" s="362" t="s">
        <v>286</v>
      </c>
      <c r="K5276" s="363"/>
      <c r="L5276" s="129"/>
      <c r="M5276" s="129"/>
      <c r="N5276" s="129"/>
      <c r="O5276" s="129"/>
      <c r="P5276" s="364"/>
      <c r="Q5276" s="364"/>
      <c r="R5276" s="129"/>
      <c r="S5276" s="129"/>
      <c r="T5276" s="129"/>
      <c r="W5276" s="129" t="s">
        <v>4876</v>
      </c>
      <c r="X5276" s="337" t="b">
        <f t="shared" si="120"/>
        <v>0</v>
      </c>
    </row>
    <row r="5277" spans="1:24" s="337" customFormat="1" ht="12" customHeight="1" outlineLevel="1">
      <c r="A5277" s="335"/>
      <c r="B5277" s="118" t="s">
        <v>12</v>
      </c>
      <c r="C5277" s="334" t="s">
        <v>13826</v>
      </c>
      <c r="D5277" s="124" t="s">
        <v>10807</v>
      </c>
      <c r="E5277" s="125"/>
      <c r="F5277" s="118" t="s">
        <v>1018</v>
      </c>
      <c r="G5277" s="126" t="s">
        <v>13525</v>
      </c>
      <c r="H5277" s="255">
        <v>5</v>
      </c>
      <c r="I5277" s="361">
        <v>1</v>
      </c>
      <c r="J5277" s="362" t="s">
        <v>286</v>
      </c>
      <c r="K5277" s="363"/>
      <c r="L5277" s="129"/>
      <c r="M5277" s="129"/>
      <c r="N5277" s="129"/>
      <c r="O5277" s="129"/>
      <c r="P5277" s="364"/>
      <c r="Q5277" s="364"/>
      <c r="R5277" s="129"/>
      <c r="S5277" s="129"/>
      <c r="T5277" s="129"/>
      <c r="W5277" s="129" t="s">
        <v>4876</v>
      </c>
      <c r="X5277" s="337" t="b">
        <f t="shared" si="120"/>
        <v>0</v>
      </c>
    </row>
    <row r="5278" spans="1:24" s="337" customFormat="1" ht="12" customHeight="1" outlineLevel="1">
      <c r="A5278" s="335"/>
      <c r="B5278" s="118" t="s">
        <v>12</v>
      </c>
      <c r="C5278" s="334" t="s">
        <v>13827</v>
      </c>
      <c r="D5278" s="124" t="s">
        <v>10809</v>
      </c>
      <c r="E5278" s="125"/>
      <c r="F5278" s="118" t="s">
        <v>1018</v>
      </c>
      <c r="G5278" s="126" t="s">
        <v>13525</v>
      </c>
      <c r="H5278" s="255">
        <v>5</v>
      </c>
      <c r="I5278" s="361">
        <v>1</v>
      </c>
      <c r="J5278" s="362" t="s">
        <v>286</v>
      </c>
      <c r="K5278" s="363"/>
      <c r="L5278" s="129"/>
      <c r="M5278" s="129"/>
      <c r="N5278" s="129"/>
      <c r="O5278" s="129"/>
      <c r="P5278" s="364"/>
      <c r="Q5278" s="364"/>
      <c r="R5278" s="129"/>
      <c r="S5278" s="129"/>
      <c r="T5278" s="129"/>
      <c r="W5278" s="129" t="s">
        <v>4876</v>
      </c>
      <c r="X5278" s="337" t="b">
        <f t="shared" si="120"/>
        <v>0</v>
      </c>
    </row>
    <row r="5279" spans="1:24" s="337" customFormat="1" ht="12" customHeight="1" outlineLevel="1">
      <c r="A5279" s="335"/>
      <c r="B5279" s="118" t="s">
        <v>12</v>
      </c>
      <c r="C5279" s="334" t="s">
        <v>13828</v>
      </c>
      <c r="D5279" s="124" t="s">
        <v>11042</v>
      </c>
      <c r="E5279" s="125"/>
      <c r="F5279" s="118" t="s">
        <v>1018</v>
      </c>
      <c r="G5279" s="126" t="s">
        <v>13525</v>
      </c>
      <c r="H5279" s="255">
        <v>5</v>
      </c>
      <c r="I5279" s="361">
        <v>1</v>
      </c>
      <c r="J5279" s="362" t="s">
        <v>310</v>
      </c>
      <c r="K5279" s="363"/>
      <c r="L5279" s="129"/>
      <c r="M5279" s="129"/>
      <c r="N5279" s="129"/>
      <c r="O5279" s="129"/>
      <c r="P5279" s="364"/>
      <c r="Q5279" s="364"/>
      <c r="R5279" s="129"/>
      <c r="S5279" s="129"/>
      <c r="T5279" s="129"/>
      <c r="W5279" s="129" t="s">
        <v>286</v>
      </c>
      <c r="X5279" s="337" t="b">
        <f t="shared" si="120"/>
        <v>0</v>
      </c>
    </row>
    <row r="5280" spans="1:24" s="337" customFormat="1" ht="12" customHeight="1" outlineLevel="1">
      <c r="A5280" s="335"/>
      <c r="B5280" s="118" t="s">
        <v>12</v>
      </c>
      <c r="C5280" s="334" t="s">
        <v>13829</v>
      </c>
      <c r="D5280" s="124" t="s">
        <v>10813</v>
      </c>
      <c r="E5280" s="125"/>
      <c r="F5280" s="118" t="s">
        <v>1018</v>
      </c>
      <c r="G5280" s="126" t="s">
        <v>13525</v>
      </c>
      <c r="H5280" s="255">
        <v>5</v>
      </c>
      <c r="I5280" s="361">
        <v>1</v>
      </c>
      <c r="J5280" s="362" t="s">
        <v>286</v>
      </c>
      <c r="K5280" s="363"/>
      <c r="L5280" s="129"/>
      <c r="M5280" s="129"/>
      <c r="N5280" s="129"/>
      <c r="O5280" s="129"/>
      <c r="P5280" s="364"/>
      <c r="Q5280" s="364"/>
      <c r="R5280" s="129"/>
      <c r="S5280" s="129"/>
      <c r="T5280" s="129"/>
      <c r="W5280" s="129" t="s">
        <v>286</v>
      </c>
      <c r="X5280" s="337" t="b">
        <f t="shared" si="120"/>
        <v>1</v>
      </c>
    </row>
    <row r="5281" spans="1:24" s="337" customFormat="1" ht="12" customHeight="1" outlineLevel="1">
      <c r="A5281" s="335"/>
      <c r="B5281" s="118" t="s">
        <v>12</v>
      </c>
      <c r="C5281" s="334" t="s">
        <v>13830</v>
      </c>
      <c r="D5281" s="124" t="s">
        <v>10815</v>
      </c>
      <c r="E5281" s="125"/>
      <c r="F5281" s="118" t="s">
        <v>1018</v>
      </c>
      <c r="G5281" s="126" t="s">
        <v>13525</v>
      </c>
      <c r="H5281" s="255">
        <v>5</v>
      </c>
      <c r="I5281" s="361">
        <v>1</v>
      </c>
      <c r="J5281" s="362" t="s">
        <v>286</v>
      </c>
      <c r="K5281" s="363"/>
      <c r="L5281" s="129"/>
      <c r="M5281" s="129"/>
      <c r="N5281" s="129"/>
      <c r="O5281" s="129"/>
      <c r="P5281" s="364"/>
      <c r="Q5281" s="364"/>
      <c r="R5281" s="129"/>
      <c r="S5281" s="129"/>
      <c r="T5281" s="129"/>
      <c r="W5281" s="129" t="s">
        <v>286</v>
      </c>
      <c r="X5281" s="337" t="b">
        <f t="shared" si="120"/>
        <v>1</v>
      </c>
    </row>
    <row r="5282" spans="1:24" s="337" customFormat="1" ht="12" customHeight="1" outlineLevel="1">
      <c r="A5282" s="335"/>
      <c r="B5282" s="118" t="s">
        <v>12</v>
      </c>
      <c r="C5282" s="334" t="s">
        <v>12272</v>
      </c>
      <c r="D5282" s="124" t="s">
        <v>11390</v>
      </c>
      <c r="E5282" s="125"/>
      <c r="F5282" s="118" t="s">
        <v>1018</v>
      </c>
      <c r="G5282" s="126" t="s">
        <v>13831</v>
      </c>
      <c r="H5282" s="255">
        <v>6</v>
      </c>
      <c r="I5282" s="361">
        <v>1</v>
      </c>
      <c r="J5282" s="362" t="s">
        <v>286</v>
      </c>
      <c r="K5282" s="363"/>
      <c r="L5282" s="129"/>
      <c r="M5282" s="129"/>
      <c r="N5282" s="129"/>
      <c r="O5282" s="129"/>
      <c r="P5282" s="364"/>
      <c r="Q5282" s="364"/>
      <c r="R5282" s="129"/>
      <c r="S5282" s="129"/>
      <c r="T5282" s="129"/>
      <c r="W5282" s="129" t="s">
        <v>307</v>
      </c>
      <c r="X5282" s="337" t="b">
        <f t="shared" si="120"/>
        <v>0</v>
      </c>
    </row>
    <row r="5283" spans="1:24" s="337" customFormat="1" ht="12" customHeight="1" outlineLevel="1">
      <c r="A5283" s="335"/>
      <c r="B5283" s="118" t="s">
        <v>12</v>
      </c>
      <c r="C5283" s="334" t="s">
        <v>13832</v>
      </c>
      <c r="D5283" s="124" t="s">
        <v>11396</v>
      </c>
      <c r="E5283" s="125"/>
      <c r="F5283" s="118" t="s">
        <v>1018</v>
      </c>
      <c r="G5283" s="126" t="s">
        <v>13831</v>
      </c>
      <c r="H5283" s="255">
        <v>6</v>
      </c>
      <c r="I5283" s="361">
        <v>1</v>
      </c>
      <c r="J5283" s="362" t="s">
        <v>286</v>
      </c>
      <c r="K5283" s="363"/>
      <c r="L5283" s="129"/>
      <c r="M5283" s="129"/>
      <c r="N5283" s="129"/>
      <c r="O5283" s="129"/>
      <c r="P5283" s="364"/>
      <c r="Q5283" s="364"/>
      <c r="R5283" s="129"/>
      <c r="S5283" s="129"/>
      <c r="T5283" s="129"/>
      <c r="W5283" s="129" t="s">
        <v>286</v>
      </c>
      <c r="X5283" s="337" t="b">
        <f t="shared" si="120"/>
        <v>1</v>
      </c>
    </row>
    <row r="5284" spans="1:24" s="337" customFormat="1" ht="12" customHeight="1" outlineLevel="1">
      <c r="A5284" s="335"/>
      <c r="B5284" s="118" t="s">
        <v>12</v>
      </c>
      <c r="C5284" s="334" t="s">
        <v>13833</v>
      </c>
      <c r="D5284" s="124" t="s">
        <v>11398</v>
      </c>
      <c r="E5284" s="125"/>
      <c r="F5284" s="118" t="s">
        <v>1018</v>
      </c>
      <c r="G5284" s="126" t="s">
        <v>13831</v>
      </c>
      <c r="H5284" s="255">
        <v>6</v>
      </c>
      <c r="I5284" s="361">
        <v>1</v>
      </c>
      <c r="J5284" s="362" t="s">
        <v>286</v>
      </c>
      <c r="K5284" s="363"/>
      <c r="L5284" s="129"/>
      <c r="M5284" s="129"/>
      <c r="N5284" s="129"/>
      <c r="O5284" s="129"/>
      <c r="P5284" s="364"/>
      <c r="Q5284" s="364"/>
      <c r="R5284" s="129"/>
      <c r="S5284" s="129"/>
      <c r="T5284" s="129"/>
      <c r="W5284" s="129" t="s">
        <v>286</v>
      </c>
      <c r="X5284" s="337" t="b">
        <f t="shared" si="120"/>
        <v>1</v>
      </c>
    </row>
    <row r="5285" spans="1:24" s="337" customFormat="1" ht="12" customHeight="1" outlineLevel="1">
      <c r="A5285" s="335"/>
      <c r="B5285" s="118" t="s">
        <v>12</v>
      </c>
      <c r="C5285" s="334" t="s">
        <v>13834</v>
      </c>
      <c r="D5285" s="124" t="s">
        <v>11400</v>
      </c>
      <c r="E5285" s="125"/>
      <c r="F5285" s="118" t="s">
        <v>1018</v>
      </c>
      <c r="G5285" s="126" t="s">
        <v>13831</v>
      </c>
      <c r="H5285" s="255">
        <v>6</v>
      </c>
      <c r="I5285" s="361">
        <v>1</v>
      </c>
      <c r="J5285" s="362" t="s">
        <v>286</v>
      </c>
      <c r="K5285" s="363"/>
      <c r="L5285" s="129"/>
      <c r="M5285" s="129"/>
      <c r="N5285" s="129"/>
      <c r="O5285" s="129"/>
      <c r="P5285" s="364"/>
      <c r="Q5285" s="364"/>
      <c r="R5285" s="129"/>
      <c r="S5285" s="129"/>
      <c r="T5285" s="129"/>
      <c r="W5285" s="129" t="s">
        <v>286</v>
      </c>
      <c r="X5285" s="337" t="b">
        <f t="shared" si="120"/>
        <v>1</v>
      </c>
    </row>
    <row r="5286" spans="1:24" s="337" customFormat="1" ht="12" customHeight="1" outlineLevel="1">
      <c r="A5286" s="335"/>
      <c r="B5286" s="118" t="s">
        <v>12</v>
      </c>
      <c r="C5286" s="334" t="s">
        <v>13835</v>
      </c>
      <c r="D5286" s="124" t="s">
        <v>11402</v>
      </c>
      <c r="E5286" s="125"/>
      <c r="F5286" s="118" t="s">
        <v>1018</v>
      </c>
      <c r="G5286" s="126" t="s">
        <v>13831</v>
      </c>
      <c r="H5286" s="255">
        <v>6</v>
      </c>
      <c r="I5286" s="361">
        <v>1</v>
      </c>
      <c r="J5286" s="362" t="s">
        <v>286</v>
      </c>
      <c r="K5286" s="363"/>
      <c r="L5286" s="129"/>
      <c r="M5286" s="129"/>
      <c r="N5286" s="129"/>
      <c r="O5286" s="129"/>
      <c r="P5286" s="364"/>
      <c r="Q5286" s="364"/>
      <c r="R5286" s="129"/>
      <c r="S5286" s="129"/>
      <c r="T5286" s="129"/>
      <c r="W5286" s="129" t="s">
        <v>286</v>
      </c>
      <c r="X5286" s="337" t="b">
        <f t="shared" si="120"/>
        <v>1</v>
      </c>
    </row>
    <row r="5287" spans="1:24" s="337" customFormat="1" ht="12" customHeight="1" outlineLevel="1">
      <c r="A5287" s="335"/>
      <c r="B5287" s="118" t="s">
        <v>12</v>
      </c>
      <c r="C5287" s="334" t="s">
        <v>13836</v>
      </c>
      <c r="D5287" s="124" t="s">
        <v>11404</v>
      </c>
      <c r="E5287" s="125"/>
      <c r="F5287" s="118" t="s">
        <v>1018</v>
      </c>
      <c r="G5287" s="126" t="s">
        <v>13831</v>
      </c>
      <c r="H5287" s="255">
        <v>6</v>
      </c>
      <c r="I5287" s="361">
        <v>1</v>
      </c>
      <c r="J5287" s="362" t="s">
        <v>286</v>
      </c>
      <c r="K5287" s="363"/>
      <c r="L5287" s="129"/>
      <c r="M5287" s="129"/>
      <c r="N5287" s="129"/>
      <c r="O5287" s="129"/>
      <c r="P5287" s="364"/>
      <c r="Q5287" s="364"/>
      <c r="R5287" s="129"/>
      <c r="S5287" s="129"/>
      <c r="T5287" s="129"/>
      <c r="W5287" s="129" t="s">
        <v>286</v>
      </c>
      <c r="X5287" s="337" t="b">
        <f t="shared" si="120"/>
        <v>1</v>
      </c>
    </row>
    <row r="5288" spans="1:24" s="337" customFormat="1" ht="12" customHeight="1" outlineLevel="1">
      <c r="A5288" s="335"/>
      <c r="B5288" s="118" t="s">
        <v>12</v>
      </c>
      <c r="C5288" s="334" t="s">
        <v>13837</v>
      </c>
      <c r="D5288" s="124" t="s">
        <v>11406</v>
      </c>
      <c r="E5288" s="125"/>
      <c r="F5288" s="118" t="s">
        <v>1018</v>
      </c>
      <c r="G5288" s="126" t="s">
        <v>13831</v>
      </c>
      <c r="H5288" s="255">
        <v>6</v>
      </c>
      <c r="I5288" s="361">
        <v>1</v>
      </c>
      <c r="J5288" s="362" t="s">
        <v>286</v>
      </c>
      <c r="K5288" s="363"/>
      <c r="L5288" s="129"/>
      <c r="M5288" s="129"/>
      <c r="N5288" s="129"/>
      <c r="O5288" s="129"/>
      <c r="P5288" s="364"/>
      <c r="Q5288" s="364"/>
      <c r="R5288" s="129"/>
      <c r="S5288" s="129"/>
      <c r="T5288" s="129"/>
      <c r="W5288" s="129" t="s">
        <v>286</v>
      </c>
      <c r="X5288" s="337" t="b">
        <f t="shared" si="120"/>
        <v>1</v>
      </c>
    </row>
    <row r="5289" spans="1:24" s="337" customFormat="1" ht="12" customHeight="1" outlineLevel="1">
      <c r="A5289" s="335"/>
      <c r="B5289" s="118" t="s">
        <v>12</v>
      </c>
      <c r="C5289" s="334" t="s">
        <v>13838</v>
      </c>
      <c r="D5289" s="124" t="s">
        <v>11408</v>
      </c>
      <c r="E5289" s="125"/>
      <c r="F5289" s="118" t="s">
        <v>1018</v>
      </c>
      <c r="G5289" s="126" t="s">
        <v>13831</v>
      </c>
      <c r="H5289" s="255">
        <v>6</v>
      </c>
      <c r="I5289" s="361">
        <v>1</v>
      </c>
      <c r="J5289" s="362" t="s">
        <v>286</v>
      </c>
      <c r="K5289" s="363"/>
      <c r="L5289" s="129"/>
      <c r="M5289" s="129"/>
      <c r="N5289" s="129"/>
      <c r="O5289" s="129"/>
      <c r="P5289" s="364"/>
      <c r="Q5289" s="364"/>
      <c r="R5289" s="129"/>
      <c r="S5289" s="129"/>
      <c r="T5289" s="129"/>
      <c r="W5289" s="129" t="s">
        <v>286</v>
      </c>
      <c r="X5289" s="337" t="b">
        <f t="shared" si="120"/>
        <v>1</v>
      </c>
    </row>
    <row r="5290" spans="1:24" s="337" customFormat="1" ht="12" customHeight="1" outlineLevel="1">
      <c r="A5290" s="335"/>
      <c r="B5290" s="118" t="s">
        <v>12</v>
      </c>
      <c r="C5290" s="334" t="s">
        <v>13839</v>
      </c>
      <c r="D5290" s="124" t="s">
        <v>13840</v>
      </c>
      <c r="E5290" s="125"/>
      <c r="F5290" s="118" t="s">
        <v>1018</v>
      </c>
      <c r="G5290" s="126" t="s">
        <v>13831</v>
      </c>
      <c r="H5290" s="255">
        <v>6</v>
      </c>
      <c r="I5290" s="361">
        <v>1</v>
      </c>
      <c r="J5290" s="362" t="s">
        <v>286</v>
      </c>
      <c r="K5290" s="363"/>
      <c r="L5290" s="129"/>
      <c r="M5290" s="129"/>
      <c r="N5290" s="129"/>
      <c r="O5290" s="129"/>
      <c r="P5290" s="364"/>
      <c r="Q5290" s="364"/>
      <c r="R5290" s="129"/>
      <c r="S5290" s="129"/>
      <c r="T5290" s="129"/>
      <c r="W5290" s="129" t="s">
        <v>286</v>
      </c>
      <c r="X5290" s="337" t="b">
        <f t="shared" si="120"/>
        <v>1</v>
      </c>
    </row>
    <row r="5291" spans="1:24" s="337" customFormat="1" ht="12" customHeight="1" outlineLevel="1">
      <c r="A5291" s="335"/>
      <c r="B5291" s="118" t="s">
        <v>12</v>
      </c>
      <c r="C5291" s="334" t="s">
        <v>13841</v>
      </c>
      <c r="D5291" s="124" t="s">
        <v>11412</v>
      </c>
      <c r="E5291" s="125"/>
      <c r="F5291" s="118" t="s">
        <v>1018</v>
      </c>
      <c r="G5291" s="126" t="s">
        <v>13831</v>
      </c>
      <c r="H5291" s="255">
        <v>6</v>
      </c>
      <c r="I5291" s="361">
        <v>1</v>
      </c>
      <c r="J5291" s="362" t="s">
        <v>286</v>
      </c>
      <c r="K5291" s="363"/>
      <c r="L5291" s="129"/>
      <c r="M5291" s="129"/>
      <c r="N5291" s="129"/>
      <c r="O5291" s="129"/>
      <c r="P5291" s="364"/>
      <c r="Q5291" s="364"/>
      <c r="R5291" s="129"/>
      <c r="S5291" s="129"/>
      <c r="T5291" s="129"/>
      <c r="W5291" s="129" t="s">
        <v>286</v>
      </c>
      <c r="X5291" s="337" t="b">
        <f t="shared" si="120"/>
        <v>1</v>
      </c>
    </row>
    <row r="5292" spans="1:24" s="337" customFormat="1" ht="12" customHeight="1" outlineLevel="1">
      <c r="A5292" s="335"/>
      <c r="B5292" s="118" t="s">
        <v>12</v>
      </c>
      <c r="C5292" s="334" t="s">
        <v>13842</v>
      </c>
      <c r="D5292" s="124" t="s">
        <v>11414</v>
      </c>
      <c r="E5292" s="125"/>
      <c r="F5292" s="118" t="s">
        <v>1018</v>
      </c>
      <c r="G5292" s="126" t="s">
        <v>13831</v>
      </c>
      <c r="H5292" s="255">
        <v>6</v>
      </c>
      <c r="I5292" s="361">
        <v>1</v>
      </c>
      <c r="J5292" s="362" t="s">
        <v>286</v>
      </c>
      <c r="K5292" s="363"/>
      <c r="L5292" s="129"/>
      <c r="M5292" s="129"/>
      <c r="N5292" s="129"/>
      <c r="O5292" s="129"/>
      <c r="P5292" s="364"/>
      <c r="Q5292" s="364"/>
      <c r="R5292" s="129"/>
      <c r="S5292" s="129"/>
      <c r="T5292" s="129"/>
      <c r="W5292" s="129" t="s">
        <v>286</v>
      </c>
      <c r="X5292" s="337" t="b">
        <f t="shared" si="120"/>
        <v>1</v>
      </c>
    </row>
    <row r="5293" spans="1:24" s="337" customFormat="1" ht="12" customHeight="1" outlineLevel="1">
      <c r="A5293" s="335"/>
      <c r="B5293" s="118" t="s">
        <v>12</v>
      </c>
      <c r="C5293" s="334" t="s">
        <v>13843</v>
      </c>
      <c r="D5293" s="124" t="s">
        <v>11416</v>
      </c>
      <c r="E5293" s="125"/>
      <c r="F5293" s="118" t="s">
        <v>1018</v>
      </c>
      <c r="G5293" s="126" t="s">
        <v>13831</v>
      </c>
      <c r="H5293" s="255">
        <v>6</v>
      </c>
      <c r="I5293" s="361">
        <v>1</v>
      </c>
      <c r="J5293" s="362" t="s">
        <v>286</v>
      </c>
      <c r="K5293" s="363"/>
      <c r="L5293" s="129"/>
      <c r="M5293" s="129"/>
      <c r="N5293" s="129"/>
      <c r="O5293" s="129"/>
      <c r="P5293" s="364"/>
      <c r="Q5293" s="364"/>
      <c r="R5293" s="129"/>
      <c r="S5293" s="129"/>
      <c r="T5293" s="129"/>
      <c r="W5293" s="129" t="s">
        <v>286</v>
      </c>
      <c r="X5293" s="337" t="b">
        <f t="shared" si="120"/>
        <v>1</v>
      </c>
    </row>
    <row r="5294" spans="1:24" s="337" customFormat="1" ht="12" customHeight="1" outlineLevel="1">
      <c r="A5294" s="335"/>
      <c r="B5294" s="118" t="s">
        <v>12</v>
      </c>
      <c r="C5294" s="334" t="s">
        <v>13844</v>
      </c>
      <c r="D5294" s="124" t="s">
        <v>11418</v>
      </c>
      <c r="E5294" s="125"/>
      <c r="F5294" s="118" t="s">
        <v>1018</v>
      </c>
      <c r="G5294" s="126" t="s">
        <v>13831</v>
      </c>
      <c r="H5294" s="255">
        <v>6</v>
      </c>
      <c r="I5294" s="361">
        <v>1</v>
      </c>
      <c r="J5294" s="362" t="s">
        <v>286</v>
      </c>
      <c r="K5294" s="363"/>
      <c r="L5294" s="129"/>
      <c r="M5294" s="129"/>
      <c r="N5294" s="129"/>
      <c r="O5294" s="129"/>
      <c r="P5294" s="364"/>
      <c r="Q5294" s="364"/>
      <c r="R5294" s="129"/>
      <c r="S5294" s="129"/>
      <c r="T5294" s="129"/>
      <c r="W5294" s="129" t="s">
        <v>286</v>
      </c>
      <c r="X5294" s="337" t="b">
        <f t="shared" si="120"/>
        <v>1</v>
      </c>
    </row>
    <row r="5295" spans="1:24" s="337" customFormat="1" ht="12" customHeight="1" outlineLevel="1">
      <c r="A5295" s="335"/>
      <c r="B5295" s="118" t="s">
        <v>12</v>
      </c>
      <c r="C5295" s="334" t="s">
        <v>13845</v>
      </c>
      <c r="D5295" s="124" t="s">
        <v>11420</v>
      </c>
      <c r="E5295" s="125"/>
      <c r="F5295" s="118" t="s">
        <v>1018</v>
      </c>
      <c r="G5295" s="126" t="s">
        <v>13831</v>
      </c>
      <c r="H5295" s="255">
        <v>6</v>
      </c>
      <c r="I5295" s="361">
        <v>1</v>
      </c>
      <c r="J5295" s="362" t="s">
        <v>286</v>
      </c>
      <c r="K5295" s="363"/>
      <c r="L5295" s="129"/>
      <c r="M5295" s="129"/>
      <c r="N5295" s="129"/>
      <c r="O5295" s="129"/>
      <c r="P5295" s="364"/>
      <c r="Q5295" s="364"/>
      <c r="R5295" s="129"/>
      <c r="S5295" s="129"/>
      <c r="T5295" s="129"/>
      <c r="W5295" s="129" t="s">
        <v>286</v>
      </c>
      <c r="X5295" s="337" t="b">
        <f t="shared" si="120"/>
        <v>1</v>
      </c>
    </row>
    <row r="5296" spans="1:24" s="337" customFormat="1" ht="12" customHeight="1" outlineLevel="1">
      <c r="A5296" s="335"/>
      <c r="B5296" s="118" t="s">
        <v>12</v>
      </c>
      <c r="C5296" s="334" t="s">
        <v>13846</v>
      </c>
      <c r="D5296" s="124" t="s">
        <v>13847</v>
      </c>
      <c r="E5296" s="125"/>
      <c r="F5296" s="118" t="s">
        <v>1018</v>
      </c>
      <c r="G5296" s="126" t="s">
        <v>13831</v>
      </c>
      <c r="H5296" s="255">
        <v>6</v>
      </c>
      <c r="I5296" s="361">
        <v>1</v>
      </c>
      <c r="J5296" s="362" t="s">
        <v>286</v>
      </c>
      <c r="K5296" s="363"/>
      <c r="L5296" s="129"/>
      <c r="M5296" s="129"/>
      <c r="N5296" s="129"/>
      <c r="O5296" s="129"/>
      <c r="P5296" s="364"/>
      <c r="Q5296" s="364"/>
      <c r="R5296" s="129"/>
      <c r="S5296" s="129"/>
      <c r="T5296" s="129"/>
      <c r="W5296" s="129" t="s">
        <v>286</v>
      </c>
      <c r="X5296" s="337" t="b">
        <f t="shared" si="120"/>
        <v>1</v>
      </c>
    </row>
    <row r="5297" spans="1:24" s="337" customFormat="1" ht="12" customHeight="1" outlineLevel="1">
      <c r="A5297" s="335"/>
      <c r="B5297" s="118" t="s">
        <v>12</v>
      </c>
      <c r="C5297" s="334" t="s">
        <v>13848</v>
      </c>
      <c r="D5297" s="124" t="s">
        <v>11424</v>
      </c>
      <c r="E5297" s="125"/>
      <c r="F5297" s="118" t="s">
        <v>1018</v>
      </c>
      <c r="G5297" s="126" t="s">
        <v>13831</v>
      </c>
      <c r="H5297" s="255">
        <v>6</v>
      </c>
      <c r="I5297" s="361">
        <v>1</v>
      </c>
      <c r="J5297" s="362" t="s">
        <v>286</v>
      </c>
      <c r="K5297" s="363"/>
      <c r="L5297" s="129"/>
      <c r="M5297" s="129"/>
      <c r="N5297" s="129"/>
      <c r="O5297" s="129"/>
      <c r="P5297" s="364"/>
      <c r="Q5297" s="364"/>
      <c r="R5297" s="129"/>
      <c r="S5297" s="129"/>
      <c r="T5297" s="129"/>
      <c r="W5297" s="129" t="s">
        <v>286</v>
      </c>
      <c r="X5297" s="337" t="b">
        <f t="shared" si="120"/>
        <v>1</v>
      </c>
    </row>
    <row r="5298" spans="1:24" s="337" customFormat="1" ht="12" customHeight="1" outlineLevel="1">
      <c r="A5298" s="335"/>
      <c r="B5298" s="118" t="s">
        <v>12</v>
      </c>
      <c r="C5298" s="334" t="s">
        <v>13849</v>
      </c>
      <c r="D5298" s="124" t="s">
        <v>11981</v>
      </c>
      <c r="E5298" s="125"/>
      <c r="F5298" s="118" t="s">
        <v>1018</v>
      </c>
      <c r="G5298" s="126" t="s">
        <v>13831</v>
      </c>
      <c r="H5298" s="255">
        <v>6</v>
      </c>
      <c r="I5298" s="361">
        <v>1</v>
      </c>
      <c r="J5298" s="362" t="s">
        <v>286</v>
      </c>
      <c r="K5298" s="363"/>
      <c r="L5298" s="129"/>
      <c r="M5298" s="129"/>
      <c r="N5298" s="129"/>
      <c r="O5298" s="129"/>
      <c r="P5298" s="364"/>
      <c r="Q5298" s="364"/>
      <c r="R5298" s="129"/>
      <c r="S5298" s="129"/>
      <c r="T5298" s="129"/>
      <c r="W5298" s="129" t="s">
        <v>286</v>
      </c>
      <c r="X5298" s="337" t="b">
        <f t="shared" si="120"/>
        <v>1</v>
      </c>
    </row>
    <row r="5299" spans="1:24" s="337" customFormat="1" ht="12" customHeight="1" outlineLevel="1">
      <c r="A5299" s="335"/>
      <c r="B5299" s="118" t="s">
        <v>12</v>
      </c>
      <c r="C5299" s="334" t="s">
        <v>13850</v>
      </c>
      <c r="D5299" s="124" t="s">
        <v>11428</v>
      </c>
      <c r="E5299" s="125"/>
      <c r="F5299" s="118" t="s">
        <v>1018</v>
      </c>
      <c r="G5299" s="126" t="s">
        <v>13831</v>
      </c>
      <c r="H5299" s="255">
        <v>6</v>
      </c>
      <c r="I5299" s="361">
        <v>1</v>
      </c>
      <c r="J5299" s="362" t="s">
        <v>286</v>
      </c>
      <c r="K5299" s="363"/>
      <c r="L5299" s="129"/>
      <c r="M5299" s="129"/>
      <c r="N5299" s="129"/>
      <c r="O5299" s="129"/>
      <c r="P5299" s="364"/>
      <c r="Q5299" s="364"/>
      <c r="R5299" s="129"/>
      <c r="S5299" s="129"/>
      <c r="T5299" s="129"/>
      <c r="W5299" s="129" t="s">
        <v>286</v>
      </c>
      <c r="X5299" s="337" t="b">
        <f t="shared" si="120"/>
        <v>1</v>
      </c>
    </row>
    <row r="5300" spans="1:24" s="337" customFormat="1" ht="12" customHeight="1" outlineLevel="1">
      <c r="A5300" s="335"/>
      <c r="B5300" s="118" t="s">
        <v>12</v>
      </c>
      <c r="C5300" s="334" t="s">
        <v>13851</v>
      </c>
      <c r="D5300" s="124" t="s">
        <v>11430</v>
      </c>
      <c r="E5300" s="125"/>
      <c r="F5300" s="118" t="s">
        <v>1018</v>
      </c>
      <c r="G5300" s="126" t="s">
        <v>13831</v>
      </c>
      <c r="H5300" s="255">
        <v>6</v>
      </c>
      <c r="I5300" s="361">
        <v>1</v>
      </c>
      <c r="J5300" s="362" t="s">
        <v>286</v>
      </c>
      <c r="K5300" s="363"/>
      <c r="L5300" s="129"/>
      <c r="M5300" s="129"/>
      <c r="N5300" s="129"/>
      <c r="O5300" s="129"/>
      <c r="P5300" s="364"/>
      <c r="Q5300" s="364"/>
      <c r="R5300" s="129"/>
      <c r="S5300" s="129"/>
      <c r="T5300" s="129"/>
      <c r="W5300" s="129" t="s">
        <v>286</v>
      </c>
      <c r="X5300" s="337" t="b">
        <f t="shared" si="120"/>
        <v>1</v>
      </c>
    </row>
    <row r="5301" spans="1:24" s="337" customFormat="1" ht="12" customHeight="1" outlineLevel="1">
      <c r="A5301" s="335"/>
      <c r="B5301" s="118" t="s">
        <v>12</v>
      </c>
      <c r="C5301" s="334" t="s">
        <v>13852</v>
      </c>
      <c r="D5301" s="124" t="s">
        <v>11432</v>
      </c>
      <c r="E5301" s="125"/>
      <c r="F5301" s="118" t="s">
        <v>1018</v>
      </c>
      <c r="G5301" s="126" t="s">
        <v>13831</v>
      </c>
      <c r="H5301" s="255">
        <v>6</v>
      </c>
      <c r="I5301" s="361">
        <v>1</v>
      </c>
      <c r="J5301" s="362" t="s">
        <v>286</v>
      </c>
      <c r="K5301" s="363"/>
      <c r="L5301" s="129"/>
      <c r="M5301" s="129"/>
      <c r="N5301" s="129"/>
      <c r="O5301" s="129"/>
      <c r="P5301" s="364"/>
      <c r="Q5301" s="364"/>
      <c r="R5301" s="129"/>
      <c r="S5301" s="129"/>
      <c r="T5301" s="129"/>
      <c r="W5301" s="129" t="s">
        <v>286</v>
      </c>
      <c r="X5301" s="337" t="b">
        <f t="shared" si="120"/>
        <v>1</v>
      </c>
    </row>
    <row r="5302" spans="1:24" s="337" customFormat="1" ht="12" customHeight="1" outlineLevel="1">
      <c r="A5302" s="335"/>
      <c r="B5302" s="118" t="s">
        <v>12</v>
      </c>
      <c r="C5302" s="334" t="s">
        <v>13853</v>
      </c>
      <c r="D5302" s="124" t="s">
        <v>11434</v>
      </c>
      <c r="E5302" s="125"/>
      <c r="F5302" s="118" t="s">
        <v>1018</v>
      </c>
      <c r="G5302" s="126" t="s">
        <v>13831</v>
      </c>
      <c r="H5302" s="255">
        <v>6</v>
      </c>
      <c r="I5302" s="361">
        <v>1</v>
      </c>
      <c r="J5302" s="362" t="s">
        <v>310</v>
      </c>
      <c r="K5302" s="363"/>
      <c r="L5302" s="129"/>
      <c r="M5302" s="129"/>
      <c r="N5302" s="129"/>
      <c r="O5302" s="129"/>
      <c r="P5302" s="364"/>
      <c r="Q5302" s="364"/>
      <c r="R5302" s="129"/>
      <c r="S5302" s="129"/>
      <c r="T5302" s="129"/>
      <c r="W5302" s="129" t="s">
        <v>286</v>
      </c>
      <c r="X5302" s="337" t="b">
        <f t="shared" si="120"/>
        <v>0</v>
      </c>
    </row>
    <row r="5303" spans="1:24" s="337" customFormat="1" ht="12" customHeight="1" outlineLevel="1">
      <c r="A5303" s="335"/>
      <c r="B5303" s="118" t="s">
        <v>12</v>
      </c>
      <c r="C5303" s="334" t="s">
        <v>13854</v>
      </c>
      <c r="D5303" s="124" t="s">
        <v>11436</v>
      </c>
      <c r="E5303" s="125"/>
      <c r="F5303" s="118" t="s">
        <v>1018</v>
      </c>
      <c r="G5303" s="126" t="s">
        <v>13831</v>
      </c>
      <c r="H5303" s="255">
        <v>6</v>
      </c>
      <c r="I5303" s="361">
        <v>1</v>
      </c>
      <c r="J5303" s="362" t="s">
        <v>310</v>
      </c>
      <c r="K5303" s="363"/>
      <c r="L5303" s="129"/>
      <c r="M5303" s="129"/>
      <c r="N5303" s="129"/>
      <c r="O5303" s="129"/>
      <c r="P5303" s="364"/>
      <c r="Q5303" s="364"/>
      <c r="R5303" s="129"/>
      <c r="S5303" s="129"/>
      <c r="T5303" s="129"/>
      <c r="W5303" s="129" t="s">
        <v>286</v>
      </c>
      <c r="X5303" s="337" t="b">
        <f t="shared" si="120"/>
        <v>0</v>
      </c>
    </row>
    <row r="5304" spans="1:24" s="337" customFormat="1" ht="12" customHeight="1" outlineLevel="1">
      <c r="A5304" s="335"/>
      <c r="B5304" s="118" t="s">
        <v>12</v>
      </c>
      <c r="C5304" s="334" t="s">
        <v>13855</v>
      </c>
      <c r="D5304" s="124" t="s">
        <v>11438</v>
      </c>
      <c r="E5304" s="125"/>
      <c r="F5304" s="118" t="s">
        <v>1018</v>
      </c>
      <c r="G5304" s="126" t="s">
        <v>13831</v>
      </c>
      <c r="H5304" s="255">
        <v>6</v>
      </c>
      <c r="I5304" s="361">
        <v>1</v>
      </c>
      <c r="J5304" s="362" t="s">
        <v>310</v>
      </c>
      <c r="K5304" s="363"/>
      <c r="L5304" s="129"/>
      <c r="M5304" s="129"/>
      <c r="N5304" s="129"/>
      <c r="O5304" s="129"/>
      <c r="P5304" s="364"/>
      <c r="Q5304" s="364"/>
      <c r="R5304" s="129"/>
      <c r="S5304" s="129"/>
      <c r="T5304" s="129"/>
      <c r="W5304" s="129" t="s">
        <v>286</v>
      </c>
      <c r="X5304" s="337" t="b">
        <f t="shared" si="120"/>
        <v>0</v>
      </c>
    </row>
    <row r="5305" spans="1:24" s="337" customFormat="1" ht="12" customHeight="1" outlineLevel="1">
      <c r="A5305" s="335"/>
      <c r="B5305" s="118" t="s">
        <v>12</v>
      </c>
      <c r="C5305" s="334" t="s">
        <v>13856</v>
      </c>
      <c r="D5305" s="124" t="s">
        <v>13857</v>
      </c>
      <c r="E5305" s="125"/>
      <c r="F5305" s="118" t="s">
        <v>1018</v>
      </c>
      <c r="G5305" s="126" t="s">
        <v>13831</v>
      </c>
      <c r="H5305" s="255">
        <v>6</v>
      </c>
      <c r="I5305" s="361">
        <v>1</v>
      </c>
      <c r="J5305" s="362" t="s">
        <v>286</v>
      </c>
      <c r="K5305" s="363"/>
      <c r="L5305" s="129"/>
      <c r="M5305" s="129"/>
      <c r="N5305" s="129"/>
      <c r="O5305" s="129"/>
      <c r="P5305" s="364"/>
      <c r="Q5305" s="364"/>
      <c r="R5305" s="129"/>
      <c r="S5305" s="129"/>
      <c r="T5305" s="129"/>
      <c r="W5305" s="129" t="s">
        <v>286</v>
      </c>
      <c r="X5305" s="337" t="b">
        <f t="shared" si="120"/>
        <v>1</v>
      </c>
    </row>
    <row r="5306" spans="1:24" s="337" customFormat="1" ht="12" customHeight="1" outlineLevel="1">
      <c r="A5306" s="335"/>
      <c r="B5306" s="118" t="s">
        <v>12</v>
      </c>
      <c r="C5306" s="334" t="s">
        <v>13858</v>
      </c>
      <c r="D5306" s="124" t="s">
        <v>11442</v>
      </c>
      <c r="E5306" s="125"/>
      <c r="F5306" s="118" t="s">
        <v>1018</v>
      </c>
      <c r="G5306" s="126" t="s">
        <v>13831</v>
      </c>
      <c r="H5306" s="255">
        <v>6</v>
      </c>
      <c r="I5306" s="361">
        <v>1</v>
      </c>
      <c r="J5306" s="362" t="s">
        <v>286</v>
      </c>
      <c r="K5306" s="363"/>
      <c r="L5306" s="129"/>
      <c r="M5306" s="129"/>
      <c r="N5306" s="129"/>
      <c r="O5306" s="129"/>
      <c r="P5306" s="364"/>
      <c r="Q5306" s="364"/>
      <c r="R5306" s="129"/>
      <c r="S5306" s="129"/>
      <c r="T5306" s="129"/>
      <c r="W5306" s="129" t="s">
        <v>286</v>
      </c>
      <c r="X5306" s="337" t="b">
        <f t="shared" si="120"/>
        <v>1</v>
      </c>
    </row>
    <row r="5307" spans="1:24" s="337" customFormat="1" ht="12" customHeight="1" outlineLevel="1">
      <c r="A5307" s="335"/>
      <c r="B5307" s="118" t="s">
        <v>12</v>
      </c>
      <c r="C5307" s="334" t="s">
        <v>13859</v>
      </c>
      <c r="D5307" s="124" t="s">
        <v>11444</v>
      </c>
      <c r="E5307" s="125"/>
      <c r="F5307" s="118" t="s">
        <v>1018</v>
      </c>
      <c r="G5307" s="126" t="s">
        <v>13831</v>
      </c>
      <c r="H5307" s="255">
        <v>6</v>
      </c>
      <c r="I5307" s="361">
        <v>1</v>
      </c>
      <c r="J5307" s="362" t="s">
        <v>286</v>
      </c>
      <c r="K5307" s="363"/>
      <c r="L5307" s="129"/>
      <c r="M5307" s="129"/>
      <c r="N5307" s="129"/>
      <c r="O5307" s="129"/>
      <c r="P5307" s="364"/>
      <c r="Q5307" s="364"/>
      <c r="R5307" s="129"/>
      <c r="S5307" s="129"/>
      <c r="T5307" s="129"/>
      <c r="W5307" s="129" t="s">
        <v>286</v>
      </c>
      <c r="X5307" s="337" t="b">
        <f t="shared" si="120"/>
        <v>1</v>
      </c>
    </row>
    <row r="5308" spans="1:24" s="337" customFormat="1" ht="12" customHeight="1" outlineLevel="1">
      <c r="A5308" s="335"/>
      <c r="B5308" s="118" t="s">
        <v>12</v>
      </c>
      <c r="C5308" s="334" t="s">
        <v>13860</v>
      </c>
      <c r="D5308" s="124" t="s">
        <v>11446</v>
      </c>
      <c r="E5308" s="125"/>
      <c r="F5308" s="118" t="s">
        <v>1018</v>
      </c>
      <c r="G5308" s="126" t="s">
        <v>13831</v>
      </c>
      <c r="H5308" s="255">
        <v>6</v>
      </c>
      <c r="I5308" s="361">
        <v>1</v>
      </c>
      <c r="J5308" s="362" t="s">
        <v>286</v>
      </c>
      <c r="K5308" s="363"/>
      <c r="L5308" s="129"/>
      <c r="M5308" s="129"/>
      <c r="N5308" s="129"/>
      <c r="O5308" s="129"/>
      <c r="P5308" s="364"/>
      <c r="Q5308" s="364"/>
      <c r="R5308" s="129"/>
      <c r="S5308" s="129"/>
      <c r="T5308" s="129"/>
      <c r="W5308" s="129" t="s">
        <v>286</v>
      </c>
      <c r="X5308" s="337" t="b">
        <f t="shared" si="120"/>
        <v>1</v>
      </c>
    </row>
    <row r="5309" spans="1:24" s="337" customFormat="1" ht="12" customHeight="1" outlineLevel="1">
      <c r="A5309" s="335"/>
      <c r="B5309" s="118" t="s">
        <v>12</v>
      </c>
      <c r="C5309" s="334" t="s">
        <v>13861</v>
      </c>
      <c r="D5309" s="124" t="s">
        <v>11448</v>
      </c>
      <c r="E5309" s="125"/>
      <c r="F5309" s="118" t="s">
        <v>1018</v>
      </c>
      <c r="G5309" s="126" t="s">
        <v>13831</v>
      </c>
      <c r="H5309" s="255">
        <v>6</v>
      </c>
      <c r="I5309" s="361">
        <v>1</v>
      </c>
      <c r="J5309" s="362" t="s">
        <v>286</v>
      </c>
      <c r="K5309" s="363"/>
      <c r="L5309" s="129"/>
      <c r="M5309" s="129"/>
      <c r="N5309" s="129"/>
      <c r="O5309" s="129"/>
      <c r="P5309" s="364"/>
      <c r="Q5309" s="364"/>
      <c r="R5309" s="129"/>
      <c r="S5309" s="129"/>
      <c r="T5309" s="129"/>
      <c r="W5309" s="129" t="s">
        <v>286</v>
      </c>
      <c r="X5309" s="337" t="b">
        <f t="shared" si="120"/>
        <v>1</v>
      </c>
    </row>
    <row r="5310" spans="1:24" s="337" customFormat="1" ht="12" customHeight="1" outlineLevel="1">
      <c r="A5310" s="335"/>
      <c r="B5310" s="118" t="s">
        <v>12</v>
      </c>
      <c r="C5310" s="334" t="s">
        <v>13862</v>
      </c>
      <c r="D5310" s="124" t="s">
        <v>11450</v>
      </c>
      <c r="E5310" s="125"/>
      <c r="F5310" s="118" t="s">
        <v>1018</v>
      </c>
      <c r="G5310" s="126" t="s">
        <v>13831</v>
      </c>
      <c r="H5310" s="255">
        <v>6</v>
      </c>
      <c r="I5310" s="361">
        <v>1</v>
      </c>
      <c r="J5310" s="362" t="s">
        <v>286</v>
      </c>
      <c r="K5310" s="363"/>
      <c r="L5310" s="129"/>
      <c r="M5310" s="129"/>
      <c r="N5310" s="129"/>
      <c r="O5310" s="129"/>
      <c r="P5310" s="364"/>
      <c r="Q5310" s="364"/>
      <c r="R5310" s="129"/>
      <c r="S5310" s="129"/>
      <c r="T5310" s="129"/>
      <c r="W5310" s="129" t="s">
        <v>286</v>
      </c>
      <c r="X5310" s="337" t="b">
        <f t="shared" si="120"/>
        <v>1</v>
      </c>
    </row>
    <row r="5311" spans="1:24" s="337" customFormat="1" ht="12" customHeight="1" outlineLevel="1">
      <c r="A5311" s="335"/>
      <c r="B5311" s="118" t="s">
        <v>12</v>
      </c>
      <c r="C5311" s="334" t="s">
        <v>13863</v>
      </c>
      <c r="D5311" s="124" t="s">
        <v>11452</v>
      </c>
      <c r="E5311" s="125"/>
      <c r="F5311" s="118" t="s">
        <v>1018</v>
      </c>
      <c r="G5311" s="126" t="s">
        <v>13831</v>
      </c>
      <c r="H5311" s="255">
        <v>6</v>
      </c>
      <c r="I5311" s="361">
        <v>1</v>
      </c>
      <c r="J5311" s="362" t="s">
        <v>286</v>
      </c>
      <c r="K5311" s="363"/>
      <c r="L5311" s="129"/>
      <c r="M5311" s="129"/>
      <c r="N5311" s="129"/>
      <c r="O5311" s="129"/>
      <c r="P5311" s="364"/>
      <c r="Q5311" s="364"/>
      <c r="R5311" s="129"/>
      <c r="S5311" s="129"/>
      <c r="T5311" s="129"/>
      <c r="W5311" s="129" t="s">
        <v>286</v>
      </c>
      <c r="X5311" s="337" t="b">
        <f t="shared" si="120"/>
        <v>1</v>
      </c>
    </row>
    <row r="5312" spans="1:24" s="337" customFormat="1" ht="12" customHeight="1" outlineLevel="1">
      <c r="A5312" s="335"/>
      <c r="B5312" s="118" t="s">
        <v>12</v>
      </c>
      <c r="C5312" s="334" t="s">
        <v>13864</v>
      </c>
      <c r="D5312" s="124" t="s">
        <v>11454</v>
      </c>
      <c r="E5312" s="125"/>
      <c r="F5312" s="118" t="s">
        <v>1018</v>
      </c>
      <c r="G5312" s="126" t="s">
        <v>13831</v>
      </c>
      <c r="H5312" s="255">
        <v>6</v>
      </c>
      <c r="I5312" s="361">
        <v>1</v>
      </c>
      <c r="J5312" s="362" t="s">
        <v>286</v>
      </c>
      <c r="K5312" s="363"/>
      <c r="L5312" s="129"/>
      <c r="M5312" s="129"/>
      <c r="N5312" s="129"/>
      <c r="O5312" s="129"/>
      <c r="P5312" s="364"/>
      <c r="Q5312" s="364"/>
      <c r="R5312" s="129"/>
      <c r="S5312" s="129"/>
      <c r="T5312" s="129"/>
      <c r="W5312" s="129" t="s">
        <v>286</v>
      </c>
      <c r="X5312" s="337" t="b">
        <f t="shared" si="120"/>
        <v>1</v>
      </c>
    </row>
    <row r="5313" spans="1:24" s="337" customFormat="1" ht="12" customHeight="1" outlineLevel="1">
      <c r="A5313" s="335"/>
      <c r="B5313" s="118" t="s">
        <v>12</v>
      </c>
      <c r="C5313" s="334" t="s">
        <v>13865</v>
      </c>
      <c r="D5313" s="124" t="s">
        <v>11456</v>
      </c>
      <c r="E5313" s="125"/>
      <c r="F5313" s="118" t="s">
        <v>1018</v>
      </c>
      <c r="G5313" s="126" t="s">
        <v>13831</v>
      </c>
      <c r="H5313" s="255">
        <v>6</v>
      </c>
      <c r="I5313" s="361">
        <v>1</v>
      </c>
      <c r="J5313" s="362" t="s">
        <v>286</v>
      </c>
      <c r="K5313" s="363"/>
      <c r="L5313" s="129"/>
      <c r="M5313" s="129"/>
      <c r="N5313" s="129"/>
      <c r="O5313" s="129"/>
      <c r="P5313" s="364"/>
      <c r="Q5313" s="364"/>
      <c r="R5313" s="129"/>
      <c r="S5313" s="129"/>
      <c r="T5313" s="129"/>
      <c r="W5313" s="129" t="s">
        <v>286</v>
      </c>
      <c r="X5313" s="337" t="b">
        <f t="shared" si="120"/>
        <v>1</v>
      </c>
    </row>
    <row r="5314" spans="1:24" s="337" customFormat="1" ht="12" customHeight="1" outlineLevel="1">
      <c r="A5314" s="335"/>
      <c r="B5314" s="118" t="s">
        <v>12</v>
      </c>
      <c r="C5314" s="334" t="s">
        <v>13866</v>
      </c>
      <c r="D5314" s="124" t="s">
        <v>11458</v>
      </c>
      <c r="E5314" s="125"/>
      <c r="F5314" s="118" t="s">
        <v>1018</v>
      </c>
      <c r="G5314" s="126" t="s">
        <v>13831</v>
      </c>
      <c r="H5314" s="255">
        <v>6</v>
      </c>
      <c r="I5314" s="361">
        <v>1</v>
      </c>
      <c r="J5314" s="362" t="s">
        <v>286</v>
      </c>
      <c r="K5314" s="363"/>
      <c r="L5314" s="129"/>
      <c r="M5314" s="129"/>
      <c r="N5314" s="129"/>
      <c r="O5314" s="129"/>
      <c r="P5314" s="364"/>
      <c r="Q5314" s="364"/>
      <c r="R5314" s="129"/>
      <c r="S5314" s="129"/>
      <c r="T5314" s="129"/>
      <c r="W5314" s="129" t="s">
        <v>286</v>
      </c>
      <c r="X5314" s="337" t="b">
        <f t="shared" si="120"/>
        <v>1</v>
      </c>
    </row>
    <row r="5315" spans="1:24" s="337" customFormat="1" ht="12" customHeight="1" outlineLevel="1">
      <c r="A5315" s="335"/>
      <c r="B5315" s="118" t="s">
        <v>12</v>
      </c>
      <c r="C5315" s="334" t="s">
        <v>13867</v>
      </c>
      <c r="D5315" s="124" t="s">
        <v>11460</v>
      </c>
      <c r="E5315" s="125"/>
      <c r="F5315" s="118" t="s">
        <v>1018</v>
      </c>
      <c r="G5315" s="126" t="s">
        <v>13831</v>
      </c>
      <c r="H5315" s="255">
        <v>6</v>
      </c>
      <c r="I5315" s="361">
        <v>1</v>
      </c>
      <c r="J5315" s="362" t="s">
        <v>286</v>
      </c>
      <c r="K5315" s="363"/>
      <c r="L5315" s="129"/>
      <c r="M5315" s="129"/>
      <c r="N5315" s="129"/>
      <c r="O5315" s="129"/>
      <c r="P5315" s="364"/>
      <c r="Q5315" s="364"/>
      <c r="R5315" s="129"/>
      <c r="S5315" s="129"/>
      <c r="T5315" s="129"/>
      <c r="W5315" s="129" t="s">
        <v>286</v>
      </c>
      <c r="X5315" s="337" t="b">
        <f t="shared" si="120"/>
        <v>1</v>
      </c>
    </row>
    <row r="5316" spans="1:24" s="337" customFormat="1" ht="12" customHeight="1" outlineLevel="1">
      <c r="A5316" s="335"/>
      <c r="B5316" s="118" t="s">
        <v>12</v>
      </c>
      <c r="C5316" s="334" t="s">
        <v>13868</v>
      </c>
      <c r="D5316" s="124" t="s">
        <v>11462</v>
      </c>
      <c r="E5316" s="125"/>
      <c r="F5316" s="118" t="s">
        <v>1018</v>
      </c>
      <c r="G5316" s="126" t="s">
        <v>13831</v>
      </c>
      <c r="H5316" s="255">
        <v>6</v>
      </c>
      <c r="I5316" s="361">
        <v>1</v>
      </c>
      <c r="J5316" s="362" t="s">
        <v>286</v>
      </c>
      <c r="K5316" s="363"/>
      <c r="L5316" s="129"/>
      <c r="M5316" s="129"/>
      <c r="N5316" s="129"/>
      <c r="O5316" s="129"/>
      <c r="P5316" s="364"/>
      <c r="Q5316" s="364"/>
      <c r="R5316" s="129"/>
      <c r="S5316" s="129"/>
      <c r="T5316" s="129"/>
      <c r="W5316" s="129" t="s">
        <v>286</v>
      </c>
      <c r="X5316" s="337" t="b">
        <f t="shared" si="120"/>
        <v>1</v>
      </c>
    </row>
    <row r="5317" spans="1:24" s="337" customFormat="1" ht="12" customHeight="1" outlineLevel="1">
      <c r="A5317" s="335"/>
      <c r="B5317" s="118" t="s">
        <v>12</v>
      </c>
      <c r="C5317" s="334" t="s">
        <v>13869</v>
      </c>
      <c r="D5317" s="124" t="s">
        <v>11464</v>
      </c>
      <c r="E5317" s="125"/>
      <c r="F5317" s="118" t="s">
        <v>1018</v>
      </c>
      <c r="G5317" s="126" t="s">
        <v>13831</v>
      </c>
      <c r="H5317" s="255">
        <v>6</v>
      </c>
      <c r="I5317" s="361">
        <v>1</v>
      </c>
      <c r="J5317" s="362" t="s">
        <v>286</v>
      </c>
      <c r="K5317" s="363"/>
      <c r="L5317" s="129"/>
      <c r="M5317" s="129"/>
      <c r="N5317" s="129"/>
      <c r="O5317" s="129"/>
      <c r="P5317" s="364"/>
      <c r="Q5317" s="364"/>
      <c r="R5317" s="129"/>
      <c r="S5317" s="129"/>
      <c r="T5317" s="129"/>
      <c r="W5317" s="129" t="s">
        <v>286</v>
      </c>
      <c r="X5317" s="337" t="b">
        <f t="shared" si="120"/>
        <v>1</v>
      </c>
    </row>
    <row r="5318" spans="1:24" s="337" customFormat="1" ht="12" customHeight="1" outlineLevel="1">
      <c r="A5318" s="335"/>
      <c r="B5318" s="118" t="s">
        <v>12</v>
      </c>
      <c r="C5318" s="334" t="s">
        <v>13870</v>
      </c>
      <c r="D5318" s="124" t="s">
        <v>11466</v>
      </c>
      <c r="E5318" s="125"/>
      <c r="F5318" s="118" t="s">
        <v>1018</v>
      </c>
      <c r="G5318" s="126" t="s">
        <v>13831</v>
      </c>
      <c r="H5318" s="255">
        <v>6</v>
      </c>
      <c r="I5318" s="361">
        <v>1</v>
      </c>
      <c r="J5318" s="362" t="s">
        <v>286</v>
      </c>
      <c r="K5318" s="363"/>
      <c r="L5318" s="129"/>
      <c r="M5318" s="129"/>
      <c r="N5318" s="129"/>
      <c r="O5318" s="129"/>
      <c r="P5318" s="364"/>
      <c r="Q5318" s="364"/>
      <c r="R5318" s="129"/>
      <c r="S5318" s="129"/>
      <c r="T5318" s="129"/>
      <c r="W5318" s="129" t="s">
        <v>286</v>
      </c>
      <c r="X5318" s="337" t="b">
        <f t="shared" si="120"/>
        <v>1</v>
      </c>
    </row>
    <row r="5319" spans="1:24" s="337" customFormat="1" ht="12" customHeight="1" outlineLevel="1">
      <c r="A5319" s="335"/>
      <c r="B5319" s="118" t="s">
        <v>12</v>
      </c>
      <c r="C5319" s="334" t="s">
        <v>13871</v>
      </c>
      <c r="D5319" s="124" t="s">
        <v>11468</v>
      </c>
      <c r="E5319" s="125"/>
      <c r="F5319" s="118" t="s">
        <v>1018</v>
      </c>
      <c r="G5319" s="126" t="s">
        <v>13831</v>
      </c>
      <c r="H5319" s="255">
        <v>6</v>
      </c>
      <c r="I5319" s="361">
        <v>1</v>
      </c>
      <c r="J5319" s="362" t="s">
        <v>286</v>
      </c>
      <c r="K5319" s="363"/>
      <c r="L5319" s="129"/>
      <c r="M5319" s="129"/>
      <c r="N5319" s="129"/>
      <c r="O5319" s="129"/>
      <c r="P5319" s="364"/>
      <c r="Q5319" s="364"/>
      <c r="R5319" s="129"/>
      <c r="S5319" s="129"/>
      <c r="T5319" s="129"/>
      <c r="W5319" s="129" t="s">
        <v>286</v>
      </c>
      <c r="X5319" s="337" t="b">
        <f t="shared" si="120"/>
        <v>1</v>
      </c>
    </row>
    <row r="5320" spans="1:24" s="337" customFormat="1" ht="12" customHeight="1" outlineLevel="1">
      <c r="A5320" s="335"/>
      <c r="B5320" s="118" t="s">
        <v>12</v>
      </c>
      <c r="C5320" s="334" t="s">
        <v>13872</v>
      </c>
      <c r="D5320" s="124" t="s">
        <v>11470</v>
      </c>
      <c r="E5320" s="125"/>
      <c r="F5320" s="118" t="s">
        <v>1018</v>
      </c>
      <c r="G5320" s="126" t="s">
        <v>13831</v>
      </c>
      <c r="H5320" s="255">
        <v>6</v>
      </c>
      <c r="I5320" s="361">
        <v>1</v>
      </c>
      <c r="J5320" s="362" t="s">
        <v>286</v>
      </c>
      <c r="K5320" s="363"/>
      <c r="L5320" s="129"/>
      <c r="M5320" s="129"/>
      <c r="N5320" s="129"/>
      <c r="O5320" s="129"/>
      <c r="P5320" s="364"/>
      <c r="Q5320" s="364"/>
      <c r="R5320" s="129"/>
      <c r="S5320" s="129"/>
      <c r="T5320" s="129"/>
      <c r="W5320" s="129" t="s">
        <v>286</v>
      </c>
      <c r="X5320" s="337" t="b">
        <f t="shared" si="120"/>
        <v>1</v>
      </c>
    </row>
    <row r="5321" spans="1:24" s="337" customFormat="1" ht="12" customHeight="1" outlineLevel="1">
      <c r="A5321" s="335"/>
      <c r="B5321" s="118" t="s">
        <v>12</v>
      </c>
      <c r="C5321" s="334" t="s">
        <v>13873</v>
      </c>
      <c r="D5321" s="124" t="s">
        <v>11472</v>
      </c>
      <c r="E5321" s="125"/>
      <c r="F5321" s="118" t="s">
        <v>1018</v>
      </c>
      <c r="G5321" s="126" t="s">
        <v>13831</v>
      </c>
      <c r="H5321" s="255">
        <v>6</v>
      </c>
      <c r="I5321" s="361">
        <v>1</v>
      </c>
      <c r="J5321" s="362" t="s">
        <v>286</v>
      </c>
      <c r="K5321" s="363"/>
      <c r="L5321" s="129"/>
      <c r="M5321" s="129"/>
      <c r="N5321" s="129"/>
      <c r="O5321" s="129"/>
      <c r="P5321" s="364"/>
      <c r="Q5321" s="364"/>
      <c r="R5321" s="129"/>
      <c r="S5321" s="129"/>
      <c r="T5321" s="129"/>
      <c r="W5321" s="129" t="s">
        <v>286</v>
      </c>
      <c r="X5321" s="337" t="b">
        <f t="shared" si="120"/>
        <v>1</v>
      </c>
    </row>
    <row r="5322" spans="1:24" s="337" customFormat="1" ht="12" customHeight="1" outlineLevel="1">
      <c r="A5322" s="335"/>
      <c r="B5322" s="118" t="s">
        <v>12</v>
      </c>
      <c r="C5322" s="334" t="s">
        <v>13874</v>
      </c>
      <c r="D5322" s="124" t="s">
        <v>11474</v>
      </c>
      <c r="E5322" s="125"/>
      <c r="F5322" s="118" t="s">
        <v>1018</v>
      </c>
      <c r="G5322" s="126" t="s">
        <v>13831</v>
      </c>
      <c r="H5322" s="255">
        <v>6</v>
      </c>
      <c r="I5322" s="361">
        <v>1</v>
      </c>
      <c r="J5322" s="362" t="s">
        <v>286</v>
      </c>
      <c r="K5322" s="363"/>
      <c r="L5322" s="129"/>
      <c r="M5322" s="129"/>
      <c r="N5322" s="129"/>
      <c r="O5322" s="129"/>
      <c r="P5322" s="364"/>
      <c r="Q5322" s="364"/>
      <c r="R5322" s="129"/>
      <c r="S5322" s="129"/>
      <c r="T5322" s="129"/>
      <c r="W5322" s="129" t="s">
        <v>286</v>
      </c>
      <c r="X5322" s="337" t="b">
        <f t="shared" si="120"/>
        <v>1</v>
      </c>
    </row>
    <row r="5323" spans="1:24" s="337" customFormat="1" ht="12" customHeight="1" outlineLevel="1">
      <c r="A5323" s="335"/>
      <c r="B5323" s="118" t="s">
        <v>12</v>
      </c>
      <c r="C5323" s="334" t="s">
        <v>13875</v>
      </c>
      <c r="D5323" s="124" t="s">
        <v>11476</v>
      </c>
      <c r="E5323" s="125"/>
      <c r="F5323" s="118" t="s">
        <v>1018</v>
      </c>
      <c r="G5323" s="126" t="s">
        <v>13831</v>
      </c>
      <c r="H5323" s="255">
        <v>6</v>
      </c>
      <c r="I5323" s="361">
        <v>1</v>
      </c>
      <c r="J5323" s="362" t="s">
        <v>286</v>
      </c>
      <c r="K5323" s="363"/>
      <c r="L5323" s="129"/>
      <c r="M5323" s="129"/>
      <c r="N5323" s="129"/>
      <c r="O5323" s="129"/>
      <c r="P5323" s="364"/>
      <c r="Q5323" s="364"/>
      <c r="R5323" s="129"/>
      <c r="S5323" s="129"/>
      <c r="T5323" s="129"/>
      <c r="W5323" s="129" t="s">
        <v>286</v>
      </c>
      <c r="X5323" s="337" t="b">
        <f t="shared" si="120"/>
        <v>1</v>
      </c>
    </row>
    <row r="5324" spans="1:24" s="337" customFormat="1" ht="12" customHeight="1" outlineLevel="1">
      <c r="A5324" s="335"/>
      <c r="B5324" s="118" t="s">
        <v>12</v>
      </c>
      <c r="C5324" s="334" t="s">
        <v>13876</v>
      </c>
      <c r="D5324" s="124" t="s">
        <v>11478</v>
      </c>
      <c r="E5324" s="125"/>
      <c r="F5324" s="118" t="s">
        <v>1018</v>
      </c>
      <c r="G5324" s="126" t="s">
        <v>13831</v>
      </c>
      <c r="H5324" s="255">
        <v>6</v>
      </c>
      <c r="I5324" s="361">
        <v>1</v>
      </c>
      <c r="J5324" s="362" t="s">
        <v>286</v>
      </c>
      <c r="K5324" s="363"/>
      <c r="L5324" s="129"/>
      <c r="M5324" s="129"/>
      <c r="N5324" s="129"/>
      <c r="O5324" s="129"/>
      <c r="P5324" s="364"/>
      <c r="Q5324" s="364"/>
      <c r="R5324" s="129"/>
      <c r="S5324" s="129"/>
      <c r="T5324" s="129"/>
      <c r="W5324" s="129" t="s">
        <v>286</v>
      </c>
      <c r="X5324" s="337" t="b">
        <f t="shared" si="120"/>
        <v>1</v>
      </c>
    </row>
    <row r="5325" spans="1:24" s="337" customFormat="1" ht="12" customHeight="1" outlineLevel="1">
      <c r="A5325" s="335"/>
      <c r="B5325" s="118" t="s">
        <v>12</v>
      </c>
      <c r="C5325" s="334" t="s">
        <v>13877</v>
      </c>
      <c r="D5325" s="124" t="s">
        <v>11480</v>
      </c>
      <c r="E5325" s="125"/>
      <c r="F5325" s="118" t="s">
        <v>1018</v>
      </c>
      <c r="G5325" s="126" t="s">
        <v>13831</v>
      </c>
      <c r="H5325" s="255">
        <v>6</v>
      </c>
      <c r="I5325" s="361">
        <v>1</v>
      </c>
      <c r="J5325" s="362" t="s">
        <v>286</v>
      </c>
      <c r="K5325" s="363"/>
      <c r="L5325" s="129"/>
      <c r="M5325" s="129"/>
      <c r="N5325" s="129"/>
      <c r="O5325" s="129"/>
      <c r="P5325" s="364"/>
      <c r="Q5325" s="364"/>
      <c r="R5325" s="129"/>
      <c r="S5325" s="129"/>
      <c r="T5325" s="129"/>
      <c r="W5325" s="129" t="s">
        <v>286</v>
      </c>
      <c r="X5325" s="337" t="b">
        <f t="shared" si="120"/>
        <v>1</v>
      </c>
    </row>
    <row r="5326" spans="1:24" s="337" customFormat="1" ht="12" customHeight="1" outlineLevel="1">
      <c r="A5326" s="335"/>
      <c r="B5326" s="118" t="s">
        <v>12</v>
      </c>
      <c r="C5326" s="334" t="s">
        <v>13878</v>
      </c>
      <c r="D5326" s="124" t="s">
        <v>11482</v>
      </c>
      <c r="E5326" s="125"/>
      <c r="F5326" s="118" t="s">
        <v>1018</v>
      </c>
      <c r="G5326" s="126" t="s">
        <v>13831</v>
      </c>
      <c r="H5326" s="255">
        <v>6</v>
      </c>
      <c r="I5326" s="361">
        <v>1</v>
      </c>
      <c r="J5326" s="362" t="s">
        <v>286</v>
      </c>
      <c r="K5326" s="363"/>
      <c r="L5326" s="129"/>
      <c r="M5326" s="129"/>
      <c r="N5326" s="129"/>
      <c r="O5326" s="129"/>
      <c r="P5326" s="364"/>
      <c r="Q5326" s="364"/>
      <c r="R5326" s="129"/>
      <c r="S5326" s="129"/>
      <c r="T5326" s="129"/>
      <c r="W5326" s="129" t="s">
        <v>286</v>
      </c>
      <c r="X5326" s="337" t="b">
        <f t="shared" ref="X5326:X5389" si="121">W5326=J5326</f>
        <v>1</v>
      </c>
    </row>
    <row r="5327" spans="1:24" s="337" customFormat="1" ht="12" customHeight="1" outlineLevel="1">
      <c r="A5327" s="335"/>
      <c r="B5327" s="118" t="s">
        <v>12</v>
      </c>
      <c r="C5327" s="334" t="s">
        <v>13879</v>
      </c>
      <c r="D5327" s="124" t="s">
        <v>11484</v>
      </c>
      <c r="E5327" s="125"/>
      <c r="F5327" s="118" t="s">
        <v>1018</v>
      </c>
      <c r="G5327" s="126" t="s">
        <v>13831</v>
      </c>
      <c r="H5327" s="255">
        <v>6</v>
      </c>
      <c r="I5327" s="361">
        <v>1</v>
      </c>
      <c r="J5327" s="362" t="s">
        <v>286</v>
      </c>
      <c r="K5327" s="363"/>
      <c r="L5327" s="129"/>
      <c r="M5327" s="129"/>
      <c r="N5327" s="129"/>
      <c r="O5327" s="129"/>
      <c r="P5327" s="364"/>
      <c r="Q5327" s="364"/>
      <c r="R5327" s="129"/>
      <c r="S5327" s="129"/>
      <c r="T5327" s="129"/>
      <c r="W5327" s="129" t="s">
        <v>286</v>
      </c>
      <c r="X5327" s="337" t="b">
        <f t="shared" si="121"/>
        <v>1</v>
      </c>
    </row>
    <row r="5328" spans="1:24" s="337" customFormat="1" ht="12" customHeight="1" outlineLevel="1">
      <c r="A5328" s="335"/>
      <c r="B5328" s="118" t="s">
        <v>12</v>
      </c>
      <c r="C5328" s="334" t="s">
        <v>13880</v>
      </c>
      <c r="D5328" s="124" t="s">
        <v>11486</v>
      </c>
      <c r="E5328" s="125"/>
      <c r="F5328" s="118" t="s">
        <v>1018</v>
      </c>
      <c r="G5328" s="126" t="s">
        <v>13831</v>
      </c>
      <c r="H5328" s="255">
        <v>6</v>
      </c>
      <c r="I5328" s="361">
        <v>1</v>
      </c>
      <c r="J5328" s="362" t="s">
        <v>286</v>
      </c>
      <c r="K5328" s="363"/>
      <c r="L5328" s="129"/>
      <c r="M5328" s="129"/>
      <c r="N5328" s="129"/>
      <c r="O5328" s="129"/>
      <c r="P5328" s="364"/>
      <c r="Q5328" s="364"/>
      <c r="R5328" s="129"/>
      <c r="S5328" s="129"/>
      <c r="T5328" s="129"/>
      <c r="W5328" s="129" t="s">
        <v>286</v>
      </c>
      <c r="X5328" s="337" t="b">
        <f t="shared" si="121"/>
        <v>1</v>
      </c>
    </row>
    <row r="5329" spans="1:24" s="337" customFormat="1" ht="12" customHeight="1" outlineLevel="1">
      <c r="A5329" s="335"/>
      <c r="B5329" s="118" t="s">
        <v>12</v>
      </c>
      <c r="C5329" s="334" t="s">
        <v>13881</v>
      </c>
      <c r="D5329" s="124" t="s">
        <v>11488</v>
      </c>
      <c r="E5329" s="125"/>
      <c r="F5329" s="118" t="s">
        <v>1018</v>
      </c>
      <c r="G5329" s="126" t="s">
        <v>13831</v>
      </c>
      <c r="H5329" s="255">
        <v>6</v>
      </c>
      <c r="I5329" s="361">
        <v>1</v>
      </c>
      <c r="J5329" s="362" t="s">
        <v>286</v>
      </c>
      <c r="K5329" s="363"/>
      <c r="L5329" s="129"/>
      <c r="M5329" s="129"/>
      <c r="N5329" s="129"/>
      <c r="O5329" s="129"/>
      <c r="P5329" s="364"/>
      <c r="Q5329" s="364"/>
      <c r="R5329" s="129"/>
      <c r="S5329" s="129"/>
      <c r="T5329" s="129"/>
      <c r="W5329" s="129" t="s">
        <v>286</v>
      </c>
      <c r="X5329" s="337" t="b">
        <f t="shared" si="121"/>
        <v>1</v>
      </c>
    </row>
    <row r="5330" spans="1:24" s="337" customFormat="1" ht="12" customHeight="1" outlineLevel="1">
      <c r="A5330" s="335"/>
      <c r="B5330" s="118" t="s">
        <v>12</v>
      </c>
      <c r="C5330" s="334" t="s">
        <v>13882</v>
      </c>
      <c r="D5330" s="124" t="s">
        <v>11490</v>
      </c>
      <c r="E5330" s="125"/>
      <c r="F5330" s="118" t="s">
        <v>1018</v>
      </c>
      <c r="G5330" s="126" t="s">
        <v>13831</v>
      </c>
      <c r="H5330" s="255">
        <v>6</v>
      </c>
      <c r="I5330" s="361">
        <v>1</v>
      </c>
      <c r="J5330" s="362" t="s">
        <v>286</v>
      </c>
      <c r="K5330" s="363"/>
      <c r="L5330" s="129"/>
      <c r="M5330" s="129"/>
      <c r="N5330" s="129"/>
      <c r="O5330" s="129"/>
      <c r="P5330" s="364"/>
      <c r="Q5330" s="364"/>
      <c r="R5330" s="129"/>
      <c r="S5330" s="129"/>
      <c r="T5330" s="129"/>
      <c r="W5330" s="129" t="s">
        <v>286</v>
      </c>
      <c r="X5330" s="337" t="b">
        <f t="shared" si="121"/>
        <v>1</v>
      </c>
    </row>
    <row r="5331" spans="1:24" s="337" customFormat="1" ht="12" customHeight="1" outlineLevel="1">
      <c r="A5331" s="335"/>
      <c r="B5331" s="118" t="s">
        <v>12</v>
      </c>
      <c r="C5331" s="334" t="s">
        <v>13883</v>
      </c>
      <c r="D5331" s="124" t="s">
        <v>11492</v>
      </c>
      <c r="E5331" s="125"/>
      <c r="F5331" s="118" t="s">
        <v>1018</v>
      </c>
      <c r="G5331" s="126" t="s">
        <v>13831</v>
      </c>
      <c r="H5331" s="255">
        <v>6</v>
      </c>
      <c r="I5331" s="361">
        <v>1</v>
      </c>
      <c r="J5331" s="362" t="s">
        <v>286</v>
      </c>
      <c r="K5331" s="363"/>
      <c r="L5331" s="129"/>
      <c r="M5331" s="129"/>
      <c r="N5331" s="129"/>
      <c r="O5331" s="129"/>
      <c r="P5331" s="364"/>
      <c r="Q5331" s="364"/>
      <c r="R5331" s="129"/>
      <c r="S5331" s="129"/>
      <c r="T5331" s="129"/>
      <c r="W5331" s="129" t="s">
        <v>286</v>
      </c>
      <c r="X5331" s="337" t="b">
        <f t="shared" si="121"/>
        <v>1</v>
      </c>
    </row>
    <row r="5332" spans="1:24" s="337" customFormat="1" ht="12" customHeight="1" outlineLevel="1">
      <c r="A5332" s="335"/>
      <c r="B5332" s="118" t="s">
        <v>12</v>
      </c>
      <c r="C5332" s="334" t="s">
        <v>13884</v>
      </c>
      <c r="D5332" s="124" t="s">
        <v>11494</v>
      </c>
      <c r="E5332" s="125"/>
      <c r="F5332" s="118" t="s">
        <v>1018</v>
      </c>
      <c r="G5332" s="126" t="s">
        <v>13831</v>
      </c>
      <c r="H5332" s="255">
        <v>6</v>
      </c>
      <c r="I5332" s="361">
        <v>1</v>
      </c>
      <c r="J5332" s="362" t="s">
        <v>286</v>
      </c>
      <c r="K5332" s="363"/>
      <c r="L5332" s="129"/>
      <c r="M5332" s="129"/>
      <c r="N5332" s="129"/>
      <c r="O5332" s="129"/>
      <c r="P5332" s="364"/>
      <c r="Q5332" s="364"/>
      <c r="R5332" s="129"/>
      <c r="S5332" s="129"/>
      <c r="T5332" s="129"/>
      <c r="W5332" s="129" t="s">
        <v>286</v>
      </c>
      <c r="X5332" s="337" t="b">
        <f t="shared" si="121"/>
        <v>1</v>
      </c>
    </row>
    <row r="5333" spans="1:24" s="337" customFormat="1" ht="12" customHeight="1" outlineLevel="1">
      <c r="A5333" s="335"/>
      <c r="B5333" s="118" t="s">
        <v>12</v>
      </c>
      <c r="C5333" s="334" t="s">
        <v>13885</v>
      </c>
      <c r="D5333" s="124" t="s">
        <v>11496</v>
      </c>
      <c r="E5333" s="125"/>
      <c r="F5333" s="118" t="s">
        <v>1018</v>
      </c>
      <c r="G5333" s="126" t="s">
        <v>13831</v>
      </c>
      <c r="H5333" s="255">
        <v>6</v>
      </c>
      <c r="I5333" s="361">
        <v>1</v>
      </c>
      <c r="J5333" s="362" t="s">
        <v>286</v>
      </c>
      <c r="K5333" s="363"/>
      <c r="L5333" s="129"/>
      <c r="M5333" s="129"/>
      <c r="N5333" s="129"/>
      <c r="O5333" s="129"/>
      <c r="P5333" s="364"/>
      <c r="Q5333" s="364"/>
      <c r="R5333" s="129"/>
      <c r="S5333" s="129"/>
      <c r="T5333" s="129"/>
      <c r="W5333" s="129" t="s">
        <v>286</v>
      </c>
      <c r="X5333" s="337" t="b">
        <f t="shared" si="121"/>
        <v>1</v>
      </c>
    </row>
    <row r="5334" spans="1:24" s="337" customFormat="1" ht="12" customHeight="1" outlineLevel="1">
      <c r="A5334" s="335"/>
      <c r="B5334" s="118" t="s">
        <v>12</v>
      </c>
      <c r="C5334" s="334" t="s">
        <v>13886</v>
      </c>
      <c r="D5334" s="124" t="s">
        <v>11498</v>
      </c>
      <c r="E5334" s="125"/>
      <c r="F5334" s="118" t="s">
        <v>1018</v>
      </c>
      <c r="G5334" s="126" t="s">
        <v>13831</v>
      </c>
      <c r="H5334" s="255">
        <v>6</v>
      </c>
      <c r="I5334" s="361">
        <v>1</v>
      </c>
      <c r="J5334" s="362" t="s">
        <v>286</v>
      </c>
      <c r="K5334" s="363"/>
      <c r="L5334" s="129"/>
      <c r="M5334" s="129"/>
      <c r="N5334" s="129"/>
      <c r="O5334" s="129"/>
      <c r="P5334" s="364"/>
      <c r="Q5334" s="364"/>
      <c r="R5334" s="129"/>
      <c r="S5334" s="129"/>
      <c r="T5334" s="129"/>
      <c r="W5334" s="129" t="s">
        <v>286</v>
      </c>
      <c r="X5334" s="337" t="b">
        <f t="shared" si="121"/>
        <v>1</v>
      </c>
    </row>
    <row r="5335" spans="1:24" s="337" customFormat="1" ht="12" customHeight="1" outlineLevel="1">
      <c r="A5335" s="335"/>
      <c r="B5335" s="118" t="s">
        <v>12</v>
      </c>
      <c r="C5335" s="334" t="s">
        <v>13887</v>
      </c>
      <c r="D5335" s="124" t="s">
        <v>11500</v>
      </c>
      <c r="E5335" s="125"/>
      <c r="F5335" s="118" t="s">
        <v>1018</v>
      </c>
      <c r="G5335" s="126" t="s">
        <v>13831</v>
      </c>
      <c r="H5335" s="255">
        <v>6</v>
      </c>
      <c r="I5335" s="361">
        <v>1</v>
      </c>
      <c r="J5335" s="362" t="s">
        <v>286</v>
      </c>
      <c r="K5335" s="363"/>
      <c r="L5335" s="129"/>
      <c r="M5335" s="129"/>
      <c r="N5335" s="129"/>
      <c r="O5335" s="129"/>
      <c r="P5335" s="364"/>
      <c r="Q5335" s="364"/>
      <c r="R5335" s="129"/>
      <c r="S5335" s="129"/>
      <c r="T5335" s="129"/>
      <c r="W5335" s="129" t="s">
        <v>286</v>
      </c>
      <c r="X5335" s="337" t="b">
        <f t="shared" si="121"/>
        <v>1</v>
      </c>
    </row>
    <row r="5336" spans="1:24" s="337" customFormat="1" ht="12" customHeight="1" outlineLevel="1">
      <c r="A5336" s="335"/>
      <c r="B5336" s="118" t="s">
        <v>12</v>
      </c>
      <c r="C5336" s="334" t="s">
        <v>13888</v>
      </c>
      <c r="D5336" s="124" t="s">
        <v>11502</v>
      </c>
      <c r="E5336" s="125"/>
      <c r="F5336" s="118" t="s">
        <v>1018</v>
      </c>
      <c r="G5336" s="126" t="s">
        <v>13831</v>
      </c>
      <c r="H5336" s="255">
        <v>6</v>
      </c>
      <c r="I5336" s="361">
        <v>1</v>
      </c>
      <c r="J5336" s="362" t="s">
        <v>286</v>
      </c>
      <c r="K5336" s="363"/>
      <c r="L5336" s="129"/>
      <c r="M5336" s="129"/>
      <c r="N5336" s="129"/>
      <c r="O5336" s="129"/>
      <c r="P5336" s="364"/>
      <c r="Q5336" s="364"/>
      <c r="R5336" s="129"/>
      <c r="S5336" s="129"/>
      <c r="T5336" s="129"/>
      <c r="W5336" s="129" t="s">
        <v>286</v>
      </c>
      <c r="X5336" s="337" t="b">
        <f t="shared" si="121"/>
        <v>1</v>
      </c>
    </row>
    <row r="5337" spans="1:24" s="337" customFormat="1" ht="12" customHeight="1" outlineLevel="1">
      <c r="A5337" s="335"/>
      <c r="B5337" s="118" t="s">
        <v>12</v>
      </c>
      <c r="C5337" s="334" t="s">
        <v>13889</v>
      </c>
      <c r="D5337" s="124" t="s">
        <v>11504</v>
      </c>
      <c r="E5337" s="125"/>
      <c r="F5337" s="118" t="s">
        <v>1018</v>
      </c>
      <c r="G5337" s="126" t="s">
        <v>13831</v>
      </c>
      <c r="H5337" s="255">
        <v>6</v>
      </c>
      <c r="I5337" s="361">
        <v>1</v>
      </c>
      <c r="J5337" s="362" t="s">
        <v>286</v>
      </c>
      <c r="K5337" s="363"/>
      <c r="L5337" s="129"/>
      <c r="M5337" s="129"/>
      <c r="N5337" s="129"/>
      <c r="O5337" s="129"/>
      <c r="P5337" s="364"/>
      <c r="Q5337" s="364"/>
      <c r="R5337" s="129"/>
      <c r="S5337" s="129"/>
      <c r="T5337" s="129"/>
      <c r="W5337" s="129" t="s">
        <v>286</v>
      </c>
      <c r="X5337" s="337" t="b">
        <f t="shared" si="121"/>
        <v>1</v>
      </c>
    </row>
    <row r="5338" spans="1:24" s="337" customFormat="1" ht="12" customHeight="1" outlineLevel="1">
      <c r="A5338" s="335"/>
      <c r="B5338" s="118" t="s">
        <v>12</v>
      </c>
      <c r="C5338" s="334" t="s">
        <v>13890</v>
      </c>
      <c r="D5338" s="124" t="s">
        <v>11506</v>
      </c>
      <c r="E5338" s="125"/>
      <c r="F5338" s="118" t="s">
        <v>1018</v>
      </c>
      <c r="G5338" s="126" t="s">
        <v>13831</v>
      </c>
      <c r="H5338" s="255">
        <v>6</v>
      </c>
      <c r="I5338" s="361">
        <v>1</v>
      </c>
      <c r="J5338" s="362" t="s">
        <v>286</v>
      </c>
      <c r="K5338" s="363"/>
      <c r="L5338" s="129"/>
      <c r="M5338" s="129"/>
      <c r="N5338" s="129"/>
      <c r="O5338" s="129"/>
      <c r="P5338" s="364"/>
      <c r="Q5338" s="364"/>
      <c r="R5338" s="129"/>
      <c r="S5338" s="129"/>
      <c r="T5338" s="129"/>
      <c r="W5338" s="129" t="s">
        <v>286</v>
      </c>
      <c r="X5338" s="337" t="b">
        <f t="shared" si="121"/>
        <v>1</v>
      </c>
    </row>
    <row r="5339" spans="1:24" s="337" customFormat="1" ht="12" customHeight="1" outlineLevel="1">
      <c r="A5339" s="335"/>
      <c r="B5339" s="118" t="s">
        <v>12</v>
      </c>
      <c r="C5339" s="334" t="s">
        <v>13891</v>
      </c>
      <c r="D5339" s="124" t="s">
        <v>11508</v>
      </c>
      <c r="E5339" s="125"/>
      <c r="F5339" s="118" t="s">
        <v>1018</v>
      </c>
      <c r="G5339" s="126" t="s">
        <v>13831</v>
      </c>
      <c r="H5339" s="255">
        <v>6</v>
      </c>
      <c r="I5339" s="361">
        <v>1</v>
      </c>
      <c r="J5339" s="362" t="s">
        <v>286</v>
      </c>
      <c r="K5339" s="363"/>
      <c r="L5339" s="129"/>
      <c r="M5339" s="129"/>
      <c r="N5339" s="129"/>
      <c r="O5339" s="129"/>
      <c r="P5339" s="364"/>
      <c r="Q5339" s="364"/>
      <c r="R5339" s="129"/>
      <c r="S5339" s="129"/>
      <c r="T5339" s="129"/>
      <c r="W5339" s="129" t="s">
        <v>286</v>
      </c>
      <c r="X5339" s="337" t="b">
        <f t="shared" si="121"/>
        <v>1</v>
      </c>
    </row>
    <row r="5340" spans="1:24" s="337" customFormat="1" ht="12" customHeight="1" outlineLevel="1">
      <c r="A5340" s="335"/>
      <c r="B5340" s="118" t="s">
        <v>12</v>
      </c>
      <c r="C5340" s="334" t="s">
        <v>13892</v>
      </c>
      <c r="D5340" s="124" t="s">
        <v>11510</v>
      </c>
      <c r="E5340" s="125"/>
      <c r="F5340" s="118" t="s">
        <v>1018</v>
      </c>
      <c r="G5340" s="126" t="s">
        <v>13831</v>
      </c>
      <c r="H5340" s="255">
        <v>6</v>
      </c>
      <c r="I5340" s="361">
        <v>1</v>
      </c>
      <c r="J5340" s="362" t="s">
        <v>310</v>
      </c>
      <c r="K5340" s="363"/>
      <c r="L5340" s="129"/>
      <c r="M5340" s="129"/>
      <c r="N5340" s="129"/>
      <c r="O5340" s="129"/>
      <c r="P5340" s="364"/>
      <c r="Q5340" s="364"/>
      <c r="R5340" s="129"/>
      <c r="S5340" s="129"/>
      <c r="T5340" s="129"/>
      <c r="W5340" s="129" t="s">
        <v>310</v>
      </c>
      <c r="X5340" s="337" t="b">
        <f t="shared" si="121"/>
        <v>1</v>
      </c>
    </row>
    <row r="5341" spans="1:24" s="337" customFormat="1" ht="12" customHeight="1" outlineLevel="1">
      <c r="A5341" s="335"/>
      <c r="B5341" s="118" t="s">
        <v>12</v>
      </c>
      <c r="C5341" s="334" t="s">
        <v>13893</v>
      </c>
      <c r="D5341" s="124" t="s">
        <v>11512</v>
      </c>
      <c r="E5341" s="125"/>
      <c r="F5341" s="118" t="s">
        <v>1018</v>
      </c>
      <c r="G5341" s="126" t="s">
        <v>13831</v>
      </c>
      <c r="H5341" s="255">
        <v>6</v>
      </c>
      <c r="I5341" s="361">
        <v>1</v>
      </c>
      <c r="J5341" s="362" t="s">
        <v>286</v>
      </c>
      <c r="K5341" s="363"/>
      <c r="L5341" s="129"/>
      <c r="M5341" s="129"/>
      <c r="N5341" s="129"/>
      <c r="O5341" s="129"/>
      <c r="P5341" s="364"/>
      <c r="Q5341" s="364"/>
      <c r="R5341" s="129"/>
      <c r="S5341" s="129"/>
      <c r="T5341" s="129"/>
      <c r="W5341" s="129" t="s">
        <v>286</v>
      </c>
      <c r="X5341" s="337" t="b">
        <f t="shared" si="121"/>
        <v>1</v>
      </c>
    </row>
    <row r="5342" spans="1:24" s="337" customFormat="1" ht="12" customHeight="1" outlineLevel="1">
      <c r="A5342" s="335"/>
      <c r="B5342" s="118" t="s">
        <v>12</v>
      </c>
      <c r="C5342" s="334" t="s">
        <v>13894</v>
      </c>
      <c r="D5342" s="124" t="s">
        <v>11578</v>
      </c>
      <c r="E5342" s="125"/>
      <c r="F5342" s="118" t="s">
        <v>1018</v>
      </c>
      <c r="G5342" s="126" t="s">
        <v>13831</v>
      </c>
      <c r="H5342" s="255">
        <v>6</v>
      </c>
      <c r="I5342" s="361">
        <v>1</v>
      </c>
      <c r="J5342" s="362" t="s">
        <v>286</v>
      </c>
      <c r="K5342" s="363"/>
      <c r="L5342" s="129"/>
      <c r="M5342" s="129"/>
      <c r="N5342" s="129"/>
      <c r="O5342" s="129"/>
      <c r="P5342" s="364"/>
      <c r="Q5342" s="364"/>
      <c r="R5342" s="129"/>
      <c r="S5342" s="129"/>
      <c r="T5342" s="129"/>
      <c r="W5342" s="129" t="s">
        <v>286</v>
      </c>
      <c r="X5342" s="337" t="b">
        <f t="shared" si="121"/>
        <v>1</v>
      </c>
    </row>
    <row r="5343" spans="1:24" s="337" customFormat="1" ht="12" customHeight="1" outlineLevel="1">
      <c r="A5343" s="335"/>
      <c r="B5343" s="118" t="s">
        <v>12</v>
      </c>
      <c r="C5343" s="334" t="s">
        <v>13895</v>
      </c>
      <c r="D5343" s="124" t="s">
        <v>11580</v>
      </c>
      <c r="E5343" s="125"/>
      <c r="F5343" s="118" t="s">
        <v>1018</v>
      </c>
      <c r="G5343" s="126" t="s">
        <v>13831</v>
      </c>
      <c r="H5343" s="255">
        <v>6</v>
      </c>
      <c r="I5343" s="361">
        <v>1</v>
      </c>
      <c r="J5343" s="362" t="s">
        <v>286</v>
      </c>
      <c r="K5343" s="363"/>
      <c r="L5343" s="129"/>
      <c r="M5343" s="129"/>
      <c r="N5343" s="129"/>
      <c r="O5343" s="129"/>
      <c r="P5343" s="364"/>
      <c r="Q5343" s="364"/>
      <c r="R5343" s="129"/>
      <c r="S5343" s="129"/>
      <c r="T5343" s="129"/>
      <c r="W5343" s="129" t="s">
        <v>286</v>
      </c>
      <c r="X5343" s="337" t="b">
        <f t="shared" si="121"/>
        <v>1</v>
      </c>
    </row>
    <row r="5344" spans="1:24" s="337" customFormat="1" ht="12" customHeight="1" outlineLevel="1">
      <c r="A5344" s="335"/>
      <c r="B5344" s="118" t="s">
        <v>12</v>
      </c>
      <c r="C5344" s="334" t="s">
        <v>13896</v>
      </c>
      <c r="D5344" s="124" t="s">
        <v>11582</v>
      </c>
      <c r="E5344" s="125"/>
      <c r="F5344" s="118" t="s">
        <v>1018</v>
      </c>
      <c r="G5344" s="126" t="s">
        <v>13831</v>
      </c>
      <c r="H5344" s="255">
        <v>6</v>
      </c>
      <c r="I5344" s="361">
        <v>1</v>
      </c>
      <c r="J5344" s="362" t="s">
        <v>286</v>
      </c>
      <c r="K5344" s="363"/>
      <c r="L5344" s="129"/>
      <c r="M5344" s="129"/>
      <c r="N5344" s="129"/>
      <c r="O5344" s="129"/>
      <c r="P5344" s="364"/>
      <c r="Q5344" s="364"/>
      <c r="R5344" s="129"/>
      <c r="S5344" s="129"/>
      <c r="T5344" s="129"/>
      <c r="W5344" s="129" t="s">
        <v>286</v>
      </c>
      <c r="X5344" s="337" t="b">
        <f t="shared" si="121"/>
        <v>1</v>
      </c>
    </row>
    <row r="5345" spans="1:24" s="337" customFormat="1" ht="12" customHeight="1" outlineLevel="1">
      <c r="A5345" s="335"/>
      <c r="B5345" s="118" t="s">
        <v>12</v>
      </c>
      <c r="C5345" s="334" t="s">
        <v>13897</v>
      </c>
      <c r="D5345" s="124" t="s">
        <v>11584</v>
      </c>
      <c r="E5345" s="125"/>
      <c r="F5345" s="118" t="s">
        <v>1018</v>
      </c>
      <c r="G5345" s="126" t="s">
        <v>13831</v>
      </c>
      <c r="H5345" s="255">
        <v>6</v>
      </c>
      <c r="I5345" s="361">
        <v>1</v>
      </c>
      <c r="J5345" s="362" t="s">
        <v>286</v>
      </c>
      <c r="K5345" s="363"/>
      <c r="L5345" s="129"/>
      <c r="M5345" s="129"/>
      <c r="N5345" s="129"/>
      <c r="O5345" s="129"/>
      <c r="P5345" s="364"/>
      <c r="Q5345" s="364"/>
      <c r="R5345" s="129"/>
      <c r="S5345" s="129"/>
      <c r="T5345" s="129"/>
      <c r="W5345" s="129" t="s">
        <v>286</v>
      </c>
      <c r="X5345" s="337" t="b">
        <f t="shared" si="121"/>
        <v>1</v>
      </c>
    </row>
    <row r="5346" spans="1:24" s="337" customFormat="1" ht="12" customHeight="1" outlineLevel="1">
      <c r="A5346" s="335"/>
      <c r="B5346" s="118" t="s">
        <v>12</v>
      </c>
      <c r="C5346" s="334" t="s">
        <v>13898</v>
      </c>
      <c r="D5346" s="124" t="s">
        <v>11586</v>
      </c>
      <c r="E5346" s="125"/>
      <c r="F5346" s="118" t="s">
        <v>1018</v>
      </c>
      <c r="G5346" s="126" t="s">
        <v>13831</v>
      </c>
      <c r="H5346" s="255">
        <v>6</v>
      </c>
      <c r="I5346" s="361">
        <v>1</v>
      </c>
      <c r="J5346" s="362" t="s">
        <v>286</v>
      </c>
      <c r="K5346" s="363"/>
      <c r="L5346" s="129"/>
      <c r="M5346" s="129"/>
      <c r="N5346" s="129"/>
      <c r="O5346" s="129"/>
      <c r="P5346" s="364"/>
      <c r="Q5346" s="364"/>
      <c r="R5346" s="129"/>
      <c r="S5346" s="129"/>
      <c r="T5346" s="129"/>
      <c r="W5346" s="129" t="s">
        <v>286</v>
      </c>
      <c r="X5346" s="337" t="b">
        <f t="shared" si="121"/>
        <v>1</v>
      </c>
    </row>
    <row r="5347" spans="1:24" s="337" customFormat="1" ht="12" customHeight="1" outlineLevel="1">
      <c r="A5347" s="335"/>
      <c r="B5347" s="118" t="s">
        <v>12</v>
      </c>
      <c r="C5347" s="334" t="s">
        <v>13899</v>
      </c>
      <c r="D5347" s="124" t="s">
        <v>11588</v>
      </c>
      <c r="E5347" s="125"/>
      <c r="F5347" s="118" t="s">
        <v>1018</v>
      </c>
      <c r="G5347" s="126" t="s">
        <v>13831</v>
      </c>
      <c r="H5347" s="255">
        <v>6</v>
      </c>
      <c r="I5347" s="361">
        <v>1</v>
      </c>
      <c r="J5347" s="362" t="s">
        <v>286</v>
      </c>
      <c r="K5347" s="363"/>
      <c r="L5347" s="129"/>
      <c r="M5347" s="129"/>
      <c r="N5347" s="129"/>
      <c r="O5347" s="129"/>
      <c r="P5347" s="364"/>
      <c r="Q5347" s="364"/>
      <c r="R5347" s="129"/>
      <c r="S5347" s="129"/>
      <c r="T5347" s="129"/>
      <c r="W5347" s="129" t="s">
        <v>286</v>
      </c>
      <c r="X5347" s="337" t="b">
        <f t="shared" si="121"/>
        <v>1</v>
      </c>
    </row>
    <row r="5348" spans="1:24" s="337" customFormat="1" ht="12" customHeight="1" outlineLevel="1">
      <c r="A5348" s="335"/>
      <c r="B5348" s="118" t="s">
        <v>12</v>
      </c>
      <c r="C5348" s="334" t="s">
        <v>13900</v>
      </c>
      <c r="D5348" s="124" t="s">
        <v>11590</v>
      </c>
      <c r="E5348" s="125"/>
      <c r="F5348" s="118" t="s">
        <v>1018</v>
      </c>
      <c r="G5348" s="126" t="s">
        <v>13831</v>
      </c>
      <c r="H5348" s="255">
        <v>6</v>
      </c>
      <c r="I5348" s="361">
        <v>1</v>
      </c>
      <c r="J5348" s="362" t="s">
        <v>286</v>
      </c>
      <c r="K5348" s="363"/>
      <c r="L5348" s="129"/>
      <c r="M5348" s="129"/>
      <c r="N5348" s="129"/>
      <c r="O5348" s="129"/>
      <c r="P5348" s="364"/>
      <c r="Q5348" s="364"/>
      <c r="R5348" s="129"/>
      <c r="S5348" s="129"/>
      <c r="T5348" s="129"/>
      <c r="W5348" s="129" t="s">
        <v>286</v>
      </c>
      <c r="X5348" s="337" t="b">
        <f t="shared" si="121"/>
        <v>1</v>
      </c>
    </row>
    <row r="5349" spans="1:24" s="337" customFormat="1" ht="12" customHeight="1" outlineLevel="1">
      <c r="A5349" s="335"/>
      <c r="B5349" s="118" t="s">
        <v>12</v>
      </c>
      <c r="C5349" s="334" t="s">
        <v>13901</v>
      </c>
      <c r="D5349" s="124" t="s">
        <v>11592</v>
      </c>
      <c r="E5349" s="125"/>
      <c r="F5349" s="118" t="s">
        <v>1018</v>
      </c>
      <c r="G5349" s="126" t="s">
        <v>13831</v>
      </c>
      <c r="H5349" s="255">
        <v>6</v>
      </c>
      <c r="I5349" s="361">
        <v>1</v>
      </c>
      <c r="J5349" s="362" t="s">
        <v>286</v>
      </c>
      <c r="K5349" s="363"/>
      <c r="L5349" s="129"/>
      <c r="M5349" s="129"/>
      <c r="N5349" s="129"/>
      <c r="O5349" s="129"/>
      <c r="P5349" s="364"/>
      <c r="Q5349" s="364"/>
      <c r="R5349" s="129"/>
      <c r="S5349" s="129"/>
      <c r="T5349" s="129"/>
      <c r="W5349" s="129" t="s">
        <v>286</v>
      </c>
      <c r="X5349" s="337" t="b">
        <f t="shared" si="121"/>
        <v>1</v>
      </c>
    </row>
    <row r="5350" spans="1:24" s="337" customFormat="1" ht="12" customHeight="1" outlineLevel="1">
      <c r="A5350" s="335"/>
      <c r="B5350" s="118" t="s">
        <v>12</v>
      </c>
      <c r="C5350" s="334" t="s">
        <v>13902</v>
      </c>
      <c r="D5350" s="124" t="s">
        <v>11594</v>
      </c>
      <c r="E5350" s="125"/>
      <c r="F5350" s="118" t="s">
        <v>1018</v>
      </c>
      <c r="G5350" s="126" t="s">
        <v>13831</v>
      </c>
      <c r="H5350" s="255">
        <v>6</v>
      </c>
      <c r="I5350" s="361">
        <v>1</v>
      </c>
      <c r="J5350" s="362" t="s">
        <v>286</v>
      </c>
      <c r="K5350" s="363"/>
      <c r="L5350" s="129"/>
      <c r="M5350" s="129"/>
      <c r="N5350" s="129"/>
      <c r="O5350" s="129"/>
      <c r="P5350" s="364"/>
      <c r="Q5350" s="364"/>
      <c r="R5350" s="129"/>
      <c r="S5350" s="129"/>
      <c r="T5350" s="129"/>
      <c r="W5350" s="129" t="s">
        <v>286</v>
      </c>
      <c r="X5350" s="337" t="b">
        <f t="shared" si="121"/>
        <v>1</v>
      </c>
    </row>
    <row r="5351" spans="1:24" s="337" customFormat="1" ht="12" customHeight="1" outlineLevel="1">
      <c r="A5351" s="335"/>
      <c r="B5351" s="118" t="s">
        <v>12</v>
      </c>
      <c r="C5351" s="334" t="s">
        <v>13903</v>
      </c>
      <c r="D5351" s="124" t="s">
        <v>11596</v>
      </c>
      <c r="E5351" s="125"/>
      <c r="F5351" s="118" t="s">
        <v>1018</v>
      </c>
      <c r="G5351" s="126" t="s">
        <v>13831</v>
      </c>
      <c r="H5351" s="255">
        <v>6</v>
      </c>
      <c r="I5351" s="361">
        <v>1</v>
      </c>
      <c r="J5351" s="362" t="s">
        <v>286</v>
      </c>
      <c r="K5351" s="363"/>
      <c r="L5351" s="129"/>
      <c r="M5351" s="129"/>
      <c r="N5351" s="129"/>
      <c r="O5351" s="129"/>
      <c r="P5351" s="364"/>
      <c r="Q5351" s="364"/>
      <c r="R5351" s="129"/>
      <c r="S5351" s="129"/>
      <c r="T5351" s="129"/>
      <c r="W5351" s="129" t="s">
        <v>286</v>
      </c>
      <c r="X5351" s="337" t="b">
        <f t="shared" si="121"/>
        <v>1</v>
      </c>
    </row>
    <row r="5352" spans="1:24" s="337" customFormat="1" ht="12" customHeight="1" outlineLevel="1">
      <c r="A5352" s="335"/>
      <c r="B5352" s="118" t="s">
        <v>12</v>
      </c>
      <c r="C5352" s="334" t="s">
        <v>13904</v>
      </c>
      <c r="D5352" s="124" t="s">
        <v>11598</v>
      </c>
      <c r="E5352" s="125"/>
      <c r="F5352" s="118" t="s">
        <v>1018</v>
      </c>
      <c r="G5352" s="126" t="s">
        <v>13831</v>
      </c>
      <c r="H5352" s="255">
        <v>6</v>
      </c>
      <c r="I5352" s="361">
        <v>1</v>
      </c>
      <c r="J5352" s="362" t="s">
        <v>286</v>
      </c>
      <c r="K5352" s="363"/>
      <c r="L5352" s="129"/>
      <c r="M5352" s="129"/>
      <c r="N5352" s="129"/>
      <c r="O5352" s="129"/>
      <c r="P5352" s="364"/>
      <c r="Q5352" s="364"/>
      <c r="R5352" s="129"/>
      <c r="S5352" s="129"/>
      <c r="T5352" s="129"/>
      <c r="W5352" s="129" t="s">
        <v>286</v>
      </c>
      <c r="X5352" s="337" t="b">
        <f t="shared" si="121"/>
        <v>1</v>
      </c>
    </row>
    <row r="5353" spans="1:24" s="337" customFormat="1" ht="12" customHeight="1" outlineLevel="1">
      <c r="A5353" s="335"/>
      <c r="B5353" s="118" t="s">
        <v>12</v>
      </c>
      <c r="C5353" s="334" t="s">
        <v>13905</v>
      </c>
      <c r="D5353" s="124" t="s">
        <v>11600</v>
      </c>
      <c r="E5353" s="125"/>
      <c r="F5353" s="118" t="s">
        <v>1018</v>
      </c>
      <c r="G5353" s="126" t="s">
        <v>13831</v>
      </c>
      <c r="H5353" s="255">
        <v>6</v>
      </c>
      <c r="I5353" s="361">
        <v>1</v>
      </c>
      <c r="J5353" s="362" t="s">
        <v>286</v>
      </c>
      <c r="K5353" s="363"/>
      <c r="L5353" s="129"/>
      <c r="M5353" s="129"/>
      <c r="N5353" s="129"/>
      <c r="O5353" s="129"/>
      <c r="P5353" s="364"/>
      <c r="Q5353" s="364"/>
      <c r="R5353" s="129"/>
      <c r="S5353" s="129"/>
      <c r="T5353" s="129"/>
      <c r="W5353" s="129" t="s">
        <v>286</v>
      </c>
      <c r="X5353" s="337" t="b">
        <f t="shared" si="121"/>
        <v>1</v>
      </c>
    </row>
    <row r="5354" spans="1:24" s="337" customFormat="1" ht="12" customHeight="1" outlineLevel="1">
      <c r="A5354" s="335"/>
      <c r="B5354" s="118" t="s">
        <v>12</v>
      </c>
      <c r="C5354" s="334" t="s">
        <v>13906</v>
      </c>
      <c r="D5354" s="124" t="s">
        <v>11602</v>
      </c>
      <c r="E5354" s="125"/>
      <c r="F5354" s="118" t="s">
        <v>1018</v>
      </c>
      <c r="G5354" s="126" t="s">
        <v>13831</v>
      </c>
      <c r="H5354" s="255">
        <v>6</v>
      </c>
      <c r="I5354" s="361">
        <v>1</v>
      </c>
      <c r="J5354" s="362" t="s">
        <v>286</v>
      </c>
      <c r="K5354" s="363"/>
      <c r="L5354" s="129"/>
      <c r="M5354" s="129"/>
      <c r="N5354" s="129"/>
      <c r="O5354" s="129"/>
      <c r="P5354" s="364"/>
      <c r="Q5354" s="364"/>
      <c r="R5354" s="129"/>
      <c r="S5354" s="129"/>
      <c r="T5354" s="129"/>
      <c r="W5354" s="129" t="s">
        <v>286</v>
      </c>
      <c r="X5354" s="337" t="b">
        <f t="shared" si="121"/>
        <v>1</v>
      </c>
    </row>
    <row r="5355" spans="1:24" s="337" customFormat="1" ht="12" customHeight="1" outlineLevel="1">
      <c r="A5355" s="335"/>
      <c r="B5355" s="118" t="s">
        <v>12</v>
      </c>
      <c r="C5355" s="334" t="s">
        <v>13907</v>
      </c>
      <c r="D5355" s="124" t="s">
        <v>11604</v>
      </c>
      <c r="E5355" s="125"/>
      <c r="F5355" s="118" t="s">
        <v>1018</v>
      </c>
      <c r="G5355" s="126" t="s">
        <v>13831</v>
      </c>
      <c r="H5355" s="255">
        <v>6</v>
      </c>
      <c r="I5355" s="361">
        <v>1</v>
      </c>
      <c r="J5355" s="362" t="s">
        <v>286</v>
      </c>
      <c r="K5355" s="363"/>
      <c r="L5355" s="129"/>
      <c r="M5355" s="129"/>
      <c r="N5355" s="129"/>
      <c r="O5355" s="129"/>
      <c r="P5355" s="364"/>
      <c r="Q5355" s="364"/>
      <c r="R5355" s="129"/>
      <c r="S5355" s="129"/>
      <c r="T5355" s="129"/>
      <c r="W5355" s="129" t="s">
        <v>286</v>
      </c>
      <c r="X5355" s="337" t="b">
        <f t="shared" si="121"/>
        <v>1</v>
      </c>
    </row>
    <row r="5356" spans="1:24" s="337" customFormat="1" ht="12" customHeight="1" outlineLevel="1">
      <c r="A5356" s="335"/>
      <c r="B5356" s="118" t="s">
        <v>12</v>
      </c>
      <c r="C5356" s="334" t="s">
        <v>13908</v>
      </c>
      <c r="D5356" s="124" t="s">
        <v>11606</v>
      </c>
      <c r="E5356" s="125"/>
      <c r="F5356" s="118" t="s">
        <v>1018</v>
      </c>
      <c r="G5356" s="126" t="s">
        <v>13831</v>
      </c>
      <c r="H5356" s="255">
        <v>6</v>
      </c>
      <c r="I5356" s="361">
        <v>1</v>
      </c>
      <c r="J5356" s="362" t="s">
        <v>286</v>
      </c>
      <c r="K5356" s="363"/>
      <c r="L5356" s="129"/>
      <c r="M5356" s="129"/>
      <c r="N5356" s="129"/>
      <c r="O5356" s="129"/>
      <c r="P5356" s="364"/>
      <c r="Q5356" s="364"/>
      <c r="R5356" s="129"/>
      <c r="S5356" s="129"/>
      <c r="T5356" s="129"/>
      <c r="W5356" s="129" t="s">
        <v>286</v>
      </c>
      <c r="X5356" s="337" t="b">
        <f t="shared" si="121"/>
        <v>1</v>
      </c>
    </row>
    <row r="5357" spans="1:24" s="337" customFormat="1" ht="12" customHeight="1" outlineLevel="1">
      <c r="A5357" s="335"/>
      <c r="B5357" s="118" t="s">
        <v>12</v>
      </c>
      <c r="C5357" s="334" t="s">
        <v>13909</v>
      </c>
      <c r="D5357" s="124" t="s">
        <v>11608</v>
      </c>
      <c r="E5357" s="125"/>
      <c r="F5357" s="118" t="s">
        <v>1018</v>
      </c>
      <c r="G5357" s="126" t="s">
        <v>13831</v>
      </c>
      <c r="H5357" s="255">
        <v>6</v>
      </c>
      <c r="I5357" s="361">
        <v>1</v>
      </c>
      <c r="J5357" s="362" t="s">
        <v>286</v>
      </c>
      <c r="K5357" s="363"/>
      <c r="L5357" s="129"/>
      <c r="M5357" s="129"/>
      <c r="N5357" s="129"/>
      <c r="O5357" s="129"/>
      <c r="P5357" s="364"/>
      <c r="Q5357" s="364"/>
      <c r="R5357" s="129"/>
      <c r="S5357" s="129"/>
      <c r="T5357" s="129"/>
      <c r="W5357" s="129" t="s">
        <v>286</v>
      </c>
      <c r="X5357" s="337" t="b">
        <f t="shared" si="121"/>
        <v>1</v>
      </c>
    </row>
    <row r="5358" spans="1:24" s="337" customFormat="1" ht="12" customHeight="1" outlineLevel="1">
      <c r="A5358" s="335"/>
      <c r="B5358" s="118" t="s">
        <v>12</v>
      </c>
      <c r="C5358" s="334" t="s">
        <v>13910</v>
      </c>
      <c r="D5358" s="124" t="s">
        <v>11610</v>
      </c>
      <c r="E5358" s="125"/>
      <c r="F5358" s="118" t="s">
        <v>1018</v>
      </c>
      <c r="G5358" s="126" t="s">
        <v>13831</v>
      </c>
      <c r="H5358" s="255">
        <v>6</v>
      </c>
      <c r="I5358" s="361">
        <v>1</v>
      </c>
      <c r="J5358" s="362" t="s">
        <v>286</v>
      </c>
      <c r="K5358" s="363"/>
      <c r="L5358" s="129"/>
      <c r="M5358" s="129"/>
      <c r="N5358" s="129"/>
      <c r="O5358" s="129"/>
      <c r="P5358" s="364"/>
      <c r="Q5358" s="364"/>
      <c r="R5358" s="129"/>
      <c r="S5358" s="129"/>
      <c r="T5358" s="129"/>
      <c r="W5358" s="129" t="s">
        <v>286</v>
      </c>
      <c r="X5358" s="337" t="b">
        <f t="shared" si="121"/>
        <v>1</v>
      </c>
    </row>
    <row r="5359" spans="1:24" s="337" customFormat="1" ht="12" customHeight="1" outlineLevel="1">
      <c r="A5359" s="335"/>
      <c r="B5359" s="118" t="s">
        <v>12</v>
      </c>
      <c r="C5359" s="334" t="s">
        <v>13911</v>
      </c>
      <c r="D5359" s="124" t="s">
        <v>11612</v>
      </c>
      <c r="E5359" s="125"/>
      <c r="F5359" s="118" t="s">
        <v>1018</v>
      </c>
      <c r="G5359" s="126" t="s">
        <v>13831</v>
      </c>
      <c r="H5359" s="255">
        <v>6</v>
      </c>
      <c r="I5359" s="361">
        <v>1</v>
      </c>
      <c r="J5359" s="362" t="s">
        <v>286</v>
      </c>
      <c r="K5359" s="363"/>
      <c r="L5359" s="129"/>
      <c r="M5359" s="129"/>
      <c r="N5359" s="129"/>
      <c r="O5359" s="129"/>
      <c r="P5359" s="364"/>
      <c r="Q5359" s="364"/>
      <c r="R5359" s="129"/>
      <c r="S5359" s="129"/>
      <c r="T5359" s="129"/>
      <c r="W5359" s="129" t="s">
        <v>286</v>
      </c>
      <c r="X5359" s="337" t="b">
        <f t="shared" si="121"/>
        <v>1</v>
      </c>
    </row>
    <row r="5360" spans="1:24" s="337" customFormat="1" ht="12" customHeight="1" outlineLevel="1">
      <c r="A5360" s="335"/>
      <c r="B5360" s="118" t="s">
        <v>12</v>
      </c>
      <c r="C5360" s="334" t="s">
        <v>13912</v>
      </c>
      <c r="D5360" s="124" t="s">
        <v>11614</v>
      </c>
      <c r="E5360" s="125"/>
      <c r="F5360" s="118" t="s">
        <v>1018</v>
      </c>
      <c r="G5360" s="126" t="s">
        <v>13831</v>
      </c>
      <c r="H5360" s="255">
        <v>6</v>
      </c>
      <c r="I5360" s="361">
        <v>1</v>
      </c>
      <c r="J5360" s="362" t="s">
        <v>286</v>
      </c>
      <c r="K5360" s="363"/>
      <c r="L5360" s="129"/>
      <c r="M5360" s="129"/>
      <c r="N5360" s="129"/>
      <c r="O5360" s="129"/>
      <c r="P5360" s="364"/>
      <c r="Q5360" s="364"/>
      <c r="R5360" s="129"/>
      <c r="S5360" s="129"/>
      <c r="T5360" s="129"/>
      <c r="W5360" s="129" t="s">
        <v>286</v>
      </c>
      <c r="X5360" s="337" t="b">
        <f t="shared" si="121"/>
        <v>1</v>
      </c>
    </row>
    <row r="5361" spans="1:24" s="337" customFormat="1" ht="12" customHeight="1" outlineLevel="1">
      <c r="A5361" s="335"/>
      <c r="B5361" s="118" t="s">
        <v>12</v>
      </c>
      <c r="C5361" s="334" t="s">
        <v>13913</v>
      </c>
      <c r="D5361" s="124" t="s">
        <v>11620</v>
      </c>
      <c r="E5361" s="125"/>
      <c r="F5361" s="118" t="s">
        <v>1018</v>
      </c>
      <c r="G5361" s="126" t="s">
        <v>13831</v>
      </c>
      <c r="H5361" s="255">
        <v>6</v>
      </c>
      <c r="I5361" s="361">
        <v>1</v>
      </c>
      <c r="J5361" s="362" t="s">
        <v>286</v>
      </c>
      <c r="K5361" s="363"/>
      <c r="L5361" s="129"/>
      <c r="M5361" s="129"/>
      <c r="N5361" s="129"/>
      <c r="O5361" s="129"/>
      <c r="P5361" s="364"/>
      <c r="Q5361" s="364"/>
      <c r="R5361" s="129"/>
      <c r="S5361" s="129"/>
      <c r="T5361" s="129"/>
      <c r="W5361" s="129" t="s">
        <v>310</v>
      </c>
      <c r="X5361" s="337" t="b">
        <f t="shared" si="121"/>
        <v>0</v>
      </c>
    </row>
    <row r="5362" spans="1:24" s="337" customFormat="1" ht="12" customHeight="1" outlineLevel="1">
      <c r="A5362" s="335"/>
      <c r="B5362" s="118" t="s">
        <v>12</v>
      </c>
      <c r="C5362" s="334" t="s">
        <v>13914</v>
      </c>
      <c r="D5362" s="124" t="s">
        <v>11622</v>
      </c>
      <c r="E5362" s="125"/>
      <c r="F5362" s="118" t="s">
        <v>1018</v>
      </c>
      <c r="G5362" s="126" t="s">
        <v>13831</v>
      </c>
      <c r="H5362" s="255">
        <v>6</v>
      </c>
      <c r="I5362" s="361">
        <v>1</v>
      </c>
      <c r="J5362" s="362" t="s">
        <v>286</v>
      </c>
      <c r="K5362" s="363"/>
      <c r="L5362" s="129"/>
      <c r="M5362" s="129"/>
      <c r="N5362" s="129"/>
      <c r="O5362" s="129"/>
      <c r="P5362" s="364"/>
      <c r="Q5362" s="364"/>
      <c r="R5362" s="129"/>
      <c r="S5362" s="129"/>
      <c r="T5362" s="129"/>
      <c r="W5362" s="129" t="s">
        <v>310</v>
      </c>
      <c r="X5362" s="337" t="b">
        <f t="shared" si="121"/>
        <v>0</v>
      </c>
    </row>
    <row r="5363" spans="1:24" s="337" customFormat="1" ht="12" customHeight="1" outlineLevel="1">
      <c r="A5363" s="335"/>
      <c r="B5363" s="118" t="s">
        <v>12</v>
      </c>
      <c r="C5363" s="334" t="s">
        <v>13915</v>
      </c>
      <c r="D5363" s="124" t="s">
        <v>11624</v>
      </c>
      <c r="E5363" s="125"/>
      <c r="F5363" s="118" t="s">
        <v>1018</v>
      </c>
      <c r="G5363" s="126" t="s">
        <v>13831</v>
      </c>
      <c r="H5363" s="255">
        <v>6</v>
      </c>
      <c r="I5363" s="361">
        <v>1</v>
      </c>
      <c r="J5363" s="362" t="s">
        <v>286</v>
      </c>
      <c r="K5363" s="363"/>
      <c r="L5363" s="129"/>
      <c r="M5363" s="129"/>
      <c r="N5363" s="129"/>
      <c r="O5363" s="129"/>
      <c r="P5363" s="364"/>
      <c r="Q5363" s="364"/>
      <c r="R5363" s="129"/>
      <c r="S5363" s="129"/>
      <c r="T5363" s="129"/>
      <c r="W5363" s="129" t="s">
        <v>310</v>
      </c>
      <c r="X5363" s="337" t="b">
        <f t="shared" si="121"/>
        <v>0</v>
      </c>
    </row>
    <row r="5364" spans="1:24" s="337" customFormat="1" ht="12" customHeight="1" outlineLevel="1">
      <c r="A5364" s="335"/>
      <c r="B5364" s="118" t="s">
        <v>12</v>
      </c>
      <c r="C5364" s="334" t="s">
        <v>13916</v>
      </c>
      <c r="D5364" s="124" t="s">
        <v>11626</v>
      </c>
      <c r="E5364" s="125"/>
      <c r="F5364" s="118" t="s">
        <v>1018</v>
      </c>
      <c r="G5364" s="126" t="s">
        <v>13831</v>
      </c>
      <c r="H5364" s="255">
        <v>6</v>
      </c>
      <c r="I5364" s="361">
        <v>1</v>
      </c>
      <c r="J5364" s="362" t="s">
        <v>310</v>
      </c>
      <c r="K5364" s="363"/>
      <c r="L5364" s="129"/>
      <c r="M5364" s="129"/>
      <c r="N5364" s="129"/>
      <c r="O5364" s="129"/>
      <c r="P5364" s="364"/>
      <c r="Q5364" s="364"/>
      <c r="R5364" s="129"/>
      <c r="S5364" s="129"/>
      <c r="T5364" s="129"/>
      <c r="W5364" s="129" t="s">
        <v>307</v>
      </c>
      <c r="X5364" s="337" t="b">
        <f t="shared" si="121"/>
        <v>0</v>
      </c>
    </row>
    <row r="5365" spans="1:24" s="337" customFormat="1" ht="12" customHeight="1" outlineLevel="1">
      <c r="A5365" s="335"/>
      <c r="B5365" s="118" t="s">
        <v>12</v>
      </c>
      <c r="C5365" s="334" t="s">
        <v>13917</v>
      </c>
      <c r="D5365" s="124" t="s">
        <v>11628</v>
      </c>
      <c r="E5365" s="125"/>
      <c r="F5365" s="118" t="s">
        <v>1018</v>
      </c>
      <c r="G5365" s="126" t="s">
        <v>13831</v>
      </c>
      <c r="H5365" s="255">
        <v>6</v>
      </c>
      <c r="I5365" s="361">
        <v>1</v>
      </c>
      <c r="J5365" s="362" t="s">
        <v>286</v>
      </c>
      <c r="K5365" s="363"/>
      <c r="L5365" s="129"/>
      <c r="M5365" s="129"/>
      <c r="N5365" s="129"/>
      <c r="O5365" s="129"/>
      <c r="P5365" s="364"/>
      <c r="Q5365" s="364"/>
      <c r="R5365" s="129"/>
      <c r="S5365" s="129"/>
      <c r="T5365" s="129"/>
      <c r="W5365" s="129" t="s">
        <v>310</v>
      </c>
      <c r="X5365" s="337" t="b">
        <f t="shared" si="121"/>
        <v>0</v>
      </c>
    </row>
    <row r="5366" spans="1:24" s="337" customFormat="1" ht="12" customHeight="1" outlineLevel="1">
      <c r="A5366" s="335"/>
      <c r="B5366" s="118" t="s">
        <v>12</v>
      </c>
      <c r="C5366" s="334" t="s">
        <v>13918</v>
      </c>
      <c r="D5366" s="124" t="s">
        <v>11630</v>
      </c>
      <c r="E5366" s="125"/>
      <c r="F5366" s="118" t="s">
        <v>1018</v>
      </c>
      <c r="G5366" s="126" t="s">
        <v>13831</v>
      </c>
      <c r="H5366" s="255">
        <v>6</v>
      </c>
      <c r="I5366" s="361">
        <v>1</v>
      </c>
      <c r="J5366" s="362" t="s">
        <v>286</v>
      </c>
      <c r="K5366" s="363"/>
      <c r="L5366" s="129"/>
      <c r="M5366" s="129"/>
      <c r="N5366" s="129"/>
      <c r="O5366" s="129"/>
      <c r="P5366" s="364"/>
      <c r="Q5366" s="364"/>
      <c r="R5366" s="129"/>
      <c r="S5366" s="129"/>
      <c r="T5366" s="129"/>
      <c r="W5366" s="129" t="s">
        <v>310</v>
      </c>
      <c r="X5366" s="337" t="b">
        <f t="shared" si="121"/>
        <v>0</v>
      </c>
    </row>
    <row r="5367" spans="1:24" s="337" customFormat="1" ht="12" customHeight="1" outlineLevel="1">
      <c r="A5367" s="335"/>
      <c r="B5367" s="118" t="s">
        <v>12</v>
      </c>
      <c r="C5367" s="334" t="s">
        <v>13919</v>
      </c>
      <c r="D5367" s="124" t="s">
        <v>11630</v>
      </c>
      <c r="E5367" s="125"/>
      <c r="F5367" s="118" t="s">
        <v>1018</v>
      </c>
      <c r="G5367" s="126" t="s">
        <v>13831</v>
      </c>
      <c r="H5367" s="255">
        <v>6</v>
      </c>
      <c r="I5367" s="361">
        <v>1</v>
      </c>
      <c r="J5367" s="362" t="s">
        <v>286</v>
      </c>
      <c r="K5367" s="363"/>
      <c r="L5367" s="129"/>
      <c r="M5367" s="129"/>
      <c r="N5367" s="129"/>
      <c r="O5367" s="129"/>
      <c r="P5367" s="364"/>
      <c r="Q5367" s="364"/>
      <c r="R5367" s="129"/>
      <c r="S5367" s="129"/>
      <c r="T5367" s="129"/>
      <c r="W5367" s="129" t="s">
        <v>310</v>
      </c>
      <c r="X5367" s="337" t="b">
        <f t="shared" si="121"/>
        <v>0</v>
      </c>
    </row>
    <row r="5368" spans="1:24" s="337" customFormat="1" ht="12" customHeight="1" outlineLevel="1">
      <c r="A5368" s="335"/>
      <c r="B5368" s="118" t="s">
        <v>12</v>
      </c>
      <c r="C5368" s="334" t="s">
        <v>13920</v>
      </c>
      <c r="D5368" s="124" t="s">
        <v>11633</v>
      </c>
      <c r="E5368" s="125"/>
      <c r="F5368" s="118" t="s">
        <v>1018</v>
      </c>
      <c r="G5368" s="126" t="s">
        <v>13831</v>
      </c>
      <c r="H5368" s="255">
        <v>6</v>
      </c>
      <c r="I5368" s="361">
        <v>1</v>
      </c>
      <c r="J5368" s="362" t="s">
        <v>286</v>
      </c>
      <c r="K5368" s="363"/>
      <c r="L5368" s="129"/>
      <c r="M5368" s="129"/>
      <c r="N5368" s="129"/>
      <c r="O5368" s="129"/>
      <c r="P5368" s="364"/>
      <c r="Q5368" s="364"/>
      <c r="R5368" s="129"/>
      <c r="S5368" s="129"/>
      <c r="T5368" s="129"/>
      <c r="W5368" s="129" t="s">
        <v>310</v>
      </c>
      <c r="X5368" s="337" t="b">
        <f t="shared" si="121"/>
        <v>0</v>
      </c>
    </row>
    <row r="5369" spans="1:24" s="337" customFormat="1" ht="12" customHeight="1" outlineLevel="1">
      <c r="A5369" s="335"/>
      <c r="B5369" s="118" t="s">
        <v>12</v>
      </c>
      <c r="C5369" s="334" t="s">
        <v>13921</v>
      </c>
      <c r="D5369" s="124" t="s">
        <v>11635</v>
      </c>
      <c r="E5369" s="125"/>
      <c r="F5369" s="118" t="s">
        <v>1018</v>
      </c>
      <c r="G5369" s="126" t="s">
        <v>13831</v>
      </c>
      <c r="H5369" s="255">
        <v>6</v>
      </c>
      <c r="I5369" s="361">
        <v>1</v>
      </c>
      <c r="J5369" s="362" t="s">
        <v>286</v>
      </c>
      <c r="K5369" s="363"/>
      <c r="L5369" s="129"/>
      <c r="M5369" s="129"/>
      <c r="N5369" s="129"/>
      <c r="O5369" s="129"/>
      <c r="P5369" s="364"/>
      <c r="Q5369" s="364"/>
      <c r="R5369" s="129"/>
      <c r="S5369" s="129"/>
      <c r="T5369" s="129"/>
      <c r="W5369" s="129" t="s">
        <v>310</v>
      </c>
      <c r="X5369" s="337" t="b">
        <f t="shared" si="121"/>
        <v>0</v>
      </c>
    </row>
    <row r="5370" spans="1:24" s="337" customFormat="1" ht="12" customHeight="1" outlineLevel="1">
      <c r="A5370" s="335"/>
      <c r="B5370" s="118" t="s">
        <v>12</v>
      </c>
      <c r="C5370" s="334" t="s">
        <v>13922</v>
      </c>
      <c r="D5370" s="124" t="s">
        <v>11637</v>
      </c>
      <c r="E5370" s="125"/>
      <c r="F5370" s="118" t="s">
        <v>1018</v>
      </c>
      <c r="G5370" s="126" t="s">
        <v>13831</v>
      </c>
      <c r="H5370" s="255">
        <v>6</v>
      </c>
      <c r="I5370" s="361">
        <v>1</v>
      </c>
      <c r="J5370" s="362" t="s">
        <v>310</v>
      </c>
      <c r="K5370" s="363"/>
      <c r="L5370" s="129"/>
      <c r="M5370" s="129"/>
      <c r="N5370" s="129"/>
      <c r="O5370" s="129"/>
      <c r="P5370" s="364"/>
      <c r="Q5370" s="364"/>
      <c r="R5370" s="129"/>
      <c r="S5370" s="129"/>
      <c r="T5370" s="129"/>
      <c r="W5370" s="129" t="s">
        <v>307</v>
      </c>
      <c r="X5370" s="337" t="b">
        <f t="shared" si="121"/>
        <v>0</v>
      </c>
    </row>
    <row r="5371" spans="1:24" s="337" customFormat="1" ht="12" customHeight="1" outlineLevel="1">
      <c r="A5371" s="335"/>
      <c r="B5371" s="118" t="s">
        <v>12</v>
      </c>
      <c r="C5371" s="334" t="s">
        <v>13923</v>
      </c>
      <c r="D5371" s="124" t="s">
        <v>11639</v>
      </c>
      <c r="E5371" s="125"/>
      <c r="F5371" s="118" t="s">
        <v>1018</v>
      </c>
      <c r="G5371" s="126" t="s">
        <v>13831</v>
      </c>
      <c r="H5371" s="255">
        <v>6</v>
      </c>
      <c r="I5371" s="361">
        <v>1</v>
      </c>
      <c r="J5371" s="362" t="s">
        <v>286</v>
      </c>
      <c r="K5371" s="363"/>
      <c r="L5371" s="129"/>
      <c r="M5371" s="129"/>
      <c r="N5371" s="129"/>
      <c r="O5371" s="129"/>
      <c r="P5371" s="364"/>
      <c r="Q5371" s="364"/>
      <c r="R5371" s="129"/>
      <c r="S5371" s="129"/>
      <c r="T5371" s="129"/>
      <c r="W5371" s="129" t="s">
        <v>310</v>
      </c>
      <c r="X5371" s="337" t="b">
        <f t="shared" si="121"/>
        <v>0</v>
      </c>
    </row>
    <row r="5372" spans="1:24" s="337" customFormat="1" ht="12" customHeight="1" outlineLevel="1">
      <c r="A5372" s="335"/>
      <c r="B5372" s="118" t="s">
        <v>12</v>
      </c>
      <c r="C5372" s="334" t="s">
        <v>13924</v>
      </c>
      <c r="D5372" s="124" t="s">
        <v>11641</v>
      </c>
      <c r="E5372" s="125"/>
      <c r="F5372" s="118" t="s">
        <v>1018</v>
      </c>
      <c r="G5372" s="126" t="s">
        <v>13831</v>
      </c>
      <c r="H5372" s="255">
        <v>6</v>
      </c>
      <c r="I5372" s="361">
        <v>1</v>
      </c>
      <c r="J5372" s="362" t="s">
        <v>286</v>
      </c>
      <c r="K5372" s="363"/>
      <c r="L5372" s="129"/>
      <c r="M5372" s="129"/>
      <c r="N5372" s="129"/>
      <c r="O5372" s="129"/>
      <c r="P5372" s="364"/>
      <c r="Q5372" s="364"/>
      <c r="R5372" s="129"/>
      <c r="S5372" s="129"/>
      <c r="T5372" s="129"/>
      <c r="W5372" s="129" t="s">
        <v>310</v>
      </c>
      <c r="X5372" s="337" t="b">
        <f t="shared" si="121"/>
        <v>0</v>
      </c>
    </row>
    <row r="5373" spans="1:24" s="337" customFormat="1" ht="12" customHeight="1" outlineLevel="1">
      <c r="A5373" s="335"/>
      <c r="B5373" s="118" t="s">
        <v>12</v>
      </c>
      <c r="C5373" s="334" t="s">
        <v>13925</v>
      </c>
      <c r="D5373" s="124" t="s">
        <v>11643</v>
      </c>
      <c r="E5373" s="125"/>
      <c r="F5373" s="118" t="s">
        <v>1018</v>
      </c>
      <c r="G5373" s="126" t="s">
        <v>13831</v>
      </c>
      <c r="H5373" s="255">
        <v>6</v>
      </c>
      <c r="I5373" s="361">
        <v>1</v>
      </c>
      <c r="J5373" s="362" t="s">
        <v>286</v>
      </c>
      <c r="K5373" s="363"/>
      <c r="L5373" s="129"/>
      <c r="M5373" s="129"/>
      <c r="N5373" s="129"/>
      <c r="O5373" s="129"/>
      <c r="P5373" s="364"/>
      <c r="Q5373" s="364"/>
      <c r="R5373" s="129"/>
      <c r="S5373" s="129"/>
      <c r="T5373" s="129"/>
      <c r="W5373" s="129" t="s">
        <v>310</v>
      </c>
      <c r="X5373" s="337" t="b">
        <f t="shared" si="121"/>
        <v>0</v>
      </c>
    </row>
    <row r="5374" spans="1:24" s="337" customFormat="1" ht="12" customHeight="1" outlineLevel="1">
      <c r="A5374" s="335"/>
      <c r="B5374" s="118" t="s">
        <v>12</v>
      </c>
      <c r="C5374" s="334" t="s">
        <v>13926</v>
      </c>
      <c r="D5374" s="124" t="s">
        <v>11645</v>
      </c>
      <c r="E5374" s="125"/>
      <c r="F5374" s="118" t="s">
        <v>1018</v>
      </c>
      <c r="G5374" s="126" t="s">
        <v>13831</v>
      </c>
      <c r="H5374" s="255">
        <v>6</v>
      </c>
      <c r="I5374" s="361">
        <v>1</v>
      </c>
      <c r="J5374" s="362" t="s">
        <v>286</v>
      </c>
      <c r="K5374" s="363"/>
      <c r="L5374" s="129"/>
      <c r="M5374" s="129"/>
      <c r="N5374" s="129"/>
      <c r="O5374" s="129"/>
      <c r="P5374" s="364"/>
      <c r="Q5374" s="364"/>
      <c r="R5374" s="129"/>
      <c r="S5374" s="129"/>
      <c r="T5374" s="129"/>
      <c r="W5374" s="129" t="s">
        <v>310</v>
      </c>
      <c r="X5374" s="337" t="b">
        <f t="shared" si="121"/>
        <v>0</v>
      </c>
    </row>
    <row r="5375" spans="1:24" s="337" customFormat="1" ht="12" customHeight="1" outlineLevel="1">
      <c r="A5375" s="335"/>
      <c r="B5375" s="118" t="s">
        <v>12</v>
      </c>
      <c r="C5375" s="334" t="s">
        <v>13927</v>
      </c>
      <c r="D5375" s="124" t="s">
        <v>11647</v>
      </c>
      <c r="E5375" s="125"/>
      <c r="F5375" s="118" t="s">
        <v>1018</v>
      </c>
      <c r="G5375" s="126" t="s">
        <v>13831</v>
      </c>
      <c r="H5375" s="255">
        <v>6</v>
      </c>
      <c r="I5375" s="361">
        <v>1</v>
      </c>
      <c r="J5375" s="362" t="s">
        <v>286</v>
      </c>
      <c r="K5375" s="363"/>
      <c r="L5375" s="129"/>
      <c r="M5375" s="129"/>
      <c r="N5375" s="129"/>
      <c r="O5375" s="129"/>
      <c r="P5375" s="364"/>
      <c r="Q5375" s="364"/>
      <c r="R5375" s="129"/>
      <c r="S5375" s="129"/>
      <c r="T5375" s="129"/>
      <c r="W5375" s="129" t="s">
        <v>310</v>
      </c>
      <c r="X5375" s="337" t="b">
        <f t="shared" si="121"/>
        <v>0</v>
      </c>
    </row>
    <row r="5376" spans="1:24" s="337" customFormat="1" ht="12" customHeight="1" outlineLevel="1">
      <c r="A5376" s="335"/>
      <c r="B5376" s="118" t="s">
        <v>12</v>
      </c>
      <c r="C5376" s="334" t="s">
        <v>13928</v>
      </c>
      <c r="D5376" s="124" t="s">
        <v>11649</v>
      </c>
      <c r="E5376" s="125"/>
      <c r="F5376" s="118" t="s">
        <v>1018</v>
      </c>
      <c r="G5376" s="126" t="s">
        <v>13831</v>
      </c>
      <c r="H5376" s="255">
        <v>6</v>
      </c>
      <c r="I5376" s="361">
        <v>1</v>
      </c>
      <c r="J5376" s="362" t="s">
        <v>286</v>
      </c>
      <c r="K5376" s="363"/>
      <c r="L5376" s="129"/>
      <c r="M5376" s="129"/>
      <c r="N5376" s="129"/>
      <c r="O5376" s="129"/>
      <c r="P5376" s="372"/>
      <c r="Q5376" s="372"/>
      <c r="R5376" s="129"/>
      <c r="S5376" s="129"/>
      <c r="T5376" s="129"/>
      <c r="W5376" s="129" t="s">
        <v>310</v>
      </c>
      <c r="X5376" s="337" t="b">
        <f t="shared" si="121"/>
        <v>0</v>
      </c>
    </row>
    <row r="5377" spans="1:24" s="337" customFormat="1" ht="12" customHeight="1" outlineLevel="1">
      <c r="A5377" s="335"/>
      <c r="B5377" s="118" t="s">
        <v>12</v>
      </c>
      <c r="C5377" s="334" t="s">
        <v>13929</v>
      </c>
      <c r="D5377" s="124" t="s">
        <v>11651</v>
      </c>
      <c r="E5377" s="125"/>
      <c r="F5377" s="118" t="s">
        <v>1018</v>
      </c>
      <c r="G5377" s="126" t="s">
        <v>13831</v>
      </c>
      <c r="H5377" s="255">
        <v>6</v>
      </c>
      <c r="I5377" s="361">
        <v>1</v>
      </c>
      <c r="J5377" s="362" t="s">
        <v>310</v>
      </c>
      <c r="K5377" s="363"/>
      <c r="L5377" s="129"/>
      <c r="M5377" s="129"/>
      <c r="N5377" s="129"/>
      <c r="O5377" s="129"/>
      <c r="P5377" s="364"/>
      <c r="Q5377" s="364"/>
      <c r="R5377" s="129"/>
      <c r="S5377" s="129"/>
      <c r="T5377" s="129"/>
      <c r="W5377" s="129" t="s">
        <v>307</v>
      </c>
      <c r="X5377" s="337" t="b">
        <f t="shared" si="121"/>
        <v>0</v>
      </c>
    </row>
    <row r="5378" spans="1:24" s="337" customFormat="1" ht="12" customHeight="1" outlineLevel="1">
      <c r="A5378" s="335"/>
      <c r="B5378" s="118" t="s">
        <v>12</v>
      </c>
      <c r="C5378" s="334" t="s">
        <v>13930</v>
      </c>
      <c r="D5378" s="124" t="s">
        <v>11653</v>
      </c>
      <c r="E5378" s="125"/>
      <c r="F5378" s="118" t="s">
        <v>1018</v>
      </c>
      <c r="G5378" s="126" t="s">
        <v>13831</v>
      </c>
      <c r="H5378" s="255">
        <v>6</v>
      </c>
      <c r="I5378" s="361">
        <v>1</v>
      </c>
      <c r="J5378" s="362" t="s">
        <v>310</v>
      </c>
      <c r="K5378" s="363"/>
      <c r="L5378" s="129"/>
      <c r="M5378" s="129"/>
      <c r="N5378" s="129"/>
      <c r="O5378" s="129"/>
      <c r="P5378" s="364"/>
      <c r="Q5378" s="364"/>
      <c r="R5378" s="129"/>
      <c r="S5378" s="129"/>
      <c r="T5378" s="129"/>
      <c r="W5378" s="129" t="s">
        <v>310</v>
      </c>
      <c r="X5378" s="337" t="b">
        <f t="shared" si="121"/>
        <v>1</v>
      </c>
    </row>
    <row r="5379" spans="1:24" s="337" customFormat="1" ht="12" customHeight="1" outlineLevel="1">
      <c r="A5379" s="335"/>
      <c r="B5379" s="118" t="s">
        <v>12</v>
      </c>
      <c r="C5379" s="334" t="s">
        <v>13931</v>
      </c>
      <c r="D5379" s="124" t="s">
        <v>11655</v>
      </c>
      <c r="E5379" s="125"/>
      <c r="F5379" s="118" t="s">
        <v>1018</v>
      </c>
      <c r="G5379" s="126" t="s">
        <v>13831</v>
      </c>
      <c r="H5379" s="255">
        <v>6</v>
      </c>
      <c r="I5379" s="361">
        <v>1</v>
      </c>
      <c r="J5379" s="362" t="s">
        <v>310</v>
      </c>
      <c r="K5379" s="363"/>
      <c r="L5379" s="129"/>
      <c r="M5379" s="129"/>
      <c r="N5379" s="129"/>
      <c r="O5379" s="129"/>
      <c r="P5379" s="364"/>
      <c r="Q5379" s="364"/>
      <c r="R5379" s="129"/>
      <c r="S5379" s="129"/>
      <c r="T5379" s="129"/>
      <c r="W5379" s="129" t="s">
        <v>310</v>
      </c>
      <c r="X5379" s="337" t="b">
        <f t="shared" si="121"/>
        <v>1</v>
      </c>
    </row>
    <row r="5380" spans="1:24" s="337" customFormat="1" ht="12" customHeight="1" outlineLevel="1">
      <c r="A5380" s="335"/>
      <c r="B5380" s="118" t="s">
        <v>12</v>
      </c>
      <c r="C5380" s="334" t="s">
        <v>13932</v>
      </c>
      <c r="D5380" s="124" t="s">
        <v>11657</v>
      </c>
      <c r="E5380" s="125"/>
      <c r="F5380" s="118" t="s">
        <v>1018</v>
      </c>
      <c r="G5380" s="126" t="s">
        <v>13831</v>
      </c>
      <c r="H5380" s="255">
        <v>6</v>
      </c>
      <c r="I5380" s="361">
        <v>1</v>
      </c>
      <c r="J5380" s="362" t="s">
        <v>286</v>
      </c>
      <c r="K5380" s="363"/>
      <c r="L5380" s="129"/>
      <c r="M5380" s="129"/>
      <c r="N5380" s="129"/>
      <c r="O5380" s="129"/>
      <c r="P5380" s="364"/>
      <c r="Q5380" s="364"/>
      <c r="R5380" s="129"/>
      <c r="S5380" s="129"/>
      <c r="T5380" s="129"/>
      <c r="W5380" s="129" t="s">
        <v>310</v>
      </c>
      <c r="X5380" s="337" t="b">
        <f t="shared" si="121"/>
        <v>0</v>
      </c>
    </row>
    <row r="5381" spans="1:24" s="360" customFormat="1" ht="12" customHeight="1" outlineLevel="1">
      <c r="A5381" s="365"/>
      <c r="B5381" s="118" t="s">
        <v>12</v>
      </c>
      <c r="C5381" s="334" t="s">
        <v>13933</v>
      </c>
      <c r="D5381" s="124" t="s">
        <v>11659</v>
      </c>
      <c r="E5381" s="125"/>
      <c r="F5381" s="118" t="s">
        <v>1018</v>
      </c>
      <c r="G5381" s="126" t="s">
        <v>13831</v>
      </c>
      <c r="H5381" s="255">
        <v>6</v>
      </c>
      <c r="I5381" s="361">
        <v>1</v>
      </c>
      <c r="J5381" s="368" t="s">
        <v>286</v>
      </c>
      <c r="K5381" s="329"/>
      <c r="L5381" s="129"/>
      <c r="M5381" s="129"/>
      <c r="N5381" s="129"/>
      <c r="O5381" s="129"/>
      <c r="P5381" s="372"/>
      <c r="Q5381" s="372"/>
      <c r="R5381" s="129"/>
      <c r="S5381" s="129"/>
      <c r="T5381" s="129"/>
      <c r="W5381" s="129" t="s">
        <v>310</v>
      </c>
      <c r="X5381" s="337" t="b">
        <f t="shared" si="121"/>
        <v>0</v>
      </c>
    </row>
    <row r="5382" spans="1:24" s="337" customFormat="1" ht="12" customHeight="1" outlineLevel="1">
      <c r="A5382" s="335"/>
      <c r="B5382" s="118" t="s">
        <v>12</v>
      </c>
      <c r="C5382" s="334" t="s">
        <v>13934</v>
      </c>
      <c r="D5382" s="124" t="s">
        <v>11661</v>
      </c>
      <c r="E5382" s="125"/>
      <c r="F5382" s="118" t="s">
        <v>1018</v>
      </c>
      <c r="G5382" s="126" t="s">
        <v>13831</v>
      </c>
      <c r="H5382" s="255">
        <v>6</v>
      </c>
      <c r="I5382" s="361">
        <v>1</v>
      </c>
      <c r="J5382" s="362" t="s">
        <v>286</v>
      </c>
      <c r="K5382" s="363"/>
      <c r="L5382" s="129"/>
      <c r="M5382" s="129"/>
      <c r="N5382" s="129"/>
      <c r="O5382" s="129"/>
      <c r="P5382" s="364"/>
      <c r="Q5382" s="364"/>
      <c r="R5382" s="129"/>
      <c r="S5382" s="129"/>
      <c r="T5382" s="129"/>
      <c r="W5382" s="129" t="s">
        <v>310</v>
      </c>
      <c r="X5382" s="337" t="b">
        <f t="shared" si="121"/>
        <v>0</v>
      </c>
    </row>
    <row r="5383" spans="1:24" s="337" customFormat="1" ht="12" customHeight="1" outlineLevel="1">
      <c r="A5383" s="335"/>
      <c r="B5383" s="118" t="s">
        <v>12</v>
      </c>
      <c r="C5383" s="334" t="s">
        <v>13935</v>
      </c>
      <c r="D5383" s="124" t="s">
        <v>11663</v>
      </c>
      <c r="E5383" s="125"/>
      <c r="F5383" s="118" t="s">
        <v>1018</v>
      </c>
      <c r="G5383" s="126" t="s">
        <v>13831</v>
      </c>
      <c r="H5383" s="255">
        <v>6</v>
      </c>
      <c r="I5383" s="361">
        <v>1</v>
      </c>
      <c r="J5383" s="362" t="s">
        <v>286</v>
      </c>
      <c r="K5383" s="363"/>
      <c r="L5383" s="129"/>
      <c r="M5383" s="129"/>
      <c r="N5383" s="129"/>
      <c r="O5383" s="129"/>
      <c r="P5383" s="372"/>
      <c r="Q5383" s="372"/>
      <c r="R5383" s="129"/>
      <c r="S5383" s="129"/>
      <c r="T5383" s="129"/>
      <c r="W5383" s="129" t="s">
        <v>310</v>
      </c>
      <c r="X5383" s="337" t="b">
        <f t="shared" si="121"/>
        <v>0</v>
      </c>
    </row>
    <row r="5384" spans="1:24" s="337" customFormat="1" ht="12" customHeight="1" outlineLevel="1">
      <c r="A5384" s="335"/>
      <c r="B5384" s="118" t="s">
        <v>12</v>
      </c>
      <c r="C5384" s="334" t="s">
        <v>13936</v>
      </c>
      <c r="D5384" s="124" t="s">
        <v>11665</v>
      </c>
      <c r="E5384" s="125"/>
      <c r="F5384" s="118" t="s">
        <v>1018</v>
      </c>
      <c r="G5384" s="126" t="s">
        <v>13831</v>
      </c>
      <c r="H5384" s="255">
        <v>6</v>
      </c>
      <c r="I5384" s="361">
        <v>1</v>
      </c>
      <c r="J5384" s="362" t="s">
        <v>286</v>
      </c>
      <c r="K5384" s="363"/>
      <c r="L5384" s="129"/>
      <c r="M5384" s="129"/>
      <c r="N5384" s="129"/>
      <c r="O5384" s="129"/>
      <c r="P5384" s="364"/>
      <c r="Q5384" s="364"/>
      <c r="R5384" s="129"/>
      <c r="S5384" s="129"/>
      <c r="T5384" s="129"/>
      <c r="W5384" s="129" t="s">
        <v>310</v>
      </c>
      <c r="X5384" s="337" t="b">
        <f t="shared" si="121"/>
        <v>0</v>
      </c>
    </row>
    <row r="5385" spans="1:24" s="337" customFormat="1" ht="12" customHeight="1" outlineLevel="1">
      <c r="A5385" s="335"/>
      <c r="B5385" s="118" t="s">
        <v>12</v>
      </c>
      <c r="C5385" s="334" t="s">
        <v>13937</v>
      </c>
      <c r="D5385" s="124" t="s">
        <v>12044</v>
      </c>
      <c r="E5385" s="125"/>
      <c r="F5385" s="118" t="s">
        <v>1018</v>
      </c>
      <c r="G5385" s="126" t="s">
        <v>13831</v>
      </c>
      <c r="H5385" s="255">
        <v>6</v>
      </c>
      <c r="I5385" s="361">
        <v>1</v>
      </c>
      <c r="J5385" s="362" t="s">
        <v>286</v>
      </c>
      <c r="K5385" s="372"/>
      <c r="L5385" s="129"/>
      <c r="M5385" s="129"/>
      <c r="N5385" s="129"/>
      <c r="O5385" s="129"/>
      <c r="P5385" s="372"/>
      <c r="Q5385" s="372"/>
      <c r="R5385" s="129"/>
      <c r="S5385" s="129"/>
      <c r="T5385" s="129"/>
      <c r="W5385" s="129" t="s">
        <v>286</v>
      </c>
      <c r="X5385" s="337" t="b">
        <f t="shared" si="121"/>
        <v>1</v>
      </c>
    </row>
    <row r="5386" spans="1:24" s="337" customFormat="1" ht="12" customHeight="1" outlineLevel="1">
      <c r="A5386" s="335"/>
      <c r="B5386" s="118" t="s">
        <v>12</v>
      </c>
      <c r="C5386" s="334" t="s">
        <v>13938</v>
      </c>
      <c r="D5386" s="124" t="s">
        <v>12046</v>
      </c>
      <c r="E5386" s="125"/>
      <c r="F5386" s="118" t="s">
        <v>1018</v>
      </c>
      <c r="G5386" s="126" t="s">
        <v>13831</v>
      </c>
      <c r="H5386" s="255">
        <v>6</v>
      </c>
      <c r="I5386" s="361">
        <v>1</v>
      </c>
      <c r="J5386" s="362" t="s">
        <v>286</v>
      </c>
      <c r="K5386" s="372"/>
      <c r="L5386" s="385"/>
      <c r="M5386" s="129"/>
      <c r="N5386" s="129"/>
      <c r="O5386" s="129"/>
      <c r="P5386" s="372"/>
      <c r="Q5386" s="385"/>
      <c r="R5386" s="385"/>
      <c r="S5386" s="129"/>
      <c r="T5386" s="129"/>
      <c r="W5386" s="129" t="s">
        <v>286</v>
      </c>
      <c r="X5386" s="337" t="b">
        <f t="shared" si="121"/>
        <v>1</v>
      </c>
    </row>
    <row r="5387" spans="1:24" s="337" customFormat="1" ht="12" customHeight="1" outlineLevel="1">
      <c r="A5387" s="335"/>
      <c r="B5387" s="118" t="s">
        <v>12</v>
      </c>
      <c r="C5387" s="334" t="s">
        <v>13939</v>
      </c>
      <c r="D5387" s="124" t="s">
        <v>12048</v>
      </c>
      <c r="E5387" s="125"/>
      <c r="F5387" s="118" t="s">
        <v>1018</v>
      </c>
      <c r="G5387" s="126" t="s">
        <v>13831</v>
      </c>
      <c r="H5387" s="255">
        <v>6</v>
      </c>
      <c r="I5387" s="361">
        <v>1</v>
      </c>
      <c r="J5387" s="362" t="s">
        <v>286</v>
      </c>
      <c r="K5387" s="372"/>
      <c r="L5387" s="385"/>
      <c r="M5387" s="129"/>
      <c r="N5387" s="129"/>
      <c r="O5387" s="129"/>
      <c r="P5387" s="372"/>
      <c r="Q5387" s="385"/>
      <c r="R5387" s="385"/>
      <c r="S5387" s="129"/>
      <c r="T5387" s="129"/>
      <c r="W5387" s="129" t="s">
        <v>286</v>
      </c>
      <c r="X5387" s="337" t="b">
        <f t="shared" si="121"/>
        <v>1</v>
      </c>
    </row>
    <row r="5388" spans="1:24" s="337" customFormat="1" ht="12" customHeight="1" outlineLevel="1">
      <c r="A5388" s="335"/>
      <c r="B5388" s="118" t="s">
        <v>12</v>
      </c>
      <c r="C5388" s="334" t="s">
        <v>13940</v>
      </c>
      <c r="D5388" s="124" t="s">
        <v>12050</v>
      </c>
      <c r="E5388" s="125"/>
      <c r="F5388" s="118" t="s">
        <v>1018</v>
      </c>
      <c r="G5388" s="126" t="s">
        <v>13831</v>
      </c>
      <c r="H5388" s="255">
        <v>6</v>
      </c>
      <c r="I5388" s="361">
        <v>1</v>
      </c>
      <c r="J5388" s="362" t="s">
        <v>286</v>
      </c>
      <c r="K5388" s="372"/>
      <c r="L5388" s="385"/>
      <c r="M5388" s="129"/>
      <c r="N5388" s="129"/>
      <c r="O5388" s="129"/>
      <c r="P5388" s="372"/>
      <c r="Q5388" s="385"/>
      <c r="R5388" s="385"/>
      <c r="S5388" s="129"/>
      <c r="T5388" s="129"/>
      <c r="W5388" s="129" t="s">
        <v>286</v>
      </c>
      <c r="X5388" s="337" t="b">
        <f t="shared" si="121"/>
        <v>1</v>
      </c>
    </row>
    <row r="5389" spans="1:24" s="337" customFormat="1" ht="12" customHeight="1" outlineLevel="1">
      <c r="A5389" s="335"/>
      <c r="B5389" s="118" t="s">
        <v>12</v>
      </c>
      <c r="C5389" s="334" t="s">
        <v>13941</v>
      </c>
      <c r="D5389" s="124" t="s">
        <v>12052</v>
      </c>
      <c r="E5389" s="125"/>
      <c r="F5389" s="118" t="s">
        <v>1018</v>
      </c>
      <c r="G5389" s="126" t="s">
        <v>13831</v>
      </c>
      <c r="H5389" s="255">
        <v>6</v>
      </c>
      <c r="I5389" s="361">
        <v>1</v>
      </c>
      <c r="J5389" s="336" t="s">
        <v>286</v>
      </c>
      <c r="W5389" s="129" t="s">
        <v>286</v>
      </c>
      <c r="X5389" s="337" t="b">
        <f t="shared" si="121"/>
        <v>1</v>
      </c>
    </row>
    <row r="5390" spans="1:24" s="360" customFormat="1" ht="12" customHeight="1" outlineLevel="1">
      <c r="A5390" s="365"/>
      <c r="B5390" s="118" t="s">
        <v>12</v>
      </c>
      <c r="C5390" s="334" t="s">
        <v>13942</v>
      </c>
      <c r="D5390" s="124" t="s">
        <v>12054</v>
      </c>
      <c r="E5390" s="125"/>
      <c r="F5390" s="118" t="s">
        <v>1018</v>
      </c>
      <c r="G5390" s="126" t="s">
        <v>13831</v>
      </c>
      <c r="H5390" s="253">
        <v>6</v>
      </c>
      <c r="I5390" s="361">
        <v>1</v>
      </c>
      <c r="J5390" s="366" t="s">
        <v>286</v>
      </c>
      <c r="W5390" s="129" t="s">
        <v>286</v>
      </c>
      <c r="X5390" s="337" t="b">
        <f t="shared" ref="X5390:X5453" si="122">W5390=J5390</f>
        <v>1</v>
      </c>
    </row>
    <row r="5391" spans="1:24" s="337" customFormat="1" ht="12" customHeight="1" outlineLevel="1">
      <c r="A5391" s="335"/>
      <c r="B5391" s="118" t="s">
        <v>12</v>
      </c>
      <c r="C5391" s="334" t="s">
        <v>13943</v>
      </c>
      <c r="D5391" s="124" t="s">
        <v>12056</v>
      </c>
      <c r="E5391" s="125"/>
      <c r="F5391" s="118" t="s">
        <v>1018</v>
      </c>
      <c r="G5391" s="126" t="s">
        <v>13831</v>
      </c>
      <c r="H5391" s="255">
        <v>6</v>
      </c>
      <c r="I5391" s="361">
        <v>1</v>
      </c>
      <c r="J5391" s="336" t="s">
        <v>286</v>
      </c>
      <c r="W5391" s="129" t="s">
        <v>286</v>
      </c>
      <c r="X5391" s="337" t="b">
        <f t="shared" si="122"/>
        <v>1</v>
      </c>
    </row>
    <row r="5392" spans="1:24" s="337" customFormat="1" ht="12" customHeight="1" outlineLevel="1">
      <c r="A5392" s="335"/>
      <c r="B5392" s="118" t="s">
        <v>12</v>
      </c>
      <c r="C5392" s="334" t="s">
        <v>13944</v>
      </c>
      <c r="D5392" s="124" t="s">
        <v>12058</v>
      </c>
      <c r="E5392" s="125"/>
      <c r="F5392" s="118" t="s">
        <v>1018</v>
      </c>
      <c r="G5392" s="126" t="s">
        <v>13831</v>
      </c>
      <c r="H5392" s="255">
        <v>6</v>
      </c>
      <c r="I5392" s="361">
        <v>1</v>
      </c>
      <c r="J5392" s="336" t="s">
        <v>286</v>
      </c>
      <c r="W5392" s="129" t="s">
        <v>286</v>
      </c>
      <c r="X5392" s="337" t="b">
        <f t="shared" si="122"/>
        <v>1</v>
      </c>
    </row>
    <row r="5393" spans="1:24" s="337" customFormat="1" ht="12" customHeight="1" outlineLevel="1">
      <c r="A5393" s="335"/>
      <c r="B5393" s="118" t="s">
        <v>12</v>
      </c>
      <c r="C5393" s="334" t="s">
        <v>13945</v>
      </c>
      <c r="D5393" s="124" t="s">
        <v>12060</v>
      </c>
      <c r="E5393" s="125"/>
      <c r="F5393" s="118" t="s">
        <v>1018</v>
      </c>
      <c r="G5393" s="126" t="s">
        <v>13831</v>
      </c>
      <c r="H5393" s="255">
        <v>6</v>
      </c>
      <c r="I5393" s="361">
        <v>1</v>
      </c>
      <c r="J5393" s="336" t="s">
        <v>286</v>
      </c>
      <c r="W5393" s="129" t="s">
        <v>286</v>
      </c>
      <c r="X5393" s="337" t="b">
        <f t="shared" si="122"/>
        <v>1</v>
      </c>
    </row>
    <row r="5394" spans="1:24" s="337" customFormat="1" ht="12" customHeight="1" outlineLevel="1">
      <c r="A5394" s="335"/>
      <c r="B5394" s="118" t="s">
        <v>12</v>
      </c>
      <c r="C5394" s="334" t="s">
        <v>13946</v>
      </c>
      <c r="D5394" s="124" t="s">
        <v>12062</v>
      </c>
      <c r="E5394" s="125"/>
      <c r="F5394" s="118" t="s">
        <v>1018</v>
      </c>
      <c r="G5394" s="126" t="s">
        <v>13831</v>
      </c>
      <c r="H5394" s="255">
        <v>6</v>
      </c>
      <c r="I5394" s="361">
        <v>1</v>
      </c>
      <c r="J5394" s="336" t="s">
        <v>286</v>
      </c>
      <c r="W5394" s="129" t="s">
        <v>286</v>
      </c>
      <c r="X5394" s="337" t="b">
        <f t="shared" si="122"/>
        <v>1</v>
      </c>
    </row>
    <row r="5395" spans="1:24" s="337" customFormat="1" ht="12" customHeight="1" outlineLevel="1">
      <c r="A5395" s="335"/>
      <c r="B5395" s="118" t="s">
        <v>12</v>
      </c>
      <c r="C5395" s="334" t="s">
        <v>13947</v>
      </c>
      <c r="D5395" s="124" t="s">
        <v>12064</v>
      </c>
      <c r="E5395" s="125"/>
      <c r="F5395" s="118" t="s">
        <v>1018</v>
      </c>
      <c r="G5395" s="126" t="s">
        <v>13831</v>
      </c>
      <c r="H5395" s="255">
        <v>6</v>
      </c>
      <c r="I5395" s="361">
        <v>1</v>
      </c>
      <c r="J5395" s="336" t="s">
        <v>286</v>
      </c>
      <c r="W5395" s="129" t="s">
        <v>286</v>
      </c>
      <c r="X5395" s="337" t="b">
        <f t="shared" si="122"/>
        <v>1</v>
      </c>
    </row>
    <row r="5396" spans="1:24" s="337" customFormat="1" ht="12" customHeight="1" outlineLevel="1">
      <c r="A5396" s="335"/>
      <c r="B5396" s="118" t="s">
        <v>12</v>
      </c>
      <c r="C5396" s="334" t="s">
        <v>13948</v>
      </c>
      <c r="D5396" s="124" t="s">
        <v>12066</v>
      </c>
      <c r="E5396" s="125"/>
      <c r="F5396" s="118" t="s">
        <v>1018</v>
      </c>
      <c r="G5396" s="126" t="s">
        <v>13831</v>
      </c>
      <c r="H5396" s="255">
        <v>6</v>
      </c>
      <c r="I5396" s="361">
        <v>1</v>
      </c>
      <c r="J5396" s="336" t="s">
        <v>286</v>
      </c>
      <c r="W5396" s="129" t="s">
        <v>286</v>
      </c>
      <c r="X5396" s="337" t="b">
        <f t="shared" si="122"/>
        <v>1</v>
      </c>
    </row>
    <row r="5397" spans="1:24" s="360" customFormat="1" ht="12" customHeight="1" outlineLevel="1">
      <c r="A5397" s="365"/>
      <c r="B5397" s="118" t="s">
        <v>12</v>
      </c>
      <c r="C5397" s="334" t="s">
        <v>13949</v>
      </c>
      <c r="D5397" s="124" t="s">
        <v>12068</v>
      </c>
      <c r="E5397" s="125"/>
      <c r="F5397" s="118" t="s">
        <v>1018</v>
      </c>
      <c r="G5397" s="126" t="s">
        <v>13831</v>
      </c>
      <c r="H5397" s="253">
        <v>6</v>
      </c>
      <c r="I5397" s="361">
        <v>1</v>
      </c>
      <c r="J5397" s="366" t="s">
        <v>286</v>
      </c>
      <c r="W5397" s="129" t="s">
        <v>286</v>
      </c>
      <c r="X5397" s="337" t="b">
        <f t="shared" si="122"/>
        <v>1</v>
      </c>
    </row>
    <row r="5398" spans="1:24" s="337" customFormat="1" ht="12" customHeight="1" outlineLevel="1">
      <c r="A5398" s="335"/>
      <c r="B5398" s="118" t="s">
        <v>12</v>
      </c>
      <c r="C5398" s="334" t="s">
        <v>13950</v>
      </c>
      <c r="D5398" s="124" t="s">
        <v>12070</v>
      </c>
      <c r="E5398" s="125"/>
      <c r="F5398" s="118" t="s">
        <v>1018</v>
      </c>
      <c r="G5398" s="126" t="s">
        <v>13831</v>
      </c>
      <c r="H5398" s="255">
        <v>6</v>
      </c>
      <c r="I5398" s="361">
        <v>1</v>
      </c>
      <c r="J5398" s="336" t="s">
        <v>286</v>
      </c>
      <c r="W5398" s="129" t="s">
        <v>286</v>
      </c>
      <c r="X5398" s="337" t="b">
        <f t="shared" si="122"/>
        <v>1</v>
      </c>
    </row>
    <row r="5399" spans="1:24" s="337" customFormat="1" ht="12" customHeight="1" outlineLevel="1">
      <c r="A5399" s="335"/>
      <c r="B5399" s="118" t="s">
        <v>12</v>
      </c>
      <c r="C5399" s="334" t="s">
        <v>13951</v>
      </c>
      <c r="D5399" s="124" t="s">
        <v>12072</v>
      </c>
      <c r="E5399" s="125"/>
      <c r="F5399" s="118" t="s">
        <v>1018</v>
      </c>
      <c r="G5399" s="126" t="s">
        <v>13831</v>
      </c>
      <c r="H5399" s="255">
        <v>6</v>
      </c>
      <c r="I5399" s="361">
        <v>1</v>
      </c>
      <c r="J5399" s="336" t="s">
        <v>286</v>
      </c>
      <c r="W5399" s="129" t="s">
        <v>286</v>
      </c>
      <c r="X5399" s="337" t="b">
        <f t="shared" si="122"/>
        <v>1</v>
      </c>
    </row>
    <row r="5400" spans="1:24" s="337" customFormat="1" ht="12" customHeight="1" outlineLevel="1">
      <c r="A5400" s="335"/>
      <c r="B5400" s="118" t="s">
        <v>12</v>
      </c>
      <c r="C5400" s="334" t="s">
        <v>13952</v>
      </c>
      <c r="D5400" s="124" t="s">
        <v>12074</v>
      </c>
      <c r="E5400" s="125"/>
      <c r="F5400" s="118" t="s">
        <v>1018</v>
      </c>
      <c r="G5400" s="126" t="s">
        <v>13831</v>
      </c>
      <c r="H5400" s="255">
        <v>6</v>
      </c>
      <c r="I5400" s="361">
        <v>1</v>
      </c>
      <c r="J5400" s="336" t="s">
        <v>286</v>
      </c>
      <c r="W5400" s="129" t="s">
        <v>286</v>
      </c>
      <c r="X5400" s="337" t="b">
        <f t="shared" si="122"/>
        <v>1</v>
      </c>
    </row>
    <row r="5401" spans="1:24" s="337" customFormat="1" ht="12" customHeight="1" outlineLevel="1">
      <c r="A5401" s="335"/>
      <c r="B5401" s="118" t="s">
        <v>12</v>
      </c>
      <c r="C5401" s="334" t="s">
        <v>13953</v>
      </c>
      <c r="D5401" s="124" t="s">
        <v>12076</v>
      </c>
      <c r="E5401" s="125"/>
      <c r="F5401" s="118" t="s">
        <v>1018</v>
      </c>
      <c r="G5401" s="126" t="s">
        <v>13831</v>
      </c>
      <c r="H5401" s="255">
        <v>6</v>
      </c>
      <c r="I5401" s="361">
        <v>1</v>
      </c>
      <c r="J5401" s="336" t="s">
        <v>286</v>
      </c>
      <c r="W5401" s="129" t="s">
        <v>286</v>
      </c>
      <c r="X5401" s="337" t="b">
        <f t="shared" si="122"/>
        <v>1</v>
      </c>
    </row>
    <row r="5402" spans="1:24" s="337" customFormat="1" ht="12" customHeight="1" outlineLevel="1">
      <c r="A5402" s="335"/>
      <c r="B5402" s="118" t="s">
        <v>12</v>
      </c>
      <c r="C5402" s="334" t="s">
        <v>13954</v>
      </c>
      <c r="D5402" s="124" t="s">
        <v>12078</v>
      </c>
      <c r="E5402" s="125"/>
      <c r="F5402" s="118" t="s">
        <v>1018</v>
      </c>
      <c r="G5402" s="126" t="s">
        <v>13831</v>
      </c>
      <c r="H5402" s="255">
        <v>6</v>
      </c>
      <c r="I5402" s="361">
        <v>1</v>
      </c>
      <c r="J5402" s="336" t="s">
        <v>286</v>
      </c>
      <c r="W5402" s="129" t="s">
        <v>286</v>
      </c>
      <c r="X5402" s="337" t="b">
        <f t="shared" si="122"/>
        <v>1</v>
      </c>
    </row>
    <row r="5403" spans="1:24" s="337" customFormat="1" ht="12" customHeight="1" outlineLevel="1">
      <c r="A5403" s="335"/>
      <c r="B5403" s="118" t="s">
        <v>12</v>
      </c>
      <c r="C5403" s="334" t="s">
        <v>13955</v>
      </c>
      <c r="D5403" s="124" t="s">
        <v>12080</v>
      </c>
      <c r="E5403" s="125"/>
      <c r="F5403" s="118" t="s">
        <v>1018</v>
      </c>
      <c r="G5403" s="126" t="s">
        <v>13831</v>
      </c>
      <c r="H5403" s="255">
        <v>6</v>
      </c>
      <c r="I5403" s="361">
        <v>1</v>
      </c>
      <c r="J5403" s="336" t="s">
        <v>286</v>
      </c>
      <c r="W5403" s="129" t="s">
        <v>286</v>
      </c>
      <c r="X5403" s="337" t="b">
        <f t="shared" si="122"/>
        <v>1</v>
      </c>
    </row>
    <row r="5404" spans="1:24" s="337" customFormat="1" ht="12" customHeight="1" outlineLevel="1">
      <c r="A5404" s="335"/>
      <c r="B5404" s="118" t="s">
        <v>12</v>
      </c>
      <c r="C5404" s="334" t="s">
        <v>13956</v>
      </c>
      <c r="D5404" s="124" t="s">
        <v>12082</v>
      </c>
      <c r="E5404" s="125"/>
      <c r="F5404" s="118" t="s">
        <v>1018</v>
      </c>
      <c r="G5404" s="126" t="s">
        <v>13831</v>
      </c>
      <c r="H5404" s="255">
        <v>6</v>
      </c>
      <c r="I5404" s="361">
        <v>1</v>
      </c>
      <c r="J5404" s="336" t="s">
        <v>286</v>
      </c>
      <c r="W5404" s="129" t="s">
        <v>286</v>
      </c>
      <c r="X5404" s="337" t="b">
        <f t="shared" si="122"/>
        <v>1</v>
      </c>
    </row>
    <row r="5405" spans="1:24" s="337" customFormat="1" ht="12" customHeight="1" outlineLevel="1">
      <c r="A5405" s="335"/>
      <c r="B5405" s="118" t="s">
        <v>12</v>
      </c>
      <c r="C5405" s="334" t="s">
        <v>13957</v>
      </c>
      <c r="D5405" s="124" t="s">
        <v>12084</v>
      </c>
      <c r="E5405" s="125"/>
      <c r="F5405" s="118" t="s">
        <v>1018</v>
      </c>
      <c r="G5405" s="126" t="s">
        <v>13831</v>
      </c>
      <c r="H5405" s="255">
        <v>6</v>
      </c>
      <c r="I5405" s="361">
        <v>1</v>
      </c>
      <c r="J5405" s="336" t="s">
        <v>286</v>
      </c>
      <c r="W5405" s="129" t="s">
        <v>286</v>
      </c>
      <c r="X5405" s="337" t="b">
        <f t="shared" si="122"/>
        <v>1</v>
      </c>
    </row>
    <row r="5406" spans="1:24" s="337" customFormat="1" ht="12" customHeight="1" outlineLevel="1">
      <c r="A5406" s="335"/>
      <c r="B5406" s="118" t="s">
        <v>12</v>
      </c>
      <c r="C5406" s="334" t="s">
        <v>13958</v>
      </c>
      <c r="D5406" s="124" t="s">
        <v>12086</v>
      </c>
      <c r="E5406" s="125"/>
      <c r="F5406" s="118" t="s">
        <v>1018</v>
      </c>
      <c r="G5406" s="126" t="s">
        <v>13831</v>
      </c>
      <c r="H5406" s="255">
        <v>6</v>
      </c>
      <c r="I5406" s="361">
        <v>1</v>
      </c>
      <c r="J5406" s="336" t="s">
        <v>286</v>
      </c>
      <c r="W5406" s="129" t="s">
        <v>286</v>
      </c>
      <c r="X5406" s="337" t="b">
        <f t="shared" si="122"/>
        <v>1</v>
      </c>
    </row>
    <row r="5407" spans="1:24" s="337" customFormat="1" ht="12" customHeight="1" outlineLevel="1">
      <c r="A5407" s="335"/>
      <c r="B5407" s="118" t="s">
        <v>12</v>
      </c>
      <c r="C5407" s="334" t="s">
        <v>13959</v>
      </c>
      <c r="D5407" s="124" t="s">
        <v>12088</v>
      </c>
      <c r="E5407" s="125"/>
      <c r="F5407" s="118" t="s">
        <v>1018</v>
      </c>
      <c r="G5407" s="126" t="s">
        <v>13831</v>
      </c>
      <c r="H5407" s="255">
        <v>6</v>
      </c>
      <c r="I5407" s="361">
        <v>1</v>
      </c>
      <c r="J5407" s="336" t="s">
        <v>286</v>
      </c>
      <c r="W5407" s="129" t="s">
        <v>286</v>
      </c>
      <c r="X5407" s="337" t="b">
        <f t="shared" si="122"/>
        <v>1</v>
      </c>
    </row>
    <row r="5408" spans="1:24" s="337" customFormat="1" ht="12" customHeight="1" outlineLevel="1">
      <c r="A5408" s="335"/>
      <c r="B5408" s="118" t="s">
        <v>12</v>
      </c>
      <c r="C5408" s="334" t="s">
        <v>13960</v>
      </c>
      <c r="D5408" s="124" t="s">
        <v>12090</v>
      </c>
      <c r="E5408" s="125"/>
      <c r="F5408" s="118" t="s">
        <v>1018</v>
      </c>
      <c r="G5408" s="126" t="s">
        <v>13831</v>
      </c>
      <c r="H5408" s="255">
        <v>6</v>
      </c>
      <c r="I5408" s="361">
        <v>1</v>
      </c>
      <c r="J5408" s="336" t="s">
        <v>286</v>
      </c>
      <c r="W5408" s="129" t="s">
        <v>286</v>
      </c>
      <c r="X5408" s="337" t="b">
        <f t="shared" si="122"/>
        <v>1</v>
      </c>
    </row>
    <row r="5409" spans="1:24" s="360" customFormat="1" ht="12" customHeight="1" outlineLevel="1">
      <c r="A5409" s="365"/>
      <c r="B5409" s="118" t="s">
        <v>12</v>
      </c>
      <c r="C5409" s="334" t="s">
        <v>13961</v>
      </c>
      <c r="D5409" s="124" t="s">
        <v>12092</v>
      </c>
      <c r="E5409" s="125"/>
      <c r="F5409" s="118" t="s">
        <v>1018</v>
      </c>
      <c r="G5409" s="126" t="s">
        <v>13831</v>
      </c>
      <c r="H5409" s="255">
        <v>6</v>
      </c>
      <c r="I5409" s="361">
        <v>1</v>
      </c>
      <c r="J5409" s="366" t="s">
        <v>286</v>
      </c>
      <c r="W5409" s="129" t="s">
        <v>286</v>
      </c>
      <c r="X5409" s="337" t="b">
        <f t="shared" si="122"/>
        <v>1</v>
      </c>
    </row>
    <row r="5410" spans="1:24" s="337" customFormat="1" ht="12" customHeight="1" outlineLevel="1">
      <c r="A5410" s="335"/>
      <c r="B5410" s="118" t="s">
        <v>12</v>
      </c>
      <c r="C5410" s="334" t="s">
        <v>13962</v>
      </c>
      <c r="D5410" s="124" t="s">
        <v>12094</v>
      </c>
      <c r="E5410" s="125"/>
      <c r="F5410" s="118" t="s">
        <v>1018</v>
      </c>
      <c r="G5410" s="126" t="s">
        <v>13831</v>
      </c>
      <c r="H5410" s="255">
        <v>6</v>
      </c>
      <c r="I5410" s="361">
        <v>1</v>
      </c>
      <c r="J5410" s="336" t="s">
        <v>286</v>
      </c>
      <c r="W5410" s="129" t="s">
        <v>286</v>
      </c>
      <c r="X5410" s="337" t="b">
        <f t="shared" si="122"/>
        <v>1</v>
      </c>
    </row>
    <row r="5411" spans="1:24" s="337" customFormat="1" ht="12" customHeight="1" outlineLevel="1">
      <c r="A5411" s="335"/>
      <c r="B5411" s="118" t="s">
        <v>12</v>
      </c>
      <c r="C5411" s="334" t="s">
        <v>13963</v>
      </c>
      <c r="D5411" s="124" t="s">
        <v>12096</v>
      </c>
      <c r="E5411" s="125"/>
      <c r="F5411" s="118" t="s">
        <v>1018</v>
      </c>
      <c r="G5411" s="126" t="s">
        <v>13831</v>
      </c>
      <c r="H5411" s="255">
        <v>6</v>
      </c>
      <c r="I5411" s="361">
        <v>1</v>
      </c>
      <c r="J5411" s="336" t="s">
        <v>286</v>
      </c>
      <c r="W5411" s="129" t="s">
        <v>286</v>
      </c>
      <c r="X5411" s="337" t="b">
        <f t="shared" si="122"/>
        <v>1</v>
      </c>
    </row>
    <row r="5412" spans="1:24" s="337" customFormat="1" ht="12" customHeight="1" outlineLevel="1">
      <c r="A5412" s="335"/>
      <c r="B5412" s="118" t="s">
        <v>12</v>
      </c>
      <c r="C5412" s="334" t="s">
        <v>13964</v>
      </c>
      <c r="D5412" s="124" t="s">
        <v>12098</v>
      </c>
      <c r="E5412" s="125"/>
      <c r="F5412" s="118" t="s">
        <v>1018</v>
      </c>
      <c r="G5412" s="126" t="s">
        <v>13831</v>
      </c>
      <c r="H5412" s="255">
        <v>6</v>
      </c>
      <c r="I5412" s="361">
        <v>1</v>
      </c>
      <c r="J5412" s="336" t="s">
        <v>286</v>
      </c>
      <c r="W5412" s="129" t="s">
        <v>286</v>
      </c>
      <c r="X5412" s="337" t="b">
        <f t="shared" si="122"/>
        <v>1</v>
      </c>
    </row>
    <row r="5413" spans="1:24" s="337" customFormat="1" ht="12" customHeight="1" outlineLevel="1">
      <c r="A5413" s="335"/>
      <c r="B5413" s="118" t="s">
        <v>12</v>
      </c>
      <c r="C5413" s="334" t="s">
        <v>13965</v>
      </c>
      <c r="D5413" s="124" t="s">
        <v>12100</v>
      </c>
      <c r="E5413" s="125"/>
      <c r="F5413" s="118" t="s">
        <v>1018</v>
      </c>
      <c r="G5413" s="126" t="s">
        <v>13831</v>
      </c>
      <c r="H5413" s="255">
        <v>6</v>
      </c>
      <c r="I5413" s="361">
        <v>1</v>
      </c>
      <c r="J5413" s="336" t="s">
        <v>286</v>
      </c>
      <c r="W5413" s="129" t="s">
        <v>286</v>
      </c>
      <c r="X5413" s="337" t="b">
        <f t="shared" si="122"/>
        <v>1</v>
      </c>
    </row>
    <row r="5414" spans="1:24" s="337" customFormat="1" ht="12" customHeight="1" outlineLevel="1">
      <c r="A5414" s="335"/>
      <c r="B5414" s="118" t="s">
        <v>12</v>
      </c>
      <c r="C5414" s="334" t="s">
        <v>13966</v>
      </c>
      <c r="D5414" s="124" t="s">
        <v>12102</v>
      </c>
      <c r="E5414" s="125"/>
      <c r="F5414" s="118" t="s">
        <v>1018</v>
      </c>
      <c r="G5414" s="126" t="s">
        <v>13831</v>
      </c>
      <c r="H5414" s="255">
        <v>6</v>
      </c>
      <c r="I5414" s="361">
        <v>1</v>
      </c>
      <c r="J5414" s="336" t="s">
        <v>286</v>
      </c>
      <c r="W5414" s="129" t="s">
        <v>286</v>
      </c>
      <c r="X5414" s="337" t="b">
        <f t="shared" si="122"/>
        <v>1</v>
      </c>
    </row>
    <row r="5415" spans="1:24" s="337" customFormat="1" ht="12" customHeight="1" outlineLevel="1">
      <c r="A5415" s="335"/>
      <c r="B5415" s="118" t="s">
        <v>12</v>
      </c>
      <c r="C5415" s="334" t="s">
        <v>13967</v>
      </c>
      <c r="D5415" s="124" t="s">
        <v>12104</v>
      </c>
      <c r="E5415" s="125"/>
      <c r="F5415" s="118" t="s">
        <v>1018</v>
      </c>
      <c r="G5415" s="126" t="s">
        <v>13831</v>
      </c>
      <c r="H5415" s="255">
        <v>6</v>
      </c>
      <c r="I5415" s="361">
        <v>1</v>
      </c>
      <c r="J5415" s="336" t="s">
        <v>286</v>
      </c>
      <c r="W5415" s="129" t="s">
        <v>286</v>
      </c>
      <c r="X5415" s="337" t="b">
        <f t="shared" si="122"/>
        <v>1</v>
      </c>
    </row>
    <row r="5416" spans="1:24" s="337" customFormat="1" ht="12" customHeight="1" outlineLevel="1">
      <c r="A5416" s="335"/>
      <c r="B5416" s="118" t="s">
        <v>12</v>
      </c>
      <c r="C5416" s="334" t="s">
        <v>13968</v>
      </c>
      <c r="D5416" s="124" t="s">
        <v>8158</v>
      </c>
      <c r="E5416" s="125"/>
      <c r="F5416" s="118" t="s">
        <v>1018</v>
      </c>
      <c r="G5416" s="126" t="s">
        <v>13831</v>
      </c>
      <c r="H5416" s="255">
        <v>6</v>
      </c>
      <c r="I5416" s="361">
        <v>1</v>
      </c>
      <c r="J5416" s="336" t="s">
        <v>286</v>
      </c>
      <c r="W5416" s="129" t="s">
        <v>286</v>
      </c>
      <c r="X5416" s="337" t="b">
        <f t="shared" si="122"/>
        <v>1</v>
      </c>
    </row>
    <row r="5417" spans="1:24" s="337" customFormat="1" ht="12" customHeight="1" outlineLevel="1">
      <c r="A5417" s="335"/>
      <c r="B5417" s="118" t="s">
        <v>12</v>
      </c>
      <c r="C5417" s="334" t="s">
        <v>13969</v>
      </c>
      <c r="D5417" s="124" t="s">
        <v>12107</v>
      </c>
      <c r="E5417" s="125"/>
      <c r="F5417" s="118" t="s">
        <v>1018</v>
      </c>
      <c r="G5417" s="126" t="s">
        <v>13831</v>
      </c>
      <c r="H5417" s="255">
        <v>6</v>
      </c>
      <c r="I5417" s="361">
        <v>1</v>
      </c>
      <c r="J5417" s="336" t="s">
        <v>286</v>
      </c>
      <c r="W5417" s="129" t="s">
        <v>286</v>
      </c>
      <c r="X5417" s="337" t="b">
        <f t="shared" si="122"/>
        <v>1</v>
      </c>
    </row>
    <row r="5418" spans="1:24" s="337" customFormat="1" ht="12" customHeight="1" outlineLevel="1">
      <c r="A5418" s="335"/>
      <c r="B5418" s="118" t="s">
        <v>12</v>
      </c>
      <c r="C5418" s="334" t="s">
        <v>13970</v>
      </c>
      <c r="D5418" s="124" t="s">
        <v>12109</v>
      </c>
      <c r="E5418" s="125"/>
      <c r="F5418" s="118" t="s">
        <v>1018</v>
      </c>
      <c r="G5418" s="126" t="s">
        <v>13831</v>
      </c>
      <c r="H5418" s="255">
        <v>6</v>
      </c>
      <c r="I5418" s="361">
        <v>1</v>
      </c>
      <c r="J5418" s="336" t="s">
        <v>286</v>
      </c>
      <c r="W5418" s="129" t="s">
        <v>310</v>
      </c>
      <c r="X5418" s="337" t="b">
        <f t="shared" si="122"/>
        <v>0</v>
      </c>
    </row>
    <row r="5419" spans="1:24" s="337" customFormat="1" ht="12" customHeight="1" outlineLevel="1">
      <c r="A5419" s="335"/>
      <c r="B5419" s="118" t="s">
        <v>12</v>
      </c>
      <c r="C5419" s="334" t="s">
        <v>13971</v>
      </c>
      <c r="D5419" s="124" t="s">
        <v>11799</v>
      </c>
      <c r="E5419" s="125"/>
      <c r="F5419" s="118" t="s">
        <v>1018</v>
      </c>
      <c r="G5419" s="126" t="s">
        <v>13831</v>
      </c>
      <c r="H5419" s="255">
        <v>6</v>
      </c>
      <c r="I5419" s="361">
        <v>1</v>
      </c>
      <c r="J5419" s="336" t="s">
        <v>310</v>
      </c>
      <c r="W5419" s="129" t="s">
        <v>310</v>
      </c>
      <c r="X5419" s="337" t="b">
        <f t="shared" si="122"/>
        <v>1</v>
      </c>
    </row>
    <row r="5420" spans="1:24" s="337" customFormat="1" ht="12" customHeight="1" outlineLevel="1">
      <c r="A5420" s="335"/>
      <c r="B5420" s="118" t="s">
        <v>12</v>
      </c>
      <c r="C5420" s="334" t="s">
        <v>13972</v>
      </c>
      <c r="D5420" s="124" t="s">
        <v>11735</v>
      </c>
      <c r="E5420" s="125"/>
      <c r="F5420" s="118" t="s">
        <v>1018</v>
      </c>
      <c r="G5420" s="126" t="s">
        <v>13831</v>
      </c>
      <c r="H5420" s="255">
        <v>6</v>
      </c>
      <c r="I5420" s="361">
        <v>1</v>
      </c>
      <c r="J5420" s="336" t="s">
        <v>286</v>
      </c>
      <c r="W5420" s="129" t="s">
        <v>286</v>
      </c>
      <c r="X5420" s="337" t="b">
        <f t="shared" si="122"/>
        <v>1</v>
      </c>
    </row>
    <row r="5421" spans="1:24" s="337" customFormat="1" ht="12" customHeight="1" outlineLevel="1">
      <c r="A5421" s="335"/>
      <c r="B5421" s="118" t="s">
        <v>12</v>
      </c>
      <c r="C5421" s="334" t="s">
        <v>13973</v>
      </c>
      <c r="D5421" s="124" t="s">
        <v>11737</v>
      </c>
      <c r="E5421" s="125"/>
      <c r="F5421" s="118" t="s">
        <v>1018</v>
      </c>
      <c r="G5421" s="126" t="s">
        <v>13831</v>
      </c>
      <c r="H5421" s="255">
        <v>6</v>
      </c>
      <c r="I5421" s="361">
        <v>1</v>
      </c>
      <c r="J5421" s="336" t="s">
        <v>286</v>
      </c>
      <c r="W5421" s="129" t="s">
        <v>286</v>
      </c>
      <c r="X5421" s="337" t="b">
        <f t="shared" si="122"/>
        <v>1</v>
      </c>
    </row>
    <row r="5422" spans="1:24" s="360" customFormat="1" ht="12" customHeight="1" outlineLevel="1">
      <c r="A5422" s="365"/>
      <c r="B5422" s="118" t="s">
        <v>12</v>
      </c>
      <c r="C5422" s="334" t="s">
        <v>13974</v>
      </c>
      <c r="D5422" s="124" t="s">
        <v>11739</v>
      </c>
      <c r="E5422" s="125"/>
      <c r="F5422" s="118" t="s">
        <v>1018</v>
      </c>
      <c r="G5422" s="126" t="s">
        <v>13831</v>
      </c>
      <c r="H5422" s="255">
        <v>6</v>
      </c>
      <c r="I5422" s="361">
        <v>1</v>
      </c>
      <c r="J5422" s="366" t="s">
        <v>286</v>
      </c>
      <c r="W5422" s="129" t="s">
        <v>286</v>
      </c>
      <c r="X5422" s="337" t="b">
        <f t="shared" si="122"/>
        <v>1</v>
      </c>
    </row>
    <row r="5423" spans="1:24" s="337" customFormat="1" ht="12" customHeight="1" outlineLevel="1">
      <c r="A5423" s="335"/>
      <c r="B5423" s="118" t="s">
        <v>12</v>
      </c>
      <c r="C5423" s="334" t="s">
        <v>13975</v>
      </c>
      <c r="D5423" s="124" t="s">
        <v>11741</v>
      </c>
      <c r="E5423" s="125"/>
      <c r="F5423" s="118" t="s">
        <v>1018</v>
      </c>
      <c r="G5423" s="126" t="s">
        <v>13831</v>
      </c>
      <c r="H5423" s="255">
        <v>6</v>
      </c>
      <c r="I5423" s="361">
        <v>1</v>
      </c>
      <c r="J5423" s="336" t="s">
        <v>310</v>
      </c>
      <c r="W5423" s="129" t="s">
        <v>310</v>
      </c>
      <c r="X5423" s="337" t="b">
        <f t="shared" si="122"/>
        <v>1</v>
      </c>
    </row>
    <row r="5424" spans="1:24" s="337" customFormat="1" ht="12" customHeight="1" outlineLevel="1">
      <c r="A5424" s="335"/>
      <c r="B5424" s="118" t="s">
        <v>12</v>
      </c>
      <c r="C5424" s="334" t="s">
        <v>13976</v>
      </c>
      <c r="D5424" s="124" t="s">
        <v>11743</v>
      </c>
      <c r="E5424" s="125"/>
      <c r="F5424" s="118" t="s">
        <v>1018</v>
      </c>
      <c r="G5424" s="126" t="s">
        <v>13831</v>
      </c>
      <c r="H5424" s="255">
        <v>6</v>
      </c>
      <c r="I5424" s="361">
        <v>1</v>
      </c>
      <c r="J5424" s="336" t="s">
        <v>286</v>
      </c>
      <c r="W5424" s="129" t="s">
        <v>286</v>
      </c>
      <c r="X5424" s="337" t="b">
        <f t="shared" si="122"/>
        <v>1</v>
      </c>
    </row>
    <row r="5425" spans="1:24" s="337" customFormat="1" ht="12" customHeight="1" outlineLevel="1">
      <c r="A5425" s="335"/>
      <c r="B5425" s="118" t="s">
        <v>12</v>
      </c>
      <c r="C5425" s="334" t="s">
        <v>13977</v>
      </c>
      <c r="D5425" s="124" t="s">
        <v>11745</v>
      </c>
      <c r="E5425" s="125"/>
      <c r="F5425" s="118" t="s">
        <v>1018</v>
      </c>
      <c r="G5425" s="126" t="s">
        <v>13831</v>
      </c>
      <c r="H5425" s="255">
        <v>6</v>
      </c>
      <c r="I5425" s="361">
        <v>1</v>
      </c>
      <c r="J5425" s="336" t="s">
        <v>286</v>
      </c>
      <c r="W5425" s="129" t="s">
        <v>310</v>
      </c>
      <c r="X5425" s="337" t="b">
        <f t="shared" si="122"/>
        <v>0</v>
      </c>
    </row>
    <row r="5426" spans="1:24" s="337" customFormat="1" ht="12" customHeight="1" outlineLevel="1">
      <c r="A5426" s="335"/>
      <c r="B5426" s="118" t="s">
        <v>12</v>
      </c>
      <c r="C5426" s="334" t="s">
        <v>13978</v>
      </c>
      <c r="D5426" s="124" t="s">
        <v>11747</v>
      </c>
      <c r="E5426" s="125"/>
      <c r="F5426" s="118" t="s">
        <v>1018</v>
      </c>
      <c r="G5426" s="126" t="s">
        <v>13831</v>
      </c>
      <c r="H5426" s="255">
        <v>6</v>
      </c>
      <c r="I5426" s="361">
        <v>1</v>
      </c>
      <c r="J5426" s="336" t="s">
        <v>286</v>
      </c>
      <c r="W5426" s="129" t="s">
        <v>310</v>
      </c>
      <c r="X5426" s="337" t="b">
        <f t="shared" si="122"/>
        <v>0</v>
      </c>
    </row>
    <row r="5427" spans="1:24" s="337" customFormat="1" ht="12" customHeight="1" outlineLevel="1">
      <c r="A5427" s="335"/>
      <c r="B5427" s="118" t="s">
        <v>12</v>
      </c>
      <c r="C5427" s="334" t="s">
        <v>13979</v>
      </c>
      <c r="D5427" s="124" t="s">
        <v>11749</v>
      </c>
      <c r="E5427" s="125"/>
      <c r="F5427" s="118" t="s">
        <v>1018</v>
      </c>
      <c r="G5427" s="126" t="s">
        <v>13831</v>
      </c>
      <c r="H5427" s="255">
        <v>6</v>
      </c>
      <c r="I5427" s="361">
        <v>1</v>
      </c>
      <c r="J5427" s="336" t="s">
        <v>286</v>
      </c>
      <c r="W5427" s="129" t="s">
        <v>286</v>
      </c>
      <c r="X5427" s="337" t="b">
        <f t="shared" si="122"/>
        <v>1</v>
      </c>
    </row>
    <row r="5428" spans="1:24" s="337" customFormat="1" ht="12" customHeight="1" outlineLevel="1">
      <c r="A5428" s="335"/>
      <c r="B5428" s="118" t="s">
        <v>12</v>
      </c>
      <c r="C5428" s="334" t="s">
        <v>13980</v>
      </c>
      <c r="D5428" s="124" t="s">
        <v>11751</v>
      </c>
      <c r="E5428" s="125"/>
      <c r="F5428" s="118" t="s">
        <v>1018</v>
      </c>
      <c r="G5428" s="126" t="s">
        <v>13831</v>
      </c>
      <c r="H5428" s="255">
        <v>6</v>
      </c>
      <c r="I5428" s="361">
        <v>1</v>
      </c>
      <c r="J5428" s="336" t="s">
        <v>310</v>
      </c>
      <c r="W5428" s="129" t="s">
        <v>286</v>
      </c>
      <c r="X5428" s="337" t="b">
        <f t="shared" si="122"/>
        <v>0</v>
      </c>
    </row>
    <row r="5429" spans="1:24" s="337" customFormat="1" ht="12" customHeight="1" outlineLevel="1">
      <c r="A5429" s="335"/>
      <c r="B5429" s="118" t="s">
        <v>12</v>
      </c>
      <c r="C5429" s="334" t="s">
        <v>13981</v>
      </c>
      <c r="D5429" s="124" t="s">
        <v>11753</v>
      </c>
      <c r="E5429" s="125"/>
      <c r="F5429" s="118" t="s">
        <v>1018</v>
      </c>
      <c r="G5429" s="126" t="s">
        <v>13831</v>
      </c>
      <c r="H5429" s="255">
        <v>6</v>
      </c>
      <c r="I5429" s="361">
        <v>1</v>
      </c>
      <c r="J5429" s="336" t="s">
        <v>286</v>
      </c>
      <c r="W5429" s="129" t="s">
        <v>286</v>
      </c>
      <c r="X5429" s="337" t="b">
        <f t="shared" si="122"/>
        <v>1</v>
      </c>
    </row>
    <row r="5430" spans="1:24" s="360" customFormat="1" ht="12" customHeight="1" outlineLevel="1">
      <c r="A5430" s="365"/>
      <c r="B5430" s="118" t="s">
        <v>12</v>
      </c>
      <c r="C5430" s="334" t="s">
        <v>13982</v>
      </c>
      <c r="D5430" s="124" t="s">
        <v>11755</v>
      </c>
      <c r="E5430" s="125"/>
      <c r="F5430" s="118" t="s">
        <v>1018</v>
      </c>
      <c r="G5430" s="126" t="s">
        <v>13831</v>
      </c>
      <c r="H5430" s="255">
        <v>6</v>
      </c>
      <c r="I5430" s="361">
        <v>1</v>
      </c>
      <c r="J5430" s="366" t="s">
        <v>286</v>
      </c>
      <c r="W5430" s="129" t="s">
        <v>286</v>
      </c>
      <c r="X5430" s="337" t="b">
        <f t="shared" si="122"/>
        <v>1</v>
      </c>
    </row>
    <row r="5431" spans="1:24" s="337" customFormat="1" ht="12" customHeight="1" outlineLevel="1">
      <c r="A5431" s="335"/>
      <c r="B5431" s="118" t="s">
        <v>12</v>
      </c>
      <c r="C5431" s="334" t="s">
        <v>13983</v>
      </c>
      <c r="D5431" s="124" t="s">
        <v>11757</v>
      </c>
      <c r="E5431" s="125"/>
      <c r="F5431" s="118" t="s">
        <v>1018</v>
      </c>
      <c r="G5431" s="126" t="s">
        <v>13831</v>
      </c>
      <c r="H5431" s="255">
        <v>6</v>
      </c>
      <c r="I5431" s="361">
        <v>1</v>
      </c>
      <c r="J5431" s="336" t="s">
        <v>286</v>
      </c>
      <c r="W5431" s="129" t="s">
        <v>286</v>
      </c>
      <c r="X5431" s="337" t="b">
        <f t="shared" si="122"/>
        <v>1</v>
      </c>
    </row>
    <row r="5432" spans="1:24" s="337" customFormat="1" ht="12" customHeight="1" outlineLevel="1">
      <c r="A5432" s="335"/>
      <c r="B5432" s="118" t="s">
        <v>12</v>
      </c>
      <c r="C5432" s="334" t="s">
        <v>13984</v>
      </c>
      <c r="D5432" s="124" t="s">
        <v>11759</v>
      </c>
      <c r="E5432" s="125"/>
      <c r="F5432" s="118" t="s">
        <v>1018</v>
      </c>
      <c r="G5432" s="126" t="s">
        <v>13831</v>
      </c>
      <c r="H5432" s="255">
        <v>6</v>
      </c>
      <c r="I5432" s="361">
        <v>1</v>
      </c>
      <c r="J5432" s="336" t="s">
        <v>310</v>
      </c>
      <c r="W5432" s="129" t="s">
        <v>286</v>
      </c>
      <c r="X5432" s="337" t="b">
        <f t="shared" si="122"/>
        <v>0</v>
      </c>
    </row>
    <row r="5433" spans="1:24" s="337" customFormat="1" ht="12" customHeight="1" outlineLevel="1">
      <c r="A5433" s="335"/>
      <c r="B5433" s="118" t="s">
        <v>12</v>
      </c>
      <c r="C5433" s="334" t="s">
        <v>13985</v>
      </c>
      <c r="D5433" s="124" t="s">
        <v>11761</v>
      </c>
      <c r="E5433" s="125"/>
      <c r="F5433" s="118" t="s">
        <v>1018</v>
      </c>
      <c r="G5433" s="126" t="s">
        <v>13831</v>
      </c>
      <c r="H5433" s="255">
        <v>6</v>
      </c>
      <c r="I5433" s="361">
        <v>1</v>
      </c>
      <c r="J5433" s="336" t="s">
        <v>286</v>
      </c>
      <c r="W5433" s="129" t="s">
        <v>310</v>
      </c>
      <c r="X5433" s="337" t="b">
        <f t="shared" si="122"/>
        <v>0</v>
      </c>
    </row>
    <row r="5434" spans="1:24" s="337" customFormat="1" ht="12" customHeight="1" outlineLevel="1">
      <c r="A5434" s="335"/>
      <c r="B5434" s="118" t="s">
        <v>12</v>
      </c>
      <c r="C5434" s="334" t="s">
        <v>13986</v>
      </c>
      <c r="D5434" s="124" t="s">
        <v>11763</v>
      </c>
      <c r="E5434" s="125"/>
      <c r="F5434" s="118" t="s">
        <v>1018</v>
      </c>
      <c r="G5434" s="126" t="s">
        <v>13831</v>
      </c>
      <c r="H5434" s="255">
        <v>6</v>
      </c>
      <c r="I5434" s="361">
        <v>1</v>
      </c>
      <c r="J5434" s="336" t="s">
        <v>310</v>
      </c>
      <c r="W5434" s="129" t="s">
        <v>286</v>
      </c>
      <c r="X5434" s="337" t="b">
        <f t="shared" si="122"/>
        <v>0</v>
      </c>
    </row>
    <row r="5435" spans="1:24" s="337" customFormat="1" ht="12" customHeight="1" outlineLevel="1">
      <c r="A5435" s="335"/>
      <c r="B5435" s="118" t="s">
        <v>12</v>
      </c>
      <c r="C5435" s="334" t="s">
        <v>13987</v>
      </c>
      <c r="D5435" s="124" t="s">
        <v>11765</v>
      </c>
      <c r="E5435" s="125"/>
      <c r="F5435" s="118" t="s">
        <v>1018</v>
      </c>
      <c r="G5435" s="126" t="s">
        <v>13831</v>
      </c>
      <c r="H5435" s="255">
        <v>6</v>
      </c>
      <c r="I5435" s="361">
        <v>1</v>
      </c>
      <c r="J5435" s="336" t="s">
        <v>286</v>
      </c>
      <c r="W5435" s="129" t="s">
        <v>286</v>
      </c>
      <c r="X5435" s="337" t="b">
        <f t="shared" si="122"/>
        <v>1</v>
      </c>
    </row>
    <row r="5436" spans="1:24" s="337" customFormat="1" ht="12" customHeight="1" outlineLevel="1">
      <c r="A5436" s="335"/>
      <c r="B5436" s="118" t="s">
        <v>12</v>
      </c>
      <c r="C5436" s="334" t="s">
        <v>13988</v>
      </c>
      <c r="D5436" s="124" t="s">
        <v>11767</v>
      </c>
      <c r="E5436" s="125"/>
      <c r="F5436" s="118" t="s">
        <v>1018</v>
      </c>
      <c r="G5436" s="126" t="s">
        <v>13831</v>
      </c>
      <c r="H5436" s="255">
        <v>6</v>
      </c>
      <c r="I5436" s="361">
        <v>1</v>
      </c>
      <c r="J5436" s="336" t="s">
        <v>286</v>
      </c>
      <c r="W5436" s="129" t="s">
        <v>286</v>
      </c>
      <c r="X5436" s="337" t="b">
        <f t="shared" si="122"/>
        <v>1</v>
      </c>
    </row>
    <row r="5437" spans="1:24" s="337" customFormat="1" ht="12" customHeight="1" outlineLevel="1">
      <c r="A5437" s="335"/>
      <c r="B5437" s="118" t="s">
        <v>12</v>
      </c>
      <c r="C5437" s="334" t="s">
        <v>13989</v>
      </c>
      <c r="D5437" s="124" t="s">
        <v>11769</v>
      </c>
      <c r="E5437" s="125"/>
      <c r="F5437" s="118" t="s">
        <v>1018</v>
      </c>
      <c r="G5437" s="126" t="s">
        <v>13831</v>
      </c>
      <c r="H5437" s="255">
        <v>6</v>
      </c>
      <c r="I5437" s="361">
        <v>1</v>
      </c>
      <c r="J5437" s="336" t="s">
        <v>286</v>
      </c>
      <c r="W5437" s="129" t="s">
        <v>286</v>
      </c>
      <c r="X5437" s="337" t="b">
        <f t="shared" si="122"/>
        <v>1</v>
      </c>
    </row>
    <row r="5438" spans="1:24" s="337" customFormat="1" ht="12" customHeight="1" outlineLevel="1">
      <c r="A5438" s="335"/>
      <c r="B5438" s="118" t="s">
        <v>12</v>
      </c>
      <c r="C5438" s="334" t="s">
        <v>13990</v>
      </c>
      <c r="D5438" s="124" t="s">
        <v>11771</v>
      </c>
      <c r="E5438" s="125"/>
      <c r="F5438" s="118" t="s">
        <v>1018</v>
      </c>
      <c r="G5438" s="126" t="s">
        <v>13831</v>
      </c>
      <c r="H5438" s="255">
        <v>6</v>
      </c>
      <c r="I5438" s="361">
        <v>1</v>
      </c>
      <c r="J5438" s="336" t="s">
        <v>310</v>
      </c>
      <c r="W5438" s="129" t="s">
        <v>286</v>
      </c>
      <c r="X5438" s="337" t="b">
        <f t="shared" si="122"/>
        <v>0</v>
      </c>
    </row>
    <row r="5439" spans="1:24" s="337" customFormat="1" ht="12" customHeight="1" outlineLevel="1">
      <c r="A5439" s="335"/>
      <c r="B5439" s="118" t="s">
        <v>12</v>
      </c>
      <c r="C5439" s="334" t="s">
        <v>13991</v>
      </c>
      <c r="D5439" s="124" t="s">
        <v>11773</v>
      </c>
      <c r="E5439" s="125"/>
      <c r="F5439" s="118" t="s">
        <v>1018</v>
      </c>
      <c r="G5439" s="126" t="s">
        <v>13831</v>
      </c>
      <c r="H5439" s="255">
        <v>6</v>
      </c>
      <c r="I5439" s="361">
        <v>1</v>
      </c>
      <c r="J5439" s="336" t="s">
        <v>286</v>
      </c>
      <c r="W5439" s="129" t="s">
        <v>286</v>
      </c>
      <c r="X5439" s="337" t="b">
        <f t="shared" si="122"/>
        <v>1</v>
      </c>
    </row>
    <row r="5440" spans="1:24" s="337" customFormat="1" ht="12" customHeight="1" outlineLevel="1">
      <c r="A5440" s="335"/>
      <c r="B5440" s="118" t="s">
        <v>12</v>
      </c>
      <c r="C5440" s="334" t="s">
        <v>13992</v>
      </c>
      <c r="D5440" s="124" t="s">
        <v>11775</v>
      </c>
      <c r="E5440" s="125"/>
      <c r="F5440" s="118" t="s">
        <v>1018</v>
      </c>
      <c r="G5440" s="126" t="s">
        <v>13831</v>
      </c>
      <c r="H5440" s="255">
        <v>6</v>
      </c>
      <c r="I5440" s="361">
        <v>1</v>
      </c>
      <c r="J5440" s="336" t="s">
        <v>286</v>
      </c>
      <c r="W5440" s="129" t="s">
        <v>286</v>
      </c>
      <c r="X5440" s="337" t="b">
        <f t="shared" si="122"/>
        <v>1</v>
      </c>
    </row>
    <row r="5441" spans="1:24" s="337" customFormat="1" ht="12" customHeight="1" outlineLevel="1">
      <c r="A5441" s="335"/>
      <c r="B5441" s="118" t="s">
        <v>12</v>
      </c>
      <c r="C5441" s="334" t="s">
        <v>13993</v>
      </c>
      <c r="D5441" s="124" t="s">
        <v>11777</v>
      </c>
      <c r="E5441" s="125"/>
      <c r="F5441" s="118" t="s">
        <v>1018</v>
      </c>
      <c r="G5441" s="126" t="s">
        <v>13831</v>
      </c>
      <c r="H5441" s="255">
        <v>6</v>
      </c>
      <c r="I5441" s="361">
        <v>1</v>
      </c>
      <c r="J5441" s="336" t="s">
        <v>310</v>
      </c>
      <c r="W5441" s="129" t="s">
        <v>286</v>
      </c>
      <c r="X5441" s="337" t="b">
        <f t="shared" si="122"/>
        <v>0</v>
      </c>
    </row>
    <row r="5442" spans="1:24" s="337" customFormat="1" ht="12" customHeight="1" outlineLevel="1">
      <c r="A5442" s="335"/>
      <c r="B5442" s="118" t="s">
        <v>12</v>
      </c>
      <c r="C5442" s="334" t="s">
        <v>13994</v>
      </c>
      <c r="D5442" s="124" t="s">
        <v>11779</v>
      </c>
      <c r="E5442" s="125"/>
      <c r="F5442" s="118" t="s">
        <v>1018</v>
      </c>
      <c r="G5442" s="126" t="s">
        <v>13831</v>
      </c>
      <c r="H5442" s="255">
        <v>6</v>
      </c>
      <c r="I5442" s="361">
        <v>1</v>
      </c>
      <c r="J5442" s="336" t="s">
        <v>310</v>
      </c>
      <c r="W5442" s="129" t="s">
        <v>286</v>
      </c>
      <c r="X5442" s="337" t="b">
        <f t="shared" si="122"/>
        <v>0</v>
      </c>
    </row>
    <row r="5443" spans="1:24" s="360" customFormat="1" ht="12" customHeight="1" outlineLevel="1">
      <c r="A5443" s="365"/>
      <c r="B5443" s="118" t="s">
        <v>12</v>
      </c>
      <c r="C5443" s="334" t="s">
        <v>13995</v>
      </c>
      <c r="D5443" s="124" t="s">
        <v>11781</v>
      </c>
      <c r="E5443" s="125"/>
      <c r="F5443" s="118" t="s">
        <v>1018</v>
      </c>
      <c r="G5443" s="126" t="s">
        <v>13831</v>
      </c>
      <c r="H5443" s="255">
        <v>6</v>
      </c>
      <c r="I5443" s="361">
        <v>1</v>
      </c>
      <c r="J5443" s="366" t="s">
        <v>310</v>
      </c>
      <c r="W5443" s="129" t="s">
        <v>286</v>
      </c>
      <c r="X5443" s="337" t="b">
        <f t="shared" si="122"/>
        <v>0</v>
      </c>
    </row>
    <row r="5444" spans="1:24" s="337" customFormat="1" ht="12" customHeight="1" outlineLevel="1">
      <c r="A5444" s="335"/>
      <c r="B5444" s="118" t="s">
        <v>12</v>
      </c>
      <c r="C5444" s="334" t="s">
        <v>13996</v>
      </c>
      <c r="D5444" s="124" t="s">
        <v>11783</v>
      </c>
      <c r="E5444" s="125"/>
      <c r="F5444" s="118" t="s">
        <v>1018</v>
      </c>
      <c r="G5444" s="126" t="s">
        <v>13831</v>
      </c>
      <c r="H5444" s="255">
        <v>6</v>
      </c>
      <c r="I5444" s="361">
        <v>1</v>
      </c>
      <c r="J5444" s="336" t="s">
        <v>286</v>
      </c>
      <c r="W5444" s="129" t="s">
        <v>286</v>
      </c>
      <c r="X5444" s="337" t="b">
        <f t="shared" si="122"/>
        <v>1</v>
      </c>
    </row>
    <row r="5445" spans="1:24" s="337" customFormat="1" ht="12" customHeight="1" outlineLevel="1">
      <c r="A5445" s="335"/>
      <c r="B5445" s="118" t="s">
        <v>12</v>
      </c>
      <c r="C5445" s="334" t="s">
        <v>13997</v>
      </c>
      <c r="D5445" s="124" t="s">
        <v>11785</v>
      </c>
      <c r="E5445" s="125"/>
      <c r="F5445" s="118" t="s">
        <v>1018</v>
      </c>
      <c r="G5445" s="126" t="s">
        <v>13831</v>
      </c>
      <c r="H5445" s="255">
        <v>6</v>
      </c>
      <c r="I5445" s="361">
        <v>1</v>
      </c>
      <c r="J5445" s="336" t="s">
        <v>286</v>
      </c>
      <c r="W5445" s="129" t="s">
        <v>310</v>
      </c>
      <c r="X5445" s="337" t="b">
        <f t="shared" si="122"/>
        <v>0</v>
      </c>
    </row>
    <row r="5446" spans="1:24" s="337" customFormat="1" ht="12" customHeight="1" outlineLevel="1">
      <c r="A5446" s="335"/>
      <c r="B5446" s="118" t="s">
        <v>12</v>
      </c>
      <c r="C5446" s="334" t="s">
        <v>13998</v>
      </c>
      <c r="D5446" s="124" t="s">
        <v>13999</v>
      </c>
      <c r="E5446" s="125"/>
      <c r="F5446" s="118" t="s">
        <v>1018</v>
      </c>
      <c r="G5446" s="126" t="s">
        <v>13831</v>
      </c>
      <c r="H5446" s="255">
        <v>6</v>
      </c>
      <c r="I5446" s="361">
        <v>1</v>
      </c>
      <c r="J5446" s="336" t="s">
        <v>310</v>
      </c>
      <c r="W5446" s="129" t="s">
        <v>310</v>
      </c>
      <c r="X5446" s="337" t="b">
        <f t="shared" si="122"/>
        <v>1</v>
      </c>
    </row>
    <row r="5447" spans="1:24" s="337" customFormat="1" ht="12" customHeight="1" outlineLevel="1">
      <c r="A5447" s="335"/>
      <c r="B5447" s="118" t="s">
        <v>12</v>
      </c>
      <c r="C5447" s="334" t="s">
        <v>14000</v>
      </c>
      <c r="D5447" s="124" t="s">
        <v>14001</v>
      </c>
      <c r="E5447" s="125"/>
      <c r="F5447" s="118" t="s">
        <v>1018</v>
      </c>
      <c r="G5447" s="126" t="s">
        <v>13831</v>
      </c>
      <c r="H5447" s="255">
        <v>6</v>
      </c>
      <c r="I5447" s="361">
        <v>1</v>
      </c>
      <c r="J5447" s="336" t="s">
        <v>310</v>
      </c>
      <c r="W5447" s="129" t="s">
        <v>310</v>
      </c>
      <c r="X5447" s="337" t="b">
        <f t="shared" si="122"/>
        <v>1</v>
      </c>
    </row>
    <row r="5448" spans="1:24" s="337" customFormat="1" ht="12" customHeight="1" outlineLevel="1">
      <c r="A5448" s="335"/>
      <c r="B5448" s="118" t="s">
        <v>12</v>
      </c>
      <c r="C5448" s="334" t="s">
        <v>14002</v>
      </c>
      <c r="D5448" s="124" t="s">
        <v>14003</v>
      </c>
      <c r="E5448" s="125"/>
      <c r="F5448" s="118" t="s">
        <v>1018</v>
      </c>
      <c r="G5448" s="126" t="s">
        <v>13831</v>
      </c>
      <c r="H5448" s="255">
        <v>6</v>
      </c>
      <c r="I5448" s="361">
        <v>1</v>
      </c>
      <c r="J5448" s="336" t="s">
        <v>310</v>
      </c>
      <c r="W5448" s="129" t="s">
        <v>310</v>
      </c>
      <c r="X5448" s="337" t="b">
        <f t="shared" si="122"/>
        <v>1</v>
      </c>
    </row>
    <row r="5449" spans="1:24" s="337" customFormat="1" ht="12" customHeight="1" outlineLevel="1">
      <c r="A5449" s="335"/>
      <c r="B5449" s="118" t="s">
        <v>12</v>
      </c>
      <c r="C5449" s="334" t="s">
        <v>14004</v>
      </c>
      <c r="D5449" s="124" t="s">
        <v>14005</v>
      </c>
      <c r="E5449" s="125"/>
      <c r="F5449" s="118" t="s">
        <v>1018</v>
      </c>
      <c r="G5449" s="126" t="s">
        <v>13831</v>
      </c>
      <c r="H5449" s="255">
        <v>6</v>
      </c>
      <c r="I5449" s="361">
        <v>1</v>
      </c>
      <c r="J5449" s="336" t="s">
        <v>310</v>
      </c>
      <c r="W5449" s="129" t="s">
        <v>310</v>
      </c>
      <c r="X5449" s="337" t="b">
        <f t="shared" si="122"/>
        <v>1</v>
      </c>
    </row>
    <row r="5450" spans="1:24" s="360" customFormat="1" ht="12" customHeight="1" outlineLevel="1">
      <c r="A5450" s="365"/>
      <c r="B5450" s="118" t="s">
        <v>12</v>
      </c>
      <c r="C5450" s="334" t="s">
        <v>14006</v>
      </c>
      <c r="D5450" s="124" t="s">
        <v>14007</v>
      </c>
      <c r="E5450" s="125"/>
      <c r="F5450" s="118" t="s">
        <v>1018</v>
      </c>
      <c r="G5450" s="126" t="s">
        <v>13831</v>
      </c>
      <c r="H5450" s="253">
        <v>6</v>
      </c>
      <c r="I5450" s="361">
        <v>1</v>
      </c>
      <c r="J5450" s="366" t="s">
        <v>310</v>
      </c>
      <c r="W5450" s="129" t="s">
        <v>310</v>
      </c>
      <c r="X5450" s="337" t="b">
        <f t="shared" si="122"/>
        <v>1</v>
      </c>
    </row>
    <row r="5451" spans="1:24" ht="12" customHeight="1" outlineLevel="1">
      <c r="A5451" s="370"/>
      <c r="B5451" s="118" t="s">
        <v>12</v>
      </c>
      <c r="C5451" s="334" t="s">
        <v>14008</v>
      </c>
      <c r="D5451" s="124" t="s">
        <v>11787</v>
      </c>
      <c r="E5451" s="125"/>
      <c r="F5451" s="118" t="s">
        <v>1018</v>
      </c>
      <c r="G5451" s="126" t="s">
        <v>13831</v>
      </c>
      <c r="H5451" s="255">
        <v>6</v>
      </c>
      <c r="I5451" s="361">
        <v>1</v>
      </c>
      <c r="J5451" s="371" t="s">
        <v>310</v>
      </c>
      <c r="W5451" s="129" t="s">
        <v>310</v>
      </c>
      <c r="X5451" s="337" t="b">
        <f t="shared" si="122"/>
        <v>1</v>
      </c>
    </row>
    <row r="5452" spans="1:24" ht="12" customHeight="1" outlineLevel="1">
      <c r="A5452" s="370"/>
      <c r="B5452" s="118" t="s">
        <v>12</v>
      </c>
      <c r="C5452" s="334" t="s">
        <v>14009</v>
      </c>
      <c r="D5452" s="124" t="s">
        <v>11789</v>
      </c>
      <c r="E5452" s="125"/>
      <c r="F5452" s="118" t="s">
        <v>1018</v>
      </c>
      <c r="G5452" s="126" t="s">
        <v>13831</v>
      </c>
      <c r="H5452" s="255">
        <v>6</v>
      </c>
      <c r="I5452" s="361">
        <v>1</v>
      </c>
      <c r="J5452" s="371" t="s">
        <v>310</v>
      </c>
      <c r="W5452" s="129" t="s">
        <v>310</v>
      </c>
      <c r="X5452" s="337" t="b">
        <f t="shared" si="122"/>
        <v>1</v>
      </c>
    </row>
    <row r="5453" spans="1:24" ht="12" customHeight="1" outlineLevel="1">
      <c r="A5453" s="370"/>
      <c r="B5453" s="118" t="s">
        <v>12</v>
      </c>
      <c r="C5453" s="334" t="s">
        <v>14010</v>
      </c>
      <c r="D5453" s="124" t="s">
        <v>14011</v>
      </c>
      <c r="E5453" s="125"/>
      <c r="F5453" s="118" t="s">
        <v>1018</v>
      </c>
      <c r="G5453" s="126" t="s">
        <v>13831</v>
      </c>
      <c r="H5453" s="255">
        <v>6</v>
      </c>
      <c r="I5453" s="361">
        <v>1</v>
      </c>
      <c r="J5453" s="371" t="s">
        <v>310</v>
      </c>
      <c r="W5453" s="129" t="s">
        <v>310</v>
      </c>
      <c r="X5453" s="337" t="b">
        <f t="shared" si="122"/>
        <v>1</v>
      </c>
    </row>
    <row r="5454" spans="1:24" ht="12" customHeight="1" outlineLevel="1">
      <c r="A5454" s="370"/>
      <c r="B5454" s="118" t="s">
        <v>12</v>
      </c>
      <c r="C5454" s="334" t="s">
        <v>14012</v>
      </c>
      <c r="D5454" s="124" t="s">
        <v>14013</v>
      </c>
      <c r="E5454" s="125"/>
      <c r="F5454" s="118" t="s">
        <v>1018</v>
      </c>
      <c r="G5454" s="126" t="s">
        <v>13831</v>
      </c>
      <c r="H5454" s="255">
        <v>6</v>
      </c>
      <c r="I5454" s="361">
        <v>1</v>
      </c>
      <c r="J5454" s="371" t="s">
        <v>310</v>
      </c>
      <c r="W5454" s="129" t="s">
        <v>310</v>
      </c>
      <c r="X5454" s="337" t="b">
        <f t="shared" ref="X5454:X5517" si="123">W5454=J5454</f>
        <v>1</v>
      </c>
    </row>
    <row r="5455" spans="1:24" ht="12" customHeight="1" outlineLevel="1">
      <c r="A5455" s="370"/>
      <c r="B5455" s="118" t="s">
        <v>12</v>
      </c>
      <c r="C5455" s="334" t="s">
        <v>14014</v>
      </c>
      <c r="D5455" s="124" t="s">
        <v>14015</v>
      </c>
      <c r="E5455" s="125"/>
      <c r="F5455" s="118" t="s">
        <v>1018</v>
      </c>
      <c r="G5455" s="126" t="s">
        <v>13831</v>
      </c>
      <c r="H5455" s="255">
        <v>6</v>
      </c>
      <c r="I5455" s="361">
        <v>1</v>
      </c>
      <c r="J5455" s="371" t="s">
        <v>310</v>
      </c>
      <c r="W5455" s="129" t="s">
        <v>310</v>
      </c>
      <c r="X5455" s="337" t="b">
        <f t="shared" si="123"/>
        <v>1</v>
      </c>
    </row>
    <row r="5456" spans="1:24" ht="12" customHeight="1" outlineLevel="1">
      <c r="A5456" s="370"/>
      <c r="B5456" s="118" t="s">
        <v>12</v>
      </c>
      <c r="C5456" s="334" t="s">
        <v>14016</v>
      </c>
      <c r="D5456" s="124" t="s">
        <v>14017</v>
      </c>
      <c r="E5456" s="125"/>
      <c r="F5456" s="118" t="s">
        <v>1018</v>
      </c>
      <c r="G5456" s="126" t="s">
        <v>13831</v>
      </c>
      <c r="H5456" s="255">
        <v>6</v>
      </c>
      <c r="I5456" s="361">
        <v>1</v>
      </c>
      <c r="J5456" s="371" t="s">
        <v>310</v>
      </c>
      <c r="W5456" s="129" t="s">
        <v>310</v>
      </c>
      <c r="X5456" s="337" t="b">
        <f t="shared" si="123"/>
        <v>1</v>
      </c>
    </row>
    <row r="5457" spans="1:24" ht="12" customHeight="1" outlineLevel="1">
      <c r="A5457" s="370"/>
      <c r="B5457" s="118" t="s">
        <v>12</v>
      </c>
      <c r="C5457" s="334" t="s">
        <v>14018</v>
      </c>
      <c r="D5457" s="124" t="s">
        <v>14019</v>
      </c>
      <c r="E5457" s="125"/>
      <c r="F5457" s="118" t="s">
        <v>1018</v>
      </c>
      <c r="G5457" s="126" t="s">
        <v>13831</v>
      </c>
      <c r="H5457" s="255">
        <v>6</v>
      </c>
      <c r="I5457" s="361">
        <v>1</v>
      </c>
      <c r="J5457" s="371" t="s">
        <v>310</v>
      </c>
      <c r="W5457" s="129" t="s">
        <v>310</v>
      </c>
      <c r="X5457" s="337" t="b">
        <f t="shared" si="123"/>
        <v>1</v>
      </c>
    </row>
    <row r="5458" spans="1:24" ht="12" customHeight="1" outlineLevel="1">
      <c r="A5458" s="370"/>
      <c r="B5458" s="118" t="s">
        <v>12</v>
      </c>
      <c r="C5458" s="334" t="s">
        <v>14020</v>
      </c>
      <c r="D5458" s="124" t="s">
        <v>14021</v>
      </c>
      <c r="E5458" s="125"/>
      <c r="F5458" s="118" t="s">
        <v>1018</v>
      </c>
      <c r="G5458" s="126" t="s">
        <v>13831</v>
      </c>
      <c r="H5458" s="255">
        <v>6</v>
      </c>
      <c r="I5458" s="361">
        <v>1</v>
      </c>
      <c r="J5458" s="371" t="s">
        <v>310</v>
      </c>
      <c r="W5458" s="129" t="s">
        <v>310</v>
      </c>
      <c r="X5458" s="337" t="b">
        <f t="shared" si="123"/>
        <v>1</v>
      </c>
    </row>
    <row r="5459" spans="1:24" ht="12" customHeight="1" outlineLevel="1">
      <c r="A5459" s="370"/>
      <c r="B5459" s="118" t="s">
        <v>12</v>
      </c>
      <c r="C5459" s="334" t="s">
        <v>14022</v>
      </c>
      <c r="D5459" s="124" t="s">
        <v>11791</v>
      </c>
      <c r="E5459" s="125"/>
      <c r="F5459" s="118" t="s">
        <v>1018</v>
      </c>
      <c r="G5459" s="126" t="s">
        <v>13831</v>
      </c>
      <c r="H5459" s="255">
        <v>6</v>
      </c>
      <c r="I5459" s="361">
        <v>1</v>
      </c>
      <c r="J5459" s="371" t="s">
        <v>310</v>
      </c>
      <c r="W5459" s="129" t="s">
        <v>310</v>
      </c>
      <c r="X5459" s="337" t="b">
        <f t="shared" si="123"/>
        <v>1</v>
      </c>
    </row>
    <row r="5460" spans="1:24" ht="12" customHeight="1" outlineLevel="1">
      <c r="A5460" s="370"/>
      <c r="B5460" s="118" t="s">
        <v>12</v>
      </c>
      <c r="C5460" s="334" t="s">
        <v>14023</v>
      </c>
      <c r="D5460" s="124" t="s">
        <v>11793</v>
      </c>
      <c r="E5460" s="125"/>
      <c r="F5460" s="118" t="s">
        <v>1018</v>
      </c>
      <c r="G5460" s="126" t="s">
        <v>13831</v>
      </c>
      <c r="H5460" s="255">
        <v>6</v>
      </c>
      <c r="I5460" s="361">
        <v>1</v>
      </c>
      <c r="J5460" s="371" t="s">
        <v>286</v>
      </c>
      <c r="W5460" s="129" t="s">
        <v>286</v>
      </c>
      <c r="X5460" s="337" t="b">
        <f t="shared" si="123"/>
        <v>1</v>
      </c>
    </row>
    <row r="5461" spans="1:24" ht="12" customHeight="1" outlineLevel="1">
      <c r="A5461" s="370"/>
      <c r="B5461" s="118" t="s">
        <v>12</v>
      </c>
      <c r="C5461" s="334" t="s">
        <v>14024</v>
      </c>
      <c r="D5461" s="124" t="s">
        <v>14025</v>
      </c>
      <c r="E5461" s="125"/>
      <c r="F5461" s="118" t="s">
        <v>1018</v>
      </c>
      <c r="G5461" s="126" t="s">
        <v>13831</v>
      </c>
      <c r="H5461" s="255">
        <v>6</v>
      </c>
      <c r="I5461" s="361">
        <v>1</v>
      </c>
      <c r="J5461" s="371" t="s">
        <v>310</v>
      </c>
      <c r="W5461" s="129" t="s">
        <v>310</v>
      </c>
      <c r="X5461" s="337" t="b">
        <f t="shared" si="123"/>
        <v>1</v>
      </c>
    </row>
    <row r="5462" spans="1:24" ht="12" customHeight="1" outlineLevel="1">
      <c r="A5462" s="370"/>
      <c r="B5462" s="118" t="s">
        <v>12</v>
      </c>
      <c r="C5462" s="334" t="s">
        <v>14026</v>
      </c>
      <c r="D5462" s="124" t="s">
        <v>14027</v>
      </c>
      <c r="E5462" s="125"/>
      <c r="F5462" s="118" t="s">
        <v>1018</v>
      </c>
      <c r="G5462" s="126" t="s">
        <v>13831</v>
      </c>
      <c r="H5462" s="255">
        <v>6</v>
      </c>
      <c r="I5462" s="361">
        <v>1</v>
      </c>
      <c r="J5462" s="371" t="s">
        <v>310</v>
      </c>
      <c r="W5462" s="129" t="s">
        <v>310</v>
      </c>
      <c r="X5462" s="337" t="b">
        <f t="shared" si="123"/>
        <v>1</v>
      </c>
    </row>
    <row r="5463" spans="1:24" ht="12" customHeight="1" outlineLevel="1">
      <c r="A5463" s="370"/>
      <c r="B5463" s="118" t="s">
        <v>12</v>
      </c>
      <c r="C5463" s="334" t="s">
        <v>14028</v>
      </c>
      <c r="D5463" s="124" t="s">
        <v>14029</v>
      </c>
      <c r="E5463" s="125"/>
      <c r="F5463" s="118" t="s">
        <v>1018</v>
      </c>
      <c r="G5463" s="126" t="s">
        <v>13831</v>
      </c>
      <c r="H5463" s="255">
        <v>6</v>
      </c>
      <c r="I5463" s="361">
        <v>1</v>
      </c>
      <c r="J5463" s="371" t="s">
        <v>310</v>
      </c>
      <c r="W5463" s="129" t="s">
        <v>310</v>
      </c>
      <c r="X5463" s="337" t="b">
        <f t="shared" si="123"/>
        <v>1</v>
      </c>
    </row>
    <row r="5464" spans="1:24" ht="12" customHeight="1" outlineLevel="1">
      <c r="A5464" s="370"/>
      <c r="B5464" s="118" t="s">
        <v>12</v>
      </c>
      <c r="C5464" s="334" t="s">
        <v>14030</v>
      </c>
      <c r="D5464" s="124" t="s">
        <v>14031</v>
      </c>
      <c r="E5464" s="125"/>
      <c r="F5464" s="118" t="s">
        <v>1018</v>
      </c>
      <c r="G5464" s="126" t="s">
        <v>13831</v>
      </c>
      <c r="H5464" s="255">
        <v>6</v>
      </c>
      <c r="I5464" s="361">
        <v>1</v>
      </c>
      <c r="J5464" s="371" t="s">
        <v>310</v>
      </c>
      <c r="W5464" s="129" t="s">
        <v>310</v>
      </c>
      <c r="X5464" s="337" t="b">
        <f t="shared" si="123"/>
        <v>1</v>
      </c>
    </row>
    <row r="5465" spans="1:24" ht="12" customHeight="1" outlineLevel="1">
      <c r="A5465" s="370"/>
      <c r="B5465" s="118" t="s">
        <v>12</v>
      </c>
      <c r="C5465" s="334" t="s">
        <v>14032</v>
      </c>
      <c r="D5465" s="124" t="s">
        <v>14033</v>
      </c>
      <c r="E5465" s="125"/>
      <c r="F5465" s="118" t="s">
        <v>1018</v>
      </c>
      <c r="G5465" s="126" t="s">
        <v>13831</v>
      </c>
      <c r="H5465" s="255">
        <v>6</v>
      </c>
      <c r="I5465" s="361">
        <v>1</v>
      </c>
      <c r="J5465" s="371" t="s">
        <v>310</v>
      </c>
      <c r="W5465" s="129" t="s">
        <v>310</v>
      </c>
      <c r="X5465" s="337" t="b">
        <f t="shared" si="123"/>
        <v>1</v>
      </c>
    </row>
    <row r="5466" spans="1:24" ht="12" customHeight="1" outlineLevel="1">
      <c r="A5466" s="370"/>
      <c r="B5466" s="118" t="s">
        <v>12</v>
      </c>
      <c r="C5466" s="334" t="s">
        <v>14034</v>
      </c>
      <c r="D5466" s="124" t="s">
        <v>14035</v>
      </c>
      <c r="E5466" s="125"/>
      <c r="F5466" s="118" t="s">
        <v>1018</v>
      </c>
      <c r="G5466" s="126" t="s">
        <v>13831</v>
      </c>
      <c r="H5466" s="255">
        <v>6</v>
      </c>
      <c r="I5466" s="361">
        <v>1</v>
      </c>
      <c r="J5466" s="371" t="s">
        <v>310</v>
      </c>
      <c r="W5466" s="129" t="s">
        <v>310</v>
      </c>
      <c r="X5466" s="337" t="b">
        <f t="shared" si="123"/>
        <v>1</v>
      </c>
    </row>
    <row r="5467" spans="1:24" ht="12" customHeight="1" outlineLevel="1">
      <c r="A5467" s="370"/>
      <c r="B5467" s="118" t="s">
        <v>12</v>
      </c>
      <c r="C5467" s="334" t="s">
        <v>14036</v>
      </c>
      <c r="D5467" s="124" t="s">
        <v>11795</v>
      </c>
      <c r="E5467" s="125"/>
      <c r="F5467" s="118" t="s">
        <v>1018</v>
      </c>
      <c r="G5467" s="126" t="s">
        <v>13831</v>
      </c>
      <c r="H5467" s="255">
        <v>6</v>
      </c>
      <c r="I5467" s="361">
        <v>1</v>
      </c>
      <c r="J5467" s="371" t="s">
        <v>310</v>
      </c>
      <c r="W5467" s="129" t="s">
        <v>310</v>
      </c>
      <c r="X5467" s="337" t="b">
        <f t="shared" si="123"/>
        <v>1</v>
      </c>
    </row>
    <row r="5468" spans="1:24" ht="12" customHeight="1" outlineLevel="1">
      <c r="A5468" s="370"/>
      <c r="B5468" s="118" t="s">
        <v>12</v>
      </c>
      <c r="C5468" s="334" t="s">
        <v>14037</v>
      </c>
      <c r="D5468" s="124" t="s">
        <v>14038</v>
      </c>
      <c r="E5468" s="125"/>
      <c r="F5468" s="118" t="s">
        <v>1018</v>
      </c>
      <c r="G5468" s="126" t="s">
        <v>13831</v>
      </c>
      <c r="H5468" s="255">
        <v>6</v>
      </c>
      <c r="I5468" s="361">
        <v>1</v>
      </c>
      <c r="J5468" s="371" t="s">
        <v>310</v>
      </c>
      <c r="W5468" s="129" t="s">
        <v>310</v>
      </c>
      <c r="X5468" s="337" t="b">
        <f t="shared" si="123"/>
        <v>1</v>
      </c>
    </row>
    <row r="5469" spans="1:24" ht="12" customHeight="1" outlineLevel="1">
      <c r="A5469" s="370"/>
      <c r="B5469" s="118" t="s">
        <v>12</v>
      </c>
      <c r="C5469" s="334" t="s">
        <v>14039</v>
      </c>
      <c r="D5469" s="124" t="s">
        <v>14040</v>
      </c>
      <c r="E5469" s="125"/>
      <c r="F5469" s="118" t="s">
        <v>1018</v>
      </c>
      <c r="G5469" s="126" t="s">
        <v>13831</v>
      </c>
      <c r="H5469" s="255">
        <v>6</v>
      </c>
      <c r="I5469" s="361">
        <v>1</v>
      </c>
      <c r="J5469" s="371" t="s">
        <v>310</v>
      </c>
      <c r="W5469" s="129" t="s">
        <v>310</v>
      </c>
      <c r="X5469" s="337" t="b">
        <f t="shared" si="123"/>
        <v>1</v>
      </c>
    </row>
    <row r="5470" spans="1:24" ht="12" customHeight="1" outlineLevel="1">
      <c r="A5470" s="370"/>
      <c r="B5470" s="118" t="s">
        <v>12</v>
      </c>
      <c r="C5470" s="334" t="s">
        <v>14041</v>
      </c>
      <c r="D5470" s="124" t="s">
        <v>14042</v>
      </c>
      <c r="E5470" s="125"/>
      <c r="F5470" s="118" t="s">
        <v>1018</v>
      </c>
      <c r="G5470" s="126" t="s">
        <v>13831</v>
      </c>
      <c r="H5470" s="255">
        <v>6</v>
      </c>
      <c r="I5470" s="361">
        <v>1</v>
      </c>
      <c r="J5470" s="371" t="s">
        <v>310</v>
      </c>
      <c r="W5470" s="129" t="s">
        <v>310</v>
      </c>
      <c r="X5470" s="337" t="b">
        <f t="shared" si="123"/>
        <v>1</v>
      </c>
    </row>
    <row r="5471" spans="1:24" ht="12" customHeight="1" outlineLevel="1">
      <c r="A5471" s="370"/>
      <c r="B5471" s="118" t="s">
        <v>12</v>
      </c>
      <c r="C5471" s="334" t="s">
        <v>14043</v>
      </c>
      <c r="D5471" s="124" t="s">
        <v>14044</v>
      </c>
      <c r="E5471" s="125"/>
      <c r="F5471" s="118" t="s">
        <v>1018</v>
      </c>
      <c r="G5471" s="126" t="s">
        <v>13831</v>
      </c>
      <c r="H5471" s="255">
        <v>6</v>
      </c>
      <c r="I5471" s="361">
        <v>1</v>
      </c>
      <c r="J5471" s="371" t="s">
        <v>310</v>
      </c>
      <c r="W5471" s="129" t="s">
        <v>310</v>
      </c>
      <c r="X5471" s="337" t="b">
        <f t="shared" si="123"/>
        <v>1</v>
      </c>
    </row>
    <row r="5472" spans="1:24" ht="12" customHeight="1" outlineLevel="1">
      <c r="A5472" s="370"/>
      <c r="B5472" s="118" t="s">
        <v>12</v>
      </c>
      <c r="C5472" s="334" t="s">
        <v>14045</v>
      </c>
      <c r="D5472" s="124" t="s">
        <v>11797</v>
      </c>
      <c r="E5472" s="125"/>
      <c r="F5472" s="118" t="s">
        <v>1018</v>
      </c>
      <c r="G5472" s="126" t="s">
        <v>13831</v>
      </c>
      <c r="H5472" s="255">
        <v>6</v>
      </c>
      <c r="I5472" s="361">
        <v>1</v>
      </c>
      <c r="J5472" s="371" t="s">
        <v>310</v>
      </c>
      <c r="W5472" s="129" t="s">
        <v>310</v>
      </c>
      <c r="X5472" s="337" t="b">
        <f t="shared" si="123"/>
        <v>1</v>
      </c>
    </row>
    <row r="5473" spans="1:24" ht="12" customHeight="1" outlineLevel="1">
      <c r="A5473" s="370"/>
      <c r="B5473" s="118" t="s">
        <v>12</v>
      </c>
      <c r="C5473" s="334" t="s">
        <v>14046</v>
      </c>
      <c r="D5473" s="124" t="s">
        <v>11799</v>
      </c>
      <c r="E5473" s="125"/>
      <c r="F5473" s="118" t="s">
        <v>1018</v>
      </c>
      <c r="G5473" s="126" t="s">
        <v>13831</v>
      </c>
      <c r="H5473" s="255">
        <v>6</v>
      </c>
      <c r="I5473" s="361">
        <v>1</v>
      </c>
      <c r="J5473" s="371" t="s">
        <v>310</v>
      </c>
      <c r="W5473" s="129" t="s">
        <v>310</v>
      </c>
      <c r="X5473" s="337" t="b">
        <f t="shared" si="123"/>
        <v>1</v>
      </c>
    </row>
    <row r="5474" spans="1:24" ht="12" customHeight="1" outlineLevel="1">
      <c r="A5474" s="370"/>
      <c r="B5474" s="118" t="s">
        <v>12</v>
      </c>
      <c r="C5474" s="334" t="s">
        <v>14047</v>
      </c>
      <c r="D5474" s="124" t="s">
        <v>8331</v>
      </c>
      <c r="E5474" s="125"/>
      <c r="F5474" s="118" t="s">
        <v>1018</v>
      </c>
      <c r="G5474" s="126" t="s">
        <v>13831</v>
      </c>
      <c r="H5474" s="255">
        <v>6</v>
      </c>
      <c r="I5474" s="361">
        <v>1</v>
      </c>
      <c r="J5474" s="371" t="s">
        <v>286</v>
      </c>
      <c r="W5474" s="129" t="s">
        <v>286</v>
      </c>
      <c r="X5474" s="337" t="b">
        <f t="shared" si="123"/>
        <v>1</v>
      </c>
    </row>
    <row r="5475" spans="1:24" ht="12" customHeight="1" outlineLevel="1">
      <c r="A5475" s="370"/>
      <c r="B5475" s="118" t="s">
        <v>12</v>
      </c>
      <c r="C5475" s="334" t="s">
        <v>14048</v>
      </c>
      <c r="D5475" s="124" t="s">
        <v>8333</v>
      </c>
      <c r="E5475" s="125"/>
      <c r="F5475" s="118" t="s">
        <v>1018</v>
      </c>
      <c r="G5475" s="126" t="s">
        <v>13831</v>
      </c>
      <c r="H5475" s="255">
        <v>6</v>
      </c>
      <c r="I5475" s="361">
        <v>1</v>
      </c>
      <c r="J5475" s="371" t="s">
        <v>286</v>
      </c>
      <c r="W5475" s="129" t="s">
        <v>286</v>
      </c>
      <c r="X5475" s="337" t="b">
        <f t="shared" si="123"/>
        <v>1</v>
      </c>
    </row>
    <row r="5476" spans="1:24" ht="12" customHeight="1" outlineLevel="1">
      <c r="A5476" s="370"/>
      <c r="B5476" s="118" t="s">
        <v>12</v>
      </c>
      <c r="C5476" s="334" t="s">
        <v>14049</v>
      </c>
      <c r="D5476" s="124" t="s">
        <v>8335</v>
      </c>
      <c r="E5476" s="125"/>
      <c r="F5476" s="118" t="s">
        <v>1018</v>
      </c>
      <c r="G5476" s="126" t="s">
        <v>13831</v>
      </c>
      <c r="H5476" s="255">
        <v>6</v>
      </c>
      <c r="I5476" s="361">
        <v>1</v>
      </c>
      <c r="J5476" s="371" t="s">
        <v>286</v>
      </c>
      <c r="W5476" s="129" t="s">
        <v>286</v>
      </c>
      <c r="X5476" s="337" t="b">
        <f t="shared" si="123"/>
        <v>1</v>
      </c>
    </row>
    <row r="5477" spans="1:24" ht="12" customHeight="1" outlineLevel="1">
      <c r="A5477" s="370"/>
      <c r="B5477" s="118" t="s">
        <v>12</v>
      </c>
      <c r="C5477" s="334" t="s">
        <v>14050</v>
      </c>
      <c r="D5477" s="124" t="s">
        <v>8337</v>
      </c>
      <c r="E5477" s="125"/>
      <c r="F5477" s="118" t="s">
        <v>1018</v>
      </c>
      <c r="G5477" s="126" t="s">
        <v>13831</v>
      </c>
      <c r="H5477" s="255">
        <v>6</v>
      </c>
      <c r="I5477" s="361">
        <v>1</v>
      </c>
      <c r="J5477" s="371" t="s">
        <v>286</v>
      </c>
      <c r="W5477" s="129" t="s">
        <v>286</v>
      </c>
      <c r="X5477" s="337" t="b">
        <f t="shared" si="123"/>
        <v>1</v>
      </c>
    </row>
    <row r="5478" spans="1:24" ht="12" customHeight="1" outlineLevel="1">
      <c r="A5478" s="370"/>
      <c r="B5478" s="118" t="s">
        <v>12</v>
      </c>
      <c r="C5478" s="334" t="s">
        <v>14051</v>
      </c>
      <c r="D5478" s="124" t="s">
        <v>8339</v>
      </c>
      <c r="E5478" s="125"/>
      <c r="F5478" s="118" t="s">
        <v>1018</v>
      </c>
      <c r="G5478" s="126" t="s">
        <v>13831</v>
      </c>
      <c r="H5478" s="255">
        <v>6</v>
      </c>
      <c r="I5478" s="361">
        <v>1</v>
      </c>
      <c r="J5478" s="371" t="s">
        <v>286</v>
      </c>
      <c r="W5478" s="129" t="s">
        <v>286</v>
      </c>
      <c r="X5478" s="337" t="b">
        <f t="shared" si="123"/>
        <v>1</v>
      </c>
    </row>
    <row r="5479" spans="1:24" ht="12" customHeight="1" outlineLevel="1">
      <c r="A5479" s="370"/>
      <c r="B5479" s="118" t="s">
        <v>12</v>
      </c>
      <c r="C5479" s="334" t="s">
        <v>14052</v>
      </c>
      <c r="D5479" s="124" t="s">
        <v>8341</v>
      </c>
      <c r="E5479" s="125"/>
      <c r="F5479" s="118" t="s">
        <v>1018</v>
      </c>
      <c r="G5479" s="126" t="s">
        <v>13831</v>
      </c>
      <c r="H5479" s="255">
        <v>6</v>
      </c>
      <c r="I5479" s="361">
        <v>1</v>
      </c>
      <c r="J5479" s="371" t="s">
        <v>286</v>
      </c>
      <c r="W5479" s="129" t="s">
        <v>286</v>
      </c>
      <c r="X5479" s="337" t="b">
        <f t="shared" si="123"/>
        <v>1</v>
      </c>
    </row>
    <row r="5480" spans="1:24" ht="12" customHeight="1" outlineLevel="1">
      <c r="A5480" s="370"/>
      <c r="B5480" s="118" t="s">
        <v>12</v>
      </c>
      <c r="C5480" s="334" t="s">
        <v>14053</v>
      </c>
      <c r="D5480" s="124" t="s">
        <v>8343</v>
      </c>
      <c r="E5480" s="125"/>
      <c r="F5480" s="118" t="s">
        <v>1018</v>
      </c>
      <c r="G5480" s="126" t="s">
        <v>13831</v>
      </c>
      <c r="H5480" s="255">
        <v>6</v>
      </c>
      <c r="I5480" s="361">
        <v>1</v>
      </c>
      <c r="J5480" s="371" t="s">
        <v>286</v>
      </c>
      <c r="W5480" s="129" t="s">
        <v>286</v>
      </c>
      <c r="X5480" s="337" t="b">
        <f t="shared" si="123"/>
        <v>1</v>
      </c>
    </row>
    <row r="5481" spans="1:24" ht="12" customHeight="1" outlineLevel="1">
      <c r="A5481" s="370"/>
      <c r="B5481" s="118" t="s">
        <v>12</v>
      </c>
      <c r="C5481" s="334" t="s">
        <v>14054</v>
      </c>
      <c r="D5481" s="124" t="s">
        <v>8345</v>
      </c>
      <c r="E5481" s="125"/>
      <c r="F5481" s="118" t="s">
        <v>1018</v>
      </c>
      <c r="G5481" s="126" t="s">
        <v>13831</v>
      </c>
      <c r="H5481" s="255">
        <v>6</v>
      </c>
      <c r="I5481" s="361">
        <v>1</v>
      </c>
      <c r="J5481" s="371" t="s">
        <v>286</v>
      </c>
      <c r="W5481" s="129" t="s">
        <v>286</v>
      </c>
      <c r="X5481" s="337" t="b">
        <f t="shared" si="123"/>
        <v>1</v>
      </c>
    </row>
    <row r="5482" spans="1:24" ht="12" customHeight="1" outlineLevel="1">
      <c r="A5482" s="370"/>
      <c r="B5482" s="118" t="s">
        <v>12</v>
      </c>
      <c r="C5482" s="334" t="s">
        <v>14055</v>
      </c>
      <c r="D5482" s="124" t="s">
        <v>8347</v>
      </c>
      <c r="E5482" s="125"/>
      <c r="F5482" s="118" t="s">
        <v>1018</v>
      </c>
      <c r="G5482" s="126" t="s">
        <v>13831</v>
      </c>
      <c r="H5482" s="255">
        <v>6</v>
      </c>
      <c r="I5482" s="361">
        <v>1</v>
      </c>
      <c r="J5482" s="371" t="s">
        <v>286</v>
      </c>
      <c r="W5482" s="129" t="s">
        <v>286</v>
      </c>
      <c r="X5482" s="337" t="b">
        <f t="shared" si="123"/>
        <v>1</v>
      </c>
    </row>
    <row r="5483" spans="1:24" ht="12" customHeight="1" outlineLevel="1">
      <c r="A5483" s="370"/>
      <c r="B5483" s="118" t="s">
        <v>12</v>
      </c>
      <c r="C5483" s="334" t="s">
        <v>14056</v>
      </c>
      <c r="D5483" s="124" t="s">
        <v>8349</v>
      </c>
      <c r="E5483" s="125"/>
      <c r="F5483" s="118" t="s">
        <v>1018</v>
      </c>
      <c r="G5483" s="126" t="s">
        <v>13831</v>
      </c>
      <c r="H5483" s="255">
        <v>6</v>
      </c>
      <c r="I5483" s="361">
        <v>1</v>
      </c>
      <c r="J5483" s="371" t="s">
        <v>286</v>
      </c>
      <c r="W5483" s="129" t="s">
        <v>286</v>
      </c>
      <c r="X5483" s="337" t="b">
        <f t="shared" si="123"/>
        <v>1</v>
      </c>
    </row>
    <row r="5484" spans="1:24" ht="12" customHeight="1" outlineLevel="1">
      <c r="A5484" s="370"/>
      <c r="B5484" s="118" t="s">
        <v>12</v>
      </c>
      <c r="C5484" s="334" t="s">
        <v>14057</v>
      </c>
      <c r="D5484" s="124" t="s">
        <v>8351</v>
      </c>
      <c r="E5484" s="125"/>
      <c r="F5484" s="118" t="s">
        <v>1018</v>
      </c>
      <c r="G5484" s="126" t="s">
        <v>13831</v>
      </c>
      <c r="H5484" s="255">
        <v>6</v>
      </c>
      <c r="I5484" s="361">
        <v>1</v>
      </c>
      <c r="J5484" s="371" t="s">
        <v>286</v>
      </c>
      <c r="W5484" s="129" t="s">
        <v>286</v>
      </c>
      <c r="X5484" s="337" t="b">
        <f t="shared" si="123"/>
        <v>1</v>
      </c>
    </row>
    <row r="5485" spans="1:24" ht="12" customHeight="1" outlineLevel="1">
      <c r="A5485" s="370"/>
      <c r="B5485" s="118" t="s">
        <v>12</v>
      </c>
      <c r="C5485" s="334" t="s">
        <v>14058</v>
      </c>
      <c r="D5485" s="124" t="s">
        <v>8353</v>
      </c>
      <c r="E5485" s="125"/>
      <c r="F5485" s="118" t="s">
        <v>1018</v>
      </c>
      <c r="G5485" s="126" t="s">
        <v>13831</v>
      </c>
      <c r="H5485" s="255">
        <v>6</v>
      </c>
      <c r="I5485" s="361">
        <v>1</v>
      </c>
      <c r="J5485" s="371" t="s">
        <v>286</v>
      </c>
      <c r="W5485" s="129" t="s">
        <v>286</v>
      </c>
      <c r="X5485" s="337" t="b">
        <f t="shared" si="123"/>
        <v>1</v>
      </c>
    </row>
    <row r="5486" spans="1:24" ht="12" customHeight="1" outlineLevel="1">
      <c r="A5486" s="370"/>
      <c r="B5486" s="118" t="s">
        <v>12</v>
      </c>
      <c r="C5486" s="334" t="s">
        <v>14059</v>
      </c>
      <c r="D5486" s="124" t="s">
        <v>8355</v>
      </c>
      <c r="E5486" s="125"/>
      <c r="F5486" s="118" t="s">
        <v>1018</v>
      </c>
      <c r="G5486" s="126" t="s">
        <v>13831</v>
      </c>
      <c r="H5486" s="255">
        <v>6</v>
      </c>
      <c r="I5486" s="361">
        <v>1</v>
      </c>
      <c r="J5486" s="371" t="s">
        <v>286</v>
      </c>
      <c r="W5486" s="129" t="s">
        <v>286</v>
      </c>
      <c r="X5486" s="337" t="b">
        <f t="shared" si="123"/>
        <v>1</v>
      </c>
    </row>
    <row r="5487" spans="1:24" ht="12" customHeight="1" outlineLevel="1">
      <c r="A5487" s="370"/>
      <c r="B5487" s="118" t="s">
        <v>12</v>
      </c>
      <c r="C5487" s="334" t="s">
        <v>14060</v>
      </c>
      <c r="D5487" s="124" t="s">
        <v>8357</v>
      </c>
      <c r="E5487" s="125"/>
      <c r="F5487" s="118" t="s">
        <v>1018</v>
      </c>
      <c r="G5487" s="126" t="s">
        <v>13831</v>
      </c>
      <c r="H5487" s="255">
        <v>6</v>
      </c>
      <c r="I5487" s="361">
        <v>1</v>
      </c>
      <c r="J5487" s="371" t="s">
        <v>286</v>
      </c>
      <c r="W5487" s="129" t="s">
        <v>286</v>
      </c>
      <c r="X5487" s="337" t="b">
        <f t="shared" si="123"/>
        <v>1</v>
      </c>
    </row>
    <row r="5488" spans="1:24" ht="12" customHeight="1" outlineLevel="1">
      <c r="A5488" s="370"/>
      <c r="B5488" s="118" t="s">
        <v>12</v>
      </c>
      <c r="C5488" s="334" t="s">
        <v>14061</v>
      </c>
      <c r="D5488" s="124" t="s">
        <v>8359</v>
      </c>
      <c r="E5488" s="125"/>
      <c r="F5488" s="118" t="s">
        <v>1018</v>
      </c>
      <c r="G5488" s="126" t="s">
        <v>13831</v>
      </c>
      <c r="H5488" s="255">
        <v>6</v>
      </c>
      <c r="I5488" s="361">
        <v>1</v>
      </c>
      <c r="J5488" s="371" t="s">
        <v>286</v>
      </c>
      <c r="W5488" s="129" t="s">
        <v>286</v>
      </c>
      <c r="X5488" s="337" t="b">
        <f t="shared" si="123"/>
        <v>1</v>
      </c>
    </row>
    <row r="5489" spans="1:24" ht="12" customHeight="1" outlineLevel="1">
      <c r="A5489" s="370"/>
      <c r="B5489" s="118" t="s">
        <v>12</v>
      </c>
      <c r="C5489" s="334" t="s">
        <v>14062</v>
      </c>
      <c r="D5489" s="124" t="s">
        <v>8361</v>
      </c>
      <c r="E5489" s="125"/>
      <c r="F5489" s="118" t="s">
        <v>1018</v>
      </c>
      <c r="G5489" s="126" t="s">
        <v>13831</v>
      </c>
      <c r="H5489" s="255">
        <v>6</v>
      </c>
      <c r="I5489" s="361">
        <v>1</v>
      </c>
      <c r="J5489" s="371" t="s">
        <v>286</v>
      </c>
      <c r="W5489" s="129" t="s">
        <v>286</v>
      </c>
      <c r="X5489" s="337" t="b">
        <f t="shared" si="123"/>
        <v>1</v>
      </c>
    </row>
    <row r="5490" spans="1:24" ht="12" customHeight="1" outlineLevel="1">
      <c r="A5490" s="370"/>
      <c r="B5490" s="118" t="s">
        <v>12</v>
      </c>
      <c r="C5490" s="334" t="s">
        <v>14063</v>
      </c>
      <c r="D5490" s="124" t="s">
        <v>8363</v>
      </c>
      <c r="E5490" s="125"/>
      <c r="F5490" s="118" t="s">
        <v>1018</v>
      </c>
      <c r="G5490" s="126" t="s">
        <v>13831</v>
      </c>
      <c r="H5490" s="255">
        <v>6</v>
      </c>
      <c r="I5490" s="361">
        <v>1</v>
      </c>
      <c r="J5490" s="371" t="s">
        <v>286</v>
      </c>
      <c r="W5490" s="129" t="s">
        <v>286</v>
      </c>
      <c r="X5490" s="337" t="b">
        <f t="shared" si="123"/>
        <v>1</v>
      </c>
    </row>
    <row r="5491" spans="1:24" ht="12" customHeight="1" outlineLevel="1">
      <c r="A5491" s="370"/>
      <c r="B5491" s="118" t="s">
        <v>12</v>
      </c>
      <c r="C5491" s="334" t="s">
        <v>14064</v>
      </c>
      <c r="D5491" s="124" t="s">
        <v>8365</v>
      </c>
      <c r="E5491" s="125"/>
      <c r="F5491" s="118" t="s">
        <v>1018</v>
      </c>
      <c r="G5491" s="126" t="s">
        <v>13831</v>
      </c>
      <c r="H5491" s="255">
        <v>6</v>
      </c>
      <c r="I5491" s="361">
        <v>1</v>
      </c>
      <c r="J5491" s="371" t="s">
        <v>286</v>
      </c>
      <c r="W5491" s="129" t="s">
        <v>286</v>
      </c>
      <c r="X5491" s="337" t="b">
        <f t="shared" si="123"/>
        <v>1</v>
      </c>
    </row>
    <row r="5492" spans="1:24" ht="12" customHeight="1" outlineLevel="1">
      <c r="A5492" s="370"/>
      <c r="B5492" s="118" t="s">
        <v>12</v>
      </c>
      <c r="C5492" s="334" t="s">
        <v>14065</v>
      </c>
      <c r="D5492" s="124" t="s">
        <v>8367</v>
      </c>
      <c r="E5492" s="125"/>
      <c r="F5492" s="118" t="s">
        <v>1018</v>
      </c>
      <c r="G5492" s="126" t="s">
        <v>13831</v>
      </c>
      <c r="H5492" s="255">
        <v>6</v>
      </c>
      <c r="I5492" s="361">
        <v>1</v>
      </c>
      <c r="J5492" s="371" t="s">
        <v>286</v>
      </c>
      <c r="W5492" s="129" t="s">
        <v>286</v>
      </c>
      <c r="X5492" s="337" t="b">
        <f t="shared" si="123"/>
        <v>1</v>
      </c>
    </row>
    <row r="5493" spans="1:24" ht="12" customHeight="1" outlineLevel="1">
      <c r="A5493" s="370"/>
      <c r="B5493" s="118" t="s">
        <v>12</v>
      </c>
      <c r="C5493" s="334" t="s">
        <v>14066</v>
      </c>
      <c r="D5493" s="124" t="s">
        <v>8369</v>
      </c>
      <c r="E5493" s="125"/>
      <c r="F5493" s="118" t="s">
        <v>1018</v>
      </c>
      <c r="G5493" s="126" t="s">
        <v>13831</v>
      </c>
      <c r="H5493" s="255">
        <v>6</v>
      </c>
      <c r="I5493" s="361">
        <v>1</v>
      </c>
      <c r="J5493" s="371" t="s">
        <v>286</v>
      </c>
      <c r="W5493" s="129" t="s">
        <v>286</v>
      </c>
      <c r="X5493" s="337" t="b">
        <f t="shared" si="123"/>
        <v>1</v>
      </c>
    </row>
    <row r="5494" spans="1:24" ht="12" customHeight="1" outlineLevel="1">
      <c r="A5494" s="370"/>
      <c r="B5494" s="118" t="s">
        <v>12</v>
      </c>
      <c r="C5494" s="334" t="s">
        <v>14067</v>
      </c>
      <c r="D5494" s="124" t="s">
        <v>8371</v>
      </c>
      <c r="E5494" s="125"/>
      <c r="F5494" s="118" t="s">
        <v>1018</v>
      </c>
      <c r="G5494" s="126" t="s">
        <v>13831</v>
      </c>
      <c r="H5494" s="255">
        <v>6</v>
      </c>
      <c r="I5494" s="361">
        <v>1</v>
      </c>
      <c r="J5494" s="371" t="s">
        <v>286</v>
      </c>
      <c r="W5494" s="129" t="s">
        <v>286</v>
      </c>
      <c r="X5494" s="337" t="b">
        <f t="shared" si="123"/>
        <v>1</v>
      </c>
    </row>
    <row r="5495" spans="1:24" ht="12" customHeight="1" outlineLevel="1">
      <c r="A5495" s="370"/>
      <c r="B5495" s="118" t="s">
        <v>12</v>
      </c>
      <c r="C5495" s="334" t="s">
        <v>14068</v>
      </c>
      <c r="D5495" s="124" t="s">
        <v>8373</v>
      </c>
      <c r="E5495" s="125"/>
      <c r="F5495" s="118" t="s">
        <v>1018</v>
      </c>
      <c r="G5495" s="126" t="s">
        <v>13831</v>
      </c>
      <c r="H5495" s="255">
        <v>6</v>
      </c>
      <c r="I5495" s="361">
        <v>1</v>
      </c>
      <c r="J5495" s="371" t="s">
        <v>286</v>
      </c>
      <c r="W5495" s="129" t="s">
        <v>286</v>
      </c>
      <c r="X5495" s="337" t="b">
        <f t="shared" si="123"/>
        <v>1</v>
      </c>
    </row>
    <row r="5496" spans="1:24" ht="12" customHeight="1" outlineLevel="1">
      <c r="A5496" s="370"/>
      <c r="B5496" s="118" t="s">
        <v>12</v>
      </c>
      <c r="C5496" s="334" t="s">
        <v>14069</v>
      </c>
      <c r="D5496" s="124" t="s">
        <v>8375</v>
      </c>
      <c r="E5496" s="125"/>
      <c r="F5496" s="118" t="s">
        <v>1018</v>
      </c>
      <c r="G5496" s="126" t="s">
        <v>13831</v>
      </c>
      <c r="H5496" s="255">
        <v>6</v>
      </c>
      <c r="I5496" s="361">
        <v>1</v>
      </c>
      <c r="J5496" s="371" t="s">
        <v>286</v>
      </c>
      <c r="W5496" s="129" t="s">
        <v>286</v>
      </c>
      <c r="X5496" s="337" t="b">
        <f t="shared" si="123"/>
        <v>1</v>
      </c>
    </row>
    <row r="5497" spans="1:24" ht="12" customHeight="1" outlineLevel="1">
      <c r="A5497" s="370"/>
      <c r="B5497" s="118" t="s">
        <v>12</v>
      </c>
      <c r="C5497" s="334" t="s">
        <v>14070</v>
      </c>
      <c r="D5497" s="124" t="s">
        <v>8377</v>
      </c>
      <c r="E5497" s="125"/>
      <c r="F5497" s="118" t="s">
        <v>1018</v>
      </c>
      <c r="G5497" s="126" t="s">
        <v>13831</v>
      </c>
      <c r="H5497" s="255">
        <v>6</v>
      </c>
      <c r="I5497" s="361">
        <v>1</v>
      </c>
      <c r="J5497" s="371" t="s">
        <v>286</v>
      </c>
      <c r="W5497" s="129" t="s">
        <v>286</v>
      </c>
      <c r="X5497" s="337" t="b">
        <f t="shared" si="123"/>
        <v>1</v>
      </c>
    </row>
    <row r="5498" spans="1:24" ht="12" customHeight="1" outlineLevel="1">
      <c r="A5498" s="370"/>
      <c r="B5498" s="118" t="s">
        <v>12</v>
      </c>
      <c r="C5498" s="334" t="s">
        <v>14071</v>
      </c>
      <c r="D5498" s="124" t="s">
        <v>8379</v>
      </c>
      <c r="E5498" s="125"/>
      <c r="F5498" s="118" t="s">
        <v>1018</v>
      </c>
      <c r="G5498" s="126" t="s">
        <v>13831</v>
      </c>
      <c r="H5498" s="255">
        <v>6</v>
      </c>
      <c r="I5498" s="361">
        <v>1</v>
      </c>
      <c r="J5498" s="371" t="s">
        <v>286</v>
      </c>
      <c r="W5498" s="129" t="s">
        <v>286</v>
      </c>
      <c r="X5498" s="337" t="b">
        <f t="shared" si="123"/>
        <v>1</v>
      </c>
    </row>
    <row r="5499" spans="1:24" ht="12" customHeight="1" outlineLevel="1">
      <c r="A5499" s="370"/>
      <c r="B5499" s="118" t="s">
        <v>12</v>
      </c>
      <c r="C5499" s="334" t="s">
        <v>14072</v>
      </c>
      <c r="D5499" s="124" t="s">
        <v>8267</v>
      </c>
      <c r="E5499" s="125"/>
      <c r="F5499" s="118" t="s">
        <v>1018</v>
      </c>
      <c r="G5499" s="126" t="s">
        <v>13831</v>
      </c>
      <c r="H5499" s="255">
        <v>6</v>
      </c>
      <c r="I5499" s="361">
        <v>1</v>
      </c>
      <c r="J5499" s="371" t="s">
        <v>286</v>
      </c>
      <c r="W5499" s="129" t="s">
        <v>286</v>
      </c>
      <c r="X5499" s="337" t="b">
        <f t="shared" si="123"/>
        <v>1</v>
      </c>
    </row>
    <row r="5500" spans="1:24" ht="12" customHeight="1" outlineLevel="1">
      <c r="A5500" s="370"/>
      <c r="B5500" s="118" t="s">
        <v>12</v>
      </c>
      <c r="C5500" s="334" t="s">
        <v>14073</v>
      </c>
      <c r="D5500" s="124" t="s">
        <v>8269</v>
      </c>
      <c r="E5500" s="125"/>
      <c r="F5500" s="118" t="s">
        <v>1018</v>
      </c>
      <c r="G5500" s="126" t="s">
        <v>13831</v>
      </c>
      <c r="H5500" s="255">
        <v>6</v>
      </c>
      <c r="I5500" s="361">
        <v>1</v>
      </c>
      <c r="J5500" s="371" t="s">
        <v>286</v>
      </c>
      <c r="W5500" s="129" t="s">
        <v>286</v>
      </c>
      <c r="X5500" s="337" t="b">
        <f t="shared" si="123"/>
        <v>1</v>
      </c>
    </row>
    <row r="5501" spans="1:24" ht="12" customHeight="1" outlineLevel="1">
      <c r="A5501" s="370"/>
      <c r="B5501" s="118" t="s">
        <v>12</v>
      </c>
      <c r="C5501" s="334" t="s">
        <v>14074</v>
      </c>
      <c r="D5501" s="124" t="s">
        <v>8271</v>
      </c>
      <c r="E5501" s="125"/>
      <c r="F5501" s="118" t="s">
        <v>1018</v>
      </c>
      <c r="G5501" s="126" t="s">
        <v>13831</v>
      </c>
      <c r="H5501" s="255">
        <v>6</v>
      </c>
      <c r="I5501" s="361">
        <v>1</v>
      </c>
      <c r="J5501" s="371" t="s">
        <v>286</v>
      </c>
      <c r="W5501" s="129" t="s">
        <v>286</v>
      </c>
      <c r="X5501" s="337" t="b">
        <f t="shared" si="123"/>
        <v>1</v>
      </c>
    </row>
    <row r="5502" spans="1:24" ht="12" customHeight="1" outlineLevel="1">
      <c r="A5502" s="370"/>
      <c r="B5502" s="118" t="s">
        <v>12</v>
      </c>
      <c r="C5502" s="334" t="s">
        <v>14075</v>
      </c>
      <c r="D5502" s="124" t="s">
        <v>8273</v>
      </c>
      <c r="E5502" s="125"/>
      <c r="F5502" s="118" t="s">
        <v>1018</v>
      </c>
      <c r="G5502" s="126" t="s">
        <v>13831</v>
      </c>
      <c r="H5502" s="255">
        <v>6</v>
      </c>
      <c r="I5502" s="361">
        <v>1</v>
      </c>
      <c r="J5502" s="371" t="s">
        <v>286</v>
      </c>
      <c r="W5502" s="129" t="s">
        <v>286</v>
      </c>
      <c r="X5502" s="337" t="b">
        <f t="shared" si="123"/>
        <v>1</v>
      </c>
    </row>
    <row r="5503" spans="1:24" ht="12" customHeight="1" outlineLevel="1">
      <c r="A5503" s="370"/>
      <c r="B5503" s="118" t="s">
        <v>12</v>
      </c>
      <c r="C5503" s="334" t="s">
        <v>14076</v>
      </c>
      <c r="D5503" s="124" t="s">
        <v>8275</v>
      </c>
      <c r="E5503" s="125"/>
      <c r="F5503" s="118" t="s">
        <v>1018</v>
      </c>
      <c r="G5503" s="126" t="s">
        <v>13831</v>
      </c>
      <c r="H5503" s="255">
        <v>6</v>
      </c>
      <c r="I5503" s="361">
        <v>1</v>
      </c>
      <c r="J5503" s="371" t="s">
        <v>286</v>
      </c>
      <c r="W5503" s="129" t="s">
        <v>286</v>
      </c>
      <c r="X5503" s="337" t="b">
        <f t="shared" si="123"/>
        <v>1</v>
      </c>
    </row>
    <row r="5504" spans="1:24" ht="12" customHeight="1" outlineLevel="1">
      <c r="A5504" s="370"/>
      <c r="B5504" s="118" t="s">
        <v>12</v>
      </c>
      <c r="C5504" s="334" t="s">
        <v>14077</v>
      </c>
      <c r="D5504" s="124" t="s">
        <v>8277</v>
      </c>
      <c r="E5504" s="125"/>
      <c r="F5504" s="118" t="s">
        <v>1018</v>
      </c>
      <c r="G5504" s="126" t="s">
        <v>13831</v>
      </c>
      <c r="H5504" s="255">
        <v>6</v>
      </c>
      <c r="I5504" s="361">
        <v>1</v>
      </c>
      <c r="J5504" s="371" t="s">
        <v>286</v>
      </c>
      <c r="W5504" s="129" t="s">
        <v>286</v>
      </c>
      <c r="X5504" s="337" t="b">
        <f t="shared" si="123"/>
        <v>1</v>
      </c>
    </row>
    <row r="5505" spans="1:24" ht="12" customHeight="1" outlineLevel="1">
      <c r="A5505" s="370"/>
      <c r="B5505" s="118" t="s">
        <v>12</v>
      </c>
      <c r="C5505" s="334" t="s">
        <v>14078</v>
      </c>
      <c r="D5505" s="124" t="s">
        <v>8279</v>
      </c>
      <c r="E5505" s="125"/>
      <c r="F5505" s="118" t="s">
        <v>1018</v>
      </c>
      <c r="G5505" s="126" t="s">
        <v>13831</v>
      </c>
      <c r="H5505" s="255">
        <v>6</v>
      </c>
      <c r="I5505" s="361">
        <v>1</v>
      </c>
      <c r="J5505" s="371" t="s">
        <v>286</v>
      </c>
      <c r="W5505" s="129" t="s">
        <v>286</v>
      </c>
      <c r="X5505" s="337" t="b">
        <f t="shared" si="123"/>
        <v>1</v>
      </c>
    </row>
    <row r="5506" spans="1:24" ht="12" customHeight="1" outlineLevel="1">
      <c r="A5506" s="370"/>
      <c r="B5506" s="118" t="s">
        <v>12</v>
      </c>
      <c r="C5506" s="334" t="s">
        <v>14079</v>
      </c>
      <c r="D5506" s="124" t="s">
        <v>8281</v>
      </c>
      <c r="E5506" s="125"/>
      <c r="F5506" s="118" t="s">
        <v>1018</v>
      </c>
      <c r="G5506" s="126" t="s">
        <v>13831</v>
      </c>
      <c r="H5506" s="255">
        <v>6</v>
      </c>
      <c r="I5506" s="361">
        <v>1</v>
      </c>
      <c r="J5506" s="371" t="s">
        <v>286</v>
      </c>
      <c r="W5506" s="129" t="s">
        <v>286</v>
      </c>
      <c r="X5506" s="337" t="b">
        <f t="shared" si="123"/>
        <v>1</v>
      </c>
    </row>
    <row r="5507" spans="1:24" ht="12" customHeight="1" outlineLevel="1">
      <c r="A5507" s="370"/>
      <c r="B5507" s="118" t="s">
        <v>12</v>
      </c>
      <c r="C5507" s="334" t="s">
        <v>14080</v>
      </c>
      <c r="D5507" s="124" t="s">
        <v>8283</v>
      </c>
      <c r="E5507" s="125"/>
      <c r="F5507" s="118" t="s">
        <v>1018</v>
      </c>
      <c r="G5507" s="126" t="s">
        <v>13831</v>
      </c>
      <c r="H5507" s="255">
        <v>6</v>
      </c>
      <c r="I5507" s="361">
        <v>1</v>
      </c>
      <c r="J5507" s="371" t="s">
        <v>286</v>
      </c>
      <c r="W5507" s="129" t="s">
        <v>286</v>
      </c>
      <c r="X5507" s="337" t="b">
        <f t="shared" si="123"/>
        <v>1</v>
      </c>
    </row>
    <row r="5508" spans="1:24" ht="12" customHeight="1" outlineLevel="1">
      <c r="A5508" s="370"/>
      <c r="B5508" s="118" t="s">
        <v>12</v>
      </c>
      <c r="C5508" s="334" t="s">
        <v>14081</v>
      </c>
      <c r="D5508" s="124" t="s">
        <v>8285</v>
      </c>
      <c r="E5508" s="125"/>
      <c r="F5508" s="118" t="s">
        <v>1018</v>
      </c>
      <c r="G5508" s="126" t="s">
        <v>13831</v>
      </c>
      <c r="H5508" s="255">
        <v>6</v>
      </c>
      <c r="I5508" s="361">
        <v>1</v>
      </c>
      <c r="J5508" s="371" t="s">
        <v>286</v>
      </c>
      <c r="W5508" s="129" t="s">
        <v>286</v>
      </c>
      <c r="X5508" s="337" t="b">
        <f t="shared" si="123"/>
        <v>1</v>
      </c>
    </row>
    <row r="5509" spans="1:24" ht="12" customHeight="1" outlineLevel="1">
      <c r="A5509" s="370"/>
      <c r="B5509" s="118" t="s">
        <v>12</v>
      </c>
      <c r="C5509" s="334" t="s">
        <v>14082</v>
      </c>
      <c r="D5509" s="124" t="s">
        <v>11891</v>
      </c>
      <c r="E5509" s="125"/>
      <c r="F5509" s="118" t="s">
        <v>1018</v>
      </c>
      <c r="G5509" s="126" t="s">
        <v>13831</v>
      </c>
      <c r="H5509" s="255">
        <v>6</v>
      </c>
      <c r="I5509" s="361">
        <v>1</v>
      </c>
      <c r="J5509" s="371" t="s">
        <v>286</v>
      </c>
      <c r="W5509" s="129" t="s">
        <v>286</v>
      </c>
      <c r="X5509" s="337" t="b">
        <f t="shared" si="123"/>
        <v>1</v>
      </c>
    </row>
    <row r="5510" spans="1:24" ht="12" customHeight="1" outlineLevel="1">
      <c r="A5510" s="370"/>
      <c r="B5510" s="118" t="s">
        <v>12</v>
      </c>
      <c r="C5510" s="334" t="s">
        <v>14083</v>
      </c>
      <c r="D5510" s="124" t="s">
        <v>11893</v>
      </c>
      <c r="E5510" s="125"/>
      <c r="F5510" s="118" t="s">
        <v>1018</v>
      </c>
      <c r="G5510" s="126" t="s">
        <v>13831</v>
      </c>
      <c r="H5510" s="255">
        <v>6</v>
      </c>
      <c r="I5510" s="361">
        <v>1</v>
      </c>
      <c r="J5510" s="371" t="s">
        <v>286</v>
      </c>
      <c r="W5510" s="129" t="s">
        <v>286</v>
      </c>
      <c r="X5510" s="337" t="b">
        <f t="shared" si="123"/>
        <v>1</v>
      </c>
    </row>
    <row r="5511" spans="1:24" ht="12" customHeight="1" outlineLevel="1">
      <c r="A5511" s="370"/>
      <c r="B5511" s="118" t="s">
        <v>12</v>
      </c>
      <c r="C5511" s="334" t="s">
        <v>14084</v>
      </c>
      <c r="D5511" s="124" t="s">
        <v>11895</v>
      </c>
      <c r="E5511" s="125"/>
      <c r="F5511" s="118" t="s">
        <v>1018</v>
      </c>
      <c r="G5511" s="126" t="s">
        <v>13831</v>
      </c>
      <c r="H5511" s="255">
        <v>6</v>
      </c>
      <c r="I5511" s="361">
        <v>1</v>
      </c>
      <c r="J5511" s="371" t="s">
        <v>286</v>
      </c>
      <c r="W5511" s="129" t="s">
        <v>286</v>
      </c>
      <c r="X5511" s="337" t="b">
        <f t="shared" si="123"/>
        <v>1</v>
      </c>
    </row>
    <row r="5512" spans="1:24" ht="12" customHeight="1" outlineLevel="1">
      <c r="A5512" s="370"/>
      <c r="B5512" s="118" t="s">
        <v>12</v>
      </c>
      <c r="C5512" s="334" t="s">
        <v>14085</v>
      </c>
      <c r="D5512" s="124" t="s">
        <v>11897</v>
      </c>
      <c r="E5512" s="125"/>
      <c r="F5512" s="118" t="s">
        <v>1018</v>
      </c>
      <c r="G5512" s="126" t="s">
        <v>13831</v>
      </c>
      <c r="H5512" s="255">
        <v>6</v>
      </c>
      <c r="I5512" s="361">
        <v>1</v>
      </c>
      <c r="J5512" s="371" t="s">
        <v>286</v>
      </c>
      <c r="W5512" s="129" t="s">
        <v>286</v>
      </c>
      <c r="X5512" s="337" t="b">
        <f t="shared" si="123"/>
        <v>1</v>
      </c>
    </row>
    <row r="5513" spans="1:24" ht="12" customHeight="1" outlineLevel="1">
      <c r="A5513" s="370"/>
      <c r="B5513" s="118" t="s">
        <v>12</v>
      </c>
      <c r="C5513" s="334" t="s">
        <v>14086</v>
      </c>
      <c r="D5513" s="124" t="s">
        <v>11899</v>
      </c>
      <c r="E5513" s="125"/>
      <c r="F5513" s="118" t="s">
        <v>1018</v>
      </c>
      <c r="G5513" s="126" t="s">
        <v>13831</v>
      </c>
      <c r="H5513" s="255">
        <v>6</v>
      </c>
      <c r="I5513" s="361">
        <v>1</v>
      </c>
      <c r="J5513" s="371" t="s">
        <v>286</v>
      </c>
      <c r="W5513" s="129" t="s">
        <v>286</v>
      </c>
      <c r="X5513" s="337" t="b">
        <f t="shared" si="123"/>
        <v>1</v>
      </c>
    </row>
    <row r="5514" spans="1:24" ht="12" customHeight="1" outlineLevel="1">
      <c r="A5514" s="370"/>
      <c r="B5514" s="118" t="s">
        <v>12</v>
      </c>
      <c r="C5514" s="334" t="s">
        <v>14087</v>
      </c>
      <c r="D5514" s="124" t="s">
        <v>8305</v>
      </c>
      <c r="E5514" s="125"/>
      <c r="F5514" s="118" t="s">
        <v>1018</v>
      </c>
      <c r="G5514" s="126" t="s">
        <v>13831</v>
      </c>
      <c r="H5514" s="255">
        <v>6</v>
      </c>
      <c r="I5514" s="361">
        <v>1</v>
      </c>
      <c r="J5514" s="371" t="s">
        <v>286</v>
      </c>
      <c r="W5514" s="129" t="s">
        <v>286</v>
      </c>
      <c r="X5514" s="337" t="b">
        <f t="shared" si="123"/>
        <v>1</v>
      </c>
    </row>
    <row r="5515" spans="1:24" ht="12" customHeight="1" outlineLevel="1">
      <c r="A5515" s="370"/>
      <c r="B5515" s="118" t="s">
        <v>12</v>
      </c>
      <c r="C5515" s="334" t="s">
        <v>14088</v>
      </c>
      <c r="D5515" s="124" t="s">
        <v>11902</v>
      </c>
      <c r="E5515" s="125"/>
      <c r="F5515" s="118" t="s">
        <v>1018</v>
      </c>
      <c r="G5515" s="126" t="s">
        <v>13831</v>
      </c>
      <c r="H5515" s="255">
        <v>6</v>
      </c>
      <c r="I5515" s="361">
        <v>1</v>
      </c>
      <c r="J5515" s="371" t="s">
        <v>286</v>
      </c>
      <c r="W5515" s="129" t="s">
        <v>286</v>
      </c>
      <c r="X5515" s="337" t="b">
        <f t="shared" si="123"/>
        <v>1</v>
      </c>
    </row>
    <row r="5516" spans="1:24" ht="12" customHeight="1" outlineLevel="1">
      <c r="A5516" s="370"/>
      <c r="B5516" s="118" t="s">
        <v>12</v>
      </c>
      <c r="C5516" s="334" t="s">
        <v>14089</v>
      </c>
      <c r="D5516" s="124" t="s">
        <v>8311</v>
      </c>
      <c r="E5516" s="125"/>
      <c r="F5516" s="118" t="s">
        <v>1018</v>
      </c>
      <c r="G5516" s="126" t="s">
        <v>13831</v>
      </c>
      <c r="H5516" s="255">
        <v>6</v>
      </c>
      <c r="I5516" s="361">
        <v>1</v>
      </c>
      <c r="J5516" s="371" t="s">
        <v>286</v>
      </c>
      <c r="W5516" s="129" t="s">
        <v>286</v>
      </c>
      <c r="X5516" s="337" t="b">
        <f t="shared" si="123"/>
        <v>1</v>
      </c>
    </row>
    <row r="5517" spans="1:24" ht="12" customHeight="1" outlineLevel="1">
      <c r="A5517" s="370"/>
      <c r="B5517" s="118" t="s">
        <v>12</v>
      </c>
      <c r="C5517" s="334" t="s">
        <v>14090</v>
      </c>
      <c r="D5517" s="124" t="s">
        <v>8313</v>
      </c>
      <c r="E5517" s="125"/>
      <c r="F5517" s="118" t="s">
        <v>1018</v>
      </c>
      <c r="G5517" s="126" t="s">
        <v>13831</v>
      </c>
      <c r="H5517" s="255">
        <v>6</v>
      </c>
      <c r="I5517" s="361">
        <v>1</v>
      </c>
      <c r="J5517" s="371" t="s">
        <v>286</v>
      </c>
      <c r="W5517" s="129" t="s">
        <v>286</v>
      </c>
      <c r="X5517" s="337" t="b">
        <f t="shared" si="123"/>
        <v>1</v>
      </c>
    </row>
    <row r="5518" spans="1:24" ht="12" customHeight="1" outlineLevel="1">
      <c r="A5518" s="370"/>
      <c r="B5518" s="118" t="s">
        <v>12</v>
      </c>
      <c r="C5518" s="334" t="s">
        <v>14091</v>
      </c>
      <c r="D5518" s="124" t="s">
        <v>8315</v>
      </c>
      <c r="E5518" s="125"/>
      <c r="F5518" s="118" t="s">
        <v>1018</v>
      </c>
      <c r="G5518" s="126" t="s">
        <v>13831</v>
      </c>
      <c r="H5518" s="255">
        <v>6</v>
      </c>
      <c r="I5518" s="361">
        <v>1</v>
      </c>
      <c r="J5518" s="371" t="s">
        <v>286</v>
      </c>
      <c r="W5518" s="129" t="s">
        <v>286</v>
      </c>
      <c r="X5518" s="337" t="b">
        <f t="shared" ref="X5518:X5548" si="124">W5518=J5518</f>
        <v>1</v>
      </c>
    </row>
    <row r="5519" spans="1:24" ht="12" customHeight="1" outlineLevel="1">
      <c r="A5519" s="370"/>
      <c r="B5519" s="118" t="s">
        <v>12</v>
      </c>
      <c r="C5519" s="334" t="s">
        <v>14092</v>
      </c>
      <c r="D5519" s="124" t="s">
        <v>11907</v>
      </c>
      <c r="E5519" s="125"/>
      <c r="F5519" s="118" t="s">
        <v>1018</v>
      </c>
      <c r="G5519" s="126" t="s">
        <v>13831</v>
      </c>
      <c r="H5519" s="255">
        <v>6</v>
      </c>
      <c r="I5519" s="361">
        <v>1</v>
      </c>
      <c r="J5519" s="371" t="s">
        <v>286</v>
      </c>
      <c r="W5519" s="129" t="s">
        <v>286</v>
      </c>
      <c r="X5519" s="337" t="b">
        <f t="shared" si="124"/>
        <v>1</v>
      </c>
    </row>
    <row r="5520" spans="1:24" ht="12" customHeight="1" outlineLevel="1">
      <c r="A5520" s="370"/>
      <c r="B5520" s="118" t="s">
        <v>12</v>
      </c>
      <c r="C5520" s="334" t="s">
        <v>14093</v>
      </c>
      <c r="D5520" s="124" t="s">
        <v>8319</v>
      </c>
      <c r="E5520" s="125"/>
      <c r="F5520" s="118" t="s">
        <v>1018</v>
      </c>
      <c r="G5520" s="126" t="s">
        <v>13831</v>
      </c>
      <c r="H5520" s="255">
        <v>6</v>
      </c>
      <c r="I5520" s="361">
        <v>1</v>
      </c>
      <c r="J5520" s="371" t="s">
        <v>286</v>
      </c>
      <c r="W5520" s="129" t="s">
        <v>286</v>
      </c>
      <c r="X5520" s="337" t="b">
        <f t="shared" si="124"/>
        <v>1</v>
      </c>
    </row>
    <row r="5521" spans="1:24" ht="12" customHeight="1" outlineLevel="1">
      <c r="A5521" s="370"/>
      <c r="B5521" s="118" t="s">
        <v>12</v>
      </c>
      <c r="C5521" s="334" t="s">
        <v>14094</v>
      </c>
      <c r="D5521" s="124" t="s">
        <v>11910</v>
      </c>
      <c r="E5521" s="125"/>
      <c r="F5521" s="118" t="s">
        <v>1018</v>
      </c>
      <c r="G5521" s="126" t="s">
        <v>13831</v>
      </c>
      <c r="H5521" s="255">
        <v>6</v>
      </c>
      <c r="I5521" s="361">
        <v>1</v>
      </c>
      <c r="J5521" s="371" t="s">
        <v>286</v>
      </c>
      <c r="W5521" s="129" t="s">
        <v>286</v>
      </c>
      <c r="X5521" s="337" t="b">
        <f t="shared" si="124"/>
        <v>1</v>
      </c>
    </row>
    <row r="5522" spans="1:24" ht="12" customHeight="1" outlineLevel="1">
      <c r="A5522" s="370"/>
      <c r="B5522" s="118" t="s">
        <v>12</v>
      </c>
      <c r="C5522" s="334" t="s">
        <v>14095</v>
      </c>
      <c r="D5522" s="124" t="s">
        <v>11912</v>
      </c>
      <c r="E5522" s="125"/>
      <c r="F5522" s="118" t="s">
        <v>1018</v>
      </c>
      <c r="G5522" s="126" t="s">
        <v>13831</v>
      </c>
      <c r="H5522" s="255">
        <v>6</v>
      </c>
      <c r="I5522" s="361">
        <v>1</v>
      </c>
      <c r="J5522" s="371" t="s">
        <v>286</v>
      </c>
      <c r="W5522" s="129" t="s">
        <v>286</v>
      </c>
      <c r="X5522" s="337" t="b">
        <f t="shared" si="124"/>
        <v>1</v>
      </c>
    </row>
    <row r="5523" spans="1:24" ht="12" customHeight="1" outlineLevel="1">
      <c r="A5523" s="370"/>
      <c r="B5523" s="118" t="s">
        <v>12</v>
      </c>
      <c r="C5523" s="334" t="s">
        <v>14096</v>
      </c>
      <c r="D5523" s="124" t="s">
        <v>11914</v>
      </c>
      <c r="E5523" s="125"/>
      <c r="F5523" s="118" t="s">
        <v>1018</v>
      </c>
      <c r="G5523" s="126" t="s">
        <v>13831</v>
      </c>
      <c r="H5523" s="255">
        <v>6</v>
      </c>
      <c r="I5523" s="361">
        <v>1</v>
      </c>
      <c r="J5523" s="371" t="s">
        <v>286</v>
      </c>
      <c r="W5523" s="129" t="s">
        <v>286</v>
      </c>
      <c r="X5523" s="337" t="b">
        <f t="shared" si="124"/>
        <v>1</v>
      </c>
    </row>
    <row r="5524" spans="1:24" ht="12" customHeight="1" outlineLevel="1">
      <c r="A5524" s="370"/>
      <c r="B5524" s="118" t="s">
        <v>12</v>
      </c>
      <c r="C5524" s="334" t="s">
        <v>14097</v>
      </c>
      <c r="D5524" s="124" t="s">
        <v>8329</v>
      </c>
      <c r="E5524" s="125"/>
      <c r="F5524" s="118" t="s">
        <v>1018</v>
      </c>
      <c r="G5524" s="126" t="s">
        <v>13831</v>
      </c>
      <c r="H5524" s="255">
        <v>6</v>
      </c>
      <c r="I5524" s="361">
        <v>1</v>
      </c>
      <c r="J5524" s="371" t="s">
        <v>286</v>
      </c>
      <c r="W5524" s="129" t="s">
        <v>286</v>
      </c>
      <c r="X5524" s="337" t="b">
        <f t="shared" si="124"/>
        <v>1</v>
      </c>
    </row>
    <row r="5525" spans="1:24" ht="12" customHeight="1" outlineLevel="1">
      <c r="A5525" s="370"/>
      <c r="B5525" s="118" t="s">
        <v>12</v>
      </c>
      <c r="C5525" s="334" t="s">
        <v>14098</v>
      </c>
      <c r="D5525" s="124" t="s">
        <v>8295</v>
      </c>
      <c r="E5525" s="125"/>
      <c r="F5525" s="118" t="s">
        <v>1018</v>
      </c>
      <c r="G5525" s="126" t="s">
        <v>13831</v>
      </c>
      <c r="H5525" s="255">
        <v>6</v>
      </c>
      <c r="I5525" s="361">
        <v>1</v>
      </c>
      <c r="J5525" s="371" t="s">
        <v>286</v>
      </c>
      <c r="W5525" s="129" t="s">
        <v>286</v>
      </c>
      <c r="X5525" s="337" t="b">
        <f t="shared" si="124"/>
        <v>1</v>
      </c>
    </row>
    <row r="5526" spans="1:24" ht="12" customHeight="1" outlineLevel="1">
      <c r="A5526" s="370"/>
      <c r="B5526" s="118" t="s">
        <v>12</v>
      </c>
      <c r="C5526" s="334" t="s">
        <v>14099</v>
      </c>
      <c r="D5526" s="124" t="s">
        <v>11918</v>
      </c>
      <c r="E5526" s="125"/>
      <c r="F5526" s="118" t="s">
        <v>1018</v>
      </c>
      <c r="G5526" s="126" t="s">
        <v>13831</v>
      </c>
      <c r="H5526" s="255">
        <v>6</v>
      </c>
      <c r="I5526" s="361">
        <v>1</v>
      </c>
      <c r="J5526" s="371" t="s">
        <v>286</v>
      </c>
      <c r="W5526" s="129" t="s">
        <v>4876</v>
      </c>
      <c r="X5526" s="337" t="b">
        <f t="shared" si="124"/>
        <v>0</v>
      </c>
    </row>
    <row r="5527" spans="1:24" ht="12" customHeight="1" outlineLevel="1">
      <c r="A5527" s="370"/>
      <c r="B5527" s="118" t="s">
        <v>12</v>
      </c>
      <c r="C5527" s="334" t="s">
        <v>14100</v>
      </c>
      <c r="D5527" s="124" t="s">
        <v>11920</v>
      </c>
      <c r="E5527" s="125"/>
      <c r="F5527" s="118" t="s">
        <v>1018</v>
      </c>
      <c r="G5527" s="126" t="s">
        <v>13831</v>
      </c>
      <c r="H5527" s="255">
        <v>6</v>
      </c>
      <c r="I5527" s="361">
        <v>1</v>
      </c>
      <c r="J5527" s="371" t="s">
        <v>286</v>
      </c>
      <c r="W5527" s="129" t="s">
        <v>4876</v>
      </c>
      <c r="X5527" s="337" t="b">
        <f t="shared" si="124"/>
        <v>0</v>
      </c>
    </row>
    <row r="5528" spans="1:24" ht="12" customHeight="1" outlineLevel="1">
      <c r="A5528" s="370"/>
      <c r="B5528" s="118" t="s">
        <v>12</v>
      </c>
      <c r="C5528" s="334" t="s">
        <v>14101</v>
      </c>
      <c r="D5528" s="124" t="s">
        <v>11922</v>
      </c>
      <c r="E5528" s="125"/>
      <c r="F5528" s="118" t="s">
        <v>1018</v>
      </c>
      <c r="G5528" s="126" t="s">
        <v>13831</v>
      </c>
      <c r="H5528" s="255">
        <v>6</v>
      </c>
      <c r="I5528" s="361">
        <v>1</v>
      </c>
      <c r="J5528" s="371" t="s">
        <v>286</v>
      </c>
      <c r="W5528" s="129" t="s">
        <v>4876</v>
      </c>
      <c r="X5528" s="337" t="b">
        <f t="shared" si="124"/>
        <v>0</v>
      </c>
    </row>
    <row r="5529" spans="1:24" ht="12" customHeight="1" outlineLevel="1">
      <c r="A5529" s="370"/>
      <c r="B5529" s="118" t="s">
        <v>12</v>
      </c>
      <c r="C5529" s="334" t="s">
        <v>14102</v>
      </c>
      <c r="D5529" s="124" t="s">
        <v>11924</v>
      </c>
      <c r="E5529" s="125"/>
      <c r="F5529" s="118" t="s">
        <v>1018</v>
      </c>
      <c r="G5529" s="126" t="s">
        <v>13831</v>
      </c>
      <c r="H5529" s="255">
        <v>6</v>
      </c>
      <c r="I5529" s="361">
        <v>1</v>
      </c>
      <c r="J5529" s="371" t="s">
        <v>286</v>
      </c>
      <c r="W5529" s="129" t="s">
        <v>4876</v>
      </c>
      <c r="X5529" s="337" t="b">
        <f t="shared" si="124"/>
        <v>0</v>
      </c>
    </row>
    <row r="5530" spans="1:24" ht="12" customHeight="1" outlineLevel="1">
      <c r="A5530" s="370"/>
      <c r="B5530" s="118" t="s">
        <v>12</v>
      </c>
      <c r="C5530" s="334" t="s">
        <v>14103</v>
      </c>
      <c r="D5530" s="124" t="s">
        <v>11926</v>
      </c>
      <c r="E5530" s="125"/>
      <c r="F5530" s="118" t="s">
        <v>1018</v>
      </c>
      <c r="G5530" s="126" t="s">
        <v>13831</v>
      </c>
      <c r="H5530" s="255">
        <v>6</v>
      </c>
      <c r="I5530" s="361">
        <v>1</v>
      </c>
      <c r="J5530" s="371" t="s">
        <v>286</v>
      </c>
      <c r="W5530" s="129" t="s">
        <v>4876</v>
      </c>
      <c r="X5530" s="337" t="b">
        <f t="shared" si="124"/>
        <v>0</v>
      </c>
    </row>
    <row r="5531" spans="1:24" ht="12" customHeight="1" outlineLevel="1">
      <c r="A5531" s="370"/>
      <c r="B5531" s="118" t="s">
        <v>12</v>
      </c>
      <c r="C5531" s="334" t="s">
        <v>14104</v>
      </c>
      <c r="D5531" s="124" t="s">
        <v>11940</v>
      </c>
      <c r="E5531" s="125"/>
      <c r="F5531" s="118" t="s">
        <v>1018</v>
      </c>
      <c r="G5531" s="126" t="s">
        <v>13831</v>
      </c>
      <c r="H5531" s="255">
        <v>6</v>
      </c>
      <c r="I5531" s="361">
        <v>1</v>
      </c>
      <c r="J5531" s="371" t="s">
        <v>286</v>
      </c>
      <c r="W5531" s="129" t="s">
        <v>286</v>
      </c>
      <c r="X5531" s="337" t="b">
        <f t="shared" si="124"/>
        <v>1</v>
      </c>
    </row>
    <row r="5532" spans="1:24" ht="12" customHeight="1" outlineLevel="1">
      <c r="A5532" s="370"/>
      <c r="B5532" s="118" t="s">
        <v>12</v>
      </c>
      <c r="C5532" s="334" t="s">
        <v>14105</v>
      </c>
      <c r="D5532" s="124" t="s">
        <v>11942</v>
      </c>
      <c r="E5532" s="125"/>
      <c r="F5532" s="118" t="s">
        <v>1018</v>
      </c>
      <c r="G5532" s="126" t="s">
        <v>13831</v>
      </c>
      <c r="H5532" s="255">
        <v>6</v>
      </c>
      <c r="I5532" s="361">
        <v>1</v>
      </c>
      <c r="J5532" s="371" t="s">
        <v>286</v>
      </c>
      <c r="W5532" s="129" t="s">
        <v>286</v>
      </c>
      <c r="X5532" s="337" t="b">
        <f t="shared" si="124"/>
        <v>1</v>
      </c>
    </row>
    <row r="5533" spans="1:24" ht="12" customHeight="1" outlineLevel="1">
      <c r="A5533" s="370"/>
      <c r="B5533" s="118" t="s">
        <v>12</v>
      </c>
      <c r="C5533" s="334" t="s">
        <v>14106</v>
      </c>
      <c r="D5533" s="124" t="s">
        <v>11944</v>
      </c>
      <c r="E5533" s="125"/>
      <c r="F5533" s="118" t="s">
        <v>1018</v>
      </c>
      <c r="G5533" s="126" t="s">
        <v>13831</v>
      </c>
      <c r="H5533" s="255">
        <v>6</v>
      </c>
      <c r="I5533" s="361">
        <v>1</v>
      </c>
      <c r="J5533" s="371" t="s">
        <v>286</v>
      </c>
      <c r="W5533" s="129" t="s">
        <v>286</v>
      </c>
      <c r="X5533" s="337" t="b">
        <f t="shared" si="124"/>
        <v>1</v>
      </c>
    </row>
    <row r="5534" spans="1:24" ht="12" customHeight="1" outlineLevel="1">
      <c r="A5534" s="370"/>
      <c r="B5534" s="118" t="s">
        <v>12</v>
      </c>
      <c r="C5534" s="334" t="s">
        <v>14107</v>
      </c>
      <c r="D5534" s="124" t="s">
        <v>11952</v>
      </c>
      <c r="E5534" s="125"/>
      <c r="F5534" s="118" t="s">
        <v>1018</v>
      </c>
      <c r="G5534" s="126" t="s">
        <v>13831</v>
      </c>
      <c r="H5534" s="255">
        <v>6</v>
      </c>
      <c r="I5534" s="361">
        <v>1</v>
      </c>
      <c r="J5534" s="371" t="s">
        <v>286</v>
      </c>
      <c r="W5534" s="129" t="s">
        <v>286</v>
      </c>
      <c r="X5534" s="337" t="b">
        <f t="shared" si="124"/>
        <v>1</v>
      </c>
    </row>
    <row r="5535" spans="1:24" ht="12" customHeight="1" outlineLevel="1">
      <c r="A5535" s="370"/>
      <c r="B5535" s="118" t="s">
        <v>12</v>
      </c>
      <c r="C5535" s="334" t="s">
        <v>14108</v>
      </c>
      <c r="D5535" s="124" t="s">
        <v>11954</v>
      </c>
      <c r="E5535" s="125"/>
      <c r="F5535" s="118" t="s">
        <v>1018</v>
      </c>
      <c r="G5535" s="126" t="s">
        <v>13831</v>
      </c>
      <c r="H5535" s="255">
        <v>6</v>
      </c>
      <c r="I5535" s="361">
        <v>1</v>
      </c>
      <c r="J5535" s="371" t="s">
        <v>286</v>
      </c>
      <c r="W5535" s="129" t="s">
        <v>286</v>
      </c>
      <c r="X5535" s="337" t="b">
        <f t="shared" si="124"/>
        <v>1</v>
      </c>
    </row>
    <row r="5536" spans="1:24" ht="12" customHeight="1" outlineLevel="1">
      <c r="A5536" s="370"/>
      <c r="B5536" s="118" t="s">
        <v>12</v>
      </c>
      <c r="C5536" s="334" t="s">
        <v>14109</v>
      </c>
      <c r="D5536" s="124" t="s">
        <v>11956</v>
      </c>
      <c r="E5536" s="125"/>
      <c r="F5536" s="118" t="s">
        <v>1018</v>
      </c>
      <c r="G5536" s="126" t="s">
        <v>13831</v>
      </c>
      <c r="H5536" s="255">
        <v>6</v>
      </c>
      <c r="I5536" s="361">
        <v>1</v>
      </c>
      <c r="J5536" s="371" t="s">
        <v>286</v>
      </c>
      <c r="W5536" s="129" t="s">
        <v>286</v>
      </c>
      <c r="X5536" s="337" t="b">
        <f t="shared" si="124"/>
        <v>1</v>
      </c>
    </row>
    <row r="5537" spans="1:24" ht="12" customHeight="1" outlineLevel="1">
      <c r="A5537" s="370"/>
      <c r="B5537" s="118" t="s">
        <v>12</v>
      </c>
      <c r="C5537" s="334" t="s">
        <v>14110</v>
      </c>
      <c r="D5537" s="124" t="s">
        <v>11958</v>
      </c>
      <c r="E5537" s="125"/>
      <c r="F5537" s="118" t="s">
        <v>1018</v>
      </c>
      <c r="G5537" s="126" t="s">
        <v>13831</v>
      </c>
      <c r="H5537" s="255">
        <v>6</v>
      </c>
      <c r="I5537" s="361">
        <v>1</v>
      </c>
      <c r="J5537" s="371" t="s">
        <v>286</v>
      </c>
      <c r="W5537" s="129" t="s">
        <v>286</v>
      </c>
      <c r="X5537" s="337" t="b">
        <f t="shared" si="124"/>
        <v>1</v>
      </c>
    </row>
    <row r="5538" spans="1:24" ht="12" customHeight="1" outlineLevel="1">
      <c r="A5538" s="370"/>
      <c r="B5538" s="118" t="s">
        <v>12</v>
      </c>
      <c r="C5538" s="334" t="s">
        <v>14111</v>
      </c>
      <c r="D5538" s="124" t="s">
        <v>12262</v>
      </c>
      <c r="E5538" s="125"/>
      <c r="F5538" s="118" t="s">
        <v>1018</v>
      </c>
      <c r="G5538" s="126" t="s">
        <v>13831</v>
      </c>
      <c r="H5538" s="255">
        <v>6</v>
      </c>
      <c r="I5538" s="361">
        <v>1</v>
      </c>
      <c r="J5538" s="371" t="s">
        <v>310</v>
      </c>
      <c r="W5538" s="129" t="s">
        <v>286</v>
      </c>
      <c r="X5538" s="337" t="b">
        <f t="shared" si="124"/>
        <v>0</v>
      </c>
    </row>
    <row r="5539" spans="1:24" ht="12" customHeight="1" outlineLevel="1">
      <c r="A5539" s="370"/>
      <c r="B5539" s="118" t="s">
        <v>12</v>
      </c>
      <c r="C5539" s="334" t="s">
        <v>14112</v>
      </c>
      <c r="D5539" s="124" t="s">
        <v>12609</v>
      </c>
      <c r="E5539" s="125"/>
      <c r="F5539" s="118" t="s">
        <v>1018</v>
      </c>
      <c r="G5539" s="126" t="s">
        <v>14113</v>
      </c>
      <c r="H5539" s="255">
        <v>8</v>
      </c>
      <c r="I5539" s="361">
        <v>1</v>
      </c>
      <c r="J5539" s="371" t="s">
        <v>286</v>
      </c>
      <c r="W5539" s="129" t="s">
        <v>286</v>
      </c>
      <c r="X5539" s="337" t="b">
        <f t="shared" si="124"/>
        <v>1</v>
      </c>
    </row>
    <row r="5540" spans="1:24" ht="12" customHeight="1" outlineLevel="1">
      <c r="A5540" s="370"/>
      <c r="B5540" s="118" t="s">
        <v>12</v>
      </c>
      <c r="C5540" s="334" t="s">
        <v>14114</v>
      </c>
      <c r="D5540" s="124" t="s">
        <v>12611</v>
      </c>
      <c r="E5540" s="125"/>
      <c r="F5540" s="118" t="s">
        <v>1018</v>
      </c>
      <c r="G5540" s="126" t="s">
        <v>14113</v>
      </c>
      <c r="H5540" s="255">
        <v>8</v>
      </c>
      <c r="I5540" s="361">
        <v>1</v>
      </c>
      <c r="J5540" s="371" t="s">
        <v>286</v>
      </c>
      <c r="W5540" s="129" t="s">
        <v>4876</v>
      </c>
      <c r="X5540" s="337" t="b">
        <f t="shared" si="124"/>
        <v>0</v>
      </c>
    </row>
    <row r="5541" spans="1:24" ht="12" customHeight="1" outlineLevel="1">
      <c r="A5541" s="370"/>
      <c r="B5541" s="118" t="s">
        <v>12</v>
      </c>
      <c r="C5541" s="334" t="s">
        <v>14115</v>
      </c>
      <c r="D5541" s="124" t="s">
        <v>12614</v>
      </c>
      <c r="E5541" s="125"/>
      <c r="F5541" s="118" t="s">
        <v>1018</v>
      </c>
      <c r="G5541" s="126" t="s">
        <v>14113</v>
      </c>
      <c r="H5541" s="255">
        <v>8</v>
      </c>
      <c r="I5541" s="361">
        <v>1</v>
      </c>
      <c r="J5541" s="371" t="s">
        <v>286</v>
      </c>
      <c r="W5541" s="129" t="s">
        <v>4876</v>
      </c>
      <c r="X5541" s="337" t="b">
        <f t="shared" si="124"/>
        <v>0</v>
      </c>
    </row>
    <row r="5542" spans="1:24" ht="12" customHeight="1" outlineLevel="1">
      <c r="A5542" s="370"/>
      <c r="B5542" s="118" t="s">
        <v>12</v>
      </c>
      <c r="C5542" s="334" t="s">
        <v>14116</v>
      </c>
      <c r="D5542" s="124" t="s">
        <v>12616</v>
      </c>
      <c r="E5542" s="125"/>
      <c r="F5542" s="118" t="s">
        <v>1018</v>
      </c>
      <c r="G5542" s="126" t="s">
        <v>14113</v>
      </c>
      <c r="H5542" s="255">
        <v>8</v>
      </c>
      <c r="I5542" s="361">
        <v>1</v>
      </c>
      <c r="J5542" s="371" t="s">
        <v>286</v>
      </c>
      <c r="W5542" s="129" t="s">
        <v>4876</v>
      </c>
      <c r="X5542" s="337" t="b">
        <f t="shared" si="124"/>
        <v>0</v>
      </c>
    </row>
    <row r="5543" spans="1:24" ht="12" customHeight="1" outlineLevel="1">
      <c r="A5543" s="370"/>
      <c r="B5543" s="118" t="s">
        <v>12</v>
      </c>
      <c r="C5543" s="334" t="s">
        <v>14117</v>
      </c>
      <c r="D5543" s="124" t="s">
        <v>12618</v>
      </c>
      <c r="E5543" s="125"/>
      <c r="F5543" s="118" t="s">
        <v>1018</v>
      </c>
      <c r="G5543" s="126" t="s">
        <v>14113</v>
      </c>
      <c r="H5543" s="255">
        <v>8</v>
      </c>
      <c r="I5543" s="361">
        <v>1</v>
      </c>
      <c r="J5543" s="371" t="s">
        <v>286</v>
      </c>
      <c r="W5543" s="129" t="s">
        <v>4876</v>
      </c>
      <c r="X5543" s="337" t="b">
        <f t="shared" si="124"/>
        <v>0</v>
      </c>
    </row>
    <row r="5544" spans="1:24" ht="12" customHeight="1" outlineLevel="1">
      <c r="A5544" s="370"/>
      <c r="B5544" s="118" t="s">
        <v>12</v>
      </c>
      <c r="C5544" s="334" t="s">
        <v>14118</v>
      </c>
      <c r="D5544" s="124" t="s">
        <v>12620</v>
      </c>
      <c r="E5544" s="125"/>
      <c r="F5544" s="118" t="s">
        <v>1018</v>
      </c>
      <c r="G5544" s="126" t="s">
        <v>14113</v>
      </c>
      <c r="H5544" s="255">
        <v>8</v>
      </c>
      <c r="I5544" s="361">
        <v>1</v>
      </c>
      <c r="J5544" s="371" t="s">
        <v>286</v>
      </c>
      <c r="W5544" s="129" t="s">
        <v>4876</v>
      </c>
      <c r="X5544" s="337" t="b">
        <f t="shared" si="124"/>
        <v>0</v>
      </c>
    </row>
    <row r="5545" spans="1:24" ht="12" customHeight="1" outlineLevel="1">
      <c r="A5545" s="370"/>
      <c r="B5545" s="118" t="s">
        <v>12</v>
      </c>
      <c r="C5545" s="334" t="s">
        <v>14119</v>
      </c>
      <c r="D5545" s="124" t="s">
        <v>12622</v>
      </c>
      <c r="E5545" s="125"/>
      <c r="F5545" s="118" t="s">
        <v>1018</v>
      </c>
      <c r="G5545" s="126" t="s">
        <v>14113</v>
      </c>
      <c r="H5545" s="255">
        <v>8</v>
      </c>
      <c r="I5545" s="361">
        <v>1</v>
      </c>
      <c r="J5545" s="371" t="s">
        <v>286</v>
      </c>
      <c r="W5545" s="129" t="s">
        <v>4876</v>
      </c>
      <c r="X5545" s="337" t="b">
        <f t="shared" si="124"/>
        <v>0</v>
      </c>
    </row>
    <row r="5546" spans="1:24" ht="12" customHeight="1" outlineLevel="1">
      <c r="A5546" s="370"/>
      <c r="B5546" s="118" t="s">
        <v>12</v>
      </c>
      <c r="C5546" s="334" t="s">
        <v>14120</v>
      </c>
      <c r="D5546" s="124" t="s">
        <v>14121</v>
      </c>
      <c r="E5546" s="125"/>
      <c r="F5546" s="118" t="s">
        <v>1018</v>
      </c>
      <c r="G5546" s="126" t="s">
        <v>14122</v>
      </c>
      <c r="H5546" s="255">
        <v>9</v>
      </c>
      <c r="I5546" s="361">
        <v>1</v>
      </c>
      <c r="J5546" s="371" t="s">
        <v>286</v>
      </c>
      <c r="W5546" s="129" t="s">
        <v>4876</v>
      </c>
      <c r="X5546" s="337" t="b">
        <f t="shared" si="124"/>
        <v>0</v>
      </c>
    </row>
    <row r="5547" spans="1:24" ht="12" customHeight="1" outlineLevel="1">
      <c r="A5547" s="370"/>
      <c r="B5547" s="118" t="s">
        <v>12</v>
      </c>
      <c r="C5547" s="334" t="s">
        <v>14123</v>
      </c>
      <c r="D5547" s="124" t="s">
        <v>14124</v>
      </c>
      <c r="E5547" s="125"/>
      <c r="F5547" s="118" t="s">
        <v>1018</v>
      </c>
      <c r="G5547" s="126" t="s">
        <v>14122</v>
      </c>
      <c r="H5547" s="255">
        <v>9</v>
      </c>
      <c r="I5547" s="361">
        <v>1</v>
      </c>
      <c r="J5547" s="371" t="s">
        <v>286</v>
      </c>
      <c r="W5547" s="129" t="s">
        <v>4876</v>
      </c>
      <c r="X5547" s="337" t="b">
        <f t="shared" si="124"/>
        <v>0</v>
      </c>
    </row>
    <row r="5548" spans="1:24" ht="12" customHeight="1" outlineLevel="1">
      <c r="A5548" s="370"/>
      <c r="B5548" s="118" t="s">
        <v>12</v>
      </c>
      <c r="C5548" s="334" t="s">
        <v>14125</v>
      </c>
      <c r="D5548" s="124" t="s">
        <v>14124</v>
      </c>
      <c r="E5548" s="125"/>
      <c r="F5548" s="118" t="s">
        <v>1018</v>
      </c>
      <c r="G5548" s="126" t="s">
        <v>14122</v>
      </c>
      <c r="H5548" s="255">
        <v>9</v>
      </c>
      <c r="I5548" s="361">
        <v>1</v>
      </c>
      <c r="J5548" s="371" t="s">
        <v>286</v>
      </c>
      <c r="W5548" s="129" t="s">
        <v>4876</v>
      </c>
      <c r="X5548" s="337" t="b">
        <f t="shared" si="124"/>
        <v>0</v>
      </c>
    </row>
    <row r="5549" spans="1:24" ht="3" customHeight="1">
      <c r="A5549" s="370"/>
      <c r="B5549" s="118"/>
      <c r="C5549" s="334"/>
      <c r="D5549" s="124"/>
      <c r="E5549" s="125"/>
      <c r="F5549" s="118"/>
      <c r="G5549" s="126"/>
      <c r="H5549" s="255"/>
      <c r="K5549" s="363"/>
      <c r="L5549" s="129"/>
      <c r="M5549" s="129"/>
      <c r="N5549" s="129"/>
      <c r="O5549" s="129"/>
      <c r="P5549" s="372"/>
      <c r="Q5549" s="372"/>
      <c r="R5549" s="129"/>
      <c r="S5549" s="129"/>
      <c r="T5549" s="129"/>
      <c r="W5549" s="129"/>
    </row>
    <row r="5550" spans="1:24" s="360" customFormat="1" ht="12" customHeight="1">
      <c r="A5550" s="110" t="s">
        <v>1028</v>
      </c>
      <c r="B5550" s="118"/>
      <c r="C5550" s="334"/>
      <c r="D5550" s="124"/>
      <c r="E5550" s="125"/>
      <c r="F5550" s="118"/>
      <c r="G5550" s="126"/>
      <c r="H5550" s="255"/>
      <c r="I5550" s="62"/>
      <c r="J5550" s="358"/>
      <c r="K5550" s="62"/>
      <c r="L5550" s="62"/>
      <c r="M5550" s="62"/>
      <c r="N5550" s="62"/>
      <c r="O5550" s="62"/>
      <c r="P5550" s="359"/>
      <c r="Q5550" s="359"/>
      <c r="R5550" s="359"/>
      <c r="S5550" s="359"/>
      <c r="T5550" s="359"/>
      <c r="W5550" s="359"/>
    </row>
    <row r="5551" spans="1:24" s="360" customFormat="1" ht="12" customHeight="1" outlineLevel="1">
      <c r="A5551" s="365"/>
      <c r="B5551" s="118" t="s">
        <v>12</v>
      </c>
      <c r="C5551" s="334" t="s">
        <v>14126</v>
      </c>
      <c r="D5551" s="124" t="s">
        <v>14127</v>
      </c>
      <c r="E5551" s="125"/>
      <c r="F5551" s="118" t="s">
        <v>1030</v>
      </c>
      <c r="G5551" s="126" t="s">
        <v>14128</v>
      </c>
      <c r="H5551" s="255">
        <v>1</v>
      </c>
      <c r="I5551" s="361">
        <v>1</v>
      </c>
      <c r="J5551" s="368" t="s">
        <v>286</v>
      </c>
      <c r="K5551" s="372"/>
      <c r="L5551" s="129"/>
      <c r="M5551" s="129"/>
      <c r="N5551" s="129"/>
      <c r="O5551" s="129"/>
      <c r="P5551" s="372"/>
      <c r="Q5551" s="372"/>
      <c r="R5551" s="129"/>
      <c r="S5551" s="129"/>
      <c r="T5551" s="129"/>
      <c r="W5551" s="129" t="s">
        <v>286</v>
      </c>
      <c r="X5551" s="337" t="b">
        <f t="shared" ref="X5551:X5614" si="125">W5551=J5551</f>
        <v>1</v>
      </c>
    </row>
    <row r="5552" spans="1:24" s="360" customFormat="1" ht="12" customHeight="1" outlineLevel="1">
      <c r="A5552" s="365"/>
      <c r="B5552" s="118" t="s">
        <v>12</v>
      </c>
      <c r="C5552" s="334" t="s">
        <v>14129</v>
      </c>
      <c r="D5552" s="124" t="s">
        <v>14130</v>
      </c>
      <c r="E5552" s="125"/>
      <c r="F5552" s="118" t="s">
        <v>1030</v>
      </c>
      <c r="G5552" s="126" t="s">
        <v>14128</v>
      </c>
      <c r="H5552" s="255">
        <v>1</v>
      </c>
      <c r="I5552" s="361">
        <v>1</v>
      </c>
      <c r="J5552" s="368" t="s">
        <v>286</v>
      </c>
      <c r="K5552" s="372"/>
      <c r="L5552" s="129"/>
      <c r="M5552" s="129"/>
      <c r="N5552" s="129"/>
      <c r="O5552" s="129"/>
      <c r="P5552" s="372"/>
      <c r="Q5552" s="372"/>
      <c r="R5552" s="129"/>
      <c r="S5552" s="129"/>
      <c r="T5552" s="129"/>
      <c r="W5552" s="129" t="s">
        <v>286</v>
      </c>
      <c r="X5552" s="337" t="b">
        <f t="shared" si="125"/>
        <v>1</v>
      </c>
    </row>
    <row r="5553" spans="1:24" s="360" customFormat="1" ht="12" customHeight="1" outlineLevel="1">
      <c r="A5553" s="365"/>
      <c r="B5553" s="118" t="s">
        <v>12</v>
      </c>
      <c r="C5553" s="334" t="s">
        <v>14131</v>
      </c>
      <c r="D5553" s="124" t="s">
        <v>7101</v>
      </c>
      <c r="E5553" s="125"/>
      <c r="F5553" s="118" t="s">
        <v>1030</v>
      </c>
      <c r="G5553" s="126" t="s">
        <v>14128</v>
      </c>
      <c r="H5553" s="255">
        <v>1</v>
      </c>
      <c r="I5553" s="361">
        <v>1</v>
      </c>
      <c r="J5553" s="368" t="s">
        <v>307</v>
      </c>
      <c r="K5553" s="372"/>
      <c r="L5553" s="129"/>
      <c r="M5553" s="129"/>
      <c r="N5553" s="129"/>
      <c r="O5553" s="129"/>
      <c r="P5553" s="372"/>
      <c r="Q5553" s="372"/>
      <c r="R5553" s="129"/>
      <c r="S5553" s="129"/>
      <c r="T5553" s="129"/>
      <c r="W5553" s="129" t="s">
        <v>310</v>
      </c>
      <c r="X5553" s="337" t="b">
        <f t="shared" si="125"/>
        <v>0</v>
      </c>
    </row>
    <row r="5554" spans="1:24" s="360" customFormat="1" ht="12" customHeight="1" outlineLevel="1">
      <c r="A5554" s="365"/>
      <c r="B5554" s="118" t="s">
        <v>12</v>
      </c>
      <c r="C5554" s="334" t="s">
        <v>14132</v>
      </c>
      <c r="D5554" s="124" t="s">
        <v>14133</v>
      </c>
      <c r="E5554" s="125"/>
      <c r="F5554" s="118" t="s">
        <v>1030</v>
      </c>
      <c r="G5554" s="126" t="s">
        <v>14128</v>
      </c>
      <c r="H5554" s="255">
        <v>1</v>
      </c>
      <c r="I5554" s="361">
        <v>1</v>
      </c>
      <c r="J5554" s="368" t="s">
        <v>286</v>
      </c>
      <c r="K5554" s="372"/>
      <c r="L5554" s="129"/>
      <c r="M5554" s="129"/>
      <c r="N5554" s="129"/>
      <c r="O5554" s="129"/>
      <c r="P5554" s="372"/>
      <c r="Q5554" s="372"/>
      <c r="R5554" s="129"/>
      <c r="S5554" s="129"/>
      <c r="T5554" s="129"/>
      <c r="W5554" s="129" t="s">
        <v>310</v>
      </c>
      <c r="X5554" s="337" t="b">
        <f t="shared" si="125"/>
        <v>0</v>
      </c>
    </row>
    <row r="5555" spans="1:24" s="360" customFormat="1" ht="12" customHeight="1" outlineLevel="1">
      <c r="A5555" s="365"/>
      <c r="B5555" s="118" t="s">
        <v>12</v>
      </c>
      <c r="C5555" s="334" t="s">
        <v>14134</v>
      </c>
      <c r="D5555" s="124" t="s">
        <v>14135</v>
      </c>
      <c r="E5555" s="125"/>
      <c r="F5555" s="118" t="s">
        <v>1030</v>
      </c>
      <c r="G5555" s="126" t="s">
        <v>14128</v>
      </c>
      <c r="H5555" s="255">
        <v>1</v>
      </c>
      <c r="I5555" s="361">
        <v>1</v>
      </c>
      <c r="J5555" s="368" t="s">
        <v>286</v>
      </c>
      <c r="K5555" s="372"/>
      <c r="L5555" s="129"/>
      <c r="M5555" s="129"/>
      <c r="N5555" s="129"/>
      <c r="O5555" s="129"/>
      <c r="P5555" s="372"/>
      <c r="Q5555" s="372"/>
      <c r="R5555" s="129"/>
      <c r="S5555" s="129"/>
      <c r="T5555" s="129"/>
      <c r="W5555" s="129" t="s">
        <v>310</v>
      </c>
      <c r="X5555" s="337" t="b">
        <f t="shared" si="125"/>
        <v>0</v>
      </c>
    </row>
    <row r="5556" spans="1:24" s="360" customFormat="1" ht="12" customHeight="1" outlineLevel="1">
      <c r="A5556" s="365"/>
      <c r="B5556" s="118" t="s">
        <v>12</v>
      </c>
      <c r="C5556" s="334" t="s">
        <v>14136</v>
      </c>
      <c r="D5556" s="124" t="s">
        <v>8559</v>
      </c>
      <c r="E5556" s="125"/>
      <c r="F5556" s="118" t="s">
        <v>1030</v>
      </c>
      <c r="G5556" s="126" t="s">
        <v>14128</v>
      </c>
      <c r="H5556" s="255">
        <v>1</v>
      </c>
      <c r="I5556" s="361">
        <v>1</v>
      </c>
      <c r="J5556" s="368" t="s">
        <v>286</v>
      </c>
      <c r="K5556" s="372"/>
      <c r="L5556" s="129"/>
      <c r="M5556" s="129"/>
      <c r="N5556" s="129"/>
      <c r="O5556" s="129"/>
      <c r="P5556" s="372"/>
      <c r="Q5556" s="372"/>
      <c r="R5556" s="129"/>
      <c r="S5556" s="129"/>
      <c r="T5556" s="129"/>
      <c r="W5556" s="129" t="s">
        <v>286</v>
      </c>
      <c r="X5556" s="337" t="b">
        <f t="shared" si="125"/>
        <v>1</v>
      </c>
    </row>
    <row r="5557" spans="1:24" s="360" customFormat="1" ht="12" customHeight="1" outlineLevel="1">
      <c r="A5557" s="365"/>
      <c r="B5557" s="118" t="s">
        <v>12</v>
      </c>
      <c r="C5557" s="334" t="s">
        <v>14137</v>
      </c>
      <c r="D5557" s="124" t="s">
        <v>8561</v>
      </c>
      <c r="E5557" s="125"/>
      <c r="F5557" s="118" t="s">
        <v>1030</v>
      </c>
      <c r="G5557" s="126" t="s">
        <v>14128</v>
      </c>
      <c r="H5557" s="255">
        <v>1</v>
      </c>
      <c r="I5557" s="361">
        <v>1</v>
      </c>
      <c r="J5557" s="368" t="s">
        <v>286</v>
      </c>
      <c r="K5557" s="372"/>
      <c r="L5557" s="129"/>
      <c r="M5557" s="129"/>
      <c r="N5557" s="129"/>
      <c r="O5557" s="129"/>
      <c r="P5557" s="372"/>
      <c r="Q5557" s="372"/>
      <c r="R5557" s="129"/>
      <c r="S5557" s="129"/>
      <c r="T5557" s="129"/>
      <c r="W5557" s="129" t="s">
        <v>286</v>
      </c>
      <c r="X5557" s="337" t="b">
        <f t="shared" si="125"/>
        <v>1</v>
      </c>
    </row>
    <row r="5558" spans="1:24" s="360" customFormat="1" ht="12" customHeight="1" outlineLevel="1">
      <c r="A5558" s="365"/>
      <c r="B5558" s="118" t="s">
        <v>12</v>
      </c>
      <c r="C5558" s="334" t="s">
        <v>14138</v>
      </c>
      <c r="D5558" s="124" t="s">
        <v>8563</v>
      </c>
      <c r="E5558" s="125"/>
      <c r="F5558" s="118" t="s">
        <v>1030</v>
      </c>
      <c r="G5558" s="126" t="s">
        <v>14128</v>
      </c>
      <c r="H5558" s="255">
        <v>1</v>
      </c>
      <c r="I5558" s="361">
        <v>1</v>
      </c>
      <c r="J5558" s="368" t="s">
        <v>286</v>
      </c>
      <c r="K5558" s="372"/>
      <c r="L5558" s="129"/>
      <c r="M5558" s="129"/>
      <c r="N5558" s="129"/>
      <c r="O5558" s="129"/>
      <c r="P5558" s="372"/>
      <c r="Q5558" s="372"/>
      <c r="R5558" s="129"/>
      <c r="S5558" s="129"/>
      <c r="T5558" s="129"/>
      <c r="W5558" s="129" t="s">
        <v>286</v>
      </c>
      <c r="X5558" s="337" t="b">
        <f t="shared" si="125"/>
        <v>1</v>
      </c>
    </row>
    <row r="5559" spans="1:24" s="360" customFormat="1" ht="12" customHeight="1" outlineLevel="1">
      <c r="A5559" s="365"/>
      <c r="B5559" s="118" t="s">
        <v>12</v>
      </c>
      <c r="C5559" s="334" t="s">
        <v>14139</v>
      </c>
      <c r="D5559" s="124" t="s">
        <v>8565</v>
      </c>
      <c r="E5559" s="125"/>
      <c r="F5559" s="118" t="s">
        <v>1030</v>
      </c>
      <c r="G5559" s="126" t="s">
        <v>14128</v>
      </c>
      <c r="H5559" s="255">
        <v>1</v>
      </c>
      <c r="I5559" s="361">
        <v>1</v>
      </c>
      <c r="J5559" s="368" t="s">
        <v>286</v>
      </c>
      <c r="K5559" s="372"/>
      <c r="L5559" s="129"/>
      <c r="M5559" s="129"/>
      <c r="N5559" s="129"/>
      <c r="O5559" s="129"/>
      <c r="P5559" s="372"/>
      <c r="Q5559" s="372"/>
      <c r="R5559" s="129"/>
      <c r="S5559" s="129"/>
      <c r="T5559" s="129"/>
      <c r="W5559" s="129" t="s">
        <v>286</v>
      </c>
      <c r="X5559" s="337" t="b">
        <f t="shared" si="125"/>
        <v>1</v>
      </c>
    </row>
    <row r="5560" spans="1:24" s="360" customFormat="1" ht="12" customHeight="1" outlineLevel="1">
      <c r="A5560" s="365"/>
      <c r="B5560" s="118" t="s">
        <v>12</v>
      </c>
      <c r="C5560" s="334" t="s">
        <v>14140</v>
      </c>
      <c r="D5560" s="124" t="s">
        <v>8567</v>
      </c>
      <c r="E5560" s="125"/>
      <c r="F5560" s="118" t="s">
        <v>1030</v>
      </c>
      <c r="G5560" s="126" t="s">
        <v>14128</v>
      </c>
      <c r="H5560" s="255">
        <v>1</v>
      </c>
      <c r="I5560" s="361">
        <v>1</v>
      </c>
      <c r="J5560" s="368" t="s">
        <v>286</v>
      </c>
      <c r="K5560" s="372"/>
      <c r="L5560" s="129"/>
      <c r="M5560" s="129"/>
      <c r="N5560" s="129"/>
      <c r="O5560" s="129"/>
      <c r="P5560" s="372"/>
      <c r="Q5560" s="372"/>
      <c r="R5560" s="129"/>
      <c r="S5560" s="129"/>
      <c r="T5560" s="129"/>
      <c r="W5560" s="129" t="s">
        <v>286</v>
      </c>
      <c r="X5560" s="337" t="b">
        <f t="shared" si="125"/>
        <v>1</v>
      </c>
    </row>
    <row r="5561" spans="1:24" s="360" customFormat="1" ht="12" customHeight="1" outlineLevel="1">
      <c r="A5561" s="365"/>
      <c r="B5561" s="118" t="s">
        <v>12</v>
      </c>
      <c r="C5561" s="334" t="s">
        <v>14141</v>
      </c>
      <c r="D5561" s="124" t="s">
        <v>8569</v>
      </c>
      <c r="E5561" s="125"/>
      <c r="F5561" s="118" t="s">
        <v>1030</v>
      </c>
      <c r="G5561" s="126" t="s">
        <v>14128</v>
      </c>
      <c r="H5561" s="255">
        <v>1</v>
      </c>
      <c r="I5561" s="361">
        <v>1</v>
      </c>
      <c r="J5561" s="368" t="s">
        <v>286</v>
      </c>
      <c r="K5561" s="372"/>
      <c r="L5561" s="129"/>
      <c r="M5561" s="129"/>
      <c r="N5561" s="129"/>
      <c r="O5561" s="129"/>
      <c r="P5561" s="372"/>
      <c r="Q5561" s="372"/>
      <c r="R5561" s="129"/>
      <c r="S5561" s="129"/>
      <c r="T5561" s="129"/>
      <c r="W5561" s="129" t="s">
        <v>286</v>
      </c>
      <c r="X5561" s="337" t="b">
        <f t="shared" si="125"/>
        <v>1</v>
      </c>
    </row>
    <row r="5562" spans="1:24" s="360" customFormat="1" ht="12" customHeight="1" outlineLevel="1">
      <c r="A5562" s="365"/>
      <c r="B5562" s="118" t="s">
        <v>12</v>
      </c>
      <c r="C5562" s="334" t="s">
        <v>14142</v>
      </c>
      <c r="D5562" s="124" t="s">
        <v>8571</v>
      </c>
      <c r="E5562" s="125"/>
      <c r="F5562" s="118" t="s">
        <v>1030</v>
      </c>
      <c r="G5562" s="126" t="s">
        <v>14128</v>
      </c>
      <c r="H5562" s="255">
        <v>1</v>
      </c>
      <c r="I5562" s="361">
        <v>1</v>
      </c>
      <c r="J5562" s="368" t="s">
        <v>286</v>
      </c>
      <c r="K5562" s="372"/>
      <c r="L5562" s="129"/>
      <c r="M5562" s="129"/>
      <c r="N5562" s="129"/>
      <c r="O5562" s="129"/>
      <c r="P5562" s="372"/>
      <c r="Q5562" s="372"/>
      <c r="R5562" s="129"/>
      <c r="S5562" s="129"/>
      <c r="T5562" s="129"/>
      <c r="W5562" s="129" t="s">
        <v>286</v>
      </c>
      <c r="X5562" s="337" t="b">
        <f t="shared" si="125"/>
        <v>1</v>
      </c>
    </row>
    <row r="5563" spans="1:24" s="360" customFormat="1" ht="12" customHeight="1" outlineLevel="1">
      <c r="A5563" s="365"/>
      <c r="B5563" s="118" t="s">
        <v>12</v>
      </c>
      <c r="C5563" s="334" t="s">
        <v>14143</v>
      </c>
      <c r="D5563" s="124" t="s">
        <v>14144</v>
      </c>
      <c r="E5563" s="125"/>
      <c r="F5563" s="118" t="s">
        <v>1030</v>
      </c>
      <c r="G5563" s="126" t="s">
        <v>14128</v>
      </c>
      <c r="H5563" s="255">
        <v>1</v>
      </c>
      <c r="I5563" s="361">
        <v>1</v>
      </c>
      <c r="J5563" s="368" t="s">
        <v>286</v>
      </c>
      <c r="K5563" s="372"/>
      <c r="L5563" s="129"/>
      <c r="M5563" s="129"/>
      <c r="N5563" s="129"/>
      <c r="O5563" s="129"/>
      <c r="P5563" s="372"/>
      <c r="Q5563" s="372"/>
      <c r="R5563" s="129"/>
      <c r="S5563" s="129"/>
      <c r="T5563" s="129"/>
      <c r="W5563" s="129" t="s">
        <v>286</v>
      </c>
      <c r="X5563" s="337" t="b">
        <f t="shared" si="125"/>
        <v>1</v>
      </c>
    </row>
    <row r="5564" spans="1:24" s="360" customFormat="1" ht="12" customHeight="1" outlineLevel="1">
      <c r="A5564" s="365"/>
      <c r="B5564" s="118" t="s">
        <v>12</v>
      </c>
      <c r="C5564" s="334" t="s">
        <v>14145</v>
      </c>
      <c r="D5564" s="124" t="s">
        <v>14146</v>
      </c>
      <c r="E5564" s="125"/>
      <c r="F5564" s="118" t="s">
        <v>1030</v>
      </c>
      <c r="G5564" s="126" t="s">
        <v>14128</v>
      </c>
      <c r="H5564" s="255">
        <v>1</v>
      </c>
      <c r="I5564" s="361">
        <v>1</v>
      </c>
      <c r="J5564" s="368" t="s">
        <v>286</v>
      </c>
      <c r="K5564" s="372"/>
      <c r="L5564" s="129"/>
      <c r="M5564" s="129"/>
      <c r="N5564" s="129"/>
      <c r="O5564" s="129"/>
      <c r="P5564" s="372"/>
      <c r="Q5564" s="372"/>
      <c r="R5564" s="129"/>
      <c r="S5564" s="129"/>
      <c r="T5564" s="129"/>
      <c r="W5564" s="129" t="s">
        <v>286</v>
      </c>
      <c r="X5564" s="337" t="b">
        <f t="shared" si="125"/>
        <v>1</v>
      </c>
    </row>
    <row r="5565" spans="1:24" s="360" customFormat="1" ht="12" customHeight="1" outlineLevel="1">
      <c r="A5565" s="365"/>
      <c r="B5565" s="118" t="s">
        <v>12</v>
      </c>
      <c r="C5565" s="334" t="s">
        <v>14147</v>
      </c>
      <c r="D5565" s="124" t="s">
        <v>14148</v>
      </c>
      <c r="E5565" s="125"/>
      <c r="F5565" s="118" t="s">
        <v>1030</v>
      </c>
      <c r="G5565" s="126" t="s">
        <v>14128</v>
      </c>
      <c r="H5565" s="255">
        <v>1</v>
      </c>
      <c r="I5565" s="361">
        <v>1</v>
      </c>
      <c r="J5565" s="368" t="s">
        <v>286</v>
      </c>
      <c r="K5565" s="372"/>
      <c r="L5565" s="129"/>
      <c r="M5565" s="129"/>
      <c r="N5565" s="129"/>
      <c r="O5565" s="129"/>
      <c r="P5565" s="372"/>
      <c r="Q5565" s="372"/>
      <c r="R5565" s="129"/>
      <c r="S5565" s="129"/>
      <c r="T5565" s="129"/>
      <c r="W5565" s="129" t="s">
        <v>286</v>
      </c>
      <c r="X5565" s="337" t="b">
        <f t="shared" si="125"/>
        <v>1</v>
      </c>
    </row>
    <row r="5566" spans="1:24" s="360" customFormat="1" ht="12" customHeight="1" outlineLevel="1">
      <c r="A5566" s="365"/>
      <c r="B5566" s="118" t="s">
        <v>12</v>
      </c>
      <c r="C5566" s="334" t="s">
        <v>14149</v>
      </c>
      <c r="D5566" s="124" t="s">
        <v>14150</v>
      </c>
      <c r="E5566" s="125"/>
      <c r="F5566" s="118" t="s">
        <v>1030</v>
      </c>
      <c r="G5566" s="126" t="s">
        <v>14128</v>
      </c>
      <c r="H5566" s="255">
        <v>1</v>
      </c>
      <c r="I5566" s="361">
        <v>1</v>
      </c>
      <c r="J5566" s="368" t="s">
        <v>286</v>
      </c>
      <c r="K5566" s="372"/>
      <c r="L5566" s="129"/>
      <c r="M5566" s="129"/>
      <c r="N5566" s="129"/>
      <c r="O5566" s="129"/>
      <c r="P5566" s="372"/>
      <c r="Q5566" s="372"/>
      <c r="R5566" s="129"/>
      <c r="S5566" s="129"/>
      <c r="T5566" s="129"/>
      <c r="W5566" s="129" t="s">
        <v>286</v>
      </c>
      <c r="X5566" s="337" t="b">
        <f t="shared" si="125"/>
        <v>1</v>
      </c>
    </row>
    <row r="5567" spans="1:24" s="360" customFormat="1" ht="12" customHeight="1" outlineLevel="1">
      <c r="A5567" s="365"/>
      <c r="B5567" s="118" t="s">
        <v>12</v>
      </c>
      <c r="C5567" s="334" t="s">
        <v>14151</v>
      </c>
      <c r="D5567" s="124" t="s">
        <v>14152</v>
      </c>
      <c r="E5567" s="125"/>
      <c r="F5567" s="118" t="s">
        <v>1030</v>
      </c>
      <c r="G5567" s="126" t="s">
        <v>14128</v>
      </c>
      <c r="H5567" s="255">
        <v>1</v>
      </c>
      <c r="I5567" s="361">
        <v>1</v>
      </c>
      <c r="J5567" s="368" t="s">
        <v>286</v>
      </c>
      <c r="K5567" s="372"/>
      <c r="L5567" s="129"/>
      <c r="M5567" s="129"/>
      <c r="N5567" s="129"/>
      <c r="O5567" s="129"/>
      <c r="P5567" s="372"/>
      <c r="Q5567" s="372"/>
      <c r="R5567" s="129"/>
      <c r="S5567" s="129"/>
      <c r="T5567" s="129"/>
      <c r="W5567" s="129" t="s">
        <v>286</v>
      </c>
      <c r="X5567" s="337" t="b">
        <f t="shared" si="125"/>
        <v>1</v>
      </c>
    </row>
    <row r="5568" spans="1:24" s="360" customFormat="1" ht="12" customHeight="1" outlineLevel="1">
      <c r="A5568" s="365"/>
      <c r="B5568" s="118" t="s">
        <v>12</v>
      </c>
      <c r="C5568" s="334" t="s">
        <v>14153</v>
      </c>
      <c r="D5568" s="124" t="s">
        <v>14154</v>
      </c>
      <c r="E5568" s="125"/>
      <c r="F5568" s="118" t="s">
        <v>1030</v>
      </c>
      <c r="G5568" s="126" t="s">
        <v>14128</v>
      </c>
      <c r="H5568" s="255">
        <v>1</v>
      </c>
      <c r="I5568" s="361">
        <v>1</v>
      </c>
      <c r="J5568" s="368" t="s">
        <v>286</v>
      </c>
      <c r="K5568" s="372"/>
      <c r="L5568" s="129"/>
      <c r="M5568" s="129"/>
      <c r="N5568" s="129"/>
      <c r="O5568" s="129"/>
      <c r="P5568" s="372"/>
      <c r="Q5568" s="372"/>
      <c r="R5568" s="129"/>
      <c r="S5568" s="129"/>
      <c r="T5568" s="129"/>
      <c r="W5568" s="129" t="s">
        <v>286</v>
      </c>
      <c r="X5568" s="337" t="b">
        <f t="shared" si="125"/>
        <v>1</v>
      </c>
    </row>
    <row r="5569" spans="1:24" s="360" customFormat="1" ht="12" customHeight="1" outlineLevel="1">
      <c r="A5569" s="365"/>
      <c r="B5569" s="118" t="s">
        <v>12</v>
      </c>
      <c r="C5569" s="334" t="s">
        <v>14155</v>
      </c>
      <c r="D5569" s="124" t="s">
        <v>14156</v>
      </c>
      <c r="E5569" s="125"/>
      <c r="F5569" s="118" t="s">
        <v>1030</v>
      </c>
      <c r="G5569" s="126" t="s">
        <v>14128</v>
      </c>
      <c r="H5569" s="255">
        <v>1</v>
      </c>
      <c r="I5569" s="361">
        <v>1</v>
      </c>
      <c r="J5569" s="368" t="s">
        <v>286</v>
      </c>
      <c r="K5569" s="372"/>
      <c r="L5569" s="129"/>
      <c r="M5569" s="129"/>
      <c r="N5569" s="129"/>
      <c r="O5569" s="129"/>
      <c r="P5569" s="372"/>
      <c r="Q5569" s="372"/>
      <c r="R5569" s="129"/>
      <c r="S5569" s="129"/>
      <c r="T5569" s="129"/>
      <c r="W5569" s="129" t="s">
        <v>286</v>
      </c>
      <c r="X5569" s="337" t="b">
        <f t="shared" si="125"/>
        <v>1</v>
      </c>
    </row>
    <row r="5570" spans="1:24" s="360" customFormat="1" ht="12" customHeight="1" outlineLevel="1">
      <c r="A5570" s="365"/>
      <c r="B5570" s="118" t="s">
        <v>12</v>
      </c>
      <c r="C5570" s="334" t="s">
        <v>14157</v>
      </c>
      <c r="D5570" s="124" t="s">
        <v>14158</v>
      </c>
      <c r="E5570" s="125"/>
      <c r="F5570" s="118" t="s">
        <v>1030</v>
      </c>
      <c r="G5570" s="126" t="s">
        <v>14128</v>
      </c>
      <c r="H5570" s="255">
        <v>1</v>
      </c>
      <c r="I5570" s="361">
        <v>1</v>
      </c>
      <c r="J5570" s="368" t="s">
        <v>286</v>
      </c>
      <c r="K5570" s="372"/>
      <c r="L5570" s="129"/>
      <c r="M5570" s="129"/>
      <c r="N5570" s="129"/>
      <c r="O5570" s="129"/>
      <c r="P5570" s="372"/>
      <c r="Q5570" s="372"/>
      <c r="R5570" s="129"/>
      <c r="S5570" s="129"/>
      <c r="T5570" s="129"/>
      <c r="W5570" s="129" t="s">
        <v>286</v>
      </c>
      <c r="X5570" s="337" t="b">
        <f t="shared" si="125"/>
        <v>1</v>
      </c>
    </row>
    <row r="5571" spans="1:24" s="360" customFormat="1" ht="12" customHeight="1" outlineLevel="1">
      <c r="A5571" s="365"/>
      <c r="B5571" s="118" t="s">
        <v>12</v>
      </c>
      <c r="C5571" s="334" t="s">
        <v>14159</v>
      </c>
      <c r="D5571" s="124" t="s">
        <v>14160</v>
      </c>
      <c r="E5571" s="125"/>
      <c r="F5571" s="118" t="s">
        <v>1030</v>
      </c>
      <c r="G5571" s="126" t="s">
        <v>14128</v>
      </c>
      <c r="H5571" s="255">
        <v>1</v>
      </c>
      <c r="I5571" s="361">
        <v>1</v>
      </c>
      <c r="J5571" s="368" t="s">
        <v>286</v>
      </c>
      <c r="K5571" s="372"/>
      <c r="L5571" s="129"/>
      <c r="M5571" s="129"/>
      <c r="N5571" s="129"/>
      <c r="O5571" s="129"/>
      <c r="P5571" s="372"/>
      <c r="Q5571" s="372"/>
      <c r="R5571" s="129"/>
      <c r="S5571" s="129"/>
      <c r="T5571" s="129"/>
      <c r="W5571" s="129" t="s">
        <v>286</v>
      </c>
      <c r="X5571" s="337" t="b">
        <f t="shared" si="125"/>
        <v>1</v>
      </c>
    </row>
    <row r="5572" spans="1:24" s="360" customFormat="1" ht="12" customHeight="1" outlineLevel="1">
      <c r="A5572" s="365"/>
      <c r="B5572" s="118" t="s">
        <v>12</v>
      </c>
      <c r="C5572" s="334" t="s">
        <v>14161</v>
      </c>
      <c r="D5572" s="124" t="s">
        <v>14162</v>
      </c>
      <c r="E5572" s="125"/>
      <c r="F5572" s="118" t="s">
        <v>1030</v>
      </c>
      <c r="G5572" s="126" t="s">
        <v>14128</v>
      </c>
      <c r="H5572" s="255">
        <v>1</v>
      </c>
      <c r="I5572" s="361">
        <v>1</v>
      </c>
      <c r="J5572" s="368" t="s">
        <v>286</v>
      </c>
      <c r="K5572" s="372"/>
      <c r="L5572" s="129"/>
      <c r="M5572" s="129"/>
      <c r="N5572" s="129"/>
      <c r="O5572" s="129"/>
      <c r="P5572" s="372"/>
      <c r="Q5572" s="372"/>
      <c r="R5572" s="129"/>
      <c r="S5572" s="129"/>
      <c r="T5572" s="129"/>
      <c r="W5572" s="129" t="s">
        <v>286</v>
      </c>
      <c r="X5572" s="337" t="b">
        <f t="shared" si="125"/>
        <v>1</v>
      </c>
    </row>
    <row r="5573" spans="1:24" s="360" customFormat="1" ht="12" customHeight="1" outlineLevel="1">
      <c r="A5573" s="365"/>
      <c r="B5573" s="118" t="s">
        <v>12</v>
      </c>
      <c r="C5573" s="334" t="s">
        <v>14163</v>
      </c>
      <c r="D5573" s="124" t="s">
        <v>12733</v>
      </c>
      <c r="E5573" s="125"/>
      <c r="F5573" s="118" t="s">
        <v>1030</v>
      </c>
      <c r="G5573" s="126" t="s">
        <v>14128</v>
      </c>
      <c r="H5573" s="255">
        <v>1</v>
      </c>
      <c r="I5573" s="361">
        <v>1</v>
      </c>
      <c r="J5573" s="368" t="s">
        <v>286</v>
      </c>
      <c r="K5573" s="372"/>
      <c r="L5573" s="129"/>
      <c r="M5573" s="129"/>
      <c r="N5573" s="129"/>
      <c r="O5573" s="129"/>
      <c r="P5573" s="372"/>
      <c r="Q5573" s="372"/>
      <c r="R5573" s="129"/>
      <c r="S5573" s="129"/>
      <c r="T5573" s="129"/>
      <c r="W5573" s="129" t="s">
        <v>286</v>
      </c>
      <c r="X5573" s="337" t="b">
        <f t="shared" si="125"/>
        <v>1</v>
      </c>
    </row>
    <row r="5574" spans="1:24" s="360" customFormat="1" ht="12" customHeight="1" outlineLevel="1">
      <c r="A5574" s="365"/>
      <c r="B5574" s="118" t="s">
        <v>12</v>
      </c>
      <c r="C5574" s="334" t="s">
        <v>14164</v>
      </c>
      <c r="D5574" s="124" t="s">
        <v>14165</v>
      </c>
      <c r="E5574" s="125"/>
      <c r="F5574" s="118" t="s">
        <v>1030</v>
      </c>
      <c r="G5574" s="126" t="s">
        <v>14128</v>
      </c>
      <c r="H5574" s="255">
        <v>1</v>
      </c>
      <c r="I5574" s="361">
        <v>1</v>
      </c>
      <c r="J5574" s="368" t="s">
        <v>286</v>
      </c>
      <c r="K5574" s="372"/>
      <c r="L5574" s="129"/>
      <c r="M5574" s="129"/>
      <c r="N5574" s="129"/>
      <c r="O5574" s="129"/>
      <c r="P5574" s="372"/>
      <c r="Q5574" s="372"/>
      <c r="R5574" s="129"/>
      <c r="S5574" s="129"/>
      <c r="T5574" s="129"/>
      <c r="W5574" s="129" t="s">
        <v>286</v>
      </c>
      <c r="X5574" s="337" t="b">
        <f t="shared" si="125"/>
        <v>1</v>
      </c>
    </row>
    <row r="5575" spans="1:24" s="360" customFormat="1" ht="12" customHeight="1" outlineLevel="1">
      <c r="A5575" s="365"/>
      <c r="B5575" s="118" t="s">
        <v>12</v>
      </c>
      <c r="C5575" s="334" t="s">
        <v>14166</v>
      </c>
      <c r="D5575" s="124" t="s">
        <v>14167</v>
      </c>
      <c r="E5575" s="125"/>
      <c r="F5575" s="118" t="s">
        <v>1030</v>
      </c>
      <c r="G5575" s="126" t="s">
        <v>14128</v>
      </c>
      <c r="H5575" s="255">
        <v>1</v>
      </c>
      <c r="I5575" s="361">
        <v>1</v>
      </c>
      <c r="J5575" s="368" t="s">
        <v>286</v>
      </c>
      <c r="K5575" s="372"/>
      <c r="L5575" s="129"/>
      <c r="M5575" s="129"/>
      <c r="N5575" s="129"/>
      <c r="O5575" s="129"/>
      <c r="P5575" s="372"/>
      <c r="Q5575" s="372"/>
      <c r="R5575" s="129"/>
      <c r="S5575" s="129"/>
      <c r="T5575" s="129"/>
      <c r="W5575" s="129" t="s">
        <v>286</v>
      </c>
      <c r="X5575" s="337" t="b">
        <f t="shared" si="125"/>
        <v>1</v>
      </c>
    </row>
    <row r="5576" spans="1:24" s="360" customFormat="1" ht="12" customHeight="1" outlineLevel="1">
      <c r="A5576" s="365"/>
      <c r="B5576" s="118" t="s">
        <v>12</v>
      </c>
      <c r="C5576" s="334" t="s">
        <v>14168</v>
      </c>
      <c r="D5576" s="124" t="s">
        <v>14169</v>
      </c>
      <c r="E5576" s="125"/>
      <c r="F5576" s="118" t="s">
        <v>1030</v>
      </c>
      <c r="G5576" s="126" t="s">
        <v>14128</v>
      </c>
      <c r="H5576" s="255">
        <v>1</v>
      </c>
      <c r="I5576" s="361">
        <v>1</v>
      </c>
      <c r="J5576" s="368" t="s">
        <v>286</v>
      </c>
      <c r="K5576" s="372"/>
      <c r="L5576" s="129"/>
      <c r="M5576" s="129"/>
      <c r="N5576" s="129"/>
      <c r="O5576" s="129"/>
      <c r="P5576" s="372"/>
      <c r="Q5576" s="372"/>
      <c r="R5576" s="129"/>
      <c r="S5576" s="129"/>
      <c r="T5576" s="129"/>
      <c r="W5576" s="129" t="s">
        <v>286</v>
      </c>
      <c r="X5576" s="337" t="b">
        <f t="shared" si="125"/>
        <v>1</v>
      </c>
    </row>
    <row r="5577" spans="1:24" s="360" customFormat="1" ht="12" customHeight="1" outlineLevel="1">
      <c r="A5577" s="365"/>
      <c r="B5577" s="118" t="s">
        <v>12</v>
      </c>
      <c r="C5577" s="334" t="s">
        <v>14170</v>
      </c>
      <c r="D5577" s="124" t="s">
        <v>14171</v>
      </c>
      <c r="E5577" s="125"/>
      <c r="F5577" s="118" t="s">
        <v>1030</v>
      </c>
      <c r="G5577" s="126" t="s">
        <v>14128</v>
      </c>
      <c r="H5577" s="255">
        <v>1</v>
      </c>
      <c r="I5577" s="361">
        <v>1</v>
      </c>
      <c r="J5577" s="368" t="s">
        <v>286</v>
      </c>
      <c r="K5577" s="372"/>
      <c r="L5577" s="129"/>
      <c r="M5577" s="129"/>
      <c r="N5577" s="129"/>
      <c r="O5577" s="129"/>
      <c r="P5577" s="372"/>
      <c r="Q5577" s="372"/>
      <c r="R5577" s="129"/>
      <c r="S5577" s="129"/>
      <c r="T5577" s="129"/>
      <c r="W5577" s="129" t="s">
        <v>286</v>
      </c>
      <c r="X5577" s="337" t="b">
        <f t="shared" si="125"/>
        <v>1</v>
      </c>
    </row>
    <row r="5578" spans="1:24" s="360" customFormat="1" ht="12" customHeight="1" outlineLevel="1">
      <c r="A5578" s="365"/>
      <c r="B5578" s="118" t="s">
        <v>12</v>
      </c>
      <c r="C5578" s="334" t="s">
        <v>14172</v>
      </c>
      <c r="D5578" s="124" t="s">
        <v>8529</v>
      </c>
      <c r="E5578" s="125"/>
      <c r="F5578" s="118" t="s">
        <v>1030</v>
      </c>
      <c r="G5578" s="126" t="s">
        <v>14128</v>
      </c>
      <c r="H5578" s="255">
        <v>1</v>
      </c>
      <c r="I5578" s="361">
        <v>1</v>
      </c>
      <c r="J5578" s="368" t="s">
        <v>286</v>
      </c>
      <c r="K5578" s="372"/>
      <c r="L5578" s="129"/>
      <c r="M5578" s="129"/>
      <c r="N5578" s="129"/>
      <c r="O5578" s="129"/>
      <c r="P5578" s="372"/>
      <c r="Q5578" s="372"/>
      <c r="R5578" s="129"/>
      <c r="S5578" s="129"/>
      <c r="T5578" s="129"/>
      <c r="W5578" s="129" t="s">
        <v>286</v>
      </c>
      <c r="X5578" s="337" t="b">
        <f t="shared" si="125"/>
        <v>1</v>
      </c>
    </row>
    <row r="5579" spans="1:24" s="360" customFormat="1" ht="12" customHeight="1" outlineLevel="1">
      <c r="A5579" s="365"/>
      <c r="B5579" s="118" t="s">
        <v>12</v>
      </c>
      <c r="C5579" s="334" t="s">
        <v>14173</v>
      </c>
      <c r="D5579" s="124" t="s">
        <v>14174</v>
      </c>
      <c r="E5579" s="125"/>
      <c r="F5579" s="118" t="s">
        <v>1030</v>
      </c>
      <c r="G5579" s="126" t="s">
        <v>14128</v>
      </c>
      <c r="H5579" s="255">
        <v>1</v>
      </c>
      <c r="I5579" s="361">
        <v>1</v>
      </c>
      <c r="J5579" s="368" t="s">
        <v>286</v>
      </c>
      <c r="K5579" s="372"/>
      <c r="L5579" s="129"/>
      <c r="M5579" s="129"/>
      <c r="N5579" s="129"/>
      <c r="O5579" s="129"/>
      <c r="P5579" s="372"/>
      <c r="Q5579" s="372"/>
      <c r="R5579" s="129"/>
      <c r="S5579" s="129"/>
      <c r="T5579" s="129"/>
      <c r="W5579" s="129" t="s">
        <v>286</v>
      </c>
      <c r="X5579" s="337" t="b">
        <f t="shared" si="125"/>
        <v>1</v>
      </c>
    </row>
    <row r="5580" spans="1:24" s="360" customFormat="1" ht="12" customHeight="1" outlineLevel="1">
      <c r="A5580" s="365"/>
      <c r="B5580" s="118" t="s">
        <v>12</v>
      </c>
      <c r="C5580" s="334" t="s">
        <v>14175</v>
      </c>
      <c r="D5580" s="124" t="s">
        <v>14176</v>
      </c>
      <c r="E5580" s="125"/>
      <c r="F5580" s="118" t="s">
        <v>1030</v>
      </c>
      <c r="G5580" s="126" t="s">
        <v>14128</v>
      </c>
      <c r="H5580" s="255">
        <v>1</v>
      </c>
      <c r="I5580" s="361">
        <v>1</v>
      </c>
      <c r="J5580" s="368" t="s">
        <v>286</v>
      </c>
      <c r="K5580" s="372"/>
      <c r="L5580" s="129"/>
      <c r="M5580" s="129"/>
      <c r="N5580" s="129"/>
      <c r="O5580" s="129"/>
      <c r="P5580" s="372"/>
      <c r="Q5580" s="372"/>
      <c r="R5580" s="129"/>
      <c r="S5580" s="129"/>
      <c r="T5580" s="129"/>
      <c r="W5580" s="129" t="s">
        <v>286</v>
      </c>
      <c r="X5580" s="337" t="b">
        <f t="shared" si="125"/>
        <v>1</v>
      </c>
    </row>
    <row r="5581" spans="1:24" s="360" customFormat="1" ht="12" customHeight="1" outlineLevel="1">
      <c r="A5581" s="365"/>
      <c r="B5581" s="118" t="s">
        <v>12</v>
      </c>
      <c r="C5581" s="334" t="s">
        <v>14177</v>
      </c>
      <c r="D5581" s="124" t="s">
        <v>14178</v>
      </c>
      <c r="E5581" s="125"/>
      <c r="F5581" s="118" t="s">
        <v>1030</v>
      </c>
      <c r="G5581" s="126" t="s">
        <v>14128</v>
      </c>
      <c r="H5581" s="255">
        <v>1</v>
      </c>
      <c r="I5581" s="361">
        <v>1</v>
      </c>
      <c r="J5581" s="368" t="s">
        <v>286</v>
      </c>
      <c r="K5581" s="372"/>
      <c r="L5581" s="129"/>
      <c r="M5581" s="129"/>
      <c r="N5581" s="129"/>
      <c r="O5581" s="129"/>
      <c r="P5581" s="372"/>
      <c r="Q5581" s="372"/>
      <c r="R5581" s="129"/>
      <c r="S5581" s="129"/>
      <c r="T5581" s="129"/>
      <c r="W5581" s="129" t="s">
        <v>286</v>
      </c>
      <c r="X5581" s="337" t="b">
        <f t="shared" si="125"/>
        <v>1</v>
      </c>
    </row>
    <row r="5582" spans="1:24" s="360" customFormat="1" ht="12" customHeight="1" outlineLevel="1">
      <c r="A5582" s="365"/>
      <c r="B5582" s="118" t="s">
        <v>12</v>
      </c>
      <c r="C5582" s="334" t="s">
        <v>14179</v>
      </c>
      <c r="D5582" s="124" t="s">
        <v>14174</v>
      </c>
      <c r="E5582" s="125"/>
      <c r="F5582" s="118" t="s">
        <v>1030</v>
      </c>
      <c r="G5582" s="126" t="s">
        <v>14128</v>
      </c>
      <c r="H5582" s="255">
        <v>1</v>
      </c>
      <c r="I5582" s="361">
        <v>1</v>
      </c>
      <c r="J5582" s="368" t="s">
        <v>286</v>
      </c>
      <c r="K5582" s="372"/>
      <c r="L5582" s="129"/>
      <c r="M5582" s="129"/>
      <c r="N5582" s="129"/>
      <c r="O5582" s="129"/>
      <c r="P5582" s="372"/>
      <c r="Q5582" s="372"/>
      <c r="R5582" s="129"/>
      <c r="S5582" s="129"/>
      <c r="T5582" s="129"/>
      <c r="W5582" s="129" t="s">
        <v>286</v>
      </c>
      <c r="X5582" s="337" t="b">
        <f t="shared" si="125"/>
        <v>1</v>
      </c>
    </row>
    <row r="5583" spans="1:24" s="360" customFormat="1" ht="12" customHeight="1" outlineLevel="1">
      <c r="A5583" s="365"/>
      <c r="B5583" s="118" t="s">
        <v>12</v>
      </c>
      <c r="C5583" s="334" t="s">
        <v>14180</v>
      </c>
      <c r="D5583" s="124" t="s">
        <v>14181</v>
      </c>
      <c r="E5583" s="125"/>
      <c r="F5583" s="118" t="s">
        <v>1030</v>
      </c>
      <c r="G5583" s="126" t="s">
        <v>14128</v>
      </c>
      <c r="H5583" s="255">
        <v>1</v>
      </c>
      <c r="I5583" s="361">
        <v>1</v>
      </c>
      <c r="J5583" s="368" t="s">
        <v>286</v>
      </c>
      <c r="K5583" s="372"/>
      <c r="L5583" s="129"/>
      <c r="M5583" s="129"/>
      <c r="N5583" s="129"/>
      <c r="O5583" s="129"/>
      <c r="P5583" s="372"/>
      <c r="Q5583" s="372"/>
      <c r="R5583" s="129"/>
      <c r="S5583" s="129"/>
      <c r="T5583" s="129"/>
      <c r="W5583" s="129" t="s">
        <v>286</v>
      </c>
      <c r="X5583" s="337" t="b">
        <f t="shared" si="125"/>
        <v>1</v>
      </c>
    </row>
    <row r="5584" spans="1:24" s="360" customFormat="1" ht="12" customHeight="1" outlineLevel="1">
      <c r="A5584" s="365"/>
      <c r="B5584" s="118" t="s">
        <v>12</v>
      </c>
      <c r="C5584" s="334" t="s">
        <v>14182</v>
      </c>
      <c r="D5584" s="124" t="s">
        <v>14183</v>
      </c>
      <c r="E5584" s="125"/>
      <c r="F5584" s="118" t="s">
        <v>1030</v>
      </c>
      <c r="G5584" s="126" t="s">
        <v>14128</v>
      </c>
      <c r="H5584" s="255">
        <v>1</v>
      </c>
      <c r="I5584" s="361">
        <v>1</v>
      </c>
      <c r="J5584" s="368" t="s">
        <v>286</v>
      </c>
      <c r="K5584" s="372"/>
      <c r="L5584" s="129"/>
      <c r="M5584" s="129"/>
      <c r="N5584" s="129"/>
      <c r="O5584" s="129"/>
      <c r="P5584" s="372"/>
      <c r="Q5584" s="372"/>
      <c r="R5584" s="129"/>
      <c r="S5584" s="129"/>
      <c r="T5584" s="129"/>
      <c r="W5584" s="129" t="s">
        <v>286</v>
      </c>
      <c r="X5584" s="337" t="b">
        <f t="shared" si="125"/>
        <v>1</v>
      </c>
    </row>
    <row r="5585" spans="1:24" s="360" customFormat="1" ht="12" customHeight="1" outlineLevel="1">
      <c r="A5585" s="365"/>
      <c r="B5585" s="118" t="s">
        <v>12</v>
      </c>
      <c r="C5585" s="334" t="s">
        <v>14184</v>
      </c>
      <c r="D5585" s="124" t="s">
        <v>14185</v>
      </c>
      <c r="E5585" s="125"/>
      <c r="F5585" s="118" t="s">
        <v>1030</v>
      </c>
      <c r="G5585" s="126" t="s">
        <v>14128</v>
      </c>
      <c r="H5585" s="255">
        <v>1</v>
      </c>
      <c r="I5585" s="361">
        <v>1</v>
      </c>
      <c r="J5585" s="368" t="s">
        <v>286</v>
      </c>
      <c r="K5585" s="372"/>
      <c r="L5585" s="129"/>
      <c r="M5585" s="129"/>
      <c r="N5585" s="129"/>
      <c r="O5585" s="129"/>
      <c r="P5585" s="372"/>
      <c r="Q5585" s="372"/>
      <c r="R5585" s="129"/>
      <c r="S5585" s="129"/>
      <c r="T5585" s="129"/>
      <c r="W5585" s="129" t="s">
        <v>286</v>
      </c>
      <c r="X5585" s="337" t="b">
        <f t="shared" si="125"/>
        <v>1</v>
      </c>
    </row>
    <row r="5586" spans="1:24" s="360" customFormat="1" ht="12" customHeight="1" outlineLevel="1">
      <c r="A5586" s="365"/>
      <c r="B5586" s="118" t="s">
        <v>12</v>
      </c>
      <c r="C5586" s="334" t="s">
        <v>14186</v>
      </c>
      <c r="D5586" s="124" t="s">
        <v>14187</v>
      </c>
      <c r="E5586" s="125"/>
      <c r="F5586" s="118" t="s">
        <v>1030</v>
      </c>
      <c r="G5586" s="126" t="s">
        <v>14128</v>
      </c>
      <c r="H5586" s="255">
        <v>1</v>
      </c>
      <c r="I5586" s="361">
        <v>1</v>
      </c>
      <c r="J5586" s="368" t="s">
        <v>286</v>
      </c>
      <c r="K5586" s="372"/>
      <c r="L5586" s="129"/>
      <c r="M5586" s="129"/>
      <c r="N5586" s="129"/>
      <c r="O5586" s="129"/>
      <c r="P5586" s="372"/>
      <c r="Q5586" s="372"/>
      <c r="R5586" s="129"/>
      <c r="S5586" s="129"/>
      <c r="T5586" s="129"/>
      <c r="W5586" s="129" t="s">
        <v>286</v>
      </c>
      <c r="X5586" s="337" t="b">
        <f t="shared" si="125"/>
        <v>1</v>
      </c>
    </row>
    <row r="5587" spans="1:24" s="360" customFormat="1" ht="12" customHeight="1" outlineLevel="1">
      <c r="A5587" s="365"/>
      <c r="B5587" s="118" t="s">
        <v>12</v>
      </c>
      <c r="C5587" s="334" t="s">
        <v>14188</v>
      </c>
      <c r="D5587" s="124" t="s">
        <v>14189</v>
      </c>
      <c r="E5587" s="125"/>
      <c r="F5587" s="118" t="s">
        <v>1030</v>
      </c>
      <c r="G5587" s="126" t="s">
        <v>14128</v>
      </c>
      <c r="H5587" s="255">
        <v>1</v>
      </c>
      <c r="I5587" s="361">
        <v>1</v>
      </c>
      <c r="J5587" s="368" t="s">
        <v>286</v>
      </c>
      <c r="K5587" s="372"/>
      <c r="L5587" s="129"/>
      <c r="M5587" s="129"/>
      <c r="N5587" s="129"/>
      <c r="O5587" s="129"/>
      <c r="P5587" s="372"/>
      <c r="Q5587" s="372"/>
      <c r="R5587" s="129"/>
      <c r="S5587" s="129"/>
      <c r="T5587" s="129"/>
      <c r="W5587" s="129" t="s">
        <v>286</v>
      </c>
      <c r="X5587" s="337" t="b">
        <f t="shared" si="125"/>
        <v>1</v>
      </c>
    </row>
    <row r="5588" spans="1:24" s="360" customFormat="1" ht="12" customHeight="1" outlineLevel="1">
      <c r="A5588" s="365"/>
      <c r="B5588" s="118" t="s">
        <v>12</v>
      </c>
      <c r="C5588" s="334" t="s">
        <v>14190</v>
      </c>
      <c r="D5588" s="124" t="s">
        <v>14191</v>
      </c>
      <c r="E5588" s="125"/>
      <c r="F5588" s="118" t="s">
        <v>1030</v>
      </c>
      <c r="G5588" s="126" t="s">
        <v>14128</v>
      </c>
      <c r="H5588" s="255">
        <v>1</v>
      </c>
      <c r="I5588" s="361">
        <v>1</v>
      </c>
      <c r="J5588" s="368" t="s">
        <v>286</v>
      </c>
      <c r="K5588" s="372"/>
      <c r="L5588" s="129"/>
      <c r="M5588" s="129"/>
      <c r="N5588" s="129"/>
      <c r="O5588" s="129"/>
      <c r="P5588" s="372"/>
      <c r="Q5588" s="372"/>
      <c r="R5588" s="129"/>
      <c r="S5588" s="129"/>
      <c r="T5588" s="129"/>
      <c r="W5588" s="129" t="s">
        <v>286</v>
      </c>
      <c r="X5588" s="337" t="b">
        <f t="shared" si="125"/>
        <v>1</v>
      </c>
    </row>
    <row r="5589" spans="1:24" s="360" customFormat="1" ht="12" customHeight="1" outlineLevel="1">
      <c r="A5589" s="365"/>
      <c r="B5589" s="118" t="s">
        <v>12</v>
      </c>
      <c r="C5589" s="334" t="s">
        <v>14192</v>
      </c>
      <c r="D5589" s="124" t="s">
        <v>14193</v>
      </c>
      <c r="E5589" s="125"/>
      <c r="F5589" s="118" t="s">
        <v>1030</v>
      </c>
      <c r="G5589" s="126" t="s">
        <v>14128</v>
      </c>
      <c r="H5589" s="255">
        <v>1</v>
      </c>
      <c r="I5589" s="361">
        <v>1</v>
      </c>
      <c r="J5589" s="368" t="s">
        <v>286</v>
      </c>
      <c r="K5589" s="372"/>
      <c r="L5589" s="129"/>
      <c r="M5589" s="129"/>
      <c r="N5589" s="129"/>
      <c r="O5589" s="129"/>
      <c r="P5589" s="372"/>
      <c r="Q5589" s="372"/>
      <c r="R5589" s="129"/>
      <c r="S5589" s="129"/>
      <c r="T5589" s="129"/>
      <c r="W5589" s="129" t="s">
        <v>286</v>
      </c>
      <c r="X5589" s="337" t="b">
        <f t="shared" si="125"/>
        <v>1</v>
      </c>
    </row>
    <row r="5590" spans="1:24" s="360" customFormat="1" ht="12" customHeight="1" outlineLevel="1">
      <c r="A5590" s="365"/>
      <c r="B5590" s="118" t="s">
        <v>12</v>
      </c>
      <c r="C5590" s="334" t="s">
        <v>14194</v>
      </c>
      <c r="D5590" s="124" t="s">
        <v>14195</v>
      </c>
      <c r="E5590" s="125"/>
      <c r="F5590" s="118" t="s">
        <v>1030</v>
      </c>
      <c r="G5590" s="126" t="s">
        <v>14128</v>
      </c>
      <c r="H5590" s="255">
        <v>1</v>
      </c>
      <c r="I5590" s="361">
        <v>1</v>
      </c>
      <c r="J5590" s="368" t="s">
        <v>286</v>
      </c>
      <c r="K5590" s="372"/>
      <c r="L5590" s="129"/>
      <c r="M5590" s="129"/>
      <c r="N5590" s="129"/>
      <c r="O5590" s="129"/>
      <c r="P5590" s="372"/>
      <c r="Q5590" s="372"/>
      <c r="R5590" s="129"/>
      <c r="S5590" s="129"/>
      <c r="T5590" s="129"/>
      <c r="W5590" s="129" t="s">
        <v>286</v>
      </c>
      <c r="X5590" s="337" t="b">
        <f t="shared" si="125"/>
        <v>1</v>
      </c>
    </row>
    <row r="5591" spans="1:24" s="360" customFormat="1" ht="12" customHeight="1" outlineLevel="1">
      <c r="A5591" s="365"/>
      <c r="B5591" s="118" t="s">
        <v>12</v>
      </c>
      <c r="C5591" s="334" t="s">
        <v>14196</v>
      </c>
      <c r="D5591" s="124" t="s">
        <v>14197</v>
      </c>
      <c r="E5591" s="125"/>
      <c r="F5591" s="118" t="s">
        <v>1030</v>
      </c>
      <c r="G5591" s="126" t="s">
        <v>14128</v>
      </c>
      <c r="H5591" s="255">
        <v>1</v>
      </c>
      <c r="I5591" s="361">
        <v>1</v>
      </c>
      <c r="J5591" s="368" t="s">
        <v>286</v>
      </c>
      <c r="K5591" s="372"/>
      <c r="L5591" s="129"/>
      <c r="M5591" s="129"/>
      <c r="N5591" s="129"/>
      <c r="O5591" s="129"/>
      <c r="P5591" s="372"/>
      <c r="Q5591" s="372"/>
      <c r="R5591" s="129"/>
      <c r="S5591" s="129"/>
      <c r="T5591" s="129"/>
      <c r="W5591" s="129" t="s">
        <v>286</v>
      </c>
      <c r="X5591" s="337" t="b">
        <f t="shared" si="125"/>
        <v>1</v>
      </c>
    </row>
    <row r="5592" spans="1:24" s="360" customFormat="1" ht="12" customHeight="1" outlineLevel="1">
      <c r="A5592" s="365"/>
      <c r="B5592" s="118" t="s">
        <v>12</v>
      </c>
      <c r="C5592" s="334" t="s">
        <v>14198</v>
      </c>
      <c r="D5592" s="124" t="s">
        <v>14199</v>
      </c>
      <c r="E5592" s="125"/>
      <c r="F5592" s="118" t="s">
        <v>1030</v>
      </c>
      <c r="G5592" s="126" t="s">
        <v>14128</v>
      </c>
      <c r="H5592" s="255">
        <v>1</v>
      </c>
      <c r="I5592" s="361">
        <v>1</v>
      </c>
      <c r="J5592" s="368" t="s">
        <v>286</v>
      </c>
      <c r="K5592" s="372"/>
      <c r="L5592" s="129"/>
      <c r="M5592" s="129"/>
      <c r="N5592" s="129"/>
      <c r="O5592" s="129"/>
      <c r="P5592" s="372"/>
      <c r="Q5592" s="372"/>
      <c r="R5592" s="129"/>
      <c r="S5592" s="129"/>
      <c r="T5592" s="129"/>
      <c r="W5592" s="129" t="s">
        <v>286</v>
      </c>
      <c r="X5592" s="337" t="b">
        <f t="shared" si="125"/>
        <v>1</v>
      </c>
    </row>
    <row r="5593" spans="1:24" s="360" customFormat="1" ht="12" customHeight="1" outlineLevel="1">
      <c r="A5593" s="365"/>
      <c r="B5593" s="118" t="s">
        <v>12</v>
      </c>
      <c r="C5593" s="334" t="s">
        <v>14200</v>
      </c>
      <c r="D5593" s="124" t="s">
        <v>14201</v>
      </c>
      <c r="E5593" s="125"/>
      <c r="F5593" s="118" t="s">
        <v>1030</v>
      </c>
      <c r="G5593" s="126" t="s">
        <v>14128</v>
      </c>
      <c r="H5593" s="255">
        <v>1</v>
      </c>
      <c r="I5593" s="361">
        <v>1</v>
      </c>
      <c r="J5593" s="368" t="s">
        <v>310</v>
      </c>
      <c r="K5593" s="372"/>
      <c r="L5593" s="129"/>
      <c r="M5593" s="129"/>
      <c r="N5593" s="129"/>
      <c r="O5593" s="129"/>
      <c r="P5593" s="372"/>
      <c r="Q5593" s="372"/>
      <c r="R5593" s="129"/>
      <c r="S5593" s="129"/>
      <c r="T5593" s="129"/>
      <c r="W5593" s="129" t="s">
        <v>310</v>
      </c>
      <c r="X5593" s="337" t="b">
        <f t="shared" si="125"/>
        <v>1</v>
      </c>
    </row>
    <row r="5594" spans="1:24" s="360" customFormat="1" ht="12" customHeight="1" outlineLevel="1">
      <c r="A5594" s="365"/>
      <c r="B5594" s="118" t="s">
        <v>12</v>
      </c>
      <c r="C5594" s="334" t="s">
        <v>14202</v>
      </c>
      <c r="D5594" s="124" t="s">
        <v>14203</v>
      </c>
      <c r="E5594" s="125"/>
      <c r="F5594" s="118" t="s">
        <v>1030</v>
      </c>
      <c r="G5594" s="126" t="s">
        <v>14128</v>
      </c>
      <c r="H5594" s="255">
        <v>1</v>
      </c>
      <c r="I5594" s="361">
        <v>1</v>
      </c>
      <c r="J5594" s="368" t="s">
        <v>286</v>
      </c>
      <c r="K5594" s="372"/>
      <c r="L5594" s="129"/>
      <c r="M5594" s="129"/>
      <c r="N5594" s="129"/>
      <c r="O5594" s="129"/>
      <c r="P5594" s="372"/>
      <c r="Q5594" s="372"/>
      <c r="R5594" s="129"/>
      <c r="S5594" s="129"/>
      <c r="T5594" s="129"/>
      <c r="W5594" s="129" t="s">
        <v>286</v>
      </c>
      <c r="X5594" s="337" t="b">
        <f t="shared" si="125"/>
        <v>1</v>
      </c>
    </row>
    <row r="5595" spans="1:24" s="360" customFormat="1" ht="12" customHeight="1" outlineLevel="1">
      <c r="A5595" s="365"/>
      <c r="B5595" s="118" t="s">
        <v>12</v>
      </c>
      <c r="C5595" s="334" t="s">
        <v>14204</v>
      </c>
      <c r="D5595" s="124" t="s">
        <v>14205</v>
      </c>
      <c r="E5595" s="125"/>
      <c r="F5595" s="118" t="s">
        <v>1030</v>
      </c>
      <c r="G5595" s="126" t="s">
        <v>14128</v>
      </c>
      <c r="H5595" s="255">
        <v>1</v>
      </c>
      <c r="I5595" s="361">
        <v>1</v>
      </c>
      <c r="J5595" s="368" t="s">
        <v>286</v>
      </c>
      <c r="K5595" s="372"/>
      <c r="L5595" s="129"/>
      <c r="M5595" s="129"/>
      <c r="N5595" s="129"/>
      <c r="O5595" s="129"/>
      <c r="P5595" s="372"/>
      <c r="Q5595" s="372"/>
      <c r="R5595" s="129"/>
      <c r="S5595" s="129"/>
      <c r="T5595" s="129"/>
      <c r="W5595" s="129" t="s">
        <v>286</v>
      </c>
      <c r="X5595" s="337" t="b">
        <f t="shared" si="125"/>
        <v>1</v>
      </c>
    </row>
    <row r="5596" spans="1:24" s="360" customFormat="1" ht="12" customHeight="1" outlineLevel="1">
      <c r="A5596" s="365"/>
      <c r="B5596" s="118" t="s">
        <v>12</v>
      </c>
      <c r="C5596" s="334" t="s">
        <v>14206</v>
      </c>
      <c r="D5596" s="124" t="s">
        <v>14207</v>
      </c>
      <c r="E5596" s="125"/>
      <c r="F5596" s="118" t="s">
        <v>1030</v>
      </c>
      <c r="G5596" s="126" t="s">
        <v>14128</v>
      </c>
      <c r="H5596" s="255">
        <v>1</v>
      </c>
      <c r="I5596" s="361">
        <v>1</v>
      </c>
      <c r="J5596" s="368" t="s">
        <v>286</v>
      </c>
      <c r="K5596" s="372"/>
      <c r="L5596" s="129"/>
      <c r="M5596" s="129"/>
      <c r="N5596" s="129"/>
      <c r="O5596" s="129"/>
      <c r="P5596" s="372"/>
      <c r="Q5596" s="372"/>
      <c r="R5596" s="129"/>
      <c r="S5596" s="129"/>
      <c r="T5596" s="129"/>
      <c r="W5596" s="129" t="s">
        <v>4876</v>
      </c>
      <c r="X5596" s="337" t="b">
        <f t="shared" si="125"/>
        <v>0</v>
      </c>
    </row>
    <row r="5597" spans="1:24" s="360" customFormat="1" ht="12" customHeight="1" outlineLevel="1">
      <c r="A5597" s="365"/>
      <c r="B5597" s="118" t="s">
        <v>12</v>
      </c>
      <c r="C5597" s="334" t="s">
        <v>14208</v>
      </c>
      <c r="D5597" s="124" t="s">
        <v>14209</v>
      </c>
      <c r="E5597" s="125"/>
      <c r="F5597" s="118" t="s">
        <v>1030</v>
      </c>
      <c r="G5597" s="126" t="s">
        <v>14128</v>
      </c>
      <c r="H5597" s="255">
        <v>1</v>
      </c>
      <c r="I5597" s="361">
        <v>1</v>
      </c>
      <c r="J5597" s="368" t="s">
        <v>286</v>
      </c>
      <c r="K5597" s="372"/>
      <c r="L5597" s="129"/>
      <c r="M5597" s="129"/>
      <c r="N5597" s="129"/>
      <c r="O5597" s="129"/>
      <c r="P5597" s="372"/>
      <c r="Q5597" s="372"/>
      <c r="R5597" s="129"/>
      <c r="S5597" s="129"/>
      <c r="T5597" s="129"/>
      <c r="W5597" s="129" t="s">
        <v>4876</v>
      </c>
      <c r="X5597" s="337" t="b">
        <f t="shared" si="125"/>
        <v>0</v>
      </c>
    </row>
    <row r="5598" spans="1:24" s="360" customFormat="1" ht="12" customHeight="1" outlineLevel="1">
      <c r="A5598" s="365"/>
      <c r="B5598" s="118" t="s">
        <v>12</v>
      </c>
      <c r="C5598" s="334" t="s">
        <v>14210</v>
      </c>
      <c r="D5598" s="124" t="s">
        <v>14211</v>
      </c>
      <c r="E5598" s="125"/>
      <c r="F5598" s="118" t="s">
        <v>1030</v>
      </c>
      <c r="G5598" s="126" t="s">
        <v>14128</v>
      </c>
      <c r="H5598" s="255">
        <v>1</v>
      </c>
      <c r="I5598" s="361">
        <v>1</v>
      </c>
      <c r="J5598" s="368" t="s">
        <v>286</v>
      </c>
      <c r="K5598" s="372"/>
      <c r="L5598" s="129"/>
      <c r="M5598" s="129"/>
      <c r="N5598" s="129"/>
      <c r="O5598" s="129"/>
      <c r="P5598" s="372"/>
      <c r="Q5598" s="372"/>
      <c r="R5598" s="129"/>
      <c r="S5598" s="129"/>
      <c r="T5598" s="129"/>
      <c r="W5598" s="129" t="s">
        <v>4876</v>
      </c>
      <c r="X5598" s="337" t="b">
        <f t="shared" si="125"/>
        <v>0</v>
      </c>
    </row>
    <row r="5599" spans="1:24" s="360" customFormat="1" ht="12" customHeight="1" outlineLevel="1">
      <c r="A5599" s="365"/>
      <c r="B5599" s="118" t="s">
        <v>12</v>
      </c>
      <c r="C5599" s="334" t="s">
        <v>14212</v>
      </c>
      <c r="D5599" s="124" t="s">
        <v>14213</v>
      </c>
      <c r="E5599" s="125"/>
      <c r="F5599" s="118" t="s">
        <v>1030</v>
      </c>
      <c r="G5599" s="126" t="s">
        <v>14128</v>
      </c>
      <c r="H5599" s="255">
        <v>1</v>
      </c>
      <c r="I5599" s="361">
        <v>1</v>
      </c>
      <c r="J5599" s="368" t="s">
        <v>286</v>
      </c>
      <c r="K5599" s="372"/>
      <c r="L5599" s="129"/>
      <c r="M5599" s="129"/>
      <c r="N5599" s="129"/>
      <c r="O5599" s="129"/>
      <c r="P5599" s="372"/>
      <c r="Q5599" s="372"/>
      <c r="R5599" s="129"/>
      <c r="S5599" s="129"/>
      <c r="T5599" s="129"/>
      <c r="W5599" s="129" t="s">
        <v>286</v>
      </c>
      <c r="X5599" s="337" t="b">
        <f t="shared" si="125"/>
        <v>1</v>
      </c>
    </row>
    <row r="5600" spans="1:24" s="360" customFormat="1" ht="12" customHeight="1" outlineLevel="1">
      <c r="A5600" s="365"/>
      <c r="B5600" s="118" t="s">
        <v>12</v>
      </c>
      <c r="C5600" s="334" t="s">
        <v>14214</v>
      </c>
      <c r="D5600" s="124" t="s">
        <v>4897</v>
      </c>
      <c r="E5600" s="125"/>
      <c r="F5600" s="118" t="s">
        <v>1030</v>
      </c>
      <c r="G5600" s="126" t="s">
        <v>14128</v>
      </c>
      <c r="H5600" s="255">
        <v>1</v>
      </c>
      <c r="I5600" s="361">
        <v>1</v>
      </c>
      <c r="J5600" s="368" t="s">
        <v>286</v>
      </c>
      <c r="K5600" s="372"/>
      <c r="L5600" s="129"/>
      <c r="M5600" s="129"/>
      <c r="N5600" s="129"/>
      <c r="O5600" s="129"/>
      <c r="P5600" s="372"/>
      <c r="Q5600" s="372"/>
      <c r="R5600" s="129"/>
      <c r="S5600" s="129"/>
      <c r="T5600" s="129"/>
      <c r="W5600" s="129" t="s">
        <v>286</v>
      </c>
      <c r="X5600" s="337" t="b">
        <f t="shared" si="125"/>
        <v>1</v>
      </c>
    </row>
    <row r="5601" spans="1:24" s="360" customFormat="1" ht="12" customHeight="1" outlineLevel="1">
      <c r="A5601" s="365"/>
      <c r="B5601" s="118" t="s">
        <v>12</v>
      </c>
      <c r="C5601" s="334" t="s">
        <v>14215</v>
      </c>
      <c r="D5601" s="124" t="s">
        <v>6282</v>
      </c>
      <c r="E5601" s="125"/>
      <c r="F5601" s="118" t="s">
        <v>1030</v>
      </c>
      <c r="G5601" s="126" t="s">
        <v>14128</v>
      </c>
      <c r="H5601" s="255">
        <v>1</v>
      </c>
      <c r="I5601" s="361">
        <v>1</v>
      </c>
      <c r="J5601" s="368" t="s">
        <v>286</v>
      </c>
      <c r="K5601" s="372"/>
      <c r="L5601" s="129"/>
      <c r="M5601" s="129"/>
      <c r="N5601" s="129"/>
      <c r="O5601" s="129"/>
      <c r="P5601" s="372"/>
      <c r="Q5601" s="372"/>
      <c r="R5601" s="129"/>
      <c r="S5601" s="129"/>
      <c r="T5601" s="129"/>
      <c r="W5601" s="129" t="s">
        <v>286</v>
      </c>
      <c r="X5601" s="337" t="b">
        <f t="shared" si="125"/>
        <v>1</v>
      </c>
    </row>
    <row r="5602" spans="1:24" s="360" customFormat="1" ht="12" customHeight="1" outlineLevel="1">
      <c r="A5602" s="365"/>
      <c r="B5602" s="118" t="s">
        <v>12</v>
      </c>
      <c r="C5602" s="334" t="s">
        <v>14216</v>
      </c>
      <c r="D5602" s="124" t="s">
        <v>14217</v>
      </c>
      <c r="E5602" s="125"/>
      <c r="F5602" s="118" t="s">
        <v>1030</v>
      </c>
      <c r="G5602" s="126" t="s">
        <v>14128</v>
      </c>
      <c r="H5602" s="255">
        <v>1</v>
      </c>
      <c r="I5602" s="361">
        <v>1</v>
      </c>
      <c r="J5602" s="368" t="s">
        <v>286</v>
      </c>
      <c r="K5602" s="372"/>
      <c r="L5602" s="129"/>
      <c r="M5602" s="129"/>
      <c r="N5602" s="129"/>
      <c r="O5602" s="129"/>
      <c r="P5602" s="372"/>
      <c r="Q5602" s="372"/>
      <c r="R5602" s="129"/>
      <c r="S5602" s="129"/>
      <c r="T5602" s="129"/>
      <c r="W5602" s="129" t="s">
        <v>286</v>
      </c>
      <c r="X5602" s="337" t="b">
        <f t="shared" si="125"/>
        <v>1</v>
      </c>
    </row>
    <row r="5603" spans="1:24" s="360" customFormat="1" ht="12" customHeight="1" outlineLevel="1">
      <c r="A5603" s="365"/>
      <c r="B5603" s="118" t="s">
        <v>12</v>
      </c>
      <c r="C5603" s="334" t="s">
        <v>14218</v>
      </c>
      <c r="D5603" s="124" t="s">
        <v>14219</v>
      </c>
      <c r="E5603" s="125"/>
      <c r="F5603" s="118" t="s">
        <v>1030</v>
      </c>
      <c r="G5603" s="126" t="s">
        <v>14128</v>
      </c>
      <c r="H5603" s="255">
        <v>1</v>
      </c>
      <c r="I5603" s="361">
        <v>1</v>
      </c>
      <c r="J5603" s="368" t="s">
        <v>310</v>
      </c>
      <c r="K5603" s="372"/>
      <c r="L5603" s="129"/>
      <c r="M5603" s="129"/>
      <c r="N5603" s="129"/>
      <c r="O5603" s="129"/>
      <c r="P5603" s="372"/>
      <c r="Q5603" s="372"/>
      <c r="R5603" s="129"/>
      <c r="S5603" s="129"/>
      <c r="T5603" s="129"/>
      <c r="W5603" s="129" t="s">
        <v>286</v>
      </c>
      <c r="X5603" s="337" t="b">
        <f t="shared" si="125"/>
        <v>0</v>
      </c>
    </row>
    <row r="5604" spans="1:24" s="360" customFormat="1" ht="12" customHeight="1" outlineLevel="1">
      <c r="A5604" s="365"/>
      <c r="B5604" s="118" t="s">
        <v>12</v>
      </c>
      <c r="C5604" s="334" t="s">
        <v>14220</v>
      </c>
      <c r="D5604" s="124" t="s">
        <v>14221</v>
      </c>
      <c r="E5604" s="125"/>
      <c r="F5604" s="118" t="s">
        <v>1030</v>
      </c>
      <c r="G5604" s="126" t="s">
        <v>14128</v>
      </c>
      <c r="H5604" s="255">
        <v>1</v>
      </c>
      <c r="I5604" s="361">
        <v>1</v>
      </c>
      <c r="J5604" s="368" t="s">
        <v>310</v>
      </c>
      <c r="K5604" s="372"/>
      <c r="L5604" s="129"/>
      <c r="M5604" s="129"/>
      <c r="N5604" s="129"/>
      <c r="O5604" s="129"/>
      <c r="P5604" s="372"/>
      <c r="Q5604" s="372"/>
      <c r="R5604" s="129"/>
      <c r="S5604" s="129"/>
      <c r="T5604" s="129"/>
      <c r="W5604" s="129" t="s">
        <v>286</v>
      </c>
      <c r="X5604" s="337" t="b">
        <f t="shared" si="125"/>
        <v>0</v>
      </c>
    </row>
    <row r="5605" spans="1:24" s="360" customFormat="1" ht="12" customHeight="1" outlineLevel="1">
      <c r="A5605" s="365"/>
      <c r="B5605" s="118" t="s">
        <v>12</v>
      </c>
      <c r="C5605" s="334" t="s">
        <v>14222</v>
      </c>
      <c r="D5605" s="124" t="s">
        <v>14223</v>
      </c>
      <c r="E5605" s="125"/>
      <c r="F5605" s="118" t="s">
        <v>1030</v>
      </c>
      <c r="G5605" s="126" t="s">
        <v>14128</v>
      </c>
      <c r="H5605" s="255">
        <v>1</v>
      </c>
      <c r="I5605" s="361">
        <v>1</v>
      </c>
      <c r="J5605" s="368" t="s">
        <v>310</v>
      </c>
      <c r="K5605" s="372"/>
      <c r="L5605" s="129"/>
      <c r="M5605" s="129"/>
      <c r="N5605" s="129"/>
      <c r="O5605" s="129"/>
      <c r="P5605" s="372"/>
      <c r="Q5605" s="372"/>
      <c r="R5605" s="129"/>
      <c r="S5605" s="129"/>
      <c r="T5605" s="129"/>
      <c r="W5605" s="129" t="s">
        <v>286</v>
      </c>
      <c r="X5605" s="337" t="b">
        <f t="shared" si="125"/>
        <v>0</v>
      </c>
    </row>
    <row r="5606" spans="1:24" s="360" customFormat="1" ht="12" customHeight="1" outlineLevel="1">
      <c r="A5606" s="365"/>
      <c r="B5606" s="118" t="s">
        <v>12</v>
      </c>
      <c r="C5606" s="334" t="s">
        <v>14224</v>
      </c>
      <c r="D5606" s="124" t="s">
        <v>14225</v>
      </c>
      <c r="E5606" s="125"/>
      <c r="F5606" s="118" t="s">
        <v>1030</v>
      </c>
      <c r="G5606" s="126" t="s">
        <v>14128</v>
      </c>
      <c r="H5606" s="255">
        <v>1</v>
      </c>
      <c r="I5606" s="361">
        <v>1</v>
      </c>
      <c r="J5606" s="368" t="s">
        <v>310</v>
      </c>
      <c r="K5606" s="372"/>
      <c r="L5606" s="129"/>
      <c r="M5606" s="129"/>
      <c r="N5606" s="129"/>
      <c r="O5606" s="129"/>
      <c r="P5606" s="372"/>
      <c r="Q5606" s="372"/>
      <c r="R5606" s="129"/>
      <c r="S5606" s="129"/>
      <c r="T5606" s="129"/>
      <c r="W5606" s="129" t="s">
        <v>286</v>
      </c>
      <c r="X5606" s="337" t="b">
        <f t="shared" si="125"/>
        <v>0</v>
      </c>
    </row>
    <row r="5607" spans="1:24" s="360" customFormat="1" ht="12" customHeight="1" outlineLevel="1">
      <c r="A5607" s="365"/>
      <c r="B5607" s="118" t="s">
        <v>12</v>
      </c>
      <c r="C5607" s="334" t="s">
        <v>14226</v>
      </c>
      <c r="D5607" s="124" t="s">
        <v>14227</v>
      </c>
      <c r="E5607" s="125"/>
      <c r="F5607" s="118" t="s">
        <v>1030</v>
      </c>
      <c r="G5607" s="126" t="s">
        <v>14128</v>
      </c>
      <c r="H5607" s="255">
        <v>1</v>
      </c>
      <c r="I5607" s="361">
        <v>1</v>
      </c>
      <c r="J5607" s="368" t="s">
        <v>310</v>
      </c>
      <c r="K5607" s="372"/>
      <c r="L5607" s="129"/>
      <c r="M5607" s="129"/>
      <c r="N5607" s="129"/>
      <c r="O5607" s="129"/>
      <c r="P5607" s="372"/>
      <c r="Q5607" s="372"/>
      <c r="R5607" s="129"/>
      <c r="S5607" s="129"/>
      <c r="T5607" s="129"/>
      <c r="W5607" s="129" t="s">
        <v>286</v>
      </c>
      <c r="X5607" s="337" t="b">
        <f t="shared" si="125"/>
        <v>0</v>
      </c>
    </row>
    <row r="5608" spans="1:24" s="360" customFormat="1" ht="12" customHeight="1" outlineLevel="1">
      <c r="A5608" s="365"/>
      <c r="B5608" s="118" t="s">
        <v>12</v>
      </c>
      <c r="C5608" s="334" t="s">
        <v>14228</v>
      </c>
      <c r="D5608" s="124" t="s">
        <v>14229</v>
      </c>
      <c r="E5608" s="125"/>
      <c r="F5608" s="118" t="s">
        <v>1030</v>
      </c>
      <c r="G5608" s="126" t="s">
        <v>14128</v>
      </c>
      <c r="H5608" s="255">
        <v>1</v>
      </c>
      <c r="I5608" s="361">
        <v>1</v>
      </c>
      <c r="J5608" s="368" t="s">
        <v>310</v>
      </c>
      <c r="K5608" s="372"/>
      <c r="L5608" s="129"/>
      <c r="M5608" s="129"/>
      <c r="N5608" s="129"/>
      <c r="O5608" s="129"/>
      <c r="P5608" s="372"/>
      <c r="Q5608" s="372"/>
      <c r="R5608" s="129"/>
      <c r="S5608" s="129"/>
      <c r="T5608" s="129"/>
      <c r="W5608" s="129" t="s">
        <v>286</v>
      </c>
      <c r="X5608" s="337" t="b">
        <f t="shared" si="125"/>
        <v>0</v>
      </c>
    </row>
    <row r="5609" spans="1:24" s="360" customFormat="1" ht="12" customHeight="1" outlineLevel="1">
      <c r="A5609" s="365"/>
      <c r="B5609" s="118" t="s">
        <v>12</v>
      </c>
      <c r="C5609" s="334" t="s">
        <v>14230</v>
      </c>
      <c r="D5609" s="124" t="s">
        <v>14231</v>
      </c>
      <c r="E5609" s="125"/>
      <c r="F5609" s="118" t="s">
        <v>1030</v>
      </c>
      <c r="G5609" s="126" t="s">
        <v>14128</v>
      </c>
      <c r="H5609" s="255">
        <v>1</v>
      </c>
      <c r="I5609" s="361">
        <v>1</v>
      </c>
      <c r="J5609" s="368" t="s">
        <v>310</v>
      </c>
      <c r="K5609" s="372"/>
      <c r="L5609" s="129"/>
      <c r="M5609" s="129"/>
      <c r="N5609" s="129"/>
      <c r="O5609" s="129"/>
      <c r="P5609" s="372"/>
      <c r="Q5609" s="372"/>
      <c r="R5609" s="129"/>
      <c r="S5609" s="129"/>
      <c r="T5609" s="129"/>
      <c r="W5609" s="129" t="s">
        <v>286</v>
      </c>
      <c r="X5609" s="337" t="b">
        <f t="shared" si="125"/>
        <v>0</v>
      </c>
    </row>
    <row r="5610" spans="1:24" s="360" customFormat="1" ht="12" customHeight="1" outlineLevel="1">
      <c r="A5610" s="365"/>
      <c r="B5610" s="118" t="s">
        <v>12</v>
      </c>
      <c r="C5610" s="334" t="s">
        <v>14232</v>
      </c>
      <c r="D5610" s="124" t="s">
        <v>14233</v>
      </c>
      <c r="E5610" s="125"/>
      <c r="F5610" s="118" t="s">
        <v>1030</v>
      </c>
      <c r="G5610" s="126" t="s">
        <v>14128</v>
      </c>
      <c r="H5610" s="255">
        <v>1</v>
      </c>
      <c r="I5610" s="361">
        <v>1</v>
      </c>
      <c r="J5610" s="368" t="s">
        <v>310</v>
      </c>
      <c r="K5610" s="372"/>
      <c r="L5610" s="129"/>
      <c r="M5610" s="129"/>
      <c r="N5610" s="129"/>
      <c r="O5610" s="129"/>
      <c r="P5610" s="372"/>
      <c r="Q5610" s="372"/>
      <c r="R5610" s="129"/>
      <c r="S5610" s="129"/>
      <c r="T5610" s="129"/>
      <c r="W5610" s="129" t="s">
        <v>286</v>
      </c>
      <c r="X5610" s="337" t="b">
        <f t="shared" si="125"/>
        <v>0</v>
      </c>
    </row>
    <row r="5611" spans="1:24" s="360" customFormat="1" ht="12" customHeight="1" outlineLevel="1">
      <c r="A5611" s="365"/>
      <c r="B5611" s="118" t="s">
        <v>12</v>
      </c>
      <c r="C5611" s="334" t="s">
        <v>14234</v>
      </c>
      <c r="D5611" s="124" t="s">
        <v>14235</v>
      </c>
      <c r="E5611" s="125"/>
      <c r="F5611" s="118" t="s">
        <v>1030</v>
      </c>
      <c r="G5611" s="126" t="s">
        <v>14128</v>
      </c>
      <c r="H5611" s="255">
        <v>1</v>
      </c>
      <c r="I5611" s="361">
        <v>1</v>
      </c>
      <c r="J5611" s="368" t="s">
        <v>286</v>
      </c>
      <c r="K5611" s="372"/>
      <c r="L5611" s="129"/>
      <c r="M5611" s="129"/>
      <c r="N5611" s="129"/>
      <c r="O5611" s="129"/>
      <c r="P5611" s="372"/>
      <c r="Q5611" s="372"/>
      <c r="R5611" s="129"/>
      <c r="S5611" s="129"/>
      <c r="T5611" s="129"/>
      <c r="W5611" s="129" t="s">
        <v>286</v>
      </c>
      <c r="X5611" s="337" t="b">
        <f t="shared" si="125"/>
        <v>1</v>
      </c>
    </row>
    <row r="5612" spans="1:24" s="360" customFormat="1" ht="12" customHeight="1" outlineLevel="1">
      <c r="A5612" s="365"/>
      <c r="B5612" s="118" t="s">
        <v>12</v>
      </c>
      <c r="C5612" s="334" t="s">
        <v>14236</v>
      </c>
      <c r="D5612" s="124" t="s">
        <v>14237</v>
      </c>
      <c r="E5612" s="125"/>
      <c r="F5612" s="118" t="s">
        <v>1030</v>
      </c>
      <c r="G5612" s="126" t="s">
        <v>14128</v>
      </c>
      <c r="H5612" s="255">
        <v>1</v>
      </c>
      <c r="I5612" s="361">
        <v>1</v>
      </c>
      <c r="J5612" s="368" t="s">
        <v>286</v>
      </c>
      <c r="K5612" s="372"/>
      <c r="L5612" s="129"/>
      <c r="M5612" s="129"/>
      <c r="N5612" s="129"/>
      <c r="O5612" s="129"/>
      <c r="P5612" s="372"/>
      <c r="Q5612" s="372"/>
      <c r="R5612" s="129"/>
      <c r="S5612" s="129"/>
      <c r="T5612" s="129"/>
      <c r="W5612" s="129" t="s">
        <v>286</v>
      </c>
      <c r="X5612" s="337" t="b">
        <f t="shared" si="125"/>
        <v>1</v>
      </c>
    </row>
    <row r="5613" spans="1:24" s="360" customFormat="1" ht="12" customHeight="1" outlineLevel="1">
      <c r="A5613" s="365"/>
      <c r="B5613" s="118" t="s">
        <v>12</v>
      </c>
      <c r="C5613" s="334" t="s">
        <v>14238</v>
      </c>
      <c r="D5613" s="124" t="s">
        <v>14239</v>
      </c>
      <c r="E5613" s="125"/>
      <c r="F5613" s="118" t="s">
        <v>1030</v>
      </c>
      <c r="G5613" s="126" t="s">
        <v>14128</v>
      </c>
      <c r="H5613" s="255">
        <v>1</v>
      </c>
      <c r="I5613" s="361">
        <v>1</v>
      </c>
      <c r="J5613" s="368" t="s">
        <v>286</v>
      </c>
      <c r="K5613" s="372"/>
      <c r="L5613" s="129"/>
      <c r="M5613" s="129"/>
      <c r="N5613" s="129"/>
      <c r="O5613" s="129"/>
      <c r="P5613" s="372"/>
      <c r="Q5613" s="372"/>
      <c r="R5613" s="129"/>
      <c r="S5613" s="129"/>
      <c r="T5613" s="129"/>
      <c r="W5613" s="129" t="s">
        <v>286</v>
      </c>
      <c r="X5613" s="337" t="b">
        <f t="shared" si="125"/>
        <v>1</v>
      </c>
    </row>
    <row r="5614" spans="1:24" s="360" customFormat="1" ht="12" customHeight="1" outlineLevel="1">
      <c r="A5614" s="365"/>
      <c r="B5614" s="118" t="s">
        <v>12</v>
      </c>
      <c r="C5614" s="334" t="s">
        <v>14240</v>
      </c>
      <c r="D5614" s="124" t="s">
        <v>14241</v>
      </c>
      <c r="E5614" s="125"/>
      <c r="F5614" s="118" t="s">
        <v>1030</v>
      </c>
      <c r="G5614" s="126" t="s">
        <v>14128</v>
      </c>
      <c r="H5614" s="255">
        <v>1</v>
      </c>
      <c r="I5614" s="361">
        <v>1</v>
      </c>
      <c r="J5614" s="368" t="s">
        <v>310</v>
      </c>
      <c r="K5614" s="372"/>
      <c r="L5614" s="129"/>
      <c r="M5614" s="129"/>
      <c r="N5614" s="129"/>
      <c r="O5614" s="129"/>
      <c r="P5614" s="372"/>
      <c r="Q5614" s="372"/>
      <c r="R5614" s="129"/>
      <c r="S5614" s="129"/>
      <c r="T5614" s="129"/>
      <c r="W5614" s="129" t="s">
        <v>310</v>
      </c>
      <c r="X5614" s="337" t="b">
        <f t="shared" si="125"/>
        <v>1</v>
      </c>
    </row>
    <row r="5615" spans="1:24" s="360" customFormat="1" ht="12" customHeight="1" outlineLevel="1">
      <c r="A5615" s="365"/>
      <c r="B5615" s="118" t="s">
        <v>12</v>
      </c>
      <c r="C5615" s="334" t="s">
        <v>14242</v>
      </c>
      <c r="D5615" s="124" t="s">
        <v>14243</v>
      </c>
      <c r="E5615" s="125"/>
      <c r="F5615" s="118" t="s">
        <v>1030</v>
      </c>
      <c r="G5615" s="126" t="s">
        <v>14128</v>
      </c>
      <c r="H5615" s="255">
        <v>1</v>
      </c>
      <c r="I5615" s="361">
        <v>1</v>
      </c>
      <c r="J5615" s="368" t="s">
        <v>286</v>
      </c>
      <c r="K5615" s="372"/>
      <c r="L5615" s="129"/>
      <c r="M5615" s="129"/>
      <c r="N5615" s="129"/>
      <c r="O5615" s="129"/>
      <c r="P5615" s="372"/>
      <c r="Q5615" s="372"/>
      <c r="R5615" s="129"/>
      <c r="S5615" s="129"/>
      <c r="T5615" s="129"/>
      <c r="W5615" s="129" t="s">
        <v>286</v>
      </c>
      <c r="X5615" s="337" t="b">
        <f t="shared" ref="X5615:X5678" si="126">W5615=J5615</f>
        <v>1</v>
      </c>
    </row>
    <row r="5616" spans="1:24" s="360" customFormat="1" ht="12" customHeight="1" outlineLevel="1">
      <c r="A5616" s="365"/>
      <c r="B5616" s="118" t="s">
        <v>12</v>
      </c>
      <c r="C5616" s="334" t="s">
        <v>14244</v>
      </c>
      <c r="D5616" s="124" t="s">
        <v>14245</v>
      </c>
      <c r="E5616" s="125"/>
      <c r="F5616" s="118" t="s">
        <v>1030</v>
      </c>
      <c r="G5616" s="126" t="s">
        <v>14128</v>
      </c>
      <c r="H5616" s="255">
        <v>1</v>
      </c>
      <c r="I5616" s="361">
        <v>1</v>
      </c>
      <c r="J5616" s="368" t="s">
        <v>286</v>
      </c>
      <c r="K5616" s="372"/>
      <c r="L5616" s="129"/>
      <c r="M5616" s="129"/>
      <c r="N5616" s="129"/>
      <c r="O5616" s="129"/>
      <c r="P5616" s="372"/>
      <c r="Q5616" s="372"/>
      <c r="R5616" s="129"/>
      <c r="S5616" s="129"/>
      <c r="T5616" s="129"/>
      <c r="W5616" s="129" t="s">
        <v>286</v>
      </c>
      <c r="X5616" s="337" t="b">
        <f t="shared" si="126"/>
        <v>1</v>
      </c>
    </row>
    <row r="5617" spans="1:24" s="360" customFormat="1" ht="12" customHeight="1" outlineLevel="1">
      <c r="A5617" s="365"/>
      <c r="B5617" s="118" t="s">
        <v>12</v>
      </c>
      <c r="C5617" s="334" t="s">
        <v>14246</v>
      </c>
      <c r="D5617" s="124" t="s">
        <v>14247</v>
      </c>
      <c r="E5617" s="125"/>
      <c r="F5617" s="118" t="s">
        <v>1030</v>
      </c>
      <c r="G5617" s="126" t="s">
        <v>14128</v>
      </c>
      <c r="H5617" s="255">
        <v>1</v>
      </c>
      <c r="I5617" s="361">
        <v>1</v>
      </c>
      <c r="J5617" s="368" t="s">
        <v>286</v>
      </c>
      <c r="K5617" s="372"/>
      <c r="L5617" s="129"/>
      <c r="M5617" s="129"/>
      <c r="N5617" s="129"/>
      <c r="O5617" s="129"/>
      <c r="P5617" s="372"/>
      <c r="Q5617" s="372"/>
      <c r="R5617" s="129"/>
      <c r="S5617" s="129"/>
      <c r="T5617" s="129"/>
      <c r="W5617" s="129" t="s">
        <v>4876</v>
      </c>
      <c r="X5617" s="337" t="b">
        <f t="shared" si="126"/>
        <v>0</v>
      </c>
    </row>
    <row r="5618" spans="1:24" s="360" customFormat="1" ht="12" customHeight="1" outlineLevel="1">
      <c r="A5618" s="365"/>
      <c r="B5618" s="118" t="s">
        <v>12</v>
      </c>
      <c r="C5618" s="334" t="s">
        <v>14248</v>
      </c>
      <c r="D5618" s="124" t="s">
        <v>14249</v>
      </c>
      <c r="E5618" s="125"/>
      <c r="F5618" s="118" t="s">
        <v>1030</v>
      </c>
      <c r="G5618" s="126" t="s">
        <v>14128</v>
      </c>
      <c r="H5618" s="255">
        <v>1</v>
      </c>
      <c r="I5618" s="361">
        <v>1</v>
      </c>
      <c r="J5618" s="368" t="s">
        <v>286</v>
      </c>
      <c r="K5618" s="372"/>
      <c r="L5618" s="129"/>
      <c r="M5618" s="129"/>
      <c r="N5618" s="129"/>
      <c r="O5618" s="129"/>
      <c r="P5618" s="372"/>
      <c r="Q5618" s="372"/>
      <c r="R5618" s="129"/>
      <c r="S5618" s="129"/>
      <c r="T5618" s="129"/>
      <c r="W5618" s="129" t="s">
        <v>286</v>
      </c>
      <c r="X5618" s="337" t="b">
        <f t="shared" si="126"/>
        <v>1</v>
      </c>
    </row>
    <row r="5619" spans="1:24" s="360" customFormat="1" ht="12" customHeight="1" outlineLevel="1">
      <c r="A5619" s="365"/>
      <c r="B5619" s="118" t="s">
        <v>12</v>
      </c>
      <c r="C5619" s="334" t="s">
        <v>14250</v>
      </c>
      <c r="D5619" s="124" t="s">
        <v>14251</v>
      </c>
      <c r="E5619" s="125"/>
      <c r="F5619" s="118" t="s">
        <v>1030</v>
      </c>
      <c r="G5619" s="126" t="s">
        <v>14128</v>
      </c>
      <c r="H5619" s="255">
        <v>1</v>
      </c>
      <c r="I5619" s="361">
        <v>1</v>
      </c>
      <c r="J5619" s="368" t="s">
        <v>310</v>
      </c>
      <c r="K5619" s="372"/>
      <c r="L5619" s="129"/>
      <c r="M5619" s="129"/>
      <c r="N5619" s="129"/>
      <c r="O5619" s="129"/>
      <c r="P5619" s="372"/>
      <c r="Q5619" s="372"/>
      <c r="R5619" s="129"/>
      <c r="S5619" s="129"/>
      <c r="T5619" s="129"/>
      <c r="W5619" s="129" t="s">
        <v>286</v>
      </c>
      <c r="X5619" s="337" t="b">
        <f t="shared" si="126"/>
        <v>0</v>
      </c>
    </row>
    <row r="5620" spans="1:24" s="360" customFormat="1" ht="12" customHeight="1" outlineLevel="1">
      <c r="A5620" s="365"/>
      <c r="B5620" s="118" t="s">
        <v>12</v>
      </c>
      <c r="C5620" s="334" t="s">
        <v>14252</v>
      </c>
      <c r="D5620" s="124" t="s">
        <v>14253</v>
      </c>
      <c r="E5620" s="125"/>
      <c r="F5620" s="118" t="s">
        <v>1030</v>
      </c>
      <c r="G5620" s="126" t="s">
        <v>14128</v>
      </c>
      <c r="H5620" s="255">
        <v>1</v>
      </c>
      <c r="I5620" s="361">
        <v>1</v>
      </c>
      <c r="J5620" s="368" t="s">
        <v>310</v>
      </c>
      <c r="K5620" s="372"/>
      <c r="L5620" s="129"/>
      <c r="M5620" s="129"/>
      <c r="N5620" s="129"/>
      <c r="O5620" s="129"/>
      <c r="P5620" s="372"/>
      <c r="Q5620" s="372"/>
      <c r="R5620" s="129"/>
      <c r="S5620" s="129"/>
      <c r="T5620" s="129"/>
      <c r="W5620" s="129" t="s">
        <v>286</v>
      </c>
      <c r="X5620" s="337" t="b">
        <f t="shared" si="126"/>
        <v>0</v>
      </c>
    </row>
    <row r="5621" spans="1:24" s="360" customFormat="1" ht="12" customHeight="1" outlineLevel="1">
      <c r="A5621" s="365"/>
      <c r="B5621" s="118" t="s">
        <v>12</v>
      </c>
      <c r="C5621" s="334" t="s">
        <v>14254</v>
      </c>
      <c r="D5621" s="124" t="s">
        <v>14255</v>
      </c>
      <c r="E5621" s="125"/>
      <c r="F5621" s="118" t="s">
        <v>1030</v>
      </c>
      <c r="G5621" s="126" t="s">
        <v>14128</v>
      </c>
      <c r="H5621" s="255">
        <v>1</v>
      </c>
      <c r="I5621" s="361">
        <v>1</v>
      </c>
      <c r="J5621" s="368" t="s">
        <v>310</v>
      </c>
      <c r="K5621" s="372"/>
      <c r="L5621" s="129"/>
      <c r="M5621" s="129"/>
      <c r="N5621" s="129"/>
      <c r="O5621" s="129"/>
      <c r="P5621" s="372"/>
      <c r="Q5621" s="372"/>
      <c r="R5621" s="129"/>
      <c r="S5621" s="129"/>
      <c r="T5621" s="129"/>
      <c r="W5621" s="129" t="s">
        <v>286</v>
      </c>
      <c r="X5621" s="337" t="b">
        <f t="shared" si="126"/>
        <v>0</v>
      </c>
    </row>
    <row r="5622" spans="1:24" s="360" customFormat="1" ht="12" customHeight="1" outlineLevel="1">
      <c r="A5622" s="365"/>
      <c r="B5622" s="118" t="s">
        <v>12</v>
      </c>
      <c r="C5622" s="334" t="s">
        <v>14256</v>
      </c>
      <c r="D5622" s="124" t="s">
        <v>14257</v>
      </c>
      <c r="E5622" s="125"/>
      <c r="F5622" s="118" t="s">
        <v>1030</v>
      </c>
      <c r="G5622" s="126" t="s">
        <v>14128</v>
      </c>
      <c r="H5622" s="255">
        <v>1</v>
      </c>
      <c r="I5622" s="361">
        <v>1</v>
      </c>
      <c r="J5622" s="368" t="s">
        <v>286</v>
      </c>
      <c r="K5622" s="372"/>
      <c r="L5622" s="129"/>
      <c r="M5622" s="129"/>
      <c r="N5622" s="129"/>
      <c r="O5622" s="129"/>
      <c r="P5622" s="372"/>
      <c r="Q5622" s="372"/>
      <c r="R5622" s="129"/>
      <c r="S5622" s="129"/>
      <c r="T5622" s="129"/>
      <c r="W5622" s="129" t="s">
        <v>286</v>
      </c>
      <c r="X5622" s="337" t="b">
        <f t="shared" si="126"/>
        <v>1</v>
      </c>
    </row>
    <row r="5623" spans="1:24" s="360" customFormat="1" ht="12" customHeight="1" outlineLevel="1">
      <c r="A5623" s="365"/>
      <c r="B5623" s="118" t="s">
        <v>12</v>
      </c>
      <c r="C5623" s="334" t="s">
        <v>14258</v>
      </c>
      <c r="D5623" s="124" t="s">
        <v>14259</v>
      </c>
      <c r="E5623" s="125"/>
      <c r="F5623" s="118" t="s">
        <v>1030</v>
      </c>
      <c r="G5623" s="126" t="s">
        <v>14128</v>
      </c>
      <c r="H5623" s="255">
        <v>1</v>
      </c>
      <c r="I5623" s="361">
        <v>1</v>
      </c>
      <c r="J5623" s="368" t="s">
        <v>310</v>
      </c>
      <c r="K5623" s="372"/>
      <c r="L5623" s="129"/>
      <c r="M5623" s="129"/>
      <c r="N5623" s="129"/>
      <c r="O5623" s="129"/>
      <c r="P5623" s="372"/>
      <c r="Q5623" s="372"/>
      <c r="R5623" s="129"/>
      <c r="S5623" s="129"/>
      <c r="T5623" s="129"/>
      <c r="W5623" s="129" t="s">
        <v>286</v>
      </c>
      <c r="X5623" s="337" t="b">
        <f t="shared" si="126"/>
        <v>0</v>
      </c>
    </row>
    <row r="5624" spans="1:24" s="360" customFormat="1" ht="12" customHeight="1" outlineLevel="1">
      <c r="A5624" s="365"/>
      <c r="B5624" s="118" t="s">
        <v>12</v>
      </c>
      <c r="C5624" s="334" t="s">
        <v>14260</v>
      </c>
      <c r="D5624" s="124" t="s">
        <v>14261</v>
      </c>
      <c r="E5624" s="125"/>
      <c r="F5624" s="118" t="s">
        <v>1030</v>
      </c>
      <c r="G5624" s="126" t="s">
        <v>14128</v>
      </c>
      <c r="H5624" s="255">
        <v>1</v>
      </c>
      <c r="I5624" s="361">
        <v>1</v>
      </c>
      <c r="J5624" s="368" t="s">
        <v>286</v>
      </c>
      <c r="K5624" s="372"/>
      <c r="L5624" s="129"/>
      <c r="M5624" s="129"/>
      <c r="N5624" s="129"/>
      <c r="O5624" s="129"/>
      <c r="P5624" s="372"/>
      <c r="Q5624" s="372"/>
      <c r="R5624" s="129"/>
      <c r="S5624" s="129"/>
      <c r="T5624" s="129"/>
      <c r="W5624" s="129" t="s">
        <v>286</v>
      </c>
      <c r="X5624" s="337" t="b">
        <f t="shared" si="126"/>
        <v>1</v>
      </c>
    </row>
    <row r="5625" spans="1:24" s="360" customFormat="1" ht="12" customHeight="1" outlineLevel="1">
      <c r="A5625" s="365"/>
      <c r="B5625" s="118" t="s">
        <v>12</v>
      </c>
      <c r="C5625" s="334" t="s">
        <v>14262</v>
      </c>
      <c r="D5625" s="124" t="s">
        <v>14263</v>
      </c>
      <c r="E5625" s="125"/>
      <c r="F5625" s="118" t="s">
        <v>1030</v>
      </c>
      <c r="G5625" s="126" t="s">
        <v>14128</v>
      </c>
      <c r="H5625" s="255">
        <v>1</v>
      </c>
      <c r="I5625" s="361">
        <v>1</v>
      </c>
      <c r="J5625" s="368" t="s">
        <v>286</v>
      </c>
      <c r="K5625" s="372"/>
      <c r="L5625" s="129"/>
      <c r="M5625" s="129"/>
      <c r="N5625" s="129"/>
      <c r="O5625" s="129"/>
      <c r="P5625" s="372"/>
      <c r="Q5625" s="372"/>
      <c r="R5625" s="129"/>
      <c r="S5625" s="129"/>
      <c r="T5625" s="129"/>
      <c r="W5625" s="129" t="s">
        <v>286</v>
      </c>
      <c r="X5625" s="337" t="b">
        <f t="shared" si="126"/>
        <v>1</v>
      </c>
    </row>
    <row r="5626" spans="1:24" s="360" customFormat="1" ht="12" customHeight="1" outlineLevel="1">
      <c r="A5626" s="365"/>
      <c r="B5626" s="118" t="s">
        <v>12</v>
      </c>
      <c r="C5626" s="334" t="s">
        <v>14264</v>
      </c>
      <c r="D5626" s="124" t="s">
        <v>14265</v>
      </c>
      <c r="E5626" s="125"/>
      <c r="F5626" s="118" t="s">
        <v>1030</v>
      </c>
      <c r="G5626" s="126" t="s">
        <v>14128</v>
      </c>
      <c r="H5626" s="255">
        <v>1</v>
      </c>
      <c r="I5626" s="361">
        <v>1</v>
      </c>
      <c r="J5626" s="368" t="s">
        <v>286</v>
      </c>
      <c r="K5626" s="372"/>
      <c r="L5626" s="129"/>
      <c r="M5626" s="129"/>
      <c r="N5626" s="129"/>
      <c r="O5626" s="129"/>
      <c r="P5626" s="372"/>
      <c r="Q5626" s="372"/>
      <c r="R5626" s="129"/>
      <c r="S5626" s="129"/>
      <c r="T5626" s="129"/>
      <c r="W5626" s="129" t="s">
        <v>310</v>
      </c>
      <c r="X5626" s="337" t="b">
        <f t="shared" si="126"/>
        <v>0</v>
      </c>
    </row>
    <row r="5627" spans="1:24" s="360" customFormat="1" ht="12" customHeight="1" outlineLevel="1">
      <c r="A5627" s="365"/>
      <c r="B5627" s="118" t="s">
        <v>12</v>
      </c>
      <c r="C5627" s="334" t="s">
        <v>14266</v>
      </c>
      <c r="D5627" s="124" t="s">
        <v>14267</v>
      </c>
      <c r="E5627" s="125"/>
      <c r="F5627" s="118" t="s">
        <v>1030</v>
      </c>
      <c r="G5627" s="126" t="s">
        <v>14128</v>
      </c>
      <c r="H5627" s="255">
        <v>1</v>
      </c>
      <c r="I5627" s="361">
        <v>1</v>
      </c>
      <c r="J5627" s="368" t="s">
        <v>286</v>
      </c>
      <c r="K5627" s="372"/>
      <c r="L5627" s="129"/>
      <c r="M5627" s="129"/>
      <c r="N5627" s="129"/>
      <c r="O5627" s="129"/>
      <c r="P5627" s="372"/>
      <c r="Q5627" s="372"/>
      <c r="R5627" s="129"/>
      <c r="S5627" s="129"/>
      <c r="T5627" s="129"/>
      <c r="W5627" s="129" t="s">
        <v>310</v>
      </c>
      <c r="X5627" s="337" t="b">
        <f t="shared" si="126"/>
        <v>0</v>
      </c>
    </row>
    <row r="5628" spans="1:24" s="360" customFormat="1" ht="12" customHeight="1" outlineLevel="1">
      <c r="A5628" s="365"/>
      <c r="B5628" s="118" t="s">
        <v>12</v>
      </c>
      <c r="C5628" s="334" t="s">
        <v>14268</v>
      </c>
      <c r="D5628" s="124" t="s">
        <v>14269</v>
      </c>
      <c r="E5628" s="125"/>
      <c r="F5628" s="118" t="s">
        <v>1030</v>
      </c>
      <c r="G5628" s="126" t="s">
        <v>14128</v>
      </c>
      <c r="H5628" s="255">
        <v>1</v>
      </c>
      <c r="I5628" s="361">
        <v>1</v>
      </c>
      <c r="J5628" s="368" t="s">
        <v>286</v>
      </c>
      <c r="K5628" s="372"/>
      <c r="L5628" s="129"/>
      <c r="M5628" s="129"/>
      <c r="N5628" s="129"/>
      <c r="O5628" s="129"/>
      <c r="P5628" s="372"/>
      <c r="Q5628" s="372"/>
      <c r="R5628" s="129"/>
      <c r="S5628" s="129"/>
      <c r="T5628" s="129"/>
      <c r="W5628" s="129" t="s">
        <v>310</v>
      </c>
      <c r="X5628" s="337" t="b">
        <f t="shared" si="126"/>
        <v>0</v>
      </c>
    </row>
    <row r="5629" spans="1:24" s="360" customFormat="1" ht="12" customHeight="1" outlineLevel="1">
      <c r="A5629" s="365"/>
      <c r="B5629" s="118" t="s">
        <v>12</v>
      </c>
      <c r="C5629" s="334" t="s">
        <v>14270</v>
      </c>
      <c r="D5629" s="124" t="s">
        <v>14271</v>
      </c>
      <c r="E5629" s="125"/>
      <c r="F5629" s="118" t="s">
        <v>1030</v>
      </c>
      <c r="G5629" s="126" t="s">
        <v>14128</v>
      </c>
      <c r="H5629" s="255">
        <v>1</v>
      </c>
      <c r="I5629" s="361">
        <v>1</v>
      </c>
      <c r="J5629" s="368" t="s">
        <v>286</v>
      </c>
      <c r="K5629" s="372"/>
      <c r="L5629" s="129"/>
      <c r="M5629" s="129"/>
      <c r="N5629" s="129"/>
      <c r="O5629" s="129"/>
      <c r="P5629" s="372"/>
      <c r="Q5629" s="372"/>
      <c r="R5629" s="129"/>
      <c r="S5629" s="129"/>
      <c r="T5629" s="129"/>
      <c r="W5629" s="129" t="s">
        <v>310</v>
      </c>
      <c r="X5629" s="337" t="b">
        <f t="shared" si="126"/>
        <v>0</v>
      </c>
    </row>
    <row r="5630" spans="1:24" s="360" customFormat="1" ht="12" customHeight="1" outlineLevel="1">
      <c r="A5630" s="365"/>
      <c r="B5630" s="118" t="s">
        <v>12</v>
      </c>
      <c r="C5630" s="334" t="s">
        <v>14272</v>
      </c>
      <c r="D5630" s="124" t="s">
        <v>14273</v>
      </c>
      <c r="E5630" s="125"/>
      <c r="F5630" s="118" t="s">
        <v>1030</v>
      </c>
      <c r="G5630" s="126" t="s">
        <v>14128</v>
      </c>
      <c r="H5630" s="255">
        <v>1</v>
      </c>
      <c r="I5630" s="361">
        <v>1</v>
      </c>
      <c r="J5630" s="368" t="s">
        <v>286</v>
      </c>
      <c r="K5630" s="372"/>
      <c r="L5630" s="129"/>
      <c r="M5630" s="129"/>
      <c r="N5630" s="129"/>
      <c r="O5630" s="129"/>
      <c r="P5630" s="372"/>
      <c r="Q5630" s="372"/>
      <c r="R5630" s="129"/>
      <c r="S5630" s="129"/>
      <c r="T5630" s="129"/>
      <c r="W5630" s="129" t="s">
        <v>310</v>
      </c>
      <c r="X5630" s="337" t="b">
        <f t="shared" si="126"/>
        <v>0</v>
      </c>
    </row>
    <row r="5631" spans="1:24" s="360" customFormat="1" ht="12" customHeight="1" outlineLevel="1">
      <c r="A5631" s="365"/>
      <c r="B5631" s="118" t="s">
        <v>12</v>
      </c>
      <c r="C5631" s="334" t="s">
        <v>14274</v>
      </c>
      <c r="D5631" s="124" t="s">
        <v>14275</v>
      </c>
      <c r="E5631" s="125"/>
      <c r="F5631" s="118" t="s">
        <v>1030</v>
      </c>
      <c r="G5631" s="126" t="s">
        <v>14128</v>
      </c>
      <c r="H5631" s="255">
        <v>1</v>
      </c>
      <c r="I5631" s="361">
        <v>1</v>
      </c>
      <c r="J5631" s="368" t="s">
        <v>286</v>
      </c>
      <c r="K5631" s="372"/>
      <c r="L5631" s="129"/>
      <c r="M5631" s="129"/>
      <c r="N5631" s="129"/>
      <c r="O5631" s="129"/>
      <c r="P5631" s="372"/>
      <c r="Q5631" s="372"/>
      <c r="R5631" s="129"/>
      <c r="S5631" s="129"/>
      <c r="T5631" s="129"/>
      <c r="W5631" s="129" t="s">
        <v>310</v>
      </c>
      <c r="X5631" s="337" t="b">
        <f t="shared" si="126"/>
        <v>0</v>
      </c>
    </row>
    <row r="5632" spans="1:24" s="360" customFormat="1" ht="12" customHeight="1" outlineLevel="1">
      <c r="A5632" s="365"/>
      <c r="B5632" s="118" t="s">
        <v>12</v>
      </c>
      <c r="C5632" s="334" t="s">
        <v>14276</v>
      </c>
      <c r="D5632" s="124" t="s">
        <v>14277</v>
      </c>
      <c r="E5632" s="125"/>
      <c r="F5632" s="118" t="s">
        <v>1030</v>
      </c>
      <c r="G5632" s="126" t="s">
        <v>14128</v>
      </c>
      <c r="H5632" s="255">
        <v>1</v>
      </c>
      <c r="I5632" s="361">
        <v>1</v>
      </c>
      <c r="J5632" s="368" t="s">
        <v>286</v>
      </c>
      <c r="K5632" s="372"/>
      <c r="L5632" s="129"/>
      <c r="M5632" s="129"/>
      <c r="N5632" s="129"/>
      <c r="O5632" s="129"/>
      <c r="P5632" s="372"/>
      <c r="Q5632" s="372"/>
      <c r="R5632" s="129"/>
      <c r="S5632" s="129"/>
      <c r="T5632" s="129"/>
      <c r="W5632" s="129" t="s">
        <v>310</v>
      </c>
      <c r="X5632" s="337" t="b">
        <f t="shared" si="126"/>
        <v>0</v>
      </c>
    </row>
    <row r="5633" spans="1:24" s="360" customFormat="1" ht="12" customHeight="1" outlineLevel="1">
      <c r="A5633" s="365"/>
      <c r="B5633" s="118" t="s">
        <v>12</v>
      </c>
      <c r="C5633" s="334" t="s">
        <v>14278</v>
      </c>
      <c r="D5633" s="124" t="s">
        <v>14279</v>
      </c>
      <c r="E5633" s="125"/>
      <c r="F5633" s="118" t="s">
        <v>1030</v>
      </c>
      <c r="G5633" s="126" t="s">
        <v>14128</v>
      </c>
      <c r="H5633" s="255">
        <v>1</v>
      </c>
      <c r="I5633" s="361">
        <v>1</v>
      </c>
      <c r="J5633" s="368" t="s">
        <v>286</v>
      </c>
      <c r="K5633" s="372"/>
      <c r="L5633" s="129"/>
      <c r="M5633" s="129"/>
      <c r="N5633" s="129"/>
      <c r="O5633" s="129"/>
      <c r="P5633" s="372"/>
      <c r="Q5633" s="372"/>
      <c r="R5633" s="129"/>
      <c r="S5633" s="129"/>
      <c r="T5633" s="129"/>
      <c r="W5633" s="129" t="s">
        <v>310</v>
      </c>
      <c r="X5633" s="337" t="b">
        <f t="shared" si="126"/>
        <v>0</v>
      </c>
    </row>
    <row r="5634" spans="1:24" s="360" customFormat="1" ht="12" customHeight="1" outlineLevel="1">
      <c r="A5634" s="365"/>
      <c r="B5634" s="118" t="s">
        <v>12</v>
      </c>
      <c r="C5634" s="334" t="s">
        <v>14280</v>
      </c>
      <c r="D5634" s="124" t="s">
        <v>14281</v>
      </c>
      <c r="E5634" s="125"/>
      <c r="F5634" s="118" t="s">
        <v>1030</v>
      </c>
      <c r="G5634" s="126" t="s">
        <v>14128</v>
      </c>
      <c r="H5634" s="255">
        <v>1</v>
      </c>
      <c r="I5634" s="361">
        <v>1</v>
      </c>
      <c r="J5634" s="368" t="s">
        <v>286</v>
      </c>
      <c r="K5634" s="372"/>
      <c r="L5634" s="129"/>
      <c r="M5634" s="129"/>
      <c r="N5634" s="129"/>
      <c r="O5634" s="129"/>
      <c r="P5634" s="372"/>
      <c r="Q5634" s="372"/>
      <c r="R5634" s="129"/>
      <c r="S5634" s="129"/>
      <c r="T5634" s="129"/>
      <c r="W5634" s="129" t="s">
        <v>310</v>
      </c>
      <c r="X5634" s="337" t="b">
        <f t="shared" si="126"/>
        <v>0</v>
      </c>
    </row>
    <row r="5635" spans="1:24" s="360" customFormat="1" ht="12" customHeight="1" outlineLevel="1">
      <c r="A5635" s="365"/>
      <c r="B5635" s="118" t="s">
        <v>12</v>
      </c>
      <c r="C5635" s="334" t="s">
        <v>14282</v>
      </c>
      <c r="D5635" s="124" t="s">
        <v>14283</v>
      </c>
      <c r="E5635" s="125"/>
      <c r="F5635" s="118" t="s">
        <v>1030</v>
      </c>
      <c r="G5635" s="126" t="s">
        <v>14128</v>
      </c>
      <c r="H5635" s="255">
        <v>1</v>
      </c>
      <c r="I5635" s="361">
        <v>1</v>
      </c>
      <c r="J5635" s="368" t="s">
        <v>286</v>
      </c>
      <c r="K5635" s="372"/>
      <c r="L5635" s="129"/>
      <c r="M5635" s="129"/>
      <c r="N5635" s="129"/>
      <c r="O5635" s="129"/>
      <c r="P5635" s="372"/>
      <c r="Q5635" s="372"/>
      <c r="R5635" s="129"/>
      <c r="S5635" s="129"/>
      <c r="T5635" s="129"/>
      <c r="W5635" s="129" t="s">
        <v>310</v>
      </c>
      <c r="X5635" s="337" t="b">
        <f t="shared" si="126"/>
        <v>0</v>
      </c>
    </row>
    <row r="5636" spans="1:24" s="360" customFormat="1" ht="12" customHeight="1" outlineLevel="1">
      <c r="A5636" s="365"/>
      <c r="B5636" s="118" t="s">
        <v>12</v>
      </c>
      <c r="C5636" s="334" t="s">
        <v>14284</v>
      </c>
      <c r="D5636" s="124" t="s">
        <v>14285</v>
      </c>
      <c r="E5636" s="125"/>
      <c r="F5636" s="118" t="s">
        <v>1030</v>
      </c>
      <c r="G5636" s="126" t="s">
        <v>14128</v>
      </c>
      <c r="H5636" s="255">
        <v>1</v>
      </c>
      <c r="I5636" s="361">
        <v>1</v>
      </c>
      <c r="J5636" s="368" t="s">
        <v>286</v>
      </c>
      <c r="K5636" s="372"/>
      <c r="L5636" s="129"/>
      <c r="M5636" s="129"/>
      <c r="N5636" s="129"/>
      <c r="O5636" s="129"/>
      <c r="P5636" s="372"/>
      <c r="Q5636" s="372"/>
      <c r="R5636" s="129"/>
      <c r="S5636" s="129"/>
      <c r="T5636" s="129"/>
      <c r="W5636" s="129" t="s">
        <v>310</v>
      </c>
      <c r="X5636" s="337" t="b">
        <f t="shared" si="126"/>
        <v>0</v>
      </c>
    </row>
    <row r="5637" spans="1:24" s="360" customFormat="1" ht="12" customHeight="1" outlineLevel="1">
      <c r="A5637" s="365"/>
      <c r="B5637" s="118" t="s">
        <v>12</v>
      </c>
      <c r="C5637" s="334" t="s">
        <v>14286</v>
      </c>
      <c r="D5637" s="124" t="s">
        <v>14287</v>
      </c>
      <c r="E5637" s="125"/>
      <c r="F5637" s="118" t="s">
        <v>1030</v>
      </c>
      <c r="G5637" s="126" t="s">
        <v>14128</v>
      </c>
      <c r="H5637" s="255">
        <v>1</v>
      </c>
      <c r="I5637" s="361">
        <v>1</v>
      </c>
      <c r="J5637" s="368" t="s">
        <v>286</v>
      </c>
      <c r="K5637" s="372"/>
      <c r="L5637" s="129"/>
      <c r="M5637" s="129"/>
      <c r="N5637" s="129"/>
      <c r="O5637" s="129"/>
      <c r="P5637" s="372"/>
      <c r="Q5637" s="372"/>
      <c r="R5637" s="129"/>
      <c r="S5637" s="129"/>
      <c r="T5637" s="129"/>
      <c r="W5637" s="129" t="s">
        <v>310</v>
      </c>
      <c r="X5637" s="337" t="b">
        <f t="shared" si="126"/>
        <v>0</v>
      </c>
    </row>
    <row r="5638" spans="1:24" s="360" customFormat="1" ht="12" customHeight="1" outlineLevel="1">
      <c r="A5638" s="365"/>
      <c r="B5638" s="118" t="s">
        <v>12</v>
      </c>
      <c r="C5638" s="334" t="s">
        <v>14288</v>
      </c>
      <c r="D5638" s="124" t="s">
        <v>14289</v>
      </c>
      <c r="E5638" s="125"/>
      <c r="F5638" s="118" t="s">
        <v>1030</v>
      </c>
      <c r="G5638" s="126" t="s">
        <v>14128</v>
      </c>
      <c r="H5638" s="255">
        <v>1</v>
      </c>
      <c r="I5638" s="361">
        <v>1</v>
      </c>
      <c r="J5638" s="368" t="s">
        <v>286</v>
      </c>
      <c r="K5638" s="372"/>
      <c r="L5638" s="129"/>
      <c r="M5638" s="129"/>
      <c r="N5638" s="129"/>
      <c r="O5638" s="129"/>
      <c r="P5638" s="372"/>
      <c r="Q5638" s="372"/>
      <c r="R5638" s="129"/>
      <c r="S5638" s="129"/>
      <c r="T5638" s="129"/>
      <c r="W5638" s="129" t="s">
        <v>310</v>
      </c>
      <c r="X5638" s="337" t="b">
        <f t="shared" si="126"/>
        <v>0</v>
      </c>
    </row>
    <row r="5639" spans="1:24" s="360" customFormat="1" ht="12" customHeight="1" outlineLevel="1">
      <c r="A5639" s="365"/>
      <c r="B5639" s="118" t="s">
        <v>12</v>
      </c>
      <c r="C5639" s="334" t="s">
        <v>14290</v>
      </c>
      <c r="D5639" s="124" t="s">
        <v>14291</v>
      </c>
      <c r="E5639" s="125"/>
      <c r="F5639" s="118" t="s">
        <v>1030</v>
      </c>
      <c r="G5639" s="126" t="s">
        <v>14128</v>
      </c>
      <c r="H5639" s="255">
        <v>1</v>
      </c>
      <c r="I5639" s="361">
        <v>1</v>
      </c>
      <c r="J5639" s="368" t="s">
        <v>286</v>
      </c>
      <c r="K5639" s="372"/>
      <c r="L5639" s="129"/>
      <c r="M5639" s="129"/>
      <c r="N5639" s="129"/>
      <c r="O5639" s="129"/>
      <c r="P5639" s="372"/>
      <c r="Q5639" s="372"/>
      <c r="R5639" s="129"/>
      <c r="S5639" s="129"/>
      <c r="T5639" s="129"/>
      <c r="W5639" s="129" t="s">
        <v>310</v>
      </c>
      <c r="X5639" s="337" t="b">
        <f t="shared" si="126"/>
        <v>0</v>
      </c>
    </row>
    <row r="5640" spans="1:24" s="360" customFormat="1" ht="12" customHeight="1" outlineLevel="1">
      <c r="A5640" s="365"/>
      <c r="B5640" s="118" t="s">
        <v>12</v>
      </c>
      <c r="C5640" s="334" t="s">
        <v>14292</v>
      </c>
      <c r="D5640" s="124" t="s">
        <v>14293</v>
      </c>
      <c r="E5640" s="125"/>
      <c r="F5640" s="118" t="s">
        <v>1030</v>
      </c>
      <c r="G5640" s="126" t="s">
        <v>14128</v>
      </c>
      <c r="H5640" s="255">
        <v>1</v>
      </c>
      <c r="I5640" s="361">
        <v>1</v>
      </c>
      <c r="J5640" s="368" t="s">
        <v>286</v>
      </c>
      <c r="K5640" s="372"/>
      <c r="L5640" s="129"/>
      <c r="M5640" s="129"/>
      <c r="N5640" s="129"/>
      <c r="O5640" s="129"/>
      <c r="P5640" s="372"/>
      <c r="Q5640" s="372"/>
      <c r="R5640" s="129"/>
      <c r="S5640" s="129"/>
      <c r="T5640" s="129"/>
      <c r="W5640" s="129" t="s">
        <v>310</v>
      </c>
      <c r="X5640" s="337" t="b">
        <f t="shared" si="126"/>
        <v>0</v>
      </c>
    </row>
    <row r="5641" spans="1:24" s="360" customFormat="1" ht="12" customHeight="1" outlineLevel="1">
      <c r="A5641" s="365"/>
      <c r="B5641" s="118" t="s">
        <v>12</v>
      </c>
      <c r="C5641" s="334" t="s">
        <v>14294</v>
      </c>
      <c r="D5641" s="124" t="s">
        <v>14295</v>
      </c>
      <c r="E5641" s="125"/>
      <c r="F5641" s="118" t="s">
        <v>1030</v>
      </c>
      <c r="G5641" s="126" t="s">
        <v>14128</v>
      </c>
      <c r="H5641" s="255">
        <v>1</v>
      </c>
      <c r="I5641" s="361">
        <v>1</v>
      </c>
      <c r="J5641" s="368" t="s">
        <v>286</v>
      </c>
      <c r="K5641" s="372"/>
      <c r="L5641" s="129"/>
      <c r="M5641" s="129"/>
      <c r="N5641" s="129"/>
      <c r="O5641" s="129"/>
      <c r="P5641" s="372"/>
      <c r="Q5641" s="372"/>
      <c r="R5641" s="129"/>
      <c r="S5641" s="129"/>
      <c r="T5641" s="129"/>
      <c r="W5641" s="129" t="s">
        <v>310</v>
      </c>
      <c r="X5641" s="337" t="b">
        <f t="shared" si="126"/>
        <v>0</v>
      </c>
    </row>
    <row r="5642" spans="1:24" s="360" customFormat="1" ht="12" customHeight="1" outlineLevel="1">
      <c r="A5642" s="365"/>
      <c r="B5642" s="118" t="s">
        <v>12</v>
      </c>
      <c r="C5642" s="334" t="s">
        <v>14296</v>
      </c>
      <c r="D5642" s="124" t="s">
        <v>14297</v>
      </c>
      <c r="E5642" s="125"/>
      <c r="F5642" s="118" t="s">
        <v>1030</v>
      </c>
      <c r="G5642" s="126" t="s">
        <v>14128</v>
      </c>
      <c r="H5642" s="255">
        <v>1</v>
      </c>
      <c r="I5642" s="361">
        <v>1</v>
      </c>
      <c r="J5642" s="368" t="s">
        <v>286</v>
      </c>
      <c r="K5642" s="372"/>
      <c r="L5642" s="129"/>
      <c r="M5642" s="129"/>
      <c r="N5642" s="129"/>
      <c r="O5642" s="129"/>
      <c r="P5642" s="372"/>
      <c r="Q5642" s="372"/>
      <c r="R5642" s="129"/>
      <c r="S5642" s="129"/>
      <c r="T5642" s="129"/>
      <c r="W5642" s="129" t="s">
        <v>310</v>
      </c>
      <c r="X5642" s="337" t="b">
        <f t="shared" si="126"/>
        <v>0</v>
      </c>
    </row>
    <row r="5643" spans="1:24" s="360" customFormat="1" ht="12" customHeight="1" outlineLevel="1">
      <c r="A5643" s="365"/>
      <c r="B5643" s="118" t="s">
        <v>12</v>
      </c>
      <c r="C5643" s="334" t="s">
        <v>14298</v>
      </c>
      <c r="D5643" s="124" t="s">
        <v>12873</v>
      </c>
      <c r="E5643" s="125"/>
      <c r="F5643" s="118" t="s">
        <v>1030</v>
      </c>
      <c r="G5643" s="126" t="s">
        <v>14128</v>
      </c>
      <c r="H5643" s="255">
        <v>1</v>
      </c>
      <c r="I5643" s="361">
        <v>1</v>
      </c>
      <c r="J5643" s="368" t="s">
        <v>286</v>
      </c>
      <c r="K5643" s="372"/>
      <c r="L5643" s="129"/>
      <c r="M5643" s="129"/>
      <c r="N5643" s="129"/>
      <c r="O5643" s="129"/>
      <c r="P5643" s="372"/>
      <c r="Q5643" s="372"/>
      <c r="R5643" s="129"/>
      <c r="S5643" s="129"/>
      <c r="T5643" s="129"/>
      <c r="W5643" s="129" t="s">
        <v>310</v>
      </c>
      <c r="X5643" s="337" t="b">
        <f t="shared" si="126"/>
        <v>0</v>
      </c>
    </row>
    <row r="5644" spans="1:24" s="360" customFormat="1" ht="12" customHeight="1" outlineLevel="1">
      <c r="A5644" s="365"/>
      <c r="B5644" s="118" t="s">
        <v>12</v>
      </c>
      <c r="C5644" s="334" t="s">
        <v>14299</v>
      </c>
      <c r="D5644" s="124" t="s">
        <v>14300</v>
      </c>
      <c r="E5644" s="125"/>
      <c r="F5644" s="118" t="s">
        <v>1030</v>
      </c>
      <c r="G5644" s="126" t="s">
        <v>14128</v>
      </c>
      <c r="H5644" s="255">
        <v>1</v>
      </c>
      <c r="I5644" s="361">
        <v>1</v>
      </c>
      <c r="J5644" s="368" t="s">
        <v>286</v>
      </c>
      <c r="K5644" s="372"/>
      <c r="L5644" s="129"/>
      <c r="M5644" s="129"/>
      <c r="N5644" s="129"/>
      <c r="O5644" s="129"/>
      <c r="P5644" s="372"/>
      <c r="Q5644" s="372"/>
      <c r="R5644" s="129"/>
      <c r="S5644" s="129"/>
      <c r="T5644" s="129"/>
      <c r="W5644" s="129" t="s">
        <v>310</v>
      </c>
      <c r="X5644" s="337" t="b">
        <f t="shared" si="126"/>
        <v>0</v>
      </c>
    </row>
    <row r="5645" spans="1:24" s="360" customFormat="1" ht="12" customHeight="1" outlineLevel="1">
      <c r="A5645" s="365"/>
      <c r="B5645" s="118" t="s">
        <v>12</v>
      </c>
      <c r="C5645" s="334" t="s">
        <v>14301</v>
      </c>
      <c r="D5645" s="124" t="s">
        <v>12859</v>
      </c>
      <c r="E5645" s="125"/>
      <c r="F5645" s="118" t="s">
        <v>1030</v>
      </c>
      <c r="G5645" s="126" t="s">
        <v>14128</v>
      </c>
      <c r="H5645" s="255">
        <v>1</v>
      </c>
      <c r="I5645" s="361">
        <v>1</v>
      </c>
      <c r="J5645" s="368" t="s">
        <v>286</v>
      </c>
      <c r="K5645" s="372"/>
      <c r="L5645" s="129"/>
      <c r="M5645" s="129"/>
      <c r="N5645" s="129"/>
      <c r="O5645" s="129"/>
      <c r="P5645" s="372"/>
      <c r="Q5645" s="372"/>
      <c r="R5645" s="129"/>
      <c r="S5645" s="129"/>
      <c r="T5645" s="129"/>
      <c r="W5645" s="129" t="s">
        <v>310</v>
      </c>
      <c r="X5645" s="337" t="b">
        <f t="shared" si="126"/>
        <v>0</v>
      </c>
    </row>
    <row r="5646" spans="1:24" s="360" customFormat="1" ht="12" customHeight="1" outlineLevel="1">
      <c r="A5646" s="365"/>
      <c r="B5646" s="118" t="s">
        <v>12</v>
      </c>
      <c r="C5646" s="334" t="s">
        <v>14302</v>
      </c>
      <c r="D5646" s="124" t="s">
        <v>8723</v>
      </c>
      <c r="E5646" s="125"/>
      <c r="F5646" s="118" t="s">
        <v>1030</v>
      </c>
      <c r="G5646" s="126" t="s">
        <v>14128</v>
      </c>
      <c r="H5646" s="255">
        <v>1</v>
      </c>
      <c r="I5646" s="361">
        <v>1</v>
      </c>
      <c r="J5646" s="368" t="s">
        <v>286</v>
      </c>
      <c r="K5646" s="372"/>
      <c r="L5646" s="129"/>
      <c r="M5646" s="129"/>
      <c r="N5646" s="129"/>
      <c r="O5646" s="129"/>
      <c r="P5646" s="372"/>
      <c r="Q5646" s="372"/>
      <c r="R5646" s="129"/>
      <c r="S5646" s="129"/>
      <c r="T5646" s="129"/>
      <c r="W5646" s="129" t="s">
        <v>286</v>
      </c>
      <c r="X5646" s="337" t="b">
        <f t="shared" si="126"/>
        <v>1</v>
      </c>
    </row>
    <row r="5647" spans="1:24" s="360" customFormat="1" ht="12" customHeight="1" outlineLevel="1">
      <c r="A5647" s="365"/>
      <c r="B5647" s="118" t="s">
        <v>12</v>
      </c>
      <c r="C5647" s="334" t="s">
        <v>14303</v>
      </c>
      <c r="D5647" s="124" t="s">
        <v>8725</v>
      </c>
      <c r="E5647" s="125"/>
      <c r="F5647" s="118" t="s">
        <v>1030</v>
      </c>
      <c r="G5647" s="126" t="s">
        <v>14128</v>
      </c>
      <c r="H5647" s="255">
        <v>1</v>
      </c>
      <c r="I5647" s="361">
        <v>1</v>
      </c>
      <c r="J5647" s="368" t="s">
        <v>286</v>
      </c>
      <c r="K5647" s="372"/>
      <c r="L5647" s="129"/>
      <c r="M5647" s="129"/>
      <c r="N5647" s="129"/>
      <c r="O5647" s="129"/>
      <c r="P5647" s="372"/>
      <c r="Q5647" s="372"/>
      <c r="R5647" s="129"/>
      <c r="S5647" s="129"/>
      <c r="T5647" s="129"/>
      <c r="W5647" s="129" t="s">
        <v>286</v>
      </c>
      <c r="X5647" s="337" t="b">
        <f t="shared" si="126"/>
        <v>1</v>
      </c>
    </row>
    <row r="5648" spans="1:24" s="360" customFormat="1" ht="12" customHeight="1" outlineLevel="1">
      <c r="A5648" s="365"/>
      <c r="B5648" s="118" t="s">
        <v>12</v>
      </c>
      <c r="C5648" s="334" t="s">
        <v>14304</v>
      </c>
      <c r="D5648" s="124" t="s">
        <v>8727</v>
      </c>
      <c r="E5648" s="125"/>
      <c r="F5648" s="118" t="s">
        <v>1030</v>
      </c>
      <c r="G5648" s="126" t="s">
        <v>14128</v>
      </c>
      <c r="H5648" s="255">
        <v>1</v>
      </c>
      <c r="I5648" s="361">
        <v>1</v>
      </c>
      <c r="J5648" s="368" t="s">
        <v>286</v>
      </c>
      <c r="K5648" s="372"/>
      <c r="L5648" s="129"/>
      <c r="M5648" s="129"/>
      <c r="N5648" s="129"/>
      <c r="O5648" s="129"/>
      <c r="P5648" s="372"/>
      <c r="Q5648" s="372"/>
      <c r="R5648" s="129"/>
      <c r="S5648" s="129"/>
      <c r="T5648" s="129"/>
      <c r="W5648" s="129" t="s">
        <v>286</v>
      </c>
      <c r="X5648" s="337" t="b">
        <f t="shared" si="126"/>
        <v>1</v>
      </c>
    </row>
    <row r="5649" spans="1:24" s="360" customFormat="1" ht="12" customHeight="1" outlineLevel="1">
      <c r="A5649" s="365"/>
      <c r="B5649" s="118" t="s">
        <v>12</v>
      </c>
      <c r="C5649" s="334" t="s">
        <v>14305</v>
      </c>
      <c r="D5649" s="124" t="s">
        <v>8729</v>
      </c>
      <c r="E5649" s="125"/>
      <c r="F5649" s="118" t="s">
        <v>1030</v>
      </c>
      <c r="G5649" s="126" t="s">
        <v>14128</v>
      </c>
      <c r="H5649" s="255">
        <v>1</v>
      </c>
      <c r="I5649" s="361">
        <v>1</v>
      </c>
      <c r="J5649" s="368" t="s">
        <v>286</v>
      </c>
      <c r="K5649" s="372"/>
      <c r="L5649" s="129"/>
      <c r="M5649" s="129"/>
      <c r="N5649" s="129"/>
      <c r="O5649" s="129"/>
      <c r="P5649" s="372"/>
      <c r="Q5649" s="372"/>
      <c r="R5649" s="129"/>
      <c r="S5649" s="129"/>
      <c r="T5649" s="129"/>
      <c r="W5649" s="129" t="s">
        <v>286</v>
      </c>
      <c r="X5649" s="337" t="b">
        <f t="shared" si="126"/>
        <v>1</v>
      </c>
    </row>
    <row r="5650" spans="1:24" s="360" customFormat="1" ht="12" customHeight="1" outlineLevel="1">
      <c r="A5650" s="365"/>
      <c r="B5650" s="118" t="s">
        <v>12</v>
      </c>
      <c r="C5650" s="334" t="s">
        <v>14306</v>
      </c>
      <c r="D5650" s="124" t="s">
        <v>8731</v>
      </c>
      <c r="E5650" s="125"/>
      <c r="F5650" s="118" t="s">
        <v>1030</v>
      </c>
      <c r="G5650" s="126" t="s">
        <v>14128</v>
      </c>
      <c r="H5650" s="255">
        <v>1</v>
      </c>
      <c r="I5650" s="361">
        <v>1</v>
      </c>
      <c r="J5650" s="368" t="s">
        <v>286</v>
      </c>
      <c r="K5650" s="372"/>
      <c r="L5650" s="129"/>
      <c r="M5650" s="129"/>
      <c r="N5650" s="129"/>
      <c r="O5650" s="129"/>
      <c r="P5650" s="372"/>
      <c r="Q5650" s="372"/>
      <c r="R5650" s="129"/>
      <c r="S5650" s="129"/>
      <c r="T5650" s="129"/>
      <c r="W5650" s="129" t="s">
        <v>286</v>
      </c>
      <c r="X5650" s="337" t="b">
        <f t="shared" si="126"/>
        <v>1</v>
      </c>
    </row>
    <row r="5651" spans="1:24" s="360" customFormat="1" ht="12" customHeight="1" outlineLevel="1">
      <c r="A5651" s="365"/>
      <c r="B5651" s="118" t="s">
        <v>12</v>
      </c>
      <c r="C5651" s="334" t="s">
        <v>14307</v>
      </c>
      <c r="D5651" s="124" t="s">
        <v>8733</v>
      </c>
      <c r="E5651" s="125"/>
      <c r="F5651" s="118" t="s">
        <v>1030</v>
      </c>
      <c r="G5651" s="126" t="s">
        <v>14128</v>
      </c>
      <c r="H5651" s="255">
        <v>1</v>
      </c>
      <c r="I5651" s="361">
        <v>1</v>
      </c>
      <c r="J5651" s="368" t="s">
        <v>286</v>
      </c>
      <c r="K5651" s="372"/>
      <c r="L5651" s="129"/>
      <c r="M5651" s="129"/>
      <c r="N5651" s="129"/>
      <c r="O5651" s="129"/>
      <c r="P5651" s="372"/>
      <c r="Q5651" s="372"/>
      <c r="R5651" s="129"/>
      <c r="S5651" s="129"/>
      <c r="T5651" s="129"/>
      <c r="W5651" s="129" t="s">
        <v>286</v>
      </c>
      <c r="X5651" s="337" t="b">
        <f t="shared" si="126"/>
        <v>1</v>
      </c>
    </row>
    <row r="5652" spans="1:24" s="360" customFormat="1" ht="12" customHeight="1" outlineLevel="1">
      <c r="A5652" s="365"/>
      <c r="B5652" s="118" t="s">
        <v>12</v>
      </c>
      <c r="C5652" s="334" t="s">
        <v>14308</v>
      </c>
      <c r="D5652" s="124" t="s">
        <v>14309</v>
      </c>
      <c r="E5652" s="125"/>
      <c r="F5652" s="118" t="s">
        <v>1030</v>
      </c>
      <c r="G5652" s="126" t="s">
        <v>14128</v>
      </c>
      <c r="H5652" s="255">
        <v>1</v>
      </c>
      <c r="I5652" s="361">
        <v>1</v>
      </c>
      <c r="J5652" s="368" t="s">
        <v>286</v>
      </c>
      <c r="K5652" s="372"/>
      <c r="L5652" s="129"/>
      <c r="M5652" s="129"/>
      <c r="N5652" s="129"/>
      <c r="O5652" s="129"/>
      <c r="P5652" s="372"/>
      <c r="Q5652" s="372"/>
      <c r="R5652" s="129"/>
      <c r="S5652" s="129"/>
      <c r="T5652" s="129"/>
      <c r="W5652" s="129" t="s">
        <v>310</v>
      </c>
      <c r="X5652" s="337" t="b">
        <f t="shared" si="126"/>
        <v>0</v>
      </c>
    </row>
    <row r="5653" spans="1:24" s="360" customFormat="1" ht="12" customHeight="1" outlineLevel="1">
      <c r="A5653" s="365"/>
      <c r="B5653" s="118" t="s">
        <v>12</v>
      </c>
      <c r="C5653" s="334" t="s">
        <v>14310</v>
      </c>
      <c r="D5653" s="124" t="s">
        <v>8735</v>
      </c>
      <c r="E5653" s="125"/>
      <c r="F5653" s="118" t="s">
        <v>1030</v>
      </c>
      <c r="G5653" s="126" t="s">
        <v>14128</v>
      </c>
      <c r="H5653" s="255">
        <v>1</v>
      </c>
      <c r="I5653" s="361">
        <v>1</v>
      </c>
      <c r="J5653" s="368" t="s">
        <v>286</v>
      </c>
      <c r="K5653" s="372"/>
      <c r="L5653" s="129"/>
      <c r="M5653" s="129"/>
      <c r="N5653" s="129"/>
      <c r="O5653" s="129"/>
      <c r="P5653" s="372"/>
      <c r="Q5653" s="372"/>
      <c r="R5653" s="129"/>
      <c r="S5653" s="129"/>
      <c r="T5653" s="129"/>
      <c r="W5653" s="129" t="s">
        <v>286</v>
      </c>
      <c r="X5653" s="337" t="b">
        <f t="shared" si="126"/>
        <v>1</v>
      </c>
    </row>
    <row r="5654" spans="1:24" s="360" customFormat="1" ht="12" customHeight="1" outlineLevel="1">
      <c r="A5654" s="365"/>
      <c r="B5654" s="118" t="s">
        <v>12</v>
      </c>
      <c r="C5654" s="334" t="s">
        <v>14311</v>
      </c>
      <c r="D5654" s="124" t="s">
        <v>8737</v>
      </c>
      <c r="E5654" s="125"/>
      <c r="F5654" s="118" t="s">
        <v>1030</v>
      </c>
      <c r="G5654" s="126" t="s">
        <v>14128</v>
      </c>
      <c r="H5654" s="255">
        <v>1</v>
      </c>
      <c r="I5654" s="361">
        <v>1</v>
      </c>
      <c r="J5654" s="368" t="s">
        <v>286</v>
      </c>
      <c r="K5654" s="372"/>
      <c r="L5654" s="129"/>
      <c r="M5654" s="129"/>
      <c r="N5654" s="129"/>
      <c r="O5654" s="129"/>
      <c r="P5654" s="372"/>
      <c r="Q5654" s="372"/>
      <c r="R5654" s="129"/>
      <c r="S5654" s="129"/>
      <c r="T5654" s="129"/>
      <c r="W5654" s="129" t="s">
        <v>286</v>
      </c>
      <c r="X5654" s="337" t="b">
        <f t="shared" si="126"/>
        <v>1</v>
      </c>
    </row>
    <row r="5655" spans="1:24" s="360" customFormat="1" ht="12" customHeight="1" outlineLevel="1">
      <c r="A5655" s="365"/>
      <c r="B5655" s="118" t="s">
        <v>12</v>
      </c>
      <c r="C5655" s="334" t="s">
        <v>14312</v>
      </c>
      <c r="D5655" s="124" t="s">
        <v>8739</v>
      </c>
      <c r="E5655" s="125"/>
      <c r="F5655" s="118" t="s">
        <v>1030</v>
      </c>
      <c r="G5655" s="126" t="s">
        <v>14128</v>
      </c>
      <c r="H5655" s="255">
        <v>1</v>
      </c>
      <c r="I5655" s="361">
        <v>1</v>
      </c>
      <c r="J5655" s="368" t="s">
        <v>286</v>
      </c>
      <c r="K5655" s="372"/>
      <c r="L5655" s="129"/>
      <c r="M5655" s="129"/>
      <c r="N5655" s="129"/>
      <c r="O5655" s="129"/>
      <c r="P5655" s="372"/>
      <c r="Q5655" s="372"/>
      <c r="R5655" s="129"/>
      <c r="S5655" s="129"/>
      <c r="T5655" s="129"/>
      <c r="W5655" s="129" t="s">
        <v>286</v>
      </c>
      <c r="X5655" s="337" t="b">
        <f t="shared" si="126"/>
        <v>1</v>
      </c>
    </row>
    <row r="5656" spans="1:24" s="360" customFormat="1" ht="12" customHeight="1" outlineLevel="1">
      <c r="A5656" s="365"/>
      <c r="B5656" s="118" t="s">
        <v>12</v>
      </c>
      <c r="C5656" s="334" t="s">
        <v>14313</v>
      </c>
      <c r="D5656" s="124" t="s">
        <v>8741</v>
      </c>
      <c r="E5656" s="125"/>
      <c r="F5656" s="118" t="s">
        <v>1030</v>
      </c>
      <c r="G5656" s="126" t="s">
        <v>14128</v>
      </c>
      <c r="H5656" s="255">
        <v>1</v>
      </c>
      <c r="I5656" s="361">
        <v>1</v>
      </c>
      <c r="J5656" s="368" t="s">
        <v>286</v>
      </c>
      <c r="K5656" s="372"/>
      <c r="L5656" s="129"/>
      <c r="M5656" s="129"/>
      <c r="N5656" s="129"/>
      <c r="O5656" s="129"/>
      <c r="P5656" s="372"/>
      <c r="Q5656" s="372"/>
      <c r="R5656" s="129"/>
      <c r="S5656" s="129"/>
      <c r="T5656" s="129"/>
      <c r="W5656" s="129" t="s">
        <v>286</v>
      </c>
      <c r="X5656" s="337" t="b">
        <f t="shared" si="126"/>
        <v>1</v>
      </c>
    </row>
    <row r="5657" spans="1:24" s="360" customFormat="1" ht="12" customHeight="1" outlineLevel="1">
      <c r="A5657" s="365"/>
      <c r="B5657" s="118" t="s">
        <v>12</v>
      </c>
      <c r="C5657" s="334" t="s">
        <v>14314</v>
      </c>
      <c r="D5657" s="124" t="s">
        <v>8743</v>
      </c>
      <c r="E5657" s="125"/>
      <c r="F5657" s="118" t="s">
        <v>1030</v>
      </c>
      <c r="G5657" s="126" t="s">
        <v>14128</v>
      </c>
      <c r="H5657" s="255">
        <v>1</v>
      </c>
      <c r="I5657" s="361">
        <v>1</v>
      </c>
      <c r="J5657" s="368" t="s">
        <v>286</v>
      </c>
      <c r="K5657" s="372"/>
      <c r="L5657" s="129"/>
      <c r="M5657" s="129"/>
      <c r="N5657" s="129"/>
      <c r="O5657" s="129"/>
      <c r="P5657" s="372"/>
      <c r="Q5657" s="372"/>
      <c r="R5657" s="129"/>
      <c r="S5657" s="129"/>
      <c r="T5657" s="129"/>
      <c r="W5657" s="129" t="s">
        <v>286</v>
      </c>
      <c r="X5657" s="337" t="b">
        <f t="shared" si="126"/>
        <v>1</v>
      </c>
    </row>
    <row r="5658" spans="1:24" s="360" customFormat="1" ht="12" customHeight="1" outlineLevel="1">
      <c r="A5658" s="365"/>
      <c r="B5658" s="118" t="s">
        <v>12</v>
      </c>
      <c r="C5658" s="334" t="s">
        <v>14315</v>
      </c>
      <c r="D5658" s="124" t="s">
        <v>8745</v>
      </c>
      <c r="E5658" s="125"/>
      <c r="F5658" s="118" t="s">
        <v>1030</v>
      </c>
      <c r="G5658" s="126" t="s">
        <v>14128</v>
      </c>
      <c r="H5658" s="255">
        <v>1</v>
      </c>
      <c r="I5658" s="361">
        <v>1</v>
      </c>
      <c r="J5658" s="368" t="s">
        <v>286</v>
      </c>
      <c r="K5658" s="372"/>
      <c r="L5658" s="129"/>
      <c r="M5658" s="129"/>
      <c r="N5658" s="129"/>
      <c r="O5658" s="129"/>
      <c r="P5658" s="372"/>
      <c r="Q5658" s="372"/>
      <c r="R5658" s="129"/>
      <c r="S5658" s="129"/>
      <c r="T5658" s="129"/>
      <c r="W5658" s="129" t="s">
        <v>286</v>
      </c>
      <c r="X5658" s="337" t="b">
        <f t="shared" si="126"/>
        <v>1</v>
      </c>
    </row>
    <row r="5659" spans="1:24" s="360" customFormat="1" ht="12" customHeight="1" outlineLevel="1">
      <c r="A5659" s="365"/>
      <c r="B5659" s="118" t="s">
        <v>12</v>
      </c>
      <c r="C5659" s="334" t="s">
        <v>14316</v>
      </c>
      <c r="D5659" s="124" t="s">
        <v>8747</v>
      </c>
      <c r="E5659" s="125"/>
      <c r="F5659" s="118" t="s">
        <v>1030</v>
      </c>
      <c r="G5659" s="126" t="s">
        <v>14128</v>
      </c>
      <c r="H5659" s="255">
        <v>1</v>
      </c>
      <c r="I5659" s="361">
        <v>1</v>
      </c>
      <c r="J5659" s="368" t="s">
        <v>286</v>
      </c>
      <c r="K5659" s="372"/>
      <c r="L5659" s="129"/>
      <c r="M5659" s="129"/>
      <c r="N5659" s="129"/>
      <c r="O5659" s="129"/>
      <c r="P5659" s="372"/>
      <c r="Q5659" s="372"/>
      <c r="R5659" s="129"/>
      <c r="S5659" s="129"/>
      <c r="T5659" s="129"/>
      <c r="W5659" s="129" t="s">
        <v>286</v>
      </c>
      <c r="X5659" s="337" t="b">
        <f t="shared" si="126"/>
        <v>1</v>
      </c>
    </row>
    <row r="5660" spans="1:24" s="360" customFormat="1" ht="12" customHeight="1" outlineLevel="1">
      <c r="A5660" s="365"/>
      <c r="B5660" s="118" t="s">
        <v>12</v>
      </c>
      <c r="C5660" s="334" t="s">
        <v>14317</v>
      </c>
      <c r="D5660" s="124" t="s">
        <v>8749</v>
      </c>
      <c r="E5660" s="125"/>
      <c r="F5660" s="118" t="s">
        <v>1030</v>
      </c>
      <c r="G5660" s="126" t="s">
        <v>14128</v>
      </c>
      <c r="H5660" s="255">
        <v>1</v>
      </c>
      <c r="I5660" s="361">
        <v>1</v>
      </c>
      <c r="J5660" s="368" t="s">
        <v>286</v>
      </c>
      <c r="K5660" s="372"/>
      <c r="L5660" s="129"/>
      <c r="M5660" s="129"/>
      <c r="N5660" s="129"/>
      <c r="O5660" s="129"/>
      <c r="P5660" s="372"/>
      <c r="Q5660" s="372"/>
      <c r="R5660" s="129"/>
      <c r="S5660" s="129"/>
      <c r="T5660" s="129"/>
      <c r="W5660" s="129" t="s">
        <v>286</v>
      </c>
      <c r="X5660" s="337" t="b">
        <f t="shared" si="126"/>
        <v>1</v>
      </c>
    </row>
    <row r="5661" spans="1:24" s="360" customFormat="1" ht="12" customHeight="1" outlineLevel="1">
      <c r="A5661" s="365"/>
      <c r="B5661" s="118" t="s">
        <v>12</v>
      </c>
      <c r="C5661" s="334" t="s">
        <v>14318</v>
      </c>
      <c r="D5661" s="124" t="s">
        <v>8751</v>
      </c>
      <c r="E5661" s="125"/>
      <c r="F5661" s="118" t="s">
        <v>1030</v>
      </c>
      <c r="G5661" s="126" t="s">
        <v>14128</v>
      </c>
      <c r="H5661" s="255">
        <v>1</v>
      </c>
      <c r="I5661" s="361">
        <v>1</v>
      </c>
      <c r="J5661" s="368" t="s">
        <v>286</v>
      </c>
      <c r="K5661" s="372"/>
      <c r="L5661" s="129"/>
      <c r="M5661" s="129"/>
      <c r="N5661" s="129"/>
      <c r="O5661" s="129"/>
      <c r="P5661" s="372"/>
      <c r="Q5661" s="372"/>
      <c r="R5661" s="129"/>
      <c r="S5661" s="129"/>
      <c r="T5661" s="129"/>
      <c r="W5661" s="129" t="s">
        <v>286</v>
      </c>
      <c r="X5661" s="337" t="b">
        <f t="shared" si="126"/>
        <v>1</v>
      </c>
    </row>
    <row r="5662" spans="1:24" s="360" customFormat="1" ht="12" customHeight="1" outlineLevel="1">
      <c r="A5662" s="365"/>
      <c r="B5662" s="118" t="s">
        <v>12</v>
      </c>
      <c r="C5662" s="334" t="s">
        <v>14319</v>
      </c>
      <c r="D5662" s="124" t="s">
        <v>8753</v>
      </c>
      <c r="E5662" s="125"/>
      <c r="F5662" s="118" t="s">
        <v>1030</v>
      </c>
      <c r="G5662" s="126" t="s">
        <v>14128</v>
      </c>
      <c r="H5662" s="255">
        <v>1</v>
      </c>
      <c r="I5662" s="361">
        <v>1</v>
      </c>
      <c r="J5662" s="368" t="s">
        <v>286</v>
      </c>
      <c r="K5662" s="372"/>
      <c r="L5662" s="129"/>
      <c r="M5662" s="129"/>
      <c r="N5662" s="129"/>
      <c r="O5662" s="129"/>
      <c r="P5662" s="372"/>
      <c r="Q5662" s="372"/>
      <c r="R5662" s="129"/>
      <c r="S5662" s="129"/>
      <c r="T5662" s="129"/>
      <c r="W5662" s="129" t="s">
        <v>286</v>
      </c>
      <c r="X5662" s="337" t="b">
        <f t="shared" si="126"/>
        <v>1</v>
      </c>
    </row>
    <row r="5663" spans="1:24" s="360" customFormat="1" ht="12" customHeight="1" outlineLevel="1">
      <c r="A5663" s="365"/>
      <c r="B5663" s="118" t="s">
        <v>12</v>
      </c>
      <c r="C5663" s="334" t="s">
        <v>14320</v>
      </c>
      <c r="D5663" s="124" t="s">
        <v>8755</v>
      </c>
      <c r="E5663" s="125"/>
      <c r="F5663" s="118" t="s">
        <v>1030</v>
      </c>
      <c r="G5663" s="126" t="s">
        <v>14128</v>
      </c>
      <c r="H5663" s="255">
        <v>1</v>
      </c>
      <c r="I5663" s="361">
        <v>1</v>
      </c>
      <c r="J5663" s="368" t="s">
        <v>286</v>
      </c>
      <c r="K5663" s="372"/>
      <c r="L5663" s="129"/>
      <c r="M5663" s="129"/>
      <c r="N5663" s="129"/>
      <c r="O5663" s="129"/>
      <c r="P5663" s="372"/>
      <c r="Q5663" s="372"/>
      <c r="R5663" s="129"/>
      <c r="S5663" s="129"/>
      <c r="T5663" s="129"/>
      <c r="W5663" s="129" t="s">
        <v>286</v>
      </c>
      <c r="X5663" s="337" t="b">
        <f t="shared" si="126"/>
        <v>1</v>
      </c>
    </row>
    <row r="5664" spans="1:24" s="360" customFormat="1" ht="12" customHeight="1" outlineLevel="1">
      <c r="A5664" s="365"/>
      <c r="B5664" s="118" t="s">
        <v>12</v>
      </c>
      <c r="C5664" s="334" t="s">
        <v>14321</v>
      </c>
      <c r="D5664" s="124" t="s">
        <v>8765</v>
      </c>
      <c r="E5664" s="125"/>
      <c r="F5664" s="118" t="s">
        <v>1030</v>
      </c>
      <c r="G5664" s="126" t="s">
        <v>14322</v>
      </c>
      <c r="H5664" s="255">
        <v>2</v>
      </c>
      <c r="I5664" s="361">
        <v>1</v>
      </c>
      <c r="J5664" s="368" t="s">
        <v>307</v>
      </c>
      <c r="K5664" s="372"/>
      <c r="L5664" s="129"/>
      <c r="M5664" s="129"/>
      <c r="N5664" s="129"/>
      <c r="O5664" s="129"/>
      <c r="P5664" s="372"/>
      <c r="Q5664" s="372"/>
      <c r="R5664" s="129"/>
      <c r="S5664" s="129"/>
      <c r="T5664" s="129"/>
      <c r="W5664" s="129" t="s">
        <v>286</v>
      </c>
      <c r="X5664" s="337" t="b">
        <f t="shared" si="126"/>
        <v>0</v>
      </c>
    </row>
    <row r="5665" spans="1:24" s="360" customFormat="1" ht="12" customHeight="1" outlineLevel="1">
      <c r="A5665" s="365"/>
      <c r="B5665" s="118" t="s">
        <v>12</v>
      </c>
      <c r="C5665" s="334" t="s">
        <v>14323</v>
      </c>
      <c r="D5665" s="124" t="s">
        <v>8770</v>
      </c>
      <c r="E5665" s="125"/>
      <c r="F5665" s="118" t="s">
        <v>1030</v>
      </c>
      <c r="G5665" s="126" t="s">
        <v>14322</v>
      </c>
      <c r="H5665" s="255">
        <v>2</v>
      </c>
      <c r="I5665" s="361">
        <v>1</v>
      </c>
      <c r="J5665" s="368" t="s">
        <v>286</v>
      </c>
      <c r="K5665" s="372"/>
      <c r="L5665" s="129"/>
      <c r="M5665" s="129"/>
      <c r="N5665" s="129"/>
      <c r="O5665" s="129"/>
      <c r="P5665" s="372"/>
      <c r="Q5665" s="372"/>
      <c r="R5665" s="129"/>
      <c r="S5665" s="129"/>
      <c r="T5665" s="129"/>
      <c r="W5665" s="129" t="s">
        <v>286</v>
      </c>
      <c r="X5665" s="337" t="b">
        <f t="shared" si="126"/>
        <v>1</v>
      </c>
    </row>
    <row r="5666" spans="1:24" s="360" customFormat="1" ht="12" customHeight="1" outlineLevel="1">
      <c r="A5666" s="365"/>
      <c r="B5666" s="118" t="s">
        <v>12</v>
      </c>
      <c r="C5666" s="334" t="s">
        <v>14324</v>
      </c>
      <c r="D5666" s="124" t="s">
        <v>8772</v>
      </c>
      <c r="E5666" s="125"/>
      <c r="F5666" s="118" t="s">
        <v>1030</v>
      </c>
      <c r="G5666" s="126" t="s">
        <v>14322</v>
      </c>
      <c r="H5666" s="255">
        <v>2</v>
      </c>
      <c r="I5666" s="361">
        <v>1</v>
      </c>
      <c r="J5666" s="368" t="s">
        <v>286</v>
      </c>
      <c r="K5666" s="372"/>
      <c r="L5666" s="129"/>
      <c r="M5666" s="129"/>
      <c r="N5666" s="129"/>
      <c r="O5666" s="129"/>
      <c r="P5666" s="372"/>
      <c r="Q5666" s="372"/>
      <c r="R5666" s="129"/>
      <c r="S5666" s="129"/>
      <c r="T5666" s="129"/>
      <c r="W5666" s="129" t="s">
        <v>286</v>
      </c>
      <c r="X5666" s="337" t="b">
        <f t="shared" si="126"/>
        <v>1</v>
      </c>
    </row>
    <row r="5667" spans="1:24" s="360" customFormat="1" ht="12" customHeight="1" outlineLevel="1">
      <c r="A5667" s="365"/>
      <c r="B5667" s="118" t="s">
        <v>12</v>
      </c>
      <c r="C5667" s="334" t="s">
        <v>14325</v>
      </c>
      <c r="D5667" s="124" t="s">
        <v>8774</v>
      </c>
      <c r="E5667" s="125"/>
      <c r="F5667" s="118" t="s">
        <v>1030</v>
      </c>
      <c r="G5667" s="126" t="s">
        <v>14322</v>
      </c>
      <c r="H5667" s="255">
        <v>2</v>
      </c>
      <c r="I5667" s="361">
        <v>1</v>
      </c>
      <c r="J5667" s="368" t="s">
        <v>286</v>
      </c>
      <c r="K5667" s="372"/>
      <c r="L5667" s="129"/>
      <c r="M5667" s="129"/>
      <c r="N5667" s="129"/>
      <c r="O5667" s="129"/>
      <c r="P5667" s="372"/>
      <c r="Q5667" s="372"/>
      <c r="R5667" s="129"/>
      <c r="S5667" s="129"/>
      <c r="T5667" s="129"/>
      <c r="W5667" s="129" t="s">
        <v>286</v>
      </c>
      <c r="X5667" s="337" t="b">
        <f t="shared" si="126"/>
        <v>1</v>
      </c>
    </row>
    <row r="5668" spans="1:24" s="360" customFormat="1" ht="12" customHeight="1" outlineLevel="1">
      <c r="A5668" s="365"/>
      <c r="B5668" s="118" t="s">
        <v>12</v>
      </c>
      <c r="C5668" s="334" t="s">
        <v>14326</v>
      </c>
      <c r="D5668" s="124" t="s">
        <v>14327</v>
      </c>
      <c r="E5668" s="125"/>
      <c r="F5668" s="118" t="s">
        <v>1030</v>
      </c>
      <c r="G5668" s="126" t="s">
        <v>14322</v>
      </c>
      <c r="H5668" s="255">
        <v>2</v>
      </c>
      <c r="I5668" s="361">
        <v>1</v>
      </c>
      <c r="J5668" s="368" t="s">
        <v>286</v>
      </c>
      <c r="K5668" s="372"/>
      <c r="L5668" s="129"/>
      <c r="M5668" s="129"/>
      <c r="N5668" s="129"/>
      <c r="O5668" s="129"/>
      <c r="P5668" s="372"/>
      <c r="Q5668" s="372"/>
      <c r="R5668" s="129"/>
      <c r="S5668" s="129"/>
      <c r="T5668" s="129"/>
      <c r="W5668" s="129" t="s">
        <v>286</v>
      </c>
      <c r="X5668" s="337" t="b">
        <f t="shared" si="126"/>
        <v>1</v>
      </c>
    </row>
    <row r="5669" spans="1:24" s="360" customFormat="1" ht="12" customHeight="1" outlineLevel="1">
      <c r="A5669" s="365"/>
      <c r="B5669" s="118" t="s">
        <v>12</v>
      </c>
      <c r="C5669" s="334" t="s">
        <v>14328</v>
      </c>
      <c r="D5669" s="124" t="s">
        <v>14329</v>
      </c>
      <c r="E5669" s="125"/>
      <c r="F5669" s="118" t="s">
        <v>1030</v>
      </c>
      <c r="G5669" s="126" t="s">
        <v>14322</v>
      </c>
      <c r="H5669" s="255">
        <v>2</v>
      </c>
      <c r="I5669" s="361">
        <v>1</v>
      </c>
      <c r="J5669" s="368" t="s">
        <v>286</v>
      </c>
      <c r="K5669" s="372"/>
      <c r="L5669" s="129"/>
      <c r="M5669" s="129"/>
      <c r="N5669" s="129"/>
      <c r="O5669" s="129"/>
      <c r="P5669" s="372"/>
      <c r="Q5669" s="372"/>
      <c r="R5669" s="129"/>
      <c r="S5669" s="129"/>
      <c r="T5669" s="129"/>
      <c r="W5669" s="129" t="s">
        <v>286</v>
      </c>
      <c r="X5669" s="337" t="b">
        <f t="shared" si="126"/>
        <v>1</v>
      </c>
    </row>
    <row r="5670" spans="1:24" s="360" customFormat="1" ht="12" customHeight="1" outlineLevel="1">
      <c r="A5670" s="365"/>
      <c r="B5670" s="118" t="s">
        <v>12</v>
      </c>
      <c r="C5670" s="334" t="s">
        <v>14330</v>
      </c>
      <c r="D5670" s="124" t="s">
        <v>14331</v>
      </c>
      <c r="E5670" s="125"/>
      <c r="F5670" s="118" t="s">
        <v>1030</v>
      </c>
      <c r="G5670" s="126" t="s">
        <v>14322</v>
      </c>
      <c r="H5670" s="255">
        <v>2</v>
      </c>
      <c r="I5670" s="361">
        <v>1</v>
      </c>
      <c r="J5670" s="368" t="s">
        <v>286</v>
      </c>
      <c r="K5670" s="372"/>
      <c r="L5670" s="129"/>
      <c r="M5670" s="129"/>
      <c r="N5670" s="129"/>
      <c r="O5670" s="129"/>
      <c r="P5670" s="372"/>
      <c r="Q5670" s="372"/>
      <c r="R5670" s="129"/>
      <c r="S5670" s="129"/>
      <c r="T5670" s="129"/>
      <c r="W5670" s="129" t="s">
        <v>286</v>
      </c>
      <c r="X5670" s="337" t="b">
        <f t="shared" si="126"/>
        <v>1</v>
      </c>
    </row>
    <row r="5671" spans="1:24" s="360" customFormat="1" ht="12" customHeight="1" outlineLevel="1">
      <c r="A5671" s="365"/>
      <c r="B5671" s="118" t="s">
        <v>12</v>
      </c>
      <c r="C5671" s="334" t="s">
        <v>14332</v>
      </c>
      <c r="D5671" s="124" t="s">
        <v>14333</v>
      </c>
      <c r="E5671" s="125"/>
      <c r="F5671" s="118" t="s">
        <v>1030</v>
      </c>
      <c r="G5671" s="126" t="s">
        <v>14322</v>
      </c>
      <c r="H5671" s="255">
        <v>2</v>
      </c>
      <c r="I5671" s="361">
        <v>1</v>
      </c>
      <c r="J5671" s="368" t="s">
        <v>286</v>
      </c>
      <c r="K5671" s="372"/>
      <c r="L5671" s="129"/>
      <c r="M5671" s="129"/>
      <c r="N5671" s="129"/>
      <c r="O5671" s="129"/>
      <c r="P5671" s="372"/>
      <c r="Q5671" s="372"/>
      <c r="R5671" s="129"/>
      <c r="S5671" s="129"/>
      <c r="T5671" s="129"/>
      <c r="W5671" s="129" t="s">
        <v>286</v>
      </c>
      <c r="X5671" s="337" t="b">
        <f t="shared" si="126"/>
        <v>1</v>
      </c>
    </row>
    <row r="5672" spans="1:24" s="360" customFormat="1" ht="12" customHeight="1" outlineLevel="1">
      <c r="A5672" s="365"/>
      <c r="B5672" s="118" t="s">
        <v>12</v>
      </c>
      <c r="C5672" s="334" t="s">
        <v>14334</v>
      </c>
      <c r="D5672" s="124" t="s">
        <v>14335</v>
      </c>
      <c r="E5672" s="125"/>
      <c r="F5672" s="118" t="s">
        <v>1030</v>
      </c>
      <c r="G5672" s="126" t="s">
        <v>14322</v>
      </c>
      <c r="H5672" s="255">
        <v>2</v>
      </c>
      <c r="I5672" s="361">
        <v>1</v>
      </c>
      <c r="J5672" s="368" t="s">
        <v>286</v>
      </c>
      <c r="K5672" s="372"/>
      <c r="L5672" s="129"/>
      <c r="M5672" s="129"/>
      <c r="N5672" s="129"/>
      <c r="O5672" s="129"/>
      <c r="P5672" s="372"/>
      <c r="Q5672" s="372"/>
      <c r="R5672" s="129"/>
      <c r="S5672" s="129"/>
      <c r="T5672" s="129"/>
      <c r="W5672" s="129" t="s">
        <v>286</v>
      </c>
      <c r="X5672" s="337" t="b">
        <f t="shared" si="126"/>
        <v>1</v>
      </c>
    </row>
    <row r="5673" spans="1:24" s="360" customFormat="1" ht="12" customHeight="1" outlineLevel="1">
      <c r="A5673" s="365"/>
      <c r="B5673" s="118" t="s">
        <v>12</v>
      </c>
      <c r="C5673" s="334" t="s">
        <v>14336</v>
      </c>
      <c r="D5673" s="124" t="s">
        <v>14337</v>
      </c>
      <c r="E5673" s="125"/>
      <c r="F5673" s="118" t="s">
        <v>1030</v>
      </c>
      <c r="G5673" s="126" t="s">
        <v>14322</v>
      </c>
      <c r="H5673" s="255">
        <v>2</v>
      </c>
      <c r="I5673" s="361">
        <v>1</v>
      </c>
      <c r="J5673" s="368" t="s">
        <v>286</v>
      </c>
      <c r="K5673" s="372"/>
      <c r="L5673" s="129"/>
      <c r="M5673" s="129"/>
      <c r="N5673" s="129"/>
      <c r="O5673" s="129"/>
      <c r="P5673" s="372"/>
      <c r="Q5673" s="372"/>
      <c r="R5673" s="129"/>
      <c r="S5673" s="129"/>
      <c r="T5673" s="129"/>
      <c r="W5673" s="129" t="s">
        <v>4876</v>
      </c>
      <c r="X5673" s="337" t="b">
        <f t="shared" si="126"/>
        <v>0</v>
      </c>
    </row>
    <row r="5674" spans="1:24" s="360" customFormat="1" ht="12" customHeight="1" outlineLevel="1">
      <c r="A5674" s="365"/>
      <c r="B5674" s="118" t="s">
        <v>12</v>
      </c>
      <c r="C5674" s="334" t="s">
        <v>14338</v>
      </c>
      <c r="D5674" s="124" t="s">
        <v>14339</v>
      </c>
      <c r="E5674" s="125"/>
      <c r="F5674" s="118" t="s">
        <v>1030</v>
      </c>
      <c r="G5674" s="126" t="s">
        <v>14322</v>
      </c>
      <c r="H5674" s="255">
        <v>2</v>
      </c>
      <c r="I5674" s="361">
        <v>1</v>
      </c>
      <c r="J5674" s="368" t="s">
        <v>286</v>
      </c>
      <c r="K5674" s="372"/>
      <c r="L5674" s="129"/>
      <c r="M5674" s="129"/>
      <c r="N5674" s="129"/>
      <c r="O5674" s="129"/>
      <c r="P5674" s="372"/>
      <c r="Q5674" s="372"/>
      <c r="R5674" s="129"/>
      <c r="S5674" s="129"/>
      <c r="T5674" s="129"/>
      <c r="W5674" s="129" t="s">
        <v>286</v>
      </c>
      <c r="X5674" s="337" t="b">
        <f t="shared" si="126"/>
        <v>1</v>
      </c>
    </row>
    <row r="5675" spans="1:24" s="360" customFormat="1" ht="12" customHeight="1" outlineLevel="1">
      <c r="A5675" s="365"/>
      <c r="B5675" s="118" t="s">
        <v>12</v>
      </c>
      <c r="C5675" s="334" t="s">
        <v>14340</v>
      </c>
      <c r="D5675" s="124" t="s">
        <v>14341</v>
      </c>
      <c r="E5675" s="125"/>
      <c r="F5675" s="118" t="s">
        <v>1030</v>
      </c>
      <c r="G5675" s="126" t="s">
        <v>14322</v>
      </c>
      <c r="H5675" s="255">
        <v>2</v>
      </c>
      <c r="I5675" s="361">
        <v>1</v>
      </c>
      <c r="J5675" s="368" t="s">
        <v>286</v>
      </c>
      <c r="K5675" s="372"/>
      <c r="L5675" s="129"/>
      <c r="M5675" s="129"/>
      <c r="N5675" s="129"/>
      <c r="O5675" s="129"/>
      <c r="P5675" s="372"/>
      <c r="Q5675" s="372"/>
      <c r="R5675" s="129"/>
      <c r="S5675" s="129"/>
      <c r="T5675" s="129"/>
      <c r="W5675" s="129" t="s">
        <v>286</v>
      </c>
      <c r="X5675" s="337" t="b">
        <f t="shared" si="126"/>
        <v>1</v>
      </c>
    </row>
    <row r="5676" spans="1:24" s="360" customFormat="1" ht="12" customHeight="1" outlineLevel="1">
      <c r="A5676" s="365"/>
      <c r="B5676" s="118" t="s">
        <v>12</v>
      </c>
      <c r="C5676" s="334" t="s">
        <v>14342</v>
      </c>
      <c r="D5676" s="124" t="s">
        <v>14343</v>
      </c>
      <c r="E5676" s="125"/>
      <c r="F5676" s="118" t="s">
        <v>1030</v>
      </c>
      <c r="G5676" s="126" t="s">
        <v>14322</v>
      </c>
      <c r="H5676" s="255">
        <v>2</v>
      </c>
      <c r="I5676" s="361">
        <v>1</v>
      </c>
      <c r="J5676" s="368" t="s">
        <v>286</v>
      </c>
      <c r="K5676" s="372"/>
      <c r="L5676" s="129"/>
      <c r="M5676" s="129"/>
      <c r="N5676" s="129"/>
      <c r="O5676" s="129"/>
      <c r="P5676" s="372"/>
      <c r="Q5676" s="372"/>
      <c r="R5676" s="129"/>
      <c r="S5676" s="129"/>
      <c r="T5676" s="129"/>
      <c r="W5676" s="129" t="s">
        <v>286</v>
      </c>
      <c r="X5676" s="337" t="b">
        <f t="shared" si="126"/>
        <v>1</v>
      </c>
    </row>
    <row r="5677" spans="1:24" s="360" customFormat="1" ht="12" customHeight="1" outlineLevel="1">
      <c r="A5677" s="365"/>
      <c r="B5677" s="118" t="s">
        <v>12</v>
      </c>
      <c r="C5677" s="334" t="s">
        <v>14344</v>
      </c>
      <c r="D5677" s="124" t="s">
        <v>14345</v>
      </c>
      <c r="E5677" s="125"/>
      <c r="F5677" s="118" t="s">
        <v>1030</v>
      </c>
      <c r="G5677" s="126" t="s">
        <v>14322</v>
      </c>
      <c r="H5677" s="255">
        <v>2</v>
      </c>
      <c r="I5677" s="361">
        <v>1</v>
      </c>
      <c r="J5677" s="368" t="s">
        <v>286</v>
      </c>
      <c r="K5677" s="372"/>
      <c r="L5677" s="129"/>
      <c r="M5677" s="129"/>
      <c r="N5677" s="129"/>
      <c r="O5677" s="129"/>
      <c r="P5677" s="372"/>
      <c r="Q5677" s="372"/>
      <c r="R5677" s="129"/>
      <c r="S5677" s="129"/>
      <c r="T5677" s="129"/>
      <c r="W5677" s="129" t="s">
        <v>286</v>
      </c>
      <c r="X5677" s="337" t="b">
        <f t="shared" si="126"/>
        <v>1</v>
      </c>
    </row>
    <row r="5678" spans="1:24" s="360" customFormat="1" ht="12" customHeight="1" outlineLevel="1">
      <c r="A5678" s="365"/>
      <c r="B5678" s="118" t="s">
        <v>12</v>
      </c>
      <c r="C5678" s="334" t="s">
        <v>14346</v>
      </c>
      <c r="D5678" s="124" t="s">
        <v>14347</v>
      </c>
      <c r="E5678" s="125"/>
      <c r="F5678" s="118" t="s">
        <v>1030</v>
      </c>
      <c r="G5678" s="126" t="s">
        <v>14322</v>
      </c>
      <c r="H5678" s="255">
        <v>2</v>
      </c>
      <c r="I5678" s="361">
        <v>1</v>
      </c>
      <c r="J5678" s="368" t="s">
        <v>286</v>
      </c>
      <c r="K5678" s="372"/>
      <c r="L5678" s="129"/>
      <c r="M5678" s="129"/>
      <c r="N5678" s="129"/>
      <c r="O5678" s="129"/>
      <c r="P5678" s="372"/>
      <c r="Q5678" s="372"/>
      <c r="R5678" s="129"/>
      <c r="S5678" s="129"/>
      <c r="T5678" s="129"/>
      <c r="W5678" s="129" t="s">
        <v>286</v>
      </c>
      <c r="X5678" s="337" t="b">
        <f t="shared" si="126"/>
        <v>1</v>
      </c>
    </row>
    <row r="5679" spans="1:24" s="360" customFormat="1" ht="12" customHeight="1" outlineLevel="1">
      <c r="A5679" s="365"/>
      <c r="B5679" s="118" t="s">
        <v>12</v>
      </c>
      <c r="C5679" s="334" t="s">
        <v>14348</v>
      </c>
      <c r="D5679" s="124" t="s">
        <v>14349</v>
      </c>
      <c r="E5679" s="125"/>
      <c r="F5679" s="118" t="s">
        <v>1030</v>
      </c>
      <c r="G5679" s="126" t="s">
        <v>14322</v>
      </c>
      <c r="H5679" s="255">
        <v>2</v>
      </c>
      <c r="I5679" s="361">
        <v>1</v>
      </c>
      <c r="J5679" s="368" t="s">
        <v>286</v>
      </c>
      <c r="K5679" s="372"/>
      <c r="L5679" s="129"/>
      <c r="M5679" s="129"/>
      <c r="N5679" s="129"/>
      <c r="O5679" s="129"/>
      <c r="P5679" s="372"/>
      <c r="Q5679" s="372"/>
      <c r="R5679" s="129"/>
      <c r="S5679" s="129"/>
      <c r="T5679" s="129"/>
      <c r="W5679" s="129" t="s">
        <v>286</v>
      </c>
      <c r="X5679" s="337" t="b">
        <f t="shared" ref="X5679:X5742" si="127">W5679=J5679</f>
        <v>1</v>
      </c>
    </row>
    <row r="5680" spans="1:24" s="360" customFormat="1" ht="12" customHeight="1" outlineLevel="1">
      <c r="A5680" s="365"/>
      <c r="B5680" s="118" t="s">
        <v>12</v>
      </c>
      <c r="C5680" s="334" t="s">
        <v>14350</v>
      </c>
      <c r="D5680" s="124" t="s">
        <v>14351</v>
      </c>
      <c r="E5680" s="125"/>
      <c r="F5680" s="118" t="s">
        <v>1030</v>
      </c>
      <c r="G5680" s="126" t="s">
        <v>14322</v>
      </c>
      <c r="H5680" s="255">
        <v>2</v>
      </c>
      <c r="I5680" s="361">
        <v>1</v>
      </c>
      <c r="J5680" s="368" t="s">
        <v>286</v>
      </c>
      <c r="K5680" s="372"/>
      <c r="L5680" s="129"/>
      <c r="M5680" s="129"/>
      <c r="N5680" s="129"/>
      <c r="O5680" s="129"/>
      <c r="P5680" s="372"/>
      <c r="Q5680" s="372"/>
      <c r="R5680" s="129"/>
      <c r="S5680" s="129"/>
      <c r="T5680" s="129"/>
      <c r="W5680" s="129" t="s">
        <v>286</v>
      </c>
      <c r="X5680" s="337" t="b">
        <f t="shared" si="127"/>
        <v>1</v>
      </c>
    </row>
    <row r="5681" spans="1:24" s="360" customFormat="1" ht="12" customHeight="1" outlineLevel="1">
      <c r="A5681" s="365"/>
      <c r="B5681" s="118" t="s">
        <v>12</v>
      </c>
      <c r="C5681" s="334" t="s">
        <v>14352</v>
      </c>
      <c r="D5681" s="124" t="s">
        <v>8858</v>
      </c>
      <c r="E5681" s="125"/>
      <c r="F5681" s="118" t="s">
        <v>1030</v>
      </c>
      <c r="G5681" s="126" t="s">
        <v>14322</v>
      </c>
      <c r="H5681" s="255">
        <v>2</v>
      </c>
      <c r="I5681" s="361">
        <v>1</v>
      </c>
      <c r="J5681" s="368" t="s">
        <v>286</v>
      </c>
      <c r="K5681" s="372"/>
      <c r="L5681" s="129"/>
      <c r="M5681" s="129"/>
      <c r="N5681" s="129"/>
      <c r="O5681" s="129"/>
      <c r="P5681" s="372"/>
      <c r="Q5681" s="372"/>
      <c r="R5681" s="129"/>
      <c r="S5681" s="129"/>
      <c r="T5681" s="129"/>
      <c r="W5681" s="129" t="s">
        <v>286</v>
      </c>
      <c r="X5681" s="337" t="b">
        <f t="shared" si="127"/>
        <v>1</v>
      </c>
    </row>
    <row r="5682" spans="1:24" s="360" customFormat="1" ht="12" customHeight="1" outlineLevel="1">
      <c r="A5682" s="365"/>
      <c r="B5682" s="118" t="s">
        <v>12</v>
      </c>
      <c r="C5682" s="334" t="s">
        <v>14353</v>
      </c>
      <c r="D5682" s="124" t="s">
        <v>8860</v>
      </c>
      <c r="E5682" s="125"/>
      <c r="F5682" s="118" t="s">
        <v>1030</v>
      </c>
      <c r="G5682" s="126" t="s">
        <v>14322</v>
      </c>
      <c r="H5682" s="255">
        <v>2</v>
      </c>
      <c r="I5682" s="361">
        <v>1</v>
      </c>
      <c r="J5682" s="368" t="s">
        <v>286</v>
      </c>
      <c r="K5682" s="372"/>
      <c r="L5682" s="129"/>
      <c r="M5682" s="129"/>
      <c r="N5682" s="129"/>
      <c r="O5682" s="129"/>
      <c r="P5682" s="372"/>
      <c r="Q5682" s="372"/>
      <c r="R5682" s="129"/>
      <c r="S5682" s="129"/>
      <c r="T5682" s="129"/>
      <c r="W5682" s="129" t="s">
        <v>286</v>
      </c>
      <c r="X5682" s="337" t="b">
        <f t="shared" si="127"/>
        <v>1</v>
      </c>
    </row>
    <row r="5683" spans="1:24" s="360" customFormat="1" ht="12" customHeight="1" outlineLevel="1">
      <c r="A5683" s="365"/>
      <c r="B5683" s="118" t="s">
        <v>12</v>
      </c>
      <c r="C5683" s="334" t="s">
        <v>14354</v>
      </c>
      <c r="D5683" s="124" t="s">
        <v>8862</v>
      </c>
      <c r="E5683" s="125"/>
      <c r="F5683" s="118" t="s">
        <v>1030</v>
      </c>
      <c r="G5683" s="126" t="s">
        <v>14322</v>
      </c>
      <c r="H5683" s="255">
        <v>2</v>
      </c>
      <c r="I5683" s="361">
        <v>1</v>
      </c>
      <c r="J5683" s="368" t="s">
        <v>286</v>
      </c>
      <c r="K5683" s="372"/>
      <c r="L5683" s="129"/>
      <c r="M5683" s="129"/>
      <c r="N5683" s="129"/>
      <c r="O5683" s="129"/>
      <c r="P5683" s="372"/>
      <c r="Q5683" s="372"/>
      <c r="R5683" s="129"/>
      <c r="S5683" s="129"/>
      <c r="T5683" s="129"/>
      <c r="W5683" s="129" t="s">
        <v>286</v>
      </c>
      <c r="X5683" s="337" t="b">
        <f t="shared" si="127"/>
        <v>1</v>
      </c>
    </row>
    <row r="5684" spans="1:24" s="360" customFormat="1" ht="12" customHeight="1" outlineLevel="1">
      <c r="A5684" s="365"/>
      <c r="B5684" s="118" t="s">
        <v>12</v>
      </c>
      <c r="C5684" s="334" t="s">
        <v>14355</v>
      </c>
      <c r="D5684" s="124" t="s">
        <v>8852</v>
      </c>
      <c r="E5684" s="125"/>
      <c r="F5684" s="118" t="s">
        <v>1030</v>
      </c>
      <c r="G5684" s="126" t="s">
        <v>14322</v>
      </c>
      <c r="H5684" s="255">
        <v>2</v>
      </c>
      <c r="I5684" s="361">
        <v>1</v>
      </c>
      <c r="J5684" s="368" t="s">
        <v>286</v>
      </c>
      <c r="K5684" s="372"/>
      <c r="L5684" s="129"/>
      <c r="M5684" s="129"/>
      <c r="N5684" s="129"/>
      <c r="O5684" s="129"/>
      <c r="P5684" s="372"/>
      <c r="Q5684" s="372"/>
      <c r="R5684" s="129"/>
      <c r="S5684" s="129"/>
      <c r="T5684" s="129"/>
      <c r="W5684" s="129" t="s">
        <v>286</v>
      </c>
      <c r="X5684" s="337" t="b">
        <f t="shared" si="127"/>
        <v>1</v>
      </c>
    </row>
    <row r="5685" spans="1:24" s="360" customFormat="1" ht="12" customHeight="1" outlineLevel="1">
      <c r="A5685" s="365"/>
      <c r="B5685" s="118" t="s">
        <v>12</v>
      </c>
      <c r="C5685" s="334" t="s">
        <v>14356</v>
      </c>
      <c r="D5685" s="124" t="s">
        <v>8854</v>
      </c>
      <c r="E5685" s="125"/>
      <c r="F5685" s="118" t="s">
        <v>1030</v>
      </c>
      <c r="G5685" s="126" t="s">
        <v>14322</v>
      </c>
      <c r="H5685" s="255">
        <v>2</v>
      </c>
      <c r="I5685" s="361">
        <v>1</v>
      </c>
      <c r="J5685" s="368" t="s">
        <v>286</v>
      </c>
      <c r="K5685" s="372"/>
      <c r="L5685" s="129"/>
      <c r="M5685" s="129"/>
      <c r="N5685" s="129"/>
      <c r="O5685" s="129"/>
      <c r="P5685" s="372"/>
      <c r="Q5685" s="372"/>
      <c r="R5685" s="129"/>
      <c r="S5685" s="129"/>
      <c r="T5685" s="129"/>
      <c r="W5685" s="129" t="s">
        <v>286</v>
      </c>
      <c r="X5685" s="337" t="b">
        <f t="shared" si="127"/>
        <v>1</v>
      </c>
    </row>
    <row r="5686" spans="1:24" s="360" customFormat="1" ht="12" customHeight="1" outlineLevel="1">
      <c r="A5686" s="365"/>
      <c r="B5686" s="118" t="s">
        <v>12</v>
      </c>
      <c r="C5686" s="334" t="s">
        <v>14357</v>
      </c>
      <c r="D5686" s="124" t="s">
        <v>8856</v>
      </c>
      <c r="E5686" s="125"/>
      <c r="F5686" s="118" t="s">
        <v>1030</v>
      </c>
      <c r="G5686" s="126" t="s">
        <v>14322</v>
      </c>
      <c r="H5686" s="255">
        <v>2</v>
      </c>
      <c r="I5686" s="361">
        <v>1</v>
      </c>
      <c r="J5686" s="368" t="s">
        <v>286</v>
      </c>
      <c r="K5686" s="372"/>
      <c r="L5686" s="129"/>
      <c r="M5686" s="129"/>
      <c r="N5686" s="129"/>
      <c r="O5686" s="129"/>
      <c r="P5686" s="372"/>
      <c r="Q5686" s="372"/>
      <c r="R5686" s="129"/>
      <c r="S5686" s="129"/>
      <c r="T5686" s="129"/>
      <c r="W5686" s="129" t="s">
        <v>286</v>
      </c>
      <c r="X5686" s="337" t="b">
        <f t="shared" si="127"/>
        <v>1</v>
      </c>
    </row>
    <row r="5687" spans="1:24" s="360" customFormat="1" ht="12" customHeight="1" outlineLevel="1">
      <c r="A5687" s="365"/>
      <c r="B5687" s="118" t="s">
        <v>12</v>
      </c>
      <c r="C5687" s="334" t="s">
        <v>14358</v>
      </c>
      <c r="D5687" s="124" t="s">
        <v>8846</v>
      </c>
      <c r="E5687" s="125"/>
      <c r="F5687" s="118" t="s">
        <v>1030</v>
      </c>
      <c r="G5687" s="126" t="s">
        <v>14322</v>
      </c>
      <c r="H5687" s="255">
        <v>2</v>
      </c>
      <c r="I5687" s="361">
        <v>1</v>
      </c>
      <c r="J5687" s="368" t="s">
        <v>286</v>
      </c>
      <c r="K5687" s="372"/>
      <c r="L5687" s="129"/>
      <c r="M5687" s="129"/>
      <c r="N5687" s="129"/>
      <c r="O5687" s="129"/>
      <c r="P5687" s="372"/>
      <c r="Q5687" s="372"/>
      <c r="R5687" s="129"/>
      <c r="S5687" s="129"/>
      <c r="T5687" s="129"/>
      <c r="W5687" s="129" t="s">
        <v>286</v>
      </c>
      <c r="X5687" s="337" t="b">
        <f t="shared" si="127"/>
        <v>1</v>
      </c>
    </row>
    <row r="5688" spans="1:24" s="360" customFormat="1" ht="12" customHeight="1" outlineLevel="1">
      <c r="A5688" s="365"/>
      <c r="B5688" s="118" t="s">
        <v>12</v>
      </c>
      <c r="C5688" s="334" t="s">
        <v>14359</v>
      </c>
      <c r="D5688" s="124" t="s">
        <v>8848</v>
      </c>
      <c r="E5688" s="125"/>
      <c r="F5688" s="118" t="s">
        <v>1030</v>
      </c>
      <c r="G5688" s="126" t="s">
        <v>14322</v>
      </c>
      <c r="H5688" s="255">
        <v>2</v>
      </c>
      <c r="I5688" s="361">
        <v>1</v>
      </c>
      <c r="J5688" s="368" t="s">
        <v>286</v>
      </c>
      <c r="K5688" s="372"/>
      <c r="L5688" s="129"/>
      <c r="M5688" s="129"/>
      <c r="N5688" s="129"/>
      <c r="O5688" s="129"/>
      <c r="P5688" s="372"/>
      <c r="Q5688" s="372"/>
      <c r="R5688" s="129"/>
      <c r="S5688" s="129"/>
      <c r="T5688" s="129"/>
      <c r="W5688" s="129" t="s">
        <v>286</v>
      </c>
      <c r="X5688" s="337" t="b">
        <f t="shared" si="127"/>
        <v>1</v>
      </c>
    </row>
    <row r="5689" spans="1:24" s="360" customFormat="1" ht="12" customHeight="1" outlineLevel="1">
      <c r="A5689" s="365"/>
      <c r="B5689" s="118" t="s">
        <v>12</v>
      </c>
      <c r="C5689" s="334" t="s">
        <v>14360</v>
      </c>
      <c r="D5689" s="124" t="s">
        <v>8850</v>
      </c>
      <c r="E5689" s="125"/>
      <c r="F5689" s="118" t="s">
        <v>1030</v>
      </c>
      <c r="G5689" s="126" t="s">
        <v>14322</v>
      </c>
      <c r="H5689" s="255">
        <v>2</v>
      </c>
      <c r="I5689" s="361">
        <v>1</v>
      </c>
      <c r="J5689" s="368" t="s">
        <v>286</v>
      </c>
      <c r="K5689" s="372"/>
      <c r="L5689" s="129"/>
      <c r="M5689" s="129"/>
      <c r="N5689" s="129"/>
      <c r="O5689" s="129"/>
      <c r="P5689" s="372"/>
      <c r="Q5689" s="372"/>
      <c r="R5689" s="129"/>
      <c r="S5689" s="129"/>
      <c r="T5689" s="129"/>
      <c r="W5689" s="129" t="s">
        <v>286</v>
      </c>
      <c r="X5689" s="337" t="b">
        <f t="shared" si="127"/>
        <v>1</v>
      </c>
    </row>
    <row r="5690" spans="1:24" s="360" customFormat="1" ht="12" customHeight="1" outlineLevel="1">
      <c r="A5690" s="365"/>
      <c r="B5690" s="118" t="s">
        <v>12</v>
      </c>
      <c r="C5690" s="334" t="s">
        <v>14361</v>
      </c>
      <c r="D5690" s="124" t="s">
        <v>8840</v>
      </c>
      <c r="E5690" s="125"/>
      <c r="F5690" s="118" t="s">
        <v>1030</v>
      </c>
      <c r="G5690" s="126" t="s">
        <v>14322</v>
      </c>
      <c r="H5690" s="255">
        <v>2</v>
      </c>
      <c r="I5690" s="361">
        <v>1</v>
      </c>
      <c r="J5690" s="368" t="s">
        <v>310</v>
      </c>
      <c r="K5690" s="372"/>
      <c r="L5690" s="129"/>
      <c r="M5690" s="129"/>
      <c r="N5690" s="129"/>
      <c r="O5690" s="129"/>
      <c r="P5690" s="372"/>
      <c r="Q5690" s="372"/>
      <c r="R5690" s="129"/>
      <c r="S5690" s="129"/>
      <c r="T5690" s="129"/>
      <c r="W5690" s="129" t="s">
        <v>286</v>
      </c>
      <c r="X5690" s="337" t="b">
        <f t="shared" si="127"/>
        <v>0</v>
      </c>
    </row>
    <row r="5691" spans="1:24" s="360" customFormat="1" ht="12" customHeight="1" outlineLevel="1">
      <c r="A5691" s="365"/>
      <c r="B5691" s="118" t="s">
        <v>12</v>
      </c>
      <c r="C5691" s="334" t="s">
        <v>14362</v>
      </c>
      <c r="D5691" s="124" t="s">
        <v>8842</v>
      </c>
      <c r="E5691" s="125"/>
      <c r="F5691" s="118" t="s">
        <v>1030</v>
      </c>
      <c r="G5691" s="126" t="s">
        <v>14322</v>
      </c>
      <c r="H5691" s="255">
        <v>2</v>
      </c>
      <c r="I5691" s="361">
        <v>1</v>
      </c>
      <c r="J5691" s="368" t="s">
        <v>310</v>
      </c>
      <c r="K5691" s="372"/>
      <c r="L5691" s="129"/>
      <c r="M5691" s="129"/>
      <c r="N5691" s="129"/>
      <c r="O5691" s="129"/>
      <c r="P5691" s="372"/>
      <c r="Q5691" s="372"/>
      <c r="R5691" s="129"/>
      <c r="S5691" s="129"/>
      <c r="T5691" s="129"/>
      <c r="W5691" s="129" t="s">
        <v>286</v>
      </c>
      <c r="X5691" s="337" t="b">
        <f t="shared" si="127"/>
        <v>0</v>
      </c>
    </row>
    <row r="5692" spans="1:24" s="360" customFormat="1" ht="12" customHeight="1" outlineLevel="1">
      <c r="A5692" s="365"/>
      <c r="B5692" s="118" t="s">
        <v>12</v>
      </c>
      <c r="C5692" s="334" t="s">
        <v>14363</v>
      </c>
      <c r="D5692" s="124" t="s">
        <v>8844</v>
      </c>
      <c r="E5692" s="125"/>
      <c r="F5692" s="118" t="s">
        <v>1030</v>
      </c>
      <c r="G5692" s="126" t="s">
        <v>14322</v>
      </c>
      <c r="H5692" s="255">
        <v>2</v>
      </c>
      <c r="I5692" s="361">
        <v>1</v>
      </c>
      <c r="J5692" s="368" t="s">
        <v>310</v>
      </c>
      <c r="K5692" s="372"/>
      <c r="L5692" s="129"/>
      <c r="M5692" s="129"/>
      <c r="N5692" s="129"/>
      <c r="O5692" s="129"/>
      <c r="P5692" s="372"/>
      <c r="Q5692" s="372"/>
      <c r="R5692" s="129"/>
      <c r="S5692" s="129"/>
      <c r="T5692" s="129"/>
      <c r="W5692" s="129" t="s">
        <v>286</v>
      </c>
      <c r="X5692" s="337" t="b">
        <f t="shared" si="127"/>
        <v>0</v>
      </c>
    </row>
    <row r="5693" spans="1:24" s="360" customFormat="1" ht="12" customHeight="1" outlineLevel="1">
      <c r="A5693" s="365"/>
      <c r="B5693" s="118" t="s">
        <v>12</v>
      </c>
      <c r="C5693" s="334" t="s">
        <v>14364</v>
      </c>
      <c r="D5693" s="124" t="s">
        <v>14365</v>
      </c>
      <c r="E5693" s="125"/>
      <c r="F5693" s="118" t="s">
        <v>1030</v>
      </c>
      <c r="G5693" s="126" t="s">
        <v>14322</v>
      </c>
      <c r="H5693" s="255">
        <v>2</v>
      </c>
      <c r="I5693" s="361">
        <v>1</v>
      </c>
      <c r="J5693" s="368" t="s">
        <v>286</v>
      </c>
      <c r="K5693" s="372"/>
      <c r="L5693" s="129"/>
      <c r="M5693" s="129"/>
      <c r="N5693" s="129"/>
      <c r="O5693" s="129"/>
      <c r="P5693" s="372"/>
      <c r="Q5693" s="372"/>
      <c r="R5693" s="129"/>
      <c r="S5693" s="129"/>
      <c r="T5693" s="129"/>
      <c r="W5693" s="129" t="s">
        <v>286</v>
      </c>
      <c r="X5693" s="337" t="b">
        <f t="shared" si="127"/>
        <v>1</v>
      </c>
    </row>
    <row r="5694" spans="1:24" s="360" customFormat="1" ht="12" customHeight="1" outlineLevel="1">
      <c r="A5694" s="365"/>
      <c r="B5694" s="118" t="s">
        <v>12</v>
      </c>
      <c r="C5694" s="334" t="s">
        <v>14366</v>
      </c>
      <c r="D5694" s="124" t="s">
        <v>14367</v>
      </c>
      <c r="E5694" s="125"/>
      <c r="F5694" s="118" t="s">
        <v>1030</v>
      </c>
      <c r="G5694" s="126" t="s">
        <v>14322</v>
      </c>
      <c r="H5694" s="255">
        <v>2</v>
      </c>
      <c r="I5694" s="361">
        <v>1</v>
      </c>
      <c r="J5694" s="368" t="s">
        <v>286</v>
      </c>
      <c r="K5694" s="372"/>
      <c r="L5694" s="129"/>
      <c r="M5694" s="129"/>
      <c r="N5694" s="129"/>
      <c r="O5694" s="129"/>
      <c r="P5694" s="372"/>
      <c r="Q5694" s="372"/>
      <c r="R5694" s="129"/>
      <c r="S5694" s="129"/>
      <c r="T5694" s="129"/>
      <c r="W5694" s="129" t="s">
        <v>286</v>
      </c>
      <c r="X5694" s="337" t="b">
        <f t="shared" si="127"/>
        <v>1</v>
      </c>
    </row>
    <row r="5695" spans="1:24" s="360" customFormat="1" ht="12" customHeight="1" outlineLevel="1">
      <c r="A5695" s="365"/>
      <c r="B5695" s="118" t="s">
        <v>12</v>
      </c>
      <c r="C5695" s="334" t="s">
        <v>14368</v>
      </c>
      <c r="D5695" s="124" t="s">
        <v>14369</v>
      </c>
      <c r="E5695" s="125"/>
      <c r="F5695" s="118" t="s">
        <v>1030</v>
      </c>
      <c r="G5695" s="126" t="s">
        <v>14322</v>
      </c>
      <c r="H5695" s="255">
        <v>2</v>
      </c>
      <c r="I5695" s="361">
        <v>1</v>
      </c>
      <c r="J5695" s="368" t="s">
        <v>286</v>
      </c>
      <c r="K5695" s="372"/>
      <c r="L5695" s="129"/>
      <c r="M5695" s="129"/>
      <c r="N5695" s="129"/>
      <c r="O5695" s="129"/>
      <c r="P5695" s="372"/>
      <c r="Q5695" s="372"/>
      <c r="R5695" s="129"/>
      <c r="S5695" s="129"/>
      <c r="T5695" s="129"/>
      <c r="W5695" s="129" t="s">
        <v>286</v>
      </c>
      <c r="X5695" s="337" t="b">
        <f t="shared" si="127"/>
        <v>1</v>
      </c>
    </row>
    <row r="5696" spans="1:24" s="360" customFormat="1" ht="12" customHeight="1" outlineLevel="1">
      <c r="A5696" s="365"/>
      <c r="B5696" s="118" t="s">
        <v>12</v>
      </c>
      <c r="C5696" s="334" t="s">
        <v>14370</v>
      </c>
      <c r="D5696" s="124" t="s">
        <v>14371</v>
      </c>
      <c r="E5696" s="125"/>
      <c r="F5696" s="118" t="s">
        <v>1030</v>
      </c>
      <c r="G5696" s="126" t="s">
        <v>14322</v>
      </c>
      <c r="H5696" s="255">
        <v>2</v>
      </c>
      <c r="I5696" s="361">
        <v>1</v>
      </c>
      <c r="J5696" s="368" t="s">
        <v>286</v>
      </c>
      <c r="K5696" s="372"/>
      <c r="L5696" s="129"/>
      <c r="M5696" s="129"/>
      <c r="N5696" s="129"/>
      <c r="O5696" s="129"/>
      <c r="P5696" s="372"/>
      <c r="Q5696" s="372"/>
      <c r="R5696" s="129"/>
      <c r="S5696" s="129"/>
      <c r="T5696" s="129"/>
      <c r="W5696" s="129" t="s">
        <v>286</v>
      </c>
      <c r="X5696" s="337" t="b">
        <f t="shared" si="127"/>
        <v>1</v>
      </c>
    </row>
    <row r="5697" spans="1:24" s="360" customFormat="1" ht="12" customHeight="1" outlineLevel="1">
      <c r="A5697" s="365"/>
      <c r="B5697" s="118" t="s">
        <v>12</v>
      </c>
      <c r="C5697" s="334" t="s">
        <v>14372</v>
      </c>
      <c r="D5697" s="124" t="s">
        <v>14373</v>
      </c>
      <c r="E5697" s="125"/>
      <c r="F5697" s="118" t="s">
        <v>1030</v>
      </c>
      <c r="G5697" s="126" t="s">
        <v>14322</v>
      </c>
      <c r="H5697" s="255">
        <v>2</v>
      </c>
      <c r="I5697" s="361">
        <v>1</v>
      </c>
      <c r="J5697" s="368" t="s">
        <v>286</v>
      </c>
      <c r="K5697" s="372"/>
      <c r="L5697" s="129"/>
      <c r="M5697" s="129"/>
      <c r="N5697" s="129"/>
      <c r="O5697" s="129"/>
      <c r="P5697" s="372"/>
      <c r="Q5697" s="372"/>
      <c r="R5697" s="129"/>
      <c r="S5697" s="129"/>
      <c r="T5697" s="129"/>
      <c r="W5697" s="129" t="s">
        <v>286</v>
      </c>
      <c r="X5697" s="337" t="b">
        <f t="shared" si="127"/>
        <v>1</v>
      </c>
    </row>
    <row r="5698" spans="1:24" s="360" customFormat="1" ht="12" customHeight="1" outlineLevel="1">
      <c r="A5698" s="365"/>
      <c r="B5698" s="118" t="s">
        <v>12</v>
      </c>
      <c r="C5698" s="334" t="s">
        <v>14374</v>
      </c>
      <c r="D5698" s="124" t="s">
        <v>14375</v>
      </c>
      <c r="E5698" s="125"/>
      <c r="F5698" s="118" t="s">
        <v>1030</v>
      </c>
      <c r="G5698" s="126" t="s">
        <v>14322</v>
      </c>
      <c r="H5698" s="255">
        <v>2</v>
      </c>
      <c r="I5698" s="361">
        <v>1</v>
      </c>
      <c r="J5698" s="368" t="s">
        <v>286</v>
      </c>
      <c r="K5698" s="372"/>
      <c r="L5698" s="129"/>
      <c r="M5698" s="129"/>
      <c r="N5698" s="129"/>
      <c r="O5698" s="129"/>
      <c r="P5698" s="372"/>
      <c r="Q5698" s="372"/>
      <c r="R5698" s="129"/>
      <c r="S5698" s="129"/>
      <c r="T5698" s="129"/>
      <c r="W5698" s="129" t="s">
        <v>4876</v>
      </c>
      <c r="X5698" s="337" t="b">
        <f t="shared" si="127"/>
        <v>0</v>
      </c>
    </row>
    <row r="5699" spans="1:24" s="360" customFormat="1" ht="12" customHeight="1" outlineLevel="1">
      <c r="A5699" s="365"/>
      <c r="B5699" s="118" t="s">
        <v>12</v>
      </c>
      <c r="C5699" s="334" t="s">
        <v>14376</v>
      </c>
      <c r="D5699" s="124" t="s">
        <v>14377</v>
      </c>
      <c r="E5699" s="125"/>
      <c r="F5699" s="118" t="s">
        <v>1030</v>
      </c>
      <c r="G5699" s="126" t="s">
        <v>14322</v>
      </c>
      <c r="H5699" s="255">
        <v>2</v>
      </c>
      <c r="I5699" s="361">
        <v>1</v>
      </c>
      <c r="J5699" s="368" t="s">
        <v>286</v>
      </c>
      <c r="K5699" s="372"/>
      <c r="L5699" s="129"/>
      <c r="M5699" s="129"/>
      <c r="N5699" s="129"/>
      <c r="O5699" s="129"/>
      <c r="P5699" s="372"/>
      <c r="Q5699" s="372"/>
      <c r="R5699" s="129"/>
      <c r="S5699" s="129"/>
      <c r="T5699" s="129"/>
      <c r="W5699" s="129" t="s">
        <v>286</v>
      </c>
      <c r="X5699" s="337" t="b">
        <f t="shared" si="127"/>
        <v>1</v>
      </c>
    </row>
    <row r="5700" spans="1:24" s="360" customFormat="1" ht="12" customHeight="1" outlineLevel="1">
      <c r="A5700" s="365"/>
      <c r="B5700" s="118" t="s">
        <v>12</v>
      </c>
      <c r="C5700" s="334" t="s">
        <v>14378</v>
      </c>
      <c r="D5700" s="124" t="s">
        <v>14379</v>
      </c>
      <c r="E5700" s="125"/>
      <c r="F5700" s="118" t="s">
        <v>1030</v>
      </c>
      <c r="G5700" s="126" t="s">
        <v>14322</v>
      </c>
      <c r="H5700" s="255">
        <v>2</v>
      </c>
      <c r="I5700" s="361">
        <v>1</v>
      </c>
      <c r="J5700" s="368" t="s">
        <v>286</v>
      </c>
      <c r="K5700" s="372"/>
      <c r="L5700" s="129"/>
      <c r="M5700" s="129"/>
      <c r="N5700" s="129"/>
      <c r="O5700" s="129"/>
      <c r="P5700" s="372"/>
      <c r="Q5700" s="372"/>
      <c r="R5700" s="129"/>
      <c r="S5700" s="129"/>
      <c r="T5700" s="129"/>
      <c r="W5700" s="129" t="s">
        <v>286</v>
      </c>
      <c r="X5700" s="337" t="b">
        <f t="shared" si="127"/>
        <v>1</v>
      </c>
    </row>
    <row r="5701" spans="1:24" s="360" customFormat="1" ht="12" customHeight="1" outlineLevel="1">
      <c r="A5701" s="365"/>
      <c r="B5701" s="118" t="s">
        <v>12</v>
      </c>
      <c r="C5701" s="334" t="s">
        <v>14380</v>
      </c>
      <c r="D5701" s="124" t="s">
        <v>14381</v>
      </c>
      <c r="E5701" s="125"/>
      <c r="F5701" s="118" t="s">
        <v>1030</v>
      </c>
      <c r="G5701" s="126" t="s">
        <v>14322</v>
      </c>
      <c r="H5701" s="255">
        <v>2</v>
      </c>
      <c r="I5701" s="361">
        <v>1</v>
      </c>
      <c r="J5701" s="368" t="s">
        <v>286</v>
      </c>
      <c r="K5701" s="372"/>
      <c r="L5701" s="129"/>
      <c r="M5701" s="129"/>
      <c r="N5701" s="129"/>
      <c r="O5701" s="129"/>
      <c r="P5701" s="372"/>
      <c r="Q5701" s="372"/>
      <c r="R5701" s="129"/>
      <c r="S5701" s="129"/>
      <c r="T5701" s="129"/>
      <c r="W5701" s="129" t="s">
        <v>286</v>
      </c>
      <c r="X5701" s="337" t="b">
        <f t="shared" si="127"/>
        <v>1</v>
      </c>
    </row>
    <row r="5702" spans="1:24" s="360" customFormat="1" ht="12" customHeight="1" outlineLevel="1">
      <c r="A5702" s="365"/>
      <c r="B5702" s="118" t="s">
        <v>12</v>
      </c>
      <c r="C5702" s="334" t="s">
        <v>14382</v>
      </c>
      <c r="D5702" s="124" t="s">
        <v>14383</v>
      </c>
      <c r="E5702" s="125"/>
      <c r="F5702" s="118" t="s">
        <v>1030</v>
      </c>
      <c r="G5702" s="126" t="s">
        <v>14322</v>
      </c>
      <c r="H5702" s="255">
        <v>2</v>
      </c>
      <c r="I5702" s="361">
        <v>1</v>
      </c>
      <c r="J5702" s="368" t="s">
        <v>286</v>
      </c>
      <c r="K5702" s="372"/>
      <c r="L5702" s="129"/>
      <c r="M5702" s="129"/>
      <c r="N5702" s="129"/>
      <c r="O5702" s="129"/>
      <c r="P5702" s="372"/>
      <c r="Q5702" s="372"/>
      <c r="R5702" s="129"/>
      <c r="S5702" s="129"/>
      <c r="T5702" s="129"/>
      <c r="W5702" s="129" t="s">
        <v>286</v>
      </c>
      <c r="X5702" s="337" t="b">
        <f t="shared" si="127"/>
        <v>1</v>
      </c>
    </row>
    <row r="5703" spans="1:24" s="360" customFormat="1" ht="12" customHeight="1" outlineLevel="1">
      <c r="A5703" s="365"/>
      <c r="B5703" s="118" t="s">
        <v>12</v>
      </c>
      <c r="C5703" s="334" t="s">
        <v>14384</v>
      </c>
      <c r="D5703" s="124" t="s">
        <v>14385</v>
      </c>
      <c r="E5703" s="125"/>
      <c r="F5703" s="118" t="s">
        <v>1030</v>
      </c>
      <c r="G5703" s="126" t="s">
        <v>14322</v>
      </c>
      <c r="H5703" s="255">
        <v>2</v>
      </c>
      <c r="I5703" s="361">
        <v>1</v>
      </c>
      <c r="J5703" s="368" t="s">
        <v>286</v>
      </c>
      <c r="K5703" s="372"/>
      <c r="L5703" s="129"/>
      <c r="M5703" s="129"/>
      <c r="N5703" s="129"/>
      <c r="O5703" s="129"/>
      <c r="P5703" s="372"/>
      <c r="Q5703" s="372"/>
      <c r="R5703" s="129"/>
      <c r="S5703" s="129"/>
      <c r="T5703" s="129"/>
      <c r="W5703" s="129" t="s">
        <v>286</v>
      </c>
      <c r="X5703" s="337" t="b">
        <f t="shared" si="127"/>
        <v>1</v>
      </c>
    </row>
    <row r="5704" spans="1:24" s="360" customFormat="1" ht="12" customHeight="1" outlineLevel="1">
      <c r="A5704" s="365"/>
      <c r="B5704" s="118" t="s">
        <v>12</v>
      </c>
      <c r="C5704" s="334" t="s">
        <v>14386</v>
      </c>
      <c r="D5704" s="124" t="s">
        <v>14387</v>
      </c>
      <c r="E5704" s="125"/>
      <c r="F5704" s="118" t="s">
        <v>1030</v>
      </c>
      <c r="G5704" s="126" t="s">
        <v>14322</v>
      </c>
      <c r="H5704" s="255">
        <v>2</v>
      </c>
      <c r="I5704" s="361">
        <v>1</v>
      </c>
      <c r="J5704" s="368" t="s">
        <v>286</v>
      </c>
      <c r="K5704" s="372"/>
      <c r="L5704" s="129"/>
      <c r="M5704" s="129"/>
      <c r="N5704" s="129"/>
      <c r="O5704" s="129"/>
      <c r="P5704" s="372"/>
      <c r="Q5704" s="372"/>
      <c r="R5704" s="129"/>
      <c r="S5704" s="129"/>
      <c r="T5704" s="129"/>
      <c r="W5704" s="129" t="s">
        <v>286</v>
      </c>
      <c r="X5704" s="337" t="b">
        <f t="shared" si="127"/>
        <v>1</v>
      </c>
    </row>
    <row r="5705" spans="1:24" s="360" customFormat="1" ht="12" customHeight="1" outlineLevel="1">
      <c r="A5705" s="365"/>
      <c r="B5705" s="118" t="s">
        <v>12</v>
      </c>
      <c r="C5705" s="334" t="s">
        <v>14388</v>
      </c>
      <c r="D5705" s="124" t="s">
        <v>14389</v>
      </c>
      <c r="E5705" s="125"/>
      <c r="F5705" s="118" t="s">
        <v>1030</v>
      </c>
      <c r="G5705" s="126" t="s">
        <v>14322</v>
      </c>
      <c r="H5705" s="255">
        <v>2</v>
      </c>
      <c r="I5705" s="361">
        <v>1</v>
      </c>
      <c r="J5705" s="368" t="s">
        <v>286</v>
      </c>
      <c r="K5705" s="372"/>
      <c r="L5705" s="129"/>
      <c r="M5705" s="129"/>
      <c r="N5705" s="129"/>
      <c r="O5705" s="129"/>
      <c r="P5705" s="372"/>
      <c r="Q5705" s="372"/>
      <c r="R5705" s="129"/>
      <c r="S5705" s="129"/>
      <c r="T5705" s="129"/>
      <c r="W5705" s="129" t="s">
        <v>286</v>
      </c>
      <c r="X5705" s="337" t="b">
        <f t="shared" si="127"/>
        <v>1</v>
      </c>
    </row>
    <row r="5706" spans="1:24" s="360" customFormat="1" ht="12" customHeight="1" outlineLevel="1">
      <c r="A5706" s="365"/>
      <c r="B5706" s="118" t="s">
        <v>12</v>
      </c>
      <c r="C5706" s="334" t="s">
        <v>14390</v>
      </c>
      <c r="D5706" s="124" t="s">
        <v>14391</v>
      </c>
      <c r="E5706" s="125"/>
      <c r="F5706" s="118" t="s">
        <v>1030</v>
      </c>
      <c r="G5706" s="126" t="s">
        <v>14322</v>
      </c>
      <c r="H5706" s="255">
        <v>2</v>
      </c>
      <c r="I5706" s="361">
        <v>1</v>
      </c>
      <c r="J5706" s="368" t="s">
        <v>286</v>
      </c>
      <c r="K5706" s="372"/>
      <c r="L5706" s="129"/>
      <c r="M5706" s="129"/>
      <c r="N5706" s="129"/>
      <c r="O5706" s="129"/>
      <c r="P5706" s="372"/>
      <c r="Q5706" s="372"/>
      <c r="R5706" s="129"/>
      <c r="S5706" s="129"/>
      <c r="T5706" s="129"/>
      <c r="W5706" s="129" t="s">
        <v>286</v>
      </c>
      <c r="X5706" s="337" t="b">
        <f t="shared" si="127"/>
        <v>1</v>
      </c>
    </row>
    <row r="5707" spans="1:24" s="360" customFormat="1" ht="12" customHeight="1" outlineLevel="1">
      <c r="A5707" s="365"/>
      <c r="B5707" s="118" t="s">
        <v>12</v>
      </c>
      <c r="C5707" s="334" t="s">
        <v>14392</v>
      </c>
      <c r="D5707" s="124" t="s">
        <v>14393</v>
      </c>
      <c r="E5707" s="125"/>
      <c r="F5707" s="118" t="s">
        <v>1030</v>
      </c>
      <c r="G5707" s="126" t="s">
        <v>14322</v>
      </c>
      <c r="H5707" s="255">
        <v>2</v>
      </c>
      <c r="I5707" s="361">
        <v>1</v>
      </c>
      <c r="J5707" s="368" t="s">
        <v>286</v>
      </c>
      <c r="K5707" s="372"/>
      <c r="L5707" s="129"/>
      <c r="M5707" s="129"/>
      <c r="N5707" s="129"/>
      <c r="O5707" s="129"/>
      <c r="P5707" s="372"/>
      <c r="Q5707" s="372"/>
      <c r="R5707" s="129"/>
      <c r="S5707" s="129"/>
      <c r="T5707" s="129"/>
      <c r="W5707" s="129" t="s">
        <v>286</v>
      </c>
      <c r="X5707" s="337" t="b">
        <f t="shared" si="127"/>
        <v>1</v>
      </c>
    </row>
    <row r="5708" spans="1:24" s="360" customFormat="1" ht="12" customHeight="1" outlineLevel="1">
      <c r="A5708" s="365"/>
      <c r="B5708" s="118" t="s">
        <v>12</v>
      </c>
      <c r="C5708" s="334" t="s">
        <v>14394</v>
      </c>
      <c r="D5708" s="124" t="s">
        <v>14395</v>
      </c>
      <c r="E5708" s="125"/>
      <c r="F5708" s="118" t="s">
        <v>1030</v>
      </c>
      <c r="G5708" s="126" t="s">
        <v>14322</v>
      </c>
      <c r="H5708" s="255">
        <v>2</v>
      </c>
      <c r="I5708" s="361">
        <v>1</v>
      </c>
      <c r="J5708" s="368" t="s">
        <v>286</v>
      </c>
      <c r="K5708" s="372"/>
      <c r="L5708" s="129"/>
      <c r="M5708" s="129"/>
      <c r="N5708" s="129"/>
      <c r="O5708" s="129"/>
      <c r="P5708" s="372"/>
      <c r="Q5708" s="372"/>
      <c r="R5708" s="129"/>
      <c r="S5708" s="129"/>
      <c r="T5708" s="129"/>
      <c r="W5708" s="129" t="s">
        <v>286</v>
      </c>
      <c r="X5708" s="337" t="b">
        <f t="shared" si="127"/>
        <v>1</v>
      </c>
    </row>
    <row r="5709" spans="1:24" s="360" customFormat="1" ht="12" customHeight="1" outlineLevel="1">
      <c r="A5709" s="365"/>
      <c r="B5709" s="118" t="s">
        <v>12</v>
      </c>
      <c r="C5709" s="334" t="s">
        <v>14396</v>
      </c>
      <c r="D5709" s="124" t="s">
        <v>14397</v>
      </c>
      <c r="E5709" s="125"/>
      <c r="F5709" s="118" t="s">
        <v>1030</v>
      </c>
      <c r="G5709" s="126" t="s">
        <v>14322</v>
      </c>
      <c r="H5709" s="255">
        <v>2</v>
      </c>
      <c r="I5709" s="361">
        <v>1</v>
      </c>
      <c r="J5709" s="368" t="s">
        <v>286</v>
      </c>
      <c r="K5709" s="372"/>
      <c r="L5709" s="129"/>
      <c r="M5709" s="129"/>
      <c r="N5709" s="129"/>
      <c r="O5709" s="129"/>
      <c r="P5709" s="372"/>
      <c r="Q5709" s="372"/>
      <c r="R5709" s="129"/>
      <c r="S5709" s="129"/>
      <c r="T5709" s="129"/>
      <c r="W5709" s="129" t="s">
        <v>286</v>
      </c>
      <c r="X5709" s="337" t="b">
        <f t="shared" si="127"/>
        <v>1</v>
      </c>
    </row>
    <row r="5710" spans="1:24" s="360" customFormat="1" ht="12" customHeight="1" outlineLevel="1">
      <c r="A5710" s="365"/>
      <c r="B5710" s="118" t="s">
        <v>12</v>
      </c>
      <c r="C5710" s="334" t="s">
        <v>14398</v>
      </c>
      <c r="D5710" s="124" t="s">
        <v>14399</v>
      </c>
      <c r="E5710" s="125"/>
      <c r="F5710" s="118" t="s">
        <v>1030</v>
      </c>
      <c r="G5710" s="126" t="s">
        <v>14322</v>
      </c>
      <c r="H5710" s="255">
        <v>2</v>
      </c>
      <c r="I5710" s="361">
        <v>1</v>
      </c>
      <c r="J5710" s="368" t="s">
        <v>286</v>
      </c>
      <c r="K5710" s="372"/>
      <c r="L5710" s="129"/>
      <c r="M5710" s="129"/>
      <c r="N5710" s="129"/>
      <c r="O5710" s="129"/>
      <c r="P5710" s="372"/>
      <c r="Q5710" s="372"/>
      <c r="R5710" s="129"/>
      <c r="S5710" s="129"/>
      <c r="T5710" s="129"/>
      <c r="W5710" s="129" t="s">
        <v>286</v>
      </c>
      <c r="X5710" s="337" t="b">
        <f t="shared" si="127"/>
        <v>1</v>
      </c>
    </row>
    <row r="5711" spans="1:24" s="360" customFormat="1" ht="12" customHeight="1" outlineLevel="1">
      <c r="A5711" s="365"/>
      <c r="B5711" s="118" t="s">
        <v>12</v>
      </c>
      <c r="C5711" s="334" t="s">
        <v>14400</v>
      </c>
      <c r="D5711" s="124" t="s">
        <v>14401</v>
      </c>
      <c r="E5711" s="125"/>
      <c r="F5711" s="118" t="s">
        <v>1030</v>
      </c>
      <c r="G5711" s="126" t="s">
        <v>14322</v>
      </c>
      <c r="H5711" s="255">
        <v>2</v>
      </c>
      <c r="I5711" s="361">
        <v>1</v>
      </c>
      <c r="J5711" s="368" t="s">
        <v>286</v>
      </c>
      <c r="K5711" s="372"/>
      <c r="L5711" s="129"/>
      <c r="M5711" s="129"/>
      <c r="N5711" s="129"/>
      <c r="O5711" s="129"/>
      <c r="P5711" s="372"/>
      <c r="Q5711" s="372"/>
      <c r="R5711" s="129"/>
      <c r="S5711" s="129"/>
      <c r="T5711" s="129"/>
      <c r="W5711" s="129" t="s">
        <v>286</v>
      </c>
      <c r="X5711" s="337" t="b">
        <f t="shared" si="127"/>
        <v>1</v>
      </c>
    </row>
    <row r="5712" spans="1:24" s="360" customFormat="1" ht="12" customHeight="1" outlineLevel="1">
      <c r="A5712" s="365"/>
      <c r="B5712" s="118" t="s">
        <v>12</v>
      </c>
      <c r="C5712" s="334" t="s">
        <v>14402</v>
      </c>
      <c r="D5712" s="124" t="s">
        <v>14403</v>
      </c>
      <c r="E5712" s="125"/>
      <c r="F5712" s="118" t="s">
        <v>1030</v>
      </c>
      <c r="G5712" s="126" t="s">
        <v>14322</v>
      </c>
      <c r="H5712" s="255">
        <v>2</v>
      </c>
      <c r="I5712" s="361">
        <v>1</v>
      </c>
      <c r="J5712" s="368" t="s">
        <v>286</v>
      </c>
      <c r="K5712" s="372"/>
      <c r="L5712" s="129"/>
      <c r="M5712" s="129"/>
      <c r="N5712" s="129"/>
      <c r="O5712" s="129"/>
      <c r="P5712" s="372"/>
      <c r="Q5712" s="372"/>
      <c r="R5712" s="129"/>
      <c r="S5712" s="129"/>
      <c r="T5712" s="129"/>
      <c r="W5712" s="129" t="s">
        <v>286</v>
      </c>
      <c r="X5712" s="337" t="b">
        <f t="shared" si="127"/>
        <v>1</v>
      </c>
    </row>
    <row r="5713" spans="1:24" s="360" customFormat="1" ht="12" customHeight="1" outlineLevel="1">
      <c r="A5713" s="365"/>
      <c r="B5713" s="118" t="s">
        <v>12</v>
      </c>
      <c r="C5713" s="334" t="s">
        <v>14404</v>
      </c>
      <c r="D5713" s="124" t="s">
        <v>14405</v>
      </c>
      <c r="E5713" s="125"/>
      <c r="F5713" s="118" t="s">
        <v>1030</v>
      </c>
      <c r="G5713" s="126" t="s">
        <v>14322</v>
      </c>
      <c r="H5713" s="255">
        <v>2</v>
      </c>
      <c r="I5713" s="361">
        <v>1</v>
      </c>
      <c r="J5713" s="368" t="s">
        <v>286</v>
      </c>
      <c r="K5713" s="372"/>
      <c r="L5713" s="129"/>
      <c r="M5713" s="129"/>
      <c r="N5713" s="129"/>
      <c r="O5713" s="129"/>
      <c r="P5713" s="372"/>
      <c r="Q5713" s="372"/>
      <c r="R5713" s="129"/>
      <c r="S5713" s="129"/>
      <c r="T5713" s="129"/>
      <c r="W5713" s="129" t="s">
        <v>286</v>
      </c>
      <c r="X5713" s="337" t="b">
        <f t="shared" si="127"/>
        <v>1</v>
      </c>
    </row>
    <row r="5714" spans="1:24" s="360" customFormat="1" ht="12" customHeight="1" outlineLevel="1">
      <c r="A5714" s="365"/>
      <c r="B5714" s="118" t="s">
        <v>12</v>
      </c>
      <c r="C5714" s="334" t="s">
        <v>14406</v>
      </c>
      <c r="D5714" s="124" t="s">
        <v>14407</v>
      </c>
      <c r="E5714" s="125"/>
      <c r="F5714" s="118" t="s">
        <v>1030</v>
      </c>
      <c r="G5714" s="126" t="s">
        <v>14322</v>
      </c>
      <c r="H5714" s="255">
        <v>2</v>
      </c>
      <c r="I5714" s="361">
        <v>1</v>
      </c>
      <c r="J5714" s="368" t="s">
        <v>286</v>
      </c>
      <c r="K5714" s="372"/>
      <c r="L5714" s="129"/>
      <c r="M5714" s="129"/>
      <c r="N5714" s="129"/>
      <c r="O5714" s="129"/>
      <c r="P5714" s="372"/>
      <c r="Q5714" s="372"/>
      <c r="R5714" s="129"/>
      <c r="S5714" s="129"/>
      <c r="T5714" s="129"/>
      <c r="W5714" s="129" t="s">
        <v>286</v>
      </c>
      <c r="X5714" s="337" t="b">
        <f t="shared" si="127"/>
        <v>1</v>
      </c>
    </row>
    <row r="5715" spans="1:24" s="360" customFormat="1" ht="12" customHeight="1" outlineLevel="1">
      <c r="A5715" s="365"/>
      <c r="B5715" s="118" t="s">
        <v>12</v>
      </c>
      <c r="C5715" s="334" t="s">
        <v>14408</v>
      </c>
      <c r="D5715" s="124" t="s">
        <v>14409</v>
      </c>
      <c r="E5715" s="125"/>
      <c r="F5715" s="118" t="s">
        <v>1030</v>
      </c>
      <c r="G5715" s="126" t="s">
        <v>14322</v>
      </c>
      <c r="H5715" s="255">
        <v>2</v>
      </c>
      <c r="I5715" s="361">
        <v>1</v>
      </c>
      <c r="J5715" s="368" t="s">
        <v>286</v>
      </c>
      <c r="K5715" s="372"/>
      <c r="L5715" s="129"/>
      <c r="M5715" s="129"/>
      <c r="N5715" s="129"/>
      <c r="O5715" s="129"/>
      <c r="P5715" s="372"/>
      <c r="Q5715" s="372"/>
      <c r="R5715" s="129"/>
      <c r="S5715" s="129"/>
      <c r="T5715" s="129"/>
      <c r="W5715" s="129" t="s">
        <v>286</v>
      </c>
      <c r="X5715" s="337" t="b">
        <f t="shared" si="127"/>
        <v>1</v>
      </c>
    </row>
    <row r="5716" spans="1:24" s="360" customFormat="1" ht="12" customHeight="1" outlineLevel="1">
      <c r="A5716" s="365"/>
      <c r="B5716" s="118" t="s">
        <v>12</v>
      </c>
      <c r="C5716" s="334" t="s">
        <v>14410</v>
      </c>
      <c r="D5716" s="124" t="s">
        <v>14411</v>
      </c>
      <c r="E5716" s="125"/>
      <c r="F5716" s="118" t="s">
        <v>1030</v>
      </c>
      <c r="G5716" s="126" t="s">
        <v>14322</v>
      </c>
      <c r="H5716" s="255">
        <v>2</v>
      </c>
      <c r="I5716" s="361">
        <v>1</v>
      </c>
      <c r="J5716" s="368" t="s">
        <v>286</v>
      </c>
      <c r="K5716" s="372"/>
      <c r="L5716" s="129"/>
      <c r="M5716" s="129"/>
      <c r="N5716" s="129"/>
      <c r="O5716" s="129"/>
      <c r="P5716" s="372"/>
      <c r="Q5716" s="372"/>
      <c r="R5716" s="129"/>
      <c r="S5716" s="129"/>
      <c r="T5716" s="129"/>
      <c r="W5716" s="129" t="s">
        <v>286</v>
      </c>
      <c r="X5716" s="337" t="b">
        <f t="shared" si="127"/>
        <v>1</v>
      </c>
    </row>
    <row r="5717" spans="1:24" s="360" customFormat="1" ht="12" customHeight="1" outlineLevel="1">
      <c r="A5717" s="365"/>
      <c r="B5717" s="118" t="s">
        <v>12</v>
      </c>
      <c r="C5717" s="334" t="s">
        <v>14412</v>
      </c>
      <c r="D5717" s="124" t="s">
        <v>14413</v>
      </c>
      <c r="E5717" s="125"/>
      <c r="F5717" s="118" t="s">
        <v>1030</v>
      </c>
      <c r="G5717" s="126" t="s">
        <v>14322</v>
      </c>
      <c r="H5717" s="255">
        <v>2</v>
      </c>
      <c r="I5717" s="361">
        <v>1</v>
      </c>
      <c r="J5717" s="368" t="s">
        <v>310</v>
      </c>
      <c r="K5717" s="372"/>
      <c r="L5717" s="129"/>
      <c r="M5717" s="129"/>
      <c r="N5717" s="129"/>
      <c r="O5717" s="129"/>
      <c r="P5717" s="372"/>
      <c r="Q5717" s="372"/>
      <c r="R5717" s="129"/>
      <c r="S5717" s="129"/>
      <c r="T5717" s="129"/>
      <c r="W5717" s="129" t="s">
        <v>286</v>
      </c>
      <c r="X5717" s="337" t="b">
        <f t="shared" si="127"/>
        <v>0</v>
      </c>
    </row>
    <row r="5718" spans="1:24" s="360" customFormat="1" ht="12" customHeight="1" outlineLevel="1">
      <c r="A5718" s="365"/>
      <c r="B5718" s="118" t="s">
        <v>12</v>
      </c>
      <c r="C5718" s="334" t="s">
        <v>14414</v>
      </c>
      <c r="D5718" s="124" t="s">
        <v>14415</v>
      </c>
      <c r="E5718" s="125"/>
      <c r="F5718" s="118" t="s">
        <v>1030</v>
      </c>
      <c r="G5718" s="126" t="s">
        <v>14322</v>
      </c>
      <c r="H5718" s="255">
        <v>2</v>
      </c>
      <c r="I5718" s="361">
        <v>1</v>
      </c>
      <c r="J5718" s="368" t="s">
        <v>286</v>
      </c>
      <c r="K5718" s="372"/>
      <c r="L5718" s="129"/>
      <c r="M5718" s="129"/>
      <c r="N5718" s="129"/>
      <c r="O5718" s="129"/>
      <c r="P5718" s="372"/>
      <c r="Q5718" s="372"/>
      <c r="R5718" s="129"/>
      <c r="S5718" s="129"/>
      <c r="T5718" s="129"/>
      <c r="W5718" s="129" t="s">
        <v>286</v>
      </c>
      <c r="X5718" s="337" t="b">
        <f t="shared" si="127"/>
        <v>1</v>
      </c>
    </row>
    <row r="5719" spans="1:24" s="360" customFormat="1" ht="12" customHeight="1" outlineLevel="1">
      <c r="A5719" s="365"/>
      <c r="B5719" s="118" t="s">
        <v>12</v>
      </c>
      <c r="C5719" s="334" t="s">
        <v>14416</v>
      </c>
      <c r="D5719" s="124" t="s">
        <v>14417</v>
      </c>
      <c r="E5719" s="125"/>
      <c r="F5719" s="118" t="s">
        <v>1030</v>
      </c>
      <c r="G5719" s="126" t="s">
        <v>14322</v>
      </c>
      <c r="H5719" s="255">
        <v>2</v>
      </c>
      <c r="I5719" s="361">
        <v>1</v>
      </c>
      <c r="J5719" s="368" t="s">
        <v>310</v>
      </c>
      <c r="K5719" s="372"/>
      <c r="L5719" s="129"/>
      <c r="M5719" s="129"/>
      <c r="N5719" s="129"/>
      <c r="O5719" s="129"/>
      <c r="P5719" s="372"/>
      <c r="Q5719" s="372"/>
      <c r="R5719" s="129"/>
      <c r="S5719" s="129"/>
      <c r="T5719" s="129"/>
      <c r="W5719" s="129" t="s">
        <v>286</v>
      </c>
      <c r="X5719" s="337" t="b">
        <f t="shared" si="127"/>
        <v>0</v>
      </c>
    </row>
    <row r="5720" spans="1:24" s="360" customFormat="1" ht="12" customHeight="1" outlineLevel="1">
      <c r="A5720" s="365"/>
      <c r="B5720" s="118" t="s">
        <v>12</v>
      </c>
      <c r="C5720" s="334" t="s">
        <v>14418</v>
      </c>
      <c r="D5720" s="124" t="s">
        <v>14419</v>
      </c>
      <c r="E5720" s="125"/>
      <c r="F5720" s="118" t="s">
        <v>1030</v>
      </c>
      <c r="G5720" s="126" t="s">
        <v>14322</v>
      </c>
      <c r="H5720" s="255">
        <v>2</v>
      </c>
      <c r="I5720" s="361">
        <v>1</v>
      </c>
      <c r="J5720" s="368" t="s">
        <v>286</v>
      </c>
      <c r="K5720" s="372"/>
      <c r="L5720" s="129"/>
      <c r="M5720" s="129"/>
      <c r="N5720" s="129"/>
      <c r="O5720" s="129"/>
      <c r="P5720" s="372"/>
      <c r="Q5720" s="372"/>
      <c r="R5720" s="129"/>
      <c r="S5720" s="129"/>
      <c r="T5720" s="129"/>
      <c r="W5720" s="129" t="s">
        <v>286</v>
      </c>
      <c r="X5720" s="337" t="b">
        <f t="shared" si="127"/>
        <v>1</v>
      </c>
    </row>
    <row r="5721" spans="1:24" s="360" customFormat="1" ht="12" customHeight="1" outlineLevel="1">
      <c r="A5721" s="365"/>
      <c r="B5721" s="118" t="s">
        <v>12</v>
      </c>
      <c r="C5721" s="334" t="s">
        <v>14420</v>
      </c>
      <c r="D5721" s="124" t="s">
        <v>14421</v>
      </c>
      <c r="E5721" s="125"/>
      <c r="F5721" s="118" t="s">
        <v>1030</v>
      </c>
      <c r="G5721" s="126" t="s">
        <v>14322</v>
      </c>
      <c r="H5721" s="255">
        <v>2</v>
      </c>
      <c r="I5721" s="361">
        <v>1</v>
      </c>
      <c r="J5721" s="368" t="s">
        <v>286</v>
      </c>
      <c r="K5721" s="372"/>
      <c r="L5721" s="129"/>
      <c r="M5721" s="129"/>
      <c r="N5721" s="129"/>
      <c r="O5721" s="129"/>
      <c r="P5721" s="372"/>
      <c r="Q5721" s="372"/>
      <c r="R5721" s="129"/>
      <c r="S5721" s="129"/>
      <c r="T5721" s="129"/>
      <c r="W5721" s="129" t="s">
        <v>286</v>
      </c>
      <c r="X5721" s="337" t="b">
        <f t="shared" si="127"/>
        <v>1</v>
      </c>
    </row>
    <row r="5722" spans="1:24" s="360" customFormat="1" ht="12" customHeight="1" outlineLevel="1">
      <c r="A5722" s="365"/>
      <c r="B5722" s="118" t="s">
        <v>12</v>
      </c>
      <c r="C5722" s="334" t="s">
        <v>14422</v>
      </c>
      <c r="D5722" s="124" t="s">
        <v>14423</v>
      </c>
      <c r="E5722" s="125"/>
      <c r="F5722" s="118" t="s">
        <v>1030</v>
      </c>
      <c r="G5722" s="126" t="s">
        <v>14322</v>
      </c>
      <c r="H5722" s="255">
        <v>2</v>
      </c>
      <c r="I5722" s="361">
        <v>1</v>
      </c>
      <c r="J5722" s="368" t="s">
        <v>286</v>
      </c>
      <c r="K5722" s="372"/>
      <c r="L5722" s="129"/>
      <c r="M5722" s="129"/>
      <c r="N5722" s="129"/>
      <c r="O5722" s="129"/>
      <c r="P5722" s="372"/>
      <c r="Q5722" s="372"/>
      <c r="R5722" s="129"/>
      <c r="S5722" s="129"/>
      <c r="T5722" s="129"/>
      <c r="W5722" s="129" t="s">
        <v>286</v>
      </c>
      <c r="X5722" s="337" t="b">
        <f t="shared" si="127"/>
        <v>1</v>
      </c>
    </row>
    <row r="5723" spans="1:24" s="360" customFormat="1" ht="12" customHeight="1" outlineLevel="1">
      <c r="A5723" s="365"/>
      <c r="B5723" s="118" t="s">
        <v>12</v>
      </c>
      <c r="C5723" s="334" t="s">
        <v>14424</v>
      </c>
      <c r="D5723" s="124" t="s">
        <v>14425</v>
      </c>
      <c r="E5723" s="125"/>
      <c r="F5723" s="118" t="s">
        <v>1030</v>
      </c>
      <c r="G5723" s="126" t="s">
        <v>14322</v>
      </c>
      <c r="H5723" s="255">
        <v>2</v>
      </c>
      <c r="I5723" s="361">
        <v>1</v>
      </c>
      <c r="J5723" s="368" t="s">
        <v>286</v>
      </c>
      <c r="K5723" s="372"/>
      <c r="L5723" s="129"/>
      <c r="M5723" s="129"/>
      <c r="N5723" s="129"/>
      <c r="O5723" s="129"/>
      <c r="P5723" s="372"/>
      <c r="Q5723" s="372"/>
      <c r="R5723" s="129"/>
      <c r="S5723" s="129"/>
      <c r="T5723" s="129"/>
      <c r="W5723" s="129" t="s">
        <v>286</v>
      </c>
      <c r="X5723" s="337" t="b">
        <f t="shared" si="127"/>
        <v>1</v>
      </c>
    </row>
    <row r="5724" spans="1:24" s="360" customFormat="1" ht="12" customHeight="1" outlineLevel="1">
      <c r="A5724" s="365"/>
      <c r="B5724" s="118" t="s">
        <v>12</v>
      </c>
      <c r="C5724" s="334" t="s">
        <v>14426</v>
      </c>
      <c r="D5724" s="124" t="s">
        <v>14427</v>
      </c>
      <c r="E5724" s="125"/>
      <c r="F5724" s="118" t="s">
        <v>1030</v>
      </c>
      <c r="G5724" s="126" t="s">
        <v>14322</v>
      </c>
      <c r="H5724" s="255">
        <v>2</v>
      </c>
      <c r="I5724" s="361">
        <v>1</v>
      </c>
      <c r="J5724" s="368" t="s">
        <v>286</v>
      </c>
      <c r="K5724" s="372"/>
      <c r="L5724" s="129"/>
      <c r="M5724" s="129"/>
      <c r="N5724" s="129"/>
      <c r="O5724" s="129"/>
      <c r="P5724" s="372"/>
      <c r="Q5724" s="372"/>
      <c r="R5724" s="129"/>
      <c r="S5724" s="129"/>
      <c r="T5724" s="129"/>
      <c r="W5724" s="129" t="s">
        <v>286</v>
      </c>
      <c r="X5724" s="337" t="b">
        <f t="shared" si="127"/>
        <v>1</v>
      </c>
    </row>
    <row r="5725" spans="1:24" s="360" customFormat="1" ht="12" customHeight="1" outlineLevel="1">
      <c r="A5725" s="365"/>
      <c r="B5725" s="118" t="s">
        <v>12</v>
      </c>
      <c r="C5725" s="334" t="s">
        <v>14428</v>
      </c>
      <c r="D5725" s="124" t="s">
        <v>14429</v>
      </c>
      <c r="E5725" s="125"/>
      <c r="F5725" s="118" t="s">
        <v>1030</v>
      </c>
      <c r="G5725" s="126" t="s">
        <v>14322</v>
      </c>
      <c r="H5725" s="255">
        <v>2</v>
      </c>
      <c r="I5725" s="361">
        <v>1</v>
      </c>
      <c r="J5725" s="368" t="s">
        <v>286</v>
      </c>
      <c r="K5725" s="372"/>
      <c r="L5725" s="129"/>
      <c r="M5725" s="129"/>
      <c r="N5725" s="129"/>
      <c r="O5725" s="129"/>
      <c r="P5725" s="372"/>
      <c r="Q5725" s="372"/>
      <c r="R5725" s="129"/>
      <c r="S5725" s="129"/>
      <c r="T5725" s="129"/>
      <c r="W5725" s="129" t="s">
        <v>286</v>
      </c>
      <c r="X5725" s="337" t="b">
        <f t="shared" si="127"/>
        <v>1</v>
      </c>
    </row>
    <row r="5726" spans="1:24" s="360" customFormat="1" ht="12" customHeight="1" outlineLevel="1">
      <c r="A5726" s="365"/>
      <c r="B5726" s="118" t="s">
        <v>12</v>
      </c>
      <c r="C5726" s="334" t="s">
        <v>14430</v>
      </c>
      <c r="D5726" s="124" t="s">
        <v>14431</v>
      </c>
      <c r="E5726" s="125"/>
      <c r="F5726" s="118" t="s">
        <v>1030</v>
      </c>
      <c r="G5726" s="126" t="s">
        <v>14322</v>
      </c>
      <c r="H5726" s="255">
        <v>2</v>
      </c>
      <c r="I5726" s="361">
        <v>1</v>
      </c>
      <c r="J5726" s="368" t="s">
        <v>286</v>
      </c>
      <c r="K5726" s="372"/>
      <c r="L5726" s="129"/>
      <c r="M5726" s="129"/>
      <c r="N5726" s="129"/>
      <c r="O5726" s="129"/>
      <c r="P5726" s="372"/>
      <c r="Q5726" s="372"/>
      <c r="R5726" s="129"/>
      <c r="S5726" s="129"/>
      <c r="T5726" s="129"/>
      <c r="W5726" s="129" t="s">
        <v>286</v>
      </c>
      <c r="X5726" s="337" t="b">
        <f t="shared" si="127"/>
        <v>1</v>
      </c>
    </row>
    <row r="5727" spans="1:24" s="360" customFormat="1" ht="12" customHeight="1" outlineLevel="1">
      <c r="A5727" s="365"/>
      <c r="B5727" s="118" t="s">
        <v>12</v>
      </c>
      <c r="C5727" s="334" t="s">
        <v>14432</v>
      </c>
      <c r="D5727" s="124" t="s">
        <v>14433</v>
      </c>
      <c r="E5727" s="125"/>
      <c r="F5727" s="118" t="s">
        <v>1030</v>
      </c>
      <c r="G5727" s="126" t="s">
        <v>14322</v>
      </c>
      <c r="H5727" s="255">
        <v>2</v>
      </c>
      <c r="I5727" s="361">
        <v>1</v>
      </c>
      <c r="J5727" s="368" t="s">
        <v>286</v>
      </c>
      <c r="K5727" s="372"/>
      <c r="L5727" s="129"/>
      <c r="M5727" s="129"/>
      <c r="N5727" s="129"/>
      <c r="O5727" s="129"/>
      <c r="P5727" s="372"/>
      <c r="Q5727" s="372"/>
      <c r="R5727" s="129"/>
      <c r="S5727" s="129"/>
      <c r="T5727" s="129"/>
      <c r="W5727" s="129" t="s">
        <v>286</v>
      </c>
      <c r="X5727" s="337" t="b">
        <f t="shared" si="127"/>
        <v>1</v>
      </c>
    </row>
    <row r="5728" spans="1:24" s="360" customFormat="1" ht="12" customHeight="1" outlineLevel="1">
      <c r="A5728" s="365"/>
      <c r="B5728" s="118" t="s">
        <v>12</v>
      </c>
      <c r="C5728" s="334" t="s">
        <v>14434</v>
      </c>
      <c r="D5728" s="124" t="s">
        <v>14435</v>
      </c>
      <c r="E5728" s="125"/>
      <c r="F5728" s="118" t="s">
        <v>1030</v>
      </c>
      <c r="G5728" s="126" t="s">
        <v>14322</v>
      </c>
      <c r="H5728" s="255">
        <v>2</v>
      </c>
      <c r="I5728" s="361">
        <v>1</v>
      </c>
      <c r="J5728" s="368" t="s">
        <v>286</v>
      </c>
      <c r="K5728" s="372"/>
      <c r="L5728" s="129"/>
      <c r="M5728" s="129"/>
      <c r="N5728" s="129"/>
      <c r="O5728" s="129"/>
      <c r="P5728" s="372"/>
      <c r="Q5728" s="372"/>
      <c r="R5728" s="129"/>
      <c r="S5728" s="129"/>
      <c r="T5728" s="129"/>
      <c r="W5728" s="129" t="s">
        <v>286</v>
      </c>
      <c r="X5728" s="337" t="b">
        <f t="shared" si="127"/>
        <v>1</v>
      </c>
    </row>
    <row r="5729" spans="1:24" s="360" customFormat="1" ht="12" customHeight="1" outlineLevel="1">
      <c r="A5729" s="365"/>
      <c r="B5729" s="118" t="s">
        <v>12</v>
      </c>
      <c r="C5729" s="334" t="s">
        <v>14436</v>
      </c>
      <c r="D5729" s="124" t="s">
        <v>14437</v>
      </c>
      <c r="E5729" s="125"/>
      <c r="F5729" s="118" t="s">
        <v>1030</v>
      </c>
      <c r="G5729" s="126" t="s">
        <v>14322</v>
      </c>
      <c r="H5729" s="255">
        <v>2</v>
      </c>
      <c r="I5729" s="361">
        <v>1</v>
      </c>
      <c r="J5729" s="368" t="s">
        <v>286</v>
      </c>
      <c r="K5729" s="372"/>
      <c r="L5729" s="129"/>
      <c r="M5729" s="129"/>
      <c r="N5729" s="129"/>
      <c r="O5729" s="129"/>
      <c r="P5729" s="372"/>
      <c r="Q5729" s="372"/>
      <c r="R5729" s="129"/>
      <c r="S5729" s="129"/>
      <c r="T5729" s="129"/>
      <c r="W5729" s="129" t="s">
        <v>286</v>
      </c>
      <c r="X5729" s="337" t="b">
        <f t="shared" si="127"/>
        <v>1</v>
      </c>
    </row>
    <row r="5730" spans="1:24" s="360" customFormat="1" ht="12" customHeight="1" outlineLevel="1">
      <c r="A5730" s="365"/>
      <c r="B5730" s="118" t="s">
        <v>12</v>
      </c>
      <c r="C5730" s="334" t="s">
        <v>14438</v>
      </c>
      <c r="D5730" s="124" t="s">
        <v>14439</v>
      </c>
      <c r="E5730" s="125"/>
      <c r="F5730" s="118" t="s">
        <v>1030</v>
      </c>
      <c r="G5730" s="126" t="s">
        <v>14322</v>
      </c>
      <c r="H5730" s="255">
        <v>2</v>
      </c>
      <c r="I5730" s="361">
        <v>1</v>
      </c>
      <c r="J5730" s="368" t="s">
        <v>286</v>
      </c>
      <c r="K5730" s="372"/>
      <c r="L5730" s="129"/>
      <c r="M5730" s="129"/>
      <c r="N5730" s="129"/>
      <c r="O5730" s="129"/>
      <c r="P5730" s="372"/>
      <c r="Q5730" s="372"/>
      <c r="R5730" s="129"/>
      <c r="S5730" s="129"/>
      <c r="T5730" s="129"/>
      <c r="W5730" s="129" t="s">
        <v>286</v>
      </c>
      <c r="X5730" s="337" t="b">
        <f t="shared" si="127"/>
        <v>1</v>
      </c>
    </row>
    <row r="5731" spans="1:24" s="360" customFormat="1" ht="12" customHeight="1" outlineLevel="1">
      <c r="A5731" s="365"/>
      <c r="B5731" s="118" t="s">
        <v>12</v>
      </c>
      <c r="C5731" s="334" t="s">
        <v>14440</v>
      </c>
      <c r="D5731" s="124" t="s">
        <v>14441</v>
      </c>
      <c r="E5731" s="125"/>
      <c r="F5731" s="118" t="s">
        <v>1030</v>
      </c>
      <c r="G5731" s="126" t="s">
        <v>14322</v>
      </c>
      <c r="H5731" s="255">
        <v>2</v>
      </c>
      <c r="I5731" s="361">
        <v>1</v>
      </c>
      <c r="J5731" s="368" t="s">
        <v>286</v>
      </c>
      <c r="K5731" s="372"/>
      <c r="L5731" s="129"/>
      <c r="M5731" s="129"/>
      <c r="N5731" s="129"/>
      <c r="O5731" s="129"/>
      <c r="P5731" s="372"/>
      <c r="Q5731" s="372"/>
      <c r="R5731" s="129"/>
      <c r="S5731" s="129"/>
      <c r="T5731" s="129"/>
      <c r="W5731" s="129" t="s">
        <v>286</v>
      </c>
      <c r="X5731" s="337" t="b">
        <f t="shared" si="127"/>
        <v>1</v>
      </c>
    </row>
    <row r="5732" spans="1:24" s="360" customFormat="1" ht="12" customHeight="1" outlineLevel="1">
      <c r="A5732" s="365"/>
      <c r="B5732" s="118" t="s">
        <v>12</v>
      </c>
      <c r="C5732" s="334" t="s">
        <v>14442</v>
      </c>
      <c r="D5732" s="124" t="s">
        <v>14443</v>
      </c>
      <c r="E5732" s="125"/>
      <c r="F5732" s="118" t="s">
        <v>1030</v>
      </c>
      <c r="G5732" s="126" t="s">
        <v>14322</v>
      </c>
      <c r="H5732" s="255">
        <v>2</v>
      </c>
      <c r="I5732" s="361">
        <v>1</v>
      </c>
      <c r="J5732" s="368" t="s">
        <v>286</v>
      </c>
      <c r="K5732" s="372"/>
      <c r="L5732" s="129"/>
      <c r="M5732" s="129"/>
      <c r="N5732" s="129"/>
      <c r="O5732" s="129"/>
      <c r="P5732" s="372"/>
      <c r="Q5732" s="372"/>
      <c r="R5732" s="129"/>
      <c r="S5732" s="129"/>
      <c r="T5732" s="129"/>
      <c r="W5732" s="129" t="s">
        <v>286</v>
      </c>
      <c r="X5732" s="337" t="b">
        <f t="shared" si="127"/>
        <v>1</v>
      </c>
    </row>
    <row r="5733" spans="1:24" s="360" customFormat="1" ht="12" customHeight="1" outlineLevel="1">
      <c r="A5733" s="365"/>
      <c r="B5733" s="118" t="s">
        <v>12</v>
      </c>
      <c r="C5733" s="334" t="s">
        <v>14444</v>
      </c>
      <c r="D5733" s="124" t="s">
        <v>14445</v>
      </c>
      <c r="E5733" s="125"/>
      <c r="F5733" s="118" t="s">
        <v>1030</v>
      </c>
      <c r="G5733" s="126" t="s">
        <v>14322</v>
      </c>
      <c r="H5733" s="255">
        <v>2</v>
      </c>
      <c r="I5733" s="361">
        <v>1</v>
      </c>
      <c r="J5733" s="368" t="s">
        <v>286</v>
      </c>
      <c r="K5733" s="372"/>
      <c r="L5733" s="129"/>
      <c r="M5733" s="129"/>
      <c r="N5733" s="129"/>
      <c r="O5733" s="129"/>
      <c r="P5733" s="372"/>
      <c r="Q5733" s="372"/>
      <c r="R5733" s="129"/>
      <c r="S5733" s="129"/>
      <c r="T5733" s="129"/>
      <c r="W5733" s="129" t="s">
        <v>310</v>
      </c>
      <c r="X5733" s="337" t="b">
        <f t="shared" si="127"/>
        <v>0</v>
      </c>
    </row>
    <row r="5734" spans="1:24" s="360" customFormat="1" ht="12" customHeight="1" outlineLevel="1">
      <c r="A5734" s="365"/>
      <c r="B5734" s="118" t="s">
        <v>12</v>
      </c>
      <c r="C5734" s="334" t="s">
        <v>14446</v>
      </c>
      <c r="D5734" s="124" t="s">
        <v>14447</v>
      </c>
      <c r="E5734" s="125"/>
      <c r="F5734" s="118" t="s">
        <v>1030</v>
      </c>
      <c r="G5734" s="126" t="s">
        <v>14322</v>
      </c>
      <c r="H5734" s="255">
        <v>2</v>
      </c>
      <c r="I5734" s="361">
        <v>1</v>
      </c>
      <c r="J5734" s="368" t="s">
        <v>286</v>
      </c>
      <c r="K5734" s="372"/>
      <c r="L5734" s="129"/>
      <c r="M5734" s="129"/>
      <c r="N5734" s="129"/>
      <c r="O5734" s="129"/>
      <c r="P5734" s="372"/>
      <c r="Q5734" s="372"/>
      <c r="R5734" s="129"/>
      <c r="S5734" s="129"/>
      <c r="T5734" s="129"/>
      <c r="W5734" s="129" t="s">
        <v>310</v>
      </c>
      <c r="X5734" s="337" t="b">
        <f t="shared" si="127"/>
        <v>0</v>
      </c>
    </row>
    <row r="5735" spans="1:24" s="360" customFormat="1" ht="12" customHeight="1" outlineLevel="1">
      <c r="A5735" s="365"/>
      <c r="B5735" s="118" t="s">
        <v>12</v>
      </c>
      <c r="C5735" s="334" t="s">
        <v>14448</v>
      </c>
      <c r="D5735" s="124" t="s">
        <v>14449</v>
      </c>
      <c r="E5735" s="125"/>
      <c r="F5735" s="118" t="s">
        <v>1030</v>
      </c>
      <c r="G5735" s="126" t="s">
        <v>14322</v>
      </c>
      <c r="H5735" s="255">
        <v>2</v>
      </c>
      <c r="I5735" s="361">
        <v>1</v>
      </c>
      <c r="J5735" s="368" t="s">
        <v>286</v>
      </c>
      <c r="K5735" s="372"/>
      <c r="L5735" s="129"/>
      <c r="M5735" s="129"/>
      <c r="N5735" s="129"/>
      <c r="O5735" s="129"/>
      <c r="P5735" s="372"/>
      <c r="Q5735" s="372"/>
      <c r="R5735" s="129"/>
      <c r="S5735" s="129"/>
      <c r="T5735" s="129"/>
      <c r="W5735" s="129" t="s">
        <v>310</v>
      </c>
      <c r="X5735" s="337" t="b">
        <f t="shared" si="127"/>
        <v>0</v>
      </c>
    </row>
    <row r="5736" spans="1:24" s="360" customFormat="1" ht="12" customHeight="1" outlineLevel="1">
      <c r="A5736" s="365"/>
      <c r="B5736" s="118" t="s">
        <v>12</v>
      </c>
      <c r="C5736" s="334" t="s">
        <v>14450</v>
      </c>
      <c r="D5736" s="124" t="s">
        <v>14451</v>
      </c>
      <c r="E5736" s="125"/>
      <c r="F5736" s="118" t="s">
        <v>1030</v>
      </c>
      <c r="G5736" s="126" t="s">
        <v>14322</v>
      </c>
      <c r="H5736" s="255">
        <v>2</v>
      </c>
      <c r="I5736" s="361">
        <v>1</v>
      </c>
      <c r="J5736" s="368" t="s">
        <v>286</v>
      </c>
      <c r="K5736" s="372"/>
      <c r="L5736" s="129"/>
      <c r="M5736" s="129"/>
      <c r="N5736" s="129"/>
      <c r="O5736" s="129"/>
      <c r="P5736" s="372"/>
      <c r="Q5736" s="372"/>
      <c r="R5736" s="129"/>
      <c r="S5736" s="129"/>
      <c r="T5736" s="129"/>
      <c r="W5736" s="129" t="s">
        <v>310</v>
      </c>
      <c r="X5736" s="337" t="b">
        <f t="shared" si="127"/>
        <v>0</v>
      </c>
    </row>
    <row r="5737" spans="1:24" s="360" customFormat="1" ht="12" customHeight="1" outlineLevel="1">
      <c r="A5737" s="365"/>
      <c r="B5737" s="118" t="s">
        <v>12</v>
      </c>
      <c r="C5737" s="334" t="s">
        <v>14452</v>
      </c>
      <c r="D5737" s="124" t="s">
        <v>14453</v>
      </c>
      <c r="E5737" s="125"/>
      <c r="F5737" s="118" t="s">
        <v>1030</v>
      </c>
      <c r="G5737" s="126" t="s">
        <v>14322</v>
      </c>
      <c r="H5737" s="255">
        <v>2</v>
      </c>
      <c r="I5737" s="361">
        <v>1</v>
      </c>
      <c r="J5737" s="368" t="s">
        <v>286</v>
      </c>
      <c r="K5737" s="372"/>
      <c r="L5737" s="129"/>
      <c r="M5737" s="129"/>
      <c r="N5737" s="129"/>
      <c r="O5737" s="129"/>
      <c r="P5737" s="372"/>
      <c r="Q5737" s="372"/>
      <c r="R5737" s="129"/>
      <c r="S5737" s="129"/>
      <c r="T5737" s="129"/>
      <c r="W5737" s="129" t="s">
        <v>310</v>
      </c>
      <c r="X5737" s="337" t="b">
        <f t="shared" si="127"/>
        <v>0</v>
      </c>
    </row>
    <row r="5738" spans="1:24" s="360" customFormat="1" ht="12" customHeight="1" outlineLevel="1">
      <c r="A5738" s="365"/>
      <c r="B5738" s="118" t="s">
        <v>12</v>
      </c>
      <c r="C5738" s="334" t="s">
        <v>14454</v>
      </c>
      <c r="D5738" s="124" t="s">
        <v>14455</v>
      </c>
      <c r="E5738" s="125"/>
      <c r="F5738" s="118" t="s">
        <v>1030</v>
      </c>
      <c r="G5738" s="126" t="s">
        <v>14322</v>
      </c>
      <c r="H5738" s="255">
        <v>2</v>
      </c>
      <c r="I5738" s="361">
        <v>1</v>
      </c>
      <c r="J5738" s="368" t="s">
        <v>286</v>
      </c>
      <c r="K5738" s="372"/>
      <c r="L5738" s="129"/>
      <c r="M5738" s="129"/>
      <c r="N5738" s="129"/>
      <c r="O5738" s="129"/>
      <c r="P5738" s="372"/>
      <c r="Q5738" s="372"/>
      <c r="R5738" s="129"/>
      <c r="S5738" s="129"/>
      <c r="T5738" s="129"/>
      <c r="W5738" s="129" t="s">
        <v>310</v>
      </c>
      <c r="X5738" s="337" t="b">
        <f t="shared" si="127"/>
        <v>0</v>
      </c>
    </row>
    <row r="5739" spans="1:24" s="360" customFormat="1" ht="12" customHeight="1" outlineLevel="1">
      <c r="A5739" s="365"/>
      <c r="B5739" s="118" t="s">
        <v>12</v>
      </c>
      <c r="C5739" s="334" t="s">
        <v>14456</v>
      </c>
      <c r="D5739" s="124" t="s">
        <v>14457</v>
      </c>
      <c r="E5739" s="125"/>
      <c r="F5739" s="118" t="s">
        <v>1030</v>
      </c>
      <c r="G5739" s="126" t="s">
        <v>14322</v>
      </c>
      <c r="H5739" s="255">
        <v>2</v>
      </c>
      <c r="I5739" s="361">
        <v>1</v>
      </c>
      <c r="J5739" s="368" t="s">
        <v>286</v>
      </c>
      <c r="K5739" s="372"/>
      <c r="L5739" s="129"/>
      <c r="M5739" s="129"/>
      <c r="N5739" s="129"/>
      <c r="O5739" s="129"/>
      <c r="P5739" s="372"/>
      <c r="Q5739" s="372"/>
      <c r="R5739" s="129"/>
      <c r="S5739" s="129"/>
      <c r="T5739" s="129"/>
      <c r="W5739" s="129" t="s">
        <v>310</v>
      </c>
      <c r="X5739" s="337" t="b">
        <f t="shared" si="127"/>
        <v>0</v>
      </c>
    </row>
    <row r="5740" spans="1:24" s="360" customFormat="1" ht="12" customHeight="1" outlineLevel="1">
      <c r="A5740" s="365"/>
      <c r="B5740" s="118" t="s">
        <v>12</v>
      </c>
      <c r="C5740" s="334" t="s">
        <v>14458</v>
      </c>
      <c r="D5740" s="124" t="s">
        <v>14459</v>
      </c>
      <c r="E5740" s="125"/>
      <c r="F5740" s="118" t="s">
        <v>1030</v>
      </c>
      <c r="G5740" s="126" t="s">
        <v>14322</v>
      </c>
      <c r="H5740" s="255">
        <v>2</v>
      </c>
      <c r="I5740" s="361">
        <v>1</v>
      </c>
      <c r="J5740" s="368" t="s">
        <v>286</v>
      </c>
      <c r="K5740" s="372"/>
      <c r="L5740" s="129"/>
      <c r="M5740" s="129"/>
      <c r="N5740" s="129"/>
      <c r="O5740" s="129"/>
      <c r="P5740" s="372"/>
      <c r="Q5740" s="372"/>
      <c r="R5740" s="129"/>
      <c r="S5740" s="129"/>
      <c r="T5740" s="129"/>
      <c r="W5740" s="129" t="s">
        <v>310</v>
      </c>
      <c r="X5740" s="337" t="b">
        <f t="shared" si="127"/>
        <v>0</v>
      </c>
    </row>
    <row r="5741" spans="1:24" s="360" customFormat="1" ht="12" customHeight="1" outlineLevel="1">
      <c r="A5741" s="365"/>
      <c r="B5741" s="118" t="s">
        <v>12</v>
      </c>
      <c r="C5741" s="334" t="s">
        <v>14460</v>
      </c>
      <c r="D5741" s="124" t="s">
        <v>14461</v>
      </c>
      <c r="E5741" s="125"/>
      <c r="F5741" s="118" t="s">
        <v>1030</v>
      </c>
      <c r="G5741" s="126" t="s">
        <v>14322</v>
      </c>
      <c r="H5741" s="255">
        <v>2</v>
      </c>
      <c r="I5741" s="361">
        <v>1</v>
      </c>
      <c r="J5741" s="368" t="s">
        <v>286</v>
      </c>
      <c r="K5741" s="372"/>
      <c r="L5741" s="129"/>
      <c r="M5741" s="129"/>
      <c r="N5741" s="129"/>
      <c r="O5741" s="129"/>
      <c r="P5741" s="372"/>
      <c r="Q5741" s="372"/>
      <c r="R5741" s="129"/>
      <c r="S5741" s="129"/>
      <c r="T5741" s="129"/>
      <c r="W5741" s="129" t="s">
        <v>310</v>
      </c>
      <c r="X5741" s="337" t="b">
        <f t="shared" si="127"/>
        <v>0</v>
      </c>
    </row>
    <row r="5742" spans="1:24" s="360" customFormat="1" ht="12" customHeight="1" outlineLevel="1">
      <c r="A5742" s="365"/>
      <c r="B5742" s="118" t="s">
        <v>12</v>
      </c>
      <c r="C5742" s="334" t="s">
        <v>14462</v>
      </c>
      <c r="D5742" s="124" t="s">
        <v>14463</v>
      </c>
      <c r="E5742" s="125"/>
      <c r="F5742" s="118" t="s">
        <v>1030</v>
      </c>
      <c r="G5742" s="126" t="s">
        <v>14322</v>
      </c>
      <c r="H5742" s="255">
        <v>2</v>
      </c>
      <c r="I5742" s="361">
        <v>1</v>
      </c>
      <c r="J5742" s="368" t="s">
        <v>286</v>
      </c>
      <c r="K5742" s="372"/>
      <c r="L5742" s="129"/>
      <c r="M5742" s="129"/>
      <c r="N5742" s="129"/>
      <c r="O5742" s="129"/>
      <c r="P5742" s="372"/>
      <c r="Q5742" s="372"/>
      <c r="R5742" s="129"/>
      <c r="S5742" s="129"/>
      <c r="T5742" s="129"/>
      <c r="W5742" s="129" t="s">
        <v>310</v>
      </c>
      <c r="X5742" s="337" t="b">
        <f t="shared" si="127"/>
        <v>0</v>
      </c>
    </row>
    <row r="5743" spans="1:24" s="360" customFormat="1" ht="12" customHeight="1" outlineLevel="1">
      <c r="A5743" s="365"/>
      <c r="B5743" s="118" t="s">
        <v>12</v>
      </c>
      <c r="C5743" s="334" t="s">
        <v>14464</v>
      </c>
      <c r="D5743" s="124" t="s">
        <v>13054</v>
      </c>
      <c r="E5743" s="125"/>
      <c r="F5743" s="118" t="s">
        <v>1030</v>
      </c>
      <c r="G5743" s="126" t="s">
        <v>14322</v>
      </c>
      <c r="H5743" s="255">
        <v>2</v>
      </c>
      <c r="I5743" s="361">
        <v>1</v>
      </c>
      <c r="J5743" s="368" t="s">
        <v>286</v>
      </c>
      <c r="K5743" s="372"/>
      <c r="L5743" s="129"/>
      <c r="M5743" s="129"/>
      <c r="N5743" s="129"/>
      <c r="O5743" s="129"/>
      <c r="P5743" s="372"/>
      <c r="Q5743" s="372"/>
      <c r="R5743" s="129"/>
      <c r="S5743" s="129"/>
      <c r="T5743" s="129"/>
      <c r="W5743" s="129" t="s">
        <v>286</v>
      </c>
      <c r="X5743" s="337" t="b">
        <f t="shared" ref="X5743:X5806" si="128">W5743=J5743</f>
        <v>1</v>
      </c>
    </row>
    <row r="5744" spans="1:24" s="360" customFormat="1" ht="12" customHeight="1" outlineLevel="1">
      <c r="A5744" s="365"/>
      <c r="B5744" s="118" t="s">
        <v>12</v>
      </c>
      <c r="C5744" s="334" t="s">
        <v>14465</v>
      </c>
      <c r="D5744" s="124" t="s">
        <v>13056</v>
      </c>
      <c r="E5744" s="125"/>
      <c r="F5744" s="118" t="s">
        <v>1030</v>
      </c>
      <c r="G5744" s="126" t="s">
        <v>14322</v>
      </c>
      <c r="H5744" s="255">
        <v>2</v>
      </c>
      <c r="I5744" s="361">
        <v>1</v>
      </c>
      <c r="J5744" s="368" t="s">
        <v>286</v>
      </c>
      <c r="K5744" s="372"/>
      <c r="L5744" s="129"/>
      <c r="M5744" s="129"/>
      <c r="N5744" s="129"/>
      <c r="O5744" s="129"/>
      <c r="P5744" s="372"/>
      <c r="Q5744" s="372"/>
      <c r="R5744" s="129"/>
      <c r="S5744" s="129"/>
      <c r="T5744" s="129"/>
      <c r="W5744" s="129" t="s">
        <v>286</v>
      </c>
      <c r="X5744" s="337" t="b">
        <f t="shared" si="128"/>
        <v>1</v>
      </c>
    </row>
    <row r="5745" spans="1:24" s="360" customFormat="1" ht="12" customHeight="1" outlineLevel="1">
      <c r="A5745" s="365"/>
      <c r="B5745" s="118" t="s">
        <v>12</v>
      </c>
      <c r="C5745" s="334" t="s">
        <v>14466</v>
      </c>
      <c r="D5745" s="124" t="s">
        <v>13058</v>
      </c>
      <c r="E5745" s="125"/>
      <c r="F5745" s="118" t="s">
        <v>1030</v>
      </c>
      <c r="G5745" s="126" t="s">
        <v>14322</v>
      </c>
      <c r="H5745" s="255">
        <v>2</v>
      </c>
      <c r="I5745" s="361">
        <v>1</v>
      </c>
      <c r="J5745" s="368" t="s">
        <v>286</v>
      </c>
      <c r="K5745" s="372"/>
      <c r="L5745" s="129"/>
      <c r="M5745" s="129"/>
      <c r="N5745" s="129"/>
      <c r="O5745" s="129"/>
      <c r="P5745" s="372"/>
      <c r="Q5745" s="372"/>
      <c r="R5745" s="129"/>
      <c r="S5745" s="129"/>
      <c r="T5745" s="129"/>
      <c r="W5745" s="129" t="s">
        <v>286</v>
      </c>
      <c r="X5745" s="337" t="b">
        <f t="shared" si="128"/>
        <v>1</v>
      </c>
    </row>
    <row r="5746" spans="1:24" s="360" customFormat="1" ht="12" customHeight="1" outlineLevel="1">
      <c r="A5746" s="365"/>
      <c r="B5746" s="118" t="s">
        <v>12</v>
      </c>
      <c r="C5746" s="334" t="s">
        <v>14467</v>
      </c>
      <c r="D5746" s="124" t="s">
        <v>13060</v>
      </c>
      <c r="E5746" s="125"/>
      <c r="F5746" s="118" t="s">
        <v>1030</v>
      </c>
      <c r="G5746" s="126" t="s">
        <v>14322</v>
      </c>
      <c r="H5746" s="255">
        <v>2</v>
      </c>
      <c r="I5746" s="361">
        <v>1</v>
      </c>
      <c r="J5746" s="368" t="s">
        <v>286</v>
      </c>
      <c r="K5746" s="372"/>
      <c r="L5746" s="129"/>
      <c r="M5746" s="129"/>
      <c r="N5746" s="129"/>
      <c r="O5746" s="129"/>
      <c r="P5746" s="372"/>
      <c r="Q5746" s="372"/>
      <c r="R5746" s="129"/>
      <c r="S5746" s="129"/>
      <c r="T5746" s="129"/>
      <c r="W5746" s="129" t="s">
        <v>286</v>
      </c>
      <c r="X5746" s="337" t="b">
        <f t="shared" si="128"/>
        <v>1</v>
      </c>
    </row>
    <row r="5747" spans="1:24" s="360" customFormat="1" ht="12" customHeight="1" outlineLevel="1">
      <c r="A5747" s="365"/>
      <c r="B5747" s="118" t="s">
        <v>12</v>
      </c>
      <c r="C5747" s="334" t="s">
        <v>14468</v>
      </c>
      <c r="D5747" s="124" t="s">
        <v>13062</v>
      </c>
      <c r="E5747" s="125"/>
      <c r="F5747" s="118" t="s">
        <v>1030</v>
      </c>
      <c r="G5747" s="126" t="s">
        <v>14322</v>
      </c>
      <c r="H5747" s="255">
        <v>2</v>
      </c>
      <c r="I5747" s="361">
        <v>1</v>
      </c>
      <c r="J5747" s="368" t="s">
        <v>286</v>
      </c>
      <c r="K5747" s="372"/>
      <c r="L5747" s="129"/>
      <c r="M5747" s="129"/>
      <c r="N5747" s="129"/>
      <c r="O5747" s="129"/>
      <c r="P5747" s="372"/>
      <c r="Q5747" s="372"/>
      <c r="R5747" s="129"/>
      <c r="S5747" s="129"/>
      <c r="T5747" s="129"/>
      <c r="W5747" s="129" t="s">
        <v>286</v>
      </c>
      <c r="X5747" s="337" t="b">
        <f t="shared" si="128"/>
        <v>1</v>
      </c>
    </row>
    <row r="5748" spans="1:24" s="360" customFormat="1" ht="12" customHeight="1" outlineLevel="1">
      <c r="A5748" s="365"/>
      <c r="B5748" s="118" t="s">
        <v>12</v>
      </c>
      <c r="C5748" s="334" t="s">
        <v>14469</v>
      </c>
      <c r="D5748" s="124" t="s">
        <v>13064</v>
      </c>
      <c r="E5748" s="125"/>
      <c r="F5748" s="118" t="s">
        <v>1030</v>
      </c>
      <c r="G5748" s="126" t="s">
        <v>14322</v>
      </c>
      <c r="H5748" s="255">
        <v>2</v>
      </c>
      <c r="I5748" s="361">
        <v>1</v>
      </c>
      <c r="J5748" s="368" t="s">
        <v>286</v>
      </c>
      <c r="K5748" s="372"/>
      <c r="L5748" s="129"/>
      <c r="M5748" s="129"/>
      <c r="N5748" s="129"/>
      <c r="O5748" s="129"/>
      <c r="P5748" s="372"/>
      <c r="Q5748" s="372"/>
      <c r="R5748" s="129"/>
      <c r="S5748" s="129"/>
      <c r="T5748" s="129"/>
      <c r="W5748" s="129" t="s">
        <v>286</v>
      </c>
      <c r="X5748" s="337" t="b">
        <f t="shared" si="128"/>
        <v>1</v>
      </c>
    </row>
    <row r="5749" spans="1:24" s="360" customFormat="1" ht="12" customHeight="1" outlineLevel="1">
      <c r="A5749" s="365"/>
      <c r="B5749" s="118" t="s">
        <v>12</v>
      </c>
      <c r="C5749" s="334" t="s">
        <v>14470</v>
      </c>
      <c r="D5749" s="124" t="s">
        <v>13066</v>
      </c>
      <c r="E5749" s="125"/>
      <c r="F5749" s="118" t="s">
        <v>1030</v>
      </c>
      <c r="G5749" s="126" t="s">
        <v>14322</v>
      </c>
      <c r="H5749" s="255">
        <v>2</v>
      </c>
      <c r="I5749" s="361">
        <v>1</v>
      </c>
      <c r="J5749" s="368" t="s">
        <v>286</v>
      </c>
      <c r="K5749" s="372"/>
      <c r="L5749" s="129"/>
      <c r="M5749" s="129"/>
      <c r="N5749" s="129"/>
      <c r="O5749" s="129"/>
      <c r="P5749" s="372"/>
      <c r="Q5749" s="372"/>
      <c r="R5749" s="129"/>
      <c r="S5749" s="129"/>
      <c r="T5749" s="129"/>
      <c r="W5749" s="129" t="s">
        <v>286</v>
      </c>
      <c r="X5749" s="337" t="b">
        <f t="shared" si="128"/>
        <v>1</v>
      </c>
    </row>
    <row r="5750" spans="1:24" s="360" customFormat="1" ht="12" customHeight="1" outlineLevel="1">
      <c r="A5750" s="365"/>
      <c r="B5750" s="118" t="s">
        <v>12</v>
      </c>
      <c r="C5750" s="334" t="s">
        <v>14471</v>
      </c>
      <c r="D5750" s="124" t="s">
        <v>13068</v>
      </c>
      <c r="E5750" s="125"/>
      <c r="F5750" s="118" t="s">
        <v>1030</v>
      </c>
      <c r="G5750" s="126" t="s">
        <v>14322</v>
      </c>
      <c r="H5750" s="255">
        <v>2</v>
      </c>
      <c r="I5750" s="361">
        <v>1</v>
      </c>
      <c r="J5750" s="368" t="s">
        <v>286</v>
      </c>
      <c r="K5750" s="372"/>
      <c r="L5750" s="129"/>
      <c r="M5750" s="129"/>
      <c r="N5750" s="129"/>
      <c r="O5750" s="129"/>
      <c r="P5750" s="372"/>
      <c r="Q5750" s="372"/>
      <c r="R5750" s="129"/>
      <c r="S5750" s="129"/>
      <c r="T5750" s="129"/>
      <c r="W5750" s="129" t="s">
        <v>286</v>
      </c>
      <c r="X5750" s="337" t="b">
        <f t="shared" si="128"/>
        <v>1</v>
      </c>
    </row>
    <row r="5751" spans="1:24" s="360" customFormat="1" ht="12" customHeight="1" outlineLevel="1">
      <c r="A5751" s="365"/>
      <c r="B5751" s="118" t="s">
        <v>12</v>
      </c>
      <c r="C5751" s="334" t="s">
        <v>14472</v>
      </c>
      <c r="D5751" s="124" t="s">
        <v>13070</v>
      </c>
      <c r="E5751" s="125"/>
      <c r="F5751" s="118" t="s">
        <v>1030</v>
      </c>
      <c r="G5751" s="126" t="s">
        <v>14322</v>
      </c>
      <c r="H5751" s="255">
        <v>2</v>
      </c>
      <c r="I5751" s="361">
        <v>1</v>
      </c>
      <c r="J5751" s="368" t="s">
        <v>286</v>
      </c>
      <c r="K5751" s="372"/>
      <c r="L5751" s="129"/>
      <c r="M5751" s="129"/>
      <c r="N5751" s="129"/>
      <c r="O5751" s="129"/>
      <c r="P5751" s="372"/>
      <c r="Q5751" s="372"/>
      <c r="R5751" s="129"/>
      <c r="S5751" s="129"/>
      <c r="T5751" s="129"/>
      <c r="W5751" s="129" t="s">
        <v>286</v>
      </c>
      <c r="X5751" s="337" t="b">
        <f t="shared" si="128"/>
        <v>1</v>
      </c>
    </row>
    <row r="5752" spans="1:24" s="360" customFormat="1" ht="12" customHeight="1" outlineLevel="1">
      <c r="A5752" s="365"/>
      <c r="B5752" s="118" t="s">
        <v>12</v>
      </c>
      <c r="C5752" s="334" t="s">
        <v>14473</v>
      </c>
      <c r="D5752" s="124" t="s">
        <v>13086</v>
      </c>
      <c r="E5752" s="125"/>
      <c r="F5752" s="118" t="s">
        <v>1030</v>
      </c>
      <c r="G5752" s="126" t="s">
        <v>14322</v>
      </c>
      <c r="H5752" s="255">
        <v>2</v>
      </c>
      <c r="I5752" s="361">
        <v>1</v>
      </c>
      <c r="J5752" s="368" t="s">
        <v>286</v>
      </c>
      <c r="K5752" s="372"/>
      <c r="L5752" s="129"/>
      <c r="M5752" s="129"/>
      <c r="N5752" s="129"/>
      <c r="O5752" s="129"/>
      <c r="P5752" s="372"/>
      <c r="Q5752" s="372"/>
      <c r="R5752" s="129"/>
      <c r="S5752" s="129"/>
      <c r="T5752" s="129"/>
      <c r="W5752" s="129" t="s">
        <v>286</v>
      </c>
      <c r="X5752" s="337" t="b">
        <f t="shared" si="128"/>
        <v>1</v>
      </c>
    </row>
    <row r="5753" spans="1:24" s="360" customFormat="1" ht="12" customHeight="1" outlineLevel="1">
      <c r="A5753" s="365"/>
      <c r="B5753" s="118" t="s">
        <v>12</v>
      </c>
      <c r="C5753" s="334" t="s">
        <v>14474</v>
      </c>
      <c r="D5753" s="124" t="s">
        <v>13088</v>
      </c>
      <c r="E5753" s="125"/>
      <c r="F5753" s="118" t="s">
        <v>1030</v>
      </c>
      <c r="G5753" s="126" t="s">
        <v>14322</v>
      </c>
      <c r="H5753" s="255">
        <v>2</v>
      </c>
      <c r="I5753" s="361">
        <v>1</v>
      </c>
      <c r="J5753" s="368" t="s">
        <v>286</v>
      </c>
      <c r="K5753" s="372"/>
      <c r="L5753" s="129"/>
      <c r="M5753" s="129"/>
      <c r="N5753" s="129"/>
      <c r="O5753" s="129"/>
      <c r="P5753" s="372"/>
      <c r="Q5753" s="372"/>
      <c r="R5753" s="129"/>
      <c r="S5753" s="129"/>
      <c r="T5753" s="129"/>
      <c r="W5753" s="129" t="s">
        <v>286</v>
      </c>
      <c r="X5753" s="337" t="b">
        <f t="shared" si="128"/>
        <v>1</v>
      </c>
    </row>
    <row r="5754" spans="1:24" s="360" customFormat="1" ht="12" customHeight="1" outlineLevel="1">
      <c r="A5754" s="365"/>
      <c r="B5754" s="118" t="s">
        <v>12</v>
      </c>
      <c r="C5754" s="334" t="s">
        <v>14475</v>
      </c>
      <c r="D5754" s="124" t="s">
        <v>13128</v>
      </c>
      <c r="E5754" s="125"/>
      <c r="F5754" s="118" t="s">
        <v>1030</v>
      </c>
      <c r="G5754" s="126" t="s">
        <v>14322</v>
      </c>
      <c r="H5754" s="255">
        <v>2</v>
      </c>
      <c r="I5754" s="361">
        <v>1</v>
      </c>
      <c r="J5754" s="368" t="s">
        <v>286</v>
      </c>
      <c r="K5754" s="372"/>
      <c r="L5754" s="129"/>
      <c r="M5754" s="129"/>
      <c r="N5754" s="129"/>
      <c r="O5754" s="129"/>
      <c r="P5754" s="372"/>
      <c r="Q5754" s="372"/>
      <c r="R5754" s="129"/>
      <c r="S5754" s="129"/>
      <c r="T5754" s="129"/>
      <c r="W5754" s="129" t="s">
        <v>286</v>
      </c>
      <c r="X5754" s="337" t="b">
        <f t="shared" si="128"/>
        <v>1</v>
      </c>
    </row>
    <row r="5755" spans="1:24" s="360" customFormat="1" ht="12" customHeight="1" outlineLevel="1">
      <c r="A5755" s="365"/>
      <c r="B5755" s="118" t="s">
        <v>12</v>
      </c>
      <c r="C5755" s="334" t="s">
        <v>14476</v>
      </c>
      <c r="D5755" s="124" t="s">
        <v>14477</v>
      </c>
      <c r="E5755" s="125"/>
      <c r="F5755" s="118" t="s">
        <v>1030</v>
      </c>
      <c r="G5755" s="126" t="s">
        <v>14322</v>
      </c>
      <c r="H5755" s="255">
        <v>2</v>
      </c>
      <c r="I5755" s="361">
        <v>1</v>
      </c>
      <c r="J5755" s="368" t="s">
        <v>286</v>
      </c>
      <c r="K5755" s="372"/>
      <c r="L5755" s="129"/>
      <c r="M5755" s="129"/>
      <c r="N5755" s="129"/>
      <c r="O5755" s="129"/>
      <c r="P5755" s="372"/>
      <c r="Q5755" s="372"/>
      <c r="R5755" s="129"/>
      <c r="S5755" s="129"/>
      <c r="T5755" s="129"/>
      <c r="W5755" s="129" t="s">
        <v>286</v>
      </c>
      <c r="X5755" s="337" t="b">
        <f t="shared" si="128"/>
        <v>1</v>
      </c>
    </row>
    <row r="5756" spans="1:24" s="360" customFormat="1" ht="12" customHeight="1" outlineLevel="1">
      <c r="A5756" s="365"/>
      <c r="B5756" s="118" t="s">
        <v>12</v>
      </c>
      <c r="C5756" s="334" t="s">
        <v>14478</v>
      </c>
      <c r="D5756" s="124" t="s">
        <v>13072</v>
      </c>
      <c r="E5756" s="125"/>
      <c r="F5756" s="118" t="s">
        <v>1030</v>
      </c>
      <c r="G5756" s="126" t="s">
        <v>14322</v>
      </c>
      <c r="H5756" s="255">
        <v>2</v>
      </c>
      <c r="I5756" s="361">
        <v>1</v>
      </c>
      <c r="J5756" s="368" t="s">
        <v>286</v>
      </c>
      <c r="K5756" s="372"/>
      <c r="L5756" s="129"/>
      <c r="M5756" s="129"/>
      <c r="N5756" s="129"/>
      <c r="O5756" s="129"/>
      <c r="P5756" s="372"/>
      <c r="Q5756" s="372"/>
      <c r="R5756" s="129"/>
      <c r="S5756" s="129"/>
      <c r="T5756" s="129"/>
      <c r="W5756" s="129" t="s">
        <v>286</v>
      </c>
      <c r="X5756" s="337" t="b">
        <f t="shared" si="128"/>
        <v>1</v>
      </c>
    </row>
    <row r="5757" spans="1:24" s="360" customFormat="1" ht="12" customHeight="1" outlineLevel="1">
      <c r="A5757" s="365"/>
      <c r="B5757" s="118" t="s">
        <v>12</v>
      </c>
      <c r="C5757" s="334" t="s">
        <v>14479</v>
      </c>
      <c r="D5757" s="124" t="s">
        <v>13074</v>
      </c>
      <c r="E5757" s="125"/>
      <c r="F5757" s="118" t="s">
        <v>1030</v>
      </c>
      <c r="G5757" s="126" t="s">
        <v>14322</v>
      </c>
      <c r="H5757" s="255">
        <v>2</v>
      </c>
      <c r="I5757" s="361">
        <v>1</v>
      </c>
      <c r="J5757" s="368" t="s">
        <v>286</v>
      </c>
      <c r="K5757" s="372"/>
      <c r="L5757" s="129"/>
      <c r="M5757" s="129"/>
      <c r="N5757" s="129"/>
      <c r="O5757" s="129"/>
      <c r="P5757" s="372"/>
      <c r="Q5757" s="372"/>
      <c r="R5757" s="129"/>
      <c r="S5757" s="129"/>
      <c r="T5757" s="129"/>
      <c r="W5757" s="129" t="s">
        <v>286</v>
      </c>
      <c r="X5757" s="337" t="b">
        <f t="shared" si="128"/>
        <v>1</v>
      </c>
    </row>
    <row r="5758" spans="1:24" s="360" customFormat="1" ht="12" customHeight="1" outlineLevel="1">
      <c r="A5758" s="365"/>
      <c r="B5758" s="118" t="s">
        <v>12</v>
      </c>
      <c r="C5758" s="334" t="s">
        <v>14480</v>
      </c>
      <c r="D5758" s="124" t="s">
        <v>13076</v>
      </c>
      <c r="E5758" s="125"/>
      <c r="F5758" s="118" t="s">
        <v>1030</v>
      </c>
      <c r="G5758" s="126" t="s">
        <v>14322</v>
      </c>
      <c r="H5758" s="255">
        <v>2</v>
      </c>
      <c r="I5758" s="361">
        <v>1</v>
      </c>
      <c r="J5758" s="368" t="s">
        <v>286</v>
      </c>
      <c r="K5758" s="372"/>
      <c r="L5758" s="129"/>
      <c r="M5758" s="129"/>
      <c r="N5758" s="129"/>
      <c r="O5758" s="129"/>
      <c r="P5758" s="372"/>
      <c r="Q5758" s="372"/>
      <c r="R5758" s="129"/>
      <c r="S5758" s="129"/>
      <c r="T5758" s="129"/>
      <c r="W5758" s="129" t="s">
        <v>286</v>
      </c>
      <c r="X5758" s="337" t="b">
        <f t="shared" si="128"/>
        <v>1</v>
      </c>
    </row>
    <row r="5759" spans="1:24" s="360" customFormat="1" ht="12" customHeight="1" outlineLevel="1">
      <c r="A5759" s="365"/>
      <c r="B5759" s="118" t="s">
        <v>12</v>
      </c>
      <c r="C5759" s="334" t="s">
        <v>14481</v>
      </c>
      <c r="D5759" s="124" t="s">
        <v>13078</v>
      </c>
      <c r="E5759" s="125"/>
      <c r="F5759" s="118" t="s">
        <v>1030</v>
      </c>
      <c r="G5759" s="126" t="s">
        <v>14322</v>
      </c>
      <c r="H5759" s="255">
        <v>2</v>
      </c>
      <c r="I5759" s="361">
        <v>1</v>
      </c>
      <c r="J5759" s="368" t="s">
        <v>286</v>
      </c>
      <c r="K5759" s="372"/>
      <c r="L5759" s="129"/>
      <c r="M5759" s="129"/>
      <c r="N5759" s="129"/>
      <c r="O5759" s="129"/>
      <c r="P5759" s="372"/>
      <c r="Q5759" s="372"/>
      <c r="R5759" s="129"/>
      <c r="S5759" s="129"/>
      <c r="T5759" s="129"/>
      <c r="W5759" s="129" t="s">
        <v>286</v>
      </c>
      <c r="X5759" s="337" t="b">
        <f t="shared" si="128"/>
        <v>1</v>
      </c>
    </row>
    <row r="5760" spans="1:24" s="360" customFormat="1" ht="12" customHeight="1" outlineLevel="1">
      <c r="A5760" s="365"/>
      <c r="B5760" s="118" t="s">
        <v>12</v>
      </c>
      <c r="C5760" s="334" t="s">
        <v>14482</v>
      </c>
      <c r="D5760" s="124" t="s">
        <v>13080</v>
      </c>
      <c r="E5760" s="125"/>
      <c r="F5760" s="118" t="s">
        <v>1030</v>
      </c>
      <c r="G5760" s="126" t="s">
        <v>14322</v>
      </c>
      <c r="H5760" s="255">
        <v>2</v>
      </c>
      <c r="I5760" s="361">
        <v>1</v>
      </c>
      <c r="J5760" s="368" t="s">
        <v>286</v>
      </c>
      <c r="K5760" s="372"/>
      <c r="L5760" s="129"/>
      <c r="M5760" s="129"/>
      <c r="N5760" s="129"/>
      <c r="O5760" s="129"/>
      <c r="P5760" s="372"/>
      <c r="Q5760" s="372"/>
      <c r="R5760" s="129"/>
      <c r="S5760" s="129"/>
      <c r="T5760" s="129"/>
      <c r="W5760" s="129" t="s">
        <v>286</v>
      </c>
      <c r="X5760" s="337" t="b">
        <f t="shared" si="128"/>
        <v>1</v>
      </c>
    </row>
    <row r="5761" spans="1:24" s="360" customFormat="1" ht="12" customHeight="1" outlineLevel="1">
      <c r="A5761" s="365"/>
      <c r="B5761" s="118" t="s">
        <v>12</v>
      </c>
      <c r="C5761" s="334" t="s">
        <v>14483</v>
      </c>
      <c r="D5761" s="124" t="s">
        <v>13082</v>
      </c>
      <c r="E5761" s="125"/>
      <c r="F5761" s="118" t="s">
        <v>1030</v>
      </c>
      <c r="G5761" s="126" t="s">
        <v>14322</v>
      </c>
      <c r="H5761" s="255">
        <v>2</v>
      </c>
      <c r="I5761" s="361">
        <v>1</v>
      </c>
      <c r="J5761" s="368" t="s">
        <v>286</v>
      </c>
      <c r="K5761" s="372"/>
      <c r="L5761" s="129"/>
      <c r="M5761" s="129"/>
      <c r="N5761" s="129"/>
      <c r="O5761" s="129"/>
      <c r="P5761" s="372"/>
      <c r="Q5761" s="372"/>
      <c r="R5761" s="129"/>
      <c r="S5761" s="129"/>
      <c r="T5761" s="129"/>
      <c r="W5761" s="129" t="s">
        <v>286</v>
      </c>
      <c r="X5761" s="337" t="b">
        <f t="shared" si="128"/>
        <v>1</v>
      </c>
    </row>
    <row r="5762" spans="1:24" s="360" customFormat="1" ht="12" customHeight="1" outlineLevel="1">
      <c r="A5762" s="365"/>
      <c r="B5762" s="118" t="s">
        <v>12</v>
      </c>
      <c r="C5762" s="334" t="s">
        <v>14484</v>
      </c>
      <c r="D5762" s="124" t="s">
        <v>13084</v>
      </c>
      <c r="E5762" s="125"/>
      <c r="F5762" s="118" t="s">
        <v>1030</v>
      </c>
      <c r="G5762" s="126" t="s">
        <v>14322</v>
      </c>
      <c r="H5762" s="255">
        <v>2</v>
      </c>
      <c r="I5762" s="361">
        <v>1</v>
      </c>
      <c r="J5762" s="368" t="s">
        <v>286</v>
      </c>
      <c r="K5762" s="372"/>
      <c r="L5762" s="129"/>
      <c r="M5762" s="129"/>
      <c r="N5762" s="129"/>
      <c r="O5762" s="129"/>
      <c r="P5762" s="372"/>
      <c r="Q5762" s="372"/>
      <c r="R5762" s="129"/>
      <c r="S5762" s="129"/>
      <c r="T5762" s="129"/>
      <c r="W5762" s="129" t="s">
        <v>286</v>
      </c>
      <c r="X5762" s="337" t="b">
        <f t="shared" si="128"/>
        <v>1</v>
      </c>
    </row>
    <row r="5763" spans="1:24" s="360" customFormat="1" ht="12" customHeight="1" outlineLevel="1">
      <c r="A5763" s="365"/>
      <c r="B5763" s="118" t="s">
        <v>12</v>
      </c>
      <c r="C5763" s="334" t="s">
        <v>14485</v>
      </c>
      <c r="D5763" s="124" t="s">
        <v>14486</v>
      </c>
      <c r="E5763" s="125"/>
      <c r="F5763" s="118" t="s">
        <v>1030</v>
      </c>
      <c r="G5763" s="126" t="s">
        <v>14322</v>
      </c>
      <c r="H5763" s="255">
        <v>2</v>
      </c>
      <c r="I5763" s="361">
        <v>1</v>
      </c>
      <c r="J5763" s="368" t="s">
        <v>286</v>
      </c>
      <c r="K5763" s="372"/>
      <c r="L5763" s="129"/>
      <c r="M5763" s="129"/>
      <c r="N5763" s="129"/>
      <c r="O5763" s="129"/>
      <c r="P5763" s="372"/>
      <c r="Q5763" s="372"/>
      <c r="R5763" s="129"/>
      <c r="S5763" s="129"/>
      <c r="T5763" s="129"/>
      <c r="W5763" s="129" t="s">
        <v>4876</v>
      </c>
      <c r="X5763" s="337" t="b">
        <f t="shared" si="128"/>
        <v>0</v>
      </c>
    </row>
    <row r="5764" spans="1:24" s="360" customFormat="1" ht="12" customHeight="1" outlineLevel="1">
      <c r="A5764" s="365"/>
      <c r="B5764" s="118" t="s">
        <v>12</v>
      </c>
      <c r="C5764" s="334" t="s">
        <v>14487</v>
      </c>
      <c r="D5764" s="124" t="s">
        <v>14488</v>
      </c>
      <c r="E5764" s="125"/>
      <c r="F5764" s="118" t="s">
        <v>1030</v>
      </c>
      <c r="G5764" s="126" t="s">
        <v>14322</v>
      </c>
      <c r="H5764" s="255">
        <v>2</v>
      </c>
      <c r="I5764" s="361">
        <v>1</v>
      </c>
      <c r="J5764" s="368" t="s">
        <v>286</v>
      </c>
      <c r="K5764" s="372"/>
      <c r="L5764" s="129"/>
      <c r="M5764" s="129"/>
      <c r="N5764" s="129"/>
      <c r="O5764" s="129"/>
      <c r="P5764" s="372"/>
      <c r="Q5764" s="372"/>
      <c r="R5764" s="129"/>
      <c r="S5764" s="129"/>
      <c r="T5764" s="129"/>
      <c r="W5764" s="129" t="s">
        <v>286</v>
      </c>
      <c r="X5764" s="337" t="b">
        <f t="shared" si="128"/>
        <v>1</v>
      </c>
    </row>
    <row r="5765" spans="1:24" s="360" customFormat="1" ht="12" customHeight="1" outlineLevel="1">
      <c r="A5765" s="365"/>
      <c r="B5765" s="118" t="s">
        <v>12</v>
      </c>
      <c r="C5765" s="334" t="s">
        <v>14489</v>
      </c>
      <c r="D5765" s="124" t="s">
        <v>14490</v>
      </c>
      <c r="E5765" s="125"/>
      <c r="F5765" s="118" t="s">
        <v>1030</v>
      </c>
      <c r="G5765" s="126" t="s">
        <v>14322</v>
      </c>
      <c r="H5765" s="255">
        <v>2</v>
      </c>
      <c r="I5765" s="361">
        <v>1</v>
      </c>
      <c r="J5765" s="368" t="s">
        <v>286</v>
      </c>
      <c r="K5765" s="372"/>
      <c r="L5765" s="129"/>
      <c r="M5765" s="129"/>
      <c r="N5765" s="129"/>
      <c r="O5765" s="129"/>
      <c r="P5765" s="372"/>
      <c r="Q5765" s="372"/>
      <c r="R5765" s="129"/>
      <c r="S5765" s="129"/>
      <c r="T5765" s="129"/>
      <c r="W5765" s="129" t="s">
        <v>286</v>
      </c>
      <c r="X5765" s="337" t="b">
        <f t="shared" si="128"/>
        <v>1</v>
      </c>
    </row>
    <row r="5766" spans="1:24" s="360" customFormat="1" ht="12" customHeight="1" outlineLevel="1">
      <c r="A5766" s="365"/>
      <c r="B5766" s="118" t="s">
        <v>12</v>
      </c>
      <c r="C5766" s="334" t="s">
        <v>14491</v>
      </c>
      <c r="D5766" s="124" t="s">
        <v>14492</v>
      </c>
      <c r="E5766" s="125"/>
      <c r="F5766" s="118" t="s">
        <v>1030</v>
      </c>
      <c r="G5766" s="126" t="s">
        <v>14322</v>
      </c>
      <c r="H5766" s="255">
        <v>2</v>
      </c>
      <c r="I5766" s="361">
        <v>1</v>
      </c>
      <c r="J5766" s="368" t="s">
        <v>286</v>
      </c>
      <c r="K5766" s="372"/>
      <c r="L5766" s="129"/>
      <c r="M5766" s="129"/>
      <c r="N5766" s="129"/>
      <c r="O5766" s="129"/>
      <c r="P5766" s="372"/>
      <c r="Q5766" s="372"/>
      <c r="R5766" s="129"/>
      <c r="S5766" s="129"/>
      <c r="T5766" s="129"/>
      <c r="W5766" s="129" t="s">
        <v>286</v>
      </c>
      <c r="X5766" s="337" t="b">
        <f t="shared" si="128"/>
        <v>1</v>
      </c>
    </row>
    <row r="5767" spans="1:24" s="360" customFormat="1" ht="12" customHeight="1" outlineLevel="1">
      <c r="A5767" s="365"/>
      <c r="B5767" s="118" t="s">
        <v>12</v>
      </c>
      <c r="C5767" s="334" t="s">
        <v>14493</v>
      </c>
      <c r="D5767" s="124" t="s">
        <v>8978</v>
      </c>
      <c r="E5767" s="125"/>
      <c r="F5767" s="118" t="s">
        <v>1030</v>
      </c>
      <c r="G5767" s="126" t="s">
        <v>14322</v>
      </c>
      <c r="H5767" s="255">
        <v>2</v>
      </c>
      <c r="I5767" s="361">
        <v>1</v>
      </c>
      <c r="J5767" s="368" t="s">
        <v>310</v>
      </c>
      <c r="K5767" s="372"/>
      <c r="L5767" s="129"/>
      <c r="M5767" s="129"/>
      <c r="N5767" s="129"/>
      <c r="O5767" s="129"/>
      <c r="P5767" s="372"/>
      <c r="Q5767" s="372"/>
      <c r="R5767" s="129"/>
      <c r="S5767" s="129"/>
      <c r="T5767" s="129"/>
      <c r="W5767" s="129" t="s">
        <v>4876</v>
      </c>
      <c r="X5767" s="337" t="b">
        <f t="shared" si="128"/>
        <v>0</v>
      </c>
    </row>
    <row r="5768" spans="1:24" s="360" customFormat="1" ht="12" customHeight="1" outlineLevel="1">
      <c r="A5768" s="365"/>
      <c r="B5768" s="118" t="s">
        <v>12</v>
      </c>
      <c r="C5768" s="334" t="s">
        <v>14494</v>
      </c>
      <c r="D5768" s="124" t="s">
        <v>14495</v>
      </c>
      <c r="E5768" s="125"/>
      <c r="F5768" s="118" t="s">
        <v>1030</v>
      </c>
      <c r="G5768" s="126" t="s">
        <v>14322</v>
      </c>
      <c r="H5768" s="255">
        <v>2</v>
      </c>
      <c r="I5768" s="361">
        <v>1</v>
      </c>
      <c r="J5768" s="368" t="s">
        <v>310</v>
      </c>
      <c r="K5768" s="372"/>
      <c r="L5768" s="129"/>
      <c r="M5768" s="129"/>
      <c r="N5768" s="129"/>
      <c r="O5768" s="129"/>
      <c r="P5768" s="372"/>
      <c r="Q5768" s="372"/>
      <c r="R5768" s="129"/>
      <c r="S5768" s="129"/>
      <c r="T5768" s="129"/>
      <c r="W5768" s="129" t="s">
        <v>4876</v>
      </c>
      <c r="X5768" s="337" t="b">
        <f t="shared" si="128"/>
        <v>0</v>
      </c>
    </row>
    <row r="5769" spans="1:24" s="360" customFormat="1" ht="12" customHeight="1" outlineLevel="1">
      <c r="A5769" s="365"/>
      <c r="B5769" s="118" t="s">
        <v>12</v>
      </c>
      <c r="C5769" s="334" t="s">
        <v>14496</v>
      </c>
      <c r="D5769" s="124" t="s">
        <v>8972</v>
      </c>
      <c r="E5769" s="125"/>
      <c r="F5769" s="118" t="s">
        <v>1030</v>
      </c>
      <c r="G5769" s="126" t="s">
        <v>14322</v>
      </c>
      <c r="H5769" s="255">
        <v>2</v>
      </c>
      <c r="I5769" s="361">
        <v>1</v>
      </c>
      <c r="J5769" s="368" t="s">
        <v>310</v>
      </c>
      <c r="K5769" s="372"/>
      <c r="L5769" s="129"/>
      <c r="M5769" s="129"/>
      <c r="N5769" s="129"/>
      <c r="O5769" s="129"/>
      <c r="P5769" s="372"/>
      <c r="Q5769" s="372"/>
      <c r="R5769" s="129"/>
      <c r="S5769" s="129"/>
      <c r="T5769" s="129"/>
      <c r="W5769" s="129" t="s">
        <v>4876</v>
      </c>
      <c r="X5769" s="337" t="b">
        <f t="shared" si="128"/>
        <v>0</v>
      </c>
    </row>
    <row r="5770" spans="1:24" s="360" customFormat="1" ht="12" customHeight="1" outlineLevel="1">
      <c r="A5770" s="365"/>
      <c r="B5770" s="118" t="s">
        <v>12</v>
      </c>
      <c r="C5770" s="334" t="s">
        <v>14497</v>
      </c>
      <c r="D5770" s="124" t="s">
        <v>14498</v>
      </c>
      <c r="E5770" s="125"/>
      <c r="F5770" s="118" t="s">
        <v>1030</v>
      </c>
      <c r="G5770" s="126" t="s">
        <v>14322</v>
      </c>
      <c r="H5770" s="255">
        <v>2</v>
      </c>
      <c r="I5770" s="361">
        <v>1</v>
      </c>
      <c r="J5770" s="368" t="s">
        <v>310</v>
      </c>
      <c r="K5770" s="372"/>
      <c r="L5770" s="129"/>
      <c r="M5770" s="129"/>
      <c r="N5770" s="129"/>
      <c r="O5770" s="129"/>
      <c r="P5770" s="372"/>
      <c r="Q5770" s="372"/>
      <c r="R5770" s="129"/>
      <c r="S5770" s="129"/>
      <c r="T5770" s="129"/>
      <c r="W5770" s="129" t="s">
        <v>4876</v>
      </c>
      <c r="X5770" s="337" t="b">
        <f t="shared" si="128"/>
        <v>0</v>
      </c>
    </row>
    <row r="5771" spans="1:24" s="360" customFormat="1" ht="12" customHeight="1" outlineLevel="1">
      <c r="A5771" s="365"/>
      <c r="B5771" s="118" t="s">
        <v>12</v>
      </c>
      <c r="C5771" s="334" t="s">
        <v>14499</v>
      </c>
      <c r="D5771" s="124" t="s">
        <v>14500</v>
      </c>
      <c r="E5771" s="125"/>
      <c r="F5771" s="118" t="s">
        <v>1030</v>
      </c>
      <c r="G5771" s="126" t="s">
        <v>14322</v>
      </c>
      <c r="H5771" s="255">
        <v>2</v>
      </c>
      <c r="I5771" s="361">
        <v>1</v>
      </c>
      <c r="J5771" s="368" t="s">
        <v>286</v>
      </c>
      <c r="K5771" s="372"/>
      <c r="L5771" s="129"/>
      <c r="M5771" s="129"/>
      <c r="N5771" s="129"/>
      <c r="O5771" s="129"/>
      <c r="P5771" s="372"/>
      <c r="Q5771" s="372"/>
      <c r="R5771" s="129"/>
      <c r="S5771" s="129"/>
      <c r="T5771" s="129"/>
      <c r="W5771" s="129" t="s">
        <v>286</v>
      </c>
      <c r="X5771" s="337" t="b">
        <f t="shared" si="128"/>
        <v>1</v>
      </c>
    </row>
    <row r="5772" spans="1:24" s="360" customFormat="1" ht="12" customHeight="1" outlineLevel="1">
      <c r="A5772" s="365"/>
      <c r="B5772" s="118" t="s">
        <v>12</v>
      </c>
      <c r="C5772" s="334" t="s">
        <v>14501</v>
      </c>
      <c r="D5772" s="124" t="s">
        <v>13111</v>
      </c>
      <c r="E5772" s="125"/>
      <c r="F5772" s="118" t="s">
        <v>1030</v>
      </c>
      <c r="G5772" s="126" t="s">
        <v>14322</v>
      </c>
      <c r="H5772" s="255">
        <v>2</v>
      </c>
      <c r="I5772" s="361">
        <v>1</v>
      </c>
      <c r="J5772" s="368" t="s">
        <v>286</v>
      </c>
      <c r="K5772" s="372"/>
      <c r="L5772" s="129"/>
      <c r="M5772" s="129"/>
      <c r="N5772" s="129"/>
      <c r="O5772" s="129"/>
      <c r="P5772" s="372"/>
      <c r="Q5772" s="372"/>
      <c r="R5772" s="129"/>
      <c r="S5772" s="129"/>
      <c r="T5772" s="129"/>
      <c r="W5772" s="129" t="s">
        <v>4876</v>
      </c>
      <c r="X5772" s="337" t="b">
        <f t="shared" si="128"/>
        <v>0</v>
      </c>
    </row>
    <row r="5773" spans="1:24" s="360" customFormat="1" ht="12" customHeight="1" outlineLevel="1">
      <c r="A5773" s="365"/>
      <c r="B5773" s="118" t="s">
        <v>12</v>
      </c>
      <c r="C5773" s="334" t="s">
        <v>8983</v>
      </c>
      <c r="D5773" s="124" t="s">
        <v>8984</v>
      </c>
      <c r="E5773" s="125"/>
      <c r="F5773" s="118" t="s">
        <v>1030</v>
      </c>
      <c r="G5773" s="126" t="s">
        <v>14322</v>
      </c>
      <c r="H5773" s="255">
        <v>2</v>
      </c>
      <c r="I5773" s="361">
        <v>1</v>
      </c>
      <c r="J5773" s="368" t="s">
        <v>286</v>
      </c>
      <c r="K5773" s="372"/>
      <c r="L5773" s="129"/>
      <c r="M5773" s="129"/>
      <c r="N5773" s="129"/>
      <c r="O5773" s="129"/>
      <c r="P5773" s="372"/>
      <c r="Q5773" s="372"/>
      <c r="R5773" s="129"/>
      <c r="S5773" s="129"/>
      <c r="T5773" s="129"/>
      <c r="W5773" s="129" t="s">
        <v>286</v>
      </c>
      <c r="X5773" s="337" t="b">
        <f t="shared" si="128"/>
        <v>1</v>
      </c>
    </row>
    <row r="5774" spans="1:24" s="360" customFormat="1" ht="12" customHeight="1" outlineLevel="1">
      <c r="A5774" s="365"/>
      <c r="B5774" s="118" t="s">
        <v>12</v>
      </c>
      <c r="C5774" s="334" t="s">
        <v>8985</v>
      </c>
      <c r="D5774" s="124" t="s">
        <v>8986</v>
      </c>
      <c r="E5774" s="125"/>
      <c r="F5774" s="118" t="s">
        <v>1030</v>
      </c>
      <c r="G5774" s="126" t="s">
        <v>14322</v>
      </c>
      <c r="H5774" s="255">
        <v>2</v>
      </c>
      <c r="I5774" s="361">
        <v>1</v>
      </c>
      <c r="J5774" s="368" t="s">
        <v>286</v>
      </c>
      <c r="K5774" s="372"/>
      <c r="L5774" s="129"/>
      <c r="M5774" s="129"/>
      <c r="N5774" s="129"/>
      <c r="O5774" s="129"/>
      <c r="P5774" s="372"/>
      <c r="Q5774" s="372"/>
      <c r="R5774" s="129"/>
      <c r="S5774" s="129"/>
      <c r="T5774" s="129"/>
      <c r="W5774" s="129" t="s">
        <v>4876</v>
      </c>
      <c r="X5774" s="337" t="b">
        <f t="shared" si="128"/>
        <v>0</v>
      </c>
    </row>
    <row r="5775" spans="1:24" s="360" customFormat="1" ht="12" customHeight="1" outlineLevel="1">
      <c r="A5775" s="365"/>
      <c r="B5775" s="118" t="s">
        <v>12</v>
      </c>
      <c r="C5775" s="334" t="s">
        <v>8987</v>
      </c>
      <c r="D5775" s="124" t="s">
        <v>8988</v>
      </c>
      <c r="E5775" s="125"/>
      <c r="F5775" s="118" t="s">
        <v>1030</v>
      </c>
      <c r="G5775" s="126" t="s">
        <v>14322</v>
      </c>
      <c r="H5775" s="255">
        <v>2</v>
      </c>
      <c r="I5775" s="361">
        <v>1</v>
      </c>
      <c r="J5775" s="368" t="s">
        <v>286</v>
      </c>
      <c r="K5775" s="372"/>
      <c r="L5775" s="129"/>
      <c r="M5775" s="129"/>
      <c r="N5775" s="129"/>
      <c r="O5775" s="129"/>
      <c r="P5775" s="372"/>
      <c r="Q5775" s="372"/>
      <c r="R5775" s="129"/>
      <c r="S5775" s="129"/>
      <c r="T5775" s="129"/>
      <c r="W5775" s="129" t="s">
        <v>4876</v>
      </c>
      <c r="X5775" s="337" t="b">
        <f t="shared" si="128"/>
        <v>0</v>
      </c>
    </row>
    <row r="5776" spans="1:24" s="360" customFormat="1" ht="12" customHeight="1" outlineLevel="1">
      <c r="A5776" s="365"/>
      <c r="B5776" s="118" t="s">
        <v>12</v>
      </c>
      <c r="C5776" s="334" t="s">
        <v>9343</v>
      </c>
      <c r="D5776" s="124" t="s">
        <v>9344</v>
      </c>
      <c r="E5776" s="125"/>
      <c r="F5776" s="118" t="s">
        <v>1030</v>
      </c>
      <c r="G5776" s="126" t="s">
        <v>14322</v>
      </c>
      <c r="H5776" s="255">
        <v>2</v>
      </c>
      <c r="I5776" s="361">
        <v>1</v>
      </c>
      <c r="J5776" s="368" t="s">
        <v>286</v>
      </c>
      <c r="K5776" s="372"/>
      <c r="L5776" s="129"/>
      <c r="M5776" s="129"/>
      <c r="N5776" s="129"/>
      <c r="O5776" s="129"/>
      <c r="P5776" s="372"/>
      <c r="Q5776" s="372"/>
      <c r="R5776" s="129"/>
      <c r="S5776" s="129"/>
      <c r="T5776" s="129"/>
      <c r="W5776" s="129" t="s">
        <v>4876</v>
      </c>
      <c r="X5776" s="337" t="b">
        <f t="shared" si="128"/>
        <v>0</v>
      </c>
    </row>
    <row r="5777" spans="1:24" s="360" customFormat="1" ht="12" customHeight="1" outlineLevel="1">
      <c r="A5777" s="365"/>
      <c r="B5777" s="118" t="s">
        <v>12</v>
      </c>
      <c r="C5777" s="334" t="s">
        <v>9345</v>
      </c>
      <c r="D5777" s="124" t="s">
        <v>9346</v>
      </c>
      <c r="E5777" s="125"/>
      <c r="F5777" s="118" t="s">
        <v>1030</v>
      </c>
      <c r="G5777" s="126" t="s">
        <v>14322</v>
      </c>
      <c r="H5777" s="255">
        <v>2</v>
      </c>
      <c r="I5777" s="361">
        <v>1</v>
      </c>
      <c r="J5777" s="368" t="s">
        <v>286</v>
      </c>
      <c r="K5777" s="372"/>
      <c r="L5777" s="129"/>
      <c r="M5777" s="129"/>
      <c r="N5777" s="129"/>
      <c r="O5777" s="129"/>
      <c r="P5777" s="372"/>
      <c r="Q5777" s="372"/>
      <c r="R5777" s="129"/>
      <c r="S5777" s="129"/>
      <c r="T5777" s="129"/>
      <c r="W5777" s="129" t="s">
        <v>4876</v>
      </c>
      <c r="X5777" s="337" t="b">
        <f t="shared" si="128"/>
        <v>0</v>
      </c>
    </row>
    <row r="5778" spans="1:24" s="360" customFormat="1" ht="12" customHeight="1" outlineLevel="1">
      <c r="A5778" s="365"/>
      <c r="B5778" s="118" t="s">
        <v>12</v>
      </c>
      <c r="C5778" s="334" t="s">
        <v>9347</v>
      </c>
      <c r="D5778" s="124" t="s">
        <v>9348</v>
      </c>
      <c r="E5778" s="125"/>
      <c r="F5778" s="118" t="s">
        <v>1030</v>
      </c>
      <c r="G5778" s="126" t="s">
        <v>14322</v>
      </c>
      <c r="H5778" s="255">
        <v>2</v>
      </c>
      <c r="I5778" s="361">
        <v>1</v>
      </c>
      <c r="J5778" s="368" t="s">
        <v>286</v>
      </c>
      <c r="K5778" s="372"/>
      <c r="L5778" s="129"/>
      <c r="M5778" s="129"/>
      <c r="N5778" s="129"/>
      <c r="O5778" s="129"/>
      <c r="P5778" s="372"/>
      <c r="Q5778" s="372"/>
      <c r="R5778" s="129"/>
      <c r="S5778" s="129"/>
      <c r="T5778" s="129"/>
      <c r="W5778" s="129" t="s">
        <v>4876</v>
      </c>
      <c r="X5778" s="337" t="b">
        <f t="shared" si="128"/>
        <v>0</v>
      </c>
    </row>
    <row r="5779" spans="1:24" s="360" customFormat="1" ht="12" customHeight="1" outlineLevel="1">
      <c r="A5779" s="365"/>
      <c r="B5779" s="118" t="s">
        <v>12</v>
      </c>
      <c r="C5779" s="334" t="s">
        <v>14502</v>
      </c>
      <c r="D5779" s="124" t="s">
        <v>7307</v>
      </c>
      <c r="E5779" s="125"/>
      <c r="F5779" s="118" t="s">
        <v>1030</v>
      </c>
      <c r="G5779" s="126" t="s">
        <v>14503</v>
      </c>
      <c r="H5779" s="255">
        <v>4</v>
      </c>
      <c r="I5779" s="361">
        <v>1</v>
      </c>
      <c r="J5779" s="368" t="s">
        <v>310</v>
      </c>
      <c r="K5779" s="372"/>
      <c r="L5779" s="129"/>
      <c r="M5779" s="129"/>
      <c r="N5779" s="129"/>
      <c r="O5779" s="129"/>
      <c r="P5779" s="372"/>
      <c r="Q5779" s="372"/>
      <c r="R5779" s="129"/>
      <c r="S5779" s="129"/>
      <c r="T5779" s="129"/>
      <c r="W5779" s="129" t="s">
        <v>310</v>
      </c>
      <c r="X5779" s="337" t="b">
        <f t="shared" si="128"/>
        <v>1</v>
      </c>
    </row>
    <row r="5780" spans="1:24" s="360" customFormat="1" ht="12" customHeight="1" outlineLevel="1">
      <c r="A5780" s="365"/>
      <c r="B5780" s="118" t="s">
        <v>12</v>
      </c>
      <c r="C5780" s="334" t="s">
        <v>14504</v>
      </c>
      <c r="D5780" s="124" t="s">
        <v>9002</v>
      </c>
      <c r="E5780" s="125"/>
      <c r="F5780" s="118" t="s">
        <v>1030</v>
      </c>
      <c r="G5780" s="126" t="s">
        <v>14503</v>
      </c>
      <c r="H5780" s="255">
        <v>4</v>
      </c>
      <c r="I5780" s="361">
        <v>1</v>
      </c>
      <c r="J5780" s="368" t="s">
        <v>310</v>
      </c>
      <c r="K5780" s="372"/>
      <c r="L5780" s="129"/>
      <c r="M5780" s="129"/>
      <c r="N5780" s="129"/>
      <c r="O5780" s="129"/>
      <c r="P5780" s="372"/>
      <c r="Q5780" s="372"/>
      <c r="R5780" s="129"/>
      <c r="S5780" s="129"/>
      <c r="T5780" s="129"/>
      <c r="W5780" s="129" t="s">
        <v>286</v>
      </c>
      <c r="X5780" s="337" t="b">
        <f t="shared" si="128"/>
        <v>0</v>
      </c>
    </row>
    <row r="5781" spans="1:24" s="360" customFormat="1" ht="12" customHeight="1" outlineLevel="1">
      <c r="A5781" s="365"/>
      <c r="B5781" s="118" t="s">
        <v>12</v>
      </c>
      <c r="C5781" s="334" t="s">
        <v>14505</v>
      </c>
      <c r="D5781" s="124" t="s">
        <v>8776</v>
      </c>
      <c r="E5781" s="125"/>
      <c r="F5781" s="118" t="s">
        <v>1030</v>
      </c>
      <c r="G5781" s="126" t="s">
        <v>14503</v>
      </c>
      <c r="H5781" s="255">
        <v>4</v>
      </c>
      <c r="I5781" s="361">
        <v>1</v>
      </c>
      <c r="J5781" s="368" t="s">
        <v>286</v>
      </c>
      <c r="K5781" s="372"/>
      <c r="L5781" s="129"/>
      <c r="M5781" s="129"/>
      <c r="N5781" s="129"/>
      <c r="O5781" s="129"/>
      <c r="P5781" s="372"/>
      <c r="Q5781" s="372"/>
      <c r="R5781" s="129"/>
      <c r="S5781" s="129"/>
      <c r="T5781" s="129"/>
      <c r="W5781" s="129" t="s">
        <v>286</v>
      </c>
      <c r="X5781" s="337" t="b">
        <f t="shared" si="128"/>
        <v>1</v>
      </c>
    </row>
    <row r="5782" spans="1:24" s="360" customFormat="1" ht="12" customHeight="1" outlineLevel="1">
      <c r="A5782" s="365"/>
      <c r="B5782" s="118" t="s">
        <v>12</v>
      </c>
      <c r="C5782" s="334" t="s">
        <v>14506</v>
      </c>
      <c r="D5782" s="124" t="s">
        <v>8778</v>
      </c>
      <c r="E5782" s="125"/>
      <c r="F5782" s="118" t="s">
        <v>1030</v>
      </c>
      <c r="G5782" s="126" t="s">
        <v>14503</v>
      </c>
      <c r="H5782" s="255">
        <v>4</v>
      </c>
      <c r="I5782" s="361">
        <v>1</v>
      </c>
      <c r="J5782" s="368" t="s">
        <v>286</v>
      </c>
      <c r="K5782" s="372"/>
      <c r="L5782" s="129"/>
      <c r="M5782" s="129"/>
      <c r="N5782" s="129"/>
      <c r="O5782" s="129"/>
      <c r="P5782" s="372"/>
      <c r="Q5782" s="372"/>
      <c r="R5782" s="129"/>
      <c r="S5782" s="129"/>
      <c r="T5782" s="129"/>
      <c r="W5782" s="129" t="s">
        <v>286</v>
      </c>
      <c r="X5782" s="337" t="b">
        <f t="shared" si="128"/>
        <v>1</v>
      </c>
    </row>
    <row r="5783" spans="1:24" s="360" customFormat="1" ht="12" customHeight="1" outlineLevel="1">
      <c r="A5783" s="365"/>
      <c r="B5783" s="118" t="s">
        <v>12</v>
      </c>
      <c r="C5783" s="334" t="s">
        <v>14507</v>
      </c>
      <c r="D5783" s="124" t="s">
        <v>8780</v>
      </c>
      <c r="E5783" s="125"/>
      <c r="F5783" s="118" t="s">
        <v>1030</v>
      </c>
      <c r="G5783" s="126" t="s">
        <v>14503</v>
      </c>
      <c r="H5783" s="255">
        <v>4</v>
      </c>
      <c r="I5783" s="361">
        <v>1</v>
      </c>
      <c r="J5783" s="368" t="s">
        <v>286</v>
      </c>
      <c r="K5783" s="372"/>
      <c r="L5783" s="129"/>
      <c r="M5783" s="129"/>
      <c r="N5783" s="129"/>
      <c r="O5783" s="129"/>
      <c r="P5783" s="372"/>
      <c r="Q5783" s="372"/>
      <c r="R5783" s="129"/>
      <c r="S5783" s="129"/>
      <c r="T5783" s="129"/>
      <c r="W5783" s="129" t="s">
        <v>286</v>
      </c>
      <c r="X5783" s="337" t="b">
        <f t="shared" si="128"/>
        <v>1</v>
      </c>
    </row>
    <row r="5784" spans="1:24" s="360" customFormat="1" ht="12" customHeight="1" outlineLevel="1">
      <c r="A5784" s="365"/>
      <c r="B5784" s="118" t="s">
        <v>12</v>
      </c>
      <c r="C5784" s="334" t="s">
        <v>14508</v>
      </c>
      <c r="D5784" s="124" t="s">
        <v>8782</v>
      </c>
      <c r="E5784" s="125"/>
      <c r="F5784" s="118" t="s">
        <v>1030</v>
      </c>
      <c r="G5784" s="126" t="s">
        <v>14503</v>
      </c>
      <c r="H5784" s="255">
        <v>4</v>
      </c>
      <c r="I5784" s="361">
        <v>1</v>
      </c>
      <c r="J5784" s="368" t="s">
        <v>310</v>
      </c>
      <c r="K5784" s="372"/>
      <c r="L5784" s="129"/>
      <c r="M5784" s="129"/>
      <c r="N5784" s="129"/>
      <c r="O5784" s="129"/>
      <c r="P5784" s="372"/>
      <c r="Q5784" s="372"/>
      <c r="R5784" s="129"/>
      <c r="S5784" s="129"/>
      <c r="T5784" s="129"/>
      <c r="W5784" s="129" t="s">
        <v>286</v>
      </c>
      <c r="X5784" s="337" t="b">
        <f t="shared" si="128"/>
        <v>0</v>
      </c>
    </row>
    <row r="5785" spans="1:24" s="360" customFormat="1" ht="12" customHeight="1" outlineLevel="1">
      <c r="A5785" s="365"/>
      <c r="B5785" s="118" t="s">
        <v>12</v>
      </c>
      <c r="C5785" s="334" t="s">
        <v>14509</v>
      </c>
      <c r="D5785" s="124" t="s">
        <v>8784</v>
      </c>
      <c r="E5785" s="125"/>
      <c r="F5785" s="118" t="s">
        <v>1030</v>
      </c>
      <c r="G5785" s="126" t="s">
        <v>14503</v>
      </c>
      <c r="H5785" s="255">
        <v>4</v>
      </c>
      <c r="I5785" s="361">
        <v>1</v>
      </c>
      <c r="J5785" s="368" t="s">
        <v>286</v>
      </c>
      <c r="K5785" s="372"/>
      <c r="L5785" s="129"/>
      <c r="M5785" s="129"/>
      <c r="N5785" s="129"/>
      <c r="O5785" s="129"/>
      <c r="P5785" s="372"/>
      <c r="Q5785" s="372"/>
      <c r="R5785" s="129"/>
      <c r="S5785" s="129"/>
      <c r="T5785" s="129"/>
      <c r="W5785" s="129" t="s">
        <v>286</v>
      </c>
      <c r="X5785" s="337" t="b">
        <f t="shared" si="128"/>
        <v>1</v>
      </c>
    </row>
    <row r="5786" spans="1:24" s="360" customFormat="1" ht="12" customHeight="1" outlineLevel="1">
      <c r="A5786" s="365"/>
      <c r="B5786" s="118" t="s">
        <v>12</v>
      </c>
      <c r="C5786" s="334" t="s">
        <v>14510</v>
      </c>
      <c r="D5786" s="124" t="s">
        <v>8786</v>
      </c>
      <c r="E5786" s="125"/>
      <c r="F5786" s="118" t="s">
        <v>1030</v>
      </c>
      <c r="G5786" s="126" t="s">
        <v>14503</v>
      </c>
      <c r="H5786" s="255">
        <v>4</v>
      </c>
      <c r="I5786" s="361">
        <v>1</v>
      </c>
      <c r="J5786" s="368" t="s">
        <v>286</v>
      </c>
      <c r="K5786" s="372"/>
      <c r="L5786" s="129"/>
      <c r="M5786" s="129"/>
      <c r="N5786" s="129"/>
      <c r="O5786" s="129"/>
      <c r="P5786" s="372"/>
      <c r="Q5786" s="372"/>
      <c r="R5786" s="129"/>
      <c r="S5786" s="129"/>
      <c r="T5786" s="129"/>
      <c r="W5786" s="129" t="s">
        <v>286</v>
      </c>
      <c r="X5786" s="337" t="b">
        <f t="shared" si="128"/>
        <v>1</v>
      </c>
    </row>
    <row r="5787" spans="1:24" s="360" customFormat="1" ht="12" customHeight="1" outlineLevel="1">
      <c r="A5787" s="365"/>
      <c r="B5787" s="118" t="s">
        <v>12</v>
      </c>
      <c r="C5787" s="334" t="s">
        <v>14511</v>
      </c>
      <c r="D5787" s="124" t="s">
        <v>5940</v>
      </c>
      <c r="E5787" s="125"/>
      <c r="F5787" s="118" t="s">
        <v>1030</v>
      </c>
      <c r="G5787" s="126" t="s">
        <v>14503</v>
      </c>
      <c r="H5787" s="255">
        <v>4</v>
      </c>
      <c r="I5787" s="361">
        <v>1</v>
      </c>
      <c r="J5787" s="368" t="s">
        <v>286</v>
      </c>
      <c r="K5787" s="372"/>
      <c r="L5787" s="129"/>
      <c r="M5787" s="129"/>
      <c r="N5787" s="129"/>
      <c r="O5787" s="129"/>
      <c r="P5787" s="372"/>
      <c r="Q5787" s="372"/>
      <c r="R5787" s="129"/>
      <c r="S5787" s="129"/>
      <c r="T5787" s="129"/>
      <c r="W5787" s="129" t="s">
        <v>310</v>
      </c>
      <c r="X5787" s="337" t="b">
        <f t="shared" si="128"/>
        <v>0</v>
      </c>
    </row>
    <row r="5788" spans="1:24" s="360" customFormat="1" ht="12" customHeight="1" outlineLevel="1">
      <c r="A5788" s="365"/>
      <c r="B5788" s="118" t="s">
        <v>12</v>
      </c>
      <c r="C5788" s="334" t="s">
        <v>14512</v>
      </c>
      <c r="D5788" s="124" t="s">
        <v>13134</v>
      </c>
      <c r="E5788" s="125"/>
      <c r="F5788" s="118" t="s">
        <v>1030</v>
      </c>
      <c r="G5788" s="126" t="s">
        <v>14503</v>
      </c>
      <c r="H5788" s="255">
        <v>4</v>
      </c>
      <c r="I5788" s="361">
        <v>1</v>
      </c>
      <c r="J5788" s="368" t="s">
        <v>310</v>
      </c>
      <c r="K5788" s="372"/>
      <c r="L5788" s="129"/>
      <c r="M5788" s="129"/>
      <c r="N5788" s="129"/>
      <c r="O5788" s="129"/>
      <c r="P5788" s="372"/>
      <c r="Q5788" s="372"/>
      <c r="R5788" s="129"/>
      <c r="S5788" s="129"/>
      <c r="T5788" s="129"/>
      <c r="W5788" s="129" t="s">
        <v>307</v>
      </c>
      <c r="X5788" s="337" t="b">
        <f t="shared" si="128"/>
        <v>0</v>
      </c>
    </row>
    <row r="5789" spans="1:24" s="360" customFormat="1" ht="12" customHeight="1" outlineLevel="1">
      <c r="A5789" s="365"/>
      <c r="B5789" s="118" t="s">
        <v>12</v>
      </c>
      <c r="C5789" s="334" t="s">
        <v>14513</v>
      </c>
      <c r="D5789" s="124" t="s">
        <v>13136</v>
      </c>
      <c r="E5789" s="125"/>
      <c r="F5789" s="118" t="s">
        <v>1030</v>
      </c>
      <c r="G5789" s="126" t="s">
        <v>14503</v>
      </c>
      <c r="H5789" s="255">
        <v>4</v>
      </c>
      <c r="I5789" s="361">
        <v>1</v>
      </c>
      <c r="J5789" s="368" t="s">
        <v>310</v>
      </c>
      <c r="K5789" s="372"/>
      <c r="L5789" s="129"/>
      <c r="M5789" s="129"/>
      <c r="N5789" s="129"/>
      <c r="O5789" s="129"/>
      <c r="P5789" s="372"/>
      <c r="Q5789" s="372"/>
      <c r="R5789" s="129"/>
      <c r="S5789" s="129"/>
      <c r="T5789" s="129"/>
      <c r="W5789" s="129" t="s">
        <v>307</v>
      </c>
      <c r="X5789" s="337" t="b">
        <f t="shared" si="128"/>
        <v>0</v>
      </c>
    </row>
    <row r="5790" spans="1:24" s="360" customFormat="1" ht="12" customHeight="1" outlineLevel="1">
      <c r="A5790" s="365"/>
      <c r="B5790" s="118" t="s">
        <v>12</v>
      </c>
      <c r="C5790" s="334" t="s">
        <v>14514</v>
      </c>
      <c r="D5790" s="124" t="s">
        <v>13138</v>
      </c>
      <c r="E5790" s="125"/>
      <c r="F5790" s="118" t="s">
        <v>1030</v>
      </c>
      <c r="G5790" s="126" t="s">
        <v>14503</v>
      </c>
      <c r="H5790" s="255">
        <v>4</v>
      </c>
      <c r="I5790" s="361">
        <v>1</v>
      </c>
      <c r="J5790" s="368" t="s">
        <v>310</v>
      </c>
      <c r="K5790" s="372"/>
      <c r="L5790" s="129"/>
      <c r="M5790" s="129"/>
      <c r="N5790" s="129"/>
      <c r="O5790" s="129"/>
      <c r="P5790" s="372"/>
      <c r="Q5790" s="372"/>
      <c r="R5790" s="129"/>
      <c r="S5790" s="129"/>
      <c r="T5790" s="129"/>
      <c r="W5790" s="129" t="s">
        <v>307</v>
      </c>
      <c r="X5790" s="337" t="b">
        <f t="shared" si="128"/>
        <v>0</v>
      </c>
    </row>
    <row r="5791" spans="1:24" s="360" customFormat="1" ht="12" customHeight="1" outlineLevel="1">
      <c r="A5791" s="365"/>
      <c r="B5791" s="118" t="s">
        <v>12</v>
      </c>
      <c r="C5791" s="334" t="s">
        <v>14515</v>
      </c>
      <c r="D5791" s="124" t="s">
        <v>13140</v>
      </c>
      <c r="E5791" s="125"/>
      <c r="F5791" s="118" t="s">
        <v>1030</v>
      </c>
      <c r="G5791" s="126" t="s">
        <v>14503</v>
      </c>
      <c r="H5791" s="255">
        <v>4</v>
      </c>
      <c r="I5791" s="361">
        <v>1</v>
      </c>
      <c r="J5791" s="368" t="s">
        <v>307</v>
      </c>
      <c r="K5791" s="372"/>
      <c r="L5791" s="129"/>
      <c r="M5791" s="129"/>
      <c r="N5791" s="129"/>
      <c r="O5791" s="129"/>
      <c r="P5791" s="372"/>
      <c r="Q5791" s="372"/>
      <c r="R5791" s="129"/>
      <c r="S5791" s="129"/>
      <c r="T5791" s="129"/>
      <c r="W5791" s="129" t="s">
        <v>307</v>
      </c>
      <c r="X5791" s="337" t="b">
        <f t="shared" si="128"/>
        <v>1</v>
      </c>
    </row>
    <row r="5792" spans="1:24" s="360" customFormat="1" ht="12" customHeight="1" outlineLevel="1">
      <c r="A5792" s="365"/>
      <c r="B5792" s="118" t="s">
        <v>12</v>
      </c>
      <c r="C5792" s="334" t="s">
        <v>14516</v>
      </c>
      <c r="D5792" s="124" t="s">
        <v>13142</v>
      </c>
      <c r="E5792" s="125"/>
      <c r="F5792" s="118" t="s">
        <v>1030</v>
      </c>
      <c r="G5792" s="126" t="s">
        <v>14503</v>
      </c>
      <c r="H5792" s="255">
        <v>4</v>
      </c>
      <c r="I5792" s="361">
        <v>1</v>
      </c>
      <c r="J5792" s="368" t="s">
        <v>310</v>
      </c>
      <c r="K5792" s="372"/>
      <c r="L5792" s="129"/>
      <c r="M5792" s="129"/>
      <c r="N5792" s="129"/>
      <c r="O5792" s="129"/>
      <c r="P5792" s="372"/>
      <c r="Q5792" s="372"/>
      <c r="R5792" s="129"/>
      <c r="S5792" s="129"/>
      <c r="T5792" s="129"/>
      <c r="W5792" s="129" t="s">
        <v>310</v>
      </c>
      <c r="X5792" s="337" t="b">
        <f t="shared" si="128"/>
        <v>1</v>
      </c>
    </row>
    <row r="5793" spans="1:24" s="360" customFormat="1" ht="12" customHeight="1" outlineLevel="1">
      <c r="A5793" s="365"/>
      <c r="B5793" s="118" t="s">
        <v>12</v>
      </c>
      <c r="C5793" s="334" t="s">
        <v>14517</v>
      </c>
      <c r="D5793" s="124" t="s">
        <v>13144</v>
      </c>
      <c r="E5793" s="125"/>
      <c r="F5793" s="118" t="s">
        <v>1030</v>
      </c>
      <c r="G5793" s="126" t="s">
        <v>14503</v>
      </c>
      <c r="H5793" s="255">
        <v>4</v>
      </c>
      <c r="I5793" s="361">
        <v>1</v>
      </c>
      <c r="J5793" s="368" t="s">
        <v>307</v>
      </c>
      <c r="K5793" s="372"/>
      <c r="L5793" s="129"/>
      <c r="M5793" s="129"/>
      <c r="N5793" s="129"/>
      <c r="O5793" s="129"/>
      <c r="P5793" s="372"/>
      <c r="Q5793" s="372"/>
      <c r="R5793" s="129"/>
      <c r="S5793" s="129"/>
      <c r="T5793" s="129"/>
      <c r="W5793" s="129" t="s">
        <v>307</v>
      </c>
      <c r="X5793" s="337" t="b">
        <f t="shared" si="128"/>
        <v>1</v>
      </c>
    </row>
    <row r="5794" spans="1:24" s="360" customFormat="1" ht="12" customHeight="1" outlineLevel="1">
      <c r="A5794" s="365"/>
      <c r="B5794" s="118" t="s">
        <v>12</v>
      </c>
      <c r="C5794" s="334" t="s">
        <v>14518</v>
      </c>
      <c r="D5794" s="124" t="s">
        <v>13146</v>
      </c>
      <c r="E5794" s="125"/>
      <c r="F5794" s="118" t="s">
        <v>1030</v>
      </c>
      <c r="G5794" s="126" t="s">
        <v>14503</v>
      </c>
      <c r="H5794" s="255">
        <v>4</v>
      </c>
      <c r="I5794" s="361">
        <v>1</v>
      </c>
      <c r="J5794" s="368" t="s">
        <v>310</v>
      </c>
      <c r="K5794" s="372"/>
      <c r="L5794" s="129"/>
      <c r="M5794" s="129"/>
      <c r="N5794" s="129"/>
      <c r="O5794" s="129"/>
      <c r="P5794" s="372"/>
      <c r="Q5794" s="372"/>
      <c r="R5794" s="129"/>
      <c r="S5794" s="129"/>
      <c r="T5794" s="129"/>
      <c r="W5794" s="129" t="s">
        <v>307</v>
      </c>
      <c r="X5794" s="337" t="b">
        <f t="shared" si="128"/>
        <v>0</v>
      </c>
    </row>
    <row r="5795" spans="1:24" s="360" customFormat="1" ht="12" customHeight="1" outlineLevel="1">
      <c r="A5795" s="365"/>
      <c r="B5795" s="118" t="s">
        <v>12</v>
      </c>
      <c r="C5795" s="334" t="s">
        <v>14519</v>
      </c>
      <c r="D5795" s="124" t="s">
        <v>14520</v>
      </c>
      <c r="E5795" s="125"/>
      <c r="F5795" s="118" t="s">
        <v>1030</v>
      </c>
      <c r="G5795" s="126" t="s">
        <v>14503</v>
      </c>
      <c r="H5795" s="255">
        <v>4</v>
      </c>
      <c r="I5795" s="361">
        <v>1</v>
      </c>
      <c r="J5795" s="368" t="s">
        <v>286</v>
      </c>
      <c r="K5795" s="372"/>
      <c r="L5795" s="129"/>
      <c r="M5795" s="129"/>
      <c r="N5795" s="129"/>
      <c r="O5795" s="129"/>
      <c r="P5795" s="372"/>
      <c r="Q5795" s="372"/>
      <c r="R5795" s="129"/>
      <c r="S5795" s="129"/>
      <c r="T5795" s="129"/>
      <c r="W5795" s="129" t="s">
        <v>310</v>
      </c>
      <c r="X5795" s="337" t="b">
        <f t="shared" si="128"/>
        <v>0</v>
      </c>
    </row>
    <row r="5796" spans="1:24" s="360" customFormat="1" ht="12" customHeight="1" outlineLevel="1">
      <c r="A5796" s="365"/>
      <c r="B5796" s="118" t="s">
        <v>12</v>
      </c>
      <c r="C5796" s="334" t="s">
        <v>14521</v>
      </c>
      <c r="D5796" s="124" t="s">
        <v>14522</v>
      </c>
      <c r="E5796" s="125"/>
      <c r="F5796" s="118" t="s">
        <v>1030</v>
      </c>
      <c r="G5796" s="126" t="s">
        <v>14503</v>
      </c>
      <c r="H5796" s="255">
        <v>4</v>
      </c>
      <c r="I5796" s="361">
        <v>1</v>
      </c>
      <c r="J5796" s="368" t="s">
        <v>286</v>
      </c>
      <c r="K5796" s="372"/>
      <c r="L5796" s="129"/>
      <c r="M5796" s="129"/>
      <c r="N5796" s="129"/>
      <c r="O5796" s="129"/>
      <c r="P5796" s="372"/>
      <c r="Q5796" s="372"/>
      <c r="R5796" s="129"/>
      <c r="S5796" s="129"/>
      <c r="T5796" s="129"/>
      <c r="W5796" s="129" t="s">
        <v>286</v>
      </c>
      <c r="X5796" s="337" t="b">
        <f t="shared" si="128"/>
        <v>1</v>
      </c>
    </row>
    <row r="5797" spans="1:24" s="360" customFormat="1" ht="12" customHeight="1" outlineLevel="1">
      <c r="A5797" s="365"/>
      <c r="B5797" s="118" t="s">
        <v>12</v>
      </c>
      <c r="C5797" s="334" t="s">
        <v>14523</v>
      </c>
      <c r="D5797" s="124" t="s">
        <v>14524</v>
      </c>
      <c r="E5797" s="125"/>
      <c r="F5797" s="118" t="s">
        <v>1030</v>
      </c>
      <c r="G5797" s="126" t="s">
        <v>14503</v>
      </c>
      <c r="H5797" s="255">
        <v>4</v>
      </c>
      <c r="I5797" s="361">
        <v>1</v>
      </c>
      <c r="J5797" s="368" t="s">
        <v>286</v>
      </c>
      <c r="K5797" s="372"/>
      <c r="L5797" s="129"/>
      <c r="M5797" s="129"/>
      <c r="N5797" s="129"/>
      <c r="O5797" s="129"/>
      <c r="P5797" s="372"/>
      <c r="Q5797" s="372"/>
      <c r="R5797" s="129"/>
      <c r="S5797" s="129"/>
      <c r="T5797" s="129"/>
      <c r="W5797" s="129" t="s">
        <v>286</v>
      </c>
      <c r="X5797" s="337" t="b">
        <f t="shared" si="128"/>
        <v>1</v>
      </c>
    </row>
    <row r="5798" spans="1:24" s="360" customFormat="1" ht="12" customHeight="1" outlineLevel="1">
      <c r="A5798" s="365"/>
      <c r="B5798" s="118" t="s">
        <v>12</v>
      </c>
      <c r="C5798" s="334" t="s">
        <v>14525</v>
      </c>
      <c r="D5798" s="124" t="s">
        <v>14526</v>
      </c>
      <c r="E5798" s="125"/>
      <c r="F5798" s="118" t="s">
        <v>1030</v>
      </c>
      <c r="G5798" s="126" t="s">
        <v>14503</v>
      </c>
      <c r="H5798" s="255">
        <v>4</v>
      </c>
      <c r="I5798" s="361">
        <v>1</v>
      </c>
      <c r="J5798" s="368" t="s">
        <v>286</v>
      </c>
      <c r="K5798" s="372"/>
      <c r="L5798" s="129"/>
      <c r="M5798" s="129"/>
      <c r="N5798" s="129"/>
      <c r="O5798" s="129"/>
      <c r="P5798" s="372"/>
      <c r="Q5798" s="372"/>
      <c r="R5798" s="129"/>
      <c r="S5798" s="129"/>
      <c r="T5798" s="129"/>
      <c r="W5798" s="129" t="s">
        <v>286</v>
      </c>
      <c r="X5798" s="337" t="b">
        <f t="shared" si="128"/>
        <v>1</v>
      </c>
    </row>
    <row r="5799" spans="1:24" s="360" customFormat="1" ht="12" customHeight="1" outlineLevel="1">
      <c r="A5799" s="365"/>
      <c r="B5799" s="118" t="s">
        <v>12</v>
      </c>
      <c r="C5799" s="334" t="s">
        <v>14527</v>
      </c>
      <c r="D5799" s="124" t="s">
        <v>14528</v>
      </c>
      <c r="E5799" s="125"/>
      <c r="F5799" s="118" t="s">
        <v>1030</v>
      </c>
      <c r="G5799" s="126" t="s">
        <v>14503</v>
      </c>
      <c r="H5799" s="255">
        <v>4</v>
      </c>
      <c r="I5799" s="361">
        <v>1</v>
      </c>
      <c r="J5799" s="368" t="s">
        <v>286</v>
      </c>
      <c r="K5799" s="372"/>
      <c r="L5799" s="129"/>
      <c r="M5799" s="129"/>
      <c r="N5799" s="129"/>
      <c r="O5799" s="129"/>
      <c r="P5799" s="372"/>
      <c r="Q5799" s="372"/>
      <c r="R5799" s="129"/>
      <c r="S5799" s="129"/>
      <c r="T5799" s="129"/>
      <c r="W5799" s="129" t="s">
        <v>286</v>
      </c>
      <c r="X5799" s="337" t="b">
        <f t="shared" si="128"/>
        <v>1</v>
      </c>
    </row>
    <row r="5800" spans="1:24" s="360" customFormat="1" ht="12" customHeight="1" outlineLevel="1">
      <c r="A5800" s="365"/>
      <c r="B5800" s="118" t="s">
        <v>12</v>
      </c>
      <c r="C5800" s="334" t="s">
        <v>14529</v>
      </c>
      <c r="D5800" s="124" t="s">
        <v>14530</v>
      </c>
      <c r="E5800" s="125"/>
      <c r="F5800" s="118" t="s">
        <v>1030</v>
      </c>
      <c r="G5800" s="126" t="s">
        <v>14503</v>
      </c>
      <c r="H5800" s="255">
        <v>4</v>
      </c>
      <c r="I5800" s="361">
        <v>1</v>
      </c>
      <c r="J5800" s="368" t="s">
        <v>286</v>
      </c>
      <c r="K5800" s="372"/>
      <c r="L5800" s="129"/>
      <c r="M5800" s="129"/>
      <c r="N5800" s="129"/>
      <c r="O5800" s="129"/>
      <c r="P5800" s="372"/>
      <c r="Q5800" s="372"/>
      <c r="R5800" s="129"/>
      <c r="S5800" s="129"/>
      <c r="T5800" s="129"/>
      <c r="W5800" s="129" t="s">
        <v>286</v>
      </c>
      <c r="X5800" s="337" t="b">
        <f t="shared" si="128"/>
        <v>1</v>
      </c>
    </row>
    <row r="5801" spans="1:24" s="360" customFormat="1" ht="12" customHeight="1" outlineLevel="1">
      <c r="A5801" s="365"/>
      <c r="B5801" s="118" t="s">
        <v>12</v>
      </c>
      <c r="C5801" s="334" t="s">
        <v>14531</v>
      </c>
      <c r="D5801" s="124" t="s">
        <v>14532</v>
      </c>
      <c r="E5801" s="125"/>
      <c r="F5801" s="118" t="s">
        <v>1030</v>
      </c>
      <c r="G5801" s="126" t="s">
        <v>14503</v>
      </c>
      <c r="H5801" s="255">
        <v>4</v>
      </c>
      <c r="I5801" s="361">
        <v>1</v>
      </c>
      <c r="J5801" s="368" t="s">
        <v>286</v>
      </c>
      <c r="K5801" s="372"/>
      <c r="L5801" s="129"/>
      <c r="M5801" s="129"/>
      <c r="N5801" s="129"/>
      <c r="O5801" s="129"/>
      <c r="P5801" s="372"/>
      <c r="Q5801" s="372"/>
      <c r="R5801" s="129"/>
      <c r="S5801" s="129"/>
      <c r="T5801" s="129"/>
      <c r="W5801" s="129" t="s">
        <v>286</v>
      </c>
      <c r="X5801" s="337" t="b">
        <f t="shared" si="128"/>
        <v>1</v>
      </c>
    </row>
    <row r="5802" spans="1:24" s="360" customFormat="1" ht="12" customHeight="1" outlineLevel="1">
      <c r="A5802" s="365"/>
      <c r="B5802" s="118" t="s">
        <v>12</v>
      </c>
      <c r="C5802" s="334" t="s">
        <v>14533</v>
      </c>
      <c r="D5802" s="124" t="s">
        <v>14534</v>
      </c>
      <c r="E5802" s="125"/>
      <c r="F5802" s="118" t="s">
        <v>1030</v>
      </c>
      <c r="G5802" s="126" t="s">
        <v>14503</v>
      </c>
      <c r="H5802" s="255">
        <v>4</v>
      </c>
      <c r="I5802" s="361">
        <v>1</v>
      </c>
      <c r="J5802" s="368" t="s">
        <v>286</v>
      </c>
      <c r="K5802" s="372"/>
      <c r="L5802" s="129"/>
      <c r="M5802" s="129"/>
      <c r="N5802" s="129"/>
      <c r="O5802" s="129"/>
      <c r="P5802" s="372"/>
      <c r="Q5802" s="372"/>
      <c r="R5802" s="129"/>
      <c r="S5802" s="129"/>
      <c r="T5802" s="129"/>
      <c r="W5802" s="129" t="s">
        <v>286</v>
      </c>
      <c r="X5802" s="337" t="b">
        <f t="shared" si="128"/>
        <v>1</v>
      </c>
    </row>
    <row r="5803" spans="1:24" s="360" customFormat="1" ht="12" customHeight="1" outlineLevel="1">
      <c r="A5803" s="365"/>
      <c r="B5803" s="118" t="s">
        <v>12</v>
      </c>
      <c r="C5803" s="334" t="s">
        <v>14535</v>
      </c>
      <c r="D5803" s="124" t="s">
        <v>14536</v>
      </c>
      <c r="E5803" s="125"/>
      <c r="F5803" s="118" t="s">
        <v>1030</v>
      </c>
      <c r="G5803" s="126" t="s">
        <v>14503</v>
      </c>
      <c r="H5803" s="255">
        <v>4</v>
      </c>
      <c r="I5803" s="361">
        <v>1</v>
      </c>
      <c r="J5803" s="368" t="s">
        <v>286</v>
      </c>
      <c r="K5803" s="372"/>
      <c r="L5803" s="129"/>
      <c r="M5803" s="129"/>
      <c r="N5803" s="129"/>
      <c r="O5803" s="129"/>
      <c r="P5803" s="372"/>
      <c r="Q5803" s="372"/>
      <c r="R5803" s="129"/>
      <c r="S5803" s="129"/>
      <c r="T5803" s="129"/>
      <c r="W5803" s="129" t="s">
        <v>286</v>
      </c>
      <c r="X5803" s="337" t="b">
        <f t="shared" si="128"/>
        <v>1</v>
      </c>
    </row>
    <row r="5804" spans="1:24" s="360" customFormat="1" ht="12" customHeight="1" outlineLevel="1">
      <c r="A5804" s="365"/>
      <c r="B5804" s="118" t="s">
        <v>12</v>
      </c>
      <c r="C5804" s="334" t="s">
        <v>14537</v>
      </c>
      <c r="D5804" s="124" t="s">
        <v>14538</v>
      </c>
      <c r="E5804" s="125"/>
      <c r="F5804" s="118" t="s">
        <v>1030</v>
      </c>
      <c r="G5804" s="126" t="s">
        <v>14503</v>
      </c>
      <c r="H5804" s="255">
        <v>4</v>
      </c>
      <c r="I5804" s="361">
        <v>1</v>
      </c>
      <c r="J5804" s="368" t="s">
        <v>286</v>
      </c>
      <c r="K5804" s="372"/>
      <c r="L5804" s="129"/>
      <c r="M5804" s="129"/>
      <c r="N5804" s="129"/>
      <c r="O5804" s="129"/>
      <c r="P5804" s="372"/>
      <c r="Q5804" s="372"/>
      <c r="R5804" s="129"/>
      <c r="S5804" s="129"/>
      <c r="T5804" s="129"/>
      <c r="W5804" s="129" t="s">
        <v>286</v>
      </c>
      <c r="X5804" s="337" t="b">
        <f t="shared" si="128"/>
        <v>1</v>
      </c>
    </row>
    <row r="5805" spans="1:24" s="360" customFormat="1" ht="12" customHeight="1" outlineLevel="1">
      <c r="A5805" s="365"/>
      <c r="B5805" s="118" t="s">
        <v>12</v>
      </c>
      <c r="C5805" s="334" t="s">
        <v>14539</v>
      </c>
      <c r="D5805" s="124" t="s">
        <v>14540</v>
      </c>
      <c r="E5805" s="125"/>
      <c r="F5805" s="118" t="s">
        <v>1030</v>
      </c>
      <c r="G5805" s="126" t="s">
        <v>14503</v>
      </c>
      <c r="H5805" s="255">
        <v>4</v>
      </c>
      <c r="I5805" s="361">
        <v>1</v>
      </c>
      <c r="J5805" s="368" t="s">
        <v>286</v>
      </c>
      <c r="K5805" s="372"/>
      <c r="L5805" s="129"/>
      <c r="M5805" s="129"/>
      <c r="N5805" s="129"/>
      <c r="O5805" s="129"/>
      <c r="P5805" s="372"/>
      <c r="Q5805" s="372"/>
      <c r="R5805" s="129"/>
      <c r="S5805" s="129"/>
      <c r="T5805" s="129"/>
      <c r="W5805" s="129" t="s">
        <v>286</v>
      </c>
      <c r="X5805" s="337" t="b">
        <f t="shared" si="128"/>
        <v>1</v>
      </c>
    </row>
    <row r="5806" spans="1:24" s="360" customFormat="1" ht="12" customHeight="1" outlineLevel="1">
      <c r="A5806" s="365"/>
      <c r="B5806" s="118" t="s">
        <v>12</v>
      </c>
      <c r="C5806" s="334" t="s">
        <v>14541</v>
      </c>
      <c r="D5806" s="124" t="s">
        <v>14542</v>
      </c>
      <c r="E5806" s="125"/>
      <c r="F5806" s="118" t="s">
        <v>1030</v>
      </c>
      <c r="G5806" s="126" t="s">
        <v>14503</v>
      </c>
      <c r="H5806" s="255">
        <v>4</v>
      </c>
      <c r="I5806" s="361">
        <v>1</v>
      </c>
      <c r="J5806" s="368" t="s">
        <v>286</v>
      </c>
      <c r="K5806" s="372"/>
      <c r="L5806" s="129"/>
      <c r="M5806" s="129"/>
      <c r="N5806" s="129"/>
      <c r="O5806" s="129"/>
      <c r="P5806" s="372"/>
      <c r="Q5806" s="372"/>
      <c r="R5806" s="129"/>
      <c r="S5806" s="129"/>
      <c r="T5806" s="129"/>
      <c r="W5806" s="129" t="s">
        <v>286</v>
      </c>
      <c r="X5806" s="337" t="b">
        <f t="shared" si="128"/>
        <v>1</v>
      </c>
    </row>
    <row r="5807" spans="1:24" s="360" customFormat="1" ht="12" customHeight="1" outlineLevel="1">
      <c r="A5807" s="365"/>
      <c r="B5807" s="118" t="s">
        <v>12</v>
      </c>
      <c r="C5807" s="334" t="s">
        <v>14543</v>
      </c>
      <c r="D5807" s="124" t="s">
        <v>14544</v>
      </c>
      <c r="E5807" s="125"/>
      <c r="F5807" s="118" t="s">
        <v>1030</v>
      </c>
      <c r="G5807" s="126" t="s">
        <v>14503</v>
      </c>
      <c r="H5807" s="255">
        <v>4</v>
      </c>
      <c r="I5807" s="361">
        <v>1</v>
      </c>
      <c r="J5807" s="368" t="s">
        <v>286</v>
      </c>
      <c r="K5807" s="372"/>
      <c r="L5807" s="129"/>
      <c r="M5807" s="129"/>
      <c r="N5807" s="129"/>
      <c r="O5807" s="129"/>
      <c r="P5807" s="372"/>
      <c r="Q5807" s="372"/>
      <c r="R5807" s="129"/>
      <c r="S5807" s="129"/>
      <c r="T5807" s="129"/>
      <c r="W5807" s="129" t="s">
        <v>286</v>
      </c>
      <c r="X5807" s="337" t="b">
        <f t="shared" ref="X5807:X5870" si="129">W5807=J5807</f>
        <v>1</v>
      </c>
    </row>
    <row r="5808" spans="1:24" s="360" customFormat="1" ht="12" customHeight="1" outlineLevel="1">
      <c r="A5808" s="365"/>
      <c r="B5808" s="118" t="s">
        <v>12</v>
      </c>
      <c r="C5808" s="334" t="s">
        <v>14545</v>
      </c>
      <c r="D5808" s="124" t="s">
        <v>14546</v>
      </c>
      <c r="E5808" s="125"/>
      <c r="F5808" s="118" t="s">
        <v>1030</v>
      </c>
      <c r="G5808" s="126" t="s">
        <v>14503</v>
      </c>
      <c r="H5808" s="255">
        <v>4</v>
      </c>
      <c r="I5808" s="361">
        <v>1</v>
      </c>
      <c r="J5808" s="368" t="s">
        <v>286</v>
      </c>
      <c r="K5808" s="372"/>
      <c r="L5808" s="129"/>
      <c r="M5808" s="129"/>
      <c r="N5808" s="129"/>
      <c r="O5808" s="129"/>
      <c r="P5808" s="372"/>
      <c r="Q5808" s="372"/>
      <c r="R5808" s="129"/>
      <c r="S5808" s="129"/>
      <c r="T5808" s="129"/>
      <c r="W5808" s="129" t="s">
        <v>286</v>
      </c>
      <c r="X5808" s="337" t="b">
        <f t="shared" si="129"/>
        <v>1</v>
      </c>
    </row>
    <row r="5809" spans="1:24" s="360" customFormat="1" ht="12" customHeight="1" outlineLevel="1">
      <c r="A5809" s="365"/>
      <c r="B5809" s="118" t="s">
        <v>12</v>
      </c>
      <c r="C5809" s="334" t="s">
        <v>14547</v>
      </c>
      <c r="D5809" s="124" t="s">
        <v>14548</v>
      </c>
      <c r="E5809" s="125"/>
      <c r="F5809" s="118" t="s">
        <v>1030</v>
      </c>
      <c r="G5809" s="126" t="s">
        <v>14503</v>
      </c>
      <c r="H5809" s="255">
        <v>4</v>
      </c>
      <c r="I5809" s="361">
        <v>1</v>
      </c>
      <c r="J5809" s="368" t="s">
        <v>286</v>
      </c>
      <c r="K5809" s="372"/>
      <c r="L5809" s="129"/>
      <c r="M5809" s="129"/>
      <c r="N5809" s="129"/>
      <c r="O5809" s="129"/>
      <c r="P5809" s="372"/>
      <c r="Q5809" s="372"/>
      <c r="R5809" s="129"/>
      <c r="S5809" s="129"/>
      <c r="T5809" s="129"/>
      <c r="W5809" s="129" t="s">
        <v>286</v>
      </c>
      <c r="X5809" s="337" t="b">
        <f t="shared" si="129"/>
        <v>1</v>
      </c>
    </row>
    <row r="5810" spans="1:24" s="360" customFormat="1" ht="12" customHeight="1" outlineLevel="1">
      <c r="A5810" s="365"/>
      <c r="B5810" s="118" t="s">
        <v>12</v>
      </c>
      <c r="C5810" s="334" t="s">
        <v>14549</v>
      </c>
      <c r="D5810" s="124" t="s">
        <v>14550</v>
      </c>
      <c r="E5810" s="125"/>
      <c r="F5810" s="118" t="s">
        <v>1030</v>
      </c>
      <c r="G5810" s="126" t="s">
        <v>14503</v>
      </c>
      <c r="H5810" s="255">
        <v>4</v>
      </c>
      <c r="I5810" s="361">
        <v>1</v>
      </c>
      <c r="J5810" s="368" t="s">
        <v>286</v>
      </c>
      <c r="K5810" s="372"/>
      <c r="L5810" s="129"/>
      <c r="M5810" s="129"/>
      <c r="N5810" s="129"/>
      <c r="O5810" s="129"/>
      <c r="P5810" s="372"/>
      <c r="Q5810" s="372"/>
      <c r="R5810" s="129"/>
      <c r="S5810" s="129"/>
      <c r="T5810" s="129"/>
      <c r="W5810" s="129" t="s">
        <v>286</v>
      </c>
      <c r="X5810" s="337" t="b">
        <f t="shared" si="129"/>
        <v>1</v>
      </c>
    </row>
    <row r="5811" spans="1:24" s="360" customFormat="1" ht="12" customHeight="1" outlineLevel="1">
      <c r="A5811" s="365"/>
      <c r="B5811" s="118" t="s">
        <v>12</v>
      </c>
      <c r="C5811" s="334" t="s">
        <v>14551</v>
      </c>
      <c r="D5811" s="124" t="s">
        <v>14552</v>
      </c>
      <c r="E5811" s="125"/>
      <c r="F5811" s="118" t="s">
        <v>1030</v>
      </c>
      <c r="G5811" s="126" t="s">
        <v>14503</v>
      </c>
      <c r="H5811" s="255">
        <v>4</v>
      </c>
      <c r="I5811" s="361">
        <v>1</v>
      </c>
      <c r="J5811" s="368" t="s">
        <v>286</v>
      </c>
      <c r="K5811" s="372"/>
      <c r="L5811" s="129"/>
      <c r="M5811" s="129"/>
      <c r="N5811" s="129"/>
      <c r="O5811" s="129"/>
      <c r="P5811" s="372"/>
      <c r="Q5811" s="372"/>
      <c r="R5811" s="129"/>
      <c r="S5811" s="129"/>
      <c r="T5811" s="129"/>
      <c r="W5811" s="129" t="s">
        <v>286</v>
      </c>
      <c r="X5811" s="337" t="b">
        <f t="shared" si="129"/>
        <v>1</v>
      </c>
    </row>
    <row r="5812" spans="1:24" s="360" customFormat="1" ht="12" customHeight="1" outlineLevel="1">
      <c r="A5812" s="365"/>
      <c r="B5812" s="118" t="s">
        <v>12</v>
      </c>
      <c r="C5812" s="334" t="s">
        <v>14553</v>
      </c>
      <c r="D5812" s="124" t="s">
        <v>14554</v>
      </c>
      <c r="E5812" s="125"/>
      <c r="F5812" s="118" t="s">
        <v>1030</v>
      </c>
      <c r="G5812" s="126" t="s">
        <v>14503</v>
      </c>
      <c r="H5812" s="255">
        <v>4</v>
      </c>
      <c r="I5812" s="361">
        <v>1</v>
      </c>
      <c r="J5812" s="368" t="s">
        <v>286</v>
      </c>
      <c r="K5812" s="372"/>
      <c r="L5812" s="129"/>
      <c r="M5812" s="129"/>
      <c r="N5812" s="129"/>
      <c r="O5812" s="129"/>
      <c r="P5812" s="372"/>
      <c r="Q5812" s="372"/>
      <c r="R5812" s="129"/>
      <c r="S5812" s="129"/>
      <c r="T5812" s="129"/>
      <c r="W5812" s="129" t="s">
        <v>286</v>
      </c>
      <c r="X5812" s="337" t="b">
        <f t="shared" si="129"/>
        <v>1</v>
      </c>
    </row>
    <row r="5813" spans="1:24" s="360" customFormat="1" ht="12" customHeight="1" outlineLevel="1">
      <c r="A5813" s="365"/>
      <c r="B5813" s="118" t="s">
        <v>12</v>
      </c>
      <c r="C5813" s="334" t="s">
        <v>14555</v>
      </c>
      <c r="D5813" s="124" t="s">
        <v>14556</v>
      </c>
      <c r="E5813" s="125"/>
      <c r="F5813" s="118" t="s">
        <v>1030</v>
      </c>
      <c r="G5813" s="126" t="s">
        <v>14503</v>
      </c>
      <c r="H5813" s="255">
        <v>4</v>
      </c>
      <c r="I5813" s="361">
        <v>1</v>
      </c>
      <c r="J5813" s="368" t="s">
        <v>286</v>
      </c>
      <c r="K5813" s="372"/>
      <c r="L5813" s="129"/>
      <c r="M5813" s="129"/>
      <c r="N5813" s="129"/>
      <c r="O5813" s="129"/>
      <c r="P5813" s="372"/>
      <c r="Q5813" s="372"/>
      <c r="R5813" s="129"/>
      <c r="S5813" s="129"/>
      <c r="T5813" s="129"/>
      <c r="W5813" s="129" t="s">
        <v>286</v>
      </c>
      <c r="X5813" s="337" t="b">
        <f t="shared" si="129"/>
        <v>1</v>
      </c>
    </row>
    <row r="5814" spans="1:24" s="360" customFormat="1" ht="12" customHeight="1" outlineLevel="1">
      <c r="A5814" s="365"/>
      <c r="B5814" s="118" t="s">
        <v>12</v>
      </c>
      <c r="C5814" s="334" t="s">
        <v>14557</v>
      </c>
      <c r="D5814" s="124" t="s">
        <v>14558</v>
      </c>
      <c r="E5814" s="125"/>
      <c r="F5814" s="118" t="s">
        <v>1030</v>
      </c>
      <c r="G5814" s="126" t="s">
        <v>14503</v>
      </c>
      <c r="H5814" s="255">
        <v>4</v>
      </c>
      <c r="I5814" s="361">
        <v>1</v>
      </c>
      <c r="J5814" s="368" t="s">
        <v>286</v>
      </c>
      <c r="K5814" s="372"/>
      <c r="L5814" s="129"/>
      <c r="M5814" s="129"/>
      <c r="N5814" s="129"/>
      <c r="O5814" s="129"/>
      <c r="P5814" s="372"/>
      <c r="Q5814" s="372"/>
      <c r="R5814" s="129"/>
      <c r="S5814" s="129"/>
      <c r="T5814" s="129"/>
      <c r="W5814" s="129" t="s">
        <v>286</v>
      </c>
      <c r="X5814" s="337" t="b">
        <f t="shared" si="129"/>
        <v>1</v>
      </c>
    </row>
    <row r="5815" spans="1:24" s="360" customFormat="1" ht="12" customHeight="1" outlineLevel="1">
      <c r="A5815" s="365"/>
      <c r="B5815" s="118" t="s">
        <v>12</v>
      </c>
      <c r="C5815" s="334" t="s">
        <v>14559</v>
      </c>
      <c r="D5815" s="124" t="s">
        <v>14560</v>
      </c>
      <c r="E5815" s="125"/>
      <c r="F5815" s="118" t="s">
        <v>1030</v>
      </c>
      <c r="G5815" s="126" t="s">
        <v>14503</v>
      </c>
      <c r="H5815" s="255">
        <v>4</v>
      </c>
      <c r="I5815" s="361">
        <v>1</v>
      </c>
      <c r="J5815" s="368" t="s">
        <v>310</v>
      </c>
      <c r="K5815" s="372"/>
      <c r="L5815" s="129"/>
      <c r="M5815" s="129"/>
      <c r="N5815" s="129"/>
      <c r="O5815" s="129"/>
      <c r="P5815" s="372"/>
      <c r="Q5815" s="372"/>
      <c r="R5815" s="129"/>
      <c r="S5815" s="129"/>
      <c r="T5815" s="129"/>
      <c r="W5815" s="129" t="s">
        <v>310</v>
      </c>
      <c r="X5815" s="337" t="b">
        <f t="shared" si="129"/>
        <v>1</v>
      </c>
    </row>
    <row r="5816" spans="1:24" s="360" customFormat="1" ht="12" customHeight="1" outlineLevel="1">
      <c r="A5816" s="365"/>
      <c r="B5816" s="118" t="s">
        <v>12</v>
      </c>
      <c r="C5816" s="334" t="s">
        <v>14561</v>
      </c>
      <c r="D5816" s="124" t="s">
        <v>14562</v>
      </c>
      <c r="E5816" s="125"/>
      <c r="F5816" s="118" t="s">
        <v>1030</v>
      </c>
      <c r="G5816" s="126" t="s">
        <v>14503</v>
      </c>
      <c r="H5816" s="255">
        <v>4</v>
      </c>
      <c r="I5816" s="361">
        <v>1</v>
      </c>
      <c r="J5816" s="368" t="s">
        <v>286</v>
      </c>
      <c r="K5816" s="372"/>
      <c r="L5816" s="129"/>
      <c r="M5816" s="129"/>
      <c r="N5816" s="129"/>
      <c r="O5816" s="129"/>
      <c r="P5816" s="372"/>
      <c r="Q5816" s="372"/>
      <c r="R5816" s="129"/>
      <c r="S5816" s="129"/>
      <c r="T5816" s="129"/>
      <c r="W5816" s="129" t="s">
        <v>286</v>
      </c>
      <c r="X5816" s="337" t="b">
        <f t="shared" si="129"/>
        <v>1</v>
      </c>
    </row>
    <row r="5817" spans="1:24" s="360" customFormat="1" ht="12" customHeight="1" outlineLevel="1">
      <c r="A5817" s="365"/>
      <c r="B5817" s="118" t="s">
        <v>12</v>
      </c>
      <c r="C5817" s="334" t="s">
        <v>14563</v>
      </c>
      <c r="D5817" s="124" t="s">
        <v>14564</v>
      </c>
      <c r="E5817" s="125"/>
      <c r="F5817" s="118" t="s">
        <v>1030</v>
      </c>
      <c r="G5817" s="126" t="s">
        <v>14503</v>
      </c>
      <c r="H5817" s="255">
        <v>4</v>
      </c>
      <c r="I5817" s="361">
        <v>1</v>
      </c>
      <c r="J5817" s="368" t="s">
        <v>286</v>
      </c>
      <c r="K5817" s="372"/>
      <c r="L5817" s="129"/>
      <c r="M5817" s="129"/>
      <c r="N5817" s="129"/>
      <c r="O5817" s="129"/>
      <c r="P5817" s="372"/>
      <c r="Q5817" s="372"/>
      <c r="R5817" s="129"/>
      <c r="S5817" s="129"/>
      <c r="T5817" s="129"/>
      <c r="W5817" s="129" t="s">
        <v>286</v>
      </c>
      <c r="X5817" s="337" t="b">
        <f t="shared" si="129"/>
        <v>1</v>
      </c>
    </row>
    <row r="5818" spans="1:24" s="360" customFormat="1" ht="12" customHeight="1" outlineLevel="1">
      <c r="A5818" s="365"/>
      <c r="B5818" s="118" t="s">
        <v>12</v>
      </c>
      <c r="C5818" s="334" t="s">
        <v>14565</v>
      </c>
      <c r="D5818" s="124" t="s">
        <v>14566</v>
      </c>
      <c r="E5818" s="125"/>
      <c r="F5818" s="118" t="s">
        <v>1030</v>
      </c>
      <c r="G5818" s="126" t="s">
        <v>14503</v>
      </c>
      <c r="H5818" s="255">
        <v>4</v>
      </c>
      <c r="I5818" s="361">
        <v>1</v>
      </c>
      <c r="J5818" s="368" t="s">
        <v>286</v>
      </c>
      <c r="K5818" s="372"/>
      <c r="L5818" s="129"/>
      <c r="M5818" s="129"/>
      <c r="N5818" s="129"/>
      <c r="O5818" s="129"/>
      <c r="P5818" s="372"/>
      <c r="Q5818" s="372"/>
      <c r="R5818" s="129"/>
      <c r="S5818" s="129"/>
      <c r="T5818" s="129"/>
      <c r="W5818" s="129" t="s">
        <v>286</v>
      </c>
      <c r="X5818" s="337" t="b">
        <f t="shared" si="129"/>
        <v>1</v>
      </c>
    </row>
    <row r="5819" spans="1:24" s="360" customFormat="1" ht="12" customHeight="1" outlineLevel="1">
      <c r="A5819" s="365"/>
      <c r="B5819" s="118" t="s">
        <v>12</v>
      </c>
      <c r="C5819" s="334" t="s">
        <v>14567</v>
      </c>
      <c r="D5819" s="124" t="s">
        <v>14568</v>
      </c>
      <c r="E5819" s="125"/>
      <c r="F5819" s="118" t="s">
        <v>1030</v>
      </c>
      <c r="G5819" s="126" t="s">
        <v>14503</v>
      </c>
      <c r="H5819" s="255">
        <v>4</v>
      </c>
      <c r="I5819" s="361">
        <v>1</v>
      </c>
      <c r="J5819" s="368" t="s">
        <v>286</v>
      </c>
      <c r="K5819" s="372"/>
      <c r="L5819" s="129"/>
      <c r="M5819" s="129"/>
      <c r="N5819" s="129"/>
      <c r="O5819" s="129"/>
      <c r="P5819" s="372"/>
      <c r="Q5819" s="372"/>
      <c r="R5819" s="129"/>
      <c r="S5819" s="129"/>
      <c r="T5819" s="129"/>
      <c r="W5819" s="129" t="s">
        <v>286</v>
      </c>
      <c r="X5819" s="337" t="b">
        <f t="shared" si="129"/>
        <v>1</v>
      </c>
    </row>
    <row r="5820" spans="1:24" s="360" customFormat="1" ht="12" customHeight="1" outlineLevel="1">
      <c r="A5820" s="365"/>
      <c r="B5820" s="118" t="s">
        <v>12</v>
      </c>
      <c r="C5820" s="334" t="s">
        <v>14569</v>
      </c>
      <c r="D5820" s="124" t="s">
        <v>14570</v>
      </c>
      <c r="E5820" s="125"/>
      <c r="F5820" s="118" t="s">
        <v>1030</v>
      </c>
      <c r="G5820" s="126" t="s">
        <v>14503</v>
      </c>
      <c r="H5820" s="255">
        <v>4</v>
      </c>
      <c r="I5820" s="361">
        <v>1</v>
      </c>
      <c r="J5820" s="368" t="s">
        <v>286</v>
      </c>
      <c r="K5820" s="372"/>
      <c r="L5820" s="129"/>
      <c r="M5820" s="129"/>
      <c r="N5820" s="129"/>
      <c r="O5820" s="129"/>
      <c r="P5820" s="372"/>
      <c r="Q5820" s="372"/>
      <c r="R5820" s="129"/>
      <c r="S5820" s="129"/>
      <c r="T5820" s="129"/>
      <c r="W5820" s="129" t="s">
        <v>286</v>
      </c>
      <c r="X5820" s="337" t="b">
        <f t="shared" si="129"/>
        <v>1</v>
      </c>
    </row>
    <row r="5821" spans="1:24" s="360" customFormat="1" ht="12" customHeight="1" outlineLevel="1">
      <c r="A5821" s="365"/>
      <c r="B5821" s="118" t="s">
        <v>12</v>
      </c>
      <c r="C5821" s="334" t="s">
        <v>14571</v>
      </c>
      <c r="D5821" s="124" t="s">
        <v>14572</v>
      </c>
      <c r="E5821" s="125"/>
      <c r="F5821" s="118" t="s">
        <v>1030</v>
      </c>
      <c r="G5821" s="126" t="s">
        <v>14503</v>
      </c>
      <c r="H5821" s="255">
        <v>4</v>
      </c>
      <c r="I5821" s="361">
        <v>1</v>
      </c>
      <c r="J5821" s="368" t="s">
        <v>286</v>
      </c>
      <c r="K5821" s="372"/>
      <c r="L5821" s="129"/>
      <c r="M5821" s="129"/>
      <c r="N5821" s="129"/>
      <c r="O5821" s="129"/>
      <c r="P5821" s="372"/>
      <c r="Q5821" s="372"/>
      <c r="R5821" s="129"/>
      <c r="S5821" s="129"/>
      <c r="T5821" s="129"/>
      <c r="W5821" s="129" t="s">
        <v>286</v>
      </c>
      <c r="X5821" s="337" t="b">
        <f t="shared" si="129"/>
        <v>1</v>
      </c>
    </row>
    <row r="5822" spans="1:24" s="360" customFormat="1" ht="12" customHeight="1" outlineLevel="1">
      <c r="A5822" s="365"/>
      <c r="B5822" s="118" t="s">
        <v>12</v>
      </c>
      <c r="C5822" s="334" t="s">
        <v>14573</v>
      </c>
      <c r="D5822" s="124" t="s">
        <v>14574</v>
      </c>
      <c r="E5822" s="125"/>
      <c r="F5822" s="118" t="s">
        <v>1030</v>
      </c>
      <c r="G5822" s="126" t="s">
        <v>14503</v>
      </c>
      <c r="H5822" s="255">
        <v>4</v>
      </c>
      <c r="I5822" s="361">
        <v>1</v>
      </c>
      <c r="J5822" s="368" t="s">
        <v>286</v>
      </c>
      <c r="K5822" s="372"/>
      <c r="L5822" s="129"/>
      <c r="M5822" s="129"/>
      <c r="N5822" s="129"/>
      <c r="O5822" s="129"/>
      <c r="P5822" s="372"/>
      <c r="Q5822" s="372"/>
      <c r="R5822" s="129"/>
      <c r="S5822" s="129"/>
      <c r="T5822" s="129"/>
      <c r="W5822" s="129" t="s">
        <v>286</v>
      </c>
      <c r="X5822" s="337" t="b">
        <f t="shared" si="129"/>
        <v>1</v>
      </c>
    </row>
    <row r="5823" spans="1:24" s="360" customFormat="1" ht="12" customHeight="1" outlineLevel="1">
      <c r="A5823" s="365"/>
      <c r="B5823" s="118" t="s">
        <v>12</v>
      </c>
      <c r="C5823" s="334" t="s">
        <v>14575</v>
      </c>
      <c r="D5823" s="124" t="s">
        <v>14576</v>
      </c>
      <c r="E5823" s="125"/>
      <c r="F5823" s="118" t="s">
        <v>1030</v>
      </c>
      <c r="G5823" s="126" t="s">
        <v>14503</v>
      </c>
      <c r="H5823" s="255">
        <v>4</v>
      </c>
      <c r="I5823" s="361">
        <v>1</v>
      </c>
      <c r="J5823" s="368" t="s">
        <v>286</v>
      </c>
      <c r="K5823" s="372"/>
      <c r="L5823" s="129"/>
      <c r="M5823" s="129"/>
      <c r="N5823" s="129"/>
      <c r="O5823" s="129"/>
      <c r="P5823" s="372"/>
      <c r="Q5823" s="372"/>
      <c r="R5823" s="129"/>
      <c r="S5823" s="129"/>
      <c r="T5823" s="129"/>
      <c r="W5823" s="129" t="s">
        <v>286</v>
      </c>
      <c r="X5823" s="337" t="b">
        <f t="shared" si="129"/>
        <v>1</v>
      </c>
    </row>
    <row r="5824" spans="1:24" s="360" customFormat="1" ht="12" customHeight="1" outlineLevel="1">
      <c r="A5824" s="365"/>
      <c r="B5824" s="118" t="s">
        <v>12</v>
      </c>
      <c r="C5824" s="334" t="s">
        <v>14577</v>
      </c>
      <c r="D5824" s="124" t="s">
        <v>14578</v>
      </c>
      <c r="E5824" s="125"/>
      <c r="F5824" s="118" t="s">
        <v>1030</v>
      </c>
      <c r="G5824" s="126" t="s">
        <v>14503</v>
      </c>
      <c r="H5824" s="255">
        <v>4</v>
      </c>
      <c r="I5824" s="361">
        <v>1</v>
      </c>
      <c r="J5824" s="368" t="s">
        <v>286</v>
      </c>
      <c r="K5824" s="372"/>
      <c r="L5824" s="129"/>
      <c r="M5824" s="129"/>
      <c r="N5824" s="129"/>
      <c r="O5824" s="129"/>
      <c r="P5824" s="372"/>
      <c r="Q5824" s="372"/>
      <c r="R5824" s="129"/>
      <c r="S5824" s="129"/>
      <c r="T5824" s="129"/>
      <c r="W5824" s="129" t="s">
        <v>286</v>
      </c>
      <c r="X5824" s="337" t="b">
        <f t="shared" si="129"/>
        <v>1</v>
      </c>
    </row>
    <row r="5825" spans="1:24" s="360" customFormat="1" ht="12" customHeight="1" outlineLevel="1">
      <c r="A5825" s="365"/>
      <c r="B5825" s="118" t="s">
        <v>12</v>
      </c>
      <c r="C5825" s="334" t="s">
        <v>14579</v>
      </c>
      <c r="D5825" s="124" t="s">
        <v>14580</v>
      </c>
      <c r="E5825" s="125"/>
      <c r="F5825" s="118" t="s">
        <v>1030</v>
      </c>
      <c r="G5825" s="126" t="s">
        <v>14503</v>
      </c>
      <c r="H5825" s="255">
        <v>4</v>
      </c>
      <c r="I5825" s="361">
        <v>1</v>
      </c>
      <c r="J5825" s="368" t="s">
        <v>286</v>
      </c>
      <c r="K5825" s="372"/>
      <c r="L5825" s="129"/>
      <c r="M5825" s="129"/>
      <c r="N5825" s="129"/>
      <c r="O5825" s="129"/>
      <c r="P5825" s="372"/>
      <c r="Q5825" s="372"/>
      <c r="R5825" s="129"/>
      <c r="S5825" s="129"/>
      <c r="T5825" s="129"/>
      <c r="W5825" s="129" t="s">
        <v>286</v>
      </c>
      <c r="X5825" s="337" t="b">
        <f t="shared" si="129"/>
        <v>1</v>
      </c>
    </row>
    <row r="5826" spans="1:24" s="360" customFormat="1" ht="12" customHeight="1" outlineLevel="1">
      <c r="A5826" s="365"/>
      <c r="B5826" s="118" t="s">
        <v>12</v>
      </c>
      <c r="C5826" s="334" t="s">
        <v>14581</v>
      </c>
      <c r="D5826" s="124" t="s">
        <v>9350</v>
      </c>
      <c r="E5826" s="125"/>
      <c r="F5826" s="118" t="s">
        <v>1030</v>
      </c>
      <c r="G5826" s="126" t="s">
        <v>14503</v>
      </c>
      <c r="H5826" s="255">
        <v>4</v>
      </c>
      <c r="I5826" s="361">
        <v>1</v>
      </c>
      <c r="J5826" s="368" t="s">
        <v>310</v>
      </c>
      <c r="K5826" s="372"/>
      <c r="L5826" s="129"/>
      <c r="M5826" s="129"/>
      <c r="N5826" s="129"/>
      <c r="O5826" s="129"/>
      <c r="P5826" s="372"/>
      <c r="Q5826" s="372"/>
      <c r="R5826" s="129"/>
      <c r="S5826" s="129"/>
      <c r="T5826" s="129"/>
      <c r="W5826" s="129" t="s">
        <v>4876</v>
      </c>
      <c r="X5826" s="337" t="b">
        <f t="shared" si="129"/>
        <v>0</v>
      </c>
    </row>
    <row r="5827" spans="1:24" s="360" customFormat="1" ht="12" customHeight="1" outlineLevel="1">
      <c r="A5827" s="365"/>
      <c r="B5827" s="118" t="s">
        <v>12</v>
      </c>
      <c r="C5827" s="334" t="s">
        <v>14582</v>
      </c>
      <c r="D5827" s="124" t="s">
        <v>9352</v>
      </c>
      <c r="E5827" s="125"/>
      <c r="F5827" s="118" t="s">
        <v>1030</v>
      </c>
      <c r="G5827" s="126" t="s">
        <v>14503</v>
      </c>
      <c r="H5827" s="255">
        <v>4</v>
      </c>
      <c r="I5827" s="361">
        <v>1</v>
      </c>
      <c r="J5827" s="368" t="s">
        <v>286</v>
      </c>
      <c r="K5827" s="372"/>
      <c r="L5827" s="129"/>
      <c r="M5827" s="129"/>
      <c r="N5827" s="129"/>
      <c r="O5827" s="129"/>
      <c r="P5827" s="372"/>
      <c r="Q5827" s="372"/>
      <c r="R5827" s="129"/>
      <c r="S5827" s="129"/>
      <c r="T5827" s="129"/>
      <c r="W5827" s="129" t="s">
        <v>4876</v>
      </c>
      <c r="X5827" s="337" t="b">
        <f t="shared" si="129"/>
        <v>0</v>
      </c>
    </row>
    <row r="5828" spans="1:24" s="360" customFormat="1" ht="12" customHeight="1" outlineLevel="1">
      <c r="A5828" s="365"/>
      <c r="B5828" s="118" t="s">
        <v>12</v>
      </c>
      <c r="C5828" s="334" t="s">
        <v>14583</v>
      </c>
      <c r="D5828" s="124" t="s">
        <v>9354</v>
      </c>
      <c r="E5828" s="125"/>
      <c r="F5828" s="118" t="s">
        <v>1030</v>
      </c>
      <c r="G5828" s="126" t="s">
        <v>14503</v>
      </c>
      <c r="H5828" s="255">
        <v>4</v>
      </c>
      <c r="I5828" s="361">
        <v>1</v>
      </c>
      <c r="J5828" s="368" t="s">
        <v>310</v>
      </c>
      <c r="K5828" s="372"/>
      <c r="L5828" s="129"/>
      <c r="M5828" s="129"/>
      <c r="N5828" s="129"/>
      <c r="O5828" s="129"/>
      <c r="P5828" s="372"/>
      <c r="Q5828" s="372"/>
      <c r="R5828" s="129"/>
      <c r="S5828" s="129"/>
      <c r="T5828" s="129"/>
      <c r="W5828" s="129" t="s">
        <v>4876</v>
      </c>
      <c r="X5828" s="337" t="b">
        <f t="shared" si="129"/>
        <v>0</v>
      </c>
    </row>
    <row r="5829" spans="1:24" s="360" customFormat="1" ht="12" customHeight="1" outlineLevel="1">
      <c r="A5829" s="365"/>
      <c r="B5829" s="118" t="s">
        <v>12</v>
      </c>
      <c r="C5829" s="334" t="s">
        <v>14584</v>
      </c>
      <c r="D5829" s="124" t="s">
        <v>9356</v>
      </c>
      <c r="E5829" s="125"/>
      <c r="F5829" s="118" t="s">
        <v>1030</v>
      </c>
      <c r="G5829" s="126" t="s">
        <v>14503</v>
      </c>
      <c r="H5829" s="255">
        <v>4</v>
      </c>
      <c r="I5829" s="361">
        <v>1</v>
      </c>
      <c r="J5829" s="368" t="s">
        <v>310</v>
      </c>
      <c r="K5829" s="372"/>
      <c r="L5829" s="129"/>
      <c r="M5829" s="129"/>
      <c r="N5829" s="129"/>
      <c r="O5829" s="129"/>
      <c r="P5829" s="372"/>
      <c r="Q5829" s="372"/>
      <c r="R5829" s="129"/>
      <c r="S5829" s="129"/>
      <c r="T5829" s="129"/>
      <c r="W5829" s="129" t="s">
        <v>4876</v>
      </c>
      <c r="X5829" s="337" t="b">
        <f t="shared" si="129"/>
        <v>0</v>
      </c>
    </row>
    <row r="5830" spans="1:24" s="360" customFormat="1" ht="12" customHeight="1" outlineLevel="1">
      <c r="A5830" s="365"/>
      <c r="B5830" s="118" t="s">
        <v>12</v>
      </c>
      <c r="C5830" s="334" t="s">
        <v>14585</v>
      </c>
      <c r="D5830" s="124" t="s">
        <v>9358</v>
      </c>
      <c r="E5830" s="125"/>
      <c r="F5830" s="118" t="s">
        <v>1030</v>
      </c>
      <c r="G5830" s="126" t="s">
        <v>14503</v>
      </c>
      <c r="H5830" s="255">
        <v>4</v>
      </c>
      <c r="I5830" s="361">
        <v>1</v>
      </c>
      <c r="J5830" s="368" t="s">
        <v>286</v>
      </c>
      <c r="K5830" s="372"/>
      <c r="L5830" s="129"/>
      <c r="M5830" s="129"/>
      <c r="N5830" s="129"/>
      <c r="O5830" s="129"/>
      <c r="P5830" s="372"/>
      <c r="Q5830" s="372"/>
      <c r="R5830" s="129"/>
      <c r="S5830" s="129"/>
      <c r="T5830" s="129"/>
      <c r="W5830" s="129" t="s">
        <v>4876</v>
      </c>
      <c r="X5830" s="337" t="b">
        <f t="shared" si="129"/>
        <v>0</v>
      </c>
    </row>
    <row r="5831" spans="1:24" s="360" customFormat="1" ht="12" customHeight="1" outlineLevel="1">
      <c r="A5831" s="365"/>
      <c r="B5831" s="118" t="s">
        <v>12</v>
      </c>
      <c r="C5831" s="334" t="s">
        <v>14586</v>
      </c>
      <c r="D5831" s="124" t="s">
        <v>9360</v>
      </c>
      <c r="E5831" s="125"/>
      <c r="F5831" s="118" t="s">
        <v>1030</v>
      </c>
      <c r="G5831" s="126" t="s">
        <v>14503</v>
      </c>
      <c r="H5831" s="255">
        <v>4</v>
      </c>
      <c r="I5831" s="361">
        <v>1</v>
      </c>
      <c r="J5831" s="368" t="s">
        <v>310</v>
      </c>
      <c r="K5831" s="372"/>
      <c r="L5831" s="129"/>
      <c r="M5831" s="129"/>
      <c r="N5831" s="129"/>
      <c r="O5831" s="129"/>
      <c r="P5831" s="372"/>
      <c r="Q5831" s="372"/>
      <c r="R5831" s="129"/>
      <c r="S5831" s="129"/>
      <c r="T5831" s="129"/>
      <c r="W5831" s="129" t="s">
        <v>4876</v>
      </c>
      <c r="X5831" s="337" t="b">
        <f t="shared" si="129"/>
        <v>0</v>
      </c>
    </row>
    <row r="5832" spans="1:24" s="360" customFormat="1" ht="12" customHeight="1" outlineLevel="1">
      <c r="A5832" s="365"/>
      <c r="B5832" s="118" t="s">
        <v>12</v>
      </c>
      <c r="C5832" s="334" t="s">
        <v>14587</v>
      </c>
      <c r="D5832" s="124" t="s">
        <v>14588</v>
      </c>
      <c r="E5832" s="125"/>
      <c r="F5832" s="118" t="s">
        <v>1030</v>
      </c>
      <c r="G5832" s="126" t="s">
        <v>14503</v>
      </c>
      <c r="H5832" s="255">
        <v>4</v>
      </c>
      <c r="I5832" s="361">
        <v>1</v>
      </c>
      <c r="J5832" s="368" t="s">
        <v>286</v>
      </c>
      <c r="K5832" s="372"/>
      <c r="L5832" s="129"/>
      <c r="M5832" s="129"/>
      <c r="N5832" s="129"/>
      <c r="O5832" s="129"/>
      <c r="P5832" s="372"/>
      <c r="Q5832" s="372"/>
      <c r="R5832" s="129"/>
      <c r="S5832" s="129"/>
      <c r="T5832" s="129"/>
      <c r="W5832" s="129" t="s">
        <v>4876</v>
      </c>
      <c r="X5832" s="337" t="b">
        <f t="shared" si="129"/>
        <v>0</v>
      </c>
    </row>
    <row r="5833" spans="1:24" s="360" customFormat="1" ht="12" customHeight="1" outlineLevel="1">
      <c r="A5833" s="365"/>
      <c r="B5833" s="118" t="s">
        <v>12</v>
      </c>
      <c r="C5833" s="334" t="s">
        <v>14589</v>
      </c>
      <c r="D5833" s="124" t="s">
        <v>14590</v>
      </c>
      <c r="E5833" s="125"/>
      <c r="F5833" s="118" t="s">
        <v>1030</v>
      </c>
      <c r="G5833" s="126" t="s">
        <v>14503</v>
      </c>
      <c r="H5833" s="255">
        <v>4</v>
      </c>
      <c r="I5833" s="361">
        <v>1</v>
      </c>
      <c r="J5833" s="368" t="s">
        <v>286</v>
      </c>
      <c r="K5833" s="372"/>
      <c r="L5833" s="129"/>
      <c r="M5833" s="129"/>
      <c r="N5833" s="129"/>
      <c r="O5833" s="129"/>
      <c r="P5833" s="372"/>
      <c r="Q5833" s="372"/>
      <c r="R5833" s="129"/>
      <c r="S5833" s="129"/>
      <c r="T5833" s="129"/>
      <c r="W5833" s="129" t="s">
        <v>4876</v>
      </c>
      <c r="X5833" s="337" t="b">
        <f t="shared" si="129"/>
        <v>0</v>
      </c>
    </row>
    <row r="5834" spans="1:24" s="360" customFormat="1" ht="12" customHeight="1" outlineLevel="1">
      <c r="A5834" s="365"/>
      <c r="B5834" s="118" t="s">
        <v>12</v>
      </c>
      <c r="C5834" s="334" t="s">
        <v>14591</v>
      </c>
      <c r="D5834" s="124" t="s">
        <v>14592</v>
      </c>
      <c r="E5834" s="125"/>
      <c r="F5834" s="118" t="s">
        <v>1030</v>
      </c>
      <c r="G5834" s="126" t="s">
        <v>14503</v>
      </c>
      <c r="H5834" s="255">
        <v>4</v>
      </c>
      <c r="I5834" s="361">
        <v>1</v>
      </c>
      <c r="J5834" s="368" t="s">
        <v>286</v>
      </c>
      <c r="K5834" s="372"/>
      <c r="L5834" s="129"/>
      <c r="M5834" s="129"/>
      <c r="N5834" s="129"/>
      <c r="O5834" s="129"/>
      <c r="P5834" s="372"/>
      <c r="Q5834" s="372"/>
      <c r="R5834" s="129"/>
      <c r="S5834" s="129"/>
      <c r="T5834" s="129"/>
      <c r="W5834" s="129" t="s">
        <v>4876</v>
      </c>
      <c r="X5834" s="337" t="b">
        <f t="shared" si="129"/>
        <v>0</v>
      </c>
    </row>
    <row r="5835" spans="1:24" s="360" customFormat="1" ht="12" customHeight="1" outlineLevel="1">
      <c r="A5835" s="365"/>
      <c r="B5835" s="118" t="s">
        <v>12</v>
      </c>
      <c r="C5835" s="334" t="s">
        <v>14593</v>
      </c>
      <c r="D5835" s="124" t="s">
        <v>14594</v>
      </c>
      <c r="E5835" s="125"/>
      <c r="F5835" s="118" t="s">
        <v>1030</v>
      </c>
      <c r="G5835" s="126" t="s">
        <v>14503</v>
      </c>
      <c r="H5835" s="255">
        <v>4</v>
      </c>
      <c r="I5835" s="361">
        <v>1</v>
      </c>
      <c r="J5835" s="368" t="s">
        <v>286</v>
      </c>
      <c r="K5835" s="372"/>
      <c r="L5835" s="129"/>
      <c r="M5835" s="129"/>
      <c r="N5835" s="129"/>
      <c r="O5835" s="129"/>
      <c r="P5835" s="372"/>
      <c r="Q5835" s="372"/>
      <c r="R5835" s="129"/>
      <c r="S5835" s="129"/>
      <c r="T5835" s="129"/>
      <c r="W5835" s="129" t="s">
        <v>4876</v>
      </c>
      <c r="X5835" s="337" t="b">
        <f t="shared" si="129"/>
        <v>0</v>
      </c>
    </row>
    <row r="5836" spans="1:24" s="360" customFormat="1" ht="12" customHeight="1" outlineLevel="1">
      <c r="A5836" s="365"/>
      <c r="B5836" s="118" t="s">
        <v>12</v>
      </c>
      <c r="C5836" s="334" t="s">
        <v>14595</v>
      </c>
      <c r="D5836" s="124" t="s">
        <v>14596</v>
      </c>
      <c r="E5836" s="125"/>
      <c r="F5836" s="118" t="s">
        <v>1030</v>
      </c>
      <c r="G5836" s="126" t="s">
        <v>14503</v>
      </c>
      <c r="H5836" s="255">
        <v>4</v>
      </c>
      <c r="I5836" s="361">
        <v>1</v>
      </c>
      <c r="J5836" s="368" t="s">
        <v>286</v>
      </c>
      <c r="K5836" s="372"/>
      <c r="L5836" s="129"/>
      <c r="M5836" s="129"/>
      <c r="N5836" s="129"/>
      <c r="O5836" s="129"/>
      <c r="P5836" s="372"/>
      <c r="Q5836" s="372"/>
      <c r="R5836" s="129"/>
      <c r="S5836" s="129"/>
      <c r="T5836" s="129"/>
      <c r="W5836" s="129" t="s">
        <v>4876</v>
      </c>
      <c r="X5836" s="337" t="b">
        <f t="shared" si="129"/>
        <v>0</v>
      </c>
    </row>
    <row r="5837" spans="1:24" s="360" customFormat="1" ht="12" customHeight="1" outlineLevel="1">
      <c r="A5837" s="365"/>
      <c r="B5837" s="118" t="s">
        <v>12</v>
      </c>
      <c r="C5837" s="334" t="s">
        <v>14597</v>
      </c>
      <c r="D5837" s="124" t="s">
        <v>14598</v>
      </c>
      <c r="E5837" s="125"/>
      <c r="F5837" s="118" t="s">
        <v>1030</v>
      </c>
      <c r="G5837" s="126" t="s">
        <v>14503</v>
      </c>
      <c r="H5837" s="255">
        <v>4</v>
      </c>
      <c r="I5837" s="361">
        <v>1</v>
      </c>
      <c r="J5837" s="368" t="s">
        <v>286</v>
      </c>
      <c r="K5837" s="372"/>
      <c r="L5837" s="129"/>
      <c r="M5837" s="129"/>
      <c r="N5837" s="129"/>
      <c r="O5837" s="129"/>
      <c r="P5837" s="372"/>
      <c r="Q5837" s="372"/>
      <c r="R5837" s="129"/>
      <c r="S5837" s="129"/>
      <c r="T5837" s="129"/>
      <c r="W5837" s="129" t="s">
        <v>4876</v>
      </c>
      <c r="X5837" s="337" t="b">
        <f t="shared" si="129"/>
        <v>0</v>
      </c>
    </row>
    <row r="5838" spans="1:24" s="360" customFormat="1" ht="12" customHeight="1" outlineLevel="1">
      <c r="A5838" s="365"/>
      <c r="B5838" s="118" t="s">
        <v>12</v>
      </c>
      <c r="C5838" s="334" t="s">
        <v>14599</v>
      </c>
      <c r="D5838" s="124" t="s">
        <v>14600</v>
      </c>
      <c r="E5838" s="125"/>
      <c r="F5838" s="118" t="s">
        <v>1030</v>
      </c>
      <c r="G5838" s="126" t="s">
        <v>14503</v>
      </c>
      <c r="H5838" s="255">
        <v>4</v>
      </c>
      <c r="I5838" s="361">
        <v>1</v>
      </c>
      <c r="J5838" s="368" t="s">
        <v>286</v>
      </c>
      <c r="K5838" s="372"/>
      <c r="L5838" s="129"/>
      <c r="M5838" s="129"/>
      <c r="N5838" s="129"/>
      <c r="O5838" s="129"/>
      <c r="P5838" s="372"/>
      <c r="Q5838" s="372"/>
      <c r="R5838" s="129"/>
      <c r="S5838" s="129"/>
      <c r="T5838" s="129"/>
      <c r="W5838" s="129" t="s">
        <v>4876</v>
      </c>
      <c r="X5838" s="337" t="b">
        <f t="shared" si="129"/>
        <v>0</v>
      </c>
    </row>
    <row r="5839" spans="1:24" s="360" customFormat="1" ht="12" customHeight="1" outlineLevel="1">
      <c r="A5839" s="365"/>
      <c r="B5839" s="118" t="s">
        <v>12</v>
      </c>
      <c r="C5839" s="334" t="s">
        <v>14601</v>
      </c>
      <c r="D5839" s="124" t="s">
        <v>13213</v>
      </c>
      <c r="E5839" s="125"/>
      <c r="F5839" s="118" t="s">
        <v>1030</v>
      </c>
      <c r="G5839" s="126" t="s">
        <v>14503</v>
      </c>
      <c r="H5839" s="255">
        <v>4</v>
      </c>
      <c r="I5839" s="361">
        <v>1</v>
      </c>
      <c r="J5839" s="368" t="s">
        <v>286</v>
      </c>
      <c r="K5839" s="372"/>
      <c r="L5839" s="129"/>
      <c r="M5839" s="129"/>
      <c r="N5839" s="129"/>
      <c r="O5839" s="129"/>
      <c r="P5839" s="372"/>
      <c r="Q5839" s="372"/>
      <c r="R5839" s="129"/>
      <c r="S5839" s="129"/>
      <c r="T5839" s="129"/>
      <c r="W5839" s="129" t="s">
        <v>4876</v>
      </c>
      <c r="X5839" s="337" t="b">
        <f t="shared" si="129"/>
        <v>0</v>
      </c>
    </row>
    <row r="5840" spans="1:24" s="360" customFormat="1" ht="12" customHeight="1" outlineLevel="1">
      <c r="A5840" s="365"/>
      <c r="B5840" s="118" t="s">
        <v>12</v>
      </c>
      <c r="C5840" s="334" t="s">
        <v>14602</v>
      </c>
      <c r="D5840" s="124" t="s">
        <v>13215</v>
      </c>
      <c r="E5840" s="125"/>
      <c r="F5840" s="118" t="s">
        <v>1030</v>
      </c>
      <c r="G5840" s="126" t="s">
        <v>14503</v>
      </c>
      <c r="H5840" s="255">
        <v>4</v>
      </c>
      <c r="I5840" s="361">
        <v>1</v>
      </c>
      <c r="J5840" s="368" t="s">
        <v>286</v>
      </c>
      <c r="K5840" s="372"/>
      <c r="L5840" s="129"/>
      <c r="M5840" s="129"/>
      <c r="N5840" s="129"/>
      <c r="O5840" s="129"/>
      <c r="P5840" s="372"/>
      <c r="Q5840" s="372"/>
      <c r="R5840" s="129"/>
      <c r="S5840" s="129"/>
      <c r="T5840" s="129"/>
      <c r="W5840" s="129" t="s">
        <v>4876</v>
      </c>
      <c r="X5840" s="337" t="b">
        <f t="shared" si="129"/>
        <v>0</v>
      </c>
    </row>
    <row r="5841" spans="1:24" s="360" customFormat="1" ht="12" customHeight="1" outlineLevel="1">
      <c r="A5841" s="365"/>
      <c r="B5841" s="118" t="s">
        <v>12</v>
      </c>
      <c r="C5841" s="334" t="s">
        <v>14603</v>
      </c>
      <c r="D5841" s="124" t="s">
        <v>9668</v>
      </c>
      <c r="E5841" s="125"/>
      <c r="F5841" s="118" t="s">
        <v>1030</v>
      </c>
      <c r="G5841" s="126" t="s">
        <v>14503</v>
      </c>
      <c r="H5841" s="255">
        <v>4</v>
      </c>
      <c r="I5841" s="361">
        <v>1</v>
      </c>
      <c r="J5841" s="368" t="s">
        <v>286</v>
      </c>
      <c r="K5841" s="372"/>
      <c r="L5841" s="129"/>
      <c r="M5841" s="129"/>
      <c r="N5841" s="129"/>
      <c r="O5841" s="129"/>
      <c r="P5841" s="372"/>
      <c r="Q5841" s="372"/>
      <c r="R5841" s="129"/>
      <c r="S5841" s="129"/>
      <c r="T5841" s="129"/>
      <c r="W5841" s="129" t="s">
        <v>4876</v>
      </c>
      <c r="X5841" s="337" t="b">
        <f t="shared" si="129"/>
        <v>0</v>
      </c>
    </row>
    <row r="5842" spans="1:24" s="360" customFormat="1" ht="12" customHeight="1" outlineLevel="1">
      <c r="A5842" s="365"/>
      <c r="B5842" s="118" t="s">
        <v>12</v>
      </c>
      <c r="C5842" s="334" t="s">
        <v>14604</v>
      </c>
      <c r="D5842" s="124" t="s">
        <v>9422</v>
      </c>
      <c r="E5842" s="125"/>
      <c r="F5842" s="118" t="s">
        <v>1030</v>
      </c>
      <c r="G5842" s="126" t="s">
        <v>14605</v>
      </c>
      <c r="H5842" s="255">
        <v>5</v>
      </c>
      <c r="I5842" s="361">
        <v>1</v>
      </c>
      <c r="J5842" s="368" t="s">
        <v>286</v>
      </c>
      <c r="K5842" s="372"/>
      <c r="L5842" s="129"/>
      <c r="M5842" s="129"/>
      <c r="N5842" s="129"/>
      <c r="O5842" s="129"/>
      <c r="P5842" s="372"/>
      <c r="Q5842" s="372"/>
      <c r="R5842" s="129"/>
      <c r="S5842" s="129"/>
      <c r="T5842" s="129"/>
      <c r="W5842" s="129" t="s">
        <v>310</v>
      </c>
      <c r="X5842" s="337" t="b">
        <f t="shared" si="129"/>
        <v>0</v>
      </c>
    </row>
    <row r="5843" spans="1:24" s="360" customFormat="1" ht="12" customHeight="1" outlineLevel="1">
      <c r="A5843" s="365"/>
      <c r="B5843" s="118" t="s">
        <v>12</v>
      </c>
      <c r="C5843" s="334" t="s">
        <v>14606</v>
      </c>
      <c r="D5843" s="124" t="s">
        <v>7863</v>
      </c>
      <c r="E5843" s="125"/>
      <c r="F5843" s="118" t="s">
        <v>1030</v>
      </c>
      <c r="G5843" s="126" t="s">
        <v>14605</v>
      </c>
      <c r="H5843" s="255">
        <v>5</v>
      </c>
      <c r="I5843" s="361">
        <v>1</v>
      </c>
      <c r="J5843" s="368" t="s">
        <v>286</v>
      </c>
      <c r="K5843" s="372"/>
      <c r="L5843" s="129"/>
      <c r="M5843" s="129"/>
      <c r="N5843" s="129"/>
      <c r="O5843" s="129"/>
      <c r="P5843" s="372"/>
      <c r="Q5843" s="372"/>
      <c r="R5843" s="129"/>
      <c r="S5843" s="129"/>
      <c r="T5843" s="129"/>
      <c r="W5843" s="129" t="s">
        <v>310</v>
      </c>
      <c r="X5843" s="337" t="b">
        <f t="shared" si="129"/>
        <v>0</v>
      </c>
    </row>
    <row r="5844" spans="1:24" s="360" customFormat="1" ht="12" customHeight="1" outlineLevel="1">
      <c r="A5844" s="365"/>
      <c r="B5844" s="118" t="s">
        <v>12</v>
      </c>
      <c r="C5844" s="334" t="s">
        <v>14607</v>
      </c>
      <c r="D5844" s="124" t="s">
        <v>7336</v>
      </c>
      <c r="E5844" s="125"/>
      <c r="F5844" s="118" t="s">
        <v>1030</v>
      </c>
      <c r="G5844" s="126" t="s">
        <v>14605</v>
      </c>
      <c r="H5844" s="255">
        <v>5</v>
      </c>
      <c r="I5844" s="361">
        <v>1</v>
      </c>
      <c r="J5844" s="368" t="s">
        <v>286</v>
      </c>
      <c r="K5844" s="372"/>
      <c r="L5844" s="129"/>
      <c r="M5844" s="129"/>
      <c r="N5844" s="129"/>
      <c r="O5844" s="129"/>
      <c r="P5844" s="372"/>
      <c r="Q5844" s="372"/>
      <c r="R5844" s="129"/>
      <c r="S5844" s="129"/>
      <c r="T5844" s="129"/>
      <c r="W5844" s="129" t="s">
        <v>286</v>
      </c>
      <c r="X5844" s="337" t="b">
        <f t="shared" si="129"/>
        <v>1</v>
      </c>
    </row>
    <row r="5845" spans="1:24" s="360" customFormat="1" ht="12" customHeight="1" outlineLevel="1">
      <c r="A5845" s="365"/>
      <c r="B5845" s="118" t="s">
        <v>12</v>
      </c>
      <c r="C5845" s="334" t="s">
        <v>14608</v>
      </c>
      <c r="D5845" s="124" t="s">
        <v>8788</v>
      </c>
      <c r="E5845" s="125"/>
      <c r="F5845" s="118" t="s">
        <v>1030</v>
      </c>
      <c r="G5845" s="126" t="s">
        <v>14605</v>
      </c>
      <c r="H5845" s="255">
        <v>5</v>
      </c>
      <c r="I5845" s="361">
        <v>1</v>
      </c>
      <c r="J5845" s="368" t="s">
        <v>286</v>
      </c>
      <c r="K5845" s="372"/>
      <c r="L5845" s="129"/>
      <c r="M5845" s="129"/>
      <c r="N5845" s="129"/>
      <c r="O5845" s="129"/>
      <c r="P5845" s="372"/>
      <c r="Q5845" s="372"/>
      <c r="R5845" s="129"/>
      <c r="S5845" s="129"/>
      <c r="T5845" s="129"/>
      <c r="W5845" s="129" t="s">
        <v>286</v>
      </c>
      <c r="X5845" s="337" t="b">
        <f t="shared" si="129"/>
        <v>1</v>
      </c>
    </row>
    <row r="5846" spans="1:24" s="360" customFormat="1" ht="12" customHeight="1" outlineLevel="1">
      <c r="A5846" s="365"/>
      <c r="B5846" s="118" t="s">
        <v>12</v>
      </c>
      <c r="C5846" s="334" t="s">
        <v>14609</v>
      </c>
      <c r="D5846" s="124" t="s">
        <v>8790</v>
      </c>
      <c r="E5846" s="125"/>
      <c r="F5846" s="118" t="s">
        <v>1030</v>
      </c>
      <c r="G5846" s="126" t="s">
        <v>14605</v>
      </c>
      <c r="H5846" s="255">
        <v>5</v>
      </c>
      <c r="I5846" s="361">
        <v>1</v>
      </c>
      <c r="J5846" s="368" t="s">
        <v>286</v>
      </c>
      <c r="K5846" s="372"/>
      <c r="L5846" s="129"/>
      <c r="M5846" s="129"/>
      <c r="N5846" s="129"/>
      <c r="O5846" s="129"/>
      <c r="P5846" s="372"/>
      <c r="Q5846" s="372"/>
      <c r="R5846" s="129"/>
      <c r="S5846" s="129"/>
      <c r="T5846" s="129"/>
      <c r="W5846" s="129" t="s">
        <v>286</v>
      </c>
      <c r="X5846" s="337" t="b">
        <f t="shared" si="129"/>
        <v>1</v>
      </c>
    </row>
    <row r="5847" spans="1:24" s="360" customFormat="1" ht="12" customHeight="1" outlineLevel="1">
      <c r="A5847" s="365"/>
      <c r="B5847" s="118" t="s">
        <v>12</v>
      </c>
      <c r="C5847" s="334" t="s">
        <v>14610</v>
      </c>
      <c r="D5847" s="124" t="s">
        <v>8792</v>
      </c>
      <c r="E5847" s="125"/>
      <c r="F5847" s="118" t="s">
        <v>1030</v>
      </c>
      <c r="G5847" s="126" t="s">
        <v>14605</v>
      </c>
      <c r="H5847" s="255">
        <v>5</v>
      </c>
      <c r="I5847" s="361">
        <v>1</v>
      </c>
      <c r="J5847" s="368" t="s">
        <v>286</v>
      </c>
      <c r="K5847" s="372"/>
      <c r="L5847" s="129"/>
      <c r="M5847" s="129"/>
      <c r="N5847" s="129"/>
      <c r="O5847" s="129"/>
      <c r="P5847" s="372"/>
      <c r="Q5847" s="372"/>
      <c r="R5847" s="129"/>
      <c r="S5847" s="129"/>
      <c r="T5847" s="129"/>
      <c r="W5847" s="129" t="s">
        <v>286</v>
      </c>
      <c r="X5847" s="337" t="b">
        <f t="shared" si="129"/>
        <v>1</v>
      </c>
    </row>
    <row r="5848" spans="1:24" s="360" customFormat="1" ht="12" customHeight="1" outlineLevel="1">
      <c r="A5848" s="365"/>
      <c r="B5848" s="118" t="s">
        <v>12</v>
      </c>
      <c r="C5848" s="334" t="s">
        <v>14611</v>
      </c>
      <c r="D5848" s="124" t="s">
        <v>8794</v>
      </c>
      <c r="E5848" s="125"/>
      <c r="F5848" s="118" t="s">
        <v>1030</v>
      </c>
      <c r="G5848" s="126" t="s">
        <v>14605</v>
      </c>
      <c r="H5848" s="255">
        <v>5</v>
      </c>
      <c r="I5848" s="361">
        <v>1</v>
      </c>
      <c r="J5848" s="368" t="s">
        <v>310</v>
      </c>
      <c r="K5848" s="372"/>
      <c r="L5848" s="129"/>
      <c r="M5848" s="129"/>
      <c r="N5848" s="129"/>
      <c r="O5848" s="129"/>
      <c r="P5848" s="372"/>
      <c r="Q5848" s="372"/>
      <c r="R5848" s="129"/>
      <c r="S5848" s="129"/>
      <c r="T5848" s="129"/>
      <c r="W5848" s="129" t="s">
        <v>286</v>
      </c>
      <c r="X5848" s="337" t="b">
        <f t="shared" si="129"/>
        <v>0</v>
      </c>
    </row>
    <row r="5849" spans="1:24" s="360" customFormat="1" ht="12" customHeight="1" outlineLevel="1">
      <c r="A5849" s="365"/>
      <c r="B5849" s="118" t="s">
        <v>12</v>
      </c>
      <c r="C5849" s="334" t="s">
        <v>14612</v>
      </c>
      <c r="D5849" s="124" t="s">
        <v>8796</v>
      </c>
      <c r="E5849" s="125"/>
      <c r="F5849" s="118" t="s">
        <v>1030</v>
      </c>
      <c r="G5849" s="126" t="s">
        <v>14605</v>
      </c>
      <c r="H5849" s="255">
        <v>5</v>
      </c>
      <c r="I5849" s="361">
        <v>1</v>
      </c>
      <c r="J5849" s="368" t="s">
        <v>286</v>
      </c>
      <c r="K5849" s="372"/>
      <c r="L5849" s="129"/>
      <c r="M5849" s="129"/>
      <c r="N5849" s="129"/>
      <c r="O5849" s="129"/>
      <c r="P5849" s="372"/>
      <c r="Q5849" s="372"/>
      <c r="R5849" s="129"/>
      <c r="S5849" s="129"/>
      <c r="T5849" s="129"/>
      <c r="W5849" s="129" t="s">
        <v>286</v>
      </c>
      <c r="X5849" s="337" t="b">
        <f t="shared" si="129"/>
        <v>1</v>
      </c>
    </row>
    <row r="5850" spans="1:24" s="360" customFormat="1" ht="12" customHeight="1" outlineLevel="1">
      <c r="A5850" s="365"/>
      <c r="B5850" s="118" t="s">
        <v>12</v>
      </c>
      <c r="C5850" s="334" t="s">
        <v>14613</v>
      </c>
      <c r="D5850" s="124" t="s">
        <v>8798</v>
      </c>
      <c r="E5850" s="125"/>
      <c r="F5850" s="118" t="s">
        <v>1030</v>
      </c>
      <c r="G5850" s="126" t="s">
        <v>14605</v>
      </c>
      <c r="H5850" s="255">
        <v>5</v>
      </c>
      <c r="I5850" s="361">
        <v>1</v>
      </c>
      <c r="J5850" s="368" t="s">
        <v>286</v>
      </c>
      <c r="K5850" s="372"/>
      <c r="L5850" s="129"/>
      <c r="M5850" s="129"/>
      <c r="N5850" s="129"/>
      <c r="O5850" s="129"/>
      <c r="P5850" s="372"/>
      <c r="Q5850" s="372"/>
      <c r="R5850" s="129"/>
      <c r="S5850" s="129"/>
      <c r="T5850" s="129"/>
      <c r="W5850" s="129" t="s">
        <v>286</v>
      </c>
      <c r="X5850" s="337" t="b">
        <f t="shared" si="129"/>
        <v>1</v>
      </c>
    </row>
    <row r="5851" spans="1:24" s="360" customFormat="1" ht="12" customHeight="1" outlineLevel="1">
      <c r="A5851" s="365"/>
      <c r="B5851" s="118" t="s">
        <v>12</v>
      </c>
      <c r="C5851" s="334" t="s">
        <v>14614</v>
      </c>
      <c r="D5851" s="124" t="s">
        <v>9767</v>
      </c>
      <c r="E5851" s="125"/>
      <c r="F5851" s="118" t="s">
        <v>1030</v>
      </c>
      <c r="G5851" s="126" t="s">
        <v>14605</v>
      </c>
      <c r="H5851" s="255">
        <v>5</v>
      </c>
      <c r="I5851" s="361">
        <v>1</v>
      </c>
      <c r="J5851" s="368" t="s">
        <v>286</v>
      </c>
      <c r="K5851" s="372"/>
      <c r="L5851" s="129"/>
      <c r="M5851" s="129"/>
      <c r="N5851" s="129"/>
      <c r="O5851" s="129"/>
      <c r="P5851" s="372"/>
      <c r="Q5851" s="372"/>
      <c r="R5851" s="129"/>
      <c r="S5851" s="129"/>
      <c r="T5851" s="129"/>
      <c r="W5851" s="129" t="s">
        <v>286</v>
      </c>
      <c r="X5851" s="337" t="b">
        <f t="shared" si="129"/>
        <v>1</v>
      </c>
    </row>
    <row r="5852" spans="1:24" s="360" customFormat="1" ht="12" customHeight="1" outlineLevel="1">
      <c r="A5852" s="365"/>
      <c r="B5852" s="118" t="s">
        <v>12</v>
      </c>
      <c r="C5852" s="334" t="s">
        <v>14615</v>
      </c>
      <c r="D5852" s="124" t="s">
        <v>13225</v>
      </c>
      <c r="E5852" s="125"/>
      <c r="F5852" s="118" t="s">
        <v>1030</v>
      </c>
      <c r="G5852" s="126" t="s">
        <v>14605</v>
      </c>
      <c r="H5852" s="255">
        <v>5</v>
      </c>
      <c r="I5852" s="361">
        <v>1</v>
      </c>
      <c r="J5852" s="368" t="s">
        <v>286</v>
      </c>
      <c r="K5852" s="372"/>
      <c r="L5852" s="129"/>
      <c r="M5852" s="129"/>
      <c r="N5852" s="129"/>
      <c r="O5852" s="129"/>
      <c r="P5852" s="372"/>
      <c r="Q5852" s="372"/>
      <c r="R5852" s="129"/>
      <c r="S5852" s="129"/>
      <c r="T5852" s="129"/>
      <c r="W5852" s="129" t="s">
        <v>286</v>
      </c>
      <c r="X5852" s="337" t="b">
        <f t="shared" si="129"/>
        <v>1</v>
      </c>
    </row>
    <row r="5853" spans="1:24" s="360" customFormat="1" ht="12" customHeight="1" outlineLevel="1">
      <c r="A5853" s="365"/>
      <c r="B5853" s="118" t="s">
        <v>12</v>
      </c>
      <c r="C5853" s="334" t="s">
        <v>14616</v>
      </c>
      <c r="D5853" s="124" t="s">
        <v>13227</v>
      </c>
      <c r="E5853" s="125"/>
      <c r="F5853" s="118" t="s">
        <v>1030</v>
      </c>
      <c r="G5853" s="126" t="s">
        <v>14605</v>
      </c>
      <c r="H5853" s="255">
        <v>5</v>
      </c>
      <c r="I5853" s="361">
        <v>1</v>
      </c>
      <c r="J5853" s="368" t="s">
        <v>286</v>
      </c>
      <c r="K5853" s="372"/>
      <c r="L5853" s="129"/>
      <c r="M5853" s="129"/>
      <c r="N5853" s="129"/>
      <c r="O5853" s="129"/>
      <c r="P5853" s="372"/>
      <c r="Q5853" s="372"/>
      <c r="R5853" s="129"/>
      <c r="S5853" s="129"/>
      <c r="T5853" s="129"/>
      <c r="W5853" s="129" t="s">
        <v>286</v>
      </c>
      <c r="X5853" s="337" t="b">
        <f t="shared" si="129"/>
        <v>1</v>
      </c>
    </row>
    <row r="5854" spans="1:24" s="360" customFormat="1" ht="12" customHeight="1" outlineLevel="1">
      <c r="A5854" s="365"/>
      <c r="B5854" s="118" t="s">
        <v>12</v>
      </c>
      <c r="C5854" s="334" t="s">
        <v>14617</v>
      </c>
      <c r="D5854" s="124" t="s">
        <v>13229</v>
      </c>
      <c r="E5854" s="125"/>
      <c r="F5854" s="118" t="s">
        <v>1030</v>
      </c>
      <c r="G5854" s="126" t="s">
        <v>14605</v>
      </c>
      <c r="H5854" s="255">
        <v>5</v>
      </c>
      <c r="I5854" s="361">
        <v>1</v>
      </c>
      <c r="J5854" s="368" t="s">
        <v>286</v>
      </c>
      <c r="K5854" s="372"/>
      <c r="L5854" s="129"/>
      <c r="M5854" s="129"/>
      <c r="N5854" s="129"/>
      <c r="O5854" s="129"/>
      <c r="P5854" s="372"/>
      <c r="Q5854" s="372"/>
      <c r="R5854" s="129"/>
      <c r="S5854" s="129"/>
      <c r="T5854" s="129"/>
      <c r="W5854" s="129" t="s">
        <v>286</v>
      </c>
      <c r="X5854" s="337" t="b">
        <f t="shared" si="129"/>
        <v>1</v>
      </c>
    </row>
    <row r="5855" spans="1:24" s="360" customFormat="1" ht="12" customHeight="1" outlineLevel="1">
      <c r="A5855" s="365"/>
      <c r="B5855" s="118" t="s">
        <v>12</v>
      </c>
      <c r="C5855" s="334" t="s">
        <v>14618</v>
      </c>
      <c r="D5855" s="124" t="s">
        <v>13231</v>
      </c>
      <c r="E5855" s="125"/>
      <c r="F5855" s="118" t="s">
        <v>1030</v>
      </c>
      <c r="G5855" s="126" t="s">
        <v>14605</v>
      </c>
      <c r="H5855" s="255">
        <v>5</v>
      </c>
      <c r="I5855" s="361">
        <v>1</v>
      </c>
      <c r="J5855" s="368" t="s">
        <v>286</v>
      </c>
      <c r="K5855" s="372"/>
      <c r="L5855" s="129"/>
      <c r="M5855" s="129"/>
      <c r="N5855" s="129"/>
      <c r="O5855" s="129"/>
      <c r="P5855" s="372"/>
      <c r="Q5855" s="372"/>
      <c r="R5855" s="129"/>
      <c r="S5855" s="129"/>
      <c r="T5855" s="129"/>
      <c r="W5855" s="129" t="s">
        <v>286</v>
      </c>
      <c r="X5855" s="337" t="b">
        <f t="shared" si="129"/>
        <v>1</v>
      </c>
    </row>
    <row r="5856" spans="1:24" s="360" customFormat="1" ht="12" customHeight="1" outlineLevel="1">
      <c r="A5856" s="365"/>
      <c r="B5856" s="118" t="s">
        <v>12</v>
      </c>
      <c r="C5856" s="334" t="s">
        <v>14619</v>
      </c>
      <c r="D5856" s="124" t="s">
        <v>13233</v>
      </c>
      <c r="E5856" s="125"/>
      <c r="F5856" s="118" t="s">
        <v>1030</v>
      </c>
      <c r="G5856" s="126" t="s">
        <v>14605</v>
      </c>
      <c r="H5856" s="255">
        <v>5</v>
      </c>
      <c r="I5856" s="361">
        <v>1</v>
      </c>
      <c r="J5856" s="368" t="s">
        <v>286</v>
      </c>
      <c r="K5856" s="372"/>
      <c r="L5856" s="129"/>
      <c r="M5856" s="129"/>
      <c r="N5856" s="129"/>
      <c r="O5856" s="129"/>
      <c r="P5856" s="372"/>
      <c r="Q5856" s="372"/>
      <c r="R5856" s="129"/>
      <c r="S5856" s="129"/>
      <c r="T5856" s="129"/>
      <c r="W5856" s="129" t="s">
        <v>286</v>
      </c>
      <c r="X5856" s="337" t="b">
        <f t="shared" si="129"/>
        <v>1</v>
      </c>
    </row>
    <row r="5857" spans="1:24" s="360" customFormat="1" ht="12" customHeight="1" outlineLevel="1">
      <c r="A5857" s="365"/>
      <c r="B5857" s="118" t="s">
        <v>12</v>
      </c>
      <c r="C5857" s="334" t="s">
        <v>14620</v>
      </c>
      <c r="D5857" s="124" t="s">
        <v>14621</v>
      </c>
      <c r="E5857" s="125"/>
      <c r="F5857" s="118" t="s">
        <v>1030</v>
      </c>
      <c r="G5857" s="126" t="s">
        <v>14605</v>
      </c>
      <c r="H5857" s="255">
        <v>5</v>
      </c>
      <c r="I5857" s="361">
        <v>1</v>
      </c>
      <c r="J5857" s="368" t="s">
        <v>286</v>
      </c>
      <c r="K5857" s="372"/>
      <c r="L5857" s="129"/>
      <c r="M5857" s="129"/>
      <c r="N5857" s="129"/>
      <c r="O5857" s="129"/>
      <c r="P5857" s="372"/>
      <c r="Q5857" s="372"/>
      <c r="R5857" s="129"/>
      <c r="S5857" s="129"/>
      <c r="T5857" s="129"/>
      <c r="W5857" s="129" t="s">
        <v>4876</v>
      </c>
      <c r="X5857" s="337" t="b">
        <f t="shared" si="129"/>
        <v>0</v>
      </c>
    </row>
    <row r="5858" spans="1:24" s="360" customFormat="1" ht="12" customHeight="1" outlineLevel="1">
      <c r="A5858" s="365"/>
      <c r="B5858" s="118" t="s">
        <v>12</v>
      </c>
      <c r="C5858" s="334" t="s">
        <v>14622</v>
      </c>
      <c r="D5858" s="124" t="s">
        <v>14623</v>
      </c>
      <c r="E5858" s="125"/>
      <c r="F5858" s="118" t="s">
        <v>1030</v>
      </c>
      <c r="G5858" s="126" t="s">
        <v>14605</v>
      </c>
      <c r="H5858" s="255">
        <v>5</v>
      </c>
      <c r="I5858" s="361">
        <v>1</v>
      </c>
      <c r="J5858" s="368" t="s">
        <v>286</v>
      </c>
      <c r="K5858" s="372"/>
      <c r="L5858" s="129"/>
      <c r="M5858" s="129"/>
      <c r="N5858" s="129"/>
      <c r="O5858" s="129"/>
      <c r="P5858" s="372"/>
      <c r="Q5858" s="372"/>
      <c r="R5858" s="129"/>
      <c r="S5858" s="129"/>
      <c r="T5858" s="129"/>
      <c r="W5858" s="129" t="s">
        <v>4876</v>
      </c>
      <c r="X5858" s="337" t="b">
        <f t="shared" si="129"/>
        <v>0</v>
      </c>
    </row>
    <row r="5859" spans="1:24" s="360" customFormat="1" ht="12" customHeight="1" outlineLevel="1">
      <c r="A5859" s="365"/>
      <c r="B5859" s="118" t="s">
        <v>12</v>
      </c>
      <c r="C5859" s="334" t="s">
        <v>14624</v>
      </c>
      <c r="D5859" s="124" t="s">
        <v>9767</v>
      </c>
      <c r="E5859" s="125"/>
      <c r="F5859" s="118" t="s">
        <v>1030</v>
      </c>
      <c r="G5859" s="126" t="s">
        <v>14605</v>
      </c>
      <c r="H5859" s="255">
        <v>5</v>
      </c>
      <c r="I5859" s="361">
        <v>1</v>
      </c>
      <c r="J5859" s="368" t="s">
        <v>286</v>
      </c>
      <c r="K5859" s="372"/>
      <c r="L5859" s="129"/>
      <c r="M5859" s="129"/>
      <c r="N5859" s="129"/>
      <c r="O5859" s="129"/>
      <c r="P5859" s="372"/>
      <c r="Q5859" s="372"/>
      <c r="R5859" s="129"/>
      <c r="S5859" s="129"/>
      <c r="T5859" s="129"/>
      <c r="W5859" s="129" t="s">
        <v>286</v>
      </c>
      <c r="X5859" s="337" t="b">
        <f t="shared" si="129"/>
        <v>1</v>
      </c>
    </row>
    <row r="5860" spans="1:24" s="360" customFormat="1" ht="12" customHeight="1" outlineLevel="1">
      <c r="A5860" s="365"/>
      <c r="B5860" s="118" t="s">
        <v>12</v>
      </c>
      <c r="C5860" s="334" t="s">
        <v>14625</v>
      </c>
      <c r="D5860" s="124" t="s">
        <v>14626</v>
      </c>
      <c r="E5860" s="125"/>
      <c r="F5860" s="118" t="s">
        <v>1030</v>
      </c>
      <c r="G5860" s="126" t="s">
        <v>14605</v>
      </c>
      <c r="H5860" s="255">
        <v>5</v>
      </c>
      <c r="I5860" s="361">
        <v>1</v>
      </c>
      <c r="J5860" s="368" t="s">
        <v>286</v>
      </c>
      <c r="K5860" s="372"/>
      <c r="L5860" s="129"/>
      <c r="M5860" s="129"/>
      <c r="N5860" s="129"/>
      <c r="O5860" s="129"/>
      <c r="P5860" s="372"/>
      <c r="Q5860" s="372"/>
      <c r="R5860" s="129"/>
      <c r="S5860" s="129"/>
      <c r="T5860" s="129"/>
      <c r="W5860" s="129" t="s">
        <v>310</v>
      </c>
      <c r="X5860" s="337" t="b">
        <f t="shared" si="129"/>
        <v>0</v>
      </c>
    </row>
    <row r="5861" spans="1:24" s="360" customFormat="1" ht="12" customHeight="1" outlineLevel="1">
      <c r="A5861" s="365"/>
      <c r="B5861" s="118" t="s">
        <v>12</v>
      </c>
      <c r="C5861" s="334" t="s">
        <v>14627</v>
      </c>
      <c r="D5861" s="124" t="s">
        <v>14628</v>
      </c>
      <c r="E5861" s="125"/>
      <c r="F5861" s="118" t="s">
        <v>1030</v>
      </c>
      <c r="G5861" s="126" t="s">
        <v>14605</v>
      </c>
      <c r="H5861" s="255">
        <v>5</v>
      </c>
      <c r="I5861" s="361">
        <v>1</v>
      </c>
      <c r="J5861" s="368" t="s">
        <v>286</v>
      </c>
      <c r="K5861" s="372"/>
      <c r="L5861" s="129"/>
      <c r="M5861" s="129"/>
      <c r="N5861" s="129"/>
      <c r="O5861" s="129"/>
      <c r="P5861" s="372"/>
      <c r="Q5861" s="372"/>
      <c r="R5861" s="129"/>
      <c r="S5861" s="129"/>
      <c r="T5861" s="129"/>
      <c r="W5861" s="129" t="s">
        <v>310</v>
      </c>
      <c r="X5861" s="337" t="b">
        <f t="shared" si="129"/>
        <v>0</v>
      </c>
    </row>
    <row r="5862" spans="1:24" s="360" customFormat="1" ht="12" customHeight="1" outlineLevel="1">
      <c r="A5862" s="365"/>
      <c r="B5862" s="118" t="s">
        <v>12</v>
      </c>
      <c r="C5862" s="334" t="s">
        <v>14629</v>
      </c>
      <c r="D5862" s="124" t="s">
        <v>14630</v>
      </c>
      <c r="E5862" s="125"/>
      <c r="F5862" s="118" t="s">
        <v>1030</v>
      </c>
      <c r="G5862" s="126" t="s">
        <v>14605</v>
      </c>
      <c r="H5862" s="255">
        <v>5</v>
      </c>
      <c r="I5862" s="361">
        <v>1</v>
      </c>
      <c r="J5862" s="368" t="s">
        <v>286</v>
      </c>
      <c r="K5862" s="372"/>
      <c r="L5862" s="129"/>
      <c r="M5862" s="129"/>
      <c r="N5862" s="129"/>
      <c r="O5862" s="129"/>
      <c r="P5862" s="372"/>
      <c r="Q5862" s="372"/>
      <c r="R5862" s="129"/>
      <c r="S5862" s="129"/>
      <c r="T5862" s="129"/>
      <c r="W5862" s="129" t="s">
        <v>310</v>
      </c>
      <c r="X5862" s="337" t="b">
        <f t="shared" si="129"/>
        <v>0</v>
      </c>
    </row>
    <row r="5863" spans="1:24" s="360" customFormat="1" ht="12" customHeight="1" outlineLevel="1">
      <c r="A5863" s="365"/>
      <c r="B5863" s="118" t="s">
        <v>12</v>
      </c>
      <c r="C5863" s="334" t="s">
        <v>14631</v>
      </c>
      <c r="D5863" s="124" t="s">
        <v>14632</v>
      </c>
      <c r="E5863" s="125"/>
      <c r="F5863" s="118" t="s">
        <v>1030</v>
      </c>
      <c r="G5863" s="126" t="s">
        <v>14605</v>
      </c>
      <c r="H5863" s="255">
        <v>5</v>
      </c>
      <c r="I5863" s="361">
        <v>1</v>
      </c>
      <c r="J5863" s="368" t="s">
        <v>286</v>
      </c>
      <c r="K5863" s="372"/>
      <c r="L5863" s="129"/>
      <c r="M5863" s="129"/>
      <c r="N5863" s="129"/>
      <c r="O5863" s="129"/>
      <c r="P5863" s="372"/>
      <c r="Q5863" s="372"/>
      <c r="R5863" s="129"/>
      <c r="S5863" s="129"/>
      <c r="T5863" s="129"/>
      <c r="W5863" s="129" t="s">
        <v>310</v>
      </c>
      <c r="X5863" s="337" t="b">
        <f t="shared" si="129"/>
        <v>0</v>
      </c>
    </row>
    <row r="5864" spans="1:24" s="360" customFormat="1" ht="12" customHeight="1" outlineLevel="1">
      <c r="A5864" s="365"/>
      <c r="B5864" s="118" t="s">
        <v>12</v>
      </c>
      <c r="C5864" s="334" t="s">
        <v>14633</v>
      </c>
      <c r="D5864" s="124" t="s">
        <v>14634</v>
      </c>
      <c r="E5864" s="125"/>
      <c r="F5864" s="118" t="s">
        <v>1030</v>
      </c>
      <c r="G5864" s="126" t="s">
        <v>14605</v>
      </c>
      <c r="H5864" s="255">
        <v>5</v>
      </c>
      <c r="I5864" s="361">
        <v>1</v>
      </c>
      <c r="J5864" s="368" t="s">
        <v>286</v>
      </c>
      <c r="K5864" s="372"/>
      <c r="L5864" s="129"/>
      <c r="M5864" s="129"/>
      <c r="N5864" s="129"/>
      <c r="O5864" s="129"/>
      <c r="P5864" s="372"/>
      <c r="Q5864" s="372"/>
      <c r="R5864" s="129"/>
      <c r="S5864" s="129"/>
      <c r="T5864" s="129"/>
      <c r="W5864" s="129" t="s">
        <v>310</v>
      </c>
      <c r="X5864" s="337" t="b">
        <f t="shared" si="129"/>
        <v>0</v>
      </c>
    </row>
    <row r="5865" spans="1:24" s="360" customFormat="1" ht="12" customHeight="1" outlineLevel="1">
      <c r="A5865" s="365"/>
      <c r="B5865" s="118" t="s">
        <v>12</v>
      </c>
      <c r="C5865" s="334" t="s">
        <v>14635</v>
      </c>
      <c r="D5865" s="124" t="s">
        <v>14636</v>
      </c>
      <c r="E5865" s="125"/>
      <c r="F5865" s="118" t="s">
        <v>1030</v>
      </c>
      <c r="G5865" s="126" t="s">
        <v>14605</v>
      </c>
      <c r="H5865" s="255">
        <v>5</v>
      </c>
      <c r="I5865" s="361">
        <v>1</v>
      </c>
      <c r="J5865" s="368" t="s">
        <v>286</v>
      </c>
      <c r="K5865" s="372"/>
      <c r="L5865" s="129"/>
      <c r="M5865" s="129"/>
      <c r="N5865" s="129"/>
      <c r="O5865" s="129"/>
      <c r="P5865" s="372"/>
      <c r="Q5865" s="372"/>
      <c r="R5865" s="129"/>
      <c r="S5865" s="129"/>
      <c r="T5865" s="129"/>
      <c r="W5865" s="129" t="s">
        <v>310</v>
      </c>
      <c r="X5865" s="337" t="b">
        <f t="shared" si="129"/>
        <v>0</v>
      </c>
    </row>
    <row r="5866" spans="1:24" s="360" customFormat="1" ht="12" customHeight="1" outlineLevel="1">
      <c r="A5866" s="365"/>
      <c r="B5866" s="118" t="s">
        <v>12</v>
      </c>
      <c r="C5866" s="334" t="s">
        <v>14637</v>
      </c>
      <c r="D5866" s="124" t="s">
        <v>14638</v>
      </c>
      <c r="E5866" s="125"/>
      <c r="F5866" s="118" t="s">
        <v>1030</v>
      </c>
      <c r="G5866" s="126" t="s">
        <v>14605</v>
      </c>
      <c r="H5866" s="255">
        <v>5</v>
      </c>
      <c r="I5866" s="361">
        <v>1</v>
      </c>
      <c r="J5866" s="368" t="s">
        <v>286</v>
      </c>
      <c r="K5866" s="372"/>
      <c r="L5866" s="129"/>
      <c r="M5866" s="129"/>
      <c r="N5866" s="129"/>
      <c r="O5866" s="129"/>
      <c r="P5866" s="372"/>
      <c r="Q5866" s="372"/>
      <c r="R5866" s="129"/>
      <c r="S5866" s="129"/>
      <c r="T5866" s="129"/>
      <c r="W5866" s="129" t="s">
        <v>310</v>
      </c>
      <c r="X5866" s="337" t="b">
        <f t="shared" si="129"/>
        <v>0</v>
      </c>
    </row>
    <row r="5867" spans="1:24" s="360" customFormat="1" ht="12" customHeight="1" outlineLevel="1">
      <c r="A5867" s="365"/>
      <c r="B5867" s="118" t="s">
        <v>12</v>
      </c>
      <c r="C5867" s="334" t="s">
        <v>14639</v>
      </c>
      <c r="D5867" s="124" t="s">
        <v>14640</v>
      </c>
      <c r="E5867" s="125"/>
      <c r="F5867" s="118" t="s">
        <v>1030</v>
      </c>
      <c r="G5867" s="126" t="s">
        <v>14605</v>
      </c>
      <c r="H5867" s="255">
        <v>5</v>
      </c>
      <c r="I5867" s="361">
        <v>1</v>
      </c>
      <c r="J5867" s="368" t="s">
        <v>286</v>
      </c>
      <c r="K5867" s="372"/>
      <c r="L5867" s="129"/>
      <c r="M5867" s="129"/>
      <c r="N5867" s="129"/>
      <c r="O5867" s="129"/>
      <c r="P5867" s="372"/>
      <c r="Q5867" s="372"/>
      <c r="R5867" s="129"/>
      <c r="S5867" s="129"/>
      <c r="T5867" s="129"/>
      <c r="W5867" s="129" t="s">
        <v>310</v>
      </c>
      <c r="X5867" s="337" t="b">
        <f t="shared" si="129"/>
        <v>0</v>
      </c>
    </row>
    <row r="5868" spans="1:24" s="360" customFormat="1" ht="12" customHeight="1" outlineLevel="1">
      <c r="A5868" s="365"/>
      <c r="B5868" s="118" t="s">
        <v>12</v>
      </c>
      <c r="C5868" s="334" t="s">
        <v>14641</v>
      </c>
      <c r="D5868" s="124" t="s">
        <v>9767</v>
      </c>
      <c r="E5868" s="125"/>
      <c r="F5868" s="118" t="s">
        <v>1030</v>
      </c>
      <c r="G5868" s="126" t="s">
        <v>14605</v>
      </c>
      <c r="H5868" s="255">
        <v>5</v>
      </c>
      <c r="I5868" s="361">
        <v>1</v>
      </c>
      <c r="J5868" s="368" t="s">
        <v>286</v>
      </c>
      <c r="K5868" s="372"/>
      <c r="L5868" s="129"/>
      <c r="M5868" s="129"/>
      <c r="N5868" s="129"/>
      <c r="O5868" s="129"/>
      <c r="P5868" s="372"/>
      <c r="Q5868" s="372"/>
      <c r="R5868" s="129"/>
      <c r="S5868" s="129"/>
      <c r="T5868" s="129"/>
      <c r="W5868" s="129" t="s">
        <v>286</v>
      </c>
      <c r="X5868" s="337" t="b">
        <f t="shared" si="129"/>
        <v>1</v>
      </c>
    </row>
    <row r="5869" spans="1:24" s="360" customFormat="1" ht="12" customHeight="1" outlineLevel="1">
      <c r="A5869" s="365"/>
      <c r="B5869" s="118" t="s">
        <v>12</v>
      </c>
      <c r="C5869" s="334" t="s">
        <v>14642</v>
      </c>
      <c r="D5869" s="124" t="s">
        <v>13262</v>
      </c>
      <c r="E5869" s="125"/>
      <c r="F5869" s="118" t="s">
        <v>1030</v>
      </c>
      <c r="G5869" s="126" t="s">
        <v>14605</v>
      </c>
      <c r="H5869" s="255">
        <v>5</v>
      </c>
      <c r="I5869" s="361">
        <v>1</v>
      </c>
      <c r="J5869" s="368" t="s">
        <v>286</v>
      </c>
      <c r="K5869" s="372"/>
      <c r="L5869" s="129"/>
      <c r="M5869" s="129"/>
      <c r="N5869" s="129"/>
      <c r="O5869" s="129"/>
      <c r="P5869" s="372"/>
      <c r="Q5869" s="372"/>
      <c r="R5869" s="129"/>
      <c r="S5869" s="129"/>
      <c r="T5869" s="129"/>
      <c r="W5869" s="129" t="s">
        <v>286</v>
      </c>
      <c r="X5869" s="337" t="b">
        <f t="shared" si="129"/>
        <v>1</v>
      </c>
    </row>
    <row r="5870" spans="1:24" s="360" customFormat="1" ht="12" customHeight="1" outlineLevel="1">
      <c r="A5870" s="365"/>
      <c r="B5870" s="118" t="s">
        <v>12</v>
      </c>
      <c r="C5870" s="334" t="s">
        <v>14643</v>
      </c>
      <c r="D5870" s="124" t="s">
        <v>13264</v>
      </c>
      <c r="E5870" s="125"/>
      <c r="F5870" s="118" t="s">
        <v>1030</v>
      </c>
      <c r="G5870" s="126" t="s">
        <v>14605</v>
      </c>
      <c r="H5870" s="255">
        <v>5</v>
      </c>
      <c r="I5870" s="361">
        <v>1</v>
      </c>
      <c r="J5870" s="368" t="s">
        <v>286</v>
      </c>
      <c r="K5870" s="372"/>
      <c r="L5870" s="129"/>
      <c r="M5870" s="129"/>
      <c r="N5870" s="129"/>
      <c r="O5870" s="129"/>
      <c r="P5870" s="372"/>
      <c r="Q5870" s="372"/>
      <c r="R5870" s="129"/>
      <c r="S5870" s="129"/>
      <c r="T5870" s="129"/>
      <c r="W5870" s="129" t="s">
        <v>286</v>
      </c>
      <c r="X5870" s="337" t="b">
        <f t="shared" si="129"/>
        <v>1</v>
      </c>
    </row>
    <row r="5871" spans="1:24" s="360" customFormat="1" ht="12" customHeight="1" outlineLevel="1">
      <c r="A5871" s="365"/>
      <c r="B5871" s="118" t="s">
        <v>12</v>
      </c>
      <c r="C5871" s="334" t="s">
        <v>14644</v>
      </c>
      <c r="D5871" s="124" t="s">
        <v>13266</v>
      </c>
      <c r="E5871" s="125"/>
      <c r="F5871" s="118" t="s">
        <v>1030</v>
      </c>
      <c r="G5871" s="126" t="s">
        <v>14605</v>
      </c>
      <c r="H5871" s="255">
        <v>5</v>
      </c>
      <c r="I5871" s="361">
        <v>1</v>
      </c>
      <c r="J5871" s="368" t="s">
        <v>286</v>
      </c>
      <c r="K5871" s="372"/>
      <c r="L5871" s="129"/>
      <c r="M5871" s="129"/>
      <c r="N5871" s="129"/>
      <c r="O5871" s="129"/>
      <c r="P5871" s="372"/>
      <c r="Q5871" s="372"/>
      <c r="R5871" s="129"/>
      <c r="S5871" s="129"/>
      <c r="T5871" s="129"/>
      <c r="W5871" s="129" t="s">
        <v>286</v>
      </c>
      <c r="X5871" s="337" t="b">
        <f t="shared" ref="X5871:X5934" si="130">W5871=J5871</f>
        <v>1</v>
      </c>
    </row>
    <row r="5872" spans="1:24" s="360" customFormat="1" ht="12" customHeight="1" outlineLevel="1">
      <c r="A5872" s="365"/>
      <c r="B5872" s="118" t="s">
        <v>12</v>
      </c>
      <c r="C5872" s="334" t="s">
        <v>14645</v>
      </c>
      <c r="D5872" s="124" t="s">
        <v>13268</v>
      </c>
      <c r="E5872" s="125"/>
      <c r="F5872" s="118" t="s">
        <v>1030</v>
      </c>
      <c r="G5872" s="126" t="s">
        <v>14605</v>
      </c>
      <c r="H5872" s="255">
        <v>5</v>
      </c>
      <c r="I5872" s="361">
        <v>1</v>
      </c>
      <c r="J5872" s="368" t="s">
        <v>286</v>
      </c>
      <c r="K5872" s="372"/>
      <c r="L5872" s="129"/>
      <c r="M5872" s="129"/>
      <c r="N5872" s="129"/>
      <c r="O5872" s="129"/>
      <c r="P5872" s="372"/>
      <c r="Q5872" s="372"/>
      <c r="R5872" s="129"/>
      <c r="S5872" s="129"/>
      <c r="T5872" s="129"/>
      <c r="W5872" s="129" t="s">
        <v>286</v>
      </c>
      <c r="X5872" s="337" t="b">
        <f t="shared" si="130"/>
        <v>1</v>
      </c>
    </row>
    <row r="5873" spans="1:24" s="360" customFormat="1" ht="12" customHeight="1" outlineLevel="1">
      <c r="A5873" s="365"/>
      <c r="B5873" s="118" t="s">
        <v>12</v>
      </c>
      <c r="C5873" s="334" t="s">
        <v>14646</v>
      </c>
      <c r="D5873" s="124" t="s">
        <v>14647</v>
      </c>
      <c r="E5873" s="125"/>
      <c r="F5873" s="118" t="s">
        <v>1030</v>
      </c>
      <c r="G5873" s="126" t="s">
        <v>14605</v>
      </c>
      <c r="H5873" s="255">
        <v>5</v>
      </c>
      <c r="I5873" s="361">
        <v>1</v>
      </c>
      <c r="J5873" s="368" t="s">
        <v>286</v>
      </c>
      <c r="K5873" s="372"/>
      <c r="L5873" s="129"/>
      <c r="M5873" s="129"/>
      <c r="N5873" s="129"/>
      <c r="O5873" s="129"/>
      <c r="P5873" s="372"/>
      <c r="Q5873" s="372"/>
      <c r="R5873" s="129"/>
      <c r="S5873" s="129"/>
      <c r="T5873" s="129"/>
      <c r="W5873" s="129" t="s">
        <v>286</v>
      </c>
      <c r="X5873" s="337" t="b">
        <f t="shared" si="130"/>
        <v>1</v>
      </c>
    </row>
    <row r="5874" spans="1:24" s="360" customFormat="1" ht="12" customHeight="1" outlineLevel="1">
      <c r="A5874" s="365"/>
      <c r="B5874" s="118" t="s">
        <v>12</v>
      </c>
      <c r="C5874" s="334" t="s">
        <v>14648</v>
      </c>
      <c r="D5874" s="124" t="s">
        <v>14649</v>
      </c>
      <c r="E5874" s="125"/>
      <c r="F5874" s="118" t="s">
        <v>1030</v>
      </c>
      <c r="G5874" s="126" t="s">
        <v>14605</v>
      </c>
      <c r="H5874" s="255">
        <v>5</v>
      </c>
      <c r="I5874" s="361">
        <v>1</v>
      </c>
      <c r="J5874" s="368" t="s">
        <v>286</v>
      </c>
      <c r="K5874" s="372"/>
      <c r="L5874" s="129"/>
      <c r="M5874" s="129"/>
      <c r="N5874" s="129"/>
      <c r="O5874" s="129"/>
      <c r="P5874" s="372"/>
      <c r="Q5874" s="372"/>
      <c r="R5874" s="129"/>
      <c r="S5874" s="129"/>
      <c r="T5874" s="129"/>
      <c r="W5874" s="129" t="s">
        <v>286</v>
      </c>
      <c r="X5874" s="337" t="b">
        <f t="shared" si="130"/>
        <v>1</v>
      </c>
    </row>
    <row r="5875" spans="1:24" s="360" customFormat="1" ht="12" customHeight="1" outlineLevel="1">
      <c r="A5875" s="365"/>
      <c r="B5875" s="118" t="s">
        <v>12</v>
      </c>
      <c r="C5875" s="334" t="s">
        <v>14650</v>
      </c>
      <c r="D5875" s="124" t="s">
        <v>14651</v>
      </c>
      <c r="E5875" s="125"/>
      <c r="F5875" s="118" t="s">
        <v>1030</v>
      </c>
      <c r="G5875" s="126" t="s">
        <v>14605</v>
      </c>
      <c r="H5875" s="255">
        <v>5</v>
      </c>
      <c r="I5875" s="361">
        <v>1</v>
      </c>
      <c r="J5875" s="368" t="s">
        <v>286</v>
      </c>
      <c r="K5875" s="372"/>
      <c r="L5875" s="129"/>
      <c r="M5875" s="129"/>
      <c r="N5875" s="129"/>
      <c r="O5875" s="129"/>
      <c r="P5875" s="372"/>
      <c r="Q5875" s="372"/>
      <c r="R5875" s="129"/>
      <c r="S5875" s="129"/>
      <c r="T5875" s="129"/>
      <c r="W5875" s="129" t="s">
        <v>286</v>
      </c>
      <c r="X5875" s="337" t="b">
        <f t="shared" si="130"/>
        <v>1</v>
      </c>
    </row>
    <row r="5876" spans="1:24" s="360" customFormat="1" ht="12" customHeight="1" outlineLevel="1">
      <c r="A5876" s="365"/>
      <c r="B5876" s="118" t="s">
        <v>12</v>
      </c>
      <c r="C5876" s="334" t="s">
        <v>14652</v>
      </c>
      <c r="D5876" s="124" t="s">
        <v>14653</v>
      </c>
      <c r="E5876" s="125"/>
      <c r="F5876" s="118" t="s">
        <v>1030</v>
      </c>
      <c r="G5876" s="126" t="s">
        <v>14605</v>
      </c>
      <c r="H5876" s="255">
        <v>5</v>
      </c>
      <c r="I5876" s="361">
        <v>1</v>
      </c>
      <c r="J5876" s="368" t="s">
        <v>286</v>
      </c>
      <c r="K5876" s="372"/>
      <c r="L5876" s="129"/>
      <c r="M5876" s="129"/>
      <c r="N5876" s="129"/>
      <c r="O5876" s="129"/>
      <c r="P5876" s="372"/>
      <c r="Q5876" s="372"/>
      <c r="R5876" s="129"/>
      <c r="S5876" s="129"/>
      <c r="T5876" s="129"/>
      <c r="W5876" s="129" t="s">
        <v>286</v>
      </c>
      <c r="X5876" s="337" t="b">
        <f t="shared" si="130"/>
        <v>1</v>
      </c>
    </row>
    <row r="5877" spans="1:24" s="360" customFormat="1" ht="12" customHeight="1" outlineLevel="1">
      <c r="A5877" s="365"/>
      <c r="B5877" s="118" t="s">
        <v>12</v>
      </c>
      <c r="C5877" s="334" t="s">
        <v>14654</v>
      </c>
      <c r="D5877" s="124" t="s">
        <v>14655</v>
      </c>
      <c r="E5877" s="125"/>
      <c r="F5877" s="118" t="s">
        <v>1030</v>
      </c>
      <c r="G5877" s="126" t="s">
        <v>14605</v>
      </c>
      <c r="H5877" s="255">
        <v>5</v>
      </c>
      <c r="I5877" s="361">
        <v>1</v>
      </c>
      <c r="J5877" s="368" t="s">
        <v>286</v>
      </c>
      <c r="K5877" s="372"/>
      <c r="L5877" s="129"/>
      <c r="M5877" s="129"/>
      <c r="N5877" s="129"/>
      <c r="O5877" s="129"/>
      <c r="P5877" s="372"/>
      <c r="Q5877" s="372"/>
      <c r="R5877" s="129"/>
      <c r="S5877" s="129"/>
      <c r="T5877" s="129"/>
      <c r="W5877" s="129" t="s">
        <v>286</v>
      </c>
      <c r="X5877" s="337" t="b">
        <f t="shared" si="130"/>
        <v>1</v>
      </c>
    </row>
    <row r="5878" spans="1:24" s="360" customFormat="1" ht="12" customHeight="1" outlineLevel="1">
      <c r="A5878" s="365"/>
      <c r="B5878" s="118" t="s">
        <v>12</v>
      </c>
      <c r="C5878" s="334" t="s">
        <v>14656</v>
      </c>
      <c r="D5878" s="124" t="s">
        <v>14657</v>
      </c>
      <c r="E5878" s="125"/>
      <c r="F5878" s="118" t="s">
        <v>1030</v>
      </c>
      <c r="G5878" s="126" t="s">
        <v>14605</v>
      </c>
      <c r="H5878" s="255">
        <v>5</v>
      </c>
      <c r="I5878" s="361">
        <v>1</v>
      </c>
      <c r="J5878" s="368" t="s">
        <v>286</v>
      </c>
      <c r="K5878" s="372"/>
      <c r="L5878" s="129"/>
      <c r="M5878" s="129"/>
      <c r="N5878" s="129"/>
      <c r="O5878" s="129"/>
      <c r="P5878" s="372"/>
      <c r="Q5878" s="372"/>
      <c r="R5878" s="129"/>
      <c r="S5878" s="129"/>
      <c r="T5878" s="129"/>
      <c r="W5878" s="129" t="s">
        <v>286</v>
      </c>
      <c r="X5878" s="337" t="b">
        <f t="shared" si="130"/>
        <v>1</v>
      </c>
    </row>
    <row r="5879" spans="1:24" s="360" customFormat="1" ht="12" customHeight="1" outlineLevel="1">
      <c r="A5879" s="365"/>
      <c r="B5879" s="118" t="s">
        <v>12</v>
      </c>
      <c r="C5879" s="334" t="s">
        <v>14658</v>
      </c>
      <c r="D5879" s="124" t="s">
        <v>14659</v>
      </c>
      <c r="E5879" s="125"/>
      <c r="F5879" s="118" t="s">
        <v>1030</v>
      </c>
      <c r="G5879" s="126" t="s">
        <v>14605</v>
      </c>
      <c r="H5879" s="255">
        <v>5</v>
      </c>
      <c r="I5879" s="361">
        <v>1</v>
      </c>
      <c r="J5879" s="368" t="s">
        <v>286</v>
      </c>
      <c r="K5879" s="372"/>
      <c r="L5879" s="129"/>
      <c r="M5879" s="129"/>
      <c r="N5879" s="129"/>
      <c r="O5879" s="129"/>
      <c r="P5879" s="372"/>
      <c r="Q5879" s="372"/>
      <c r="R5879" s="129"/>
      <c r="S5879" s="129"/>
      <c r="T5879" s="129"/>
      <c r="W5879" s="129" t="s">
        <v>286</v>
      </c>
      <c r="X5879" s="337" t="b">
        <f t="shared" si="130"/>
        <v>1</v>
      </c>
    </row>
    <row r="5880" spans="1:24" s="360" customFormat="1" ht="12" customHeight="1" outlineLevel="1">
      <c r="A5880" s="365"/>
      <c r="B5880" s="118" t="s">
        <v>12</v>
      </c>
      <c r="C5880" s="334" t="s">
        <v>14660</v>
      </c>
      <c r="D5880" s="124" t="s">
        <v>14661</v>
      </c>
      <c r="E5880" s="125"/>
      <c r="F5880" s="118" t="s">
        <v>1030</v>
      </c>
      <c r="G5880" s="126" t="s">
        <v>14605</v>
      </c>
      <c r="H5880" s="255">
        <v>5</v>
      </c>
      <c r="I5880" s="361">
        <v>1</v>
      </c>
      <c r="J5880" s="368" t="s">
        <v>286</v>
      </c>
      <c r="K5880" s="372"/>
      <c r="L5880" s="129"/>
      <c r="M5880" s="129"/>
      <c r="N5880" s="129"/>
      <c r="O5880" s="129"/>
      <c r="P5880" s="372"/>
      <c r="Q5880" s="372"/>
      <c r="R5880" s="129"/>
      <c r="S5880" s="129"/>
      <c r="T5880" s="129"/>
      <c r="W5880" s="129" t="s">
        <v>286</v>
      </c>
      <c r="X5880" s="337" t="b">
        <f t="shared" si="130"/>
        <v>1</v>
      </c>
    </row>
    <row r="5881" spans="1:24" s="360" customFormat="1" ht="12" customHeight="1" outlineLevel="1">
      <c r="A5881" s="365"/>
      <c r="B5881" s="118" t="s">
        <v>12</v>
      </c>
      <c r="C5881" s="334" t="s">
        <v>14662</v>
      </c>
      <c r="D5881" s="124" t="s">
        <v>14663</v>
      </c>
      <c r="E5881" s="125"/>
      <c r="F5881" s="118" t="s">
        <v>1030</v>
      </c>
      <c r="G5881" s="126" t="s">
        <v>14605</v>
      </c>
      <c r="H5881" s="255">
        <v>5</v>
      </c>
      <c r="I5881" s="361">
        <v>1</v>
      </c>
      <c r="J5881" s="368" t="s">
        <v>310</v>
      </c>
      <c r="K5881" s="372"/>
      <c r="L5881" s="129"/>
      <c r="M5881" s="129"/>
      <c r="N5881" s="129"/>
      <c r="O5881" s="129"/>
      <c r="P5881" s="372"/>
      <c r="Q5881" s="372"/>
      <c r="R5881" s="129"/>
      <c r="S5881" s="129"/>
      <c r="T5881" s="129"/>
      <c r="W5881" s="129" t="s">
        <v>286</v>
      </c>
      <c r="X5881" s="337" t="b">
        <f t="shared" si="130"/>
        <v>0</v>
      </c>
    </row>
    <row r="5882" spans="1:24" s="360" customFormat="1" ht="12" customHeight="1" outlineLevel="1">
      <c r="A5882" s="365"/>
      <c r="B5882" s="118" t="s">
        <v>12</v>
      </c>
      <c r="C5882" s="334" t="s">
        <v>14664</v>
      </c>
      <c r="D5882" s="124" t="s">
        <v>14665</v>
      </c>
      <c r="E5882" s="125"/>
      <c r="F5882" s="118" t="s">
        <v>1030</v>
      </c>
      <c r="G5882" s="126" t="s">
        <v>14605</v>
      </c>
      <c r="H5882" s="255">
        <v>5</v>
      </c>
      <c r="I5882" s="361">
        <v>1</v>
      </c>
      <c r="J5882" s="368" t="s">
        <v>286</v>
      </c>
      <c r="K5882" s="372"/>
      <c r="L5882" s="129"/>
      <c r="M5882" s="129"/>
      <c r="N5882" s="129"/>
      <c r="O5882" s="129"/>
      <c r="P5882" s="372"/>
      <c r="Q5882" s="372"/>
      <c r="R5882" s="129"/>
      <c r="S5882" s="129"/>
      <c r="T5882" s="129"/>
      <c r="W5882" s="129" t="s">
        <v>286</v>
      </c>
      <c r="X5882" s="337" t="b">
        <f t="shared" si="130"/>
        <v>1</v>
      </c>
    </row>
    <row r="5883" spans="1:24" s="360" customFormat="1" ht="12" customHeight="1" outlineLevel="1">
      <c r="A5883" s="365"/>
      <c r="B5883" s="118" t="s">
        <v>12</v>
      </c>
      <c r="C5883" s="334" t="s">
        <v>14666</v>
      </c>
      <c r="D5883" s="124" t="s">
        <v>14667</v>
      </c>
      <c r="E5883" s="125"/>
      <c r="F5883" s="118" t="s">
        <v>1030</v>
      </c>
      <c r="G5883" s="126" t="s">
        <v>14605</v>
      </c>
      <c r="H5883" s="255">
        <v>5</v>
      </c>
      <c r="I5883" s="361">
        <v>1</v>
      </c>
      <c r="J5883" s="368" t="s">
        <v>286</v>
      </c>
      <c r="K5883" s="372"/>
      <c r="L5883" s="129"/>
      <c r="M5883" s="129"/>
      <c r="N5883" s="129"/>
      <c r="O5883" s="129"/>
      <c r="P5883" s="372"/>
      <c r="Q5883" s="372"/>
      <c r="R5883" s="129"/>
      <c r="S5883" s="129"/>
      <c r="T5883" s="129"/>
      <c r="W5883" s="129" t="s">
        <v>4876</v>
      </c>
      <c r="X5883" s="337" t="b">
        <f t="shared" si="130"/>
        <v>0</v>
      </c>
    </row>
    <row r="5884" spans="1:24" s="360" customFormat="1" ht="12" customHeight="1" outlineLevel="1">
      <c r="A5884" s="365"/>
      <c r="B5884" s="118" t="s">
        <v>12</v>
      </c>
      <c r="C5884" s="334" t="s">
        <v>14668</v>
      </c>
      <c r="D5884" s="124" t="s">
        <v>14669</v>
      </c>
      <c r="E5884" s="125"/>
      <c r="F5884" s="118" t="s">
        <v>1030</v>
      </c>
      <c r="G5884" s="126" t="s">
        <v>14605</v>
      </c>
      <c r="H5884" s="255">
        <v>5</v>
      </c>
      <c r="I5884" s="361">
        <v>1</v>
      </c>
      <c r="J5884" s="368" t="s">
        <v>286</v>
      </c>
      <c r="K5884" s="372"/>
      <c r="L5884" s="129"/>
      <c r="M5884" s="129"/>
      <c r="N5884" s="129"/>
      <c r="O5884" s="129"/>
      <c r="P5884" s="372"/>
      <c r="Q5884" s="372"/>
      <c r="R5884" s="129"/>
      <c r="S5884" s="129"/>
      <c r="T5884" s="129"/>
      <c r="W5884" s="129" t="s">
        <v>4876</v>
      </c>
      <c r="X5884" s="337" t="b">
        <f t="shared" si="130"/>
        <v>0</v>
      </c>
    </row>
    <row r="5885" spans="1:24" s="360" customFormat="1" ht="12" customHeight="1" outlineLevel="1">
      <c r="A5885" s="365"/>
      <c r="B5885" s="118" t="s">
        <v>12</v>
      </c>
      <c r="C5885" s="334" t="s">
        <v>14670</v>
      </c>
      <c r="D5885" s="124" t="s">
        <v>14671</v>
      </c>
      <c r="E5885" s="125"/>
      <c r="F5885" s="118" t="s">
        <v>1030</v>
      </c>
      <c r="G5885" s="126" t="s">
        <v>14605</v>
      </c>
      <c r="H5885" s="255">
        <v>5</v>
      </c>
      <c r="I5885" s="361">
        <v>1</v>
      </c>
      <c r="J5885" s="368" t="s">
        <v>286</v>
      </c>
      <c r="K5885" s="372"/>
      <c r="L5885" s="129"/>
      <c r="M5885" s="129"/>
      <c r="N5885" s="129"/>
      <c r="O5885" s="129"/>
      <c r="P5885" s="372"/>
      <c r="Q5885" s="372"/>
      <c r="R5885" s="129"/>
      <c r="S5885" s="129"/>
      <c r="T5885" s="129"/>
      <c r="W5885" s="129" t="s">
        <v>4876</v>
      </c>
      <c r="X5885" s="337" t="b">
        <f t="shared" si="130"/>
        <v>0</v>
      </c>
    </row>
    <row r="5886" spans="1:24" s="360" customFormat="1" ht="12" customHeight="1" outlineLevel="1">
      <c r="A5886" s="365"/>
      <c r="B5886" s="118" t="s">
        <v>12</v>
      </c>
      <c r="C5886" s="334" t="s">
        <v>14672</v>
      </c>
      <c r="D5886" s="124" t="s">
        <v>14673</v>
      </c>
      <c r="E5886" s="125"/>
      <c r="F5886" s="118" t="s">
        <v>1030</v>
      </c>
      <c r="G5886" s="126" t="s">
        <v>14605</v>
      </c>
      <c r="H5886" s="255">
        <v>5</v>
      </c>
      <c r="I5886" s="361">
        <v>1</v>
      </c>
      <c r="J5886" s="368" t="s">
        <v>286</v>
      </c>
      <c r="K5886" s="372"/>
      <c r="L5886" s="129"/>
      <c r="M5886" s="129"/>
      <c r="N5886" s="129"/>
      <c r="O5886" s="129"/>
      <c r="P5886" s="372"/>
      <c r="Q5886" s="372"/>
      <c r="R5886" s="129"/>
      <c r="S5886" s="129"/>
      <c r="T5886" s="129"/>
      <c r="W5886" s="129" t="s">
        <v>4876</v>
      </c>
      <c r="X5886" s="337" t="b">
        <f t="shared" si="130"/>
        <v>0</v>
      </c>
    </row>
    <row r="5887" spans="1:24" s="360" customFormat="1" ht="12" customHeight="1" outlineLevel="1">
      <c r="A5887" s="365"/>
      <c r="B5887" s="118" t="s">
        <v>12</v>
      </c>
      <c r="C5887" s="334" t="s">
        <v>14674</v>
      </c>
      <c r="D5887" s="124" t="s">
        <v>14675</v>
      </c>
      <c r="E5887" s="125"/>
      <c r="F5887" s="118" t="s">
        <v>1030</v>
      </c>
      <c r="G5887" s="126" t="s">
        <v>14605</v>
      </c>
      <c r="H5887" s="255">
        <v>5</v>
      </c>
      <c r="I5887" s="361">
        <v>1</v>
      </c>
      <c r="J5887" s="368" t="s">
        <v>286</v>
      </c>
      <c r="K5887" s="372"/>
      <c r="L5887" s="129"/>
      <c r="M5887" s="129"/>
      <c r="N5887" s="129"/>
      <c r="O5887" s="129"/>
      <c r="P5887" s="372"/>
      <c r="Q5887" s="372"/>
      <c r="R5887" s="129"/>
      <c r="S5887" s="129"/>
      <c r="T5887" s="129"/>
      <c r="W5887" s="129" t="s">
        <v>4876</v>
      </c>
      <c r="X5887" s="337" t="b">
        <f t="shared" si="130"/>
        <v>0</v>
      </c>
    </row>
    <row r="5888" spans="1:24" s="360" customFormat="1" ht="12" customHeight="1" outlineLevel="1">
      <c r="A5888" s="365"/>
      <c r="B5888" s="118" t="s">
        <v>12</v>
      </c>
      <c r="C5888" s="334" t="s">
        <v>14676</v>
      </c>
      <c r="D5888" s="124" t="s">
        <v>14677</v>
      </c>
      <c r="E5888" s="125"/>
      <c r="F5888" s="118" t="s">
        <v>1030</v>
      </c>
      <c r="G5888" s="126" t="s">
        <v>14605</v>
      </c>
      <c r="H5888" s="255">
        <v>5</v>
      </c>
      <c r="I5888" s="361">
        <v>1</v>
      </c>
      <c r="J5888" s="368" t="s">
        <v>286</v>
      </c>
      <c r="K5888" s="372"/>
      <c r="L5888" s="129"/>
      <c r="M5888" s="129"/>
      <c r="N5888" s="129"/>
      <c r="O5888" s="129"/>
      <c r="P5888" s="372"/>
      <c r="Q5888" s="372"/>
      <c r="R5888" s="129"/>
      <c r="S5888" s="129"/>
      <c r="T5888" s="129"/>
      <c r="W5888" s="129" t="s">
        <v>4876</v>
      </c>
      <c r="X5888" s="337" t="b">
        <f t="shared" si="130"/>
        <v>0</v>
      </c>
    </row>
    <row r="5889" spans="1:24" s="360" customFormat="1" ht="12" customHeight="1" outlineLevel="1">
      <c r="A5889" s="365"/>
      <c r="B5889" s="118" t="s">
        <v>12</v>
      </c>
      <c r="C5889" s="334" t="s">
        <v>14678</v>
      </c>
      <c r="D5889" s="124" t="s">
        <v>14679</v>
      </c>
      <c r="E5889" s="125"/>
      <c r="F5889" s="118" t="s">
        <v>1030</v>
      </c>
      <c r="G5889" s="126" t="s">
        <v>14605</v>
      </c>
      <c r="H5889" s="255">
        <v>5</v>
      </c>
      <c r="I5889" s="361">
        <v>1</v>
      </c>
      <c r="J5889" s="368" t="s">
        <v>286</v>
      </c>
      <c r="K5889" s="372"/>
      <c r="L5889" s="129"/>
      <c r="M5889" s="129"/>
      <c r="N5889" s="129"/>
      <c r="O5889" s="129"/>
      <c r="P5889" s="372"/>
      <c r="Q5889" s="372"/>
      <c r="R5889" s="129"/>
      <c r="S5889" s="129"/>
      <c r="T5889" s="129"/>
      <c r="W5889" s="129" t="s">
        <v>4876</v>
      </c>
      <c r="X5889" s="337" t="b">
        <f t="shared" si="130"/>
        <v>0</v>
      </c>
    </row>
    <row r="5890" spans="1:24" s="360" customFormat="1" ht="12" customHeight="1" outlineLevel="1">
      <c r="A5890" s="365"/>
      <c r="B5890" s="118" t="s">
        <v>12</v>
      </c>
      <c r="C5890" s="334" t="s">
        <v>14680</v>
      </c>
      <c r="D5890" s="124" t="s">
        <v>14681</v>
      </c>
      <c r="E5890" s="125"/>
      <c r="F5890" s="118" t="s">
        <v>1030</v>
      </c>
      <c r="G5890" s="126" t="s">
        <v>14605</v>
      </c>
      <c r="H5890" s="255">
        <v>5</v>
      </c>
      <c r="I5890" s="361">
        <v>1</v>
      </c>
      <c r="J5890" s="368" t="s">
        <v>286</v>
      </c>
      <c r="K5890" s="372"/>
      <c r="L5890" s="129"/>
      <c r="M5890" s="129"/>
      <c r="N5890" s="129"/>
      <c r="O5890" s="129"/>
      <c r="P5890" s="372"/>
      <c r="Q5890" s="372"/>
      <c r="R5890" s="129"/>
      <c r="S5890" s="129"/>
      <c r="T5890" s="129"/>
      <c r="W5890" s="129" t="s">
        <v>4876</v>
      </c>
      <c r="X5890" s="337" t="b">
        <f t="shared" si="130"/>
        <v>0</v>
      </c>
    </row>
    <row r="5891" spans="1:24" s="360" customFormat="1" ht="12" customHeight="1" outlineLevel="1">
      <c r="A5891" s="365"/>
      <c r="B5891" s="118" t="s">
        <v>12</v>
      </c>
      <c r="C5891" s="334" t="s">
        <v>14682</v>
      </c>
      <c r="D5891" s="124" t="s">
        <v>14683</v>
      </c>
      <c r="E5891" s="125"/>
      <c r="F5891" s="118" t="s">
        <v>1030</v>
      </c>
      <c r="G5891" s="126" t="s">
        <v>14605</v>
      </c>
      <c r="H5891" s="255">
        <v>5</v>
      </c>
      <c r="I5891" s="361">
        <v>1</v>
      </c>
      <c r="J5891" s="368" t="s">
        <v>286</v>
      </c>
      <c r="K5891" s="372"/>
      <c r="L5891" s="129"/>
      <c r="M5891" s="129"/>
      <c r="N5891" s="129"/>
      <c r="O5891" s="129"/>
      <c r="P5891" s="372"/>
      <c r="Q5891" s="372"/>
      <c r="R5891" s="129"/>
      <c r="S5891" s="129"/>
      <c r="T5891" s="129"/>
      <c r="W5891" s="129" t="s">
        <v>4876</v>
      </c>
      <c r="X5891" s="337" t="b">
        <f t="shared" si="130"/>
        <v>0</v>
      </c>
    </row>
    <row r="5892" spans="1:24" s="360" customFormat="1" ht="12" customHeight="1" outlineLevel="1">
      <c r="A5892" s="365"/>
      <c r="B5892" s="118" t="s">
        <v>12</v>
      </c>
      <c r="C5892" s="334" t="s">
        <v>14684</v>
      </c>
      <c r="D5892" s="124" t="s">
        <v>14685</v>
      </c>
      <c r="E5892" s="125"/>
      <c r="F5892" s="118" t="s">
        <v>1030</v>
      </c>
      <c r="G5892" s="126" t="s">
        <v>14605</v>
      </c>
      <c r="H5892" s="255">
        <v>5</v>
      </c>
      <c r="I5892" s="361">
        <v>1</v>
      </c>
      <c r="J5892" s="368" t="s">
        <v>286</v>
      </c>
      <c r="K5892" s="372"/>
      <c r="L5892" s="129"/>
      <c r="M5892" s="129"/>
      <c r="N5892" s="129"/>
      <c r="O5892" s="129"/>
      <c r="P5892" s="372"/>
      <c r="Q5892" s="372"/>
      <c r="R5892" s="129"/>
      <c r="S5892" s="129"/>
      <c r="T5892" s="129"/>
      <c r="W5892" s="129" t="s">
        <v>4876</v>
      </c>
      <c r="X5892" s="337" t="b">
        <f t="shared" si="130"/>
        <v>0</v>
      </c>
    </row>
    <row r="5893" spans="1:24" s="360" customFormat="1" ht="12" customHeight="1" outlineLevel="1">
      <c r="A5893" s="365"/>
      <c r="B5893" s="118" t="s">
        <v>12</v>
      </c>
      <c r="C5893" s="334" t="s">
        <v>14686</v>
      </c>
      <c r="D5893" s="124" t="s">
        <v>14687</v>
      </c>
      <c r="E5893" s="125"/>
      <c r="F5893" s="118" t="s">
        <v>1030</v>
      </c>
      <c r="G5893" s="126" t="s">
        <v>14605</v>
      </c>
      <c r="H5893" s="255">
        <v>5</v>
      </c>
      <c r="I5893" s="361">
        <v>1</v>
      </c>
      <c r="J5893" s="368" t="s">
        <v>286</v>
      </c>
      <c r="K5893" s="372"/>
      <c r="L5893" s="129"/>
      <c r="M5893" s="129"/>
      <c r="N5893" s="129"/>
      <c r="O5893" s="129"/>
      <c r="P5893" s="372"/>
      <c r="Q5893" s="372"/>
      <c r="R5893" s="129"/>
      <c r="S5893" s="129"/>
      <c r="T5893" s="129"/>
      <c r="W5893" s="129" t="s">
        <v>4876</v>
      </c>
      <c r="X5893" s="337" t="b">
        <f t="shared" si="130"/>
        <v>0</v>
      </c>
    </row>
    <row r="5894" spans="1:24" s="360" customFormat="1" ht="12" customHeight="1" outlineLevel="1">
      <c r="A5894" s="365"/>
      <c r="B5894" s="118" t="s">
        <v>12</v>
      </c>
      <c r="C5894" s="334" t="s">
        <v>14688</v>
      </c>
      <c r="D5894" s="124" t="s">
        <v>14689</v>
      </c>
      <c r="E5894" s="125"/>
      <c r="F5894" s="118" t="s">
        <v>1030</v>
      </c>
      <c r="G5894" s="126" t="s">
        <v>14605</v>
      </c>
      <c r="H5894" s="255">
        <v>5</v>
      </c>
      <c r="I5894" s="361">
        <v>1</v>
      </c>
      <c r="J5894" s="368" t="s">
        <v>286</v>
      </c>
      <c r="K5894" s="372"/>
      <c r="L5894" s="129"/>
      <c r="M5894" s="129"/>
      <c r="N5894" s="129"/>
      <c r="O5894" s="129"/>
      <c r="P5894" s="372"/>
      <c r="Q5894" s="372"/>
      <c r="R5894" s="129"/>
      <c r="S5894" s="129"/>
      <c r="T5894" s="129"/>
      <c r="W5894" s="129" t="s">
        <v>4876</v>
      </c>
      <c r="X5894" s="337" t="b">
        <f t="shared" si="130"/>
        <v>0</v>
      </c>
    </row>
    <row r="5895" spans="1:24" s="360" customFormat="1" ht="12" customHeight="1" outlineLevel="1">
      <c r="A5895" s="365"/>
      <c r="B5895" s="118" t="s">
        <v>12</v>
      </c>
      <c r="C5895" s="334" t="s">
        <v>14690</v>
      </c>
      <c r="D5895" s="124" t="s">
        <v>14691</v>
      </c>
      <c r="E5895" s="125"/>
      <c r="F5895" s="118" t="s">
        <v>1030</v>
      </c>
      <c r="G5895" s="126" t="s">
        <v>14605</v>
      </c>
      <c r="H5895" s="255">
        <v>5</v>
      </c>
      <c r="I5895" s="361">
        <v>1</v>
      </c>
      <c r="J5895" s="368" t="s">
        <v>286</v>
      </c>
      <c r="K5895" s="372"/>
      <c r="L5895" s="129"/>
      <c r="M5895" s="129"/>
      <c r="N5895" s="129"/>
      <c r="O5895" s="129"/>
      <c r="P5895" s="372"/>
      <c r="Q5895" s="372"/>
      <c r="R5895" s="129"/>
      <c r="S5895" s="129"/>
      <c r="T5895" s="129"/>
      <c r="W5895" s="129" t="s">
        <v>4876</v>
      </c>
      <c r="X5895" s="337" t="b">
        <f t="shared" si="130"/>
        <v>0</v>
      </c>
    </row>
    <row r="5896" spans="1:24" s="360" customFormat="1" ht="12" customHeight="1" outlineLevel="1">
      <c r="A5896" s="365"/>
      <c r="B5896" s="118" t="s">
        <v>12</v>
      </c>
      <c r="C5896" s="334" t="s">
        <v>14692</v>
      </c>
      <c r="D5896" s="124" t="s">
        <v>14693</v>
      </c>
      <c r="E5896" s="125"/>
      <c r="F5896" s="118" t="s">
        <v>1030</v>
      </c>
      <c r="G5896" s="126" t="s">
        <v>14605</v>
      </c>
      <c r="H5896" s="255">
        <v>5</v>
      </c>
      <c r="I5896" s="361">
        <v>1</v>
      </c>
      <c r="J5896" s="368" t="s">
        <v>286</v>
      </c>
      <c r="K5896" s="372"/>
      <c r="L5896" s="129"/>
      <c r="M5896" s="129"/>
      <c r="N5896" s="129"/>
      <c r="O5896" s="129"/>
      <c r="P5896" s="372"/>
      <c r="Q5896" s="372"/>
      <c r="R5896" s="129"/>
      <c r="S5896" s="129"/>
      <c r="T5896" s="129"/>
      <c r="W5896" s="129" t="s">
        <v>4876</v>
      </c>
      <c r="X5896" s="337" t="b">
        <f t="shared" si="130"/>
        <v>0</v>
      </c>
    </row>
    <row r="5897" spans="1:24" s="360" customFormat="1" ht="12" customHeight="1" outlineLevel="1">
      <c r="A5897" s="365"/>
      <c r="B5897" s="118" t="s">
        <v>12</v>
      </c>
      <c r="C5897" s="334" t="s">
        <v>14694</v>
      </c>
      <c r="D5897" s="124" t="s">
        <v>7865</v>
      </c>
      <c r="E5897" s="125"/>
      <c r="F5897" s="118" t="s">
        <v>1030</v>
      </c>
      <c r="G5897" s="126" t="s">
        <v>14695</v>
      </c>
      <c r="H5897" s="255">
        <v>7</v>
      </c>
      <c r="I5897" s="361">
        <v>1</v>
      </c>
      <c r="J5897" s="368" t="s">
        <v>286</v>
      </c>
      <c r="K5897" s="372"/>
      <c r="L5897" s="129"/>
      <c r="M5897" s="129"/>
      <c r="N5897" s="129"/>
      <c r="O5897" s="129"/>
      <c r="P5897" s="372"/>
      <c r="Q5897" s="372"/>
      <c r="R5897" s="129"/>
      <c r="S5897" s="129"/>
      <c r="T5897" s="129"/>
      <c r="W5897" s="129" t="s">
        <v>286</v>
      </c>
      <c r="X5897" s="337" t="b">
        <f t="shared" si="130"/>
        <v>1</v>
      </c>
    </row>
    <row r="5898" spans="1:24" s="360" customFormat="1" ht="12" customHeight="1" outlineLevel="1">
      <c r="A5898" s="365"/>
      <c r="B5898" s="118" t="s">
        <v>12</v>
      </c>
      <c r="C5898" s="334" t="s">
        <v>14696</v>
      </c>
      <c r="D5898" s="124" t="s">
        <v>9767</v>
      </c>
      <c r="E5898" s="125"/>
      <c r="F5898" s="118" t="s">
        <v>1030</v>
      </c>
      <c r="G5898" s="126" t="s">
        <v>14695</v>
      </c>
      <c r="H5898" s="255">
        <v>7</v>
      </c>
      <c r="I5898" s="361">
        <v>1</v>
      </c>
      <c r="J5898" s="368" t="s">
        <v>286</v>
      </c>
      <c r="K5898" s="372"/>
      <c r="L5898" s="129"/>
      <c r="M5898" s="129"/>
      <c r="N5898" s="129"/>
      <c r="O5898" s="129"/>
      <c r="P5898" s="372"/>
      <c r="Q5898" s="372"/>
      <c r="R5898" s="129"/>
      <c r="S5898" s="129"/>
      <c r="T5898" s="129"/>
      <c r="W5898" s="129" t="s">
        <v>286</v>
      </c>
      <c r="X5898" s="337" t="b">
        <f t="shared" si="130"/>
        <v>1</v>
      </c>
    </row>
    <row r="5899" spans="1:24" s="360" customFormat="1" ht="12" customHeight="1" outlineLevel="1">
      <c r="A5899" s="365"/>
      <c r="B5899" s="118" t="s">
        <v>12</v>
      </c>
      <c r="C5899" s="334" t="s">
        <v>14697</v>
      </c>
      <c r="D5899" s="124" t="s">
        <v>14698</v>
      </c>
      <c r="E5899" s="125"/>
      <c r="F5899" s="118" t="s">
        <v>1030</v>
      </c>
      <c r="G5899" s="126" t="s">
        <v>14695</v>
      </c>
      <c r="H5899" s="255">
        <v>7</v>
      </c>
      <c r="I5899" s="361">
        <v>1</v>
      </c>
      <c r="J5899" s="368" t="s">
        <v>286</v>
      </c>
      <c r="K5899" s="372"/>
      <c r="L5899" s="129"/>
      <c r="M5899" s="129"/>
      <c r="N5899" s="129"/>
      <c r="O5899" s="129"/>
      <c r="P5899" s="372"/>
      <c r="Q5899" s="372"/>
      <c r="R5899" s="129"/>
      <c r="S5899" s="129"/>
      <c r="T5899" s="129"/>
      <c r="W5899" s="129" t="s">
        <v>286</v>
      </c>
      <c r="X5899" s="337" t="b">
        <f t="shared" si="130"/>
        <v>1</v>
      </c>
    </row>
    <row r="5900" spans="1:24" s="360" customFormat="1" ht="12" customHeight="1" outlineLevel="1">
      <c r="A5900" s="365"/>
      <c r="B5900" s="118" t="s">
        <v>12</v>
      </c>
      <c r="C5900" s="334" t="s">
        <v>14699</v>
      </c>
      <c r="D5900" s="124" t="s">
        <v>14700</v>
      </c>
      <c r="E5900" s="125"/>
      <c r="F5900" s="118" t="s">
        <v>1030</v>
      </c>
      <c r="G5900" s="126" t="s">
        <v>14695</v>
      </c>
      <c r="H5900" s="255">
        <v>7</v>
      </c>
      <c r="I5900" s="361">
        <v>1</v>
      </c>
      <c r="J5900" s="368" t="s">
        <v>286</v>
      </c>
      <c r="K5900" s="372"/>
      <c r="L5900" s="129"/>
      <c r="M5900" s="129"/>
      <c r="N5900" s="129"/>
      <c r="O5900" s="129"/>
      <c r="P5900" s="372"/>
      <c r="Q5900" s="372"/>
      <c r="R5900" s="129"/>
      <c r="S5900" s="129"/>
      <c r="T5900" s="129"/>
      <c r="W5900" s="129" t="s">
        <v>286</v>
      </c>
      <c r="X5900" s="337" t="b">
        <f t="shared" si="130"/>
        <v>1</v>
      </c>
    </row>
    <row r="5901" spans="1:24" s="360" customFormat="1" ht="12" customHeight="1" outlineLevel="1">
      <c r="A5901" s="365"/>
      <c r="B5901" s="118" t="s">
        <v>12</v>
      </c>
      <c r="C5901" s="334" t="s">
        <v>14701</v>
      </c>
      <c r="D5901" s="124" t="s">
        <v>14702</v>
      </c>
      <c r="E5901" s="125"/>
      <c r="F5901" s="118" t="s">
        <v>1030</v>
      </c>
      <c r="G5901" s="126" t="s">
        <v>14695</v>
      </c>
      <c r="H5901" s="255">
        <v>7</v>
      </c>
      <c r="I5901" s="361">
        <v>1</v>
      </c>
      <c r="J5901" s="368" t="s">
        <v>286</v>
      </c>
      <c r="K5901" s="372"/>
      <c r="L5901" s="129"/>
      <c r="M5901" s="129"/>
      <c r="N5901" s="129"/>
      <c r="O5901" s="129"/>
      <c r="P5901" s="372"/>
      <c r="Q5901" s="372"/>
      <c r="R5901" s="129"/>
      <c r="S5901" s="129"/>
      <c r="T5901" s="129"/>
      <c r="W5901" s="129" t="s">
        <v>286</v>
      </c>
      <c r="X5901" s="337" t="b">
        <f t="shared" si="130"/>
        <v>1</v>
      </c>
    </row>
    <row r="5902" spans="1:24" s="360" customFormat="1" ht="12" customHeight="1" outlineLevel="1">
      <c r="A5902" s="365"/>
      <c r="B5902" s="118" t="s">
        <v>12</v>
      </c>
      <c r="C5902" s="334" t="s">
        <v>14703</v>
      </c>
      <c r="D5902" s="124" t="s">
        <v>14704</v>
      </c>
      <c r="E5902" s="125"/>
      <c r="F5902" s="118" t="s">
        <v>1030</v>
      </c>
      <c r="G5902" s="126" t="s">
        <v>14695</v>
      </c>
      <c r="H5902" s="255">
        <v>7</v>
      </c>
      <c r="I5902" s="361">
        <v>1</v>
      </c>
      <c r="J5902" s="368" t="s">
        <v>286</v>
      </c>
      <c r="K5902" s="372"/>
      <c r="L5902" s="129"/>
      <c r="M5902" s="129"/>
      <c r="N5902" s="129"/>
      <c r="O5902" s="129"/>
      <c r="P5902" s="372"/>
      <c r="Q5902" s="372"/>
      <c r="R5902" s="129"/>
      <c r="S5902" s="129"/>
      <c r="T5902" s="129"/>
      <c r="W5902" s="129" t="s">
        <v>286</v>
      </c>
      <c r="X5902" s="337" t="b">
        <f t="shared" si="130"/>
        <v>1</v>
      </c>
    </row>
    <row r="5903" spans="1:24" s="360" customFormat="1" ht="12" customHeight="1" outlineLevel="1">
      <c r="A5903" s="365"/>
      <c r="B5903" s="118" t="s">
        <v>12</v>
      </c>
      <c r="C5903" s="334" t="s">
        <v>14705</v>
      </c>
      <c r="D5903" s="124" t="s">
        <v>14706</v>
      </c>
      <c r="E5903" s="125"/>
      <c r="F5903" s="118" t="s">
        <v>1030</v>
      </c>
      <c r="G5903" s="126" t="s">
        <v>14695</v>
      </c>
      <c r="H5903" s="255">
        <v>7</v>
      </c>
      <c r="I5903" s="361">
        <v>1</v>
      </c>
      <c r="J5903" s="368" t="s">
        <v>286</v>
      </c>
      <c r="K5903" s="372"/>
      <c r="L5903" s="129"/>
      <c r="M5903" s="129"/>
      <c r="N5903" s="129"/>
      <c r="O5903" s="129"/>
      <c r="P5903" s="372"/>
      <c r="Q5903" s="372"/>
      <c r="R5903" s="129"/>
      <c r="S5903" s="129"/>
      <c r="T5903" s="129"/>
      <c r="W5903" s="129" t="s">
        <v>286</v>
      </c>
      <c r="X5903" s="337" t="b">
        <f t="shared" si="130"/>
        <v>1</v>
      </c>
    </row>
    <row r="5904" spans="1:24" s="360" customFormat="1" ht="12" customHeight="1" outlineLevel="1">
      <c r="A5904" s="365"/>
      <c r="B5904" s="118" t="s">
        <v>12</v>
      </c>
      <c r="C5904" s="334" t="s">
        <v>14707</v>
      </c>
      <c r="D5904" s="124" t="s">
        <v>14708</v>
      </c>
      <c r="E5904" s="125"/>
      <c r="F5904" s="118" t="s">
        <v>1030</v>
      </c>
      <c r="G5904" s="126" t="s">
        <v>14695</v>
      </c>
      <c r="H5904" s="255">
        <v>7</v>
      </c>
      <c r="I5904" s="361">
        <v>1</v>
      </c>
      <c r="J5904" s="368" t="s">
        <v>286</v>
      </c>
      <c r="K5904" s="372"/>
      <c r="L5904" s="129"/>
      <c r="M5904" s="129"/>
      <c r="N5904" s="129"/>
      <c r="O5904" s="129"/>
      <c r="P5904" s="372"/>
      <c r="Q5904" s="372"/>
      <c r="R5904" s="129"/>
      <c r="S5904" s="129"/>
      <c r="T5904" s="129"/>
      <c r="W5904" s="129" t="s">
        <v>286</v>
      </c>
      <c r="X5904" s="337" t="b">
        <f t="shared" si="130"/>
        <v>1</v>
      </c>
    </row>
    <row r="5905" spans="1:24" s="360" customFormat="1" ht="12" customHeight="1" outlineLevel="1">
      <c r="A5905" s="365"/>
      <c r="B5905" s="118" t="s">
        <v>12</v>
      </c>
      <c r="C5905" s="334" t="s">
        <v>14709</v>
      </c>
      <c r="D5905" s="124" t="s">
        <v>14710</v>
      </c>
      <c r="E5905" s="125"/>
      <c r="F5905" s="118" t="s">
        <v>1030</v>
      </c>
      <c r="G5905" s="126" t="s">
        <v>14695</v>
      </c>
      <c r="H5905" s="255">
        <v>7</v>
      </c>
      <c r="I5905" s="361">
        <v>1</v>
      </c>
      <c r="J5905" s="368" t="s">
        <v>286</v>
      </c>
      <c r="K5905" s="372"/>
      <c r="L5905" s="129"/>
      <c r="M5905" s="129"/>
      <c r="N5905" s="129"/>
      <c r="O5905" s="129"/>
      <c r="P5905" s="372"/>
      <c r="Q5905" s="372"/>
      <c r="R5905" s="129"/>
      <c r="S5905" s="129"/>
      <c r="T5905" s="129"/>
      <c r="W5905" s="129" t="s">
        <v>286</v>
      </c>
      <c r="X5905" s="337" t="b">
        <f t="shared" si="130"/>
        <v>1</v>
      </c>
    </row>
    <row r="5906" spans="1:24" s="360" customFormat="1" ht="12" customHeight="1" outlineLevel="1">
      <c r="A5906" s="365"/>
      <c r="B5906" s="118" t="s">
        <v>12</v>
      </c>
      <c r="C5906" s="334" t="s">
        <v>14711</v>
      </c>
      <c r="D5906" s="124" t="s">
        <v>14712</v>
      </c>
      <c r="E5906" s="125"/>
      <c r="F5906" s="118" t="s">
        <v>1030</v>
      </c>
      <c r="G5906" s="126" t="s">
        <v>14695</v>
      </c>
      <c r="H5906" s="255">
        <v>7</v>
      </c>
      <c r="I5906" s="361">
        <v>1</v>
      </c>
      <c r="J5906" s="368" t="s">
        <v>286</v>
      </c>
      <c r="K5906" s="372"/>
      <c r="L5906" s="129"/>
      <c r="M5906" s="129"/>
      <c r="N5906" s="129"/>
      <c r="O5906" s="129"/>
      <c r="P5906" s="372"/>
      <c r="Q5906" s="372"/>
      <c r="R5906" s="129"/>
      <c r="S5906" s="129"/>
      <c r="T5906" s="129"/>
      <c r="W5906" s="129" t="s">
        <v>286</v>
      </c>
      <c r="X5906" s="337" t="b">
        <f t="shared" si="130"/>
        <v>1</v>
      </c>
    </row>
    <row r="5907" spans="1:24" s="360" customFormat="1" ht="12" customHeight="1" outlineLevel="1">
      <c r="A5907" s="365"/>
      <c r="B5907" s="118" t="s">
        <v>12</v>
      </c>
      <c r="C5907" s="334" t="s">
        <v>14713</v>
      </c>
      <c r="D5907" s="124" t="s">
        <v>14714</v>
      </c>
      <c r="E5907" s="125"/>
      <c r="F5907" s="118" t="s">
        <v>1030</v>
      </c>
      <c r="G5907" s="126" t="s">
        <v>14695</v>
      </c>
      <c r="H5907" s="255">
        <v>7</v>
      </c>
      <c r="I5907" s="361">
        <v>1</v>
      </c>
      <c r="J5907" s="368" t="s">
        <v>286</v>
      </c>
      <c r="K5907" s="372"/>
      <c r="L5907" s="129"/>
      <c r="M5907" s="129"/>
      <c r="N5907" s="129"/>
      <c r="O5907" s="129"/>
      <c r="P5907" s="372"/>
      <c r="Q5907" s="372"/>
      <c r="R5907" s="129"/>
      <c r="S5907" s="129"/>
      <c r="T5907" s="129"/>
      <c r="W5907" s="129" t="s">
        <v>286</v>
      </c>
      <c r="X5907" s="337" t="b">
        <f t="shared" si="130"/>
        <v>1</v>
      </c>
    </row>
    <row r="5908" spans="1:24" s="360" customFormat="1" ht="12" customHeight="1" outlineLevel="1">
      <c r="A5908" s="365"/>
      <c r="B5908" s="118" t="s">
        <v>12</v>
      </c>
      <c r="C5908" s="334" t="s">
        <v>14715</v>
      </c>
      <c r="D5908" s="124" t="s">
        <v>14716</v>
      </c>
      <c r="E5908" s="125"/>
      <c r="F5908" s="118" t="s">
        <v>1030</v>
      </c>
      <c r="G5908" s="126" t="s">
        <v>14695</v>
      </c>
      <c r="H5908" s="255">
        <v>7</v>
      </c>
      <c r="I5908" s="361">
        <v>1</v>
      </c>
      <c r="J5908" s="368" t="s">
        <v>286</v>
      </c>
      <c r="K5908" s="372"/>
      <c r="L5908" s="129"/>
      <c r="M5908" s="129"/>
      <c r="N5908" s="129"/>
      <c r="O5908" s="129"/>
      <c r="P5908" s="372"/>
      <c r="Q5908" s="372"/>
      <c r="R5908" s="129"/>
      <c r="S5908" s="129"/>
      <c r="T5908" s="129"/>
      <c r="W5908" s="129" t="s">
        <v>286</v>
      </c>
      <c r="X5908" s="337" t="b">
        <f t="shared" si="130"/>
        <v>1</v>
      </c>
    </row>
    <row r="5909" spans="1:24" s="360" customFormat="1" ht="12" customHeight="1" outlineLevel="1">
      <c r="A5909" s="365"/>
      <c r="B5909" s="118" t="s">
        <v>12</v>
      </c>
      <c r="C5909" s="334" t="s">
        <v>14717</v>
      </c>
      <c r="D5909" s="124" t="s">
        <v>14718</v>
      </c>
      <c r="E5909" s="125"/>
      <c r="F5909" s="118" t="s">
        <v>1030</v>
      </c>
      <c r="G5909" s="126" t="s">
        <v>14695</v>
      </c>
      <c r="H5909" s="255">
        <v>7</v>
      </c>
      <c r="I5909" s="361">
        <v>1</v>
      </c>
      <c r="J5909" s="368" t="s">
        <v>286</v>
      </c>
      <c r="K5909" s="372"/>
      <c r="L5909" s="129"/>
      <c r="M5909" s="129"/>
      <c r="N5909" s="129"/>
      <c r="O5909" s="129"/>
      <c r="P5909" s="372"/>
      <c r="Q5909" s="372"/>
      <c r="R5909" s="129"/>
      <c r="S5909" s="129"/>
      <c r="T5909" s="129"/>
      <c r="W5909" s="129" t="s">
        <v>286</v>
      </c>
      <c r="X5909" s="337" t="b">
        <f t="shared" si="130"/>
        <v>1</v>
      </c>
    </row>
    <row r="5910" spans="1:24" s="360" customFormat="1" ht="12" customHeight="1" outlineLevel="1">
      <c r="A5910" s="365"/>
      <c r="B5910" s="118" t="s">
        <v>12</v>
      </c>
      <c r="C5910" s="334" t="s">
        <v>14719</v>
      </c>
      <c r="D5910" s="124" t="s">
        <v>9720</v>
      </c>
      <c r="E5910" s="125"/>
      <c r="F5910" s="118" t="s">
        <v>1030</v>
      </c>
      <c r="G5910" s="126" t="s">
        <v>14695</v>
      </c>
      <c r="H5910" s="255">
        <v>7</v>
      </c>
      <c r="I5910" s="361">
        <v>1</v>
      </c>
      <c r="J5910" s="368" t="s">
        <v>286</v>
      </c>
      <c r="K5910" s="372"/>
      <c r="L5910" s="129"/>
      <c r="M5910" s="129"/>
      <c r="N5910" s="129"/>
      <c r="O5910" s="129"/>
      <c r="P5910" s="372"/>
      <c r="Q5910" s="372"/>
      <c r="R5910" s="129"/>
      <c r="S5910" s="129"/>
      <c r="T5910" s="129"/>
      <c r="W5910" s="129" t="s">
        <v>286</v>
      </c>
      <c r="X5910" s="337" t="b">
        <f t="shared" si="130"/>
        <v>1</v>
      </c>
    </row>
    <row r="5911" spans="1:24" s="360" customFormat="1" ht="12" customHeight="1" outlineLevel="1">
      <c r="A5911" s="365"/>
      <c r="B5911" s="118" t="s">
        <v>12</v>
      </c>
      <c r="C5911" s="334" t="s">
        <v>14720</v>
      </c>
      <c r="D5911" s="124" t="s">
        <v>9722</v>
      </c>
      <c r="E5911" s="125"/>
      <c r="F5911" s="118" t="s">
        <v>1030</v>
      </c>
      <c r="G5911" s="126" t="s">
        <v>14695</v>
      </c>
      <c r="H5911" s="255">
        <v>7</v>
      </c>
      <c r="I5911" s="361">
        <v>1</v>
      </c>
      <c r="J5911" s="368" t="s">
        <v>286</v>
      </c>
      <c r="K5911" s="372"/>
      <c r="L5911" s="129"/>
      <c r="M5911" s="129"/>
      <c r="N5911" s="129"/>
      <c r="O5911" s="129"/>
      <c r="P5911" s="372"/>
      <c r="Q5911" s="372"/>
      <c r="R5911" s="129"/>
      <c r="S5911" s="129"/>
      <c r="T5911" s="129"/>
      <c r="W5911" s="129" t="s">
        <v>286</v>
      </c>
      <c r="X5911" s="337" t="b">
        <f t="shared" si="130"/>
        <v>1</v>
      </c>
    </row>
    <row r="5912" spans="1:24" s="360" customFormat="1" ht="12" customHeight="1" outlineLevel="1">
      <c r="A5912" s="365"/>
      <c r="B5912" s="118" t="s">
        <v>12</v>
      </c>
      <c r="C5912" s="334" t="s">
        <v>14721</v>
      </c>
      <c r="D5912" s="124" t="s">
        <v>14722</v>
      </c>
      <c r="E5912" s="125"/>
      <c r="F5912" s="118" t="s">
        <v>1030</v>
      </c>
      <c r="G5912" s="126" t="s">
        <v>14695</v>
      </c>
      <c r="H5912" s="255">
        <v>7</v>
      </c>
      <c r="I5912" s="361">
        <v>1</v>
      </c>
      <c r="J5912" s="368" t="s">
        <v>286</v>
      </c>
      <c r="K5912" s="372"/>
      <c r="L5912" s="129"/>
      <c r="M5912" s="129"/>
      <c r="N5912" s="129"/>
      <c r="O5912" s="129"/>
      <c r="P5912" s="372"/>
      <c r="Q5912" s="372"/>
      <c r="R5912" s="129"/>
      <c r="S5912" s="129"/>
      <c r="T5912" s="129"/>
      <c r="W5912" s="129" t="s">
        <v>286</v>
      </c>
      <c r="X5912" s="337" t="b">
        <f t="shared" si="130"/>
        <v>1</v>
      </c>
    </row>
    <row r="5913" spans="1:24" s="360" customFormat="1" ht="12" customHeight="1" outlineLevel="1">
      <c r="A5913" s="365"/>
      <c r="B5913" s="118" t="s">
        <v>12</v>
      </c>
      <c r="C5913" s="334" t="s">
        <v>14723</v>
      </c>
      <c r="D5913" s="124" t="s">
        <v>14724</v>
      </c>
      <c r="E5913" s="125"/>
      <c r="F5913" s="118" t="s">
        <v>1030</v>
      </c>
      <c r="G5913" s="126" t="s">
        <v>14695</v>
      </c>
      <c r="H5913" s="255">
        <v>7</v>
      </c>
      <c r="I5913" s="361">
        <v>1</v>
      </c>
      <c r="J5913" s="368" t="s">
        <v>286</v>
      </c>
      <c r="K5913" s="372"/>
      <c r="L5913" s="129"/>
      <c r="M5913" s="129"/>
      <c r="N5913" s="129"/>
      <c r="O5913" s="129"/>
      <c r="P5913" s="372"/>
      <c r="Q5913" s="372"/>
      <c r="R5913" s="129"/>
      <c r="S5913" s="129"/>
      <c r="T5913" s="129"/>
      <c r="W5913" s="129" t="s">
        <v>286</v>
      </c>
      <c r="X5913" s="337" t="b">
        <f t="shared" si="130"/>
        <v>1</v>
      </c>
    </row>
    <row r="5914" spans="1:24" s="360" customFormat="1" ht="12" customHeight="1" outlineLevel="1">
      <c r="A5914" s="365"/>
      <c r="B5914" s="118" t="s">
        <v>12</v>
      </c>
      <c r="C5914" s="334" t="s">
        <v>14725</v>
      </c>
      <c r="D5914" s="124" t="s">
        <v>14726</v>
      </c>
      <c r="E5914" s="125"/>
      <c r="F5914" s="118" t="s">
        <v>1030</v>
      </c>
      <c r="G5914" s="126" t="s">
        <v>14695</v>
      </c>
      <c r="H5914" s="255">
        <v>7</v>
      </c>
      <c r="I5914" s="361">
        <v>1</v>
      </c>
      <c r="J5914" s="368" t="s">
        <v>286</v>
      </c>
      <c r="K5914" s="372"/>
      <c r="L5914" s="129"/>
      <c r="M5914" s="129"/>
      <c r="N5914" s="129"/>
      <c r="O5914" s="129"/>
      <c r="P5914" s="372"/>
      <c r="Q5914" s="372"/>
      <c r="R5914" s="129"/>
      <c r="S5914" s="129"/>
      <c r="T5914" s="129"/>
      <c r="W5914" s="129" t="s">
        <v>286</v>
      </c>
      <c r="X5914" s="337" t="b">
        <f t="shared" si="130"/>
        <v>1</v>
      </c>
    </row>
    <row r="5915" spans="1:24" s="360" customFormat="1" ht="12" customHeight="1" outlineLevel="1">
      <c r="A5915" s="365"/>
      <c r="B5915" s="118" t="s">
        <v>12</v>
      </c>
      <c r="C5915" s="334" t="s">
        <v>14727</v>
      </c>
      <c r="D5915" s="124" t="s">
        <v>14728</v>
      </c>
      <c r="E5915" s="125"/>
      <c r="F5915" s="118" t="s">
        <v>1030</v>
      </c>
      <c r="G5915" s="126" t="s">
        <v>14695</v>
      </c>
      <c r="H5915" s="255">
        <v>7</v>
      </c>
      <c r="I5915" s="361">
        <v>1</v>
      </c>
      <c r="J5915" s="368" t="s">
        <v>286</v>
      </c>
      <c r="K5915" s="372"/>
      <c r="L5915" s="129"/>
      <c r="M5915" s="129"/>
      <c r="N5915" s="129"/>
      <c r="O5915" s="129"/>
      <c r="P5915" s="372"/>
      <c r="Q5915" s="372"/>
      <c r="R5915" s="129"/>
      <c r="S5915" s="129"/>
      <c r="T5915" s="129"/>
      <c r="W5915" s="129" t="s">
        <v>286</v>
      </c>
      <c r="X5915" s="337" t="b">
        <f t="shared" si="130"/>
        <v>1</v>
      </c>
    </row>
    <row r="5916" spans="1:24" s="360" customFormat="1" ht="12" customHeight="1" outlineLevel="1">
      <c r="A5916" s="365"/>
      <c r="B5916" s="118" t="s">
        <v>12</v>
      </c>
      <c r="C5916" s="334" t="s">
        <v>14729</v>
      </c>
      <c r="D5916" s="124" t="s">
        <v>14730</v>
      </c>
      <c r="E5916" s="125"/>
      <c r="F5916" s="118" t="s">
        <v>1030</v>
      </c>
      <c r="G5916" s="126" t="s">
        <v>14695</v>
      </c>
      <c r="H5916" s="255">
        <v>7</v>
      </c>
      <c r="I5916" s="361">
        <v>1</v>
      </c>
      <c r="J5916" s="368" t="s">
        <v>286</v>
      </c>
      <c r="K5916" s="372"/>
      <c r="L5916" s="129"/>
      <c r="M5916" s="129"/>
      <c r="N5916" s="129"/>
      <c r="O5916" s="129"/>
      <c r="P5916" s="372"/>
      <c r="Q5916" s="372"/>
      <c r="R5916" s="129"/>
      <c r="S5916" s="129"/>
      <c r="T5916" s="129"/>
      <c r="W5916" s="129" t="s">
        <v>286</v>
      </c>
      <c r="X5916" s="337" t="b">
        <f t="shared" si="130"/>
        <v>1</v>
      </c>
    </row>
    <row r="5917" spans="1:24" s="360" customFormat="1" ht="12" customHeight="1" outlineLevel="1">
      <c r="A5917" s="365"/>
      <c r="B5917" s="118" t="s">
        <v>12</v>
      </c>
      <c r="C5917" s="334" t="s">
        <v>14731</v>
      </c>
      <c r="D5917" s="124" t="s">
        <v>13341</v>
      </c>
      <c r="E5917" s="125"/>
      <c r="F5917" s="118" t="s">
        <v>1030</v>
      </c>
      <c r="G5917" s="126" t="s">
        <v>14695</v>
      </c>
      <c r="H5917" s="255">
        <v>7</v>
      </c>
      <c r="I5917" s="361">
        <v>1</v>
      </c>
      <c r="J5917" s="368" t="s">
        <v>286</v>
      </c>
      <c r="K5917" s="372"/>
      <c r="L5917" s="129"/>
      <c r="M5917" s="129"/>
      <c r="N5917" s="129"/>
      <c r="O5917" s="129"/>
      <c r="P5917" s="372"/>
      <c r="Q5917" s="372"/>
      <c r="R5917" s="129"/>
      <c r="S5917" s="129"/>
      <c r="T5917" s="129"/>
      <c r="W5917" s="129" t="s">
        <v>4876</v>
      </c>
      <c r="X5917" s="337" t="b">
        <f t="shared" si="130"/>
        <v>0</v>
      </c>
    </row>
    <row r="5918" spans="1:24" s="360" customFormat="1" ht="12" customHeight="1" outlineLevel="1">
      <c r="A5918" s="365"/>
      <c r="B5918" s="118" t="s">
        <v>12</v>
      </c>
      <c r="C5918" s="334" t="s">
        <v>14732</v>
      </c>
      <c r="D5918" s="124" t="s">
        <v>7340</v>
      </c>
      <c r="E5918" s="125"/>
      <c r="F5918" s="118" t="s">
        <v>1030</v>
      </c>
      <c r="G5918" s="126" t="s">
        <v>14733</v>
      </c>
      <c r="H5918" s="255">
        <v>8</v>
      </c>
      <c r="I5918" s="361">
        <v>1</v>
      </c>
      <c r="J5918" s="368" t="s">
        <v>325</v>
      </c>
      <c r="K5918" s="372"/>
      <c r="L5918" s="129"/>
      <c r="M5918" s="129"/>
      <c r="N5918" s="129"/>
      <c r="O5918" s="129"/>
      <c r="P5918" s="372"/>
      <c r="Q5918" s="372"/>
      <c r="R5918" s="129"/>
      <c r="S5918" s="129"/>
      <c r="T5918" s="129"/>
      <c r="W5918" s="129" t="s">
        <v>286</v>
      </c>
      <c r="X5918" s="337" t="b">
        <f t="shared" si="130"/>
        <v>0</v>
      </c>
    </row>
    <row r="5919" spans="1:24" s="360" customFormat="1" ht="12" customHeight="1" outlineLevel="1">
      <c r="A5919" s="365"/>
      <c r="B5919" s="118" t="s">
        <v>12</v>
      </c>
      <c r="C5919" s="334" t="s">
        <v>14734</v>
      </c>
      <c r="D5919" s="124" t="s">
        <v>9767</v>
      </c>
      <c r="E5919" s="125"/>
      <c r="F5919" s="118" t="s">
        <v>1030</v>
      </c>
      <c r="G5919" s="126" t="s">
        <v>14733</v>
      </c>
      <c r="H5919" s="255">
        <v>8</v>
      </c>
      <c r="I5919" s="361">
        <v>1</v>
      </c>
      <c r="J5919" s="368" t="s">
        <v>286</v>
      </c>
      <c r="K5919" s="372"/>
      <c r="L5919" s="129"/>
      <c r="M5919" s="129"/>
      <c r="N5919" s="129"/>
      <c r="O5919" s="129"/>
      <c r="P5919" s="372"/>
      <c r="Q5919" s="372"/>
      <c r="R5919" s="129"/>
      <c r="S5919" s="129"/>
      <c r="T5919" s="129"/>
      <c r="W5919" s="129" t="s">
        <v>286</v>
      </c>
      <c r="X5919" s="337" t="b">
        <f t="shared" si="130"/>
        <v>1</v>
      </c>
    </row>
    <row r="5920" spans="1:24" s="360" customFormat="1" ht="12" customHeight="1" outlineLevel="1">
      <c r="A5920" s="365"/>
      <c r="B5920" s="118" t="s">
        <v>12</v>
      </c>
      <c r="C5920" s="334" t="s">
        <v>14735</v>
      </c>
      <c r="D5920" s="124" t="s">
        <v>14736</v>
      </c>
      <c r="E5920" s="125"/>
      <c r="F5920" s="118" t="s">
        <v>1030</v>
      </c>
      <c r="G5920" s="126" t="s">
        <v>14733</v>
      </c>
      <c r="H5920" s="255">
        <v>8</v>
      </c>
      <c r="I5920" s="361">
        <v>1</v>
      </c>
      <c r="J5920" s="368" t="s">
        <v>310</v>
      </c>
      <c r="K5920" s="372"/>
      <c r="L5920" s="129"/>
      <c r="M5920" s="129"/>
      <c r="N5920" s="129"/>
      <c r="O5920" s="129"/>
      <c r="P5920" s="372"/>
      <c r="Q5920" s="372"/>
      <c r="R5920" s="129"/>
      <c r="S5920" s="129"/>
      <c r="T5920" s="129"/>
      <c r="W5920" s="129" t="s">
        <v>286</v>
      </c>
      <c r="X5920" s="337" t="b">
        <f t="shared" si="130"/>
        <v>0</v>
      </c>
    </row>
    <row r="5921" spans="1:24" s="360" customFormat="1" ht="12" customHeight="1" outlineLevel="1">
      <c r="A5921" s="365"/>
      <c r="B5921" s="118" t="s">
        <v>12</v>
      </c>
      <c r="C5921" s="334" t="s">
        <v>14737</v>
      </c>
      <c r="D5921" s="124" t="s">
        <v>14738</v>
      </c>
      <c r="E5921" s="125"/>
      <c r="F5921" s="118" t="s">
        <v>1030</v>
      </c>
      <c r="G5921" s="126" t="s">
        <v>14733</v>
      </c>
      <c r="H5921" s="255">
        <v>8</v>
      </c>
      <c r="I5921" s="361">
        <v>1</v>
      </c>
      <c r="J5921" s="368" t="s">
        <v>286</v>
      </c>
      <c r="K5921" s="372"/>
      <c r="L5921" s="129"/>
      <c r="M5921" s="129"/>
      <c r="N5921" s="129"/>
      <c r="O5921" s="129"/>
      <c r="P5921" s="372"/>
      <c r="Q5921" s="372"/>
      <c r="R5921" s="129"/>
      <c r="S5921" s="129"/>
      <c r="T5921" s="129"/>
      <c r="W5921" s="129" t="s">
        <v>286</v>
      </c>
      <c r="X5921" s="337" t="b">
        <f t="shared" si="130"/>
        <v>1</v>
      </c>
    </row>
    <row r="5922" spans="1:24" s="360" customFormat="1" ht="12" customHeight="1" outlineLevel="1">
      <c r="A5922" s="365"/>
      <c r="B5922" s="118" t="s">
        <v>12</v>
      </c>
      <c r="C5922" s="334" t="s">
        <v>14739</v>
      </c>
      <c r="D5922" s="124" t="s">
        <v>14740</v>
      </c>
      <c r="E5922" s="125"/>
      <c r="F5922" s="118" t="s">
        <v>1030</v>
      </c>
      <c r="G5922" s="126" t="s">
        <v>14733</v>
      </c>
      <c r="H5922" s="255">
        <v>8</v>
      </c>
      <c r="I5922" s="361">
        <v>1</v>
      </c>
      <c r="J5922" s="368" t="s">
        <v>286</v>
      </c>
      <c r="K5922" s="372"/>
      <c r="L5922" s="129"/>
      <c r="M5922" s="129"/>
      <c r="N5922" s="129"/>
      <c r="O5922" s="129"/>
      <c r="P5922" s="372"/>
      <c r="Q5922" s="372"/>
      <c r="R5922" s="129"/>
      <c r="S5922" s="129"/>
      <c r="T5922" s="129"/>
      <c r="W5922" s="129" t="s">
        <v>286</v>
      </c>
      <c r="X5922" s="337" t="b">
        <f t="shared" si="130"/>
        <v>1</v>
      </c>
    </row>
    <row r="5923" spans="1:24" s="360" customFormat="1" ht="12" customHeight="1" outlineLevel="1">
      <c r="A5923" s="365"/>
      <c r="B5923" s="118" t="s">
        <v>12</v>
      </c>
      <c r="C5923" s="334" t="s">
        <v>14741</v>
      </c>
      <c r="D5923" s="124" t="s">
        <v>14742</v>
      </c>
      <c r="E5923" s="125"/>
      <c r="F5923" s="118" t="s">
        <v>1030</v>
      </c>
      <c r="G5923" s="126" t="s">
        <v>14733</v>
      </c>
      <c r="H5923" s="255">
        <v>8</v>
      </c>
      <c r="I5923" s="361">
        <v>1</v>
      </c>
      <c r="J5923" s="368" t="s">
        <v>286</v>
      </c>
      <c r="K5923" s="372"/>
      <c r="L5923" s="129"/>
      <c r="M5923" s="129"/>
      <c r="N5923" s="129"/>
      <c r="O5923" s="129"/>
      <c r="P5923" s="372"/>
      <c r="Q5923" s="372"/>
      <c r="R5923" s="129"/>
      <c r="S5923" s="129"/>
      <c r="T5923" s="129"/>
      <c r="W5923" s="129" t="s">
        <v>286</v>
      </c>
      <c r="X5923" s="337" t="b">
        <f t="shared" si="130"/>
        <v>1</v>
      </c>
    </row>
    <row r="5924" spans="1:24" s="360" customFormat="1" ht="12" customHeight="1" outlineLevel="1">
      <c r="A5924" s="365"/>
      <c r="B5924" s="118" t="s">
        <v>12</v>
      </c>
      <c r="C5924" s="334" t="s">
        <v>14743</v>
      </c>
      <c r="D5924" s="124" t="s">
        <v>14744</v>
      </c>
      <c r="E5924" s="125"/>
      <c r="F5924" s="118" t="s">
        <v>1030</v>
      </c>
      <c r="G5924" s="126" t="s">
        <v>14733</v>
      </c>
      <c r="H5924" s="255">
        <v>8</v>
      </c>
      <c r="I5924" s="361">
        <v>1</v>
      </c>
      <c r="J5924" s="368" t="s">
        <v>286</v>
      </c>
      <c r="K5924" s="372"/>
      <c r="L5924" s="129"/>
      <c r="M5924" s="129"/>
      <c r="N5924" s="129"/>
      <c r="O5924" s="129"/>
      <c r="P5924" s="372"/>
      <c r="Q5924" s="372"/>
      <c r="R5924" s="129"/>
      <c r="S5924" s="129"/>
      <c r="T5924" s="129"/>
      <c r="W5924" s="129" t="s">
        <v>286</v>
      </c>
      <c r="X5924" s="337" t="b">
        <f t="shared" si="130"/>
        <v>1</v>
      </c>
    </row>
    <row r="5925" spans="1:24" s="360" customFormat="1" ht="12" customHeight="1" outlineLevel="1">
      <c r="A5925" s="365"/>
      <c r="B5925" s="118" t="s">
        <v>12</v>
      </c>
      <c r="C5925" s="334" t="s">
        <v>14745</v>
      </c>
      <c r="D5925" s="124" t="s">
        <v>14746</v>
      </c>
      <c r="E5925" s="125"/>
      <c r="F5925" s="118" t="s">
        <v>1030</v>
      </c>
      <c r="G5925" s="126" t="s">
        <v>14733</v>
      </c>
      <c r="H5925" s="255">
        <v>8</v>
      </c>
      <c r="I5925" s="361">
        <v>1</v>
      </c>
      <c r="J5925" s="368" t="s">
        <v>286</v>
      </c>
      <c r="K5925" s="372"/>
      <c r="L5925" s="129"/>
      <c r="M5925" s="129"/>
      <c r="N5925" s="129"/>
      <c r="O5925" s="129"/>
      <c r="P5925" s="372"/>
      <c r="Q5925" s="372"/>
      <c r="R5925" s="129"/>
      <c r="S5925" s="129"/>
      <c r="T5925" s="129"/>
      <c r="W5925" s="129" t="s">
        <v>286</v>
      </c>
      <c r="X5925" s="337" t="b">
        <f t="shared" si="130"/>
        <v>1</v>
      </c>
    </row>
    <row r="5926" spans="1:24" s="360" customFormat="1" ht="12" customHeight="1" outlineLevel="1">
      <c r="A5926" s="365"/>
      <c r="B5926" s="118" t="s">
        <v>12</v>
      </c>
      <c r="C5926" s="334" t="s">
        <v>14747</v>
      </c>
      <c r="D5926" s="124" t="s">
        <v>9732</v>
      </c>
      <c r="E5926" s="125"/>
      <c r="F5926" s="118" t="s">
        <v>1030</v>
      </c>
      <c r="G5926" s="126" t="s">
        <v>14733</v>
      </c>
      <c r="H5926" s="255">
        <v>8</v>
      </c>
      <c r="I5926" s="361">
        <v>1</v>
      </c>
      <c r="J5926" s="368" t="s">
        <v>286</v>
      </c>
      <c r="K5926" s="372"/>
      <c r="L5926" s="129"/>
      <c r="M5926" s="129"/>
      <c r="N5926" s="129"/>
      <c r="O5926" s="129"/>
      <c r="P5926" s="372"/>
      <c r="Q5926" s="372"/>
      <c r="R5926" s="129"/>
      <c r="S5926" s="129"/>
      <c r="T5926" s="129"/>
      <c r="W5926" s="129" t="s">
        <v>286</v>
      </c>
      <c r="X5926" s="337" t="b">
        <f t="shared" si="130"/>
        <v>1</v>
      </c>
    </row>
    <row r="5927" spans="1:24" s="360" customFormat="1" ht="12" customHeight="1" outlineLevel="1">
      <c r="A5927" s="365"/>
      <c r="B5927" s="118" t="s">
        <v>12</v>
      </c>
      <c r="C5927" s="334" t="s">
        <v>14748</v>
      </c>
      <c r="D5927" s="124" t="s">
        <v>9734</v>
      </c>
      <c r="E5927" s="125"/>
      <c r="F5927" s="118" t="s">
        <v>1030</v>
      </c>
      <c r="G5927" s="126" t="s">
        <v>14733</v>
      </c>
      <c r="H5927" s="255">
        <v>8</v>
      </c>
      <c r="I5927" s="361">
        <v>1</v>
      </c>
      <c r="J5927" s="368" t="s">
        <v>286</v>
      </c>
      <c r="K5927" s="372"/>
      <c r="L5927" s="129"/>
      <c r="M5927" s="129"/>
      <c r="N5927" s="129"/>
      <c r="O5927" s="129"/>
      <c r="P5927" s="372"/>
      <c r="Q5927" s="372"/>
      <c r="R5927" s="129"/>
      <c r="S5927" s="129"/>
      <c r="T5927" s="129"/>
      <c r="W5927" s="129" t="s">
        <v>286</v>
      </c>
      <c r="X5927" s="337" t="b">
        <f t="shared" si="130"/>
        <v>1</v>
      </c>
    </row>
    <row r="5928" spans="1:24" s="360" customFormat="1" ht="12" customHeight="1" outlineLevel="1">
      <c r="A5928" s="365"/>
      <c r="B5928" s="118" t="s">
        <v>12</v>
      </c>
      <c r="C5928" s="334" t="s">
        <v>14749</v>
      </c>
      <c r="D5928" s="124" t="s">
        <v>9736</v>
      </c>
      <c r="E5928" s="125"/>
      <c r="F5928" s="118" t="s">
        <v>1030</v>
      </c>
      <c r="G5928" s="126" t="s">
        <v>14733</v>
      </c>
      <c r="H5928" s="255">
        <v>8</v>
      </c>
      <c r="I5928" s="361">
        <v>1</v>
      </c>
      <c r="J5928" s="368" t="s">
        <v>286</v>
      </c>
      <c r="K5928" s="372"/>
      <c r="L5928" s="129"/>
      <c r="M5928" s="129"/>
      <c r="N5928" s="129"/>
      <c r="O5928" s="129"/>
      <c r="P5928" s="372"/>
      <c r="Q5928" s="372"/>
      <c r="R5928" s="129"/>
      <c r="S5928" s="129"/>
      <c r="T5928" s="129"/>
      <c r="W5928" s="129" t="s">
        <v>286</v>
      </c>
      <c r="X5928" s="337" t="b">
        <f t="shared" si="130"/>
        <v>1</v>
      </c>
    </row>
    <row r="5929" spans="1:24" s="360" customFormat="1" ht="12" customHeight="1" outlineLevel="1">
      <c r="A5929" s="365"/>
      <c r="B5929" s="118" t="s">
        <v>12</v>
      </c>
      <c r="C5929" s="334" t="s">
        <v>14750</v>
      </c>
      <c r="D5929" s="124" t="s">
        <v>14751</v>
      </c>
      <c r="E5929" s="125"/>
      <c r="F5929" s="118" t="s">
        <v>1030</v>
      </c>
      <c r="G5929" s="126" t="s">
        <v>14733</v>
      </c>
      <c r="H5929" s="255">
        <v>8</v>
      </c>
      <c r="I5929" s="361">
        <v>1</v>
      </c>
      <c r="J5929" s="368" t="s">
        <v>310</v>
      </c>
      <c r="K5929" s="372"/>
      <c r="L5929" s="129"/>
      <c r="M5929" s="129"/>
      <c r="N5929" s="129"/>
      <c r="O5929" s="129"/>
      <c r="P5929" s="372"/>
      <c r="Q5929" s="372"/>
      <c r="R5929" s="129"/>
      <c r="S5929" s="129"/>
      <c r="T5929" s="129"/>
      <c r="W5929" s="129" t="s">
        <v>4876</v>
      </c>
      <c r="X5929" s="337" t="b">
        <f t="shared" si="130"/>
        <v>0</v>
      </c>
    </row>
    <row r="5930" spans="1:24" s="360" customFormat="1" ht="12" customHeight="1" outlineLevel="1">
      <c r="A5930" s="365"/>
      <c r="B5930" s="118" t="s">
        <v>12</v>
      </c>
      <c r="C5930" s="334" t="s">
        <v>14752</v>
      </c>
      <c r="D5930" s="124" t="s">
        <v>14753</v>
      </c>
      <c r="E5930" s="125"/>
      <c r="F5930" s="118" t="s">
        <v>1030</v>
      </c>
      <c r="G5930" s="126" t="s">
        <v>14733</v>
      </c>
      <c r="H5930" s="255">
        <v>8</v>
      </c>
      <c r="I5930" s="361">
        <v>1</v>
      </c>
      <c r="J5930" s="368" t="s">
        <v>310</v>
      </c>
      <c r="K5930" s="372"/>
      <c r="L5930" s="129"/>
      <c r="M5930" s="129"/>
      <c r="N5930" s="129"/>
      <c r="O5930" s="129"/>
      <c r="P5930" s="372"/>
      <c r="Q5930" s="372"/>
      <c r="R5930" s="129"/>
      <c r="S5930" s="129"/>
      <c r="T5930" s="129"/>
      <c r="W5930" s="129" t="s">
        <v>4876</v>
      </c>
      <c r="X5930" s="337" t="b">
        <f t="shared" si="130"/>
        <v>0</v>
      </c>
    </row>
    <row r="5931" spans="1:24" s="360" customFormat="1" ht="12" customHeight="1" outlineLevel="1">
      <c r="A5931" s="365"/>
      <c r="B5931" s="118" t="s">
        <v>12</v>
      </c>
      <c r="C5931" s="334" t="s">
        <v>14754</v>
      </c>
      <c r="D5931" s="124" t="s">
        <v>14755</v>
      </c>
      <c r="E5931" s="125"/>
      <c r="F5931" s="118" t="s">
        <v>1030</v>
      </c>
      <c r="G5931" s="126" t="s">
        <v>14733</v>
      </c>
      <c r="H5931" s="255">
        <v>8</v>
      </c>
      <c r="I5931" s="361">
        <v>1</v>
      </c>
      <c r="J5931" s="368" t="s">
        <v>310</v>
      </c>
      <c r="K5931" s="372"/>
      <c r="L5931" s="129"/>
      <c r="M5931" s="129"/>
      <c r="N5931" s="129"/>
      <c r="O5931" s="129"/>
      <c r="P5931" s="372"/>
      <c r="Q5931" s="372"/>
      <c r="R5931" s="129"/>
      <c r="S5931" s="129"/>
      <c r="T5931" s="129"/>
      <c r="W5931" s="129" t="s">
        <v>4876</v>
      </c>
      <c r="X5931" s="337" t="b">
        <f t="shared" si="130"/>
        <v>0</v>
      </c>
    </row>
    <row r="5932" spans="1:24" s="360" customFormat="1" ht="12" customHeight="1" outlineLevel="1">
      <c r="A5932" s="365"/>
      <c r="B5932" s="118" t="s">
        <v>12</v>
      </c>
      <c r="C5932" s="334" t="s">
        <v>14756</v>
      </c>
      <c r="D5932" s="124" t="s">
        <v>14757</v>
      </c>
      <c r="E5932" s="125"/>
      <c r="F5932" s="118" t="s">
        <v>1030</v>
      </c>
      <c r="G5932" s="126" t="s">
        <v>14733</v>
      </c>
      <c r="H5932" s="255">
        <v>8</v>
      </c>
      <c r="I5932" s="361">
        <v>1</v>
      </c>
      <c r="J5932" s="368" t="s">
        <v>310</v>
      </c>
      <c r="K5932" s="372"/>
      <c r="L5932" s="129"/>
      <c r="M5932" s="129"/>
      <c r="N5932" s="129"/>
      <c r="O5932" s="129"/>
      <c r="P5932" s="372"/>
      <c r="Q5932" s="372"/>
      <c r="R5932" s="129"/>
      <c r="S5932" s="129"/>
      <c r="T5932" s="129"/>
      <c r="W5932" s="129" t="s">
        <v>4876</v>
      </c>
      <c r="X5932" s="337" t="b">
        <f t="shared" si="130"/>
        <v>0</v>
      </c>
    </row>
    <row r="5933" spans="1:24" s="360" customFormat="1" ht="12" customHeight="1" outlineLevel="1">
      <c r="A5933" s="365"/>
      <c r="B5933" s="118" t="s">
        <v>12</v>
      </c>
      <c r="C5933" s="334" t="s">
        <v>14758</v>
      </c>
      <c r="D5933" s="124" t="s">
        <v>13213</v>
      </c>
      <c r="E5933" s="125"/>
      <c r="F5933" s="118" t="s">
        <v>1030</v>
      </c>
      <c r="G5933" s="126" t="s">
        <v>14733</v>
      </c>
      <c r="H5933" s="255">
        <v>8</v>
      </c>
      <c r="I5933" s="361">
        <v>1</v>
      </c>
      <c r="J5933" s="368" t="s">
        <v>286</v>
      </c>
      <c r="K5933" s="372"/>
      <c r="L5933" s="129"/>
      <c r="M5933" s="129"/>
      <c r="N5933" s="129"/>
      <c r="O5933" s="129"/>
      <c r="P5933" s="372"/>
      <c r="Q5933" s="372"/>
      <c r="R5933" s="129"/>
      <c r="S5933" s="129"/>
      <c r="T5933" s="129"/>
      <c r="W5933" s="129" t="s">
        <v>286</v>
      </c>
      <c r="X5933" s="337" t="b">
        <f t="shared" si="130"/>
        <v>1</v>
      </c>
    </row>
    <row r="5934" spans="1:24" s="360" customFormat="1" ht="12" customHeight="1" outlineLevel="1">
      <c r="A5934" s="365"/>
      <c r="B5934" s="118" t="s">
        <v>12</v>
      </c>
      <c r="C5934" s="334" t="s">
        <v>14759</v>
      </c>
      <c r="D5934" s="124" t="s">
        <v>13215</v>
      </c>
      <c r="E5934" s="125"/>
      <c r="F5934" s="118" t="s">
        <v>1030</v>
      </c>
      <c r="G5934" s="126" t="s">
        <v>14733</v>
      </c>
      <c r="H5934" s="255">
        <v>8</v>
      </c>
      <c r="I5934" s="361">
        <v>1</v>
      </c>
      <c r="J5934" s="368" t="s">
        <v>286</v>
      </c>
      <c r="K5934" s="372"/>
      <c r="L5934" s="129"/>
      <c r="M5934" s="129"/>
      <c r="N5934" s="129"/>
      <c r="O5934" s="129"/>
      <c r="P5934" s="372"/>
      <c r="Q5934" s="372"/>
      <c r="R5934" s="129"/>
      <c r="S5934" s="129"/>
      <c r="T5934" s="129"/>
      <c r="W5934" s="129" t="s">
        <v>4876</v>
      </c>
      <c r="X5934" s="337" t="b">
        <f t="shared" si="130"/>
        <v>0</v>
      </c>
    </row>
    <row r="5935" spans="1:24" s="360" customFormat="1" ht="12" customHeight="1" outlineLevel="1">
      <c r="A5935" s="365"/>
      <c r="B5935" s="118" t="s">
        <v>12</v>
      </c>
      <c r="C5935" s="334" t="s">
        <v>14760</v>
      </c>
      <c r="D5935" s="124" t="s">
        <v>14761</v>
      </c>
      <c r="E5935" s="125"/>
      <c r="F5935" s="118" t="s">
        <v>1030</v>
      </c>
      <c r="G5935" s="126" t="s">
        <v>14733</v>
      </c>
      <c r="H5935" s="255">
        <v>8</v>
      </c>
      <c r="I5935" s="361">
        <v>1</v>
      </c>
      <c r="J5935" s="368" t="s">
        <v>307</v>
      </c>
      <c r="K5935" s="372"/>
      <c r="L5935" s="129"/>
      <c r="M5935" s="129"/>
      <c r="N5935" s="129"/>
      <c r="O5935" s="129"/>
      <c r="P5935" s="372"/>
      <c r="Q5935" s="372"/>
      <c r="R5935" s="129"/>
      <c r="S5935" s="129"/>
      <c r="T5935" s="129"/>
      <c r="W5935" s="129" t="s">
        <v>4876</v>
      </c>
      <c r="X5935" s="337" t="b">
        <f t="shared" ref="X5935:X5962" si="131">W5935=J5935</f>
        <v>0</v>
      </c>
    </row>
    <row r="5936" spans="1:24" s="360" customFormat="1" ht="12" customHeight="1" outlineLevel="1">
      <c r="A5936" s="365"/>
      <c r="B5936" s="118" t="s">
        <v>12</v>
      </c>
      <c r="C5936" s="334" t="s">
        <v>14762</v>
      </c>
      <c r="D5936" s="124" t="s">
        <v>8757</v>
      </c>
      <c r="E5936" s="125"/>
      <c r="F5936" s="118" t="s">
        <v>1030</v>
      </c>
      <c r="G5936" s="126" t="s">
        <v>14128</v>
      </c>
      <c r="H5936" s="255">
        <v>1</v>
      </c>
      <c r="I5936" s="361">
        <v>1</v>
      </c>
      <c r="J5936" s="368" t="s">
        <v>286</v>
      </c>
      <c r="K5936" s="372"/>
      <c r="L5936" s="129"/>
      <c r="M5936" s="129"/>
      <c r="N5936" s="129"/>
      <c r="O5936" s="129"/>
      <c r="P5936" s="372"/>
      <c r="Q5936" s="372"/>
      <c r="R5936" s="129"/>
      <c r="S5936" s="129"/>
      <c r="T5936" s="129"/>
      <c r="W5936" s="129" t="s">
        <v>286</v>
      </c>
      <c r="X5936" s="337" t="b">
        <f t="shared" si="131"/>
        <v>1</v>
      </c>
    </row>
    <row r="5937" spans="1:24" s="360" customFormat="1" ht="12" customHeight="1" outlineLevel="1">
      <c r="A5937" s="365"/>
      <c r="B5937" s="118" t="s">
        <v>12</v>
      </c>
      <c r="C5937" s="334" t="s">
        <v>14763</v>
      </c>
      <c r="D5937" s="124" t="s">
        <v>8759</v>
      </c>
      <c r="E5937" s="125"/>
      <c r="F5937" s="118" t="s">
        <v>1030</v>
      </c>
      <c r="G5937" s="126" t="s">
        <v>14128</v>
      </c>
      <c r="H5937" s="255">
        <v>1</v>
      </c>
      <c r="I5937" s="361">
        <v>1</v>
      </c>
      <c r="J5937" s="368" t="s">
        <v>310</v>
      </c>
      <c r="K5937" s="372"/>
      <c r="L5937" s="129"/>
      <c r="M5937" s="129"/>
      <c r="N5937" s="129"/>
      <c r="O5937" s="129"/>
      <c r="P5937" s="372"/>
      <c r="Q5937" s="372"/>
      <c r="R5937" s="129"/>
      <c r="S5937" s="129"/>
      <c r="T5937" s="129"/>
      <c r="W5937" s="129" t="s">
        <v>310</v>
      </c>
      <c r="X5937" s="337" t="b">
        <f t="shared" si="131"/>
        <v>1</v>
      </c>
    </row>
    <row r="5938" spans="1:24" s="360" customFormat="1" ht="12" customHeight="1" outlineLevel="1">
      <c r="A5938" s="365"/>
      <c r="B5938" s="118" t="s">
        <v>12</v>
      </c>
      <c r="C5938" s="334" t="s">
        <v>14764</v>
      </c>
      <c r="D5938" s="124" t="s">
        <v>8761</v>
      </c>
      <c r="E5938" s="125"/>
      <c r="F5938" s="118" t="s">
        <v>1030</v>
      </c>
      <c r="G5938" s="126" t="s">
        <v>14128</v>
      </c>
      <c r="H5938" s="255">
        <v>1</v>
      </c>
      <c r="I5938" s="361">
        <v>1</v>
      </c>
      <c r="J5938" s="368" t="s">
        <v>286</v>
      </c>
      <c r="K5938" s="372"/>
      <c r="L5938" s="129"/>
      <c r="M5938" s="129"/>
      <c r="N5938" s="129"/>
      <c r="O5938" s="129"/>
      <c r="P5938" s="372"/>
      <c r="Q5938" s="372"/>
      <c r="R5938" s="129"/>
      <c r="S5938" s="129"/>
      <c r="T5938" s="129"/>
      <c r="W5938" s="129" t="s">
        <v>286</v>
      </c>
      <c r="X5938" s="337" t="b">
        <f t="shared" si="131"/>
        <v>1</v>
      </c>
    </row>
    <row r="5939" spans="1:24" s="360" customFormat="1" ht="12" customHeight="1" outlineLevel="1">
      <c r="A5939" s="365"/>
      <c r="B5939" s="118" t="s">
        <v>12</v>
      </c>
      <c r="C5939" s="334" t="s">
        <v>14765</v>
      </c>
      <c r="D5939" s="124" t="s">
        <v>8763</v>
      </c>
      <c r="E5939" s="125"/>
      <c r="F5939" s="118" t="s">
        <v>1030</v>
      </c>
      <c r="G5939" s="126" t="s">
        <v>14503</v>
      </c>
      <c r="H5939" s="255">
        <v>4</v>
      </c>
      <c r="I5939" s="361">
        <v>1</v>
      </c>
      <c r="J5939" s="368" t="s">
        <v>286</v>
      </c>
      <c r="K5939" s="372"/>
      <c r="L5939" s="129"/>
      <c r="M5939" s="129"/>
      <c r="N5939" s="129"/>
      <c r="O5939" s="129"/>
      <c r="P5939" s="372"/>
      <c r="Q5939" s="372"/>
      <c r="R5939" s="129"/>
      <c r="S5939" s="129"/>
      <c r="T5939" s="129"/>
      <c r="W5939" s="129" t="s">
        <v>286</v>
      </c>
      <c r="X5939" s="337" t="b">
        <f t="shared" si="131"/>
        <v>1</v>
      </c>
    </row>
    <row r="5940" spans="1:24" s="360" customFormat="1" ht="12" customHeight="1" outlineLevel="1">
      <c r="A5940" s="365"/>
      <c r="B5940" s="118" t="s">
        <v>12</v>
      </c>
      <c r="C5940" s="334" t="s">
        <v>14766</v>
      </c>
      <c r="D5940" s="124" t="s">
        <v>9376</v>
      </c>
      <c r="E5940" s="125"/>
      <c r="F5940" s="118" t="s">
        <v>1030</v>
      </c>
      <c r="G5940" s="126" t="s">
        <v>14322</v>
      </c>
      <c r="H5940" s="255">
        <v>2</v>
      </c>
      <c r="I5940" s="361">
        <v>1</v>
      </c>
      <c r="J5940" s="368" t="s">
        <v>286</v>
      </c>
      <c r="K5940" s="372"/>
      <c r="L5940" s="129"/>
      <c r="M5940" s="129"/>
      <c r="N5940" s="129"/>
      <c r="O5940" s="129"/>
      <c r="P5940" s="372"/>
      <c r="Q5940" s="372"/>
      <c r="R5940" s="129"/>
      <c r="S5940" s="129"/>
      <c r="T5940" s="129"/>
      <c r="W5940" s="129" t="s">
        <v>286</v>
      </c>
      <c r="X5940" s="337" t="b">
        <f t="shared" si="131"/>
        <v>1</v>
      </c>
    </row>
    <row r="5941" spans="1:24" s="337" customFormat="1" ht="12" customHeight="1" outlineLevel="1">
      <c r="A5941" s="335"/>
      <c r="B5941" s="118" t="s">
        <v>12</v>
      </c>
      <c r="C5941" s="334" t="s">
        <v>14767</v>
      </c>
      <c r="D5941" s="124" t="s">
        <v>9380</v>
      </c>
      <c r="E5941" s="125"/>
      <c r="F5941" s="118" t="s">
        <v>1030</v>
      </c>
      <c r="G5941" s="126" t="s">
        <v>14322</v>
      </c>
      <c r="H5941" s="255">
        <v>2</v>
      </c>
      <c r="I5941" s="361">
        <v>1</v>
      </c>
      <c r="J5941" s="362" t="s">
        <v>286</v>
      </c>
      <c r="K5941" s="372"/>
      <c r="L5941" s="129"/>
      <c r="M5941" s="129"/>
      <c r="N5941" s="129"/>
      <c r="O5941" s="129"/>
      <c r="P5941" s="372"/>
      <c r="Q5941" s="372"/>
      <c r="R5941" s="129"/>
      <c r="S5941" s="129"/>
      <c r="T5941" s="129"/>
      <c r="W5941" s="129" t="s">
        <v>286</v>
      </c>
      <c r="X5941" s="337" t="b">
        <f t="shared" si="131"/>
        <v>1</v>
      </c>
    </row>
    <row r="5942" spans="1:24" s="337" customFormat="1" ht="12" customHeight="1" outlineLevel="1">
      <c r="A5942" s="335"/>
      <c r="B5942" s="118" t="s">
        <v>12</v>
      </c>
      <c r="C5942" s="334" t="s">
        <v>14768</v>
      </c>
      <c r="D5942" s="124" t="s">
        <v>9382</v>
      </c>
      <c r="E5942" s="125"/>
      <c r="F5942" s="118" t="s">
        <v>1030</v>
      </c>
      <c r="G5942" s="126" t="s">
        <v>14322</v>
      </c>
      <c r="H5942" s="255">
        <v>2</v>
      </c>
      <c r="I5942" s="361">
        <v>1</v>
      </c>
      <c r="J5942" s="362" t="s">
        <v>286</v>
      </c>
      <c r="L5942" s="129"/>
      <c r="M5942" s="129"/>
      <c r="N5942" s="129"/>
      <c r="O5942" s="129"/>
      <c r="P5942" s="372"/>
      <c r="Q5942" s="372"/>
      <c r="R5942" s="129"/>
      <c r="S5942" s="129"/>
      <c r="T5942" s="129"/>
      <c r="W5942" s="129" t="s">
        <v>286</v>
      </c>
      <c r="X5942" s="337" t="b">
        <f t="shared" si="131"/>
        <v>1</v>
      </c>
    </row>
    <row r="5943" spans="1:24" s="360" customFormat="1" ht="12" customHeight="1" outlineLevel="1">
      <c r="A5943" s="365"/>
      <c r="B5943" s="118" t="s">
        <v>12</v>
      </c>
      <c r="C5943" s="334" t="s">
        <v>14769</v>
      </c>
      <c r="D5943" s="124" t="s">
        <v>9384</v>
      </c>
      <c r="E5943" s="125"/>
      <c r="F5943" s="118" t="s">
        <v>1030</v>
      </c>
      <c r="G5943" s="126" t="s">
        <v>14322</v>
      </c>
      <c r="H5943" s="255">
        <v>2</v>
      </c>
      <c r="I5943" s="361">
        <v>1</v>
      </c>
      <c r="J5943" s="368" t="s">
        <v>286</v>
      </c>
      <c r="L5943" s="129"/>
      <c r="M5943" s="129"/>
      <c r="N5943" s="129"/>
      <c r="O5943" s="129"/>
      <c r="P5943" s="372"/>
      <c r="Q5943" s="372"/>
      <c r="R5943" s="129"/>
      <c r="S5943" s="129"/>
      <c r="T5943" s="129"/>
      <c r="W5943" s="129" t="s">
        <v>286</v>
      </c>
      <c r="X5943" s="337" t="b">
        <f t="shared" si="131"/>
        <v>1</v>
      </c>
    </row>
    <row r="5944" spans="1:24" s="337" customFormat="1" ht="12" customHeight="1" outlineLevel="1">
      <c r="A5944" s="335"/>
      <c r="B5944" s="118" t="s">
        <v>12</v>
      </c>
      <c r="C5944" s="334" t="s">
        <v>14770</v>
      </c>
      <c r="D5944" s="124" t="s">
        <v>9386</v>
      </c>
      <c r="E5944" s="125"/>
      <c r="F5944" s="118" t="s">
        <v>1030</v>
      </c>
      <c r="G5944" s="126" t="s">
        <v>14322</v>
      </c>
      <c r="H5944" s="255">
        <v>2</v>
      </c>
      <c r="I5944" s="361">
        <v>1</v>
      </c>
      <c r="J5944" s="362" t="s">
        <v>286</v>
      </c>
      <c r="L5944" s="129"/>
      <c r="M5944" s="129"/>
      <c r="N5944" s="129"/>
      <c r="O5944" s="129"/>
      <c r="P5944" s="372"/>
      <c r="Q5944" s="372"/>
      <c r="R5944" s="129"/>
      <c r="S5944" s="129"/>
      <c r="T5944" s="129"/>
      <c r="W5944" s="129" t="s">
        <v>286</v>
      </c>
      <c r="X5944" s="337" t="b">
        <f t="shared" si="131"/>
        <v>1</v>
      </c>
    </row>
    <row r="5945" spans="1:24" s="337" customFormat="1" ht="12" customHeight="1" outlineLevel="1">
      <c r="A5945" s="335"/>
      <c r="B5945" s="118" t="s">
        <v>12</v>
      </c>
      <c r="C5945" s="334" t="s">
        <v>14771</v>
      </c>
      <c r="D5945" s="124" t="s">
        <v>9388</v>
      </c>
      <c r="E5945" s="125"/>
      <c r="F5945" s="118" t="s">
        <v>1030</v>
      </c>
      <c r="G5945" s="126" t="s">
        <v>14322</v>
      </c>
      <c r="H5945" s="255">
        <v>2</v>
      </c>
      <c r="I5945" s="361">
        <v>1</v>
      </c>
      <c r="J5945" s="362" t="s">
        <v>286</v>
      </c>
      <c r="L5945" s="129"/>
      <c r="M5945" s="129"/>
      <c r="N5945" s="129"/>
      <c r="O5945" s="129"/>
      <c r="P5945" s="372"/>
      <c r="Q5945" s="372"/>
      <c r="R5945" s="129"/>
      <c r="S5945" s="129"/>
      <c r="T5945" s="129"/>
      <c r="W5945" s="129" t="s">
        <v>286</v>
      </c>
      <c r="X5945" s="337" t="b">
        <f t="shared" si="131"/>
        <v>1</v>
      </c>
    </row>
    <row r="5946" spans="1:24" s="337" customFormat="1" ht="12" customHeight="1" outlineLevel="1">
      <c r="A5946" s="335"/>
      <c r="B5946" s="118" t="s">
        <v>12</v>
      </c>
      <c r="C5946" s="334" t="s">
        <v>14772</v>
      </c>
      <c r="D5946" s="124" t="s">
        <v>9390</v>
      </c>
      <c r="E5946" s="125"/>
      <c r="F5946" s="118" t="s">
        <v>1030</v>
      </c>
      <c r="G5946" s="126" t="s">
        <v>14322</v>
      </c>
      <c r="H5946" s="255">
        <v>2</v>
      </c>
      <c r="I5946" s="361">
        <v>1</v>
      </c>
      <c r="J5946" s="362" t="s">
        <v>286</v>
      </c>
      <c r="L5946" s="129"/>
      <c r="M5946" s="129"/>
      <c r="N5946" s="129"/>
      <c r="O5946" s="129"/>
      <c r="P5946" s="372"/>
      <c r="Q5946" s="372"/>
      <c r="R5946" s="129"/>
      <c r="S5946" s="129"/>
      <c r="T5946" s="129"/>
      <c r="W5946" s="129" t="s">
        <v>286</v>
      </c>
      <c r="X5946" s="337" t="b">
        <f t="shared" si="131"/>
        <v>1</v>
      </c>
    </row>
    <row r="5947" spans="1:24" s="337" customFormat="1" ht="12" customHeight="1" outlineLevel="1">
      <c r="A5947" s="335"/>
      <c r="B5947" s="118" t="s">
        <v>12</v>
      </c>
      <c r="C5947" s="334" t="s">
        <v>14773</v>
      </c>
      <c r="D5947" s="124" t="s">
        <v>9392</v>
      </c>
      <c r="E5947" s="125"/>
      <c r="F5947" s="118" t="s">
        <v>1030</v>
      </c>
      <c r="G5947" s="126" t="s">
        <v>14322</v>
      </c>
      <c r="H5947" s="255">
        <v>2</v>
      </c>
      <c r="I5947" s="361">
        <v>1</v>
      </c>
      <c r="J5947" s="362" t="s">
        <v>286</v>
      </c>
      <c r="K5947" s="369"/>
      <c r="L5947" s="129"/>
      <c r="M5947" s="385"/>
      <c r="N5947" s="129"/>
      <c r="O5947" s="129"/>
      <c r="P5947" s="369"/>
      <c r="Q5947" s="129"/>
      <c r="R5947" s="129"/>
      <c r="S5947" s="129"/>
      <c r="T5947" s="129"/>
      <c r="W5947" s="129" t="s">
        <v>286</v>
      </c>
      <c r="X5947" s="337" t="b">
        <f t="shared" si="131"/>
        <v>1</v>
      </c>
    </row>
    <row r="5948" spans="1:24" s="360" customFormat="1" ht="12" customHeight="1" outlineLevel="1">
      <c r="A5948" s="365"/>
      <c r="B5948" s="118" t="s">
        <v>12</v>
      </c>
      <c r="C5948" s="334" t="s">
        <v>14774</v>
      </c>
      <c r="D5948" s="124" t="s">
        <v>9394</v>
      </c>
      <c r="E5948" s="125"/>
      <c r="F5948" s="118" t="s">
        <v>1030</v>
      </c>
      <c r="G5948" s="126" t="s">
        <v>14322</v>
      </c>
      <c r="H5948" s="255">
        <v>2</v>
      </c>
      <c r="I5948" s="361">
        <v>1</v>
      </c>
      <c r="J5948" s="368" t="s">
        <v>286</v>
      </c>
      <c r="K5948" s="372"/>
      <c r="L5948" s="129"/>
      <c r="M5948" s="129"/>
      <c r="N5948" s="129"/>
      <c r="O5948" s="129"/>
      <c r="P5948" s="372"/>
      <c r="Q5948" s="372"/>
      <c r="R5948" s="129"/>
      <c r="S5948" s="129"/>
      <c r="T5948" s="129"/>
      <c r="W5948" s="129" t="s">
        <v>286</v>
      </c>
      <c r="X5948" s="337" t="b">
        <f t="shared" si="131"/>
        <v>1</v>
      </c>
    </row>
    <row r="5949" spans="1:24" s="337" customFormat="1" ht="12" customHeight="1" outlineLevel="1">
      <c r="A5949" s="335"/>
      <c r="B5949" s="118" t="s">
        <v>12</v>
      </c>
      <c r="C5949" s="334" t="s">
        <v>14775</v>
      </c>
      <c r="D5949" s="124" t="s">
        <v>9396</v>
      </c>
      <c r="E5949" s="125"/>
      <c r="F5949" s="118" t="s">
        <v>1030</v>
      </c>
      <c r="G5949" s="126" t="s">
        <v>14322</v>
      </c>
      <c r="H5949" s="255">
        <v>2</v>
      </c>
      <c r="I5949" s="361">
        <v>1</v>
      </c>
      <c r="J5949" s="362" t="s">
        <v>286</v>
      </c>
      <c r="K5949" s="372"/>
      <c r="L5949" s="129"/>
      <c r="M5949" s="129"/>
      <c r="N5949" s="129"/>
      <c r="O5949" s="129"/>
      <c r="P5949" s="372"/>
      <c r="Q5949" s="372"/>
      <c r="R5949" s="129"/>
      <c r="S5949" s="129"/>
      <c r="T5949" s="129"/>
      <c r="W5949" s="129" t="s">
        <v>286</v>
      </c>
      <c r="X5949" s="337" t="b">
        <f t="shared" si="131"/>
        <v>1</v>
      </c>
    </row>
    <row r="5950" spans="1:24" s="337" customFormat="1" ht="12" customHeight="1" outlineLevel="1">
      <c r="A5950" s="335"/>
      <c r="B5950" s="118" t="s">
        <v>12</v>
      </c>
      <c r="C5950" s="334" t="s">
        <v>14776</v>
      </c>
      <c r="D5950" s="124" t="s">
        <v>9398</v>
      </c>
      <c r="E5950" s="125"/>
      <c r="F5950" s="118" t="s">
        <v>1030</v>
      </c>
      <c r="G5950" s="126" t="s">
        <v>14322</v>
      </c>
      <c r="H5950" s="255">
        <v>2</v>
      </c>
      <c r="I5950" s="361">
        <v>1</v>
      </c>
      <c r="J5950" s="362" t="s">
        <v>286</v>
      </c>
      <c r="K5950" s="372"/>
      <c r="L5950" s="129"/>
      <c r="M5950" s="129"/>
      <c r="N5950" s="129"/>
      <c r="O5950" s="129"/>
      <c r="P5950" s="372"/>
      <c r="Q5950" s="372"/>
      <c r="R5950" s="129"/>
      <c r="S5950" s="129"/>
      <c r="T5950" s="129"/>
      <c r="W5950" s="129" t="s">
        <v>286</v>
      </c>
      <c r="X5950" s="337" t="b">
        <f t="shared" si="131"/>
        <v>1</v>
      </c>
    </row>
    <row r="5951" spans="1:24" s="337" customFormat="1" ht="12" customHeight="1" outlineLevel="1">
      <c r="A5951" s="335"/>
      <c r="B5951" s="118" t="s">
        <v>12</v>
      </c>
      <c r="C5951" s="334" t="s">
        <v>14777</v>
      </c>
      <c r="D5951" s="124" t="s">
        <v>9402</v>
      </c>
      <c r="E5951" s="125"/>
      <c r="F5951" s="118" t="s">
        <v>1030</v>
      </c>
      <c r="G5951" s="126" t="s">
        <v>14322</v>
      </c>
      <c r="H5951" s="255">
        <v>2</v>
      </c>
      <c r="I5951" s="361">
        <v>1</v>
      </c>
      <c r="J5951" s="362" t="s">
        <v>286</v>
      </c>
      <c r="K5951" s="372"/>
      <c r="L5951" s="129"/>
      <c r="M5951" s="129"/>
      <c r="N5951" s="129"/>
      <c r="O5951" s="129"/>
      <c r="P5951" s="372"/>
      <c r="Q5951" s="372"/>
      <c r="R5951" s="129"/>
      <c r="S5951" s="129"/>
      <c r="T5951" s="129"/>
      <c r="W5951" s="129" t="s">
        <v>286</v>
      </c>
      <c r="X5951" s="337" t="b">
        <f t="shared" si="131"/>
        <v>1</v>
      </c>
    </row>
    <row r="5952" spans="1:24" s="360" customFormat="1" ht="12" customHeight="1" outlineLevel="1">
      <c r="A5952" s="365"/>
      <c r="B5952" s="118" t="s">
        <v>12</v>
      </c>
      <c r="C5952" s="334" t="s">
        <v>14778</v>
      </c>
      <c r="D5952" s="124" t="s">
        <v>9404</v>
      </c>
      <c r="E5952" s="125"/>
      <c r="F5952" s="118" t="s">
        <v>1030</v>
      </c>
      <c r="G5952" s="126" t="s">
        <v>14322</v>
      </c>
      <c r="H5952" s="255">
        <v>2</v>
      </c>
      <c r="I5952" s="361">
        <v>1</v>
      </c>
      <c r="J5952" s="366" t="s">
        <v>286</v>
      </c>
      <c r="W5952" s="129" t="s">
        <v>4876</v>
      </c>
      <c r="X5952" s="337" t="b">
        <f t="shared" si="131"/>
        <v>0</v>
      </c>
    </row>
    <row r="5953" spans="1:24" s="337" customFormat="1" ht="12" customHeight="1" outlineLevel="1">
      <c r="A5953" s="335"/>
      <c r="B5953" s="118" t="s">
        <v>12</v>
      </c>
      <c r="C5953" s="334" t="s">
        <v>14779</v>
      </c>
      <c r="D5953" s="124" t="s">
        <v>9406</v>
      </c>
      <c r="E5953" s="125"/>
      <c r="F5953" s="118" t="s">
        <v>1030</v>
      </c>
      <c r="G5953" s="126" t="s">
        <v>14322</v>
      </c>
      <c r="H5953" s="255">
        <v>2</v>
      </c>
      <c r="I5953" s="361">
        <v>1</v>
      </c>
      <c r="J5953" s="336" t="s">
        <v>286</v>
      </c>
      <c r="W5953" s="129" t="s">
        <v>286</v>
      </c>
      <c r="X5953" s="337" t="b">
        <f t="shared" si="131"/>
        <v>1</v>
      </c>
    </row>
    <row r="5954" spans="1:24" s="337" customFormat="1" ht="12" customHeight="1" outlineLevel="1">
      <c r="A5954" s="335"/>
      <c r="B5954" s="118" t="s">
        <v>12</v>
      </c>
      <c r="C5954" s="334" t="s">
        <v>14780</v>
      </c>
      <c r="D5954" s="124" t="s">
        <v>9408</v>
      </c>
      <c r="E5954" s="125"/>
      <c r="F5954" s="118" t="s">
        <v>1030</v>
      </c>
      <c r="G5954" s="126" t="s">
        <v>14322</v>
      </c>
      <c r="H5954" s="255">
        <v>2</v>
      </c>
      <c r="I5954" s="361">
        <v>1</v>
      </c>
      <c r="J5954" s="336" t="s">
        <v>286</v>
      </c>
      <c r="W5954" s="129" t="s">
        <v>286</v>
      </c>
      <c r="X5954" s="337" t="b">
        <f t="shared" si="131"/>
        <v>1</v>
      </c>
    </row>
    <row r="5955" spans="1:24" s="337" customFormat="1" ht="12" customHeight="1" outlineLevel="1">
      <c r="A5955" s="335"/>
      <c r="B5955" s="118" t="s">
        <v>12</v>
      </c>
      <c r="C5955" s="334" t="s">
        <v>14781</v>
      </c>
      <c r="D5955" s="124" t="s">
        <v>9410</v>
      </c>
      <c r="E5955" s="125"/>
      <c r="F5955" s="118" t="s">
        <v>1030</v>
      </c>
      <c r="G5955" s="126" t="s">
        <v>14322</v>
      </c>
      <c r="H5955" s="255">
        <v>2</v>
      </c>
      <c r="I5955" s="361">
        <v>1</v>
      </c>
      <c r="J5955" s="336" t="s">
        <v>286</v>
      </c>
      <c r="W5955" s="129" t="s">
        <v>286</v>
      </c>
      <c r="X5955" s="337" t="b">
        <f t="shared" si="131"/>
        <v>1</v>
      </c>
    </row>
    <row r="5956" spans="1:24" s="337" customFormat="1" ht="12" customHeight="1" outlineLevel="1">
      <c r="A5956" s="335"/>
      <c r="B5956" s="118" t="s">
        <v>12</v>
      </c>
      <c r="C5956" s="334" t="s">
        <v>14782</v>
      </c>
      <c r="D5956" s="124" t="s">
        <v>9412</v>
      </c>
      <c r="E5956" s="125"/>
      <c r="F5956" s="118" t="s">
        <v>1030</v>
      </c>
      <c r="G5956" s="126" t="s">
        <v>14322</v>
      </c>
      <c r="H5956" s="255">
        <v>2</v>
      </c>
      <c r="I5956" s="361">
        <v>1</v>
      </c>
      <c r="J5956" s="336" t="s">
        <v>286</v>
      </c>
      <c r="W5956" s="129" t="s">
        <v>286</v>
      </c>
      <c r="X5956" s="337" t="b">
        <f t="shared" si="131"/>
        <v>1</v>
      </c>
    </row>
    <row r="5957" spans="1:24" s="337" customFormat="1" ht="12" customHeight="1" outlineLevel="1">
      <c r="A5957" s="335"/>
      <c r="B5957" s="118" t="s">
        <v>12</v>
      </c>
      <c r="C5957" s="334" t="s">
        <v>14783</v>
      </c>
      <c r="D5957" s="124" t="s">
        <v>9414</v>
      </c>
      <c r="E5957" s="125"/>
      <c r="F5957" s="118" t="s">
        <v>1030</v>
      </c>
      <c r="G5957" s="126" t="s">
        <v>14322</v>
      </c>
      <c r="H5957" s="255">
        <v>2</v>
      </c>
      <c r="I5957" s="361">
        <v>1</v>
      </c>
      <c r="J5957" s="336" t="s">
        <v>286</v>
      </c>
      <c r="W5957" s="129" t="s">
        <v>286</v>
      </c>
      <c r="X5957" s="337" t="b">
        <f t="shared" si="131"/>
        <v>1</v>
      </c>
    </row>
    <row r="5958" spans="1:24" s="337" customFormat="1" ht="12" customHeight="1" outlineLevel="1">
      <c r="A5958" s="335"/>
      <c r="B5958" s="118" t="s">
        <v>12</v>
      </c>
      <c r="C5958" s="334" t="s">
        <v>14784</v>
      </c>
      <c r="D5958" s="124" t="s">
        <v>9416</v>
      </c>
      <c r="E5958" s="125"/>
      <c r="F5958" s="118" t="s">
        <v>1030</v>
      </c>
      <c r="G5958" s="126" t="s">
        <v>14322</v>
      </c>
      <c r="H5958" s="255">
        <v>2</v>
      </c>
      <c r="I5958" s="361">
        <v>1</v>
      </c>
      <c r="J5958" s="336" t="s">
        <v>286</v>
      </c>
      <c r="W5958" s="129" t="s">
        <v>286</v>
      </c>
      <c r="X5958" s="337" t="b">
        <f t="shared" si="131"/>
        <v>1</v>
      </c>
    </row>
    <row r="5959" spans="1:24" s="337" customFormat="1" ht="12" customHeight="1" outlineLevel="1">
      <c r="A5959" s="335"/>
      <c r="B5959" s="118" t="s">
        <v>12</v>
      </c>
      <c r="C5959" s="334" t="s">
        <v>14785</v>
      </c>
      <c r="D5959" s="124" t="s">
        <v>9418</v>
      </c>
      <c r="E5959" s="125"/>
      <c r="F5959" s="118" t="s">
        <v>1030</v>
      </c>
      <c r="G5959" s="126" t="s">
        <v>14322</v>
      </c>
      <c r="H5959" s="255">
        <v>2</v>
      </c>
      <c r="I5959" s="361">
        <v>1</v>
      </c>
      <c r="J5959" s="336" t="s">
        <v>286</v>
      </c>
      <c r="W5959" s="129" t="s">
        <v>286</v>
      </c>
      <c r="X5959" s="337" t="b">
        <f t="shared" si="131"/>
        <v>1</v>
      </c>
    </row>
    <row r="5960" spans="1:24" s="337" customFormat="1" ht="12" customHeight="1" outlineLevel="1">
      <c r="A5960" s="335"/>
      <c r="B5960" s="118" t="s">
        <v>12</v>
      </c>
      <c r="C5960" s="334" t="s">
        <v>14786</v>
      </c>
      <c r="D5960" s="124" t="s">
        <v>9420</v>
      </c>
      <c r="E5960" s="125"/>
      <c r="F5960" s="118" t="s">
        <v>1030</v>
      </c>
      <c r="G5960" s="126" t="s">
        <v>14322</v>
      </c>
      <c r="H5960" s="255">
        <v>2</v>
      </c>
      <c r="I5960" s="361">
        <v>1</v>
      </c>
      <c r="J5960" s="336" t="s">
        <v>286</v>
      </c>
      <c r="W5960" s="129" t="s">
        <v>286</v>
      </c>
      <c r="X5960" s="337" t="b">
        <f t="shared" si="131"/>
        <v>1</v>
      </c>
    </row>
    <row r="5961" spans="1:24" s="360" customFormat="1" ht="12" customHeight="1" outlineLevel="1">
      <c r="A5961" s="365"/>
      <c r="B5961" s="118" t="s">
        <v>12</v>
      </c>
      <c r="C5961" s="334" t="s">
        <v>14787</v>
      </c>
      <c r="D5961" s="124" t="s">
        <v>14788</v>
      </c>
      <c r="E5961" s="125"/>
      <c r="F5961" s="118" t="s">
        <v>1030</v>
      </c>
      <c r="G5961" s="126" t="s">
        <v>14322</v>
      </c>
      <c r="H5961" s="255">
        <v>2</v>
      </c>
      <c r="I5961" s="361">
        <v>1</v>
      </c>
      <c r="J5961" s="366" t="s">
        <v>286</v>
      </c>
      <c r="W5961" s="129" t="s">
        <v>286</v>
      </c>
      <c r="X5961" s="337" t="b">
        <f t="shared" si="131"/>
        <v>1</v>
      </c>
    </row>
    <row r="5962" spans="1:24" s="337" customFormat="1" ht="12" customHeight="1" outlineLevel="1">
      <c r="A5962" s="335"/>
      <c r="B5962" s="118" t="s">
        <v>12</v>
      </c>
      <c r="C5962" s="334" t="s">
        <v>14789</v>
      </c>
      <c r="D5962" s="124" t="s">
        <v>9400</v>
      </c>
      <c r="E5962" s="125"/>
      <c r="F5962" s="118" t="s">
        <v>1030</v>
      </c>
      <c r="G5962" s="126" t="s">
        <v>14322</v>
      </c>
      <c r="H5962" s="255">
        <v>2</v>
      </c>
      <c r="I5962" s="361">
        <v>1</v>
      </c>
      <c r="J5962" s="336" t="s">
        <v>286</v>
      </c>
      <c r="W5962" s="129" t="s">
        <v>286</v>
      </c>
      <c r="X5962" s="337" t="b">
        <f t="shared" si="131"/>
        <v>1</v>
      </c>
    </row>
    <row r="5963" spans="1:24" ht="3" customHeight="1"/>
    <row r="5964" spans="1:24" s="360" customFormat="1" ht="12" customHeight="1">
      <c r="A5964" s="110" t="s">
        <v>1083</v>
      </c>
      <c r="B5964" s="118"/>
      <c r="C5964" s="334"/>
      <c r="D5964" s="124"/>
      <c r="E5964" s="125"/>
      <c r="F5964" s="118"/>
      <c r="G5964" s="126"/>
      <c r="H5964" s="255"/>
      <c r="I5964" s="62"/>
      <c r="J5964" s="358"/>
      <c r="K5964" s="62"/>
      <c r="L5964" s="62"/>
      <c r="M5964" s="62"/>
      <c r="N5964" s="62"/>
      <c r="O5964" s="62"/>
      <c r="P5964" s="359"/>
      <c r="Q5964" s="359"/>
      <c r="R5964" s="359"/>
      <c r="S5964" s="359"/>
      <c r="T5964" s="359"/>
      <c r="U5964" s="62"/>
      <c r="W5964" s="359"/>
    </row>
    <row r="5965" spans="1:24" s="337" customFormat="1" ht="12" customHeight="1" outlineLevel="1">
      <c r="A5965" s="335"/>
      <c r="B5965" s="118" t="s">
        <v>12</v>
      </c>
      <c r="C5965" s="334" t="s">
        <v>14790</v>
      </c>
      <c r="D5965" s="124" t="s">
        <v>14791</v>
      </c>
      <c r="E5965" s="125"/>
      <c r="F5965" s="118" t="s">
        <v>1086</v>
      </c>
      <c r="G5965" s="126" t="s">
        <v>14792</v>
      </c>
      <c r="H5965" s="255">
        <v>1</v>
      </c>
      <c r="I5965" s="361">
        <v>1</v>
      </c>
      <c r="J5965" s="362" t="s">
        <v>286</v>
      </c>
      <c r="K5965" s="363"/>
      <c r="L5965" s="129"/>
      <c r="M5965" s="129"/>
      <c r="N5965" s="129"/>
      <c r="O5965" s="129"/>
      <c r="P5965" s="372"/>
      <c r="Q5965" s="372"/>
      <c r="R5965" s="129"/>
      <c r="S5965" s="129"/>
      <c r="T5965" s="129"/>
      <c r="U5965" s="363"/>
      <c r="W5965" s="129" t="s">
        <v>286</v>
      </c>
      <c r="X5965" s="337" t="b">
        <f t="shared" ref="X5965:X6028" si="132">W5965=J5965</f>
        <v>1</v>
      </c>
    </row>
    <row r="5966" spans="1:24" s="337" customFormat="1" ht="12" customHeight="1" outlineLevel="1">
      <c r="A5966" s="335"/>
      <c r="B5966" s="118" t="s">
        <v>12</v>
      </c>
      <c r="C5966" s="334" t="s">
        <v>14793</v>
      </c>
      <c r="D5966" s="124" t="s">
        <v>6275</v>
      </c>
      <c r="E5966" s="125"/>
      <c r="F5966" s="118" t="s">
        <v>1086</v>
      </c>
      <c r="G5966" s="126" t="s">
        <v>14792</v>
      </c>
      <c r="H5966" s="255">
        <v>1</v>
      </c>
      <c r="I5966" s="361">
        <v>1</v>
      </c>
      <c r="J5966" s="362" t="s">
        <v>307</v>
      </c>
      <c r="K5966" s="363"/>
      <c r="L5966" s="129"/>
      <c r="M5966" s="129"/>
      <c r="N5966" s="129"/>
      <c r="O5966" s="129"/>
      <c r="P5966" s="372"/>
      <c r="Q5966" s="372"/>
      <c r="R5966" s="129"/>
      <c r="S5966" s="129"/>
      <c r="T5966" s="129"/>
      <c r="U5966" s="363"/>
      <c r="W5966" s="129" t="s">
        <v>310</v>
      </c>
      <c r="X5966" s="337" t="b">
        <f t="shared" si="132"/>
        <v>0</v>
      </c>
    </row>
    <row r="5967" spans="1:24" s="337" customFormat="1" ht="12" customHeight="1" outlineLevel="1">
      <c r="A5967" s="335"/>
      <c r="B5967" s="118" t="s">
        <v>12</v>
      </c>
      <c r="C5967" s="334" t="s">
        <v>14794</v>
      </c>
      <c r="D5967" s="124" t="s">
        <v>14795</v>
      </c>
      <c r="E5967" s="125"/>
      <c r="F5967" s="118" t="s">
        <v>1086</v>
      </c>
      <c r="G5967" s="126" t="s">
        <v>14792</v>
      </c>
      <c r="H5967" s="255">
        <v>1</v>
      </c>
      <c r="I5967" s="361">
        <v>1</v>
      </c>
      <c r="J5967" s="362" t="s">
        <v>286</v>
      </c>
      <c r="K5967" s="363"/>
      <c r="L5967" s="129"/>
      <c r="M5967" s="129"/>
      <c r="N5967" s="129"/>
      <c r="O5967" s="129"/>
      <c r="P5967" s="372"/>
      <c r="Q5967" s="372"/>
      <c r="R5967" s="129"/>
      <c r="S5967" s="129"/>
      <c r="T5967" s="129"/>
      <c r="U5967" s="363"/>
      <c r="W5967" s="129" t="s">
        <v>4876</v>
      </c>
      <c r="X5967" s="337" t="b">
        <f t="shared" si="132"/>
        <v>0</v>
      </c>
    </row>
    <row r="5968" spans="1:24" s="337" customFormat="1" ht="12" customHeight="1" outlineLevel="1">
      <c r="A5968" s="335"/>
      <c r="B5968" s="118" t="s">
        <v>12</v>
      </c>
      <c r="C5968" s="334" t="s">
        <v>14796</v>
      </c>
      <c r="D5968" s="124" t="s">
        <v>14797</v>
      </c>
      <c r="E5968" s="125"/>
      <c r="F5968" s="118" t="s">
        <v>1086</v>
      </c>
      <c r="G5968" s="126" t="s">
        <v>14792</v>
      </c>
      <c r="H5968" s="255">
        <v>1</v>
      </c>
      <c r="I5968" s="361">
        <v>1</v>
      </c>
      <c r="J5968" s="362" t="s">
        <v>286</v>
      </c>
      <c r="K5968" s="363"/>
      <c r="L5968" s="129"/>
      <c r="M5968" s="129"/>
      <c r="N5968" s="129"/>
      <c r="O5968" s="129"/>
      <c r="P5968" s="372"/>
      <c r="Q5968" s="372"/>
      <c r="R5968" s="129"/>
      <c r="S5968" s="129"/>
      <c r="T5968" s="129"/>
      <c r="U5968" s="363"/>
      <c r="W5968" s="129" t="s">
        <v>4876</v>
      </c>
      <c r="X5968" s="337" t="b">
        <f t="shared" si="132"/>
        <v>0</v>
      </c>
    </row>
    <row r="5969" spans="1:24" s="337" customFormat="1" ht="12" customHeight="1" outlineLevel="1">
      <c r="A5969" s="335"/>
      <c r="B5969" s="118" t="s">
        <v>12</v>
      </c>
      <c r="C5969" s="334" t="s">
        <v>14798</v>
      </c>
      <c r="D5969" s="124" t="s">
        <v>14799</v>
      </c>
      <c r="E5969" s="125"/>
      <c r="F5969" s="118" t="s">
        <v>1086</v>
      </c>
      <c r="G5969" s="126" t="s">
        <v>14792</v>
      </c>
      <c r="H5969" s="255">
        <v>1</v>
      </c>
      <c r="I5969" s="361">
        <v>1</v>
      </c>
      <c r="J5969" s="362" t="s">
        <v>286</v>
      </c>
      <c r="K5969" s="363"/>
      <c r="L5969" s="129"/>
      <c r="M5969" s="129"/>
      <c r="N5969" s="129"/>
      <c r="O5969" s="129"/>
      <c r="P5969" s="372"/>
      <c r="Q5969" s="372"/>
      <c r="R5969" s="129"/>
      <c r="S5969" s="129"/>
      <c r="T5969" s="129"/>
      <c r="U5969" s="363"/>
      <c r="W5969" s="129" t="s">
        <v>4876</v>
      </c>
      <c r="X5969" s="337" t="b">
        <f t="shared" si="132"/>
        <v>0</v>
      </c>
    </row>
    <row r="5970" spans="1:24" s="337" customFormat="1" ht="12" customHeight="1" outlineLevel="1">
      <c r="A5970" s="335"/>
      <c r="B5970" s="118" t="s">
        <v>12</v>
      </c>
      <c r="C5970" s="334" t="s">
        <v>14800</v>
      </c>
      <c r="D5970" s="124" t="s">
        <v>14801</v>
      </c>
      <c r="E5970" s="125"/>
      <c r="F5970" s="118" t="s">
        <v>1086</v>
      </c>
      <c r="G5970" s="126" t="s">
        <v>14792</v>
      </c>
      <c r="H5970" s="255">
        <v>1</v>
      </c>
      <c r="I5970" s="361">
        <v>1</v>
      </c>
      <c r="J5970" s="362" t="s">
        <v>286</v>
      </c>
      <c r="K5970" s="363"/>
      <c r="L5970" s="129"/>
      <c r="M5970" s="129"/>
      <c r="N5970" s="129"/>
      <c r="O5970" s="129"/>
      <c r="P5970" s="372"/>
      <c r="Q5970" s="372"/>
      <c r="R5970" s="129"/>
      <c r="S5970" s="129"/>
      <c r="T5970" s="129"/>
      <c r="U5970" s="363"/>
      <c r="W5970" s="129" t="s">
        <v>4876</v>
      </c>
      <c r="X5970" s="337" t="b">
        <f t="shared" si="132"/>
        <v>0</v>
      </c>
    </row>
    <row r="5971" spans="1:24" s="337" customFormat="1" ht="12" customHeight="1" outlineLevel="1">
      <c r="A5971" s="335"/>
      <c r="B5971" s="118" t="s">
        <v>12</v>
      </c>
      <c r="C5971" s="334" t="s">
        <v>14802</v>
      </c>
      <c r="D5971" s="124" t="s">
        <v>14803</v>
      </c>
      <c r="E5971" s="125"/>
      <c r="F5971" s="118" t="s">
        <v>1086</v>
      </c>
      <c r="G5971" s="126" t="s">
        <v>14792</v>
      </c>
      <c r="H5971" s="255">
        <v>1</v>
      </c>
      <c r="I5971" s="361">
        <v>1</v>
      </c>
      <c r="J5971" s="362" t="s">
        <v>286</v>
      </c>
      <c r="K5971" s="363"/>
      <c r="L5971" s="129"/>
      <c r="M5971" s="129"/>
      <c r="N5971" s="129"/>
      <c r="O5971" s="129"/>
      <c r="P5971" s="372"/>
      <c r="Q5971" s="372"/>
      <c r="R5971" s="129"/>
      <c r="S5971" s="129"/>
      <c r="T5971" s="129"/>
      <c r="U5971" s="363"/>
      <c r="W5971" s="129" t="s">
        <v>4876</v>
      </c>
      <c r="X5971" s="337" t="b">
        <f t="shared" si="132"/>
        <v>0</v>
      </c>
    </row>
    <row r="5972" spans="1:24" s="337" customFormat="1" ht="12" customHeight="1" outlineLevel="1">
      <c r="A5972" s="335"/>
      <c r="B5972" s="118" t="s">
        <v>12</v>
      </c>
      <c r="C5972" s="334" t="s">
        <v>14804</v>
      </c>
      <c r="D5972" s="124" t="s">
        <v>14805</v>
      </c>
      <c r="E5972" s="125"/>
      <c r="F5972" s="118" t="s">
        <v>1086</v>
      </c>
      <c r="G5972" s="126" t="s">
        <v>14792</v>
      </c>
      <c r="H5972" s="255">
        <v>1</v>
      </c>
      <c r="I5972" s="361">
        <v>1</v>
      </c>
      <c r="J5972" s="362" t="s">
        <v>286</v>
      </c>
      <c r="K5972" s="363"/>
      <c r="L5972" s="129"/>
      <c r="M5972" s="129"/>
      <c r="N5972" s="129"/>
      <c r="O5972" s="129"/>
      <c r="P5972" s="372"/>
      <c r="Q5972" s="372"/>
      <c r="R5972" s="129"/>
      <c r="S5972" s="129"/>
      <c r="T5972" s="129"/>
      <c r="U5972" s="363"/>
      <c r="W5972" s="129" t="s">
        <v>4876</v>
      </c>
      <c r="X5972" s="337" t="b">
        <f t="shared" si="132"/>
        <v>0</v>
      </c>
    </row>
    <row r="5973" spans="1:24" s="337" customFormat="1" ht="12" customHeight="1" outlineLevel="1">
      <c r="A5973" s="335"/>
      <c r="B5973" s="118" t="s">
        <v>12</v>
      </c>
      <c r="C5973" s="334" t="s">
        <v>14806</v>
      </c>
      <c r="D5973" s="124" t="s">
        <v>14807</v>
      </c>
      <c r="E5973" s="125"/>
      <c r="F5973" s="118" t="s">
        <v>1086</v>
      </c>
      <c r="G5973" s="126" t="s">
        <v>14792</v>
      </c>
      <c r="H5973" s="255">
        <v>1</v>
      </c>
      <c r="I5973" s="361">
        <v>1</v>
      </c>
      <c r="J5973" s="362" t="s">
        <v>286</v>
      </c>
      <c r="K5973" s="363"/>
      <c r="L5973" s="129"/>
      <c r="M5973" s="129"/>
      <c r="N5973" s="129"/>
      <c r="O5973" s="129"/>
      <c r="P5973" s="372"/>
      <c r="Q5973" s="372"/>
      <c r="R5973" s="129"/>
      <c r="S5973" s="129"/>
      <c r="T5973" s="129"/>
      <c r="U5973" s="363"/>
      <c r="W5973" s="129" t="s">
        <v>4876</v>
      </c>
      <c r="X5973" s="337" t="b">
        <f t="shared" si="132"/>
        <v>0</v>
      </c>
    </row>
    <row r="5974" spans="1:24" s="337" customFormat="1" ht="12" customHeight="1" outlineLevel="1">
      <c r="A5974" s="335"/>
      <c r="B5974" s="118" t="s">
        <v>12</v>
      </c>
      <c r="C5974" s="334" t="s">
        <v>14808</v>
      </c>
      <c r="D5974" s="124" t="s">
        <v>14809</v>
      </c>
      <c r="E5974" s="125"/>
      <c r="F5974" s="118" t="s">
        <v>1086</v>
      </c>
      <c r="G5974" s="126" t="s">
        <v>14792</v>
      </c>
      <c r="H5974" s="255">
        <v>1</v>
      </c>
      <c r="I5974" s="361">
        <v>1</v>
      </c>
      <c r="J5974" s="362" t="s">
        <v>286</v>
      </c>
      <c r="K5974" s="363"/>
      <c r="L5974" s="129"/>
      <c r="M5974" s="129"/>
      <c r="N5974" s="129"/>
      <c r="O5974" s="129"/>
      <c r="P5974" s="372"/>
      <c r="Q5974" s="372"/>
      <c r="R5974" s="129"/>
      <c r="S5974" s="129"/>
      <c r="T5974" s="129"/>
      <c r="U5974" s="363"/>
      <c r="W5974" s="129" t="s">
        <v>4876</v>
      </c>
      <c r="X5974" s="337" t="b">
        <f t="shared" si="132"/>
        <v>0</v>
      </c>
    </row>
    <row r="5975" spans="1:24" s="337" customFormat="1" ht="12" customHeight="1" outlineLevel="1">
      <c r="A5975" s="335"/>
      <c r="B5975" s="118" t="s">
        <v>12</v>
      </c>
      <c r="C5975" s="334" t="s">
        <v>14810</v>
      </c>
      <c r="D5975" s="124" t="s">
        <v>14811</v>
      </c>
      <c r="E5975" s="125"/>
      <c r="F5975" s="118" t="s">
        <v>1086</v>
      </c>
      <c r="G5975" s="126" t="s">
        <v>14792</v>
      </c>
      <c r="H5975" s="255">
        <v>1</v>
      </c>
      <c r="I5975" s="361">
        <v>1</v>
      </c>
      <c r="J5975" s="362" t="s">
        <v>286</v>
      </c>
      <c r="K5975" s="363"/>
      <c r="L5975" s="129"/>
      <c r="M5975" s="129"/>
      <c r="N5975" s="129"/>
      <c r="O5975" s="129"/>
      <c r="P5975" s="372"/>
      <c r="Q5975" s="372"/>
      <c r="R5975" s="129"/>
      <c r="S5975" s="129"/>
      <c r="T5975" s="129"/>
      <c r="U5975" s="363"/>
      <c r="W5975" s="129" t="s">
        <v>4876</v>
      </c>
      <c r="X5975" s="337" t="b">
        <f t="shared" si="132"/>
        <v>0</v>
      </c>
    </row>
    <row r="5976" spans="1:24" s="337" customFormat="1" ht="12" customHeight="1" outlineLevel="1">
      <c r="A5976" s="335"/>
      <c r="B5976" s="118" t="s">
        <v>12</v>
      </c>
      <c r="C5976" s="334" t="s">
        <v>14812</v>
      </c>
      <c r="D5976" s="124" t="s">
        <v>14813</v>
      </c>
      <c r="E5976" s="125"/>
      <c r="F5976" s="118" t="s">
        <v>1086</v>
      </c>
      <c r="G5976" s="126" t="s">
        <v>14792</v>
      </c>
      <c r="H5976" s="255">
        <v>1</v>
      </c>
      <c r="I5976" s="361">
        <v>1</v>
      </c>
      <c r="J5976" s="362" t="s">
        <v>286</v>
      </c>
      <c r="K5976" s="363"/>
      <c r="L5976" s="129"/>
      <c r="M5976" s="129"/>
      <c r="N5976" s="129"/>
      <c r="O5976" s="129"/>
      <c r="P5976" s="372"/>
      <c r="Q5976" s="372"/>
      <c r="R5976" s="129"/>
      <c r="S5976" s="129"/>
      <c r="T5976" s="129"/>
      <c r="U5976" s="363"/>
      <c r="W5976" s="129" t="s">
        <v>4876</v>
      </c>
      <c r="X5976" s="337" t="b">
        <f t="shared" si="132"/>
        <v>0</v>
      </c>
    </row>
    <row r="5977" spans="1:24" s="337" customFormat="1" ht="12" customHeight="1" outlineLevel="1">
      <c r="A5977" s="335"/>
      <c r="B5977" s="118" t="s">
        <v>12</v>
      </c>
      <c r="C5977" s="334" t="s">
        <v>14814</v>
      </c>
      <c r="D5977" s="124" t="s">
        <v>14815</v>
      </c>
      <c r="E5977" s="125"/>
      <c r="F5977" s="118" t="s">
        <v>1086</v>
      </c>
      <c r="G5977" s="126" t="s">
        <v>14792</v>
      </c>
      <c r="H5977" s="255">
        <v>1</v>
      </c>
      <c r="I5977" s="361">
        <v>1</v>
      </c>
      <c r="J5977" s="362" t="s">
        <v>286</v>
      </c>
      <c r="K5977" s="363"/>
      <c r="L5977" s="129"/>
      <c r="M5977" s="129"/>
      <c r="N5977" s="129"/>
      <c r="O5977" s="129"/>
      <c r="P5977" s="372"/>
      <c r="Q5977" s="372"/>
      <c r="R5977" s="129"/>
      <c r="S5977" s="129"/>
      <c r="T5977" s="129"/>
      <c r="U5977" s="363"/>
      <c r="W5977" s="129" t="s">
        <v>4876</v>
      </c>
      <c r="X5977" s="337" t="b">
        <f t="shared" si="132"/>
        <v>0</v>
      </c>
    </row>
    <row r="5978" spans="1:24" s="337" customFormat="1" ht="12" customHeight="1" outlineLevel="1">
      <c r="A5978" s="335"/>
      <c r="B5978" s="118" t="s">
        <v>12</v>
      </c>
      <c r="C5978" s="334" t="s">
        <v>14816</v>
      </c>
      <c r="D5978" s="124" t="s">
        <v>14817</v>
      </c>
      <c r="E5978" s="125"/>
      <c r="F5978" s="118" t="s">
        <v>1086</v>
      </c>
      <c r="G5978" s="126" t="s">
        <v>14792</v>
      </c>
      <c r="H5978" s="255">
        <v>1</v>
      </c>
      <c r="I5978" s="361">
        <v>1</v>
      </c>
      <c r="J5978" s="362" t="s">
        <v>286</v>
      </c>
      <c r="K5978" s="363"/>
      <c r="L5978" s="129"/>
      <c r="M5978" s="129"/>
      <c r="N5978" s="129"/>
      <c r="O5978" s="129"/>
      <c r="P5978" s="372"/>
      <c r="Q5978" s="372"/>
      <c r="R5978" s="129"/>
      <c r="S5978" s="129"/>
      <c r="T5978" s="129"/>
      <c r="U5978" s="363"/>
      <c r="W5978" s="129" t="s">
        <v>4876</v>
      </c>
      <c r="X5978" s="337" t="b">
        <f t="shared" si="132"/>
        <v>0</v>
      </c>
    </row>
    <row r="5979" spans="1:24" s="337" customFormat="1" ht="12" customHeight="1" outlineLevel="1">
      <c r="A5979" s="335"/>
      <c r="B5979" s="118" t="s">
        <v>12</v>
      </c>
      <c r="C5979" s="334" t="s">
        <v>14818</v>
      </c>
      <c r="D5979" s="124" t="s">
        <v>14819</v>
      </c>
      <c r="E5979" s="125"/>
      <c r="F5979" s="118" t="s">
        <v>1086</v>
      </c>
      <c r="G5979" s="126" t="s">
        <v>14792</v>
      </c>
      <c r="H5979" s="255">
        <v>1</v>
      </c>
      <c r="I5979" s="361">
        <v>1</v>
      </c>
      <c r="J5979" s="362" t="s">
        <v>286</v>
      </c>
      <c r="K5979" s="363"/>
      <c r="L5979" s="129"/>
      <c r="M5979" s="129"/>
      <c r="N5979" s="129"/>
      <c r="O5979" s="129"/>
      <c r="P5979" s="372"/>
      <c r="Q5979" s="372"/>
      <c r="R5979" s="129"/>
      <c r="S5979" s="129"/>
      <c r="T5979" s="129"/>
      <c r="U5979" s="363"/>
      <c r="W5979" s="129" t="s">
        <v>4876</v>
      </c>
      <c r="X5979" s="337" t="b">
        <f t="shared" si="132"/>
        <v>0</v>
      </c>
    </row>
    <row r="5980" spans="1:24" s="337" customFormat="1" ht="12" customHeight="1" outlineLevel="1">
      <c r="A5980" s="335"/>
      <c r="B5980" s="118" t="s">
        <v>12</v>
      </c>
      <c r="C5980" s="334" t="s">
        <v>14820</v>
      </c>
      <c r="D5980" s="124" t="s">
        <v>8619</v>
      </c>
      <c r="E5980" s="125"/>
      <c r="F5980" s="118" t="s">
        <v>1086</v>
      </c>
      <c r="G5980" s="126" t="s">
        <v>14792</v>
      </c>
      <c r="H5980" s="255">
        <v>1</v>
      </c>
      <c r="I5980" s="361">
        <v>1</v>
      </c>
      <c r="J5980" s="362" t="s">
        <v>310</v>
      </c>
      <c r="K5980" s="363"/>
      <c r="L5980" s="129"/>
      <c r="M5980" s="129"/>
      <c r="N5980" s="129"/>
      <c r="O5980" s="129"/>
      <c r="P5980" s="372"/>
      <c r="Q5980" s="372"/>
      <c r="R5980" s="129"/>
      <c r="S5980" s="129"/>
      <c r="T5980" s="129"/>
      <c r="U5980" s="363"/>
      <c r="W5980" s="129" t="s">
        <v>4876</v>
      </c>
      <c r="X5980" s="337" t="b">
        <f t="shared" si="132"/>
        <v>0</v>
      </c>
    </row>
    <row r="5981" spans="1:24" s="337" customFormat="1" ht="12" customHeight="1" outlineLevel="1">
      <c r="A5981" s="335"/>
      <c r="B5981" s="118" t="s">
        <v>12</v>
      </c>
      <c r="C5981" s="334" t="s">
        <v>14821</v>
      </c>
      <c r="D5981" s="124" t="s">
        <v>14822</v>
      </c>
      <c r="E5981" s="125"/>
      <c r="F5981" s="118" t="s">
        <v>1086</v>
      </c>
      <c r="G5981" s="126" t="s">
        <v>14792</v>
      </c>
      <c r="H5981" s="255">
        <v>1</v>
      </c>
      <c r="I5981" s="361">
        <v>1</v>
      </c>
      <c r="J5981" s="362" t="s">
        <v>743</v>
      </c>
      <c r="K5981" s="363"/>
      <c r="L5981" s="129"/>
      <c r="M5981" s="129"/>
      <c r="N5981" s="129"/>
      <c r="O5981" s="129"/>
      <c r="P5981" s="372"/>
      <c r="Q5981" s="372"/>
      <c r="R5981" s="129"/>
      <c r="S5981" s="129"/>
      <c r="T5981" s="129"/>
      <c r="U5981" s="363"/>
      <c r="W5981" s="129" t="s">
        <v>4876</v>
      </c>
      <c r="X5981" s="337" t="b">
        <f t="shared" si="132"/>
        <v>0</v>
      </c>
    </row>
    <row r="5982" spans="1:24" s="337" customFormat="1" ht="12" customHeight="1" outlineLevel="1">
      <c r="A5982" s="335"/>
      <c r="B5982" s="118" t="s">
        <v>12</v>
      </c>
      <c r="C5982" s="334" t="s">
        <v>14823</v>
      </c>
      <c r="D5982" s="124" t="s">
        <v>7150</v>
      </c>
      <c r="E5982" s="125"/>
      <c r="F5982" s="118" t="s">
        <v>1086</v>
      </c>
      <c r="G5982" s="126" t="s">
        <v>14792</v>
      </c>
      <c r="H5982" s="255">
        <v>1</v>
      </c>
      <c r="I5982" s="361">
        <v>1</v>
      </c>
      <c r="J5982" s="362" t="s">
        <v>307</v>
      </c>
      <c r="K5982" s="363"/>
      <c r="L5982" s="129"/>
      <c r="M5982" s="129"/>
      <c r="N5982" s="129"/>
      <c r="O5982" s="129"/>
      <c r="P5982" s="372"/>
      <c r="Q5982" s="372"/>
      <c r="R5982" s="129"/>
      <c r="S5982" s="129"/>
      <c r="T5982" s="129"/>
      <c r="U5982" s="363"/>
      <c r="W5982" s="129" t="s">
        <v>4876</v>
      </c>
      <c r="X5982" s="337" t="b">
        <f t="shared" si="132"/>
        <v>0</v>
      </c>
    </row>
    <row r="5983" spans="1:24" s="337" customFormat="1" ht="12" customHeight="1" outlineLevel="1">
      <c r="A5983" s="335"/>
      <c r="B5983" s="118" t="s">
        <v>12</v>
      </c>
      <c r="C5983" s="334" t="s">
        <v>14824</v>
      </c>
      <c r="D5983" s="124" t="s">
        <v>14825</v>
      </c>
      <c r="E5983" s="125"/>
      <c r="F5983" s="118" t="s">
        <v>1086</v>
      </c>
      <c r="G5983" s="126" t="s">
        <v>14792</v>
      </c>
      <c r="H5983" s="255">
        <v>1</v>
      </c>
      <c r="I5983" s="361">
        <v>1</v>
      </c>
      <c r="J5983" s="362" t="s">
        <v>286</v>
      </c>
      <c r="K5983" s="363"/>
      <c r="L5983" s="129"/>
      <c r="M5983" s="129"/>
      <c r="N5983" s="129"/>
      <c r="O5983" s="129"/>
      <c r="P5983" s="372"/>
      <c r="Q5983" s="372"/>
      <c r="R5983" s="129"/>
      <c r="S5983" s="129"/>
      <c r="T5983" s="129"/>
      <c r="U5983" s="363"/>
      <c r="W5983" s="129" t="s">
        <v>4876</v>
      </c>
      <c r="X5983" s="337" t="b">
        <f t="shared" si="132"/>
        <v>0</v>
      </c>
    </row>
    <row r="5984" spans="1:24" s="337" customFormat="1" ht="12" customHeight="1" outlineLevel="1">
      <c r="A5984" s="335"/>
      <c r="B5984" s="118" t="s">
        <v>12</v>
      </c>
      <c r="C5984" s="334" t="s">
        <v>14826</v>
      </c>
      <c r="D5984" s="124" t="s">
        <v>14827</v>
      </c>
      <c r="E5984" s="125"/>
      <c r="F5984" s="118" t="s">
        <v>1086</v>
      </c>
      <c r="G5984" s="126" t="s">
        <v>14792</v>
      </c>
      <c r="H5984" s="255">
        <v>1</v>
      </c>
      <c r="I5984" s="361">
        <v>1</v>
      </c>
      <c r="J5984" s="362" t="s">
        <v>325</v>
      </c>
      <c r="K5984" s="363"/>
      <c r="L5984" s="129"/>
      <c r="M5984" s="129"/>
      <c r="N5984" s="129"/>
      <c r="O5984" s="129"/>
      <c r="P5984" s="372"/>
      <c r="Q5984" s="372"/>
      <c r="R5984" s="129"/>
      <c r="S5984" s="129"/>
      <c r="T5984" s="129"/>
      <c r="U5984" s="363"/>
      <c r="W5984" s="129" t="s">
        <v>4876</v>
      </c>
      <c r="X5984" s="337" t="b">
        <f t="shared" si="132"/>
        <v>0</v>
      </c>
    </row>
    <row r="5985" spans="1:24" s="337" customFormat="1" ht="12" customHeight="1" outlineLevel="1">
      <c r="A5985" s="335"/>
      <c r="B5985" s="118" t="s">
        <v>12</v>
      </c>
      <c r="C5985" s="334" t="s">
        <v>14828</v>
      </c>
      <c r="D5985" s="124" t="s">
        <v>14829</v>
      </c>
      <c r="E5985" s="125"/>
      <c r="F5985" s="118" t="s">
        <v>1086</v>
      </c>
      <c r="G5985" s="126" t="s">
        <v>14792</v>
      </c>
      <c r="H5985" s="255">
        <v>1</v>
      </c>
      <c r="I5985" s="361">
        <v>1</v>
      </c>
      <c r="J5985" s="362" t="s">
        <v>325</v>
      </c>
      <c r="K5985" s="363"/>
      <c r="L5985" s="129"/>
      <c r="M5985" s="129"/>
      <c r="N5985" s="129"/>
      <c r="O5985" s="129"/>
      <c r="P5985" s="372"/>
      <c r="Q5985" s="372"/>
      <c r="R5985" s="129"/>
      <c r="S5985" s="129"/>
      <c r="T5985" s="129"/>
      <c r="U5985" s="363"/>
      <c r="W5985" s="129" t="s">
        <v>4876</v>
      </c>
      <c r="X5985" s="337" t="b">
        <f t="shared" si="132"/>
        <v>0</v>
      </c>
    </row>
    <row r="5986" spans="1:24" s="337" customFormat="1" ht="12" customHeight="1" outlineLevel="1">
      <c r="A5986" s="335"/>
      <c r="B5986" s="118" t="s">
        <v>12</v>
      </c>
      <c r="C5986" s="334" t="s">
        <v>14830</v>
      </c>
      <c r="D5986" s="124" t="s">
        <v>14831</v>
      </c>
      <c r="E5986" s="125"/>
      <c r="F5986" s="118" t="s">
        <v>1086</v>
      </c>
      <c r="G5986" s="126" t="s">
        <v>14792</v>
      </c>
      <c r="H5986" s="255">
        <v>1</v>
      </c>
      <c r="I5986" s="361">
        <v>1</v>
      </c>
      <c r="J5986" s="362" t="s">
        <v>325</v>
      </c>
      <c r="K5986" s="363"/>
      <c r="L5986" s="129"/>
      <c r="M5986" s="129"/>
      <c r="N5986" s="129"/>
      <c r="O5986" s="129"/>
      <c r="P5986" s="372"/>
      <c r="Q5986" s="372"/>
      <c r="R5986" s="129"/>
      <c r="S5986" s="129"/>
      <c r="T5986" s="129"/>
      <c r="U5986" s="363"/>
      <c r="W5986" s="129" t="s">
        <v>4876</v>
      </c>
      <c r="X5986" s="337" t="b">
        <f t="shared" si="132"/>
        <v>0</v>
      </c>
    </row>
    <row r="5987" spans="1:24" s="337" customFormat="1" ht="12" customHeight="1" outlineLevel="1">
      <c r="A5987" s="335"/>
      <c r="B5987" s="118" t="s">
        <v>12</v>
      </c>
      <c r="C5987" s="334" t="s">
        <v>14832</v>
      </c>
      <c r="D5987" s="124" t="s">
        <v>14833</v>
      </c>
      <c r="E5987" s="125"/>
      <c r="F5987" s="118" t="s">
        <v>1086</v>
      </c>
      <c r="G5987" s="126" t="s">
        <v>14792</v>
      </c>
      <c r="H5987" s="255">
        <v>1</v>
      </c>
      <c r="I5987" s="361">
        <v>1</v>
      </c>
      <c r="J5987" s="362" t="s">
        <v>743</v>
      </c>
      <c r="K5987" s="363"/>
      <c r="L5987" s="129"/>
      <c r="M5987" s="129"/>
      <c r="N5987" s="129"/>
      <c r="O5987" s="129"/>
      <c r="P5987" s="372"/>
      <c r="Q5987" s="372"/>
      <c r="R5987" s="129"/>
      <c r="S5987" s="129"/>
      <c r="T5987" s="129"/>
      <c r="U5987" s="363"/>
      <c r="W5987" s="129" t="s">
        <v>4876</v>
      </c>
      <c r="X5987" s="337" t="b">
        <f t="shared" si="132"/>
        <v>0</v>
      </c>
    </row>
    <row r="5988" spans="1:24" s="337" customFormat="1" ht="12" customHeight="1" outlineLevel="1">
      <c r="A5988" s="335"/>
      <c r="B5988" s="118" t="s">
        <v>12</v>
      </c>
      <c r="C5988" s="334" t="s">
        <v>14834</v>
      </c>
      <c r="D5988" s="124" t="s">
        <v>14835</v>
      </c>
      <c r="E5988" s="125"/>
      <c r="F5988" s="118" t="s">
        <v>1086</v>
      </c>
      <c r="G5988" s="126" t="s">
        <v>14792</v>
      </c>
      <c r="H5988" s="255">
        <v>1</v>
      </c>
      <c r="I5988" s="361">
        <v>1</v>
      </c>
      <c r="J5988" s="362" t="s">
        <v>307</v>
      </c>
      <c r="K5988" s="363"/>
      <c r="L5988" s="129"/>
      <c r="M5988" s="129"/>
      <c r="N5988" s="129"/>
      <c r="O5988" s="129"/>
      <c r="P5988" s="372"/>
      <c r="Q5988" s="372"/>
      <c r="R5988" s="129"/>
      <c r="S5988" s="129"/>
      <c r="T5988" s="129"/>
      <c r="U5988" s="363"/>
      <c r="W5988" s="129" t="s">
        <v>4876</v>
      </c>
      <c r="X5988" s="337" t="b">
        <f t="shared" si="132"/>
        <v>0</v>
      </c>
    </row>
    <row r="5989" spans="1:24" s="337" customFormat="1" ht="12" customHeight="1" outlineLevel="1">
      <c r="A5989" s="335"/>
      <c r="B5989" s="118" t="s">
        <v>12</v>
      </c>
      <c r="C5989" s="334" t="s">
        <v>14836</v>
      </c>
      <c r="D5989" s="124" t="s">
        <v>14837</v>
      </c>
      <c r="E5989" s="125"/>
      <c r="F5989" s="118" t="s">
        <v>1086</v>
      </c>
      <c r="G5989" s="126" t="s">
        <v>14792</v>
      </c>
      <c r="H5989" s="255">
        <v>1</v>
      </c>
      <c r="I5989" s="361">
        <v>1</v>
      </c>
      <c r="J5989" s="362" t="s">
        <v>743</v>
      </c>
      <c r="K5989" s="363"/>
      <c r="L5989" s="129"/>
      <c r="M5989" s="129"/>
      <c r="N5989" s="129"/>
      <c r="O5989" s="129"/>
      <c r="P5989" s="372"/>
      <c r="Q5989" s="372"/>
      <c r="R5989" s="129"/>
      <c r="S5989" s="129"/>
      <c r="T5989" s="129"/>
      <c r="U5989" s="363"/>
      <c r="W5989" s="129" t="s">
        <v>4876</v>
      </c>
      <c r="X5989" s="337" t="b">
        <f t="shared" si="132"/>
        <v>0</v>
      </c>
    </row>
    <row r="5990" spans="1:24" s="337" customFormat="1" ht="12" customHeight="1" outlineLevel="1">
      <c r="A5990" s="335"/>
      <c r="B5990" s="118" t="s">
        <v>12</v>
      </c>
      <c r="C5990" s="334" t="s">
        <v>14838</v>
      </c>
      <c r="D5990" s="124" t="s">
        <v>14839</v>
      </c>
      <c r="E5990" s="125"/>
      <c r="F5990" s="118" t="s">
        <v>1086</v>
      </c>
      <c r="G5990" s="126" t="s">
        <v>14792</v>
      </c>
      <c r="H5990" s="255">
        <v>1</v>
      </c>
      <c r="I5990" s="361">
        <v>1</v>
      </c>
      <c r="J5990" s="362" t="s">
        <v>307</v>
      </c>
      <c r="K5990" s="363"/>
      <c r="L5990" s="129"/>
      <c r="M5990" s="129"/>
      <c r="N5990" s="129"/>
      <c r="O5990" s="129"/>
      <c r="P5990" s="372"/>
      <c r="Q5990" s="372"/>
      <c r="R5990" s="129"/>
      <c r="S5990" s="129"/>
      <c r="T5990" s="129"/>
      <c r="U5990" s="363"/>
      <c r="W5990" s="129" t="s">
        <v>4876</v>
      </c>
      <c r="X5990" s="337" t="b">
        <f t="shared" si="132"/>
        <v>0</v>
      </c>
    </row>
    <row r="5991" spans="1:24" s="337" customFormat="1" ht="12" customHeight="1" outlineLevel="1">
      <c r="A5991" s="335"/>
      <c r="B5991" s="118" t="s">
        <v>12</v>
      </c>
      <c r="C5991" s="334" t="s">
        <v>14840</v>
      </c>
      <c r="D5991" s="124" t="s">
        <v>14841</v>
      </c>
      <c r="E5991" s="125"/>
      <c r="F5991" s="118" t="s">
        <v>1086</v>
      </c>
      <c r="G5991" s="126" t="s">
        <v>14792</v>
      </c>
      <c r="H5991" s="255">
        <v>1</v>
      </c>
      <c r="I5991" s="361">
        <v>1</v>
      </c>
      <c r="J5991" s="362" t="s">
        <v>743</v>
      </c>
      <c r="K5991" s="363"/>
      <c r="L5991" s="129"/>
      <c r="M5991" s="129"/>
      <c r="N5991" s="129"/>
      <c r="O5991" s="129"/>
      <c r="P5991" s="372"/>
      <c r="Q5991" s="372"/>
      <c r="R5991" s="129"/>
      <c r="S5991" s="129"/>
      <c r="T5991" s="129"/>
      <c r="U5991" s="363"/>
      <c r="W5991" s="129" t="s">
        <v>4876</v>
      </c>
      <c r="X5991" s="337" t="b">
        <f t="shared" si="132"/>
        <v>0</v>
      </c>
    </row>
    <row r="5992" spans="1:24" s="337" customFormat="1" ht="12" customHeight="1" outlineLevel="1">
      <c r="A5992" s="335"/>
      <c r="B5992" s="118" t="s">
        <v>12</v>
      </c>
      <c r="C5992" s="334" t="s">
        <v>14842</v>
      </c>
      <c r="D5992" s="124" t="s">
        <v>14843</v>
      </c>
      <c r="E5992" s="125"/>
      <c r="F5992" s="118" t="s">
        <v>1086</v>
      </c>
      <c r="G5992" s="126" t="s">
        <v>14792</v>
      </c>
      <c r="H5992" s="255">
        <v>1</v>
      </c>
      <c r="I5992" s="361">
        <v>1</v>
      </c>
      <c r="J5992" s="362" t="s">
        <v>286</v>
      </c>
      <c r="K5992" s="363"/>
      <c r="L5992" s="129"/>
      <c r="M5992" s="129"/>
      <c r="N5992" s="129"/>
      <c r="O5992" s="129"/>
      <c r="P5992" s="372"/>
      <c r="Q5992" s="372"/>
      <c r="R5992" s="129"/>
      <c r="S5992" s="129"/>
      <c r="T5992" s="129"/>
      <c r="U5992" s="363"/>
      <c r="W5992" s="129" t="s">
        <v>4876</v>
      </c>
      <c r="X5992" s="337" t="b">
        <f t="shared" si="132"/>
        <v>0</v>
      </c>
    </row>
    <row r="5993" spans="1:24" s="337" customFormat="1" ht="12" customHeight="1" outlineLevel="1">
      <c r="A5993" s="335"/>
      <c r="B5993" s="118" t="s">
        <v>12</v>
      </c>
      <c r="C5993" s="334" t="s">
        <v>14844</v>
      </c>
      <c r="D5993" s="124" t="s">
        <v>14843</v>
      </c>
      <c r="E5993" s="125"/>
      <c r="F5993" s="118" t="s">
        <v>1086</v>
      </c>
      <c r="G5993" s="126" t="s">
        <v>14792</v>
      </c>
      <c r="H5993" s="255">
        <v>1</v>
      </c>
      <c r="I5993" s="361">
        <v>1</v>
      </c>
      <c r="J5993" s="362" t="s">
        <v>310</v>
      </c>
      <c r="K5993" s="363"/>
      <c r="L5993" s="129"/>
      <c r="M5993" s="129"/>
      <c r="N5993" s="129"/>
      <c r="O5993" s="129"/>
      <c r="P5993" s="372"/>
      <c r="Q5993" s="372"/>
      <c r="R5993" s="129"/>
      <c r="S5993" s="129"/>
      <c r="T5993" s="129"/>
      <c r="U5993" s="363"/>
      <c r="W5993" s="129" t="s">
        <v>4876</v>
      </c>
      <c r="X5993" s="337" t="b">
        <f t="shared" si="132"/>
        <v>0</v>
      </c>
    </row>
    <row r="5994" spans="1:24" s="337" customFormat="1" ht="12" customHeight="1" outlineLevel="1">
      <c r="A5994" s="335"/>
      <c r="B5994" s="118" t="s">
        <v>12</v>
      </c>
      <c r="C5994" s="334" t="s">
        <v>14845</v>
      </c>
      <c r="D5994" s="124" t="s">
        <v>14843</v>
      </c>
      <c r="E5994" s="125"/>
      <c r="F5994" s="118" t="s">
        <v>1086</v>
      </c>
      <c r="G5994" s="126" t="s">
        <v>14792</v>
      </c>
      <c r="H5994" s="255">
        <v>1</v>
      </c>
      <c r="I5994" s="361">
        <v>1</v>
      </c>
      <c r="J5994" s="362" t="s">
        <v>325</v>
      </c>
      <c r="K5994" s="363"/>
      <c r="L5994" s="129"/>
      <c r="M5994" s="129"/>
      <c r="N5994" s="129"/>
      <c r="O5994" s="129"/>
      <c r="P5994" s="372"/>
      <c r="Q5994" s="372"/>
      <c r="R5994" s="129"/>
      <c r="S5994" s="129"/>
      <c r="T5994" s="129"/>
      <c r="U5994" s="363"/>
      <c r="W5994" s="129" t="s">
        <v>4876</v>
      </c>
      <c r="X5994" s="337" t="b">
        <f t="shared" si="132"/>
        <v>0</v>
      </c>
    </row>
    <row r="5995" spans="1:24" s="337" customFormat="1" ht="12" customHeight="1" outlineLevel="1">
      <c r="A5995" s="335"/>
      <c r="B5995" s="118" t="s">
        <v>12</v>
      </c>
      <c r="C5995" s="334" t="s">
        <v>14846</v>
      </c>
      <c r="D5995" s="124" t="s">
        <v>14843</v>
      </c>
      <c r="E5995" s="125"/>
      <c r="F5995" s="118" t="s">
        <v>1086</v>
      </c>
      <c r="G5995" s="126" t="s">
        <v>14792</v>
      </c>
      <c r="H5995" s="255">
        <v>1</v>
      </c>
      <c r="I5995" s="361">
        <v>1</v>
      </c>
      <c r="J5995" s="362" t="s">
        <v>325</v>
      </c>
      <c r="K5995" s="363"/>
      <c r="L5995" s="129"/>
      <c r="M5995" s="129"/>
      <c r="N5995" s="129"/>
      <c r="O5995" s="129"/>
      <c r="P5995" s="372"/>
      <c r="Q5995" s="372"/>
      <c r="R5995" s="129"/>
      <c r="S5995" s="129"/>
      <c r="T5995" s="129"/>
      <c r="U5995" s="363"/>
      <c r="W5995" s="129" t="s">
        <v>4876</v>
      </c>
      <c r="X5995" s="337" t="b">
        <f t="shared" si="132"/>
        <v>0</v>
      </c>
    </row>
    <row r="5996" spans="1:24" s="337" customFormat="1" ht="12" customHeight="1" outlineLevel="1">
      <c r="A5996" s="335"/>
      <c r="B5996" s="118" t="s">
        <v>12</v>
      </c>
      <c r="C5996" s="334" t="s">
        <v>14847</v>
      </c>
      <c r="D5996" s="124" t="s">
        <v>6193</v>
      </c>
      <c r="E5996" s="125"/>
      <c r="F5996" s="118" t="s">
        <v>1086</v>
      </c>
      <c r="G5996" s="126" t="s">
        <v>14792</v>
      </c>
      <c r="H5996" s="255">
        <v>1</v>
      </c>
      <c r="I5996" s="361">
        <v>1</v>
      </c>
      <c r="J5996" s="362" t="s">
        <v>286</v>
      </c>
      <c r="K5996" s="363"/>
      <c r="L5996" s="129"/>
      <c r="M5996" s="129"/>
      <c r="N5996" s="129"/>
      <c r="O5996" s="129"/>
      <c r="P5996" s="372"/>
      <c r="Q5996" s="372"/>
      <c r="R5996" s="129"/>
      <c r="S5996" s="129"/>
      <c r="T5996" s="129"/>
      <c r="U5996" s="363"/>
      <c r="W5996" s="129" t="s">
        <v>4876</v>
      </c>
      <c r="X5996" s="337" t="b">
        <f t="shared" si="132"/>
        <v>0</v>
      </c>
    </row>
    <row r="5997" spans="1:24" s="337" customFormat="1" ht="12" customHeight="1" outlineLevel="1">
      <c r="A5997" s="335"/>
      <c r="B5997" s="118" t="s">
        <v>12</v>
      </c>
      <c r="C5997" s="334" t="s">
        <v>14848</v>
      </c>
      <c r="D5997" s="124" t="s">
        <v>14849</v>
      </c>
      <c r="E5997" s="125"/>
      <c r="F5997" s="118" t="s">
        <v>1086</v>
      </c>
      <c r="G5997" s="126" t="s">
        <v>14792</v>
      </c>
      <c r="H5997" s="255">
        <v>1</v>
      </c>
      <c r="I5997" s="361">
        <v>1</v>
      </c>
      <c r="J5997" s="362" t="s">
        <v>286</v>
      </c>
      <c r="K5997" s="363"/>
      <c r="L5997" s="129"/>
      <c r="M5997" s="129"/>
      <c r="N5997" s="129"/>
      <c r="O5997" s="129"/>
      <c r="P5997" s="372"/>
      <c r="Q5997" s="372"/>
      <c r="R5997" s="129"/>
      <c r="S5997" s="129"/>
      <c r="T5997" s="129"/>
      <c r="U5997" s="363"/>
      <c r="W5997" s="129" t="s">
        <v>4876</v>
      </c>
      <c r="X5997" s="337" t="b">
        <f t="shared" si="132"/>
        <v>0</v>
      </c>
    </row>
    <row r="5998" spans="1:24" s="337" customFormat="1" ht="12" customHeight="1" outlineLevel="1">
      <c r="A5998" s="335"/>
      <c r="B5998" s="118" t="s">
        <v>12</v>
      </c>
      <c r="C5998" s="334" t="s">
        <v>14850</v>
      </c>
      <c r="D5998" s="124" t="s">
        <v>14849</v>
      </c>
      <c r="E5998" s="125"/>
      <c r="F5998" s="118" t="s">
        <v>1086</v>
      </c>
      <c r="G5998" s="126" t="s">
        <v>14792</v>
      </c>
      <c r="H5998" s="255">
        <v>1</v>
      </c>
      <c r="I5998" s="361">
        <v>1</v>
      </c>
      <c r="J5998" s="362" t="s">
        <v>310</v>
      </c>
      <c r="K5998" s="363"/>
      <c r="L5998" s="129"/>
      <c r="M5998" s="129"/>
      <c r="N5998" s="129"/>
      <c r="O5998" s="129"/>
      <c r="P5998" s="372"/>
      <c r="Q5998" s="372"/>
      <c r="R5998" s="129"/>
      <c r="S5998" s="129"/>
      <c r="T5998" s="129"/>
      <c r="U5998" s="363"/>
      <c r="W5998" s="129" t="s">
        <v>4876</v>
      </c>
      <c r="X5998" s="337" t="b">
        <f t="shared" si="132"/>
        <v>0</v>
      </c>
    </row>
    <row r="5999" spans="1:24" s="337" customFormat="1" ht="12" customHeight="1" outlineLevel="1">
      <c r="A5999" s="335"/>
      <c r="B5999" s="118" t="s">
        <v>12</v>
      </c>
      <c r="C5999" s="334" t="s">
        <v>14851</v>
      </c>
      <c r="D5999" s="124" t="s">
        <v>14849</v>
      </c>
      <c r="E5999" s="125"/>
      <c r="F5999" s="118" t="s">
        <v>1086</v>
      </c>
      <c r="G5999" s="126" t="s">
        <v>14792</v>
      </c>
      <c r="H5999" s="255">
        <v>1</v>
      </c>
      <c r="I5999" s="361">
        <v>1</v>
      </c>
      <c r="J5999" s="362" t="s">
        <v>325</v>
      </c>
      <c r="K5999" s="363"/>
      <c r="L5999" s="129"/>
      <c r="M5999" s="129"/>
      <c r="N5999" s="129"/>
      <c r="O5999" s="129"/>
      <c r="P5999" s="372"/>
      <c r="Q5999" s="372"/>
      <c r="R5999" s="129"/>
      <c r="S5999" s="129"/>
      <c r="T5999" s="129"/>
      <c r="U5999" s="363"/>
      <c r="W5999" s="129" t="s">
        <v>4876</v>
      </c>
      <c r="X5999" s="337" t="b">
        <f t="shared" si="132"/>
        <v>0</v>
      </c>
    </row>
    <row r="6000" spans="1:24" s="337" customFormat="1" ht="12" customHeight="1" outlineLevel="1">
      <c r="A6000" s="335"/>
      <c r="B6000" s="118" t="s">
        <v>12</v>
      </c>
      <c r="C6000" s="334" t="s">
        <v>14852</v>
      </c>
      <c r="D6000" s="124" t="s">
        <v>14849</v>
      </c>
      <c r="E6000" s="125"/>
      <c r="F6000" s="118" t="s">
        <v>1086</v>
      </c>
      <c r="G6000" s="126" t="s">
        <v>14792</v>
      </c>
      <c r="H6000" s="255">
        <v>1</v>
      </c>
      <c r="I6000" s="361">
        <v>1</v>
      </c>
      <c r="J6000" s="362" t="s">
        <v>325</v>
      </c>
      <c r="K6000" s="363"/>
      <c r="L6000" s="129"/>
      <c r="M6000" s="129"/>
      <c r="N6000" s="129"/>
      <c r="O6000" s="129"/>
      <c r="P6000" s="372"/>
      <c r="Q6000" s="372"/>
      <c r="R6000" s="129"/>
      <c r="S6000" s="129"/>
      <c r="T6000" s="129"/>
      <c r="U6000" s="363"/>
      <c r="W6000" s="129" t="s">
        <v>4876</v>
      </c>
      <c r="X6000" s="337" t="b">
        <f t="shared" si="132"/>
        <v>0</v>
      </c>
    </row>
    <row r="6001" spans="1:24" s="337" customFormat="1" ht="12" customHeight="1" outlineLevel="1">
      <c r="A6001" s="335"/>
      <c r="B6001" s="118" t="s">
        <v>12</v>
      </c>
      <c r="C6001" s="334" t="s">
        <v>14853</v>
      </c>
      <c r="D6001" s="124" t="s">
        <v>14854</v>
      </c>
      <c r="E6001" s="125"/>
      <c r="F6001" s="118" t="s">
        <v>1086</v>
      </c>
      <c r="G6001" s="126" t="s">
        <v>14792</v>
      </c>
      <c r="H6001" s="255">
        <v>1</v>
      </c>
      <c r="I6001" s="361">
        <v>1</v>
      </c>
      <c r="J6001" s="362" t="s">
        <v>286</v>
      </c>
      <c r="K6001" s="363"/>
      <c r="L6001" s="129"/>
      <c r="M6001" s="129"/>
      <c r="N6001" s="129"/>
      <c r="O6001" s="129"/>
      <c r="P6001" s="372"/>
      <c r="Q6001" s="372"/>
      <c r="R6001" s="129"/>
      <c r="S6001" s="129"/>
      <c r="T6001" s="129"/>
      <c r="U6001" s="363"/>
      <c r="W6001" s="129" t="s">
        <v>4876</v>
      </c>
      <c r="X6001" s="337" t="b">
        <f t="shared" si="132"/>
        <v>0</v>
      </c>
    </row>
    <row r="6002" spans="1:24" s="337" customFormat="1" ht="12" customHeight="1" outlineLevel="1">
      <c r="A6002" s="335"/>
      <c r="B6002" s="118" t="s">
        <v>12</v>
      </c>
      <c r="C6002" s="334" t="s">
        <v>14855</v>
      </c>
      <c r="D6002" s="124" t="s">
        <v>14856</v>
      </c>
      <c r="E6002" s="125"/>
      <c r="F6002" s="118" t="s">
        <v>1086</v>
      </c>
      <c r="G6002" s="126" t="s">
        <v>14792</v>
      </c>
      <c r="H6002" s="255">
        <v>1</v>
      </c>
      <c r="I6002" s="361">
        <v>1</v>
      </c>
      <c r="J6002" s="362" t="s">
        <v>286</v>
      </c>
      <c r="K6002" s="363"/>
      <c r="L6002" s="129"/>
      <c r="M6002" s="129"/>
      <c r="N6002" s="129"/>
      <c r="O6002" s="129"/>
      <c r="P6002" s="372"/>
      <c r="Q6002" s="372"/>
      <c r="R6002" s="129"/>
      <c r="S6002" s="129"/>
      <c r="T6002" s="129"/>
      <c r="U6002" s="363"/>
      <c r="W6002" s="129" t="s">
        <v>4876</v>
      </c>
      <c r="X6002" s="337" t="b">
        <f t="shared" si="132"/>
        <v>0</v>
      </c>
    </row>
    <row r="6003" spans="1:24" s="337" customFormat="1" ht="12" customHeight="1" outlineLevel="1">
      <c r="A6003" s="335"/>
      <c r="B6003" s="118" t="s">
        <v>12</v>
      </c>
      <c r="C6003" s="334" t="s">
        <v>14857</v>
      </c>
      <c r="D6003" s="124" t="s">
        <v>14858</v>
      </c>
      <c r="E6003" s="125"/>
      <c r="F6003" s="118" t="s">
        <v>1086</v>
      </c>
      <c r="G6003" s="126" t="s">
        <v>14792</v>
      </c>
      <c r="H6003" s="255">
        <v>1</v>
      </c>
      <c r="I6003" s="361">
        <v>1</v>
      </c>
      <c r="J6003" s="362" t="s">
        <v>286</v>
      </c>
      <c r="K6003" s="363"/>
      <c r="L6003" s="129"/>
      <c r="M6003" s="129"/>
      <c r="N6003" s="129"/>
      <c r="O6003" s="129"/>
      <c r="P6003" s="372"/>
      <c r="Q6003" s="372"/>
      <c r="R6003" s="129"/>
      <c r="S6003" s="129"/>
      <c r="T6003" s="129"/>
      <c r="U6003" s="363"/>
      <c r="W6003" s="129" t="s">
        <v>4876</v>
      </c>
      <c r="X6003" s="337" t="b">
        <f t="shared" si="132"/>
        <v>0</v>
      </c>
    </row>
    <row r="6004" spans="1:24" s="337" customFormat="1" ht="12" customHeight="1" outlineLevel="1">
      <c r="A6004" s="335"/>
      <c r="B6004" s="118" t="s">
        <v>12</v>
      </c>
      <c r="C6004" s="334" t="s">
        <v>14859</v>
      </c>
      <c r="D6004" s="124" t="s">
        <v>14858</v>
      </c>
      <c r="E6004" s="125"/>
      <c r="F6004" s="118" t="s">
        <v>1086</v>
      </c>
      <c r="G6004" s="126" t="s">
        <v>14792</v>
      </c>
      <c r="H6004" s="255">
        <v>1</v>
      </c>
      <c r="I6004" s="361">
        <v>1</v>
      </c>
      <c r="J6004" s="362" t="s">
        <v>325</v>
      </c>
      <c r="K6004" s="363"/>
      <c r="L6004" s="129"/>
      <c r="M6004" s="129"/>
      <c r="N6004" s="129"/>
      <c r="O6004" s="129"/>
      <c r="P6004" s="372"/>
      <c r="Q6004" s="372"/>
      <c r="R6004" s="129"/>
      <c r="S6004" s="129"/>
      <c r="T6004" s="129"/>
      <c r="U6004" s="363"/>
      <c r="W6004" s="129" t="s">
        <v>286</v>
      </c>
      <c r="X6004" s="337" t="b">
        <f t="shared" si="132"/>
        <v>0</v>
      </c>
    </row>
    <row r="6005" spans="1:24" s="337" customFormat="1" ht="12" customHeight="1" outlineLevel="1">
      <c r="A6005" s="335"/>
      <c r="B6005" s="118" t="s">
        <v>12</v>
      </c>
      <c r="C6005" s="334" t="s">
        <v>14860</v>
      </c>
      <c r="D6005" s="124" t="s">
        <v>14858</v>
      </c>
      <c r="E6005" s="125"/>
      <c r="F6005" s="118" t="s">
        <v>1086</v>
      </c>
      <c r="G6005" s="126" t="s">
        <v>14792</v>
      </c>
      <c r="H6005" s="255">
        <v>1</v>
      </c>
      <c r="I6005" s="361">
        <v>1</v>
      </c>
      <c r="J6005" s="362" t="s">
        <v>743</v>
      </c>
      <c r="K6005" s="363"/>
      <c r="L6005" s="129"/>
      <c r="M6005" s="129"/>
      <c r="N6005" s="129"/>
      <c r="O6005" s="129"/>
      <c r="P6005" s="372"/>
      <c r="Q6005" s="372"/>
      <c r="R6005" s="129"/>
      <c r="S6005" s="129"/>
      <c r="T6005" s="129"/>
      <c r="U6005" s="363"/>
      <c r="W6005" s="129" t="s">
        <v>286</v>
      </c>
      <c r="X6005" s="337" t="b">
        <f t="shared" si="132"/>
        <v>0</v>
      </c>
    </row>
    <row r="6006" spans="1:24" s="337" customFormat="1" ht="12" customHeight="1" outlineLevel="1">
      <c r="A6006" s="335"/>
      <c r="B6006" s="118" t="s">
        <v>12</v>
      </c>
      <c r="C6006" s="334" t="s">
        <v>14861</v>
      </c>
      <c r="D6006" s="124" t="s">
        <v>14862</v>
      </c>
      <c r="E6006" s="125"/>
      <c r="F6006" s="118" t="s">
        <v>1086</v>
      </c>
      <c r="G6006" s="126" t="s">
        <v>14792</v>
      </c>
      <c r="H6006" s="255">
        <v>1</v>
      </c>
      <c r="I6006" s="361">
        <v>1</v>
      </c>
      <c r="J6006" s="362" t="s">
        <v>310</v>
      </c>
      <c r="K6006" s="363"/>
      <c r="L6006" s="129"/>
      <c r="M6006" s="129"/>
      <c r="N6006" s="129"/>
      <c r="O6006" s="129"/>
      <c r="P6006" s="372"/>
      <c r="Q6006" s="372"/>
      <c r="R6006" s="129"/>
      <c r="S6006" s="129"/>
      <c r="T6006" s="129"/>
      <c r="U6006" s="363"/>
      <c r="W6006" s="129" t="s">
        <v>4876</v>
      </c>
      <c r="X6006" s="337" t="b">
        <f t="shared" si="132"/>
        <v>0</v>
      </c>
    </row>
    <row r="6007" spans="1:24" s="337" customFormat="1" ht="12" customHeight="1" outlineLevel="1">
      <c r="A6007" s="335"/>
      <c r="B6007" s="118" t="s">
        <v>12</v>
      </c>
      <c r="C6007" s="334" t="s">
        <v>14863</v>
      </c>
      <c r="D6007" s="124" t="s">
        <v>14862</v>
      </c>
      <c r="E6007" s="125"/>
      <c r="F6007" s="118" t="s">
        <v>1086</v>
      </c>
      <c r="G6007" s="126" t="s">
        <v>14792</v>
      </c>
      <c r="H6007" s="255">
        <v>1</v>
      </c>
      <c r="I6007" s="361">
        <v>1</v>
      </c>
      <c r="J6007" s="362" t="s">
        <v>6148</v>
      </c>
      <c r="K6007" s="363"/>
      <c r="L6007" s="129"/>
      <c r="M6007" s="129"/>
      <c r="N6007" s="129"/>
      <c r="O6007" s="129"/>
      <c r="P6007" s="372"/>
      <c r="Q6007" s="372"/>
      <c r="R6007" s="129"/>
      <c r="S6007" s="129"/>
      <c r="T6007" s="129"/>
      <c r="U6007" s="363"/>
      <c r="W6007" s="129" t="s">
        <v>4876</v>
      </c>
      <c r="X6007" s="337" t="b">
        <f t="shared" si="132"/>
        <v>0</v>
      </c>
    </row>
    <row r="6008" spans="1:24" s="337" customFormat="1" ht="12" customHeight="1" outlineLevel="1">
      <c r="A6008" s="335"/>
      <c r="B6008" s="118" t="s">
        <v>12</v>
      </c>
      <c r="C6008" s="334" t="s">
        <v>14864</v>
      </c>
      <c r="D6008" s="124" t="s">
        <v>14862</v>
      </c>
      <c r="E6008" s="125"/>
      <c r="F6008" s="118" t="s">
        <v>1086</v>
      </c>
      <c r="G6008" s="126" t="s">
        <v>14792</v>
      </c>
      <c r="H6008" s="255">
        <v>1</v>
      </c>
      <c r="I6008" s="361">
        <v>1</v>
      </c>
      <c r="J6008" s="362" t="s">
        <v>307</v>
      </c>
      <c r="K6008" s="363"/>
      <c r="L6008" s="129"/>
      <c r="M6008" s="129"/>
      <c r="N6008" s="129"/>
      <c r="O6008" s="129"/>
      <c r="P6008" s="372"/>
      <c r="Q6008" s="372"/>
      <c r="R6008" s="129"/>
      <c r="S6008" s="129"/>
      <c r="T6008" s="129"/>
      <c r="U6008" s="363"/>
      <c r="W6008" s="129" t="s">
        <v>4876</v>
      </c>
      <c r="X6008" s="337" t="b">
        <f t="shared" si="132"/>
        <v>0</v>
      </c>
    </row>
    <row r="6009" spans="1:24" s="337" customFormat="1" ht="12" customHeight="1" outlineLevel="1">
      <c r="A6009" s="335"/>
      <c r="B6009" s="118" t="s">
        <v>12</v>
      </c>
      <c r="C6009" s="334" t="s">
        <v>14865</v>
      </c>
      <c r="D6009" s="124" t="s">
        <v>14866</v>
      </c>
      <c r="E6009" s="125"/>
      <c r="F6009" s="118" t="s">
        <v>1086</v>
      </c>
      <c r="G6009" s="126" t="s">
        <v>14792</v>
      </c>
      <c r="H6009" s="255">
        <v>1</v>
      </c>
      <c r="I6009" s="361">
        <v>1</v>
      </c>
      <c r="J6009" s="362" t="s">
        <v>310</v>
      </c>
      <c r="K6009" s="363"/>
      <c r="L6009" s="129"/>
      <c r="M6009" s="129"/>
      <c r="N6009" s="129"/>
      <c r="O6009" s="129"/>
      <c r="P6009" s="372"/>
      <c r="Q6009" s="372"/>
      <c r="R6009" s="129"/>
      <c r="S6009" s="129"/>
      <c r="T6009" s="129"/>
      <c r="U6009" s="363"/>
      <c r="W6009" s="129" t="s">
        <v>4876</v>
      </c>
      <c r="X6009" s="337" t="b">
        <f t="shared" si="132"/>
        <v>0</v>
      </c>
    </row>
    <row r="6010" spans="1:24" s="337" customFormat="1" ht="12" customHeight="1" outlineLevel="1">
      <c r="A6010" s="335"/>
      <c r="B6010" s="118" t="s">
        <v>12</v>
      </c>
      <c r="C6010" s="334" t="s">
        <v>14867</v>
      </c>
      <c r="D6010" s="124" t="s">
        <v>14868</v>
      </c>
      <c r="E6010" s="125"/>
      <c r="F6010" s="118" t="s">
        <v>1086</v>
      </c>
      <c r="G6010" s="126" t="s">
        <v>14792</v>
      </c>
      <c r="H6010" s="255">
        <v>1</v>
      </c>
      <c r="I6010" s="361">
        <v>1</v>
      </c>
      <c r="J6010" s="362" t="s">
        <v>310</v>
      </c>
      <c r="K6010" s="363"/>
      <c r="L6010" s="129"/>
      <c r="M6010" s="129"/>
      <c r="N6010" s="129"/>
      <c r="O6010" s="129"/>
      <c r="P6010" s="372"/>
      <c r="Q6010" s="372"/>
      <c r="R6010" s="129"/>
      <c r="S6010" s="129"/>
      <c r="T6010" s="129"/>
      <c r="U6010" s="363"/>
      <c r="W6010" s="129" t="s">
        <v>4876</v>
      </c>
      <c r="X6010" s="337" t="b">
        <f t="shared" si="132"/>
        <v>0</v>
      </c>
    </row>
    <row r="6011" spans="1:24" s="337" customFormat="1" ht="12" customHeight="1" outlineLevel="1">
      <c r="A6011" s="335"/>
      <c r="B6011" s="118" t="s">
        <v>12</v>
      </c>
      <c r="C6011" s="334" t="s">
        <v>14869</v>
      </c>
      <c r="D6011" s="124" t="s">
        <v>14870</v>
      </c>
      <c r="E6011" s="125"/>
      <c r="F6011" s="118" t="s">
        <v>1086</v>
      </c>
      <c r="G6011" s="126" t="s">
        <v>14792</v>
      </c>
      <c r="H6011" s="255">
        <v>1</v>
      </c>
      <c r="I6011" s="361">
        <v>1</v>
      </c>
      <c r="J6011" s="362" t="s">
        <v>310</v>
      </c>
      <c r="K6011" s="363"/>
      <c r="L6011" s="129"/>
      <c r="M6011" s="129"/>
      <c r="N6011" s="129"/>
      <c r="O6011" s="129"/>
      <c r="P6011" s="372"/>
      <c r="Q6011" s="372"/>
      <c r="R6011" s="129"/>
      <c r="S6011" s="129"/>
      <c r="T6011" s="129"/>
      <c r="U6011" s="363"/>
      <c r="W6011" s="129" t="s">
        <v>4876</v>
      </c>
      <c r="X6011" s="337" t="b">
        <f t="shared" si="132"/>
        <v>0</v>
      </c>
    </row>
    <row r="6012" spans="1:24" s="337" customFormat="1" ht="12" customHeight="1" outlineLevel="1">
      <c r="A6012" s="335"/>
      <c r="B6012" s="118" t="s">
        <v>12</v>
      </c>
      <c r="C6012" s="334" t="s">
        <v>14871</v>
      </c>
      <c r="D6012" s="124" t="s">
        <v>14872</v>
      </c>
      <c r="E6012" s="125"/>
      <c r="F6012" s="118" t="s">
        <v>1086</v>
      </c>
      <c r="G6012" s="126" t="s">
        <v>14792</v>
      </c>
      <c r="H6012" s="255">
        <v>1</v>
      </c>
      <c r="I6012" s="361">
        <v>1</v>
      </c>
      <c r="J6012" s="362" t="s">
        <v>310</v>
      </c>
      <c r="K6012" s="363"/>
      <c r="L6012" s="129"/>
      <c r="M6012" s="129"/>
      <c r="N6012" s="129"/>
      <c r="O6012" s="129"/>
      <c r="P6012" s="372"/>
      <c r="Q6012" s="372"/>
      <c r="R6012" s="129"/>
      <c r="S6012" s="129"/>
      <c r="T6012" s="129"/>
      <c r="U6012" s="363"/>
      <c r="W6012" s="129" t="s">
        <v>4876</v>
      </c>
      <c r="X6012" s="337" t="b">
        <f t="shared" si="132"/>
        <v>0</v>
      </c>
    </row>
    <row r="6013" spans="1:24" s="337" customFormat="1" ht="12" customHeight="1" outlineLevel="1">
      <c r="A6013" s="335"/>
      <c r="B6013" s="118" t="s">
        <v>12</v>
      </c>
      <c r="C6013" s="334" t="s">
        <v>14873</v>
      </c>
      <c r="D6013" s="124" t="s">
        <v>14874</v>
      </c>
      <c r="E6013" s="125"/>
      <c r="F6013" s="118" t="s">
        <v>1086</v>
      </c>
      <c r="G6013" s="126" t="s">
        <v>14792</v>
      </c>
      <c r="H6013" s="255">
        <v>1</v>
      </c>
      <c r="I6013" s="361">
        <v>1</v>
      </c>
      <c r="J6013" s="362" t="s">
        <v>307</v>
      </c>
      <c r="K6013" s="363"/>
      <c r="L6013" s="129"/>
      <c r="M6013" s="129"/>
      <c r="N6013" s="129"/>
      <c r="O6013" s="129"/>
      <c r="P6013" s="372"/>
      <c r="Q6013" s="372"/>
      <c r="R6013" s="129"/>
      <c r="S6013" s="129"/>
      <c r="T6013" s="129"/>
      <c r="U6013" s="363"/>
      <c r="W6013" s="129" t="s">
        <v>310</v>
      </c>
      <c r="X6013" s="337" t="b">
        <f t="shared" si="132"/>
        <v>0</v>
      </c>
    </row>
    <row r="6014" spans="1:24" s="337" customFormat="1" ht="12" customHeight="1" outlineLevel="1">
      <c r="A6014" s="335"/>
      <c r="B6014" s="118" t="s">
        <v>12</v>
      </c>
      <c r="C6014" s="334" t="s">
        <v>14875</v>
      </c>
      <c r="D6014" s="124" t="s">
        <v>9986</v>
      </c>
      <c r="E6014" s="125"/>
      <c r="F6014" s="118" t="s">
        <v>1086</v>
      </c>
      <c r="G6014" s="126" t="s">
        <v>14792</v>
      </c>
      <c r="H6014" s="255">
        <v>1</v>
      </c>
      <c r="I6014" s="361">
        <v>1</v>
      </c>
      <c r="J6014" s="362" t="s">
        <v>310</v>
      </c>
      <c r="K6014" s="363"/>
      <c r="L6014" s="129"/>
      <c r="M6014" s="129"/>
      <c r="N6014" s="129"/>
      <c r="O6014" s="129"/>
      <c r="P6014" s="372"/>
      <c r="Q6014" s="372"/>
      <c r="R6014" s="129"/>
      <c r="S6014" s="129"/>
      <c r="T6014" s="129"/>
      <c r="U6014" s="363"/>
      <c r="W6014" s="129" t="s">
        <v>286</v>
      </c>
      <c r="X6014" s="337" t="b">
        <f t="shared" si="132"/>
        <v>0</v>
      </c>
    </row>
    <row r="6015" spans="1:24" s="337" customFormat="1" ht="12" customHeight="1" outlineLevel="1">
      <c r="A6015" s="335"/>
      <c r="B6015" s="118" t="s">
        <v>12</v>
      </c>
      <c r="C6015" s="334" t="s">
        <v>14876</v>
      </c>
      <c r="D6015" s="124" t="s">
        <v>9988</v>
      </c>
      <c r="E6015" s="125"/>
      <c r="F6015" s="118" t="s">
        <v>1086</v>
      </c>
      <c r="G6015" s="126" t="s">
        <v>14792</v>
      </c>
      <c r="H6015" s="255">
        <v>1</v>
      </c>
      <c r="I6015" s="361">
        <v>1</v>
      </c>
      <c r="J6015" s="362" t="s">
        <v>286</v>
      </c>
      <c r="K6015" s="363"/>
      <c r="L6015" s="129"/>
      <c r="M6015" s="129"/>
      <c r="N6015" s="129"/>
      <c r="O6015" s="129"/>
      <c r="P6015" s="372"/>
      <c r="Q6015" s="372"/>
      <c r="R6015" s="129"/>
      <c r="S6015" s="129"/>
      <c r="T6015" s="129"/>
      <c r="U6015" s="363"/>
      <c r="W6015" s="129" t="s">
        <v>286</v>
      </c>
      <c r="X6015" s="337" t="b">
        <f t="shared" si="132"/>
        <v>1</v>
      </c>
    </row>
    <row r="6016" spans="1:24" s="337" customFormat="1" ht="12" customHeight="1" outlineLevel="1">
      <c r="A6016" s="335"/>
      <c r="B6016" s="118" t="s">
        <v>12</v>
      </c>
      <c r="C6016" s="334" t="s">
        <v>14877</v>
      </c>
      <c r="D6016" s="124" t="s">
        <v>9990</v>
      </c>
      <c r="E6016" s="125"/>
      <c r="F6016" s="118" t="s">
        <v>1086</v>
      </c>
      <c r="G6016" s="126" t="s">
        <v>14792</v>
      </c>
      <c r="H6016" s="255">
        <v>1</v>
      </c>
      <c r="I6016" s="361">
        <v>1</v>
      </c>
      <c r="J6016" s="362" t="s">
        <v>307</v>
      </c>
      <c r="K6016" s="363"/>
      <c r="L6016" s="129"/>
      <c r="M6016" s="129"/>
      <c r="N6016" s="129"/>
      <c r="O6016" s="129"/>
      <c r="P6016" s="372"/>
      <c r="Q6016" s="372"/>
      <c r="R6016" s="129"/>
      <c r="S6016" s="129"/>
      <c r="T6016" s="129"/>
      <c r="U6016" s="363"/>
      <c r="W6016" s="129" t="s">
        <v>286</v>
      </c>
      <c r="X6016" s="337" t="b">
        <f t="shared" si="132"/>
        <v>0</v>
      </c>
    </row>
    <row r="6017" spans="1:24" s="337" customFormat="1" ht="12" customHeight="1" outlineLevel="1">
      <c r="A6017" s="335"/>
      <c r="B6017" s="118" t="s">
        <v>12</v>
      </c>
      <c r="C6017" s="334" t="s">
        <v>14878</v>
      </c>
      <c r="D6017" s="124" t="s">
        <v>9992</v>
      </c>
      <c r="E6017" s="125"/>
      <c r="F6017" s="118" t="s">
        <v>1086</v>
      </c>
      <c r="G6017" s="126" t="s">
        <v>14792</v>
      </c>
      <c r="H6017" s="255">
        <v>1</v>
      </c>
      <c r="I6017" s="361">
        <v>1</v>
      </c>
      <c r="J6017" s="362" t="s">
        <v>310</v>
      </c>
      <c r="K6017" s="363"/>
      <c r="L6017" s="129"/>
      <c r="M6017" s="129"/>
      <c r="N6017" s="129"/>
      <c r="O6017" s="129"/>
      <c r="P6017" s="372"/>
      <c r="Q6017" s="372"/>
      <c r="R6017" s="129"/>
      <c r="S6017" s="129"/>
      <c r="T6017" s="129"/>
      <c r="U6017" s="363"/>
      <c r="W6017" s="129" t="s">
        <v>286</v>
      </c>
      <c r="X6017" s="337" t="b">
        <f t="shared" si="132"/>
        <v>0</v>
      </c>
    </row>
    <row r="6018" spans="1:24" s="337" customFormat="1" ht="12" customHeight="1" outlineLevel="1">
      <c r="A6018" s="335"/>
      <c r="B6018" s="118" t="s">
        <v>12</v>
      </c>
      <c r="C6018" s="334" t="s">
        <v>14879</v>
      </c>
      <c r="D6018" s="124" t="s">
        <v>9994</v>
      </c>
      <c r="E6018" s="125"/>
      <c r="F6018" s="118" t="s">
        <v>1086</v>
      </c>
      <c r="G6018" s="126" t="s">
        <v>14792</v>
      </c>
      <c r="H6018" s="255">
        <v>1</v>
      </c>
      <c r="I6018" s="361">
        <v>1</v>
      </c>
      <c r="J6018" s="362" t="s">
        <v>310</v>
      </c>
      <c r="K6018" s="363"/>
      <c r="L6018" s="129"/>
      <c r="M6018" s="129"/>
      <c r="N6018" s="129"/>
      <c r="O6018" s="129"/>
      <c r="P6018" s="372"/>
      <c r="Q6018" s="372"/>
      <c r="R6018" s="129"/>
      <c r="S6018" s="129"/>
      <c r="T6018" s="129"/>
      <c r="U6018" s="363"/>
      <c r="W6018" s="129" t="s">
        <v>286</v>
      </c>
      <c r="X6018" s="337" t="b">
        <f t="shared" si="132"/>
        <v>0</v>
      </c>
    </row>
    <row r="6019" spans="1:24" s="337" customFormat="1" ht="12" customHeight="1" outlineLevel="1">
      <c r="A6019" s="335"/>
      <c r="B6019" s="118" t="s">
        <v>12</v>
      </c>
      <c r="C6019" s="334" t="s">
        <v>14880</v>
      </c>
      <c r="D6019" s="124" t="s">
        <v>9996</v>
      </c>
      <c r="E6019" s="125"/>
      <c r="F6019" s="118" t="s">
        <v>1086</v>
      </c>
      <c r="G6019" s="126" t="s">
        <v>14792</v>
      </c>
      <c r="H6019" s="255">
        <v>1</v>
      </c>
      <c r="I6019" s="361">
        <v>1</v>
      </c>
      <c r="J6019" s="362" t="s">
        <v>286</v>
      </c>
      <c r="K6019" s="363"/>
      <c r="L6019" s="129"/>
      <c r="M6019" s="129"/>
      <c r="N6019" s="129"/>
      <c r="O6019" s="129"/>
      <c r="P6019" s="372"/>
      <c r="Q6019" s="372"/>
      <c r="R6019" s="129"/>
      <c r="S6019" s="129"/>
      <c r="T6019" s="129"/>
      <c r="U6019" s="363"/>
      <c r="W6019" s="129" t="s">
        <v>286</v>
      </c>
      <c r="X6019" s="337" t="b">
        <f t="shared" si="132"/>
        <v>1</v>
      </c>
    </row>
    <row r="6020" spans="1:24" s="337" customFormat="1" ht="12" customHeight="1" outlineLevel="1">
      <c r="A6020" s="335"/>
      <c r="B6020" s="118" t="s">
        <v>12</v>
      </c>
      <c r="C6020" s="334" t="s">
        <v>14881</v>
      </c>
      <c r="D6020" s="124" t="s">
        <v>9998</v>
      </c>
      <c r="E6020" s="125"/>
      <c r="F6020" s="118" t="s">
        <v>1086</v>
      </c>
      <c r="G6020" s="126" t="s">
        <v>14792</v>
      </c>
      <c r="H6020" s="255">
        <v>1</v>
      </c>
      <c r="I6020" s="361">
        <v>1</v>
      </c>
      <c r="J6020" s="362" t="s">
        <v>286</v>
      </c>
      <c r="K6020" s="363"/>
      <c r="L6020" s="129"/>
      <c r="M6020" s="129"/>
      <c r="N6020" s="129"/>
      <c r="O6020" s="129"/>
      <c r="P6020" s="372"/>
      <c r="Q6020" s="372"/>
      <c r="R6020" s="129"/>
      <c r="S6020" s="129"/>
      <c r="T6020" s="129"/>
      <c r="U6020" s="363"/>
      <c r="W6020" s="129" t="s">
        <v>286</v>
      </c>
      <c r="X6020" s="337" t="b">
        <f t="shared" si="132"/>
        <v>1</v>
      </c>
    </row>
    <row r="6021" spans="1:24" s="337" customFormat="1" ht="12" customHeight="1" outlineLevel="1">
      <c r="A6021" s="335"/>
      <c r="B6021" s="118" t="s">
        <v>12</v>
      </c>
      <c r="C6021" s="334" t="s">
        <v>14882</v>
      </c>
      <c r="D6021" s="124" t="s">
        <v>10000</v>
      </c>
      <c r="E6021" s="125"/>
      <c r="F6021" s="118" t="s">
        <v>1086</v>
      </c>
      <c r="G6021" s="126" t="s">
        <v>14792</v>
      </c>
      <c r="H6021" s="255">
        <v>1</v>
      </c>
      <c r="I6021" s="361">
        <v>1</v>
      </c>
      <c r="J6021" s="362" t="s">
        <v>286</v>
      </c>
      <c r="K6021" s="363"/>
      <c r="L6021" s="129"/>
      <c r="M6021" s="129"/>
      <c r="N6021" s="129"/>
      <c r="O6021" s="129"/>
      <c r="P6021" s="372"/>
      <c r="Q6021" s="372"/>
      <c r="R6021" s="129"/>
      <c r="S6021" s="129"/>
      <c r="T6021" s="129"/>
      <c r="U6021" s="363"/>
      <c r="W6021" s="129" t="s">
        <v>286</v>
      </c>
      <c r="X6021" s="337" t="b">
        <f t="shared" si="132"/>
        <v>1</v>
      </c>
    </row>
    <row r="6022" spans="1:24" s="337" customFormat="1" ht="12" customHeight="1" outlineLevel="1">
      <c r="A6022" s="335"/>
      <c r="B6022" s="118" t="s">
        <v>12</v>
      </c>
      <c r="C6022" s="334" t="s">
        <v>14883</v>
      </c>
      <c r="D6022" s="124" t="s">
        <v>10227</v>
      </c>
      <c r="E6022" s="125"/>
      <c r="F6022" s="118" t="s">
        <v>1086</v>
      </c>
      <c r="G6022" s="126" t="s">
        <v>14792</v>
      </c>
      <c r="H6022" s="255">
        <v>1</v>
      </c>
      <c r="I6022" s="361">
        <v>1</v>
      </c>
      <c r="J6022" s="362" t="s">
        <v>286</v>
      </c>
      <c r="K6022" s="363"/>
      <c r="L6022" s="129"/>
      <c r="M6022" s="129"/>
      <c r="N6022" s="129"/>
      <c r="O6022" s="129"/>
      <c r="P6022" s="372"/>
      <c r="Q6022" s="372"/>
      <c r="R6022" s="129"/>
      <c r="S6022" s="129"/>
      <c r="T6022" s="129"/>
      <c r="U6022" s="363"/>
      <c r="W6022" s="129" t="s">
        <v>286</v>
      </c>
      <c r="X6022" s="337" t="b">
        <f t="shared" si="132"/>
        <v>1</v>
      </c>
    </row>
    <row r="6023" spans="1:24" s="337" customFormat="1" ht="12" customHeight="1" outlineLevel="1">
      <c r="A6023" s="335"/>
      <c r="B6023" s="118" t="s">
        <v>12</v>
      </c>
      <c r="C6023" s="334" t="s">
        <v>14884</v>
      </c>
      <c r="D6023" s="124" t="s">
        <v>10229</v>
      </c>
      <c r="E6023" s="125"/>
      <c r="F6023" s="118" t="s">
        <v>1086</v>
      </c>
      <c r="G6023" s="126" t="s">
        <v>14792</v>
      </c>
      <c r="H6023" s="255">
        <v>1</v>
      </c>
      <c r="I6023" s="361">
        <v>1</v>
      </c>
      <c r="J6023" s="362" t="s">
        <v>286</v>
      </c>
      <c r="K6023" s="363"/>
      <c r="L6023" s="129"/>
      <c r="M6023" s="129"/>
      <c r="N6023" s="129"/>
      <c r="O6023" s="129"/>
      <c r="P6023" s="372"/>
      <c r="Q6023" s="372"/>
      <c r="R6023" s="129"/>
      <c r="S6023" s="129"/>
      <c r="T6023" s="129"/>
      <c r="U6023" s="363"/>
      <c r="W6023" s="129" t="s">
        <v>286</v>
      </c>
      <c r="X6023" s="337" t="b">
        <f t="shared" si="132"/>
        <v>1</v>
      </c>
    </row>
    <row r="6024" spans="1:24" s="337" customFormat="1" ht="12" customHeight="1" outlineLevel="1">
      <c r="A6024" s="335"/>
      <c r="B6024" s="118" t="s">
        <v>12</v>
      </c>
      <c r="C6024" s="334" t="s">
        <v>14885</v>
      </c>
      <c r="D6024" s="124" t="s">
        <v>7307</v>
      </c>
      <c r="E6024" s="125"/>
      <c r="F6024" s="118" t="s">
        <v>1086</v>
      </c>
      <c r="G6024" s="126" t="s">
        <v>14886</v>
      </c>
      <c r="H6024" s="255">
        <v>2</v>
      </c>
      <c r="I6024" s="361">
        <v>1</v>
      </c>
      <c r="J6024" s="362" t="s">
        <v>286</v>
      </c>
      <c r="K6024" s="363"/>
      <c r="L6024" s="129"/>
      <c r="M6024" s="129"/>
      <c r="N6024" s="129"/>
      <c r="O6024" s="129"/>
      <c r="P6024" s="372"/>
      <c r="Q6024" s="372"/>
      <c r="R6024" s="129"/>
      <c r="S6024" s="129"/>
      <c r="T6024" s="129"/>
      <c r="U6024" s="363"/>
      <c r="W6024" s="129" t="s">
        <v>286</v>
      </c>
      <c r="X6024" s="337" t="b">
        <f t="shared" si="132"/>
        <v>1</v>
      </c>
    </row>
    <row r="6025" spans="1:24" s="337" customFormat="1" ht="12" customHeight="1" outlineLevel="1">
      <c r="A6025" s="335"/>
      <c r="B6025" s="118" t="s">
        <v>12</v>
      </c>
      <c r="C6025" s="334" t="s">
        <v>14887</v>
      </c>
      <c r="D6025" s="124" t="s">
        <v>5222</v>
      </c>
      <c r="E6025" s="125"/>
      <c r="F6025" s="118" t="s">
        <v>1086</v>
      </c>
      <c r="G6025" s="126" t="s">
        <v>14886</v>
      </c>
      <c r="H6025" s="255">
        <v>2</v>
      </c>
      <c r="I6025" s="361">
        <v>1</v>
      </c>
      <c r="J6025" s="362" t="s">
        <v>286</v>
      </c>
      <c r="K6025" s="363"/>
      <c r="L6025" s="129"/>
      <c r="M6025" s="129"/>
      <c r="N6025" s="129"/>
      <c r="O6025" s="129"/>
      <c r="P6025" s="372"/>
      <c r="Q6025" s="372"/>
      <c r="R6025" s="129"/>
      <c r="S6025" s="129"/>
      <c r="T6025" s="129"/>
      <c r="U6025" s="363"/>
      <c r="W6025" s="129" t="s">
        <v>4876</v>
      </c>
      <c r="X6025" s="337" t="b">
        <f t="shared" si="132"/>
        <v>0</v>
      </c>
    </row>
    <row r="6026" spans="1:24" s="337" customFormat="1" ht="12" customHeight="1" outlineLevel="1">
      <c r="A6026" s="335"/>
      <c r="B6026" s="118" t="s">
        <v>12</v>
      </c>
      <c r="C6026" s="334" t="s">
        <v>14888</v>
      </c>
      <c r="D6026" s="124" t="s">
        <v>14889</v>
      </c>
      <c r="E6026" s="125"/>
      <c r="F6026" s="118" t="s">
        <v>1086</v>
      </c>
      <c r="G6026" s="126" t="s">
        <v>14886</v>
      </c>
      <c r="H6026" s="255">
        <v>2</v>
      </c>
      <c r="I6026" s="361">
        <v>1</v>
      </c>
      <c r="J6026" s="362" t="s">
        <v>286</v>
      </c>
      <c r="K6026" s="363"/>
      <c r="L6026" s="129"/>
      <c r="M6026" s="129"/>
      <c r="N6026" s="129"/>
      <c r="O6026" s="129"/>
      <c r="P6026" s="372"/>
      <c r="Q6026" s="372"/>
      <c r="R6026" s="129"/>
      <c r="S6026" s="129"/>
      <c r="T6026" s="129"/>
      <c r="U6026" s="363"/>
      <c r="W6026" s="129" t="s">
        <v>286</v>
      </c>
      <c r="X6026" s="337" t="b">
        <f t="shared" si="132"/>
        <v>1</v>
      </c>
    </row>
    <row r="6027" spans="1:24" s="337" customFormat="1" ht="12" customHeight="1" outlineLevel="1">
      <c r="A6027" s="335"/>
      <c r="B6027" s="118" t="s">
        <v>12</v>
      </c>
      <c r="C6027" s="334" t="s">
        <v>14890</v>
      </c>
      <c r="D6027" s="124" t="s">
        <v>14891</v>
      </c>
      <c r="E6027" s="125"/>
      <c r="F6027" s="118" t="s">
        <v>1086</v>
      </c>
      <c r="G6027" s="126" t="s">
        <v>14886</v>
      </c>
      <c r="H6027" s="255">
        <v>2</v>
      </c>
      <c r="I6027" s="361">
        <v>1</v>
      </c>
      <c r="J6027" s="362" t="s">
        <v>286</v>
      </c>
      <c r="K6027" s="363"/>
      <c r="L6027" s="129"/>
      <c r="M6027" s="129"/>
      <c r="N6027" s="129"/>
      <c r="O6027" s="129"/>
      <c r="P6027" s="372"/>
      <c r="Q6027" s="372"/>
      <c r="R6027" s="129"/>
      <c r="S6027" s="129"/>
      <c r="T6027" s="129"/>
      <c r="U6027" s="363"/>
      <c r="W6027" s="129" t="s">
        <v>286</v>
      </c>
      <c r="X6027" s="337" t="b">
        <f t="shared" si="132"/>
        <v>1</v>
      </c>
    </row>
    <row r="6028" spans="1:24" s="337" customFormat="1" ht="12" customHeight="1" outlineLevel="1">
      <c r="A6028" s="335"/>
      <c r="B6028" s="118" t="s">
        <v>12</v>
      </c>
      <c r="C6028" s="334" t="s">
        <v>14892</v>
      </c>
      <c r="D6028" s="124" t="s">
        <v>14893</v>
      </c>
      <c r="E6028" s="125"/>
      <c r="F6028" s="118" t="s">
        <v>1086</v>
      </c>
      <c r="G6028" s="126" t="s">
        <v>14886</v>
      </c>
      <c r="H6028" s="255">
        <v>2</v>
      </c>
      <c r="I6028" s="361">
        <v>1</v>
      </c>
      <c r="J6028" s="362" t="s">
        <v>286</v>
      </c>
      <c r="K6028" s="363"/>
      <c r="L6028" s="129"/>
      <c r="M6028" s="129"/>
      <c r="N6028" s="129"/>
      <c r="O6028" s="129"/>
      <c r="P6028" s="372"/>
      <c r="Q6028" s="372"/>
      <c r="R6028" s="129"/>
      <c r="S6028" s="129"/>
      <c r="T6028" s="129"/>
      <c r="U6028" s="363"/>
      <c r="W6028" s="129" t="s">
        <v>286</v>
      </c>
      <c r="X6028" s="337" t="b">
        <f t="shared" si="132"/>
        <v>1</v>
      </c>
    </row>
    <row r="6029" spans="1:24" s="337" customFormat="1" ht="12" customHeight="1" outlineLevel="1">
      <c r="A6029" s="335"/>
      <c r="B6029" s="118" t="s">
        <v>12</v>
      </c>
      <c r="C6029" s="334" t="s">
        <v>14894</v>
      </c>
      <c r="D6029" s="124" t="s">
        <v>7326</v>
      </c>
      <c r="E6029" s="125"/>
      <c r="F6029" s="118" t="s">
        <v>1086</v>
      </c>
      <c r="G6029" s="126" t="s">
        <v>14886</v>
      </c>
      <c r="H6029" s="255">
        <v>2</v>
      </c>
      <c r="I6029" s="361">
        <v>1</v>
      </c>
      <c r="J6029" s="362" t="s">
        <v>286</v>
      </c>
      <c r="K6029" s="363"/>
      <c r="L6029" s="129"/>
      <c r="M6029" s="129"/>
      <c r="N6029" s="129"/>
      <c r="O6029" s="129"/>
      <c r="P6029" s="372"/>
      <c r="Q6029" s="372"/>
      <c r="R6029" s="129"/>
      <c r="S6029" s="129"/>
      <c r="T6029" s="129"/>
      <c r="U6029" s="363"/>
      <c r="W6029" s="129" t="s">
        <v>286</v>
      </c>
      <c r="X6029" s="337" t="b">
        <f t="shared" ref="X6029:X6092" si="133">W6029=J6029</f>
        <v>1</v>
      </c>
    </row>
    <row r="6030" spans="1:24" s="337" customFormat="1" ht="12" customHeight="1" outlineLevel="1">
      <c r="A6030" s="335"/>
      <c r="B6030" s="118" t="s">
        <v>12</v>
      </c>
      <c r="C6030" s="334" t="s">
        <v>14895</v>
      </c>
      <c r="D6030" s="124" t="s">
        <v>14896</v>
      </c>
      <c r="E6030" s="125"/>
      <c r="F6030" s="118" t="s">
        <v>1086</v>
      </c>
      <c r="G6030" s="126" t="s">
        <v>14886</v>
      </c>
      <c r="H6030" s="255">
        <v>2</v>
      </c>
      <c r="I6030" s="361">
        <v>1</v>
      </c>
      <c r="J6030" s="362" t="s">
        <v>286</v>
      </c>
      <c r="K6030" s="363"/>
      <c r="L6030" s="129"/>
      <c r="M6030" s="129"/>
      <c r="N6030" s="129"/>
      <c r="O6030" s="129"/>
      <c r="P6030" s="372"/>
      <c r="Q6030" s="372"/>
      <c r="R6030" s="129"/>
      <c r="S6030" s="129"/>
      <c r="T6030" s="129"/>
      <c r="U6030" s="363"/>
      <c r="W6030" s="129" t="s">
        <v>286</v>
      </c>
      <c r="X6030" s="337" t="b">
        <f t="shared" si="133"/>
        <v>1</v>
      </c>
    </row>
    <row r="6031" spans="1:24" s="337" customFormat="1" ht="12" customHeight="1" outlineLevel="1">
      <c r="A6031" s="335"/>
      <c r="B6031" s="118" t="s">
        <v>12</v>
      </c>
      <c r="C6031" s="334" t="s">
        <v>14897</v>
      </c>
      <c r="D6031" s="124" t="s">
        <v>10244</v>
      </c>
      <c r="E6031" s="125"/>
      <c r="F6031" s="118" t="s">
        <v>1086</v>
      </c>
      <c r="G6031" s="126" t="s">
        <v>14886</v>
      </c>
      <c r="H6031" s="255">
        <v>2</v>
      </c>
      <c r="I6031" s="361">
        <v>1</v>
      </c>
      <c r="J6031" s="362" t="s">
        <v>286</v>
      </c>
      <c r="K6031" s="363"/>
      <c r="L6031" s="129"/>
      <c r="M6031" s="129"/>
      <c r="N6031" s="129"/>
      <c r="O6031" s="129"/>
      <c r="P6031" s="372"/>
      <c r="Q6031" s="372"/>
      <c r="R6031" s="129"/>
      <c r="S6031" s="129"/>
      <c r="T6031" s="129"/>
      <c r="U6031" s="363"/>
      <c r="W6031" s="129" t="s">
        <v>4876</v>
      </c>
      <c r="X6031" s="337" t="b">
        <f t="shared" si="133"/>
        <v>0</v>
      </c>
    </row>
    <row r="6032" spans="1:24" s="337" customFormat="1" ht="12" customHeight="1" outlineLevel="1">
      <c r="A6032" s="335"/>
      <c r="B6032" s="118" t="s">
        <v>12</v>
      </c>
      <c r="C6032" s="334" t="s">
        <v>14898</v>
      </c>
      <c r="D6032" s="124" t="s">
        <v>14899</v>
      </c>
      <c r="E6032" s="125"/>
      <c r="F6032" s="118" t="s">
        <v>1086</v>
      </c>
      <c r="G6032" s="126" t="s">
        <v>14886</v>
      </c>
      <c r="H6032" s="255">
        <v>2</v>
      </c>
      <c r="I6032" s="361">
        <v>1</v>
      </c>
      <c r="J6032" s="362" t="s">
        <v>286</v>
      </c>
      <c r="K6032" s="363"/>
      <c r="L6032" s="129"/>
      <c r="M6032" s="129"/>
      <c r="N6032" s="129"/>
      <c r="O6032" s="129"/>
      <c r="P6032" s="372"/>
      <c r="Q6032" s="372"/>
      <c r="R6032" s="129"/>
      <c r="S6032" s="129"/>
      <c r="T6032" s="129"/>
      <c r="U6032" s="363"/>
      <c r="W6032" s="129" t="s">
        <v>4876</v>
      </c>
      <c r="X6032" s="337" t="b">
        <f t="shared" si="133"/>
        <v>0</v>
      </c>
    </row>
    <row r="6033" spans="1:24" s="337" customFormat="1" ht="12" customHeight="1" outlineLevel="1">
      <c r="A6033" s="335"/>
      <c r="B6033" s="118" t="s">
        <v>12</v>
      </c>
      <c r="C6033" s="334" t="s">
        <v>14900</v>
      </c>
      <c r="D6033" s="124" t="s">
        <v>14901</v>
      </c>
      <c r="E6033" s="125"/>
      <c r="F6033" s="118" t="s">
        <v>1086</v>
      </c>
      <c r="G6033" s="126" t="s">
        <v>14886</v>
      </c>
      <c r="H6033" s="255">
        <v>2</v>
      </c>
      <c r="I6033" s="361">
        <v>1</v>
      </c>
      <c r="J6033" s="362" t="s">
        <v>286</v>
      </c>
      <c r="K6033" s="363"/>
      <c r="L6033" s="129"/>
      <c r="M6033" s="129"/>
      <c r="N6033" s="129"/>
      <c r="O6033" s="129"/>
      <c r="P6033" s="372"/>
      <c r="Q6033" s="372"/>
      <c r="R6033" s="129"/>
      <c r="S6033" s="129"/>
      <c r="T6033" s="129"/>
      <c r="U6033" s="363"/>
      <c r="W6033" s="129" t="s">
        <v>4876</v>
      </c>
      <c r="X6033" s="337" t="b">
        <f t="shared" si="133"/>
        <v>0</v>
      </c>
    </row>
    <row r="6034" spans="1:24" s="337" customFormat="1" ht="12" customHeight="1" outlineLevel="1">
      <c r="A6034" s="335"/>
      <c r="B6034" s="118" t="s">
        <v>12</v>
      </c>
      <c r="C6034" s="334" t="s">
        <v>14902</v>
      </c>
      <c r="D6034" s="124" t="s">
        <v>14903</v>
      </c>
      <c r="E6034" s="125"/>
      <c r="F6034" s="118" t="s">
        <v>1086</v>
      </c>
      <c r="G6034" s="126" t="s">
        <v>14886</v>
      </c>
      <c r="H6034" s="255">
        <v>2</v>
      </c>
      <c r="I6034" s="361">
        <v>1</v>
      </c>
      <c r="J6034" s="362" t="s">
        <v>286</v>
      </c>
      <c r="K6034" s="363"/>
      <c r="L6034" s="129"/>
      <c r="M6034" s="129"/>
      <c r="N6034" s="129"/>
      <c r="O6034" s="129"/>
      <c r="P6034" s="372"/>
      <c r="Q6034" s="372"/>
      <c r="R6034" s="129"/>
      <c r="S6034" s="129"/>
      <c r="T6034" s="129"/>
      <c r="U6034" s="363"/>
      <c r="W6034" s="129" t="s">
        <v>4876</v>
      </c>
      <c r="X6034" s="337" t="b">
        <f t="shared" si="133"/>
        <v>0</v>
      </c>
    </row>
    <row r="6035" spans="1:24" s="337" customFormat="1" ht="12" customHeight="1" outlineLevel="1">
      <c r="A6035" s="335"/>
      <c r="B6035" s="118" t="s">
        <v>12</v>
      </c>
      <c r="C6035" s="334" t="s">
        <v>14904</v>
      </c>
      <c r="D6035" s="124" t="s">
        <v>14905</v>
      </c>
      <c r="E6035" s="125"/>
      <c r="F6035" s="118" t="s">
        <v>1086</v>
      </c>
      <c r="G6035" s="126" t="s">
        <v>14886</v>
      </c>
      <c r="H6035" s="255">
        <v>2</v>
      </c>
      <c r="I6035" s="361">
        <v>1</v>
      </c>
      <c r="J6035" s="362" t="s">
        <v>286</v>
      </c>
      <c r="K6035" s="363"/>
      <c r="L6035" s="129"/>
      <c r="M6035" s="129"/>
      <c r="N6035" s="129"/>
      <c r="O6035" s="129"/>
      <c r="P6035" s="372"/>
      <c r="Q6035" s="372"/>
      <c r="R6035" s="129"/>
      <c r="S6035" s="129"/>
      <c r="T6035" s="129"/>
      <c r="U6035" s="363"/>
      <c r="W6035" s="129" t="s">
        <v>4876</v>
      </c>
      <c r="X6035" s="337" t="b">
        <f t="shared" si="133"/>
        <v>0</v>
      </c>
    </row>
    <row r="6036" spans="1:24" s="337" customFormat="1" ht="12" customHeight="1" outlineLevel="1">
      <c r="A6036" s="335"/>
      <c r="B6036" s="118" t="s">
        <v>12</v>
      </c>
      <c r="C6036" s="334" t="s">
        <v>14906</v>
      </c>
      <c r="D6036" s="124" t="s">
        <v>9422</v>
      </c>
      <c r="E6036" s="125"/>
      <c r="F6036" s="118" t="s">
        <v>1086</v>
      </c>
      <c r="G6036" s="126" t="s">
        <v>14907</v>
      </c>
      <c r="H6036" s="255">
        <v>5</v>
      </c>
      <c r="I6036" s="361">
        <v>1</v>
      </c>
      <c r="J6036" s="362" t="s">
        <v>286</v>
      </c>
      <c r="K6036" s="363"/>
      <c r="L6036" s="129"/>
      <c r="M6036" s="129"/>
      <c r="N6036" s="129"/>
      <c r="O6036" s="129"/>
      <c r="P6036" s="372"/>
      <c r="Q6036" s="372"/>
      <c r="R6036" s="129"/>
      <c r="S6036" s="129"/>
      <c r="T6036" s="129"/>
      <c r="U6036" s="363"/>
      <c r="W6036" s="129" t="s">
        <v>286</v>
      </c>
      <c r="X6036" s="337" t="b">
        <f t="shared" si="133"/>
        <v>1</v>
      </c>
    </row>
    <row r="6037" spans="1:24" s="337" customFormat="1" ht="12" customHeight="1" outlineLevel="1">
      <c r="A6037" s="335"/>
      <c r="B6037" s="118" t="s">
        <v>12</v>
      </c>
      <c r="C6037" s="334" t="s">
        <v>14908</v>
      </c>
      <c r="D6037" s="124" t="s">
        <v>14909</v>
      </c>
      <c r="E6037" s="125"/>
      <c r="F6037" s="118" t="s">
        <v>1086</v>
      </c>
      <c r="G6037" s="126" t="s">
        <v>14907</v>
      </c>
      <c r="H6037" s="255">
        <v>5</v>
      </c>
      <c r="I6037" s="361">
        <v>1</v>
      </c>
      <c r="J6037" s="362" t="s">
        <v>286</v>
      </c>
      <c r="K6037" s="363"/>
      <c r="L6037" s="129"/>
      <c r="M6037" s="129"/>
      <c r="N6037" s="129"/>
      <c r="O6037" s="129"/>
      <c r="P6037" s="372"/>
      <c r="Q6037" s="372"/>
      <c r="R6037" s="129"/>
      <c r="S6037" s="129"/>
      <c r="T6037" s="129"/>
      <c r="U6037" s="363"/>
      <c r="W6037" s="129" t="s">
        <v>286</v>
      </c>
      <c r="X6037" s="337" t="b">
        <f t="shared" si="133"/>
        <v>1</v>
      </c>
    </row>
    <row r="6038" spans="1:24" s="337" customFormat="1" ht="12" customHeight="1" outlineLevel="1">
      <c r="A6038" s="335"/>
      <c r="B6038" s="118" t="s">
        <v>12</v>
      </c>
      <c r="C6038" s="334" t="s">
        <v>14910</v>
      </c>
      <c r="D6038" s="124" t="s">
        <v>11338</v>
      </c>
      <c r="E6038" s="125"/>
      <c r="F6038" s="118" t="s">
        <v>1086</v>
      </c>
      <c r="G6038" s="126" t="s">
        <v>14907</v>
      </c>
      <c r="H6038" s="255">
        <v>5</v>
      </c>
      <c r="I6038" s="361">
        <v>1</v>
      </c>
      <c r="J6038" s="362" t="s">
        <v>286</v>
      </c>
      <c r="K6038" s="363"/>
      <c r="L6038" s="129"/>
      <c r="M6038" s="129"/>
      <c r="N6038" s="129"/>
      <c r="O6038" s="129"/>
      <c r="P6038" s="372"/>
      <c r="Q6038" s="372"/>
      <c r="R6038" s="129"/>
      <c r="S6038" s="129"/>
      <c r="T6038" s="129"/>
      <c r="U6038" s="363"/>
      <c r="W6038" s="129" t="s">
        <v>4876</v>
      </c>
      <c r="X6038" s="337" t="b">
        <f t="shared" si="133"/>
        <v>0</v>
      </c>
    </row>
    <row r="6039" spans="1:24" s="337" customFormat="1" ht="12" customHeight="1" outlineLevel="1">
      <c r="A6039" s="335"/>
      <c r="B6039" s="118" t="s">
        <v>12</v>
      </c>
      <c r="C6039" s="334" t="s">
        <v>14911</v>
      </c>
      <c r="D6039" s="124" t="s">
        <v>14912</v>
      </c>
      <c r="E6039" s="125"/>
      <c r="F6039" s="118" t="s">
        <v>1086</v>
      </c>
      <c r="G6039" s="126" t="s">
        <v>14907</v>
      </c>
      <c r="H6039" s="255">
        <v>5</v>
      </c>
      <c r="I6039" s="361">
        <v>1</v>
      </c>
      <c r="J6039" s="362" t="s">
        <v>286</v>
      </c>
      <c r="K6039" s="363"/>
      <c r="L6039" s="129"/>
      <c r="M6039" s="129"/>
      <c r="N6039" s="129"/>
      <c r="O6039" s="129"/>
      <c r="P6039" s="372"/>
      <c r="Q6039" s="372"/>
      <c r="R6039" s="129"/>
      <c r="S6039" s="129"/>
      <c r="T6039" s="129"/>
      <c r="U6039" s="363"/>
      <c r="W6039" s="129" t="s">
        <v>286</v>
      </c>
      <c r="X6039" s="337" t="b">
        <f t="shared" si="133"/>
        <v>1</v>
      </c>
    </row>
    <row r="6040" spans="1:24" s="337" customFormat="1" ht="12" customHeight="1" outlineLevel="1">
      <c r="A6040" s="335"/>
      <c r="B6040" s="118" t="s">
        <v>12</v>
      </c>
      <c r="C6040" s="334" t="s">
        <v>14913</v>
      </c>
      <c r="D6040" s="124" t="s">
        <v>14914</v>
      </c>
      <c r="E6040" s="125"/>
      <c r="F6040" s="118" t="s">
        <v>1086</v>
      </c>
      <c r="G6040" s="126" t="s">
        <v>14907</v>
      </c>
      <c r="H6040" s="255">
        <v>5</v>
      </c>
      <c r="I6040" s="361">
        <v>1</v>
      </c>
      <c r="J6040" s="362" t="s">
        <v>286</v>
      </c>
      <c r="K6040" s="363"/>
      <c r="L6040" s="129"/>
      <c r="M6040" s="129"/>
      <c r="N6040" s="129"/>
      <c r="O6040" s="129"/>
      <c r="P6040" s="372"/>
      <c r="Q6040" s="372"/>
      <c r="R6040" s="129"/>
      <c r="S6040" s="129"/>
      <c r="T6040" s="129"/>
      <c r="U6040" s="363"/>
      <c r="W6040" s="129" t="s">
        <v>286</v>
      </c>
      <c r="X6040" s="337" t="b">
        <f t="shared" si="133"/>
        <v>1</v>
      </c>
    </row>
    <row r="6041" spans="1:24" s="337" customFormat="1" ht="12" customHeight="1" outlineLevel="1">
      <c r="A6041" s="335"/>
      <c r="B6041" s="118" t="s">
        <v>12</v>
      </c>
      <c r="C6041" s="334" t="s">
        <v>14915</v>
      </c>
      <c r="D6041" s="124" t="s">
        <v>14916</v>
      </c>
      <c r="E6041" s="125"/>
      <c r="F6041" s="118" t="s">
        <v>1086</v>
      </c>
      <c r="G6041" s="126" t="s">
        <v>14907</v>
      </c>
      <c r="H6041" s="255">
        <v>5</v>
      </c>
      <c r="I6041" s="361">
        <v>1</v>
      </c>
      <c r="J6041" s="362" t="s">
        <v>286</v>
      </c>
      <c r="K6041" s="363"/>
      <c r="L6041" s="129"/>
      <c r="M6041" s="129"/>
      <c r="N6041" s="129"/>
      <c r="O6041" s="129"/>
      <c r="P6041" s="372"/>
      <c r="Q6041" s="372"/>
      <c r="R6041" s="129"/>
      <c r="S6041" s="129"/>
      <c r="T6041" s="129"/>
      <c r="U6041" s="363"/>
      <c r="W6041" s="129" t="s">
        <v>286</v>
      </c>
      <c r="X6041" s="337" t="b">
        <f t="shared" si="133"/>
        <v>1</v>
      </c>
    </row>
    <row r="6042" spans="1:24" s="337" customFormat="1" ht="12" customHeight="1" outlineLevel="1">
      <c r="A6042" s="335"/>
      <c r="B6042" s="118" t="s">
        <v>12</v>
      </c>
      <c r="C6042" s="334" t="s">
        <v>14917</v>
      </c>
      <c r="D6042" s="124" t="s">
        <v>14918</v>
      </c>
      <c r="E6042" s="125"/>
      <c r="F6042" s="118" t="s">
        <v>1086</v>
      </c>
      <c r="G6042" s="126" t="s">
        <v>14907</v>
      </c>
      <c r="H6042" s="255">
        <v>5</v>
      </c>
      <c r="I6042" s="361">
        <v>1</v>
      </c>
      <c r="J6042" s="362" t="s">
        <v>286</v>
      </c>
      <c r="K6042" s="363"/>
      <c r="L6042" s="129"/>
      <c r="M6042" s="129"/>
      <c r="N6042" s="129"/>
      <c r="O6042" s="129"/>
      <c r="P6042" s="372"/>
      <c r="Q6042" s="372"/>
      <c r="R6042" s="129"/>
      <c r="S6042" s="129"/>
      <c r="T6042" s="129"/>
      <c r="U6042" s="363"/>
      <c r="W6042" s="129" t="s">
        <v>286</v>
      </c>
      <c r="X6042" s="337" t="b">
        <f t="shared" si="133"/>
        <v>1</v>
      </c>
    </row>
    <row r="6043" spans="1:24" s="337" customFormat="1" ht="12" customHeight="1" outlineLevel="1">
      <c r="A6043" s="335"/>
      <c r="B6043" s="118" t="s">
        <v>12</v>
      </c>
      <c r="C6043" s="334" t="s">
        <v>14919</v>
      </c>
      <c r="D6043" s="124" t="s">
        <v>14920</v>
      </c>
      <c r="E6043" s="125"/>
      <c r="F6043" s="118" t="s">
        <v>1086</v>
      </c>
      <c r="G6043" s="126" t="s">
        <v>14907</v>
      </c>
      <c r="H6043" s="255">
        <v>5</v>
      </c>
      <c r="I6043" s="361">
        <v>1</v>
      </c>
      <c r="J6043" s="362" t="s">
        <v>286</v>
      </c>
      <c r="K6043" s="363"/>
      <c r="L6043" s="129"/>
      <c r="M6043" s="129"/>
      <c r="N6043" s="129"/>
      <c r="O6043" s="129"/>
      <c r="P6043" s="372"/>
      <c r="Q6043" s="372"/>
      <c r="R6043" s="129"/>
      <c r="S6043" s="129"/>
      <c r="T6043" s="129"/>
      <c r="U6043" s="363"/>
      <c r="W6043" s="129" t="s">
        <v>286</v>
      </c>
      <c r="X6043" s="337" t="b">
        <f t="shared" si="133"/>
        <v>1</v>
      </c>
    </row>
    <row r="6044" spans="1:24" s="337" customFormat="1" ht="12" customHeight="1" outlineLevel="1">
      <c r="A6044" s="335"/>
      <c r="B6044" s="118" t="s">
        <v>12</v>
      </c>
      <c r="C6044" s="334" t="s">
        <v>14921</v>
      </c>
      <c r="D6044" s="124" t="s">
        <v>14922</v>
      </c>
      <c r="E6044" s="125"/>
      <c r="F6044" s="118" t="s">
        <v>1086</v>
      </c>
      <c r="G6044" s="126" t="s">
        <v>14907</v>
      </c>
      <c r="H6044" s="255">
        <v>5</v>
      </c>
      <c r="I6044" s="361">
        <v>1</v>
      </c>
      <c r="J6044" s="362" t="s">
        <v>286</v>
      </c>
      <c r="K6044" s="363"/>
      <c r="L6044" s="129"/>
      <c r="M6044" s="129"/>
      <c r="N6044" s="129"/>
      <c r="O6044" s="129"/>
      <c r="P6044" s="372"/>
      <c r="Q6044" s="372"/>
      <c r="R6044" s="129"/>
      <c r="S6044" s="129"/>
      <c r="T6044" s="129"/>
      <c r="U6044" s="363"/>
      <c r="W6044" s="129" t="s">
        <v>286</v>
      </c>
      <c r="X6044" s="337" t="b">
        <f t="shared" si="133"/>
        <v>1</v>
      </c>
    </row>
    <row r="6045" spans="1:24" s="337" customFormat="1" ht="12" customHeight="1" outlineLevel="1">
      <c r="A6045" s="335"/>
      <c r="B6045" s="118" t="s">
        <v>12</v>
      </c>
      <c r="C6045" s="334" t="s">
        <v>14923</v>
      </c>
      <c r="D6045" s="124" t="s">
        <v>14924</v>
      </c>
      <c r="E6045" s="125"/>
      <c r="F6045" s="118" t="s">
        <v>1086</v>
      </c>
      <c r="G6045" s="126" t="s">
        <v>14907</v>
      </c>
      <c r="H6045" s="255">
        <v>5</v>
      </c>
      <c r="I6045" s="361">
        <v>1</v>
      </c>
      <c r="J6045" s="362" t="s">
        <v>286</v>
      </c>
      <c r="K6045" s="363"/>
      <c r="L6045" s="129"/>
      <c r="M6045" s="129"/>
      <c r="N6045" s="129"/>
      <c r="O6045" s="129"/>
      <c r="P6045" s="372"/>
      <c r="Q6045" s="372"/>
      <c r="R6045" s="129"/>
      <c r="S6045" s="129"/>
      <c r="T6045" s="129"/>
      <c r="U6045" s="363"/>
      <c r="W6045" s="129" t="s">
        <v>286</v>
      </c>
      <c r="X6045" s="337" t="b">
        <f t="shared" si="133"/>
        <v>1</v>
      </c>
    </row>
    <row r="6046" spans="1:24" s="337" customFormat="1" ht="12" customHeight="1" outlineLevel="1">
      <c r="A6046" s="335"/>
      <c r="B6046" s="118" t="s">
        <v>12</v>
      </c>
      <c r="C6046" s="334" t="s">
        <v>14925</v>
      </c>
      <c r="D6046" s="124" t="s">
        <v>5248</v>
      </c>
      <c r="E6046" s="125"/>
      <c r="F6046" s="118" t="s">
        <v>1086</v>
      </c>
      <c r="G6046" s="126" t="s">
        <v>14907</v>
      </c>
      <c r="H6046" s="255">
        <v>5</v>
      </c>
      <c r="I6046" s="361">
        <v>1</v>
      </c>
      <c r="J6046" s="362" t="s">
        <v>286</v>
      </c>
      <c r="K6046" s="363"/>
      <c r="L6046" s="129"/>
      <c r="M6046" s="129"/>
      <c r="N6046" s="129"/>
      <c r="O6046" s="129"/>
      <c r="P6046" s="372"/>
      <c r="Q6046" s="372"/>
      <c r="R6046" s="129"/>
      <c r="S6046" s="129"/>
      <c r="T6046" s="129"/>
      <c r="U6046" s="363"/>
      <c r="W6046" s="129" t="s">
        <v>286</v>
      </c>
      <c r="X6046" s="337" t="b">
        <f t="shared" si="133"/>
        <v>1</v>
      </c>
    </row>
    <row r="6047" spans="1:24" s="337" customFormat="1" ht="12" customHeight="1" outlineLevel="1">
      <c r="A6047" s="335"/>
      <c r="B6047" s="118" t="s">
        <v>12</v>
      </c>
      <c r="C6047" s="334" t="s">
        <v>14926</v>
      </c>
      <c r="D6047" s="124" t="s">
        <v>14927</v>
      </c>
      <c r="E6047" s="125"/>
      <c r="F6047" s="118" t="s">
        <v>1086</v>
      </c>
      <c r="G6047" s="126" t="s">
        <v>14907</v>
      </c>
      <c r="H6047" s="255">
        <v>5</v>
      </c>
      <c r="I6047" s="361">
        <v>1</v>
      </c>
      <c r="J6047" s="362" t="s">
        <v>286</v>
      </c>
      <c r="K6047" s="363"/>
      <c r="L6047" s="129"/>
      <c r="M6047" s="129"/>
      <c r="N6047" s="129"/>
      <c r="O6047" s="129"/>
      <c r="P6047" s="372"/>
      <c r="Q6047" s="372"/>
      <c r="R6047" s="129"/>
      <c r="S6047" s="129"/>
      <c r="T6047" s="129"/>
      <c r="U6047" s="363"/>
      <c r="W6047" s="129" t="s">
        <v>286</v>
      </c>
      <c r="X6047" s="337" t="b">
        <f t="shared" si="133"/>
        <v>1</v>
      </c>
    </row>
    <row r="6048" spans="1:24" s="337" customFormat="1" ht="12" customHeight="1" outlineLevel="1">
      <c r="A6048" s="335"/>
      <c r="B6048" s="118" t="s">
        <v>12</v>
      </c>
      <c r="C6048" s="334" t="s">
        <v>14928</v>
      </c>
      <c r="D6048" s="124" t="s">
        <v>14929</v>
      </c>
      <c r="E6048" s="125"/>
      <c r="F6048" s="118" t="s">
        <v>1086</v>
      </c>
      <c r="G6048" s="126" t="s">
        <v>14907</v>
      </c>
      <c r="H6048" s="255">
        <v>5</v>
      </c>
      <c r="I6048" s="361">
        <v>1</v>
      </c>
      <c r="J6048" s="362" t="s">
        <v>286</v>
      </c>
      <c r="K6048" s="363"/>
      <c r="L6048" s="129"/>
      <c r="M6048" s="129"/>
      <c r="N6048" s="129"/>
      <c r="O6048" s="129"/>
      <c r="P6048" s="372"/>
      <c r="Q6048" s="372"/>
      <c r="R6048" s="129"/>
      <c r="S6048" s="129"/>
      <c r="T6048" s="129"/>
      <c r="U6048" s="363"/>
      <c r="W6048" s="129" t="s">
        <v>286</v>
      </c>
      <c r="X6048" s="337" t="b">
        <f t="shared" si="133"/>
        <v>1</v>
      </c>
    </row>
    <row r="6049" spans="1:24" s="337" customFormat="1" ht="12" customHeight="1" outlineLevel="1">
      <c r="A6049" s="335"/>
      <c r="B6049" s="118" t="s">
        <v>12</v>
      </c>
      <c r="C6049" s="334" t="s">
        <v>14930</v>
      </c>
      <c r="D6049" s="124" t="s">
        <v>14931</v>
      </c>
      <c r="E6049" s="125"/>
      <c r="F6049" s="118" t="s">
        <v>1086</v>
      </c>
      <c r="G6049" s="126" t="s">
        <v>14907</v>
      </c>
      <c r="H6049" s="255">
        <v>5</v>
      </c>
      <c r="I6049" s="361">
        <v>1</v>
      </c>
      <c r="J6049" s="362" t="s">
        <v>286</v>
      </c>
      <c r="K6049" s="363"/>
      <c r="L6049" s="129"/>
      <c r="M6049" s="129"/>
      <c r="N6049" s="129"/>
      <c r="O6049" s="129"/>
      <c r="P6049" s="372"/>
      <c r="Q6049" s="372"/>
      <c r="R6049" s="129"/>
      <c r="S6049" s="129"/>
      <c r="T6049" s="129"/>
      <c r="U6049" s="363"/>
      <c r="W6049" s="129" t="s">
        <v>286</v>
      </c>
      <c r="X6049" s="337" t="b">
        <f t="shared" si="133"/>
        <v>1</v>
      </c>
    </row>
    <row r="6050" spans="1:24" s="337" customFormat="1" ht="12" customHeight="1" outlineLevel="1">
      <c r="A6050" s="335"/>
      <c r="B6050" s="118" t="s">
        <v>12</v>
      </c>
      <c r="C6050" s="334" t="s">
        <v>14932</v>
      </c>
      <c r="D6050" s="124" t="s">
        <v>14933</v>
      </c>
      <c r="E6050" s="125"/>
      <c r="F6050" s="118" t="s">
        <v>1086</v>
      </c>
      <c r="G6050" s="126" t="s">
        <v>14907</v>
      </c>
      <c r="H6050" s="255">
        <v>5</v>
      </c>
      <c r="I6050" s="361">
        <v>1</v>
      </c>
      <c r="J6050" s="362" t="s">
        <v>286</v>
      </c>
      <c r="K6050" s="363"/>
      <c r="L6050" s="129"/>
      <c r="M6050" s="129"/>
      <c r="N6050" s="129"/>
      <c r="O6050" s="129"/>
      <c r="P6050" s="372"/>
      <c r="Q6050" s="372"/>
      <c r="R6050" s="129"/>
      <c r="S6050" s="129"/>
      <c r="T6050" s="129"/>
      <c r="U6050" s="363"/>
      <c r="W6050" s="129" t="s">
        <v>286</v>
      </c>
      <c r="X6050" s="337" t="b">
        <f t="shared" si="133"/>
        <v>1</v>
      </c>
    </row>
    <row r="6051" spans="1:24" s="337" customFormat="1" ht="12" customHeight="1" outlineLevel="1">
      <c r="A6051" s="335"/>
      <c r="B6051" s="118" t="s">
        <v>12</v>
      </c>
      <c r="C6051" s="334" t="s">
        <v>14934</v>
      </c>
      <c r="D6051" s="124" t="s">
        <v>14935</v>
      </c>
      <c r="E6051" s="125"/>
      <c r="F6051" s="118" t="s">
        <v>1086</v>
      </c>
      <c r="G6051" s="126" t="s">
        <v>14907</v>
      </c>
      <c r="H6051" s="255">
        <v>5</v>
      </c>
      <c r="I6051" s="361">
        <v>1</v>
      </c>
      <c r="J6051" s="362" t="s">
        <v>286</v>
      </c>
      <c r="K6051" s="363"/>
      <c r="L6051" s="129"/>
      <c r="M6051" s="129"/>
      <c r="N6051" s="129"/>
      <c r="O6051" s="129"/>
      <c r="P6051" s="372"/>
      <c r="Q6051" s="372"/>
      <c r="R6051" s="129"/>
      <c r="S6051" s="129"/>
      <c r="T6051" s="129"/>
      <c r="U6051" s="363"/>
      <c r="W6051" s="129" t="s">
        <v>286</v>
      </c>
      <c r="X6051" s="337" t="b">
        <f t="shared" si="133"/>
        <v>1</v>
      </c>
    </row>
    <row r="6052" spans="1:24" s="337" customFormat="1" ht="12" customHeight="1" outlineLevel="1">
      <c r="A6052" s="335"/>
      <c r="B6052" s="118" t="s">
        <v>12</v>
      </c>
      <c r="C6052" s="334" t="s">
        <v>14936</v>
      </c>
      <c r="D6052" s="124" t="s">
        <v>14937</v>
      </c>
      <c r="E6052" s="125"/>
      <c r="F6052" s="118" t="s">
        <v>1086</v>
      </c>
      <c r="G6052" s="126" t="s">
        <v>14907</v>
      </c>
      <c r="H6052" s="255">
        <v>5</v>
      </c>
      <c r="I6052" s="361">
        <v>1</v>
      </c>
      <c r="J6052" s="362" t="s">
        <v>286</v>
      </c>
      <c r="K6052" s="363"/>
      <c r="L6052" s="129"/>
      <c r="M6052" s="129"/>
      <c r="N6052" s="129"/>
      <c r="O6052" s="129"/>
      <c r="P6052" s="372"/>
      <c r="Q6052" s="372"/>
      <c r="R6052" s="129"/>
      <c r="S6052" s="129"/>
      <c r="T6052" s="129"/>
      <c r="U6052" s="363"/>
      <c r="W6052" s="129" t="s">
        <v>286</v>
      </c>
      <c r="X6052" s="337" t="b">
        <f t="shared" si="133"/>
        <v>1</v>
      </c>
    </row>
    <row r="6053" spans="1:24" s="337" customFormat="1" ht="12" customHeight="1" outlineLevel="1">
      <c r="A6053" s="335"/>
      <c r="B6053" s="118" t="s">
        <v>12</v>
      </c>
      <c r="C6053" s="334" t="s">
        <v>14938</v>
      </c>
      <c r="D6053" s="124" t="s">
        <v>14939</v>
      </c>
      <c r="E6053" s="125"/>
      <c r="F6053" s="118" t="s">
        <v>1086</v>
      </c>
      <c r="G6053" s="126" t="s">
        <v>14907</v>
      </c>
      <c r="H6053" s="255">
        <v>5</v>
      </c>
      <c r="I6053" s="361">
        <v>1</v>
      </c>
      <c r="J6053" s="362" t="s">
        <v>286</v>
      </c>
      <c r="K6053" s="363"/>
      <c r="L6053" s="129"/>
      <c r="M6053" s="129"/>
      <c r="N6053" s="129"/>
      <c r="O6053" s="129"/>
      <c r="P6053" s="372"/>
      <c r="Q6053" s="372"/>
      <c r="R6053" s="129"/>
      <c r="S6053" s="129"/>
      <c r="T6053" s="129"/>
      <c r="U6053" s="363"/>
      <c r="W6053" s="129" t="s">
        <v>286</v>
      </c>
      <c r="X6053" s="337" t="b">
        <f t="shared" si="133"/>
        <v>1</v>
      </c>
    </row>
    <row r="6054" spans="1:24" s="337" customFormat="1" ht="12" customHeight="1" outlineLevel="1">
      <c r="A6054" s="335"/>
      <c r="B6054" s="118" t="s">
        <v>12</v>
      </c>
      <c r="C6054" s="334" t="s">
        <v>14940</v>
      </c>
      <c r="D6054" s="124" t="s">
        <v>14941</v>
      </c>
      <c r="E6054" s="125"/>
      <c r="F6054" s="118" t="s">
        <v>1086</v>
      </c>
      <c r="G6054" s="126" t="s">
        <v>14942</v>
      </c>
      <c r="H6054" s="255">
        <v>4</v>
      </c>
      <c r="I6054" s="361">
        <v>1</v>
      </c>
      <c r="J6054" s="362" t="s">
        <v>286</v>
      </c>
      <c r="K6054" s="363"/>
      <c r="L6054" s="129"/>
      <c r="M6054" s="129"/>
      <c r="N6054" s="129"/>
      <c r="O6054" s="129"/>
      <c r="P6054" s="372"/>
      <c r="Q6054" s="372"/>
      <c r="R6054" s="129"/>
      <c r="S6054" s="129"/>
      <c r="T6054" s="129"/>
      <c r="U6054" s="363"/>
      <c r="W6054" s="129" t="s">
        <v>286</v>
      </c>
      <c r="X6054" s="337" t="b">
        <f t="shared" si="133"/>
        <v>1</v>
      </c>
    </row>
    <row r="6055" spans="1:24" s="337" customFormat="1" ht="12" customHeight="1" outlineLevel="1">
      <c r="A6055" s="335"/>
      <c r="B6055" s="118" t="s">
        <v>12</v>
      </c>
      <c r="C6055" s="334" t="s">
        <v>14943</v>
      </c>
      <c r="D6055" s="124" t="s">
        <v>14944</v>
      </c>
      <c r="E6055" s="125"/>
      <c r="F6055" s="118" t="s">
        <v>1086</v>
      </c>
      <c r="G6055" s="126" t="s">
        <v>14942</v>
      </c>
      <c r="H6055" s="255">
        <v>4</v>
      </c>
      <c r="I6055" s="361">
        <v>1</v>
      </c>
      <c r="J6055" s="362" t="s">
        <v>286</v>
      </c>
      <c r="K6055" s="363"/>
      <c r="L6055" s="129"/>
      <c r="M6055" s="129"/>
      <c r="N6055" s="129"/>
      <c r="O6055" s="129"/>
      <c r="P6055" s="372"/>
      <c r="Q6055" s="372"/>
      <c r="R6055" s="129"/>
      <c r="S6055" s="129"/>
      <c r="T6055" s="129"/>
      <c r="U6055" s="363"/>
      <c r="W6055" s="129" t="s">
        <v>286</v>
      </c>
      <c r="X6055" s="337" t="b">
        <f t="shared" si="133"/>
        <v>1</v>
      </c>
    </row>
    <row r="6056" spans="1:24" s="337" customFormat="1" ht="12" customHeight="1" outlineLevel="1">
      <c r="A6056" s="335"/>
      <c r="B6056" s="118" t="s">
        <v>12</v>
      </c>
      <c r="C6056" s="334" t="s">
        <v>14945</v>
      </c>
      <c r="D6056" s="124" t="s">
        <v>14946</v>
      </c>
      <c r="E6056" s="125"/>
      <c r="F6056" s="118" t="s">
        <v>1086</v>
      </c>
      <c r="G6056" s="126" t="s">
        <v>14942</v>
      </c>
      <c r="H6056" s="255">
        <v>4</v>
      </c>
      <c r="I6056" s="361">
        <v>1</v>
      </c>
      <c r="J6056" s="362" t="s">
        <v>286</v>
      </c>
      <c r="K6056" s="363"/>
      <c r="L6056" s="129"/>
      <c r="M6056" s="129"/>
      <c r="N6056" s="129"/>
      <c r="O6056" s="129"/>
      <c r="P6056" s="372"/>
      <c r="Q6056" s="372"/>
      <c r="R6056" s="129"/>
      <c r="S6056" s="129"/>
      <c r="T6056" s="129"/>
      <c r="U6056" s="363"/>
      <c r="W6056" s="129" t="s">
        <v>286</v>
      </c>
      <c r="X6056" s="337" t="b">
        <f t="shared" si="133"/>
        <v>1</v>
      </c>
    </row>
    <row r="6057" spans="1:24" s="337" customFormat="1" ht="12" customHeight="1" outlineLevel="1">
      <c r="A6057" s="335"/>
      <c r="B6057" s="118" t="s">
        <v>12</v>
      </c>
      <c r="C6057" s="334" t="s">
        <v>14947</v>
      </c>
      <c r="D6057" s="124" t="s">
        <v>14948</v>
      </c>
      <c r="E6057" s="125"/>
      <c r="F6057" s="118" t="s">
        <v>1086</v>
      </c>
      <c r="G6057" s="126" t="s">
        <v>14907</v>
      </c>
      <c r="H6057" s="255">
        <v>5</v>
      </c>
      <c r="I6057" s="361">
        <v>1</v>
      </c>
      <c r="J6057" s="362" t="s">
        <v>286</v>
      </c>
      <c r="K6057" s="363"/>
      <c r="L6057" s="129"/>
      <c r="M6057" s="129"/>
      <c r="N6057" s="129"/>
      <c r="O6057" s="129"/>
      <c r="P6057" s="372"/>
      <c r="Q6057" s="372"/>
      <c r="R6057" s="129"/>
      <c r="S6057" s="129"/>
      <c r="T6057" s="129"/>
      <c r="U6057" s="363"/>
      <c r="W6057" s="129" t="s">
        <v>286</v>
      </c>
      <c r="X6057" s="337" t="b">
        <f t="shared" si="133"/>
        <v>1</v>
      </c>
    </row>
    <row r="6058" spans="1:24" s="337" customFormat="1" ht="12" customHeight="1" outlineLevel="1">
      <c r="A6058" s="335"/>
      <c r="B6058" s="118" t="s">
        <v>12</v>
      </c>
      <c r="C6058" s="334" t="s">
        <v>14949</v>
      </c>
      <c r="D6058" s="124" t="s">
        <v>14950</v>
      </c>
      <c r="E6058" s="125"/>
      <c r="F6058" s="118" t="s">
        <v>1086</v>
      </c>
      <c r="G6058" s="126" t="s">
        <v>14907</v>
      </c>
      <c r="H6058" s="255">
        <v>5</v>
      </c>
      <c r="I6058" s="361">
        <v>1</v>
      </c>
      <c r="J6058" s="362" t="s">
        <v>286</v>
      </c>
      <c r="K6058" s="363"/>
      <c r="L6058" s="129"/>
      <c r="M6058" s="129"/>
      <c r="N6058" s="129"/>
      <c r="O6058" s="129"/>
      <c r="P6058" s="372"/>
      <c r="Q6058" s="372"/>
      <c r="R6058" s="129"/>
      <c r="S6058" s="129"/>
      <c r="T6058" s="129"/>
      <c r="U6058" s="363"/>
      <c r="W6058" s="129" t="s">
        <v>286</v>
      </c>
      <c r="X6058" s="337" t="b">
        <f t="shared" si="133"/>
        <v>1</v>
      </c>
    </row>
    <row r="6059" spans="1:24" s="337" customFormat="1" ht="12" customHeight="1" outlineLevel="1">
      <c r="A6059" s="335"/>
      <c r="B6059" s="118" t="s">
        <v>12</v>
      </c>
      <c r="C6059" s="334" t="s">
        <v>14951</v>
      </c>
      <c r="D6059" s="124" t="s">
        <v>14952</v>
      </c>
      <c r="E6059" s="125"/>
      <c r="F6059" s="118" t="s">
        <v>1086</v>
      </c>
      <c r="G6059" s="126" t="s">
        <v>14907</v>
      </c>
      <c r="H6059" s="255">
        <v>5</v>
      </c>
      <c r="I6059" s="361">
        <v>1</v>
      </c>
      <c r="J6059" s="362" t="s">
        <v>286</v>
      </c>
      <c r="K6059" s="363"/>
      <c r="L6059" s="129"/>
      <c r="M6059" s="129"/>
      <c r="N6059" s="129"/>
      <c r="O6059" s="129"/>
      <c r="P6059" s="372"/>
      <c r="Q6059" s="372"/>
      <c r="R6059" s="129"/>
      <c r="S6059" s="129"/>
      <c r="T6059" s="129"/>
      <c r="U6059" s="363"/>
      <c r="W6059" s="129" t="s">
        <v>286</v>
      </c>
      <c r="X6059" s="337" t="b">
        <f t="shared" si="133"/>
        <v>1</v>
      </c>
    </row>
    <row r="6060" spans="1:24" s="337" customFormat="1" ht="12" customHeight="1" outlineLevel="1">
      <c r="A6060" s="335"/>
      <c r="B6060" s="118" t="s">
        <v>12</v>
      </c>
      <c r="C6060" s="334" t="s">
        <v>14953</v>
      </c>
      <c r="D6060" s="124" t="s">
        <v>14954</v>
      </c>
      <c r="E6060" s="125"/>
      <c r="F6060" s="118" t="s">
        <v>1086</v>
      </c>
      <c r="G6060" s="126" t="s">
        <v>14907</v>
      </c>
      <c r="H6060" s="255">
        <v>5</v>
      </c>
      <c r="I6060" s="361">
        <v>1</v>
      </c>
      <c r="J6060" s="362" t="s">
        <v>286</v>
      </c>
      <c r="K6060" s="363"/>
      <c r="L6060" s="129"/>
      <c r="M6060" s="129"/>
      <c r="N6060" s="129"/>
      <c r="O6060" s="129"/>
      <c r="P6060" s="372"/>
      <c r="Q6060" s="372"/>
      <c r="R6060" s="129"/>
      <c r="S6060" s="129"/>
      <c r="T6060" s="129"/>
      <c r="U6060" s="363"/>
      <c r="W6060" s="129" t="s">
        <v>286</v>
      </c>
      <c r="X6060" s="337" t="b">
        <f t="shared" si="133"/>
        <v>1</v>
      </c>
    </row>
    <row r="6061" spans="1:24" s="337" customFormat="1" ht="12" customHeight="1" outlineLevel="1">
      <c r="A6061" s="335"/>
      <c r="B6061" s="118" t="s">
        <v>12</v>
      </c>
      <c r="C6061" s="334" t="s">
        <v>14955</v>
      </c>
      <c r="D6061" s="124" t="s">
        <v>14956</v>
      </c>
      <c r="E6061" s="125"/>
      <c r="F6061" s="118" t="s">
        <v>1086</v>
      </c>
      <c r="G6061" s="126" t="s">
        <v>14907</v>
      </c>
      <c r="H6061" s="255">
        <v>5</v>
      </c>
      <c r="I6061" s="361">
        <v>1</v>
      </c>
      <c r="J6061" s="362" t="s">
        <v>286</v>
      </c>
      <c r="K6061" s="363"/>
      <c r="L6061" s="129"/>
      <c r="M6061" s="129"/>
      <c r="N6061" s="129"/>
      <c r="O6061" s="129"/>
      <c r="P6061" s="372"/>
      <c r="Q6061" s="372"/>
      <c r="R6061" s="129"/>
      <c r="S6061" s="129"/>
      <c r="T6061" s="129"/>
      <c r="U6061" s="363"/>
      <c r="W6061" s="129" t="s">
        <v>286</v>
      </c>
      <c r="X6061" s="337" t="b">
        <f t="shared" si="133"/>
        <v>1</v>
      </c>
    </row>
    <row r="6062" spans="1:24" s="337" customFormat="1" ht="12" customHeight="1" outlineLevel="1">
      <c r="A6062" s="335"/>
      <c r="B6062" s="118" t="s">
        <v>12</v>
      </c>
      <c r="C6062" s="334" t="s">
        <v>14957</v>
      </c>
      <c r="D6062" s="124" t="s">
        <v>14958</v>
      </c>
      <c r="E6062" s="125"/>
      <c r="F6062" s="118" t="s">
        <v>1086</v>
      </c>
      <c r="G6062" s="126" t="s">
        <v>14942</v>
      </c>
      <c r="H6062" s="255">
        <v>4</v>
      </c>
      <c r="I6062" s="361">
        <v>1</v>
      </c>
      <c r="J6062" s="362" t="s">
        <v>286</v>
      </c>
      <c r="K6062" s="363"/>
      <c r="L6062" s="129"/>
      <c r="M6062" s="129"/>
      <c r="N6062" s="129"/>
      <c r="O6062" s="129"/>
      <c r="P6062" s="372"/>
      <c r="Q6062" s="372"/>
      <c r="R6062" s="129"/>
      <c r="S6062" s="129"/>
      <c r="T6062" s="129"/>
      <c r="U6062" s="363"/>
      <c r="W6062" s="129" t="s">
        <v>286</v>
      </c>
      <c r="X6062" s="337" t="b">
        <f t="shared" si="133"/>
        <v>1</v>
      </c>
    </row>
    <row r="6063" spans="1:24" s="337" customFormat="1" ht="12" customHeight="1" outlineLevel="1">
      <c r="A6063" s="335"/>
      <c r="B6063" s="118" t="s">
        <v>12</v>
      </c>
      <c r="C6063" s="334" t="s">
        <v>14959</v>
      </c>
      <c r="D6063" s="124" t="s">
        <v>14960</v>
      </c>
      <c r="E6063" s="125"/>
      <c r="F6063" s="118" t="s">
        <v>1086</v>
      </c>
      <c r="G6063" s="126" t="s">
        <v>14942</v>
      </c>
      <c r="H6063" s="255">
        <v>4</v>
      </c>
      <c r="I6063" s="361">
        <v>1</v>
      </c>
      <c r="J6063" s="362" t="s">
        <v>286</v>
      </c>
      <c r="K6063" s="363"/>
      <c r="L6063" s="129"/>
      <c r="M6063" s="129"/>
      <c r="N6063" s="129"/>
      <c r="O6063" s="129"/>
      <c r="P6063" s="372"/>
      <c r="Q6063" s="372"/>
      <c r="R6063" s="129"/>
      <c r="S6063" s="129"/>
      <c r="T6063" s="129"/>
      <c r="U6063" s="363"/>
      <c r="W6063" s="129" t="s">
        <v>286</v>
      </c>
      <c r="X6063" s="337" t="b">
        <f t="shared" si="133"/>
        <v>1</v>
      </c>
    </row>
    <row r="6064" spans="1:24" s="337" customFormat="1" ht="12" customHeight="1" outlineLevel="1">
      <c r="A6064" s="335"/>
      <c r="B6064" s="118" t="s">
        <v>12</v>
      </c>
      <c r="C6064" s="334" t="s">
        <v>14961</v>
      </c>
      <c r="D6064" s="124" t="s">
        <v>14962</v>
      </c>
      <c r="E6064" s="125"/>
      <c r="F6064" s="118" t="s">
        <v>1086</v>
      </c>
      <c r="G6064" s="126" t="s">
        <v>14907</v>
      </c>
      <c r="H6064" s="255">
        <v>5</v>
      </c>
      <c r="I6064" s="361">
        <v>1</v>
      </c>
      <c r="J6064" s="362" t="s">
        <v>286</v>
      </c>
      <c r="K6064" s="363"/>
      <c r="L6064" s="129"/>
      <c r="M6064" s="129"/>
      <c r="N6064" s="129"/>
      <c r="O6064" s="129"/>
      <c r="P6064" s="372"/>
      <c r="Q6064" s="372"/>
      <c r="R6064" s="129"/>
      <c r="S6064" s="129"/>
      <c r="T6064" s="129"/>
      <c r="U6064" s="363"/>
      <c r="W6064" s="129" t="s">
        <v>286</v>
      </c>
      <c r="X6064" s="337" t="b">
        <f t="shared" si="133"/>
        <v>1</v>
      </c>
    </row>
    <row r="6065" spans="1:24" s="337" customFormat="1" ht="12" customHeight="1" outlineLevel="1">
      <c r="A6065" s="335"/>
      <c r="B6065" s="118" t="s">
        <v>12</v>
      </c>
      <c r="C6065" s="334" t="s">
        <v>14963</v>
      </c>
      <c r="D6065" s="124" t="s">
        <v>14964</v>
      </c>
      <c r="E6065" s="125"/>
      <c r="F6065" s="118" t="s">
        <v>1086</v>
      </c>
      <c r="G6065" s="126" t="s">
        <v>14907</v>
      </c>
      <c r="H6065" s="255">
        <v>5</v>
      </c>
      <c r="I6065" s="361">
        <v>1</v>
      </c>
      <c r="J6065" s="362" t="s">
        <v>286</v>
      </c>
      <c r="K6065" s="363"/>
      <c r="L6065" s="129"/>
      <c r="M6065" s="129"/>
      <c r="N6065" s="129"/>
      <c r="O6065" s="129"/>
      <c r="P6065" s="372"/>
      <c r="Q6065" s="372"/>
      <c r="R6065" s="129"/>
      <c r="S6065" s="129"/>
      <c r="T6065" s="129"/>
      <c r="U6065" s="363"/>
      <c r="W6065" s="129" t="s">
        <v>286</v>
      </c>
      <c r="X6065" s="337" t="b">
        <f t="shared" si="133"/>
        <v>1</v>
      </c>
    </row>
    <row r="6066" spans="1:24" s="337" customFormat="1" ht="12" customHeight="1" outlineLevel="1">
      <c r="A6066" s="335"/>
      <c r="B6066" s="118" t="s">
        <v>12</v>
      </c>
      <c r="C6066" s="334" t="s">
        <v>14965</v>
      </c>
      <c r="D6066" s="124" t="s">
        <v>14950</v>
      </c>
      <c r="E6066" s="125"/>
      <c r="F6066" s="118" t="s">
        <v>1086</v>
      </c>
      <c r="G6066" s="126" t="s">
        <v>14907</v>
      </c>
      <c r="H6066" s="255">
        <v>5</v>
      </c>
      <c r="I6066" s="361">
        <v>1</v>
      </c>
      <c r="J6066" s="362" t="s">
        <v>286</v>
      </c>
      <c r="K6066" s="363"/>
      <c r="L6066" s="129"/>
      <c r="M6066" s="129"/>
      <c r="N6066" s="129"/>
      <c r="O6066" s="129"/>
      <c r="P6066" s="372"/>
      <c r="Q6066" s="372"/>
      <c r="R6066" s="129"/>
      <c r="S6066" s="129"/>
      <c r="T6066" s="129"/>
      <c r="U6066" s="363"/>
      <c r="W6066" s="129" t="s">
        <v>286</v>
      </c>
      <c r="X6066" s="337" t="b">
        <f t="shared" si="133"/>
        <v>1</v>
      </c>
    </row>
    <row r="6067" spans="1:24" s="337" customFormat="1" ht="12" customHeight="1" outlineLevel="1">
      <c r="A6067" s="335"/>
      <c r="B6067" s="118" t="s">
        <v>12</v>
      </c>
      <c r="C6067" s="334" t="s">
        <v>14966</v>
      </c>
      <c r="D6067" s="124" t="s">
        <v>14952</v>
      </c>
      <c r="E6067" s="125"/>
      <c r="F6067" s="118" t="s">
        <v>1086</v>
      </c>
      <c r="G6067" s="126" t="s">
        <v>14907</v>
      </c>
      <c r="H6067" s="255">
        <v>5</v>
      </c>
      <c r="I6067" s="361">
        <v>1</v>
      </c>
      <c r="J6067" s="362" t="s">
        <v>286</v>
      </c>
      <c r="K6067" s="363"/>
      <c r="L6067" s="129"/>
      <c r="M6067" s="129"/>
      <c r="N6067" s="129"/>
      <c r="O6067" s="129"/>
      <c r="P6067" s="372"/>
      <c r="Q6067" s="372"/>
      <c r="R6067" s="129"/>
      <c r="S6067" s="129"/>
      <c r="T6067" s="129"/>
      <c r="U6067" s="363"/>
      <c r="W6067" s="129" t="s">
        <v>286</v>
      </c>
      <c r="X6067" s="337" t="b">
        <f t="shared" si="133"/>
        <v>1</v>
      </c>
    </row>
    <row r="6068" spans="1:24" s="337" customFormat="1" ht="12" customHeight="1" outlineLevel="1">
      <c r="A6068" s="335"/>
      <c r="B6068" s="118" t="s">
        <v>12</v>
      </c>
      <c r="C6068" s="334" t="s">
        <v>14967</v>
      </c>
      <c r="D6068" s="124" t="s">
        <v>14954</v>
      </c>
      <c r="E6068" s="125"/>
      <c r="F6068" s="118" t="s">
        <v>1086</v>
      </c>
      <c r="G6068" s="126" t="s">
        <v>14907</v>
      </c>
      <c r="H6068" s="255">
        <v>5</v>
      </c>
      <c r="I6068" s="361">
        <v>1</v>
      </c>
      <c r="J6068" s="362" t="s">
        <v>286</v>
      </c>
      <c r="K6068" s="363"/>
      <c r="L6068" s="129"/>
      <c r="M6068" s="129"/>
      <c r="N6068" s="129"/>
      <c r="O6068" s="129"/>
      <c r="P6068" s="372"/>
      <c r="Q6068" s="372"/>
      <c r="R6068" s="129"/>
      <c r="S6068" s="129"/>
      <c r="T6068" s="129"/>
      <c r="U6068" s="363"/>
      <c r="W6068" s="129" t="s">
        <v>286</v>
      </c>
      <c r="X6068" s="337" t="b">
        <f t="shared" si="133"/>
        <v>1</v>
      </c>
    </row>
    <row r="6069" spans="1:24" s="337" customFormat="1" ht="12" customHeight="1" outlineLevel="1">
      <c r="A6069" s="335"/>
      <c r="B6069" s="118" t="s">
        <v>12</v>
      </c>
      <c r="C6069" s="334" t="s">
        <v>14968</v>
      </c>
      <c r="D6069" s="124" t="s">
        <v>14956</v>
      </c>
      <c r="E6069" s="125"/>
      <c r="F6069" s="118" t="s">
        <v>1086</v>
      </c>
      <c r="G6069" s="126" t="s">
        <v>14907</v>
      </c>
      <c r="H6069" s="255">
        <v>5</v>
      </c>
      <c r="I6069" s="361">
        <v>1</v>
      </c>
      <c r="J6069" s="362" t="s">
        <v>286</v>
      </c>
      <c r="K6069" s="363"/>
      <c r="L6069" s="129"/>
      <c r="M6069" s="129"/>
      <c r="N6069" s="129"/>
      <c r="O6069" s="129"/>
      <c r="P6069" s="372"/>
      <c r="Q6069" s="372"/>
      <c r="R6069" s="129"/>
      <c r="S6069" s="129"/>
      <c r="T6069" s="129"/>
      <c r="U6069" s="363"/>
      <c r="W6069" s="129" t="s">
        <v>286</v>
      </c>
      <c r="X6069" s="337" t="b">
        <f t="shared" si="133"/>
        <v>1</v>
      </c>
    </row>
    <row r="6070" spans="1:24" s="337" customFormat="1" ht="12" customHeight="1" outlineLevel="1">
      <c r="A6070" s="335"/>
      <c r="B6070" s="118" t="s">
        <v>12</v>
      </c>
      <c r="C6070" s="334" t="s">
        <v>14969</v>
      </c>
      <c r="D6070" s="124" t="s">
        <v>14970</v>
      </c>
      <c r="E6070" s="125"/>
      <c r="F6070" s="118" t="s">
        <v>1086</v>
      </c>
      <c r="G6070" s="126" t="s">
        <v>14907</v>
      </c>
      <c r="H6070" s="255">
        <v>5</v>
      </c>
      <c r="I6070" s="361">
        <v>1</v>
      </c>
      <c r="J6070" s="362" t="s">
        <v>286</v>
      </c>
      <c r="K6070" s="363"/>
      <c r="L6070" s="129"/>
      <c r="M6070" s="129"/>
      <c r="N6070" s="129"/>
      <c r="O6070" s="129"/>
      <c r="P6070" s="372"/>
      <c r="Q6070" s="372"/>
      <c r="R6070" s="129"/>
      <c r="S6070" s="129"/>
      <c r="T6070" s="129"/>
      <c r="U6070" s="363"/>
      <c r="W6070" s="129" t="s">
        <v>286</v>
      </c>
      <c r="X6070" s="337" t="b">
        <f t="shared" si="133"/>
        <v>1</v>
      </c>
    </row>
    <row r="6071" spans="1:24" s="337" customFormat="1" ht="12" customHeight="1" outlineLevel="1">
      <c r="A6071" s="335"/>
      <c r="B6071" s="118" t="s">
        <v>12</v>
      </c>
      <c r="C6071" s="334" t="s">
        <v>14971</v>
      </c>
      <c r="D6071" s="124" t="s">
        <v>14972</v>
      </c>
      <c r="E6071" s="125"/>
      <c r="F6071" s="118" t="s">
        <v>1086</v>
      </c>
      <c r="G6071" s="126" t="s">
        <v>14907</v>
      </c>
      <c r="H6071" s="255">
        <v>5</v>
      </c>
      <c r="I6071" s="361">
        <v>1</v>
      </c>
      <c r="J6071" s="362" t="s">
        <v>286</v>
      </c>
      <c r="K6071" s="363"/>
      <c r="L6071" s="129"/>
      <c r="M6071" s="129"/>
      <c r="N6071" s="129"/>
      <c r="O6071" s="129"/>
      <c r="P6071" s="372"/>
      <c r="Q6071" s="372"/>
      <c r="R6071" s="129"/>
      <c r="S6071" s="129"/>
      <c r="T6071" s="129"/>
      <c r="U6071" s="363"/>
      <c r="W6071" s="129" t="s">
        <v>286</v>
      </c>
      <c r="X6071" s="337" t="b">
        <f t="shared" si="133"/>
        <v>1</v>
      </c>
    </row>
    <row r="6072" spans="1:24" s="337" customFormat="1" ht="12" customHeight="1" outlineLevel="1">
      <c r="A6072" s="335"/>
      <c r="B6072" s="118" t="s">
        <v>12</v>
      </c>
      <c r="C6072" s="334" t="s">
        <v>14973</v>
      </c>
      <c r="D6072" s="124" t="s">
        <v>14962</v>
      </c>
      <c r="E6072" s="125"/>
      <c r="F6072" s="118" t="s">
        <v>1086</v>
      </c>
      <c r="G6072" s="126" t="s">
        <v>14907</v>
      </c>
      <c r="H6072" s="255">
        <v>5</v>
      </c>
      <c r="I6072" s="361">
        <v>1</v>
      </c>
      <c r="J6072" s="362" t="s">
        <v>286</v>
      </c>
      <c r="K6072" s="363"/>
      <c r="L6072" s="129"/>
      <c r="M6072" s="129"/>
      <c r="N6072" s="129"/>
      <c r="O6072" s="129"/>
      <c r="P6072" s="372"/>
      <c r="Q6072" s="372"/>
      <c r="R6072" s="129"/>
      <c r="S6072" s="129"/>
      <c r="T6072" s="129"/>
      <c r="U6072" s="363"/>
      <c r="W6072" s="129" t="s">
        <v>286</v>
      </c>
      <c r="X6072" s="337" t="b">
        <f t="shared" si="133"/>
        <v>1</v>
      </c>
    </row>
    <row r="6073" spans="1:24" s="337" customFormat="1" ht="12" customHeight="1" outlineLevel="1">
      <c r="A6073" s="335"/>
      <c r="B6073" s="118" t="s">
        <v>12</v>
      </c>
      <c r="C6073" s="334" t="s">
        <v>14974</v>
      </c>
      <c r="D6073" s="124" t="s">
        <v>14964</v>
      </c>
      <c r="E6073" s="125"/>
      <c r="F6073" s="118" t="s">
        <v>1086</v>
      </c>
      <c r="G6073" s="126" t="s">
        <v>14907</v>
      </c>
      <c r="H6073" s="255">
        <v>5</v>
      </c>
      <c r="I6073" s="361">
        <v>1</v>
      </c>
      <c r="J6073" s="362" t="s">
        <v>286</v>
      </c>
      <c r="K6073" s="363"/>
      <c r="L6073" s="129"/>
      <c r="M6073" s="129"/>
      <c r="N6073" s="129"/>
      <c r="O6073" s="129"/>
      <c r="P6073" s="372"/>
      <c r="Q6073" s="372"/>
      <c r="R6073" s="129"/>
      <c r="S6073" s="129"/>
      <c r="T6073" s="129"/>
      <c r="U6073" s="363"/>
      <c r="W6073" s="129" t="s">
        <v>286</v>
      </c>
      <c r="X6073" s="337" t="b">
        <f t="shared" si="133"/>
        <v>1</v>
      </c>
    </row>
    <row r="6074" spans="1:24" s="337" customFormat="1" ht="12" customHeight="1" outlineLevel="1">
      <c r="A6074" s="335"/>
      <c r="B6074" s="118" t="s">
        <v>12</v>
      </c>
      <c r="C6074" s="334" t="s">
        <v>14975</v>
      </c>
      <c r="D6074" s="124" t="s">
        <v>14950</v>
      </c>
      <c r="E6074" s="125"/>
      <c r="F6074" s="118" t="s">
        <v>1086</v>
      </c>
      <c r="G6074" s="126" t="s">
        <v>14907</v>
      </c>
      <c r="H6074" s="255">
        <v>5</v>
      </c>
      <c r="I6074" s="361">
        <v>1</v>
      </c>
      <c r="J6074" s="362" t="s">
        <v>286</v>
      </c>
      <c r="K6074" s="363"/>
      <c r="L6074" s="129"/>
      <c r="M6074" s="129"/>
      <c r="N6074" s="129"/>
      <c r="O6074" s="129"/>
      <c r="P6074" s="372"/>
      <c r="Q6074" s="372"/>
      <c r="R6074" s="129"/>
      <c r="S6074" s="129"/>
      <c r="T6074" s="129"/>
      <c r="U6074" s="363"/>
      <c r="W6074" s="129" t="s">
        <v>286</v>
      </c>
      <c r="X6074" s="337" t="b">
        <f t="shared" si="133"/>
        <v>1</v>
      </c>
    </row>
    <row r="6075" spans="1:24" s="337" customFormat="1" ht="12" customHeight="1" outlineLevel="1">
      <c r="A6075" s="335"/>
      <c r="B6075" s="118" t="s">
        <v>12</v>
      </c>
      <c r="C6075" s="334" t="s">
        <v>14976</v>
      </c>
      <c r="D6075" s="124" t="s">
        <v>14952</v>
      </c>
      <c r="E6075" s="125"/>
      <c r="F6075" s="118" t="s">
        <v>1086</v>
      </c>
      <c r="G6075" s="126" t="s">
        <v>14907</v>
      </c>
      <c r="H6075" s="255">
        <v>5</v>
      </c>
      <c r="I6075" s="361">
        <v>1</v>
      </c>
      <c r="J6075" s="362" t="s">
        <v>286</v>
      </c>
      <c r="K6075" s="363"/>
      <c r="L6075" s="129"/>
      <c r="M6075" s="129"/>
      <c r="N6075" s="129"/>
      <c r="O6075" s="129"/>
      <c r="P6075" s="372"/>
      <c r="Q6075" s="372"/>
      <c r="R6075" s="129"/>
      <c r="S6075" s="129"/>
      <c r="T6075" s="129"/>
      <c r="U6075" s="363"/>
      <c r="W6075" s="129" t="s">
        <v>286</v>
      </c>
      <c r="X6075" s="337" t="b">
        <f t="shared" si="133"/>
        <v>1</v>
      </c>
    </row>
    <row r="6076" spans="1:24" s="337" customFormat="1" ht="12" customHeight="1" outlineLevel="1">
      <c r="A6076" s="335"/>
      <c r="B6076" s="118" t="s">
        <v>12</v>
      </c>
      <c r="C6076" s="334" t="s">
        <v>14977</v>
      </c>
      <c r="D6076" s="124" t="s">
        <v>14954</v>
      </c>
      <c r="E6076" s="125"/>
      <c r="F6076" s="118" t="s">
        <v>1086</v>
      </c>
      <c r="G6076" s="126" t="s">
        <v>14907</v>
      </c>
      <c r="H6076" s="255">
        <v>5</v>
      </c>
      <c r="I6076" s="361">
        <v>1</v>
      </c>
      <c r="J6076" s="362" t="s">
        <v>286</v>
      </c>
      <c r="K6076" s="363"/>
      <c r="L6076" s="129"/>
      <c r="M6076" s="129"/>
      <c r="N6076" s="129"/>
      <c r="O6076" s="129"/>
      <c r="P6076" s="372"/>
      <c r="Q6076" s="372"/>
      <c r="R6076" s="129"/>
      <c r="S6076" s="129"/>
      <c r="T6076" s="129"/>
      <c r="U6076" s="363"/>
      <c r="W6076" s="129" t="s">
        <v>286</v>
      </c>
      <c r="X6076" s="337" t="b">
        <f t="shared" si="133"/>
        <v>1</v>
      </c>
    </row>
    <row r="6077" spans="1:24" s="337" customFormat="1" ht="12" customHeight="1" outlineLevel="1">
      <c r="A6077" s="335"/>
      <c r="B6077" s="118" t="s">
        <v>12</v>
      </c>
      <c r="C6077" s="334" t="s">
        <v>14978</v>
      </c>
      <c r="D6077" s="124" t="s">
        <v>14956</v>
      </c>
      <c r="E6077" s="125"/>
      <c r="F6077" s="118" t="s">
        <v>1086</v>
      </c>
      <c r="G6077" s="126" t="s">
        <v>14907</v>
      </c>
      <c r="H6077" s="255">
        <v>5</v>
      </c>
      <c r="I6077" s="361">
        <v>1</v>
      </c>
      <c r="J6077" s="362" t="s">
        <v>286</v>
      </c>
      <c r="K6077" s="363"/>
      <c r="L6077" s="129"/>
      <c r="M6077" s="129"/>
      <c r="N6077" s="129"/>
      <c r="O6077" s="129"/>
      <c r="P6077" s="372"/>
      <c r="Q6077" s="372"/>
      <c r="R6077" s="129"/>
      <c r="S6077" s="129"/>
      <c r="T6077" s="129"/>
      <c r="U6077" s="363"/>
      <c r="W6077" s="129" t="s">
        <v>286</v>
      </c>
      <c r="X6077" s="337" t="b">
        <f t="shared" si="133"/>
        <v>1</v>
      </c>
    </row>
    <row r="6078" spans="1:24" s="337" customFormat="1" ht="12" customHeight="1" outlineLevel="1">
      <c r="A6078" s="335"/>
      <c r="B6078" s="118" t="s">
        <v>12</v>
      </c>
      <c r="C6078" s="334" t="s">
        <v>14979</v>
      </c>
      <c r="D6078" s="124" t="s">
        <v>14970</v>
      </c>
      <c r="E6078" s="125"/>
      <c r="F6078" s="118" t="s">
        <v>1086</v>
      </c>
      <c r="G6078" s="126" t="s">
        <v>14907</v>
      </c>
      <c r="H6078" s="255">
        <v>5</v>
      </c>
      <c r="I6078" s="361">
        <v>1</v>
      </c>
      <c r="J6078" s="362" t="s">
        <v>286</v>
      </c>
      <c r="K6078" s="363"/>
      <c r="L6078" s="129"/>
      <c r="M6078" s="129"/>
      <c r="N6078" s="129"/>
      <c r="O6078" s="129"/>
      <c r="P6078" s="372"/>
      <c r="Q6078" s="372"/>
      <c r="R6078" s="129"/>
      <c r="S6078" s="129"/>
      <c r="T6078" s="129"/>
      <c r="U6078" s="363"/>
      <c r="W6078" s="129" t="s">
        <v>286</v>
      </c>
      <c r="X6078" s="337" t="b">
        <f t="shared" si="133"/>
        <v>1</v>
      </c>
    </row>
    <row r="6079" spans="1:24" s="337" customFormat="1" ht="12" customHeight="1" outlineLevel="1">
      <c r="A6079" s="335"/>
      <c r="B6079" s="118" t="s">
        <v>12</v>
      </c>
      <c r="C6079" s="334" t="s">
        <v>14980</v>
      </c>
      <c r="D6079" s="124" t="s">
        <v>14972</v>
      </c>
      <c r="E6079" s="125"/>
      <c r="F6079" s="118" t="s">
        <v>1086</v>
      </c>
      <c r="G6079" s="126" t="s">
        <v>14907</v>
      </c>
      <c r="H6079" s="255">
        <v>5</v>
      </c>
      <c r="I6079" s="361">
        <v>1</v>
      </c>
      <c r="J6079" s="362" t="s">
        <v>286</v>
      </c>
      <c r="K6079" s="363"/>
      <c r="L6079" s="129"/>
      <c r="M6079" s="129"/>
      <c r="N6079" s="129"/>
      <c r="O6079" s="129"/>
      <c r="P6079" s="372"/>
      <c r="Q6079" s="372"/>
      <c r="R6079" s="129"/>
      <c r="S6079" s="129"/>
      <c r="T6079" s="129"/>
      <c r="U6079" s="363"/>
      <c r="W6079" s="129" t="s">
        <v>286</v>
      </c>
      <c r="X6079" s="337" t="b">
        <f t="shared" si="133"/>
        <v>1</v>
      </c>
    </row>
    <row r="6080" spans="1:24" s="337" customFormat="1" ht="12" customHeight="1" outlineLevel="1">
      <c r="A6080" s="335"/>
      <c r="B6080" s="118" t="s">
        <v>12</v>
      </c>
      <c r="C6080" s="334" t="s">
        <v>14981</v>
      </c>
      <c r="D6080" s="124" t="s">
        <v>14982</v>
      </c>
      <c r="E6080" s="125"/>
      <c r="F6080" s="118" t="s">
        <v>1086</v>
      </c>
      <c r="G6080" s="126" t="s">
        <v>14907</v>
      </c>
      <c r="H6080" s="255">
        <v>5</v>
      </c>
      <c r="I6080" s="361">
        <v>1</v>
      </c>
      <c r="J6080" s="362" t="s">
        <v>286</v>
      </c>
      <c r="K6080" s="363"/>
      <c r="L6080" s="129"/>
      <c r="M6080" s="129"/>
      <c r="N6080" s="129"/>
      <c r="O6080" s="129"/>
      <c r="P6080" s="372"/>
      <c r="Q6080" s="372"/>
      <c r="R6080" s="129"/>
      <c r="S6080" s="129"/>
      <c r="T6080" s="129"/>
      <c r="U6080" s="363"/>
      <c r="W6080" s="129" t="s">
        <v>286</v>
      </c>
      <c r="X6080" s="337" t="b">
        <f t="shared" si="133"/>
        <v>1</v>
      </c>
    </row>
    <row r="6081" spans="1:24" s="337" customFormat="1" ht="12" customHeight="1" outlineLevel="1">
      <c r="A6081" s="335"/>
      <c r="B6081" s="118" t="s">
        <v>12</v>
      </c>
      <c r="C6081" s="334" t="s">
        <v>14983</v>
      </c>
      <c r="D6081" s="124" t="s">
        <v>14984</v>
      </c>
      <c r="E6081" s="125"/>
      <c r="F6081" s="118" t="s">
        <v>1086</v>
      </c>
      <c r="G6081" s="126" t="s">
        <v>14907</v>
      </c>
      <c r="H6081" s="255">
        <v>5</v>
      </c>
      <c r="I6081" s="361">
        <v>1</v>
      </c>
      <c r="J6081" s="362" t="s">
        <v>286</v>
      </c>
      <c r="K6081" s="363"/>
      <c r="L6081" s="129"/>
      <c r="M6081" s="129"/>
      <c r="N6081" s="129"/>
      <c r="O6081" s="129"/>
      <c r="P6081" s="372"/>
      <c r="Q6081" s="372"/>
      <c r="R6081" s="129"/>
      <c r="S6081" s="129"/>
      <c r="T6081" s="129"/>
      <c r="U6081" s="363"/>
      <c r="W6081" s="129" t="s">
        <v>286</v>
      </c>
      <c r="X6081" s="337" t="b">
        <f t="shared" si="133"/>
        <v>1</v>
      </c>
    </row>
    <row r="6082" spans="1:24" s="337" customFormat="1" ht="12" customHeight="1" outlineLevel="1">
      <c r="A6082" s="335"/>
      <c r="B6082" s="118" t="s">
        <v>12</v>
      </c>
      <c r="C6082" s="334" t="s">
        <v>14985</v>
      </c>
      <c r="D6082" s="124" t="s">
        <v>14986</v>
      </c>
      <c r="E6082" s="125"/>
      <c r="F6082" s="118" t="s">
        <v>1086</v>
      </c>
      <c r="G6082" s="126" t="s">
        <v>14907</v>
      </c>
      <c r="H6082" s="255">
        <v>5</v>
      </c>
      <c r="I6082" s="361">
        <v>1</v>
      </c>
      <c r="J6082" s="362" t="s">
        <v>286</v>
      </c>
      <c r="K6082" s="363"/>
      <c r="L6082" s="129"/>
      <c r="M6082" s="129"/>
      <c r="N6082" s="129"/>
      <c r="O6082" s="129"/>
      <c r="P6082" s="372"/>
      <c r="Q6082" s="372"/>
      <c r="R6082" s="129"/>
      <c r="S6082" s="129"/>
      <c r="T6082" s="129"/>
      <c r="U6082" s="363"/>
      <c r="W6082" s="129" t="s">
        <v>286</v>
      </c>
      <c r="X6082" s="337" t="b">
        <f t="shared" si="133"/>
        <v>1</v>
      </c>
    </row>
    <row r="6083" spans="1:24" s="337" customFormat="1" ht="12" customHeight="1" outlineLevel="1">
      <c r="A6083" s="335"/>
      <c r="B6083" s="118" t="s">
        <v>12</v>
      </c>
      <c r="C6083" s="334" t="s">
        <v>14987</v>
      </c>
      <c r="D6083" s="124" t="s">
        <v>14988</v>
      </c>
      <c r="E6083" s="125"/>
      <c r="F6083" s="118" t="s">
        <v>1086</v>
      </c>
      <c r="G6083" s="126" t="s">
        <v>14907</v>
      </c>
      <c r="H6083" s="255">
        <v>5</v>
      </c>
      <c r="I6083" s="361">
        <v>1</v>
      </c>
      <c r="J6083" s="362" t="s">
        <v>286</v>
      </c>
      <c r="K6083" s="363"/>
      <c r="L6083" s="129"/>
      <c r="M6083" s="129"/>
      <c r="N6083" s="129"/>
      <c r="O6083" s="129"/>
      <c r="P6083" s="372"/>
      <c r="Q6083" s="372"/>
      <c r="R6083" s="129"/>
      <c r="S6083" s="129"/>
      <c r="T6083" s="129"/>
      <c r="U6083" s="363"/>
      <c r="W6083" s="129" t="s">
        <v>286</v>
      </c>
      <c r="X6083" s="337" t="b">
        <f t="shared" si="133"/>
        <v>1</v>
      </c>
    </row>
    <row r="6084" spans="1:24" s="337" customFormat="1" ht="12" customHeight="1" outlineLevel="1">
      <c r="A6084" s="335"/>
      <c r="B6084" s="118" t="s">
        <v>12</v>
      </c>
      <c r="C6084" s="334" t="s">
        <v>14989</v>
      </c>
      <c r="D6084" s="124" t="s">
        <v>14990</v>
      </c>
      <c r="E6084" s="125"/>
      <c r="F6084" s="118" t="s">
        <v>1086</v>
      </c>
      <c r="G6084" s="126" t="s">
        <v>14907</v>
      </c>
      <c r="H6084" s="255">
        <v>5</v>
      </c>
      <c r="I6084" s="361">
        <v>1</v>
      </c>
      <c r="J6084" s="362" t="s">
        <v>286</v>
      </c>
      <c r="K6084" s="363"/>
      <c r="L6084" s="129"/>
      <c r="M6084" s="129"/>
      <c r="N6084" s="129"/>
      <c r="O6084" s="129"/>
      <c r="P6084" s="372"/>
      <c r="Q6084" s="372"/>
      <c r="R6084" s="129"/>
      <c r="S6084" s="129"/>
      <c r="T6084" s="129"/>
      <c r="U6084" s="363"/>
      <c r="W6084" s="129" t="s">
        <v>286</v>
      </c>
      <c r="X6084" s="337" t="b">
        <f t="shared" si="133"/>
        <v>1</v>
      </c>
    </row>
    <row r="6085" spans="1:24" s="337" customFormat="1" ht="12" customHeight="1" outlineLevel="1">
      <c r="A6085" s="335"/>
      <c r="B6085" s="118" t="s">
        <v>12</v>
      </c>
      <c r="C6085" s="334" t="s">
        <v>14991</v>
      </c>
      <c r="D6085" s="124" t="s">
        <v>14992</v>
      </c>
      <c r="E6085" s="125"/>
      <c r="F6085" s="118" t="s">
        <v>1086</v>
      </c>
      <c r="G6085" s="126" t="s">
        <v>14907</v>
      </c>
      <c r="H6085" s="255">
        <v>5</v>
      </c>
      <c r="I6085" s="361">
        <v>1</v>
      </c>
      <c r="J6085" s="362" t="s">
        <v>286</v>
      </c>
      <c r="K6085" s="363"/>
      <c r="L6085" s="129"/>
      <c r="M6085" s="129"/>
      <c r="N6085" s="129"/>
      <c r="O6085" s="129"/>
      <c r="P6085" s="372"/>
      <c r="Q6085" s="372"/>
      <c r="R6085" s="129"/>
      <c r="S6085" s="129"/>
      <c r="T6085" s="129"/>
      <c r="U6085" s="363"/>
      <c r="W6085" s="129" t="s">
        <v>286</v>
      </c>
      <c r="X6085" s="337" t="b">
        <f t="shared" si="133"/>
        <v>1</v>
      </c>
    </row>
    <row r="6086" spans="1:24" s="337" customFormat="1" ht="12" customHeight="1" outlineLevel="1">
      <c r="A6086" s="335"/>
      <c r="B6086" s="118" t="s">
        <v>12</v>
      </c>
      <c r="C6086" s="334" t="s">
        <v>14993</v>
      </c>
      <c r="D6086" s="124" t="s">
        <v>14994</v>
      </c>
      <c r="E6086" s="125"/>
      <c r="F6086" s="118" t="s">
        <v>1086</v>
      </c>
      <c r="G6086" s="126" t="s">
        <v>14907</v>
      </c>
      <c r="H6086" s="255">
        <v>5</v>
      </c>
      <c r="I6086" s="361">
        <v>1</v>
      </c>
      <c r="J6086" s="362" t="s">
        <v>286</v>
      </c>
      <c r="K6086" s="363"/>
      <c r="L6086" s="129"/>
      <c r="M6086" s="129"/>
      <c r="N6086" s="129"/>
      <c r="O6086" s="129"/>
      <c r="P6086" s="372"/>
      <c r="Q6086" s="372"/>
      <c r="R6086" s="129"/>
      <c r="S6086" s="129"/>
      <c r="T6086" s="129"/>
      <c r="U6086" s="363"/>
      <c r="W6086" s="129" t="s">
        <v>286</v>
      </c>
      <c r="X6086" s="337" t="b">
        <f t="shared" si="133"/>
        <v>1</v>
      </c>
    </row>
    <row r="6087" spans="1:24" s="337" customFormat="1" ht="12" customHeight="1" outlineLevel="1">
      <c r="A6087" s="335"/>
      <c r="B6087" s="118" t="s">
        <v>12</v>
      </c>
      <c r="C6087" s="334" t="s">
        <v>14995</v>
      </c>
      <c r="D6087" s="124" t="s">
        <v>14996</v>
      </c>
      <c r="E6087" s="125"/>
      <c r="F6087" s="118" t="s">
        <v>1086</v>
      </c>
      <c r="G6087" s="126" t="s">
        <v>14907</v>
      </c>
      <c r="H6087" s="255">
        <v>5</v>
      </c>
      <c r="I6087" s="361">
        <v>1</v>
      </c>
      <c r="J6087" s="362" t="s">
        <v>286</v>
      </c>
      <c r="K6087" s="363"/>
      <c r="L6087" s="129"/>
      <c r="M6087" s="129"/>
      <c r="N6087" s="129"/>
      <c r="O6087" s="129"/>
      <c r="P6087" s="372"/>
      <c r="Q6087" s="372"/>
      <c r="R6087" s="129"/>
      <c r="S6087" s="129"/>
      <c r="T6087" s="129"/>
      <c r="U6087" s="363"/>
      <c r="W6087" s="129" t="s">
        <v>286</v>
      </c>
      <c r="X6087" s="337" t="b">
        <f t="shared" si="133"/>
        <v>1</v>
      </c>
    </row>
    <row r="6088" spans="1:24" s="337" customFormat="1" ht="12" customHeight="1" outlineLevel="1">
      <c r="A6088" s="335"/>
      <c r="B6088" s="118" t="s">
        <v>12</v>
      </c>
      <c r="C6088" s="334" t="s">
        <v>14997</v>
      </c>
      <c r="D6088" s="124" t="s">
        <v>14998</v>
      </c>
      <c r="E6088" s="125"/>
      <c r="F6088" s="118" t="s">
        <v>1086</v>
      </c>
      <c r="G6088" s="126" t="s">
        <v>14907</v>
      </c>
      <c r="H6088" s="255">
        <v>5</v>
      </c>
      <c r="I6088" s="361">
        <v>1</v>
      </c>
      <c r="J6088" s="362" t="s">
        <v>286</v>
      </c>
      <c r="K6088" s="363"/>
      <c r="L6088" s="129"/>
      <c r="M6088" s="129"/>
      <c r="N6088" s="129"/>
      <c r="O6088" s="129"/>
      <c r="P6088" s="372"/>
      <c r="Q6088" s="372"/>
      <c r="R6088" s="129"/>
      <c r="S6088" s="129"/>
      <c r="T6088" s="129"/>
      <c r="U6088" s="363"/>
      <c r="W6088" s="129" t="s">
        <v>4876</v>
      </c>
      <c r="X6088" s="337" t="b">
        <f t="shared" si="133"/>
        <v>0</v>
      </c>
    </row>
    <row r="6089" spans="1:24" s="337" customFormat="1" ht="12" customHeight="1" outlineLevel="1">
      <c r="A6089" s="335"/>
      <c r="B6089" s="118" t="s">
        <v>12</v>
      </c>
      <c r="C6089" s="334" t="s">
        <v>14999</v>
      </c>
      <c r="D6089" s="124" t="s">
        <v>15000</v>
      </c>
      <c r="E6089" s="125"/>
      <c r="F6089" s="118" t="s">
        <v>1086</v>
      </c>
      <c r="G6089" s="126" t="s">
        <v>14907</v>
      </c>
      <c r="H6089" s="255">
        <v>5</v>
      </c>
      <c r="I6089" s="361">
        <v>1</v>
      </c>
      <c r="J6089" s="362" t="s">
        <v>286</v>
      </c>
      <c r="K6089" s="363"/>
      <c r="L6089" s="129"/>
      <c r="M6089" s="129"/>
      <c r="N6089" s="129"/>
      <c r="O6089" s="129"/>
      <c r="P6089" s="372"/>
      <c r="Q6089" s="372"/>
      <c r="R6089" s="129"/>
      <c r="S6089" s="129"/>
      <c r="T6089" s="129"/>
      <c r="U6089" s="363"/>
      <c r="W6089" s="129" t="s">
        <v>286</v>
      </c>
      <c r="X6089" s="337" t="b">
        <f t="shared" si="133"/>
        <v>1</v>
      </c>
    </row>
    <row r="6090" spans="1:24" s="337" customFormat="1" ht="12" customHeight="1" outlineLevel="1">
      <c r="A6090" s="335"/>
      <c r="B6090" s="118" t="s">
        <v>12</v>
      </c>
      <c r="C6090" s="334" t="s">
        <v>15001</v>
      </c>
      <c r="D6090" s="124" t="s">
        <v>15002</v>
      </c>
      <c r="E6090" s="125"/>
      <c r="F6090" s="118" t="s">
        <v>1086</v>
      </c>
      <c r="G6090" s="126" t="s">
        <v>14907</v>
      </c>
      <c r="H6090" s="255">
        <v>5</v>
      </c>
      <c r="I6090" s="361">
        <v>1</v>
      </c>
      <c r="J6090" s="362" t="s">
        <v>286</v>
      </c>
      <c r="K6090" s="363"/>
      <c r="L6090" s="129"/>
      <c r="M6090" s="129"/>
      <c r="N6090" s="129"/>
      <c r="O6090" s="129"/>
      <c r="P6090" s="372"/>
      <c r="Q6090" s="372"/>
      <c r="R6090" s="129"/>
      <c r="S6090" s="129"/>
      <c r="T6090" s="129"/>
      <c r="U6090" s="363"/>
      <c r="W6090" s="129" t="s">
        <v>286</v>
      </c>
      <c r="X6090" s="337" t="b">
        <f t="shared" si="133"/>
        <v>1</v>
      </c>
    </row>
    <row r="6091" spans="1:24" s="337" customFormat="1" ht="12" customHeight="1" outlineLevel="1">
      <c r="A6091" s="335"/>
      <c r="B6091" s="118" t="s">
        <v>12</v>
      </c>
      <c r="C6091" s="334" t="s">
        <v>15003</v>
      </c>
      <c r="D6091" s="124" t="s">
        <v>15004</v>
      </c>
      <c r="E6091" s="125"/>
      <c r="F6091" s="118" t="s">
        <v>1086</v>
      </c>
      <c r="G6091" s="126" t="s">
        <v>14907</v>
      </c>
      <c r="H6091" s="255">
        <v>5</v>
      </c>
      <c r="I6091" s="361">
        <v>1</v>
      </c>
      <c r="J6091" s="362" t="s">
        <v>286</v>
      </c>
      <c r="K6091" s="363"/>
      <c r="L6091" s="129"/>
      <c r="M6091" s="129"/>
      <c r="N6091" s="129"/>
      <c r="O6091" s="129"/>
      <c r="P6091" s="372"/>
      <c r="Q6091" s="372"/>
      <c r="R6091" s="129"/>
      <c r="S6091" s="129"/>
      <c r="T6091" s="129"/>
      <c r="U6091" s="363"/>
      <c r="W6091" s="129" t="s">
        <v>286</v>
      </c>
      <c r="X6091" s="337" t="b">
        <f t="shared" si="133"/>
        <v>1</v>
      </c>
    </row>
    <row r="6092" spans="1:24" s="337" customFormat="1" ht="12" customHeight="1" outlineLevel="1">
      <c r="A6092" s="335"/>
      <c r="B6092" s="118" t="s">
        <v>12</v>
      </c>
      <c r="C6092" s="334" t="s">
        <v>15005</v>
      </c>
      <c r="D6092" s="124" t="s">
        <v>15006</v>
      </c>
      <c r="E6092" s="125"/>
      <c r="F6092" s="118" t="s">
        <v>1086</v>
      </c>
      <c r="G6092" s="126" t="s">
        <v>14907</v>
      </c>
      <c r="H6092" s="255">
        <v>5</v>
      </c>
      <c r="I6092" s="361">
        <v>1</v>
      </c>
      <c r="J6092" s="362" t="s">
        <v>286</v>
      </c>
      <c r="K6092" s="363"/>
      <c r="L6092" s="129"/>
      <c r="M6092" s="129"/>
      <c r="N6092" s="129"/>
      <c r="O6092" s="129"/>
      <c r="P6092" s="372"/>
      <c r="Q6092" s="372"/>
      <c r="R6092" s="129"/>
      <c r="S6092" s="129"/>
      <c r="T6092" s="129"/>
      <c r="U6092" s="363"/>
      <c r="W6092" s="129" t="s">
        <v>286</v>
      </c>
      <c r="X6092" s="337" t="b">
        <f t="shared" si="133"/>
        <v>1</v>
      </c>
    </row>
    <row r="6093" spans="1:24" s="337" customFormat="1" ht="12" customHeight="1" outlineLevel="1">
      <c r="A6093" s="335"/>
      <c r="B6093" s="118" t="s">
        <v>12</v>
      </c>
      <c r="C6093" s="334" t="s">
        <v>15007</v>
      </c>
      <c r="D6093" s="124" t="s">
        <v>15008</v>
      </c>
      <c r="E6093" s="125"/>
      <c r="F6093" s="118" t="s">
        <v>1086</v>
      </c>
      <c r="G6093" s="126" t="s">
        <v>14907</v>
      </c>
      <c r="H6093" s="255">
        <v>5</v>
      </c>
      <c r="I6093" s="361">
        <v>1</v>
      </c>
      <c r="J6093" s="362" t="s">
        <v>286</v>
      </c>
      <c r="K6093" s="363"/>
      <c r="L6093" s="129"/>
      <c r="M6093" s="129"/>
      <c r="N6093" s="129"/>
      <c r="O6093" s="129"/>
      <c r="P6093" s="372"/>
      <c r="Q6093" s="372"/>
      <c r="R6093" s="129"/>
      <c r="S6093" s="129"/>
      <c r="T6093" s="129"/>
      <c r="U6093" s="363"/>
      <c r="W6093" s="129" t="s">
        <v>286</v>
      </c>
      <c r="X6093" s="337" t="b">
        <f t="shared" ref="X6093:X6156" si="134">W6093=J6093</f>
        <v>1</v>
      </c>
    </row>
    <row r="6094" spans="1:24" s="337" customFormat="1" ht="12" customHeight="1" outlineLevel="1">
      <c r="A6094" s="335"/>
      <c r="B6094" s="118" t="s">
        <v>12</v>
      </c>
      <c r="C6094" s="334" t="s">
        <v>15009</v>
      </c>
      <c r="D6094" s="124" t="s">
        <v>15010</v>
      </c>
      <c r="E6094" s="125"/>
      <c r="F6094" s="118" t="s">
        <v>1086</v>
      </c>
      <c r="G6094" s="126" t="s">
        <v>14907</v>
      </c>
      <c r="H6094" s="255">
        <v>5</v>
      </c>
      <c r="I6094" s="361">
        <v>1</v>
      </c>
      <c r="J6094" s="362" t="s">
        <v>286</v>
      </c>
      <c r="K6094" s="363"/>
      <c r="L6094" s="129"/>
      <c r="M6094" s="129"/>
      <c r="N6094" s="129"/>
      <c r="O6094" s="129"/>
      <c r="P6094" s="372"/>
      <c r="Q6094" s="372"/>
      <c r="R6094" s="129"/>
      <c r="S6094" s="129"/>
      <c r="T6094" s="129"/>
      <c r="U6094" s="363"/>
      <c r="W6094" s="129" t="s">
        <v>4876</v>
      </c>
      <c r="X6094" s="337" t="b">
        <f t="shared" si="134"/>
        <v>0</v>
      </c>
    </row>
    <row r="6095" spans="1:24" s="337" customFormat="1" ht="12" customHeight="1" outlineLevel="1">
      <c r="A6095" s="335"/>
      <c r="B6095" s="118" t="s">
        <v>12</v>
      </c>
      <c r="C6095" s="334" t="s">
        <v>15011</v>
      </c>
      <c r="D6095" s="124" t="s">
        <v>15012</v>
      </c>
      <c r="E6095" s="125"/>
      <c r="F6095" s="118" t="s">
        <v>1086</v>
      </c>
      <c r="G6095" s="126" t="s">
        <v>14907</v>
      </c>
      <c r="H6095" s="255">
        <v>5</v>
      </c>
      <c r="I6095" s="361">
        <v>1</v>
      </c>
      <c r="J6095" s="362" t="s">
        <v>286</v>
      </c>
      <c r="K6095" s="363"/>
      <c r="L6095" s="129"/>
      <c r="M6095" s="129"/>
      <c r="N6095" s="129"/>
      <c r="O6095" s="129"/>
      <c r="P6095" s="372"/>
      <c r="Q6095" s="372"/>
      <c r="R6095" s="129"/>
      <c r="S6095" s="129"/>
      <c r="T6095" s="129"/>
      <c r="U6095" s="363"/>
      <c r="W6095" s="129" t="s">
        <v>286</v>
      </c>
      <c r="X6095" s="337" t="b">
        <f t="shared" si="134"/>
        <v>1</v>
      </c>
    </row>
    <row r="6096" spans="1:24" s="337" customFormat="1" ht="12" customHeight="1" outlineLevel="1">
      <c r="A6096" s="335"/>
      <c r="B6096" s="118" t="s">
        <v>12</v>
      </c>
      <c r="C6096" s="334" t="s">
        <v>15013</v>
      </c>
      <c r="D6096" s="124" t="s">
        <v>15014</v>
      </c>
      <c r="E6096" s="125"/>
      <c r="F6096" s="118" t="s">
        <v>1086</v>
      </c>
      <c r="G6096" s="126" t="s">
        <v>14907</v>
      </c>
      <c r="H6096" s="255">
        <v>5</v>
      </c>
      <c r="I6096" s="361">
        <v>1</v>
      </c>
      <c r="J6096" s="362" t="s">
        <v>286</v>
      </c>
      <c r="K6096" s="363"/>
      <c r="L6096" s="129"/>
      <c r="M6096" s="129"/>
      <c r="N6096" s="129"/>
      <c r="O6096" s="129"/>
      <c r="P6096" s="372"/>
      <c r="Q6096" s="372"/>
      <c r="R6096" s="129"/>
      <c r="S6096" s="129"/>
      <c r="T6096" s="129"/>
      <c r="U6096" s="363"/>
      <c r="W6096" s="129" t="s">
        <v>286</v>
      </c>
      <c r="X6096" s="337" t="b">
        <f t="shared" si="134"/>
        <v>1</v>
      </c>
    </row>
    <row r="6097" spans="1:24" s="337" customFormat="1" ht="12" customHeight="1" outlineLevel="1">
      <c r="A6097" s="335"/>
      <c r="B6097" s="118" t="s">
        <v>12</v>
      </c>
      <c r="C6097" s="334" t="s">
        <v>15015</v>
      </c>
      <c r="D6097" s="124" t="s">
        <v>15016</v>
      </c>
      <c r="E6097" s="125"/>
      <c r="F6097" s="118" t="s">
        <v>1086</v>
      </c>
      <c r="G6097" s="126" t="s">
        <v>14907</v>
      </c>
      <c r="H6097" s="255">
        <v>5</v>
      </c>
      <c r="I6097" s="361">
        <v>1</v>
      </c>
      <c r="J6097" s="362" t="s">
        <v>286</v>
      </c>
      <c r="K6097" s="363"/>
      <c r="L6097" s="129"/>
      <c r="M6097" s="129"/>
      <c r="N6097" s="129"/>
      <c r="O6097" s="129"/>
      <c r="P6097" s="372"/>
      <c r="Q6097" s="372"/>
      <c r="R6097" s="129"/>
      <c r="S6097" s="129"/>
      <c r="T6097" s="129"/>
      <c r="U6097" s="363"/>
      <c r="W6097" s="129" t="s">
        <v>286</v>
      </c>
      <c r="X6097" s="337" t="b">
        <f t="shared" si="134"/>
        <v>1</v>
      </c>
    </row>
    <row r="6098" spans="1:24" s="337" customFormat="1" ht="12" customHeight="1" outlineLevel="1">
      <c r="A6098" s="335"/>
      <c r="B6098" s="118" t="s">
        <v>12</v>
      </c>
      <c r="C6098" s="334" t="s">
        <v>15017</v>
      </c>
      <c r="D6098" s="124" t="s">
        <v>15018</v>
      </c>
      <c r="E6098" s="125"/>
      <c r="F6098" s="118" t="s">
        <v>1086</v>
      </c>
      <c r="G6098" s="126" t="s">
        <v>14907</v>
      </c>
      <c r="H6098" s="255">
        <v>5</v>
      </c>
      <c r="I6098" s="361">
        <v>1</v>
      </c>
      <c r="J6098" s="362" t="s">
        <v>286</v>
      </c>
      <c r="K6098" s="363"/>
      <c r="L6098" s="129"/>
      <c r="M6098" s="129"/>
      <c r="N6098" s="129"/>
      <c r="O6098" s="129"/>
      <c r="P6098" s="372"/>
      <c r="Q6098" s="372"/>
      <c r="R6098" s="129"/>
      <c r="S6098" s="129"/>
      <c r="T6098" s="129"/>
      <c r="U6098" s="363"/>
      <c r="W6098" s="129" t="s">
        <v>286</v>
      </c>
      <c r="X6098" s="337" t="b">
        <f t="shared" si="134"/>
        <v>1</v>
      </c>
    </row>
    <row r="6099" spans="1:24" s="337" customFormat="1" ht="12" customHeight="1" outlineLevel="1">
      <c r="A6099" s="335"/>
      <c r="B6099" s="118" t="s">
        <v>12</v>
      </c>
      <c r="C6099" s="334" t="s">
        <v>15019</v>
      </c>
      <c r="D6099" s="124" t="s">
        <v>15020</v>
      </c>
      <c r="E6099" s="125"/>
      <c r="F6099" s="118" t="s">
        <v>1086</v>
      </c>
      <c r="G6099" s="126" t="s">
        <v>14907</v>
      </c>
      <c r="H6099" s="255">
        <v>5</v>
      </c>
      <c r="I6099" s="361">
        <v>1</v>
      </c>
      <c r="J6099" s="362" t="s">
        <v>286</v>
      </c>
      <c r="K6099" s="363"/>
      <c r="L6099" s="129"/>
      <c r="M6099" s="129"/>
      <c r="N6099" s="129"/>
      <c r="O6099" s="129"/>
      <c r="P6099" s="372"/>
      <c r="Q6099" s="372"/>
      <c r="R6099" s="129"/>
      <c r="S6099" s="129"/>
      <c r="T6099" s="129"/>
      <c r="U6099" s="363"/>
      <c r="W6099" s="129" t="s">
        <v>286</v>
      </c>
      <c r="X6099" s="337" t="b">
        <f t="shared" si="134"/>
        <v>1</v>
      </c>
    </row>
    <row r="6100" spans="1:24" s="337" customFormat="1" ht="12" customHeight="1" outlineLevel="1">
      <c r="A6100" s="335"/>
      <c r="B6100" s="118" t="s">
        <v>12</v>
      </c>
      <c r="C6100" s="334" t="s">
        <v>15021</v>
      </c>
      <c r="D6100" s="124" t="s">
        <v>15022</v>
      </c>
      <c r="E6100" s="125"/>
      <c r="F6100" s="118" t="s">
        <v>1086</v>
      </c>
      <c r="G6100" s="126" t="s">
        <v>14907</v>
      </c>
      <c r="H6100" s="255">
        <v>5</v>
      </c>
      <c r="I6100" s="361">
        <v>1</v>
      </c>
      <c r="J6100" s="362" t="s">
        <v>286</v>
      </c>
      <c r="K6100" s="363"/>
      <c r="L6100" s="129"/>
      <c r="M6100" s="129"/>
      <c r="N6100" s="129"/>
      <c r="O6100" s="129"/>
      <c r="P6100" s="372"/>
      <c r="Q6100" s="372"/>
      <c r="R6100" s="129"/>
      <c r="S6100" s="129"/>
      <c r="T6100" s="129"/>
      <c r="U6100" s="363"/>
      <c r="W6100" s="129" t="s">
        <v>286</v>
      </c>
      <c r="X6100" s="337" t="b">
        <f t="shared" si="134"/>
        <v>1</v>
      </c>
    </row>
    <row r="6101" spans="1:24" s="337" customFormat="1" ht="12" customHeight="1" outlineLevel="1">
      <c r="A6101" s="335"/>
      <c r="B6101" s="118" t="s">
        <v>12</v>
      </c>
      <c r="C6101" s="334" t="s">
        <v>15023</v>
      </c>
      <c r="D6101" s="124" t="s">
        <v>15024</v>
      </c>
      <c r="E6101" s="125"/>
      <c r="F6101" s="118" t="s">
        <v>1086</v>
      </c>
      <c r="G6101" s="126" t="s">
        <v>14907</v>
      </c>
      <c r="H6101" s="255">
        <v>5</v>
      </c>
      <c r="I6101" s="361">
        <v>1</v>
      </c>
      <c r="J6101" s="362" t="s">
        <v>286</v>
      </c>
      <c r="K6101" s="363"/>
      <c r="L6101" s="129"/>
      <c r="M6101" s="129"/>
      <c r="N6101" s="129"/>
      <c r="O6101" s="129"/>
      <c r="P6101" s="372"/>
      <c r="Q6101" s="372"/>
      <c r="R6101" s="129"/>
      <c r="S6101" s="129"/>
      <c r="T6101" s="129"/>
      <c r="U6101" s="363"/>
      <c r="W6101" s="129" t="s">
        <v>286</v>
      </c>
      <c r="X6101" s="337" t="b">
        <f t="shared" si="134"/>
        <v>1</v>
      </c>
    </row>
    <row r="6102" spans="1:24" s="337" customFormat="1" ht="12" customHeight="1" outlineLevel="1">
      <c r="A6102" s="335"/>
      <c r="B6102" s="118" t="s">
        <v>12</v>
      </c>
      <c r="C6102" s="334" t="s">
        <v>15025</v>
      </c>
      <c r="D6102" s="124" t="s">
        <v>15026</v>
      </c>
      <c r="E6102" s="125"/>
      <c r="F6102" s="118" t="s">
        <v>1086</v>
      </c>
      <c r="G6102" s="126" t="s">
        <v>14907</v>
      </c>
      <c r="H6102" s="255">
        <v>5</v>
      </c>
      <c r="I6102" s="361">
        <v>1</v>
      </c>
      <c r="J6102" s="362" t="s">
        <v>286</v>
      </c>
      <c r="K6102" s="363"/>
      <c r="L6102" s="129"/>
      <c r="M6102" s="129"/>
      <c r="N6102" s="129"/>
      <c r="O6102" s="129"/>
      <c r="P6102" s="372"/>
      <c r="Q6102" s="372"/>
      <c r="R6102" s="129"/>
      <c r="S6102" s="129"/>
      <c r="T6102" s="129"/>
      <c r="U6102" s="363"/>
      <c r="W6102" s="129" t="s">
        <v>286</v>
      </c>
      <c r="X6102" s="337" t="b">
        <f t="shared" si="134"/>
        <v>1</v>
      </c>
    </row>
    <row r="6103" spans="1:24" s="337" customFormat="1" ht="12" customHeight="1" outlineLevel="1">
      <c r="A6103" s="335"/>
      <c r="B6103" s="118" t="s">
        <v>12</v>
      </c>
      <c r="C6103" s="334" t="s">
        <v>15027</v>
      </c>
      <c r="D6103" s="124" t="s">
        <v>15028</v>
      </c>
      <c r="E6103" s="125"/>
      <c r="F6103" s="118" t="s">
        <v>1086</v>
      </c>
      <c r="G6103" s="126" t="s">
        <v>14907</v>
      </c>
      <c r="H6103" s="255">
        <v>5</v>
      </c>
      <c r="I6103" s="361">
        <v>1</v>
      </c>
      <c r="J6103" s="362" t="s">
        <v>286</v>
      </c>
      <c r="K6103" s="363"/>
      <c r="L6103" s="129"/>
      <c r="M6103" s="129"/>
      <c r="N6103" s="129"/>
      <c r="O6103" s="129"/>
      <c r="P6103" s="372"/>
      <c r="Q6103" s="372"/>
      <c r="R6103" s="129"/>
      <c r="S6103" s="129"/>
      <c r="T6103" s="129"/>
      <c r="U6103" s="363"/>
      <c r="W6103" s="129" t="s">
        <v>286</v>
      </c>
      <c r="X6103" s="337" t="b">
        <f t="shared" si="134"/>
        <v>1</v>
      </c>
    </row>
    <row r="6104" spans="1:24" s="337" customFormat="1" ht="12" customHeight="1" outlineLevel="1">
      <c r="A6104" s="335"/>
      <c r="B6104" s="118" t="s">
        <v>12</v>
      </c>
      <c r="C6104" s="334" t="s">
        <v>15029</v>
      </c>
      <c r="D6104" s="124" t="s">
        <v>15030</v>
      </c>
      <c r="E6104" s="125"/>
      <c r="F6104" s="118" t="s">
        <v>1086</v>
      </c>
      <c r="G6104" s="126" t="s">
        <v>14907</v>
      </c>
      <c r="H6104" s="255">
        <v>5</v>
      </c>
      <c r="I6104" s="361">
        <v>1</v>
      </c>
      <c r="J6104" s="362" t="s">
        <v>286</v>
      </c>
      <c r="K6104" s="363"/>
      <c r="L6104" s="129"/>
      <c r="M6104" s="129"/>
      <c r="N6104" s="129"/>
      <c r="O6104" s="129"/>
      <c r="P6104" s="372"/>
      <c r="Q6104" s="372"/>
      <c r="R6104" s="129"/>
      <c r="S6104" s="129"/>
      <c r="T6104" s="129"/>
      <c r="U6104" s="363"/>
      <c r="W6104" s="129" t="s">
        <v>286</v>
      </c>
      <c r="X6104" s="337" t="b">
        <f t="shared" si="134"/>
        <v>1</v>
      </c>
    </row>
    <row r="6105" spans="1:24" s="337" customFormat="1" ht="12" customHeight="1" outlineLevel="1">
      <c r="A6105" s="335"/>
      <c r="B6105" s="118" t="s">
        <v>12</v>
      </c>
      <c r="C6105" s="334" t="s">
        <v>15031</v>
      </c>
      <c r="D6105" s="124" t="s">
        <v>15032</v>
      </c>
      <c r="E6105" s="125"/>
      <c r="F6105" s="118" t="s">
        <v>1086</v>
      </c>
      <c r="G6105" s="126" t="s">
        <v>14907</v>
      </c>
      <c r="H6105" s="255">
        <v>5</v>
      </c>
      <c r="I6105" s="361">
        <v>1</v>
      </c>
      <c r="J6105" s="362" t="s">
        <v>286</v>
      </c>
      <c r="K6105" s="363"/>
      <c r="L6105" s="129"/>
      <c r="M6105" s="129"/>
      <c r="N6105" s="129"/>
      <c r="O6105" s="129"/>
      <c r="P6105" s="372"/>
      <c r="Q6105" s="372"/>
      <c r="R6105" s="129"/>
      <c r="S6105" s="129"/>
      <c r="T6105" s="129"/>
      <c r="U6105" s="363"/>
      <c r="W6105" s="129" t="s">
        <v>286</v>
      </c>
      <c r="X6105" s="337" t="b">
        <f t="shared" si="134"/>
        <v>1</v>
      </c>
    </row>
    <row r="6106" spans="1:24" s="337" customFormat="1" ht="12" customHeight="1" outlineLevel="1">
      <c r="A6106" s="335"/>
      <c r="B6106" s="118" t="s">
        <v>12</v>
      </c>
      <c r="C6106" s="334" t="s">
        <v>15033</v>
      </c>
      <c r="D6106" s="124" t="s">
        <v>15034</v>
      </c>
      <c r="E6106" s="125"/>
      <c r="F6106" s="118" t="s">
        <v>1086</v>
      </c>
      <c r="G6106" s="126" t="s">
        <v>14907</v>
      </c>
      <c r="H6106" s="255">
        <v>5</v>
      </c>
      <c r="I6106" s="361">
        <v>1</v>
      </c>
      <c r="J6106" s="362" t="s">
        <v>286</v>
      </c>
      <c r="K6106" s="363"/>
      <c r="L6106" s="129"/>
      <c r="M6106" s="129"/>
      <c r="N6106" s="129"/>
      <c r="O6106" s="129"/>
      <c r="P6106" s="372"/>
      <c r="Q6106" s="372"/>
      <c r="R6106" s="129"/>
      <c r="S6106" s="129"/>
      <c r="T6106" s="129"/>
      <c r="U6106" s="363"/>
      <c r="W6106" s="129" t="s">
        <v>286</v>
      </c>
      <c r="X6106" s="337" t="b">
        <f t="shared" si="134"/>
        <v>1</v>
      </c>
    </row>
    <row r="6107" spans="1:24" s="337" customFormat="1" ht="12" customHeight="1" outlineLevel="1">
      <c r="A6107" s="335"/>
      <c r="B6107" s="118" t="s">
        <v>12</v>
      </c>
      <c r="C6107" s="334" t="s">
        <v>15035</v>
      </c>
      <c r="D6107" s="124" t="s">
        <v>15036</v>
      </c>
      <c r="E6107" s="125"/>
      <c r="F6107" s="118" t="s">
        <v>1086</v>
      </c>
      <c r="G6107" s="126" t="s">
        <v>14907</v>
      </c>
      <c r="H6107" s="255">
        <v>5</v>
      </c>
      <c r="I6107" s="361">
        <v>1</v>
      </c>
      <c r="J6107" s="362" t="s">
        <v>286</v>
      </c>
      <c r="K6107" s="363"/>
      <c r="L6107" s="129"/>
      <c r="M6107" s="129"/>
      <c r="N6107" s="129"/>
      <c r="O6107" s="129"/>
      <c r="P6107" s="372"/>
      <c r="Q6107" s="372"/>
      <c r="R6107" s="129"/>
      <c r="S6107" s="129"/>
      <c r="T6107" s="129"/>
      <c r="U6107" s="363"/>
      <c r="W6107" s="129" t="s">
        <v>286</v>
      </c>
      <c r="X6107" s="337" t="b">
        <f t="shared" si="134"/>
        <v>1</v>
      </c>
    </row>
    <row r="6108" spans="1:24" s="337" customFormat="1" ht="12" customHeight="1" outlineLevel="1">
      <c r="A6108" s="335"/>
      <c r="B6108" s="118" t="s">
        <v>12</v>
      </c>
      <c r="C6108" s="334" t="s">
        <v>15037</v>
      </c>
      <c r="D6108" s="124" t="s">
        <v>15038</v>
      </c>
      <c r="E6108" s="125"/>
      <c r="F6108" s="118" t="s">
        <v>1086</v>
      </c>
      <c r="G6108" s="126" t="s">
        <v>14907</v>
      </c>
      <c r="H6108" s="255">
        <v>5</v>
      </c>
      <c r="I6108" s="361">
        <v>1</v>
      </c>
      <c r="J6108" s="362" t="s">
        <v>286</v>
      </c>
      <c r="K6108" s="363"/>
      <c r="L6108" s="129"/>
      <c r="M6108" s="129"/>
      <c r="N6108" s="129"/>
      <c r="O6108" s="129"/>
      <c r="P6108" s="372"/>
      <c r="Q6108" s="372"/>
      <c r="R6108" s="129"/>
      <c r="S6108" s="129"/>
      <c r="T6108" s="129"/>
      <c r="U6108" s="363"/>
      <c r="W6108" s="129" t="s">
        <v>286</v>
      </c>
      <c r="X6108" s="337" t="b">
        <f t="shared" si="134"/>
        <v>1</v>
      </c>
    </row>
    <row r="6109" spans="1:24" s="337" customFormat="1" ht="12" customHeight="1" outlineLevel="1">
      <c r="A6109" s="335"/>
      <c r="B6109" s="118" t="s">
        <v>12</v>
      </c>
      <c r="C6109" s="334" t="s">
        <v>15039</v>
      </c>
      <c r="D6109" s="124" t="s">
        <v>15040</v>
      </c>
      <c r="E6109" s="125"/>
      <c r="F6109" s="118" t="s">
        <v>1086</v>
      </c>
      <c r="G6109" s="126" t="s">
        <v>14907</v>
      </c>
      <c r="H6109" s="255">
        <v>5</v>
      </c>
      <c r="I6109" s="361">
        <v>1</v>
      </c>
      <c r="J6109" s="362" t="s">
        <v>286</v>
      </c>
      <c r="K6109" s="363"/>
      <c r="L6109" s="129"/>
      <c r="M6109" s="129"/>
      <c r="N6109" s="129"/>
      <c r="O6109" s="129"/>
      <c r="P6109" s="372"/>
      <c r="Q6109" s="372"/>
      <c r="R6109" s="129"/>
      <c r="S6109" s="129"/>
      <c r="T6109" s="129"/>
      <c r="U6109" s="363"/>
      <c r="W6109" s="129" t="s">
        <v>286</v>
      </c>
      <c r="X6109" s="337" t="b">
        <f t="shared" si="134"/>
        <v>1</v>
      </c>
    </row>
    <row r="6110" spans="1:24" s="337" customFormat="1" ht="12" customHeight="1" outlineLevel="1">
      <c r="A6110" s="335"/>
      <c r="B6110" s="118" t="s">
        <v>12</v>
      </c>
      <c r="C6110" s="334" t="s">
        <v>15041</v>
      </c>
      <c r="D6110" s="124" t="s">
        <v>15042</v>
      </c>
      <c r="E6110" s="125"/>
      <c r="F6110" s="118" t="s">
        <v>1086</v>
      </c>
      <c r="G6110" s="126" t="s">
        <v>14907</v>
      </c>
      <c r="H6110" s="255">
        <v>5</v>
      </c>
      <c r="I6110" s="361">
        <v>1</v>
      </c>
      <c r="J6110" s="362" t="s">
        <v>286</v>
      </c>
      <c r="K6110" s="363"/>
      <c r="L6110" s="129"/>
      <c r="M6110" s="129"/>
      <c r="N6110" s="129"/>
      <c r="O6110" s="129"/>
      <c r="P6110" s="372"/>
      <c r="Q6110" s="372"/>
      <c r="R6110" s="129"/>
      <c r="S6110" s="129"/>
      <c r="T6110" s="129"/>
      <c r="U6110" s="363"/>
      <c r="W6110" s="129" t="s">
        <v>286</v>
      </c>
      <c r="X6110" s="337" t="b">
        <f t="shared" si="134"/>
        <v>1</v>
      </c>
    </row>
    <row r="6111" spans="1:24" s="337" customFormat="1" ht="12" customHeight="1" outlineLevel="1">
      <c r="A6111" s="335"/>
      <c r="B6111" s="118" t="s">
        <v>12</v>
      </c>
      <c r="C6111" s="334" t="s">
        <v>15043</v>
      </c>
      <c r="D6111" s="124" t="s">
        <v>15044</v>
      </c>
      <c r="E6111" s="125"/>
      <c r="F6111" s="118" t="s">
        <v>1086</v>
      </c>
      <c r="G6111" s="126" t="s">
        <v>14907</v>
      </c>
      <c r="H6111" s="255">
        <v>5</v>
      </c>
      <c r="I6111" s="361">
        <v>1</v>
      </c>
      <c r="J6111" s="362" t="s">
        <v>286</v>
      </c>
      <c r="K6111" s="363"/>
      <c r="L6111" s="129"/>
      <c r="M6111" s="129"/>
      <c r="N6111" s="129"/>
      <c r="O6111" s="129"/>
      <c r="P6111" s="372"/>
      <c r="Q6111" s="372"/>
      <c r="R6111" s="129"/>
      <c r="S6111" s="129"/>
      <c r="T6111" s="129"/>
      <c r="U6111" s="363"/>
      <c r="W6111" s="129" t="s">
        <v>286</v>
      </c>
      <c r="X6111" s="337" t="b">
        <f t="shared" si="134"/>
        <v>1</v>
      </c>
    </row>
    <row r="6112" spans="1:24" s="337" customFormat="1" ht="12" customHeight="1" outlineLevel="1">
      <c r="A6112" s="335"/>
      <c r="B6112" s="118" t="s">
        <v>12</v>
      </c>
      <c r="C6112" s="334" t="s">
        <v>15045</v>
      </c>
      <c r="D6112" s="124" t="s">
        <v>15046</v>
      </c>
      <c r="E6112" s="125"/>
      <c r="F6112" s="118" t="s">
        <v>1086</v>
      </c>
      <c r="G6112" s="126" t="s">
        <v>14907</v>
      </c>
      <c r="H6112" s="255">
        <v>5</v>
      </c>
      <c r="I6112" s="361">
        <v>1</v>
      </c>
      <c r="J6112" s="362" t="s">
        <v>286</v>
      </c>
      <c r="K6112" s="363"/>
      <c r="L6112" s="129"/>
      <c r="M6112" s="129"/>
      <c r="N6112" s="129"/>
      <c r="O6112" s="129"/>
      <c r="P6112" s="372"/>
      <c r="Q6112" s="372"/>
      <c r="R6112" s="129"/>
      <c r="S6112" s="129"/>
      <c r="T6112" s="129"/>
      <c r="U6112" s="363"/>
      <c r="W6112" s="129" t="s">
        <v>286</v>
      </c>
      <c r="X6112" s="337" t="b">
        <f t="shared" si="134"/>
        <v>1</v>
      </c>
    </row>
    <row r="6113" spans="1:24" s="337" customFormat="1" ht="12" customHeight="1" outlineLevel="1">
      <c r="A6113" s="335"/>
      <c r="B6113" s="118" t="s">
        <v>12</v>
      </c>
      <c r="C6113" s="334" t="s">
        <v>15047</v>
      </c>
      <c r="D6113" s="124" t="s">
        <v>15048</v>
      </c>
      <c r="E6113" s="125"/>
      <c r="F6113" s="118" t="s">
        <v>1086</v>
      </c>
      <c r="G6113" s="126" t="s">
        <v>14907</v>
      </c>
      <c r="H6113" s="255">
        <v>5</v>
      </c>
      <c r="I6113" s="361">
        <v>1</v>
      </c>
      <c r="J6113" s="362" t="s">
        <v>286</v>
      </c>
      <c r="K6113" s="363"/>
      <c r="L6113" s="129"/>
      <c r="M6113" s="129"/>
      <c r="N6113" s="129"/>
      <c r="O6113" s="129"/>
      <c r="P6113" s="372"/>
      <c r="Q6113" s="372"/>
      <c r="R6113" s="129"/>
      <c r="S6113" s="129"/>
      <c r="T6113" s="129"/>
      <c r="U6113" s="363"/>
      <c r="W6113" s="129" t="s">
        <v>286</v>
      </c>
      <c r="X6113" s="337" t="b">
        <f t="shared" si="134"/>
        <v>1</v>
      </c>
    </row>
    <row r="6114" spans="1:24" s="337" customFormat="1" ht="12" customHeight="1" outlineLevel="1">
      <c r="A6114" s="335"/>
      <c r="B6114" s="118" t="s">
        <v>12</v>
      </c>
      <c r="C6114" s="334" t="s">
        <v>15049</v>
      </c>
      <c r="D6114" s="124" t="s">
        <v>15050</v>
      </c>
      <c r="E6114" s="125"/>
      <c r="F6114" s="118" t="s">
        <v>1086</v>
      </c>
      <c r="G6114" s="126" t="s">
        <v>14907</v>
      </c>
      <c r="H6114" s="255">
        <v>5</v>
      </c>
      <c r="I6114" s="361">
        <v>1</v>
      </c>
      <c r="J6114" s="362" t="s">
        <v>286</v>
      </c>
      <c r="K6114" s="363"/>
      <c r="L6114" s="129"/>
      <c r="M6114" s="129"/>
      <c r="N6114" s="129"/>
      <c r="O6114" s="129"/>
      <c r="P6114" s="372"/>
      <c r="Q6114" s="372"/>
      <c r="R6114" s="129"/>
      <c r="S6114" s="129"/>
      <c r="T6114" s="129"/>
      <c r="U6114" s="363"/>
      <c r="W6114" s="129" t="s">
        <v>286</v>
      </c>
      <c r="X6114" s="337" t="b">
        <f t="shared" si="134"/>
        <v>1</v>
      </c>
    </row>
    <row r="6115" spans="1:24" s="337" customFormat="1" ht="12" customHeight="1" outlineLevel="1">
      <c r="A6115" s="335"/>
      <c r="B6115" s="118" t="s">
        <v>12</v>
      </c>
      <c r="C6115" s="334" t="s">
        <v>15051</v>
      </c>
      <c r="D6115" s="124" t="s">
        <v>15052</v>
      </c>
      <c r="E6115" s="125"/>
      <c r="F6115" s="118" t="s">
        <v>1086</v>
      </c>
      <c r="G6115" s="126" t="s">
        <v>14907</v>
      </c>
      <c r="H6115" s="255">
        <v>5</v>
      </c>
      <c r="I6115" s="361">
        <v>1</v>
      </c>
      <c r="J6115" s="362" t="s">
        <v>286</v>
      </c>
      <c r="K6115" s="363"/>
      <c r="L6115" s="129"/>
      <c r="M6115" s="129"/>
      <c r="N6115" s="129"/>
      <c r="O6115" s="129"/>
      <c r="P6115" s="372"/>
      <c r="Q6115" s="372"/>
      <c r="R6115" s="129"/>
      <c r="S6115" s="129"/>
      <c r="T6115" s="129"/>
      <c r="U6115" s="363"/>
      <c r="W6115" s="129" t="s">
        <v>286</v>
      </c>
      <c r="X6115" s="337" t="b">
        <f t="shared" si="134"/>
        <v>1</v>
      </c>
    </row>
    <row r="6116" spans="1:24" s="337" customFormat="1" ht="12" customHeight="1" outlineLevel="1">
      <c r="A6116" s="335"/>
      <c r="B6116" s="118" t="s">
        <v>12</v>
      </c>
      <c r="C6116" s="334" t="s">
        <v>15053</v>
      </c>
      <c r="D6116" s="124" t="s">
        <v>15054</v>
      </c>
      <c r="E6116" s="125"/>
      <c r="F6116" s="118" t="s">
        <v>1086</v>
      </c>
      <c r="G6116" s="126" t="s">
        <v>14907</v>
      </c>
      <c r="H6116" s="255">
        <v>5</v>
      </c>
      <c r="I6116" s="361">
        <v>1</v>
      </c>
      <c r="J6116" s="362" t="s">
        <v>286</v>
      </c>
      <c r="K6116" s="363"/>
      <c r="L6116" s="129"/>
      <c r="M6116" s="129"/>
      <c r="N6116" s="129"/>
      <c r="O6116" s="129"/>
      <c r="P6116" s="372"/>
      <c r="Q6116" s="372"/>
      <c r="R6116" s="129"/>
      <c r="S6116" s="129"/>
      <c r="T6116" s="129"/>
      <c r="U6116" s="363"/>
      <c r="W6116" s="129" t="s">
        <v>286</v>
      </c>
      <c r="X6116" s="337" t="b">
        <f t="shared" si="134"/>
        <v>1</v>
      </c>
    </row>
    <row r="6117" spans="1:24" s="337" customFormat="1" ht="12" customHeight="1" outlineLevel="1">
      <c r="A6117" s="335"/>
      <c r="B6117" s="118" t="s">
        <v>12</v>
      </c>
      <c r="C6117" s="334" t="s">
        <v>15055</v>
      </c>
      <c r="D6117" s="124" t="s">
        <v>15056</v>
      </c>
      <c r="E6117" s="125"/>
      <c r="F6117" s="118" t="s">
        <v>1086</v>
      </c>
      <c r="G6117" s="126" t="s">
        <v>14907</v>
      </c>
      <c r="H6117" s="255">
        <v>5</v>
      </c>
      <c r="I6117" s="361">
        <v>1</v>
      </c>
      <c r="J6117" s="362" t="s">
        <v>286</v>
      </c>
      <c r="K6117" s="363"/>
      <c r="L6117" s="129"/>
      <c r="M6117" s="129"/>
      <c r="N6117" s="129"/>
      <c r="O6117" s="129"/>
      <c r="P6117" s="372"/>
      <c r="Q6117" s="372"/>
      <c r="R6117" s="129"/>
      <c r="S6117" s="129"/>
      <c r="T6117" s="129"/>
      <c r="U6117" s="363"/>
      <c r="W6117" s="129" t="s">
        <v>286</v>
      </c>
      <c r="X6117" s="337" t="b">
        <f t="shared" si="134"/>
        <v>1</v>
      </c>
    </row>
    <row r="6118" spans="1:24" s="337" customFormat="1" ht="12" customHeight="1" outlineLevel="1">
      <c r="A6118" s="335"/>
      <c r="B6118" s="118" t="s">
        <v>12</v>
      </c>
      <c r="C6118" s="334" t="s">
        <v>15057</v>
      </c>
      <c r="D6118" s="124" t="s">
        <v>15058</v>
      </c>
      <c r="E6118" s="125"/>
      <c r="F6118" s="118" t="s">
        <v>1086</v>
      </c>
      <c r="G6118" s="126" t="s">
        <v>14907</v>
      </c>
      <c r="H6118" s="255">
        <v>5</v>
      </c>
      <c r="I6118" s="361">
        <v>1</v>
      </c>
      <c r="J6118" s="362" t="s">
        <v>286</v>
      </c>
      <c r="K6118" s="363"/>
      <c r="L6118" s="129"/>
      <c r="M6118" s="129"/>
      <c r="N6118" s="129"/>
      <c r="O6118" s="129"/>
      <c r="P6118" s="372"/>
      <c r="Q6118" s="372"/>
      <c r="R6118" s="129"/>
      <c r="S6118" s="129"/>
      <c r="T6118" s="129"/>
      <c r="U6118" s="363"/>
      <c r="W6118" s="129" t="s">
        <v>286</v>
      </c>
      <c r="X6118" s="337" t="b">
        <f t="shared" si="134"/>
        <v>1</v>
      </c>
    </row>
    <row r="6119" spans="1:24" s="337" customFormat="1" ht="12" customHeight="1" outlineLevel="1">
      <c r="A6119" s="335"/>
      <c r="B6119" s="118" t="s">
        <v>12</v>
      </c>
      <c r="C6119" s="334" t="s">
        <v>15059</v>
      </c>
      <c r="D6119" s="124" t="s">
        <v>15060</v>
      </c>
      <c r="E6119" s="125"/>
      <c r="F6119" s="118" t="s">
        <v>1086</v>
      </c>
      <c r="G6119" s="126" t="s">
        <v>14907</v>
      </c>
      <c r="H6119" s="255">
        <v>5</v>
      </c>
      <c r="I6119" s="361">
        <v>1</v>
      </c>
      <c r="J6119" s="362" t="s">
        <v>286</v>
      </c>
      <c r="K6119" s="363"/>
      <c r="L6119" s="129"/>
      <c r="M6119" s="129"/>
      <c r="N6119" s="129"/>
      <c r="O6119" s="129"/>
      <c r="P6119" s="372"/>
      <c r="Q6119" s="372"/>
      <c r="R6119" s="129"/>
      <c r="S6119" s="129"/>
      <c r="T6119" s="129"/>
      <c r="U6119" s="363"/>
      <c r="W6119" s="129" t="s">
        <v>286</v>
      </c>
      <c r="X6119" s="337" t="b">
        <f t="shared" si="134"/>
        <v>1</v>
      </c>
    </row>
    <row r="6120" spans="1:24" s="337" customFormat="1" ht="12" customHeight="1" outlineLevel="1">
      <c r="A6120" s="335"/>
      <c r="B6120" s="118" t="s">
        <v>12</v>
      </c>
      <c r="C6120" s="334" t="s">
        <v>15061</v>
      </c>
      <c r="D6120" s="124" t="s">
        <v>11347</v>
      </c>
      <c r="E6120" s="125"/>
      <c r="F6120" s="118" t="s">
        <v>1086</v>
      </c>
      <c r="G6120" s="126" t="s">
        <v>14907</v>
      </c>
      <c r="H6120" s="255">
        <v>5</v>
      </c>
      <c r="I6120" s="361">
        <v>1</v>
      </c>
      <c r="J6120" s="362" t="s">
        <v>286</v>
      </c>
      <c r="K6120" s="363"/>
      <c r="L6120" s="129"/>
      <c r="M6120" s="129"/>
      <c r="N6120" s="129"/>
      <c r="O6120" s="129"/>
      <c r="P6120" s="372"/>
      <c r="Q6120" s="372"/>
      <c r="R6120" s="129"/>
      <c r="S6120" s="129"/>
      <c r="T6120" s="129"/>
      <c r="U6120" s="363"/>
      <c r="W6120" s="129" t="s">
        <v>286</v>
      </c>
      <c r="X6120" s="337" t="b">
        <f t="shared" si="134"/>
        <v>1</v>
      </c>
    </row>
    <row r="6121" spans="1:24" s="337" customFormat="1" ht="12" customHeight="1" outlineLevel="1">
      <c r="A6121" s="335"/>
      <c r="B6121" s="118" t="s">
        <v>12</v>
      </c>
      <c r="C6121" s="334" t="s">
        <v>15062</v>
      </c>
      <c r="D6121" s="124" t="s">
        <v>11351</v>
      </c>
      <c r="E6121" s="125"/>
      <c r="F6121" s="118" t="s">
        <v>1086</v>
      </c>
      <c r="G6121" s="126" t="s">
        <v>14907</v>
      </c>
      <c r="H6121" s="255">
        <v>5</v>
      </c>
      <c r="I6121" s="361">
        <v>1</v>
      </c>
      <c r="J6121" s="362" t="s">
        <v>286</v>
      </c>
      <c r="K6121" s="363"/>
      <c r="L6121" s="129"/>
      <c r="M6121" s="129"/>
      <c r="N6121" s="129"/>
      <c r="O6121" s="129"/>
      <c r="P6121" s="372"/>
      <c r="Q6121" s="372"/>
      <c r="R6121" s="129"/>
      <c r="S6121" s="129"/>
      <c r="T6121" s="129"/>
      <c r="U6121" s="363"/>
      <c r="W6121" s="129" t="s">
        <v>286</v>
      </c>
      <c r="X6121" s="337" t="b">
        <f t="shared" si="134"/>
        <v>1</v>
      </c>
    </row>
    <row r="6122" spans="1:24" s="337" customFormat="1" ht="12" customHeight="1" outlineLevel="1">
      <c r="A6122" s="335"/>
      <c r="B6122" s="118" t="s">
        <v>12</v>
      </c>
      <c r="C6122" s="334" t="s">
        <v>15063</v>
      </c>
      <c r="D6122" s="124" t="s">
        <v>11353</v>
      </c>
      <c r="E6122" s="125"/>
      <c r="F6122" s="118" t="s">
        <v>1086</v>
      </c>
      <c r="G6122" s="126" t="s">
        <v>14907</v>
      </c>
      <c r="H6122" s="255">
        <v>5</v>
      </c>
      <c r="I6122" s="361">
        <v>1</v>
      </c>
      <c r="J6122" s="362" t="s">
        <v>286</v>
      </c>
      <c r="K6122" s="363"/>
      <c r="L6122" s="129"/>
      <c r="M6122" s="129"/>
      <c r="N6122" s="129"/>
      <c r="O6122" s="129"/>
      <c r="P6122" s="372"/>
      <c r="Q6122" s="372"/>
      <c r="R6122" s="129"/>
      <c r="S6122" s="129"/>
      <c r="T6122" s="129"/>
      <c r="U6122" s="363"/>
      <c r="W6122" s="129" t="s">
        <v>286</v>
      </c>
      <c r="X6122" s="337" t="b">
        <f t="shared" si="134"/>
        <v>1</v>
      </c>
    </row>
    <row r="6123" spans="1:24" s="337" customFormat="1" ht="12" customHeight="1" outlineLevel="1">
      <c r="A6123" s="335"/>
      <c r="B6123" s="118" t="s">
        <v>12</v>
      </c>
      <c r="C6123" s="334" t="s">
        <v>15064</v>
      </c>
      <c r="D6123" s="124" t="s">
        <v>11355</v>
      </c>
      <c r="E6123" s="125"/>
      <c r="F6123" s="118" t="s">
        <v>1086</v>
      </c>
      <c r="G6123" s="126" t="s">
        <v>14907</v>
      </c>
      <c r="H6123" s="255">
        <v>5</v>
      </c>
      <c r="I6123" s="361">
        <v>1</v>
      </c>
      <c r="J6123" s="362" t="s">
        <v>286</v>
      </c>
      <c r="K6123" s="363"/>
      <c r="L6123" s="129"/>
      <c r="M6123" s="129"/>
      <c r="N6123" s="129"/>
      <c r="O6123" s="129"/>
      <c r="P6123" s="372"/>
      <c r="Q6123" s="372"/>
      <c r="R6123" s="129"/>
      <c r="S6123" s="129"/>
      <c r="T6123" s="129"/>
      <c r="U6123" s="363"/>
      <c r="W6123" s="129" t="s">
        <v>286</v>
      </c>
      <c r="X6123" s="337" t="b">
        <f t="shared" si="134"/>
        <v>1</v>
      </c>
    </row>
    <row r="6124" spans="1:24" s="337" customFormat="1" ht="12" customHeight="1" outlineLevel="1">
      <c r="A6124" s="335"/>
      <c r="B6124" s="118" t="s">
        <v>12</v>
      </c>
      <c r="C6124" s="334" t="s">
        <v>15065</v>
      </c>
      <c r="D6124" s="124" t="s">
        <v>15066</v>
      </c>
      <c r="E6124" s="125"/>
      <c r="F6124" s="118" t="s">
        <v>1086</v>
      </c>
      <c r="G6124" s="126" t="s">
        <v>14942</v>
      </c>
      <c r="H6124" s="255">
        <v>4</v>
      </c>
      <c r="I6124" s="361">
        <v>1</v>
      </c>
      <c r="J6124" s="362" t="s">
        <v>286</v>
      </c>
      <c r="K6124" s="363"/>
      <c r="L6124" s="129"/>
      <c r="M6124" s="129"/>
      <c r="N6124" s="129"/>
      <c r="O6124" s="129"/>
      <c r="P6124" s="372"/>
      <c r="Q6124" s="372"/>
      <c r="R6124" s="129"/>
      <c r="S6124" s="129"/>
      <c r="T6124" s="129"/>
      <c r="U6124" s="363"/>
      <c r="W6124" s="129" t="s">
        <v>286</v>
      </c>
      <c r="X6124" s="337" t="b">
        <f t="shared" si="134"/>
        <v>1</v>
      </c>
    </row>
    <row r="6125" spans="1:24" s="337" customFormat="1" ht="12" customHeight="1" outlineLevel="1">
      <c r="A6125" s="335"/>
      <c r="B6125" s="118" t="s">
        <v>12</v>
      </c>
      <c r="C6125" s="334" t="s">
        <v>15067</v>
      </c>
      <c r="D6125" s="124" t="s">
        <v>9002</v>
      </c>
      <c r="E6125" s="125"/>
      <c r="F6125" s="118" t="s">
        <v>1086</v>
      </c>
      <c r="G6125" s="126" t="s">
        <v>15068</v>
      </c>
      <c r="H6125" s="255">
        <v>6</v>
      </c>
      <c r="I6125" s="361">
        <v>1</v>
      </c>
      <c r="J6125" s="362" t="s">
        <v>286</v>
      </c>
      <c r="K6125" s="363"/>
      <c r="L6125" s="129"/>
      <c r="M6125" s="129"/>
      <c r="N6125" s="129"/>
      <c r="O6125" s="129"/>
      <c r="P6125" s="372"/>
      <c r="Q6125" s="372"/>
      <c r="R6125" s="129"/>
      <c r="S6125" s="129"/>
      <c r="T6125" s="129"/>
      <c r="U6125" s="363"/>
      <c r="W6125" s="129" t="s">
        <v>286</v>
      </c>
      <c r="X6125" s="337" t="b">
        <f t="shared" si="134"/>
        <v>1</v>
      </c>
    </row>
    <row r="6126" spans="1:24" s="337" customFormat="1" ht="12" customHeight="1" outlineLevel="1">
      <c r="A6126" s="335"/>
      <c r="B6126" s="118" t="s">
        <v>12</v>
      </c>
      <c r="C6126" s="334" t="s">
        <v>15069</v>
      </c>
      <c r="D6126" s="124" t="s">
        <v>15070</v>
      </c>
      <c r="E6126" s="125"/>
      <c r="F6126" s="118" t="s">
        <v>1086</v>
      </c>
      <c r="G6126" s="126" t="s">
        <v>15068</v>
      </c>
      <c r="H6126" s="255">
        <v>6</v>
      </c>
      <c r="I6126" s="361">
        <v>1</v>
      </c>
      <c r="J6126" s="362" t="s">
        <v>286</v>
      </c>
      <c r="K6126" s="363"/>
      <c r="L6126" s="129"/>
      <c r="M6126" s="129"/>
      <c r="N6126" s="129"/>
      <c r="O6126" s="129"/>
      <c r="P6126" s="372"/>
      <c r="Q6126" s="372"/>
      <c r="R6126" s="129"/>
      <c r="S6126" s="129"/>
      <c r="T6126" s="129"/>
      <c r="U6126" s="363"/>
      <c r="W6126" s="129" t="s">
        <v>286</v>
      </c>
      <c r="X6126" s="337" t="b">
        <f t="shared" si="134"/>
        <v>1</v>
      </c>
    </row>
    <row r="6127" spans="1:24" s="337" customFormat="1" ht="12" customHeight="1" outlineLevel="1">
      <c r="A6127" s="335"/>
      <c r="B6127" s="118" t="s">
        <v>12</v>
      </c>
      <c r="C6127" s="334" t="s">
        <v>15071</v>
      </c>
      <c r="D6127" s="124" t="s">
        <v>7869</v>
      </c>
      <c r="E6127" s="125"/>
      <c r="F6127" s="118" t="s">
        <v>1086</v>
      </c>
      <c r="G6127" s="126" t="s">
        <v>15068</v>
      </c>
      <c r="H6127" s="255">
        <v>6</v>
      </c>
      <c r="I6127" s="361">
        <v>1</v>
      </c>
      <c r="J6127" s="362" t="s">
        <v>286</v>
      </c>
      <c r="K6127" s="363"/>
      <c r="L6127" s="129"/>
      <c r="M6127" s="129"/>
      <c r="N6127" s="129"/>
      <c r="O6127" s="129"/>
      <c r="P6127" s="372"/>
      <c r="Q6127" s="372"/>
      <c r="R6127" s="129"/>
      <c r="S6127" s="129"/>
      <c r="T6127" s="129"/>
      <c r="U6127" s="363"/>
      <c r="W6127" s="129" t="s">
        <v>286</v>
      </c>
      <c r="X6127" s="337" t="b">
        <f t="shared" si="134"/>
        <v>1</v>
      </c>
    </row>
    <row r="6128" spans="1:24" s="337" customFormat="1" ht="12" customHeight="1" outlineLevel="1">
      <c r="A6128" s="335"/>
      <c r="B6128" s="118" t="s">
        <v>12</v>
      </c>
      <c r="C6128" s="334" t="s">
        <v>15072</v>
      </c>
      <c r="D6128" s="124" t="s">
        <v>7350</v>
      </c>
      <c r="E6128" s="125"/>
      <c r="F6128" s="118" t="s">
        <v>1086</v>
      </c>
      <c r="G6128" s="126" t="s">
        <v>15068</v>
      </c>
      <c r="H6128" s="255">
        <v>6</v>
      </c>
      <c r="I6128" s="361">
        <v>1</v>
      </c>
      <c r="J6128" s="362" t="s">
        <v>286</v>
      </c>
      <c r="K6128" s="363"/>
      <c r="L6128" s="129"/>
      <c r="M6128" s="129"/>
      <c r="N6128" s="129"/>
      <c r="O6128" s="129"/>
      <c r="P6128" s="372"/>
      <c r="Q6128" s="372"/>
      <c r="R6128" s="129"/>
      <c r="S6128" s="129"/>
      <c r="T6128" s="129"/>
      <c r="U6128" s="363"/>
      <c r="W6128" s="129" t="s">
        <v>4876</v>
      </c>
      <c r="X6128" s="337" t="b">
        <f t="shared" si="134"/>
        <v>0</v>
      </c>
    </row>
    <row r="6129" spans="1:24" s="337" customFormat="1" ht="12" customHeight="1" outlineLevel="1">
      <c r="A6129" s="335"/>
      <c r="B6129" s="118" t="s">
        <v>12</v>
      </c>
      <c r="C6129" s="334" t="s">
        <v>15073</v>
      </c>
      <c r="D6129" s="124" t="s">
        <v>15074</v>
      </c>
      <c r="E6129" s="125"/>
      <c r="F6129" s="118" t="s">
        <v>1086</v>
      </c>
      <c r="G6129" s="126" t="s">
        <v>15068</v>
      </c>
      <c r="H6129" s="255">
        <v>6</v>
      </c>
      <c r="I6129" s="361">
        <v>1</v>
      </c>
      <c r="J6129" s="362" t="s">
        <v>286</v>
      </c>
      <c r="K6129" s="363"/>
      <c r="L6129" s="129"/>
      <c r="M6129" s="129"/>
      <c r="N6129" s="129"/>
      <c r="O6129" s="129"/>
      <c r="P6129" s="372"/>
      <c r="Q6129" s="372"/>
      <c r="R6129" s="129"/>
      <c r="S6129" s="129"/>
      <c r="T6129" s="129"/>
      <c r="U6129" s="363"/>
      <c r="W6129" s="129" t="s">
        <v>4876</v>
      </c>
      <c r="X6129" s="337" t="b">
        <f t="shared" si="134"/>
        <v>0</v>
      </c>
    </row>
    <row r="6130" spans="1:24" s="337" customFormat="1" ht="12" customHeight="1" outlineLevel="1">
      <c r="A6130" s="335"/>
      <c r="B6130" s="118" t="s">
        <v>12</v>
      </c>
      <c r="C6130" s="334" t="s">
        <v>15075</v>
      </c>
      <c r="D6130" s="124" t="s">
        <v>15076</v>
      </c>
      <c r="E6130" s="125"/>
      <c r="F6130" s="118" t="s">
        <v>1086</v>
      </c>
      <c r="G6130" s="126" t="s">
        <v>15068</v>
      </c>
      <c r="H6130" s="255">
        <v>6</v>
      </c>
      <c r="I6130" s="361">
        <v>1</v>
      </c>
      <c r="J6130" s="362" t="s">
        <v>286</v>
      </c>
      <c r="K6130" s="363"/>
      <c r="L6130" s="129"/>
      <c r="M6130" s="129"/>
      <c r="N6130" s="129"/>
      <c r="O6130" s="129"/>
      <c r="P6130" s="372"/>
      <c r="Q6130" s="372"/>
      <c r="R6130" s="129"/>
      <c r="S6130" s="129"/>
      <c r="T6130" s="129"/>
      <c r="U6130" s="363"/>
      <c r="W6130" s="129" t="s">
        <v>4876</v>
      </c>
      <c r="X6130" s="337" t="b">
        <f t="shared" si="134"/>
        <v>0</v>
      </c>
    </row>
    <row r="6131" spans="1:24" s="337" customFormat="1" ht="12" customHeight="1" outlineLevel="1">
      <c r="A6131" s="335"/>
      <c r="B6131" s="118" t="s">
        <v>12</v>
      </c>
      <c r="C6131" s="334" t="s">
        <v>15077</v>
      </c>
      <c r="D6131" s="124" t="s">
        <v>15078</v>
      </c>
      <c r="E6131" s="125"/>
      <c r="F6131" s="118" t="s">
        <v>1086</v>
      </c>
      <c r="G6131" s="126" t="s">
        <v>15068</v>
      </c>
      <c r="H6131" s="255">
        <v>6</v>
      </c>
      <c r="I6131" s="361">
        <v>1</v>
      </c>
      <c r="J6131" s="362" t="s">
        <v>286</v>
      </c>
      <c r="K6131" s="363"/>
      <c r="L6131" s="129"/>
      <c r="M6131" s="129"/>
      <c r="N6131" s="129"/>
      <c r="O6131" s="129"/>
      <c r="P6131" s="372"/>
      <c r="Q6131" s="372"/>
      <c r="R6131" s="129"/>
      <c r="S6131" s="129"/>
      <c r="T6131" s="129"/>
      <c r="U6131" s="363"/>
      <c r="W6131" s="129" t="s">
        <v>286</v>
      </c>
      <c r="X6131" s="337" t="b">
        <f t="shared" si="134"/>
        <v>1</v>
      </c>
    </row>
    <row r="6132" spans="1:24" s="337" customFormat="1" ht="12" customHeight="1" outlineLevel="1">
      <c r="A6132" s="335"/>
      <c r="B6132" s="118" t="s">
        <v>12</v>
      </c>
      <c r="C6132" s="334" t="s">
        <v>15079</v>
      </c>
      <c r="D6132" s="124" t="s">
        <v>15080</v>
      </c>
      <c r="E6132" s="125"/>
      <c r="F6132" s="118" t="s">
        <v>1086</v>
      </c>
      <c r="G6132" s="126" t="s">
        <v>15068</v>
      </c>
      <c r="H6132" s="255">
        <v>6</v>
      </c>
      <c r="I6132" s="361">
        <v>1</v>
      </c>
      <c r="J6132" s="362" t="s">
        <v>286</v>
      </c>
      <c r="K6132" s="363"/>
      <c r="L6132" s="129"/>
      <c r="M6132" s="129"/>
      <c r="N6132" s="129"/>
      <c r="O6132" s="129"/>
      <c r="P6132" s="372"/>
      <c r="Q6132" s="372"/>
      <c r="R6132" s="129"/>
      <c r="S6132" s="129"/>
      <c r="T6132" s="129"/>
      <c r="U6132" s="363"/>
      <c r="W6132" s="129" t="s">
        <v>286</v>
      </c>
      <c r="X6132" s="337" t="b">
        <f t="shared" si="134"/>
        <v>1</v>
      </c>
    </row>
    <row r="6133" spans="1:24" s="337" customFormat="1" ht="12" customHeight="1" outlineLevel="1">
      <c r="A6133" s="335"/>
      <c r="B6133" s="118" t="s">
        <v>12</v>
      </c>
      <c r="C6133" s="334" t="s">
        <v>15081</v>
      </c>
      <c r="D6133" s="124" t="s">
        <v>15082</v>
      </c>
      <c r="E6133" s="125"/>
      <c r="F6133" s="118" t="s">
        <v>1086</v>
      </c>
      <c r="G6133" s="126" t="s">
        <v>15068</v>
      </c>
      <c r="H6133" s="255">
        <v>6</v>
      </c>
      <c r="I6133" s="361">
        <v>1</v>
      </c>
      <c r="J6133" s="362" t="s">
        <v>286</v>
      </c>
      <c r="K6133" s="363"/>
      <c r="L6133" s="129"/>
      <c r="M6133" s="129"/>
      <c r="N6133" s="129"/>
      <c r="O6133" s="129"/>
      <c r="P6133" s="372"/>
      <c r="Q6133" s="372"/>
      <c r="R6133" s="129"/>
      <c r="S6133" s="129"/>
      <c r="T6133" s="129"/>
      <c r="U6133" s="363"/>
      <c r="W6133" s="129" t="s">
        <v>286</v>
      </c>
      <c r="X6133" s="337" t="b">
        <f t="shared" si="134"/>
        <v>1</v>
      </c>
    </row>
    <row r="6134" spans="1:24" s="337" customFormat="1" ht="12" customHeight="1" outlineLevel="1">
      <c r="A6134" s="335"/>
      <c r="B6134" s="118" t="s">
        <v>12</v>
      </c>
      <c r="C6134" s="334" t="s">
        <v>15083</v>
      </c>
      <c r="D6134" s="124" t="s">
        <v>15084</v>
      </c>
      <c r="E6134" s="125"/>
      <c r="F6134" s="118" t="s">
        <v>1086</v>
      </c>
      <c r="G6134" s="126" t="s">
        <v>15068</v>
      </c>
      <c r="H6134" s="255">
        <v>6</v>
      </c>
      <c r="I6134" s="361">
        <v>1</v>
      </c>
      <c r="J6134" s="362" t="s">
        <v>286</v>
      </c>
      <c r="K6134" s="363"/>
      <c r="L6134" s="129"/>
      <c r="M6134" s="129"/>
      <c r="N6134" s="129"/>
      <c r="O6134" s="129"/>
      <c r="P6134" s="372"/>
      <c r="Q6134" s="372"/>
      <c r="R6134" s="129"/>
      <c r="S6134" s="129"/>
      <c r="T6134" s="129"/>
      <c r="U6134" s="363"/>
      <c r="W6134" s="129" t="s">
        <v>286</v>
      </c>
      <c r="X6134" s="337" t="b">
        <f t="shared" si="134"/>
        <v>1</v>
      </c>
    </row>
    <row r="6135" spans="1:24" s="337" customFormat="1" ht="12" customHeight="1" outlineLevel="1">
      <c r="A6135" s="335"/>
      <c r="B6135" s="118" t="s">
        <v>12</v>
      </c>
      <c r="C6135" s="334" t="s">
        <v>15085</v>
      </c>
      <c r="D6135" s="124" t="s">
        <v>15086</v>
      </c>
      <c r="E6135" s="125"/>
      <c r="F6135" s="118" t="s">
        <v>1086</v>
      </c>
      <c r="G6135" s="126" t="s">
        <v>15068</v>
      </c>
      <c r="H6135" s="255">
        <v>6</v>
      </c>
      <c r="I6135" s="361">
        <v>1</v>
      </c>
      <c r="J6135" s="362" t="s">
        <v>286</v>
      </c>
      <c r="K6135" s="363"/>
      <c r="L6135" s="129"/>
      <c r="M6135" s="129"/>
      <c r="N6135" s="129"/>
      <c r="O6135" s="129"/>
      <c r="P6135" s="372"/>
      <c r="Q6135" s="372"/>
      <c r="R6135" s="129"/>
      <c r="S6135" s="129"/>
      <c r="T6135" s="129"/>
      <c r="U6135" s="363"/>
      <c r="W6135" s="129" t="s">
        <v>286</v>
      </c>
      <c r="X6135" s="337" t="b">
        <f t="shared" si="134"/>
        <v>1</v>
      </c>
    </row>
    <row r="6136" spans="1:24" s="337" customFormat="1" ht="12" customHeight="1" outlineLevel="1">
      <c r="A6136" s="335"/>
      <c r="B6136" s="118" t="s">
        <v>12</v>
      </c>
      <c r="C6136" s="334" t="s">
        <v>15087</v>
      </c>
      <c r="D6136" s="124" t="s">
        <v>15088</v>
      </c>
      <c r="E6136" s="125"/>
      <c r="F6136" s="118" t="s">
        <v>1086</v>
      </c>
      <c r="G6136" s="126" t="s">
        <v>15068</v>
      </c>
      <c r="H6136" s="255">
        <v>6</v>
      </c>
      <c r="I6136" s="361">
        <v>1</v>
      </c>
      <c r="J6136" s="362" t="s">
        <v>286</v>
      </c>
      <c r="K6136" s="363"/>
      <c r="L6136" s="129"/>
      <c r="M6136" s="129"/>
      <c r="N6136" s="129"/>
      <c r="O6136" s="129"/>
      <c r="P6136" s="372"/>
      <c r="Q6136" s="372"/>
      <c r="R6136" s="129"/>
      <c r="S6136" s="129"/>
      <c r="T6136" s="129"/>
      <c r="U6136" s="363"/>
      <c r="W6136" s="129" t="s">
        <v>286</v>
      </c>
      <c r="X6136" s="337" t="b">
        <f t="shared" si="134"/>
        <v>1</v>
      </c>
    </row>
    <row r="6137" spans="1:24" s="337" customFormat="1" ht="12" customHeight="1" outlineLevel="1">
      <c r="A6137" s="335"/>
      <c r="B6137" s="118" t="s">
        <v>12</v>
      </c>
      <c r="C6137" s="334" t="s">
        <v>15089</v>
      </c>
      <c r="D6137" s="124" t="s">
        <v>15090</v>
      </c>
      <c r="E6137" s="125"/>
      <c r="F6137" s="118" t="s">
        <v>1086</v>
      </c>
      <c r="G6137" s="126" t="s">
        <v>15068</v>
      </c>
      <c r="H6137" s="255">
        <v>6</v>
      </c>
      <c r="I6137" s="361">
        <v>1</v>
      </c>
      <c r="J6137" s="362" t="s">
        <v>286</v>
      </c>
      <c r="K6137" s="363"/>
      <c r="L6137" s="129"/>
      <c r="M6137" s="129"/>
      <c r="N6137" s="129"/>
      <c r="O6137" s="129"/>
      <c r="P6137" s="372"/>
      <c r="Q6137" s="372"/>
      <c r="R6137" s="129"/>
      <c r="S6137" s="129"/>
      <c r="T6137" s="129"/>
      <c r="U6137" s="363"/>
      <c r="W6137" s="129" t="s">
        <v>286</v>
      </c>
      <c r="X6137" s="337" t="b">
        <f t="shared" si="134"/>
        <v>1</v>
      </c>
    </row>
    <row r="6138" spans="1:24" s="337" customFormat="1" ht="12" customHeight="1" outlineLevel="1">
      <c r="A6138" s="335"/>
      <c r="B6138" s="118" t="s">
        <v>12</v>
      </c>
      <c r="C6138" s="334" t="s">
        <v>15091</v>
      </c>
      <c r="D6138" s="124" t="s">
        <v>15092</v>
      </c>
      <c r="E6138" s="125"/>
      <c r="F6138" s="118" t="s">
        <v>1086</v>
      </c>
      <c r="G6138" s="126" t="s">
        <v>15068</v>
      </c>
      <c r="H6138" s="255">
        <v>6</v>
      </c>
      <c r="I6138" s="361">
        <v>1</v>
      </c>
      <c r="J6138" s="362" t="s">
        <v>286</v>
      </c>
      <c r="K6138" s="363"/>
      <c r="L6138" s="129"/>
      <c r="M6138" s="129"/>
      <c r="N6138" s="129"/>
      <c r="O6138" s="129"/>
      <c r="P6138" s="372"/>
      <c r="Q6138" s="372"/>
      <c r="R6138" s="129"/>
      <c r="S6138" s="129"/>
      <c r="T6138" s="129"/>
      <c r="U6138" s="363"/>
      <c r="W6138" s="129" t="s">
        <v>286</v>
      </c>
      <c r="X6138" s="337" t="b">
        <f t="shared" si="134"/>
        <v>1</v>
      </c>
    </row>
    <row r="6139" spans="1:24" s="337" customFormat="1" ht="12" customHeight="1" outlineLevel="1">
      <c r="A6139" s="335"/>
      <c r="B6139" s="118" t="s">
        <v>12</v>
      </c>
      <c r="C6139" s="334" t="s">
        <v>15093</v>
      </c>
      <c r="D6139" s="124" t="s">
        <v>15094</v>
      </c>
      <c r="E6139" s="125"/>
      <c r="F6139" s="118" t="s">
        <v>1086</v>
      </c>
      <c r="G6139" s="126" t="s">
        <v>15068</v>
      </c>
      <c r="H6139" s="255">
        <v>6</v>
      </c>
      <c r="I6139" s="361">
        <v>1</v>
      </c>
      <c r="J6139" s="362" t="s">
        <v>286</v>
      </c>
      <c r="K6139" s="363"/>
      <c r="L6139" s="129"/>
      <c r="M6139" s="129"/>
      <c r="N6139" s="129"/>
      <c r="O6139" s="129"/>
      <c r="P6139" s="372"/>
      <c r="Q6139" s="372"/>
      <c r="R6139" s="129"/>
      <c r="S6139" s="129"/>
      <c r="T6139" s="129"/>
      <c r="U6139" s="363"/>
      <c r="W6139" s="129" t="s">
        <v>286</v>
      </c>
      <c r="X6139" s="337" t="b">
        <f t="shared" si="134"/>
        <v>1</v>
      </c>
    </row>
    <row r="6140" spans="1:24" s="337" customFormat="1" ht="12" customHeight="1" outlineLevel="1">
      <c r="A6140" s="335"/>
      <c r="B6140" s="118" t="s">
        <v>12</v>
      </c>
      <c r="C6140" s="334" t="s">
        <v>15095</v>
      </c>
      <c r="D6140" s="124" t="s">
        <v>15096</v>
      </c>
      <c r="E6140" s="125"/>
      <c r="F6140" s="118" t="s">
        <v>1086</v>
      </c>
      <c r="G6140" s="126" t="s">
        <v>14942</v>
      </c>
      <c r="H6140" s="255">
        <v>4</v>
      </c>
      <c r="I6140" s="361">
        <v>1</v>
      </c>
      <c r="J6140" s="362" t="s">
        <v>286</v>
      </c>
      <c r="K6140" s="363"/>
      <c r="L6140" s="129"/>
      <c r="M6140" s="129"/>
      <c r="N6140" s="129"/>
      <c r="O6140" s="129"/>
      <c r="P6140" s="372"/>
      <c r="Q6140" s="372"/>
      <c r="R6140" s="129"/>
      <c r="S6140" s="129"/>
      <c r="T6140" s="129"/>
      <c r="U6140" s="363"/>
      <c r="W6140" s="129" t="s">
        <v>286</v>
      </c>
      <c r="X6140" s="337" t="b">
        <f t="shared" si="134"/>
        <v>1</v>
      </c>
    </row>
    <row r="6141" spans="1:24" s="337" customFormat="1" ht="12" customHeight="1" outlineLevel="1">
      <c r="A6141" s="335"/>
      <c r="B6141" s="118" t="s">
        <v>12</v>
      </c>
      <c r="C6141" s="334" t="s">
        <v>15097</v>
      </c>
      <c r="D6141" s="124" t="s">
        <v>15098</v>
      </c>
      <c r="E6141" s="125"/>
      <c r="F6141" s="118" t="s">
        <v>1086</v>
      </c>
      <c r="G6141" s="126" t="s">
        <v>14942</v>
      </c>
      <c r="H6141" s="255">
        <v>4</v>
      </c>
      <c r="I6141" s="361">
        <v>1</v>
      </c>
      <c r="J6141" s="362" t="s">
        <v>286</v>
      </c>
      <c r="K6141" s="363"/>
      <c r="L6141" s="129"/>
      <c r="M6141" s="129"/>
      <c r="N6141" s="129"/>
      <c r="O6141" s="129"/>
      <c r="P6141" s="372"/>
      <c r="Q6141" s="372"/>
      <c r="R6141" s="129"/>
      <c r="S6141" s="129"/>
      <c r="T6141" s="129"/>
      <c r="U6141" s="363"/>
      <c r="W6141" s="129" t="s">
        <v>286</v>
      </c>
      <c r="X6141" s="337" t="b">
        <f t="shared" si="134"/>
        <v>1</v>
      </c>
    </row>
    <row r="6142" spans="1:24" s="337" customFormat="1" ht="12" customHeight="1" outlineLevel="1">
      <c r="A6142" s="335"/>
      <c r="B6142" s="118" t="s">
        <v>12</v>
      </c>
      <c r="C6142" s="334" t="s">
        <v>15099</v>
      </c>
      <c r="D6142" s="124" t="s">
        <v>15100</v>
      </c>
      <c r="E6142" s="125"/>
      <c r="F6142" s="118" t="s">
        <v>1086</v>
      </c>
      <c r="G6142" s="126" t="s">
        <v>14942</v>
      </c>
      <c r="H6142" s="255">
        <v>4</v>
      </c>
      <c r="I6142" s="361">
        <v>1</v>
      </c>
      <c r="J6142" s="362" t="s">
        <v>286</v>
      </c>
      <c r="K6142" s="363"/>
      <c r="L6142" s="129"/>
      <c r="M6142" s="129"/>
      <c r="N6142" s="129"/>
      <c r="O6142" s="129"/>
      <c r="P6142" s="372"/>
      <c r="Q6142" s="372"/>
      <c r="R6142" s="129"/>
      <c r="S6142" s="129"/>
      <c r="T6142" s="129"/>
      <c r="U6142" s="363"/>
      <c r="W6142" s="129" t="s">
        <v>286</v>
      </c>
      <c r="X6142" s="337" t="b">
        <f t="shared" si="134"/>
        <v>1</v>
      </c>
    </row>
    <row r="6143" spans="1:24" s="337" customFormat="1" ht="12" customHeight="1" outlineLevel="1">
      <c r="A6143" s="335"/>
      <c r="B6143" s="118" t="s">
        <v>12</v>
      </c>
      <c r="C6143" s="334" t="s">
        <v>15101</v>
      </c>
      <c r="D6143" s="124" t="s">
        <v>15102</v>
      </c>
      <c r="E6143" s="125"/>
      <c r="F6143" s="118" t="s">
        <v>1086</v>
      </c>
      <c r="G6143" s="126" t="s">
        <v>14942</v>
      </c>
      <c r="H6143" s="255">
        <v>4</v>
      </c>
      <c r="I6143" s="361">
        <v>1</v>
      </c>
      <c r="J6143" s="362" t="s">
        <v>286</v>
      </c>
      <c r="K6143" s="363"/>
      <c r="L6143" s="129"/>
      <c r="M6143" s="129"/>
      <c r="N6143" s="129"/>
      <c r="O6143" s="129"/>
      <c r="P6143" s="372"/>
      <c r="Q6143" s="372"/>
      <c r="R6143" s="129"/>
      <c r="S6143" s="129"/>
      <c r="T6143" s="129"/>
      <c r="U6143" s="363"/>
      <c r="W6143" s="129" t="s">
        <v>286</v>
      </c>
      <c r="X6143" s="337" t="b">
        <f t="shared" si="134"/>
        <v>1</v>
      </c>
    </row>
    <row r="6144" spans="1:24" s="337" customFormat="1" ht="12" customHeight="1" outlineLevel="1">
      <c r="A6144" s="335"/>
      <c r="B6144" s="118" t="s">
        <v>12</v>
      </c>
      <c r="C6144" s="334" t="s">
        <v>15103</v>
      </c>
      <c r="D6144" s="124" t="s">
        <v>15104</v>
      </c>
      <c r="E6144" s="125"/>
      <c r="F6144" s="118" t="s">
        <v>1086</v>
      </c>
      <c r="G6144" s="126" t="s">
        <v>14942</v>
      </c>
      <c r="H6144" s="255">
        <v>4</v>
      </c>
      <c r="I6144" s="361">
        <v>1</v>
      </c>
      <c r="J6144" s="362" t="s">
        <v>286</v>
      </c>
      <c r="K6144" s="363"/>
      <c r="L6144" s="129"/>
      <c r="M6144" s="129"/>
      <c r="N6144" s="129"/>
      <c r="O6144" s="129"/>
      <c r="P6144" s="372"/>
      <c r="Q6144" s="372"/>
      <c r="R6144" s="129"/>
      <c r="S6144" s="129"/>
      <c r="T6144" s="129"/>
      <c r="U6144" s="363"/>
      <c r="W6144" s="129" t="s">
        <v>286</v>
      </c>
      <c r="X6144" s="337" t="b">
        <f t="shared" si="134"/>
        <v>1</v>
      </c>
    </row>
    <row r="6145" spans="1:24" s="337" customFormat="1" ht="12" customHeight="1" outlineLevel="1">
      <c r="A6145" s="335"/>
      <c r="B6145" s="118" t="s">
        <v>12</v>
      </c>
      <c r="C6145" s="334" t="s">
        <v>15105</v>
      </c>
      <c r="D6145" s="124" t="s">
        <v>15106</v>
      </c>
      <c r="E6145" s="125"/>
      <c r="F6145" s="118" t="s">
        <v>1086</v>
      </c>
      <c r="G6145" s="126" t="s">
        <v>14942</v>
      </c>
      <c r="H6145" s="255">
        <v>4</v>
      </c>
      <c r="I6145" s="361">
        <v>1</v>
      </c>
      <c r="J6145" s="362" t="s">
        <v>286</v>
      </c>
      <c r="K6145" s="363"/>
      <c r="L6145" s="129"/>
      <c r="M6145" s="129"/>
      <c r="N6145" s="129"/>
      <c r="O6145" s="129"/>
      <c r="P6145" s="372"/>
      <c r="Q6145" s="372"/>
      <c r="R6145" s="129"/>
      <c r="S6145" s="129"/>
      <c r="T6145" s="129"/>
      <c r="U6145" s="363"/>
      <c r="W6145" s="129" t="s">
        <v>286</v>
      </c>
      <c r="X6145" s="337" t="b">
        <f t="shared" si="134"/>
        <v>1</v>
      </c>
    </row>
    <row r="6146" spans="1:24" s="337" customFormat="1" ht="12" customHeight="1" outlineLevel="1">
      <c r="A6146" s="335"/>
      <c r="B6146" s="118" t="s">
        <v>12</v>
      </c>
      <c r="C6146" s="334" t="s">
        <v>15107</v>
      </c>
      <c r="D6146" s="124" t="s">
        <v>15108</v>
      </c>
      <c r="E6146" s="125"/>
      <c r="F6146" s="118" t="s">
        <v>1086</v>
      </c>
      <c r="G6146" s="126" t="s">
        <v>14942</v>
      </c>
      <c r="H6146" s="255">
        <v>4</v>
      </c>
      <c r="I6146" s="361">
        <v>1</v>
      </c>
      <c r="J6146" s="362" t="s">
        <v>286</v>
      </c>
      <c r="K6146" s="363"/>
      <c r="L6146" s="129"/>
      <c r="M6146" s="129"/>
      <c r="N6146" s="129"/>
      <c r="O6146" s="129"/>
      <c r="P6146" s="372"/>
      <c r="Q6146" s="372"/>
      <c r="R6146" s="129"/>
      <c r="S6146" s="129"/>
      <c r="T6146" s="129"/>
      <c r="U6146" s="363"/>
      <c r="W6146" s="129" t="s">
        <v>286</v>
      </c>
      <c r="X6146" s="337" t="b">
        <f t="shared" si="134"/>
        <v>1</v>
      </c>
    </row>
    <row r="6147" spans="1:24" s="337" customFormat="1" ht="12" customHeight="1" outlineLevel="1">
      <c r="A6147" s="335"/>
      <c r="B6147" s="118" t="s">
        <v>12</v>
      </c>
      <c r="C6147" s="334" t="s">
        <v>15109</v>
      </c>
      <c r="D6147" s="124" t="s">
        <v>15110</v>
      </c>
      <c r="E6147" s="125"/>
      <c r="F6147" s="118" t="s">
        <v>1086</v>
      </c>
      <c r="G6147" s="126" t="s">
        <v>14942</v>
      </c>
      <c r="H6147" s="255">
        <v>4</v>
      </c>
      <c r="I6147" s="361">
        <v>1</v>
      </c>
      <c r="J6147" s="362" t="s">
        <v>286</v>
      </c>
      <c r="K6147" s="363"/>
      <c r="L6147" s="129"/>
      <c r="M6147" s="129"/>
      <c r="N6147" s="129"/>
      <c r="O6147" s="129"/>
      <c r="P6147" s="372"/>
      <c r="Q6147" s="372"/>
      <c r="R6147" s="129"/>
      <c r="S6147" s="129"/>
      <c r="T6147" s="129"/>
      <c r="U6147" s="363"/>
      <c r="W6147" s="129" t="s">
        <v>286</v>
      </c>
      <c r="X6147" s="337" t="b">
        <f t="shared" si="134"/>
        <v>1</v>
      </c>
    </row>
    <row r="6148" spans="1:24" s="337" customFormat="1" ht="12" customHeight="1" outlineLevel="1">
      <c r="A6148" s="335"/>
      <c r="B6148" s="118" t="s">
        <v>12</v>
      </c>
      <c r="C6148" s="334" t="s">
        <v>15111</v>
      </c>
      <c r="D6148" s="124" t="s">
        <v>15112</v>
      </c>
      <c r="E6148" s="125"/>
      <c r="F6148" s="118" t="s">
        <v>1086</v>
      </c>
      <c r="G6148" s="126" t="s">
        <v>14942</v>
      </c>
      <c r="H6148" s="255">
        <v>4</v>
      </c>
      <c r="I6148" s="361">
        <v>1</v>
      </c>
      <c r="J6148" s="362" t="s">
        <v>286</v>
      </c>
      <c r="K6148" s="363"/>
      <c r="L6148" s="129"/>
      <c r="M6148" s="129"/>
      <c r="N6148" s="129"/>
      <c r="O6148" s="129"/>
      <c r="P6148" s="372"/>
      <c r="Q6148" s="372"/>
      <c r="R6148" s="129"/>
      <c r="S6148" s="129"/>
      <c r="T6148" s="129"/>
      <c r="U6148" s="363"/>
      <c r="W6148" s="129" t="s">
        <v>286</v>
      </c>
      <c r="X6148" s="337" t="b">
        <f t="shared" si="134"/>
        <v>1</v>
      </c>
    </row>
    <row r="6149" spans="1:24" s="337" customFormat="1" ht="12" customHeight="1" outlineLevel="1">
      <c r="A6149" s="335"/>
      <c r="B6149" s="118" t="s">
        <v>12</v>
      </c>
      <c r="C6149" s="334" t="s">
        <v>15113</v>
      </c>
      <c r="D6149" s="124" t="s">
        <v>15114</v>
      </c>
      <c r="E6149" s="125"/>
      <c r="F6149" s="118" t="s">
        <v>1086</v>
      </c>
      <c r="G6149" s="126" t="s">
        <v>14942</v>
      </c>
      <c r="H6149" s="255">
        <v>4</v>
      </c>
      <c r="I6149" s="361">
        <v>1</v>
      </c>
      <c r="J6149" s="362" t="s">
        <v>286</v>
      </c>
      <c r="K6149" s="363"/>
      <c r="L6149" s="129"/>
      <c r="M6149" s="129"/>
      <c r="N6149" s="129"/>
      <c r="O6149" s="129"/>
      <c r="P6149" s="372"/>
      <c r="Q6149" s="372"/>
      <c r="R6149" s="129"/>
      <c r="S6149" s="129"/>
      <c r="T6149" s="129"/>
      <c r="U6149" s="363"/>
      <c r="W6149" s="129" t="s">
        <v>286</v>
      </c>
      <c r="X6149" s="337" t="b">
        <f t="shared" si="134"/>
        <v>1</v>
      </c>
    </row>
    <row r="6150" spans="1:24" s="337" customFormat="1" ht="12" customHeight="1" outlineLevel="1">
      <c r="A6150" s="335"/>
      <c r="B6150" s="118" t="s">
        <v>12</v>
      </c>
      <c r="C6150" s="334" t="s">
        <v>15115</v>
      </c>
      <c r="D6150" s="124" t="s">
        <v>15116</v>
      </c>
      <c r="E6150" s="125"/>
      <c r="F6150" s="118" t="s">
        <v>1086</v>
      </c>
      <c r="G6150" s="126" t="s">
        <v>14942</v>
      </c>
      <c r="H6150" s="255">
        <v>4</v>
      </c>
      <c r="I6150" s="361">
        <v>1</v>
      </c>
      <c r="J6150" s="362" t="s">
        <v>286</v>
      </c>
      <c r="K6150" s="363"/>
      <c r="L6150" s="129"/>
      <c r="M6150" s="129"/>
      <c r="N6150" s="129"/>
      <c r="O6150" s="129"/>
      <c r="P6150" s="372"/>
      <c r="Q6150" s="372"/>
      <c r="R6150" s="129"/>
      <c r="S6150" s="129"/>
      <c r="T6150" s="129"/>
      <c r="U6150" s="363"/>
      <c r="W6150" s="129" t="s">
        <v>286</v>
      </c>
      <c r="X6150" s="337" t="b">
        <f t="shared" si="134"/>
        <v>1</v>
      </c>
    </row>
    <row r="6151" spans="1:24" s="337" customFormat="1" ht="12" customHeight="1" outlineLevel="1">
      <c r="A6151" s="335"/>
      <c r="B6151" s="118" t="s">
        <v>12</v>
      </c>
      <c r="C6151" s="334" t="s">
        <v>15117</v>
      </c>
      <c r="D6151" s="124" t="s">
        <v>15118</v>
      </c>
      <c r="E6151" s="125"/>
      <c r="F6151" s="118" t="s">
        <v>1086</v>
      </c>
      <c r="G6151" s="126" t="s">
        <v>14942</v>
      </c>
      <c r="H6151" s="255">
        <v>4</v>
      </c>
      <c r="I6151" s="361">
        <v>1</v>
      </c>
      <c r="J6151" s="362" t="s">
        <v>286</v>
      </c>
      <c r="K6151" s="363"/>
      <c r="L6151" s="129"/>
      <c r="M6151" s="129"/>
      <c r="N6151" s="129"/>
      <c r="O6151" s="129"/>
      <c r="P6151" s="372"/>
      <c r="Q6151" s="372"/>
      <c r="R6151" s="129"/>
      <c r="S6151" s="129"/>
      <c r="T6151" s="129"/>
      <c r="U6151" s="363"/>
      <c r="W6151" s="129" t="s">
        <v>286</v>
      </c>
      <c r="X6151" s="337" t="b">
        <f t="shared" si="134"/>
        <v>1</v>
      </c>
    </row>
    <row r="6152" spans="1:24" s="337" customFormat="1" ht="12" customHeight="1" outlineLevel="1">
      <c r="A6152" s="335"/>
      <c r="B6152" s="118" t="s">
        <v>12</v>
      </c>
      <c r="C6152" s="334" t="s">
        <v>15119</v>
      </c>
      <c r="D6152" s="124" t="s">
        <v>15120</v>
      </c>
      <c r="E6152" s="125"/>
      <c r="F6152" s="118" t="s">
        <v>1086</v>
      </c>
      <c r="G6152" s="126" t="s">
        <v>14942</v>
      </c>
      <c r="H6152" s="255">
        <v>4</v>
      </c>
      <c r="I6152" s="361">
        <v>1</v>
      </c>
      <c r="J6152" s="362" t="s">
        <v>286</v>
      </c>
      <c r="K6152" s="363"/>
      <c r="L6152" s="129"/>
      <c r="M6152" s="129"/>
      <c r="N6152" s="129"/>
      <c r="O6152" s="129"/>
      <c r="P6152" s="372"/>
      <c r="Q6152" s="372"/>
      <c r="R6152" s="129"/>
      <c r="S6152" s="129"/>
      <c r="T6152" s="129"/>
      <c r="U6152" s="363"/>
      <c r="W6152" s="129" t="s">
        <v>286</v>
      </c>
      <c r="X6152" s="337" t="b">
        <f t="shared" si="134"/>
        <v>1</v>
      </c>
    </row>
    <row r="6153" spans="1:24" s="337" customFormat="1" ht="12" customHeight="1" outlineLevel="1">
      <c r="A6153" s="335"/>
      <c r="B6153" s="118" t="s">
        <v>12</v>
      </c>
      <c r="C6153" s="334" t="s">
        <v>15121</v>
      </c>
      <c r="D6153" s="124" t="s">
        <v>15122</v>
      </c>
      <c r="E6153" s="125"/>
      <c r="F6153" s="118" t="s">
        <v>1086</v>
      </c>
      <c r="G6153" s="126" t="s">
        <v>14942</v>
      </c>
      <c r="H6153" s="255">
        <v>4</v>
      </c>
      <c r="I6153" s="361">
        <v>1</v>
      </c>
      <c r="J6153" s="362" t="s">
        <v>286</v>
      </c>
      <c r="K6153" s="363"/>
      <c r="L6153" s="129"/>
      <c r="M6153" s="129"/>
      <c r="N6153" s="129"/>
      <c r="O6153" s="129"/>
      <c r="P6153" s="372"/>
      <c r="Q6153" s="372"/>
      <c r="R6153" s="129"/>
      <c r="S6153" s="129"/>
      <c r="T6153" s="129"/>
      <c r="U6153" s="363"/>
      <c r="W6153" s="129" t="s">
        <v>286</v>
      </c>
      <c r="X6153" s="337" t="b">
        <f t="shared" si="134"/>
        <v>1</v>
      </c>
    </row>
    <row r="6154" spans="1:24" s="337" customFormat="1" ht="12" customHeight="1" outlineLevel="1">
      <c r="A6154" s="335"/>
      <c r="B6154" s="118" t="s">
        <v>12</v>
      </c>
      <c r="C6154" s="334" t="s">
        <v>15123</v>
      </c>
      <c r="D6154" s="124" t="s">
        <v>15124</v>
      </c>
      <c r="E6154" s="125"/>
      <c r="F6154" s="118" t="s">
        <v>1086</v>
      </c>
      <c r="G6154" s="126" t="s">
        <v>14942</v>
      </c>
      <c r="H6154" s="255">
        <v>4</v>
      </c>
      <c r="I6154" s="361">
        <v>1</v>
      </c>
      <c r="J6154" s="362" t="s">
        <v>286</v>
      </c>
      <c r="K6154" s="363"/>
      <c r="L6154" s="129"/>
      <c r="M6154" s="129"/>
      <c r="N6154" s="129"/>
      <c r="O6154" s="129"/>
      <c r="P6154" s="372"/>
      <c r="Q6154" s="372"/>
      <c r="R6154" s="129"/>
      <c r="S6154" s="129"/>
      <c r="T6154" s="129"/>
      <c r="U6154" s="363"/>
      <c r="W6154" s="129" t="s">
        <v>286</v>
      </c>
      <c r="X6154" s="337" t="b">
        <f t="shared" si="134"/>
        <v>1</v>
      </c>
    </row>
    <row r="6155" spans="1:24" s="337" customFormat="1" ht="12" customHeight="1" outlineLevel="1">
      <c r="A6155" s="335"/>
      <c r="B6155" s="118" t="s">
        <v>12</v>
      </c>
      <c r="C6155" s="334" t="s">
        <v>15125</v>
      </c>
      <c r="D6155" s="124" t="s">
        <v>15126</v>
      </c>
      <c r="E6155" s="125"/>
      <c r="F6155" s="118" t="s">
        <v>1086</v>
      </c>
      <c r="G6155" s="126" t="s">
        <v>14942</v>
      </c>
      <c r="H6155" s="255">
        <v>4</v>
      </c>
      <c r="I6155" s="361">
        <v>1</v>
      </c>
      <c r="J6155" s="362" t="s">
        <v>286</v>
      </c>
      <c r="K6155" s="363"/>
      <c r="L6155" s="129"/>
      <c r="M6155" s="129"/>
      <c r="N6155" s="129"/>
      <c r="O6155" s="129"/>
      <c r="P6155" s="372"/>
      <c r="Q6155" s="372"/>
      <c r="R6155" s="129"/>
      <c r="S6155" s="129"/>
      <c r="T6155" s="129"/>
      <c r="U6155" s="363"/>
      <c r="W6155" s="129" t="s">
        <v>286</v>
      </c>
      <c r="X6155" s="337" t="b">
        <f t="shared" si="134"/>
        <v>1</v>
      </c>
    </row>
    <row r="6156" spans="1:24" s="337" customFormat="1" ht="12" customHeight="1" outlineLevel="1">
      <c r="A6156" s="335"/>
      <c r="B6156" s="118" t="s">
        <v>12</v>
      </c>
      <c r="C6156" s="334" t="s">
        <v>15127</v>
      </c>
      <c r="D6156" s="124" t="s">
        <v>15128</v>
      </c>
      <c r="E6156" s="125"/>
      <c r="F6156" s="118" t="s">
        <v>1086</v>
      </c>
      <c r="G6156" s="126" t="s">
        <v>15068</v>
      </c>
      <c r="H6156" s="255">
        <v>6</v>
      </c>
      <c r="I6156" s="361">
        <v>1</v>
      </c>
      <c r="J6156" s="362" t="s">
        <v>286</v>
      </c>
      <c r="K6156" s="363"/>
      <c r="L6156" s="129"/>
      <c r="M6156" s="129"/>
      <c r="N6156" s="129"/>
      <c r="O6156" s="129"/>
      <c r="P6156" s="372"/>
      <c r="Q6156" s="372"/>
      <c r="R6156" s="129"/>
      <c r="S6156" s="129"/>
      <c r="T6156" s="129"/>
      <c r="U6156" s="363"/>
      <c r="W6156" s="129" t="s">
        <v>286</v>
      </c>
      <c r="X6156" s="337" t="b">
        <f t="shared" si="134"/>
        <v>1</v>
      </c>
    </row>
    <row r="6157" spans="1:24" s="337" customFormat="1" ht="12" customHeight="1" outlineLevel="1">
      <c r="A6157" s="335"/>
      <c r="B6157" s="118" t="s">
        <v>12</v>
      </c>
      <c r="C6157" s="334" t="s">
        <v>15129</v>
      </c>
      <c r="D6157" s="124" t="s">
        <v>15130</v>
      </c>
      <c r="E6157" s="125"/>
      <c r="F6157" s="118" t="s">
        <v>1086</v>
      </c>
      <c r="G6157" s="126" t="s">
        <v>15068</v>
      </c>
      <c r="H6157" s="255">
        <v>6</v>
      </c>
      <c r="I6157" s="361">
        <v>1</v>
      </c>
      <c r="J6157" s="362" t="s">
        <v>286</v>
      </c>
      <c r="K6157" s="363"/>
      <c r="L6157" s="129"/>
      <c r="M6157" s="129"/>
      <c r="N6157" s="129"/>
      <c r="O6157" s="129"/>
      <c r="P6157" s="372"/>
      <c r="Q6157" s="372"/>
      <c r="R6157" s="129"/>
      <c r="S6157" s="129"/>
      <c r="T6157" s="129"/>
      <c r="U6157" s="363"/>
      <c r="W6157" s="129" t="s">
        <v>286</v>
      </c>
      <c r="X6157" s="337" t="b">
        <f t="shared" ref="X6157:X6220" si="135">W6157=J6157</f>
        <v>1</v>
      </c>
    </row>
    <row r="6158" spans="1:24" s="337" customFormat="1" ht="12" customHeight="1" outlineLevel="1">
      <c r="A6158" s="335"/>
      <c r="B6158" s="118" t="s">
        <v>12</v>
      </c>
      <c r="C6158" s="334" t="s">
        <v>15131</v>
      </c>
      <c r="D6158" s="124" t="s">
        <v>15132</v>
      </c>
      <c r="E6158" s="125"/>
      <c r="F6158" s="118" t="s">
        <v>1086</v>
      </c>
      <c r="G6158" s="126" t="s">
        <v>15068</v>
      </c>
      <c r="H6158" s="255">
        <v>6</v>
      </c>
      <c r="I6158" s="361">
        <v>1</v>
      </c>
      <c r="J6158" s="362" t="s">
        <v>286</v>
      </c>
      <c r="K6158" s="363"/>
      <c r="L6158" s="129"/>
      <c r="M6158" s="129"/>
      <c r="N6158" s="129"/>
      <c r="O6158" s="129"/>
      <c r="P6158" s="372"/>
      <c r="Q6158" s="372"/>
      <c r="R6158" s="129"/>
      <c r="S6158" s="129"/>
      <c r="T6158" s="129"/>
      <c r="U6158" s="363"/>
      <c r="W6158" s="129" t="s">
        <v>286</v>
      </c>
      <c r="X6158" s="337" t="b">
        <f t="shared" si="135"/>
        <v>1</v>
      </c>
    </row>
    <row r="6159" spans="1:24" s="337" customFormat="1" ht="12" customHeight="1" outlineLevel="1">
      <c r="A6159" s="335"/>
      <c r="B6159" s="118" t="s">
        <v>12</v>
      </c>
      <c r="C6159" s="334" t="s">
        <v>15133</v>
      </c>
      <c r="D6159" s="124" t="s">
        <v>15134</v>
      </c>
      <c r="E6159" s="125"/>
      <c r="F6159" s="118" t="s">
        <v>1086</v>
      </c>
      <c r="G6159" s="126" t="s">
        <v>15068</v>
      </c>
      <c r="H6159" s="255">
        <v>6</v>
      </c>
      <c r="I6159" s="361">
        <v>1</v>
      </c>
      <c r="J6159" s="362" t="s">
        <v>286</v>
      </c>
      <c r="K6159" s="363"/>
      <c r="L6159" s="129"/>
      <c r="M6159" s="129"/>
      <c r="N6159" s="129"/>
      <c r="O6159" s="129"/>
      <c r="P6159" s="372"/>
      <c r="Q6159" s="372"/>
      <c r="R6159" s="129"/>
      <c r="S6159" s="129"/>
      <c r="T6159" s="129"/>
      <c r="U6159" s="363"/>
      <c r="W6159" s="129" t="s">
        <v>286</v>
      </c>
      <c r="X6159" s="337" t="b">
        <f t="shared" si="135"/>
        <v>1</v>
      </c>
    </row>
    <row r="6160" spans="1:24" s="337" customFormat="1" ht="12" customHeight="1" outlineLevel="1">
      <c r="A6160" s="335"/>
      <c r="B6160" s="118" t="s">
        <v>12</v>
      </c>
      <c r="C6160" s="334" t="s">
        <v>15135</v>
      </c>
      <c r="D6160" s="124" t="s">
        <v>15136</v>
      </c>
      <c r="E6160" s="125"/>
      <c r="F6160" s="118" t="s">
        <v>1086</v>
      </c>
      <c r="G6160" s="126" t="s">
        <v>15068</v>
      </c>
      <c r="H6160" s="255">
        <v>6</v>
      </c>
      <c r="I6160" s="361">
        <v>1</v>
      </c>
      <c r="J6160" s="362" t="s">
        <v>286</v>
      </c>
      <c r="K6160" s="363"/>
      <c r="L6160" s="129"/>
      <c r="M6160" s="129"/>
      <c r="N6160" s="129"/>
      <c r="O6160" s="129"/>
      <c r="P6160" s="372"/>
      <c r="Q6160" s="372"/>
      <c r="R6160" s="129"/>
      <c r="S6160" s="129"/>
      <c r="T6160" s="129"/>
      <c r="U6160" s="363"/>
      <c r="W6160" s="129" t="s">
        <v>286</v>
      </c>
      <c r="X6160" s="337" t="b">
        <f t="shared" si="135"/>
        <v>1</v>
      </c>
    </row>
    <row r="6161" spans="1:24" s="337" customFormat="1" ht="12" customHeight="1" outlineLevel="1">
      <c r="A6161" s="335"/>
      <c r="B6161" s="118" t="s">
        <v>12</v>
      </c>
      <c r="C6161" s="334" t="s">
        <v>15137</v>
      </c>
      <c r="D6161" s="124" t="s">
        <v>15138</v>
      </c>
      <c r="E6161" s="125"/>
      <c r="F6161" s="118" t="s">
        <v>1086</v>
      </c>
      <c r="G6161" s="126" t="s">
        <v>15068</v>
      </c>
      <c r="H6161" s="255">
        <v>6</v>
      </c>
      <c r="I6161" s="361">
        <v>1</v>
      </c>
      <c r="J6161" s="362" t="s">
        <v>286</v>
      </c>
      <c r="K6161" s="363"/>
      <c r="L6161" s="129"/>
      <c r="M6161" s="129"/>
      <c r="N6161" s="129"/>
      <c r="O6161" s="129"/>
      <c r="P6161" s="372"/>
      <c r="Q6161" s="372"/>
      <c r="R6161" s="129"/>
      <c r="S6161" s="129"/>
      <c r="T6161" s="129"/>
      <c r="U6161" s="363"/>
      <c r="W6161" s="129" t="s">
        <v>286</v>
      </c>
      <c r="X6161" s="337" t="b">
        <f t="shared" si="135"/>
        <v>1</v>
      </c>
    </row>
    <row r="6162" spans="1:24" s="337" customFormat="1" ht="12" customHeight="1" outlineLevel="1">
      <c r="A6162" s="335"/>
      <c r="B6162" s="118" t="s">
        <v>12</v>
      </c>
      <c r="C6162" s="334" t="s">
        <v>15139</v>
      </c>
      <c r="D6162" s="124" t="s">
        <v>15140</v>
      </c>
      <c r="E6162" s="125"/>
      <c r="F6162" s="118" t="s">
        <v>1086</v>
      </c>
      <c r="G6162" s="126" t="s">
        <v>15068</v>
      </c>
      <c r="H6162" s="255">
        <v>6</v>
      </c>
      <c r="I6162" s="361">
        <v>1</v>
      </c>
      <c r="J6162" s="362" t="s">
        <v>286</v>
      </c>
      <c r="K6162" s="363"/>
      <c r="L6162" s="129"/>
      <c r="M6162" s="129"/>
      <c r="N6162" s="129"/>
      <c r="O6162" s="129"/>
      <c r="P6162" s="372"/>
      <c r="Q6162" s="372"/>
      <c r="R6162" s="129"/>
      <c r="S6162" s="129"/>
      <c r="T6162" s="129"/>
      <c r="U6162" s="363"/>
      <c r="W6162" s="129" t="s">
        <v>286</v>
      </c>
      <c r="X6162" s="337" t="b">
        <f t="shared" si="135"/>
        <v>1</v>
      </c>
    </row>
    <row r="6163" spans="1:24" s="337" customFormat="1" ht="12" customHeight="1" outlineLevel="1">
      <c r="A6163" s="335"/>
      <c r="B6163" s="118" t="s">
        <v>12</v>
      </c>
      <c r="C6163" s="334" t="s">
        <v>15141</v>
      </c>
      <c r="D6163" s="124" t="s">
        <v>15142</v>
      </c>
      <c r="E6163" s="125"/>
      <c r="F6163" s="118" t="s">
        <v>1086</v>
      </c>
      <c r="G6163" s="126" t="s">
        <v>15068</v>
      </c>
      <c r="H6163" s="255">
        <v>6</v>
      </c>
      <c r="I6163" s="361">
        <v>1</v>
      </c>
      <c r="J6163" s="362" t="s">
        <v>286</v>
      </c>
      <c r="K6163" s="363"/>
      <c r="L6163" s="129"/>
      <c r="M6163" s="129"/>
      <c r="N6163" s="129"/>
      <c r="O6163" s="129"/>
      <c r="P6163" s="372"/>
      <c r="Q6163" s="372"/>
      <c r="R6163" s="129"/>
      <c r="S6163" s="129"/>
      <c r="T6163" s="129"/>
      <c r="U6163" s="363"/>
      <c r="W6163" s="129" t="s">
        <v>286</v>
      </c>
      <c r="X6163" s="337" t="b">
        <f t="shared" si="135"/>
        <v>1</v>
      </c>
    </row>
    <row r="6164" spans="1:24" s="337" customFormat="1" ht="12" customHeight="1" outlineLevel="1">
      <c r="A6164" s="335"/>
      <c r="B6164" s="118" t="s">
        <v>12</v>
      </c>
      <c r="C6164" s="334" t="s">
        <v>15143</v>
      </c>
      <c r="D6164" s="124" t="s">
        <v>15144</v>
      </c>
      <c r="E6164" s="125"/>
      <c r="F6164" s="118" t="s">
        <v>1086</v>
      </c>
      <c r="G6164" s="126" t="s">
        <v>15068</v>
      </c>
      <c r="H6164" s="255">
        <v>6</v>
      </c>
      <c r="I6164" s="361">
        <v>1</v>
      </c>
      <c r="J6164" s="362" t="s">
        <v>286</v>
      </c>
      <c r="K6164" s="363"/>
      <c r="L6164" s="129"/>
      <c r="M6164" s="129"/>
      <c r="N6164" s="129"/>
      <c r="O6164" s="129"/>
      <c r="P6164" s="372"/>
      <c r="Q6164" s="372"/>
      <c r="R6164" s="129"/>
      <c r="S6164" s="129"/>
      <c r="T6164" s="129"/>
      <c r="U6164" s="363"/>
      <c r="W6164" s="129" t="s">
        <v>286</v>
      </c>
      <c r="X6164" s="337" t="b">
        <f t="shared" si="135"/>
        <v>1</v>
      </c>
    </row>
    <row r="6165" spans="1:24" s="337" customFormat="1" ht="12" customHeight="1" outlineLevel="1">
      <c r="A6165" s="335"/>
      <c r="B6165" s="118" t="s">
        <v>12</v>
      </c>
      <c r="C6165" s="334" t="s">
        <v>15145</v>
      </c>
      <c r="D6165" s="124" t="s">
        <v>15146</v>
      </c>
      <c r="E6165" s="125"/>
      <c r="F6165" s="118" t="s">
        <v>1086</v>
      </c>
      <c r="G6165" s="126" t="s">
        <v>15068</v>
      </c>
      <c r="H6165" s="255">
        <v>6</v>
      </c>
      <c r="I6165" s="361">
        <v>1</v>
      </c>
      <c r="J6165" s="362" t="s">
        <v>286</v>
      </c>
      <c r="K6165" s="363"/>
      <c r="L6165" s="129"/>
      <c r="M6165" s="129"/>
      <c r="N6165" s="129"/>
      <c r="O6165" s="129"/>
      <c r="P6165" s="372"/>
      <c r="Q6165" s="372"/>
      <c r="R6165" s="129"/>
      <c r="S6165" s="129"/>
      <c r="T6165" s="129"/>
      <c r="U6165" s="363"/>
      <c r="W6165" s="129" t="s">
        <v>286</v>
      </c>
      <c r="X6165" s="337" t="b">
        <f t="shared" si="135"/>
        <v>1</v>
      </c>
    </row>
    <row r="6166" spans="1:24" s="337" customFormat="1" ht="12" customHeight="1" outlineLevel="1">
      <c r="A6166" s="335"/>
      <c r="B6166" s="118" t="s">
        <v>12</v>
      </c>
      <c r="C6166" s="334" t="s">
        <v>15147</v>
      </c>
      <c r="D6166" s="124" t="s">
        <v>15148</v>
      </c>
      <c r="E6166" s="125"/>
      <c r="F6166" s="118" t="s">
        <v>1086</v>
      </c>
      <c r="G6166" s="126" t="s">
        <v>15068</v>
      </c>
      <c r="H6166" s="255">
        <v>6</v>
      </c>
      <c r="I6166" s="361">
        <v>1</v>
      </c>
      <c r="J6166" s="362" t="s">
        <v>286</v>
      </c>
      <c r="K6166" s="363"/>
      <c r="L6166" s="129"/>
      <c r="M6166" s="129"/>
      <c r="N6166" s="129"/>
      <c r="O6166" s="129"/>
      <c r="P6166" s="372"/>
      <c r="Q6166" s="372"/>
      <c r="R6166" s="129"/>
      <c r="S6166" s="129"/>
      <c r="T6166" s="129"/>
      <c r="U6166" s="363"/>
      <c r="W6166" s="129" t="s">
        <v>286</v>
      </c>
      <c r="X6166" s="337" t="b">
        <f t="shared" si="135"/>
        <v>1</v>
      </c>
    </row>
    <row r="6167" spans="1:24" s="337" customFormat="1" ht="12" customHeight="1" outlineLevel="1">
      <c r="A6167" s="335"/>
      <c r="B6167" s="118" t="s">
        <v>12</v>
      </c>
      <c r="C6167" s="334" t="s">
        <v>15149</v>
      </c>
      <c r="D6167" s="124" t="s">
        <v>15150</v>
      </c>
      <c r="E6167" s="125"/>
      <c r="F6167" s="118" t="s">
        <v>1086</v>
      </c>
      <c r="G6167" s="126" t="s">
        <v>15068</v>
      </c>
      <c r="H6167" s="255">
        <v>6</v>
      </c>
      <c r="I6167" s="361">
        <v>1</v>
      </c>
      <c r="J6167" s="362" t="s">
        <v>286</v>
      </c>
      <c r="K6167" s="363"/>
      <c r="L6167" s="129"/>
      <c r="M6167" s="129"/>
      <c r="N6167" s="129"/>
      <c r="O6167" s="129"/>
      <c r="P6167" s="372"/>
      <c r="Q6167" s="372"/>
      <c r="R6167" s="129"/>
      <c r="S6167" s="129"/>
      <c r="T6167" s="129"/>
      <c r="U6167" s="363"/>
      <c r="W6167" s="129" t="s">
        <v>286</v>
      </c>
      <c r="X6167" s="337" t="b">
        <f t="shared" si="135"/>
        <v>1</v>
      </c>
    </row>
    <row r="6168" spans="1:24" s="337" customFormat="1" ht="12" customHeight="1" outlineLevel="1">
      <c r="A6168" s="335"/>
      <c r="B6168" s="118" t="s">
        <v>12</v>
      </c>
      <c r="C6168" s="334" t="s">
        <v>15151</v>
      </c>
      <c r="D6168" s="124" t="s">
        <v>15152</v>
      </c>
      <c r="E6168" s="125"/>
      <c r="F6168" s="118" t="s">
        <v>1086</v>
      </c>
      <c r="G6168" s="126" t="s">
        <v>15068</v>
      </c>
      <c r="H6168" s="255">
        <v>6</v>
      </c>
      <c r="I6168" s="361">
        <v>1</v>
      </c>
      <c r="J6168" s="362" t="s">
        <v>286</v>
      </c>
      <c r="K6168" s="363"/>
      <c r="L6168" s="129"/>
      <c r="M6168" s="129"/>
      <c r="N6168" s="129"/>
      <c r="O6168" s="129"/>
      <c r="P6168" s="372"/>
      <c r="Q6168" s="372"/>
      <c r="R6168" s="129"/>
      <c r="S6168" s="129"/>
      <c r="T6168" s="129"/>
      <c r="U6168" s="363"/>
      <c r="W6168" s="129" t="s">
        <v>286</v>
      </c>
      <c r="X6168" s="337" t="b">
        <f t="shared" si="135"/>
        <v>1</v>
      </c>
    </row>
    <row r="6169" spans="1:24" s="337" customFormat="1" ht="12" customHeight="1" outlineLevel="1">
      <c r="A6169" s="335"/>
      <c r="B6169" s="118" t="s">
        <v>12</v>
      </c>
      <c r="C6169" s="334" t="s">
        <v>15153</v>
      </c>
      <c r="D6169" s="124" t="s">
        <v>15154</v>
      </c>
      <c r="E6169" s="125"/>
      <c r="F6169" s="118" t="s">
        <v>1086</v>
      </c>
      <c r="G6169" s="126" t="s">
        <v>15068</v>
      </c>
      <c r="H6169" s="255">
        <v>6</v>
      </c>
      <c r="I6169" s="361">
        <v>1</v>
      </c>
      <c r="J6169" s="362" t="s">
        <v>286</v>
      </c>
      <c r="K6169" s="363"/>
      <c r="L6169" s="129"/>
      <c r="M6169" s="129"/>
      <c r="N6169" s="129"/>
      <c r="O6169" s="129"/>
      <c r="P6169" s="372"/>
      <c r="Q6169" s="372"/>
      <c r="R6169" s="129"/>
      <c r="S6169" s="129"/>
      <c r="T6169" s="129"/>
      <c r="U6169" s="363"/>
      <c r="W6169" s="129" t="s">
        <v>286</v>
      </c>
      <c r="X6169" s="337" t="b">
        <f t="shared" si="135"/>
        <v>1</v>
      </c>
    </row>
    <row r="6170" spans="1:24" s="337" customFormat="1" ht="12" customHeight="1" outlineLevel="1">
      <c r="A6170" s="335"/>
      <c r="B6170" s="118" t="s">
        <v>12</v>
      </c>
      <c r="C6170" s="334" t="s">
        <v>15155</v>
      </c>
      <c r="D6170" s="124" t="s">
        <v>15156</v>
      </c>
      <c r="E6170" s="125"/>
      <c r="F6170" s="118" t="s">
        <v>1086</v>
      </c>
      <c r="G6170" s="126" t="s">
        <v>15068</v>
      </c>
      <c r="H6170" s="255">
        <v>6</v>
      </c>
      <c r="I6170" s="361">
        <v>1</v>
      </c>
      <c r="J6170" s="362" t="s">
        <v>286</v>
      </c>
      <c r="K6170" s="363"/>
      <c r="L6170" s="129"/>
      <c r="M6170" s="129"/>
      <c r="N6170" s="129"/>
      <c r="O6170" s="129"/>
      <c r="P6170" s="372"/>
      <c r="Q6170" s="372"/>
      <c r="R6170" s="129"/>
      <c r="S6170" s="129"/>
      <c r="T6170" s="129"/>
      <c r="U6170" s="363"/>
      <c r="W6170" s="129" t="s">
        <v>286</v>
      </c>
      <c r="X6170" s="337" t="b">
        <f t="shared" si="135"/>
        <v>1</v>
      </c>
    </row>
    <row r="6171" spans="1:24" s="337" customFormat="1" ht="12" customHeight="1" outlineLevel="1">
      <c r="A6171" s="335"/>
      <c r="B6171" s="118" t="s">
        <v>12</v>
      </c>
      <c r="C6171" s="334" t="s">
        <v>15157</v>
      </c>
      <c r="D6171" s="124" t="s">
        <v>15158</v>
      </c>
      <c r="E6171" s="125"/>
      <c r="F6171" s="118" t="s">
        <v>1086</v>
      </c>
      <c r="G6171" s="126" t="s">
        <v>15068</v>
      </c>
      <c r="H6171" s="255">
        <v>6</v>
      </c>
      <c r="I6171" s="361">
        <v>1</v>
      </c>
      <c r="J6171" s="362" t="s">
        <v>286</v>
      </c>
      <c r="K6171" s="363"/>
      <c r="L6171" s="129"/>
      <c r="M6171" s="129"/>
      <c r="N6171" s="129"/>
      <c r="O6171" s="129"/>
      <c r="P6171" s="372"/>
      <c r="Q6171" s="372"/>
      <c r="R6171" s="129"/>
      <c r="S6171" s="129"/>
      <c r="T6171" s="129"/>
      <c r="U6171" s="363"/>
      <c r="W6171" s="129" t="s">
        <v>286</v>
      </c>
      <c r="X6171" s="337" t="b">
        <f t="shared" si="135"/>
        <v>1</v>
      </c>
    </row>
    <row r="6172" spans="1:24" s="337" customFormat="1" ht="12" customHeight="1" outlineLevel="1">
      <c r="A6172" s="335"/>
      <c r="B6172" s="118" t="s">
        <v>12</v>
      </c>
      <c r="C6172" s="334" t="s">
        <v>15159</v>
      </c>
      <c r="D6172" s="124" t="s">
        <v>15160</v>
      </c>
      <c r="E6172" s="125"/>
      <c r="F6172" s="118" t="s">
        <v>1086</v>
      </c>
      <c r="G6172" s="126" t="s">
        <v>15068</v>
      </c>
      <c r="H6172" s="255">
        <v>6</v>
      </c>
      <c r="I6172" s="361">
        <v>1</v>
      </c>
      <c r="J6172" s="362" t="s">
        <v>286</v>
      </c>
      <c r="K6172" s="363"/>
      <c r="L6172" s="129"/>
      <c r="M6172" s="129"/>
      <c r="N6172" s="129"/>
      <c r="O6172" s="129"/>
      <c r="P6172" s="372"/>
      <c r="Q6172" s="372"/>
      <c r="R6172" s="129"/>
      <c r="S6172" s="129"/>
      <c r="T6172" s="129"/>
      <c r="U6172" s="363"/>
      <c r="W6172" s="129" t="s">
        <v>286</v>
      </c>
      <c r="X6172" s="337" t="b">
        <f t="shared" si="135"/>
        <v>1</v>
      </c>
    </row>
    <row r="6173" spans="1:24" s="337" customFormat="1" ht="12" customHeight="1" outlineLevel="1">
      <c r="A6173" s="335"/>
      <c r="B6173" s="118" t="s">
        <v>12</v>
      </c>
      <c r="C6173" s="334" t="s">
        <v>15161</v>
      </c>
      <c r="D6173" s="124" t="s">
        <v>15162</v>
      </c>
      <c r="E6173" s="125"/>
      <c r="F6173" s="118" t="s">
        <v>1086</v>
      </c>
      <c r="G6173" s="126" t="s">
        <v>15068</v>
      </c>
      <c r="H6173" s="255">
        <v>6</v>
      </c>
      <c r="I6173" s="361">
        <v>1</v>
      </c>
      <c r="J6173" s="362" t="s">
        <v>286</v>
      </c>
      <c r="K6173" s="363"/>
      <c r="L6173" s="129"/>
      <c r="M6173" s="129"/>
      <c r="N6173" s="129"/>
      <c r="O6173" s="129"/>
      <c r="P6173" s="372"/>
      <c r="Q6173" s="372"/>
      <c r="R6173" s="129"/>
      <c r="S6173" s="129"/>
      <c r="T6173" s="129"/>
      <c r="U6173" s="363"/>
      <c r="W6173" s="129" t="s">
        <v>286</v>
      </c>
      <c r="X6173" s="337" t="b">
        <f t="shared" si="135"/>
        <v>1</v>
      </c>
    </row>
    <row r="6174" spans="1:24" s="337" customFormat="1" ht="12" customHeight="1" outlineLevel="1">
      <c r="A6174" s="335"/>
      <c r="B6174" s="118" t="s">
        <v>12</v>
      </c>
      <c r="C6174" s="334" t="s">
        <v>15163</v>
      </c>
      <c r="D6174" s="124" t="s">
        <v>15164</v>
      </c>
      <c r="E6174" s="125"/>
      <c r="F6174" s="118" t="s">
        <v>1086</v>
      </c>
      <c r="G6174" s="126" t="s">
        <v>15068</v>
      </c>
      <c r="H6174" s="255">
        <v>6</v>
      </c>
      <c r="I6174" s="361">
        <v>1</v>
      </c>
      <c r="J6174" s="362" t="s">
        <v>286</v>
      </c>
      <c r="K6174" s="363"/>
      <c r="L6174" s="129"/>
      <c r="M6174" s="129"/>
      <c r="N6174" s="129"/>
      <c r="O6174" s="129"/>
      <c r="P6174" s="372"/>
      <c r="Q6174" s="372"/>
      <c r="R6174" s="129"/>
      <c r="S6174" s="129"/>
      <c r="T6174" s="129"/>
      <c r="U6174" s="363"/>
      <c r="W6174" s="129" t="s">
        <v>286</v>
      </c>
      <c r="X6174" s="337" t="b">
        <f t="shared" si="135"/>
        <v>1</v>
      </c>
    </row>
    <row r="6175" spans="1:24" s="337" customFormat="1" ht="12" customHeight="1" outlineLevel="1">
      <c r="A6175" s="335"/>
      <c r="B6175" s="118" t="s">
        <v>12</v>
      </c>
      <c r="C6175" s="334" t="s">
        <v>15165</v>
      </c>
      <c r="D6175" s="124" t="s">
        <v>15166</v>
      </c>
      <c r="E6175" s="125"/>
      <c r="F6175" s="118" t="s">
        <v>1086</v>
      </c>
      <c r="G6175" s="126" t="s">
        <v>15068</v>
      </c>
      <c r="H6175" s="255">
        <v>6</v>
      </c>
      <c r="I6175" s="361">
        <v>1</v>
      </c>
      <c r="J6175" s="362" t="s">
        <v>286</v>
      </c>
      <c r="K6175" s="363"/>
      <c r="L6175" s="129"/>
      <c r="M6175" s="129"/>
      <c r="N6175" s="129"/>
      <c r="O6175" s="129"/>
      <c r="P6175" s="372"/>
      <c r="Q6175" s="372"/>
      <c r="R6175" s="129"/>
      <c r="S6175" s="129"/>
      <c r="T6175" s="129"/>
      <c r="U6175" s="363"/>
      <c r="W6175" s="129" t="s">
        <v>286</v>
      </c>
      <c r="X6175" s="337" t="b">
        <f t="shared" si="135"/>
        <v>1</v>
      </c>
    </row>
    <row r="6176" spans="1:24" s="337" customFormat="1" ht="12" customHeight="1" outlineLevel="1">
      <c r="A6176" s="335"/>
      <c r="B6176" s="118" t="s">
        <v>12</v>
      </c>
      <c r="C6176" s="334" t="s">
        <v>15167</v>
      </c>
      <c r="D6176" s="124" t="s">
        <v>15168</v>
      </c>
      <c r="E6176" s="125"/>
      <c r="F6176" s="118" t="s">
        <v>1086</v>
      </c>
      <c r="G6176" s="126" t="s">
        <v>15068</v>
      </c>
      <c r="H6176" s="255">
        <v>6</v>
      </c>
      <c r="I6176" s="361">
        <v>1</v>
      </c>
      <c r="J6176" s="362" t="s">
        <v>286</v>
      </c>
      <c r="K6176" s="363"/>
      <c r="L6176" s="129"/>
      <c r="M6176" s="129"/>
      <c r="N6176" s="129"/>
      <c r="O6176" s="129"/>
      <c r="P6176" s="372"/>
      <c r="Q6176" s="372"/>
      <c r="R6176" s="129"/>
      <c r="S6176" s="129"/>
      <c r="T6176" s="129"/>
      <c r="U6176" s="363"/>
      <c r="W6176" s="129" t="s">
        <v>286</v>
      </c>
      <c r="X6176" s="337" t="b">
        <f t="shared" si="135"/>
        <v>1</v>
      </c>
    </row>
    <row r="6177" spans="1:24" s="337" customFormat="1" ht="12" customHeight="1" outlineLevel="1">
      <c r="A6177" s="335"/>
      <c r="B6177" s="118" t="s">
        <v>12</v>
      </c>
      <c r="C6177" s="334" t="s">
        <v>15169</v>
      </c>
      <c r="D6177" s="124" t="s">
        <v>15170</v>
      </c>
      <c r="E6177" s="125"/>
      <c r="F6177" s="118" t="s">
        <v>1086</v>
      </c>
      <c r="G6177" s="126" t="s">
        <v>15068</v>
      </c>
      <c r="H6177" s="255">
        <v>6</v>
      </c>
      <c r="I6177" s="361">
        <v>1</v>
      </c>
      <c r="J6177" s="362" t="s">
        <v>286</v>
      </c>
      <c r="K6177" s="363"/>
      <c r="L6177" s="129"/>
      <c r="M6177" s="129"/>
      <c r="N6177" s="129"/>
      <c r="O6177" s="129"/>
      <c r="P6177" s="372"/>
      <c r="Q6177" s="372"/>
      <c r="R6177" s="129"/>
      <c r="S6177" s="129"/>
      <c r="T6177" s="129"/>
      <c r="U6177" s="363"/>
      <c r="W6177" s="129" t="s">
        <v>286</v>
      </c>
      <c r="X6177" s="337" t="b">
        <f t="shared" si="135"/>
        <v>1</v>
      </c>
    </row>
    <row r="6178" spans="1:24" s="337" customFormat="1" ht="12" customHeight="1" outlineLevel="1">
      <c r="A6178" s="335"/>
      <c r="B6178" s="118" t="s">
        <v>12</v>
      </c>
      <c r="C6178" s="334" t="s">
        <v>15171</v>
      </c>
      <c r="D6178" s="124" t="s">
        <v>15172</v>
      </c>
      <c r="E6178" s="125"/>
      <c r="F6178" s="118" t="s">
        <v>1086</v>
      </c>
      <c r="G6178" s="126" t="s">
        <v>15068</v>
      </c>
      <c r="H6178" s="255">
        <v>6</v>
      </c>
      <c r="I6178" s="361">
        <v>1</v>
      </c>
      <c r="J6178" s="362" t="s">
        <v>286</v>
      </c>
      <c r="K6178" s="363"/>
      <c r="L6178" s="129"/>
      <c r="M6178" s="129"/>
      <c r="N6178" s="129"/>
      <c r="O6178" s="129"/>
      <c r="P6178" s="372"/>
      <c r="Q6178" s="372"/>
      <c r="R6178" s="129"/>
      <c r="S6178" s="129"/>
      <c r="T6178" s="129"/>
      <c r="U6178" s="363"/>
      <c r="W6178" s="129" t="s">
        <v>286</v>
      </c>
      <c r="X6178" s="337" t="b">
        <f t="shared" si="135"/>
        <v>1</v>
      </c>
    </row>
    <row r="6179" spans="1:24" s="337" customFormat="1" ht="12" customHeight="1" outlineLevel="1">
      <c r="A6179" s="335"/>
      <c r="B6179" s="118" t="s">
        <v>12</v>
      </c>
      <c r="C6179" s="334" t="s">
        <v>15173</v>
      </c>
      <c r="D6179" s="124" t="s">
        <v>15174</v>
      </c>
      <c r="E6179" s="125"/>
      <c r="F6179" s="118" t="s">
        <v>1086</v>
      </c>
      <c r="G6179" s="126" t="s">
        <v>15068</v>
      </c>
      <c r="H6179" s="255">
        <v>6</v>
      </c>
      <c r="I6179" s="361">
        <v>1</v>
      </c>
      <c r="J6179" s="362" t="s">
        <v>286</v>
      </c>
      <c r="K6179" s="363"/>
      <c r="L6179" s="129"/>
      <c r="M6179" s="129"/>
      <c r="N6179" s="129"/>
      <c r="O6179" s="129"/>
      <c r="P6179" s="372"/>
      <c r="Q6179" s="372"/>
      <c r="R6179" s="129"/>
      <c r="S6179" s="129"/>
      <c r="T6179" s="129"/>
      <c r="U6179" s="363"/>
      <c r="W6179" s="129" t="s">
        <v>286</v>
      </c>
      <c r="X6179" s="337" t="b">
        <f t="shared" si="135"/>
        <v>1</v>
      </c>
    </row>
    <row r="6180" spans="1:24" s="337" customFormat="1" ht="12" customHeight="1" outlineLevel="1">
      <c r="A6180" s="335"/>
      <c r="B6180" s="118" t="s">
        <v>12</v>
      </c>
      <c r="C6180" s="334" t="s">
        <v>15175</v>
      </c>
      <c r="D6180" s="124" t="s">
        <v>15176</v>
      </c>
      <c r="E6180" s="125"/>
      <c r="F6180" s="118" t="s">
        <v>1086</v>
      </c>
      <c r="G6180" s="126" t="s">
        <v>15068</v>
      </c>
      <c r="H6180" s="255">
        <v>6</v>
      </c>
      <c r="I6180" s="361">
        <v>1</v>
      </c>
      <c r="J6180" s="362" t="s">
        <v>286</v>
      </c>
      <c r="K6180" s="363"/>
      <c r="L6180" s="129"/>
      <c r="M6180" s="129"/>
      <c r="N6180" s="129"/>
      <c r="O6180" s="129"/>
      <c r="P6180" s="372"/>
      <c r="Q6180" s="372"/>
      <c r="R6180" s="129"/>
      <c r="S6180" s="129"/>
      <c r="T6180" s="129"/>
      <c r="U6180" s="363"/>
      <c r="W6180" s="129" t="s">
        <v>286</v>
      </c>
      <c r="X6180" s="337" t="b">
        <f t="shared" si="135"/>
        <v>1</v>
      </c>
    </row>
    <row r="6181" spans="1:24" s="337" customFormat="1" ht="12" customHeight="1" outlineLevel="1">
      <c r="A6181" s="335"/>
      <c r="B6181" s="118" t="s">
        <v>12</v>
      </c>
      <c r="C6181" s="334" t="s">
        <v>15177</v>
      </c>
      <c r="D6181" s="124" t="s">
        <v>15178</v>
      </c>
      <c r="E6181" s="125"/>
      <c r="F6181" s="118" t="s">
        <v>1086</v>
      </c>
      <c r="G6181" s="126" t="s">
        <v>15068</v>
      </c>
      <c r="H6181" s="255">
        <v>6</v>
      </c>
      <c r="I6181" s="361">
        <v>1</v>
      </c>
      <c r="J6181" s="362" t="s">
        <v>286</v>
      </c>
      <c r="K6181" s="363"/>
      <c r="L6181" s="129"/>
      <c r="M6181" s="129"/>
      <c r="N6181" s="129"/>
      <c r="O6181" s="129"/>
      <c r="P6181" s="372"/>
      <c r="Q6181" s="372"/>
      <c r="R6181" s="129"/>
      <c r="S6181" s="129"/>
      <c r="T6181" s="129"/>
      <c r="U6181" s="363"/>
      <c r="W6181" s="129" t="s">
        <v>4876</v>
      </c>
      <c r="X6181" s="337" t="b">
        <f t="shared" si="135"/>
        <v>0</v>
      </c>
    </row>
    <row r="6182" spans="1:24" s="337" customFormat="1" ht="12" customHeight="1" outlineLevel="1">
      <c r="A6182" s="335"/>
      <c r="B6182" s="118" t="s">
        <v>12</v>
      </c>
      <c r="C6182" s="334" t="s">
        <v>15179</v>
      </c>
      <c r="D6182" s="124" t="s">
        <v>15180</v>
      </c>
      <c r="E6182" s="125"/>
      <c r="F6182" s="118" t="s">
        <v>1086</v>
      </c>
      <c r="G6182" s="126" t="s">
        <v>15068</v>
      </c>
      <c r="H6182" s="255">
        <v>6</v>
      </c>
      <c r="I6182" s="361">
        <v>1</v>
      </c>
      <c r="J6182" s="362" t="s">
        <v>286</v>
      </c>
      <c r="K6182" s="363"/>
      <c r="L6182" s="129"/>
      <c r="M6182" s="129"/>
      <c r="N6182" s="129"/>
      <c r="O6182" s="129"/>
      <c r="P6182" s="372"/>
      <c r="Q6182" s="372"/>
      <c r="R6182" s="129"/>
      <c r="S6182" s="129"/>
      <c r="T6182" s="129"/>
      <c r="U6182" s="363"/>
      <c r="W6182" s="129" t="s">
        <v>286</v>
      </c>
      <c r="X6182" s="337" t="b">
        <f t="shared" si="135"/>
        <v>1</v>
      </c>
    </row>
    <row r="6183" spans="1:24" s="337" customFormat="1" ht="12" customHeight="1" outlineLevel="1">
      <c r="A6183" s="335"/>
      <c r="B6183" s="118" t="s">
        <v>12</v>
      </c>
      <c r="C6183" s="334" t="s">
        <v>15181</v>
      </c>
      <c r="D6183" s="124" t="s">
        <v>15182</v>
      </c>
      <c r="E6183" s="125"/>
      <c r="F6183" s="118" t="s">
        <v>1086</v>
      </c>
      <c r="G6183" s="126" t="s">
        <v>15068</v>
      </c>
      <c r="H6183" s="255">
        <v>6</v>
      </c>
      <c r="I6183" s="361">
        <v>1</v>
      </c>
      <c r="J6183" s="362" t="s">
        <v>286</v>
      </c>
      <c r="K6183" s="363"/>
      <c r="L6183" s="129"/>
      <c r="M6183" s="129"/>
      <c r="N6183" s="129"/>
      <c r="O6183" s="129"/>
      <c r="P6183" s="372"/>
      <c r="Q6183" s="372"/>
      <c r="R6183" s="129"/>
      <c r="S6183" s="129"/>
      <c r="T6183" s="129"/>
      <c r="U6183" s="363"/>
      <c r="W6183" s="129" t="s">
        <v>286</v>
      </c>
      <c r="X6183" s="337" t="b">
        <f t="shared" si="135"/>
        <v>1</v>
      </c>
    </row>
    <row r="6184" spans="1:24" s="337" customFormat="1" ht="12" customHeight="1" outlineLevel="1">
      <c r="A6184" s="335"/>
      <c r="B6184" s="118" t="s">
        <v>12</v>
      </c>
      <c r="C6184" s="334" t="s">
        <v>15183</v>
      </c>
      <c r="D6184" s="124" t="s">
        <v>15184</v>
      </c>
      <c r="E6184" s="125"/>
      <c r="F6184" s="118" t="s">
        <v>1086</v>
      </c>
      <c r="G6184" s="126" t="s">
        <v>15068</v>
      </c>
      <c r="H6184" s="255">
        <v>6</v>
      </c>
      <c r="I6184" s="361">
        <v>1</v>
      </c>
      <c r="J6184" s="362" t="s">
        <v>286</v>
      </c>
      <c r="K6184" s="363"/>
      <c r="L6184" s="129"/>
      <c r="M6184" s="129"/>
      <c r="N6184" s="129"/>
      <c r="O6184" s="129"/>
      <c r="P6184" s="372"/>
      <c r="Q6184" s="372"/>
      <c r="R6184" s="129"/>
      <c r="S6184" s="129"/>
      <c r="T6184" s="129"/>
      <c r="U6184" s="363"/>
      <c r="W6184" s="129" t="s">
        <v>4876</v>
      </c>
      <c r="X6184" s="337" t="b">
        <f t="shared" si="135"/>
        <v>0</v>
      </c>
    </row>
    <row r="6185" spans="1:24" s="337" customFormat="1" ht="12" customHeight="1" outlineLevel="1">
      <c r="A6185" s="335"/>
      <c r="B6185" s="118" t="s">
        <v>12</v>
      </c>
      <c r="C6185" s="334" t="s">
        <v>15185</v>
      </c>
      <c r="D6185" s="124" t="s">
        <v>15140</v>
      </c>
      <c r="E6185" s="125"/>
      <c r="F6185" s="118" t="s">
        <v>1086</v>
      </c>
      <c r="G6185" s="126" t="s">
        <v>15068</v>
      </c>
      <c r="H6185" s="255">
        <v>6</v>
      </c>
      <c r="I6185" s="361">
        <v>1</v>
      </c>
      <c r="J6185" s="362" t="s">
        <v>286</v>
      </c>
      <c r="K6185" s="363"/>
      <c r="L6185" s="129"/>
      <c r="M6185" s="129"/>
      <c r="N6185" s="129"/>
      <c r="O6185" s="129"/>
      <c r="P6185" s="372"/>
      <c r="Q6185" s="372"/>
      <c r="R6185" s="129"/>
      <c r="S6185" s="129"/>
      <c r="T6185" s="129"/>
      <c r="U6185" s="363"/>
      <c r="W6185" s="129" t="s">
        <v>286</v>
      </c>
      <c r="X6185" s="337" t="b">
        <f t="shared" si="135"/>
        <v>1</v>
      </c>
    </row>
    <row r="6186" spans="1:24" s="337" customFormat="1" ht="12" customHeight="1" outlineLevel="1">
      <c r="A6186" s="335"/>
      <c r="B6186" s="118" t="s">
        <v>12</v>
      </c>
      <c r="C6186" s="334" t="s">
        <v>15186</v>
      </c>
      <c r="D6186" s="124" t="s">
        <v>15142</v>
      </c>
      <c r="E6186" s="125"/>
      <c r="F6186" s="118" t="s">
        <v>1086</v>
      </c>
      <c r="G6186" s="126" t="s">
        <v>15068</v>
      </c>
      <c r="H6186" s="255">
        <v>6</v>
      </c>
      <c r="I6186" s="361">
        <v>1</v>
      </c>
      <c r="J6186" s="362" t="s">
        <v>286</v>
      </c>
      <c r="K6186" s="363"/>
      <c r="L6186" s="129"/>
      <c r="M6186" s="129"/>
      <c r="N6186" s="129"/>
      <c r="O6186" s="129"/>
      <c r="P6186" s="372"/>
      <c r="Q6186" s="372"/>
      <c r="R6186" s="129"/>
      <c r="S6186" s="129"/>
      <c r="T6186" s="129"/>
      <c r="U6186" s="363"/>
      <c r="W6186" s="129" t="s">
        <v>286</v>
      </c>
      <c r="X6186" s="337" t="b">
        <f t="shared" si="135"/>
        <v>1</v>
      </c>
    </row>
    <row r="6187" spans="1:24" s="337" customFormat="1" ht="12" customHeight="1" outlineLevel="1">
      <c r="A6187" s="335"/>
      <c r="B6187" s="118" t="s">
        <v>12</v>
      </c>
      <c r="C6187" s="334" t="s">
        <v>15187</v>
      </c>
      <c r="D6187" s="124" t="s">
        <v>15144</v>
      </c>
      <c r="E6187" s="125"/>
      <c r="F6187" s="118" t="s">
        <v>1086</v>
      </c>
      <c r="G6187" s="126" t="s">
        <v>15068</v>
      </c>
      <c r="H6187" s="255">
        <v>6</v>
      </c>
      <c r="I6187" s="361">
        <v>1</v>
      </c>
      <c r="J6187" s="362" t="s">
        <v>286</v>
      </c>
      <c r="K6187" s="363"/>
      <c r="L6187" s="129"/>
      <c r="M6187" s="129"/>
      <c r="N6187" s="129"/>
      <c r="O6187" s="129"/>
      <c r="P6187" s="372"/>
      <c r="Q6187" s="372"/>
      <c r="R6187" s="129"/>
      <c r="S6187" s="129"/>
      <c r="T6187" s="129"/>
      <c r="U6187" s="363"/>
      <c r="W6187" s="129" t="s">
        <v>286</v>
      </c>
      <c r="X6187" s="337" t="b">
        <f t="shared" si="135"/>
        <v>1</v>
      </c>
    </row>
    <row r="6188" spans="1:24" s="337" customFormat="1" ht="12" customHeight="1" outlineLevel="1">
      <c r="A6188" s="335"/>
      <c r="B6188" s="118" t="s">
        <v>12</v>
      </c>
      <c r="C6188" s="334" t="s">
        <v>15188</v>
      </c>
      <c r="D6188" s="124" t="s">
        <v>15146</v>
      </c>
      <c r="E6188" s="125"/>
      <c r="F6188" s="118" t="s">
        <v>1086</v>
      </c>
      <c r="G6188" s="126" t="s">
        <v>15068</v>
      </c>
      <c r="H6188" s="255">
        <v>6</v>
      </c>
      <c r="I6188" s="361">
        <v>1</v>
      </c>
      <c r="J6188" s="362" t="s">
        <v>286</v>
      </c>
      <c r="K6188" s="363"/>
      <c r="L6188" s="129"/>
      <c r="M6188" s="129"/>
      <c r="N6188" s="129"/>
      <c r="O6188" s="129"/>
      <c r="P6188" s="372"/>
      <c r="Q6188" s="372"/>
      <c r="R6188" s="129"/>
      <c r="S6188" s="129"/>
      <c r="T6188" s="129"/>
      <c r="U6188" s="363"/>
      <c r="W6188" s="129" t="s">
        <v>286</v>
      </c>
      <c r="X6188" s="337" t="b">
        <f t="shared" si="135"/>
        <v>1</v>
      </c>
    </row>
    <row r="6189" spans="1:24" s="337" customFormat="1" ht="12" customHeight="1" outlineLevel="1">
      <c r="A6189" s="335"/>
      <c r="B6189" s="118" t="s">
        <v>12</v>
      </c>
      <c r="C6189" s="334" t="s">
        <v>15189</v>
      </c>
      <c r="D6189" s="124" t="s">
        <v>15148</v>
      </c>
      <c r="E6189" s="125"/>
      <c r="F6189" s="118" t="s">
        <v>1086</v>
      </c>
      <c r="G6189" s="126" t="s">
        <v>15068</v>
      </c>
      <c r="H6189" s="255">
        <v>6</v>
      </c>
      <c r="I6189" s="361">
        <v>1</v>
      </c>
      <c r="J6189" s="362" t="s">
        <v>286</v>
      </c>
      <c r="K6189" s="363"/>
      <c r="L6189" s="129"/>
      <c r="M6189" s="129"/>
      <c r="N6189" s="129"/>
      <c r="O6189" s="129"/>
      <c r="P6189" s="372"/>
      <c r="Q6189" s="372"/>
      <c r="R6189" s="129"/>
      <c r="S6189" s="129"/>
      <c r="T6189" s="129"/>
      <c r="U6189" s="363"/>
      <c r="W6189" s="129" t="s">
        <v>286</v>
      </c>
      <c r="X6189" s="337" t="b">
        <f t="shared" si="135"/>
        <v>1</v>
      </c>
    </row>
    <row r="6190" spans="1:24" s="337" customFormat="1" ht="12" customHeight="1" outlineLevel="1">
      <c r="A6190" s="335"/>
      <c r="B6190" s="118" t="s">
        <v>12</v>
      </c>
      <c r="C6190" s="334" t="s">
        <v>15190</v>
      </c>
      <c r="D6190" s="124" t="s">
        <v>15150</v>
      </c>
      <c r="E6190" s="125"/>
      <c r="F6190" s="118" t="s">
        <v>1086</v>
      </c>
      <c r="G6190" s="126" t="s">
        <v>15068</v>
      </c>
      <c r="H6190" s="255">
        <v>6</v>
      </c>
      <c r="I6190" s="361">
        <v>1</v>
      </c>
      <c r="J6190" s="362" t="s">
        <v>286</v>
      </c>
      <c r="K6190" s="363"/>
      <c r="L6190" s="129"/>
      <c r="M6190" s="129"/>
      <c r="N6190" s="129"/>
      <c r="O6190" s="129"/>
      <c r="P6190" s="372"/>
      <c r="Q6190" s="372"/>
      <c r="R6190" s="129"/>
      <c r="S6190" s="129"/>
      <c r="T6190" s="129"/>
      <c r="U6190" s="363"/>
      <c r="W6190" s="129" t="s">
        <v>286</v>
      </c>
      <c r="X6190" s="337" t="b">
        <f t="shared" si="135"/>
        <v>1</v>
      </c>
    </row>
    <row r="6191" spans="1:24" s="337" customFormat="1" ht="12" customHeight="1" outlineLevel="1">
      <c r="A6191" s="335"/>
      <c r="B6191" s="118" t="s">
        <v>12</v>
      </c>
      <c r="C6191" s="334" t="s">
        <v>15191</v>
      </c>
      <c r="D6191" s="124" t="s">
        <v>15152</v>
      </c>
      <c r="E6191" s="125"/>
      <c r="F6191" s="118" t="s">
        <v>1086</v>
      </c>
      <c r="G6191" s="126" t="s">
        <v>15068</v>
      </c>
      <c r="H6191" s="255">
        <v>6</v>
      </c>
      <c r="I6191" s="361">
        <v>1</v>
      </c>
      <c r="J6191" s="362" t="s">
        <v>286</v>
      </c>
      <c r="K6191" s="363"/>
      <c r="L6191" s="129"/>
      <c r="M6191" s="129"/>
      <c r="N6191" s="129"/>
      <c r="O6191" s="129"/>
      <c r="P6191" s="372"/>
      <c r="Q6191" s="372"/>
      <c r="R6191" s="129"/>
      <c r="S6191" s="129"/>
      <c r="T6191" s="129"/>
      <c r="U6191" s="363"/>
      <c r="W6191" s="129" t="s">
        <v>286</v>
      </c>
      <c r="X6191" s="337" t="b">
        <f t="shared" si="135"/>
        <v>1</v>
      </c>
    </row>
    <row r="6192" spans="1:24" s="337" customFormat="1" ht="12" customHeight="1" outlineLevel="1">
      <c r="A6192" s="335"/>
      <c r="B6192" s="118" t="s">
        <v>12</v>
      </c>
      <c r="C6192" s="334" t="s">
        <v>15192</v>
      </c>
      <c r="D6192" s="124" t="s">
        <v>15154</v>
      </c>
      <c r="E6192" s="125"/>
      <c r="F6192" s="118" t="s">
        <v>1086</v>
      </c>
      <c r="G6192" s="126" t="s">
        <v>15068</v>
      </c>
      <c r="H6192" s="255">
        <v>6</v>
      </c>
      <c r="I6192" s="361">
        <v>1</v>
      </c>
      <c r="J6192" s="362" t="s">
        <v>286</v>
      </c>
      <c r="K6192" s="363"/>
      <c r="L6192" s="129"/>
      <c r="M6192" s="129"/>
      <c r="N6192" s="129"/>
      <c r="O6192" s="129"/>
      <c r="P6192" s="372"/>
      <c r="Q6192" s="372"/>
      <c r="R6192" s="129"/>
      <c r="S6192" s="129"/>
      <c r="T6192" s="129"/>
      <c r="U6192" s="363"/>
      <c r="W6192" s="129" t="s">
        <v>286</v>
      </c>
      <c r="X6192" s="337" t="b">
        <f t="shared" si="135"/>
        <v>1</v>
      </c>
    </row>
    <row r="6193" spans="1:24" s="337" customFormat="1" ht="12" customHeight="1" outlineLevel="1">
      <c r="A6193" s="335"/>
      <c r="B6193" s="118" t="s">
        <v>12</v>
      </c>
      <c r="C6193" s="334" t="s">
        <v>15193</v>
      </c>
      <c r="D6193" s="124" t="s">
        <v>15156</v>
      </c>
      <c r="E6193" s="125"/>
      <c r="F6193" s="118" t="s">
        <v>1086</v>
      </c>
      <c r="G6193" s="126" t="s">
        <v>15068</v>
      </c>
      <c r="H6193" s="255">
        <v>6</v>
      </c>
      <c r="I6193" s="361">
        <v>1</v>
      </c>
      <c r="J6193" s="362" t="s">
        <v>286</v>
      </c>
      <c r="K6193" s="363"/>
      <c r="L6193" s="129"/>
      <c r="M6193" s="129"/>
      <c r="N6193" s="129"/>
      <c r="O6193" s="129"/>
      <c r="P6193" s="372"/>
      <c r="Q6193" s="372"/>
      <c r="R6193" s="129"/>
      <c r="S6193" s="129"/>
      <c r="T6193" s="129"/>
      <c r="U6193" s="363"/>
      <c r="W6193" s="129" t="s">
        <v>286</v>
      </c>
      <c r="X6193" s="337" t="b">
        <f t="shared" si="135"/>
        <v>1</v>
      </c>
    </row>
    <row r="6194" spans="1:24" s="337" customFormat="1" ht="12" customHeight="1" outlineLevel="1">
      <c r="A6194" s="335"/>
      <c r="B6194" s="118" t="s">
        <v>12</v>
      </c>
      <c r="C6194" s="334" t="s">
        <v>15194</v>
      </c>
      <c r="D6194" s="124" t="s">
        <v>15158</v>
      </c>
      <c r="E6194" s="125"/>
      <c r="F6194" s="118" t="s">
        <v>1086</v>
      </c>
      <c r="G6194" s="126" t="s">
        <v>15068</v>
      </c>
      <c r="H6194" s="255">
        <v>6</v>
      </c>
      <c r="I6194" s="361">
        <v>1</v>
      </c>
      <c r="J6194" s="362" t="s">
        <v>286</v>
      </c>
      <c r="K6194" s="363"/>
      <c r="L6194" s="129"/>
      <c r="M6194" s="129"/>
      <c r="N6194" s="129"/>
      <c r="O6194" s="129"/>
      <c r="P6194" s="372"/>
      <c r="Q6194" s="372"/>
      <c r="R6194" s="129"/>
      <c r="S6194" s="129"/>
      <c r="T6194" s="129"/>
      <c r="U6194" s="363"/>
      <c r="W6194" s="129" t="s">
        <v>286</v>
      </c>
      <c r="X6194" s="337" t="b">
        <f t="shared" si="135"/>
        <v>1</v>
      </c>
    </row>
    <row r="6195" spans="1:24" s="337" customFormat="1" ht="12" customHeight="1" outlineLevel="1">
      <c r="A6195" s="335"/>
      <c r="B6195" s="118" t="s">
        <v>12</v>
      </c>
      <c r="C6195" s="334" t="s">
        <v>15195</v>
      </c>
      <c r="D6195" s="124" t="s">
        <v>15160</v>
      </c>
      <c r="E6195" s="125"/>
      <c r="F6195" s="118" t="s">
        <v>1086</v>
      </c>
      <c r="G6195" s="126" t="s">
        <v>15068</v>
      </c>
      <c r="H6195" s="255">
        <v>6</v>
      </c>
      <c r="I6195" s="361">
        <v>1</v>
      </c>
      <c r="J6195" s="362" t="s">
        <v>286</v>
      </c>
      <c r="K6195" s="363"/>
      <c r="L6195" s="129"/>
      <c r="M6195" s="129"/>
      <c r="N6195" s="129"/>
      <c r="O6195" s="129"/>
      <c r="P6195" s="372"/>
      <c r="Q6195" s="372"/>
      <c r="R6195" s="129"/>
      <c r="S6195" s="129"/>
      <c r="T6195" s="129"/>
      <c r="U6195" s="363"/>
      <c r="W6195" s="129" t="s">
        <v>286</v>
      </c>
      <c r="X6195" s="337" t="b">
        <f t="shared" si="135"/>
        <v>1</v>
      </c>
    </row>
    <row r="6196" spans="1:24" s="337" customFormat="1" ht="12" customHeight="1" outlineLevel="1">
      <c r="A6196" s="335"/>
      <c r="B6196" s="118" t="s">
        <v>12</v>
      </c>
      <c r="C6196" s="334" t="s">
        <v>15196</v>
      </c>
      <c r="D6196" s="124" t="s">
        <v>15162</v>
      </c>
      <c r="E6196" s="125"/>
      <c r="F6196" s="118" t="s">
        <v>1086</v>
      </c>
      <c r="G6196" s="126" t="s">
        <v>15068</v>
      </c>
      <c r="H6196" s="255">
        <v>6</v>
      </c>
      <c r="I6196" s="361">
        <v>1</v>
      </c>
      <c r="J6196" s="362" t="s">
        <v>286</v>
      </c>
      <c r="K6196" s="363"/>
      <c r="L6196" s="129"/>
      <c r="M6196" s="129"/>
      <c r="N6196" s="129"/>
      <c r="O6196" s="129"/>
      <c r="P6196" s="372"/>
      <c r="Q6196" s="372"/>
      <c r="R6196" s="129"/>
      <c r="S6196" s="129"/>
      <c r="T6196" s="129"/>
      <c r="U6196" s="363"/>
      <c r="W6196" s="129" t="s">
        <v>286</v>
      </c>
      <c r="X6196" s="337" t="b">
        <f t="shared" si="135"/>
        <v>1</v>
      </c>
    </row>
    <row r="6197" spans="1:24" s="337" customFormat="1" ht="12" customHeight="1" outlineLevel="1">
      <c r="A6197" s="335"/>
      <c r="B6197" s="118" t="s">
        <v>12</v>
      </c>
      <c r="C6197" s="334" t="s">
        <v>15197</v>
      </c>
      <c r="D6197" s="124" t="s">
        <v>15164</v>
      </c>
      <c r="E6197" s="125"/>
      <c r="F6197" s="118" t="s">
        <v>1086</v>
      </c>
      <c r="G6197" s="126" t="s">
        <v>15068</v>
      </c>
      <c r="H6197" s="255">
        <v>6</v>
      </c>
      <c r="I6197" s="361">
        <v>1</v>
      </c>
      <c r="J6197" s="362" t="s">
        <v>286</v>
      </c>
      <c r="K6197" s="363"/>
      <c r="L6197" s="129"/>
      <c r="M6197" s="129"/>
      <c r="N6197" s="129"/>
      <c r="O6197" s="129"/>
      <c r="P6197" s="372"/>
      <c r="Q6197" s="372"/>
      <c r="R6197" s="129"/>
      <c r="S6197" s="129"/>
      <c r="T6197" s="129"/>
      <c r="U6197" s="363"/>
      <c r="W6197" s="129" t="s">
        <v>286</v>
      </c>
      <c r="X6197" s="337" t="b">
        <f t="shared" si="135"/>
        <v>1</v>
      </c>
    </row>
    <row r="6198" spans="1:24" s="337" customFormat="1" ht="12" customHeight="1" outlineLevel="1">
      <c r="A6198" s="335"/>
      <c r="B6198" s="118" t="s">
        <v>12</v>
      </c>
      <c r="C6198" s="334" t="s">
        <v>15198</v>
      </c>
      <c r="D6198" s="124" t="s">
        <v>15166</v>
      </c>
      <c r="E6198" s="125"/>
      <c r="F6198" s="118" t="s">
        <v>1086</v>
      </c>
      <c r="G6198" s="126" t="s">
        <v>15068</v>
      </c>
      <c r="H6198" s="255">
        <v>6</v>
      </c>
      <c r="I6198" s="361">
        <v>1</v>
      </c>
      <c r="J6198" s="362" t="s">
        <v>286</v>
      </c>
      <c r="K6198" s="363"/>
      <c r="L6198" s="129"/>
      <c r="M6198" s="129"/>
      <c r="N6198" s="129"/>
      <c r="O6198" s="129"/>
      <c r="P6198" s="372"/>
      <c r="Q6198" s="372"/>
      <c r="R6198" s="129"/>
      <c r="S6198" s="129"/>
      <c r="T6198" s="129"/>
      <c r="U6198" s="363"/>
      <c r="W6198" s="129" t="s">
        <v>286</v>
      </c>
      <c r="X6198" s="337" t="b">
        <f t="shared" si="135"/>
        <v>1</v>
      </c>
    </row>
    <row r="6199" spans="1:24" s="337" customFormat="1" ht="12" customHeight="1" outlineLevel="1">
      <c r="A6199" s="335"/>
      <c r="B6199" s="118" t="s">
        <v>12</v>
      </c>
      <c r="C6199" s="334" t="s">
        <v>15199</v>
      </c>
      <c r="D6199" s="124" t="s">
        <v>15168</v>
      </c>
      <c r="E6199" s="125"/>
      <c r="F6199" s="118" t="s">
        <v>1086</v>
      </c>
      <c r="G6199" s="126" t="s">
        <v>15068</v>
      </c>
      <c r="H6199" s="255">
        <v>6</v>
      </c>
      <c r="I6199" s="361">
        <v>1</v>
      </c>
      <c r="J6199" s="362" t="s">
        <v>286</v>
      </c>
      <c r="K6199" s="363"/>
      <c r="L6199" s="129"/>
      <c r="M6199" s="129"/>
      <c r="N6199" s="129"/>
      <c r="O6199" s="129"/>
      <c r="P6199" s="372"/>
      <c r="Q6199" s="372"/>
      <c r="R6199" s="129"/>
      <c r="S6199" s="129"/>
      <c r="T6199" s="129"/>
      <c r="U6199" s="363"/>
      <c r="W6199" s="129" t="s">
        <v>286</v>
      </c>
      <c r="X6199" s="337" t="b">
        <f t="shared" si="135"/>
        <v>1</v>
      </c>
    </row>
    <row r="6200" spans="1:24" s="337" customFormat="1" ht="12" customHeight="1" outlineLevel="1">
      <c r="A6200" s="335"/>
      <c r="B6200" s="118" t="s">
        <v>12</v>
      </c>
      <c r="C6200" s="334" t="s">
        <v>15200</v>
      </c>
      <c r="D6200" s="124" t="s">
        <v>15170</v>
      </c>
      <c r="E6200" s="125"/>
      <c r="F6200" s="118" t="s">
        <v>1086</v>
      </c>
      <c r="G6200" s="126" t="s">
        <v>15068</v>
      </c>
      <c r="H6200" s="255">
        <v>6</v>
      </c>
      <c r="I6200" s="361">
        <v>1</v>
      </c>
      <c r="J6200" s="362" t="s">
        <v>286</v>
      </c>
      <c r="K6200" s="363"/>
      <c r="L6200" s="129"/>
      <c r="M6200" s="129"/>
      <c r="N6200" s="129"/>
      <c r="O6200" s="129"/>
      <c r="P6200" s="372"/>
      <c r="Q6200" s="372"/>
      <c r="R6200" s="129"/>
      <c r="S6200" s="129"/>
      <c r="T6200" s="129"/>
      <c r="U6200" s="363"/>
      <c r="W6200" s="129" t="s">
        <v>286</v>
      </c>
      <c r="X6200" s="337" t="b">
        <f t="shared" si="135"/>
        <v>1</v>
      </c>
    </row>
    <row r="6201" spans="1:24" s="337" customFormat="1" ht="12" customHeight="1" outlineLevel="1">
      <c r="A6201" s="335"/>
      <c r="B6201" s="118" t="s">
        <v>12</v>
      </c>
      <c r="C6201" s="334" t="s">
        <v>15201</v>
      </c>
      <c r="D6201" s="124" t="s">
        <v>15172</v>
      </c>
      <c r="E6201" s="125"/>
      <c r="F6201" s="118" t="s">
        <v>1086</v>
      </c>
      <c r="G6201" s="126" t="s">
        <v>15068</v>
      </c>
      <c r="H6201" s="255">
        <v>6</v>
      </c>
      <c r="I6201" s="361">
        <v>1</v>
      </c>
      <c r="J6201" s="362" t="s">
        <v>286</v>
      </c>
      <c r="K6201" s="363"/>
      <c r="L6201" s="129"/>
      <c r="M6201" s="129"/>
      <c r="N6201" s="129"/>
      <c r="O6201" s="129"/>
      <c r="P6201" s="372"/>
      <c r="Q6201" s="372"/>
      <c r="R6201" s="129"/>
      <c r="S6201" s="129"/>
      <c r="T6201" s="129"/>
      <c r="U6201" s="363"/>
      <c r="W6201" s="129" t="s">
        <v>286</v>
      </c>
      <c r="X6201" s="337" t="b">
        <f t="shared" si="135"/>
        <v>1</v>
      </c>
    </row>
    <row r="6202" spans="1:24" s="337" customFormat="1" ht="12" customHeight="1" outlineLevel="1">
      <c r="A6202" s="335"/>
      <c r="B6202" s="118" t="s">
        <v>12</v>
      </c>
      <c r="C6202" s="334" t="s">
        <v>15202</v>
      </c>
      <c r="D6202" s="124" t="s">
        <v>15174</v>
      </c>
      <c r="E6202" s="125"/>
      <c r="F6202" s="118" t="s">
        <v>1086</v>
      </c>
      <c r="G6202" s="126" t="s">
        <v>15068</v>
      </c>
      <c r="H6202" s="255">
        <v>6</v>
      </c>
      <c r="I6202" s="361">
        <v>1</v>
      </c>
      <c r="J6202" s="362" t="s">
        <v>286</v>
      </c>
      <c r="K6202" s="363"/>
      <c r="L6202" s="129"/>
      <c r="M6202" s="129"/>
      <c r="N6202" s="129"/>
      <c r="O6202" s="129"/>
      <c r="P6202" s="372"/>
      <c r="Q6202" s="372"/>
      <c r="R6202" s="129"/>
      <c r="S6202" s="129"/>
      <c r="T6202" s="129"/>
      <c r="U6202" s="363"/>
      <c r="W6202" s="129" t="s">
        <v>286</v>
      </c>
      <c r="X6202" s="337" t="b">
        <f t="shared" si="135"/>
        <v>1</v>
      </c>
    </row>
    <row r="6203" spans="1:24" s="337" customFormat="1" ht="12" customHeight="1" outlineLevel="1">
      <c r="A6203" s="335"/>
      <c r="B6203" s="118" t="s">
        <v>12</v>
      </c>
      <c r="C6203" s="334" t="s">
        <v>15203</v>
      </c>
      <c r="D6203" s="124" t="s">
        <v>15176</v>
      </c>
      <c r="E6203" s="125"/>
      <c r="F6203" s="118" t="s">
        <v>1086</v>
      </c>
      <c r="G6203" s="126" t="s">
        <v>15068</v>
      </c>
      <c r="H6203" s="255">
        <v>6</v>
      </c>
      <c r="I6203" s="361">
        <v>1</v>
      </c>
      <c r="J6203" s="362" t="s">
        <v>286</v>
      </c>
      <c r="K6203" s="363"/>
      <c r="L6203" s="129"/>
      <c r="M6203" s="129"/>
      <c r="N6203" s="129"/>
      <c r="O6203" s="129"/>
      <c r="P6203" s="372"/>
      <c r="Q6203" s="372"/>
      <c r="R6203" s="129"/>
      <c r="S6203" s="129"/>
      <c r="T6203" s="129"/>
      <c r="U6203" s="363"/>
      <c r="W6203" s="129" t="s">
        <v>286</v>
      </c>
      <c r="X6203" s="337" t="b">
        <f t="shared" si="135"/>
        <v>1</v>
      </c>
    </row>
    <row r="6204" spans="1:24" s="337" customFormat="1" ht="12" customHeight="1" outlineLevel="1">
      <c r="A6204" s="335"/>
      <c r="B6204" s="118" t="s">
        <v>12</v>
      </c>
      <c r="C6204" s="334" t="s">
        <v>15204</v>
      </c>
      <c r="D6204" s="124" t="s">
        <v>15178</v>
      </c>
      <c r="E6204" s="125"/>
      <c r="F6204" s="118" t="s">
        <v>1086</v>
      </c>
      <c r="G6204" s="126" t="s">
        <v>15068</v>
      </c>
      <c r="H6204" s="255">
        <v>6</v>
      </c>
      <c r="I6204" s="361">
        <v>1</v>
      </c>
      <c r="J6204" s="362" t="s">
        <v>286</v>
      </c>
      <c r="K6204" s="363"/>
      <c r="L6204" s="129"/>
      <c r="M6204" s="129"/>
      <c r="N6204" s="129"/>
      <c r="O6204" s="129"/>
      <c r="P6204" s="372"/>
      <c r="Q6204" s="372"/>
      <c r="R6204" s="129"/>
      <c r="S6204" s="129"/>
      <c r="T6204" s="129"/>
      <c r="U6204" s="363"/>
      <c r="W6204" s="129" t="s">
        <v>286</v>
      </c>
      <c r="X6204" s="337" t="b">
        <f t="shared" si="135"/>
        <v>1</v>
      </c>
    </row>
    <row r="6205" spans="1:24" s="337" customFormat="1" ht="12" customHeight="1" outlineLevel="1">
      <c r="A6205" s="335"/>
      <c r="B6205" s="118" t="s">
        <v>12</v>
      </c>
      <c r="C6205" s="334" t="s">
        <v>15205</v>
      </c>
      <c r="D6205" s="124" t="s">
        <v>15180</v>
      </c>
      <c r="E6205" s="125"/>
      <c r="F6205" s="118" t="s">
        <v>1086</v>
      </c>
      <c r="G6205" s="126" t="s">
        <v>15068</v>
      </c>
      <c r="H6205" s="255">
        <v>6</v>
      </c>
      <c r="I6205" s="361">
        <v>1</v>
      </c>
      <c r="J6205" s="362" t="s">
        <v>286</v>
      </c>
      <c r="K6205" s="363"/>
      <c r="L6205" s="129"/>
      <c r="M6205" s="129"/>
      <c r="N6205" s="129"/>
      <c r="O6205" s="129"/>
      <c r="P6205" s="372"/>
      <c r="Q6205" s="372"/>
      <c r="R6205" s="129"/>
      <c r="S6205" s="129"/>
      <c r="T6205" s="129"/>
      <c r="U6205" s="363"/>
      <c r="W6205" s="129" t="s">
        <v>286</v>
      </c>
      <c r="X6205" s="337" t="b">
        <f t="shared" si="135"/>
        <v>1</v>
      </c>
    </row>
    <row r="6206" spans="1:24" s="337" customFormat="1" ht="12" customHeight="1" outlineLevel="1">
      <c r="A6206" s="335"/>
      <c r="B6206" s="118" t="s">
        <v>12</v>
      </c>
      <c r="C6206" s="334" t="s">
        <v>15206</v>
      </c>
      <c r="D6206" s="124" t="s">
        <v>15182</v>
      </c>
      <c r="E6206" s="125"/>
      <c r="F6206" s="118" t="s">
        <v>1086</v>
      </c>
      <c r="G6206" s="126" t="s">
        <v>15068</v>
      </c>
      <c r="H6206" s="255">
        <v>6</v>
      </c>
      <c r="I6206" s="361">
        <v>1</v>
      </c>
      <c r="J6206" s="362" t="s">
        <v>286</v>
      </c>
      <c r="K6206" s="363"/>
      <c r="L6206" s="129"/>
      <c r="M6206" s="129"/>
      <c r="N6206" s="129"/>
      <c r="O6206" s="129"/>
      <c r="P6206" s="372"/>
      <c r="Q6206" s="372"/>
      <c r="R6206" s="129"/>
      <c r="S6206" s="129"/>
      <c r="T6206" s="129"/>
      <c r="U6206" s="363"/>
      <c r="W6206" s="129" t="s">
        <v>286</v>
      </c>
      <c r="X6206" s="337" t="b">
        <f t="shared" si="135"/>
        <v>1</v>
      </c>
    </row>
    <row r="6207" spans="1:24" s="337" customFormat="1" ht="12" customHeight="1" outlineLevel="1">
      <c r="A6207" s="335"/>
      <c r="B6207" s="118" t="s">
        <v>12</v>
      </c>
      <c r="C6207" s="334" t="s">
        <v>15207</v>
      </c>
      <c r="D6207" s="124" t="s">
        <v>15184</v>
      </c>
      <c r="E6207" s="125"/>
      <c r="F6207" s="118" t="s">
        <v>1086</v>
      </c>
      <c r="G6207" s="126" t="s">
        <v>15068</v>
      </c>
      <c r="H6207" s="255">
        <v>6</v>
      </c>
      <c r="I6207" s="361">
        <v>1</v>
      </c>
      <c r="J6207" s="362" t="s">
        <v>286</v>
      </c>
      <c r="K6207" s="363"/>
      <c r="L6207" s="129"/>
      <c r="M6207" s="129"/>
      <c r="N6207" s="129"/>
      <c r="O6207" s="129"/>
      <c r="P6207" s="372"/>
      <c r="Q6207" s="372"/>
      <c r="R6207" s="129"/>
      <c r="S6207" s="129"/>
      <c r="T6207" s="129"/>
      <c r="U6207" s="363"/>
      <c r="W6207" s="129" t="s">
        <v>286</v>
      </c>
      <c r="X6207" s="337" t="b">
        <f t="shared" si="135"/>
        <v>1</v>
      </c>
    </row>
    <row r="6208" spans="1:24" s="337" customFormat="1" ht="12" customHeight="1" outlineLevel="1">
      <c r="A6208" s="335"/>
      <c r="B6208" s="118" t="s">
        <v>12</v>
      </c>
      <c r="C6208" s="334" t="s">
        <v>15208</v>
      </c>
      <c r="D6208" s="124" t="s">
        <v>6959</v>
      </c>
      <c r="E6208" s="125"/>
      <c r="F6208" s="118" t="s">
        <v>1086</v>
      </c>
      <c r="G6208" s="126" t="s">
        <v>15068</v>
      </c>
      <c r="H6208" s="255">
        <v>6</v>
      </c>
      <c r="I6208" s="361">
        <v>1</v>
      </c>
      <c r="J6208" s="362" t="s">
        <v>286</v>
      </c>
      <c r="K6208" s="363"/>
      <c r="L6208" s="129"/>
      <c r="M6208" s="129"/>
      <c r="N6208" s="129"/>
      <c r="O6208" s="129"/>
      <c r="P6208" s="372"/>
      <c r="Q6208" s="372"/>
      <c r="R6208" s="129"/>
      <c r="S6208" s="129"/>
      <c r="T6208" s="129"/>
      <c r="U6208" s="363"/>
      <c r="W6208" s="129" t="s">
        <v>286</v>
      </c>
      <c r="X6208" s="337" t="b">
        <f t="shared" si="135"/>
        <v>1</v>
      </c>
    </row>
    <row r="6209" spans="1:24" s="337" customFormat="1" ht="12" customHeight="1" outlineLevel="1">
      <c r="A6209" s="335"/>
      <c r="B6209" s="118" t="s">
        <v>12</v>
      </c>
      <c r="C6209" s="334" t="s">
        <v>15209</v>
      </c>
      <c r="D6209" s="124" t="s">
        <v>6961</v>
      </c>
      <c r="E6209" s="125"/>
      <c r="F6209" s="118" t="s">
        <v>1086</v>
      </c>
      <c r="G6209" s="126" t="s">
        <v>15068</v>
      </c>
      <c r="H6209" s="255">
        <v>6</v>
      </c>
      <c r="I6209" s="361">
        <v>1</v>
      </c>
      <c r="J6209" s="362" t="s">
        <v>286</v>
      </c>
      <c r="K6209" s="363"/>
      <c r="L6209" s="129"/>
      <c r="M6209" s="129"/>
      <c r="N6209" s="129"/>
      <c r="O6209" s="129"/>
      <c r="P6209" s="372"/>
      <c r="Q6209" s="372"/>
      <c r="R6209" s="129"/>
      <c r="S6209" s="129"/>
      <c r="T6209" s="129"/>
      <c r="U6209" s="363"/>
      <c r="W6209" s="129" t="s">
        <v>286</v>
      </c>
      <c r="X6209" s="337" t="b">
        <f t="shared" si="135"/>
        <v>1</v>
      </c>
    </row>
    <row r="6210" spans="1:24" s="337" customFormat="1" ht="12" customHeight="1" outlineLevel="1">
      <c r="A6210" s="335"/>
      <c r="B6210" s="118" t="s">
        <v>12</v>
      </c>
      <c r="C6210" s="334" t="s">
        <v>15210</v>
      </c>
      <c r="D6210" s="124" t="s">
        <v>6963</v>
      </c>
      <c r="E6210" s="125"/>
      <c r="F6210" s="118" t="s">
        <v>1086</v>
      </c>
      <c r="G6210" s="126" t="s">
        <v>15068</v>
      </c>
      <c r="H6210" s="255">
        <v>6</v>
      </c>
      <c r="I6210" s="361">
        <v>1</v>
      </c>
      <c r="J6210" s="362" t="s">
        <v>286</v>
      </c>
      <c r="K6210" s="363"/>
      <c r="L6210" s="129"/>
      <c r="M6210" s="129"/>
      <c r="N6210" s="129"/>
      <c r="O6210" s="129"/>
      <c r="P6210" s="372"/>
      <c r="Q6210" s="372"/>
      <c r="R6210" s="129"/>
      <c r="S6210" s="129"/>
      <c r="T6210" s="129"/>
      <c r="U6210" s="363"/>
      <c r="W6210" s="129" t="s">
        <v>286</v>
      </c>
      <c r="X6210" s="337" t="b">
        <f t="shared" si="135"/>
        <v>1</v>
      </c>
    </row>
    <row r="6211" spans="1:24" s="337" customFormat="1" ht="12" customHeight="1" outlineLevel="1">
      <c r="A6211" s="335"/>
      <c r="B6211" s="118" t="s">
        <v>12</v>
      </c>
      <c r="C6211" s="334" t="s">
        <v>15211</v>
      </c>
      <c r="D6211" s="124" t="s">
        <v>6965</v>
      </c>
      <c r="E6211" s="125"/>
      <c r="F6211" s="118" t="s">
        <v>1086</v>
      </c>
      <c r="G6211" s="126" t="s">
        <v>15068</v>
      </c>
      <c r="H6211" s="255">
        <v>6</v>
      </c>
      <c r="I6211" s="361">
        <v>1</v>
      </c>
      <c r="J6211" s="362" t="s">
        <v>286</v>
      </c>
      <c r="K6211" s="363"/>
      <c r="L6211" s="129"/>
      <c r="M6211" s="129"/>
      <c r="N6211" s="129"/>
      <c r="O6211" s="129"/>
      <c r="P6211" s="372"/>
      <c r="Q6211" s="372"/>
      <c r="R6211" s="129"/>
      <c r="S6211" s="129"/>
      <c r="T6211" s="129"/>
      <c r="U6211" s="363"/>
      <c r="W6211" s="129" t="s">
        <v>286</v>
      </c>
      <c r="X6211" s="337" t="b">
        <f t="shared" si="135"/>
        <v>1</v>
      </c>
    </row>
    <row r="6212" spans="1:24" s="337" customFormat="1" ht="12" customHeight="1" outlineLevel="1">
      <c r="A6212" s="335"/>
      <c r="B6212" s="118" t="s">
        <v>12</v>
      </c>
      <c r="C6212" s="334" t="s">
        <v>15212</v>
      </c>
      <c r="D6212" s="124" t="s">
        <v>6967</v>
      </c>
      <c r="E6212" s="125"/>
      <c r="F6212" s="118" t="s">
        <v>1086</v>
      </c>
      <c r="G6212" s="126" t="s">
        <v>15068</v>
      </c>
      <c r="H6212" s="255">
        <v>6</v>
      </c>
      <c r="I6212" s="361">
        <v>1</v>
      </c>
      <c r="J6212" s="362" t="s">
        <v>286</v>
      </c>
      <c r="K6212" s="363"/>
      <c r="L6212" s="129"/>
      <c r="M6212" s="129"/>
      <c r="N6212" s="129"/>
      <c r="O6212" s="129"/>
      <c r="P6212" s="372"/>
      <c r="Q6212" s="372"/>
      <c r="R6212" s="129"/>
      <c r="S6212" s="129"/>
      <c r="T6212" s="129"/>
      <c r="U6212" s="363"/>
      <c r="W6212" s="129" t="s">
        <v>286</v>
      </c>
      <c r="X6212" s="337" t="b">
        <f t="shared" si="135"/>
        <v>1</v>
      </c>
    </row>
    <row r="6213" spans="1:24" s="337" customFormat="1" ht="12" customHeight="1" outlineLevel="1">
      <c r="A6213" s="335"/>
      <c r="B6213" s="118" t="s">
        <v>12</v>
      </c>
      <c r="C6213" s="334" t="s">
        <v>15213</v>
      </c>
      <c r="D6213" s="124" t="s">
        <v>6969</v>
      </c>
      <c r="E6213" s="125"/>
      <c r="F6213" s="118" t="s">
        <v>1086</v>
      </c>
      <c r="G6213" s="126" t="s">
        <v>15068</v>
      </c>
      <c r="H6213" s="255">
        <v>6</v>
      </c>
      <c r="I6213" s="361">
        <v>1</v>
      </c>
      <c r="J6213" s="362" t="s">
        <v>286</v>
      </c>
      <c r="K6213" s="363"/>
      <c r="L6213" s="129"/>
      <c r="M6213" s="129"/>
      <c r="N6213" s="129"/>
      <c r="O6213" s="129"/>
      <c r="P6213" s="372"/>
      <c r="Q6213" s="372"/>
      <c r="R6213" s="129"/>
      <c r="S6213" s="129"/>
      <c r="T6213" s="129"/>
      <c r="U6213" s="363"/>
      <c r="W6213" s="129" t="s">
        <v>286</v>
      </c>
      <c r="X6213" s="337" t="b">
        <f t="shared" si="135"/>
        <v>1</v>
      </c>
    </row>
    <row r="6214" spans="1:24" s="337" customFormat="1" ht="12" customHeight="1" outlineLevel="1">
      <c r="A6214" s="335"/>
      <c r="B6214" s="118" t="s">
        <v>12</v>
      </c>
      <c r="C6214" s="334" t="s">
        <v>15214</v>
      </c>
      <c r="D6214" s="124" t="s">
        <v>6971</v>
      </c>
      <c r="E6214" s="125"/>
      <c r="F6214" s="118" t="s">
        <v>1086</v>
      </c>
      <c r="G6214" s="126" t="s">
        <v>15068</v>
      </c>
      <c r="H6214" s="255">
        <v>6</v>
      </c>
      <c r="I6214" s="361">
        <v>1</v>
      </c>
      <c r="J6214" s="362" t="s">
        <v>286</v>
      </c>
      <c r="K6214" s="363"/>
      <c r="L6214" s="129"/>
      <c r="M6214" s="129"/>
      <c r="N6214" s="129"/>
      <c r="O6214" s="129"/>
      <c r="P6214" s="372"/>
      <c r="Q6214" s="372"/>
      <c r="R6214" s="129"/>
      <c r="S6214" s="129"/>
      <c r="T6214" s="129"/>
      <c r="U6214" s="363"/>
      <c r="W6214" s="129" t="s">
        <v>286</v>
      </c>
      <c r="X6214" s="337" t="b">
        <f t="shared" si="135"/>
        <v>1</v>
      </c>
    </row>
    <row r="6215" spans="1:24" s="337" customFormat="1" ht="12" customHeight="1" outlineLevel="1">
      <c r="A6215" s="335"/>
      <c r="B6215" s="118" t="s">
        <v>12</v>
      </c>
      <c r="C6215" s="334" t="s">
        <v>15215</v>
      </c>
      <c r="D6215" s="124" t="s">
        <v>6973</v>
      </c>
      <c r="E6215" s="125"/>
      <c r="F6215" s="118" t="s">
        <v>1086</v>
      </c>
      <c r="G6215" s="126" t="s">
        <v>15068</v>
      </c>
      <c r="H6215" s="255">
        <v>6</v>
      </c>
      <c r="I6215" s="361">
        <v>1</v>
      </c>
      <c r="J6215" s="362" t="s">
        <v>286</v>
      </c>
      <c r="K6215" s="363"/>
      <c r="L6215" s="129"/>
      <c r="M6215" s="129"/>
      <c r="N6215" s="129"/>
      <c r="O6215" s="129"/>
      <c r="P6215" s="372"/>
      <c r="Q6215" s="372"/>
      <c r="R6215" s="129"/>
      <c r="S6215" s="129"/>
      <c r="T6215" s="129"/>
      <c r="U6215" s="363"/>
      <c r="W6215" s="129" t="s">
        <v>286</v>
      </c>
      <c r="X6215" s="337" t="b">
        <f t="shared" si="135"/>
        <v>1</v>
      </c>
    </row>
    <row r="6216" spans="1:24" s="337" customFormat="1" ht="12" customHeight="1" outlineLevel="1">
      <c r="A6216" s="335"/>
      <c r="B6216" s="118" t="s">
        <v>12</v>
      </c>
      <c r="C6216" s="334" t="s">
        <v>15216</v>
      </c>
      <c r="D6216" s="124" t="s">
        <v>15217</v>
      </c>
      <c r="E6216" s="125"/>
      <c r="F6216" s="118" t="s">
        <v>1086</v>
      </c>
      <c r="G6216" s="126" t="s">
        <v>15068</v>
      </c>
      <c r="H6216" s="255">
        <v>6</v>
      </c>
      <c r="I6216" s="361">
        <v>1</v>
      </c>
      <c r="J6216" s="362" t="s">
        <v>286</v>
      </c>
      <c r="K6216" s="363"/>
      <c r="L6216" s="129"/>
      <c r="M6216" s="129"/>
      <c r="N6216" s="129"/>
      <c r="O6216" s="129"/>
      <c r="P6216" s="372"/>
      <c r="Q6216" s="372"/>
      <c r="R6216" s="129"/>
      <c r="S6216" s="129"/>
      <c r="T6216" s="129"/>
      <c r="U6216" s="363"/>
      <c r="W6216" s="129" t="s">
        <v>286</v>
      </c>
      <c r="X6216" s="337" t="b">
        <f t="shared" si="135"/>
        <v>1</v>
      </c>
    </row>
    <row r="6217" spans="1:24" s="337" customFormat="1" ht="12" customHeight="1" outlineLevel="1">
      <c r="A6217" s="335"/>
      <c r="B6217" s="118" t="s">
        <v>12</v>
      </c>
      <c r="C6217" s="334" t="s">
        <v>15218</v>
      </c>
      <c r="D6217" s="124" t="s">
        <v>15219</v>
      </c>
      <c r="E6217" s="125"/>
      <c r="F6217" s="118" t="s">
        <v>1086</v>
      </c>
      <c r="G6217" s="126" t="s">
        <v>15068</v>
      </c>
      <c r="H6217" s="255">
        <v>6</v>
      </c>
      <c r="I6217" s="361">
        <v>1</v>
      </c>
      <c r="J6217" s="362" t="s">
        <v>286</v>
      </c>
      <c r="K6217" s="363"/>
      <c r="L6217" s="129"/>
      <c r="M6217" s="129"/>
      <c r="N6217" s="129"/>
      <c r="O6217" s="129"/>
      <c r="P6217" s="372"/>
      <c r="Q6217" s="372"/>
      <c r="R6217" s="129"/>
      <c r="S6217" s="129"/>
      <c r="T6217" s="129"/>
      <c r="U6217" s="363"/>
      <c r="W6217" s="129" t="s">
        <v>286</v>
      </c>
      <c r="X6217" s="337" t="b">
        <f t="shared" si="135"/>
        <v>1</v>
      </c>
    </row>
    <row r="6218" spans="1:24" s="337" customFormat="1" ht="12" customHeight="1" outlineLevel="1">
      <c r="A6218" s="335"/>
      <c r="B6218" s="118" t="s">
        <v>12</v>
      </c>
      <c r="C6218" s="334" t="s">
        <v>15220</v>
      </c>
      <c r="D6218" s="124" t="s">
        <v>6979</v>
      </c>
      <c r="E6218" s="125"/>
      <c r="F6218" s="118" t="s">
        <v>1086</v>
      </c>
      <c r="G6218" s="126" t="s">
        <v>15068</v>
      </c>
      <c r="H6218" s="255">
        <v>6</v>
      </c>
      <c r="I6218" s="361">
        <v>1</v>
      </c>
      <c r="J6218" s="362" t="s">
        <v>286</v>
      </c>
      <c r="K6218" s="363"/>
      <c r="L6218" s="129"/>
      <c r="M6218" s="129"/>
      <c r="N6218" s="129"/>
      <c r="O6218" s="129"/>
      <c r="P6218" s="372"/>
      <c r="Q6218" s="372"/>
      <c r="R6218" s="129"/>
      <c r="S6218" s="129"/>
      <c r="T6218" s="129"/>
      <c r="U6218" s="363"/>
      <c r="W6218" s="129" t="s">
        <v>286</v>
      </c>
      <c r="X6218" s="337" t="b">
        <f t="shared" si="135"/>
        <v>1</v>
      </c>
    </row>
    <row r="6219" spans="1:24" s="337" customFormat="1" ht="12" customHeight="1" outlineLevel="1">
      <c r="A6219" s="335"/>
      <c r="B6219" s="118" t="s">
        <v>12</v>
      </c>
      <c r="C6219" s="334" t="s">
        <v>15221</v>
      </c>
      <c r="D6219" s="124" t="s">
        <v>6981</v>
      </c>
      <c r="E6219" s="125"/>
      <c r="F6219" s="118" t="s">
        <v>1086</v>
      </c>
      <c r="G6219" s="126" t="s">
        <v>15068</v>
      </c>
      <c r="H6219" s="255">
        <v>6</v>
      </c>
      <c r="I6219" s="361">
        <v>1</v>
      </c>
      <c r="J6219" s="362" t="s">
        <v>286</v>
      </c>
      <c r="K6219" s="363"/>
      <c r="L6219" s="129"/>
      <c r="M6219" s="129"/>
      <c r="N6219" s="129"/>
      <c r="O6219" s="129"/>
      <c r="P6219" s="372"/>
      <c r="Q6219" s="372"/>
      <c r="R6219" s="129"/>
      <c r="S6219" s="129"/>
      <c r="T6219" s="129"/>
      <c r="U6219" s="363"/>
      <c r="W6219" s="129" t="s">
        <v>286</v>
      </c>
      <c r="X6219" s="337" t="b">
        <f t="shared" si="135"/>
        <v>1</v>
      </c>
    </row>
    <row r="6220" spans="1:24" s="337" customFormat="1" ht="12" customHeight="1" outlineLevel="1">
      <c r="A6220" s="335"/>
      <c r="B6220" s="118" t="s">
        <v>12</v>
      </c>
      <c r="C6220" s="334" t="s">
        <v>15222</v>
      </c>
      <c r="D6220" s="124" t="s">
        <v>6983</v>
      </c>
      <c r="E6220" s="125"/>
      <c r="F6220" s="118" t="s">
        <v>1086</v>
      </c>
      <c r="G6220" s="126" t="s">
        <v>15068</v>
      </c>
      <c r="H6220" s="255">
        <v>6</v>
      </c>
      <c r="I6220" s="361">
        <v>1</v>
      </c>
      <c r="J6220" s="362" t="s">
        <v>286</v>
      </c>
      <c r="K6220" s="363"/>
      <c r="L6220" s="129"/>
      <c r="M6220" s="129"/>
      <c r="N6220" s="129"/>
      <c r="O6220" s="129"/>
      <c r="P6220" s="372"/>
      <c r="Q6220" s="372"/>
      <c r="R6220" s="129"/>
      <c r="S6220" s="129"/>
      <c r="T6220" s="129"/>
      <c r="U6220" s="363"/>
      <c r="W6220" s="129" t="s">
        <v>286</v>
      </c>
      <c r="X6220" s="337" t="b">
        <f t="shared" si="135"/>
        <v>1</v>
      </c>
    </row>
    <row r="6221" spans="1:24" s="337" customFormat="1" ht="12" customHeight="1" outlineLevel="1">
      <c r="A6221" s="335"/>
      <c r="B6221" s="118" t="s">
        <v>12</v>
      </c>
      <c r="C6221" s="334" t="s">
        <v>15223</v>
      </c>
      <c r="D6221" s="124" t="s">
        <v>6985</v>
      </c>
      <c r="E6221" s="125"/>
      <c r="F6221" s="118" t="s">
        <v>1086</v>
      </c>
      <c r="G6221" s="126" t="s">
        <v>15068</v>
      </c>
      <c r="H6221" s="255">
        <v>6</v>
      </c>
      <c r="I6221" s="361">
        <v>1</v>
      </c>
      <c r="J6221" s="362" t="s">
        <v>286</v>
      </c>
      <c r="K6221" s="363"/>
      <c r="L6221" s="129"/>
      <c r="M6221" s="129"/>
      <c r="N6221" s="129"/>
      <c r="O6221" s="129"/>
      <c r="P6221" s="372"/>
      <c r="Q6221" s="372"/>
      <c r="R6221" s="129"/>
      <c r="S6221" s="129"/>
      <c r="T6221" s="129"/>
      <c r="U6221" s="363"/>
      <c r="W6221" s="129" t="s">
        <v>286</v>
      </c>
      <c r="X6221" s="337" t="b">
        <f t="shared" ref="X6221:X6283" si="136">W6221=J6221</f>
        <v>1</v>
      </c>
    </row>
    <row r="6222" spans="1:24" s="337" customFormat="1" ht="12" customHeight="1" outlineLevel="1">
      <c r="A6222" s="335"/>
      <c r="B6222" s="118" t="s">
        <v>12</v>
      </c>
      <c r="C6222" s="334" t="s">
        <v>15224</v>
      </c>
      <c r="D6222" s="124" t="s">
        <v>6987</v>
      </c>
      <c r="E6222" s="125"/>
      <c r="F6222" s="118" t="s">
        <v>1086</v>
      </c>
      <c r="G6222" s="126" t="s">
        <v>15068</v>
      </c>
      <c r="H6222" s="255">
        <v>6</v>
      </c>
      <c r="I6222" s="361">
        <v>1</v>
      </c>
      <c r="J6222" s="362" t="s">
        <v>286</v>
      </c>
      <c r="K6222" s="363"/>
      <c r="L6222" s="129"/>
      <c r="M6222" s="129"/>
      <c r="N6222" s="129"/>
      <c r="O6222" s="129"/>
      <c r="P6222" s="372"/>
      <c r="Q6222" s="372"/>
      <c r="R6222" s="129"/>
      <c r="S6222" s="129"/>
      <c r="T6222" s="129"/>
      <c r="U6222" s="363"/>
      <c r="W6222" s="129" t="s">
        <v>286</v>
      </c>
      <c r="X6222" s="337" t="b">
        <f t="shared" si="136"/>
        <v>1</v>
      </c>
    </row>
    <row r="6223" spans="1:24" s="337" customFormat="1" ht="12" customHeight="1" outlineLevel="1">
      <c r="A6223" s="335"/>
      <c r="B6223" s="118" t="s">
        <v>12</v>
      </c>
      <c r="C6223" s="334" t="s">
        <v>15225</v>
      </c>
      <c r="D6223" s="124" t="s">
        <v>6989</v>
      </c>
      <c r="E6223" s="125"/>
      <c r="F6223" s="118" t="s">
        <v>1086</v>
      </c>
      <c r="G6223" s="126" t="s">
        <v>15068</v>
      </c>
      <c r="H6223" s="255">
        <v>6</v>
      </c>
      <c r="I6223" s="361">
        <v>1</v>
      </c>
      <c r="J6223" s="362" t="s">
        <v>286</v>
      </c>
      <c r="K6223" s="363"/>
      <c r="L6223" s="129"/>
      <c r="M6223" s="129"/>
      <c r="N6223" s="129"/>
      <c r="O6223" s="129"/>
      <c r="P6223" s="372"/>
      <c r="Q6223" s="372"/>
      <c r="R6223" s="129"/>
      <c r="S6223" s="129"/>
      <c r="T6223" s="129"/>
      <c r="U6223" s="363"/>
      <c r="W6223" s="129" t="s">
        <v>286</v>
      </c>
      <c r="X6223" s="337" t="b">
        <f t="shared" si="136"/>
        <v>1</v>
      </c>
    </row>
    <row r="6224" spans="1:24" s="337" customFormat="1" ht="12" customHeight="1" outlineLevel="1">
      <c r="A6224" s="335"/>
      <c r="B6224" s="118" t="s">
        <v>12</v>
      </c>
      <c r="C6224" s="334" t="s">
        <v>15226</v>
      </c>
      <c r="D6224" s="124" t="s">
        <v>6991</v>
      </c>
      <c r="E6224" s="125"/>
      <c r="F6224" s="118" t="s">
        <v>1086</v>
      </c>
      <c r="G6224" s="126" t="s">
        <v>15068</v>
      </c>
      <c r="H6224" s="255">
        <v>6</v>
      </c>
      <c r="I6224" s="361">
        <v>1</v>
      </c>
      <c r="J6224" s="362" t="s">
        <v>286</v>
      </c>
      <c r="K6224" s="363"/>
      <c r="L6224" s="129"/>
      <c r="M6224" s="129"/>
      <c r="N6224" s="129"/>
      <c r="O6224" s="129"/>
      <c r="P6224" s="372"/>
      <c r="Q6224" s="372"/>
      <c r="R6224" s="129"/>
      <c r="S6224" s="129"/>
      <c r="T6224" s="129"/>
      <c r="U6224" s="363"/>
      <c r="W6224" s="129" t="s">
        <v>286</v>
      </c>
      <c r="X6224" s="337" t="b">
        <f t="shared" si="136"/>
        <v>1</v>
      </c>
    </row>
    <row r="6225" spans="1:24" s="337" customFormat="1" ht="12" customHeight="1" outlineLevel="1">
      <c r="A6225" s="335"/>
      <c r="B6225" s="118" t="s">
        <v>12</v>
      </c>
      <c r="C6225" s="334" t="s">
        <v>15227</v>
      </c>
      <c r="D6225" s="124" t="s">
        <v>6993</v>
      </c>
      <c r="E6225" s="125"/>
      <c r="F6225" s="118" t="s">
        <v>1086</v>
      </c>
      <c r="G6225" s="126" t="s">
        <v>15068</v>
      </c>
      <c r="H6225" s="255">
        <v>6</v>
      </c>
      <c r="I6225" s="361">
        <v>1</v>
      </c>
      <c r="J6225" s="362" t="s">
        <v>286</v>
      </c>
      <c r="K6225" s="363"/>
      <c r="L6225" s="129"/>
      <c r="M6225" s="129"/>
      <c r="N6225" s="129"/>
      <c r="O6225" s="129"/>
      <c r="P6225" s="372"/>
      <c r="Q6225" s="372"/>
      <c r="R6225" s="129"/>
      <c r="S6225" s="129"/>
      <c r="T6225" s="129"/>
      <c r="U6225" s="363"/>
      <c r="W6225" s="129" t="s">
        <v>286</v>
      </c>
      <c r="X6225" s="337" t="b">
        <f t="shared" si="136"/>
        <v>1</v>
      </c>
    </row>
    <row r="6226" spans="1:24" s="337" customFormat="1" ht="12" customHeight="1" outlineLevel="1">
      <c r="A6226" s="335"/>
      <c r="B6226" s="118" t="s">
        <v>12</v>
      </c>
      <c r="C6226" s="334" t="s">
        <v>15228</v>
      </c>
      <c r="D6226" s="124" t="s">
        <v>6995</v>
      </c>
      <c r="E6226" s="125"/>
      <c r="F6226" s="118" t="s">
        <v>1086</v>
      </c>
      <c r="G6226" s="126" t="s">
        <v>15068</v>
      </c>
      <c r="H6226" s="255">
        <v>6</v>
      </c>
      <c r="I6226" s="361">
        <v>1</v>
      </c>
      <c r="J6226" s="362" t="s">
        <v>286</v>
      </c>
      <c r="K6226" s="363"/>
      <c r="L6226" s="129"/>
      <c r="M6226" s="129"/>
      <c r="N6226" s="129"/>
      <c r="O6226" s="129"/>
      <c r="P6226" s="372"/>
      <c r="Q6226" s="372"/>
      <c r="R6226" s="129"/>
      <c r="S6226" s="129"/>
      <c r="T6226" s="129"/>
      <c r="U6226" s="363"/>
      <c r="W6226" s="129" t="s">
        <v>286</v>
      </c>
      <c r="X6226" s="337" t="b">
        <f t="shared" si="136"/>
        <v>1</v>
      </c>
    </row>
    <row r="6227" spans="1:24" s="337" customFormat="1" ht="12" customHeight="1" outlineLevel="1">
      <c r="A6227" s="335"/>
      <c r="B6227" s="118" t="s">
        <v>12</v>
      </c>
      <c r="C6227" s="334" t="s">
        <v>15229</v>
      </c>
      <c r="D6227" s="124" t="s">
        <v>6997</v>
      </c>
      <c r="E6227" s="125"/>
      <c r="F6227" s="118" t="s">
        <v>1086</v>
      </c>
      <c r="G6227" s="126" t="s">
        <v>15068</v>
      </c>
      <c r="H6227" s="255">
        <v>6</v>
      </c>
      <c r="I6227" s="361">
        <v>1</v>
      </c>
      <c r="J6227" s="362" t="s">
        <v>286</v>
      </c>
      <c r="K6227" s="363"/>
      <c r="L6227" s="129"/>
      <c r="M6227" s="129"/>
      <c r="N6227" s="129"/>
      <c r="O6227" s="129"/>
      <c r="P6227" s="372"/>
      <c r="Q6227" s="372"/>
      <c r="R6227" s="129"/>
      <c r="S6227" s="129"/>
      <c r="T6227" s="129"/>
      <c r="U6227" s="363"/>
      <c r="W6227" s="129" t="s">
        <v>286</v>
      </c>
      <c r="X6227" s="337" t="b">
        <f t="shared" si="136"/>
        <v>1</v>
      </c>
    </row>
    <row r="6228" spans="1:24" s="337" customFormat="1" ht="12" customHeight="1" outlineLevel="1">
      <c r="A6228" s="335"/>
      <c r="B6228" s="118" t="s">
        <v>12</v>
      </c>
      <c r="C6228" s="334" t="s">
        <v>15230</v>
      </c>
      <c r="D6228" s="124" t="s">
        <v>6999</v>
      </c>
      <c r="E6228" s="125"/>
      <c r="F6228" s="118" t="s">
        <v>1086</v>
      </c>
      <c r="G6228" s="126" t="s">
        <v>15068</v>
      </c>
      <c r="H6228" s="255">
        <v>6</v>
      </c>
      <c r="I6228" s="361">
        <v>1</v>
      </c>
      <c r="J6228" s="362" t="s">
        <v>286</v>
      </c>
      <c r="K6228" s="363"/>
      <c r="L6228" s="129"/>
      <c r="M6228" s="129"/>
      <c r="N6228" s="129"/>
      <c r="O6228" s="129"/>
      <c r="P6228" s="372"/>
      <c r="Q6228" s="372"/>
      <c r="R6228" s="129"/>
      <c r="S6228" s="129"/>
      <c r="T6228" s="129"/>
      <c r="U6228" s="363"/>
      <c r="W6228" s="129" t="s">
        <v>286</v>
      </c>
      <c r="X6228" s="337" t="b">
        <f t="shared" si="136"/>
        <v>1</v>
      </c>
    </row>
    <row r="6229" spans="1:24" s="337" customFormat="1" ht="12" customHeight="1" outlineLevel="1">
      <c r="A6229" s="335"/>
      <c r="B6229" s="118" t="s">
        <v>12</v>
      </c>
      <c r="C6229" s="334" t="s">
        <v>15231</v>
      </c>
      <c r="D6229" s="124" t="s">
        <v>7001</v>
      </c>
      <c r="E6229" s="125"/>
      <c r="F6229" s="118" t="s">
        <v>1086</v>
      </c>
      <c r="G6229" s="126" t="s">
        <v>15068</v>
      </c>
      <c r="H6229" s="255">
        <v>6</v>
      </c>
      <c r="I6229" s="361">
        <v>1</v>
      </c>
      <c r="J6229" s="362" t="s">
        <v>286</v>
      </c>
      <c r="K6229" s="363"/>
      <c r="L6229" s="129"/>
      <c r="M6229" s="129"/>
      <c r="N6229" s="129"/>
      <c r="O6229" s="129"/>
      <c r="P6229" s="372"/>
      <c r="Q6229" s="372"/>
      <c r="R6229" s="129"/>
      <c r="S6229" s="129"/>
      <c r="T6229" s="129"/>
      <c r="U6229" s="363"/>
      <c r="W6229" s="129" t="s">
        <v>286</v>
      </c>
      <c r="X6229" s="337" t="b">
        <f t="shared" si="136"/>
        <v>1</v>
      </c>
    </row>
    <row r="6230" spans="1:24" s="337" customFormat="1" ht="12" customHeight="1" outlineLevel="1">
      <c r="A6230" s="335"/>
      <c r="B6230" s="118" t="s">
        <v>12</v>
      </c>
      <c r="C6230" s="334" t="s">
        <v>15232</v>
      </c>
      <c r="D6230" s="124" t="s">
        <v>7003</v>
      </c>
      <c r="E6230" s="125"/>
      <c r="F6230" s="118" t="s">
        <v>1086</v>
      </c>
      <c r="G6230" s="126" t="s">
        <v>15068</v>
      </c>
      <c r="H6230" s="255">
        <v>6</v>
      </c>
      <c r="I6230" s="361">
        <v>1</v>
      </c>
      <c r="J6230" s="362" t="s">
        <v>286</v>
      </c>
      <c r="K6230" s="363"/>
      <c r="L6230" s="129"/>
      <c r="M6230" s="129"/>
      <c r="N6230" s="129"/>
      <c r="O6230" s="129"/>
      <c r="P6230" s="372"/>
      <c r="Q6230" s="372"/>
      <c r="R6230" s="129"/>
      <c r="S6230" s="129"/>
      <c r="T6230" s="129"/>
      <c r="U6230" s="363"/>
      <c r="W6230" s="129" t="s">
        <v>286</v>
      </c>
      <c r="X6230" s="337" t="b">
        <f t="shared" si="136"/>
        <v>1</v>
      </c>
    </row>
    <row r="6231" spans="1:24" s="337" customFormat="1" ht="12" customHeight="1" outlineLevel="1">
      <c r="A6231" s="335"/>
      <c r="B6231" s="118" t="s">
        <v>12</v>
      </c>
      <c r="C6231" s="334" t="s">
        <v>15233</v>
      </c>
      <c r="D6231" s="124" t="s">
        <v>7005</v>
      </c>
      <c r="E6231" s="125"/>
      <c r="F6231" s="118" t="s">
        <v>1086</v>
      </c>
      <c r="G6231" s="126" t="s">
        <v>15068</v>
      </c>
      <c r="H6231" s="255">
        <v>6</v>
      </c>
      <c r="I6231" s="361">
        <v>1</v>
      </c>
      <c r="J6231" s="362" t="s">
        <v>286</v>
      </c>
      <c r="K6231" s="363"/>
      <c r="L6231" s="129"/>
      <c r="M6231" s="129"/>
      <c r="N6231" s="129"/>
      <c r="O6231" s="129"/>
      <c r="P6231" s="372"/>
      <c r="Q6231" s="372"/>
      <c r="R6231" s="129"/>
      <c r="S6231" s="129"/>
      <c r="T6231" s="129"/>
      <c r="U6231" s="363"/>
      <c r="W6231" s="129" t="s">
        <v>286</v>
      </c>
      <c r="X6231" s="337" t="b">
        <f t="shared" si="136"/>
        <v>1</v>
      </c>
    </row>
    <row r="6232" spans="1:24" s="337" customFormat="1" ht="12" customHeight="1" outlineLevel="1">
      <c r="A6232" s="335"/>
      <c r="B6232" s="118" t="s">
        <v>12</v>
      </c>
      <c r="C6232" s="334" t="s">
        <v>15234</v>
      </c>
      <c r="D6232" s="124" t="s">
        <v>7007</v>
      </c>
      <c r="E6232" s="125"/>
      <c r="F6232" s="118" t="s">
        <v>1086</v>
      </c>
      <c r="G6232" s="126" t="s">
        <v>15068</v>
      </c>
      <c r="H6232" s="255">
        <v>6</v>
      </c>
      <c r="I6232" s="361">
        <v>1</v>
      </c>
      <c r="J6232" s="362" t="s">
        <v>286</v>
      </c>
      <c r="K6232" s="363"/>
      <c r="L6232" s="129"/>
      <c r="M6232" s="129"/>
      <c r="N6232" s="129"/>
      <c r="O6232" s="129"/>
      <c r="P6232" s="372"/>
      <c r="Q6232" s="372"/>
      <c r="R6232" s="129"/>
      <c r="S6232" s="129"/>
      <c r="T6232" s="129"/>
      <c r="U6232" s="363"/>
      <c r="W6232" s="129" t="s">
        <v>286</v>
      </c>
      <c r="X6232" s="337" t="b">
        <f t="shared" si="136"/>
        <v>1</v>
      </c>
    </row>
    <row r="6233" spans="1:24" s="337" customFormat="1" ht="12" customHeight="1" outlineLevel="1">
      <c r="A6233" s="335"/>
      <c r="B6233" s="118" t="s">
        <v>12</v>
      </c>
      <c r="C6233" s="334" t="s">
        <v>15235</v>
      </c>
      <c r="D6233" s="124" t="s">
        <v>7009</v>
      </c>
      <c r="E6233" s="125"/>
      <c r="F6233" s="118" t="s">
        <v>1086</v>
      </c>
      <c r="G6233" s="126" t="s">
        <v>15068</v>
      </c>
      <c r="H6233" s="255">
        <v>6</v>
      </c>
      <c r="I6233" s="361">
        <v>1</v>
      </c>
      <c r="J6233" s="362" t="s">
        <v>286</v>
      </c>
      <c r="K6233" s="363"/>
      <c r="L6233" s="129"/>
      <c r="M6233" s="129"/>
      <c r="N6233" s="129"/>
      <c r="O6233" s="129"/>
      <c r="P6233" s="372"/>
      <c r="Q6233" s="372"/>
      <c r="R6233" s="129"/>
      <c r="S6233" s="129"/>
      <c r="T6233" s="129"/>
      <c r="U6233" s="363"/>
      <c r="W6233" s="129" t="s">
        <v>286</v>
      </c>
      <c r="X6233" s="337" t="b">
        <f t="shared" si="136"/>
        <v>1</v>
      </c>
    </row>
    <row r="6234" spans="1:24" s="337" customFormat="1" ht="12" customHeight="1" outlineLevel="1">
      <c r="A6234" s="335"/>
      <c r="B6234" s="118" t="s">
        <v>12</v>
      </c>
      <c r="C6234" s="334" t="s">
        <v>15236</v>
      </c>
      <c r="D6234" s="124" t="s">
        <v>7011</v>
      </c>
      <c r="E6234" s="125"/>
      <c r="F6234" s="118" t="s">
        <v>1086</v>
      </c>
      <c r="G6234" s="126" t="s">
        <v>15068</v>
      </c>
      <c r="H6234" s="255">
        <v>6</v>
      </c>
      <c r="I6234" s="361">
        <v>1</v>
      </c>
      <c r="J6234" s="362" t="s">
        <v>286</v>
      </c>
      <c r="K6234" s="363"/>
      <c r="L6234" s="129"/>
      <c r="M6234" s="129"/>
      <c r="N6234" s="129"/>
      <c r="O6234" s="129"/>
      <c r="P6234" s="372"/>
      <c r="Q6234" s="372"/>
      <c r="R6234" s="129"/>
      <c r="S6234" s="129"/>
      <c r="T6234" s="129"/>
      <c r="U6234" s="363"/>
      <c r="W6234" s="129" t="s">
        <v>286</v>
      </c>
      <c r="X6234" s="337" t="b">
        <f t="shared" si="136"/>
        <v>1</v>
      </c>
    </row>
    <row r="6235" spans="1:24" s="337" customFormat="1" ht="12" customHeight="1" outlineLevel="1">
      <c r="A6235" s="335"/>
      <c r="B6235" s="118" t="s">
        <v>12</v>
      </c>
      <c r="C6235" s="334" t="s">
        <v>15237</v>
      </c>
      <c r="D6235" s="124" t="s">
        <v>7013</v>
      </c>
      <c r="E6235" s="125"/>
      <c r="F6235" s="118" t="s">
        <v>1086</v>
      </c>
      <c r="G6235" s="126" t="s">
        <v>15068</v>
      </c>
      <c r="H6235" s="255">
        <v>6</v>
      </c>
      <c r="I6235" s="361">
        <v>1</v>
      </c>
      <c r="J6235" s="362" t="s">
        <v>286</v>
      </c>
      <c r="K6235" s="363"/>
      <c r="L6235" s="129"/>
      <c r="M6235" s="129"/>
      <c r="N6235" s="129"/>
      <c r="O6235" s="129"/>
      <c r="P6235" s="372"/>
      <c r="Q6235" s="372"/>
      <c r="R6235" s="129"/>
      <c r="S6235" s="129"/>
      <c r="T6235" s="129"/>
      <c r="U6235" s="363"/>
      <c r="W6235" s="129" t="s">
        <v>286</v>
      </c>
      <c r="X6235" s="337" t="b">
        <f t="shared" si="136"/>
        <v>1</v>
      </c>
    </row>
    <row r="6236" spans="1:24" s="337" customFormat="1" ht="12" customHeight="1" outlineLevel="1">
      <c r="A6236" s="335"/>
      <c r="B6236" s="118" t="s">
        <v>12</v>
      </c>
      <c r="C6236" s="334" t="s">
        <v>15238</v>
      </c>
      <c r="D6236" s="124" t="s">
        <v>7015</v>
      </c>
      <c r="E6236" s="125"/>
      <c r="F6236" s="118" t="s">
        <v>1086</v>
      </c>
      <c r="G6236" s="126" t="s">
        <v>15068</v>
      </c>
      <c r="H6236" s="255">
        <v>6</v>
      </c>
      <c r="I6236" s="361">
        <v>1</v>
      </c>
      <c r="J6236" s="362" t="s">
        <v>286</v>
      </c>
      <c r="K6236" s="363"/>
      <c r="L6236" s="129"/>
      <c r="M6236" s="129"/>
      <c r="N6236" s="129"/>
      <c r="O6236" s="129"/>
      <c r="P6236" s="372"/>
      <c r="Q6236" s="372"/>
      <c r="R6236" s="129"/>
      <c r="S6236" s="129"/>
      <c r="T6236" s="129"/>
      <c r="U6236" s="363"/>
      <c r="W6236" s="129" t="s">
        <v>286</v>
      </c>
      <c r="X6236" s="337" t="b">
        <f t="shared" si="136"/>
        <v>1</v>
      </c>
    </row>
    <row r="6237" spans="1:24" s="337" customFormat="1" ht="12" customHeight="1" outlineLevel="1">
      <c r="A6237" s="335"/>
      <c r="B6237" s="118" t="s">
        <v>12</v>
      </c>
      <c r="C6237" s="334" t="s">
        <v>15239</v>
      </c>
      <c r="D6237" s="124" t="s">
        <v>7017</v>
      </c>
      <c r="E6237" s="125"/>
      <c r="F6237" s="118" t="s">
        <v>1086</v>
      </c>
      <c r="G6237" s="126" t="s">
        <v>15068</v>
      </c>
      <c r="H6237" s="255">
        <v>6</v>
      </c>
      <c r="I6237" s="361">
        <v>1</v>
      </c>
      <c r="J6237" s="362" t="s">
        <v>286</v>
      </c>
      <c r="K6237" s="363"/>
      <c r="L6237" s="129"/>
      <c r="M6237" s="129"/>
      <c r="N6237" s="129"/>
      <c r="O6237" s="129"/>
      <c r="P6237" s="372"/>
      <c r="Q6237" s="372"/>
      <c r="R6237" s="129"/>
      <c r="S6237" s="129"/>
      <c r="T6237" s="129"/>
      <c r="U6237" s="363"/>
      <c r="W6237" s="129" t="s">
        <v>286</v>
      </c>
      <c r="X6237" s="337" t="b">
        <f t="shared" si="136"/>
        <v>1</v>
      </c>
    </row>
    <row r="6238" spans="1:24" s="337" customFormat="1" ht="12" customHeight="1" outlineLevel="1">
      <c r="A6238" s="335"/>
      <c r="B6238" s="118" t="s">
        <v>12</v>
      </c>
      <c r="C6238" s="334" t="s">
        <v>15240</v>
      </c>
      <c r="D6238" s="124" t="s">
        <v>7019</v>
      </c>
      <c r="E6238" s="125"/>
      <c r="F6238" s="118" t="s">
        <v>1086</v>
      </c>
      <c r="G6238" s="126" t="s">
        <v>15068</v>
      </c>
      <c r="H6238" s="255">
        <v>6</v>
      </c>
      <c r="I6238" s="361">
        <v>1</v>
      </c>
      <c r="J6238" s="362" t="s">
        <v>286</v>
      </c>
      <c r="K6238" s="363"/>
      <c r="L6238" s="129"/>
      <c r="M6238" s="129"/>
      <c r="N6238" s="129"/>
      <c r="O6238" s="129"/>
      <c r="P6238" s="372"/>
      <c r="Q6238" s="372"/>
      <c r="R6238" s="129"/>
      <c r="S6238" s="129"/>
      <c r="T6238" s="129"/>
      <c r="U6238" s="363"/>
      <c r="W6238" s="129" t="s">
        <v>286</v>
      </c>
      <c r="X6238" s="337" t="b">
        <f t="shared" si="136"/>
        <v>1</v>
      </c>
    </row>
    <row r="6239" spans="1:24" s="337" customFormat="1" ht="12" customHeight="1" outlineLevel="1">
      <c r="A6239" s="335"/>
      <c r="B6239" s="118" t="s">
        <v>12</v>
      </c>
      <c r="C6239" s="334" t="s">
        <v>15241</v>
      </c>
      <c r="D6239" s="124" t="s">
        <v>7021</v>
      </c>
      <c r="E6239" s="125"/>
      <c r="F6239" s="118" t="s">
        <v>1086</v>
      </c>
      <c r="G6239" s="126" t="s">
        <v>15068</v>
      </c>
      <c r="H6239" s="255">
        <v>6</v>
      </c>
      <c r="I6239" s="361">
        <v>1</v>
      </c>
      <c r="J6239" s="362" t="s">
        <v>286</v>
      </c>
      <c r="K6239" s="363"/>
      <c r="L6239" s="129"/>
      <c r="M6239" s="129"/>
      <c r="N6239" s="129"/>
      <c r="O6239" s="129"/>
      <c r="P6239" s="372"/>
      <c r="Q6239" s="372"/>
      <c r="R6239" s="129"/>
      <c r="S6239" s="129"/>
      <c r="T6239" s="129"/>
      <c r="U6239" s="363"/>
      <c r="W6239" s="129" t="s">
        <v>286</v>
      </c>
      <c r="X6239" s="337" t="b">
        <f t="shared" si="136"/>
        <v>1</v>
      </c>
    </row>
    <row r="6240" spans="1:24" s="337" customFormat="1" ht="12" customHeight="1" outlineLevel="1">
      <c r="A6240" s="335"/>
      <c r="B6240" s="118" t="s">
        <v>12</v>
      </c>
      <c r="C6240" s="334" t="s">
        <v>15242</v>
      </c>
      <c r="D6240" s="124" t="s">
        <v>7023</v>
      </c>
      <c r="E6240" s="125"/>
      <c r="F6240" s="118" t="s">
        <v>1086</v>
      </c>
      <c r="G6240" s="126" t="s">
        <v>15068</v>
      </c>
      <c r="H6240" s="255">
        <v>6</v>
      </c>
      <c r="I6240" s="361">
        <v>1</v>
      </c>
      <c r="J6240" s="362" t="s">
        <v>286</v>
      </c>
      <c r="K6240" s="363"/>
      <c r="L6240" s="129"/>
      <c r="M6240" s="129"/>
      <c r="N6240" s="129"/>
      <c r="O6240" s="129"/>
      <c r="P6240" s="372"/>
      <c r="Q6240" s="372"/>
      <c r="R6240" s="129"/>
      <c r="S6240" s="129"/>
      <c r="T6240" s="129"/>
      <c r="U6240" s="363"/>
      <c r="W6240" s="129" t="s">
        <v>286</v>
      </c>
      <c r="X6240" s="337" t="b">
        <f t="shared" si="136"/>
        <v>1</v>
      </c>
    </row>
    <row r="6241" spans="1:24" s="337" customFormat="1" ht="12" customHeight="1" outlineLevel="1">
      <c r="A6241" s="335"/>
      <c r="B6241" s="118" t="s">
        <v>12</v>
      </c>
      <c r="C6241" s="334" t="s">
        <v>15243</v>
      </c>
      <c r="D6241" s="124" t="s">
        <v>7025</v>
      </c>
      <c r="E6241" s="125"/>
      <c r="F6241" s="118" t="s">
        <v>1086</v>
      </c>
      <c r="G6241" s="126" t="s">
        <v>15068</v>
      </c>
      <c r="H6241" s="255">
        <v>6</v>
      </c>
      <c r="I6241" s="361">
        <v>1</v>
      </c>
      <c r="J6241" s="362" t="s">
        <v>286</v>
      </c>
      <c r="K6241" s="363"/>
      <c r="L6241" s="129"/>
      <c r="M6241" s="129"/>
      <c r="N6241" s="129"/>
      <c r="O6241" s="129"/>
      <c r="P6241" s="372"/>
      <c r="Q6241" s="372"/>
      <c r="R6241" s="129"/>
      <c r="S6241" s="129"/>
      <c r="T6241" s="129"/>
      <c r="U6241" s="363"/>
      <c r="W6241" s="129" t="s">
        <v>286</v>
      </c>
      <c r="X6241" s="337" t="b">
        <f t="shared" si="136"/>
        <v>1</v>
      </c>
    </row>
    <row r="6242" spans="1:24" s="337" customFormat="1" ht="12" customHeight="1" outlineLevel="1">
      <c r="A6242" s="335"/>
      <c r="B6242" s="118" t="s">
        <v>12</v>
      </c>
      <c r="C6242" s="334" t="s">
        <v>15244</v>
      </c>
      <c r="D6242" s="124" t="s">
        <v>7027</v>
      </c>
      <c r="E6242" s="125"/>
      <c r="F6242" s="118" t="s">
        <v>1086</v>
      </c>
      <c r="G6242" s="126" t="s">
        <v>15068</v>
      </c>
      <c r="H6242" s="255">
        <v>6</v>
      </c>
      <c r="I6242" s="361">
        <v>1</v>
      </c>
      <c r="J6242" s="362" t="s">
        <v>286</v>
      </c>
      <c r="K6242" s="363"/>
      <c r="L6242" s="129"/>
      <c r="M6242" s="129"/>
      <c r="N6242" s="129"/>
      <c r="O6242" s="129"/>
      <c r="P6242" s="372"/>
      <c r="Q6242" s="372"/>
      <c r="R6242" s="129"/>
      <c r="S6242" s="129"/>
      <c r="T6242" s="129"/>
      <c r="U6242" s="363"/>
      <c r="W6242" s="129" t="s">
        <v>286</v>
      </c>
      <c r="X6242" s="337" t="b">
        <f t="shared" si="136"/>
        <v>1</v>
      </c>
    </row>
    <row r="6243" spans="1:24" s="337" customFormat="1" ht="12" customHeight="1" outlineLevel="1">
      <c r="A6243" s="335"/>
      <c r="B6243" s="118" t="s">
        <v>12</v>
      </c>
      <c r="C6243" s="334" t="s">
        <v>15245</v>
      </c>
      <c r="D6243" s="124" t="s">
        <v>7029</v>
      </c>
      <c r="E6243" s="125"/>
      <c r="F6243" s="118" t="s">
        <v>1086</v>
      </c>
      <c r="G6243" s="126" t="s">
        <v>15068</v>
      </c>
      <c r="H6243" s="255">
        <v>6</v>
      </c>
      <c r="I6243" s="361">
        <v>1</v>
      </c>
      <c r="J6243" s="362" t="s">
        <v>286</v>
      </c>
      <c r="K6243" s="363"/>
      <c r="L6243" s="129"/>
      <c r="M6243" s="129"/>
      <c r="N6243" s="129"/>
      <c r="O6243" s="129"/>
      <c r="P6243" s="372"/>
      <c r="Q6243" s="372"/>
      <c r="R6243" s="129"/>
      <c r="S6243" s="129"/>
      <c r="T6243" s="129"/>
      <c r="U6243" s="363"/>
      <c r="W6243" s="129" t="s">
        <v>286</v>
      </c>
      <c r="X6243" s="337" t="b">
        <f t="shared" si="136"/>
        <v>1</v>
      </c>
    </row>
    <row r="6244" spans="1:24" s="337" customFormat="1" ht="12" customHeight="1" outlineLevel="1">
      <c r="A6244" s="335"/>
      <c r="B6244" s="118" t="s">
        <v>12</v>
      </c>
      <c r="C6244" s="334" t="s">
        <v>15246</v>
      </c>
      <c r="D6244" s="124" t="s">
        <v>7031</v>
      </c>
      <c r="E6244" s="125"/>
      <c r="F6244" s="118" t="s">
        <v>1086</v>
      </c>
      <c r="G6244" s="126" t="s">
        <v>15068</v>
      </c>
      <c r="H6244" s="255">
        <v>6</v>
      </c>
      <c r="I6244" s="361">
        <v>1</v>
      </c>
      <c r="J6244" s="362" t="s">
        <v>286</v>
      </c>
      <c r="K6244" s="363"/>
      <c r="L6244" s="129"/>
      <c r="M6244" s="129"/>
      <c r="N6244" s="129"/>
      <c r="O6244" s="129"/>
      <c r="P6244" s="372"/>
      <c r="Q6244" s="372"/>
      <c r="R6244" s="129"/>
      <c r="S6244" s="129"/>
      <c r="T6244" s="129"/>
      <c r="U6244" s="363"/>
      <c r="W6244" s="129" t="s">
        <v>286</v>
      </c>
      <c r="X6244" s="337" t="b">
        <f t="shared" si="136"/>
        <v>1</v>
      </c>
    </row>
    <row r="6245" spans="1:24" s="337" customFormat="1" ht="12" customHeight="1" outlineLevel="1">
      <c r="A6245" s="335"/>
      <c r="B6245" s="118" t="s">
        <v>12</v>
      </c>
      <c r="C6245" s="334" t="s">
        <v>15247</v>
      </c>
      <c r="D6245" s="124" t="s">
        <v>7033</v>
      </c>
      <c r="E6245" s="125"/>
      <c r="F6245" s="118" t="s">
        <v>1086</v>
      </c>
      <c r="G6245" s="126" t="s">
        <v>15068</v>
      </c>
      <c r="H6245" s="255">
        <v>6</v>
      </c>
      <c r="I6245" s="361">
        <v>1</v>
      </c>
      <c r="J6245" s="362" t="s">
        <v>286</v>
      </c>
      <c r="K6245" s="363"/>
      <c r="L6245" s="129"/>
      <c r="M6245" s="129"/>
      <c r="N6245" s="129"/>
      <c r="O6245" s="129"/>
      <c r="P6245" s="372"/>
      <c r="Q6245" s="372"/>
      <c r="R6245" s="129"/>
      <c r="S6245" s="129"/>
      <c r="T6245" s="129"/>
      <c r="U6245" s="363"/>
      <c r="W6245" s="129" t="s">
        <v>286</v>
      </c>
      <c r="X6245" s="337" t="b">
        <f t="shared" si="136"/>
        <v>1</v>
      </c>
    </row>
    <row r="6246" spans="1:24" s="337" customFormat="1" ht="12" customHeight="1" outlineLevel="1">
      <c r="A6246" s="335"/>
      <c r="B6246" s="118" t="s">
        <v>12</v>
      </c>
      <c r="C6246" s="334" t="s">
        <v>15248</v>
      </c>
      <c r="D6246" s="124" t="s">
        <v>7035</v>
      </c>
      <c r="E6246" s="125"/>
      <c r="F6246" s="118" t="s">
        <v>1086</v>
      </c>
      <c r="G6246" s="126" t="s">
        <v>15068</v>
      </c>
      <c r="H6246" s="255">
        <v>6</v>
      </c>
      <c r="I6246" s="361">
        <v>1</v>
      </c>
      <c r="J6246" s="362" t="s">
        <v>286</v>
      </c>
      <c r="K6246" s="363"/>
      <c r="L6246" s="129"/>
      <c r="M6246" s="129"/>
      <c r="N6246" s="129"/>
      <c r="O6246" s="129"/>
      <c r="P6246" s="372"/>
      <c r="Q6246" s="372"/>
      <c r="R6246" s="129"/>
      <c r="S6246" s="129"/>
      <c r="T6246" s="129"/>
      <c r="U6246" s="363"/>
      <c r="W6246" s="129" t="s">
        <v>286</v>
      </c>
      <c r="X6246" s="337" t="b">
        <f t="shared" si="136"/>
        <v>1</v>
      </c>
    </row>
    <row r="6247" spans="1:24" s="337" customFormat="1" ht="12" customHeight="1" outlineLevel="1">
      <c r="A6247" s="335"/>
      <c r="B6247" s="118" t="s">
        <v>12</v>
      </c>
      <c r="C6247" s="334" t="s">
        <v>15249</v>
      </c>
      <c r="D6247" s="124" t="s">
        <v>7037</v>
      </c>
      <c r="E6247" s="125"/>
      <c r="F6247" s="118" t="s">
        <v>1086</v>
      </c>
      <c r="G6247" s="126" t="s">
        <v>15068</v>
      </c>
      <c r="H6247" s="255">
        <v>6</v>
      </c>
      <c r="I6247" s="361">
        <v>1</v>
      </c>
      <c r="J6247" s="362" t="s">
        <v>286</v>
      </c>
      <c r="K6247" s="363"/>
      <c r="L6247" s="129"/>
      <c r="M6247" s="129"/>
      <c r="N6247" s="129"/>
      <c r="O6247" s="129"/>
      <c r="P6247" s="372"/>
      <c r="Q6247" s="372"/>
      <c r="R6247" s="129"/>
      <c r="S6247" s="129"/>
      <c r="T6247" s="129"/>
      <c r="U6247" s="363"/>
      <c r="W6247" s="129" t="s">
        <v>286</v>
      </c>
      <c r="X6247" s="337" t="b">
        <f t="shared" si="136"/>
        <v>1</v>
      </c>
    </row>
    <row r="6248" spans="1:24" s="337" customFormat="1" ht="12" customHeight="1" outlineLevel="1">
      <c r="A6248" s="335"/>
      <c r="B6248" s="118" t="s">
        <v>12</v>
      </c>
      <c r="C6248" s="334" t="s">
        <v>15250</v>
      </c>
      <c r="D6248" s="124" t="s">
        <v>7039</v>
      </c>
      <c r="E6248" s="125"/>
      <c r="F6248" s="118" t="s">
        <v>1086</v>
      </c>
      <c r="G6248" s="126" t="s">
        <v>15068</v>
      </c>
      <c r="H6248" s="255">
        <v>6</v>
      </c>
      <c r="I6248" s="361">
        <v>1</v>
      </c>
      <c r="J6248" s="362" t="s">
        <v>286</v>
      </c>
      <c r="K6248" s="363"/>
      <c r="L6248" s="129"/>
      <c r="M6248" s="129"/>
      <c r="N6248" s="129"/>
      <c r="O6248" s="129"/>
      <c r="P6248" s="372"/>
      <c r="Q6248" s="372"/>
      <c r="R6248" s="129"/>
      <c r="S6248" s="129"/>
      <c r="T6248" s="129"/>
      <c r="U6248" s="363"/>
      <c r="W6248" s="129" t="s">
        <v>286</v>
      </c>
      <c r="X6248" s="337" t="b">
        <f t="shared" si="136"/>
        <v>1</v>
      </c>
    </row>
    <row r="6249" spans="1:24" s="337" customFormat="1" ht="12" customHeight="1" outlineLevel="1">
      <c r="A6249" s="335"/>
      <c r="B6249" s="118" t="s">
        <v>12</v>
      </c>
      <c r="C6249" s="334" t="s">
        <v>15251</v>
      </c>
      <c r="D6249" s="124" t="s">
        <v>7041</v>
      </c>
      <c r="E6249" s="125"/>
      <c r="F6249" s="118" t="s">
        <v>1086</v>
      </c>
      <c r="G6249" s="126" t="s">
        <v>15068</v>
      </c>
      <c r="H6249" s="255">
        <v>6</v>
      </c>
      <c r="I6249" s="361">
        <v>1</v>
      </c>
      <c r="J6249" s="362" t="s">
        <v>286</v>
      </c>
      <c r="K6249" s="363"/>
      <c r="L6249" s="129"/>
      <c r="M6249" s="129"/>
      <c r="N6249" s="129"/>
      <c r="O6249" s="129"/>
      <c r="P6249" s="372"/>
      <c r="Q6249" s="372"/>
      <c r="R6249" s="129"/>
      <c r="S6249" s="129"/>
      <c r="T6249" s="129"/>
      <c r="U6249" s="363"/>
      <c r="W6249" s="129" t="s">
        <v>286</v>
      </c>
      <c r="X6249" s="337" t="b">
        <f t="shared" si="136"/>
        <v>1</v>
      </c>
    </row>
    <row r="6250" spans="1:24" s="337" customFormat="1" ht="12" customHeight="1" outlineLevel="1">
      <c r="A6250" s="335"/>
      <c r="B6250" s="118" t="s">
        <v>12</v>
      </c>
      <c r="C6250" s="334" t="s">
        <v>15252</v>
      </c>
      <c r="D6250" s="124" t="s">
        <v>7043</v>
      </c>
      <c r="E6250" s="125"/>
      <c r="F6250" s="118" t="s">
        <v>1086</v>
      </c>
      <c r="G6250" s="126" t="s">
        <v>15068</v>
      </c>
      <c r="H6250" s="255">
        <v>6</v>
      </c>
      <c r="I6250" s="361">
        <v>1</v>
      </c>
      <c r="J6250" s="362" t="s">
        <v>286</v>
      </c>
      <c r="K6250" s="363"/>
      <c r="L6250" s="129"/>
      <c r="M6250" s="129"/>
      <c r="N6250" s="129"/>
      <c r="O6250" s="129"/>
      <c r="P6250" s="372"/>
      <c r="Q6250" s="372"/>
      <c r="R6250" s="129"/>
      <c r="S6250" s="129"/>
      <c r="T6250" s="129"/>
      <c r="U6250" s="363"/>
      <c r="W6250" s="129" t="s">
        <v>4876</v>
      </c>
      <c r="X6250" s="337" t="b">
        <f t="shared" si="136"/>
        <v>0</v>
      </c>
    </row>
    <row r="6251" spans="1:24" s="337" customFormat="1" ht="12" customHeight="1" outlineLevel="1">
      <c r="A6251" s="335"/>
      <c r="B6251" s="118" t="s">
        <v>12</v>
      </c>
      <c r="C6251" s="334" t="s">
        <v>15253</v>
      </c>
      <c r="D6251" s="124" t="s">
        <v>12583</v>
      </c>
      <c r="E6251" s="125"/>
      <c r="F6251" s="118" t="s">
        <v>1086</v>
      </c>
      <c r="G6251" s="126" t="s">
        <v>15068</v>
      </c>
      <c r="H6251" s="255">
        <v>6</v>
      </c>
      <c r="I6251" s="361">
        <v>1</v>
      </c>
      <c r="J6251" s="362" t="s">
        <v>286</v>
      </c>
      <c r="K6251" s="363"/>
      <c r="L6251" s="129"/>
      <c r="M6251" s="129"/>
      <c r="N6251" s="129"/>
      <c r="O6251" s="129"/>
      <c r="P6251" s="372"/>
      <c r="Q6251" s="372"/>
      <c r="R6251" s="129"/>
      <c r="S6251" s="129"/>
      <c r="T6251" s="129"/>
      <c r="U6251" s="363"/>
      <c r="W6251" s="129" t="s">
        <v>286</v>
      </c>
      <c r="X6251" s="337" t="b">
        <f t="shared" si="136"/>
        <v>1</v>
      </c>
    </row>
    <row r="6252" spans="1:24" s="337" customFormat="1" ht="12" customHeight="1" outlineLevel="1">
      <c r="A6252" s="335"/>
      <c r="B6252" s="118" t="s">
        <v>12</v>
      </c>
      <c r="C6252" s="334" t="s">
        <v>15254</v>
      </c>
      <c r="D6252" s="124" t="s">
        <v>15255</v>
      </c>
      <c r="E6252" s="125"/>
      <c r="F6252" s="118" t="s">
        <v>1086</v>
      </c>
      <c r="G6252" s="126" t="s">
        <v>15068</v>
      </c>
      <c r="H6252" s="255">
        <v>6</v>
      </c>
      <c r="I6252" s="361">
        <v>1</v>
      </c>
      <c r="J6252" s="362" t="s">
        <v>286</v>
      </c>
      <c r="K6252" s="363"/>
      <c r="L6252" s="129"/>
      <c r="M6252" s="129"/>
      <c r="N6252" s="129"/>
      <c r="O6252" s="129"/>
      <c r="P6252" s="372"/>
      <c r="Q6252" s="372"/>
      <c r="R6252" s="129"/>
      <c r="S6252" s="129"/>
      <c r="T6252" s="129"/>
      <c r="U6252" s="363"/>
      <c r="W6252" s="129" t="s">
        <v>286</v>
      </c>
      <c r="X6252" s="337" t="b">
        <f t="shared" si="136"/>
        <v>1</v>
      </c>
    </row>
    <row r="6253" spans="1:24" s="337" customFormat="1" ht="12" customHeight="1" outlineLevel="1">
      <c r="A6253" s="335"/>
      <c r="B6253" s="118" t="s">
        <v>12</v>
      </c>
      <c r="C6253" s="334" t="s">
        <v>15256</v>
      </c>
      <c r="D6253" s="124" t="s">
        <v>15257</v>
      </c>
      <c r="E6253" s="125"/>
      <c r="F6253" s="118" t="s">
        <v>1086</v>
      </c>
      <c r="G6253" s="126" t="s">
        <v>15068</v>
      </c>
      <c r="H6253" s="255">
        <v>6</v>
      </c>
      <c r="I6253" s="361">
        <v>1</v>
      </c>
      <c r="J6253" s="362" t="s">
        <v>286</v>
      </c>
      <c r="K6253" s="363"/>
      <c r="L6253" s="129"/>
      <c r="M6253" s="129"/>
      <c r="N6253" s="129"/>
      <c r="O6253" s="129"/>
      <c r="P6253" s="372"/>
      <c r="Q6253" s="372"/>
      <c r="R6253" s="129"/>
      <c r="S6253" s="129"/>
      <c r="T6253" s="129"/>
      <c r="U6253" s="363"/>
      <c r="W6253" s="129" t="s">
        <v>286</v>
      </c>
      <c r="X6253" s="337" t="b">
        <f t="shared" si="136"/>
        <v>1</v>
      </c>
    </row>
    <row r="6254" spans="1:24" s="337" customFormat="1" ht="12" customHeight="1" outlineLevel="1">
      <c r="A6254" s="335"/>
      <c r="B6254" s="118" t="s">
        <v>12</v>
      </c>
      <c r="C6254" s="334" t="s">
        <v>15258</v>
      </c>
      <c r="D6254" s="124" t="s">
        <v>15259</v>
      </c>
      <c r="E6254" s="125"/>
      <c r="F6254" s="118" t="s">
        <v>1086</v>
      </c>
      <c r="G6254" s="126" t="s">
        <v>15068</v>
      </c>
      <c r="H6254" s="255">
        <v>6</v>
      </c>
      <c r="I6254" s="361">
        <v>1</v>
      </c>
      <c r="J6254" s="362" t="s">
        <v>286</v>
      </c>
      <c r="K6254" s="363"/>
      <c r="L6254" s="129"/>
      <c r="M6254" s="129"/>
      <c r="N6254" s="129"/>
      <c r="O6254" s="129"/>
      <c r="P6254" s="372"/>
      <c r="Q6254" s="372"/>
      <c r="R6254" s="129"/>
      <c r="S6254" s="129"/>
      <c r="T6254" s="129"/>
      <c r="U6254" s="363"/>
      <c r="W6254" s="129" t="s">
        <v>4876</v>
      </c>
      <c r="X6254" s="337" t="b">
        <f t="shared" si="136"/>
        <v>0</v>
      </c>
    </row>
    <row r="6255" spans="1:24" s="337" customFormat="1" ht="12" customHeight="1" outlineLevel="1">
      <c r="A6255" s="335"/>
      <c r="B6255" s="118" t="s">
        <v>12</v>
      </c>
      <c r="C6255" s="334" t="s">
        <v>15260</v>
      </c>
      <c r="D6255" s="124" t="s">
        <v>12589</v>
      </c>
      <c r="E6255" s="125"/>
      <c r="F6255" s="118" t="s">
        <v>1086</v>
      </c>
      <c r="G6255" s="126" t="s">
        <v>15068</v>
      </c>
      <c r="H6255" s="255">
        <v>6</v>
      </c>
      <c r="I6255" s="361">
        <v>1</v>
      </c>
      <c r="J6255" s="362" t="s">
        <v>286</v>
      </c>
      <c r="K6255" s="363"/>
      <c r="L6255" s="129"/>
      <c r="M6255" s="129"/>
      <c r="N6255" s="129"/>
      <c r="O6255" s="129"/>
      <c r="P6255" s="372"/>
      <c r="Q6255" s="372"/>
      <c r="R6255" s="129"/>
      <c r="S6255" s="129"/>
      <c r="T6255" s="129"/>
      <c r="U6255" s="363"/>
      <c r="W6255" s="129" t="s">
        <v>286</v>
      </c>
      <c r="X6255" s="337" t="b">
        <f t="shared" si="136"/>
        <v>1</v>
      </c>
    </row>
    <row r="6256" spans="1:24" s="337" customFormat="1" ht="12" customHeight="1" outlineLevel="1">
      <c r="A6256" s="335"/>
      <c r="B6256" s="118" t="s">
        <v>12</v>
      </c>
      <c r="C6256" s="334" t="s">
        <v>15261</v>
      </c>
      <c r="D6256" s="124" t="s">
        <v>12591</v>
      </c>
      <c r="E6256" s="125"/>
      <c r="F6256" s="118" t="s">
        <v>1086</v>
      </c>
      <c r="G6256" s="126" t="s">
        <v>15068</v>
      </c>
      <c r="H6256" s="255">
        <v>6</v>
      </c>
      <c r="I6256" s="361">
        <v>1</v>
      </c>
      <c r="J6256" s="362" t="s">
        <v>286</v>
      </c>
      <c r="K6256" s="363"/>
      <c r="L6256" s="129"/>
      <c r="M6256" s="129"/>
      <c r="N6256" s="129"/>
      <c r="O6256" s="129"/>
      <c r="P6256" s="372"/>
      <c r="Q6256" s="372"/>
      <c r="R6256" s="129"/>
      <c r="S6256" s="129"/>
      <c r="T6256" s="129"/>
      <c r="U6256" s="363"/>
      <c r="W6256" s="129" t="s">
        <v>286</v>
      </c>
      <c r="X6256" s="337" t="b">
        <f t="shared" si="136"/>
        <v>1</v>
      </c>
    </row>
    <row r="6257" spans="1:24" s="337" customFormat="1" ht="12" customHeight="1" outlineLevel="1">
      <c r="A6257" s="335"/>
      <c r="B6257" s="118" t="s">
        <v>12</v>
      </c>
      <c r="C6257" s="334" t="s">
        <v>15262</v>
      </c>
      <c r="D6257" s="124" t="s">
        <v>15263</v>
      </c>
      <c r="E6257" s="125"/>
      <c r="F6257" s="118" t="s">
        <v>1086</v>
      </c>
      <c r="G6257" s="126" t="s">
        <v>14942</v>
      </c>
      <c r="H6257" s="255">
        <v>4</v>
      </c>
      <c r="I6257" s="361">
        <v>1</v>
      </c>
      <c r="J6257" s="362" t="s">
        <v>286</v>
      </c>
      <c r="K6257" s="363"/>
      <c r="L6257" s="129"/>
      <c r="M6257" s="129"/>
      <c r="N6257" s="129"/>
      <c r="O6257" s="129"/>
      <c r="P6257" s="372"/>
      <c r="Q6257" s="372"/>
      <c r="R6257" s="129"/>
      <c r="S6257" s="129"/>
      <c r="T6257" s="129"/>
      <c r="U6257" s="363"/>
      <c r="W6257" s="129" t="s">
        <v>286</v>
      </c>
      <c r="X6257" s="337" t="b">
        <f t="shared" si="136"/>
        <v>1</v>
      </c>
    </row>
    <row r="6258" spans="1:24" s="337" customFormat="1" ht="12" customHeight="1" outlineLevel="1">
      <c r="A6258" s="335"/>
      <c r="B6258" s="118" t="s">
        <v>12</v>
      </c>
      <c r="C6258" s="334" t="s">
        <v>15264</v>
      </c>
      <c r="D6258" s="124" t="s">
        <v>15265</v>
      </c>
      <c r="E6258" s="125"/>
      <c r="F6258" s="118" t="s">
        <v>1086</v>
      </c>
      <c r="G6258" s="126" t="s">
        <v>15068</v>
      </c>
      <c r="H6258" s="255">
        <v>6</v>
      </c>
      <c r="I6258" s="361">
        <v>1</v>
      </c>
      <c r="J6258" s="362" t="s">
        <v>286</v>
      </c>
      <c r="K6258" s="363"/>
      <c r="L6258" s="129"/>
      <c r="M6258" s="129"/>
      <c r="N6258" s="129"/>
      <c r="O6258" s="129"/>
      <c r="P6258" s="372"/>
      <c r="Q6258" s="372"/>
      <c r="R6258" s="129"/>
      <c r="S6258" s="129"/>
      <c r="T6258" s="129"/>
      <c r="U6258" s="363"/>
      <c r="W6258" s="129" t="s">
        <v>286</v>
      </c>
      <c r="X6258" s="337" t="b">
        <f t="shared" si="136"/>
        <v>1</v>
      </c>
    </row>
    <row r="6259" spans="1:24" s="337" customFormat="1" ht="12" customHeight="1" outlineLevel="1">
      <c r="A6259" s="335"/>
      <c r="B6259" s="118" t="s">
        <v>12</v>
      </c>
      <c r="C6259" s="334" t="s">
        <v>15266</v>
      </c>
      <c r="D6259" s="124" t="s">
        <v>15267</v>
      </c>
      <c r="E6259" s="125"/>
      <c r="F6259" s="118" t="s">
        <v>1086</v>
      </c>
      <c r="G6259" s="126" t="s">
        <v>15068</v>
      </c>
      <c r="H6259" s="255">
        <v>6</v>
      </c>
      <c r="I6259" s="361">
        <v>1</v>
      </c>
      <c r="J6259" s="362" t="s">
        <v>286</v>
      </c>
      <c r="K6259" s="363"/>
      <c r="L6259" s="129"/>
      <c r="M6259" s="129"/>
      <c r="N6259" s="129"/>
      <c r="O6259" s="129"/>
      <c r="P6259" s="372"/>
      <c r="Q6259" s="372"/>
      <c r="R6259" s="129"/>
      <c r="S6259" s="129"/>
      <c r="T6259" s="129"/>
      <c r="U6259" s="363"/>
      <c r="W6259" s="129" t="s">
        <v>286</v>
      </c>
      <c r="X6259" s="337" t="b">
        <f t="shared" si="136"/>
        <v>1</v>
      </c>
    </row>
    <row r="6260" spans="1:24" s="337" customFormat="1" ht="12" customHeight="1" outlineLevel="1">
      <c r="A6260" s="335"/>
      <c r="B6260" s="118" t="s">
        <v>12</v>
      </c>
      <c r="C6260" s="334" t="s">
        <v>15268</v>
      </c>
      <c r="D6260" s="124" t="s">
        <v>15269</v>
      </c>
      <c r="E6260" s="125"/>
      <c r="F6260" s="118" t="s">
        <v>1086</v>
      </c>
      <c r="G6260" s="126" t="s">
        <v>15068</v>
      </c>
      <c r="H6260" s="255">
        <v>6</v>
      </c>
      <c r="I6260" s="361">
        <v>1</v>
      </c>
      <c r="J6260" s="362" t="s">
        <v>286</v>
      </c>
      <c r="K6260" s="363"/>
      <c r="L6260" s="129"/>
      <c r="M6260" s="129"/>
      <c r="N6260" s="129"/>
      <c r="O6260" s="129"/>
      <c r="P6260" s="372"/>
      <c r="Q6260" s="372"/>
      <c r="R6260" s="129"/>
      <c r="S6260" s="129"/>
      <c r="T6260" s="129"/>
      <c r="U6260" s="363"/>
      <c r="W6260" s="129" t="s">
        <v>4876</v>
      </c>
      <c r="X6260" s="337" t="b">
        <f t="shared" si="136"/>
        <v>0</v>
      </c>
    </row>
    <row r="6261" spans="1:24" s="337" customFormat="1" ht="12" customHeight="1" outlineLevel="1">
      <c r="A6261" s="335"/>
      <c r="B6261" s="118" t="s">
        <v>12</v>
      </c>
      <c r="C6261" s="334" t="s">
        <v>15270</v>
      </c>
      <c r="D6261" s="124" t="s">
        <v>6920</v>
      </c>
      <c r="E6261" s="125"/>
      <c r="F6261" s="118" t="s">
        <v>1086</v>
      </c>
      <c r="G6261" s="126" t="s">
        <v>14942</v>
      </c>
      <c r="H6261" s="255">
        <v>4</v>
      </c>
      <c r="I6261" s="361">
        <v>1</v>
      </c>
      <c r="J6261" s="362" t="s">
        <v>286</v>
      </c>
      <c r="K6261" s="363"/>
      <c r="L6261" s="129"/>
      <c r="M6261" s="129"/>
      <c r="N6261" s="129"/>
      <c r="O6261" s="129"/>
      <c r="P6261" s="372"/>
      <c r="Q6261" s="372"/>
      <c r="R6261" s="129"/>
      <c r="S6261" s="129"/>
      <c r="T6261" s="129"/>
      <c r="U6261" s="363"/>
      <c r="W6261" s="129" t="s">
        <v>4876</v>
      </c>
      <c r="X6261" s="337" t="b">
        <f t="shared" si="136"/>
        <v>0</v>
      </c>
    </row>
    <row r="6262" spans="1:24" s="337" customFormat="1" ht="12" customHeight="1" outlineLevel="1">
      <c r="A6262" s="335"/>
      <c r="B6262" s="118" t="s">
        <v>12</v>
      </c>
      <c r="C6262" s="334" t="s">
        <v>15271</v>
      </c>
      <c r="D6262" s="124" t="s">
        <v>15272</v>
      </c>
      <c r="E6262" s="125"/>
      <c r="F6262" s="118" t="s">
        <v>1086</v>
      </c>
      <c r="G6262" s="126" t="s">
        <v>15068</v>
      </c>
      <c r="H6262" s="255">
        <v>6</v>
      </c>
      <c r="I6262" s="361">
        <v>1</v>
      </c>
      <c r="J6262" s="362" t="s">
        <v>286</v>
      </c>
      <c r="K6262" s="363"/>
      <c r="L6262" s="129"/>
      <c r="M6262" s="129"/>
      <c r="N6262" s="129"/>
      <c r="O6262" s="129"/>
      <c r="P6262" s="372"/>
      <c r="Q6262" s="372"/>
      <c r="R6262" s="129"/>
      <c r="S6262" s="129"/>
      <c r="T6262" s="129"/>
      <c r="U6262" s="363"/>
      <c r="W6262" s="129" t="s">
        <v>4876</v>
      </c>
      <c r="X6262" s="337" t="b">
        <f t="shared" si="136"/>
        <v>0</v>
      </c>
    </row>
    <row r="6263" spans="1:24" s="337" customFormat="1" ht="12" customHeight="1" outlineLevel="1">
      <c r="A6263" s="335"/>
      <c r="B6263" s="118" t="s">
        <v>12</v>
      </c>
      <c r="C6263" s="334" t="s">
        <v>15273</v>
      </c>
      <c r="D6263" s="124" t="s">
        <v>15274</v>
      </c>
      <c r="E6263" s="125"/>
      <c r="F6263" s="118" t="s">
        <v>1086</v>
      </c>
      <c r="G6263" s="126" t="s">
        <v>15068</v>
      </c>
      <c r="H6263" s="255">
        <v>6</v>
      </c>
      <c r="I6263" s="361">
        <v>1</v>
      </c>
      <c r="J6263" s="362" t="s">
        <v>286</v>
      </c>
      <c r="K6263" s="363"/>
      <c r="L6263" s="129"/>
      <c r="M6263" s="129"/>
      <c r="N6263" s="129"/>
      <c r="O6263" s="129"/>
      <c r="P6263" s="372"/>
      <c r="Q6263" s="372"/>
      <c r="R6263" s="129"/>
      <c r="S6263" s="129"/>
      <c r="T6263" s="129"/>
      <c r="U6263" s="363"/>
      <c r="W6263" s="129" t="s">
        <v>4876</v>
      </c>
      <c r="X6263" s="337" t="b">
        <f t="shared" si="136"/>
        <v>0</v>
      </c>
    </row>
    <row r="6264" spans="1:24" s="337" customFormat="1" ht="12" customHeight="1" outlineLevel="1">
      <c r="A6264" s="335"/>
      <c r="B6264" s="118" t="s">
        <v>12</v>
      </c>
      <c r="C6264" s="334" t="s">
        <v>15275</v>
      </c>
      <c r="D6264" s="124" t="s">
        <v>15276</v>
      </c>
      <c r="E6264" s="125"/>
      <c r="F6264" s="118" t="s">
        <v>1086</v>
      </c>
      <c r="G6264" s="126" t="s">
        <v>15277</v>
      </c>
      <c r="H6264" s="255">
        <v>8</v>
      </c>
      <c r="I6264" s="361">
        <v>1</v>
      </c>
      <c r="J6264" s="362" t="s">
        <v>286</v>
      </c>
      <c r="K6264" s="363"/>
      <c r="L6264" s="129"/>
      <c r="M6264" s="129"/>
      <c r="N6264" s="129"/>
      <c r="O6264" s="129"/>
      <c r="P6264" s="372"/>
      <c r="Q6264" s="372"/>
      <c r="R6264" s="129"/>
      <c r="S6264" s="129"/>
      <c r="T6264" s="129"/>
      <c r="U6264" s="363"/>
      <c r="W6264" s="129" t="s">
        <v>286</v>
      </c>
      <c r="X6264" s="337" t="b">
        <f t="shared" si="136"/>
        <v>1</v>
      </c>
    </row>
    <row r="6265" spans="1:24" s="337" customFormat="1" ht="12" customHeight="1" outlineLevel="1">
      <c r="A6265" s="335"/>
      <c r="B6265" s="118" t="s">
        <v>12</v>
      </c>
      <c r="C6265" s="334" t="s">
        <v>15278</v>
      </c>
      <c r="D6265" s="124" t="s">
        <v>15279</v>
      </c>
      <c r="E6265" s="125"/>
      <c r="F6265" s="118" t="s">
        <v>1086</v>
      </c>
      <c r="G6265" s="126" t="s">
        <v>15277</v>
      </c>
      <c r="H6265" s="255">
        <v>8</v>
      </c>
      <c r="I6265" s="361">
        <v>1</v>
      </c>
      <c r="J6265" s="362" t="s">
        <v>286</v>
      </c>
      <c r="K6265" s="363"/>
      <c r="L6265" s="129"/>
      <c r="M6265" s="129"/>
      <c r="N6265" s="129"/>
      <c r="O6265" s="129"/>
      <c r="P6265" s="372"/>
      <c r="Q6265" s="372"/>
      <c r="R6265" s="129"/>
      <c r="S6265" s="129"/>
      <c r="T6265" s="129"/>
      <c r="U6265" s="363"/>
      <c r="W6265" s="129" t="s">
        <v>286</v>
      </c>
      <c r="X6265" s="337" t="b">
        <f t="shared" si="136"/>
        <v>1</v>
      </c>
    </row>
    <row r="6266" spans="1:24" s="337" customFormat="1" ht="12" customHeight="1" outlineLevel="1">
      <c r="A6266" s="335"/>
      <c r="B6266" s="118" t="s">
        <v>12</v>
      </c>
      <c r="C6266" s="334" t="s">
        <v>15280</v>
      </c>
      <c r="D6266" s="124" t="s">
        <v>15281</v>
      </c>
      <c r="E6266" s="125"/>
      <c r="F6266" s="118" t="s">
        <v>1086</v>
      </c>
      <c r="G6266" s="126" t="s">
        <v>15277</v>
      </c>
      <c r="H6266" s="255">
        <v>8</v>
      </c>
      <c r="I6266" s="361">
        <v>1</v>
      </c>
      <c r="J6266" s="362" t="s">
        <v>286</v>
      </c>
      <c r="K6266" s="363"/>
      <c r="L6266" s="129"/>
      <c r="M6266" s="129"/>
      <c r="N6266" s="129"/>
      <c r="O6266" s="129"/>
      <c r="P6266" s="372"/>
      <c r="Q6266" s="372"/>
      <c r="R6266" s="129"/>
      <c r="S6266" s="129"/>
      <c r="T6266" s="129"/>
      <c r="U6266" s="363"/>
      <c r="W6266" s="129" t="s">
        <v>4876</v>
      </c>
      <c r="X6266" s="337" t="b">
        <f t="shared" si="136"/>
        <v>0</v>
      </c>
    </row>
    <row r="6267" spans="1:24" s="337" customFormat="1" ht="12" customHeight="1" outlineLevel="1">
      <c r="A6267" s="335"/>
      <c r="B6267" s="118" t="s">
        <v>12</v>
      </c>
      <c r="C6267" s="334" t="s">
        <v>15282</v>
      </c>
      <c r="D6267" s="124" t="s">
        <v>15283</v>
      </c>
      <c r="E6267" s="125"/>
      <c r="F6267" s="118" t="s">
        <v>1086</v>
      </c>
      <c r="G6267" s="126" t="s">
        <v>15277</v>
      </c>
      <c r="H6267" s="255">
        <v>8</v>
      </c>
      <c r="I6267" s="361">
        <v>1</v>
      </c>
      <c r="J6267" s="362" t="s">
        <v>286</v>
      </c>
      <c r="K6267" s="363"/>
      <c r="L6267" s="129"/>
      <c r="M6267" s="129"/>
      <c r="N6267" s="129"/>
      <c r="O6267" s="129"/>
      <c r="P6267" s="372"/>
      <c r="Q6267" s="372"/>
      <c r="R6267" s="129"/>
      <c r="S6267" s="129"/>
      <c r="T6267" s="129"/>
      <c r="U6267" s="363"/>
      <c r="W6267" s="129" t="s">
        <v>4876</v>
      </c>
      <c r="X6267" s="337" t="b">
        <f t="shared" si="136"/>
        <v>0</v>
      </c>
    </row>
    <row r="6268" spans="1:24" s="337" customFormat="1" ht="12" customHeight="1" outlineLevel="1">
      <c r="A6268" s="335"/>
      <c r="B6268" s="118" t="s">
        <v>12</v>
      </c>
      <c r="C6268" s="334" t="s">
        <v>15284</v>
      </c>
      <c r="D6268" s="124" t="s">
        <v>15285</v>
      </c>
      <c r="E6268" s="125"/>
      <c r="F6268" s="118" t="s">
        <v>1086</v>
      </c>
      <c r="G6268" s="126" t="s">
        <v>15277</v>
      </c>
      <c r="H6268" s="255">
        <v>8</v>
      </c>
      <c r="I6268" s="361">
        <v>1</v>
      </c>
      <c r="J6268" s="362" t="s">
        <v>286</v>
      </c>
      <c r="K6268" s="363"/>
      <c r="L6268" s="129"/>
      <c r="M6268" s="129"/>
      <c r="N6268" s="129"/>
      <c r="O6268" s="129"/>
      <c r="P6268" s="372"/>
      <c r="Q6268" s="372"/>
      <c r="R6268" s="129"/>
      <c r="S6268" s="129"/>
      <c r="T6268" s="129"/>
      <c r="U6268" s="363"/>
      <c r="W6268" s="129" t="s">
        <v>4876</v>
      </c>
      <c r="X6268" s="337" t="b">
        <f t="shared" si="136"/>
        <v>0</v>
      </c>
    </row>
    <row r="6269" spans="1:24" s="337" customFormat="1" ht="12" customHeight="1" outlineLevel="1">
      <c r="A6269" s="335"/>
      <c r="B6269" s="118" t="s">
        <v>12</v>
      </c>
      <c r="C6269" s="334" t="s">
        <v>15286</v>
      </c>
      <c r="D6269" s="124" t="s">
        <v>15287</v>
      </c>
      <c r="E6269" s="125"/>
      <c r="F6269" s="118" t="s">
        <v>1086</v>
      </c>
      <c r="G6269" s="126" t="s">
        <v>15277</v>
      </c>
      <c r="H6269" s="255">
        <v>8</v>
      </c>
      <c r="I6269" s="361">
        <v>1</v>
      </c>
      <c r="J6269" s="362" t="s">
        <v>286</v>
      </c>
      <c r="K6269" s="363"/>
      <c r="L6269" s="129"/>
      <c r="M6269" s="129"/>
      <c r="N6269" s="129"/>
      <c r="O6269" s="129"/>
      <c r="P6269" s="372"/>
      <c r="Q6269" s="372"/>
      <c r="R6269" s="129"/>
      <c r="S6269" s="129"/>
      <c r="T6269" s="129"/>
      <c r="U6269" s="363"/>
      <c r="W6269" s="129" t="s">
        <v>4876</v>
      </c>
      <c r="X6269" s="337" t="b">
        <f t="shared" si="136"/>
        <v>0</v>
      </c>
    </row>
    <row r="6270" spans="1:24" s="337" customFormat="1" ht="12" customHeight="1" outlineLevel="1">
      <c r="A6270" s="335"/>
      <c r="B6270" s="118" t="s">
        <v>12</v>
      </c>
      <c r="C6270" s="334" t="s">
        <v>15288</v>
      </c>
      <c r="D6270" s="124" t="s">
        <v>15289</v>
      </c>
      <c r="E6270" s="125"/>
      <c r="F6270" s="118" t="s">
        <v>1086</v>
      </c>
      <c r="G6270" s="126" t="s">
        <v>15290</v>
      </c>
      <c r="H6270" s="255">
        <v>9</v>
      </c>
      <c r="I6270" s="361">
        <v>1</v>
      </c>
      <c r="J6270" s="362" t="s">
        <v>286</v>
      </c>
      <c r="K6270" s="363"/>
      <c r="L6270" s="129"/>
      <c r="M6270" s="129"/>
      <c r="N6270" s="129"/>
      <c r="O6270" s="129"/>
      <c r="P6270" s="372"/>
      <c r="Q6270" s="372"/>
      <c r="R6270" s="129"/>
      <c r="S6270" s="129"/>
      <c r="T6270" s="129"/>
      <c r="U6270" s="363"/>
      <c r="W6270" s="129" t="s">
        <v>286</v>
      </c>
      <c r="X6270" s="337" t="b">
        <f t="shared" si="136"/>
        <v>1</v>
      </c>
    </row>
    <row r="6271" spans="1:24" s="337" customFormat="1" ht="12" customHeight="1" outlineLevel="1">
      <c r="A6271" s="335"/>
      <c r="B6271" s="118" t="s">
        <v>12</v>
      </c>
      <c r="C6271" s="334" t="s">
        <v>15291</v>
      </c>
      <c r="D6271" s="124" t="s">
        <v>15292</v>
      </c>
      <c r="E6271" s="125"/>
      <c r="F6271" s="118" t="s">
        <v>1086</v>
      </c>
      <c r="G6271" s="126" t="s">
        <v>15290</v>
      </c>
      <c r="H6271" s="255">
        <v>9</v>
      </c>
      <c r="I6271" s="361">
        <v>1</v>
      </c>
      <c r="J6271" s="362" t="s">
        <v>286</v>
      </c>
      <c r="K6271" s="363"/>
      <c r="L6271" s="129"/>
      <c r="M6271" s="129"/>
      <c r="N6271" s="129"/>
      <c r="O6271" s="129"/>
      <c r="P6271" s="372"/>
      <c r="Q6271" s="372"/>
      <c r="R6271" s="129"/>
      <c r="S6271" s="129"/>
      <c r="T6271" s="129"/>
      <c r="U6271" s="363"/>
      <c r="W6271" s="129" t="s">
        <v>286</v>
      </c>
      <c r="X6271" s="337" t="b">
        <f t="shared" si="136"/>
        <v>1</v>
      </c>
    </row>
    <row r="6272" spans="1:24" s="337" customFormat="1" ht="12" customHeight="1" outlineLevel="1">
      <c r="A6272" s="335"/>
      <c r="B6272" s="118" t="s">
        <v>12</v>
      </c>
      <c r="C6272" s="334" t="s">
        <v>15293</v>
      </c>
      <c r="D6272" s="124" t="s">
        <v>15294</v>
      </c>
      <c r="E6272" s="125"/>
      <c r="F6272" s="118" t="s">
        <v>1086</v>
      </c>
      <c r="G6272" s="126" t="s">
        <v>15290</v>
      </c>
      <c r="H6272" s="255">
        <v>9</v>
      </c>
      <c r="I6272" s="361">
        <v>1</v>
      </c>
      <c r="J6272" s="362" t="s">
        <v>286</v>
      </c>
      <c r="K6272" s="363"/>
      <c r="L6272" s="129"/>
      <c r="M6272" s="129"/>
      <c r="N6272" s="129"/>
      <c r="O6272" s="129"/>
      <c r="P6272" s="372"/>
      <c r="Q6272" s="372"/>
      <c r="R6272" s="129"/>
      <c r="S6272" s="129"/>
      <c r="T6272" s="129"/>
      <c r="U6272" s="363"/>
      <c r="W6272" s="129" t="s">
        <v>286</v>
      </c>
      <c r="X6272" s="337" t="b">
        <f t="shared" si="136"/>
        <v>1</v>
      </c>
    </row>
    <row r="6273" spans="1:24" s="337" customFormat="1" ht="12" customHeight="1" outlineLevel="1">
      <c r="A6273" s="335"/>
      <c r="B6273" s="118" t="s">
        <v>12</v>
      </c>
      <c r="C6273" s="334" t="s">
        <v>15295</v>
      </c>
      <c r="D6273" s="124" t="s">
        <v>7066</v>
      </c>
      <c r="E6273" s="125"/>
      <c r="F6273" s="118" t="s">
        <v>1086</v>
      </c>
      <c r="G6273" s="126" t="s">
        <v>15290</v>
      </c>
      <c r="H6273" s="255">
        <v>9</v>
      </c>
      <c r="I6273" s="361">
        <v>1</v>
      </c>
      <c r="J6273" s="362" t="s">
        <v>286</v>
      </c>
      <c r="K6273" s="363"/>
      <c r="L6273" s="129"/>
      <c r="M6273" s="129"/>
      <c r="N6273" s="129"/>
      <c r="O6273" s="129"/>
      <c r="P6273" s="372"/>
      <c r="Q6273" s="372"/>
      <c r="R6273" s="129"/>
      <c r="S6273" s="129"/>
      <c r="T6273" s="129"/>
      <c r="U6273" s="363"/>
      <c r="W6273" s="129" t="s">
        <v>4876</v>
      </c>
      <c r="X6273" s="337" t="b">
        <f t="shared" si="136"/>
        <v>0</v>
      </c>
    </row>
    <row r="6274" spans="1:24" s="337" customFormat="1" ht="12" customHeight="1" outlineLevel="1">
      <c r="A6274" s="335"/>
      <c r="B6274" s="118" t="s">
        <v>12</v>
      </c>
      <c r="C6274" s="334" t="s">
        <v>15296</v>
      </c>
      <c r="D6274" s="124" t="s">
        <v>7068</v>
      </c>
      <c r="E6274" s="125"/>
      <c r="F6274" s="118" t="s">
        <v>1086</v>
      </c>
      <c r="G6274" s="126" t="s">
        <v>15290</v>
      </c>
      <c r="H6274" s="255">
        <v>9</v>
      </c>
      <c r="I6274" s="361">
        <v>1</v>
      </c>
      <c r="J6274" s="362" t="s">
        <v>286</v>
      </c>
      <c r="K6274" s="363"/>
      <c r="L6274" s="129"/>
      <c r="M6274" s="129"/>
      <c r="N6274" s="129"/>
      <c r="O6274" s="129"/>
      <c r="P6274" s="372"/>
      <c r="Q6274" s="372"/>
      <c r="R6274" s="129"/>
      <c r="S6274" s="129"/>
      <c r="T6274" s="129"/>
      <c r="U6274" s="363"/>
      <c r="W6274" s="129" t="s">
        <v>4876</v>
      </c>
      <c r="X6274" s="337" t="b">
        <f t="shared" si="136"/>
        <v>0</v>
      </c>
    </row>
    <row r="6275" spans="1:24" s="337" customFormat="1" ht="12" customHeight="1" outlineLevel="1">
      <c r="A6275" s="335"/>
      <c r="B6275" s="118" t="s">
        <v>12</v>
      </c>
      <c r="C6275" s="334" t="s">
        <v>15297</v>
      </c>
      <c r="D6275" s="124" t="s">
        <v>7070</v>
      </c>
      <c r="E6275" s="125"/>
      <c r="F6275" s="118" t="s">
        <v>1086</v>
      </c>
      <c r="G6275" s="126" t="s">
        <v>15290</v>
      </c>
      <c r="H6275" s="255">
        <v>9</v>
      </c>
      <c r="I6275" s="361">
        <v>1</v>
      </c>
      <c r="J6275" s="362" t="s">
        <v>286</v>
      </c>
      <c r="K6275" s="363"/>
      <c r="L6275" s="129"/>
      <c r="M6275" s="129"/>
      <c r="N6275" s="129"/>
      <c r="O6275" s="129"/>
      <c r="P6275" s="372"/>
      <c r="Q6275" s="372"/>
      <c r="R6275" s="129"/>
      <c r="S6275" s="129"/>
      <c r="T6275" s="129"/>
      <c r="U6275" s="363"/>
      <c r="W6275" s="129" t="s">
        <v>4876</v>
      </c>
      <c r="X6275" s="337" t="b">
        <f t="shared" si="136"/>
        <v>0</v>
      </c>
    </row>
    <row r="6276" spans="1:24" s="337" customFormat="1" ht="12" customHeight="1" outlineLevel="1">
      <c r="A6276" s="335"/>
      <c r="B6276" s="118" t="s">
        <v>12</v>
      </c>
      <c r="C6276" s="334" t="s">
        <v>15298</v>
      </c>
      <c r="D6276" s="124" t="s">
        <v>7072</v>
      </c>
      <c r="E6276" s="125"/>
      <c r="F6276" s="118" t="s">
        <v>1086</v>
      </c>
      <c r="G6276" s="126" t="s">
        <v>15290</v>
      </c>
      <c r="H6276" s="255">
        <v>9</v>
      </c>
      <c r="I6276" s="361">
        <v>1</v>
      </c>
      <c r="J6276" s="362" t="s">
        <v>286</v>
      </c>
      <c r="K6276" s="363"/>
      <c r="L6276" s="129"/>
      <c r="M6276" s="129"/>
      <c r="N6276" s="129"/>
      <c r="O6276" s="129"/>
      <c r="P6276" s="372"/>
      <c r="Q6276" s="372"/>
      <c r="R6276" s="129"/>
      <c r="S6276" s="129"/>
      <c r="T6276" s="129"/>
      <c r="U6276" s="363"/>
      <c r="W6276" s="129" t="s">
        <v>4876</v>
      </c>
      <c r="X6276" s="337" t="b">
        <f t="shared" si="136"/>
        <v>0</v>
      </c>
    </row>
    <row r="6277" spans="1:24" s="337" customFormat="1" ht="12" customHeight="1" outlineLevel="1">
      <c r="A6277" s="335"/>
      <c r="B6277" s="118" t="s">
        <v>12</v>
      </c>
      <c r="C6277" s="334" t="s">
        <v>15299</v>
      </c>
      <c r="D6277" s="124" t="s">
        <v>7074</v>
      </c>
      <c r="E6277" s="125"/>
      <c r="F6277" s="118" t="s">
        <v>1086</v>
      </c>
      <c r="G6277" s="126" t="s">
        <v>15290</v>
      </c>
      <c r="H6277" s="255">
        <v>9</v>
      </c>
      <c r="I6277" s="361">
        <v>1</v>
      </c>
      <c r="J6277" s="362" t="s">
        <v>286</v>
      </c>
      <c r="K6277" s="363"/>
      <c r="L6277" s="129"/>
      <c r="M6277" s="129"/>
      <c r="N6277" s="129"/>
      <c r="O6277" s="129"/>
      <c r="P6277" s="372"/>
      <c r="Q6277" s="372"/>
      <c r="R6277" s="129"/>
      <c r="S6277" s="129"/>
      <c r="T6277" s="129"/>
      <c r="U6277" s="363"/>
      <c r="W6277" s="129" t="s">
        <v>4876</v>
      </c>
      <c r="X6277" s="337" t="b">
        <f t="shared" si="136"/>
        <v>0</v>
      </c>
    </row>
    <row r="6278" spans="1:24" s="337" customFormat="1" ht="12" customHeight="1" outlineLevel="1">
      <c r="A6278" s="335"/>
      <c r="B6278" s="118" t="s">
        <v>12</v>
      </c>
      <c r="C6278" s="334" t="s">
        <v>15300</v>
      </c>
      <c r="D6278" s="124" t="s">
        <v>7076</v>
      </c>
      <c r="E6278" s="125"/>
      <c r="F6278" s="118" t="s">
        <v>1086</v>
      </c>
      <c r="G6278" s="126" t="s">
        <v>15290</v>
      </c>
      <c r="H6278" s="255">
        <v>9</v>
      </c>
      <c r="I6278" s="361">
        <v>1</v>
      </c>
      <c r="J6278" s="362" t="s">
        <v>286</v>
      </c>
      <c r="K6278" s="363"/>
      <c r="L6278" s="129"/>
      <c r="M6278" s="129"/>
      <c r="N6278" s="129"/>
      <c r="O6278" s="129"/>
      <c r="P6278" s="372"/>
      <c r="Q6278" s="372"/>
      <c r="R6278" s="129"/>
      <c r="S6278" s="129"/>
      <c r="T6278" s="129"/>
      <c r="U6278" s="363"/>
      <c r="W6278" s="129" t="s">
        <v>4876</v>
      </c>
      <c r="X6278" s="337" t="b">
        <f t="shared" si="136"/>
        <v>0</v>
      </c>
    </row>
    <row r="6279" spans="1:24" s="337" customFormat="1" ht="12" customHeight="1" outlineLevel="1">
      <c r="A6279" s="335"/>
      <c r="B6279" s="118" t="s">
        <v>12</v>
      </c>
      <c r="C6279" s="334" t="s">
        <v>15301</v>
      </c>
      <c r="D6279" s="124" t="s">
        <v>15302</v>
      </c>
      <c r="E6279" s="125"/>
      <c r="F6279" s="118" t="s">
        <v>1086</v>
      </c>
      <c r="G6279" s="126" t="s">
        <v>15290</v>
      </c>
      <c r="H6279" s="255">
        <v>9</v>
      </c>
      <c r="I6279" s="361">
        <v>1</v>
      </c>
      <c r="J6279" s="362" t="s">
        <v>286</v>
      </c>
      <c r="K6279" s="363"/>
      <c r="L6279" s="129"/>
      <c r="M6279" s="129"/>
      <c r="N6279" s="129"/>
      <c r="O6279" s="129"/>
      <c r="P6279" s="372"/>
      <c r="Q6279" s="372"/>
      <c r="R6279" s="129"/>
      <c r="S6279" s="129"/>
      <c r="T6279" s="129"/>
      <c r="U6279" s="363"/>
      <c r="W6279" s="129" t="s">
        <v>286</v>
      </c>
      <c r="X6279" s="337" t="b">
        <f t="shared" si="136"/>
        <v>1</v>
      </c>
    </row>
    <row r="6280" spans="1:24" s="337" customFormat="1" ht="12" customHeight="1" outlineLevel="1">
      <c r="A6280" s="335"/>
      <c r="B6280" s="118" t="s">
        <v>12</v>
      </c>
      <c r="C6280" s="334" t="s">
        <v>15303</v>
      </c>
      <c r="D6280" s="124" t="s">
        <v>7090</v>
      </c>
      <c r="E6280" s="125"/>
      <c r="F6280" s="118" t="s">
        <v>1086</v>
      </c>
      <c r="G6280" s="126" t="s">
        <v>15290</v>
      </c>
      <c r="H6280" s="255">
        <v>9</v>
      </c>
      <c r="I6280" s="361">
        <v>1</v>
      </c>
      <c r="J6280" s="362" t="s">
        <v>286</v>
      </c>
      <c r="K6280" s="363"/>
      <c r="L6280" s="129"/>
      <c r="M6280" s="129"/>
      <c r="N6280" s="129"/>
      <c r="O6280" s="129"/>
      <c r="P6280" s="372"/>
      <c r="Q6280" s="372"/>
      <c r="R6280" s="129"/>
      <c r="S6280" s="129"/>
      <c r="T6280" s="129"/>
      <c r="U6280" s="363"/>
      <c r="W6280" s="129" t="s">
        <v>4876</v>
      </c>
      <c r="X6280" s="337" t="b">
        <f t="shared" si="136"/>
        <v>0</v>
      </c>
    </row>
    <row r="6281" spans="1:24" s="337" customFormat="1" ht="12" customHeight="1" outlineLevel="1">
      <c r="A6281" s="335"/>
      <c r="B6281" s="118" t="s">
        <v>12</v>
      </c>
      <c r="C6281" s="334" t="s">
        <v>15304</v>
      </c>
      <c r="D6281" s="124" t="s">
        <v>15305</v>
      </c>
      <c r="E6281" s="125"/>
      <c r="F6281" s="118" t="s">
        <v>1086</v>
      </c>
      <c r="G6281" s="126" t="s">
        <v>15290</v>
      </c>
      <c r="H6281" s="255">
        <v>9</v>
      </c>
      <c r="I6281" s="361">
        <v>1</v>
      </c>
      <c r="J6281" s="362" t="s">
        <v>286</v>
      </c>
      <c r="K6281" s="363"/>
      <c r="L6281" s="129"/>
      <c r="M6281" s="129"/>
      <c r="N6281" s="129"/>
      <c r="O6281" s="129"/>
      <c r="P6281" s="372"/>
      <c r="Q6281" s="372"/>
      <c r="R6281" s="129"/>
      <c r="S6281" s="129"/>
      <c r="T6281" s="129"/>
      <c r="U6281" s="363"/>
      <c r="W6281" s="129" t="s">
        <v>4876</v>
      </c>
      <c r="X6281" s="337" t="b">
        <f t="shared" si="136"/>
        <v>0</v>
      </c>
    </row>
    <row r="6282" spans="1:24" s="337" customFormat="1" ht="12" customHeight="1" outlineLevel="1">
      <c r="A6282" s="335"/>
      <c r="B6282" s="118" t="s">
        <v>12</v>
      </c>
      <c r="C6282" s="334" t="s">
        <v>15306</v>
      </c>
      <c r="D6282" s="124" t="s">
        <v>15307</v>
      </c>
      <c r="E6282" s="125"/>
      <c r="F6282" s="118" t="s">
        <v>1086</v>
      </c>
      <c r="G6282" s="126" t="s">
        <v>15290</v>
      </c>
      <c r="H6282" s="255">
        <v>9</v>
      </c>
      <c r="I6282" s="361">
        <v>1</v>
      </c>
      <c r="J6282" s="362" t="s">
        <v>286</v>
      </c>
      <c r="K6282" s="363"/>
      <c r="L6282" s="129"/>
      <c r="M6282" s="129"/>
      <c r="N6282" s="129"/>
      <c r="O6282" s="129"/>
      <c r="P6282" s="372"/>
      <c r="Q6282" s="372"/>
      <c r="R6282" s="129"/>
      <c r="S6282" s="129"/>
      <c r="T6282" s="129"/>
      <c r="U6282" s="363"/>
      <c r="W6282" s="129" t="s">
        <v>4876</v>
      </c>
      <c r="X6282" s="337" t="b">
        <f t="shared" si="136"/>
        <v>0</v>
      </c>
    </row>
    <row r="6283" spans="1:24" s="337" customFormat="1" ht="12" customHeight="1" outlineLevel="1">
      <c r="A6283" s="335"/>
      <c r="B6283" s="118" t="s">
        <v>12</v>
      </c>
      <c r="C6283" s="334" t="s">
        <v>15308</v>
      </c>
      <c r="D6283" s="124" t="s">
        <v>15309</v>
      </c>
      <c r="E6283" s="125"/>
      <c r="F6283" s="118" t="s">
        <v>1086</v>
      </c>
      <c r="G6283" s="126" t="s">
        <v>15290</v>
      </c>
      <c r="H6283" s="255">
        <v>9</v>
      </c>
      <c r="I6283" s="361">
        <v>1</v>
      </c>
      <c r="J6283" s="362" t="s">
        <v>286</v>
      </c>
      <c r="K6283" s="363"/>
      <c r="L6283" s="129"/>
      <c r="M6283" s="129"/>
      <c r="N6283" s="129"/>
      <c r="O6283" s="129"/>
      <c r="P6283" s="372"/>
      <c r="Q6283" s="372"/>
      <c r="R6283" s="129"/>
      <c r="S6283" s="129"/>
      <c r="T6283" s="129"/>
      <c r="U6283" s="363"/>
      <c r="W6283" s="129" t="s">
        <v>4876</v>
      </c>
      <c r="X6283" s="337" t="b">
        <f t="shared" si="136"/>
        <v>0</v>
      </c>
    </row>
    <row r="6284" spans="1:24" ht="3" customHeight="1">
      <c r="A6284" s="370"/>
      <c r="B6284" s="118"/>
      <c r="C6284" s="334"/>
      <c r="D6284" s="124"/>
      <c r="E6284" s="125"/>
      <c r="F6284" s="118"/>
      <c r="G6284" s="126"/>
      <c r="H6284" s="255"/>
      <c r="K6284" s="363"/>
      <c r="L6284" s="129"/>
      <c r="M6284" s="129"/>
      <c r="N6284" s="129"/>
      <c r="O6284" s="129"/>
      <c r="P6284" s="372"/>
      <c r="Q6284" s="372"/>
      <c r="R6284" s="372"/>
      <c r="S6284" s="129"/>
      <c r="T6284" s="129"/>
      <c r="W6284" s="129"/>
    </row>
    <row r="6285" spans="1:24" s="360" customFormat="1" ht="12" customHeight="1">
      <c r="A6285" s="110" t="s">
        <v>1101</v>
      </c>
      <c r="B6285" s="118"/>
      <c r="C6285" s="334"/>
      <c r="D6285" s="124"/>
      <c r="E6285" s="125"/>
      <c r="F6285" s="118"/>
      <c r="G6285" s="126"/>
      <c r="H6285" s="255"/>
      <c r="I6285" s="62"/>
      <c r="J6285" s="358"/>
      <c r="K6285" s="62"/>
      <c r="L6285" s="62"/>
      <c r="M6285" s="62"/>
      <c r="N6285" s="62"/>
      <c r="O6285" s="62"/>
      <c r="P6285" s="359"/>
      <c r="Q6285" s="359"/>
      <c r="R6285" s="359"/>
      <c r="S6285" s="359"/>
      <c r="T6285" s="359"/>
      <c r="W6285" s="359"/>
    </row>
    <row r="6286" spans="1:24" s="386" customFormat="1" ht="12" customHeight="1" outlineLevel="1">
      <c r="A6286" s="382"/>
      <c r="B6286" s="118" t="s">
        <v>12</v>
      </c>
      <c r="C6286" s="334" t="s">
        <v>15310</v>
      </c>
      <c r="D6286" s="124" t="s">
        <v>15311</v>
      </c>
      <c r="E6286" s="125"/>
      <c r="F6286" s="118" t="s">
        <v>1104</v>
      </c>
      <c r="G6286" s="126" t="s">
        <v>15312</v>
      </c>
      <c r="H6286" s="255">
        <v>1</v>
      </c>
      <c r="I6286" s="361">
        <v>1</v>
      </c>
      <c r="J6286" s="371" t="s">
        <v>286</v>
      </c>
      <c r="K6286" s="373"/>
      <c r="L6286" s="129"/>
      <c r="M6286" s="129"/>
      <c r="N6286" s="129"/>
      <c r="O6286" s="129"/>
      <c r="P6286" s="364"/>
      <c r="Q6286" s="364"/>
      <c r="R6286" s="129"/>
      <c r="S6286" s="129"/>
      <c r="T6286" s="129"/>
      <c r="W6286" s="129" t="s">
        <v>4876</v>
      </c>
      <c r="X6286" s="337" t="b">
        <f t="shared" ref="X6286:X6349" si="137">W6286=J6286</f>
        <v>0</v>
      </c>
    </row>
    <row r="6287" spans="1:24" s="386" customFormat="1" ht="12" customHeight="1" outlineLevel="1">
      <c r="A6287" s="382"/>
      <c r="B6287" s="118" t="s">
        <v>12</v>
      </c>
      <c r="C6287" s="334" t="s">
        <v>15313</v>
      </c>
      <c r="D6287" s="124" t="s">
        <v>15311</v>
      </c>
      <c r="E6287" s="125"/>
      <c r="F6287" s="118" t="s">
        <v>1104</v>
      </c>
      <c r="G6287" s="126" t="s">
        <v>15312</v>
      </c>
      <c r="H6287" s="255">
        <v>1</v>
      </c>
      <c r="I6287" s="361">
        <v>1</v>
      </c>
      <c r="J6287" s="371" t="s">
        <v>286</v>
      </c>
      <c r="K6287" s="373"/>
      <c r="L6287" s="129"/>
      <c r="M6287" s="129"/>
      <c r="N6287" s="129"/>
      <c r="O6287" s="129"/>
      <c r="P6287" s="364"/>
      <c r="Q6287" s="364"/>
      <c r="R6287" s="129"/>
      <c r="S6287" s="129"/>
      <c r="T6287" s="129"/>
      <c r="W6287" s="129" t="s">
        <v>4876</v>
      </c>
      <c r="X6287" s="337" t="b">
        <f t="shared" si="137"/>
        <v>0</v>
      </c>
    </row>
    <row r="6288" spans="1:24" s="386" customFormat="1" ht="12" customHeight="1" outlineLevel="1">
      <c r="A6288" s="382"/>
      <c r="B6288" s="118" t="s">
        <v>12</v>
      </c>
      <c r="C6288" s="334" t="s">
        <v>15314</v>
      </c>
      <c r="D6288" s="124" t="s">
        <v>15315</v>
      </c>
      <c r="E6288" s="125"/>
      <c r="F6288" s="118" t="s">
        <v>1104</v>
      </c>
      <c r="G6288" s="126" t="s">
        <v>15312</v>
      </c>
      <c r="H6288" s="255">
        <v>1</v>
      </c>
      <c r="I6288" s="361">
        <v>1</v>
      </c>
      <c r="J6288" s="371" t="s">
        <v>325</v>
      </c>
      <c r="K6288" s="373"/>
      <c r="L6288" s="129"/>
      <c r="M6288" s="129"/>
      <c r="N6288" s="129"/>
      <c r="O6288" s="129"/>
      <c r="P6288" s="364"/>
      <c r="Q6288" s="364"/>
      <c r="R6288" s="129"/>
      <c r="S6288" s="129"/>
      <c r="T6288" s="129"/>
      <c r="W6288" s="129" t="s">
        <v>325</v>
      </c>
      <c r="X6288" s="337" t="b">
        <f t="shared" si="137"/>
        <v>1</v>
      </c>
    </row>
    <row r="6289" spans="1:24" s="386" customFormat="1" ht="12" customHeight="1" outlineLevel="1">
      <c r="A6289" s="382"/>
      <c r="B6289" s="118" t="s">
        <v>12</v>
      </c>
      <c r="C6289" s="334" t="s">
        <v>15316</v>
      </c>
      <c r="D6289" s="124" t="s">
        <v>15317</v>
      </c>
      <c r="E6289" s="125"/>
      <c r="F6289" s="118" t="s">
        <v>1104</v>
      </c>
      <c r="G6289" s="126" t="s">
        <v>15312</v>
      </c>
      <c r="H6289" s="255">
        <v>1</v>
      </c>
      <c r="I6289" s="361">
        <v>1</v>
      </c>
      <c r="J6289" s="371" t="s">
        <v>286</v>
      </c>
      <c r="K6289" s="373"/>
      <c r="L6289" s="129"/>
      <c r="M6289" s="129"/>
      <c r="N6289" s="129"/>
      <c r="O6289" s="129"/>
      <c r="P6289" s="364"/>
      <c r="Q6289" s="364"/>
      <c r="R6289" s="129"/>
      <c r="S6289" s="129"/>
      <c r="T6289" s="129"/>
      <c r="W6289" s="129" t="s">
        <v>4876</v>
      </c>
      <c r="X6289" s="337" t="b">
        <f t="shared" si="137"/>
        <v>0</v>
      </c>
    </row>
    <row r="6290" spans="1:24" s="386" customFormat="1" ht="12" customHeight="1" outlineLevel="1">
      <c r="A6290" s="382"/>
      <c r="B6290" s="118" t="s">
        <v>12</v>
      </c>
      <c r="C6290" s="334" t="s">
        <v>15318</v>
      </c>
      <c r="D6290" s="124" t="s">
        <v>15319</v>
      </c>
      <c r="E6290" s="125"/>
      <c r="F6290" s="118" t="s">
        <v>1104</v>
      </c>
      <c r="G6290" s="126" t="s">
        <v>15312</v>
      </c>
      <c r="H6290" s="255">
        <v>1</v>
      </c>
      <c r="I6290" s="361">
        <v>1</v>
      </c>
      <c r="J6290" s="371" t="s">
        <v>307</v>
      </c>
      <c r="K6290" s="373"/>
      <c r="L6290" s="129"/>
      <c r="M6290" s="129"/>
      <c r="N6290" s="129"/>
      <c r="O6290" s="129"/>
      <c r="P6290" s="364"/>
      <c r="Q6290" s="364"/>
      <c r="R6290" s="129"/>
      <c r="S6290" s="129"/>
      <c r="T6290" s="129"/>
      <c r="W6290" s="129" t="s">
        <v>4876</v>
      </c>
      <c r="X6290" s="337" t="b">
        <f t="shared" si="137"/>
        <v>0</v>
      </c>
    </row>
    <row r="6291" spans="1:24" s="386" customFormat="1" ht="12" customHeight="1" outlineLevel="1">
      <c r="A6291" s="382"/>
      <c r="B6291" s="118" t="s">
        <v>12</v>
      </c>
      <c r="C6291" s="334" t="s">
        <v>15320</v>
      </c>
      <c r="D6291" s="124" t="s">
        <v>15321</v>
      </c>
      <c r="E6291" s="125"/>
      <c r="F6291" s="118" t="s">
        <v>1104</v>
      </c>
      <c r="G6291" s="126" t="s">
        <v>15312</v>
      </c>
      <c r="H6291" s="255">
        <v>1</v>
      </c>
      <c r="I6291" s="361">
        <v>1</v>
      </c>
      <c r="J6291" s="371" t="s">
        <v>325</v>
      </c>
      <c r="K6291" s="373"/>
      <c r="L6291" s="129"/>
      <c r="M6291" s="129"/>
      <c r="N6291" s="129"/>
      <c r="O6291" s="129"/>
      <c r="P6291" s="364"/>
      <c r="Q6291" s="364"/>
      <c r="R6291" s="129"/>
      <c r="S6291" s="129"/>
      <c r="T6291" s="129"/>
      <c r="W6291" s="129" t="s">
        <v>4876</v>
      </c>
      <c r="X6291" s="337" t="b">
        <f t="shared" si="137"/>
        <v>0</v>
      </c>
    </row>
    <row r="6292" spans="1:24" s="386" customFormat="1" ht="12" customHeight="1" outlineLevel="1">
      <c r="A6292" s="382"/>
      <c r="B6292" s="118" t="s">
        <v>12</v>
      </c>
      <c r="C6292" s="334" t="s">
        <v>15322</v>
      </c>
      <c r="D6292" s="124" t="s">
        <v>15323</v>
      </c>
      <c r="E6292" s="125"/>
      <c r="F6292" s="118" t="s">
        <v>1104</v>
      </c>
      <c r="G6292" s="126" t="s">
        <v>15312</v>
      </c>
      <c r="H6292" s="255">
        <v>1</v>
      </c>
      <c r="I6292" s="361">
        <v>1</v>
      </c>
      <c r="J6292" s="371" t="s">
        <v>310</v>
      </c>
      <c r="K6292" s="373"/>
      <c r="L6292" s="129"/>
      <c r="M6292" s="129"/>
      <c r="N6292" s="129"/>
      <c r="O6292" s="129"/>
      <c r="P6292" s="364"/>
      <c r="Q6292" s="364"/>
      <c r="R6292" s="129"/>
      <c r="S6292" s="129"/>
      <c r="T6292" s="129"/>
      <c r="W6292" s="129" t="s">
        <v>286</v>
      </c>
      <c r="X6292" s="337" t="b">
        <f t="shared" si="137"/>
        <v>0</v>
      </c>
    </row>
    <row r="6293" spans="1:24" s="386" customFormat="1" ht="12" customHeight="1" outlineLevel="1">
      <c r="A6293" s="382"/>
      <c r="B6293" s="118" t="s">
        <v>12</v>
      </c>
      <c r="C6293" s="334" t="s">
        <v>15324</v>
      </c>
      <c r="D6293" s="124" t="s">
        <v>15325</v>
      </c>
      <c r="E6293" s="125"/>
      <c r="F6293" s="118" t="s">
        <v>1104</v>
      </c>
      <c r="G6293" s="126" t="s">
        <v>15326</v>
      </c>
      <c r="H6293" s="255">
        <v>2</v>
      </c>
      <c r="I6293" s="361">
        <v>1</v>
      </c>
      <c r="J6293" s="371" t="s">
        <v>286</v>
      </c>
      <c r="K6293" s="373"/>
      <c r="L6293" s="129"/>
      <c r="M6293" s="129"/>
      <c r="N6293" s="129"/>
      <c r="O6293" s="129"/>
      <c r="P6293" s="364"/>
      <c r="Q6293" s="364"/>
      <c r="R6293" s="129"/>
      <c r="S6293" s="129"/>
      <c r="T6293" s="129"/>
      <c r="W6293" s="129" t="s">
        <v>310</v>
      </c>
      <c r="X6293" s="337" t="b">
        <f t="shared" si="137"/>
        <v>0</v>
      </c>
    </row>
    <row r="6294" spans="1:24" s="386" customFormat="1" ht="12" customHeight="1" outlineLevel="1">
      <c r="A6294" s="382"/>
      <c r="B6294" s="118" t="s">
        <v>12</v>
      </c>
      <c r="C6294" s="334" t="s">
        <v>15327</v>
      </c>
      <c r="D6294" s="124" t="s">
        <v>15328</v>
      </c>
      <c r="E6294" s="125"/>
      <c r="F6294" s="118" t="s">
        <v>1104</v>
      </c>
      <c r="G6294" s="126" t="s">
        <v>15312</v>
      </c>
      <c r="H6294" s="255">
        <v>1</v>
      </c>
      <c r="I6294" s="361">
        <v>1</v>
      </c>
      <c r="J6294" s="371" t="s">
        <v>286</v>
      </c>
      <c r="K6294" s="373"/>
      <c r="L6294" s="129"/>
      <c r="M6294" s="129"/>
      <c r="N6294" s="129"/>
      <c r="O6294" s="129"/>
      <c r="P6294" s="364"/>
      <c r="Q6294" s="364"/>
      <c r="R6294" s="129"/>
      <c r="S6294" s="129"/>
      <c r="T6294" s="129"/>
      <c r="W6294" s="129" t="s">
        <v>286</v>
      </c>
      <c r="X6294" s="337" t="b">
        <f t="shared" si="137"/>
        <v>1</v>
      </c>
    </row>
    <row r="6295" spans="1:24" s="386" customFormat="1" ht="12" customHeight="1" outlineLevel="1">
      <c r="A6295" s="382"/>
      <c r="B6295" s="118" t="s">
        <v>12</v>
      </c>
      <c r="C6295" s="334" t="s">
        <v>15329</v>
      </c>
      <c r="D6295" s="124" t="s">
        <v>15330</v>
      </c>
      <c r="E6295" s="125"/>
      <c r="F6295" s="118" t="s">
        <v>1104</v>
      </c>
      <c r="G6295" s="126" t="s">
        <v>15326</v>
      </c>
      <c r="H6295" s="255">
        <v>2</v>
      </c>
      <c r="I6295" s="361">
        <v>1</v>
      </c>
      <c r="J6295" s="371" t="s">
        <v>307</v>
      </c>
      <c r="K6295" s="373"/>
      <c r="L6295" s="129"/>
      <c r="M6295" s="129"/>
      <c r="N6295" s="129"/>
      <c r="O6295" s="129"/>
      <c r="P6295" s="364"/>
      <c r="Q6295" s="364"/>
      <c r="R6295" s="129"/>
      <c r="S6295" s="129"/>
      <c r="T6295" s="129"/>
      <c r="W6295" s="129" t="s">
        <v>310</v>
      </c>
      <c r="X6295" s="337" t="b">
        <f t="shared" si="137"/>
        <v>0</v>
      </c>
    </row>
    <row r="6296" spans="1:24" s="386" customFormat="1" ht="12" customHeight="1" outlineLevel="1">
      <c r="A6296" s="382"/>
      <c r="B6296" s="118" t="s">
        <v>12</v>
      </c>
      <c r="C6296" s="334" t="s">
        <v>15331</v>
      </c>
      <c r="D6296" s="124" t="s">
        <v>15332</v>
      </c>
      <c r="E6296" s="125"/>
      <c r="F6296" s="118" t="s">
        <v>1104</v>
      </c>
      <c r="G6296" s="126" t="s">
        <v>15326</v>
      </c>
      <c r="H6296" s="255">
        <v>2</v>
      </c>
      <c r="I6296" s="361">
        <v>1</v>
      </c>
      <c r="J6296" s="371" t="s">
        <v>307</v>
      </c>
      <c r="K6296" s="373"/>
      <c r="L6296" s="129"/>
      <c r="M6296" s="129"/>
      <c r="N6296" s="129"/>
      <c r="O6296" s="129"/>
      <c r="P6296" s="364"/>
      <c r="Q6296" s="364"/>
      <c r="R6296" s="129"/>
      <c r="S6296" s="129"/>
      <c r="T6296" s="129"/>
      <c r="W6296" s="129" t="s">
        <v>310</v>
      </c>
      <c r="X6296" s="337" t="b">
        <f t="shared" si="137"/>
        <v>0</v>
      </c>
    </row>
    <row r="6297" spans="1:24" s="386" customFormat="1" ht="12" customHeight="1" outlineLevel="1">
      <c r="A6297" s="382"/>
      <c r="B6297" s="118" t="s">
        <v>12</v>
      </c>
      <c r="C6297" s="334" t="s">
        <v>15333</v>
      </c>
      <c r="D6297" s="124" t="s">
        <v>15334</v>
      </c>
      <c r="E6297" s="125"/>
      <c r="F6297" s="118" t="s">
        <v>1104</v>
      </c>
      <c r="G6297" s="126" t="s">
        <v>15326</v>
      </c>
      <c r="H6297" s="255">
        <v>2</v>
      </c>
      <c r="I6297" s="361">
        <v>1</v>
      </c>
      <c r="J6297" s="371" t="s">
        <v>310</v>
      </c>
      <c r="K6297" s="373"/>
      <c r="L6297" s="129"/>
      <c r="M6297" s="129"/>
      <c r="N6297" s="129"/>
      <c r="O6297" s="129"/>
      <c r="P6297" s="364"/>
      <c r="Q6297" s="364"/>
      <c r="R6297" s="129"/>
      <c r="S6297" s="129"/>
      <c r="T6297" s="129"/>
      <c r="W6297" s="129" t="s">
        <v>286</v>
      </c>
      <c r="X6297" s="337" t="b">
        <f t="shared" si="137"/>
        <v>0</v>
      </c>
    </row>
    <row r="6298" spans="1:24" s="386" customFormat="1" ht="12" customHeight="1" outlineLevel="1">
      <c r="A6298" s="382"/>
      <c r="B6298" s="118" t="s">
        <v>12</v>
      </c>
      <c r="C6298" s="334" t="s">
        <v>15335</v>
      </c>
      <c r="D6298" s="124" t="s">
        <v>15336</v>
      </c>
      <c r="E6298" s="125"/>
      <c r="F6298" s="118" t="s">
        <v>1104</v>
      </c>
      <c r="G6298" s="126" t="s">
        <v>15326</v>
      </c>
      <c r="H6298" s="255">
        <v>2</v>
      </c>
      <c r="I6298" s="361">
        <v>1</v>
      </c>
      <c r="J6298" s="371" t="s">
        <v>307</v>
      </c>
      <c r="K6298" s="373"/>
      <c r="L6298" s="129"/>
      <c r="M6298" s="129"/>
      <c r="N6298" s="129"/>
      <c r="O6298" s="129"/>
      <c r="P6298" s="364"/>
      <c r="Q6298" s="364"/>
      <c r="R6298" s="129"/>
      <c r="S6298" s="129"/>
      <c r="T6298" s="129"/>
      <c r="W6298" s="129" t="s">
        <v>310</v>
      </c>
      <c r="X6298" s="337" t="b">
        <f t="shared" si="137"/>
        <v>0</v>
      </c>
    </row>
    <row r="6299" spans="1:24" s="386" customFormat="1" ht="12" customHeight="1" outlineLevel="1">
      <c r="A6299" s="382"/>
      <c r="B6299" s="118" t="s">
        <v>12</v>
      </c>
      <c r="C6299" s="334" t="s">
        <v>15337</v>
      </c>
      <c r="D6299" s="124" t="s">
        <v>15338</v>
      </c>
      <c r="E6299" s="125"/>
      <c r="F6299" s="118" t="s">
        <v>1104</v>
      </c>
      <c r="G6299" s="126" t="s">
        <v>15312</v>
      </c>
      <c r="H6299" s="255">
        <v>1</v>
      </c>
      <c r="I6299" s="361">
        <v>1</v>
      </c>
      <c r="J6299" s="371" t="s">
        <v>310</v>
      </c>
      <c r="K6299" s="373"/>
      <c r="L6299" s="129"/>
      <c r="M6299" s="129"/>
      <c r="N6299" s="129"/>
      <c r="O6299" s="129"/>
      <c r="P6299" s="364"/>
      <c r="Q6299" s="364"/>
      <c r="R6299" s="129"/>
      <c r="S6299" s="129"/>
      <c r="T6299" s="129"/>
      <c r="W6299" s="129" t="s">
        <v>4876</v>
      </c>
      <c r="X6299" s="337" t="b">
        <f t="shared" si="137"/>
        <v>0</v>
      </c>
    </row>
    <row r="6300" spans="1:24" s="386" customFormat="1" ht="12" customHeight="1" outlineLevel="1">
      <c r="A6300" s="382"/>
      <c r="B6300" s="118" t="s">
        <v>12</v>
      </c>
      <c r="C6300" s="334" t="s">
        <v>15339</v>
      </c>
      <c r="D6300" s="124" t="s">
        <v>15340</v>
      </c>
      <c r="E6300" s="125"/>
      <c r="F6300" s="118" t="s">
        <v>1104</v>
      </c>
      <c r="G6300" s="126" t="s">
        <v>15312</v>
      </c>
      <c r="H6300" s="255">
        <v>1</v>
      </c>
      <c r="I6300" s="361">
        <v>1</v>
      </c>
      <c r="J6300" s="371" t="s">
        <v>743</v>
      </c>
      <c r="K6300" s="373"/>
      <c r="L6300" s="129"/>
      <c r="M6300" s="129"/>
      <c r="N6300" s="129"/>
      <c r="O6300" s="129"/>
      <c r="P6300" s="364"/>
      <c r="Q6300" s="364"/>
      <c r="R6300" s="129"/>
      <c r="S6300" s="129"/>
      <c r="T6300" s="129"/>
      <c r="W6300" s="129" t="s">
        <v>4876</v>
      </c>
      <c r="X6300" s="337" t="b">
        <f t="shared" si="137"/>
        <v>0</v>
      </c>
    </row>
    <row r="6301" spans="1:24" s="386" customFormat="1" ht="12" customHeight="1" outlineLevel="1">
      <c r="A6301" s="382"/>
      <c r="B6301" s="118" t="s">
        <v>12</v>
      </c>
      <c r="C6301" s="334" t="s">
        <v>15341</v>
      </c>
      <c r="D6301" s="124" t="s">
        <v>15342</v>
      </c>
      <c r="E6301" s="125"/>
      <c r="F6301" s="118" t="s">
        <v>1104</v>
      </c>
      <c r="G6301" s="126" t="s">
        <v>15312</v>
      </c>
      <c r="H6301" s="255">
        <v>1</v>
      </c>
      <c r="I6301" s="361">
        <v>1</v>
      </c>
      <c r="J6301" s="371" t="s">
        <v>743</v>
      </c>
      <c r="K6301" s="373"/>
      <c r="L6301" s="129"/>
      <c r="M6301" s="129"/>
      <c r="N6301" s="129"/>
      <c r="O6301" s="129"/>
      <c r="P6301" s="364"/>
      <c r="Q6301" s="364"/>
      <c r="R6301" s="129"/>
      <c r="S6301" s="129"/>
      <c r="T6301" s="129"/>
      <c r="W6301" s="129" t="s">
        <v>4876</v>
      </c>
      <c r="X6301" s="337" t="b">
        <f t="shared" si="137"/>
        <v>0</v>
      </c>
    </row>
    <row r="6302" spans="1:24" s="386" customFormat="1" ht="12" customHeight="1" outlineLevel="1">
      <c r="A6302" s="382"/>
      <c r="B6302" s="118" t="s">
        <v>12</v>
      </c>
      <c r="C6302" s="334" t="s">
        <v>15343</v>
      </c>
      <c r="D6302" s="124" t="s">
        <v>15344</v>
      </c>
      <c r="E6302" s="125"/>
      <c r="F6302" s="118" t="s">
        <v>1104</v>
      </c>
      <c r="G6302" s="126" t="s">
        <v>15312</v>
      </c>
      <c r="H6302" s="255">
        <v>1</v>
      </c>
      <c r="I6302" s="361">
        <v>1</v>
      </c>
      <c r="J6302" s="371" t="s">
        <v>325</v>
      </c>
      <c r="K6302" s="373"/>
      <c r="L6302" s="129"/>
      <c r="M6302" s="129"/>
      <c r="N6302" s="129"/>
      <c r="O6302" s="129"/>
      <c r="P6302" s="364"/>
      <c r="Q6302" s="364"/>
      <c r="R6302" s="129"/>
      <c r="S6302" s="129"/>
      <c r="T6302" s="129"/>
      <c r="W6302" s="129" t="s">
        <v>4876</v>
      </c>
      <c r="X6302" s="337" t="b">
        <f t="shared" si="137"/>
        <v>0</v>
      </c>
    </row>
    <row r="6303" spans="1:24" s="386" customFormat="1" ht="12" customHeight="1" outlineLevel="1">
      <c r="A6303" s="382"/>
      <c r="B6303" s="118" t="s">
        <v>12</v>
      </c>
      <c r="C6303" s="334" t="s">
        <v>15345</v>
      </c>
      <c r="D6303" s="124" t="s">
        <v>15346</v>
      </c>
      <c r="E6303" s="125"/>
      <c r="F6303" s="118" t="s">
        <v>1104</v>
      </c>
      <c r="G6303" s="126" t="s">
        <v>15312</v>
      </c>
      <c r="H6303" s="255">
        <v>1</v>
      </c>
      <c r="I6303" s="361">
        <v>1</v>
      </c>
      <c r="J6303" s="371" t="s">
        <v>743</v>
      </c>
      <c r="K6303" s="373"/>
      <c r="L6303" s="129"/>
      <c r="M6303" s="129"/>
      <c r="N6303" s="129"/>
      <c r="O6303" s="129"/>
      <c r="P6303" s="364"/>
      <c r="Q6303" s="364"/>
      <c r="R6303" s="129"/>
      <c r="S6303" s="129"/>
      <c r="T6303" s="129"/>
      <c r="W6303" s="129" t="s">
        <v>4876</v>
      </c>
      <c r="X6303" s="337" t="b">
        <f t="shared" si="137"/>
        <v>0</v>
      </c>
    </row>
    <row r="6304" spans="1:24" s="386" customFormat="1" ht="12" customHeight="1" outlineLevel="1">
      <c r="A6304" s="382"/>
      <c r="B6304" s="118" t="s">
        <v>12</v>
      </c>
      <c r="C6304" s="334" t="s">
        <v>15347</v>
      </c>
      <c r="D6304" s="124" t="s">
        <v>15348</v>
      </c>
      <c r="E6304" s="125"/>
      <c r="F6304" s="118" t="s">
        <v>1104</v>
      </c>
      <c r="G6304" s="126" t="s">
        <v>15312</v>
      </c>
      <c r="H6304" s="255">
        <v>1</v>
      </c>
      <c r="I6304" s="361">
        <v>1</v>
      </c>
      <c r="J6304" s="371" t="s">
        <v>743</v>
      </c>
      <c r="K6304" s="373"/>
      <c r="L6304" s="129"/>
      <c r="M6304" s="129"/>
      <c r="N6304" s="129"/>
      <c r="O6304" s="129"/>
      <c r="P6304" s="364"/>
      <c r="Q6304" s="364"/>
      <c r="R6304" s="129"/>
      <c r="S6304" s="129"/>
      <c r="T6304" s="129"/>
      <c r="W6304" s="129" t="s">
        <v>4876</v>
      </c>
      <c r="X6304" s="337" t="b">
        <f t="shared" si="137"/>
        <v>0</v>
      </c>
    </row>
    <row r="6305" spans="1:24" s="386" customFormat="1" ht="12" customHeight="1" outlineLevel="1">
      <c r="A6305" s="382"/>
      <c r="B6305" s="118" t="s">
        <v>12</v>
      </c>
      <c r="C6305" s="334" t="s">
        <v>15349</v>
      </c>
      <c r="D6305" s="124" t="s">
        <v>15350</v>
      </c>
      <c r="E6305" s="125"/>
      <c r="F6305" s="118" t="s">
        <v>1104</v>
      </c>
      <c r="G6305" s="126" t="s">
        <v>15312</v>
      </c>
      <c r="H6305" s="255">
        <v>1</v>
      </c>
      <c r="I6305" s="361">
        <v>1</v>
      </c>
      <c r="J6305" s="371" t="s">
        <v>743</v>
      </c>
      <c r="K6305" s="373"/>
      <c r="L6305" s="129"/>
      <c r="M6305" s="129"/>
      <c r="N6305" s="129"/>
      <c r="O6305" s="129"/>
      <c r="P6305" s="364"/>
      <c r="Q6305" s="364"/>
      <c r="R6305" s="129"/>
      <c r="S6305" s="129"/>
      <c r="T6305" s="129"/>
      <c r="W6305" s="129" t="s">
        <v>4876</v>
      </c>
      <c r="X6305" s="337" t="b">
        <f t="shared" si="137"/>
        <v>0</v>
      </c>
    </row>
    <row r="6306" spans="1:24" s="386" customFormat="1" ht="12" customHeight="1" outlineLevel="1">
      <c r="A6306" s="382"/>
      <c r="B6306" s="118" t="s">
        <v>12</v>
      </c>
      <c r="C6306" s="334" t="s">
        <v>15351</v>
      </c>
      <c r="D6306" s="124" t="s">
        <v>15352</v>
      </c>
      <c r="E6306" s="125"/>
      <c r="F6306" s="118" t="s">
        <v>1104</v>
      </c>
      <c r="G6306" s="126" t="s">
        <v>15312</v>
      </c>
      <c r="H6306" s="255">
        <v>1</v>
      </c>
      <c r="I6306" s="361">
        <v>1</v>
      </c>
      <c r="J6306" s="371" t="s">
        <v>743</v>
      </c>
      <c r="K6306" s="373"/>
      <c r="L6306" s="129"/>
      <c r="M6306" s="129"/>
      <c r="N6306" s="129"/>
      <c r="O6306" s="129"/>
      <c r="P6306" s="364"/>
      <c r="Q6306" s="364"/>
      <c r="R6306" s="129"/>
      <c r="S6306" s="129"/>
      <c r="T6306" s="129"/>
      <c r="W6306" s="129" t="s">
        <v>4876</v>
      </c>
      <c r="X6306" s="337" t="b">
        <f t="shared" si="137"/>
        <v>0</v>
      </c>
    </row>
    <row r="6307" spans="1:24" s="386" customFormat="1" ht="12" customHeight="1" outlineLevel="1">
      <c r="A6307" s="382"/>
      <c r="B6307" s="118" t="s">
        <v>12</v>
      </c>
      <c r="C6307" s="334" t="s">
        <v>15353</v>
      </c>
      <c r="D6307" s="124" t="s">
        <v>15354</v>
      </c>
      <c r="E6307" s="125"/>
      <c r="F6307" s="118" t="s">
        <v>1104</v>
      </c>
      <c r="G6307" s="126" t="s">
        <v>15312</v>
      </c>
      <c r="H6307" s="255">
        <v>1</v>
      </c>
      <c r="I6307" s="361">
        <v>1</v>
      </c>
      <c r="J6307" s="371" t="s">
        <v>325</v>
      </c>
      <c r="K6307" s="373"/>
      <c r="L6307" s="129"/>
      <c r="M6307" s="129"/>
      <c r="N6307" s="129"/>
      <c r="O6307" s="129"/>
      <c r="P6307" s="364"/>
      <c r="Q6307" s="364"/>
      <c r="R6307" s="129"/>
      <c r="S6307" s="129"/>
      <c r="T6307" s="129"/>
      <c r="W6307" s="129" t="s">
        <v>4876</v>
      </c>
      <c r="X6307" s="337" t="b">
        <f t="shared" si="137"/>
        <v>0</v>
      </c>
    </row>
    <row r="6308" spans="1:24" s="386" customFormat="1" ht="12" customHeight="1" outlineLevel="1">
      <c r="A6308" s="382"/>
      <c r="B6308" s="118" t="s">
        <v>12</v>
      </c>
      <c r="C6308" s="334" t="s">
        <v>15355</v>
      </c>
      <c r="D6308" s="124" t="s">
        <v>15356</v>
      </c>
      <c r="E6308" s="125"/>
      <c r="F6308" s="118" t="s">
        <v>1104</v>
      </c>
      <c r="G6308" s="126" t="s">
        <v>15312</v>
      </c>
      <c r="H6308" s="255">
        <v>1</v>
      </c>
      <c r="I6308" s="361">
        <v>1</v>
      </c>
      <c r="J6308" s="371" t="s">
        <v>743</v>
      </c>
      <c r="K6308" s="373"/>
      <c r="L6308" s="129"/>
      <c r="M6308" s="129"/>
      <c r="N6308" s="129"/>
      <c r="O6308" s="129"/>
      <c r="P6308" s="364"/>
      <c r="Q6308" s="364"/>
      <c r="R6308" s="129"/>
      <c r="S6308" s="129"/>
      <c r="T6308" s="129"/>
      <c r="W6308" s="129" t="s">
        <v>4876</v>
      </c>
      <c r="X6308" s="337" t="b">
        <f t="shared" si="137"/>
        <v>0</v>
      </c>
    </row>
    <row r="6309" spans="1:24" s="386" customFormat="1" ht="12" customHeight="1" outlineLevel="1">
      <c r="A6309" s="382"/>
      <c r="B6309" s="118" t="s">
        <v>12</v>
      </c>
      <c r="C6309" s="334" t="s">
        <v>15357</v>
      </c>
      <c r="D6309" s="124" t="s">
        <v>15358</v>
      </c>
      <c r="E6309" s="125"/>
      <c r="F6309" s="118" t="s">
        <v>1104</v>
      </c>
      <c r="G6309" s="126" t="s">
        <v>15312</v>
      </c>
      <c r="H6309" s="255">
        <v>1</v>
      </c>
      <c r="I6309" s="361">
        <v>1</v>
      </c>
      <c r="J6309" s="371" t="s">
        <v>310</v>
      </c>
      <c r="K6309" s="373"/>
      <c r="L6309" s="129"/>
      <c r="M6309" s="129"/>
      <c r="N6309" s="129"/>
      <c r="O6309" s="129"/>
      <c r="P6309" s="364"/>
      <c r="Q6309" s="364"/>
      <c r="R6309" s="129"/>
      <c r="S6309" s="129"/>
      <c r="T6309" s="129"/>
      <c r="W6309" s="129" t="s">
        <v>4876</v>
      </c>
      <c r="X6309" s="337" t="b">
        <f t="shared" si="137"/>
        <v>0</v>
      </c>
    </row>
    <row r="6310" spans="1:24" s="386" customFormat="1" ht="12" customHeight="1" outlineLevel="1">
      <c r="A6310" s="382"/>
      <c r="B6310" s="118" t="s">
        <v>12</v>
      </c>
      <c r="C6310" s="334" t="s">
        <v>15359</v>
      </c>
      <c r="D6310" s="124" t="s">
        <v>15360</v>
      </c>
      <c r="E6310" s="125"/>
      <c r="F6310" s="118" t="s">
        <v>1104</v>
      </c>
      <c r="G6310" s="126" t="s">
        <v>15312</v>
      </c>
      <c r="H6310" s="255">
        <v>1</v>
      </c>
      <c r="I6310" s="361">
        <v>1</v>
      </c>
      <c r="J6310" s="371" t="s">
        <v>307</v>
      </c>
      <c r="K6310" s="373"/>
      <c r="L6310" s="129"/>
      <c r="M6310" s="129"/>
      <c r="N6310" s="129"/>
      <c r="O6310" s="129"/>
      <c r="P6310" s="364"/>
      <c r="Q6310" s="364"/>
      <c r="R6310" s="129"/>
      <c r="S6310" s="129"/>
      <c r="T6310" s="129"/>
      <c r="W6310" s="129" t="s">
        <v>4876</v>
      </c>
      <c r="X6310" s="337" t="b">
        <f t="shared" si="137"/>
        <v>0</v>
      </c>
    </row>
    <row r="6311" spans="1:24" s="386" customFormat="1" ht="12" customHeight="1" outlineLevel="1">
      <c r="A6311" s="382"/>
      <c r="B6311" s="118" t="s">
        <v>12</v>
      </c>
      <c r="C6311" s="334" t="s">
        <v>15361</v>
      </c>
      <c r="D6311" s="124" t="s">
        <v>15362</v>
      </c>
      <c r="E6311" s="125"/>
      <c r="F6311" s="118" t="s">
        <v>1104</v>
      </c>
      <c r="G6311" s="126" t="s">
        <v>15312</v>
      </c>
      <c r="H6311" s="255">
        <v>1</v>
      </c>
      <c r="I6311" s="361">
        <v>1</v>
      </c>
      <c r="J6311" s="371" t="s">
        <v>310</v>
      </c>
      <c r="K6311" s="373"/>
      <c r="L6311" s="129"/>
      <c r="M6311" s="129"/>
      <c r="N6311" s="129"/>
      <c r="O6311" s="129"/>
      <c r="P6311" s="364"/>
      <c r="Q6311" s="364"/>
      <c r="R6311" s="129"/>
      <c r="S6311" s="129"/>
      <c r="T6311" s="129"/>
      <c r="W6311" s="129" t="s">
        <v>4876</v>
      </c>
      <c r="X6311" s="337" t="b">
        <f t="shared" si="137"/>
        <v>0</v>
      </c>
    </row>
    <row r="6312" spans="1:24" s="386" customFormat="1" ht="12" customHeight="1" outlineLevel="1">
      <c r="A6312" s="382"/>
      <c r="B6312" s="118" t="s">
        <v>12</v>
      </c>
      <c r="C6312" s="334" t="s">
        <v>15363</v>
      </c>
      <c r="D6312" s="124" t="s">
        <v>15364</v>
      </c>
      <c r="E6312" s="125"/>
      <c r="F6312" s="118" t="s">
        <v>1104</v>
      </c>
      <c r="G6312" s="126" t="s">
        <v>15312</v>
      </c>
      <c r="H6312" s="255">
        <v>1</v>
      </c>
      <c r="I6312" s="361">
        <v>1</v>
      </c>
      <c r="J6312" s="371" t="s">
        <v>310</v>
      </c>
      <c r="K6312" s="373"/>
      <c r="L6312" s="129"/>
      <c r="M6312" s="129"/>
      <c r="N6312" s="129"/>
      <c r="O6312" s="129"/>
      <c r="P6312" s="364"/>
      <c r="Q6312" s="364"/>
      <c r="R6312" s="129"/>
      <c r="S6312" s="129"/>
      <c r="T6312" s="129"/>
      <c r="W6312" s="129" t="s">
        <v>4876</v>
      </c>
      <c r="X6312" s="337" t="b">
        <f t="shared" si="137"/>
        <v>0</v>
      </c>
    </row>
    <row r="6313" spans="1:24" s="386" customFormat="1" ht="12" customHeight="1" outlineLevel="1">
      <c r="A6313" s="382"/>
      <c r="B6313" s="118" t="s">
        <v>12</v>
      </c>
      <c r="C6313" s="334" t="s">
        <v>15365</v>
      </c>
      <c r="D6313" s="124" t="s">
        <v>15366</v>
      </c>
      <c r="E6313" s="125"/>
      <c r="F6313" s="118" t="s">
        <v>1104</v>
      </c>
      <c r="G6313" s="126" t="s">
        <v>15312</v>
      </c>
      <c r="H6313" s="255">
        <v>1</v>
      </c>
      <c r="I6313" s="361">
        <v>1</v>
      </c>
      <c r="J6313" s="371" t="s">
        <v>310</v>
      </c>
      <c r="K6313" s="373"/>
      <c r="L6313" s="129"/>
      <c r="M6313" s="129"/>
      <c r="N6313" s="129"/>
      <c r="O6313" s="129"/>
      <c r="P6313" s="364"/>
      <c r="Q6313" s="364"/>
      <c r="R6313" s="129"/>
      <c r="S6313" s="129"/>
      <c r="T6313" s="129"/>
      <c r="W6313" s="129" t="s">
        <v>4876</v>
      </c>
      <c r="X6313" s="337" t="b">
        <f t="shared" si="137"/>
        <v>0</v>
      </c>
    </row>
    <row r="6314" spans="1:24" s="386" customFormat="1" ht="12" customHeight="1" outlineLevel="1">
      <c r="A6314" s="382"/>
      <c r="B6314" s="118" t="s">
        <v>12</v>
      </c>
      <c r="C6314" s="334" t="s">
        <v>15367</v>
      </c>
      <c r="D6314" s="124" t="s">
        <v>15368</v>
      </c>
      <c r="E6314" s="125"/>
      <c r="F6314" s="118" t="s">
        <v>1104</v>
      </c>
      <c r="G6314" s="126" t="s">
        <v>15312</v>
      </c>
      <c r="H6314" s="255">
        <v>1</v>
      </c>
      <c r="I6314" s="361">
        <v>1</v>
      </c>
      <c r="J6314" s="371" t="s">
        <v>286</v>
      </c>
      <c r="K6314" s="373"/>
      <c r="L6314" s="129"/>
      <c r="M6314" s="129"/>
      <c r="N6314" s="129"/>
      <c r="O6314" s="129"/>
      <c r="P6314" s="364"/>
      <c r="Q6314" s="364"/>
      <c r="R6314" s="129"/>
      <c r="S6314" s="129"/>
      <c r="T6314" s="129"/>
      <c r="W6314" s="129" t="s">
        <v>4876</v>
      </c>
      <c r="X6314" s="337" t="b">
        <f t="shared" si="137"/>
        <v>0</v>
      </c>
    </row>
    <row r="6315" spans="1:24" s="386" customFormat="1" ht="12" customHeight="1" outlineLevel="1">
      <c r="A6315" s="382"/>
      <c r="B6315" s="118" t="s">
        <v>12</v>
      </c>
      <c r="C6315" s="334" t="s">
        <v>15369</v>
      </c>
      <c r="D6315" s="124" t="s">
        <v>15370</v>
      </c>
      <c r="E6315" s="125"/>
      <c r="F6315" s="118" t="s">
        <v>1104</v>
      </c>
      <c r="G6315" s="126" t="s">
        <v>15312</v>
      </c>
      <c r="H6315" s="255">
        <v>1</v>
      </c>
      <c r="I6315" s="361">
        <v>1</v>
      </c>
      <c r="J6315" s="371" t="s">
        <v>310</v>
      </c>
      <c r="K6315" s="373"/>
      <c r="L6315" s="129"/>
      <c r="M6315" s="129"/>
      <c r="N6315" s="129"/>
      <c r="O6315" s="129"/>
      <c r="P6315" s="364"/>
      <c r="Q6315" s="364"/>
      <c r="R6315" s="129"/>
      <c r="S6315" s="129"/>
      <c r="T6315" s="129"/>
      <c r="W6315" s="129" t="s">
        <v>4876</v>
      </c>
      <c r="X6315" s="337" t="b">
        <f t="shared" si="137"/>
        <v>0</v>
      </c>
    </row>
    <row r="6316" spans="1:24" s="386" customFormat="1" ht="12" customHeight="1" outlineLevel="1">
      <c r="A6316" s="382"/>
      <c r="B6316" s="118" t="s">
        <v>12</v>
      </c>
      <c r="C6316" s="334" t="s">
        <v>15371</v>
      </c>
      <c r="D6316" s="124" t="s">
        <v>15372</v>
      </c>
      <c r="E6316" s="125"/>
      <c r="F6316" s="118" t="s">
        <v>1104</v>
      </c>
      <c r="G6316" s="126" t="s">
        <v>15312</v>
      </c>
      <c r="H6316" s="255">
        <v>1</v>
      </c>
      <c r="I6316" s="361">
        <v>1</v>
      </c>
      <c r="J6316" s="371" t="s">
        <v>286</v>
      </c>
      <c r="K6316" s="373"/>
      <c r="L6316" s="129"/>
      <c r="M6316" s="129"/>
      <c r="N6316" s="129"/>
      <c r="O6316" s="129"/>
      <c r="P6316" s="364"/>
      <c r="Q6316" s="364"/>
      <c r="R6316" s="129"/>
      <c r="S6316" s="129"/>
      <c r="T6316" s="129"/>
      <c r="W6316" s="129" t="s">
        <v>310</v>
      </c>
      <c r="X6316" s="337" t="b">
        <f t="shared" si="137"/>
        <v>0</v>
      </c>
    </row>
    <row r="6317" spans="1:24" s="386" customFormat="1" ht="12" customHeight="1" outlineLevel="1">
      <c r="A6317" s="382"/>
      <c r="B6317" s="118" t="s">
        <v>12</v>
      </c>
      <c r="C6317" s="334" t="s">
        <v>15373</v>
      </c>
      <c r="D6317" s="124" t="s">
        <v>15374</v>
      </c>
      <c r="E6317" s="125"/>
      <c r="F6317" s="118" t="s">
        <v>1104</v>
      </c>
      <c r="G6317" s="126" t="s">
        <v>15312</v>
      </c>
      <c r="H6317" s="255">
        <v>1</v>
      </c>
      <c r="I6317" s="361">
        <v>1</v>
      </c>
      <c r="J6317" s="371" t="s">
        <v>310</v>
      </c>
      <c r="K6317" s="373"/>
      <c r="L6317" s="129"/>
      <c r="M6317" s="129"/>
      <c r="N6317" s="129"/>
      <c r="O6317" s="129"/>
      <c r="P6317" s="364"/>
      <c r="Q6317" s="364"/>
      <c r="R6317" s="129"/>
      <c r="S6317" s="129"/>
      <c r="T6317" s="129"/>
      <c r="W6317" s="129" t="s">
        <v>307</v>
      </c>
      <c r="X6317" s="337" t="b">
        <f t="shared" si="137"/>
        <v>0</v>
      </c>
    </row>
    <row r="6318" spans="1:24" s="386" customFormat="1" ht="12" customHeight="1" outlineLevel="1">
      <c r="A6318" s="382"/>
      <c r="B6318" s="118" t="s">
        <v>12</v>
      </c>
      <c r="C6318" s="334" t="s">
        <v>15375</v>
      </c>
      <c r="D6318" s="124" t="s">
        <v>15376</v>
      </c>
      <c r="E6318" s="125"/>
      <c r="F6318" s="118" t="s">
        <v>1104</v>
      </c>
      <c r="G6318" s="126" t="s">
        <v>15312</v>
      </c>
      <c r="H6318" s="255">
        <v>1</v>
      </c>
      <c r="I6318" s="361">
        <v>1</v>
      </c>
      <c r="J6318" s="371" t="s">
        <v>310</v>
      </c>
      <c r="K6318" s="373"/>
      <c r="L6318" s="129"/>
      <c r="M6318" s="129"/>
      <c r="N6318" s="129"/>
      <c r="O6318" s="129"/>
      <c r="P6318" s="364"/>
      <c r="Q6318" s="364"/>
      <c r="R6318" s="129"/>
      <c r="S6318" s="129"/>
      <c r="T6318" s="129"/>
      <c r="W6318" s="129" t="s">
        <v>307</v>
      </c>
      <c r="X6318" s="337" t="b">
        <f t="shared" si="137"/>
        <v>0</v>
      </c>
    </row>
    <row r="6319" spans="1:24" s="386" customFormat="1" ht="12" customHeight="1" outlineLevel="1">
      <c r="A6319" s="382"/>
      <c r="B6319" s="118" t="s">
        <v>12</v>
      </c>
      <c r="C6319" s="334" t="s">
        <v>15377</v>
      </c>
      <c r="D6319" s="124" t="s">
        <v>15378</v>
      </c>
      <c r="E6319" s="125"/>
      <c r="F6319" s="118" t="s">
        <v>1104</v>
      </c>
      <c r="G6319" s="126" t="s">
        <v>15312</v>
      </c>
      <c r="H6319" s="255">
        <v>1</v>
      </c>
      <c r="I6319" s="361">
        <v>1</v>
      </c>
      <c r="J6319" s="371" t="s">
        <v>286</v>
      </c>
      <c r="K6319" s="373"/>
      <c r="L6319" s="129"/>
      <c r="M6319" s="129"/>
      <c r="N6319" s="129"/>
      <c r="O6319" s="129"/>
      <c r="P6319" s="364"/>
      <c r="Q6319" s="364"/>
      <c r="R6319" s="129"/>
      <c r="S6319" s="129"/>
      <c r="T6319" s="129"/>
      <c r="W6319" s="129" t="s">
        <v>286</v>
      </c>
      <c r="X6319" s="337" t="b">
        <f t="shared" si="137"/>
        <v>1</v>
      </c>
    </row>
    <row r="6320" spans="1:24" s="386" customFormat="1" ht="12" customHeight="1" outlineLevel="1">
      <c r="A6320" s="382"/>
      <c r="B6320" s="118" t="s">
        <v>12</v>
      </c>
      <c r="C6320" s="334" t="s">
        <v>15379</v>
      </c>
      <c r="D6320" s="124" t="s">
        <v>15378</v>
      </c>
      <c r="E6320" s="125"/>
      <c r="F6320" s="118" t="s">
        <v>1104</v>
      </c>
      <c r="G6320" s="126" t="s">
        <v>15312</v>
      </c>
      <c r="H6320" s="255">
        <v>1</v>
      </c>
      <c r="I6320" s="361">
        <v>1</v>
      </c>
      <c r="J6320" s="371" t="s">
        <v>325</v>
      </c>
      <c r="K6320" s="373"/>
      <c r="L6320" s="129"/>
      <c r="M6320" s="129"/>
      <c r="N6320" s="129"/>
      <c r="O6320" s="129"/>
      <c r="P6320" s="364"/>
      <c r="Q6320" s="364"/>
      <c r="R6320" s="129"/>
      <c r="S6320" s="129"/>
      <c r="T6320" s="129"/>
      <c r="W6320" s="129" t="s">
        <v>743</v>
      </c>
      <c r="X6320" s="337" t="b">
        <f t="shared" si="137"/>
        <v>0</v>
      </c>
    </row>
    <row r="6321" spans="1:24" s="386" customFormat="1" ht="12" customHeight="1" outlineLevel="1">
      <c r="A6321" s="382"/>
      <c r="B6321" s="118" t="s">
        <v>12</v>
      </c>
      <c r="C6321" s="334" t="s">
        <v>15380</v>
      </c>
      <c r="D6321" s="124" t="s">
        <v>15381</v>
      </c>
      <c r="E6321" s="125"/>
      <c r="F6321" s="118" t="s">
        <v>1104</v>
      </c>
      <c r="G6321" s="126" t="s">
        <v>15312</v>
      </c>
      <c r="H6321" s="255">
        <v>1</v>
      </c>
      <c r="I6321" s="361">
        <v>1</v>
      </c>
      <c r="J6321" s="371" t="s">
        <v>286</v>
      </c>
      <c r="K6321" s="373"/>
      <c r="L6321" s="129"/>
      <c r="M6321" s="129"/>
      <c r="N6321" s="129"/>
      <c r="O6321" s="129"/>
      <c r="P6321" s="364"/>
      <c r="Q6321" s="364"/>
      <c r="R6321" s="129"/>
      <c r="S6321" s="129"/>
      <c r="T6321" s="129"/>
      <c r="W6321" s="129" t="s">
        <v>286</v>
      </c>
      <c r="X6321" s="337" t="b">
        <f t="shared" si="137"/>
        <v>1</v>
      </c>
    </row>
    <row r="6322" spans="1:24" s="386" customFormat="1" ht="12" customHeight="1" outlineLevel="1">
      <c r="A6322" s="382"/>
      <c r="B6322" s="118" t="s">
        <v>12</v>
      </c>
      <c r="C6322" s="334" t="s">
        <v>15382</v>
      </c>
      <c r="D6322" s="124" t="s">
        <v>15383</v>
      </c>
      <c r="E6322" s="125"/>
      <c r="F6322" s="118" t="s">
        <v>1104</v>
      </c>
      <c r="G6322" s="126" t="s">
        <v>15312</v>
      </c>
      <c r="H6322" s="255">
        <v>1</v>
      </c>
      <c r="I6322" s="361">
        <v>1</v>
      </c>
      <c r="J6322" s="371" t="s">
        <v>286</v>
      </c>
      <c r="K6322" s="373"/>
      <c r="L6322" s="129"/>
      <c r="M6322" s="129"/>
      <c r="N6322" s="129"/>
      <c r="O6322" s="129"/>
      <c r="P6322" s="364"/>
      <c r="Q6322" s="364"/>
      <c r="R6322" s="129"/>
      <c r="S6322" s="129"/>
      <c r="T6322" s="129"/>
      <c r="W6322" s="129" t="s">
        <v>286</v>
      </c>
      <c r="X6322" s="337" t="b">
        <f t="shared" si="137"/>
        <v>1</v>
      </c>
    </row>
    <row r="6323" spans="1:24" s="386" customFormat="1" ht="12" customHeight="1" outlineLevel="1">
      <c r="A6323" s="382"/>
      <c r="B6323" s="118" t="s">
        <v>12</v>
      </c>
      <c r="C6323" s="334" t="s">
        <v>15384</v>
      </c>
      <c r="D6323" s="124" t="s">
        <v>15385</v>
      </c>
      <c r="E6323" s="125"/>
      <c r="F6323" s="118" t="s">
        <v>1104</v>
      </c>
      <c r="G6323" s="126" t="s">
        <v>15312</v>
      </c>
      <c r="H6323" s="255">
        <v>1</v>
      </c>
      <c r="I6323" s="361">
        <v>1</v>
      </c>
      <c r="J6323" s="371" t="s">
        <v>325</v>
      </c>
      <c r="K6323" s="373"/>
      <c r="L6323" s="129"/>
      <c r="M6323" s="129"/>
      <c r="N6323" s="129"/>
      <c r="O6323" s="129"/>
      <c r="P6323" s="364"/>
      <c r="Q6323" s="364"/>
      <c r="R6323" s="129"/>
      <c r="S6323" s="129"/>
      <c r="T6323" s="129"/>
      <c r="W6323" s="129" t="s">
        <v>286</v>
      </c>
      <c r="X6323" s="337" t="b">
        <f t="shared" si="137"/>
        <v>0</v>
      </c>
    </row>
    <row r="6324" spans="1:24" s="386" customFormat="1" ht="12" customHeight="1" outlineLevel="1">
      <c r="A6324" s="382"/>
      <c r="B6324" s="118" t="s">
        <v>12</v>
      </c>
      <c r="C6324" s="334" t="s">
        <v>15386</v>
      </c>
      <c r="D6324" s="124" t="s">
        <v>15387</v>
      </c>
      <c r="E6324" s="125"/>
      <c r="F6324" s="118" t="s">
        <v>1104</v>
      </c>
      <c r="G6324" s="126" t="s">
        <v>15312</v>
      </c>
      <c r="H6324" s="255">
        <v>1</v>
      </c>
      <c r="I6324" s="361">
        <v>1</v>
      </c>
      <c r="J6324" s="371" t="s">
        <v>310</v>
      </c>
      <c r="K6324" s="373"/>
      <c r="L6324" s="129"/>
      <c r="M6324" s="129"/>
      <c r="N6324" s="129"/>
      <c r="O6324" s="129"/>
      <c r="P6324" s="364"/>
      <c r="Q6324" s="364"/>
      <c r="R6324" s="129"/>
      <c r="S6324" s="129"/>
      <c r="T6324" s="129"/>
      <c r="W6324" s="129" t="s">
        <v>286</v>
      </c>
      <c r="X6324" s="337" t="b">
        <f t="shared" si="137"/>
        <v>0</v>
      </c>
    </row>
    <row r="6325" spans="1:24" s="386" customFormat="1" ht="12" customHeight="1" outlineLevel="1">
      <c r="A6325" s="382"/>
      <c r="B6325" s="118" t="s">
        <v>12</v>
      </c>
      <c r="C6325" s="334" t="s">
        <v>15388</v>
      </c>
      <c r="D6325" s="124" t="s">
        <v>15389</v>
      </c>
      <c r="E6325" s="125"/>
      <c r="F6325" s="118" t="s">
        <v>1104</v>
      </c>
      <c r="G6325" s="126" t="s">
        <v>15312</v>
      </c>
      <c r="H6325" s="255">
        <v>1</v>
      </c>
      <c r="I6325" s="361">
        <v>1</v>
      </c>
      <c r="J6325" s="371" t="s">
        <v>310</v>
      </c>
      <c r="K6325" s="373"/>
      <c r="L6325" s="129"/>
      <c r="M6325" s="129"/>
      <c r="N6325" s="129"/>
      <c r="O6325" s="129"/>
      <c r="P6325" s="364"/>
      <c r="Q6325" s="364"/>
      <c r="R6325" s="129"/>
      <c r="S6325" s="129"/>
      <c r="T6325" s="129"/>
      <c r="W6325" s="129" t="s">
        <v>286</v>
      </c>
      <c r="X6325" s="337" t="b">
        <f t="shared" si="137"/>
        <v>0</v>
      </c>
    </row>
    <row r="6326" spans="1:24" s="386" customFormat="1" ht="12" customHeight="1" outlineLevel="1">
      <c r="A6326" s="382"/>
      <c r="B6326" s="118" t="s">
        <v>12</v>
      </c>
      <c r="C6326" s="334" t="s">
        <v>15390</v>
      </c>
      <c r="D6326" s="124" t="s">
        <v>15385</v>
      </c>
      <c r="E6326" s="125"/>
      <c r="F6326" s="118" t="s">
        <v>1104</v>
      </c>
      <c r="G6326" s="126" t="s">
        <v>15312</v>
      </c>
      <c r="H6326" s="255">
        <v>1</v>
      </c>
      <c r="I6326" s="361">
        <v>1</v>
      </c>
      <c r="J6326" s="371" t="s">
        <v>286</v>
      </c>
      <c r="K6326" s="373"/>
      <c r="L6326" s="129"/>
      <c r="M6326" s="129"/>
      <c r="N6326" s="129"/>
      <c r="O6326" s="129"/>
      <c r="P6326" s="364"/>
      <c r="Q6326" s="364"/>
      <c r="R6326" s="129"/>
      <c r="S6326" s="129"/>
      <c r="T6326" s="129"/>
      <c r="W6326" s="129" t="s">
        <v>286</v>
      </c>
      <c r="X6326" s="337" t="b">
        <f t="shared" si="137"/>
        <v>1</v>
      </c>
    </row>
    <row r="6327" spans="1:24" s="386" customFormat="1" ht="12" customHeight="1" outlineLevel="1">
      <c r="A6327" s="382"/>
      <c r="B6327" s="118" t="s">
        <v>12</v>
      </c>
      <c r="C6327" s="334" t="s">
        <v>15391</v>
      </c>
      <c r="D6327" s="124" t="s">
        <v>15387</v>
      </c>
      <c r="E6327" s="125"/>
      <c r="F6327" s="118" t="s">
        <v>1104</v>
      </c>
      <c r="G6327" s="126" t="s">
        <v>15312</v>
      </c>
      <c r="H6327" s="255">
        <v>1</v>
      </c>
      <c r="I6327" s="361">
        <v>1</v>
      </c>
      <c r="J6327" s="371" t="s">
        <v>286</v>
      </c>
      <c r="K6327" s="373"/>
      <c r="L6327" s="129"/>
      <c r="M6327" s="129"/>
      <c r="N6327" s="129"/>
      <c r="O6327" s="129"/>
      <c r="P6327" s="364"/>
      <c r="Q6327" s="364"/>
      <c r="R6327" s="129"/>
      <c r="S6327" s="129"/>
      <c r="T6327" s="129"/>
      <c r="W6327" s="129" t="s">
        <v>286</v>
      </c>
      <c r="X6327" s="337" t="b">
        <f t="shared" si="137"/>
        <v>1</v>
      </c>
    </row>
    <row r="6328" spans="1:24" s="386" customFormat="1" ht="12" customHeight="1" outlineLevel="1">
      <c r="A6328" s="382"/>
      <c r="B6328" s="118" t="s">
        <v>12</v>
      </c>
      <c r="C6328" s="334" t="s">
        <v>15392</v>
      </c>
      <c r="D6328" s="124" t="s">
        <v>15389</v>
      </c>
      <c r="E6328" s="125"/>
      <c r="F6328" s="118" t="s">
        <v>1104</v>
      </c>
      <c r="G6328" s="126" t="s">
        <v>15312</v>
      </c>
      <c r="H6328" s="255">
        <v>1</v>
      </c>
      <c r="I6328" s="361">
        <v>1</v>
      </c>
      <c r="J6328" s="371" t="s">
        <v>286</v>
      </c>
      <c r="K6328" s="373"/>
      <c r="L6328" s="129"/>
      <c r="M6328" s="129"/>
      <c r="N6328" s="129"/>
      <c r="O6328" s="129"/>
      <c r="P6328" s="364"/>
      <c r="Q6328" s="364"/>
      <c r="R6328" s="129"/>
      <c r="S6328" s="129"/>
      <c r="T6328" s="129"/>
      <c r="W6328" s="129" t="s">
        <v>286</v>
      </c>
      <c r="X6328" s="337" t="b">
        <f t="shared" si="137"/>
        <v>1</v>
      </c>
    </row>
    <row r="6329" spans="1:24" s="386" customFormat="1" ht="12" customHeight="1" outlineLevel="1">
      <c r="A6329" s="382"/>
      <c r="B6329" s="118" t="s">
        <v>12</v>
      </c>
      <c r="C6329" s="334" t="s">
        <v>15393</v>
      </c>
      <c r="D6329" s="124" t="s">
        <v>15394</v>
      </c>
      <c r="E6329" s="125"/>
      <c r="F6329" s="118" t="s">
        <v>1104</v>
      </c>
      <c r="G6329" s="126" t="s">
        <v>15312</v>
      </c>
      <c r="H6329" s="255">
        <v>1</v>
      </c>
      <c r="I6329" s="361">
        <v>1</v>
      </c>
      <c r="J6329" s="371" t="s">
        <v>286</v>
      </c>
      <c r="K6329" s="373"/>
      <c r="L6329" s="129"/>
      <c r="M6329" s="129"/>
      <c r="N6329" s="129"/>
      <c r="O6329" s="129"/>
      <c r="P6329" s="364"/>
      <c r="Q6329" s="364"/>
      <c r="R6329" s="129"/>
      <c r="S6329" s="129"/>
      <c r="T6329" s="129"/>
      <c r="W6329" s="129" t="s">
        <v>286</v>
      </c>
      <c r="X6329" s="337" t="b">
        <f t="shared" si="137"/>
        <v>1</v>
      </c>
    </row>
    <row r="6330" spans="1:24" s="386" customFormat="1" ht="12" customHeight="1" outlineLevel="1">
      <c r="A6330" s="382"/>
      <c r="B6330" s="118" t="s">
        <v>12</v>
      </c>
      <c r="C6330" s="334" t="s">
        <v>15395</v>
      </c>
      <c r="D6330" s="124" t="s">
        <v>15396</v>
      </c>
      <c r="E6330" s="125"/>
      <c r="F6330" s="118" t="s">
        <v>1104</v>
      </c>
      <c r="G6330" s="126" t="s">
        <v>15326</v>
      </c>
      <c r="H6330" s="255">
        <v>2</v>
      </c>
      <c r="I6330" s="361">
        <v>1</v>
      </c>
      <c r="J6330" s="371" t="s">
        <v>310</v>
      </c>
      <c r="K6330" s="373"/>
      <c r="L6330" s="129"/>
      <c r="M6330" s="129"/>
      <c r="N6330" s="129"/>
      <c r="O6330" s="129"/>
      <c r="P6330" s="364"/>
      <c r="Q6330" s="364"/>
      <c r="R6330" s="129"/>
      <c r="S6330" s="129"/>
      <c r="T6330" s="129"/>
      <c r="W6330" s="129" t="s">
        <v>286</v>
      </c>
      <c r="X6330" s="337" t="b">
        <f t="shared" si="137"/>
        <v>0</v>
      </c>
    </row>
    <row r="6331" spans="1:24" s="386" customFormat="1" ht="12" customHeight="1" outlineLevel="1">
      <c r="A6331" s="382"/>
      <c r="B6331" s="118" t="s">
        <v>12</v>
      </c>
      <c r="C6331" s="334" t="s">
        <v>15397</v>
      </c>
      <c r="D6331" s="124" t="s">
        <v>15398</v>
      </c>
      <c r="E6331" s="125"/>
      <c r="F6331" s="118" t="s">
        <v>1104</v>
      </c>
      <c r="G6331" s="126" t="s">
        <v>15326</v>
      </c>
      <c r="H6331" s="255">
        <v>2</v>
      </c>
      <c r="I6331" s="361">
        <v>1</v>
      </c>
      <c r="J6331" s="371" t="s">
        <v>310</v>
      </c>
      <c r="K6331" s="373"/>
      <c r="L6331" s="129"/>
      <c r="M6331" s="129"/>
      <c r="N6331" s="129"/>
      <c r="O6331" s="129"/>
      <c r="P6331" s="364"/>
      <c r="Q6331" s="364"/>
      <c r="R6331" s="129"/>
      <c r="S6331" s="129"/>
      <c r="T6331" s="129"/>
      <c r="W6331" s="129" t="s">
        <v>286</v>
      </c>
      <c r="X6331" s="337" t="b">
        <f t="shared" si="137"/>
        <v>0</v>
      </c>
    </row>
    <row r="6332" spans="1:24" s="386" customFormat="1" ht="12" customHeight="1" outlineLevel="1">
      <c r="A6332" s="382"/>
      <c r="B6332" s="118" t="s">
        <v>12</v>
      </c>
      <c r="C6332" s="334" t="s">
        <v>15399</v>
      </c>
      <c r="D6332" s="124" t="s">
        <v>15400</v>
      </c>
      <c r="E6332" s="125"/>
      <c r="F6332" s="118" t="s">
        <v>1104</v>
      </c>
      <c r="G6332" s="126" t="s">
        <v>15326</v>
      </c>
      <c r="H6332" s="255">
        <v>2</v>
      </c>
      <c r="I6332" s="361">
        <v>1</v>
      </c>
      <c r="J6332" s="371" t="s">
        <v>310</v>
      </c>
      <c r="K6332" s="373"/>
      <c r="L6332" s="129"/>
      <c r="M6332" s="129"/>
      <c r="N6332" s="129"/>
      <c r="O6332" s="129"/>
      <c r="P6332" s="364"/>
      <c r="Q6332" s="364"/>
      <c r="R6332" s="129"/>
      <c r="S6332" s="129"/>
      <c r="T6332" s="129"/>
      <c r="W6332" s="129" t="s">
        <v>286</v>
      </c>
      <c r="X6332" s="337" t="b">
        <f t="shared" si="137"/>
        <v>0</v>
      </c>
    </row>
    <row r="6333" spans="1:24" s="386" customFormat="1" ht="12" customHeight="1" outlineLevel="1">
      <c r="A6333" s="382"/>
      <c r="B6333" s="118" t="s">
        <v>12</v>
      </c>
      <c r="C6333" s="334" t="s">
        <v>15401</v>
      </c>
      <c r="D6333" s="124" t="s">
        <v>15402</v>
      </c>
      <c r="E6333" s="125"/>
      <c r="F6333" s="118" t="s">
        <v>1104</v>
      </c>
      <c r="G6333" s="126" t="s">
        <v>15326</v>
      </c>
      <c r="H6333" s="255">
        <v>2</v>
      </c>
      <c r="I6333" s="361">
        <v>1</v>
      </c>
      <c r="J6333" s="371" t="s">
        <v>310</v>
      </c>
      <c r="K6333" s="373"/>
      <c r="L6333" s="129"/>
      <c r="M6333" s="129"/>
      <c r="N6333" s="129"/>
      <c r="O6333" s="129"/>
      <c r="P6333" s="364"/>
      <c r="Q6333" s="364"/>
      <c r="R6333" s="129"/>
      <c r="S6333" s="129"/>
      <c r="T6333" s="129"/>
      <c r="W6333" s="129" t="s">
        <v>286</v>
      </c>
      <c r="X6333" s="337" t="b">
        <f t="shared" si="137"/>
        <v>0</v>
      </c>
    </row>
    <row r="6334" spans="1:24" s="386" customFormat="1" ht="12" customHeight="1" outlineLevel="1">
      <c r="A6334" s="382"/>
      <c r="B6334" s="118" t="s">
        <v>12</v>
      </c>
      <c r="C6334" s="334" t="s">
        <v>15403</v>
      </c>
      <c r="D6334" s="124" t="s">
        <v>15404</v>
      </c>
      <c r="E6334" s="125"/>
      <c r="F6334" s="118" t="s">
        <v>1104</v>
      </c>
      <c r="G6334" s="126" t="s">
        <v>15326</v>
      </c>
      <c r="H6334" s="255">
        <v>2</v>
      </c>
      <c r="I6334" s="361">
        <v>1</v>
      </c>
      <c r="J6334" s="371" t="s">
        <v>310</v>
      </c>
      <c r="K6334" s="373"/>
      <c r="L6334" s="129"/>
      <c r="M6334" s="129"/>
      <c r="N6334" s="129"/>
      <c r="O6334" s="129"/>
      <c r="P6334" s="364"/>
      <c r="Q6334" s="364"/>
      <c r="R6334" s="129"/>
      <c r="S6334" s="129"/>
      <c r="T6334" s="129"/>
      <c r="W6334" s="129" t="s">
        <v>286</v>
      </c>
      <c r="X6334" s="337" t="b">
        <f t="shared" si="137"/>
        <v>0</v>
      </c>
    </row>
    <row r="6335" spans="1:24" s="386" customFormat="1" ht="12" customHeight="1" outlineLevel="1">
      <c r="A6335" s="382"/>
      <c r="B6335" s="118" t="s">
        <v>12</v>
      </c>
      <c r="C6335" s="334" t="s">
        <v>15405</v>
      </c>
      <c r="D6335" s="124" t="s">
        <v>15406</v>
      </c>
      <c r="E6335" s="125"/>
      <c r="F6335" s="118" t="s">
        <v>1104</v>
      </c>
      <c r="G6335" s="126" t="s">
        <v>15326</v>
      </c>
      <c r="H6335" s="255">
        <v>2</v>
      </c>
      <c r="I6335" s="361">
        <v>1</v>
      </c>
      <c r="J6335" s="371" t="s">
        <v>310</v>
      </c>
      <c r="K6335" s="373"/>
      <c r="L6335" s="129"/>
      <c r="M6335" s="129"/>
      <c r="N6335" s="129"/>
      <c r="O6335" s="129"/>
      <c r="P6335" s="364"/>
      <c r="Q6335" s="364"/>
      <c r="R6335" s="129"/>
      <c r="S6335" s="129"/>
      <c r="T6335" s="129"/>
      <c r="W6335" s="129" t="s">
        <v>286</v>
      </c>
      <c r="X6335" s="337" t="b">
        <f t="shared" si="137"/>
        <v>0</v>
      </c>
    </row>
    <row r="6336" spans="1:24" s="386" customFormat="1" ht="12" customHeight="1" outlineLevel="1">
      <c r="A6336" s="382"/>
      <c r="B6336" s="118" t="s">
        <v>12</v>
      </c>
      <c r="C6336" s="334" t="s">
        <v>15407</v>
      </c>
      <c r="D6336" s="124" t="s">
        <v>15408</v>
      </c>
      <c r="E6336" s="125"/>
      <c r="F6336" s="118" t="s">
        <v>1104</v>
      </c>
      <c r="G6336" s="126" t="s">
        <v>15326</v>
      </c>
      <c r="H6336" s="255">
        <v>2</v>
      </c>
      <c r="I6336" s="361">
        <v>1</v>
      </c>
      <c r="J6336" s="371" t="s">
        <v>310</v>
      </c>
      <c r="K6336" s="373"/>
      <c r="L6336" s="129"/>
      <c r="M6336" s="129"/>
      <c r="N6336" s="129"/>
      <c r="O6336" s="129"/>
      <c r="P6336" s="364"/>
      <c r="Q6336" s="364"/>
      <c r="R6336" s="129"/>
      <c r="S6336" s="129"/>
      <c r="T6336" s="129"/>
      <c r="W6336" s="129" t="s">
        <v>286</v>
      </c>
      <c r="X6336" s="337" t="b">
        <f t="shared" si="137"/>
        <v>0</v>
      </c>
    </row>
    <row r="6337" spans="1:24" s="386" customFormat="1" ht="12" customHeight="1" outlineLevel="1">
      <c r="A6337" s="382"/>
      <c r="B6337" s="118" t="s">
        <v>12</v>
      </c>
      <c r="C6337" s="334" t="s">
        <v>15409</v>
      </c>
      <c r="D6337" s="124" t="s">
        <v>15410</v>
      </c>
      <c r="E6337" s="125"/>
      <c r="F6337" s="118" t="s">
        <v>1104</v>
      </c>
      <c r="G6337" s="126" t="s">
        <v>15326</v>
      </c>
      <c r="H6337" s="255">
        <v>2</v>
      </c>
      <c r="I6337" s="361">
        <v>1</v>
      </c>
      <c r="J6337" s="371" t="s">
        <v>310</v>
      </c>
      <c r="K6337" s="373"/>
      <c r="L6337" s="129"/>
      <c r="M6337" s="129"/>
      <c r="N6337" s="129"/>
      <c r="O6337" s="129"/>
      <c r="P6337" s="364"/>
      <c r="Q6337" s="364"/>
      <c r="R6337" s="129"/>
      <c r="S6337" s="129"/>
      <c r="T6337" s="129"/>
      <c r="W6337" s="129" t="s">
        <v>286</v>
      </c>
      <c r="X6337" s="337" t="b">
        <f t="shared" si="137"/>
        <v>0</v>
      </c>
    </row>
    <row r="6338" spans="1:24" s="386" customFormat="1" ht="12" customHeight="1" outlineLevel="1">
      <c r="A6338" s="382"/>
      <c r="B6338" s="118" t="s">
        <v>12</v>
      </c>
      <c r="C6338" s="334" t="s">
        <v>15411</v>
      </c>
      <c r="D6338" s="124" t="s">
        <v>15412</v>
      </c>
      <c r="E6338" s="125"/>
      <c r="F6338" s="118" t="s">
        <v>1104</v>
      </c>
      <c r="G6338" s="126" t="s">
        <v>15326</v>
      </c>
      <c r="H6338" s="255">
        <v>2</v>
      </c>
      <c r="I6338" s="361">
        <v>1</v>
      </c>
      <c r="J6338" s="371" t="s">
        <v>310</v>
      </c>
      <c r="K6338" s="373"/>
      <c r="L6338" s="129"/>
      <c r="M6338" s="129"/>
      <c r="N6338" s="129"/>
      <c r="O6338" s="129"/>
      <c r="P6338" s="364"/>
      <c r="Q6338" s="364"/>
      <c r="R6338" s="129"/>
      <c r="S6338" s="129"/>
      <c r="T6338" s="129"/>
      <c r="W6338" s="129" t="s">
        <v>286</v>
      </c>
      <c r="X6338" s="337" t="b">
        <f t="shared" si="137"/>
        <v>0</v>
      </c>
    </row>
    <row r="6339" spans="1:24" s="386" customFormat="1" ht="12" customHeight="1" outlineLevel="1">
      <c r="A6339" s="382"/>
      <c r="B6339" s="118" t="s">
        <v>12</v>
      </c>
      <c r="C6339" s="334" t="s">
        <v>15413</v>
      </c>
      <c r="D6339" s="124" t="s">
        <v>15414</v>
      </c>
      <c r="E6339" s="125"/>
      <c r="F6339" s="118" t="s">
        <v>1104</v>
      </c>
      <c r="G6339" s="126" t="s">
        <v>15326</v>
      </c>
      <c r="H6339" s="255">
        <v>2</v>
      </c>
      <c r="I6339" s="361">
        <v>1</v>
      </c>
      <c r="J6339" s="371" t="s">
        <v>310</v>
      </c>
      <c r="K6339" s="373"/>
      <c r="L6339" s="129"/>
      <c r="M6339" s="129"/>
      <c r="N6339" s="129"/>
      <c r="O6339" s="129"/>
      <c r="P6339" s="364"/>
      <c r="Q6339" s="364"/>
      <c r="R6339" s="129"/>
      <c r="S6339" s="129"/>
      <c r="T6339" s="129"/>
      <c r="W6339" s="129" t="s">
        <v>286</v>
      </c>
      <c r="X6339" s="337" t="b">
        <f t="shared" si="137"/>
        <v>0</v>
      </c>
    </row>
    <row r="6340" spans="1:24" s="386" customFormat="1" ht="12" customHeight="1" outlineLevel="1">
      <c r="A6340" s="382"/>
      <c r="B6340" s="118" t="s">
        <v>12</v>
      </c>
      <c r="C6340" s="334" t="s">
        <v>15415</v>
      </c>
      <c r="D6340" s="124" t="s">
        <v>15416</v>
      </c>
      <c r="E6340" s="125"/>
      <c r="F6340" s="118" t="s">
        <v>1104</v>
      </c>
      <c r="G6340" s="126" t="s">
        <v>15326</v>
      </c>
      <c r="H6340" s="255">
        <v>2</v>
      </c>
      <c r="I6340" s="361">
        <v>1</v>
      </c>
      <c r="J6340" s="371" t="s">
        <v>310</v>
      </c>
      <c r="K6340" s="373"/>
      <c r="L6340" s="129"/>
      <c r="M6340" s="129"/>
      <c r="N6340" s="129"/>
      <c r="O6340" s="129"/>
      <c r="P6340" s="364"/>
      <c r="Q6340" s="364"/>
      <c r="R6340" s="129"/>
      <c r="S6340" s="129"/>
      <c r="T6340" s="129"/>
      <c r="W6340" s="129" t="s">
        <v>286</v>
      </c>
      <c r="X6340" s="337" t="b">
        <f t="shared" si="137"/>
        <v>0</v>
      </c>
    </row>
    <row r="6341" spans="1:24" s="386" customFormat="1" ht="12" customHeight="1" outlineLevel="1">
      <c r="A6341" s="382"/>
      <c r="B6341" s="118" t="s">
        <v>12</v>
      </c>
      <c r="C6341" s="334" t="s">
        <v>15417</v>
      </c>
      <c r="D6341" s="124" t="s">
        <v>15418</v>
      </c>
      <c r="E6341" s="125"/>
      <c r="F6341" s="118" t="s">
        <v>1104</v>
      </c>
      <c r="G6341" s="126" t="s">
        <v>15326</v>
      </c>
      <c r="H6341" s="255">
        <v>2</v>
      </c>
      <c r="I6341" s="361">
        <v>1</v>
      </c>
      <c r="J6341" s="371" t="s">
        <v>310</v>
      </c>
      <c r="K6341" s="373"/>
      <c r="L6341" s="129"/>
      <c r="M6341" s="129"/>
      <c r="N6341" s="129"/>
      <c r="O6341" s="129"/>
      <c r="P6341" s="364"/>
      <c r="Q6341" s="364"/>
      <c r="R6341" s="129"/>
      <c r="S6341" s="129"/>
      <c r="T6341" s="129"/>
      <c r="W6341" s="129" t="s">
        <v>286</v>
      </c>
      <c r="X6341" s="337" t="b">
        <f t="shared" si="137"/>
        <v>0</v>
      </c>
    </row>
    <row r="6342" spans="1:24" s="386" customFormat="1" ht="12" customHeight="1" outlineLevel="1">
      <c r="A6342" s="382"/>
      <c r="B6342" s="118" t="s">
        <v>12</v>
      </c>
      <c r="C6342" s="334" t="s">
        <v>15419</v>
      </c>
      <c r="D6342" s="124" t="s">
        <v>15420</v>
      </c>
      <c r="E6342" s="125"/>
      <c r="F6342" s="118" t="s">
        <v>1104</v>
      </c>
      <c r="G6342" s="126" t="s">
        <v>15326</v>
      </c>
      <c r="H6342" s="255">
        <v>2</v>
      </c>
      <c r="I6342" s="361">
        <v>1</v>
      </c>
      <c r="J6342" s="371" t="s">
        <v>286</v>
      </c>
      <c r="K6342" s="373"/>
      <c r="L6342" s="129"/>
      <c r="M6342" s="129"/>
      <c r="N6342" s="129"/>
      <c r="O6342" s="129"/>
      <c r="P6342" s="364"/>
      <c r="Q6342" s="364"/>
      <c r="R6342" s="129"/>
      <c r="S6342" s="129"/>
      <c r="T6342" s="129"/>
      <c r="W6342" s="129" t="s">
        <v>310</v>
      </c>
      <c r="X6342" s="337" t="b">
        <f t="shared" si="137"/>
        <v>0</v>
      </c>
    </row>
    <row r="6343" spans="1:24" s="386" customFormat="1" ht="12" customHeight="1" outlineLevel="1">
      <c r="A6343" s="382"/>
      <c r="B6343" s="118" t="s">
        <v>12</v>
      </c>
      <c r="C6343" s="334" t="s">
        <v>15421</v>
      </c>
      <c r="D6343" s="124" t="s">
        <v>15422</v>
      </c>
      <c r="E6343" s="125"/>
      <c r="F6343" s="118" t="s">
        <v>1104</v>
      </c>
      <c r="G6343" s="126" t="s">
        <v>15326</v>
      </c>
      <c r="H6343" s="255">
        <v>2</v>
      </c>
      <c r="I6343" s="361">
        <v>1</v>
      </c>
      <c r="J6343" s="371" t="s">
        <v>286</v>
      </c>
      <c r="K6343" s="373"/>
      <c r="L6343" s="129"/>
      <c r="M6343" s="129"/>
      <c r="N6343" s="129"/>
      <c r="O6343" s="129"/>
      <c r="P6343" s="364"/>
      <c r="Q6343" s="364"/>
      <c r="R6343" s="129"/>
      <c r="S6343" s="129"/>
      <c r="T6343" s="129"/>
      <c r="W6343" s="129" t="s">
        <v>310</v>
      </c>
      <c r="X6343" s="337" t="b">
        <f t="shared" si="137"/>
        <v>0</v>
      </c>
    </row>
    <row r="6344" spans="1:24" s="386" customFormat="1" ht="12" customHeight="1" outlineLevel="1">
      <c r="A6344" s="382"/>
      <c r="B6344" s="118" t="s">
        <v>12</v>
      </c>
      <c r="C6344" s="334" t="s">
        <v>15423</v>
      </c>
      <c r="D6344" s="124" t="s">
        <v>15424</v>
      </c>
      <c r="E6344" s="125"/>
      <c r="F6344" s="118" t="s">
        <v>1104</v>
      </c>
      <c r="G6344" s="126" t="s">
        <v>15326</v>
      </c>
      <c r="H6344" s="255">
        <v>2</v>
      </c>
      <c r="I6344" s="361">
        <v>1</v>
      </c>
      <c r="J6344" s="371" t="s">
        <v>286</v>
      </c>
      <c r="K6344" s="373"/>
      <c r="L6344" s="129"/>
      <c r="M6344" s="129"/>
      <c r="N6344" s="129"/>
      <c r="O6344" s="129"/>
      <c r="P6344" s="364"/>
      <c r="Q6344" s="364"/>
      <c r="R6344" s="129"/>
      <c r="S6344" s="129"/>
      <c r="T6344" s="129"/>
      <c r="W6344" s="129" t="s">
        <v>310</v>
      </c>
      <c r="X6344" s="337" t="b">
        <f t="shared" si="137"/>
        <v>0</v>
      </c>
    </row>
    <row r="6345" spans="1:24" s="386" customFormat="1" ht="12" customHeight="1" outlineLevel="1">
      <c r="A6345" s="382"/>
      <c r="B6345" s="118" t="s">
        <v>12</v>
      </c>
      <c r="C6345" s="334" t="s">
        <v>15425</v>
      </c>
      <c r="D6345" s="124" t="s">
        <v>15426</v>
      </c>
      <c r="E6345" s="125"/>
      <c r="F6345" s="118" t="s">
        <v>1104</v>
      </c>
      <c r="G6345" s="126" t="s">
        <v>15326</v>
      </c>
      <c r="H6345" s="255">
        <v>2</v>
      </c>
      <c r="I6345" s="361">
        <v>1</v>
      </c>
      <c r="J6345" s="371" t="s">
        <v>286</v>
      </c>
      <c r="K6345" s="373"/>
      <c r="L6345" s="129"/>
      <c r="M6345" s="129"/>
      <c r="N6345" s="129"/>
      <c r="O6345" s="129"/>
      <c r="P6345" s="364"/>
      <c r="Q6345" s="364"/>
      <c r="R6345" s="129"/>
      <c r="S6345" s="129"/>
      <c r="T6345" s="129"/>
      <c r="W6345" s="129" t="s">
        <v>310</v>
      </c>
      <c r="X6345" s="337" t="b">
        <f t="shared" si="137"/>
        <v>0</v>
      </c>
    </row>
    <row r="6346" spans="1:24" s="386" customFormat="1" ht="12" customHeight="1" outlineLevel="1">
      <c r="A6346" s="382"/>
      <c r="B6346" s="118" t="s">
        <v>12</v>
      </c>
      <c r="C6346" s="334" t="s">
        <v>15427</v>
      </c>
      <c r="D6346" s="124" t="s">
        <v>15428</v>
      </c>
      <c r="E6346" s="125"/>
      <c r="F6346" s="118" t="s">
        <v>1104</v>
      </c>
      <c r="G6346" s="126" t="s">
        <v>15326</v>
      </c>
      <c r="H6346" s="255">
        <v>2</v>
      </c>
      <c r="I6346" s="361">
        <v>1</v>
      </c>
      <c r="J6346" s="371" t="s">
        <v>286</v>
      </c>
      <c r="K6346" s="373"/>
      <c r="L6346" s="129"/>
      <c r="M6346" s="129"/>
      <c r="N6346" s="129"/>
      <c r="O6346" s="129"/>
      <c r="P6346" s="364"/>
      <c r="Q6346" s="364"/>
      <c r="R6346" s="129"/>
      <c r="S6346" s="129"/>
      <c r="T6346" s="129"/>
      <c r="W6346" s="129" t="s">
        <v>310</v>
      </c>
      <c r="X6346" s="337" t="b">
        <f t="shared" si="137"/>
        <v>0</v>
      </c>
    </row>
    <row r="6347" spans="1:24" s="386" customFormat="1" ht="12" customHeight="1" outlineLevel="1">
      <c r="A6347" s="382"/>
      <c r="B6347" s="118" t="s">
        <v>12</v>
      </c>
      <c r="C6347" s="334" t="s">
        <v>15429</v>
      </c>
      <c r="D6347" s="124" t="s">
        <v>15430</v>
      </c>
      <c r="E6347" s="125"/>
      <c r="F6347" s="118" t="s">
        <v>1104</v>
      </c>
      <c r="G6347" s="126" t="s">
        <v>15326</v>
      </c>
      <c r="H6347" s="255">
        <v>2</v>
      </c>
      <c r="I6347" s="361">
        <v>1</v>
      </c>
      <c r="J6347" s="371" t="s">
        <v>286</v>
      </c>
      <c r="K6347" s="373"/>
      <c r="L6347" s="129"/>
      <c r="M6347" s="129"/>
      <c r="N6347" s="129"/>
      <c r="O6347" s="129"/>
      <c r="P6347" s="364"/>
      <c r="Q6347" s="364"/>
      <c r="R6347" s="129"/>
      <c r="S6347" s="129"/>
      <c r="T6347" s="129"/>
      <c r="W6347" s="129" t="s">
        <v>310</v>
      </c>
      <c r="X6347" s="337" t="b">
        <f t="shared" si="137"/>
        <v>0</v>
      </c>
    </row>
    <row r="6348" spans="1:24" s="386" customFormat="1" ht="12" customHeight="1" outlineLevel="1">
      <c r="A6348" s="382"/>
      <c r="B6348" s="118" t="s">
        <v>12</v>
      </c>
      <c r="C6348" s="334" t="s">
        <v>15431</v>
      </c>
      <c r="D6348" s="124" t="s">
        <v>15432</v>
      </c>
      <c r="E6348" s="125"/>
      <c r="F6348" s="118" t="s">
        <v>1104</v>
      </c>
      <c r="G6348" s="126" t="s">
        <v>15326</v>
      </c>
      <c r="H6348" s="255">
        <v>2</v>
      </c>
      <c r="I6348" s="361">
        <v>1</v>
      </c>
      <c r="J6348" s="371" t="s">
        <v>286</v>
      </c>
      <c r="K6348" s="373"/>
      <c r="L6348" s="129"/>
      <c r="M6348" s="129"/>
      <c r="N6348" s="129"/>
      <c r="O6348" s="129"/>
      <c r="P6348" s="364"/>
      <c r="Q6348" s="364"/>
      <c r="R6348" s="129"/>
      <c r="S6348" s="129"/>
      <c r="T6348" s="129"/>
      <c r="W6348" s="129" t="s">
        <v>310</v>
      </c>
      <c r="X6348" s="337" t="b">
        <f t="shared" si="137"/>
        <v>0</v>
      </c>
    </row>
    <row r="6349" spans="1:24" s="386" customFormat="1" ht="12" customHeight="1" outlineLevel="1">
      <c r="A6349" s="382"/>
      <c r="B6349" s="118" t="s">
        <v>12</v>
      </c>
      <c r="C6349" s="334" t="s">
        <v>15433</v>
      </c>
      <c r="D6349" s="124" t="s">
        <v>15434</v>
      </c>
      <c r="E6349" s="125"/>
      <c r="F6349" s="118" t="s">
        <v>1104</v>
      </c>
      <c r="G6349" s="126" t="s">
        <v>15326</v>
      </c>
      <c r="H6349" s="255">
        <v>2</v>
      </c>
      <c r="I6349" s="361">
        <v>1</v>
      </c>
      <c r="J6349" s="371" t="s">
        <v>286</v>
      </c>
      <c r="K6349" s="373"/>
      <c r="L6349" s="129"/>
      <c r="M6349" s="129"/>
      <c r="N6349" s="129"/>
      <c r="O6349" s="129"/>
      <c r="P6349" s="364"/>
      <c r="Q6349" s="364"/>
      <c r="R6349" s="129"/>
      <c r="S6349" s="129"/>
      <c r="T6349" s="129"/>
      <c r="W6349" s="129" t="s">
        <v>310</v>
      </c>
      <c r="X6349" s="337" t="b">
        <f t="shared" si="137"/>
        <v>0</v>
      </c>
    </row>
    <row r="6350" spans="1:24" s="386" customFormat="1" ht="12" customHeight="1" outlineLevel="1">
      <c r="A6350" s="382"/>
      <c r="B6350" s="118" t="s">
        <v>12</v>
      </c>
      <c r="C6350" s="334" t="s">
        <v>15435</v>
      </c>
      <c r="D6350" s="124" t="s">
        <v>15436</v>
      </c>
      <c r="E6350" s="125"/>
      <c r="F6350" s="118" t="s">
        <v>1104</v>
      </c>
      <c r="G6350" s="126" t="s">
        <v>15326</v>
      </c>
      <c r="H6350" s="255">
        <v>2</v>
      </c>
      <c r="I6350" s="361">
        <v>1</v>
      </c>
      <c r="J6350" s="371" t="s">
        <v>286</v>
      </c>
      <c r="K6350" s="373"/>
      <c r="L6350" s="129"/>
      <c r="M6350" s="129"/>
      <c r="N6350" s="129"/>
      <c r="O6350" s="129"/>
      <c r="P6350" s="364"/>
      <c r="Q6350" s="364"/>
      <c r="R6350" s="129"/>
      <c r="S6350" s="129"/>
      <c r="T6350" s="129"/>
      <c r="W6350" s="129" t="s">
        <v>310</v>
      </c>
      <c r="X6350" s="337" t="b">
        <f t="shared" ref="X6350:X6413" si="138">W6350=J6350</f>
        <v>0</v>
      </c>
    </row>
    <row r="6351" spans="1:24" s="386" customFormat="1" ht="12" customHeight="1" outlineLevel="1">
      <c r="A6351" s="382"/>
      <c r="B6351" s="118" t="s">
        <v>12</v>
      </c>
      <c r="C6351" s="334" t="s">
        <v>15437</v>
      </c>
      <c r="D6351" s="124" t="s">
        <v>15438</v>
      </c>
      <c r="E6351" s="125"/>
      <c r="F6351" s="118" t="s">
        <v>1104</v>
      </c>
      <c r="G6351" s="126" t="s">
        <v>15326</v>
      </c>
      <c r="H6351" s="255">
        <v>2</v>
      </c>
      <c r="I6351" s="361">
        <v>1</v>
      </c>
      <c r="J6351" s="371" t="s">
        <v>286</v>
      </c>
      <c r="K6351" s="373"/>
      <c r="L6351" s="129"/>
      <c r="M6351" s="129"/>
      <c r="N6351" s="129"/>
      <c r="O6351" s="129"/>
      <c r="P6351" s="364"/>
      <c r="Q6351" s="364"/>
      <c r="R6351" s="129"/>
      <c r="S6351" s="129"/>
      <c r="T6351" s="129"/>
      <c r="W6351" s="129" t="s">
        <v>286</v>
      </c>
      <c r="X6351" s="337" t="b">
        <f t="shared" si="138"/>
        <v>1</v>
      </c>
    </row>
    <row r="6352" spans="1:24" s="386" customFormat="1" ht="12" customHeight="1" outlineLevel="1">
      <c r="A6352" s="382"/>
      <c r="B6352" s="118" t="s">
        <v>12</v>
      </c>
      <c r="C6352" s="334" t="s">
        <v>15439</v>
      </c>
      <c r="D6352" s="124" t="s">
        <v>15440</v>
      </c>
      <c r="E6352" s="125"/>
      <c r="F6352" s="118" t="s">
        <v>1104</v>
      </c>
      <c r="G6352" s="126" t="s">
        <v>15326</v>
      </c>
      <c r="H6352" s="255">
        <v>2</v>
      </c>
      <c r="I6352" s="361">
        <v>1</v>
      </c>
      <c r="J6352" s="371" t="s">
        <v>286</v>
      </c>
      <c r="K6352" s="373"/>
      <c r="L6352" s="129"/>
      <c r="M6352" s="129"/>
      <c r="N6352" s="129"/>
      <c r="O6352" s="129"/>
      <c r="P6352" s="364"/>
      <c r="Q6352" s="364"/>
      <c r="R6352" s="129"/>
      <c r="S6352" s="129"/>
      <c r="T6352" s="129"/>
      <c r="W6352" s="129" t="s">
        <v>286</v>
      </c>
      <c r="X6352" s="337" t="b">
        <f t="shared" si="138"/>
        <v>1</v>
      </c>
    </row>
    <row r="6353" spans="1:24" s="386" customFormat="1" ht="12" customHeight="1" outlineLevel="1">
      <c r="A6353" s="382"/>
      <c r="B6353" s="118" t="s">
        <v>12</v>
      </c>
      <c r="C6353" s="334" t="s">
        <v>15441</v>
      </c>
      <c r="D6353" s="124" t="s">
        <v>15442</v>
      </c>
      <c r="E6353" s="125"/>
      <c r="F6353" s="118" t="s">
        <v>1104</v>
      </c>
      <c r="G6353" s="126" t="s">
        <v>15326</v>
      </c>
      <c r="H6353" s="255">
        <v>2</v>
      </c>
      <c r="I6353" s="361">
        <v>1</v>
      </c>
      <c r="J6353" s="371" t="s">
        <v>286</v>
      </c>
      <c r="K6353" s="373"/>
      <c r="L6353" s="129"/>
      <c r="M6353" s="129"/>
      <c r="N6353" s="129"/>
      <c r="O6353" s="129"/>
      <c r="P6353" s="364"/>
      <c r="Q6353" s="364"/>
      <c r="R6353" s="129"/>
      <c r="S6353" s="129"/>
      <c r="T6353" s="129"/>
      <c r="W6353" s="129" t="s">
        <v>286</v>
      </c>
      <c r="X6353" s="337" t="b">
        <f t="shared" si="138"/>
        <v>1</v>
      </c>
    </row>
    <row r="6354" spans="1:24" s="386" customFormat="1" ht="12" customHeight="1" outlineLevel="1">
      <c r="A6354" s="382"/>
      <c r="B6354" s="118" t="s">
        <v>12</v>
      </c>
      <c r="C6354" s="334" t="s">
        <v>15443</v>
      </c>
      <c r="D6354" s="124" t="s">
        <v>15444</v>
      </c>
      <c r="E6354" s="125"/>
      <c r="F6354" s="118" t="s">
        <v>1104</v>
      </c>
      <c r="G6354" s="126" t="s">
        <v>15326</v>
      </c>
      <c r="H6354" s="255">
        <v>2</v>
      </c>
      <c r="I6354" s="361">
        <v>1</v>
      </c>
      <c r="J6354" s="371" t="s">
        <v>286</v>
      </c>
      <c r="K6354" s="373"/>
      <c r="L6354" s="129"/>
      <c r="M6354" s="129"/>
      <c r="N6354" s="129"/>
      <c r="O6354" s="129"/>
      <c r="P6354" s="364"/>
      <c r="Q6354" s="364"/>
      <c r="R6354" s="129"/>
      <c r="S6354" s="129"/>
      <c r="T6354" s="129"/>
      <c r="W6354" s="129" t="s">
        <v>310</v>
      </c>
      <c r="X6354" s="337" t="b">
        <f t="shared" si="138"/>
        <v>0</v>
      </c>
    </row>
    <row r="6355" spans="1:24" s="386" customFormat="1" ht="12" customHeight="1" outlineLevel="1">
      <c r="A6355" s="382"/>
      <c r="B6355" s="118" t="s">
        <v>12</v>
      </c>
      <c r="C6355" s="334" t="s">
        <v>15445</v>
      </c>
      <c r="D6355" s="124" t="s">
        <v>15446</v>
      </c>
      <c r="E6355" s="125"/>
      <c r="F6355" s="118" t="s">
        <v>1104</v>
      </c>
      <c r="G6355" s="126" t="s">
        <v>15326</v>
      </c>
      <c r="H6355" s="255">
        <v>2</v>
      </c>
      <c r="I6355" s="361">
        <v>1</v>
      </c>
      <c r="J6355" s="371" t="s">
        <v>286</v>
      </c>
      <c r="K6355" s="373"/>
      <c r="L6355" s="129"/>
      <c r="M6355" s="129"/>
      <c r="N6355" s="129"/>
      <c r="O6355" s="129"/>
      <c r="P6355" s="364"/>
      <c r="Q6355" s="364"/>
      <c r="R6355" s="129"/>
      <c r="S6355" s="129"/>
      <c r="T6355" s="129"/>
      <c r="W6355" s="129" t="s">
        <v>310</v>
      </c>
      <c r="X6355" s="337" t="b">
        <f t="shared" si="138"/>
        <v>0</v>
      </c>
    </row>
    <row r="6356" spans="1:24" s="386" customFormat="1" ht="12" customHeight="1" outlineLevel="1">
      <c r="A6356" s="382"/>
      <c r="B6356" s="118" t="s">
        <v>12</v>
      </c>
      <c r="C6356" s="334" t="s">
        <v>15447</v>
      </c>
      <c r="D6356" s="124" t="s">
        <v>15448</v>
      </c>
      <c r="E6356" s="125"/>
      <c r="F6356" s="118" t="s">
        <v>1104</v>
      </c>
      <c r="G6356" s="126" t="s">
        <v>15326</v>
      </c>
      <c r="H6356" s="255">
        <v>2</v>
      </c>
      <c r="I6356" s="361">
        <v>1</v>
      </c>
      <c r="J6356" s="371" t="s">
        <v>286</v>
      </c>
      <c r="K6356" s="373"/>
      <c r="L6356" s="129"/>
      <c r="M6356" s="129"/>
      <c r="N6356" s="129"/>
      <c r="O6356" s="129"/>
      <c r="P6356" s="364"/>
      <c r="Q6356" s="364"/>
      <c r="R6356" s="129"/>
      <c r="S6356" s="129"/>
      <c r="T6356" s="129"/>
      <c r="W6356" s="129" t="s">
        <v>310</v>
      </c>
      <c r="X6356" s="337" t="b">
        <f t="shared" si="138"/>
        <v>0</v>
      </c>
    </row>
    <row r="6357" spans="1:24" s="386" customFormat="1" ht="12" customHeight="1" outlineLevel="1">
      <c r="A6357" s="382"/>
      <c r="B6357" s="118" t="s">
        <v>12</v>
      </c>
      <c r="C6357" s="334" t="s">
        <v>15449</v>
      </c>
      <c r="D6357" s="124" t="s">
        <v>15450</v>
      </c>
      <c r="E6357" s="125"/>
      <c r="F6357" s="118" t="s">
        <v>1104</v>
      </c>
      <c r="G6357" s="126" t="s">
        <v>15326</v>
      </c>
      <c r="H6357" s="255">
        <v>2</v>
      </c>
      <c r="I6357" s="361">
        <v>1</v>
      </c>
      <c r="J6357" s="371" t="s">
        <v>286</v>
      </c>
      <c r="K6357" s="373"/>
      <c r="L6357" s="129"/>
      <c r="M6357" s="129"/>
      <c r="N6357" s="129"/>
      <c r="O6357" s="129"/>
      <c r="P6357" s="364"/>
      <c r="Q6357" s="364"/>
      <c r="R6357" s="129"/>
      <c r="S6357" s="129"/>
      <c r="T6357" s="129"/>
      <c r="W6357" s="129" t="s">
        <v>286</v>
      </c>
      <c r="X6357" s="337" t="b">
        <f t="shared" si="138"/>
        <v>1</v>
      </c>
    </row>
    <row r="6358" spans="1:24" s="386" customFormat="1" ht="12" customHeight="1" outlineLevel="1">
      <c r="A6358" s="382"/>
      <c r="B6358" s="118" t="s">
        <v>12</v>
      </c>
      <c r="C6358" s="334" t="s">
        <v>15451</v>
      </c>
      <c r="D6358" s="124" t="s">
        <v>15452</v>
      </c>
      <c r="E6358" s="125"/>
      <c r="F6358" s="118" t="s">
        <v>1104</v>
      </c>
      <c r="G6358" s="126" t="s">
        <v>15326</v>
      </c>
      <c r="H6358" s="255">
        <v>2</v>
      </c>
      <c r="I6358" s="361">
        <v>1</v>
      </c>
      <c r="J6358" s="371" t="s">
        <v>286</v>
      </c>
      <c r="K6358" s="373"/>
      <c r="L6358" s="129"/>
      <c r="M6358" s="129"/>
      <c r="N6358" s="129"/>
      <c r="O6358" s="129"/>
      <c r="P6358" s="364"/>
      <c r="Q6358" s="364"/>
      <c r="R6358" s="129"/>
      <c r="S6358" s="129"/>
      <c r="T6358" s="129"/>
      <c r="W6358" s="129" t="s">
        <v>286</v>
      </c>
      <c r="X6358" s="337" t="b">
        <f t="shared" si="138"/>
        <v>1</v>
      </c>
    </row>
    <row r="6359" spans="1:24" s="386" customFormat="1" ht="12" customHeight="1" outlineLevel="1">
      <c r="A6359" s="382"/>
      <c r="B6359" s="118" t="s">
        <v>12</v>
      </c>
      <c r="C6359" s="334" t="s">
        <v>15453</v>
      </c>
      <c r="D6359" s="124" t="s">
        <v>15454</v>
      </c>
      <c r="E6359" s="125"/>
      <c r="F6359" s="118" t="s">
        <v>1104</v>
      </c>
      <c r="G6359" s="126" t="s">
        <v>15326</v>
      </c>
      <c r="H6359" s="255">
        <v>2</v>
      </c>
      <c r="I6359" s="361">
        <v>1</v>
      </c>
      <c r="J6359" s="371" t="s">
        <v>286</v>
      </c>
      <c r="K6359" s="373"/>
      <c r="L6359" s="129"/>
      <c r="M6359" s="129"/>
      <c r="N6359" s="129"/>
      <c r="O6359" s="129"/>
      <c r="P6359" s="364"/>
      <c r="Q6359" s="364"/>
      <c r="R6359" s="129"/>
      <c r="S6359" s="129"/>
      <c r="T6359" s="129"/>
      <c r="W6359" s="129" t="s">
        <v>286</v>
      </c>
      <c r="X6359" s="337" t="b">
        <f t="shared" si="138"/>
        <v>1</v>
      </c>
    </row>
    <row r="6360" spans="1:24" s="386" customFormat="1" ht="12" customHeight="1" outlineLevel="1">
      <c r="A6360" s="382"/>
      <c r="B6360" s="118" t="s">
        <v>12</v>
      </c>
      <c r="C6360" s="334" t="s">
        <v>15455</v>
      </c>
      <c r="D6360" s="124" t="s">
        <v>15456</v>
      </c>
      <c r="E6360" s="125"/>
      <c r="F6360" s="118" t="s">
        <v>1104</v>
      </c>
      <c r="G6360" s="126" t="s">
        <v>15326</v>
      </c>
      <c r="H6360" s="255">
        <v>2</v>
      </c>
      <c r="I6360" s="361">
        <v>1</v>
      </c>
      <c r="J6360" s="371" t="s">
        <v>286</v>
      </c>
      <c r="K6360" s="373"/>
      <c r="L6360" s="129"/>
      <c r="M6360" s="129"/>
      <c r="N6360" s="129"/>
      <c r="O6360" s="129"/>
      <c r="P6360" s="364"/>
      <c r="Q6360" s="364"/>
      <c r="R6360" s="129"/>
      <c r="S6360" s="129"/>
      <c r="T6360" s="129"/>
      <c r="W6360" s="129" t="s">
        <v>286</v>
      </c>
      <c r="X6360" s="337" t="b">
        <f t="shared" si="138"/>
        <v>1</v>
      </c>
    </row>
    <row r="6361" spans="1:24" s="386" customFormat="1" ht="12" customHeight="1" outlineLevel="1">
      <c r="A6361" s="382"/>
      <c r="B6361" s="118" t="s">
        <v>12</v>
      </c>
      <c r="C6361" s="334" t="s">
        <v>15457</v>
      </c>
      <c r="D6361" s="124" t="s">
        <v>15458</v>
      </c>
      <c r="E6361" s="125"/>
      <c r="F6361" s="118" t="s">
        <v>1104</v>
      </c>
      <c r="G6361" s="126" t="s">
        <v>15326</v>
      </c>
      <c r="H6361" s="255">
        <v>2</v>
      </c>
      <c r="I6361" s="361">
        <v>1</v>
      </c>
      <c r="J6361" s="371" t="s">
        <v>286</v>
      </c>
      <c r="K6361" s="373"/>
      <c r="L6361" s="129"/>
      <c r="M6361" s="129"/>
      <c r="N6361" s="129"/>
      <c r="O6361" s="129"/>
      <c r="P6361" s="364"/>
      <c r="Q6361" s="364"/>
      <c r="R6361" s="129"/>
      <c r="S6361" s="129"/>
      <c r="T6361" s="129"/>
      <c r="W6361" s="129" t="s">
        <v>286</v>
      </c>
      <c r="X6361" s="337" t="b">
        <f t="shared" si="138"/>
        <v>1</v>
      </c>
    </row>
    <row r="6362" spans="1:24" s="386" customFormat="1" ht="12" customHeight="1" outlineLevel="1">
      <c r="A6362" s="382"/>
      <c r="B6362" s="118" t="s">
        <v>12</v>
      </c>
      <c r="C6362" s="334" t="s">
        <v>15459</v>
      </c>
      <c r="D6362" s="124" t="s">
        <v>15460</v>
      </c>
      <c r="E6362" s="125"/>
      <c r="F6362" s="118" t="s">
        <v>1104</v>
      </c>
      <c r="G6362" s="126" t="s">
        <v>15326</v>
      </c>
      <c r="H6362" s="255">
        <v>2</v>
      </c>
      <c r="I6362" s="361">
        <v>1</v>
      </c>
      <c r="J6362" s="371" t="s">
        <v>286</v>
      </c>
      <c r="K6362" s="373"/>
      <c r="L6362" s="129"/>
      <c r="M6362" s="129"/>
      <c r="N6362" s="129"/>
      <c r="O6362" s="129"/>
      <c r="P6362" s="364"/>
      <c r="Q6362" s="364"/>
      <c r="R6362" s="129"/>
      <c r="S6362" s="129"/>
      <c r="T6362" s="129"/>
      <c r="W6362" s="129" t="s">
        <v>286</v>
      </c>
      <c r="X6362" s="337" t="b">
        <f t="shared" si="138"/>
        <v>1</v>
      </c>
    </row>
    <row r="6363" spans="1:24" s="386" customFormat="1" ht="12" customHeight="1" outlineLevel="1">
      <c r="A6363" s="382"/>
      <c r="B6363" s="118" t="s">
        <v>12</v>
      </c>
      <c r="C6363" s="334" t="s">
        <v>15461</v>
      </c>
      <c r="D6363" s="124" t="s">
        <v>15462</v>
      </c>
      <c r="E6363" s="125"/>
      <c r="F6363" s="118" t="s">
        <v>1104</v>
      </c>
      <c r="G6363" s="126" t="s">
        <v>15326</v>
      </c>
      <c r="H6363" s="255">
        <v>2</v>
      </c>
      <c r="I6363" s="361">
        <v>1</v>
      </c>
      <c r="J6363" s="371" t="s">
        <v>286</v>
      </c>
      <c r="K6363" s="373"/>
      <c r="L6363" s="129"/>
      <c r="M6363" s="129"/>
      <c r="N6363" s="129"/>
      <c r="O6363" s="129"/>
      <c r="P6363" s="364"/>
      <c r="Q6363" s="364"/>
      <c r="R6363" s="129"/>
      <c r="S6363" s="129"/>
      <c r="T6363" s="129"/>
      <c r="W6363" s="129" t="s">
        <v>286</v>
      </c>
      <c r="X6363" s="337" t="b">
        <f t="shared" si="138"/>
        <v>1</v>
      </c>
    </row>
    <row r="6364" spans="1:24" s="386" customFormat="1" ht="12" customHeight="1" outlineLevel="1">
      <c r="A6364" s="382"/>
      <c r="B6364" s="118" t="s">
        <v>12</v>
      </c>
      <c r="C6364" s="334" t="s">
        <v>15463</v>
      </c>
      <c r="D6364" s="124" t="s">
        <v>15464</v>
      </c>
      <c r="E6364" s="125"/>
      <c r="F6364" s="118" t="s">
        <v>1104</v>
      </c>
      <c r="G6364" s="126" t="s">
        <v>15326</v>
      </c>
      <c r="H6364" s="255">
        <v>2</v>
      </c>
      <c r="I6364" s="361">
        <v>1</v>
      </c>
      <c r="J6364" s="371" t="s">
        <v>286</v>
      </c>
      <c r="K6364" s="373"/>
      <c r="L6364" s="129"/>
      <c r="M6364" s="129"/>
      <c r="N6364" s="129"/>
      <c r="O6364" s="129"/>
      <c r="P6364" s="364"/>
      <c r="Q6364" s="364"/>
      <c r="R6364" s="129"/>
      <c r="S6364" s="129"/>
      <c r="T6364" s="129"/>
      <c r="W6364" s="129" t="s">
        <v>286</v>
      </c>
      <c r="X6364" s="337" t="b">
        <f t="shared" si="138"/>
        <v>1</v>
      </c>
    </row>
    <row r="6365" spans="1:24" s="386" customFormat="1" ht="12" customHeight="1" outlineLevel="1">
      <c r="A6365" s="382"/>
      <c r="B6365" s="118" t="s">
        <v>12</v>
      </c>
      <c r="C6365" s="334" t="s">
        <v>15465</v>
      </c>
      <c r="D6365" s="124" t="s">
        <v>15466</v>
      </c>
      <c r="E6365" s="125"/>
      <c r="F6365" s="118" t="s">
        <v>1104</v>
      </c>
      <c r="G6365" s="126" t="s">
        <v>15326</v>
      </c>
      <c r="H6365" s="255">
        <v>2</v>
      </c>
      <c r="I6365" s="361">
        <v>1</v>
      </c>
      <c r="J6365" s="371" t="s">
        <v>286</v>
      </c>
      <c r="K6365" s="373"/>
      <c r="L6365" s="129"/>
      <c r="M6365" s="129"/>
      <c r="N6365" s="129"/>
      <c r="O6365" s="129"/>
      <c r="P6365" s="364"/>
      <c r="Q6365" s="364"/>
      <c r="R6365" s="129"/>
      <c r="S6365" s="129"/>
      <c r="T6365" s="129"/>
      <c r="W6365" s="129" t="s">
        <v>286</v>
      </c>
      <c r="X6365" s="337" t="b">
        <f t="shared" si="138"/>
        <v>1</v>
      </c>
    </row>
    <row r="6366" spans="1:24" s="386" customFormat="1" ht="12" customHeight="1" outlineLevel="1">
      <c r="A6366" s="382"/>
      <c r="B6366" s="118" t="s">
        <v>12</v>
      </c>
      <c r="C6366" s="334" t="s">
        <v>15467</v>
      </c>
      <c r="D6366" s="124" t="s">
        <v>15468</v>
      </c>
      <c r="E6366" s="125"/>
      <c r="F6366" s="118" t="s">
        <v>1104</v>
      </c>
      <c r="G6366" s="126" t="s">
        <v>15326</v>
      </c>
      <c r="H6366" s="255">
        <v>2</v>
      </c>
      <c r="I6366" s="361">
        <v>1</v>
      </c>
      <c r="J6366" s="371" t="s">
        <v>286</v>
      </c>
      <c r="K6366" s="373"/>
      <c r="L6366" s="129"/>
      <c r="M6366" s="129"/>
      <c r="N6366" s="129"/>
      <c r="O6366" s="129"/>
      <c r="P6366" s="364"/>
      <c r="Q6366" s="364"/>
      <c r="R6366" s="129"/>
      <c r="S6366" s="129"/>
      <c r="T6366" s="129"/>
      <c r="W6366" s="129" t="s">
        <v>286</v>
      </c>
      <c r="X6366" s="337" t="b">
        <f t="shared" si="138"/>
        <v>1</v>
      </c>
    </row>
    <row r="6367" spans="1:24" s="386" customFormat="1" ht="12" customHeight="1" outlineLevel="1">
      <c r="A6367" s="382"/>
      <c r="B6367" s="118" t="s">
        <v>12</v>
      </c>
      <c r="C6367" s="334" t="s">
        <v>15469</v>
      </c>
      <c r="D6367" s="124" t="s">
        <v>15470</v>
      </c>
      <c r="E6367" s="125"/>
      <c r="F6367" s="118" t="s">
        <v>1104</v>
      </c>
      <c r="G6367" s="126" t="s">
        <v>15326</v>
      </c>
      <c r="H6367" s="255">
        <v>2</v>
      </c>
      <c r="I6367" s="361">
        <v>1</v>
      </c>
      <c r="J6367" s="371" t="s">
        <v>286</v>
      </c>
      <c r="K6367" s="373"/>
      <c r="L6367" s="129"/>
      <c r="M6367" s="129"/>
      <c r="N6367" s="129"/>
      <c r="O6367" s="129"/>
      <c r="P6367" s="364"/>
      <c r="Q6367" s="364"/>
      <c r="R6367" s="129"/>
      <c r="S6367" s="129"/>
      <c r="T6367" s="129"/>
      <c r="W6367" s="129" t="s">
        <v>286</v>
      </c>
      <c r="X6367" s="337" t="b">
        <f t="shared" si="138"/>
        <v>1</v>
      </c>
    </row>
    <row r="6368" spans="1:24" s="386" customFormat="1" ht="12" customHeight="1" outlineLevel="1">
      <c r="A6368" s="382"/>
      <c r="B6368" s="118" t="s">
        <v>12</v>
      </c>
      <c r="C6368" s="334" t="s">
        <v>15471</v>
      </c>
      <c r="D6368" s="124" t="s">
        <v>15472</v>
      </c>
      <c r="E6368" s="125"/>
      <c r="F6368" s="118" t="s">
        <v>1104</v>
      </c>
      <c r="G6368" s="126" t="s">
        <v>15326</v>
      </c>
      <c r="H6368" s="255">
        <v>2</v>
      </c>
      <c r="I6368" s="361">
        <v>1</v>
      </c>
      <c r="J6368" s="371" t="s">
        <v>286</v>
      </c>
      <c r="K6368" s="373"/>
      <c r="L6368" s="129"/>
      <c r="M6368" s="129"/>
      <c r="N6368" s="129"/>
      <c r="O6368" s="129"/>
      <c r="P6368" s="364"/>
      <c r="Q6368" s="364"/>
      <c r="R6368" s="129"/>
      <c r="S6368" s="129"/>
      <c r="T6368" s="129"/>
      <c r="W6368" s="129" t="s">
        <v>286</v>
      </c>
      <c r="X6368" s="337" t="b">
        <f t="shared" si="138"/>
        <v>1</v>
      </c>
    </row>
    <row r="6369" spans="1:24" s="386" customFormat="1" ht="12" customHeight="1" outlineLevel="1">
      <c r="A6369" s="382"/>
      <c r="B6369" s="118" t="s">
        <v>12</v>
      </c>
      <c r="C6369" s="334" t="s">
        <v>15473</v>
      </c>
      <c r="D6369" s="124" t="s">
        <v>15474</v>
      </c>
      <c r="E6369" s="125"/>
      <c r="F6369" s="118" t="s">
        <v>1104</v>
      </c>
      <c r="G6369" s="126" t="s">
        <v>15326</v>
      </c>
      <c r="H6369" s="255">
        <v>2</v>
      </c>
      <c r="I6369" s="361">
        <v>1</v>
      </c>
      <c r="J6369" s="371" t="s">
        <v>286</v>
      </c>
      <c r="K6369" s="373"/>
      <c r="L6369" s="129"/>
      <c r="M6369" s="129"/>
      <c r="N6369" s="129"/>
      <c r="O6369" s="129"/>
      <c r="P6369" s="364"/>
      <c r="Q6369" s="364"/>
      <c r="R6369" s="129"/>
      <c r="S6369" s="129"/>
      <c r="T6369" s="129"/>
      <c r="W6369" s="129" t="s">
        <v>286</v>
      </c>
      <c r="X6369" s="337" t="b">
        <f t="shared" si="138"/>
        <v>1</v>
      </c>
    </row>
    <row r="6370" spans="1:24" s="386" customFormat="1" ht="12" customHeight="1" outlineLevel="1">
      <c r="A6370" s="382"/>
      <c r="B6370" s="118" t="s">
        <v>12</v>
      </c>
      <c r="C6370" s="334" t="s">
        <v>15475</v>
      </c>
      <c r="D6370" s="124" t="s">
        <v>15476</v>
      </c>
      <c r="E6370" s="125"/>
      <c r="F6370" s="118" t="s">
        <v>1104</v>
      </c>
      <c r="G6370" s="126" t="s">
        <v>15326</v>
      </c>
      <c r="H6370" s="255">
        <v>2</v>
      </c>
      <c r="I6370" s="361">
        <v>1</v>
      </c>
      <c r="J6370" s="371" t="s">
        <v>286</v>
      </c>
      <c r="K6370" s="373"/>
      <c r="L6370" s="129"/>
      <c r="M6370" s="129"/>
      <c r="N6370" s="129"/>
      <c r="O6370" s="129"/>
      <c r="P6370" s="364"/>
      <c r="Q6370" s="364"/>
      <c r="R6370" s="129"/>
      <c r="S6370" s="129"/>
      <c r="T6370" s="129"/>
      <c r="W6370" s="129" t="s">
        <v>286</v>
      </c>
      <c r="X6370" s="337" t="b">
        <f t="shared" si="138"/>
        <v>1</v>
      </c>
    </row>
    <row r="6371" spans="1:24" s="386" customFormat="1" ht="12" customHeight="1" outlineLevel="1">
      <c r="A6371" s="382"/>
      <c r="B6371" s="118" t="s">
        <v>12</v>
      </c>
      <c r="C6371" s="334" t="s">
        <v>15477</v>
      </c>
      <c r="D6371" s="124" t="s">
        <v>15478</v>
      </c>
      <c r="E6371" s="125"/>
      <c r="F6371" s="118" t="s">
        <v>1104</v>
      </c>
      <c r="G6371" s="126" t="s">
        <v>15326</v>
      </c>
      <c r="H6371" s="255">
        <v>2</v>
      </c>
      <c r="I6371" s="361">
        <v>1</v>
      </c>
      <c r="J6371" s="371" t="s">
        <v>286</v>
      </c>
      <c r="K6371" s="373"/>
      <c r="L6371" s="129"/>
      <c r="M6371" s="129"/>
      <c r="N6371" s="129"/>
      <c r="O6371" s="129"/>
      <c r="P6371" s="364"/>
      <c r="Q6371" s="364"/>
      <c r="R6371" s="129"/>
      <c r="S6371" s="129"/>
      <c r="T6371" s="129"/>
      <c r="W6371" s="129" t="s">
        <v>286</v>
      </c>
      <c r="X6371" s="337" t="b">
        <f t="shared" si="138"/>
        <v>1</v>
      </c>
    </row>
    <row r="6372" spans="1:24" s="386" customFormat="1" ht="12" customHeight="1" outlineLevel="1">
      <c r="A6372" s="382"/>
      <c r="B6372" s="118" t="s">
        <v>12</v>
      </c>
      <c r="C6372" s="334" t="s">
        <v>15479</v>
      </c>
      <c r="D6372" s="124" t="s">
        <v>15480</v>
      </c>
      <c r="E6372" s="125"/>
      <c r="F6372" s="118" t="s">
        <v>1104</v>
      </c>
      <c r="G6372" s="126" t="s">
        <v>15326</v>
      </c>
      <c r="H6372" s="255">
        <v>2</v>
      </c>
      <c r="I6372" s="361">
        <v>1</v>
      </c>
      <c r="J6372" s="371" t="s">
        <v>286</v>
      </c>
      <c r="K6372" s="373"/>
      <c r="L6372" s="129"/>
      <c r="M6372" s="129"/>
      <c r="N6372" s="129"/>
      <c r="O6372" s="129"/>
      <c r="P6372" s="364"/>
      <c r="Q6372" s="364"/>
      <c r="R6372" s="129"/>
      <c r="S6372" s="129"/>
      <c r="T6372" s="129"/>
      <c r="W6372" s="129" t="s">
        <v>286</v>
      </c>
      <c r="X6372" s="337" t="b">
        <f t="shared" si="138"/>
        <v>1</v>
      </c>
    </row>
    <row r="6373" spans="1:24" s="386" customFormat="1" ht="12" customHeight="1" outlineLevel="1">
      <c r="A6373" s="382"/>
      <c r="B6373" s="118" t="s">
        <v>12</v>
      </c>
      <c r="C6373" s="334" t="s">
        <v>15481</v>
      </c>
      <c r="D6373" s="124" t="s">
        <v>15482</v>
      </c>
      <c r="E6373" s="125"/>
      <c r="F6373" s="118" t="s">
        <v>1104</v>
      </c>
      <c r="G6373" s="126" t="s">
        <v>15326</v>
      </c>
      <c r="H6373" s="255">
        <v>2</v>
      </c>
      <c r="I6373" s="361">
        <v>1</v>
      </c>
      <c r="J6373" s="371" t="s">
        <v>286</v>
      </c>
      <c r="K6373" s="373"/>
      <c r="L6373" s="129"/>
      <c r="M6373" s="129"/>
      <c r="N6373" s="129"/>
      <c r="O6373" s="129"/>
      <c r="P6373" s="364"/>
      <c r="Q6373" s="364"/>
      <c r="R6373" s="129"/>
      <c r="S6373" s="129"/>
      <c r="T6373" s="129"/>
      <c r="W6373" s="129" t="s">
        <v>286</v>
      </c>
      <c r="X6373" s="337" t="b">
        <f t="shared" si="138"/>
        <v>1</v>
      </c>
    </row>
    <row r="6374" spans="1:24" s="386" customFormat="1" ht="12" customHeight="1" outlineLevel="1">
      <c r="A6374" s="382"/>
      <c r="B6374" s="118" t="s">
        <v>12</v>
      </c>
      <c r="C6374" s="334" t="s">
        <v>15483</v>
      </c>
      <c r="D6374" s="124" t="s">
        <v>15484</v>
      </c>
      <c r="E6374" s="125"/>
      <c r="F6374" s="118" t="s">
        <v>1104</v>
      </c>
      <c r="G6374" s="126" t="s">
        <v>15326</v>
      </c>
      <c r="H6374" s="255">
        <v>2</v>
      </c>
      <c r="I6374" s="361">
        <v>1</v>
      </c>
      <c r="J6374" s="371" t="s">
        <v>286</v>
      </c>
      <c r="K6374" s="373"/>
      <c r="L6374" s="129"/>
      <c r="M6374" s="129"/>
      <c r="N6374" s="129"/>
      <c r="O6374" s="129"/>
      <c r="P6374" s="364"/>
      <c r="Q6374" s="364"/>
      <c r="R6374" s="129"/>
      <c r="S6374" s="129"/>
      <c r="T6374" s="129"/>
      <c r="W6374" s="129" t="s">
        <v>286</v>
      </c>
      <c r="X6374" s="337" t="b">
        <f t="shared" si="138"/>
        <v>1</v>
      </c>
    </row>
    <row r="6375" spans="1:24" s="386" customFormat="1" ht="12" customHeight="1" outlineLevel="1">
      <c r="A6375" s="382"/>
      <c r="B6375" s="118" t="s">
        <v>12</v>
      </c>
      <c r="C6375" s="334" t="s">
        <v>15485</v>
      </c>
      <c r="D6375" s="124" t="s">
        <v>15486</v>
      </c>
      <c r="E6375" s="125"/>
      <c r="F6375" s="118" t="s">
        <v>1104</v>
      </c>
      <c r="G6375" s="126" t="s">
        <v>15326</v>
      </c>
      <c r="H6375" s="255">
        <v>2</v>
      </c>
      <c r="I6375" s="361">
        <v>1</v>
      </c>
      <c r="J6375" s="371" t="s">
        <v>286</v>
      </c>
      <c r="K6375" s="373"/>
      <c r="L6375" s="129"/>
      <c r="M6375" s="129"/>
      <c r="N6375" s="129"/>
      <c r="O6375" s="129"/>
      <c r="P6375" s="364"/>
      <c r="Q6375" s="364"/>
      <c r="R6375" s="129"/>
      <c r="S6375" s="129"/>
      <c r="T6375" s="129"/>
      <c r="W6375" s="129" t="s">
        <v>286</v>
      </c>
      <c r="X6375" s="337" t="b">
        <f t="shared" si="138"/>
        <v>1</v>
      </c>
    </row>
    <row r="6376" spans="1:24" s="386" customFormat="1" ht="12" customHeight="1" outlineLevel="1">
      <c r="A6376" s="382"/>
      <c r="B6376" s="118" t="s">
        <v>12</v>
      </c>
      <c r="C6376" s="334" t="s">
        <v>15487</v>
      </c>
      <c r="D6376" s="124" t="s">
        <v>15488</v>
      </c>
      <c r="E6376" s="125"/>
      <c r="F6376" s="118" t="s">
        <v>1104</v>
      </c>
      <c r="G6376" s="126" t="s">
        <v>15326</v>
      </c>
      <c r="H6376" s="255">
        <v>2</v>
      </c>
      <c r="I6376" s="361">
        <v>1</v>
      </c>
      <c r="J6376" s="371" t="s">
        <v>286</v>
      </c>
      <c r="K6376" s="373"/>
      <c r="L6376" s="129"/>
      <c r="M6376" s="129"/>
      <c r="N6376" s="129"/>
      <c r="O6376" s="129"/>
      <c r="P6376" s="364"/>
      <c r="Q6376" s="364"/>
      <c r="R6376" s="129"/>
      <c r="S6376" s="129"/>
      <c r="T6376" s="129"/>
      <c r="W6376" s="129" t="s">
        <v>286</v>
      </c>
      <c r="X6376" s="337" t="b">
        <f t="shared" si="138"/>
        <v>1</v>
      </c>
    </row>
    <row r="6377" spans="1:24" s="386" customFormat="1" ht="12" customHeight="1" outlineLevel="1">
      <c r="A6377" s="382"/>
      <c r="B6377" s="118" t="s">
        <v>12</v>
      </c>
      <c r="C6377" s="334" t="s">
        <v>15489</v>
      </c>
      <c r="D6377" s="124" t="s">
        <v>15490</v>
      </c>
      <c r="E6377" s="125"/>
      <c r="F6377" s="118" t="s">
        <v>1104</v>
      </c>
      <c r="G6377" s="126" t="s">
        <v>15326</v>
      </c>
      <c r="H6377" s="255">
        <v>2</v>
      </c>
      <c r="I6377" s="361">
        <v>1</v>
      </c>
      <c r="J6377" s="371" t="s">
        <v>286</v>
      </c>
      <c r="K6377" s="373"/>
      <c r="L6377" s="129"/>
      <c r="M6377" s="129"/>
      <c r="N6377" s="129"/>
      <c r="O6377" s="129"/>
      <c r="P6377" s="364"/>
      <c r="Q6377" s="364"/>
      <c r="R6377" s="129"/>
      <c r="S6377" s="129"/>
      <c r="T6377" s="129"/>
      <c r="W6377" s="129" t="s">
        <v>286</v>
      </c>
      <c r="X6377" s="337" t="b">
        <f t="shared" si="138"/>
        <v>1</v>
      </c>
    </row>
    <row r="6378" spans="1:24" s="386" customFormat="1" ht="12" customHeight="1" outlineLevel="1">
      <c r="A6378" s="382"/>
      <c r="B6378" s="118" t="s">
        <v>12</v>
      </c>
      <c r="C6378" s="334" t="s">
        <v>15491</v>
      </c>
      <c r="D6378" s="124" t="s">
        <v>15492</v>
      </c>
      <c r="E6378" s="125"/>
      <c r="F6378" s="118" t="s">
        <v>1104</v>
      </c>
      <c r="G6378" s="126" t="s">
        <v>15326</v>
      </c>
      <c r="H6378" s="255">
        <v>2</v>
      </c>
      <c r="I6378" s="361">
        <v>1</v>
      </c>
      <c r="J6378" s="371" t="s">
        <v>286</v>
      </c>
      <c r="K6378" s="373"/>
      <c r="L6378" s="129"/>
      <c r="M6378" s="129"/>
      <c r="N6378" s="129"/>
      <c r="O6378" s="129"/>
      <c r="P6378" s="364"/>
      <c r="Q6378" s="364"/>
      <c r="R6378" s="129"/>
      <c r="S6378" s="129"/>
      <c r="T6378" s="129"/>
      <c r="W6378" s="129" t="s">
        <v>286</v>
      </c>
      <c r="X6378" s="337" t="b">
        <f t="shared" si="138"/>
        <v>1</v>
      </c>
    </row>
    <row r="6379" spans="1:24" s="386" customFormat="1" ht="12" customHeight="1" outlineLevel="1">
      <c r="A6379" s="382"/>
      <c r="B6379" s="118" t="s">
        <v>12</v>
      </c>
      <c r="C6379" s="334" t="s">
        <v>15493</v>
      </c>
      <c r="D6379" s="124" t="s">
        <v>15494</v>
      </c>
      <c r="E6379" s="125"/>
      <c r="F6379" s="118" t="s">
        <v>1104</v>
      </c>
      <c r="G6379" s="126" t="s">
        <v>15326</v>
      </c>
      <c r="H6379" s="255">
        <v>2</v>
      </c>
      <c r="I6379" s="361">
        <v>1</v>
      </c>
      <c r="J6379" s="371" t="s">
        <v>286</v>
      </c>
      <c r="K6379" s="373"/>
      <c r="L6379" s="129"/>
      <c r="M6379" s="129"/>
      <c r="N6379" s="129"/>
      <c r="O6379" s="129"/>
      <c r="P6379" s="364"/>
      <c r="Q6379" s="364"/>
      <c r="R6379" s="129"/>
      <c r="S6379" s="129"/>
      <c r="T6379" s="129"/>
      <c r="W6379" s="129" t="s">
        <v>286</v>
      </c>
      <c r="X6379" s="337" t="b">
        <f t="shared" si="138"/>
        <v>1</v>
      </c>
    </row>
    <row r="6380" spans="1:24" s="386" customFormat="1" ht="12" customHeight="1" outlineLevel="1">
      <c r="A6380" s="382"/>
      <c r="B6380" s="118" t="s">
        <v>12</v>
      </c>
      <c r="C6380" s="334" t="s">
        <v>15495</v>
      </c>
      <c r="D6380" s="124" t="s">
        <v>15496</v>
      </c>
      <c r="E6380" s="125"/>
      <c r="F6380" s="118" t="s">
        <v>1104</v>
      </c>
      <c r="G6380" s="126" t="s">
        <v>15326</v>
      </c>
      <c r="H6380" s="255">
        <v>2</v>
      </c>
      <c r="I6380" s="361">
        <v>1</v>
      </c>
      <c r="J6380" s="371" t="s">
        <v>286</v>
      </c>
      <c r="K6380" s="373"/>
      <c r="L6380" s="129"/>
      <c r="M6380" s="129"/>
      <c r="N6380" s="129"/>
      <c r="O6380" s="129"/>
      <c r="P6380" s="364"/>
      <c r="Q6380" s="364"/>
      <c r="R6380" s="129"/>
      <c r="S6380" s="129"/>
      <c r="T6380" s="129"/>
      <c r="W6380" s="129" t="s">
        <v>286</v>
      </c>
      <c r="X6380" s="337" t="b">
        <f t="shared" si="138"/>
        <v>1</v>
      </c>
    </row>
    <row r="6381" spans="1:24" s="386" customFormat="1" ht="12" customHeight="1" outlineLevel="1">
      <c r="A6381" s="382"/>
      <c r="B6381" s="118" t="s">
        <v>12</v>
      </c>
      <c r="C6381" s="334" t="s">
        <v>15497</v>
      </c>
      <c r="D6381" s="124" t="s">
        <v>15498</v>
      </c>
      <c r="E6381" s="125"/>
      <c r="F6381" s="118" t="s">
        <v>1104</v>
      </c>
      <c r="G6381" s="126" t="s">
        <v>15326</v>
      </c>
      <c r="H6381" s="255">
        <v>2</v>
      </c>
      <c r="I6381" s="361">
        <v>1</v>
      </c>
      <c r="J6381" s="371" t="s">
        <v>286</v>
      </c>
      <c r="K6381" s="373"/>
      <c r="L6381" s="129"/>
      <c r="M6381" s="129"/>
      <c r="N6381" s="129"/>
      <c r="O6381" s="129"/>
      <c r="P6381" s="364"/>
      <c r="Q6381" s="364"/>
      <c r="R6381" s="129"/>
      <c r="S6381" s="129"/>
      <c r="T6381" s="129"/>
      <c r="W6381" s="129" t="s">
        <v>286</v>
      </c>
      <c r="X6381" s="337" t="b">
        <f t="shared" si="138"/>
        <v>1</v>
      </c>
    </row>
    <row r="6382" spans="1:24" s="386" customFormat="1" ht="12" customHeight="1" outlineLevel="1">
      <c r="A6382" s="382"/>
      <c r="B6382" s="118" t="s">
        <v>12</v>
      </c>
      <c r="C6382" s="334" t="s">
        <v>15499</v>
      </c>
      <c r="D6382" s="124" t="s">
        <v>15500</v>
      </c>
      <c r="E6382" s="125"/>
      <c r="F6382" s="118" t="s">
        <v>1104</v>
      </c>
      <c r="G6382" s="126" t="s">
        <v>15326</v>
      </c>
      <c r="H6382" s="255">
        <v>2</v>
      </c>
      <c r="I6382" s="361">
        <v>1</v>
      </c>
      <c r="J6382" s="371" t="s">
        <v>286</v>
      </c>
      <c r="K6382" s="373"/>
      <c r="L6382" s="129"/>
      <c r="M6382" s="129"/>
      <c r="N6382" s="129"/>
      <c r="O6382" s="129"/>
      <c r="P6382" s="364"/>
      <c r="Q6382" s="364"/>
      <c r="R6382" s="129"/>
      <c r="S6382" s="129"/>
      <c r="T6382" s="129"/>
      <c r="W6382" s="129" t="s">
        <v>286</v>
      </c>
      <c r="X6382" s="337" t="b">
        <f t="shared" si="138"/>
        <v>1</v>
      </c>
    </row>
    <row r="6383" spans="1:24" s="386" customFormat="1" ht="12" customHeight="1" outlineLevel="1">
      <c r="A6383" s="382"/>
      <c r="B6383" s="118" t="s">
        <v>12</v>
      </c>
      <c r="C6383" s="334" t="s">
        <v>15501</v>
      </c>
      <c r="D6383" s="124" t="s">
        <v>15502</v>
      </c>
      <c r="E6383" s="125"/>
      <c r="F6383" s="118" t="s">
        <v>1104</v>
      </c>
      <c r="G6383" s="126" t="s">
        <v>15326</v>
      </c>
      <c r="H6383" s="255">
        <v>2</v>
      </c>
      <c r="I6383" s="361">
        <v>1</v>
      </c>
      <c r="J6383" s="371" t="s">
        <v>286</v>
      </c>
      <c r="K6383" s="373"/>
      <c r="L6383" s="129"/>
      <c r="M6383" s="129"/>
      <c r="N6383" s="129"/>
      <c r="O6383" s="129"/>
      <c r="P6383" s="364"/>
      <c r="Q6383" s="364"/>
      <c r="R6383" s="129"/>
      <c r="S6383" s="129"/>
      <c r="T6383" s="129"/>
      <c r="W6383" s="129" t="s">
        <v>286</v>
      </c>
      <c r="X6383" s="337" t="b">
        <f t="shared" si="138"/>
        <v>1</v>
      </c>
    </row>
    <row r="6384" spans="1:24" s="386" customFormat="1" ht="12" customHeight="1" outlineLevel="1">
      <c r="A6384" s="382"/>
      <c r="B6384" s="118" t="s">
        <v>12</v>
      </c>
      <c r="C6384" s="334" t="s">
        <v>15503</v>
      </c>
      <c r="D6384" s="124" t="s">
        <v>15504</v>
      </c>
      <c r="E6384" s="125"/>
      <c r="F6384" s="118" t="s">
        <v>1104</v>
      </c>
      <c r="G6384" s="126" t="s">
        <v>15326</v>
      </c>
      <c r="H6384" s="255">
        <v>2</v>
      </c>
      <c r="I6384" s="361">
        <v>1</v>
      </c>
      <c r="J6384" s="371" t="s">
        <v>286</v>
      </c>
      <c r="K6384" s="373"/>
      <c r="L6384" s="129"/>
      <c r="M6384" s="129"/>
      <c r="N6384" s="129"/>
      <c r="O6384" s="129"/>
      <c r="P6384" s="364"/>
      <c r="Q6384" s="364"/>
      <c r="R6384" s="129"/>
      <c r="S6384" s="129"/>
      <c r="T6384" s="129"/>
      <c r="W6384" s="129" t="s">
        <v>286</v>
      </c>
      <c r="X6384" s="337" t="b">
        <f t="shared" si="138"/>
        <v>1</v>
      </c>
    </row>
    <row r="6385" spans="1:24" s="386" customFormat="1" ht="12" customHeight="1" outlineLevel="1">
      <c r="A6385" s="382"/>
      <c r="B6385" s="118" t="s">
        <v>12</v>
      </c>
      <c r="C6385" s="334" t="s">
        <v>15505</v>
      </c>
      <c r="D6385" s="124" t="s">
        <v>15506</v>
      </c>
      <c r="E6385" s="125"/>
      <c r="F6385" s="118" t="s">
        <v>1104</v>
      </c>
      <c r="G6385" s="126" t="s">
        <v>15326</v>
      </c>
      <c r="H6385" s="255">
        <v>2</v>
      </c>
      <c r="I6385" s="361">
        <v>1</v>
      </c>
      <c r="J6385" s="371" t="s">
        <v>286</v>
      </c>
      <c r="K6385" s="373"/>
      <c r="L6385" s="129"/>
      <c r="M6385" s="129"/>
      <c r="N6385" s="129"/>
      <c r="O6385" s="129"/>
      <c r="P6385" s="364"/>
      <c r="Q6385" s="364"/>
      <c r="R6385" s="129"/>
      <c r="S6385" s="129"/>
      <c r="T6385" s="129"/>
      <c r="W6385" s="129" t="s">
        <v>286</v>
      </c>
      <c r="X6385" s="337" t="b">
        <f t="shared" si="138"/>
        <v>1</v>
      </c>
    </row>
    <row r="6386" spans="1:24" s="386" customFormat="1" ht="12" customHeight="1" outlineLevel="1">
      <c r="A6386" s="382"/>
      <c r="B6386" s="118" t="s">
        <v>12</v>
      </c>
      <c r="C6386" s="334" t="s">
        <v>15507</v>
      </c>
      <c r="D6386" s="124" t="s">
        <v>15508</v>
      </c>
      <c r="E6386" s="125"/>
      <c r="F6386" s="118" t="s">
        <v>1104</v>
      </c>
      <c r="G6386" s="126" t="s">
        <v>15326</v>
      </c>
      <c r="H6386" s="255">
        <v>2</v>
      </c>
      <c r="I6386" s="361">
        <v>1</v>
      </c>
      <c r="J6386" s="371" t="s">
        <v>286</v>
      </c>
      <c r="K6386" s="373"/>
      <c r="L6386" s="129"/>
      <c r="M6386" s="129"/>
      <c r="N6386" s="129"/>
      <c r="O6386" s="129"/>
      <c r="P6386" s="364"/>
      <c r="Q6386" s="364"/>
      <c r="R6386" s="129"/>
      <c r="S6386" s="129"/>
      <c r="T6386" s="129"/>
      <c r="W6386" s="129" t="s">
        <v>286</v>
      </c>
      <c r="X6386" s="337" t="b">
        <f t="shared" si="138"/>
        <v>1</v>
      </c>
    </row>
    <row r="6387" spans="1:24" s="386" customFormat="1" ht="12" customHeight="1" outlineLevel="1">
      <c r="A6387" s="382"/>
      <c r="B6387" s="118" t="s">
        <v>12</v>
      </c>
      <c r="C6387" s="334" t="s">
        <v>15509</v>
      </c>
      <c r="D6387" s="124" t="s">
        <v>15510</v>
      </c>
      <c r="E6387" s="125"/>
      <c r="F6387" s="118" t="s">
        <v>1104</v>
      </c>
      <c r="G6387" s="126" t="s">
        <v>15326</v>
      </c>
      <c r="H6387" s="255">
        <v>2</v>
      </c>
      <c r="I6387" s="361">
        <v>1</v>
      </c>
      <c r="J6387" s="371" t="s">
        <v>286</v>
      </c>
      <c r="K6387" s="373"/>
      <c r="L6387" s="129"/>
      <c r="M6387" s="129"/>
      <c r="N6387" s="129"/>
      <c r="O6387" s="129"/>
      <c r="P6387" s="364"/>
      <c r="Q6387" s="364"/>
      <c r="R6387" s="129"/>
      <c r="S6387" s="129"/>
      <c r="T6387" s="129"/>
      <c r="W6387" s="129" t="s">
        <v>286</v>
      </c>
      <c r="X6387" s="337" t="b">
        <f t="shared" si="138"/>
        <v>1</v>
      </c>
    </row>
    <row r="6388" spans="1:24" s="386" customFormat="1" ht="12" customHeight="1" outlineLevel="1">
      <c r="A6388" s="382"/>
      <c r="B6388" s="118" t="s">
        <v>12</v>
      </c>
      <c r="C6388" s="334" t="s">
        <v>15511</v>
      </c>
      <c r="D6388" s="124" t="s">
        <v>15512</v>
      </c>
      <c r="E6388" s="125"/>
      <c r="F6388" s="118" t="s">
        <v>1104</v>
      </c>
      <c r="G6388" s="126" t="s">
        <v>15326</v>
      </c>
      <c r="H6388" s="255">
        <v>2</v>
      </c>
      <c r="I6388" s="361">
        <v>1</v>
      </c>
      <c r="J6388" s="371" t="s">
        <v>286</v>
      </c>
      <c r="K6388" s="373"/>
      <c r="L6388" s="129"/>
      <c r="M6388" s="129"/>
      <c r="N6388" s="129"/>
      <c r="O6388" s="129"/>
      <c r="P6388" s="364"/>
      <c r="Q6388" s="364"/>
      <c r="R6388" s="129"/>
      <c r="S6388" s="129"/>
      <c r="T6388" s="129"/>
      <c r="W6388" s="129" t="s">
        <v>286</v>
      </c>
      <c r="X6388" s="337" t="b">
        <f t="shared" si="138"/>
        <v>1</v>
      </c>
    </row>
    <row r="6389" spans="1:24" s="386" customFormat="1" ht="12" customHeight="1" outlineLevel="1">
      <c r="A6389" s="382"/>
      <c r="B6389" s="118" t="s">
        <v>12</v>
      </c>
      <c r="C6389" s="334" t="s">
        <v>15513</v>
      </c>
      <c r="D6389" s="124" t="s">
        <v>15514</v>
      </c>
      <c r="E6389" s="125"/>
      <c r="F6389" s="118" t="s">
        <v>1104</v>
      </c>
      <c r="G6389" s="126" t="s">
        <v>15326</v>
      </c>
      <c r="H6389" s="255">
        <v>2</v>
      </c>
      <c r="I6389" s="361">
        <v>1</v>
      </c>
      <c r="J6389" s="371" t="s">
        <v>286</v>
      </c>
      <c r="K6389" s="373"/>
      <c r="L6389" s="129"/>
      <c r="M6389" s="129"/>
      <c r="N6389" s="129"/>
      <c r="O6389" s="129"/>
      <c r="P6389" s="364"/>
      <c r="Q6389" s="364"/>
      <c r="R6389" s="129"/>
      <c r="S6389" s="129"/>
      <c r="T6389" s="129"/>
      <c r="W6389" s="129" t="s">
        <v>286</v>
      </c>
      <c r="X6389" s="337" t="b">
        <f t="shared" si="138"/>
        <v>1</v>
      </c>
    </row>
    <row r="6390" spans="1:24" s="386" customFormat="1" ht="12" customHeight="1" outlineLevel="1">
      <c r="A6390" s="382"/>
      <c r="B6390" s="118" t="s">
        <v>12</v>
      </c>
      <c r="C6390" s="334" t="s">
        <v>15515</v>
      </c>
      <c r="D6390" s="124" t="s">
        <v>15516</v>
      </c>
      <c r="E6390" s="125"/>
      <c r="F6390" s="118" t="s">
        <v>1104</v>
      </c>
      <c r="G6390" s="126" t="s">
        <v>15326</v>
      </c>
      <c r="H6390" s="255">
        <v>2</v>
      </c>
      <c r="I6390" s="361">
        <v>1</v>
      </c>
      <c r="J6390" s="371" t="s">
        <v>286</v>
      </c>
      <c r="K6390" s="373"/>
      <c r="L6390" s="129"/>
      <c r="M6390" s="129"/>
      <c r="N6390" s="129"/>
      <c r="O6390" s="129"/>
      <c r="P6390" s="364"/>
      <c r="Q6390" s="364"/>
      <c r="R6390" s="129"/>
      <c r="S6390" s="129"/>
      <c r="T6390" s="129"/>
      <c r="W6390" s="129" t="s">
        <v>286</v>
      </c>
      <c r="X6390" s="337" t="b">
        <f t="shared" si="138"/>
        <v>1</v>
      </c>
    </row>
    <row r="6391" spans="1:24" s="386" customFormat="1" ht="12" customHeight="1" outlineLevel="1">
      <c r="A6391" s="382"/>
      <c r="B6391" s="118" t="s">
        <v>12</v>
      </c>
      <c r="C6391" s="334" t="s">
        <v>15517</v>
      </c>
      <c r="D6391" s="124" t="s">
        <v>15518</v>
      </c>
      <c r="E6391" s="125"/>
      <c r="F6391" s="118" t="s">
        <v>1104</v>
      </c>
      <c r="G6391" s="126" t="s">
        <v>15326</v>
      </c>
      <c r="H6391" s="255">
        <v>2</v>
      </c>
      <c r="I6391" s="361">
        <v>1</v>
      </c>
      <c r="J6391" s="371" t="s">
        <v>286</v>
      </c>
      <c r="K6391" s="373"/>
      <c r="L6391" s="129"/>
      <c r="M6391" s="129"/>
      <c r="N6391" s="129"/>
      <c r="O6391" s="129"/>
      <c r="P6391" s="364"/>
      <c r="Q6391" s="364"/>
      <c r="R6391" s="129"/>
      <c r="S6391" s="129"/>
      <c r="T6391" s="129"/>
      <c r="W6391" s="129" t="s">
        <v>286</v>
      </c>
      <c r="X6391" s="337" t="b">
        <f t="shared" si="138"/>
        <v>1</v>
      </c>
    </row>
    <row r="6392" spans="1:24" s="386" customFormat="1" ht="12" customHeight="1" outlineLevel="1">
      <c r="A6392" s="382"/>
      <c r="B6392" s="118" t="s">
        <v>12</v>
      </c>
      <c r="C6392" s="334" t="s">
        <v>15519</v>
      </c>
      <c r="D6392" s="124" t="s">
        <v>15520</v>
      </c>
      <c r="E6392" s="125"/>
      <c r="F6392" s="118" t="s">
        <v>1104</v>
      </c>
      <c r="G6392" s="126" t="s">
        <v>15326</v>
      </c>
      <c r="H6392" s="255">
        <v>2</v>
      </c>
      <c r="I6392" s="361">
        <v>1</v>
      </c>
      <c r="J6392" s="371" t="s">
        <v>286</v>
      </c>
      <c r="K6392" s="373"/>
      <c r="L6392" s="129"/>
      <c r="M6392" s="129"/>
      <c r="N6392" s="129"/>
      <c r="O6392" s="129"/>
      <c r="P6392" s="364"/>
      <c r="Q6392" s="364"/>
      <c r="R6392" s="129"/>
      <c r="S6392" s="129"/>
      <c r="T6392" s="129"/>
      <c r="W6392" s="129" t="s">
        <v>286</v>
      </c>
      <c r="X6392" s="337" t="b">
        <f t="shared" si="138"/>
        <v>1</v>
      </c>
    </row>
    <row r="6393" spans="1:24" s="386" customFormat="1" ht="12" customHeight="1" outlineLevel="1">
      <c r="A6393" s="382"/>
      <c r="B6393" s="118" t="s">
        <v>12</v>
      </c>
      <c r="C6393" s="334" t="s">
        <v>15521</v>
      </c>
      <c r="D6393" s="124" t="s">
        <v>15522</v>
      </c>
      <c r="E6393" s="125"/>
      <c r="F6393" s="118" t="s">
        <v>1104</v>
      </c>
      <c r="G6393" s="126" t="s">
        <v>15326</v>
      </c>
      <c r="H6393" s="255">
        <v>2</v>
      </c>
      <c r="I6393" s="361">
        <v>1</v>
      </c>
      <c r="J6393" s="371" t="s">
        <v>286</v>
      </c>
      <c r="K6393" s="373"/>
      <c r="L6393" s="129"/>
      <c r="M6393" s="129"/>
      <c r="N6393" s="129"/>
      <c r="O6393" s="129"/>
      <c r="P6393" s="364"/>
      <c r="Q6393" s="364"/>
      <c r="R6393" s="129"/>
      <c r="S6393" s="129"/>
      <c r="T6393" s="129"/>
      <c r="W6393" s="129" t="s">
        <v>286</v>
      </c>
      <c r="X6393" s="337" t="b">
        <f t="shared" si="138"/>
        <v>1</v>
      </c>
    </row>
    <row r="6394" spans="1:24" s="386" customFormat="1" ht="12" customHeight="1" outlineLevel="1">
      <c r="A6394" s="382"/>
      <c r="B6394" s="118" t="s">
        <v>12</v>
      </c>
      <c r="C6394" s="334" t="s">
        <v>15523</v>
      </c>
      <c r="D6394" s="124" t="s">
        <v>15524</v>
      </c>
      <c r="E6394" s="125"/>
      <c r="F6394" s="118" t="s">
        <v>1104</v>
      </c>
      <c r="G6394" s="126" t="s">
        <v>15326</v>
      </c>
      <c r="H6394" s="255">
        <v>2</v>
      </c>
      <c r="I6394" s="361">
        <v>1</v>
      </c>
      <c r="J6394" s="371" t="s">
        <v>286</v>
      </c>
      <c r="K6394" s="373"/>
      <c r="L6394" s="129"/>
      <c r="M6394" s="129"/>
      <c r="N6394" s="129"/>
      <c r="O6394" s="129"/>
      <c r="P6394" s="364"/>
      <c r="Q6394" s="364"/>
      <c r="R6394" s="129"/>
      <c r="S6394" s="129"/>
      <c r="T6394" s="129"/>
      <c r="W6394" s="129" t="s">
        <v>286</v>
      </c>
      <c r="X6394" s="337" t="b">
        <f t="shared" si="138"/>
        <v>1</v>
      </c>
    </row>
    <row r="6395" spans="1:24" s="386" customFormat="1" ht="12" customHeight="1" outlineLevel="1">
      <c r="A6395" s="382"/>
      <c r="B6395" s="118" t="s">
        <v>12</v>
      </c>
      <c r="C6395" s="334" t="s">
        <v>15525</v>
      </c>
      <c r="D6395" s="124" t="s">
        <v>15526</v>
      </c>
      <c r="E6395" s="125"/>
      <c r="F6395" s="118" t="s">
        <v>1104</v>
      </c>
      <c r="G6395" s="126" t="s">
        <v>15326</v>
      </c>
      <c r="H6395" s="255">
        <v>2</v>
      </c>
      <c r="I6395" s="361">
        <v>1</v>
      </c>
      <c r="J6395" s="371" t="s">
        <v>286</v>
      </c>
      <c r="K6395" s="373"/>
      <c r="L6395" s="129"/>
      <c r="M6395" s="129"/>
      <c r="N6395" s="129"/>
      <c r="O6395" s="129"/>
      <c r="P6395" s="364"/>
      <c r="Q6395" s="364"/>
      <c r="R6395" s="129"/>
      <c r="S6395" s="129"/>
      <c r="T6395" s="129"/>
      <c r="W6395" s="129" t="s">
        <v>286</v>
      </c>
      <c r="X6395" s="337" t="b">
        <f t="shared" si="138"/>
        <v>1</v>
      </c>
    </row>
    <row r="6396" spans="1:24" s="386" customFormat="1" ht="12" customHeight="1" outlineLevel="1">
      <c r="A6396" s="382"/>
      <c r="B6396" s="118" t="s">
        <v>12</v>
      </c>
      <c r="C6396" s="334" t="s">
        <v>15527</v>
      </c>
      <c r="D6396" s="124" t="s">
        <v>15528</v>
      </c>
      <c r="E6396" s="125"/>
      <c r="F6396" s="118" t="s">
        <v>1104</v>
      </c>
      <c r="G6396" s="126" t="s">
        <v>15326</v>
      </c>
      <c r="H6396" s="255">
        <v>2</v>
      </c>
      <c r="I6396" s="361">
        <v>1</v>
      </c>
      <c r="J6396" s="371" t="s">
        <v>286</v>
      </c>
      <c r="K6396" s="373"/>
      <c r="L6396" s="129"/>
      <c r="M6396" s="129"/>
      <c r="N6396" s="129"/>
      <c r="O6396" s="129"/>
      <c r="P6396" s="364"/>
      <c r="Q6396" s="364"/>
      <c r="R6396" s="129"/>
      <c r="S6396" s="129"/>
      <c r="T6396" s="129"/>
      <c r="W6396" s="129" t="s">
        <v>286</v>
      </c>
      <c r="X6396" s="337" t="b">
        <f t="shared" si="138"/>
        <v>1</v>
      </c>
    </row>
    <row r="6397" spans="1:24" s="386" customFormat="1" ht="12" customHeight="1" outlineLevel="1">
      <c r="A6397" s="382"/>
      <c r="B6397" s="118" t="s">
        <v>12</v>
      </c>
      <c r="C6397" s="334" t="s">
        <v>15529</v>
      </c>
      <c r="D6397" s="124" t="s">
        <v>15530</v>
      </c>
      <c r="E6397" s="125"/>
      <c r="F6397" s="118" t="s">
        <v>1104</v>
      </c>
      <c r="G6397" s="126" t="s">
        <v>15326</v>
      </c>
      <c r="H6397" s="255">
        <v>2</v>
      </c>
      <c r="I6397" s="361">
        <v>1</v>
      </c>
      <c r="J6397" s="371" t="s">
        <v>286</v>
      </c>
      <c r="K6397" s="373"/>
      <c r="L6397" s="129"/>
      <c r="M6397" s="129"/>
      <c r="N6397" s="129"/>
      <c r="O6397" s="129"/>
      <c r="P6397" s="364"/>
      <c r="Q6397" s="364"/>
      <c r="R6397" s="129"/>
      <c r="S6397" s="129"/>
      <c r="T6397" s="129"/>
      <c r="W6397" s="129" t="s">
        <v>286</v>
      </c>
      <c r="X6397" s="337" t="b">
        <f t="shared" si="138"/>
        <v>1</v>
      </c>
    </row>
    <row r="6398" spans="1:24" s="386" customFormat="1" ht="12" customHeight="1" outlineLevel="1">
      <c r="A6398" s="382"/>
      <c r="B6398" s="118" t="s">
        <v>12</v>
      </c>
      <c r="C6398" s="334" t="s">
        <v>15531</v>
      </c>
      <c r="D6398" s="124" t="s">
        <v>15532</v>
      </c>
      <c r="E6398" s="125"/>
      <c r="F6398" s="118" t="s">
        <v>1104</v>
      </c>
      <c r="G6398" s="126" t="s">
        <v>15326</v>
      </c>
      <c r="H6398" s="255">
        <v>2</v>
      </c>
      <c r="I6398" s="361">
        <v>1</v>
      </c>
      <c r="J6398" s="371" t="s">
        <v>286</v>
      </c>
      <c r="K6398" s="373"/>
      <c r="L6398" s="129"/>
      <c r="M6398" s="129"/>
      <c r="N6398" s="129"/>
      <c r="O6398" s="129"/>
      <c r="P6398" s="364"/>
      <c r="Q6398" s="364"/>
      <c r="R6398" s="129"/>
      <c r="S6398" s="129"/>
      <c r="T6398" s="129"/>
      <c r="W6398" s="129" t="s">
        <v>286</v>
      </c>
      <c r="X6398" s="337" t="b">
        <f t="shared" si="138"/>
        <v>1</v>
      </c>
    </row>
    <row r="6399" spans="1:24" s="386" customFormat="1" ht="12" customHeight="1" outlineLevel="1">
      <c r="A6399" s="382"/>
      <c r="B6399" s="118" t="s">
        <v>12</v>
      </c>
      <c r="C6399" s="334" t="s">
        <v>15533</v>
      </c>
      <c r="D6399" s="124" t="s">
        <v>15534</v>
      </c>
      <c r="E6399" s="125"/>
      <c r="F6399" s="118" t="s">
        <v>1104</v>
      </c>
      <c r="G6399" s="126" t="s">
        <v>15326</v>
      </c>
      <c r="H6399" s="255">
        <v>2</v>
      </c>
      <c r="I6399" s="361">
        <v>1</v>
      </c>
      <c r="J6399" s="371" t="s">
        <v>286</v>
      </c>
      <c r="K6399" s="373"/>
      <c r="L6399" s="129"/>
      <c r="M6399" s="129"/>
      <c r="N6399" s="129"/>
      <c r="O6399" s="129"/>
      <c r="P6399" s="364"/>
      <c r="Q6399" s="364"/>
      <c r="R6399" s="129"/>
      <c r="S6399" s="129"/>
      <c r="T6399" s="129"/>
      <c r="W6399" s="129" t="s">
        <v>286</v>
      </c>
      <c r="X6399" s="337" t="b">
        <f t="shared" si="138"/>
        <v>1</v>
      </c>
    </row>
    <row r="6400" spans="1:24" s="386" customFormat="1" ht="12" customHeight="1" outlineLevel="1">
      <c r="A6400" s="382"/>
      <c r="B6400" s="118" t="s">
        <v>12</v>
      </c>
      <c r="C6400" s="334" t="s">
        <v>15535</v>
      </c>
      <c r="D6400" s="124" t="s">
        <v>15536</v>
      </c>
      <c r="E6400" s="125"/>
      <c r="F6400" s="118" t="s">
        <v>1104</v>
      </c>
      <c r="G6400" s="126" t="s">
        <v>15326</v>
      </c>
      <c r="H6400" s="255">
        <v>2</v>
      </c>
      <c r="I6400" s="361">
        <v>1</v>
      </c>
      <c r="J6400" s="371" t="s">
        <v>286</v>
      </c>
      <c r="K6400" s="373"/>
      <c r="L6400" s="129"/>
      <c r="M6400" s="129"/>
      <c r="N6400" s="129"/>
      <c r="O6400" s="129"/>
      <c r="P6400" s="364"/>
      <c r="Q6400" s="364"/>
      <c r="R6400" s="129"/>
      <c r="S6400" s="129"/>
      <c r="T6400" s="129"/>
      <c r="W6400" s="129" t="s">
        <v>286</v>
      </c>
      <c r="X6400" s="337" t="b">
        <f t="shared" si="138"/>
        <v>1</v>
      </c>
    </row>
    <row r="6401" spans="1:24" s="386" customFormat="1" ht="12" customHeight="1" outlineLevel="1">
      <c r="A6401" s="382"/>
      <c r="B6401" s="118" t="s">
        <v>12</v>
      </c>
      <c r="C6401" s="334" t="s">
        <v>15537</v>
      </c>
      <c r="D6401" s="124" t="s">
        <v>15538</v>
      </c>
      <c r="E6401" s="125"/>
      <c r="F6401" s="118" t="s">
        <v>1104</v>
      </c>
      <c r="G6401" s="126" t="s">
        <v>15326</v>
      </c>
      <c r="H6401" s="255">
        <v>2</v>
      </c>
      <c r="I6401" s="361">
        <v>1</v>
      </c>
      <c r="J6401" s="371" t="s">
        <v>286</v>
      </c>
      <c r="K6401" s="373"/>
      <c r="L6401" s="129"/>
      <c r="M6401" s="129"/>
      <c r="N6401" s="129"/>
      <c r="O6401" s="129"/>
      <c r="P6401" s="364"/>
      <c r="Q6401" s="364"/>
      <c r="R6401" s="129"/>
      <c r="S6401" s="129"/>
      <c r="T6401" s="129"/>
      <c r="W6401" s="129" t="s">
        <v>286</v>
      </c>
      <c r="X6401" s="337" t="b">
        <f t="shared" si="138"/>
        <v>1</v>
      </c>
    </row>
    <row r="6402" spans="1:24" s="386" customFormat="1" ht="12" customHeight="1" outlineLevel="1">
      <c r="A6402" s="382"/>
      <c r="B6402" s="118" t="s">
        <v>12</v>
      </c>
      <c r="C6402" s="334" t="s">
        <v>15539</v>
      </c>
      <c r="D6402" s="124" t="s">
        <v>15540</v>
      </c>
      <c r="E6402" s="125"/>
      <c r="F6402" s="118" t="s">
        <v>1104</v>
      </c>
      <c r="G6402" s="126" t="s">
        <v>15326</v>
      </c>
      <c r="H6402" s="255">
        <v>2</v>
      </c>
      <c r="I6402" s="361">
        <v>1</v>
      </c>
      <c r="J6402" s="371" t="s">
        <v>286</v>
      </c>
      <c r="K6402" s="373"/>
      <c r="L6402" s="129"/>
      <c r="M6402" s="129"/>
      <c r="N6402" s="129"/>
      <c r="O6402" s="129"/>
      <c r="P6402" s="364"/>
      <c r="Q6402" s="364"/>
      <c r="R6402" s="129"/>
      <c r="S6402" s="129"/>
      <c r="T6402" s="129"/>
      <c r="W6402" s="129" t="s">
        <v>286</v>
      </c>
      <c r="X6402" s="337" t="b">
        <f t="shared" si="138"/>
        <v>1</v>
      </c>
    </row>
    <row r="6403" spans="1:24" s="386" customFormat="1" ht="12" customHeight="1" outlineLevel="1">
      <c r="A6403" s="382"/>
      <c r="B6403" s="118" t="s">
        <v>12</v>
      </c>
      <c r="C6403" s="334" t="s">
        <v>15541</v>
      </c>
      <c r="D6403" s="124" t="s">
        <v>15542</v>
      </c>
      <c r="E6403" s="125"/>
      <c r="F6403" s="118" t="s">
        <v>1104</v>
      </c>
      <c r="G6403" s="126" t="s">
        <v>15326</v>
      </c>
      <c r="H6403" s="255">
        <v>2</v>
      </c>
      <c r="I6403" s="361">
        <v>1</v>
      </c>
      <c r="J6403" s="371" t="s">
        <v>286</v>
      </c>
      <c r="K6403" s="373"/>
      <c r="L6403" s="129"/>
      <c r="M6403" s="129"/>
      <c r="N6403" s="129"/>
      <c r="O6403" s="129"/>
      <c r="P6403" s="364"/>
      <c r="Q6403" s="364"/>
      <c r="R6403" s="129"/>
      <c r="S6403" s="129"/>
      <c r="T6403" s="129"/>
      <c r="W6403" s="129" t="s">
        <v>286</v>
      </c>
      <c r="X6403" s="337" t="b">
        <f t="shared" si="138"/>
        <v>1</v>
      </c>
    </row>
    <row r="6404" spans="1:24" s="386" customFormat="1" ht="12" customHeight="1" outlineLevel="1">
      <c r="A6404" s="382"/>
      <c r="B6404" s="118" t="s">
        <v>12</v>
      </c>
      <c r="C6404" s="334" t="s">
        <v>15543</v>
      </c>
      <c r="D6404" s="124" t="s">
        <v>15544</v>
      </c>
      <c r="E6404" s="125"/>
      <c r="F6404" s="118" t="s">
        <v>1104</v>
      </c>
      <c r="G6404" s="126" t="s">
        <v>15326</v>
      </c>
      <c r="H6404" s="255">
        <v>2</v>
      </c>
      <c r="I6404" s="361">
        <v>1</v>
      </c>
      <c r="J6404" s="371" t="s">
        <v>286</v>
      </c>
      <c r="K6404" s="373"/>
      <c r="L6404" s="129"/>
      <c r="M6404" s="129"/>
      <c r="N6404" s="129"/>
      <c r="O6404" s="129"/>
      <c r="P6404" s="364"/>
      <c r="Q6404" s="364"/>
      <c r="R6404" s="129"/>
      <c r="S6404" s="129"/>
      <c r="T6404" s="129"/>
      <c r="W6404" s="129" t="s">
        <v>286</v>
      </c>
      <c r="X6404" s="337" t="b">
        <f t="shared" si="138"/>
        <v>1</v>
      </c>
    </row>
    <row r="6405" spans="1:24" s="386" customFormat="1" ht="12" customHeight="1" outlineLevel="1">
      <c r="A6405" s="382"/>
      <c r="B6405" s="118" t="s">
        <v>12</v>
      </c>
      <c r="C6405" s="334" t="s">
        <v>15545</v>
      </c>
      <c r="D6405" s="124" t="s">
        <v>15546</v>
      </c>
      <c r="E6405" s="125"/>
      <c r="F6405" s="118" t="s">
        <v>1104</v>
      </c>
      <c r="G6405" s="126" t="s">
        <v>15326</v>
      </c>
      <c r="H6405" s="255">
        <v>2</v>
      </c>
      <c r="I6405" s="361">
        <v>1</v>
      </c>
      <c r="J6405" s="371" t="s">
        <v>286</v>
      </c>
      <c r="K6405" s="373"/>
      <c r="L6405" s="129"/>
      <c r="M6405" s="129"/>
      <c r="N6405" s="129"/>
      <c r="O6405" s="129"/>
      <c r="P6405" s="364"/>
      <c r="Q6405" s="364"/>
      <c r="R6405" s="129"/>
      <c r="S6405" s="129"/>
      <c r="T6405" s="129"/>
      <c r="W6405" s="129" t="s">
        <v>286</v>
      </c>
      <c r="X6405" s="337" t="b">
        <f t="shared" si="138"/>
        <v>1</v>
      </c>
    </row>
    <row r="6406" spans="1:24" s="386" customFormat="1" ht="12" customHeight="1" outlineLevel="1">
      <c r="A6406" s="382"/>
      <c r="B6406" s="118" t="s">
        <v>12</v>
      </c>
      <c r="C6406" s="334" t="s">
        <v>15547</v>
      </c>
      <c r="D6406" s="124" t="s">
        <v>15548</v>
      </c>
      <c r="E6406" s="125"/>
      <c r="F6406" s="118" t="s">
        <v>1104</v>
      </c>
      <c r="G6406" s="126" t="s">
        <v>15326</v>
      </c>
      <c r="H6406" s="255">
        <v>2</v>
      </c>
      <c r="I6406" s="361">
        <v>1</v>
      </c>
      <c r="J6406" s="371" t="s">
        <v>310</v>
      </c>
      <c r="K6406" s="373"/>
      <c r="L6406" s="129"/>
      <c r="M6406" s="129"/>
      <c r="N6406" s="129"/>
      <c r="O6406" s="129"/>
      <c r="P6406" s="364"/>
      <c r="Q6406" s="364"/>
      <c r="R6406" s="129"/>
      <c r="S6406" s="129"/>
      <c r="T6406" s="129"/>
      <c r="W6406" s="129" t="s">
        <v>310</v>
      </c>
      <c r="X6406" s="337" t="b">
        <f t="shared" si="138"/>
        <v>1</v>
      </c>
    </row>
    <row r="6407" spans="1:24" s="386" customFormat="1" ht="12" customHeight="1" outlineLevel="1">
      <c r="A6407" s="382"/>
      <c r="B6407" s="118" t="s">
        <v>12</v>
      </c>
      <c r="C6407" s="334" t="s">
        <v>15549</v>
      </c>
      <c r="D6407" s="124" t="s">
        <v>15550</v>
      </c>
      <c r="E6407" s="125"/>
      <c r="F6407" s="118" t="s">
        <v>1104</v>
      </c>
      <c r="G6407" s="126" t="s">
        <v>15326</v>
      </c>
      <c r="H6407" s="255">
        <v>2</v>
      </c>
      <c r="I6407" s="361">
        <v>1</v>
      </c>
      <c r="J6407" s="371" t="s">
        <v>286</v>
      </c>
      <c r="K6407" s="373"/>
      <c r="L6407" s="129"/>
      <c r="M6407" s="129"/>
      <c r="N6407" s="129"/>
      <c r="O6407" s="129"/>
      <c r="P6407" s="364"/>
      <c r="Q6407" s="364"/>
      <c r="R6407" s="129"/>
      <c r="S6407" s="129"/>
      <c r="T6407" s="129"/>
      <c r="W6407" s="129" t="s">
        <v>286</v>
      </c>
      <c r="X6407" s="337" t="b">
        <f t="shared" si="138"/>
        <v>1</v>
      </c>
    </row>
    <row r="6408" spans="1:24" s="386" customFormat="1" ht="12" customHeight="1" outlineLevel="1">
      <c r="A6408" s="382"/>
      <c r="B6408" s="118" t="s">
        <v>12</v>
      </c>
      <c r="C6408" s="334" t="s">
        <v>15551</v>
      </c>
      <c r="D6408" s="124" t="s">
        <v>15552</v>
      </c>
      <c r="E6408" s="125"/>
      <c r="F6408" s="118" t="s">
        <v>1104</v>
      </c>
      <c r="G6408" s="126" t="s">
        <v>15312</v>
      </c>
      <c r="H6408" s="255">
        <v>1</v>
      </c>
      <c r="I6408" s="361">
        <v>1</v>
      </c>
      <c r="J6408" s="371" t="s">
        <v>286</v>
      </c>
      <c r="K6408" s="373"/>
      <c r="L6408" s="129"/>
      <c r="M6408" s="129"/>
      <c r="N6408" s="129"/>
      <c r="O6408" s="129"/>
      <c r="P6408" s="364"/>
      <c r="Q6408" s="364"/>
      <c r="R6408" s="129"/>
      <c r="S6408" s="129"/>
      <c r="T6408" s="129"/>
      <c r="W6408" s="129" t="s">
        <v>4876</v>
      </c>
      <c r="X6408" s="337" t="b">
        <f t="shared" si="138"/>
        <v>0</v>
      </c>
    </row>
    <row r="6409" spans="1:24" s="386" customFormat="1" ht="12" customHeight="1" outlineLevel="1">
      <c r="A6409" s="382"/>
      <c r="B6409" s="118" t="s">
        <v>12</v>
      </c>
      <c r="C6409" s="334" t="s">
        <v>15553</v>
      </c>
      <c r="D6409" s="124" t="s">
        <v>15554</v>
      </c>
      <c r="E6409" s="125"/>
      <c r="F6409" s="118" t="s">
        <v>1104</v>
      </c>
      <c r="G6409" s="126" t="s">
        <v>15312</v>
      </c>
      <c r="H6409" s="255">
        <v>1</v>
      </c>
      <c r="I6409" s="361">
        <v>1</v>
      </c>
      <c r="J6409" s="371" t="s">
        <v>286</v>
      </c>
      <c r="K6409" s="373"/>
      <c r="L6409" s="129"/>
      <c r="M6409" s="129"/>
      <c r="N6409" s="129"/>
      <c r="O6409" s="129"/>
      <c r="P6409" s="364"/>
      <c r="Q6409" s="364"/>
      <c r="R6409" s="129"/>
      <c r="S6409" s="129"/>
      <c r="T6409" s="129"/>
      <c r="W6409" s="129" t="s">
        <v>310</v>
      </c>
      <c r="X6409" s="337" t="b">
        <f t="shared" si="138"/>
        <v>0</v>
      </c>
    </row>
    <row r="6410" spans="1:24" s="386" customFormat="1" ht="12" customHeight="1" outlineLevel="1">
      <c r="A6410" s="382"/>
      <c r="B6410" s="118" t="s">
        <v>12</v>
      </c>
      <c r="C6410" s="334" t="s">
        <v>15555</v>
      </c>
      <c r="D6410" s="124" t="s">
        <v>15556</v>
      </c>
      <c r="E6410" s="125"/>
      <c r="F6410" s="118" t="s">
        <v>1104</v>
      </c>
      <c r="G6410" s="126" t="s">
        <v>15312</v>
      </c>
      <c r="H6410" s="255">
        <v>1</v>
      </c>
      <c r="I6410" s="361">
        <v>1</v>
      </c>
      <c r="J6410" s="371" t="s">
        <v>286</v>
      </c>
      <c r="K6410" s="373"/>
      <c r="L6410" s="129"/>
      <c r="M6410" s="129"/>
      <c r="N6410" s="129"/>
      <c r="O6410" s="129"/>
      <c r="P6410" s="364"/>
      <c r="Q6410" s="364"/>
      <c r="R6410" s="129"/>
      <c r="S6410" s="129"/>
      <c r="T6410" s="129"/>
      <c r="W6410" s="129" t="s">
        <v>310</v>
      </c>
      <c r="X6410" s="337" t="b">
        <f t="shared" si="138"/>
        <v>0</v>
      </c>
    </row>
    <row r="6411" spans="1:24" s="386" customFormat="1" ht="12" customHeight="1" outlineLevel="1">
      <c r="A6411" s="382"/>
      <c r="B6411" s="118" t="s">
        <v>12</v>
      </c>
      <c r="C6411" s="334" t="s">
        <v>15557</v>
      </c>
      <c r="D6411" s="124" t="s">
        <v>15558</v>
      </c>
      <c r="E6411" s="125"/>
      <c r="F6411" s="118" t="s">
        <v>1104</v>
      </c>
      <c r="G6411" s="126" t="s">
        <v>15312</v>
      </c>
      <c r="H6411" s="255">
        <v>1</v>
      </c>
      <c r="I6411" s="361">
        <v>1</v>
      </c>
      <c r="J6411" s="371" t="s">
        <v>286</v>
      </c>
      <c r="K6411" s="373"/>
      <c r="L6411" s="129"/>
      <c r="M6411" s="129"/>
      <c r="N6411" s="129"/>
      <c r="O6411" s="129"/>
      <c r="P6411" s="364"/>
      <c r="Q6411" s="364"/>
      <c r="R6411" s="129"/>
      <c r="S6411" s="129"/>
      <c r="T6411" s="129"/>
      <c r="W6411" s="129" t="s">
        <v>310</v>
      </c>
      <c r="X6411" s="337" t="b">
        <f t="shared" si="138"/>
        <v>0</v>
      </c>
    </row>
    <row r="6412" spans="1:24" s="386" customFormat="1" ht="12" customHeight="1" outlineLevel="1">
      <c r="A6412" s="382"/>
      <c r="B6412" s="118" t="s">
        <v>12</v>
      </c>
      <c r="C6412" s="334" t="s">
        <v>15559</v>
      </c>
      <c r="D6412" s="124" t="s">
        <v>15560</v>
      </c>
      <c r="E6412" s="125"/>
      <c r="F6412" s="118" t="s">
        <v>1104</v>
      </c>
      <c r="G6412" s="126" t="s">
        <v>15312</v>
      </c>
      <c r="H6412" s="255">
        <v>1</v>
      </c>
      <c r="I6412" s="361">
        <v>1</v>
      </c>
      <c r="J6412" s="371" t="s">
        <v>286</v>
      </c>
      <c r="K6412" s="373"/>
      <c r="L6412" s="129"/>
      <c r="M6412" s="129"/>
      <c r="N6412" s="129"/>
      <c r="O6412" s="129"/>
      <c r="P6412" s="364"/>
      <c r="Q6412" s="364"/>
      <c r="R6412" s="129"/>
      <c r="S6412" s="129"/>
      <c r="T6412" s="129"/>
      <c r="W6412" s="129" t="s">
        <v>310</v>
      </c>
      <c r="X6412" s="337" t="b">
        <f t="shared" si="138"/>
        <v>0</v>
      </c>
    </row>
    <row r="6413" spans="1:24" s="386" customFormat="1" ht="12" customHeight="1" outlineLevel="1">
      <c r="A6413" s="382"/>
      <c r="B6413" s="118" t="s">
        <v>12</v>
      </c>
      <c r="C6413" s="334" t="s">
        <v>15561</v>
      </c>
      <c r="D6413" s="124" t="s">
        <v>15562</v>
      </c>
      <c r="E6413" s="125"/>
      <c r="F6413" s="118" t="s">
        <v>1104</v>
      </c>
      <c r="G6413" s="126" t="s">
        <v>15312</v>
      </c>
      <c r="H6413" s="255">
        <v>1</v>
      </c>
      <c r="I6413" s="361">
        <v>1</v>
      </c>
      <c r="J6413" s="371" t="s">
        <v>310</v>
      </c>
      <c r="K6413" s="373"/>
      <c r="L6413" s="129"/>
      <c r="M6413" s="129"/>
      <c r="N6413" s="129"/>
      <c r="O6413" s="129"/>
      <c r="P6413" s="364"/>
      <c r="Q6413" s="364"/>
      <c r="R6413" s="129"/>
      <c r="S6413" s="129"/>
      <c r="T6413" s="129"/>
      <c r="W6413" s="129" t="s">
        <v>286</v>
      </c>
      <c r="X6413" s="337" t="b">
        <f t="shared" si="138"/>
        <v>0</v>
      </c>
    </row>
    <row r="6414" spans="1:24" s="386" customFormat="1" ht="12" customHeight="1" outlineLevel="1">
      <c r="A6414" s="382"/>
      <c r="B6414" s="118" t="s">
        <v>12</v>
      </c>
      <c r="C6414" s="334" t="s">
        <v>15563</v>
      </c>
      <c r="D6414" s="124" t="s">
        <v>15564</v>
      </c>
      <c r="E6414" s="125"/>
      <c r="F6414" s="118" t="s">
        <v>1104</v>
      </c>
      <c r="G6414" s="126" t="s">
        <v>15312</v>
      </c>
      <c r="H6414" s="255">
        <v>1</v>
      </c>
      <c r="I6414" s="361">
        <v>1</v>
      </c>
      <c r="J6414" s="371" t="s">
        <v>310</v>
      </c>
      <c r="K6414" s="373"/>
      <c r="L6414" s="129"/>
      <c r="M6414" s="129"/>
      <c r="N6414" s="129"/>
      <c r="O6414" s="129"/>
      <c r="P6414" s="364"/>
      <c r="Q6414" s="364"/>
      <c r="R6414" s="129"/>
      <c r="S6414" s="129"/>
      <c r="T6414" s="129"/>
      <c r="W6414" s="129" t="s">
        <v>286</v>
      </c>
      <c r="X6414" s="337" t="b">
        <f t="shared" ref="X6414:X6477" si="139">W6414=J6414</f>
        <v>0</v>
      </c>
    </row>
    <row r="6415" spans="1:24" s="386" customFormat="1" ht="12" customHeight="1" outlineLevel="1">
      <c r="A6415" s="382"/>
      <c r="B6415" s="118" t="s">
        <v>12</v>
      </c>
      <c r="C6415" s="334" t="s">
        <v>15565</v>
      </c>
      <c r="D6415" s="124" t="s">
        <v>15566</v>
      </c>
      <c r="E6415" s="125"/>
      <c r="F6415" s="118" t="s">
        <v>1104</v>
      </c>
      <c r="G6415" s="126" t="s">
        <v>15312</v>
      </c>
      <c r="H6415" s="255">
        <v>1</v>
      </c>
      <c r="I6415" s="361">
        <v>1</v>
      </c>
      <c r="J6415" s="371" t="s">
        <v>310</v>
      </c>
      <c r="K6415" s="373"/>
      <c r="L6415" s="129"/>
      <c r="M6415" s="129"/>
      <c r="N6415" s="129"/>
      <c r="O6415" s="129"/>
      <c r="P6415" s="364"/>
      <c r="Q6415" s="364"/>
      <c r="R6415" s="129"/>
      <c r="S6415" s="129"/>
      <c r="T6415" s="129"/>
      <c r="W6415" s="129" t="s">
        <v>286</v>
      </c>
      <c r="X6415" s="337" t="b">
        <f t="shared" si="139"/>
        <v>0</v>
      </c>
    </row>
    <row r="6416" spans="1:24" s="386" customFormat="1" ht="12" customHeight="1" outlineLevel="1">
      <c r="A6416" s="382"/>
      <c r="B6416" s="118" t="s">
        <v>12</v>
      </c>
      <c r="C6416" s="334" t="s">
        <v>15567</v>
      </c>
      <c r="D6416" s="124" t="s">
        <v>15568</v>
      </c>
      <c r="E6416" s="125"/>
      <c r="F6416" s="118" t="s">
        <v>1104</v>
      </c>
      <c r="G6416" s="126" t="s">
        <v>15312</v>
      </c>
      <c r="H6416" s="255">
        <v>1</v>
      </c>
      <c r="I6416" s="361">
        <v>1</v>
      </c>
      <c r="J6416" s="371" t="s">
        <v>286</v>
      </c>
      <c r="K6416" s="373"/>
      <c r="L6416" s="129"/>
      <c r="M6416" s="129"/>
      <c r="N6416" s="129"/>
      <c r="O6416" s="129"/>
      <c r="P6416" s="364"/>
      <c r="Q6416" s="364"/>
      <c r="R6416" s="129"/>
      <c r="S6416" s="129"/>
      <c r="T6416" s="129"/>
      <c r="W6416" s="129" t="s">
        <v>286</v>
      </c>
      <c r="X6416" s="337" t="b">
        <f t="shared" si="139"/>
        <v>1</v>
      </c>
    </row>
    <row r="6417" spans="1:24" s="386" customFormat="1" ht="12" customHeight="1" outlineLevel="1">
      <c r="A6417" s="382"/>
      <c r="B6417" s="118" t="s">
        <v>12</v>
      </c>
      <c r="C6417" s="334" t="s">
        <v>15569</v>
      </c>
      <c r="D6417" s="124" t="s">
        <v>15570</v>
      </c>
      <c r="E6417" s="125"/>
      <c r="F6417" s="118" t="s">
        <v>1104</v>
      </c>
      <c r="G6417" s="126" t="s">
        <v>15312</v>
      </c>
      <c r="H6417" s="255">
        <v>1</v>
      </c>
      <c r="I6417" s="361">
        <v>1</v>
      </c>
      <c r="J6417" s="371" t="s">
        <v>310</v>
      </c>
      <c r="K6417" s="373"/>
      <c r="L6417" s="129"/>
      <c r="M6417" s="129"/>
      <c r="N6417" s="129"/>
      <c r="O6417" s="129"/>
      <c r="P6417" s="364"/>
      <c r="Q6417" s="364"/>
      <c r="R6417" s="129"/>
      <c r="S6417" s="129"/>
      <c r="T6417" s="129"/>
      <c r="W6417" s="129" t="s">
        <v>286</v>
      </c>
      <c r="X6417" s="337" t="b">
        <f t="shared" si="139"/>
        <v>0</v>
      </c>
    </row>
    <row r="6418" spans="1:24" s="386" customFormat="1" ht="12" customHeight="1" outlineLevel="1">
      <c r="A6418" s="382"/>
      <c r="B6418" s="118" t="s">
        <v>12</v>
      </c>
      <c r="C6418" s="334" t="s">
        <v>15571</v>
      </c>
      <c r="D6418" s="124" t="s">
        <v>15572</v>
      </c>
      <c r="E6418" s="125"/>
      <c r="F6418" s="118" t="s">
        <v>1104</v>
      </c>
      <c r="G6418" s="126" t="s">
        <v>15312</v>
      </c>
      <c r="H6418" s="255">
        <v>1</v>
      </c>
      <c r="I6418" s="361">
        <v>1</v>
      </c>
      <c r="J6418" s="371" t="s">
        <v>310</v>
      </c>
      <c r="K6418" s="373"/>
      <c r="L6418" s="129"/>
      <c r="M6418" s="129"/>
      <c r="N6418" s="129"/>
      <c r="O6418" s="129"/>
      <c r="P6418" s="364"/>
      <c r="Q6418" s="364"/>
      <c r="R6418" s="129"/>
      <c r="S6418" s="129"/>
      <c r="T6418" s="129"/>
      <c r="W6418" s="129" t="s">
        <v>286</v>
      </c>
      <c r="X6418" s="337" t="b">
        <f t="shared" si="139"/>
        <v>0</v>
      </c>
    </row>
    <row r="6419" spans="1:24" s="386" customFormat="1" ht="12" customHeight="1" outlineLevel="1">
      <c r="A6419" s="382"/>
      <c r="B6419" s="118" t="s">
        <v>12</v>
      </c>
      <c r="C6419" s="334" t="s">
        <v>15573</v>
      </c>
      <c r="D6419" s="124" t="s">
        <v>15574</v>
      </c>
      <c r="E6419" s="125"/>
      <c r="F6419" s="118" t="s">
        <v>1104</v>
      </c>
      <c r="G6419" s="126" t="s">
        <v>15312</v>
      </c>
      <c r="H6419" s="255">
        <v>1</v>
      </c>
      <c r="I6419" s="361">
        <v>1</v>
      </c>
      <c r="J6419" s="371" t="s">
        <v>310</v>
      </c>
      <c r="K6419" s="373"/>
      <c r="L6419" s="129"/>
      <c r="M6419" s="129"/>
      <c r="N6419" s="129"/>
      <c r="O6419" s="129"/>
      <c r="P6419" s="364"/>
      <c r="Q6419" s="364"/>
      <c r="R6419" s="129"/>
      <c r="S6419" s="129"/>
      <c r="T6419" s="129"/>
      <c r="W6419" s="129" t="s">
        <v>286</v>
      </c>
      <c r="X6419" s="337" t="b">
        <f t="shared" si="139"/>
        <v>0</v>
      </c>
    </row>
    <row r="6420" spans="1:24" s="386" customFormat="1" ht="12" customHeight="1" outlineLevel="1">
      <c r="A6420" s="382"/>
      <c r="B6420" s="118" t="s">
        <v>12</v>
      </c>
      <c r="C6420" s="334" t="s">
        <v>15575</v>
      </c>
      <c r="D6420" s="124" t="s">
        <v>15576</v>
      </c>
      <c r="E6420" s="125"/>
      <c r="F6420" s="118" t="s">
        <v>1104</v>
      </c>
      <c r="G6420" s="126" t="s">
        <v>15312</v>
      </c>
      <c r="H6420" s="255">
        <v>1</v>
      </c>
      <c r="I6420" s="361">
        <v>1</v>
      </c>
      <c r="J6420" s="371" t="s">
        <v>310</v>
      </c>
      <c r="K6420" s="373"/>
      <c r="L6420" s="129"/>
      <c r="M6420" s="129"/>
      <c r="N6420" s="129"/>
      <c r="O6420" s="129"/>
      <c r="P6420" s="364"/>
      <c r="Q6420" s="364"/>
      <c r="R6420" s="129"/>
      <c r="S6420" s="129"/>
      <c r="T6420" s="129"/>
      <c r="W6420" s="129" t="s">
        <v>286</v>
      </c>
      <c r="X6420" s="337" t="b">
        <f t="shared" si="139"/>
        <v>0</v>
      </c>
    </row>
    <row r="6421" spans="1:24" s="386" customFormat="1" ht="12" customHeight="1" outlineLevel="1">
      <c r="A6421" s="382"/>
      <c r="B6421" s="118" t="s">
        <v>12</v>
      </c>
      <c r="C6421" s="334" t="s">
        <v>15577</v>
      </c>
      <c r="D6421" s="124" t="s">
        <v>15578</v>
      </c>
      <c r="E6421" s="125"/>
      <c r="F6421" s="118" t="s">
        <v>1104</v>
      </c>
      <c r="G6421" s="126" t="s">
        <v>15312</v>
      </c>
      <c r="H6421" s="255">
        <v>1</v>
      </c>
      <c r="I6421" s="361">
        <v>1</v>
      </c>
      <c r="J6421" s="371" t="s">
        <v>286</v>
      </c>
      <c r="K6421" s="373"/>
      <c r="L6421" s="129"/>
      <c r="M6421" s="129"/>
      <c r="N6421" s="129"/>
      <c r="O6421" s="129"/>
      <c r="P6421" s="364"/>
      <c r="Q6421" s="364"/>
      <c r="R6421" s="129"/>
      <c r="S6421" s="129"/>
      <c r="T6421" s="129"/>
      <c r="W6421" s="129" t="s">
        <v>286</v>
      </c>
      <c r="X6421" s="337" t="b">
        <f t="shared" si="139"/>
        <v>1</v>
      </c>
    </row>
    <row r="6422" spans="1:24" s="386" customFormat="1" ht="12" customHeight="1" outlineLevel="1">
      <c r="A6422" s="382"/>
      <c r="B6422" s="118" t="s">
        <v>12</v>
      </c>
      <c r="C6422" s="334" t="s">
        <v>15579</v>
      </c>
      <c r="D6422" s="124" t="s">
        <v>15580</v>
      </c>
      <c r="E6422" s="125"/>
      <c r="F6422" s="118" t="s">
        <v>1104</v>
      </c>
      <c r="G6422" s="126" t="s">
        <v>15312</v>
      </c>
      <c r="H6422" s="255">
        <v>1</v>
      </c>
      <c r="I6422" s="361">
        <v>1</v>
      </c>
      <c r="J6422" s="371" t="s">
        <v>286</v>
      </c>
      <c r="K6422" s="373"/>
      <c r="L6422" s="129"/>
      <c r="M6422" s="129"/>
      <c r="N6422" s="129"/>
      <c r="O6422" s="129"/>
      <c r="P6422" s="364"/>
      <c r="Q6422" s="364"/>
      <c r="R6422" s="129"/>
      <c r="S6422" s="129"/>
      <c r="T6422" s="129"/>
      <c r="W6422" s="129" t="s">
        <v>286</v>
      </c>
      <c r="X6422" s="337" t="b">
        <f t="shared" si="139"/>
        <v>1</v>
      </c>
    </row>
    <row r="6423" spans="1:24" s="386" customFormat="1" ht="12" customHeight="1" outlineLevel="1">
      <c r="A6423" s="382"/>
      <c r="B6423" s="118" t="s">
        <v>12</v>
      </c>
      <c r="C6423" s="334" t="s">
        <v>15581</v>
      </c>
      <c r="D6423" s="124" t="s">
        <v>15582</v>
      </c>
      <c r="E6423" s="125"/>
      <c r="F6423" s="118" t="s">
        <v>1104</v>
      </c>
      <c r="G6423" s="126" t="s">
        <v>15312</v>
      </c>
      <c r="H6423" s="255">
        <v>1</v>
      </c>
      <c r="I6423" s="361">
        <v>1</v>
      </c>
      <c r="J6423" s="371" t="s">
        <v>310</v>
      </c>
      <c r="K6423" s="373"/>
      <c r="L6423" s="129"/>
      <c r="M6423" s="129"/>
      <c r="N6423" s="129"/>
      <c r="O6423" s="129"/>
      <c r="P6423" s="364"/>
      <c r="Q6423" s="364"/>
      <c r="R6423" s="129"/>
      <c r="S6423" s="129"/>
      <c r="T6423" s="129"/>
      <c r="W6423" s="129" t="s">
        <v>286</v>
      </c>
      <c r="X6423" s="337" t="b">
        <f t="shared" si="139"/>
        <v>0</v>
      </c>
    </row>
    <row r="6424" spans="1:24" s="386" customFormat="1" ht="12" customHeight="1" outlineLevel="1">
      <c r="A6424" s="382"/>
      <c r="B6424" s="118" t="s">
        <v>12</v>
      </c>
      <c r="C6424" s="334" t="s">
        <v>15583</v>
      </c>
      <c r="D6424" s="124" t="s">
        <v>15584</v>
      </c>
      <c r="E6424" s="125"/>
      <c r="F6424" s="118" t="s">
        <v>1104</v>
      </c>
      <c r="G6424" s="126" t="s">
        <v>15312</v>
      </c>
      <c r="H6424" s="255">
        <v>1</v>
      </c>
      <c r="I6424" s="361">
        <v>1</v>
      </c>
      <c r="J6424" s="371" t="s">
        <v>310</v>
      </c>
      <c r="K6424" s="373"/>
      <c r="L6424" s="129"/>
      <c r="M6424" s="129"/>
      <c r="N6424" s="129"/>
      <c r="O6424" s="129"/>
      <c r="P6424" s="364"/>
      <c r="Q6424" s="364"/>
      <c r="R6424" s="129"/>
      <c r="S6424" s="129"/>
      <c r="T6424" s="129"/>
      <c r="W6424" s="129" t="s">
        <v>286</v>
      </c>
      <c r="X6424" s="337" t="b">
        <f t="shared" si="139"/>
        <v>0</v>
      </c>
    </row>
    <row r="6425" spans="1:24" s="386" customFormat="1" ht="12" customHeight="1" outlineLevel="1">
      <c r="A6425" s="382"/>
      <c r="B6425" s="118" t="s">
        <v>12</v>
      </c>
      <c r="C6425" s="334" t="s">
        <v>15585</v>
      </c>
      <c r="D6425" s="124" t="s">
        <v>15586</v>
      </c>
      <c r="E6425" s="125"/>
      <c r="F6425" s="118" t="s">
        <v>1104</v>
      </c>
      <c r="G6425" s="126" t="s">
        <v>15312</v>
      </c>
      <c r="H6425" s="255">
        <v>1</v>
      </c>
      <c r="I6425" s="361">
        <v>1</v>
      </c>
      <c r="J6425" s="371" t="s">
        <v>307</v>
      </c>
      <c r="K6425" s="373"/>
      <c r="L6425" s="129"/>
      <c r="M6425" s="129"/>
      <c r="N6425" s="129"/>
      <c r="O6425" s="129"/>
      <c r="P6425" s="364"/>
      <c r="Q6425" s="364"/>
      <c r="R6425" s="129"/>
      <c r="S6425" s="129"/>
      <c r="T6425" s="129"/>
      <c r="W6425" s="129" t="s">
        <v>310</v>
      </c>
      <c r="X6425" s="337" t="b">
        <f t="shared" si="139"/>
        <v>0</v>
      </c>
    </row>
    <row r="6426" spans="1:24" s="386" customFormat="1" ht="12" customHeight="1" outlineLevel="1">
      <c r="A6426" s="382"/>
      <c r="B6426" s="118" t="s">
        <v>12</v>
      </c>
      <c r="C6426" s="334" t="s">
        <v>15587</v>
      </c>
      <c r="D6426" s="124" t="s">
        <v>15588</v>
      </c>
      <c r="E6426" s="125"/>
      <c r="F6426" s="118" t="s">
        <v>1104</v>
      </c>
      <c r="G6426" s="126" t="s">
        <v>15312</v>
      </c>
      <c r="H6426" s="255">
        <v>1</v>
      </c>
      <c r="I6426" s="361">
        <v>1</v>
      </c>
      <c r="J6426" s="371" t="s">
        <v>286</v>
      </c>
      <c r="K6426" s="373"/>
      <c r="L6426" s="129"/>
      <c r="M6426" s="129"/>
      <c r="N6426" s="129"/>
      <c r="O6426" s="129"/>
      <c r="P6426" s="364"/>
      <c r="Q6426" s="364"/>
      <c r="R6426" s="129"/>
      <c r="S6426" s="129"/>
      <c r="T6426" s="129"/>
      <c r="W6426" s="129" t="s">
        <v>286</v>
      </c>
      <c r="X6426" s="337" t="b">
        <f t="shared" si="139"/>
        <v>1</v>
      </c>
    </row>
    <row r="6427" spans="1:24" s="386" customFormat="1" ht="12" customHeight="1" outlineLevel="1">
      <c r="A6427" s="382"/>
      <c r="B6427" s="118" t="s">
        <v>12</v>
      </c>
      <c r="C6427" s="334" t="s">
        <v>15589</v>
      </c>
      <c r="D6427" s="124" t="s">
        <v>15590</v>
      </c>
      <c r="E6427" s="125"/>
      <c r="F6427" s="118" t="s">
        <v>1104</v>
      </c>
      <c r="G6427" s="126" t="s">
        <v>15312</v>
      </c>
      <c r="H6427" s="255">
        <v>1</v>
      </c>
      <c r="I6427" s="361">
        <v>1</v>
      </c>
      <c r="J6427" s="371" t="s">
        <v>286</v>
      </c>
      <c r="K6427" s="373"/>
      <c r="L6427" s="129"/>
      <c r="M6427" s="129"/>
      <c r="N6427" s="129"/>
      <c r="O6427" s="129"/>
      <c r="P6427" s="364"/>
      <c r="Q6427" s="364"/>
      <c r="R6427" s="129"/>
      <c r="S6427" s="129"/>
      <c r="T6427" s="129"/>
      <c r="W6427" s="129" t="s">
        <v>286</v>
      </c>
      <c r="X6427" s="337" t="b">
        <f t="shared" si="139"/>
        <v>1</v>
      </c>
    </row>
    <row r="6428" spans="1:24" s="386" customFormat="1" ht="12" customHeight="1" outlineLevel="1">
      <c r="A6428" s="382"/>
      <c r="B6428" s="118" t="s">
        <v>12</v>
      </c>
      <c r="C6428" s="334" t="s">
        <v>15591</v>
      </c>
      <c r="D6428" s="124" t="s">
        <v>15592</v>
      </c>
      <c r="E6428" s="125"/>
      <c r="F6428" s="118" t="s">
        <v>1104</v>
      </c>
      <c r="G6428" s="126" t="s">
        <v>15312</v>
      </c>
      <c r="H6428" s="255">
        <v>1</v>
      </c>
      <c r="I6428" s="361">
        <v>1</v>
      </c>
      <c r="J6428" s="371" t="s">
        <v>286</v>
      </c>
      <c r="K6428" s="373"/>
      <c r="L6428" s="129"/>
      <c r="M6428" s="129"/>
      <c r="N6428" s="129"/>
      <c r="O6428" s="129"/>
      <c r="P6428" s="364"/>
      <c r="Q6428" s="364"/>
      <c r="R6428" s="129"/>
      <c r="S6428" s="129"/>
      <c r="T6428" s="129"/>
      <c r="W6428" s="129" t="s">
        <v>286</v>
      </c>
      <c r="X6428" s="337" t="b">
        <f t="shared" si="139"/>
        <v>1</v>
      </c>
    </row>
    <row r="6429" spans="1:24" s="386" customFormat="1" ht="12" customHeight="1" outlineLevel="1">
      <c r="A6429" s="382"/>
      <c r="B6429" s="118" t="s">
        <v>12</v>
      </c>
      <c r="C6429" s="334" t="s">
        <v>15593</v>
      </c>
      <c r="D6429" s="124" t="s">
        <v>15594</v>
      </c>
      <c r="E6429" s="125"/>
      <c r="F6429" s="118" t="s">
        <v>1104</v>
      </c>
      <c r="G6429" s="126" t="s">
        <v>15312</v>
      </c>
      <c r="H6429" s="255">
        <v>1</v>
      </c>
      <c r="I6429" s="361">
        <v>1</v>
      </c>
      <c r="J6429" s="371" t="s">
        <v>286</v>
      </c>
      <c r="K6429" s="373"/>
      <c r="L6429" s="129"/>
      <c r="M6429" s="129"/>
      <c r="N6429" s="129"/>
      <c r="O6429" s="129"/>
      <c r="P6429" s="364"/>
      <c r="Q6429" s="364"/>
      <c r="R6429" s="129"/>
      <c r="S6429" s="129"/>
      <c r="T6429" s="129"/>
      <c r="W6429" s="129" t="s">
        <v>286</v>
      </c>
      <c r="X6429" s="337" t="b">
        <f t="shared" si="139"/>
        <v>1</v>
      </c>
    </row>
    <row r="6430" spans="1:24" s="386" customFormat="1" ht="12" customHeight="1" outlineLevel="1">
      <c r="A6430" s="382"/>
      <c r="B6430" s="118" t="s">
        <v>12</v>
      </c>
      <c r="C6430" s="334" t="s">
        <v>15595</v>
      </c>
      <c r="D6430" s="124" t="s">
        <v>15596</v>
      </c>
      <c r="E6430" s="125"/>
      <c r="F6430" s="118" t="s">
        <v>1104</v>
      </c>
      <c r="G6430" s="126" t="s">
        <v>15312</v>
      </c>
      <c r="H6430" s="255">
        <v>1</v>
      </c>
      <c r="I6430" s="361">
        <v>1</v>
      </c>
      <c r="J6430" s="371" t="s">
        <v>286</v>
      </c>
      <c r="K6430" s="373"/>
      <c r="L6430" s="129"/>
      <c r="M6430" s="129"/>
      <c r="N6430" s="129"/>
      <c r="O6430" s="129"/>
      <c r="P6430" s="364"/>
      <c r="Q6430" s="364"/>
      <c r="R6430" s="129"/>
      <c r="S6430" s="129"/>
      <c r="T6430" s="129"/>
      <c r="W6430" s="129" t="s">
        <v>286</v>
      </c>
      <c r="X6430" s="337" t="b">
        <f t="shared" si="139"/>
        <v>1</v>
      </c>
    </row>
    <row r="6431" spans="1:24" s="386" customFormat="1" ht="12" customHeight="1" outlineLevel="1">
      <c r="A6431" s="382"/>
      <c r="B6431" s="118" t="s">
        <v>12</v>
      </c>
      <c r="C6431" s="334" t="s">
        <v>15597</v>
      </c>
      <c r="D6431" s="124" t="s">
        <v>15598</v>
      </c>
      <c r="E6431" s="125"/>
      <c r="F6431" s="118" t="s">
        <v>1104</v>
      </c>
      <c r="G6431" s="126" t="s">
        <v>15312</v>
      </c>
      <c r="H6431" s="255">
        <v>1</v>
      </c>
      <c r="I6431" s="361">
        <v>1</v>
      </c>
      <c r="J6431" s="371" t="s">
        <v>286</v>
      </c>
      <c r="K6431" s="373"/>
      <c r="L6431" s="129"/>
      <c r="M6431" s="129"/>
      <c r="N6431" s="129"/>
      <c r="O6431" s="129"/>
      <c r="P6431" s="364"/>
      <c r="Q6431" s="364"/>
      <c r="R6431" s="129"/>
      <c r="S6431" s="129"/>
      <c r="T6431" s="129"/>
      <c r="W6431" s="129" t="s">
        <v>286</v>
      </c>
      <c r="X6431" s="337" t="b">
        <f t="shared" si="139"/>
        <v>1</v>
      </c>
    </row>
    <row r="6432" spans="1:24" s="386" customFormat="1" ht="12" customHeight="1" outlineLevel="1">
      <c r="A6432" s="382"/>
      <c r="B6432" s="118" t="s">
        <v>12</v>
      </c>
      <c r="C6432" s="334" t="s">
        <v>15599</v>
      </c>
      <c r="D6432" s="124" t="s">
        <v>15600</v>
      </c>
      <c r="E6432" s="125"/>
      <c r="F6432" s="118" t="s">
        <v>1104</v>
      </c>
      <c r="G6432" s="126" t="s">
        <v>15312</v>
      </c>
      <c r="H6432" s="255">
        <v>1</v>
      </c>
      <c r="I6432" s="361">
        <v>1</v>
      </c>
      <c r="J6432" s="371" t="s">
        <v>286</v>
      </c>
      <c r="K6432" s="373"/>
      <c r="L6432" s="129"/>
      <c r="M6432" s="129"/>
      <c r="N6432" s="129"/>
      <c r="O6432" s="129"/>
      <c r="P6432" s="364"/>
      <c r="Q6432" s="364"/>
      <c r="R6432" s="129"/>
      <c r="S6432" s="129"/>
      <c r="T6432" s="129"/>
      <c r="W6432" s="129" t="s">
        <v>286</v>
      </c>
      <c r="X6432" s="337" t="b">
        <f t="shared" si="139"/>
        <v>1</v>
      </c>
    </row>
    <row r="6433" spans="1:24" s="386" customFormat="1" ht="12" customHeight="1" outlineLevel="1">
      <c r="A6433" s="382"/>
      <c r="B6433" s="118" t="s">
        <v>12</v>
      </c>
      <c r="C6433" s="334" t="s">
        <v>15601</v>
      </c>
      <c r="D6433" s="124" t="s">
        <v>15602</v>
      </c>
      <c r="E6433" s="125"/>
      <c r="F6433" s="118" t="s">
        <v>1104</v>
      </c>
      <c r="G6433" s="126" t="s">
        <v>15312</v>
      </c>
      <c r="H6433" s="255">
        <v>1</v>
      </c>
      <c r="I6433" s="361">
        <v>1</v>
      </c>
      <c r="J6433" s="371" t="s">
        <v>286</v>
      </c>
      <c r="K6433" s="373"/>
      <c r="L6433" s="129"/>
      <c r="M6433" s="129"/>
      <c r="N6433" s="129"/>
      <c r="O6433" s="129"/>
      <c r="P6433" s="364"/>
      <c r="Q6433" s="364"/>
      <c r="R6433" s="129"/>
      <c r="S6433" s="129"/>
      <c r="T6433" s="129"/>
      <c r="W6433" s="129" t="s">
        <v>286</v>
      </c>
      <c r="X6433" s="337" t="b">
        <f t="shared" si="139"/>
        <v>1</v>
      </c>
    </row>
    <row r="6434" spans="1:24" s="386" customFormat="1" ht="12" customHeight="1" outlineLevel="1">
      <c r="A6434" s="382"/>
      <c r="B6434" s="118" t="s">
        <v>12</v>
      </c>
      <c r="C6434" s="334" t="s">
        <v>15603</v>
      </c>
      <c r="D6434" s="124" t="s">
        <v>15604</v>
      </c>
      <c r="E6434" s="125"/>
      <c r="F6434" s="118" t="s">
        <v>1104</v>
      </c>
      <c r="G6434" s="126" t="s">
        <v>15312</v>
      </c>
      <c r="H6434" s="255">
        <v>1</v>
      </c>
      <c r="I6434" s="361">
        <v>1</v>
      </c>
      <c r="J6434" s="371" t="s">
        <v>286</v>
      </c>
      <c r="K6434" s="373"/>
      <c r="L6434" s="129"/>
      <c r="M6434" s="129"/>
      <c r="N6434" s="129"/>
      <c r="O6434" s="129"/>
      <c r="P6434" s="364"/>
      <c r="Q6434" s="364"/>
      <c r="R6434" s="129"/>
      <c r="S6434" s="129"/>
      <c r="T6434" s="129"/>
      <c r="W6434" s="129" t="s">
        <v>286</v>
      </c>
      <c r="X6434" s="337" t="b">
        <f t="shared" si="139"/>
        <v>1</v>
      </c>
    </row>
    <row r="6435" spans="1:24" s="386" customFormat="1" ht="12" customHeight="1" outlineLevel="1">
      <c r="A6435" s="382"/>
      <c r="B6435" s="118" t="s">
        <v>12</v>
      </c>
      <c r="C6435" s="334" t="s">
        <v>15605</v>
      </c>
      <c r="D6435" s="124" t="s">
        <v>15606</v>
      </c>
      <c r="E6435" s="125"/>
      <c r="F6435" s="118" t="s">
        <v>1104</v>
      </c>
      <c r="G6435" s="126" t="s">
        <v>15312</v>
      </c>
      <c r="H6435" s="255">
        <v>1</v>
      </c>
      <c r="I6435" s="361">
        <v>1</v>
      </c>
      <c r="J6435" s="371" t="s">
        <v>286</v>
      </c>
      <c r="K6435" s="373"/>
      <c r="L6435" s="129"/>
      <c r="M6435" s="129"/>
      <c r="N6435" s="129"/>
      <c r="O6435" s="129"/>
      <c r="P6435" s="364"/>
      <c r="Q6435" s="364"/>
      <c r="R6435" s="129"/>
      <c r="S6435" s="129"/>
      <c r="T6435" s="129"/>
      <c r="W6435" s="129" t="s">
        <v>286</v>
      </c>
      <c r="X6435" s="337" t="b">
        <f t="shared" si="139"/>
        <v>1</v>
      </c>
    </row>
    <row r="6436" spans="1:24" s="386" customFormat="1" ht="12" customHeight="1" outlineLevel="1">
      <c r="A6436" s="382"/>
      <c r="B6436" s="118" t="s">
        <v>12</v>
      </c>
      <c r="C6436" s="334" t="s">
        <v>15607</v>
      </c>
      <c r="D6436" s="124" t="s">
        <v>15608</v>
      </c>
      <c r="E6436" s="125"/>
      <c r="F6436" s="118" t="s">
        <v>1104</v>
      </c>
      <c r="G6436" s="126" t="s">
        <v>15312</v>
      </c>
      <c r="H6436" s="255">
        <v>1</v>
      </c>
      <c r="I6436" s="361">
        <v>1</v>
      </c>
      <c r="J6436" s="371" t="s">
        <v>286</v>
      </c>
      <c r="K6436" s="373"/>
      <c r="L6436" s="129"/>
      <c r="M6436" s="129"/>
      <c r="N6436" s="129"/>
      <c r="O6436" s="129"/>
      <c r="P6436" s="364"/>
      <c r="Q6436" s="364"/>
      <c r="R6436" s="129"/>
      <c r="S6436" s="129"/>
      <c r="T6436" s="129"/>
      <c r="W6436" s="129" t="s">
        <v>286</v>
      </c>
      <c r="X6436" s="337" t="b">
        <f t="shared" si="139"/>
        <v>1</v>
      </c>
    </row>
    <row r="6437" spans="1:24" s="386" customFormat="1" ht="12" customHeight="1" outlineLevel="1">
      <c r="A6437" s="382"/>
      <c r="B6437" s="118" t="s">
        <v>12</v>
      </c>
      <c r="C6437" s="334" t="s">
        <v>15609</v>
      </c>
      <c r="D6437" s="124" t="s">
        <v>15610</v>
      </c>
      <c r="E6437" s="125"/>
      <c r="F6437" s="118" t="s">
        <v>1104</v>
      </c>
      <c r="G6437" s="126" t="s">
        <v>15312</v>
      </c>
      <c r="H6437" s="255">
        <v>1</v>
      </c>
      <c r="I6437" s="361">
        <v>1</v>
      </c>
      <c r="J6437" s="371" t="s">
        <v>286</v>
      </c>
      <c r="K6437" s="373"/>
      <c r="L6437" s="129"/>
      <c r="M6437" s="129"/>
      <c r="N6437" s="129"/>
      <c r="O6437" s="129"/>
      <c r="P6437" s="364"/>
      <c r="Q6437" s="364"/>
      <c r="R6437" s="129"/>
      <c r="S6437" s="129"/>
      <c r="T6437" s="129"/>
      <c r="W6437" s="129" t="s">
        <v>286</v>
      </c>
      <c r="X6437" s="337" t="b">
        <f t="shared" si="139"/>
        <v>1</v>
      </c>
    </row>
    <row r="6438" spans="1:24" s="386" customFormat="1" ht="12" customHeight="1" outlineLevel="1">
      <c r="A6438" s="382"/>
      <c r="B6438" s="118" t="s">
        <v>12</v>
      </c>
      <c r="C6438" s="334" t="s">
        <v>15611</v>
      </c>
      <c r="D6438" s="124" t="s">
        <v>15612</v>
      </c>
      <c r="E6438" s="125"/>
      <c r="F6438" s="118" t="s">
        <v>1104</v>
      </c>
      <c r="G6438" s="126" t="s">
        <v>15312</v>
      </c>
      <c r="H6438" s="255">
        <v>1</v>
      </c>
      <c r="I6438" s="361">
        <v>1</v>
      </c>
      <c r="J6438" s="371" t="s">
        <v>286</v>
      </c>
      <c r="K6438" s="373"/>
      <c r="L6438" s="129"/>
      <c r="M6438" s="129"/>
      <c r="N6438" s="129"/>
      <c r="O6438" s="129"/>
      <c r="P6438" s="364"/>
      <c r="Q6438" s="364"/>
      <c r="R6438" s="129"/>
      <c r="S6438" s="129"/>
      <c r="T6438" s="129"/>
      <c r="W6438" s="129" t="s">
        <v>4876</v>
      </c>
      <c r="X6438" s="337" t="b">
        <f t="shared" si="139"/>
        <v>0</v>
      </c>
    </row>
    <row r="6439" spans="1:24" s="386" customFormat="1" ht="12" customHeight="1" outlineLevel="1">
      <c r="A6439" s="382"/>
      <c r="B6439" s="118" t="s">
        <v>12</v>
      </c>
      <c r="C6439" s="334" t="s">
        <v>15613</v>
      </c>
      <c r="D6439" s="124" t="s">
        <v>15614</v>
      </c>
      <c r="E6439" s="125"/>
      <c r="F6439" s="118" t="s">
        <v>1104</v>
      </c>
      <c r="G6439" s="126" t="s">
        <v>15312</v>
      </c>
      <c r="H6439" s="255">
        <v>1</v>
      </c>
      <c r="I6439" s="361">
        <v>1</v>
      </c>
      <c r="J6439" s="371" t="s">
        <v>307</v>
      </c>
      <c r="K6439" s="373"/>
      <c r="L6439" s="129"/>
      <c r="M6439" s="129"/>
      <c r="N6439" s="129"/>
      <c r="O6439" s="129"/>
      <c r="P6439" s="364"/>
      <c r="Q6439" s="364"/>
      <c r="R6439" s="129"/>
      <c r="S6439" s="129"/>
      <c r="T6439" s="129"/>
      <c r="W6439" s="129" t="s">
        <v>4876</v>
      </c>
      <c r="X6439" s="337" t="b">
        <f t="shared" si="139"/>
        <v>0</v>
      </c>
    </row>
    <row r="6440" spans="1:24" s="386" customFormat="1" ht="12" customHeight="1" outlineLevel="1">
      <c r="A6440" s="382"/>
      <c r="B6440" s="118" t="s">
        <v>12</v>
      </c>
      <c r="C6440" s="334" t="s">
        <v>15615</v>
      </c>
      <c r="D6440" s="124" t="s">
        <v>15616</v>
      </c>
      <c r="E6440" s="125"/>
      <c r="F6440" s="118" t="s">
        <v>1104</v>
      </c>
      <c r="G6440" s="126" t="s">
        <v>15312</v>
      </c>
      <c r="H6440" s="255">
        <v>1</v>
      </c>
      <c r="I6440" s="361">
        <v>1</v>
      </c>
      <c r="J6440" s="371" t="s">
        <v>286</v>
      </c>
      <c r="K6440" s="373"/>
      <c r="L6440" s="129"/>
      <c r="M6440" s="129"/>
      <c r="N6440" s="129"/>
      <c r="O6440" s="129"/>
      <c r="P6440" s="364"/>
      <c r="Q6440" s="364"/>
      <c r="R6440" s="129"/>
      <c r="S6440" s="129"/>
      <c r="T6440" s="129"/>
      <c r="W6440" s="129" t="s">
        <v>4876</v>
      </c>
      <c r="X6440" s="337" t="b">
        <f t="shared" si="139"/>
        <v>0</v>
      </c>
    </row>
    <row r="6441" spans="1:24" s="386" customFormat="1" ht="12" customHeight="1" outlineLevel="1">
      <c r="A6441" s="382"/>
      <c r="B6441" s="118" t="s">
        <v>12</v>
      </c>
      <c r="C6441" s="334" t="s">
        <v>15617</v>
      </c>
      <c r="D6441" s="124" t="s">
        <v>15618</v>
      </c>
      <c r="E6441" s="125"/>
      <c r="F6441" s="118" t="s">
        <v>1104</v>
      </c>
      <c r="G6441" s="126" t="s">
        <v>15312</v>
      </c>
      <c r="H6441" s="255">
        <v>1</v>
      </c>
      <c r="I6441" s="361">
        <v>1</v>
      </c>
      <c r="J6441" s="371" t="s">
        <v>286</v>
      </c>
      <c r="K6441" s="373"/>
      <c r="L6441" s="129"/>
      <c r="M6441" s="129"/>
      <c r="N6441" s="129"/>
      <c r="O6441" s="129"/>
      <c r="P6441" s="364"/>
      <c r="Q6441" s="364"/>
      <c r="R6441" s="129"/>
      <c r="S6441" s="129"/>
      <c r="T6441" s="129"/>
      <c r="W6441" s="129" t="s">
        <v>4876</v>
      </c>
      <c r="X6441" s="337" t="b">
        <f t="shared" si="139"/>
        <v>0</v>
      </c>
    </row>
    <row r="6442" spans="1:24" s="386" customFormat="1" ht="12" customHeight="1" outlineLevel="1">
      <c r="A6442" s="382"/>
      <c r="B6442" s="118" t="s">
        <v>12</v>
      </c>
      <c r="C6442" s="334" t="s">
        <v>15611</v>
      </c>
      <c r="D6442" s="124" t="s">
        <v>15619</v>
      </c>
      <c r="E6442" s="125"/>
      <c r="F6442" s="118" t="s">
        <v>1104</v>
      </c>
      <c r="G6442" s="126" t="s">
        <v>15312</v>
      </c>
      <c r="H6442" s="255">
        <v>1</v>
      </c>
      <c r="I6442" s="361">
        <v>1</v>
      </c>
      <c r="J6442" s="371" t="s">
        <v>286</v>
      </c>
      <c r="K6442" s="373"/>
      <c r="L6442" s="129"/>
      <c r="M6442" s="129"/>
      <c r="N6442" s="129"/>
      <c r="O6442" s="129"/>
      <c r="P6442" s="364"/>
      <c r="Q6442" s="364"/>
      <c r="R6442" s="129"/>
      <c r="S6442" s="129"/>
      <c r="T6442" s="129"/>
      <c r="W6442" s="129" t="s">
        <v>4876</v>
      </c>
      <c r="X6442" s="337" t="b">
        <f t="shared" si="139"/>
        <v>0</v>
      </c>
    </row>
    <row r="6443" spans="1:24" s="386" customFormat="1" ht="12" customHeight="1" outlineLevel="1">
      <c r="A6443" s="382"/>
      <c r="B6443" s="118" t="s">
        <v>12</v>
      </c>
      <c r="C6443" s="334" t="s">
        <v>15620</v>
      </c>
      <c r="D6443" s="124" t="s">
        <v>15621</v>
      </c>
      <c r="E6443" s="125"/>
      <c r="F6443" s="118" t="s">
        <v>1104</v>
      </c>
      <c r="G6443" s="126" t="s">
        <v>15312</v>
      </c>
      <c r="H6443" s="255">
        <v>1</v>
      </c>
      <c r="I6443" s="361">
        <v>1</v>
      </c>
      <c r="J6443" s="371" t="s">
        <v>307</v>
      </c>
      <c r="K6443" s="373"/>
      <c r="L6443" s="129"/>
      <c r="M6443" s="129"/>
      <c r="N6443" s="129"/>
      <c r="O6443" s="129"/>
      <c r="P6443" s="364"/>
      <c r="Q6443" s="364"/>
      <c r="R6443" s="129"/>
      <c r="S6443" s="129"/>
      <c r="T6443" s="129"/>
      <c r="W6443" s="129" t="s">
        <v>4876</v>
      </c>
      <c r="X6443" s="337" t="b">
        <f t="shared" si="139"/>
        <v>0</v>
      </c>
    </row>
    <row r="6444" spans="1:24" s="386" customFormat="1" ht="12" customHeight="1" outlineLevel="1">
      <c r="A6444" s="382"/>
      <c r="B6444" s="118" t="s">
        <v>12</v>
      </c>
      <c r="C6444" s="334" t="s">
        <v>15622</v>
      </c>
      <c r="D6444" s="124" t="s">
        <v>15623</v>
      </c>
      <c r="E6444" s="125"/>
      <c r="F6444" s="118" t="s">
        <v>1104</v>
      </c>
      <c r="G6444" s="126" t="s">
        <v>15312</v>
      </c>
      <c r="H6444" s="255">
        <v>1</v>
      </c>
      <c r="I6444" s="361">
        <v>1</v>
      </c>
      <c r="J6444" s="371" t="s">
        <v>286</v>
      </c>
      <c r="K6444" s="373"/>
      <c r="L6444" s="129"/>
      <c r="M6444" s="129"/>
      <c r="N6444" s="129"/>
      <c r="O6444" s="129"/>
      <c r="P6444" s="364"/>
      <c r="Q6444" s="364"/>
      <c r="R6444" s="129"/>
      <c r="S6444" s="129"/>
      <c r="T6444" s="129"/>
      <c r="W6444" s="129" t="s">
        <v>4876</v>
      </c>
      <c r="X6444" s="337" t="b">
        <f t="shared" si="139"/>
        <v>0</v>
      </c>
    </row>
    <row r="6445" spans="1:24" s="386" customFormat="1" ht="12" customHeight="1" outlineLevel="1">
      <c r="A6445" s="382"/>
      <c r="B6445" s="118" t="s">
        <v>12</v>
      </c>
      <c r="C6445" s="334" t="s">
        <v>15624</v>
      </c>
      <c r="D6445" s="124" t="s">
        <v>15625</v>
      </c>
      <c r="E6445" s="125"/>
      <c r="F6445" s="118" t="s">
        <v>1104</v>
      </c>
      <c r="G6445" s="126" t="s">
        <v>15312</v>
      </c>
      <c r="H6445" s="255">
        <v>1</v>
      </c>
      <c r="I6445" s="361">
        <v>1</v>
      </c>
      <c r="J6445" s="371" t="s">
        <v>286</v>
      </c>
      <c r="K6445" s="373"/>
      <c r="L6445" s="129"/>
      <c r="M6445" s="129"/>
      <c r="N6445" s="129"/>
      <c r="O6445" s="129"/>
      <c r="P6445" s="364"/>
      <c r="Q6445" s="364"/>
      <c r="R6445" s="129"/>
      <c r="S6445" s="129"/>
      <c r="T6445" s="129"/>
      <c r="W6445" s="129" t="s">
        <v>4876</v>
      </c>
      <c r="X6445" s="337" t="b">
        <f t="shared" si="139"/>
        <v>0</v>
      </c>
    </row>
    <row r="6446" spans="1:24" s="386" customFormat="1" ht="12" customHeight="1" outlineLevel="1">
      <c r="A6446" s="382"/>
      <c r="B6446" s="118" t="s">
        <v>12</v>
      </c>
      <c r="C6446" s="334" t="s">
        <v>15626</v>
      </c>
      <c r="D6446" s="124" t="s">
        <v>15627</v>
      </c>
      <c r="E6446" s="125"/>
      <c r="F6446" s="118" t="s">
        <v>1104</v>
      </c>
      <c r="G6446" s="126" t="s">
        <v>15312</v>
      </c>
      <c r="H6446" s="255">
        <v>1</v>
      </c>
      <c r="I6446" s="361">
        <v>1</v>
      </c>
      <c r="J6446" s="371" t="s">
        <v>286</v>
      </c>
      <c r="K6446" s="373"/>
      <c r="L6446" s="129"/>
      <c r="M6446" s="129"/>
      <c r="N6446" s="129"/>
      <c r="O6446" s="129"/>
      <c r="P6446" s="364"/>
      <c r="Q6446" s="364"/>
      <c r="R6446" s="129"/>
      <c r="S6446" s="129"/>
      <c r="T6446" s="129"/>
      <c r="W6446" s="129" t="s">
        <v>4876</v>
      </c>
      <c r="X6446" s="337" t="b">
        <f t="shared" si="139"/>
        <v>0</v>
      </c>
    </row>
    <row r="6447" spans="1:24" s="386" customFormat="1" ht="12" customHeight="1" outlineLevel="1">
      <c r="A6447" s="382"/>
      <c r="B6447" s="118" t="s">
        <v>12</v>
      </c>
      <c r="C6447" s="334" t="s">
        <v>15628</v>
      </c>
      <c r="D6447" s="124" t="s">
        <v>15629</v>
      </c>
      <c r="E6447" s="125"/>
      <c r="F6447" s="118" t="s">
        <v>1104</v>
      </c>
      <c r="G6447" s="126" t="s">
        <v>15312</v>
      </c>
      <c r="H6447" s="255">
        <v>1</v>
      </c>
      <c r="I6447" s="361">
        <v>1</v>
      </c>
      <c r="J6447" s="371" t="s">
        <v>310</v>
      </c>
      <c r="K6447" s="373"/>
      <c r="L6447" s="129"/>
      <c r="M6447" s="129"/>
      <c r="N6447" s="129"/>
      <c r="O6447" s="129"/>
      <c r="P6447" s="364"/>
      <c r="Q6447" s="364"/>
      <c r="R6447" s="129"/>
      <c r="S6447" s="129"/>
      <c r="T6447" s="129"/>
      <c r="W6447" s="129" t="s">
        <v>4876</v>
      </c>
      <c r="X6447" s="337" t="b">
        <f t="shared" si="139"/>
        <v>0</v>
      </c>
    </row>
    <row r="6448" spans="1:24" s="386" customFormat="1" ht="12" customHeight="1" outlineLevel="1">
      <c r="A6448" s="382"/>
      <c r="B6448" s="118" t="s">
        <v>12</v>
      </c>
      <c r="C6448" s="334" t="s">
        <v>15630</v>
      </c>
      <c r="D6448" s="124" t="s">
        <v>15631</v>
      </c>
      <c r="E6448" s="125"/>
      <c r="F6448" s="118" t="s">
        <v>1104</v>
      </c>
      <c r="G6448" s="126" t="s">
        <v>15312</v>
      </c>
      <c r="H6448" s="255">
        <v>1</v>
      </c>
      <c r="I6448" s="361">
        <v>1</v>
      </c>
      <c r="J6448" s="371" t="s">
        <v>286</v>
      </c>
      <c r="K6448" s="373"/>
      <c r="L6448" s="129"/>
      <c r="M6448" s="129"/>
      <c r="N6448" s="129"/>
      <c r="O6448" s="129"/>
      <c r="P6448" s="364"/>
      <c r="Q6448" s="364"/>
      <c r="R6448" s="129"/>
      <c r="S6448" s="129"/>
      <c r="T6448" s="129"/>
      <c r="W6448" s="129" t="s">
        <v>4876</v>
      </c>
      <c r="X6448" s="337" t="b">
        <f t="shared" si="139"/>
        <v>0</v>
      </c>
    </row>
    <row r="6449" spans="1:24" s="386" customFormat="1" ht="12" customHeight="1" outlineLevel="1">
      <c r="A6449" s="382"/>
      <c r="B6449" s="118" t="s">
        <v>12</v>
      </c>
      <c r="C6449" s="334" t="s">
        <v>15632</v>
      </c>
      <c r="D6449" s="124" t="s">
        <v>15633</v>
      </c>
      <c r="E6449" s="125"/>
      <c r="F6449" s="118" t="s">
        <v>1104</v>
      </c>
      <c r="G6449" s="126" t="s">
        <v>15312</v>
      </c>
      <c r="H6449" s="255">
        <v>1</v>
      </c>
      <c r="I6449" s="361">
        <v>1</v>
      </c>
      <c r="J6449" s="371" t="s">
        <v>286</v>
      </c>
      <c r="K6449" s="373"/>
      <c r="L6449" s="129"/>
      <c r="M6449" s="129"/>
      <c r="N6449" s="129"/>
      <c r="O6449" s="129"/>
      <c r="P6449" s="364"/>
      <c r="Q6449" s="364"/>
      <c r="R6449" s="129"/>
      <c r="S6449" s="129"/>
      <c r="T6449" s="129"/>
      <c r="W6449" s="129" t="s">
        <v>4876</v>
      </c>
      <c r="X6449" s="337" t="b">
        <f t="shared" si="139"/>
        <v>0</v>
      </c>
    </row>
    <row r="6450" spans="1:24" s="386" customFormat="1" ht="12" customHeight="1" outlineLevel="1">
      <c r="A6450" s="382"/>
      <c r="B6450" s="118" t="s">
        <v>12</v>
      </c>
      <c r="C6450" s="334" t="s">
        <v>15634</v>
      </c>
      <c r="D6450" s="124" t="s">
        <v>15635</v>
      </c>
      <c r="E6450" s="125"/>
      <c r="F6450" s="118" t="s">
        <v>1104</v>
      </c>
      <c r="G6450" s="126" t="s">
        <v>15312</v>
      </c>
      <c r="H6450" s="255">
        <v>1</v>
      </c>
      <c r="I6450" s="361">
        <v>1</v>
      </c>
      <c r="J6450" s="371" t="s">
        <v>286</v>
      </c>
      <c r="K6450" s="373"/>
      <c r="L6450" s="129"/>
      <c r="M6450" s="129"/>
      <c r="N6450" s="129"/>
      <c r="O6450" s="129"/>
      <c r="P6450" s="364"/>
      <c r="Q6450" s="364"/>
      <c r="R6450" s="129"/>
      <c r="S6450" s="129"/>
      <c r="T6450" s="129"/>
      <c r="W6450" s="129" t="s">
        <v>4876</v>
      </c>
      <c r="X6450" s="337" t="b">
        <f t="shared" si="139"/>
        <v>0</v>
      </c>
    </row>
    <row r="6451" spans="1:24" s="386" customFormat="1" ht="12" customHeight="1" outlineLevel="1">
      <c r="A6451" s="382"/>
      <c r="B6451" s="118" t="s">
        <v>12</v>
      </c>
      <c r="C6451" s="334" t="s">
        <v>15636</v>
      </c>
      <c r="D6451" s="124" t="s">
        <v>15637</v>
      </c>
      <c r="E6451" s="125"/>
      <c r="F6451" s="118" t="s">
        <v>1104</v>
      </c>
      <c r="G6451" s="126" t="s">
        <v>15312</v>
      </c>
      <c r="H6451" s="255">
        <v>1</v>
      </c>
      <c r="I6451" s="361">
        <v>1</v>
      </c>
      <c r="J6451" s="371" t="s">
        <v>310</v>
      </c>
      <c r="K6451" s="373"/>
      <c r="L6451" s="129"/>
      <c r="M6451" s="129"/>
      <c r="N6451" s="129"/>
      <c r="O6451" s="129"/>
      <c r="P6451" s="364"/>
      <c r="Q6451" s="364"/>
      <c r="R6451" s="129"/>
      <c r="S6451" s="129"/>
      <c r="T6451" s="129"/>
      <c r="W6451" s="129" t="s">
        <v>4876</v>
      </c>
      <c r="X6451" s="337" t="b">
        <f t="shared" si="139"/>
        <v>0</v>
      </c>
    </row>
    <row r="6452" spans="1:24" s="386" customFormat="1" ht="12" customHeight="1" outlineLevel="1">
      <c r="A6452" s="382"/>
      <c r="B6452" s="118" t="s">
        <v>12</v>
      </c>
      <c r="C6452" s="334" t="s">
        <v>15638</v>
      </c>
      <c r="D6452" s="124" t="s">
        <v>15338</v>
      </c>
      <c r="E6452" s="125"/>
      <c r="F6452" s="118" t="s">
        <v>1104</v>
      </c>
      <c r="G6452" s="126" t="s">
        <v>15312</v>
      </c>
      <c r="H6452" s="255">
        <v>1</v>
      </c>
      <c r="I6452" s="361">
        <v>1</v>
      </c>
      <c r="J6452" s="371" t="s">
        <v>286</v>
      </c>
      <c r="K6452" s="373"/>
      <c r="L6452" s="129"/>
      <c r="M6452" s="129"/>
      <c r="N6452" s="129"/>
      <c r="O6452" s="129"/>
      <c r="P6452" s="364"/>
      <c r="Q6452" s="364"/>
      <c r="R6452" s="129"/>
      <c r="S6452" s="129"/>
      <c r="T6452" s="129"/>
      <c r="W6452" s="129" t="s">
        <v>4876</v>
      </c>
      <c r="X6452" s="337" t="b">
        <f t="shared" si="139"/>
        <v>0</v>
      </c>
    </row>
    <row r="6453" spans="1:24" s="386" customFormat="1" ht="12" customHeight="1" outlineLevel="1">
      <c r="A6453" s="382"/>
      <c r="B6453" s="118" t="s">
        <v>12</v>
      </c>
      <c r="C6453" s="334" t="s">
        <v>15639</v>
      </c>
      <c r="D6453" s="124" t="s">
        <v>15640</v>
      </c>
      <c r="E6453" s="125"/>
      <c r="F6453" s="118" t="s">
        <v>1104</v>
      </c>
      <c r="G6453" s="126" t="s">
        <v>15312</v>
      </c>
      <c r="H6453" s="255">
        <v>1</v>
      </c>
      <c r="I6453" s="361">
        <v>1</v>
      </c>
      <c r="J6453" s="371" t="s">
        <v>286</v>
      </c>
      <c r="K6453" s="373"/>
      <c r="L6453" s="129"/>
      <c r="M6453" s="129"/>
      <c r="N6453" s="129"/>
      <c r="O6453" s="129"/>
      <c r="P6453" s="364"/>
      <c r="Q6453" s="364"/>
      <c r="R6453" s="129"/>
      <c r="S6453" s="129"/>
      <c r="T6453" s="129"/>
      <c r="W6453" s="129" t="s">
        <v>4876</v>
      </c>
      <c r="X6453" s="337" t="b">
        <f t="shared" si="139"/>
        <v>0</v>
      </c>
    </row>
    <row r="6454" spans="1:24" s="386" customFormat="1" ht="12" customHeight="1" outlineLevel="1">
      <c r="A6454" s="382"/>
      <c r="B6454" s="118" t="s">
        <v>12</v>
      </c>
      <c r="C6454" s="334" t="s">
        <v>15641</v>
      </c>
      <c r="D6454" s="124" t="s">
        <v>15642</v>
      </c>
      <c r="E6454" s="125"/>
      <c r="F6454" s="118" t="s">
        <v>1104</v>
      </c>
      <c r="G6454" s="126" t="s">
        <v>15312</v>
      </c>
      <c r="H6454" s="255">
        <v>1</v>
      </c>
      <c r="I6454" s="361">
        <v>1</v>
      </c>
      <c r="J6454" s="371" t="s">
        <v>286</v>
      </c>
      <c r="K6454" s="373"/>
      <c r="L6454" s="129"/>
      <c r="M6454" s="129"/>
      <c r="N6454" s="129"/>
      <c r="O6454" s="129"/>
      <c r="P6454" s="364"/>
      <c r="Q6454" s="364"/>
      <c r="R6454" s="129"/>
      <c r="S6454" s="129"/>
      <c r="T6454" s="129"/>
      <c r="W6454" s="129" t="s">
        <v>4876</v>
      </c>
      <c r="X6454" s="337" t="b">
        <f t="shared" si="139"/>
        <v>0</v>
      </c>
    </row>
    <row r="6455" spans="1:24" s="386" customFormat="1" ht="12" customHeight="1" outlineLevel="1">
      <c r="A6455" s="382"/>
      <c r="B6455" s="118" t="s">
        <v>12</v>
      </c>
      <c r="C6455" s="334" t="s">
        <v>15643</v>
      </c>
      <c r="D6455" s="124" t="s">
        <v>15644</v>
      </c>
      <c r="E6455" s="125"/>
      <c r="F6455" s="118" t="s">
        <v>1104</v>
      </c>
      <c r="G6455" s="126" t="s">
        <v>15312</v>
      </c>
      <c r="H6455" s="255">
        <v>1</v>
      </c>
      <c r="I6455" s="361">
        <v>1</v>
      </c>
      <c r="J6455" s="371" t="s">
        <v>286</v>
      </c>
      <c r="K6455" s="373"/>
      <c r="L6455" s="129"/>
      <c r="M6455" s="129"/>
      <c r="N6455" s="129"/>
      <c r="O6455" s="129"/>
      <c r="P6455" s="364"/>
      <c r="Q6455" s="364"/>
      <c r="R6455" s="129"/>
      <c r="S6455" s="129"/>
      <c r="T6455" s="129"/>
      <c r="W6455" s="129" t="s">
        <v>310</v>
      </c>
      <c r="X6455" s="337" t="b">
        <f t="shared" si="139"/>
        <v>0</v>
      </c>
    </row>
    <row r="6456" spans="1:24" s="386" customFormat="1" ht="12" customHeight="1" outlineLevel="1">
      <c r="A6456" s="382"/>
      <c r="B6456" s="118" t="s">
        <v>12</v>
      </c>
      <c r="C6456" s="334" t="s">
        <v>15645</v>
      </c>
      <c r="D6456" s="124" t="s">
        <v>15646</v>
      </c>
      <c r="E6456" s="125"/>
      <c r="F6456" s="118" t="s">
        <v>1104</v>
      </c>
      <c r="G6456" s="126" t="s">
        <v>15312</v>
      </c>
      <c r="H6456" s="255">
        <v>1</v>
      </c>
      <c r="I6456" s="361">
        <v>1</v>
      </c>
      <c r="J6456" s="371" t="s">
        <v>310</v>
      </c>
      <c r="K6456" s="373"/>
      <c r="L6456" s="129"/>
      <c r="M6456" s="129"/>
      <c r="N6456" s="129"/>
      <c r="O6456" s="129"/>
      <c r="P6456" s="364"/>
      <c r="Q6456" s="364"/>
      <c r="R6456" s="129"/>
      <c r="S6456" s="129"/>
      <c r="T6456" s="129"/>
      <c r="W6456" s="129" t="s">
        <v>307</v>
      </c>
      <c r="X6456" s="337" t="b">
        <f t="shared" si="139"/>
        <v>0</v>
      </c>
    </row>
    <row r="6457" spans="1:24" s="386" customFormat="1" ht="12" customHeight="1" outlineLevel="1">
      <c r="A6457" s="382"/>
      <c r="B6457" s="118" t="s">
        <v>12</v>
      </c>
      <c r="C6457" s="334" t="s">
        <v>15647</v>
      </c>
      <c r="D6457" s="124" t="s">
        <v>15648</v>
      </c>
      <c r="E6457" s="125"/>
      <c r="F6457" s="118" t="s">
        <v>1104</v>
      </c>
      <c r="G6457" s="126" t="s">
        <v>15312</v>
      </c>
      <c r="H6457" s="255">
        <v>1</v>
      </c>
      <c r="I6457" s="361">
        <v>1</v>
      </c>
      <c r="J6457" s="371" t="s">
        <v>310</v>
      </c>
      <c r="K6457" s="373"/>
      <c r="L6457" s="129"/>
      <c r="M6457" s="129"/>
      <c r="N6457" s="129"/>
      <c r="O6457" s="129"/>
      <c r="P6457" s="364"/>
      <c r="Q6457" s="364"/>
      <c r="R6457" s="129"/>
      <c r="S6457" s="129"/>
      <c r="T6457" s="129"/>
      <c r="W6457" s="129" t="s">
        <v>307</v>
      </c>
      <c r="X6457" s="337" t="b">
        <f t="shared" si="139"/>
        <v>0</v>
      </c>
    </row>
    <row r="6458" spans="1:24" s="386" customFormat="1" ht="12" customHeight="1" outlineLevel="1">
      <c r="A6458" s="382"/>
      <c r="B6458" s="118" t="s">
        <v>12</v>
      </c>
      <c r="C6458" s="334" t="s">
        <v>15649</v>
      </c>
      <c r="D6458" s="124" t="s">
        <v>15362</v>
      </c>
      <c r="E6458" s="125"/>
      <c r="F6458" s="118" t="s">
        <v>1104</v>
      </c>
      <c r="G6458" s="126" t="s">
        <v>15312</v>
      </c>
      <c r="H6458" s="255">
        <v>1</v>
      </c>
      <c r="I6458" s="361">
        <v>1</v>
      </c>
      <c r="J6458" s="371" t="s">
        <v>286</v>
      </c>
      <c r="K6458" s="373"/>
      <c r="L6458" s="129"/>
      <c r="M6458" s="129"/>
      <c r="N6458" s="129"/>
      <c r="O6458" s="129"/>
      <c r="P6458" s="364"/>
      <c r="Q6458" s="364"/>
      <c r="R6458" s="129"/>
      <c r="S6458" s="129"/>
      <c r="T6458" s="129"/>
      <c r="W6458" s="129" t="s">
        <v>4876</v>
      </c>
      <c r="X6458" s="337" t="b">
        <f t="shared" si="139"/>
        <v>0</v>
      </c>
    </row>
    <row r="6459" spans="1:24" s="386" customFormat="1" ht="12" customHeight="1" outlineLevel="1">
      <c r="A6459" s="382"/>
      <c r="B6459" s="118" t="s">
        <v>12</v>
      </c>
      <c r="C6459" s="334" t="s">
        <v>15650</v>
      </c>
      <c r="D6459" s="124" t="s">
        <v>15364</v>
      </c>
      <c r="E6459" s="125"/>
      <c r="F6459" s="118" t="s">
        <v>1104</v>
      </c>
      <c r="G6459" s="126" t="s">
        <v>15312</v>
      </c>
      <c r="H6459" s="255">
        <v>1</v>
      </c>
      <c r="I6459" s="361">
        <v>1</v>
      </c>
      <c r="J6459" s="371" t="s">
        <v>307</v>
      </c>
      <c r="K6459" s="373"/>
      <c r="L6459" s="129"/>
      <c r="M6459" s="129"/>
      <c r="N6459" s="129"/>
      <c r="O6459" s="129"/>
      <c r="P6459" s="364"/>
      <c r="Q6459" s="364"/>
      <c r="R6459" s="129"/>
      <c r="S6459" s="129"/>
      <c r="T6459" s="129"/>
      <c r="W6459" s="129" t="s">
        <v>4876</v>
      </c>
      <c r="X6459" s="337" t="b">
        <f t="shared" si="139"/>
        <v>0</v>
      </c>
    </row>
    <row r="6460" spans="1:24" s="386" customFormat="1" ht="12" customHeight="1" outlineLevel="1">
      <c r="A6460" s="382"/>
      <c r="B6460" s="118" t="s">
        <v>12</v>
      </c>
      <c r="C6460" s="334" t="s">
        <v>15651</v>
      </c>
      <c r="D6460" s="124" t="s">
        <v>15366</v>
      </c>
      <c r="E6460" s="125"/>
      <c r="F6460" s="118" t="s">
        <v>1104</v>
      </c>
      <c r="G6460" s="126" t="s">
        <v>15312</v>
      </c>
      <c r="H6460" s="255">
        <v>1</v>
      </c>
      <c r="I6460" s="361">
        <v>1</v>
      </c>
      <c r="J6460" s="371" t="s">
        <v>286</v>
      </c>
      <c r="K6460" s="373"/>
      <c r="L6460" s="129"/>
      <c r="M6460" s="129"/>
      <c r="N6460" s="129"/>
      <c r="O6460" s="129"/>
      <c r="P6460" s="364"/>
      <c r="Q6460" s="364"/>
      <c r="R6460" s="129"/>
      <c r="S6460" s="129"/>
      <c r="T6460" s="129"/>
      <c r="W6460" s="129" t="s">
        <v>4876</v>
      </c>
      <c r="X6460" s="337" t="b">
        <f t="shared" si="139"/>
        <v>0</v>
      </c>
    </row>
    <row r="6461" spans="1:24" s="386" customFormat="1" ht="12" customHeight="1" outlineLevel="1">
      <c r="A6461" s="382"/>
      <c r="B6461" s="118" t="s">
        <v>12</v>
      </c>
      <c r="C6461" s="334" t="s">
        <v>15652</v>
      </c>
      <c r="D6461" s="124" t="s">
        <v>15653</v>
      </c>
      <c r="E6461" s="125"/>
      <c r="F6461" s="118" t="s">
        <v>1104</v>
      </c>
      <c r="G6461" s="126" t="s">
        <v>15312</v>
      </c>
      <c r="H6461" s="255">
        <v>1</v>
      </c>
      <c r="I6461" s="361">
        <v>1</v>
      </c>
      <c r="J6461" s="371" t="s">
        <v>325</v>
      </c>
      <c r="K6461" s="373"/>
      <c r="L6461" s="129"/>
      <c r="M6461" s="129"/>
      <c r="N6461" s="129"/>
      <c r="O6461" s="129"/>
      <c r="P6461" s="364"/>
      <c r="Q6461" s="364"/>
      <c r="R6461" s="129"/>
      <c r="S6461" s="129"/>
      <c r="T6461" s="129"/>
      <c r="W6461" s="129" t="s">
        <v>325</v>
      </c>
      <c r="X6461" s="337" t="b">
        <f t="shared" si="139"/>
        <v>1</v>
      </c>
    </row>
    <row r="6462" spans="1:24" s="386" customFormat="1" ht="12" customHeight="1" outlineLevel="1">
      <c r="A6462" s="382"/>
      <c r="B6462" s="118" t="s">
        <v>12</v>
      </c>
      <c r="C6462" s="334" t="s">
        <v>15654</v>
      </c>
      <c r="D6462" s="124" t="s">
        <v>15655</v>
      </c>
      <c r="E6462" s="125"/>
      <c r="F6462" s="118" t="s">
        <v>1104</v>
      </c>
      <c r="G6462" s="126" t="s">
        <v>15312</v>
      </c>
      <c r="H6462" s="255">
        <v>1</v>
      </c>
      <c r="I6462" s="361">
        <v>1</v>
      </c>
      <c r="J6462" s="371" t="s">
        <v>325</v>
      </c>
      <c r="K6462" s="373"/>
      <c r="L6462" s="129"/>
      <c r="M6462" s="129"/>
      <c r="N6462" s="129"/>
      <c r="O6462" s="129"/>
      <c r="P6462" s="364"/>
      <c r="Q6462" s="364"/>
      <c r="R6462" s="129"/>
      <c r="S6462" s="129"/>
      <c r="T6462" s="129"/>
      <c r="W6462" s="129" t="s">
        <v>325</v>
      </c>
      <c r="X6462" s="337" t="b">
        <f t="shared" si="139"/>
        <v>1</v>
      </c>
    </row>
    <row r="6463" spans="1:24" s="386" customFormat="1" ht="12" customHeight="1" outlineLevel="1">
      <c r="A6463" s="382"/>
      <c r="B6463" s="118" t="s">
        <v>12</v>
      </c>
      <c r="C6463" s="334" t="s">
        <v>15656</v>
      </c>
      <c r="D6463" s="124" t="s">
        <v>15657</v>
      </c>
      <c r="E6463" s="125"/>
      <c r="F6463" s="118" t="s">
        <v>1104</v>
      </c>
      <c r="G6463" s="126" t="s">
        <v>15312</v>
      </c>
      <c r="H6463" s="255">
        <v>1</v>
      </c>
      <c r="I6463" s="361">
        <v>1</v>
      </c>
      <c r="J6463" s="371" t="s">
        <v>307</v>
      </c>
      <c r="K6463" s="373"/>
      <c r="L6463" s="129"/>
      <c r="M6463" s="129"/>
      <c r="N6463" s="129"/>
      <c r="O6463" s="129"/>
      <c r="P6463" s="364"/>
      <c r="Q6463" s="364"/>
      <c r="R6463" s="129"/>
      <c r="S6463" s="129"/>
      <c r="T6463" s="129"/>
      <c r="W6463" s="129" t="s">
        <v>307</v>
      </c>
      <c r="X6463" s="337" t="b">
        <f t="shared" si="139"/>
        <v>1</v>
      </c>
    </row>
    <row r="6464" spans="1:24" s="386" customFormat="1" ht="12" customHeight="1" outlineLevel="1">
      <c r="A6464" s="382"/>
      <c r="B6464" s="118" t="s">
        <v>12</v>
      </c>
      <c r="C6464" s="334" t="s">
        <v>15658</v>
      </c>
      <c r="D6464" s="124" t="s">
        <v>15659</v>
      </c>
      <c r="E6464" s="125"/>
      <c r="F6464" s="118" t="s">
        <v>1104</v>
      </c>
      <c r="G6464" s="126" t="s">
        <v>15312</v>
      </c>
      <c r="H6464" s="255">
        <v>1</v>
      </c>
      <c r="I6464" s="361">
        <v>1</v>
      </c>
      <c r="J6464" s="371" t="s">
        <v>307</v>
      </c>
      <c r="K6464" s="373"/>
      <c r="L6464" s="129"/>
      <c r="M6464" s="129"/>
      <c r="N6464" s="129"/>
      <c r="O6464" s="129"/>
      <c r="P6464" s="364"/>
      <c r="Q6464" s="364"/>
      <c r="R6464" s="129"/>
      <c r="S6464" s="129"/>
      <c r="T6464" s="129"/>
      <c r="W6464" s="129" t="s">
        <v>307</v>
      </c>
      <c r="X6464" s="337" t="b">
        <f t="shared" si="139"/>
        <v>1</v>
      </c>
    </row>
    <row r="6465" spans="1:24" s="386" customFormat="1" ht="12" customHeight="1" outlineLevel="1">
      <c r="A6465" s="382"/>
      <c r="B6465" s="118" t="s">
        <v>12</v>
      </c>
      <c r="C6465" s="334" t="s">
        <v>15660</v>
      </c>
      <c r="D6465" s="124" t="s">
        <v>15661</v>
      </c>
      <c r="E6465" s="125"/>
      <c r="F6465" s="118" t="s">
        <v>1104</v>
      </c>
      <c r="G6465" s="126" t="s">
        <v>15312</v>
      </c>
      <c r="H6465" s="255">
        <v>1</v>
      </c>
      <c r="I6465" s="361">
        <v>1</v>
      </c>
      <c r="J6465" s="371" t="s">
        <v>325</v>
      </c>
      <c r="K6465" s="373"/>
      <c r="L6465" s="129"/>
      <c r="M6465" s="129"/>
      <c r="N6465" s="129"/>
      <c r="O6465" s="129"/>
      <c r="P6465" s="364"/>
      <c r="Q6465" s="364"/>
      <c r="R6465" s="129"/>
      <c r="S6465" s="129"/>
      <c r="T6465" s="129"/>
      <c r="W6465" s="129" t="s">
        <v>325</v>
      </c>
      <c r="X6465" s="337" t="b">
        <f t="shared" si="139"/>
        <v>1</v>
      </c>
    </row>
    <row r="6466" spans="1:24" s="386" customFormat="1" ht="12" customHeight="1" outlineLevel="1">
      <c r="A6466" s="382"/>
      <c r="B6466" s="118" t="s">
        <v>12</v>
      </c>
      <c r="C6466" s="334" t="s">
        <v>15662</v>
      </c>
      <c r="D6466" s="124" t="s">
        <v>15663</v>
      </c>
      <c r="E6466" s="125"/>
      <c r="F6466" s="118" t="s">
        <v>1104</v>
      </c>
      <c r="G6466" s="126" t="s">
        <v>15312</v>
      </c>
      <c r="H6466" s="255">
        <v>1</v>
      </c>
      <c r="I6466" s="361">
        <v>1</v>
      </c>
      <c r="J6466" s="371" t="s">
        <v>310</v>
      </c>
      <c r="K6466" s="373"/>
      <c r="L6466" s="129"/>
      <c r="M6466" s="129"/>
      <c r="N6466" s="129"/>
      <c r="O6466" s="129"/>
      <c r="P6466" s="364"/>
      <c r="Q6466" s="364"/>
      <c r="R6466" s="129"/>
      <c r="S6466" s="129"/>
      <c r="T6466" s="129"/>
      <c r="W6466" s="129" t="s">
        <v>310</v>
      </c>
      <c r="X6466" s="337" t="b">
        <f t="shared" si="139"/>
        <v>1</v>
      </c>
    </row>
    <row r="6467" spans="1:24" s="386" customFormat="1" ht="12" customHeight="1" outlineLevel="1">
      <c r="A6467" s="382"/>
      <c r="B6467" s="118" t="s">
        <v>12</v>
      </c>
      <c r="C6467" s="334" t="s">
        <v>15664</v>
      </c>
      <c r="D6467" s="124" t="s">
        <v>15665</v>
      </c>
      <c r="E6467" s="125"/>
      <c r="F6467" s="118" t="s">
        <v>1104</v>
      </c>
      <c r="G6467" s="126" t="s">
        <v>15312</v>
      </c>
      <c r="H6467" s="255">
        <v>1</v>
      </c>
      <c r="I6467" s="361">
        <v>1</v>
      </c>
      <c r="J6467" s="371" t="s">
        <v>310</v>
      </c>
      <c r="K6467" s="373"/>
      <c r="L6467" s="129"/>
      <c r="M6467" s="129"/>
      <c r="N6467" s="129"/>
      <c r="O6467" s="129"/>
      <c r="P6467" s="364"/>
      <c r="Q6467" s="364"/>
      <c r="R6467" s="129"/>
      <c r="S6467" s="129"/>
      <c r="T6467" s="129"/>
      <c r="W6467" s="129" t="s">
        <v>310</v>
      </c>
      <c r="X6467" s="337" t="b">
        <f t="shared" si="139"/>
        <v>1</v>
      </c>
    </row>
    <row r="6468" spans="1:24" s="386" customFormat="1" ht="12" customHeight="1" outlineLevel="1">
      <c r="A6468" s="382"/>
      <c r="B6468" s="118" t="s">
        <v>12</v>
      </c>
      <c r="C6468" s="334" t="s">
        <v>15666</v>
      </c>
      <c r="D6468" s="124" t="s">
        <v>15667</v>
      </c>
      <c r="E6468" s="125"/>
      <c r="F6468" s="118" t="s">
        <v>1104</v>
      </c>
      <c r="G6468" s="126" t="s">
        <v>15312</v>
      </c>
      <c r="H6468" s="255">
        <v>1</v>
      </c>
      <c r="I6468" s="361">
        <v>1</v>
      </c>
      <c r="J6468" s="371" t="s">
        <v>310</v>
      </c>
      <c r="K6468" s="373"/>
      <c r="L6468" s="129"/>
      <c r="M6468" s="129"/>
      <c r="N6468" s="129"/>
      <c r="O6468" s="129"/>
      <c r="P6468" s="364"/>
      <c r="Q6468" s="364"/>
      <c r="R6468" s="129"/>
      <c r="S6468" s="129"/>
      <c r="T6468" s="129"/>
      <c r="W6468" s="129" t="s">
        <v>310</v>
      </c>
      <c r="X6468" s="337" t="b">
        <f t="shared" si="139"/>
        <v>1</v>
      </c>
    </row>
    <row r="6469" spans="1:24" s="386" customFormat="1" ht="12" customHeight="1" outlineLevel="1">
      <c r="A6469" s="382"/>
      <c r="B6469" s="118" t="s">
        <v>12</v>
      </c>
      <c r="C6469" s="334" t="s">
        <v>15668</v>
      </c>
      <c r="D6469" s="124" t="s">
        <v>15669</v>
      </c>
      <c r="E6469" s="125"/>
      <c r="F6469" s="118" t="s">
        <v>1104</v>
      </c>
      <c r="G6469" s="126" t="s">
        <v>15312</v>
      </c>
      <c r="H6469" s="255">
        <v>1</v>
      </c>
      <c r="I6469" s="361">
        <v>1</v>
      </c>
      <c r="J6469" s="371" t="s">
        <v>310</v>
      </c>
      <c r="K6469" s="373"/>
      <c r="L6469" s="129"/>
      <c r="M6469" s="129"/>
      <c r="N6469" s="129"/>
      <c r="O6469" s="129"/>
      <c r="P6469" s="364"/>
      <c r="Q6469" s="364"/>
      <c r="R6469" s="129"/>
      <c r="S6469" s="129"/>
      <c r="T6469" s="129"/>
      <c r="W6469" s="129" t="s">
        <v>310</v>
      </c>
      <c r="X6469" s="337" t="b">
        <f t="shared" si="139"/>
        <v>1</v>
      </c>
    </row>
    <row r="6470" spans="1:24" s="386" customFormat="1" ht="12" customHeight="1" outlineLevel="1">
      <c r="A6470" s="382"/>
      <c r="B6470" s="118" t="s">
        <v>12</v>
      </c>
      <c r="C6470" s="334" t="s">
        <v>15670</v>
      </c>
      <c r="D6470" s="124" t="s">
        <v>15671</v>
      </c>
      <c r="E6470" s="125"/>
      <c r="F6470" s="118" t="s">
        <v>1104</v>
      </c>
      <c r="G6470" s="126" t="s">
        <v>15312</v>
      </c>
      <c r="H6470" s="255">
        <v>1</v>
      </c>
      <c r="I6470" s="361">
        <v>1</v>
      </c>
      <c r="J6470" s="371" t="s">
        <v>310</v>
      </c>
      <c r="K6470" s="373"/>
      <c r="L6470" s="129"/>
      <c r="M6470" s="129"/>
      <c r="N6470" s="129"/>
      <c r="O6470" s="129"/>
      <c r="P6470" s="364"/>
      <c r="Q6470" s="364"/>
      <c r="R6470" s="129"/>
      <c r="S6470" s="129"/>
      <c r="T6470" s="129"/>
      <c r="W6470" s="129" t="s">
        <v>310</v>
      </c>
      <c r="X6470" s="337" t="b">
        <f t="shared" si="139"/>
        <v>1</v>
      </c>
    </row>
    <row r="6471" spans="1:24" s="386" customFormat="1" ht="12" customHeight="1" outlineLevel="1">
      <c r="A6471" s="382"/>
      <c r="B6471" s="118" t="s">
        <v>12</v>
      </c>
      <c r="C6471" s="334" t="s">
        <v>15672</v>
      </c>
      <c r="D6471" s="124" t="s">
        <v>15673</v>
      </c>
      <c r="E6471" s="125"/>
      <c r="F6471" s="118" t="s">
        <v>1104</v>
      </c>
      <c r="G6471" s="126" t="s">
        <v>15312</v>
      </c>
      <c r="H6471" s="255">
        <v>1</v>
      </c>
      <c r="I6471" s="361">
        <v>1</v>
      </c>
      <c r="J6471" s="371" t="s">
        <v>286</v>
      </c>
      <c r="K6471" s="373"/>
      <c r="L6471" s="129"/>
      <c r="M6471" s="129"/>
      <c r="N6471" s="129"/>
      <c r="O6471" s="129"/>
      <c r="P6471" s="364"/>
      <c r="Q6471" s="364"/>
      <c r="R6471" s="129"/>
      <c r="S6471" s="129"/>
      <c r="T6471" s="129"/>
      <c r="W6471" s="129" t="s">
        <v>310</v>
      </c>
      <c r="X6471" s="337" t="b">
        <f t="shared" si="139"/>
        <v>0</v>
      </c>
    </row>
    <row r="6472" spans="1:24" s="386" customFormat="1" ht="12" customHeight="1" outlineLevel="1">
      <c r="A6472" s="382"/>
      <c r="B6472" s="118" t="s">
        <v>12</v>
      </c>
      <c r="C6472" s="334" t="s">
        <v>15674</v>
      </c>
      <c r="D6472" s="124" t="s">
        <v>15675</v>
      </c>
      <c r="E6472" s="125"/>
      <c r="F6472" s="118" t="s">
        <v>1104</v>
      </c>
      <c r="G6472" s="126" t="s">
        <v>15312</v>
      </c>
      <c r="H6472" s="255">
        <v>1</v>
      </c>
      <c r="I6472" s="361">
        <v>1</v>
      </c>
      <c r="J6472" s="371" t="s">
        <v>286</v>
      </c>
      <c r="K6472" s="373"/>
      <c r="L6472" s="129"/>
      <c r="M6472" s="129"/>
      <c r="N6472" s="129"/>
      <c r="O6472" s="129"/>
      <c r="P6472" s="364"/>
      <c r="Q6472" s="364"/>
      <c r="R6472" s="129"/>
      <c r="S6472" s="129"/>
      <c r="T6472" s="129"/>
      <c r="W6472" s="129" t="s">
        <v>310</v>
      </c>
      <c r="X6472" s="337" t="b">
        <f t="shared" si="139"/>
        <v>0</v>
      </c>
    </row>
    <row r="6473" spans="1:24" s="386" customFormat="1" ht="12" customHeight="1" outlineLevel="1">
      <c r="A6473" s="382"/>
      <c r="B6473" s="118" t="s">
        <v>12</v>
      </c>
      <c r="C6473" s="334" t="s">
        <v>15676</v>
      </c>
      <c r="D6473" s="124" t="s">
        <v>15677</v>
      </c>
      <c r="E6473" s="125"/>
      <c r="F6473" s="118" t="s">
        <v>1104</v>
      </c>
      <c r="G6473" s="126" t="s">
        <v>15312</v>
      </c>
      <c r="H6473" s="255">
        <v>1</v>
      </c>
      <c r="I6473" s="361">
        <v>1</v>
      </c>
      <c r="J6473" s="371" t="s">
        <v>286</v>
      </c>
      <c r="K6473" s="373"/>
      <c r="L6473" s="129"/>
      <c r="M6473" s="129"/>
      <c r="N6473" s="129"/>
      <c r="O6473" s="129"/>
      <c r="P6473" s="364"/>
      <c r="Q6473" s="364"/>
      <c r="R6473" s="129"/>
      <c r="S6473" s="129"/>
      <c r="T6473" s="129"/>
      <c r="W6473" s="129" t="s">
        <v>310</v>
      </c>
      <c r="X6473" s="337" t="b">
        <f t="shared" si="139"/>
        <v>0</v>
      </c>
    </row>
    <row r="6474" spans="1:24" s="386" customFormat="1" ht="12" customHeight="1" outlineLevel="1">
      <c r="A6474" s="382"/>
      <c r="B6474" s="118" t="s">
        <v>12</v>
      </c>
      <c r="C6474" s="334" t="s">
        <v>15678</v>
      </c>
      <c r="D6474" s="124" t="s">
        <v>15679</v>
      </c>
      <c r="E6474" s="125"/>
      <c r="F6474" s="118" t="s">
        <v>1104</v>
      </c>
      <c r="G6474" s="126" t="s">
        <v>15312</v>
      </c>
      <c r="H6474" s="255">
        <v>1</v>
      </c>
      <c r="I6474" s="361">
        <v>1</v>
      </c>
      <c r="J6474" s="371" t="s">
        <v>310</v>
      </c>
      <c r="K6474" s="373"/>
      <c r="L6474" s="129"/>
      <c r="M6474" s="129"/>
      <c r="N6474" s="129"/>
      <c r="O6474" s="129"/>
      <c r="P6474" s="364"/>
      <c r="Q6474" s="364"/>
      <c r="R6474" s="129"/>
      <c r="S6474" s="129"/>
      <c r="T6474" s="129"/>
      <c r="W6474" s="129" t="s">
        <v>286</v>
      </c>
      <c r="X6474" s="337" t="b">
        <f t="shared" si="139"/>
        <v>0</v>
      </c>
    </row>
    <row r="6475" spans="1:24" s="386" customFormat="1" ht="12" customHeight="1" outlineLevel="1">
      <c r="A6475" s="382"/>
      <c r="B6475" s="118" t="s">
        <v>12</v>
      </c>
      <c r="C6475" s="334" t="s">
        <v>15680</v>
      </c>
      <c r="D6475" s="124" t="s">
        <v>15681</v>
      </c>
      <c r="E6475" s="125"/>
      <c r="F6475" s="118" t="s">
        <v>1104</v>
      </c>
      <c r="G6475" s="126" t="s">
        <v>15312</v>
      </c>
      <c r="H6475" s="255">
        <v>1</v>
      </c>
      <c r="I6475" s="361">
        <v>1</v>
      </c>
      <c r="J6475" s="371" t="s">
        <v>310</v>
      </c>
      <c r="K6475" s="373"/>
      <c r="L6475" s="129"/>
      <c r="M6475" s="129"/>
      <c r="N6475" s="129"/>
      <c r="O6475" s="129"/>
      <c r="P6475" s="364"/>
      <c r="Q6475" s="364"/>
      <c r="R6475" s="129"/>
      <c r="S6475" s="129"/>
      <c r="T6475" s="129"/>
      <c r="W6475" s="129" t="s">
        <v>4876</v>
      </c>
      <c r="X6475" s="337" t="b">
        <f t="shared" si="139"/>
        <v>0</v>
      </c>
    </row>
    <row r="6476" spans="1:24" s="386" customFormat="1" ht="12" customHeight="1" outlineLevel="1">
      <c r="A6476" s="382"/>
      <c r="B6476" s="118" t="s">
        <v>12</v>
      </c>
      <c r="C6476" s="334" t="s">
        <v>15682</v>
      </c>
      <c r="D6476" s="124" t="s">
        <v>15683</v>
      </c>
      <c r="E6476" s="125"/>
      <c r="F6476" s="118" t="s">
        <v>1104</v>
      </c>
      <c r="G6476" s="126" t="s">
        <v>15312</v>
      </c>
      <c r="H6476" s="255">
        <v>1</v>
      </c>
      <c r="I6476" s="361">
        <v>1</v>
      </c>
      <c r="J6476" s="371" t="s">
        <v>286</v>
      </c>
      <c r="K6476" s="373"/>
      <c r="L6476" s="129"/>
      <c r="M6476" s="129"/>
      <c r="N6476" s="129"/>
      <c r="O6476" s="129"/>
      <c r="P6476" s="364"/>
      <c r="Q6476" s="364"/>
      <c r="R6476" s="129"/>
      <c r="S6476" s="129"/>
      <c r="T6476" s="129"/>
      <c r="W6476" s="129" t="s">
        <v>4876</v>
      </c>
      <c r="X6476" s="337" t="b">
        <f t="shared" si="139"/>
        <v>0</v>
      </c>
    </row>
    <row r="6477" spans="1:24" s="386" customFormat="1" ht="12" customHeight="1" outlineLevel="1">
      <c r="A6477" s="382"/>
      <c r="B6477" s="118" t="s">
        <v>12</v>
      </c>
      <c r="C6477" s="334" t="s">
        <v>15324</v>
      </c>
      <c r="D6477" s="124" t="s">
        <v>15684</v>
      </c>
      <c r="E6477" s="125"/>
      <c r="F6477" s="118" t="s">
        <v>1104</v>
      </c>
      <c r="G6477" s="126" t="s">
        <v>15312</v>
      </c>
      <c r="H6477" s="255">
        <v>1</v>
      </c>
      <c r="I6477" s="361">
        <v>1</v>
      </c>
      <c r="J6477" s="371" t="s">
        <v>286</v>
      </c>
      <c r="K6477" s="373"/>
      <c r="L6477" s="129"/>
      <c r="M6477" s="129"/>
      <c r="N6477" s="129"/>
      <c r="O6477" s="129"/>
      <c r="P6477" s="364"/>
      <c r="Q6477" s="364"/>
      <c r="R6477" s="129"/>
      <c r="S6477" s="129"/>
      <c r="T6477" s="129"/>
      <c r="W6477" s="129" t="s">
        <v>310</v>
      </c>
      <c r="X6477" s="337" t="b">
        <f t="shared" si="139"/>
        <v>0</v>
      </c>
    </row>
    <row r="6478" spans="1:24" s="386" customFormat="1" ht="12" customHeight="1" outlineLevel="1">
      <c r="A6478" s="382"/>
      <c r="B6478" s="118" t="s">
        <v>12</v>
      </c>
      <c r="C6478" s="334" t="s">
        <v>15327</v>
      </c>
      <c r="D6478" s="124" t="s">
        <v>15685</v>
      </c>
      <c r="E6478" s="125"/>
      <c r="F6478" s="118" t="s">
        <v>1104</v>
      </c>
      <c r="G6478" s="126" t="s">
        <v>15312</v>
      </c>
      <c r="H6478" s="255">
        <v>1</v>
      </c>
      <c r="I6478" s="361">
        <v>1</v>
      </c>
      <c r="J6478" s="371" t="s">
        <v>286</v>
      </c>
      <c r="K6478" s="373"/>
      <c r="L6478" s="129"/>
      <c r="M6478" s="129"/>
      <c r="N6478" s="129"/>
      <c r="O6478" s="129"/>
      <c r="P6478" s="364"/>
      <c r="Q6478" s="364"/>
      <c r="R6478" s="129"/>
      <c r="S6478" s="129"/>
      <c r="T6478" s="129"/>
      <c r="W6478" s="129" t="s">
        <v>286</v>
      </c>
      <c r="X6478" s="337" t="b">
        <f t="shared" ref="X6478:X6541" si="140">W6478=J6478</f>
        <v>1</v>
      </c>
    </row>
    <row r="6479" spans="1:24" s="386" customFormat="1" ht="12" customHeight="1" outlineLevel="1">
      <c r="A6479" s="382"/>
      <c r="B6479" s="118" t="s">
        <v>12</v>
      </c>
      <c r="C6479" s="334" t="s">
        <v>15329</v>
      </c>
      <c r="D6479" s="124" t="s">
        <v>15686</v>
      </c>
      <c r="E6479" s="125"/>
      <c r="F6479" s="118" t="s">
        <v>1104</v>
      </c>
      <c r="G6479" s="126" t="s">
        <v>15312</v>
      </c>
      <c r="H6479" s="255">
        <v>1</v>
      </c>
      <c r="I6479" s="361">
        <v>1</v>
      </c>
      <c r="J6479" s="371" t="s">
        <v>286</v>
      </c>
      <c r="K6479" s="373"/>
      <c r="L6479" s="129"/>
      <c r="M6479" s="129"/>
      <c r="N6479" s="129"/>
      <c r="O6479" s="129"/>
      <c r="P6479" s="364"/>
      <c r="Q6479" s="364"/>
      <c r="R6479" s="129"/>
      <c r="S6479" s="129"/>
      <c r="T6479" s="129"/>
      <c r="W6479" s="129" t="s">
        <v>310</v>
      </c>
      <c r="X6479" s="337" t="b">
        <f t="shared" si="140"/>
        <v>0</v>
      </c>
    </row>
    <row r="6480" spans="1:24" s="386" customFormat="1" ht="12" customHeight="1" outlineLevel="1">
      <c r="A6480" s="382"/>
      <c r="B6480" s="118" t="s">
        <v>12</v>
      </c>
      <c r="C6480" s="334" t="s">
        <v>15687</v>
      </c>
      <c r="D6480" s="124" t="s">
        <v>15688</v>
      </c>
      <c r="E6480" s="125"/>
      <c r="F6480" s="118" t="s">
        <v>1104</v>
      </c>
      <c r="G6480" s="126" t="s">
        <v>15312</v>
      </c>
      <c r="H6480" s="255">
        <v>1</v>
      </c>
      <c r="I6480" s="361">
        <v>1</v>
      </c>
      <c r="J6480" s="371" t="s">
        <v>307</v>
      </c>
      <c r="K6480" s="373"/>
      <c r="L6480" s="129"/>
      <c r="M6480" s="129"/>
      <c r="N6480" s="129"/>
      <c r="O6480" s="129"/>
      <c r="P6480" s="364"/>
      <c r="Q6480" s="364"/>
      <c r="R6480" s="129"/>
      <c r="S6480" s="129"/>
      <c r="T6480" s="129"/>
      <c r="W6480" s="129" t="s">
        <v>4876</v>
      </c>
      <c r="X6480" s="337" t="b">
        <f t="shared" si="140"/>
        <v>0</v>
      </c>
    </row>
    <row r="6481" spans="1:24" s="386" customFormat="1" ht="12" customHeight="1" outlineLevel="1">
      <c r="A6481" s="382"/>
      <c r="B6481" s="118" t="s">
        <v>12</v>
      </c>
      <c r="C6481" s="334" t="s">
        <v>15689</v>
      </c>
      <c r="D6481" s="124" t="s">
        <v>15690</v>
      </c>
      <c r="E6481" s="125"/>
      <c r="F6481" s="118" t="s">
        <v>1104</v>
      </c>
      <c r="G6481" s="126" t="s">
        <v>15312</v>
      </c>
      <c r="H6481" s="255">
        <v>1</v>
      </c>
      <c r="I6481" s="361">
        <v>1</v>
      </c>
      <c r="J6481" s="371" t="s">
        <v>307</v>
      </c>
      <c r="K6481" s="373"/>
      <c r="L6481" s="129"/>
      <c r="M6481" s="129"/>
      <c r="N6481" s="129"/>
      <c r="O6481" s="129"/>
      <c r="P6481" s="364"/>
      <c r="Q6481" s="364"/>
      <c r="R6481" s="129"/>
      <c r="S6481" s="129"/>
      <c r="T6481" s="129"/>
      <c r="W6481" s="129" t="s">
        <v>307</v>
      </c>
      <c r="X6481" s="337" t="b">
        <f t="shared" si="140"/>
        <v>1</v>
      </c>
    </row>
    <row r="6482" spans="1:24" s="386" customFormat="1" ht="12" customHeight="1" outlineLevel="1">
      <c r="A6482" s="382"/>
      <c r="B6482" s="118" t="s">
        <v>12</v>
      </c>
      <c r="C6482" s="334" t="s">
        <v>15691</v>
      </c>
      <c r="D6482" s="124" t="s">
        <v>15692</v>
      </c>
      <c r="E6482" s="125"/>
      <c r="F6482" s="118" t="s">
        <v>1104</v>
      </c>
      <c r="G6482" s="126" t="s">
        <v>15326</v>
      </c>
      <c r="H6482" s="255">
        <v>2</v>
      </c>
      <c r="I6482" s="361">
        <v>1</v>
      </c>
      <c r="J6482" s="371" t="s">
        <v>307</v>
      </c>
      <c r="K6482" s="373"/>
      <c r="L6482" s="129"/>
      <c r="M6482" s="129"/>
      <c r="N6482" s="129"/>
      <c r="O6482" s="129"/>
      <c r="P6482" s="364"/>
      <c r="Q6482" s="364"/>
      <c r="R6482" s="129"/>
      <c r="S6482" s="129"/>
      <c r="T6482" s="129"/>
      <c r="W6482" s="129" t="s">
        <v>310</v>
      </c>
      <c r="X6482" s="337" t="b">
        <f t="shared" si="140"/>
        <v>0</v>
      </c>
    </row>
    <row r="6483" spans="1:24" s="386" customFormat="1" ht="12" customHeight="1" outlineLevel="1">
      <c r="A6483" s="382"/>
      <c r="B6483" s="118" t="s">
        <v>12</v>
      </c>
      <c r="C6483" s="334" t="s">
        <v>15693</v>
      </c>
      <c r="D6483" s="124" t="s">
        <v>15694</v>
      </c>
      <c r="E6483" s="125"/>
      <c r="F6483" s="118" t="s">
        <v>1104</v>
      </c>
      <c r="G6483" s="126" t="s">
        <v>15326</v>
      </c>
      <c r="H6483" s="255">
        <v>2</v>
      </c>
      <c r="I6483" s="361">
        <v>1</v>
      </c>
      <c r="J6483" s="371" t="s">
        <v>325</v>
      </c>
      <c r="K6483" s="373"/>
      <c r="L6483" s="129"/>
      <c r="M6483" s="129"/>
      <c r="N6483" s="129"/>
      <c r="O6483" s="129"/>
      <c r="P6483" s="364"/>
      <c r="Q6483" s="364"/>
      <c r="R6483" s="129"/>
      <c r="S6483" s="129"/>
      <c r="T6483" s="129"/>
      <c r="W6483" s="129" t="s">
        <v>286</v>
      </c>
      <c r="X6483" s="337" t="b">
        <f t="shared" si="140"/>
        <v>0</v>
      </c>
    </row>
    <row r="6484" spans="1:24" s="386" customFormat="1" ht="12" customHeight="1" outlineLevel="1">
      <c r="A6484" s="382"/>
      <c r="B6484" s="118" t="s">
        <v>12</v>
      </c>
      <c r="C6484" s="334" t="s">
        <v>15695</v>
      </c>
      <c r="D6484" s="124" t="s">
        <v>15696</v>
      </c>
      <c r="E6484" s="125"/>
      <c r="F6484" s="118" t="s">
        <v>1104</v>
      </c>
      <c r="G6484" s="126" t="s">
        <v>15326</v>
      </c>
      <c r="H6484" s="255">
        <v>2</v>
      </c>
      <c r="I6484" s="361">
        <v>1</v>
      </c>
      <c r="J6484" s="371" t="s">
        <v>310</v>
      </c>
      <c r="K6484" s="373"/>
      <c r="L6484" s="129"/>
      <c r="M6484" s="129"/>
      <c r="N6484" s="129"/>
      <c r="O6484" s="129"/>
      <c r="P6484" s="364"/>
      <c r="Q6484" s="364"/>
      <c r="R6484" s="129"/>
      <c r="S6484" s="129"/>
      <c r="T6484" s="129"/>
      <c r="W6484" s="129" t="s">
        <v>286</v>
      </c>
      <c r="X6484" s="337" t="b">
        <f t="shared" si="140"/>
        <v>0</v>
      </c>
    </row>
    <row r="6485" spans="1:24" s="386" customFormat="1" ht="12" customHeight="1" outlineLevel="1">
      <c r="A6485" s="382"/>
      <c r="B6485" s="118" t="s">
        <v>12</v>
      </c>
      <c r="C6485" s="334" t="s">
        <v>15697</v>
      </c>
      <c r="D6485" s="124" t="s">
        <v>15698</v>
      </c>
      <c r="E6485" s="125"/>
      <c r="F6485" s="118" t="s">
        <v>1104</v>
      </c>
      <c r="G6485" s="126" t="s">
        <v>15326</v>
      </c>
      <c r="H6485" s="255">
        <v>2</v>
      </c>
      <c r="I6485" s="361">
        <v>1</v>
      </c>
      <c r="J6485" s="371" t="s">
        <v>307</v>
      </c>
      <c r="K6485" s="373"/>
      <c r="L6485" s="129"/>
      <c r="M6485" s="129"/>
      <c r="N6485" s="129"/>
      <c r="O6485" s="129"/>
      <c r="P6485" s="364"/>
      <c r="Q6485" s="364"/>
      <c r="R6485" s="129"/>
      <c r="S6485" s="129"/>
      <c r="T6485" s="129"/>
      <c r="W6485" s="129" t="s">
        <v>310</v>
      </c>
      <c r="X6485" s="337" t="b">
        <f t="shared" si="140"/>
        <v>0</v>
      </c>
    </row>
    <row r="6486" spans="1:24" s="386" customFormat="1" ht="12" customHeight="1" outlineLevel="1">
      <c r="A6486" s="382"/>
      <c r="B6486" s="118" t="s">
        <v>12</v>
      </c>
      <c r="C6486" s="334" t="s">
        <v>15699</v>
      </c>
      <c r="D6486" s="124" t="s">
        <v>15700</v>
      </c>
      <c r="E6486" s="125"/>
      <c r="F6486" s="118" t="s">
        <v>1104</v>
      </c>
      <c r="G6486" s="126" t="s">
        <v>15326</v>
      </c>
      <c r="H6486" s="255">
        <v>2</v>
      </c>
      <c r="I6486" s="361">
        <v>1</v>
      </c>
      <c r="J6486" s="371" t="s">
        <v>286</v>
      </c>
      <c r="K6486" s="373"/>
      <c r="L6486" s="129"/>
      <c r="M6486" s="129"/>
      <c r="N6486" s="129"/>
      <c r="O6486" s="129"/>
      <c r="P6486" s="364"/>
      <c r="Q6486" s="364"/>
      <c r="R6486" s="129"/>
      <c r="S6486" s="129"/>
      <c r="T6486" s="129"/>
      <c r="W6486" s="129" t="s">
        <v>4876</v>
      </c>
      <c r="X6486" s="337" t="b">
        <f t="shared" si="140"/>
        <v>0</v>
      </c>
    </row>
    <row r="6487" spans="1:24" s="386" customFormat="1" ht="12" customHeight="1" outlineLevel="1">
      <c r="A6487" s="382"/>
      <c r="B6487" s="118" t="s">
        <v>12</v>
      </c>
      <c r="C6487" s="334" t="s">
        <v>15701</v>
      </c>
      <c r="D6487" s="124" t="s">
        <v>15702</v>
      </c>
      <c r="E6487" s="125"/>
      <c r="F6487" s="118" t="s">
        <v>1104</v>
      </c>
      <c r="G6487" s="126" t="s">
        <v>15326</v>
      </c>
      <c r="H6487" s="255">
        <v>2</v>
      </c>
      <c r="I6487" s="361">
        <v>1</v>
      </c>
      <c r="J6487" s="371" t="s">
        <v>286</v>
      </c>
      <c r="K6487" s="373"/>
      <c r="L6487" s="129"/>
      <c r="M6487" s="129"/>
      <c r="N6487" s="129"/>
      <c r="O6487" s="129"/>
      <c r="P6487" s="364"/>
      <c r="Q6487" s="364"/>
      <c r="R6487" s="129"/>
      <c r="S6487" s="129"/>
      <c r="T6487" s="129"/>
      <c r="W6487" s="129" t="s">
        <v>4876</v>
      </c>
      <c r="X6487" s="337" t="b">
        <f t="shared" si="140"/>
        <v>0</v>
      </c>
    </row>
    <row r="6488" spans="1:24" s="386" customFormat="1" ht="12" customHeight="1" outlineLevel="1">
      <c r="A6488" s="382"/>
      <c r="B6488" s="118" t="s">
        <v>12</v>
      </c>
      <c r="C6488" s="334" t="s">
        <v>15703</v>
      </c>
      <c r="D6488" s="124" t="s">
        <v>15704</v>
      </c>
      <c r="E6488" s="125"/>
      <c r="F6488" s="118" t="s">
        <v>1104</v>
      </c>
      <c r="G6488" s="126" t="s">
        <v>15326</v>
      </c>
      <c r="H6488" s="255">
        <v>2</v>
      </c>
      <c r="I6488" s="361">
        <v>1</v>
      </c>
      <c r="J6488" s="371" t="s">
        <v>286</v>
      </c>
      <c r="K6488" s="373"/>
      <c r="L6488" s="129"/>
      <c r="M6488" s="129"/>
      <c r="N6488" s="129"/>
      <c r="O6488" s="129"/>
      <c r="P6488" s="364"/>
      <c r="Q6488" s="364"/>
      <c r="R6488" s="129"/>
      <c r="S6488" s="129"/>
      <c r="T6488" s="129"/>
      <c r="W6488" s="129" t="s">
        <v>4876</v>
      </c>
      <c r="X6488" s="337" t="b">
        <f t="shared" si="140"/>
        <v>0</v>
      </c>
    </row>
    <row r="6489" spans="1:24" s="386" customFormat="1" ht="12" customHeight="1" outlineLevel="1">
      <c r="A6489" s="382"/>
      <c r="B6489" s="118" t="s">
        <v>12</v>
      </c>
      <c r="C6489" s="334" t="s">
        <v>15705</v>
      </c>
      <c r="D6489" s="124" t="s">
        <v>15706</v>
      </c>
      <c r="E6489" s="125"/>
      <c r="F6489" s="118" t="s">
        <v>1104</v>
      </c>
      <c r="G6489" s="126" t="s">
        <v>15326</v>
      </c>
      <c r="H6489" s="255">
        <v>2</v>
      </c>
      <c r="I6489" s="361">
        <v>1</v>
      </c>
      <c r="J6489" s="371" t="s">
        <v>286</v>
      </c>
      <c r="K6489" s="373"/>
      <c r="L6489" s="129"/>
      <c r="M6489" s="129"/>
      <c r="N6489" s="129"/>
      <c r="O6489" s="129"/>
      <c r="P6489" s="364"/>
      <c r="Q6489" s="364"/>
      <c r="R6489" s="129"/>
      <c r="S6489" s="129"/>
      <c r="T6489" s="129"/>
      <c r="W6489" s="129" t="s">
        <v>4876</v>
      </c>
      <c r="X6489" s="337" t="b">
        <f t="shared" si="140"/>
        <v>0</v>
      </c>
    </row>
    <row r="6490" spans="1:24" s="386" customFormat="1" ht="12" customHeight="1" outlineLevel="1">
      <c r="A6490" s="382"/>
      <c r="B6490" s="118" t="s">
        <v>12</v>
      </c>
      <c r="C6490" s="334" t="s">
        <v>15707</v>
      </c>
      <c r="D6490" s="124" t="s">
        <v>15708</v>
      </c>
      <c r="E6490" s="125"/>
      <c r="F6490" s="118" t="s">
        <v>1104</v>
      </c>
      <c r="G6490" s="126" t="s">
        <v>15326</v>
      </c>
      <c r="H6490" s="255">
        <v>2</v>
      </c>
      <c r="I6490" s="361">
        <v>1</v>
      </c>
      <c r="J6490" s="371" t="s">
        <v>286</v>
      </c>
      <c r="K6490" s="373"/>
      <c r="L6490" s="129"/>
      <c r="M6490" s="129"/>
      <c r="N6490" s="129"/>
      <c r="O6490" s="129"/>
      <c r="P6490" s="364"/>
      <c r="Q6490" s="364"/>
      <c r="R6490" s="129"/>
      <c r="S6490" s="129"/>
      <c r="T6490" s="129"/>
      <c r="W6490" s="129" t="s">
        <v>4876</v>
      </c>
      <c r="X6490" s="337" t="b">
        <f t="shared" si="140"/>
        <v>0</v>
      </c>
    </row>
    <row r="6491" spans="1:24" s="386" customFormat="1" ht="12" customHeight="1" outlineLevel="1">
      <c r="A6491" s="382"/>
      <c r="B6491" s="118" t="s">
        <v>12</v>
      </c>
      <c r="C6491" s="334" t="s">
        <v>15709</v>
      </c>
      <c r="D6491" s="124" t="s">
        <v>15710</v>
      </c>
      <c r="E6491" s="125"/>
      <c r="F6491" s="118" t="s">
        <v>1104</v>
      </c>
      <c r="G6491" s="126" t="s">
        <v>15326</v>
      </c>
      <c r="H6491" s="255">
        <v>2</v>
      </c>
      <c r="I6491" s="361">
        <v>1</v>
      </c>
      <c r="J6491" s="371" t="s">
        <v>310</v>
      </c>
      <c r="K6491" s="373"/>
      <c r="L6491" s="129"/>
      <c r="M6491" s="129"/>
      <c r="N6491" s="129"/>
      <c r="O6491" s="129"/>
      <c r="P6491" s="364"/>
      <c r="Q6491" s="364"/>
      <c r="R6491" s="129"/>
      <c r="S6491" s="129"/>
      <c r="T6491" s="129"/>
      <c r="W6491" s="129" t="s">
        <v>4876</v>
      </c>
      <c r="X6491" s="337" t="b">
        <f t="shared" si="140"/>
        <v>0</v>
      </c>
    </row>
    <row r="6492" spans="1:24" s="386" customFormat="1" ht="12" customHeight="1" outlineLevel="1">
      <c r="A6492" s="382"/>
      <c r="B6492" s="118" t="s">
        <v>12</v>
      </c>
      <c r="C6492" s="334" t="s">
        <v>15711</v>
      </c>
      <c r="D6492" s="124" t="s">
        <v>15712</v>
      </c>
      <c r="E6492" s="125"/>
      <c r="F6492" s="118" t="s">
        <v>1104</v>
      </c>
      <c r="G6492" s="126" t="s">
        <v>15326</v>
      </c>
      <c r="H6492" s="255">
        <v>2</v>
      </c>
      <c r="I6492" s="361">
        <v>1</v>
      </c>
      <c r="J6492" s="371" t="s">
        <v>286</v>
      </c>
      <c r="K6492" s="373"/>
      <c r="L6492" s="129"/>
      <c r="M6492" s="129"/>
      <c r="N6492" s="129"/>
      <c r="O6492" s="129"/>
      <c r="P6492" s="364"/>
      <c r="Q6492" s="364"/>
      <c r="R6492" s="129"/>
      <c r="S6492" s="129"/>
      <c r="T6492" s="129"/>
      <c r="W6492" s="129" t="s">
        <v>4876</v>
      </c>
      <c r="X6492" s="337" t="b">
        <f t="shared" si="140"/>
        <v>0</v>
      </c>
    </row>
    <row r="6493" spans="1:24" s="386" customFormat="1" ht="12" customHeight="1" outlineLevel="1">
      <c r="A6493" s="382"/>
      <c r="B6493" s="118" t="s">
        <v>12</v>
      </c>
      <c r="C6493" s="334" t="s">
        <v>15713</v>
      </c>
      <c r="D6493" s="124" t="s">
        <v>15714</v>
      </c>
      <c r="E6493" s="125"/>
      <c r="F6493" s="118" t="s">
        <v>1104</v>
      </c>
      <c r="G6493" s="126" t="s">
        <v>15326</v>
      </c>
      <c r="H6493" s="255">
        <v>2</v>
      </c>
      <c r="I6493" s="361">
        <v>1</v>
      </c>
      <c r="J6493" s="371" t="s">
        <v>286</v>
      </c>
      <c r="K6493" s="373"/>
      <c r="L6493" s="129"/>
      <c r="M6493" s="129"/>
      <c r="N6493" s="129"/>
      <c r="O6493" s="129"/>
      <c r="P6493" s="364"/>
      <c r="Q6493" s="364"/>
      <c r="R6493" s="129"/>
      <c r="S6493" s="129"/>
      <c r="T6493" s="129"/>
      <c r="W6493" s="129" t="s">
        <v>4876</v>
      </c>
      <c r="X6493" s="337" t="b">
        <f t="shared" si="140"/>
        <v>0</v>
      </c>
    </row>
    <row r="6494" spans="1:24" s="386" customFormat="1" ht="12" customHeight="1" outlineLevel="1">
      <c r="A6494" s="382"/>
      <c r="B6494" s="118" t="s">
        <v>12</v>
      </c>
      <c r="C6494" s="334" t="s">
        <v>15715</v>
      </c>
      <c r="D6494" s="124" t="s">
        <v>15716</v>
      </c>
      <c r="E6494" s="125"/>
      <c r="F6494" s="118" t="s">
        <v>1104</v>
      </c>
      <c r="G6494" s="126" t="s">
        <v>15326</v>
      </c>
      <c r="H6494" s="255">
        <v>2</v>
      </c>
      <c r="I6494" s="361">
        <v>1</v>
      </c>
      <c r="J6494" s="371" t="s">
        <v>286</v>
      </c>
      <c r="K6494" s="373"/>
      <c r="L6494" s="129"/>
      <c r="M6494" s="129"/>
      <c r="N6494" s="129"/>
      <c r="O6494" s="129"/>
      <c r="P6494" s="364"/>
      <c r="Q6494" s="364"/>
      <c r="R6494" s="129"/>
      <c r="S6494" s="129"/>
      <c r="T6494" s="129"/>
      <c r="W6494" s="129" t="s">
        <v>4876</v>
      </c>
      <c r="X6494" s="337" t="b">
        <f t="shared" si="140"/>
        <v>0</v>
      </c>
    </row>
    <row r="6495" spans="1:24" s="386" customFormat="1" ht="12" customHeight="1" outlineLevel="1">
      <c r="A6495" s="382"/>
      <c r="B6495" s="118" t="s">
        <v>12</v>
      </c>
      <c r="C6495" s="334" t="s">
        <v>15717</v>
      </c>
      <c r="D6495" s="124" t="s">
        <v>15718</v>
      </c>
      <c r="E6495" s="125"/>
      <c r="F6495" s="118" t="s">
        <v>1104</v>
      </c>
      <c r="G6495" s="126" t="s">
        <v>15326</v>
      </c>
      <c r="H6495" s="255">
        <v>2</v>
      </c>
      <c r="I6495" s="361">
        <v>1</v>
      </c>
      <c r="J6495" s="371" t="s">
        <v>310</v>
      </c>
      <c r="K6495" s="373"/>
      <c r="L6495" s="129"/>
      <c r="M6495" s="129"/>
      <c r="N6495" s="129"/>
      <c r="O6495" s="129"/>
      <c r="P6495" s="364"/>
      <c r="Q6495" s="364"/>
      <c r="R6495" s="129"/>
      <c r="S6495" s="129"/>
      <c r="T6495" s="129"/>
      <c r="W6495" s="129" t="s">
        <v>4876</v>
      </c>
      <c r="X6495" s="337" t="b">
        <f t="shared" si="140"/>
        <v>0</v>
      </c>
    </row>
    <row r="6496" spans="1:24" s="386" customFormat="1" ht="12" customHeight="1" outlineLevel="1">
      <c r="A6496" s="382"/>
      <c r="B6496" s="118" t="s">
        <v>12</v>
      </c>
      <c r="C6496" s="334" t="s">
        <v>15719</v>
      </c>
      <c r="D6496" s="124" t="s">
        <v>15720</v>
      </c>
      <c r="E6496" s="125"/>
      <c r="F6496" s="118" t="s">
        <v>1104</v>
      </c>
      <c r="G6496" s="126" t="s">
        <v>15326</v>
      </c>
      <c r="H6496" s="255">
        <v>2</v>
      </c>
      <c r="I6496" s="361">
        <v>1</v>
      </c>
      <c r="J6496" s="371" t="s">
        <v>307</v>
      </c>
      <c r="K6496" s="373"/>
      <c r="L6496" s="129"/>
      <c r="M6496" s="129"/>
      <c r="N6496" s="129"/>
      <c r="O6496" s="129"/>
      <c r="P6496" s="364"/>
      <c r="Q6496" s="364"/>
      <c r="R6496" s="129"/>
      <c r="S6496" s="129"/>
      <c r="T6496" s="129"/>
      <c r="W6496" s="129" t="s">
        <v>4876</v>
      </c>
      <c r="X6496" s="337" t="b">
        <f t="shared" si="140"/>
        <v>0</v>
      </c>
    </row>
    <row r="6497" spans="1:24" s="386" customFormat="1" ht="12" customHeight="1" outlineLevel="1">
      <c r="A6497" s="382"/>
      <c r="B6497" s="118" t="s">
        <v>12</v>
      </c>
      <c r="C6497" s="334" t="s">
        <v>15721</v>
      </c>
      <c r="D6497" s="124" t="s">
        <v>15722</v>
      </c>
      <c r="E6497" s="125"/>
      <c r="F6497" s="118" t="s">
        <v>1104</v>
      </c>
      <c r="G6497" s="126" t="s">
        <v>15326</v>
      </c>
      <c r="H6497" s="255">
        <v>2</v>
      </c>
      <c r="I6497" s="361">
        <v>1</v>
      </c>
      <c r="J6497" s="371" t="s">
        <v>286</v>
      </c>
      <c r="K6497" s="373"/>
      <c r="L6497" s="129"/>
      <c r="M6497" s="129"/>
      <c r="N6497" s="129"/>
      <c r="O6497" s="129"/>
      <c r="P6497" s="364"/>
      <c r="Q6497" s="364"/>
      <c r="R6497" s="129"/>
      <c r="S6497" s="129"/>
      <c r="T6497" s="129"/>
      <c r="W6497" s="129" t="s">
        <v>4876</v>
      </c>
      <c r="X6497" s="337" t="b">
        <f t="shared" si="140"/>
        <v>0</v>
      </c>
    </row>
    <row r="6498" spans="1:24" s="386" customFormat="1" ht="12" customHeight="1" outlineLevel="1">
      <c r="A6498" s="382"/>
      <c r="B6498" s="118" t="s">
        <v>12</v>
      </c>
      <c r="C6498" s="334" t="s">
        <v>15723</v>
      </c>
      <c r="D6498" s="124" t="s">
        <v>15724</v>
      </c>
      <c r="E6498" s="125"/>
      <c r="F6498" s="118" t="s">
        <v>1104</v>
      </c>
      <c r="G6498" s="126" t="s">
        <v>15326</v>
      </c>
      <c r="H6498" s="255">
        <v>2</v>
      </c>
      <c r="I6498" s="361">
        <v>1</v>
      </c>
      <c r="J6498" s="371" t="s">
        <v>286</v>
      </c>
      <c r="K6498" s="373"/>
      <c r="L6498" s="129"/>
      <c r="M6498" s="129"/>
      <c r="N6498" s="129"/>
      <c r="O6498" s="129"/>
      <c r="P6498" s="364"/>
      <c r="Q6498" s="364"/>
      <c r="R6498" s="129"/>
      <c r="S6498" s="129"/>
      <c r="T6498" s="129"/>
      <c r="W6498" s="129" t="s">
        <v>4876</v>
      </c>
      <c r="X6498" s="337" t="b">
        <f t="shared" si="140"/>
        <v>0</v>
      </c>
    </row>
    <row r="6499" spans="1:24" s="386" customFormat="1" ht="12" customHeight="1" outlineLevel="1">
      <c r="A6499" s="382"/>
      <c r="B6499" s="118" t="s">
        <v>12</v>
      </c>
      <c r="C6499" s="334" t="s">
        <v>15725</v>
      </c>
      <c r="D6499" s="124" t="s">
        <v>15726</v>
      </c>
      <c r="E6499" s="125"/>
      <c r="F6499" s="118" t="s">
        <v>1104</v>
      </c>
      <c r="G6499" s="126" t="s">
        <v>15326</v>
      </c>
      <c r="H6499" s="255">
        <v>2</v>
      </c>
      <c r="I6499" s="361">
        <v>1</v>
      </c>
      <c r="J6499" s="371" t="s">
        <v>286</v>
      </c>
      <c r="K6499" s="373"/>
      <c r="L6499" s="129"/>
      <c r="M6499" s="129"/>
      <c r="N6499" s="129"/>
      <c r="O6499" s="129"/>
      <c r="P6499" s="364"/>
      <c r="Q6499" s="364"/>
      <c r="R6499" s="129"/>
      <c r="S6499" s="129"/>
      <c r="T6499" s="129"/>
      <c r="W6499" s="129" t="s">
        <v>4876</v>
      </c>
      <c r="X6499" s="337" t="b">
        <f t="shared" si="140"/>
        <v>0</v>
      </c>
    </row>
    <row r="6500" spans="1:24" s="386" customFormat="1" ht="12" customHeight="1" outlineLevel="1">
      <c r="A6500" s="382"/>
      <c r="B6500" s="118" t="s">
        <v>12</v>
      </c>
      <c r="C6500" s="334" t="s">
        <v>15727</v>
      </c>
      <c r="D6500" s="124" t="s">
        <v>15728</v>
      </c>
      <c r="E6500" s="125"/>
      <c r="F6500" s="118" t="s">
        <v>1104</v>
      </c>
      <c r="G6500" s="126" t="s">
        <v>15326</v>
      </c>
      <c r="H6500" s="255">
        <v>2</v>
      </c>
      <c r="I6500" s="361">
        <v>1</v>
      </c>
      <c r="J6500" s="371" t="s">
        <v>286</v>
      </c>
      <c r="K6500" s="373"/>
      <c r="L6500" s="129"/>
      <c r="M6500" s="129"/>
      <c r="N6500" s="129"/>
      <c r="O6500" s="129"/>
      <c r="P6500" s="364"/>
      <c r="Q6500" s="364"/>
      <c r="R6500" s="129"/>
      <c r="S6500" s="129"/>
      <c r="T6500" s="129"/>
      <c r="W6500" s="129" t="s">
        <v>4876</v>
      </c>
      <c r="X6500" s="337" t="b">
        <f t="shared" si="140"/>
        <v>0</v>
      </c>
    </row>
    <row r="6501" spans="1:24" s="386" customFormat="1" ht="12" customHeight="1" outlineLevel="1">
      <c r="A6501" s="382"/>
      <c r="B6501" s="118" t="s">
        <v>12</v>
      </c>
      <c r="C6501" s="334" t="s">
        <v>15729</v>
      </c>
      <c r="D6501" s="124" t="s">
        <v>15730</v>
      </c>
      <c r="E6501" s="125"/>
      <c r="F6501" s="118" t="s">
        <v>1104</v>
      </c>
      <c r="G6501" s="126" t="s">
        <v>15326</v>
      </c>
      <c r="H6501" s="255">
        <v>2</v>
      </c>
      <c r="I6501" s="361">
        <v>1</v>
      </c>
      <c r="J6501" s="371" t="s">
        <v>286</v>
      </c>
      <c r="K6501" s="373"/>
      <c r="L6501" s="129"/>
      <c r="M6501" s="129"/>
      <c r="N6501" s="129"/>
      <c r="O6501" s="129"/>
      <c r="P6501" s="364"/>
      <c r="Q6501" s="364"/>
      <c r="R6501" s="129"/>
      <c r="S6501" s="129"/>
      <c r="T6501" s="129"/>
      <c r="W6501" s="129" t="s">
        <v>4876</v>
      </c>
      <c r="X6501" s="337" t="b">
        <f t="shared" si="140"/>
        <v>0</v>
      </c>
    </row>
    <row r="6502" spans="1:24" s="386" customFormat="1" ht="12" customHeight="1" outlineLevel="1">
      <c r="A6502" s="382"/>
      <c r="B6502" s="118" t="s">
        <v>12</v>
      </c>
      <c r="C6502" s="334" t="s">
        <v>15731</v>
      </c>
      <c r="D6502" s="124" t="s">
        <v>15732</v>
      </c>
      <c r="E6502" s="125"/>
      <c r="F6502" s="118" t="s">
        <v>1104</v>
      </c>
      <c r="G6502" s="126" t="s">
        <v>15326</v>
      </c>
      <c r="H6502" s="255">
        <v>2</v>
      </c>
      <c r="I6502" s="361">
        <v>1</v>
      </c>
      <c r="J6502" s="371" t="s">
        <v>286</v>
      </c>
      <c r="K6502" s="373"/>
      <c r="L6502" s="129"/>
      <c r="M6502" s="129"/>
      <c r="N6502" s="129"/>
      <c r="O6502" s="129"/>
      <c r="P6502" s="364"/>
      <c r="Q6502" s="364"/>
      <c r="R6502" s="129"/>
      <c r="S6502" s="129"/>
      <c r="T6502" s="129"/>
      <c r="W6502" s="129" t="s">
        <v>286</v>
      </c>
      <c r="X6502" s="337" t="b">
        <f t="shared" si="140"/>
        <v>1</v>
      </c>
    </row>
    <row r="6503" spans="1:24" s="386" customFormat="1" ht="12" customHeight="1" outlineLevel="1">
      <c r="A6503" s="382"/>
      <c r="B6503" s="118" t="s">
        <v>12</v>
      </c>
      <c r="C6503" s="334" t="s">
        <v>15733</v>
      </c>
      <c r="D6503" s="124" t="s">
        <v>15734</v>
      </c>
      <c r="E6503" s="125"/>
      <c r="F6503" s="118" t="s">
        <v>1104</v>
      </c>
      <c r="G6503" s="126" t="s">
        <v>15326</v>
      </c>
      <c r="H6503" s="255">
        <v>2</v>
      </c>
      <c r="I6503" s="361">
        <v>1</v>
      </c>
      <c r="J6503" s="371" t="s">
        <v>310</v>
      </c>
      <c r="K6503" s="373"/>
      <c r="L6503" s="129"/>
      <c r="M6503" s="129"/>
      <c r="N6503" s="129"/>
      <c r="O6503" s="129"/>
      <c r="P6503" s="364"/>
      <c r="Q6503" s="364"/>
      <c r="R6503" s="129"/>
      <c r="S6503" s="129"/>
      <c r="T6503" s="129"/>
      <c r="W6503" s="129" t="s">
        <v>310</v>
      </c>
      <c r="X6503" s="337" t="b">
        <f t="shared" si="140"/>
        <v>1</v>
      </c>
    </row>
    <row r="6504" spans="1:24" s="386" customFormat="1" ht="12" customHeight="1" outlineLevel="1">
      <c r="A6504" s="382"/>
      <c r="B6504" s="118" t="s">
        <v>12</v>
      </c>
      <c r="C6504" s="334" t="s">
        <v>15735</v>
      </c>
      <c r="D6504" s="124" t="s">
        <v>15736</v>
      </c>
      <c r="E6504" s="125"/>
      <c r="F6504" s="118" t="s">
        <v>1104</v>
      </c>
      <c r="G6504" s="126" t="s">
        <v>15326</v>
      </c>
      <c r="H6504" s="255">
        <v>2</v>
      </c>
      <c r="I6504" s="361">
        <v>1</v>
      </c>
      <c r="J6504" s="371" t="s">
        <v>310</v>
      </c>
      <c r="K6504" s="373"/>
      <c r="L6504" s="129"/>
      <c r="M6504" s="129"/>
      <c r="N6504" s="129"/>
      <c r="O6504" s="129"/>
      <c r="P6504" s="364"/>
      <c r="Q6504" s="364"/>
      <c r="R6504" s="129"/>
      <c r="S6504" s="129"/>
      <c r="T6504" s="129"/>
      <c r="W6504" s="129" t="s">
        <v>310</v>
      </c>
      <c r="X6504" s="337" t="b">
        <f t="shared" si="140"/>
        <v>1</v>
      </c>
    </row>
    <row r="6505" spans="1:24" s="386" customFormat="1" ht="12" customHeight="1" outlineLevel="1">
      <c r="A6505" s="382"/>
      <c r="B6505" s="118" t="s">
        <v>12</v>
      </c>
      <c r="C6505" s="334" t="s">
        <v>15737</v>
      </c>
      <c r="D6505" s="124" t="s">
        <v>15738</v>
      </c>
      <c r="E6505" s="125"/>
      <c r="F6505" s="118" t="s">
        <v>1104</v>
      </c>
      <c r="G6505" s="126" t="s">
        <v>15326</v>
      </c>
      <c r="H6505" s="255">
        <v>2</v>
      </c>
      <c r="I6505" s="361">
        <v>1</v>
      </c>
      <c r="J6505" s="371" t="s">
        <v>286</v>
      </c>
      <c r="K6505" s="373"/>
      <c r="L6505" s="129"/>
      <c r="M6505" s="129"/>
      <c r="N6505" s="129"/>
      <c r="O6505" s="129"/>
      <c r="P6505" s="364"/>
      <c r="Q6505" s="364"/>
      <c r="R6505" s="129"/>
      <c r="S6505" s="129"/>
      <c r="T6505" s="129"/>
      <c r="W6505" s="129" t="s">
        <v>286</v>
      </c>
      <c r="X6505" s="337" t="b">
        <f t="shared" si="140"/>
        <v>1</v>
      </c>
    </row>
    <row r="6506" spans="1:24" s="386" customFormat="1" ht="12" customHeight="1" outlineLevel="1">
      <c r="A6506" s="382"/>
      <c r="B6506" s="118" t="s">
        <v>12</v>
      </c>
      <c r="C6506" s="334" t="s">
        <v>15739</v>
      </c>
      <c r="D6506" s="124" t="s">
        <v>15740</v>
      </c>
      <c r="E6506" s="125"/>
      <c r="F6506" s="118" t="s">
        <v>1104</v>
      </c>
      <c r="G6506" s="126" t="s">
        <v>15326</v>
      </c>
      <c r="H6506" s="255">
        <v>2</v>
      </c>
      <c r="I6506" s="361">
        <v>1</v>
      </c>
      <c r="J6506" s="371" t="s">
        <v>310</v>
      </c>
      <c r="K6506" s="373"/>
      <c r="L6506" s="129"/>
      <c r="M6506" s="129"/>
      <c r="N6506" s="129"/>
      <c r="O6506" s="129"/>
      <c r="P6506" s="364"/>
      <c r="Q6506" s="364"/>
      <c r="R6506" s="129"/>
      <c r="S6506" s="129"/>
      <c r="T6506" s="129"/>
      <c r="W6506" s="129" t="s">
        <v>286</v>
      </c>
      <c r="X6506" s="337" t="b">
        <f t="shared" si="140"/>
        <v>0</v>
      </c>
    </row>
    <row r="6507" spans="1:24" s="386" customFormat="1" ht="12" customHeight="1" outlineLevel="1">
      <c r="A6507" s="382"/>
      <c r="B6507" s="118" t="s">
        <v>12</v>
      </c>
      <c r="C6507" s="334" t="s">
        <v>15741</v>
      </c>
      <c r="D6507" s="124" t="s">
        <v>15742</v>
      </c>
      <c r="E6507" s="125"/>
      <c r="F6507" s="118" t="s">
        <v>1104</v>
      </c>
      <c r="G6507" s="126" t="s">
        <v>15326</v>
      </c>
      <c r="H6507" s="255">
        <v>2</v>
      </c>
      <c r="I6507" s="361">
        <v>1</v>
      </c>
      <c r="J6507" s="371" t="s">
        <v>310</v>
      </c>
      <c r="K6507" s="373"/>
      <c r="L6507" s="129"/>
      <c r="M6507" s="129"/>
      <c r="N6507" s="129"/>
      <c r="O6507" s="129"/>
      <c r="P6507" s="364"/>
      <c r="Q6507" s="364"/>
      <c r="R6507" s="129"/>
      <c r="S6507" s="129"/>
      <c r="T6507" s="129"/>
      <c r="W6507" s="129" t="s">
        <v>286</v>
      </c>
      <c r="X6507" s="337" t="b">
        <f t="shared" si="140"/>
        <v>0</v>
      </c>
    </row>
    <row r="6508" spans="1:24" s="386" customFormat="1" ht="12" customHeight="1" outlineLevel="1">
      <c r="A6508" s="382"/>
      <c r="B6508" s="118" t="s">
        <v>12</v>
      </c>
      <c r="C6508" s="334" t="s">
        <v>15743</v>
      </c>
      <c r="D6508" s="124" t="s">
        <v>15744</v>
      </c>
      <c r="E6508" s="125"/>
      <c r="F6508" s="118" t="s">
        <v>1104</v>
      </c>
      <c r="G6508" s="126" t="s">
        <v>15326</v>
      </c>
      <c r="H6508" s="255">
        <v>2</v>
      </c>
      <c r="I6508" s="361">
        <v>1</v>
      </c>
      <c r="J6508" s="371" t="s">
        <v>310</v>
      </c>
      <c r="K6508" s="373"/>
      <c r="L6508" s="129"/>
      <c r="M6508" s="129"/>
      <c r="N6508" s="129"/>
      <c r="O6508" s="129"/>
      <c r="P6508" s="364"/>
      <c r="Q6508" s="364"/>
      <c r="R6508" s="129"/>
      <c r="S6508" s="129"/>
      <c r="T6508" s="129"/>
      <c r="W6508" s="129" t="s">
        <v>310</v>
      </c>
      <c r="X6508" s="337" t="b">
        <f t="shared" si="140"/>
        <v>1</v>
      </c>
    </row>
    <row r="6509" spans="1:24" s="386" customFormat="1" ht="12" customHeight="1" outlineLevel="1">
      <c r="A6509" s="382"/>
      <c r="B6509" s="118" t="s">
        <v>12</v>
      </c>
      <c r="C6509" s="334" t="s">
        <v>15745</v>
      </c>
      <c r="D6509" s="124" t="s">
        <v>15746</v>
      </c>
      <c r="E6509" s="125"/>
      <c r="F6509" s="118" t="s">
        <v>1104</v>
      </c>
      <c r="G6509" s="126" t="s">
        <v>15326</v>
      </c>
      <c r="H6509" s="255">
        <v>2</v>
      </c>
      <c r="I6509" s="361">
        <v>1</v>
      </c>
      <c r="J6509" s="371" t="s">
        <v>310</v>
      </c>
      <c r="K6509" s="373"/>
      <c r="L6509" s="129"/>
      <c r="M6509" s="129"/>
      <c r="N6509" s="129"/>
      <c r="O6509" s="129"/>
      <c r="P6509" s="364"/>
      <c r="Q6509" s="364"/>
      <c r="R6509" s="129"/>
      <c r="S6509" s="129"/>
      <c r="T6509" s="129"/>
      <c r="W6509" s="129" t="s">
        <v>310</v>
      </c>
      <c r="X6509" s="337" t="b">
        <f t="shared" si="140"/>
        <v>1</v>
      </c>
    </row>
    <row r="6510" spans="1:24" s="386" customFormat="1" ht="12" customHeight="1" outlineLevel="1">
      <c r="A6510" s="382"/>
      <c r="B6510" s="118" t="s">
        <v>12</v>
      </c>
      <c r="C6510" s="334" t="s">
        <v>15747</v>
      </c>
      <c r="D6510" s="124" t="s">
        <v>15748</v>
      </c>
      <c r="E6510" s="125"/>
      <c r="F6510" s="118" t="s">
        <v>1104</v>
      </c>
      <c r="G6510" s="126" t="s">
        <v>15326</v>
      </c>
      <c r="H6510" s="255">
        <v>2</v>
      </c>
      <c r="I6510" s="361">
        <v>1</v>
      </c>
      <c r="J6510" s="371" t="s">
        <v>307</v>
      </c>
      <c r="K6510" s="373"/>
      <c r="L6510" s="129"/>
      <c r="M6510" s="129"/>
      <c r="N6510" s="129"/>
      <c r="O6510" s="129"/>
      <c r="P6510" s="364"/>
      <c r="Q6510" s="364"/>
      <c r="R6510" s="129"/>
      <c r="S6510" s="129"/>
      <c r="T6510" s="129"/>
      <c r="W6510" s="129" t="s">
        <v>307</v>
      </c>
      <c r="X6510" s="337" t="b">
        <f t="shared" si="140"/>
        <v>1</v>
      </c>
    </row>
    <row r="6511" spans="1:24" s="386" customFormat="1" ht="12" customHeight="1" outlineLevel="1">
      <c r="A6511" s="382"/>
      <c r="B6511" s="118" t="s">
        <v>12</v>
      </c>
      <c r="C6511" s="334" t="s">
        <v>15749</v>
      </c>
      <c r="D6511" s="124" t="s">
        <v>15750</v>
      </c>
      <c r="E6511" s="125"/>
      <c r="F6511" s="118" t="s">
        <v>1104</v>
      </c>
      <c r="G6511" s="126" t="s">
        <v>15326</v>
      </c>
      <c r="H6511" s="255">
        <v>2</v>
      </c>
      <c r="I6511" s="361">
        <v>1</v>
      </c>
      <c r="J6511" s="371" t="s">
        <v>310</v>
      </c>
      <c r="K6511" s="373"/>
      <c r="L6511" s="129"/>
      <c r="M6511" s="129"/>
      <c r="N6511" s="129"/>
      <c r="O6511" s="129"/>
      <c r="P6511" s="364"/>
      <c r="Q6511" s="364"/>
      <c r="R6511" s="129"/>
      <c r="S6511" s="129"/>
      <c r="T6511" s="129"/>
      <c r="W6511" s="129" t="s">
        <v>310</v>
      </c>
      <c r="X6511" s="337" t="b">
        <f t="shared" si="140"/>
        <v>1</v>
      </c>
    </row>
    <row r="6512" spans="1:24" s="386" customFormat="1" ht="12" customHeight="1" outlineLevel="1">
      <c r="A6512" s="382"/>
      <c r="B6512" s="118" t="s">
        <v>12</v>
      </c>
      <c r="C6512" s="334" t="s">
        <v>15751</v>
      </c>
      <c r="D6512" s="124" t="s">
        <v>15752</v>
      </c>
      <c r="E6512" s="125"/>
      <c r="F6512" s="118" t="s">
        <v>1104</v>
      </c>
      <c r="G6512" s="126" t="s">
        <v>15326</v>
      </c>
      <c r="H6512" s="255">
        <v>2</v>
      </c>
      <c r="I6512" s="361">
        <v>1</v>
      </c>
      <c r="J6512" s="371" t="s">
        <v>310</v>
      </c>
      <c r="K6512" s="373"/>
      <c r="L6512" s="129"/>
      <c r="M6512" s="129"/>
      <c r="N6512" s="129"/>
      <c r="O6512" s="129"/>
      <c r="P6512" s="364"/>
      <c r="Q6512" s="364"/>
      <c r="R6512" s="129"/>
      <c r="S6512" s="129"/>
      <c r="T6512" s="129"/>
      <c r="W6512" s="129" t="s">
        <v>310</v>
      </c>
      <c r="X6512" s="337" t="b">
        <f t="shared" si="140"/>
        <v>1</v>
      </c>
    </row>
    <row r="6513" spans="1:24" s="386" customFormat="1" ht="12" customHeight="1" outlineLevel="1">
      <c r="A6513" s="382"/>
      <c r="B6513" s="118" t="s">
        <v>12</v>
      </c>
      <c r="C6513" s="334" t="s">
        <v>15753</v>
      </c>
      <c r="D6513" s="124" t="s">
        <v>15754</v>
      </c>
      <c r="E6513" s="125"/>
      <c r="F6513" s="118" t="s">
        <v>1104</v>
      </c>
      <c r="G6513" s="126" t="s">
        <v>15326</v>
      </c>
      <c r="H6513" s="255">
        <v>2</v>
      </c>
      <c r="I6513" s="361">
        <v>1</v>
      </c>
      <c r="J6513" s="371" t="s">
        <v>286</v>
      </c>
      <c r="K6513" s="373"/>
      <c r="L6513" s="129"/>
      <c r="M6513" s="129"/>
      <c r="N6513" s="129"/>
      <c r="O6513" s="129"/>
      <c r="P6513" s="364"/>
      <c r="Q6513" s="364"/>
      <c r="R6513" s="129"/>
      <c r="S6513" s="129"/>
      <c r="T6513" s="129"/>
      <c r="W6513" s="129" t="s">
        <v>286</v>
      </c>
      <c r="X6513" s="337" t="b">
        <f t="shared" si="140"/>
        <v>1</v>
      </c>
    </row>
    <row r="6514" spans="1:24" s="386" customFormat="1" ht="12" customHeight="1" outlineLevel="1">
      <c r="A6514" s="382"/>
      <c r="B6514" s="118" t="s">
        <v>12</v>
      </c>
      <c r="C6514" s="334" t="s">
        <v>15755</v>
      </c>
      <c r="D6514" s="124" t="s">
        <v>15756</v>
      </c>
      <c r="E6514" s="125"/>
      <c r="F6514" s="118" t="s">
        <v>1104</v>
      </c>
      <c r="G6514" s="126" t="s">
        <v>15326</v>
      </c>
      <c r="H6514" s="255">
        <v>2</v>
      </c>
      <c r="I6514" s="361">
        <v>1</v>
      </c>
      <c r="J6514" s="371" t="s">
        <v>286</v>
      </c>
      <c r="K6514" s="373"/>
      <c r="L6514" s="129"/>
      <c r="M6514" s="129"/>
      <c r="N6514" s="129"/>
      <c r="O6514" s="129"/>
      <c r="P6514" s="364"/>
      <c r="Q6514" s="364"/>
      <c r="R6514" s="129"/>
      <c r="S6514" s="129"/>
      <c r="T6514" s="129"/>
      <c r="W6514" s="129" t="s">
        <v>286</v>
      </c>
      <c r="X6514" s="337" t="b">
        <f t="shared" si="140"/>
        <v>1</v>
      </c>
    </row>
    <row r="6515" spans="1:24" s="386" customFormat="1" ht="12" customHeight="1" outlineLevel="1">
      <c r="A6515" s="382"/>
      <c r="B6515" s="118" t="s">
        <v>12</v>
      </c>
      <c r="C6515" s="334" t="s">
        <v>15757</v>
      </c>
      <c r="D6515" s="124" t="s">
        <v>15758</v>
      </c>
      <c r="E6515" s="125"/>
      <c r="F6515" s="118" t="s">
        <v>1104</v>
      </c>
      <c r="G6515" s="126" t="s">
        <v>15326</v>
      </c>
      <c r="H6515" s="255">
        <v>2</v>
      </c>
      <c r="I6515" s="361">
        <v>1</v>
      </c>
      <c r="J6515" s="371" t="s">
        <v>286</v>
      </c>
      <c r="K6515" s="373"/>
      <c r="L6515" s="129"/>
      <c r="M6515" s="129"/>
      <c r="N6515" s="129"/>
      <c r="O6515" s="129"/>
      <c r="P6515" s="364"/>
      <c r="Q6515" s="364"/>
      <c r="R6515" s="129"/>
      <c r="S6515" s="129"/>
      <c r="T6515" s="129"/>
      <c r="W6515" s="129" t="s">
        <v>286</v>
      </c>
      <c r="X6515" s="337" t="b">
        <f t="shared" si="140"/>
        <v>1</v>
      </c>
    </row>
    <row r="6516" spans="1:24" s="386" customFormat="1" ht="12" customHeight="1" outlineLevel="1">
      <c r="A6516" s="382"/>
      <c r="B6516" s="118" t="s">
        <v>12</v>
      </c>
      <c r="C6516" s="334" t="s">
        <v>15759</v>
      </c>
      <c r="D6516" s="124" t="s">
        <v>15760</v>
      </c>
      <c r="E6516" s="125"/>
      <c r="F6516" s="118" t="s">
        <v>1104</v>
      </c>
      <c r="G6516" s="126" t="s">
        <v>15326</v>
      </c>
      <c r="H6516" s="255">
        <v>2</v>
      </c>
      <c r="I6516" s="361">
        <v>1</v>
      </c>
      <c r="J6516" s="371" t="s">
        <v>286</v>
      </c>
      <c r="K6516" s="373"/>
      <c r="L6516" s="129"/>
      <c r="M6516" s="129"/>
      <c r="N6516" s="129"/>
      <c r="O6516" s="129"/>
      <c r="P6516" s="364"/>
      <c r="Q6516" s="364"/>
      <c r="R6516" s="129"/>
      <c r="S6516" s="129"/>
      <c r="T6516" s="129"/>
      <c r="W6516" s="129" t="s">
        <v>286</v>
      </c>
      <c r="X6516" s="337" t="b">
        <f t="shared" si="140"/>
        <v>1</v>
      </c>
    </row>
    <row r="6517" spans="1:24" s="386" customFormat="1" ht="12" customHeight="1" outlineLevel="1">
      <c r="A6517" s="382"/>
      <c r="B6517" s="118" t="s">
        <v>12</v>
      </c>
      <c r="C6517" s="334" t="s">
        <v>15761</v>
      </c>
      <c r="D6517" s="124" t="s">
        <v>15762</v>
      </c>
      <c r="E6517" s="125"/>
      <c r="F6517" s="118" t="s">
        <v>1104</v>
      </c>
      <c r="G6517" s="126" t="s">
        <v>15326</v>
      </c>
      <c r="H6517" s="255">
        <v>2</v>
      </c>
      <c r="I6517" s="361">
        <v>1</v>
      </c>
      <c r="J6517" s="371" t="s">
        <v>286</v>
      </c>
      <c r="K6517" s="373"/>
      <c r="L6517" s="129"/>
      <c r="M6517" s="129"/>
      <c r="N6517" s="129"/>
      <c r="O6517" s="129"/>
      <c r="P6517" s="364"/>
      <c r="Q6517" s="364"/>
      <c r="R6517" s="129"/>
      <c r="S6517" s="129"/>
      <c r="T6517" s="129"/>
      <c r="W6517" s="129" t="s">
        <v>286</v>
      </c>
      <c r="X6517" s="337" t="b">
        <f t="shared" si="140"/>
        <v>1</v>
      </c>
    </row>
    <row r="6518" spans="1:24" s="386" customFormat="1" ht="12" customHeight="1" outlineLevel="1">
      <c r="A6518" s="382"/>
      <c r="B6518" s="118" t="s">
        <v>12</v>
      </c>
      <c r="C6518" s="334" t="s">
        <v>15763</v>
      </c>
      <c r="D6518" s="124" t="s">
        <v>15764</v>
      </c>
      <c r="E6518" s="125"/>
      <c r="F6518" s="118" t="s">
        <v>1104</v>
      </c>
      <c r="G6518" s="126" t="s">
        <v>15326</v>
      </c>
      <c r="H6518" s="255">
        <v>2</v>
      </c>
      <c r="I6518" s="361">
        <v>1</v>
      </c>
      <c r="J6518" s="371" t="s">
        <v>286</v>
      </c>
      <c r="K6518" s="373"/>
      <c r="L6518" s="129"/>
      <c r="M6518" s="129"/>
      <c r="N6518" s="129"/>
      <c r="O6518" s="129"/>
      <c r="P6518" s="364"/>
      <c r="Q6518" s="364"/>
      <c r="R6518" s="129"/>
      <c r="S6518" s="129"/>
      <c r="T6518" s="129"/>
      <c r="W6518" s="129" t="s">
        <v>286</v>
      </c>
      <c r="X6518" s="337" t="b">
        <f t="shared" si="140"/>
        <v>1</v>
      </c>
    </row>
    <row r="6519" spans="1:24" s="386" customFormat="1" ht="12" customHeight="1" outlineLevel="1">
      <c r="A6519" s="382"/>
      <c r="B6519" s="118" t="s">
        <v>12</v>
      </c>
      <c r="C6519" s="334" t="s">
        <v>15765</v>
      </c>
      <c r="D6519" s="124" t="s">
        <v>15766</v>
      </c>
      <c r="E6519" s="125"/>
      <c r="F6519" s="118" t="s">
        <v>1104</v>
      </c>
      <c r="G6519" s="126" t="s">
        <v>15326</v>
      </c>
      <c r="H6519" s="255">
        <v>2</v>
      </c>
      <c r="I6519" s="361">
        <v>1</v>
      </c>
      <c r="J6519" s="371" t="s">
        <v>286</v>
      </c>
      <c r="K6519" s="373"/>
      <c r="L6519" s="129"/>
      <c r="M6519" s="129"/>
      <c r="N6519" s="129"/>
      <c r="O6519" s="129"/>
      <c r="P6519" s="364"/>
      <c r="Q6519" s="364"/>
      <c r="R6519" s="129"/>
      <c r="S6519" s="129"/>
      <c r="T6519" s="129"/>
      <c r="W6519" s="129" t="s">
        <v>286</v>
      </c>
      <c r="X6519" s="337" t="b">
        <f t="shared" si="140"/>
        <v>1</v>
      </c>
    </row>
    <row r="6520" spans="1:24" s="386" customFormat="1" ht="12" customHeight="1" outlineLevel="1">
      <c r="A6520" s="382"/>
      <c r="B6520" s="118" t="s">
        <v>12</v>
      </c>
      <c r="C6520" s="334" t="s">
        <v>15767</v>
      </c>
      <c r="D6520" s="124" t="s">
        <v>15768</v>
      </c>
      <c r="E6520" s="125"/>
      <c r="F6520" s="118" t="s">
        <v>1104</v>
      </c>
      <c r="G6520" s="126" t="s">
        <v>15326</v>
      </c>
      <c r="H6520" s="255">
        <v>2</v>
      </c>
      <c r="I6520" s="361">
        <v>1</v>
      </c>
      <c r="J6520" s="371" t="s">
        <v>286</v>
      </c>
      <c r="K6520" s="373"/>
      <c r="L6520" s="129"/>
      <c r="M6520" s="129"/>
      <c r="N6520" s="129"/>
      <c r="O6520" s="129"/>
      <c r="P6520" s="364"/>
      <c r="Q6520" s="364"/>
      <c r="R6520" s="129"/>
      <c r="S6520" s="129"/>
      <c r="T6520" s="129"/>
      <c r="W6520" s="129" t="s">
        <v>286</v>
      </c>
      <c r="X6520" s="337" t="b">
        <f t="shared" si="140"/>
        <v>1</v>
      </c>
    </row>
    <row r="6521" spans="1:24" s="386" customFormat="1" ht="12" customHeight="1" outlineLevel="1">
      <c r="A6521" s="382"/>
      <c r="B6521" s="118" t="s">
        <v>12</v>
      </c>
      <c r="C6521" s="334" t="s">
        <v>15769</v>
      </c>
      <c r="D6521" s="124" t="s">
        <v>15770</v>
      </c>
      <c r="E6521" s="125"/>
      <c r="F6521" s="118" t="s">
        <v>1104</v>
      </c>
      <c r="G6521" s="126" t="s">
        <v>15326</v>
      </c>
      <c r="H6521" s="255">
        <v>2</v>
      </c>
      <c r="I6521" s="361">
        <v>1</v>
      </c>
      <c r="J6521" s="371" t="s">
        <v>286</v>
      </c>
      <c r="K6521" s="373"/>
      <c r="L6521" s="129"/>
      <c r="M6521" s="129"/>
      <c r="N6521" s="129"/>
      <c r="O6521" s="129"/>
      <c r="P6521" s="364"/>
      <c r="Q6521" s="364"/>
      <c r="R6521" s="129"/>
      <c r="S6521" s="129"/>
      <c r="T6521" s="129"/>
      <c r="W6521" s="129" t="s">
        <v>286</v>
      </c>
      <c r="X6521" s="337" t="b">
        <f t="shared" si="140"/>
        <v>1</v>
      </c>
    </row>
    <row r="6522" spans="1:24" s="386" customFormat="1" ht="12" customHeight="1" outlineLevel="1">
      <c r="A6522" s="382"/>
      <c r="B6522" s="118" t="s">
        <v>12</v>
      </c>
      <c r="C6522" s="334" t="s">
        <v>15771</v>
      </c>
      <c r="D6522" s="124" t="s">
        <v>15772</v>
      </c>
      <c r="E6522" s="125"/>
      <c r="F6522" s="118" t="s">
        <v>1104</v>
      </c>
      <c r="G6522" s="126" t="s">
        <v>15326</v>
      </c>
      <c r="H6522" s="255">
        <v>2</v>
      </c>
      <c r="I6522" s="361">
        <v>1</v>
      </c>
      <c r="J6522" s="371" t="s">
        <v>286</v>
      </c>
      <c r="K6522" s="373"/>
      <c r="L6522" s="129"/>
      <c r="M6522" s="129"/>
      <c r="N6522" s="129"/>
      <c r="O6522" s="129"/>
      <c r="P6522" s="364"/>
      <c r="Q6522" s="364"/>
      <c r="R6522" s="129"/>
      <c r="S6522" s="129"/>
      <c r="T6522" s="129"/>
      <c r="W6522" s="129" t="s">
        <v>286</v>
      </c>
      <c r="X6522" s="337" t="b">
        <f t="shared" si="140"/>
        <v>1</v>
      </c>
    </row>
    <row r="6523" spans="1:24" s="386" customFormat="1" ht="12" customHeight="1" outlineLevel="1">
      <c r="A6523" s="382"/>
      <c r="B6523" s="118" t="s">
        <v>12</v>
      </c>
      <c r="C6523" s="334" t="s">
        <v>15773</v>
      </c>
      <c r="D6523" s="124" t="s">
        <v>15774</v>
      </c>
      <c r="E6523" s="125"/>
      <c r="F6523" s="118" t="s">
        <v>1104</v>
      </c>
      <c r="G6523" s="126" t="s">
        <v>15326</v>
      </c>
      <c r="H6523" s="255">
        <v>2</v>
      </c>
      <c r="I6523" s="361">
        <v>1</v>
      </c>
      <c r="J6523" s="371" t="s">
        <v>286</v>
      </c>
      <c r="K6523" s="373"/>
      <c r="L6523" s="129"/>
      <c r="M6523" s="129"/>
      <c r="N6523" s="129"/>
      <c r="O6523" s="129"/>
      <c r="P6523" s="364"/>
      <c r="Q6523" s="364"/>
      <c r="R6523" s="129"/>
      <c r="S6523" s="129"/>
      <c r="T6523" s="129"/>
      <c r="W6523" s="129" t="s">
        <v>286</v>
      </c>
      <c r="X6523" s="337" t="b">
        <f t="shared" si="140"/>
        <v>1</v>
      </c>
    </row>
    <row r="6524" spans="1:24" s="386" customFormat="1" ht="12" customHeight="1" outlineLevel="1">
      <c r="A6524" s="382"/>
      <c r="B6524" s="118" t="s">
        <v>12</v>
      </c>
      <c r="C6524" s="334" t="s">
        <v>15775</v>
      </c>
      <c r="D6524" s="124" t="s">
        <v>15776</v>
      </c>
      <c r="E6524" s="125"/>
      <c r="F6524" s="118" t="s">
        <v>1104</v>
      </c>
      <c r="G6524" s="126" t="s">
        <v>15326</v>
      </c>
      <c r="H6524" s="255">
        <v>2</v>
      </c>
      <c r="I6524" s="361">
        <v>1</v>
      </c>
      <c r="J6524" s="371" t="s">
        <v>286</v>
      </c>
      <c r="K6524" s="373"/>
      <c r="L6524" s="129"/>
      <c r="M6524" s="129"/>
      <c r="N6524" s="129"/>
      <c r="O6524" s="129"/>
      <c r="P6524" s="364"/>
      <c r="Q6524" s="364"/>
      <c r="R6524" s="129"/>
      <c r="S6524" s="129"/>
      <c r="T6524" s="129"/>
      <c r="W6524" s="129" t="s">
        <v>286</v>
      </c>
      <c r="X6524" s="337" t="b">
        <f t="shared" si="140"/>
        <v>1</v>
      </c>
    </row>
    <row r="6525" spans="1:24" s="386" customFormat="1" ht="12" customHeight="1" outlineLevel="1">
      <c r="A6525" s="382"/>
      <c r="B6525" s="118" t="s">
        <v>12</v>
      </c>
      <c r="C6525" s="334" t="s">
        <v>15777</v>
      </c>
      <c r="D6525" s="124" t="s">
        <v>15778</v>
      </c>
      <c r="E6525" s="125"/>
      <c r="F6525" s="118" t="s">
        <v>1104</v>
      </c>
      <c r="G6525" s="126" t="s">
        <v>15326</v>
      </c>
      <c r="H6525" s="255">
        <v>2</v>
      </c>
      <c r="I6525" s="361">
        <v>1</v>
      </c>
      <c r="J6525" s="371" t="s">
        <v>286</v>
      </c>
      <c r="K6525" s="373"/>
      <c r="L6525" s="129"/>
      <c r="M6525" s="129"/>
      <c r="N6525" s="129"/>
      <c r="O6525" s="129"/>
      <c r="P6525" s="364"/>
      <c r="Q6525" s="364"/>
      <c r="R6525" s="129"/>
      <c r="S6525" s="129"/>
      <c r="T6525" s="129"/>
      <c r="W6525" s="129" t="s">
        <v>286</v>
      </c>
      <c r="X6525" s="337" t="b">
        <f t="shared" si="140"/>
        <v>1</v>
      </c>
    </row>
    <row r="6526" spans="1:24" s="386" customFormat="1" ht="12" customHeight="1" outlineLevel="1">
      <c r="A6526" s="382"/>
      <c r="B6526" s="118" t="s">
        <v>12</v>
      </c>
      <c r="C6526" s="334" t="s">
        <v>15779</v>
      </c>
      <c r="D6526" s="124" t="s">
        <v>15780</v>
      </c>
      <c r="E6526" s="125"/>
      <c r="F6526" s="118" t="s">
        <v>1104</v>
      </c>
      <c r="G6526" s="126" t="s">
        <v>15326</v>
      </c>
      <c r="H6526" s="255">
        <v>2</v>
      </c>
      <c r="I6526" s="361">
        <v>1</v>
      </c>
      <c r="J6526" s="371" t="s">
        <v>286</v>
      </c>
      <c r="K6526" s="373"/>
      <c r="L6526" s="129"/>
      <c r="M6526" s="129"/>
      <c r="N6526" s="129"/>
      <c r="O6526" s="129"/>
      <c r="P6526" s="364"/>
      <c r="Q6526" s="364"/>
      <c r="R6526" s="129"/>
      <c r="S6526" s="129"/>
      <c r="T6526" s="129"/>
      <c r="W6526" s="129" t="s">
        <v>4876</v>
      </c>
      <c r="X6526" s="337" t="b">
        <f t="shared" si="140"/>
        <v>0</v>
      </c>
    </row>
    <row r="6527" spans="1:24" s="386" customFormat="1" ht="12" customHeight="1" outlineLevel="1">
      <c r="A6527" s="382"/>
      <c r="B6527" s="118" t="s">
        <v>12</v>
      </c>
      <c r="C6527" s="334" t="s">
        <v>15781</v>
      </c>
      <c r="D6527" s="124" t="s">
        <v>15782</v>
      </c>
      <c r="E6527" s="125"/>
      <c r="F6527" s="118" t="s">
        <v>1104</v>
      </c>
      <c r="G6527" s="126" t="s">
        <v>15326</v>
      </c>
      <c r="H6527" s="255">
        <v>2</v>
      </c>
      <c r="I6527" s="361">
        <v>1</v>
      </c>
      <c r="J6527" s="371" t="s">
        <v>286</v>
      </c>
      <c r="K6527" s="373"/>
      <c r="L6527" s="129"/>
      <c r="M6527" s="129"/>
      <c r="N6527" s="129"/>
      <c r="O6527" s="129"/>
      <c r="P6527" s="364"/>
      <c r="Q6527" s="364"/>
      <c r="R6527" s="129"/>
      <c r="S6527" s="129"/>
      <c r="T6527" s="129"/>
      <c r="W6527" s="129" t="s">
        <v>286</v>
      </c>
      <c r="X6527" s="337" t="b">
        <f t="shared" si="140"/>
        <v>1</v>
      </c>
    </row>
    <row r="6528" spans="1:24" s="386" customFormat="1" ht="12" customHeight="1" outlineLevel="1">
      <c r="A6528" s="382"/>
      <c r="B6528" s="118" t="s">
        <v>12</v>
      </c>
      <c r="C6528" s="334" t="s">
        <v>15783</v>
      </c>
      <c r="D6528" s="124" t="s">
        <v>15784</v>
      </c>
      <c r="E6528" s="125"/>
      <c r="F6528" s="118" t="s">
        <v>1104</v>
      </c>
      <c r="G6528" s="126" t="s">
        <v>15326</v>
      </c>
      <c r="H6528" s="255">
        <v>2</v>
      </c>
      <c r="I6528" s="361">
        <v>1</v>
      </c>
      <c r="J6528" s="371" t="s">
        <v>286</v>
      </c>
      <c r="K6528" s="373"/>
      <c r="L6528" s="129"/>
      <c r="M6528" s="129"/>
      <c r="N6528" s="129"/>
      <c r="O6528" s="129"/>
      <c r="P6528" s="364"/>
      <c r="Q6528" s="364"/>
      <c r="R6528" s="129"/>
      <c r="S6528" s="129"/>
      <c r="T6528" s="129"/>
      <c r="W6528" s="129" t="s">
        <v>286</v>
      </c>
      <c r="X6528" s="337" t="b">
        <f t="shared" si="140"/>
        <v>1</v>
      </c>
    </row>
    <row r="6529" spans="1:24" s="386" customFormat="1" ht="12" customHeight="1" outlineLevel="1">
      <c r="A6529" s="382"/>
      <c r="B6529" s="118" t="s">
        <v>12</v>
      </c>
      <c r="C6529" s="334" t="s">
        <v>15785</v>
      </c>
      <c r="D6529" s="124" t="s">
        <v>15786</v>
      </c>
      <c r="E6529" s="125"/>
      <c r="F6529" s="118" t="s">
        <v>1104</v>
      </c>
      <c r="G6529" s="126" t="s">
        <v>15326</v>
      </c>
      <c r="H6529" s="255">
        <v>2</v>
      </c>
      <c r="I6529" s="361">
        <v>1</v>
      </c>
      <c r="J6529" s="371" t="s">
        <v>286</v>
      </c>
      <c r="K6529" s="373"/>
      <c r="L6529" s="129"/>
      <c r="M6529" s="129"/>
      <c r="N6529" s="129"/>
      <c r="O6529" s="129"/>
      <c r="P6529" s="364"/>
      <c r="Q6529" s="364"/>
      <c r="R6529" s="129"/>
      <c r="S6529" s="129"/>
      <c r="T6529" s="129"/>
      <c r="W6529" s="129" t="s">
        <v>286</v>
      </c>
      <c r="X6529" s="337" t="b">
        <f t="shared" si="140"/>
        <v>1</v>
      </c>
    </row>
    <row r="6530" spans="1:24" s="386" customFormat="1" ht="12" customHeight="1" outlineLevel="1">
      <c r="A6530" s="382"/>
      <c r="B6530" s="118" t="s">
        <v>12</v>
      </c>
      <c r="C6530" s="334" t="s">
        <v>15787</v>
      </c>
      <c r="D6530" s="124" t="s">
        <v>15788</v>
      </c>
      <c r="E6530" s="125"/>
      <c r="F6530" s="118" t="s">
        <v>1104</v>
      </c>
      <c r="G6530" s="126" t="s">
        <v>15326</v>
      </c>
      <c r="H6530" s="255">
        <v>2</v>
      </c>
      <c r="I6530" s="361">
        <v>1</v>
      </c>
      <c r="J6530" s="371" t="s">
        <v>286</v>
      </c>
      <c r="K6530" s="373"/>
      <c r="L6530" s="129"/>
      <c r="M6530" s="129"/>
      <c r="N6530" s="129"/>
      <c r="O6530" s="129"/>
      <c r="P6530" s="364"/>
      <c r="Q6530" s="364"/>
      <c r="R6530" s="129"/>
      <c r="S6530" s="129"/>
      <c r="T6530" s="129"/>
      <c r="W6530" s="129" t="s">
        <v>286</v>
      </c>
      <c r="X6530" s="337" t="b">
        <f t="shared" si="140"/>
        <v>1</v>
      </c>
    </row>
    <row r="6531" spans="1:24" s="386" customFormat="1" ht="12" customHeight="1" outlineLevel="1">
      <c r="A6531" s="382"/>
      <c r="B6531" s="118" t="s">
        <v>12</v>
      </c>
      <c r="C6531" s="334" t="s">
        <v>15789</v>
      </c>
      <c r="D6531" s="124" t="s">
        <v>15790</v>
      </c>
      <c r="E6531" s="125"/>
      <c r="F6531" s="118" t="s">
        <v>1104</v>
      </c>
      <c r="G6531" s="126" t="s">
        <v>15326</v>
      </c>
      <c r="H6531" s="255">
        <v>2</v>
      </c>
      <c r="I6531" s="361">
        <v>1</v>
      </c>
      <c r="J6531" s="371" t="s">
        <v>286</v>
      </c>
      <c r="K6531" s="373"/>
      <c r="L6531" s="129"/>
      <c r="M6531" s="129"/>
      <c r="N6531" s="129"/>
      <c r="O6531" s="129"/>
      <c r="P6531" s="364"/>
      <c r="Q6531" s="364"/>
      <c r="R6531" s="129"/>
      <c r="S6531" s="129"/>
      <c r="T6531" s="129"/>
      <c r="W6531" s="129" t="s">
        <v>286</v>
      </c>
      <c r="X6531" s="337" t="b">
        <f t="shared" si="140"/>
        <v>1</v>
      </c>
    </row>
    <row r="6532" spans="1:24" s="386" customFormat="1" ht="12" customHeight="1" outlineLevel="1">
      <c r="A6532" s="382"/>
      <c r="B6532" s="118" t="s">
        <v>12</v>
      </c>
      <c r="C6532" s="334" t="s">
        <v>15791</v>
      </c>
      <c r="D6532" s="124" t="s">
        <v>15792</v>
      </c>
      <c r="E6532" s="125"/>
      <c r="F6532" s="118" t="s">
        <v>1104</v>
      </c>
      <c r="G6532" s="126" t="s">
        <v>15326</v>
      </c>
      <c r="H6532" s="255">
        <v>2</v>
      </c>
      <c r="I6532" s="361">
        <v>1</v>
      </c>
      <c r="J6532" s="371" t="s">
        <v>286</v>
      </c>
      <c r="K6532" s="373"/>
      <c r="L6532" s="129"/>
      <c r="M6532" s="129"/>
      <c r="N6532" s="129"/>
      <c r="O6532" s="129"/>
      <c r="P6532" s="364"/>
      <c r="Q6532" s="364"/>
      <c r="R6532" s="129"/>
      <c r="S6532" s="129"/>
      <c r="T6532" s="129"/>
      <c r="W6532" s="129" t="s">
        <v>286</v>
      </c>
      <c r="X6532" s="337" t="b">
        <f t="shared" si="140"/>
        <v>1</v>
      </c>
    </row>
    <row r="6533" spans="1:24" s="386" customFormat="1" ht="12" customHeight="1" outlineLevel="1">
      <c r="A6533" s="382"/>
      <c r="B6533" s="118" t="s">
        <v>12</v>
      </c>
      <c r="C6533" s="334" t="s">
        <v>15793</v>
      </c>
      <c r="D6533" s="124" t="s">
        <v>15794</v>
      </c>
      <c r="E6533" s="125"/>
      <c r="F6533" s="118" t="s">
        <v>1104</v>
      </c>
      <c r="G6533" s="126" t="s">
        <v>15326</v>
      </c>
      <c r="H6533" s="255">
        <v>2</v>
      </c>
      <c r="I6533" s="361">
        <v>1</v>
      </c>
      <c r="J6533" s="371" t="s">
        <v>310</v>
      </c>
      <c r="K6533" s="373"/>
      <c r="L6533" s="129"/>
      <c r="M6533" s="129"/>
      <c r="N6533" s="129"/>
      <c r="O6533" s="129"/>
      <c r="P6533" s="364"/>
      <c r="Q6533" s="364"/>
      <c r="R6533" s="129"/>
      <c r="S6533" s="129"/>
      <c r="T6533" s="129"/>
      <c r="W6533" s="129" t="s">
        <v>310</v>
      </c>
      <c r="X6533" s="337" t="b">
        <f t="shared" si="140"/>
        <v>1</v>
      </c>
    </row>
    <row r="6534" spans="1:24" s="386" customFormat="1" ht="12" customHeight="1" outlineLevel="1">
      <c r="A6534" s="382"/>
      <c r="B6534" s="118" t="s">
        <v>12</v>
      </c>
      <c r="C6534" s="334" t="s">
        <v>15795</v>
      </c>
      <c r="D6534" s="124" t="s">
        <v>15796</v>
      </c>
      <c r="E6534" s="125"/>
      <c r="F6534" s="118" t="s">
        <v>1104</v>
      </c>
      <c r="G6534" s="126" t="s">
        <v>15326</v>
      </c>
      <c r="H6534" s="255">
        <v>2</v>
      </c>
      <c r="I6534" s="361">
        <v>1</v>
      </c>
      <c r="J6534" s="371" t="s">
        <v>286</v>
      </c>
      <c r="K6534" s="373"/>
      <c r="L6534" s="129"/>
      <c r="M6534" s="129"/>
      <c r="N6534" s="129"/>
      <c r="O6534" s="129"/>
      <c r="P6534" s="364"/>
      <c r="Q6534" s="364"/>
      <c r="R6534" s="129"/>
      <c r="S6534" s="129"/>
      <c r="T6534" s="129"/>
      <c r="W6534" s="129" t="s">
        <v>286</v>
      </c>
      <c r="X6534" s="337" t="b">
        <f t="shared" si="140"/>
        <v>1</v>
      </c>
    </row>
    <row r="6535" spans="1:24" s="386" customFormat="1" ht="12" customHeight="1" outlineLevel="1">
      <c r="A6535" s="382"/>
      <c r="B6535" s="118" t="s">
        <v>12</v>
      </c>
      <c r="C6535" s="334" t="s">
        <v>15797</v>
      </c>
      <c r="D6535" s="124" t="s">
        <v>15798</v>
      </c>
      <c r="E6535" s="125"/>
      <c r="F6535" s="118" t="s">
        <v>1104</v>
      </c>
      <c r="G6535" s="126" t="s">
        <v>15326</v>
      </c>
      <c r="H6535" s="255">
        <v>2</v>
      </c>
      <c r="I6535" s="361">
        <v>1</v>
      </c>
      <c r="J6535" s="371" t="s">
        <v>286</v>
      </c>
      <c r="K6535" s="373"/>
      <c r="L6535" s="129"/>
      <c r="M6535" s="129"/>
      <c r="N6535" s="129"/>
      <c r="O6535" s="129"/>
      <c r="P6535" s="364"/>
      <c r="Q6535" s="364"/>
      <c r="R6535" s="129"/>
      <c r="S6535" s="129"/>
      <c r="T6535" s="129"/>
      <c r="W6535" s="129" t="s">
        <v>286</v>
      </c>
      <c r="X6535" s="337" t="b">
        <f t="shared" si="140"/>
        <v>1</v>
      </c>
    </row>
    <row r="6536" spans="1:24" s="386" customFormat="1" ht="12" customHeight="1" outlineLevel="1">
      <c r="A6536" s="382"/>
      <c r="B6536" s="118" t="s">
        <v>12</v>
      </c>
      <c r="C6536" s="334" t="s">
        <v>15799</v>
      </c>
      <c r="D6536" s="124" t="s">
        <v>15800</v>
      </c>
      <c r="E6536" s="125"/>
      <c r="F6536" s="118" t="s">
        <v>1104</v>
      </c>
      <c r="G6536" s="126" t="s">
        <v>15326</v>
      </c>
      <c r="H6536" s="255">
        <v>2</v>
      </c>
      <c r="I6536" s="361">
        <v>1</v>
      </c>
      <c r="J6536" s="371" t="s">
        <v>286</v>
      </c>
      <c r="K6536" s="373"/>
      <c r="L6536" s="129"/>
      <c r="M6536" s="129"/>
      <c r="N6536" s="129"/>
      <c r="O6536" s="129"/>
      <c r="P6536" s="364"/>
      <c r="Q6536" s="364"/>
      <c r="R6536" s="129"/>
      <c r="S6536" s="129"/>
      <c r="T6536" s="129"/>
      <c r="W6536" s="129" t="s">
        <v>286</v>
      </c>
      <c r="X6536" s="337" t="b">
        <f t="shared" si="140"/>
        <v>1</v>
      </c>
    </row>
    <row r="6537" spans="1:24" s="386" customFormat="1" ht="12" customHeight="1" outlineLevel="1">
      <c r="A6537" s="382"/>
      <c r="B6537" s="118" t="s">
        <v>12</v>
      </c>
      <c r="C6537" s="334" t="s">
        <v>15801</v>
      </c>
      <c r="D6537" s="124" t="s">
        <v>15802</v>
      </c>
      <c r="E6537" s="125"/>
      <c r="F6537" s="118" t="s">
        <v>1104</v>
      </c>
      <c r="G6537" s="126" t="s">
        <v>15326</v>
      </c>
      <c r="H6537" s="255">
        <v>2</v>
      </c>
      <c r="I6537" s="361">
        <v>1</v>
      </c>
      <c r="J6537" s="371" t="s">
        <v>286</v>
      </c>
      <c r="K6537" s="373"/>
      <c r="L6537" s="129"/>
      <c r="M6537" s="129"/>
      <c r="N6537" s="129"/>
      <c r="O6537" s="129"/>
      <c r="P6537" s="364"/>
      <c r="Q6537" s="364"/>
      <c r="R6537" s="129"/>
      <c r="S6537" s="129"/>
      <c r="T6537" s="129"/>
      <c r="W6537" s="129" t="s">
        <v>286</v>
      </c>
      <c r="X6537" s="337" t="b">
        <f t="shared" si="140"/>
        <v>1</v>
      </c>
    </row>
    <row r="6538" spans="1:24" s="386" customFormat="1" ht="12" customHeight="1" outlineLevel="1">
      <c r="A6538" s="382"/>
      <c r="B6538" s="118" t="s">
        <v>12</v>
      </c>
      <c r="C6538" s="334" t="s">
        <v>15803</v>
      </c>
      <c r="D6538" s="124" t="s">
        <v>15804</v>
      </c>
      <c r="E6538" s="125"/>
      <c r="F6538" s="118" t="s">
        <v>1104</v>
      </c>
      <c r="G6538" s="126" t="s">
        <v>15326</v>
      </c>
      <c r="H6538" s="255">
        <v>2</v>
      </c>
      <c r="I6538" s="361">
        <v>1</v>
      </c>
      <c r="J6538" s="371" t="s">
        <v>286</v>
      </c>
      <c r="K6538" s="373"/>
      <c r="L6538" s="129"/>
      <c r="M6538" s="129"/>
      <c r="N6538" s="129"/>
      <c r="O6538" s="129"/>
      <c r="P6538" s="364"/>
      <c r="Q6538" s="364"/>
      <c r="R6538" s="129"/>
      <c r="S6538" s="129"/>
      <c r="T6538" s="129"/>
      <c r="W6538" s="129" t="s">
        <v>286</v>
      </c>
      <c r="X6538" s="337" t="b">
        <f t="shared" si="140"/>
        <v>1</v>
      </c>
    </row>
    <row r="6539" spans="1:24" s="386" customFormat="1" ht="12" customHeight="1" outlineLevel="1">
      <c r="A6539" s="382"/>
      <c r="B6539" s="118" t="s">
        <v>12</v>
      </c>
      <c r="C6539" s="334" t="s">
        <v>15805</v>
      </c>
      <c r="D6539" s="124" t="s">
        <v>15806</v>
      </c>
      <c r="E6539" s="125"/>
      <c r="F6539" s="118" t="s">
        <v>1104</v>
      </c>
      <c r="G6539" s="126" t="s">
        <v>15326</v>
      </c>
      <c r="H6539" s="255">
        <v>2</v>
      </c>
      <c r="I6539" s="361">
        <v>1</v>
      </c>
      <c r="J6539" s="371" t="s">
        <v>286</v>
      </c>
      <c r="K6539" s="373"/>
      <c r="L6539" s="129"/>
      <c r="M6539" s="129"/>
      <c r="N6539" s="129"/>
      <c r="O6539" s="129"/>
      <c r="P6539" s="364"/>
      <c r="Q6539" s="364"/>
      <c r="R6539" s="129"/>
      <c r="S6539" s="129"/>
      <c r="T6539" s="129"/>
      <c r="W6539" s="129" t="s">
        <v>286</v>
      </c>
      <c r="X6539" s="337" t="b">
        <f t="shared" si="140"/>
        <v>1</v>
      </c>
    </row>
    <row r="6540" spans="1:24" s="386" customFormat="1" ht="12" customHeight="1" outlineLevel="1">
      <c r="A6540" s="382"/>
      <c r="B6540" s="118" t="s">
        <v>12</v>
      </c>
      <c r="C6540" s="334" t="s">
        <v>15807</v>
      </c>
      <c r="D6540" s="124" t="s">
        <v>15808</v>
      </c>
      <c r="E6540" s="125"/>
      <c r="F6540" s="118" t="s">
        <v>1104</v>
      </c>
      <c r="G6540" s="126" t="s">
        <v>15326</v>
      </c>
      <c r="H6540" s="255">
        <v>2</v>
      </c>
      <c r="I6540" s="361">
        <v>1</v>
      </c>
      <c r="J6540" s="371" t="s">
        <v>286</v>
      </c>
      <c r="K6540" s="373"/>
      <c r="L6540" s="129"/>
      <c r="M6540" s="129"/>
      <c r="N6540" s="129"/>
      <c r="O6540" s="129"/>
      <c r="P6540" s="364"/>
      <c r="Q6540" s="364"/>
      <c r="R6540" s="129"/>
      <c r="S6540" s="129"/>
      <c r="T6540" s="129"/>
      <c r="W6540" s="129" t="s">
        <v>286</v>
      </c>
      <c r="X6540" s="337" t="b">
        <f t="shared" si="140"/>
        <v>1</v>
      </c>
    </row>
    <row r="6541" spans="1:24" s="386" customFormat="1" ht="12" customHeight="1" outlineLevel="1">
      <c r="A6541" s="382"/>
      <c r="B6541" s="118" t="s">
        <v>12</v>
      </c>
      <c r="C6541" s="334" t="s">
        <v>15809</v>
      </c>
      <c r="D6541" s="124" t="s">
        <v>15810</v>
      </c>
      <c r="E6541" s="125"/>
      <c r="F6541" s="118" t="s">
        <v>1104</v>
      </c>
      <c r="G6541" s="126" t="s">
        <v>15326</v>
      </c>
      <c r="H6541" s="255">
        <v>2</v>
      </c>
      <c r="I6541" s="361">
        <v>1</v>
      </c>
      <c r="J6541" s="371" t="s">
        <v>286</v>
      </c>
      <c r="K6541" s="373"/>
      <c r="L6541" s="129"/>
      <c r="M6541" s="129"/>
      <c r="N6541" s="129"/>
      <c r="O6541" s="129"/>
      <c r="P6541" s="364"/>
      <c r="Q6541" s="364"/>
      <c r="R6541" s="129"/>
      <c r="S6541" s="129"/>
      <c r="T6541" s="129"/>
      <c r="W6541" s="129" t="s">
        <v>286</v>
      </c>
      <c r="X6541" s="337" t="b">
        <f t="shared" si="140"/>
        <v>1</v>
      </c>
    </row>
    <row r="6542" spans="1:24" s="386" customFormat="1" ht="12" customHeight="1" outlineLevel="1">
      <c r="A6542" s="382"/>
      <c r="B6542" s="118" t="s">
        <v>12</v>
      </c>
      <c r="C6542" s="334" t="s">
        <v>15811</v>
      </c>
      <c r="D6542" s="124" t="s">
        <v>15812</v>
      </c>
      <c r="E6542" s="125"/>
      <c r="F6542" s="118" t="s">
        <v>1104</v>
      </c>
      <c r="G6542" s="126" t="s">
        <v>15326</v>
      </c>
      <c r="H6542" s="255">
        <v>2</v>
      </c>
      <c r="I6542" s="361">
        <v>1</v>
      </c>
      <c r="J6542" s="371" t="s">
        <v>286</v>
      </c>
      <c r="K6542" s="373"/>
      <c r="L6542" s="129"/>
      <c r="M6542" s="129"/>
      <c r="N6542" s="129"/>
      <c r="O6542" s="129"/>
      <c r="P6542" s="364"/>
      <c r="Q6542" s="364"/>
      <c r="R6542" s="129"/>
      <c r="S6542" s="129"/>
      <c r="T6542" s="129"/>
      <c r="W6542" s="129" t="s">
        <v>286</v>
      </c>
      <c r="X6542" s="337" t="b">
        <f t="shared" ref="X6542:X6605" si="141">W6542=J6542</f>
        <v>1</v>
      </c>
    </row>
    <row r="6543" spans="1:24" s="386" customFormat="1" ht="12" customHeight="1" outlineLevel="1">
      <c r="A6543" s="382"/>
      <c r="B6543" s="118" t="s">
        <v>12</v>
      </c>
      <c r="C6543" s="334" t="s">
        <v>15813</v>
      </c>
      <c r="D6543" s="124" t="s">
        <v>15814</v>
      </c>
      <c r="E6543" s="125"/>
      <c r="F6543" s="118" t="s">
        <v>1104</v>
      </c>
      <c r="G6543" s="126" t="s">
        <v>15326</v>
      </c>
      <c r="H6543" s="255">
        <v>2</v>
      </c>
      <c r="I6543" s="361">
        <v>1</v>
      </c>
      <c r="J6543" s="371" t="s">
        <v>286</v>
      </c>
      <c r="K6543" s="373"/>
      <c r="L6543" s="129"/>
      <c r="M6543" s="129"/>
      <c r="N6543" s="129"/>
      <c r="O6543" s="129"/>
      <c r="P6543" s="364"/>
      <c r="Q6543" s="364"/>
      <c r="R6543" s="129"/>
      <c r="S6543" s="129"/>
      <c r="T6543" s="129"/>
      <c r="W6543" s="129" t="s">
        <v>286</v>
      </c>
      <c r="X6543" s="337" t="b">
        <f t="shared" si="141"/>
        <v>1</v>
      </c>
    </row>
    <row r="6544" spans="1:24" s="386" customFormat="1" ht="12" customHeight="1" outlineLevel="1">
      <c r="A6544" s="382"/>
      <c r="B6544" s="118" t="s">
        <v>12</v>
      </c>
      <c r="C6544" s="334" t="s">
        <v>15815</v>
      </c>
      <c r="D6544" s="124" t="s">
        <v>15816</v>
      </c>
      <c r="E6544" s="125"/>
      <c r="F6544" s="118" t="s">
        <v>1104</v>
      </c>
      <c r="G6544" s="126" t="s">
        <v>15326</v>
      </c>
      <c r="H6544" s="255">
        <v>2</v>
      </c>
      <c r="I6544" s="361">
        <v>1</v>
      </c>
      <c r="J6544" s="371" t="s">
        <v>286</v>
      </c>
      <c r="K6544" s="373"/>
      <c r="L6544" s="129"/>
      <c r="M6544" s="129"/>
      <c r="N6544" s="129"/>
      <c r="O6544" s="129"/>
      <c r="P6544" s="364"/>
      <c r="Q6544" s="364"/>
      <c r="R6544" s="129"/>
      <c r="S6544" s="129"/>
      <c r="T6544" s="129"/>
      <c r="W6544" s="129" t="s">
        <v>286</v>
      </c>
      <c r="X6544" s="337" t="b">
        <f t="shared" si="141"/>
        <v>1</v>
      </c>
    </row>
    <row r="6545" spans="1:24" s="386" customFormat="1" ht="12" customHeight="1" outlineLevel="1">
      <c r="A6545" s="382"/>
      <c r="B6545" s="118" t="s">
        <v>12</v>
      </c>
      <c r="C6545" s="334" t="s">
        <v>15817</v>
      </c>
      <c r="D6545" s="124" t="s">
        <v>15818</v>
      </c>
      <c r="E6545" s="125"/>
      <c r="F6545" s="118" t="s">
        <v>1104</v>
      </c>
      <c r="G6545" s="126" t="s">
        <v>15326</v>
      </c>
      <c r="H6545" s="255">
        <v>2</v>
      </c>
      <c r="I6545" s="361">
        <v>1</v>
      </c>
      <c r="J6545" s="371" t="s">
        <v>286</v>
      </c>
      <c r="K6545" s="373"/>
      <c r="L6545" s="129"/>
      <c r="M6545" s="129"/>
      <c r="N6545" s="129"/>
      <c r="O6545" s="129"/>
      <c r="P6545" s="364"/>
      <c r="Q6545" s="364"/>
      <c r="R6545" s="129"/>
      <c r="S6545" s="129"/>
      <c r="T6545" s="129"/>
      <c r="W6545" s="129" t="s">
        <v>286</v>
      </c>
      <c r="X6545" s="337" t="b">
        <f t="shared" si="141"/>
        <v>1</v>
      </c>
    </row>
    <row r="6546" spans="1:24" s="386" customFormat="1" ht="12" customHeight="1" outlineLevel="1">
      <c r="A6546" s="382"/>
      <c r="B6546" s="118" t="s">
        <v>12</v>
      </c>
      <c r="C6546" s="334" t="s">
        <v>15819</v>
      </c>
      <c r="D6546" s="124" t="s">
        <v>15820</v>
      </c>
      <c r="E6546" s="125"/>
      <c r="F6546" s="118" t="s">
        <v>1104</v>
      </c>
      <c r="G6546" s="126" t="s">
        <v>15326</v>
      </c>
      <c r="H6546" s="255">
        <v>2</v>
      </c>
      <c r="I6546" s="361">
        <v>1</v>
      </c>
      <c r="J6546" s="371" t="s">
        <v>286</v>
      </c>
      <c r="K6546" s="373"/>
      <c r="L6546" s="129"/>
      <c r="M6546" s="129"/>
      <c r="N6546" s="129"/>
      <c r="O6546" s="129"/>
      <c r="P6546" s="364"/>
      <c r="Q6546" s="364"/>
      <c r="R6546" s="129"/>
      <c r="S6546" s="129"/>
      <c r="T6546" s="129"/>
      <c r="W6546" s="129" t="s">
        <v>286</v>
      </c>
      <c r="X6546" s="337" t="b">
        <f t="shared" si="141"/>
        <v>1</v>
      </c>
    </row>
    <row r="6547" spans="1:24" s="386" customFormat="1" ht="12" customHeight="1" outlineLevel="1">
      <c r="A6547" s="382"/>
      <c r="B6547" s="118" t="s">
        <v>12</v>
      </c>
      <c r="C6547" s="334" t="s">
        <v>15821</v>
      </c>
      <c r="D6547" s="124" t="s">
        <v>15822</v>
      </c>
      <c r="E6547" s="125"/>
      <c r="F6547" s="118" t="s">
        <v>1104</v>
      </c>
      <c r="G6547" s="126" t="s">
        <v>15326</v>
      </c>
      <c r="H6547" s="255">
        <v>2</v>
      </c>
      <c r="I6547" s="361">
        <v>1</v>
      </c>
      <c r="J6547" s="371" t="s">
        <v>286</v>
      </c>
      <c r="K6547" s="373"/>
      <c r="L6547" s="129"/>
      <c r="M6547" s="129"/>
      <c r="N6547" s="129"/>
      <c r="O6547" s="129"/>
      <c r="P6547" s="364"/>
      <c r="Q6547" s="364"/>
      <c r="R6547" s="129"/>
      <c r="S6547" s="129"/>
      <c r="T6547" s="129"/>
      <c r="W6547" s="129" t="s">
        <v>286</v>
      </c>
      <c r="X6547" s="337" t="b">
        <f t="shared" si="141"/>
        <v>1</v>
      </c>
    </row>
    <row r="6548" spans="1:24" s="386" customFormat="1" ht="12" customHeight="1" outlineLevel="1">
      <c r="A6548" s="382"/>
      <c r="B6548" s="118" t="s">
        <v>12</v>
      </c>
      <c r="C6548" s="334" t="s">
        <v>15823</v>
      </c>
      <c r="D6548" s="124" t="s">
        <v>15824</v>
      </c>
      <c r="E6548" s="125"/>
      <c r="F6548" s="118" t="s">
        <v>1104</v>
      </c>
      <c r="G6548" s="126" t="s">
        <v>15326</v>
      </c>
      <c r="H6548" s="255">
        <v>2</v>
      </c>
      <c r="I6548" s="361">
        <v>1</v>
      </c>
      <c r="J6548" s="371" t="s">
        <v>286</v>
      </c>
      <c r="K6548" s="373"/>
      <c r="L6548" s="129"/>
      <c r="M6548" s="129"/>
      <c r="N6548" s="129"/>
      <c r="O6548" s="129"/>
      <c r="P6548" s="364"/>
      <c r="Q6548" s="364"/>
      <c r="R6548" s="129"/>
      <c r="S6548" s="129"/>
      <c r="T6548" s="129"/>
      <c r="W6548" s="129" t="s">
        <v>286</v>
      </c>
      <c r="X6548" s="337" t="b">
        <f t="shared" si="141"/>
        <v>1</v>
      </c>
    </row>
    <row r="6549" spans="1:24" s="386" customFormat="1" ht="12" customHeight="1" outlineLevel="1">
      <c r="A6549" s="382"/>
      <c r="B6549" s="118" t="s">
        <v>12</v>
      </c>
      <c r="C6549" s="334" t="s">
        <v>15825</v>
      </c>
      <c r="D6549" s="124" t="s">
        <v>15826</v>
      </c>
      <c r="E6549" s="125"/>
      <c r="F6549" s="118" t="s">
        <v>1104</v>
      </c>
      <c r="G6549" s="126" t="s">
        <v>15326</v>
      </c>
      <c r="H6549" s="255">
        <v>2</v>
      </c>
      <c r="I6549" s="361">
        <v>1</v>
      </c>
      <c r="J6549" s="371" t="s">
        <v>286</v>
      </c>
      <c r="K6549" s="373"/>
      <c r="L6549" s="129"/>
      <c r="M6549" s="129"/>
      <c r="N6549" s="129"/>
      <c r="O6549" s="129"/>
      <c r="P6549" s="364"/>
      <c r="Q6549" s="364"/>
      <c r="R6549" s="129"/>
      <c r="S6549" s="129"/>
      <c r="T6549" s="129"/>
      <c r="W6549" s="129" t="s">
        <v>286</v>
      </c>
      <c r="X6549" s="337" t="b">
        <f t="shared" si="141"/>
        <v>1</v>
      </c>
    </row>
    <row r="6550" spans="1:24" s="386" customFormat="1" ht="12" customHeight="1" outlineLevel="1">
      <c r="A6550" s="382"/>
      <c r="B6550" s="118" t="s">
        <v>12</v>
      </c>
      <c r="C6550" s="334" t="s">
        <v>15827</v>
      </c>
      <c r="D6550" s="124" t="s">
        <v>15828</v>
      </c>
      <c r="E6550" s="125"/>
      <c r="F6550" s="118" t="s">
        <v>1104</v>
      </c>
      <c r="G6550" s="126" t="s">
        <v>15326</v>
      </c>
      <c r="H6550" s="255">
        <v>2</v>
      </c>
      <c r="I6550" s="361">
        <v>1</v>
      </c>
      <c r="J6550" s="371" t="s">
        <v>286</v>
      </c>
      <c r="K6550" s="373"/>
      <c r="L6550" s="129"/>
      <c r="M6550" s="129"/>
      <c r="N6550" s="129"/>
      <c r="O6550" s="129"/>
      <c r="P6550" s="364"/>
      <c r="Q6550" s="364"/>
      <c r="R6550" s="129"/>
      <c r="S6550" s="129"/>
      <c r="T6550" s="129"/>
      <c r="W6550" s="129" t="s">
        <v>286</v>
      </c>
      <c r="X6550" s="337" t="b">
        <f t="shared" si="141"/>
        <v>1</v>
      </c>
    </row>
    <row r="6551" spans="1:24" s="386" customFormat="1" ht="12" customHeight="1" outlineLevel="1">
      <c r="A6551" s="382"/>
      <c r="B6551" s="118" t="s">
        <v>12</v>
      </c>
      <c r="C6551" s="334" t="s">
        <v>15829</v>
      </c>
      <c r="D6551" s="124" t="s">
        <v>15830</v>
      </c>
      <c r="E6551" s="125"/>
      <c r="F6551" s="118" t="s">
        <v>1104</v>
      </c>
      <c r="G6551" s="126" t="s">
        <v>15326</v>
      </c>
      <c r="H6551" s="255">
        <v>2</v>
      </c>
      <c r="I6551" s="361">
        <v>1</v>
      </c>
      <c r="J6551" s="371" t="s">
        <v>286</v>
      </c>
      <c r="K6551" s="373"/>
      <c r="L6551" s="129"/>
      <c r="M6551" s="129"/>
      <c r="N6551" s="129"/>
      <c r="O6551" s="129"/>
      <c r="P6551" s="364"/>
      <c r="Q6551" s="364"/>
      <c r="R6551" s="129"/>
      <c r="S6551" s="129"/>
      <c r="T6551" s="129"/>
      <c r="W6551" s="129" t="s">
        <v>286</v>
      </c>
      <c r="X6551" s="337" t="b">
        <f t="shared" si="141"/>
        <v>1</v>
      </c>
    </row>
    <row r="6552" spans="1:24" s="386" customFormat="1" ht="12" customHeight="1" outlineLevel="1">
      <c r="A6552" s="382"/>
      <c r="B6552" s="118" t="s">
        <v>12</v>
      </c>
      <c r="C6552" s="334" t="s">
        <v>15831</v>
      </c>
      <c r="D6552" s="124" t="s">
        <v>15832</v>
      </c>
      <c r="E6552" s="125"/>
      <c r="F6552" s="118" t="s">
        <v>1104</v>
      </c>
      <c r="G6552" s="126" t="s">
        <v>15326</v>
      </c>
      <c r="H6552" s="255">
        <v>2</v>
      </c>
      <c r="I6552" s="361">
        <v>1</v>
      </c>
      <c r="J6552" s="371" t="s">
        <v>286</v>
      </c>
      <c r="K6552" s="373"/>
      <c r="L6552" s="129"/>
      <c r="M6552" s="129"/>
      <c r="N6552" s="129"/>
      <c r="O6552" s="129"/>
      <c r="P6552" s="364"/>
      <c r="Q6552" s="364"/>
      <c r="R6552" s="129"/>
      <c r="S6552" s="129"/>
      <c r="T6552" s="129"/>
      <c r="W6552" s="129" t="s">
        <v>286</v>
      </c>
      <c r="X6552" s="337" t="b">
        <f t="shared" si="141"/>
        <v>1</v>
      </c>
    </row>
    <row r="6553" spans="1:24" s="386" customFormat="1" ht="12" customHeight="1" outlineLevel="1">
      <c r="A6553" s="382"/>
      <c r="B6553" s="118" t="s">
        <v>12</v>
      </c>
      <c r="C6553" s="334" t="s">
        <v>15833</v>
      </c>
      <c r="D6553" s="124" t="s">
        <v>15834</v>
      </c>
      <c r="E6553" s="125"/>
      <c r="F6553" s="118" t="s">
        <v>1104</v>
      </c>
      <c r="G6553" s="126" t="s">
        <v>15326</v>
      </c>
      <c r="H6553" s="255">
        <v>2</v>
      </c>
      <c r="I6553" s="361">
        <v>1</v>
      </c>
      <c r="J6553" s="371" t="s">
        <v>286</v>
      </c>
      <c r="K6553" s="373"/>
      <c r="L6553" s="129"/>
      <c r="M6553" s="129"/>
      <c r="N6553" s="129"/>
      <c r="O6553" s="129"/>
      <c r="P6553" s="364"/>
      <c r="Q6553" s="364"/>
      <c r="R6553" s="129"/>
      <c r="S6553" s="129"/>
      <c r="T6553" s="129"/>
      <c r="W6553" s="129" t="s">
        <v>286</v>
      </c>
      <c r="X6553" s="337" t="b">
        <f t="shared" si="141"/>
        <v>1</v>
      </c>
    </row>
    <row r="6554" spans="1:24" s="386" customFormat="1" ht="12" customHeight="1" outlineLevel="1">
      <c r="A6554" s="382"/>
      <c r="B6554" s="118" t="s">
        <v>12</v>
      </c>
      <c r="C6554" s="334" t="s">
        <v>15835</v>
      </c>
      <c r="D6554" s="124" t="s">
        <v>15836</v>
      </c>
      <c r="E6554" s="125"/>
      <c r="F6554" s="118" t="s">
        <v>1104</v>
      </c>
      <c r="G6554" s="126" t="s">
        <v>15326</v>
      </c>
      <c r="H6554" s="255">
        <v>2</v>
      </c>
      <c r="I6554" s="361">
        <v>1</v>
      </c>
      <c r="J6554" s="371" t="s">
        <v>286</v>
      </c>
      <c r="K6554" s="373"/>
      <c r="L6554" s="129"/>
      <c r="M6554" s="129"/>
      <c r="N6554" s="129"/>
      <c r="O6554" s="129"/>
      <c r="P6554" s="364"/>
      <c r="Q6554" s="364"/>
      <c r="R6554" s="129"/>
      <c r="S6554" s="129"/>
      <c r="T6554" s="129"/>
      <c r="W6554" s="129" t="s">
        <v>286</v>
      </c>
      <c r="X6554" s="337" t="b">
        <f t="shared" si="141"/>
        <v>1</v>
      </c>
    </row>
    <row r="6555" spans="1:24" s="386" customFormat="1" ht="12" customHeight="1" outlineLevel="1">
      <c r="A6555" s="382"/>
      <c r="B6555" s="118" t="s">
        <v>12</v>
      </c>
      <c r="C6555" s="334" t="s">
        <v>15837</v>
      </c>
      <c r="D6555" s="124" t="s">
        <v>15838</v>
      </c>
      <c r="E6555" s="125"/>
      <c r="F6555" s="118" t="s">
        <v>1104</v>
      </c>
      <c r="G6555" s="126" t="s">
        <v>15326</v>
      </c>
      <c r="H6555" s="255">
        <v>2</v>
      </c>
      <c r="I6555" s="361">
        <v>1</v>
      </c>
      <c r="J6555" s="371" t="s">
        <v>286</v>
      </c>
      <c r="K6555" s="373"/>
      <c r="L6555" s="129"/>
      <c r="M6555" s="129"/>
      <c r="N6555" s="129"/>
      <c r="O6555" s="129"/>
      <c r="P6555" s="364"/>
      <c r="Q6555" s="364"/>
      <c r="R6555" s="129"/>
      <c r="S6555" s="129"/>
      <c r="T6555" s="129"/>
      <c r="W6555" s="129" t="s">
        <v>286</v>
      </c>
      <c r="X6555" s="337" t="b">
        <f t="shared" si="141"/>
        <v>1</v>
      </c>
    </row>
    <row r="6556" spans="1:24" s="386" customFormat="1" ht="12" customHeight="1" outlineLevel="1">
      <c r="A6556" s="382"/>
      <c r="B6556" s="118" t="s">
        <v>12</v>
      </c>
      <c r="C6556" s="334" t="s">
        <v>15839</v>
      </c>
      <c r="D6556" s="124" t="s">
        <v>15840</v>
      </c>
      <c r="E6556" s="125"/>
      <c r="F6556" s="118" t="s">
        <v>1104</v>
      </c>
      <c r="G6556" s="126" t="s">
        <v>15326</v>
      </c>
      <c r="H6556" s="255">
        <v>2</v>
      </c>
      <c r="I6556" s="361">
        <v>1</v>
      </c>
      <c r="J6556" s="371" t="s">
        <v>310</v>
      </c>
      <c r="K6556" s="373"/>
      <c r="L6556" s="129"/>
      <c r="M6556" s="129"/>
      <c r="N6556" s="129"/>
      <c r="O6556" s="129"/>
      <c r="P6556" s="364"/>
      <c r="Q6556" s="364"/>
      <c r="R6556" s="129"/>
      <c r="S6556" s="129"/>
      <c r="T6556" s="129"/>
      <c r="W6556" s="129" t="s">
        <v>286</v>
      </c>
      <c r="X6556" s="337" t="b">
        <f t="shared" si="141"/>
        <v>0</v>
      </c>
    </row>
    <row r="6557" spans="1:24" s="386" customFormat="1" ht="12" customHeight="1" outlineLevel="1">
      <c r="A6557" s="382"/>
      <c r="B6557" s="118" t="s">
        <v>12</v>
      </c>
      <c r="C6557" s="334" t="s">
        <v>15841</v>
      </c>
      <c r="D6557" s="124" t="s">
        <v>15842</v>
      </c>
      <c r="E6557" s="125"/>
      <c r="F6557" s="118" t="s">
        <v>1104</v>
      </c>
      <c r="G6557" s="126" t="s">
        <v>15326</v>
      </c>
      <c r="H6557" s="255">
        <v>2</v>
      </c>
      <c r="I6557" s="361">
        <v>1</v>
      </c>
      <c r="J6557" s="371" t="s">
        <v>286</v>
      </c>
      <c r="K6557" s="373"/>
      <c r="L6557" s="129"/>
      <c r="M6557" s="129"/>
      <c r="N6557" s="129"/>
      <c r="O6557" s="129"/>
      <c r="P6557" s="364"/>
      <c r="Q6557" s="364"/>
      <c r="R6557" s="129"/>
      <c r="S6557" s="129"/>
      <c r="T6557" s="129"/>
      <c r="W6557" s="129" t="s">
        <v>286</v>
      </c>
      <c r="X6557" s="337" t="b">
        <f t="shared" si="141"/>
        <v>1</v>
      </c>
    </row>
    <row r="6558" spans="1:24" s="386" customFormat="1" ht="12" customHeight="1" outlineLevel="1">
      <c r="A6558" s="382"/>
      <c r="B6558" s="118" t="s">
        <v>12</v>
      </c>
      <c r="C6558" s="334" t="s">
        <v>15843</v>
      </c>
      <c r="D6558" s="124" t="s">
        <v>15844</v>
      </c>
      <c r="E6558" s="125"/>
      <c r="F6558" s="118" t="s">
        <v>1104</v>
      </c>
      <c r="G6558" s="126" t="s">
        <v>15326</v>
      </c>
      <c r="H6558" s="255">
        <v>2</v>
      </c>
      <c r="I6558" s="361">
        <v>1</v>
      </c>
      <c r="J6558" s="371" t="s">
        <v>286</v>
      </c>
      <c r="K6558" s="373"/>
      <c r="L6558" s="129"/>
      <c r="M6558" s="129"/>
      <c r="N6558" s="129"/>
      <c r="O6558" s="129"/>
      <c r="P6558" s="364"/>
      <c r="Q6558" s="364"/>
      <c r="R6558" s="129"/>
      <c r="S6558" s="129"/>
      <c r="T6558" s="129"/>
      <c r="W6558" s="129" t="s">
        <v>286</v>
      </c>
      <c r="X6558" s="337" t="b">
        <f t="shared" si="141"/>
        <v>1</v>
      </c>
    </row>
    <row r="6559" spans="1:24" s="386" customFormat="1" ht="12" customHeight="1" outlineLevel="1">
      <c r="A6559" s="382"/>
      <c r="B6559" s="118" t="s">
        <v>12</v>
      </c>
      <c r="C6559" s="334" t="s">
        <v>15845</v>
      </c>
      <c r="D6559" s="124" t="s">
        <v>15846</v>
      </c>
      <c r="E6559" s="125"/>
      <c r="F6559" s="118" t="s">
        <v>1104</v>
      </c>
      <c r="G6559" s="126" t="s">
        <v>15326</v>
      </c>
      <c r="H6559" s="255">
        <v>2</v>
      </c>
      <c r="I6559" s="361">
        <v>1</v>
      </c>
      <c r="J6559" s="371" t="s">
        <v>307</v>
      </c>
      <c r="K6559" s="373"/>
      <c r="L6559" s="129"/>
      <c r="M6559" s="129"/>
      <c r="N6559" s="129"/>
      <c r="O6559" s="129"/>
      <c r="P6559" s="364"/>
      <c r="Q6559" s="364"/>
      <c r="R6559" s="129"/>
      <c r="S6559" s="129"/>
      <c r="T6559" s="129"/>
      <c r="W6559" s="129" t="s">
        <v>307</v>
      </c>
      <c r="X6559" s="337" t="b">
        <f t="shared" si="141"/>
        <v>1</v>
      </c>
    </row>
    <row r="6560" spans="1:24" s="386" customFormat="1" ht="12" customHeight="1" outlineLevel="1">
      <c r="A6560" s="382"/>
      <c r="B6560" s="118" t="s">
        <v>12</v>
      </c>
      <c r="C6560" s="334" t="s">
        <v>15847</v>
      </c>
      <c r="D6560" s="124" t="s">
        <v>15848</v>
      </c>
      <c r="E6560" s="125"/>
      <c r="F6560" s="118" t="s">
        <v>1104</v>
      </c>
      <c r="G6560" s="126" t="s">
        <v>15326</v>
      </c>
      <c r="H6560" s="255">
        <v>2</v>
      </c>
      <c r="I6560" s="361">
        <v>1</v>
      </c>
      <c r="J6560" s="371" t="s">
        <v>307</v>
      </c>
      <c r="K6560" s="373"/>
      <c r="L6560" s="129"/>
      <c r="M6560" s="129"/>
      <c r="N6560" s="129"/>
      <c r="O6560" s="129"/>
      <c r="P6560" s="364"/>
      <c r="Q6560" s="364"/>
      <c r="R6560" s="129"/>
      <c r="S6560" s="129"/>
      <c r="T6560" s="129"/>
      <c r="W6560" s="129" t="s">
        <v>307</v>
      </c>
      <c r="X6560" s="337" t="b">
        <f t="shared" si="141"/>
        <v>1</v>
      </c>
    </row>
    <row r="6561" spans="1:24" s="386" customFormat="1" ht="12" customHeight="1" outlineLevel="1">
      <c r="A6561" s="382"/>
      <c r="B6561" s="118" t="s">
        <v>12</v>
      </c>
      <c r="C6561" s="334" t="s">
        <v>15849</v>
      </c>
      <c r="D6561" s="124" t="s">
        <v>15850</v>
      </c>
      <c r="E6561" s="125"/>
      <c r="F6561" s="118" t="s">
        <v>1104</v>
      </c>
      <c r="G6561" s="126" t="s">
        <v>15326</v>
      </c>
      <c r="H6561" s="255">
        <v>2</v>
      </c>
      <c r="I6561" s="361">
        <v>1</v>
      </c>
      <c r="J6561" s="371" t="s">
        <v>310</v>
      </c>
      <c r="K6561" s="373"/>
      <c r="L6561" s="129"/>
      <c r="M6561" s="129"/>
      <c r="N6561" s="129"/>
      <c r="O6561" s="129"/>
      <c r="P6561" s="364"/>
      <c r="Q6561" s="364"/>
      <c r="R6561" s="129"/>
      <c r="S6561" s="129"/>
      <c r="T6561" s="129"/>
      <c r="W6561" s="129" t="s">
        <v>310</v>
      </c>
      <c r="X6561" s="337" t="b">
        <f t="shared" si="141"/>
        <v>1</v>
      </c>
    </row>
    <row r="6562" spans="1:24" s="386" customFormat="1" ht="12" customHeight="1" outlineLevel="1">
      <c r="A6562" s="382"/>
      <c r="B6562" s="118" t="s">
        <v>12</v>
      </c>
      <c r="C6562" s="334" t="s">
        <v>15851</v>
      </c>
      <c r="D6562" s="124" t="s">
        <v>15852</v>
      </c>
      <c r="E6562" s="125"/>
      <c r="F6562" s="118" t="s">
        <v>1104</v>
      </c>
      <c r="G6562" s="126" t="s">
        <v>15326</v>
      </c>
      <c r="H6562" s="255">
        <v>2</v>
      </c>
      <c r="I6562" s="361">
        <v>1</v>
      </c>
      <c r="J6562" s="371" t="s">
        <v>307</v>
      </c>
      <c r="K6562" s="373"/>
      <c r="L6562" s="129"/>
      <c r="M6562" s="129"/>
      <c r="N6562" s="129"/>
      <c r="O6562" s="129"/>
      <c r="P6562" s="364"/>
      <c r="Q6562" s="364"/>
      <c r="R6562" s="129"/>
      <c r="S6562" s="129"/>
      <c r="T6562" s="129"/>
      <c r="W6562" s="129" t="s">
        <v>310</v>
      </c>
      <c r="X6562" s="337" t="b">
        <f t="shared" si="141"/>
        <v>0</v>
      </c>
    </row>
    <row r="6563" spans="1:24" s="386" customFormat="1" ht="12" customHeight="1" outlineLevel="1">
      <c r="A6563" s="382"/>
      <c r="B6563" s="118" t="s">
        <v>12</v>
      </c>
      <c r="C6563" s="334" t="s">
        <v>15853</v>
      </c>
      <c r="D6563" s="124" t="s">
        <v>15854</v>
      </c>
      <c r="E6563" s="125"/>
      <c r="F6563" s="118" t="s">
        <v>1104</v>
      </c>
      <c r="G6563" s="126" t="s">
        <v>15326</v>
      </c>
      <c r="H6563" s="255">
        <v>2</v>
      </c>
      <c r="I6563" s="361">
        <v>1</v>
      </c>
      <c r="J6563" s="371" t="s">
        <v>307</v>
      </c>
      <c r="K6563" s="373"/>
      <c r="L6563" s="129"/>
      <c r="M6563" s="129"/>
      <c r="N6563" s="129"/>
      <c r="O6563" s="129"/>
      <c r="P6563" s="364"/>
      <c r="Q6563" s="364"/>
      <c r="R6563" s="129"/>
      <c r="S6563" s="129"/>
      <c r="T6563" s="129"/>
      <c r="W6563" s="129" t="s">
        <v>310</v>
      </c>
      <c r="X6563" s="337" t="b">
        <f t="shared" si="141"/>
        <v>0</v>
      </c>
    </row>
    <row r="6564" spans="1:24" s="386" customFormat="1" ht="12" customHeight="1" outlineLevel="1">
      <c r="A6564" s="382"/>
      <c r="B6564" s="118" t="s">
        <v>12</v>
      </c>
      <c r="C6564" s="334" t="s">
        <v>15855</v>
      </c>
      <c r="D6564" s="124" t="s">
        <v>15856</v>
      </c>
      <c r="E6564" s="125"/>
      <c r="F6564" s="118" t="s">
        <v>1104</v>
      </c>
      <c r="G6564" s="126" t="s">
        <v>15326</v>
      </c>
      <c r="H6564" s="255">
        <v>2</v>
      </c>
      <c r="I6564" s="361">
        <v>1</v>
      </c>
      <c r="J6564" s="371" t="s">
        <v>310</v>
      </c>
      <c r="K6564" s="373"/>
      <c r="L6564" s="129"/>
      <c r="M6564" s="129"/>
      <c r="N6564" s="129"/>
      <c r="O6564" s="129"/>
      <c r="P6564" s="364"/>
      <c r="Q6564" s="364"/>
      <c r="R6564" s="129"/>
      <c r="S6564" s="129"/>
      <c r="T6564" s="129"/>
      <c r="W6564" s="129" t="s">
        <v>286</v>
      </c>
      <c r="X6564" s="337" t="b">
        <f t="shared" si="141"/>
        <v>0</v>
      </c>
    </row>
    <row r="6565" spans="1:24" s="386" customFormat="1" ht="12" customHeight="1" outlineLevel="1">
      <c r="A6565" s="382"/>
      <c r="B6565" s="118" t="s">
        <v>12</v>
      </c>
      <c r="C6565" s="334" t="s">
        <v>15857</v>
      </c>
      <c r="D6565" s="124" t="s">
        <v>15858</v>
      </c>
      <c r="E6565" s="125"/>
      <c r="F6565" s="118" t="s">
        <v>1104</v>
      </c>
      <c r="G6565" s="126" t="s">
        <v>15326</v>
      </c>
      <c r="H6565" s="255">
        <v>2</v>
      </c>
      <c r="I6565" s="361">
        <v>1</v>
      </c>
      <c r="J6565" s="371" t="s">
        <v>286</v>
      </c>
      <c r="K6565" s="373"/>
      <c r="L6565" s="129"/>
      <c r="M6565" s="129"/>
      <c r="N6565" s="129"/>
      <c r="O6565" s="129"/>
      <c r="P6565" s="364"/>
      <c r="Q6565" s="364"/>
      <c r="R6565" s="129"/>
      <c r="S6565" s="129"/>
      <c r="T6565" s="129"/>
      <c r="W6565" s="129" t="s">
        <v>286</v>
      </c>
      <c r="X6565" s="337" t="b">
        <f t="shared" si="141"/>
        <v>1</v>
      </c>
    </row>
    <row r="6566" spans="1:24" s="386" customFormat="1" ht="12" customHeight="1" outlineLevel="1">
      <c r="A6566" s="382"/>
      <c r="B6566" s="118" t="s">
        <v>12</v>
      </c>
      <c r="C6566" s="334" t="s">
        <v>15859</v>
      </c>
      <c r="D6566" s="124" t="s">
        <v>15860</v>
      </c>
      <c r="E6566" s="125"/>
      <c r="F6566" s="118" t="s">
        <v>1104</v>
      </c>
      <c r="G6566" s="126" t="s">
        <v>15326</v>
      </c>
      <c r="H6566" s="255">
        <v>2</v>
      </c>
      <c r="I6566" s="361">
        <v>1</v>
      </c>
      <c r="J6566" s="371" t="s">
        <v>286</v>
      </c>
      <c r="K6566" s="373"/>
      <c r="L6566" s="129"/>
      <c r="M6566" s="129"/>
      <c r="N6566" s="129"/>
      <c r="O6566" s="129"/>
      <c r="P6566" s="364"/>
      <c r="Q6566" s="364"/>
      <c r="R6566" s="129"/>
      <c r="S6566" s="129"/>
      <c r="T6566" s="129"/>
      <c r="W6566" s="129" t="s">
        <v>286</v>
      </c>
      <c r="X6566" s="337" t="b">
        <f t="shared" si="141"/>
        <v>1</v>
      </c>
    </row>
    <row r="6567" spans="1:24" s="386" customFormat="1" ht="12" customHeight="1" outlineLevel="1">
      <c r="A6567" s="382"/>
      <c r="B6567" s="118" t="s">
        <v>12</v>
      </c>
      <c r="C6567" s="334" t="s">
        <v>15861</v>
      </c>
      <c r="D6567" s="124" t="s">
        <v>15862</v>
      </c>
      <c r="E6567" s="125"/>
      <c r="F6567" s="118" t="s">
        <v>1104</v>
      </c>
      <c r="G6567" s="126" t="s">
        <v>15326</v>
      </c>
      <c r="H6567" s="255">
        <v>2</v>
      </c>
      <c r="I6567" s="361">
        <v>1</v>
      </c>
      <c r="J6567" s="371" t="s">
        <v>310</v>
      </c>
      <c r="K6567" s="373"/>
      <c r="L6567" s="129"/>
      <c r="M6567" s="129"/>
      <c r="N6567" s="129"/>
      <c r="O6567" s="129"/>
      <c r="P6567" s="364"/>
      <c r="Q6567" s="364"/>
      <c r="R6567" s="129"/>
      <c r="S6567" s="129"/>
      <c r="T6567" s="129"/>
      <c r="W6567" s="129" t="s">
        <v>286</v>
      </c>
      <c r="X6567" s="337" t="b">
        <f t="shared" si="141"/>
        <v>0</v>
      </c>
    </row>
    <row r="6568" spans="1:24" s="386" customFormat="1" ht="12" customHeight="1" outlineLevel="1">
      <c r="A6568" s="382"/>
      <c r="B6568" s="118" t="s">
        <v>12</v>
      </c>
      <c r="C6568" s="334" t="s">
        <v>15863</v>
      </c>
      <c r="D6568" s="124" t="s">
        <v>15864</v>
      </c>
      <c r="E6568" s="125"/>
      <c r="F6568" s="118" t="s">
        <v>1104</v>
      </c>
      <c r="G6568" s="126" t="s">
        <v>15326</v>
      </c>
      <c r="H6568" s="255">
        <v>2</v>
      </c>
      <c r="I6568" s="361">
        <v>1</v>
      </c>
      <c r="J6568" s="371" t="s">
        <v>310</v>
      </c>
      <c r="K6568" s="373"/>
      <c r="L6568" s="129"/>
      <c r="M6568" s="129"/>
      <c r="N6568" s="129"/>
      <c r="O6568" s="129"/>
      <c r="P6568" s="364"/>
      <c r="Q6568" s="364"/>
      <c r="R6568" s="129"/>
      <c r="S6568" s="129"/>
      <c r="T6568" s="129"/>
      <c r="W6568" s="129" t="s">
        <v>286</v>
      </c>
      <c r="X6568" s="337" t="b">
        <f t="shared" si="141"/>
        <v>0</v>
      </c>
    </row>
    <row r="6569" spans="1:24" s="386" customFormat="1" ht="12" customHeight="1" outlineLevel="1">
      <c r="A6569" s="382"/>
      <c r="B6569" s="118" t="s">
        <v>12</v>
      </c>
      <c r="C6569" s="334" t="s">
        <v>15865</v>
      </c>
      <c r="D6569" s="124" t="s">
        <v>15866</v>
      </c>
      <c r="E6569" s="125"/>
      <c r="F6569" s="118" t="s">
        <v>1104</v>
      </c>
      <c r="G6569" s="126" t="s">
        <v>15326</v>
      </c>
      <c r="H6569" s="255">
        <v>2</v>
      </c>
      <c r="I6569" s="361">
        <v>1</v>
      </c>
      <c r="J6569" s="371" t="s">
        <v>310</v>
      </c>
      <c r="K6569" s="373"/>
      <c r="L6569" s="129"/>
      <c r="M6569" s="129"/>
      <c r="N6569" s="129"/>
      <c r="O6569" s="129"/>
      <c r="P6569" s="364"/>
      <c r="Q6569" s="364"/>
      <c r="R6569" s="129"/>
      <c r="S6569" s="129"/>
      <c r="T6569" s="129"/>
      <c r="W6569" s="129" t="s">
        <v>286</v>
      </c>
      <c r="X6569" s="337" t="b">
        <f t="shared" si="141"/>
        <v>0</v>
      </c>
    </row>
    <row r="6570" spans="1:24" s="386" customFormat="1" ht="12" customHeight="1" outlineLevel="1">
      <c r="A6570" s="382"/>
      <c r="B6570" s="118" t="s">
        <v>12</v>
      </c>
      <c r="C6570" s="334" t="s">
        <v>15867</v>
      </c>
      <c r="D6570" s="124" t="s">
        <v>15868</v>
      </c>
      <c r="E6570" s="125"/>
      <c r="F6570" s="118" t="s">
        <v>1104</v>
      </c>
      <c r="G6570" s="126" t="s">
        <v>15326</v>
      </c>
      <c r="H6570" s="255">
        <v>2</v>
      </c>
      <c r="I6570" s="361">
        <v>1</v>
      </c>
      <c r="J6570" s="371" t="s">
        <v>310</v>
      </c>
      <c r="K6570" s="373"/>
      <c r="L6570" s="129"/>
      <c r="M6570" s="129"/>
      <c r="N6570" s="129"/>
      <c r="O6570" s="129"/>
      <c r="P6570" s="364"/>
      <c r="Q6570" s="364"/>
      <c r="R6570" s="129"/>
      <c r="S6570" s="129"/>
      <c r="T6570" s="129"/>
      <c r="W6570" s="129" t="s">
        <v>286</v>
      </c>
      <c r="X6570" s="337" t="b">
        <f t="shared" si="141"/>
        <v>0</v>
      </c>
    </row>
    <row r="6571" spans="1:24" s="386" customFormat="1" ht="12" customHeight="1" outlineLevel="1">
      <c r="A6571" s="382"/>
      <c r="B6571" s="118" t="s">
        <v>12</v>
      </c>
      <c r="C6571" s="334" t="s">
        <v>15869</v>
      </c>
      <c r="D6571" s="124" t="s">
        <v>15870</v>
      </c>
      <c r="E6571" s="125"/>
      <c r="F6571" s="118" t="s">
        <v>1104</v>
      </c>
      <c r="G6571" s="126" t="s">
        <v>15326</v>
      </c>
      <c r="H6571" s="255">
        <v>2</v>
      </c>
      <c r="I6571" s="361">
        <v>1</v>
      </c>
      <c r="J6571" s="371" t="s">
        <v>286</v>
      </c>
      <c r="K6571" s="373"/>
      <c r="L6571" s="129"/>
      <c r="M6571" s="129"/>
      <c r="N6571" s="129"/>
      <c r="O6571" s="129"/>
      <c r="P6571" s="364"/>
      <c r="Q6571" s="364"/>
      <c r="R6571" s="129"/>
      <c r="S6571" s="129"/>
      <c r="T6571" s="129"/>
      <c r="W6571" s="129" t="s">
        <v>286</v>
      </c>
      <c r="X6571" s="337" t="b">
        <f t="shared" si="141"/>
        <v>1</v>
      </c>
    </row>
    <row r="6572" spans="1:24" s="386" customFormat="1" ht="12" customHeight="1" outlineLevel="1">
      <c r="A6572" s="382"/>
      <c r="B6572" s="118" t="s">
        <v>12</v>
      </c>
      <c r="C6572" s="334" t="s">
        <v>15871</v>
      </c>
      <c r="D6572" s="124" t="s">
        <v>15872</v>
      </c>
      <c r="E6572" s="125"/>
      <c r="F6572" s="118" t="s">
        <v>1104</v>
      </c>
      <c r="G6572" s="126" t="s">
        <v>15326</v>
      </c>
      <c r="H6572" s="255">
        <v>2</v>
      </c>
      <c r="I6572" s="361">
        <v>1</v>
      </c>
      <c r="J6572" s="371" t="s">
        <v>286</v>
      </c>
      <c r="K6572" s="373"/>
      <c r="L6572" s="129"/>
      <c r="M6572" s="129"/>
      <c r="N6572" s="129"/>
      <c r="O6572" s="129"/>
      <c r="P6572" s="364"/>
      <c r="Q6572" s="364"/>
      <c r="R6572" s="129"/>
      <c r="S6572" s="129"/>
      <c r="T6572" s="129"/>
      <c r="W6572" s="129" t="s">
        <v>286</v>
      </c>
      <c r="X6572" s="337" t="b">
        <f t="shared" si="141"/>
        <v>1</v>
      </c>
    </row>
    <row r="6573" spans="1:24" s="386" customFormat="1" ht="12" customHeight="1" outlineLevel="1">
      <c r="A6573" s="382"/>
      <c r="B6573" s="118" t="s">
        <v>12</v>
      </c>
      <c r="C6573" s="334" t="s">
        <v>15873</v>
      </c>
      <c r="D6573" s="124" t="s">
        <v>15874</v>
      </c>
      <c r="E6573" s="125"/>
      <c r="F6573" s="118" t="s">
        <v>1104</v>
      </c>
      <c r="G6573" s="126" t="s">
        <v>15326</v>
      </c>
      <c r="H6573" s="255">
        <v>2</v>
      </c>
      <c r="I6573" s="361">
        <v>1</v>
      </c>
      <c r="J6573" s="371" t="s">
        <v>310</v>
      </c>
      <c r="K6573" s="373"/>
      <c r="L6573" s="129"/>
      <c r="M6573" s="129"/>
      <c r="N6573" s="129"/>
      <c r="O6573" s="129"/>
      <c r="P6573" s="364"/>
      <c r="Q6573" s="364"/>
      <c r="R6573" s="129"/>
      <c r="S6573" s="129"/>
      <c r="T6573" s="129"/>
      <c r="W6573" s="129" t="s">
        <v>286</v>
      </c>
      <c r="X6573" s="337" t="b">
        <f t="shared" si="141"/>
        <v>0</v>
      </c>
    </row>
    <row r="6574" spans="1:24" s="386" customFormat="1" ht="12" customHeight="1" outlineLevel="1">
      <c r="A6574" s="382"/>
      <c r="B6574" s="118" t="s">
        <v>12</v>
      </c>
      <c r="C6574" s="334" t="s">
        <v>15875</v>
      </c>
      <c r="D6574" s="124" t="s">
        <v>15876</v>
      </c>
      <c r="E6574" s="125"/>
      <c r="F6574" s="118" t="s">
        <v>1104</v>
      </c>
      <c r="G6574" s="126" t="s">
        <v>15326</v>
      </c>
      <c r="H6574" s="255">
        <v>2</v>
      </c>
      <c r="I6574" s="361">
        <v>1</v>
      </c>
      <c r="J6574" s="371" t="s">
        <v>307</v>
      </c>
      <c r="K6574" s="373"/>
      <c r="L6574" s="129"/>
      <c r="M6574" s="129"/>
      <c r="N6574" s="129"/>
      <c r="O6574" s="129"/>
      <c r="P6574" s="364"/>
      <c r="Q6574" s="364"/>
      <c r="R6574" s="129"/>
      <c r="S6574" s="129"/>
      <c r="T6574" s="129"/>
      <c r="W6574" s="129" t="s">
        <v>310</v>
      </c>
      <c r="X6574" s="337" t="b">
        <f t="shared" si="141"/>
        <v>0</v>
      </c>
    </row>
    <row r="6575" spans="1:24" s="386" customFormat="1" ht="12" customHeight="1" outlineLevel="1">
      <c r="A6575" s="382"/>
      <c r="B6575" s="118" t="s">
        <v>12</v>
      </c>
      <c r="C6575" s="334" t="s">
        <v>15877</v>
      </c>
      <c r="D6575" s="124" t="s">
        <v>15878</v>
      </c>
      <c r="E6575" s="125"/>
      <c r="F6575" s="118" t="s">
        <v>1104</v>
      </c>
      <c r="G6575" s="126" t="s">
        <v>15326</v>
      </c>
      <c r="H6575" s="255">
        <v>2</v>
      </c>
      <c r="I6575" s="361">
        <v>1</v>
      </c>
      <c r="J6575" s="371" t="s">
        <v>310</v>
      </c>
      <c r="K6575" s="373"/>
      <c r="L6575" s="129"/>
      <c r="M6575" s="129"/>
      <c r="N6575" s="129"/>
      <c r="O6575" s="129"/>
      <c r="P6575" s="364"/>
      <c r="Q6575" s="364"/>
      <c r="R6575" s="129"/>
      <c r="S6575" s="129"/>
      <c r="T6575" s="129"/>
      <c r="W6575" s="129" t="s">
        <v>286</v>
      </c>
      <c r="X6575" s="337" t="b">
        <f t="shared" si="141"/>
        <v>0</v>
      </c>
    </row>
    <row r="6576" spans="1:24" s="386" customFormat="1" ht="12" customHeight="1" outlineLevel="1">
      <c r="A6576" s="382"/>
      <c r="B6576" s="118" t="s">
        <v>12</v>
      </c>
      <c r="C6576" s="334" t="s">
        <v>15879</v>
      </c>
      <c r="D6576" s="124" t="s">
        <v>15880</v>
      </c>
      <c r="E6576" s="125"/>
      <c r="F6576" s="118" t="s">
        <v>1104</v>
      </c>
      <c r="G6576" s="126" t="s">
        <v>15326</v>
      </c>
      <c r="H6576" s="255">
        <v>2</v>
      </c>
      <c r="I6576" s="361">
        <v>1</v>
      </c>
      <c r="J6576" s="371" t="s">
        <v>286</v>
      </c>
      <c r="K6576" s="373"/>
      <c r="L6576" s="129"/>
      <c r="M6576" s="129"/>
      <c r="N6576" s="129"/>
      <c r="O6576" s="129"/>
      <c r="P6576" s="364"/>
      <c r="Q6576" s="364"/>
      <c r="R6576" s="129"/>
      <c r="S6576" s="129"/>
      <c r="T6576" s="129"/>
      <c r="W6576" s="129" t="s">
        <v>286</v>
      </c>
      <c r="X6576" s="337" t="b">
        <f t="shared" si="141"/>
        <v>1</v>
      </c>
    </row>
    <row r="6577" spans="1:24" s="386" customFormat="1" ht="12" customHeight="1" outlineLevel="1">
      <c r="A6577" s="382"/>
      <c r="B6577" s="118" t="s">
        <v>12</v>
      </c>
      <c r="C6577" s="334" t="s">
        <v>15881</v>
      </c>
      <c r="D6577" s="124" t="s">
        <v>15592</v>
      </c>
      <c r="E6577" s="125"/>
      <c r="F6577" s="118" t="s">
        <v>1104</v>
      </c>
      <c r="G6577" s="126" t="s">
        <v>15326</v>
      </c>
      <c r="H6577" s="255">
        <v>2</v>
      </c>
      <c r="I6577" s="361">
        <v>1</v>
      </c>
      <c r="J6577" s="371" t="s">
        <v>286</v>
      </c>
      <c r="K6577" s="373"/>
      <c r="L6577" s="129"/>
      <c r="M6577" s="129"/>
      <c r="N6577" s="129"/>
      <c r="O6577" s="129"/>
      <c r="P6577" s="364"/>
      <c r="Q6577" s="364"/>
      <c r="R6577" s="129"/>
      <c r="S6577" s="129"/>
      <c r="T6577" s="129"/>
      <c r="W6577" s="129" t="s">
        <v>286</v>
      </c>
      <c r="X6577" s="337" t="b">
        <f t="shared" si="141"/>
        <v>1</v>
      </c>
    </row>
    <row r="6578" spans="1:24" s="386" customFormat="1" ht="12" customHeight="1" outlineLevel="1">
      <c r="A6578" s="382"/>
      <c r="B6578" s="118" t="s">
        <v>12</v>
      </c>
      <c r="C6578" s="334" t="s">
        <v>15882</v>
      </c>
      <c r="D6578" s="124" t="s">
        <v>15883</v>
      </c>
      <c r="E6578" s="125"/>
      <c r="F6578" s="118" t="s">
        <v>1104</v>
      </c>
      <c r="G6578" s="126" t="s">
        <v>15326</v>
      </c>
      <c r="H6578" s="255">
        <v>2</v>
      </c>
      <c r="I6578" s="361">
        <v>1</v>
      </c>
      <c r="J6578" s="371" t="s">
        <v>286</v>
      </c>
      <c r="K6578" s="373"/>
      <c r="L6578" s="129"/>
      <c r="M6578" s="129"/>
      <c r="N6578" s="129"/>
      <c r="O6578" s="129"/>
      <c r="P6578" s="364"/>
      <c r="Q6578" s="364"/>
      <c r="R6578" s="129"/>
      <c r="S6578" s="129"/>
      <c r="T6578" s="129"/>
      <c r="W6578" s="129" t="s">
        <v>286</v>
      </c>
      <c r="X6578" s="337" t="b">
        <f t="shared" si="141"/>
        <v>1</v>
      </c>
    </row>
    <row r="6579" spans="1:24" s="386" customFormat="1" ht="12" customHeight="1" outlineLevel="1">
      <c r="A6579" s="382"/>
      <c r="B6579" s="118" t="s">
        <v>12</v>
      </c>
      <c r="C6579" s="334" t="s">
        <v>15884</v>
      </c>
      <c r="D6579" s="124" t="s">
        <v>15594</v>
      </c>
      <c r="E6579" s="125"/>
      <c r="F6579" s="118" t="s">
        <v>1104</v>
      </c>
      <c r="G6579" s="126" t="s">
        <v>15326</v>
      </c>
      <c r="H6579" s="255">
        <v>2</v>
      </c>
      <c r="I6579" s="361">
        <v>1</v>
      </c>
      <c r="J6579" s="371" t="s">
        <v>286</v>
      </c>
      <c r="K6579" s="373"/>
      <c r="L6579" s="129"/>
      <c r="M6579" s="129"/>
      <c r="N6579" s="129"/>
      <c r="O6579" s="129"/>
      <c r="P6579" s="364"/>
      <c r="Q6579" s="364"/>
      <c r="R6579" s="129"/>
      <c r="S6579" s="129"/>
      <c r="T6579" s="129"/>
      <c r="W6579" s="129" t="s">
        <v>286</v>
      </c>
      <c r="X6579" s="337" t="b">
        <f t="shared" si="141"/>
        <v>1</v>
      </c>
    </row>
    <row r="6580" spans="1:24" s="386" customFormat="1" ht="12" customHeight="1" outlineLevel="1">
      <c r="A6580" s="382"/>
      <c r="B6580" s="118" t="s">
        <v>12</v>
      </c>
      <c r="C6580" s="334" t="s">
        <v>15885</v>
      </c>
      <c r="D6580" s="124" t="s">
        <v>15886</v>
      </c>
      <c r="E6580" s="125"/>
      <c r="F6580" s="118" t="s">
        <v>1104</v>
      </c>
      <c r="G6580" s="126" t="s">
        <v>15326</v>
      </c>
      <c r="H6580" s="255">
        <v>2</v>
      </c>
      <c r="I6580" s="361">
        <v>1</v>
      </c>
      <c r="J6580" s="371" t="s">
        <v>310</v>
      </c>
      <c r="K6580" s="373"/>
      <c r="L6580" s="129"/>
      <c r="M6580" s="129"/>
      <c r="N6580" s="129"/>
      <c r="O6580" s="129"/>
      <c r="P6580" s="364"/>
      <c r="Q6580" s="364"/>
      <c r="R6580" s="129"/>
      <c r="S6580" s="129"/>
      <c r="T6580" s="129"/>
      <c r="W6580" s="129" t="s">
        <v>286</v>
      </c>
      <c r="X6580" s="337" t="b">
        <f t="shared" si="141"/>
        <v>0</v>
      </c>
    </row>
    <row r="6581" spans="1:24" s="386" customFormat="1" ht="12" customHeight="1" outlineLevel="1">
      <c r="A6581" s="382"/>
      <c r="B6581" s="118" t="s">
        <v>12</v>
      </c>
      <c r="C6581" s="334" t="s">
        <v>15887</v>
      </c>
      <c r="D6581" s="124" t="s">
        <v>15598</v>
      </c>
      <c r="E6581" s="125"/>
      <c r="F6581" s="118" t="s">
        <v>1104</v>
      </c>
      <c r="G6581" s="126" t="s">
        <v>15326</v>
      </c>
      <c r="H6581" s="255">
        <v>2</v>
      </c>
      <c r="I6581" s="361">
        <v>1</v>
      </c>
      <c r="J6581" s="371" t="s">
        <v>286</v>
      </c>
      <c r="K6581" s="373"/>
      <c r="L6581" s="129"/>
      <c r="M6581" s="129"/>
      <c r="N6581" s="129"/>
      <c r="O6581" s="129"/>
      <c r="P6581" s="364"/>
      <c r="Q6581" s="364"/>
      <c r="R6581" s="129"/>
      <c r="S6581" s="129"/>
      <c r="T6581" s="129"/>
      <c r="W6581" s="129" t="s">
        <v>286</v>
      </c>
      <c r="X6581" s="337" t="b">
        <f t="shared" si="141"/>
        <v>1</v>
      </c>
    </row>
    <row r="6582" spans="1:24" s="386" customFormat="1" ht="12" customHeight="1" outlineLevel="1">
      <c r="A6582" s="382"/>
      <c r="B6582" s="118" t="s">
        <v>12</v>
      </c>
      <c r="C6582" s="334" t="s">
        <v>15888</v>
      </c>
      <c r="D6582" s="124" t="s">
        <v>15600</v>
      </c>
      <c r="E6582" s="125"/>
      <c r="F6582" s="118" t="s">
        <v>1104</v>
      </c>
      <c r="G6582" s="126" t="s">
        <v>15326</v>
      </c>
      <c r="H6582" s="255">
        <v>2</v>
      </c>
      <c r="I6582" s="361">
        <v>1</v>
      </c>
      <c r="J6582" s="371" t="s">
        <v>310</v>
      </c>
      <c r="K6582" s="373"/>
      <c r="L6582" s="129"/>
      <c r="M6582" s="129"/>
      <c r="N6582" s="129"/>
      <c r="O6582" s="129"/>
      <c r="P6582" s="364"/>
      <c r="Q6582" s="364"/>
      <c r="R6582" s="129"/>
      <c r="S6582" s="129"/>
      <c r="T6582" s="129"/>
      <c r="W6582" s="129" t="s">
        <v>286</v>
      </c>
      <c r="X6582" s="337" t="b">
        <f t="shared" si="141"/>
        <v>0</v>
      </c>
    </row>
    <row r="6583" spans="1:24" s="386" customFormat="1" ht="12" customHeight="1" outlineLevel="1">
      <c r="A6583" s="382"/>
      <c r="B6583" s="118" t="s">
        <v>12</v>
      </c>
      <c r="C6583" s="334" t="s">
        <v>15889</v>
      </c>
      <c r="D6583" s="124" t="s">
        <v>15890</v>
      </c>
      <c r="E6583" s="125"/>
      <c r="F6583" s="118" t="s">
        <v>1104</v>
      </c>
      <c r="G6583" s="126" t="s">
        <v>15326</v>
      </c>
      <c r="H6583" s="255">
        <v>2</v>
      </c>
      <c r="I6583" s="361">
        <v>1</v>
      </c>
      <c r="J6583" s="371" t="s">
        <v>286</v>
      </c>
      <c r="K6583" s="373"/>
      <c r="L6583" s="129"/>
      <c r="M6583" s="129"/>
      <c r="N6583" s="129"/>
      <c r="O6583" s="129"/>
      <c r="P6583" s="364"/>
      <c r="Q6583" s="364"/>
      <c r="R6583" s="129"/>
      <c r="S6583" s="129"/>
      <c r="T6583" s="129"/>
      <c r="W6583" s="129" t="s">
        <v>286</v>
      </c>
      <c r="X6583" s="337" t="b">
        <f t="shared" si="141"/>
        <v>1</v>
      </c>
    </row>
    <row r="6584" spans="1:24" s="386" customFormat="1" ht="12" customHeight="1" outlineLevel="1">
      <c r="A6584" s="382"/>
      <c r="B6584" s="118" t="s">
        <v>12</v>
      </c>
      <c r="C6584" s="334" t="s">
        <v>15891</v>
      </c>
      <c r="D6584" s="124" t="s">
        <v>15892</v>
      </c>
      <c r="E6584" s="125"/>
      <c r="F6584" s="118" t="s">
        <v>1104</v>
      </c>
      <c r="G6584" s="126" t="s">
        <v>15326</v>
      </c>
      <c r="H6584" s="255">
        <v>2</v>
      </c>
      <c r="I6584" s="361">
        <v>1</v>
      </c>
      <c r="J6584" s="371" t="s">
        <v>286</v>
      </c>
      <c r="K6584" s="373"/>
      <c r="L6584" s="129"/>
      <c r="M6584" s="129"/>
      <c r="N6584" s="129"/>
      <c r="O6584" s="129"/>
      <c r="P6584" s="364"/>
      <c r="Q6584" s="364"/>
      <c r="R6584" s="129"/>
      <c r="S6584" s="129"/>
      <c r="T6584" s="129"/>
      <c r="W6584" s="129" t="s">
        <v>286</v>
      </c>
      <c r="X6584" s="337" t="b">
        <f t="shared" si="141"/>
        <v>1</v>
      </c>
    </row>
    <row r="6585" spans="1:24" s="386" customFormat="1" ht="12" customHeight="1" outlineLevel="1">
      <c r="A6585" s="382"/>
      <c r="B6585" s="118" t="s">
        <v>12</v>
      </c>
      <c r="C6585" s="334" t="s">
        <v>15893</v>
      </c>
      <c r="D6585" s="124" t="s">
        <v>15894</v>
      </c>
      <c r="E6585" s="125"/>
      <c r="F6585" s="118" t="s">
        <v>1104</v>
      </c>
      <c r="G6585" s="126" t="s">
        <v>15326</v>
      </c>
      <c r="H6585" s="255">
        <v>2</v>
      </c>
      <c r="I6585" s="361">
        <v>1</v>
      </c>
      <c r="J6585" s="371" t="s">
        <v>286</v>
      </c>
      <c r="K6585" s="373"/>
      <c r="L6585" s="129"/>
      <c r="M6585" s="129"/>
      <c r="N6585" s="129"/>
      <c r="O6585" s="129"/>
      <c r="P6585" s="364"/>
      <c r="Q6585" s="364"/>
      <c r="R6585" s="129"/>
      <c r="S6585" s="129"/>
      <c r="T6585" s="129"/>
      <c r="W6585" s="129" t="s">
        <v>286</v>
      </c>
      <c r="X6585" s="337" t="b">
        <f t="shared" si="141"/>
        <v>1</v>
      </c>
    </row>
    <row r="6586" spans="1:24" s="386" customFormat="1" ht="12" customHeight="1" outlineLevel="1">
      <c r="A6586" s="382"/>
      <c r="B6586" s="118" t="s">
        <v>12</v>
      </c>
      <c r="C6586" s="334" t="s">
        <v>15895</v>
      </c>
      <c r="D6586" s="124" t="s">
        <v>15896</v>
      </c>
      <c r="E6586" s="125"/>
      <c r="F6586" s="118" t="s">
        <v>1104</v>
      </c>
      <c r="G6586" s="126" t="s">
        <v>15326</v>
      </c>
      <c r="H6586" s="255">
        <v>2</v>
      </c>
      <c r="I6586" s="361">
        <v>1</v>
      </c>
      <c r="J6586" s="371" t="s">
        <v>286</v>
      </c>
      <c r="K6586" s="373"/>
      <c r="L6586" s="129"/>
      <c r="M6586" s="129"/>
      <c r="N6586" s="129"/>
      <c r="O6586" s="129"/>
      <c r="P6586" s="364"/>
      <c r="Q6586" s="364"/>
      <c r="R6586" s="129"/>
      <c r="S6586" s="129"/>
      <c r="T6586" s="129"/>
      <c r="W6586" s="129" t="s">
        <v>286</v>
      </c>
      <c r="X6586" s="337" t="b">
        <f t="shared" si="141"/>
        <v>1</v>
      </c>
    </row>
    <row r="6587" spans="1:24" s="386" customFormat="1" ht="12" customHeight="1" outlineLevel="1">
      <c r="A6587" s="382"/>
      <c r="B6587" s="118" t="s">
        <v>12</v>
      </c>
      <c r="C6587" s="334" t="s">
        <v>15897</v>
      </c>
      <c r="D6587" s="124" t="s">
        <v>15898</v>
      </c>
      <c r="E6587" s="125"/>
      <c r="F6587" s="118" t="s">
        <v>1104</v>
      </c>
      <c r="G6587" s="126" t="s">
        <v>15312</v>
      </c>
      <c r="H6587" s="255">
        <v>1</v>
      </c>
      <c r="I6587" s="361">
        <v>1</v>
      </c>
      <c r="J6587" s="371" t="s">
        <v>310</v>
      </c>
      <c r="K6587" s="373"/>
      <c r="L6587" s="129"/>
      <c r="M6587" s="129"/>
      <c r="N6587" s="129"/>
      <c r="O6587" s="129"/>
      <c r="P6587" s="364"/>
      <c r="Q6587" s="364"/>
      <c r="R6587" s="129"/>
      <c r="S6587" s="129"/>
      <c r="T6587" s="129"/>
      <c r="W6587" s="129" t="s">
        <v>4876</v>
      </c>
      <c r="X6587" s="337" t="b">
        <f t="shared" si="141"/>
        <v>0</v>
      </c>
    </row>
    <row r="6588" spans="1:24" s="386" customFormat="1" ht="12" customHeight="1" outlineLevel="1">
      <c r="A6588" s="382"/>
      <c r="B6588" s="118" t="s">
        <v>12</v>
      </c>
      <c r="C6588" s="334" t="s">
        <v>15899</v>
      </c>
      <c r="D6588" s="124" t="s">
        <v>15900</v>
      </c>
      <c r="E6588" s="125"/>
      <c r="F6588" s="118" t="s">
        <v>1104</v>
      </c>
      <c r="G6588" s="126" t="s">
        <v>15312</v>
      </c>
      <c r="H6588" s="255">
        <v>1</v>
      </c>
      <c r="I6588" s="361">
        <v>1</v>
      </c>
      <c r="J6588" s="371" t="s">
        <v>286</v>
      </c>
      <c r="K6588" s="373"/>
      <c r="L6588" s="129"/>
      <c r="M6588" s="129"/>
      <c r="N6588" s="129"/>
      <c r="O6588" s="129"/>
      <c r="P6588" s="364"/>
      <c r="Q6588" s="364"/>
      <c r="R6588" s="129"/>
      <c r="S6588" s="129"/>
      <c r="T6588" s="129"/>
      <c r="W6588" s="129" t="s">
        <v>4876</v>
      </c>
      <c r="X6588" s="337" t="b">
        <f t="shared" si="141"/>
        <v>0</v>
      </c>
    </row>
    <row r="6589" spans="1:24" s="386" customFormat="1" ht="12" customHeight="1" outlineLevel="1">
      <c r="A6589" s="382"/>
      <c r="B6589" s="118" t="s">
        <v>12</v>
      </c>
      <c r="C6589" s="334" t="s">
        <v>15901</v>
      </c>
      <c r="D6589" s="124" t="s">
        <v>15618</v>
      </c>
      <c r="E6589" s="125"/>
      <c r="F6589" s="118" t="s">
        <v>1104</v>
      </c>
      <c r="G6589" s="126" t="s">
        <v>15312</v>
      </c>
      <c r="H6589" s="255">
        <v>1</v>
      </c>
      <c r="I6589" s="361">
        <v>1</v>
      </c>
      <c r="J6589" s="371" t="s">
        <v>286</v>
      </c>
      <c r="K6589" s="373"/>
      <c r="L6589" s="129"/>
      <c r="M6589" s="129"/>
      <c r="N6589" s="129"/>
      <c r="O6589" s="129"/>
      <c r="P6589" s="364"/>
      <c r="Q6589" s="364"/>
      <c r="R6589" s="129"/>
      <c r="S6589" s="129"/>
      <c r="T6589" s="129"/>
      <c r="W6589" s="129" t="s">
        <v>4876</v>
      </c>
      <c r="X6589" s="337" t="b">
        <f t="shared" si="141"/>
        <v>0</v>
      </c>
    </row>
    <row r="6590" spans="1:24" s="386" customFormat="1" ht="12" customHeight="1" outlineLevel="1">
      <c r="A6590" s="382"/>
      <c r="B6590" s="118" t="s">
        <v>12</v>
      </c>
      <c r="C6590" s="334" t="s">
        <v>15902</v>
      </c>
      <c r="D6590" s="124" t="s">
        <v>15646</v>
      </c>
      <c r="E6590" s="125"/>
      <c r="F6590" s="118" t="s">
        <v>1104</v>
      </c>
      <c r="G6590" s="126" t="s">
        <v>15312</v>
      </c>
      <c r="H6590" s="255">
        <v>1</v>
      </c>
      <c r="I6590" s="361">
        <v>1</v>
      </c>
      <c r="J6590" s="371" t="s">
        <v>286</v>
      </c>
      <c r="K6590" s="373"/>
      <c r="L6590" s="129"/>
      <c r="M6590" s="129"/>
      <c r="N6590" s="129"/>
      <c r="O6590" s="129"/>
      <c r="P6590" s="364"/>
      <c r="Q6590" s="364"/>
      <c r="R6590" s="129"/>
      <c r="S6590" s="129"/>
      <c r="T6590" s="129"/>
      <c r="W6590" s="129" t="s">
        <v>310</v>
      </c>
      <c r="X6590" s="337" t="b">
        <f t="shared" si="141"/>
        <v>0</v>
      </c>
    </row>
    <row r="6591" spans="1:24" s="386" customFormat="1" ht="12" customHeight="1" outlineLevel="1">
      <c r="A6591" s="382"/>
      <c r="B6591" s="118" t="s">
        <v>12</v>
      </c>
      <c r="C6591" s="334" t="s">
        <v>15903</v>
      </c>
      <c r="D6591" s="124" t="s">
        <v>15904</v>
      </c>
      <c r="E6591" s="125"/>
      <c r="F6591" s="118" t="s">
        <v>1104</v>
      </c>
      <c r="G6591" s="126" t="s">
        <v>15312</v>
      </c>
      <c r="H6591" s="255">
        <v>1</v>
      </c>
      <c r="I6591" s="361">
        <v>1</v>
      </c>
      <c r="J6591" s="371" t="s">
        <v>286</v>
      </c>
      <c r="K6591" s="373"/>
      <c r="L6591" s="129"/>
      <c r="M6591" s="129"/>
      <c r="N6591" s="129"/>
      <c r="O6591" s="129"/>
      <c r="P6591" s="364"/>
      <c r="Q6591" s="364"/>
      <c r="R6591" s="129"/>
      <c r="S6591" s="129"/>
      <c r="T6591" s="129"/>
      <c r="W6591" s="129" t="s">
        <v>310</v>
      </c>
      <c r="X6591" s="337" t="b">
        <f t="shared" si="141"/>
        <v>0</v>
      </c>
    </row>
    <row r="6592" spans="1:24" s="386" customFormat="1" ht="12" customHeight="1" outlineLevel="1">
      <c r="A6592" s="382"/>
      <c r="B6592" s="118" t="s">
        <v>12</v>
      </c>
      <c r="C6592" s="334" t="s">
        <v>15905</v>
      </c>
      <c r="D6592" s="124" t="s">
        <v>15646</v>
      </c>
      <c r="E6592" s="125"/>
      <c r="F6592" s="118" t="s">
        <v>1104</v>
      </c>
      <c r="G6592" s="126" t="s">
        <v>15312</v>
      </c>
      <c r="H6592" s="255">
        <v>1</v>
      </c>
      <c r="I6592" s="361">
        <v>1</v>
      </c>
      <c r="J6592" s="371" t="s">
        <v>286</v>
      </c>
      <c r="K6592" s="373"/>
      <c r="L6592" s="129"/>
      <c r="M6592" s="129"/>
      <c r="N6592" s="129"/>
      <c r="O6592" s="129"/>
      <c r="P6592" s="364"/>
      <c r="Q6592" s="364"/>
      <c r="R6592" s="129"/>
      <c r="S6592" s="129"/>
      <c r="T6592" s="129"/>
      <c r="W6592" s="129" t="s">
        <v>310</v>
      </c>
      <c r="X6592" s="337" t="b">
        <f t="shared" si="141"/>
        <v>0</v>
      </c>
    </row>
    <row r="6593" spans="1:24" s="386" customFormat="1" ht="12" customHeight="1" outlineLevel="1">
      <c r="A6593" s="382"/>
      <c r="B6593" s="118" t="s">
        <v>12</v>
      </c>
      <c r="C6593" s="334" t="s">
        <v>15906</v>
      </c>
      <c r="D6593" s="124" t="s">
        <v>15904</v>
      </c>
      <c r="E6593" s="125"/>
      <c r="F6593" s="118" t="s">
        <v>1104</v>
      </c>
      <c r="G6593" s="126" t="s">
        <v>15312</v>
      </c>
      <c r="H6593" s="255">
        <v>1</v>
      </c>
      <c r="I6593" s="361">
        <v>1</v>
      </c>
      <c r="J6593" s="371" t="s">
        <v>286</v>
      </c>
      <c r="K6593" s="373"/>
      <c r="L6593" s="129"/>
      <c r="M6593" s="129"/>
      <c r="N6593" s="129"/>
      <c r="O6593" s="129"/>
      <c r="P6593" s="364"/>
      <c r="Q6593" s="364"/>
      <c r="R6593" s="129"/>
      <c r="S6593" s="129"/>
      <c r="T6593" s="129"/>
      <c r="W6593" s="129" t="s">
        <v>310</v>
      </c>
      <c r="X6593" s="337" t="b">
        <f t="shared" si="141"/>
        <v>0</v>
      </c>
    </row>
    <row r="6594" spans="1:24" s="386" customFormat="1" ht="12" customHeight="1" outlineLevel="1">
      <c r="A6594" s="382"/>
      <c r="B6594" s="118" t="s">
        <v>12</v>
      </c>
      <c r="C6594" s="334" t="s">
        <v>15907</v>
      </c>
      <c r="D6594" s="124" t="s">
        <v>15362</v>
      </c>
      <c r="E6594" s="125"/>
      <c r="F6594" s="118" t="s">
        <v>1104</v>
      </c>
      <c r="G6594" s="126" t="s">
        <v>15312</v>
      </c>
      <c r="H6594" s="255">
        <v>1</v>
      </c>
      <c r="I6594" s="361">
        <v>1</v>
      </c>
      <c r="J6594" s="371" t="s">
        <v>310</v>
      </c>
      <c r="K6594" s="373"/>
      <c r="L6594" s="129"/>
      <c r="M6594" s="129"/>
      <c r="N6594" s="129"/>
      <c r="O6594" s="129"/>
      <c r="P6594" s="364"/>
      <c r="Q6594" s="364"/>
      <c r="R6594" s="129"/>
      <c r="S6594" s="129"/>
      <c r="T6594" s="129"/>
      <c r="W6594" s="129" t="s">
        <v>4876</v>
      </c>
      <c r="X6594" s="337" t="b">
        <f t="shared" si="141"/>
        <v>0</v>
      </c>
    </row>
    <row r="6595" spans="1:24" s="386" customFormat="1" ht="12" customHeight="1" outlineLevel="1">
      <c r="A6595" s="382"/>
      <c r="B6595" s="118" t="s">
        <v>12</v>
      </c>
      <c r="C6595" s="334" t="s">
        <v>15908</v>
      </c>
      <c r="D6595" s="124" t="s">
        <v>15364</v>
      </c>
      <c r="E6595" s="125"/>
      <c r="F6595" s="118" t="s">
        <v>1104</v>
      </c>
      <c r="G6595" s="126" t="s">
        <v>15312</v>
      </c>
      <c r="H6595" s="255">
        <v>1</v>
      </c>
      <c r="I6595" s="361">
        <v>1</v>
      </c>
      <c r="J6595" s="371" t="s">
        <v>310</v>
      </c>
      <c r="K6595" s="373"/>
      <c r="L6595" s="129"/>
      <c r="M6595" s="129"/>
      <c r="N6595" s="129"/>
      <c r="O6595" s="129"/>
      <c r="P6595" s="364"/>
      <c r="Q6595" s="364"/>
      <c r="R6595" s="129"/>
      <c r="S6595" s="129"/>
      <c r="T6595" s="129"/>
      <c r="W6595" s="129" t="s">
        <v>4876</v>
      </c>
      <c r="X6595" s="337" t="b">
        <f t="shared" si="141"/>
        <v>0</v>
      </c>
    </row>
    <row r="6596" spans="1:24" s="386" customFormat="1" ht="12" customHeight="1" outlineLevel="1">
      <c r="A6596" s="382"/>
      <c r="B6596" s="118" t="s">
        <v>12</v>
      </c>
      <c r="C6596" s="334" t="s">
        <v>15909</v>
      </c>
      <c r="D6596" s="124" t="s">
        <v>15366</v>
      </c>
      <c r="E6596" s="125"/>
      <c r="F6596" s="118" t="s">
        <v>1104</v>
      </c>
      <c r="G6596" s="126" t="s">
        <v>15312</v>
      </c>
      <c r="H6596" s="255">
        <v>1</v>
      </c>
      <c r="I6596" s="361">
        <v>1</v>
      </c>
      <c r="J6596" s="371" t="s">
        <v>310</v>
      </c>
      <c r="K6596" s="373"/>
      <c r="L6596" s="129"/>
      <c r="M6596" s="129"/>
      <c r="N6596" s="129"/>
      <c r="O6596" s="129"/>
      <c r="P6596" s="364"/>
      <c r="Q6596" s="364"/>
      <c r="R6596" s="129"/>
      <c r="S6596" s="129"/>
      <c r="T6596" s="129"/>
      <c r="W6596" s="129" t="s">
        <v>4876</v>
      </c>
      <c r="X6596" s="337" t="b">
        <f t="shared" si="141"/>
        <v>0</v>
      </c>
    </row>
    <row r="6597" spans="1:24" s="386" customFormat="1" ht="12" customHeight="1" outlineLevel="1">
      <c r="A6597" s="382"/>
      <c r="B6597" s="118" t="s">
        <v>12</v>
      </c>
      <c r="C6597" s="334" t="s">
        <v>15910</v>
      </c>
      <c r="D6597" s="124" t="s">
        <v>15911</v>
      </c>
      <c r="E6597" s="125"/>
      <c r="F6597" s="118" t="s">
        <v>1104</v>
      </c>
      <c r="G6597" s="126" t="s">
        <v>15312</v>
      </c>
      <c r="H6597" s="255">
        <v>1</v>
      </c>
      <c r="I6597" s="361">
        <v>1</v>
      </c>
      <c r="J6597" s="371" t="s">
        <v>307</v>
      </c>
      <c r="K6597" s="373"/>
      <c r="L6597" s="129"/>
      <c r="M6597" s="129"/>
      <c r="N6597" s="129"/>
      <c r="O6597" s="129"/>
      <c r="P6597" s="364"/>
      <c r="Q6597" s="364"/>
      <c r="R6597" s="129"/>
      <c r="S6597" s="129"/>
      <c r="T6597" s="129"/>
      <c r="W6597" s="129" t="s">
        <v>4876</v>
      </c>
      <c r="X6597" s="337" t="b">
        <f t="shared" si="141"/>
        <v>0</v>
      </c>
    </row>
    <row r="6598" spans="1:24" s="386" customFormat="1" ht="12" customHeight="1" outlineLevel="1">
      <c r="A6598" s="382"/>
      <c r="B6598" s="118" t="s">
        <v>12</v>
      </c>
      <c r="C6598" s="334" t="s">
        <v>15912</v>
      </c>
      <c r="D6598" s="124" t="s">
        <v>15913</v>
      </c>
      <c r="E6598" s="125"/>
      <c r="F6598" s="118" t="s">
        <v>1104</v>
      </c>
      <c r="G6598" s="126" t="s">
        <v>15312</v>
      </c>
      <c r="H6598" s="255">
        <v>1</v>
      </c>
      <c r="I6598" s="361">
        <v>1</v>
      </c>
      <c r="J6598" s="371" t="s">
        <v>286</v>
      </c>
      <c r="K6598" s="373"/>
      <c r="L6598" s="129"/>
      <c r="M6598" s="129"/>
      <c r="N6598" s="129"/>
      <c r="O6598" s="129"/>
      <c r="P6598" s="364"/>
      <c r="Q6598" s="364"/>
      <c r="R6598" s="129"/>
      <c r="S6598" s="129"/>
      <c r="T6598" s="129"/>
      <c r="W6598" s="129" t="s">
        <v>4876</v>
      </c>
      <c r="X6598" s="337" t="b">
        <f t="shared" si="141"/>
        <v>0</v>
      </c>
    </row>
    <row r="6599" spans="1:24" s="386" customFormat="1" ht="12" customHeight="1" outlineLevel="1">
      <c r="A6599" s="382"/>
      <c r="B6599" s="118" t="s">
        <v>12</v>
      </c>
      <c r="C6599" s="334" t="s">
        <v>15914</v>
      </c>
      <c r="D6599" s="124" t="s">
        <v>15915</v>
      </c>
      <c r="E6599" s="125"/>
      <c r="F6599" s="118" t="s">
        <v>1104</v>
      </c>
      <c r="G6599" s="126" t="s">
        <v>15312</v>
      </c>
      <c r="H6599" s="255">
        <v>1</v>
      </c>
      <c r="I6599" s="361">
        <v>1</v>
      </c>
      <c r="J6599" s="371" t="s">
        <v>286</v>
      </c>
      <c r="K6599" s="373"/>
      <c r="L6599" s="129"/>
      <c r="M6599" s="129"/>
      <c r="N6599" s="129"/>
      <c r="O6599" s="129"/>
      <c r="P6599" s="364"/>
      <c r="Q6599" s="364"/>
      <c r="R6599" s="129"/>
      <c r="S6599" s="129"/>
      <c r="T6599" s="129"/>
      <c r="W6599" s="129" t="s">
        <v>4876</v>
      </c>
      <c r="X6599" s="337" t="b">
        <f t="shared" si="141"/>
        <v>0</v>
      </c>
    </row>
    <row r="6600" spans="1:24" s="386" customFormat="1" ht="12" customHeight="1" outlineLevel="1">
      <c r="A6600" s="382"/>
      <c r="B6600" s="118" t="s">
        <v>12</v>
      </c>
      <c r="C6600" s="334" t="s">
        <v>15916</v>
      </c>
      <c r="D6600" s="124" t="s">
        <v>15362</v>
      </c>
      <c r="E6600" s="125"/>
      <c r="F6600" s="118" t="s">
        <v>1104</v>
      </c>
      <c r="G6600" s="126" t="s">
        <v>15312</v>
      </c>
      <c r="H6600" s="255">
        <v>1</v>
      </c>
      <c r="I6600" s="361">
        <v>1</v>
      </c>
      <c r="J6600" s="371" t="s">
        <v>310</v>
      </c>
      <c r="K6600" s="373"/>
      <c r="L6600" s="129"/>
      <c r="M6600" s="129"/>
      <c r="N6600" s="129"/>
      <c r="O6600" s="129"/>
      <c r="P6600" s="364"/>
      <c r="Q6600" s="364"/>
      <c r="R6600" s="129"/>
      <c r="S6600" s="129"/>
      <c r="T6600" s="129"/>
      <c r="W6600" s="129" t="s">
        <v>4876</v>
      </c>
      <c r="X6600" s="337" t="b">
        <f t="shared" si="141"/>
        <v>0</v>
      </c>
    </row>
    <row r="6601" spans="1:24" s="386" customFormat="1" ht="12" customHeight="1" outlineLevel="1">
      <c r="A6601" s="382"/>
      <c r="B6601" s="118" t="s">
        <v>12</v>
      </c>
      <c r="C6601" s="334" t="s">
        <v>15917</v>
      </c>
      <c r="D6601" s="124" t="s">
        <v>15364</v>
      </c>
      <c r="E6601" s="125"/>
      <c r="F6601" s="118" t="s">
        <v>1104</v>
      </c>
      <c r="G6601" s="126" t="s">
        <v>15312</v>
      </c>
      <c r="H6601" s="255">
        <v>1</v>
      </c>
      <c r="I6601" s="361">
        <v>1</v>
      </c>
      <c r="J6601" s="371" t="s">
        <v>310</v>
      </c>
      <c r="K6601" s="373"/>
      <c r="L6601" s="129"/>
      <c r="M6601" s="129"/>
      <c r="N6601" s="129"/>
      <c r="O6601" s="129"/>
      <c r="P6601" s="364"/>
      <c r="Q6601" s="364"/>
      <c r="R6601" s="129"/>
      <c r="S6601" s="129"/>
      <c r="T6601" s="129"/>
      <c r="W6601" s="129" t="s">
        <v>4876</v>
      </c>
      <c r="X6601" s="337" t="b">
        <f t="shared" si="141"/>
        <v>0</v>
      </c>
    </row>
    <row r="6602" spans="1:24" s="386" customFormat="1" ht="12" customHeight="1" outlineLevel="1">
      <c r="A6602" s="382"/>
      <c r="B6602" s="118" t="s">
        <v>12</v>
      </c>
      <c r="C6602" s="334" t="s">
        <v>15918</v>
      </c>
      <c r="D6602" s="124" t="s">
        <v>15366</v>
      </c>
      <c r="E6602" s="125"/>
      <c r="F6602" s="118" t="s">
        <v>1104</v>
      </c>
      <c r="G6602" s="126" t="s">
        <v>15312</v>
      </c>
      <c r="H6602" s="255">
        <v>1</v>
      </c>
      <c r="I6602" s="361">
        <v>1</v>
      </c>
      <c r="J6602" s="371" t="s">
        <v>310</v>
      </c>
      <c r="K6602" s="373"/>
      <c r="L6602" s="129"/>
      <c r="M6602" s="129"/>
      <c r="N6602" s="129"/>
      <c r="O6602" s="129"/>
      <c r="P6602" s="364"/>
      <c r="Q6602" s="364"/>
      <c r="R6602" s="129"/>
      <c r="S6602" s="129"/>
      <c r="T6602" s="129"/>
      <c r="W6602" s="129" t="s">
        <v>4876</v>
      </c>
      <c r="X6602" s="337" t="b">
        <f t="shared" si="141"/>
        <v>0</v>
      </c>
    </row>
    <row r="6603" spans="1:24" s="386" customFormat="1" ht="12" customHeight="1" outlineLevel="1">
      <c r="A6603" s="382"/>
      <c r="B6603" s="118" t="s">
        <v>12</v>
      </c>
      <c r="C6603" s="334" t="s">
        <v>15919</v>
      </c>
      <c r="D6603" s="124" t="s">
        <v>15646</v>
      </c>
      <c r="E6603" s="125"/>
      <c r="F6603" s="118" t="s">
        <v>1104</v>
      </c>
      <c r="G6603" s="126" t="s">
        <v>15312</v>
      </c>
      <c r="H6603" s="255">
        <v>1</v>
      </c>
      <c r="I6603" s="361">
        <v>1</v>
      </c>
      <c r="J6603" s="371" t="s">
        <v>286</v>
      </c>
      <c r="K6603" s="373"/>
      <c r="L6603" s="129"/>
      <c r="M6603" s="129"/>
      <c r="N6603" s="129"/>
      <c r="O6603" s="129"/>
      <c r="P6603" s="364"/>
      <c r="Q6603" s="364"/>
      <c r="R6603" s="129"/>
      <c r="S6603" s="129"/>
      <c r="T6603" s="129"/>
      <c r="W6603" s="129" t="s">
        <v>310</v>
      </c>
      <c r="X6603" s="337" t="b">
        <f t="shared" si="141"/>
        <v>0</v>
      </c>
    </row>
    <row r="6604" spans="1:24" s="386" customFormat="1" ht="12" customHeight="1" outlineLevel="1">
      <c r="A6604" s="382"/>
      <c r="B6604" s="118" t="s">
        <v>12</v>
      </c>
      <c r="C6604" s="334" t="s">
        <v>15920</v>
      </c>
      <c r="D6604" s="124" t="s">
        <v>15904</v>
      </c>
      <c r="E6604" s="125"/>
      <c r="F6604" s="118" t="s">
        <v>1104</v>
      </c>
      <c r="G6604" s="126" t="s">
        <v>15312</v>
      </c>
      <c r="H6604" s="255">
        <v>1</v>
      </c>
      <c r="I6604" s="361">
        <v>1</v>
      </c>
      <c r="J6604" s="371" t="s">
        <v>286</v>
      </c>
      <c r="K6604" s="373"/>
      <c r="L6604" s="129"/>
      <c r="M6604" s="129"/>
      <c r="N6604" s="129"/>
      <c r="O6604" s="129"/>
      <c r="P6604" s="364"/>
      <c r="Q6604" s="364"/>
      <c r="R6604" s="129"/>
      <c r="S6604" s="129"/>
      <c r="T6604" s="129"/>
      <c r="W6604" s="129" t="s">
        <v>310</v>
      </c>
      <c r="X6604" s="337" t="b">
        <f t="shared" si="141"/>
        <v>0</v>
      </c>
    </row>
    <row r="6605" spans="1:24" s="386" customFormat="1" ht="12" customHeight="1" outlineLevel="1">
      <c r="A6605" s="382"/>
      <c r="B6605" s="118" t="s">
        <v>12</v>
      </c>
      <c r="C6605" s="334" t="s">
        <v>15921</v>
      </c>
      <c r="D6605" s="124" t="s">
        <v>15922</v>
      </c>
      <c r="E6605" s="125"/>
      <c r="F6605" s="118" t="s">
        <v>1104</v>
      </c>
      <c r="G6605" s="126" t="s">
        <v>15312</v>
      </c>
      <c r="H6605" s="255">
        <v>1</v>
      </c>
      <c r="I6605" s="361">
        <v>1</v>
      </c>
      <c r="J6605" s="371" t="s">
        <v>310</v>
      </c>
      <c r="K6605" s="373"/>
      <c r="L6605" s="129"/>
      <c r="M6605" s="129"/>
      <c r="N6605" s="129"/>
      <c r="O6605" s="129"/>
      <c r="P6605" s="364"/>
      <c r="Q6605" s="364"/>
      <c r="R6605" s="129"/>
      <c r="S6605" s="129"/>
      <c r="T6605" s="129"/>
      <c r="W6605" s="129" t="s">
        <v>4876</v>
      </c>
      <c r="X6605" s="337" t="b">
        <f t="shared" si="141"/>
        <v>0</v>
      </c>
    </row>
    <row r="6606" spans="1:24" s="386" customFormat="1" ht="12" customHeight="1" outlineLevel="1">
      <c r="A6606" s="382"/>
      <c r="B6606" s="118" t="s">
        <v>12</v>
      </c>
      <c r="C6606" s="334" t="s">
        <v>15923</v>
      </c>
      <c r="D6606" s="124" t="s">
        <v>15913</v>
      </c>
      <c r="E6606" s="125"/>
      <c r="F6606" s="118" t="s">
        <v>1104</v>
      </c>
      <c r="G6606" s="126" t="s">
        <v>15312</v>
      </c>
      <c r="H6606" s="255">
        <v>1</v>
      </c>
      <c r="I6606" s="361">
        <v>1</v>
      </c>
      <c r="J6606" s="371" t="s">
        <v>286</v>
      </c>
      <c r="K6606" s="373"/>
      <c r="L6606" s="129"/>
      <c r="M6606" s="129"/>
      <c r="N6606" s="129"/>
      <c r="O6606" s="129"/>
      <c r="P6606" s="364"/>
      <c r="Q6606" s="364"/>
      <c r="R6606" s="129"/>
      <c r="S6606" s="129"/>
      <c r="T6606" s="129"/>
      <c r="W6606" s="129" t="s">
        <v>4876</v>
      </c>
      <c r="X6606" s="337" t="b">
        <f t="shared" ref="X6606:X6669" si="142">W6606=J6606</f>
        <v>0</v>
      </c>
    </row>
    <row r="6607" spans="1:24" s="386" customFormat="1" ht="12" customHeight="1" outlineLevel="1">
      <c r="A6607" s="382"/>
      <c r="B6607" s="118" t="s">
        <v>12</v>
      </c>
      <c r="C6607" s="334" t="s">
        <v>15924</v>
      </c>
      <c r="D6607" s="124" t="s">
        <v>15915</v>
      </c>
      <c r="E6607" s="125"/>
      <c r="F6607" s="118" t="s">
        <v>1104</v>
      </c>
      <c r="G6607" s="126" t="s">
        <v>15312</v>
      </c>
      <c r="H6607" s="255">
        <v>1</v>
      </c>
      <c r="I6607" s="361">
        <v>1</v>
      </c>
      <c r="J6607" s="371" t="s">
        <v>286</v>
      </c>
      <c r="K6607" s="373"/>
      <c r="L6607" s="129"/>
      <c r="M6607" s="129"/>
      <c r="N6607" s="129"/>
      <c r="O6607" s="129"/>
      <c r="P6607" s="364"/>
      <c r="Q6607" s="364"/>
      <c r="R6607" s="129"/>
      <c r="S6607" s="129"/>
      <c r="T6607" s="129"/>
      <c r="W6607" s="129" t="s">
        <v>4876</v>
      </c>
      <c r="X6607" s="337" t="b">
        <f t="shared" si="142"/>
        <v>0</v>
      </c>
    </row>
    <row r="6608" spans="1:24" s="386" customFormat="1" ht="12" customHeight="1" outlineLevel="1">
      <c r="A6608" s="382"/>
      <c r="B6608" s="118" t="s">
        <v>12</v>
      </c>
      <c r="C6608" s="334" t="s">
        <v>15925</v>
      </c>
      <c r="D6608" s="124" t="s">
        <v>15926</v>
      </c>
      <c r="E6608" s="125"/>
      <c r="F6608" s="118" t="s">
        <v>1104</v>
      </c>
      <c r="G6608" s="126" t="s">
        <v>15312</v>
      </c>
      <c r="H6608" s="255">
        <v>1</v>
      </c>
      <c r="I6608" s="361">
        <v>1</v>
      </c>
      <c r="J6608" s="371" t="s">
        <v>310</v>
      </c>
      <c r="K6608" s="373"/>
      <c r="L6608" s="129"/>
      <c r="M6608" s="129"/>
      <c r="N6608" s="129"/>
      <c r="O6608" s="129"/>
      <c r="P6608" s="364"/>
      <c r="Q6608" s="364"/>
      <c r="R6608" s="129"/>
      <c r="S6608" s="129"/>
      <c r="T6608" s="129"/>
      <c r="W6608" s="129" t="s">
        <v>286</v>
      </c>
      <c r="X6608" s="337" t="b">
        <f t="shared" si="142"/>
        <v>0</v>
      </c>
    </row>
    <row r="6609" spans="1:24" s="386" customFormat="1" ht="12" customHeight="1" outlineLevel="1">
      <c r="A6609" s="382"/>
      <c r="B6609" s="118" t="s">
        <v>12</v>
      </c>
      <c r="C6609" s="334" t="s">
        <v>15927</v>
      </c>
      <c r="D6609" s="124" t="s">
        <v>15928</v>
      </c>
      <c r="E6609" s="125"/>
      <c r="F6609" s="118" t="s">
        <v>1104</v>
      </c>
      <c r="G6609" s="126" t="s">
        <v>15312</v>
      </c>
      <c r="H6609" s="255">
        <v>1</v>
      </c>
      <c r="I6609" s="361">
        <v>1</v>
      </c>
      <c r="J6609" s="371" t="s">
        <v>310</v>
      </c>
      <c r="K6609" s="373"/>
      <c r="L6609" s="129"/>
      <c r="M6609" s="129"/>
      <c r="N6609" s="129"/>
      <c r="O6609" s="129"/>
      <c r="P6609" s="364"/>
      <c r="Q6609" s="364"/>
      <c r="R6609" s="129"/>
      <c r="S6609" s="129"/>
      <c r="T6609" s="129"/>
      <c r="W6609" s="129" t="s">
        <v>286</v>
      </c>
      <c r="X6609" s="337" t="b">
        <f t="shared" si="142"/>
        <v>0</v>
      </c>
    </row>
    <row r="6610" spans="1:24" s="386" customFormat="1" ht="12" customHeight="1" outlineLevel="1">
      <c r="A6610" s="382"/>
      <c r="B6610" s="118" t="s">
        <v>12</v>
      </c>
      <c r="C6610" s="334" t="s">
        <v>15929</v>
      </c>
      <c r="D6610" s="124" t="s">
        <v>15930</v>
      </c>
      <c r="E6610" s="125"/>
      <c r="F6610" s="118" t="s">
        <v>1104</v>
      </c>
      <c r="G6610" s="126" t="s">
        <v>15312</v>
      </c>
      <c r="H6610" s="255">
        <v>1</v>
      </c>
      <c r="I6610" s="361">
        <v>1</v>
      </c>
      <c r="J6610" s="371" t="s">
        <v>286</v>
      </c>
      <c r="K6610" s="373"/>
      <c r="L6610" s="129"/>
      <c r="M6610" s="129"/>
      <c r="N6610" s="129"/>
      <c r="O6610" s="129"/>
      <c r="P6610" s="364"/>
      <c r="Q6610" s="364"/>
      <c r="R6610" s="129"/>
      <c r="S6610" s="129"/>
      <c r="T6610" s="129"/>
      <c r="W6610" s="129" t="s">
        <v>286</v>
      </c>
      <c r="X6610" s="337" t="b">
        <f t="shared" si="142"/>
        <v>1</v>
      </c>
    </row>
    <row r="6611" spans="1:24" s="386" customFormat="1" ht="12" customHeight="1" outlineLevel="1">
      <c r="A6611" s="382"/>
      <c r="B6611" s="118" t="s">
        <v>12</v>
      </c>
      <c r="C6611" s="334" t="s">
        <v>15931</v>
      </c>
      <c r="D6611" s="124" t="s">
        <v>15932</v>
      </c>
      <c r="E6611" s="125"/>
      <c r="F6611" s="118" t="s">
        <v>1104</v>
      </c>
      <c r="G6611" s="126" t="s">
        <v>15312</v>
      </c>
      <c r="H6611" s="255">
        <v>1</v>
      </c>
      <c r="I6611" s="361">
        <v>1</v>
      </c>
      <c r="J6611" s="371" t="s">
        <v>310</v>
      </c>
      <c r="K6611" s="373"/>
      <c r="L6611" s="129"/>
      <c r="M6611" s="129"/>
      <c r="N6611" s="129"/>
      <c r="O6611" s="129"/>
      <c r="P6611" s="364"/>
      <c r="Q6611" s="364"/>
      <c r="R6611" s="129"/>
      <c r="S6611" s="129"/>
      <c r="T6611" s="129"/>
      <c r="W6611" s="129" t="s">
        <v>286</v>
      </c>
      <c r="X6611" s="337" t="b">
        <f t="shared" si="142"/>
        <v>0</v>
      </c>
    </row>
    <row r="6612" spans="1:24" s="386" customFormat="1" ht="12" customHeight="1" outlineLevel="1">
      <c r="A6612" s="382"/>
      <c r="B6612" s="118" t="s">
        <v>12</v>
      </c>
      <c r="C6612" s="334" t="s">
        <v>15931</v>
      </c>
      <c r="D6612" s="124" t="s">
        <v>15933</v>
      </c>
      <c r="E6612" s="125"/>
      <c r="F6612" s="118" t="s">
        <v>1104</v>
      </c>
      <c r="G6612" s="126" t="s">
        <v>15312</v>
      </c>
      <c r="H6612" s="255">
        <v>1</v>
      </c>
      <c r="I6612" s="361">
        <v>1</v>
      </c>
      <c r="J6612" s="371" t="s">
        <v>310</v>
      </c>
      <c r="K6612" s="373"/>
      <c r="L6612" s="129"/>
      <c r="M6612" s="129"/>
      <c r="N6612" s="129"/>
      <c r="O6612" s="129"/>
      <c r="P6612" s="364"/>
      <c r="Q6612" s="364"/>
      <c r="R6612" s="129"/>
      <c r="S6612" s="129"/>
      <c r="T6612" s="129"/>
      <c r="W6612" s="129" t="s">
        <v>286</v>
      </c>
      <c r="X6612" s="337" t="b">
        <f t="shared" si="142"/>
        <v>0</v>
      </c>
    </row>
    <row r="6613" spans="1:24" s="386" customFormat="1" ht="12" customHeight="1" outlineLevel="1">
      <c r="A6613" s="382"/>
      <c r="B6613" s="118" t="s">
        <v>12</v>
      </c>
      <c r="C6613" s="334" t="s">
        <v>15934</v>
      </c>
      <c r="D6613" s="124" t="s">
        <v>15935</v>
      </c>
      <c r="E6613" s="125"/>
      <c r="F6613" s="118" t="s">
        <v>1104</v>
      </c>
      <c r="G6613" s="126" t="s">
        <v>15312</v>
      </c>
      <c r="H6613" s="255">
        <v>1</v>
      </c>
      <c r="I6613" s="361">
        <v>1</v>
      </c>
      <c r="J6613" s="371" t="s">
        <v>286</v>
      </c>
      <c r="K6613" s="373"/>
      <c r="L6613" s="129"/>
      <c r="M6613" s="129"/>
      <c r="N6613" s="129"/>
      <c r="O6613" s="129"/>
      <c r="P6613" s="364"/>
      <c r="Q6613" s="364"/>
      <c r="R6613" s="129"/>
      <c r="S6613" s="129"/>
      <c r="T6613" s="129"/>
      <c r="W6613" s="129" t="s">
        <v>286</v>
      </c>
      <c r="X6613" s="337" t="b">
        <f t="shared" si="142"/>
        <v>1</v>
      </c>
    </row>
    <row r="6614" spans="1:24" s="386" customFormat="1" ht="12" customHeight="1" outlineLevel="1">
      <c r="A6614" s="382"/>
      <c r="B6614" s="118" t="s">
        <v>12</v>
      </c>
      <c r="C6614" s="334" t="s">
        <v>15936</v>
      </c>
      <c r="D6614" s="124" t="s">
        <v>15937</v>
      </c>
      <c r="E6614" s="125"/>
      <c r="F6614" s="118" t="s">
        <v>1104</v>
      </c>
      <c r="G6614" s="126" t="s">
        <v>15312</v>
      </c>
      <c r="H6614" s="255">
        <v>1</v>
      </c>
      <c r="I6614" s="361">
        <v>1</v>
      </c>
      <c r="J6614" s="371" t="s">
        <v>307</v>
      </c>
      <c r="K6614" s="373"/>
      <c r="L6614" s="129"/>
      <c r="M6614" s="129"/>
      <c r="N6614" s="129"/>
      <c r="O6614" s="129"/>
      <c r="P6614" s="364"/>
      <c r="Q6614" s="364"/>
      <c r="R6614" s="129"/>
      <c r="S6614" s="129"/>
      <c r="T6614" s="129"/>
      <c r="W6614" s="129" t="s">
        <v>286</v>
      </c>
      <c r="X6614" s="337" t="b">
        <f t="shared" si="142"/>
        <v>0</v>
      </c>
    </row>
    <row r="6615" spans="1:24" s="386" customFormat="1" ht="12" customHeight="1" outlineLevel="1">
      <c r="A6615" s="382"/>
      <c r="B6615" s="118" t="s">
        <v>12</v>
      </c>
      <c r="C6615" s="334" t="s">
        <v>15938</v>
      </c>
      <c r="D6615" s="124" t="s">
        <v>15939</v>
      </c>
      <c r="E6615" s="125"/>
      <c r="F6615" s="118" t="s">
        <v>1104</v>
      </c>
      <c r="G6615" s="126" t="s">
        <v>15312</v>
      </c>
      <c r="H6615" s="255">
        <v>1</v>
      </c>
      <c r="I6615" s="361">
        <v>1</v>
      </c>
      <c r="J6615" s="371" t="s">
        <v>310</v>
      </c>
      <c r="K6615" s="373"/>
      <c r="L6615" s="129"/>
      <c r="M6615" s="129"/>
      <c r="N6615" s="129"/>
      <c r="O6615" s="129"/>
      <c r="P6615" s="364"/>
      <c r="Q6615" s="364"/>
      <c r="R6615" s="129"/>
      <c r="S6615" s="129"/>
      <c r="T6615" s="129"/>
      <c r="W6615" s="129" t="s">
        <v>286</v>
      </c>
      <c r="X6615" s="337" t="b">
        <f t="shared" si="142"/>
        <v>0</v>
      </c>
    </row>
    <row r="6616" spans="1:24" s="386" customFormat="1" ht="12" customHeight="1" outlineLevel="1">
      <c r="A6616" s="382"/>
      <c r="B6616" s="118" t="s">
        <v>12</v>
      </c>
      <c r="C6616" s="334" t="s">
        <v>15940</v>
      </c>
      <c r="D6616" s="124" t="s">
        <v>15941</v>
      </c>
      <c r="E6616" s="125"/>
      <c r="F6616" s="118" t="s">
        <v>1104</v>
      </c>
      <c r="G6616" s="126" t="s">
        <v>15312</v>
      </c>
      <c r="H6616" s="255">
        <v>1</v>
      </c>
      <c r="I6616" s="361">
        <v>1</v>
      </c>
      <c r="J6616" s="371" t="s">
        <v>286</v>
      </c>
      <c r="K6616" s="373"/>
      <c r="L6616" s="129"/>
      <c r="M6616" s="129"/>
      <c r="N6616" s="129"/>
      <c r="O6616" s="129"/>
      <c r="P6616" s="364"/>
      <c r="Q6616" s="364"/>
      <c r="R6616" s="129"/>
      <c r="S6616" s="129"/>
      <c r="T6616" s="129"/>
      <c r="W6616" s="129" t="s">
        <v>286</v>
      </c>
      <c r="X6616" s="337" t="b">
        <f t="shared" si="142"/>
        <v>1</v>
      </c>
    </row>
    <row r="6617" spans="1:24" s="386" customFormat="1" ht="12" customHeight="1" outlineLevel="1">
      <c r="A6617" s="382"/>
      <c r="B6617" s="118" t="s">
        <v>12</v>
      </c>
      <c r="C6617" s="334" t="s">
        <v>15942</v>
      </c>
      <c r="D6617" s="124" t="s">
        <v>15943</v>
      </c>
      <c r="E6617" s="125"/>
      <c r="F6617" s="118" t="s">
        <v>1104</v>
      </c>
      <c r="G6617" s="126" t="s">
        <v>15312</v>
      </c>
      <c r="H6617" s="255">
        <v>1</v>
      </c>
      <c r="I6617" s="361">
        <v>1</v>
      </c>
      <c r="J6617" s="371" t="s">
        <v>307</v>
      </c>
      <c r="K6617" s="373"/>
      <c r="L6617" s="129"/>
      <c r="M6617" s="129"/>
      <c r="N6617" s="129"/>
      <c r="O6617" s="129"/>
      <c r="P6617" s="364"/>
      <c r="Q6617" s="364"/>
      <c r="R6617" s="129"/>
      <c r="S6617" s="129"/>
      <c r="T6617" s="129"/>
      <c r="W6617" s="129" t="s">
        <v>310</v>
      </c>
      <c r="X6617" s="337" t="b">
        <f t="shared" si="142"/>
        <v>0</v>
      </c>
    </row>
    <row r="6618" spans="1:24" s="386" customFormat="1" ht="12" customHeight="1" outlineLevel="1">
      <c r="A6618" s="382"/>
      <c r="B6618" s="118" t="s">
        <v>12</v>
      </c>
      <c r="C6618" s="334" t="s">
        <v>15944</v>
      </c>
      <c r="D6618" s="124" t="s">
        <v>15945</v>
      </c>
      <c r="E6618" s="125"/>
      <c r="F6618" s="118" t="s">
        <v>1104</v>
      </c>
      <c r="G6618" s="126" t="s">
        <v>15312</v>
      </c>
      <c r="H6618" s="255">
        <v>1</v>
      </c>
      <c r="I6618" s="361">
        <v>1</v>
      </c>
      <c r="J6618" s="371" t="s">
        <v>307</v>
      </c>
      <c r="K6618" s="373"/>
      <c r="L6618" s="129"/>
      <c r="M6618" s="129"/>
      <c r="N6618" s="129"/>
      <c r="O6618" s="129"/>
      <c r="P6618" s="364"/>
      <c r="Q6618" s="364"/>
      <c r="R6618" s="129"/>
      <c r="S6618" s="129"/>
      <c r="T6618" s="129"/>
      <c r="W6618" s="129" t="s">
        <v>310</v>
      </c>
      <c r="X6618" s="337" t="b">
        <f t="shared" si="142"/>
        <v>0</v>
      </c>
    </row>
    <row r="6619" spans="1:24" s="386" customFormat="1" ht="12" customHeight="1" outlineLevel="1">
      <c r="A6619" s="382"/>
      <c r="B6619" s="118" t="s">
        <v>12</v>
      </c>
      <c r="C6619" s="334" t="s">
        <v>15946</v>
      </c>
      <c r="D6619" s="124" t="s">
        <v>15947</v>
      </c>
      <c r="E6619" s="125"/>
      <c r="F6619" s="118" t="s">
        <v>1104</v>
      </c>
      <c r="G6619" s="126" t="s">
        <v>15312</v>
      </c>
      <c r="H6619" s="255">
        <v>1</v>
      </c>
      <c r="I6619" s="361">
        <v>1</v>
      </c>
      <c r="J6619" s="371" t="s">
        <v>286</v>
      </c>
      <c r="K6619" s="373"/>
      <c r="L6619" s="129"/>
      <c r="M6619" s="129"/>
      <c r="N6619" s="129"/>
      <c r="O6619" s="129"/>
      <c r="P6619" s="364"/>
      <c r="Q6619" s="364"/>
      <c r="R6619" s="129"/>
      <c r="S6619" s="129"/>
      <c r="T6619" s="129"/>
      <c r="W6619" s="129" t="s">
        <v>286</v>
      </c>
      <c r="X6619" s="337" t="b">
        <f t="shared" si="142"/>
        <v>1</v>
      </c>
    </row>
    <row r="6620" spans="1:24" s="386" customFormat="1" ht="12" customHeight="1" outlineLevel="1">
      <c r="A6620" s="382"/>
      <c r="B6620" s="118" t="s">
        <v>12</v>
      </c>
      <c r="C6620" s="334" t="s">
        <v>15948</v>
      </c>
      <c r="D6620" s="124" t="s">
        <v>15949</v>
      </c>
      <c r="E6620" s="125"/>
      <c r="F6620" s="118" t="s">
        <v>1104</v>
      </c>
      <c r="G6620" s="126" t="s">
        <v>15312</v>
      </c>
      <c r="H6620" s="255">
        <v>1</v>
      </c>
      <c r="I6620" s="361">
        <v>1</v>
      </c>
      <c r="J6620" s="371" t="s">
        <v>286</v>
      </c>
      <c r="K6620" s="373"/>
      <c r="L6620" s="129"/>
      <c r="M6620" s="129"/>
      <c r="N6620" s="129"/>
      <c r="O6620" s="129"/>
      <c r="P6620" s="364"/>
      <c r="Q6620" s="364"/>
      <c r="R6620" s="129"/>
      <c r="S6620" s="129"/>
      <c r="T6620" s="129"/>
      <c r="W6620" s="129" t="s">
        <v>286</v>
      </c>
      <c r="X6620" s="337" t="b">
        <f t="shared" si="142"/>
        <v>1</v>
      </c>
    </row>
    <row r="6621" spans="1:24" s="386" customFormat="1" ht="12" customHeight="1" outlineLevel="1">
      <c r="A6621" s="382"/>
      <c r="B6621" s="118" t="s">
        <v>12</v>
      </c>
      <c r="C6621" s="334" t="s">
        <v>15950</v>
      </c>
      <c r="D6621" s="124" t="s">
        <v>15951</v>
      </c>
      <c r="E6621" s="125"/>
      <c r="F6621" s="118" t="s">
        <v>1104</v>
      </c>
      <c r="G6621" s="126" t="s">
        <v>15312</v>
      </c>
      <c r="H6621" s="255">
        <v>1</v>
      </c>
      <c r="I6621" s="361">
        <v>1</v>
      </c>
      <c r="J6621" s="371" t="s">
        <v>310</v>
      </c>
      <c r="K6621" s="373"/>
      <c r="L6621" s="129"/>
      <c r="M6621" s="129"/>
      <c r="N6621" s="129"/>
      <c r="O6621" s="129"/>
      <c r="P6621" s="364"/>
      <c r="Q6621" s="364"/>
      <c r="R6621" s="129"/>
      <c r="S6621" s="129"/>
      <c r="T6621" s="129"/>
      <c r="W6621" s="129" t="s">
        <v>286</v>
      </c>
      <c r="X6621" s="337" t="b">
        <f t="shared" si="142"/>
        <v>0</v>
      </c>
    </row>
    <row r="6622" spans="1:24" s="386" customFormat="1" ht="12" customHeight="1" outlineLevel="1">
      <c r="A6622" s="382"/>
      <c r="B6622" s="118" t="s">
        <v>12</v>
      </c>
      <c r="C6622" s="334" t="s">
        <v>15952</v>
      </c>
      <c r="D6622" s="124" t="s">
        <v>15953</v>
      </c>
      <c r="E6622" s="125"/>
      <c r="F6622" s="118" t="s">
        <v>1104</v>
      </c>
      <c r="G6622" s="126" t="s">
        <v>15312</v>
      </c>
      <c r="H6622" s="255">
        <v>1</v>
      </c>
      <c r="I6622" s="361">
        <v>1</v>
      </c>
      <c r="J6622" s="371" t="s">
        <v>310</v>
      </c>
      <c r="K6622" s="373"/>
      <c r="L6622" s="129"/>
      <c r="M6622" s="129"/>
      <c r="N6622" s="129"/>
      <c r="O6622" s="129"/>
      <c r="P6622" s="364"/>
      <c r="Q6622" s="364"/>
      <c r="R6622" s="129"/>
      <c r="S6622" s="129"/>
      <c r="T6622" s="129"/>
      <c r="W6622" s="129" t="s">
        <v>286</v>
      </c>
      <c r="X6622" s="337" t="b">
        <f t="shared" si="142"/>
        <v>0</v>
      </c>
    </row>
    <row r="6623" spans="1:24" s="386" customFormat="1" ht="12" customHeight="1" outlineLevel="1">
      <c r="A6623" s="382"/>
      <c r="B6623" s="118" t="s">
        <v>12</v>
      </c>
      <c r="C6623" s="334" t="s">
        <v>15954</v>
      </c>
      <c r="D6623" s="124" t="s">
        <v>15955</v>
      </c>
      <c r="E6623" s="125"/>
      <c r="F6623" s="118" t="s">
        <v>1104</v>
      </c>
      <c r="G6623" s="126" t="s">
        <v>15312</v>
      </c>
      <c r="H6623" s="255">
        <v>1</v>
      </c>
      <c r="I6623" s="361">
        <v>1</v>
      </c>
      <c r="J6623" s="371" t="s">
        <v>310</v>
      </c>
      <c r="K6623" s="373"/>
      <c r="L6623" s="129"/>
      <c r="M6623" s="129"/>
      <c r="N6623" s="129"/>
      <c r="O6623" s="129"/>
      <c r="P6623" s="364"/>
      <c r="Q6623" s="364"/>
      <c r="R6623" s="129"/>
      <c r="S6623" s="129"/>
      <c r="T6623" s="129"/>
      <c r="W6623" s="129" t="s">
        <v>286</v>
      </c>
      <c r="X6623" s="337" t="b">
        <f t="shared" si="142"/>
        <v>0</v>
      </c>
    </row>
    <row r="6624" spans="1:24" s="386" customFormat="1" ht="12" customHeight="1" outlineLevel="1">
      <c r="A6624" s="382"/>
      <c r="B6624" s="118" t="s">
        <v>12</v>
      </c>
      <c r="C6624" s="334" t="s">
        <v>15956</v>
      </c>
      <c r="D6624" s="124" t="s">
        <v>15957</v>
      </c>
      <c r="E6624" s="125"/>
      <c r="F6624" s="118" t="s">
        <v>1104</v>
      </c>
      <c r="G6624" s="126" t="s">
        <v>15312</v>
      </c>
      <c r="H6624" s="255">
        <v>1</v>
      </c>
      <c r="I6624" s="361">
        <v>1</v>
      </c>
      <c r="J6624" s="371" t="s">
        <v>310</v>
      </c>
      <c r="K6624" s="373"/>
      <c r="L6624" s="129"/>
      <c r="M6624" s="129"/>
      <c r="N6624" s="129"/>
      <c r="O6624" s="129"/>
      <c r="P6624" s="364"/>
      <c r="Q6624" s="364"/>
      <c r="R6624" s="129"/>
      <c r="S6624" s="129"/>
      <c r="T6624" s="129"/>
      <c r="W6624" s="129" t="s">
        <v>286</v>
      </c>
      <c r="X6624" s="337" t="b">
        <f t="shared" si="142"/>
        <v>0</v>
      </c>
    </row>
    <row r="6625" spans="1:24" s="386" customFormat="1" ht="12" customHeight="1" outlineLevel="1">
      <c r="A6625" s="382"/>
      <c r="B6625" s="118" t="s">
        <v>12</v>
      </c>
      <c r="C6625" s="334" t="s">
        <v>15958</v>
      </c>
      <c r="D6625" s="124" t="s">
        <v>15959</v>
      </c>
      <c r="E6625" s="125"/>
      <c r="F6625" s="118" t="s">
        <v>1104</v>
      </c>
      <c r="G6625" s="126" t="s">
        <v>15312</v>
      </c>
      <c r="H6625" s="255">
        <v>1</v>
      </c>
      <c r="I6625" s="361">
        <v>1</v>
      </c>
      <c r="J6625" s="371" t="s">
        <v>286</v>
      </c>
      <c r="K6625" s="373"/>
      <c r="L6625" s="129"/>
      <c r="M6625" s="129"/>
      <c r="N6625" s="129"/>
      <c r="O6625" s="129"/>
      <c r="P6625" s="364"/>
      <c r="Q6625" s="364"/>
      <c r="R6625" s="129"/>
      <c r="S6625" s="129"/>
      <c r="T6625" s="129"/>
      <c r="W6625" s="129" t="s">
        <v>286</v>
      </c>
      <c r="X6625" s="337" t="b">
        <f t="shared" si="142"/>
        <v>1</v>
      </c>
    </row>
    <row r="6626" spans="1:24" s="386" customFormat="1" ht="12" customHeight="1" outlineLevel="1">
      <c r="A6626" s="382"/>
      <c r="B6626" s="118" t="s">
        <v>12</v>
      </c>
      <c r="C6626" s="334" t="s">
        <v>15960</v>
      </c>
      <c r="D6626" s="124" t="s">
        <v>15961</v>
      </c>
      <c r="E6626" s="125"/>
      <c r="F6626" s="118" t="s">
        <v>1104</v>
      </c>
      <c r="G6626" s="126" t="s">
        <v>15312</v>
      </c>
      <c r="H6626" s="255">
        <v>1</v>
      </c>
      <c r="I6626" s="361">
        <v>1</v>
      </c>
      <c r="J6626" s="371" t="s">
        <v>286</v>
      </c>
      <c r="K6626" s="373"/>
      <c r="L6626" s="129"/>
      <c r="M6626" s="129"/>
      <c r="N6626" s="129"/>
      <c r="O6626" s="129"/>
      <c r="P6626" s="364"/>
      <c r="Q6626" s="364"/>
      <c r="R6626" s="129"/>
      <c r="S6626" s="129"/>
      <c r="T6626" s="129"/>
      <c r="W6626" s="129" t="s">
        <v>286</v>
      </c>
      <c r="X6626" s="337" t="b">
        <f t="shared" si="142"/>
        <v>1</v>
      </c>
    </row>
    <row r="6627" spans="1:24" s="386" customFormat="1" ht="12" customHeight="1" outlineLevel="1">
      <c r="A6627" s="382"/>
      <c r="B6627" s="118" t="s">
        <v>12</v>
      </c>
      <c r="C6627" s="334" t="s">
        <v>15962</v>
      </c>
      <c r="D6627" s="124" t="s">
        <v>15963</v>
      </c>
      <c r="E6627" s="125"/>
      <c r="F6627" s="118" t="s">
        <v>1104</v>
      </c>
      <c r="G6627" s="126" t="s">
        <v>15312</v>
      </c>
      <c r="H6627" s="255">
        <v>1</v>
      </c>
      <c r="I6627" s="361">
        <v>1</v>
      </c>
      <c r="J6627" s="371" t="s">
        <v>286</v>
      </c>
      <c r="K6627" s="373"/>
      <c r="L6627" s="129"/>
      <c r="M6627" s="129"/>
      <c r="N6627" s="129"/>
      <c r="O6627" s="129"/>
      <c r="P6627" s="364"/>
      <c r="Q6627" s="364"/>
      <c r="R6627" s="129"/>
      <c r="S6627" s="129"/>
      <c r="T6627" s="129"/>
      <c r="W6627" s="129" t="s">
        <v>286</v>
      </c>
      <c r="X6627" s="337" t="b">
        <f t="shared" si="142"/>
        <v>1</v>
      </c>
    </row>
    <row r="6628" spans="1:24" s="386" customFormat="1" ht="12" customHeight="1" outlineLevel="1">
      <c r="A6628" s="382"/>
      <c r="B6628" s="118" t="s">
        <v>12</v>
      </c>
      <c r="C6628" s="334" t="s">
        <v>15964</v>
      </c>
      <c r="D6628" s="124" t="s">
        <v>15965</v>
      </c>
      <c r="E6628" s="125"/>
      <c r="F6628" s="118" t="s">
        <v>1104</v>
      </c>
      <c r="G6628" s="126" t="s">
        <v>15312</v>
      </c>
      <c r="H6628" s="255">
        <v>1</v>
      </c>
      <c r="I6628" s="361">
        <v>1</v>
      </c>
      <c r="J6628" s="371" t="s">
        <v>286</v>
      </c>
      <c r="K6628" s="373"/>
      <c r="L6628" s="129"/>
      <c r="M6628" s="129"/>
      <c r="N6628" s="129"/>
      <c r="O6628" s="129"/>
      <c r="P6628" s="364"/>
      <c r="Q6628" s="364"/>
      <c r="R6628" s="129"/>
      <c r="S6628" s="129"/>
      <c r="T6628" s="129"/>
      <c r="W6628" s="129" t="s">
        <v>286</v>
      </c>
      <c r="X6628" s="337" t="b">
        <f t="shared" si="142"/>
        <v>1</v>
      </c>
    </row>
    <row r="6629" spans="1:24" s="386" customFormat="1" ht="12" customHeight="1" outlineLevel="1">
      <c r="A6629" s="382"/>
      <c r="B6629" s="118" t="s">
        <v>12</v>
      </c>
      <c r="C6629" s="334" t="s">
        <v>15966</v>
      </c>
      <c r="D6629" s="124" t="s">
        <v>15967</v>
      </c>
      <c r="E6629" s="125"/>
      <c r="F6629" s="118" t="s">
        <v>1104</v>
      </c>
      <c r="G6629" s="126" t="s">
        <v>15312</v>
      </c>
      <c r="H6629" s="255">
        <v>1</v>
      </c>
      <c r="I6629" s="361">
        <v>1</v>
      </c>
      <c r="J6629" s="371" t="s">
        <v>286</v>
      </c>
      <c r="K6629" s="373"/>
      <c r="L6629" s="129"/>
      <c r="M6629" s="129"/>
      <c r="N6629" s="129"/>
      <c r="O6629" s="129"/>
      <c r="P6629" s="364"/>
      <c r="Q6629" s="364"/>
      <c r="R6629" s="129"/>
      <c r="S6629" s="129"/>
      <c r="T6629" s="129"/>
      <c r="W6629" s="129" t="s">
        <v>286</v>
      </c>
      <c r="X6629" s="337" t="b">
        <f t="shared" si="142"/>
        <v>1</v>
      </c>
    </row>
    <row r="6630" spans="1:24" s="386" customFormat="1" ht="12" customHeight="1" outlineLevel="1">
      <c r="A6630" s="382"/>
      <c r="B6630" s="118" t="s">
        <v>12</v>
      </c>
      <c r="C6630" s="334" t="s">
        <v>15968</v>
      </c>
      <c r="D6630" s="124" t="s">
        <v>15969</v>
      </c>
      <c r="E6630" s="125"/>
      <c r="F6630" s="118" t="s">
        <v>1104</v>
      </c>
      <c r="G6630" s="126" t="s">
        <v>15312</v>
      </c>
      <c r="H6630" s="255">
        <v>1</v>
      </c>
      <c r="I6630" s="361">
        <v>1</v>
      </c>
      <c r="J6630" s="371" t="s">
        <v>286</v>
      </c>
      <c r="K6630" s="373"/>
      <c r="L6630" s="129"/>
      <c r="M6630" s="129"/>
      <c r="N6630" s="129"/>
      <c r="O6630" s="129"/>
      <c r="P6630" s="364"/>
      <c r="Q6630" s="364"/>
      <c r="R6630" s="129"/>
      <c r="S6630" s="129"/>
      <c r="T6630" s="129"/>
      <c r="W6630" s="129" t="s">
        <v>286</v>
      </c>
      <c r="X6630" s="337" t="b">
        <f t="shared" si="142"/>
        <v>1</v>
      </c>
    </row>
    <row r="6631" spans="1:24" s="386" customFormat="1" ht="12" customHeight="1" outlineLevel="1">
      <c r="A6631" s="382"/>
      <c r="B6631" s="118" t="s">
        <v>12</v>
      </c>
      <c r="C6631" s="334" t="s">
        <v>15970</v>
      </c>
      <c r="D6631" s="124" t="s">
        <v>15971</v>
      </c>
      <c r="E6631" s="125"/>
      <c r="F6631" s="118" t="s">
        <v>1104</v>
      </c>
      <c r="G6631" s="126" t="s">
        <v>15312</v>
      </c>
      <c r="H6631" s="255">
        <v>1</v>
      </c>
      <c r="I6631" s="361">
        <v>1</v>
      </c>
      <c r="J6631" s="371" t="s">
        <v>286</v>
      </c>
      <c r="K6631" s="373"/>
      <c r="L6631" s="129"/>
      <c r="M6631" s="129"/>
      <c r="N6631" s="129"/>
      <c r="O6631" s="129"/>
      <c r="P6631" s="364"/>
      <c r="Q6631" s="364"/>
      <c r="R6631" s="129"/>
      <c r="S6631" s="129"/>
      <c r="T6631" s="129"/>
      <c r="W6631" s="129" t="s">
        <v>310</v>
      </c>
      <c r="X6631" s="337" t="b">
        <f t="shared" si="142"/>
        <v>0</v>
      </c>
    </row>
    <row r="6632" spans="1:24" s="386" customFormat="1" ht="12" customHeight="1" outlineLevel="1">
      <c r="A6632" s="382"/>
      <c r="B6632" s="118" t="s">
        <v>12</v>
      </c>
      <c r="C6632" s="334" t="s">
        <v>15972</v>
      </c>
      <c r="D6632" s="124" t="s">
        <v>15973</v>
      </c>
      <c r="E6632" s="125"/>
      <c r="F6632" s="118" t="s">
        <v>1104</v>
      </c>
      <c r="G6632" s="126" t="s">
        <v>15312</v>
      </c>
      <c r="H6632" s="255">
        <v>1</v>
      </c>
      <c r="I6632" s="361">
        <v>1</v>
      </c>
      <c r="J6632" s="371" t="s">
        <v>286</v>
      </c>
      <c r="K6632" s="373"/>
      <c r="L6632" s="129"/>
      <c r="M6632" s="129"/>
      <c r="N6632" s="129"/>
      <c r="O6632" s="129"/>
      <c r="P6632" s="364"/>
      <c r="Q6632" s="364"/>
      <c r="R6632" s="129"/>
      <c r="S6632" s="129"/>
      <c r="T6632" s="129"/>
      <c r="W6632" s="129" t="s">
        <v>310</v>
      </c>
      <c r="X6632" s="337" t="b">
        <f t="shared" si="142"/>
        <v>0</v>
      </c>
    </row>
    <row r="6633" spans="1:24" s="386" customFormat="1" ht="12" customHeight="1" outlineLevel="1">
      <c r="A6633" s="382"/>
      <c r="B6633" s="118" t="s">
        <v>12</v>
      </c>
      <c r="C6633" s="334" t="s">
        <v>15974</v>
      </c>
      <c r="D6633" s="124" t="s">
        <v>15975</v>
      </c>
      <c r="E6633" s="125"/>
      <c r="F6633" s="118" t="s">
        <v>1104</v>
      </c>
      <c r="G6633" s="126" t="s">
        <v>15312</v>
      </c>
      <c r="H6633" s="255">
        <v>1</v>
      </c>
      <c r="I6633" s="361">
        <v>1</v>
      </c>
      <c r="J6633" s="371" t="s">
        <v>286</v>
      </c>
      <c r="K6633" s="373"/>
      <c r="L6633" s="129"/>
      <c r="M6633" s="129"/>
      <c r="N6633" s="129"/>
      <c r="O6633" s="129"/>
      <c r="P6633" s="364"/>
      <c r="Q6633" s="364"/>
      <c r="R6633" s="129"/>
      <c r="S6633" s="129"/>
      <c r="T6633" s="129"/>
      <c r="W6633" s="129" t="s">
        <v>310</v>
      </c>
      <c r="X6633" s="337" t="b">
        <f t="shared" si="142"/>
        <v>0</v>
      </c>
    </row>
    <row r="6634" spans="1:24" s="386" customFormat="1" ht="12" customHeight="1" outlineLevel="1">
      <c r="A6634" s="382"/>
      <c r="B6634" s="118" t="s">
        <v>12</v>
      </c>
      <c r="C6634" s="334" t="s">
        <v>15976</v>
      </c>
      <c r="D6634" s="124" t="s">
        <v>15977</v>
      </c>
      <c r="E6634" s="125"/>
      <c r="F6634" s="118" t="s">
        <v>1104</v>
      </c>
      <c r="G6634" s="126" t="s">
        <v>15312</v>
      </c>
      <c r="H6634" s="255">
        <v>1</v>
      </c>
      <c r="I6634" s="361">
        <v>1</v>
      </c>
      <c r="J6634" s="371" t="s">
        <v>286</v>
      </c>
      <c r="K6634" s="373"/>
      <c r="L6634" s="129"/>
      <c r="M6634" s="129"/>
      <c r="N6634" s="129"/>
      <c r="O6634" s="129"/>
      <c r="P6634" s="364"/>
      <c r="Q6634" s="364"/>
      <c r="R6634" s="129"/>
      <c r="S6634" s="129"/>
      <c r="T6634" s="129"/>
      <c r="W6634" s="129" t="s">
        <v>310</v>
      </c>
      <c r="X6634" s="337" t="b">
        <f t="shared" si="142"/>
        <v>0</v>
      </c>
    </row>
    <row r="6635" spans="1:24" s="386" customFormat="1" ht="12" customHeight="1" outlineLevel="1">
      <c r="A6635" s="382"/>
      <c r="B6635" s="118" t="s">
        <v>12</v>
      </c>
      <c r="C6635" s="334" t="s">
        <v>15978</v>
      </c>
      <c r="D6635" s="124" t="s">
        <v>15979</v>
      </c>
      <c r="E6635" s="125"/>
      <c r="F6635" s="118" t="s">
        <v>1104</v>
      </c>
      <c r="G6635" s="126" t="s">
        <v>15312</v>
      </c>
      <c r="H6635" s="255">
        <v>1</v>
      </c>
      <c r="I6635" s="361">
        <v>1</v>
      </c>
      <c r="J6635" s="371" t="s">
        <v>286</v>
      </c>
      <c r="K6635" s="373"/>
      <c r="L6635" s="129"/>
      <c r="M6635" s="129"/>
      <c r="N6635" s="129"/>
      <c r="O6635" s="129"/>
      <c r="P6635" s="364"/>
      <c r="Q6635" s="364"/>
      <c r="R6635" s="129"/>
      <c r="S6635" s="129"/>
      <c r="T6635" s="129"/>
      <c r="W6635" s="129" t="s">
        <v>286</v>
      </c>
      <c r="X6635" s="337" t="b">
        <f t="shared" si="142"/>
        <v>1</v>
      </c>
    </row>
    <row r="6636" spans="1:24" s="386" customFormat="1" ht="12" customHeight="1" outlineLevel="1">
      <c r="A6636" s="382"/>
      <c r="B6636" s="118" t="s">
        <v>12</v>
      </c>
      <c r="C6636" s="334" t="s">
        <v>15980</v>
      </c>
      <c r="D6636" s="124" t="s">
        <v>15981</v>
      </c>
      <c r="E6636" s="125"/>
      <c r="F6636" s="118" t="s">
        <v>1104</v>
      </c>
      <c r="G6636" s="126" t="s">
        <v>15312</v>
      </c>
      <c r="H6636" s="255">
        <v>1</v>
      </c>
      <c r="I6636" s="361">
        <v>1</v>
      </c>
      <c r="J6636" s="371" t="s">
        <v>286</v>
      </c>
      <c r="K6636" s="373"/>
      <c r="L6636" s="129"/>
      <c r="M6636" s="129"/>
      <c r="N6636" s="129"/>
      <c r="O6636" s="129"/>
      <c r="P6636" s="364"/>
      <c r="Q6636" s="364"/>
      <c r="R6636" s="129"/>
      <c r="S6636" s="129"/>
      <c r="T6636" s="129"/>
      <c r="W6636" s="129" t="s">
        <v>286</v>
      </c>
      <c r="X6636" s="337" t="b">
        <f t="shared" si="142"/>
        <v>1</v>
      </c>
    </row>
    <row r="6637" spans="1:24" s="386" customFormat="1" ht="12" customHeight="1" outlineLevel="1">
      <c r="A6637" s="382"/>
      <c r="B6637" s="118" t="s">
        <v>12</v>
      </c>
      <c r="C6637" s="334" t="s">
        <v>15982</v>
      </c>
      <c r="D6637" s="124" t="s">
        <v>15983</v>
      </c>
      <c r="E6637" s="125"/>
      <c r="F6637" s="118" t="s">
        <v>1104</v>
      </c>
      <c r="G6637" s="126" t="s">
        <v>15312</v>
      </c>
      <c r="H6637" s="255">
        <v>1</v>
      </c>
      <c r="I6637" s="361">
        <v>1</v>
      </c>
      <c r="J6637" s="371" t="s">
        <v>286</v>
      </c>
      <c r="K6637" s="373"/>
      <c r="L6637" s="129"/>
      <c r="M6637" s="129"/>
      <c r="N6637" s="129"/>
      <c r="O6637" s="129"/>
      <c r="P6637" s="364"/>
      <c r="Q6637" s="364"/>
      <c r="R6637" s="129"/>
      <c r="S6637" s="129"/>
      <c r="T6637" s="129"/>
      <c r="W6637" s="129" t="s">
        <v>286</v>
      </c>
      <c r="X6637" s="337" t="b">
        <f t="shared" si="142"/>
        <v>1</v>
      </c>
    </row>
    <row r="6638" spans="1:24" s="386" customFormat="1" ht="12" customHeight="1" outlineLevel="1">
      <c r="A6638" s="382"/>
      <c r="B6638" s="118" t="s">
        <v>12</v>
      </c>
      <c r="C6638" s="334" t="s">
        <v>15984</v>
      </c>
      <c r="D6638" s="124" t="s">
        <v>15985</v>
      </c>
      <c r="E6638" s="125"/>
      <c r="F6638" s="118" t="s">
        <v>1104</v>
      </c>
      <c r="G6638" s="126" t="s">
        <v>15312</v>
      </c>
      <c r="H6638" s="255">
        <v>1</v>
      </c>
      <c r="I6638" s="361">
        <v>1</v>
      </c>
      <c r="J6638" s="371" t="s">
        <v>286</v>
      </c>
      <c r="K6638" s="373"/>
      <c r="L6638" s="129"/>
      <c r="M6638" s="129"/>
      <c r="N6638" s="129"/>
      <c r="O6638" s="129"/>
      <c r="P6638" s="364"/>
      <c r="Q6638" s="364"/>
      <c r="R6638" s="129"/>
      <c r="S6638" s="129"/>
      <c r="T6638" s="129"/>
      <c r="W6638" s="129" t="s">
        <v>310</v>
      </c>
      <c r="X6638" s="337" t="b">
        <f t="shared" si="142"/>
        <v>0</v>
      </c>
    </row>
    <row r="6639" spans="1:24" s="386" customFormat="1" ht="12" customHeight="1" outlineLevel="1">
      <c r="A6639" s="382"/>
      <c r="B6639" s="118" t="s">
        <v>12</v>
      </c>
      <c r="C6639" s="334" t="s">
        <v>15986</v>
      </c>
      <c r="D6639" s="124" t="s">
        <v>15987</v>
      </c>
      <c r="E6639" s="125"/>
      <c r="F6639" s="118" t="s">
        <v>1104</v>
      </c>
      <c r="G6639" s="126" t="s">
        <v>15326</v>
      </c>
      <c r="H6639" s="255">
        <v>2</v>
      </c>
      <c r="I6639" s="361">
        <v>1</v>
      </c>
      <c r="J6639" s="371" t="s">
        <v>310</v>
      </c>
      <c r="K6639" s="373"/>
      <c r="L6639" s="129"/>
      <c r="M6639" s="129"/>
      <c r="N6639" s="129"/>
      <c r="O6639" s="129"/>
      <c r="P6639" s="364"/>
      <c r="Q6639" s="364"/>
      <c r="R6639" s="129"/>
      <c r="S6639" s="129"/>
      <c r="T6639" s="129"/>
      <c r="W6639" s="129" t="s">
        <v>307</v>
      </c>
      <c r="X6639" s="337" t="b">
        <f t="shared" si="142"/>
        <v>0</v>
      </c>
    </row>
    <row r="6640" spans="1:24" s="386" customFormat="1" ht="12" customHeight="1" outlineLevel="1">
      <c r="A6640" s="382"/>
      <c r="B6640" s="118" t="s">
        <v>12</v>
      </c>
      <c r="C6640" s="334" t="s">
        <v>15988</v>
      </c>
      <c r="D6640" s="124" t="s">
        <v>15989</v>
      </c>
      <c r="E6640" s="125"/>
      <c r="F6640" s="118" t="s">
        <v>1104</v>
      </c>
      <c r="G6640" s="126" t="s">
        <v>15326</v>
      </c>
      <c r="H6640" s="255">
        <v>2</v>
      </c>
      <c r="I6640" s="361">
        <v>1</v>
      </c>
      <c r="J6640" s="371" t="s">
        <v>286</v>
      </c>
      <c r="K6640" s="373"/>
      <c r="L6640" s="129"/>
      <c r="M6640" s="129"/>
      <c r="N6640" s="129"/>
      <c r="O6640" s="129"/>
      <c r="P6640" s="364"/>
      <c r="Q6640" s="364"/>
      <c r="R6640" s="129"/>
      <c r="S6640" s="129"/>
      <c r="T6640" s="129"/>
      <c r="W6640" s="129" t="s">
        <v>286</v>
      </c>
      <c r="X6640" s="337" t="b">
        <f t="shared" si="142"/>
        <v>1</v>
      </c>
    </row>
    <row r="6641" spans="1:24" s="386" customFormat="1" ht="12" customHeight="1" outlineLevel="1">
      <c r="A6641" s="382"/>
      <c r="B6641" s="118" t="s">
        <v>12</v>
      </c>
      <c r="C6641" s="334" t="s">
        <v>15990</v>
      </c>
      <c r="D6641" s="124" t="s">
        <v>15991</v>
      </c>
      <c r="E6641" s="125"/>
      <c r="F6641" s="118" t="s">
        <v>1104</v>
      </c>
      <c r="G6641" s="126" t="s">
        <v>15326</v>
      </c>
      <c r="H6641" s="255">
        <v>2</v>
      </c>
      <c r="I6641" s="361">
        <v>1</v>
      </c>
      <c r="J6641" s="371" t="s">
        <v>286</v>
      </c>
      <c r="K6641" s="373"/>
      <c r="L6641" s="129"/>
      <c r="M6641" s="129"/>
      <c r="N6641" s="129"/>
      <c r="O6641" s="129"/>
      <c r="P6641" s="364"/>
      <c r="Q6641" s="364"/>
      <c r="R6641" s="129"/>
      <c r="S6641" s="129"/>
      <c r="T6641" s="129"/>
      <c r="W6641" s="129" t="s">
        <v>310</v>
      </c>
      <c r="X6641" s="337" t="b">
        <f t="shared" si="142"/>
        <v>0</v>
      </c>
    </row>
    <row r="6642" spans="1:24" s="386" customFormat="1" ht="12" customHeight="1" outlineLevel="1">
      <c r="A6642" s="382"/>
      <c r="B6642" s="118" t="s">
        <v>12</v>
      </c>
      <c r="C6642" s="334" t="s">
        <v>15992</v>
      </c>
      <c r="D6642" s="124" t="s">
        <v>15993</v>
      </c>
      <c r="E6642" s="125"/>
      <c r="F6642" s="118" t="s">
        <v>1104</v>
      </c>
      <c r="G6642" s="126" t="s">
        <v>15326</v>
      </c>
      <c r="H6642" s="255">
        <v>2</v>
      </c>
      <c r="I6642" s="361">
        <v>1</v>
      </c>
      <c r="J6642" s="371" t="s">
        <v>286</v>
      </c>
      <c r="K6642" s="373"/>
      <c r="L6642" s="129"/>
      <c r="M6642" s="129"/>
      <c r="N6642" s="129"/>
      <c r="O6642" s="129"/>
      <c r="P6642" s="364"/>
      <c r="Q6642" s="364"/>
      <c r="R6642" s="129"/>
      <c r="S6642" s="129"/>
      <c r="T6642" s="129"/>
      <c r="W6642" s="129" t="s">
        <v>310</v>
      </c>
      <c r="X6642" s="337" t="b">
        <f t="shared" si="142"/>
        <v>0</v>
      </c>
    </row>
    <row r="6643" spans="1:24" s="386" customFormat="1" ht="12" customHeight="1" outlineLevel="1">
      <c r="A6643" s="382"/>
      <c r="B6643" s="118" t="s">
        <v>12</v>
      </c>
      <c r="C6643" s="334" t="s">
        <v>15994</v>
      </c>
      <c r="D6643" s="124" t="s">
        <v>15995</v>
      </c>
      <c r="E6643" s="125"/>
      <c r="F6643" s="118" t="s">
        <v>1104</v>
      </c>
      <c r="G6643" s="126" t="s">
        <v>15326</v>
      </c>
      <c r="H6643" s="255">
        <v>2</v>
      </c>
      <c r="I6643" s="361">
        <v>1</v>
      </c>
      <c r="J6643" s="371" t="s">
        <v>286</v>
      </c>
      <c r="K6643" s="373"/>
      <c r="L6643" s="129"/>
      <c r="M6643" s="129"/>
      <c r="N6643" s="129"/>
      <c r="O6643" s="129"/>
      <c r="P6643" s="364"/>
      <c r="Q6643" s="364"/>
      <c r="R6643" s="129"/>
      <c r="S6643" s="129"/>
      <c r="T6643" s="129"/>
      <c r="W6643" s="129" t="s">
        <v>310</v>
      </c>
      <c r="X6643" s="337" t="b">
        <f t="shared" si="142"/>
        <v>0</v>
      </c>
    </row>
    <row r="6644" spans="1:24" s="386" customFormat="1" ht="12" customHeight="1" outlineLevel="1">
      <c r="A6644" s="382"/>
      <c r="B6644" s="118" t="s">
        <v>12</v>
      </c>
      <c r="C6644" s="334" t="s">
        <v>15996</v>
      </c>
      <c r="D6644" s="124" t="s">
        <v>15997</v>
      </c>
      <c r="E6644" s="125"/>
      <c r="F6644" s="118" t="s">
        <v>1104</v>
      </c>
      <c r="G6644" s="126" t="s">
        <v>15326</v>
      </c>
      <c r="H6644" s="255">
        <v>2</v>
      </c>
      <c r="I6644" s="361">
        <v>1</v>
      </c>
      <c r="J6644" s="371" t="s">
        <v>286</v>
      </c>
      <c r="K6644" s="373"/>
      <c r="L6644" s="129"/>
      <c r="M6644" s="129"/>
      <c r="N6644" s="129"/>
      <c r="O6644" s="129"/>
      <c r="P6644" s="364"/>
      <c r="Q6644" s="364"/>
      <c r="R6644" s="129"/>
      <c r="S6644" s="129"/>
      <c r="T6644" s="129"/>
      <c r="W6644" s="129" t="s">
        <v>310</v>
      </c>
      <c r="X6644" s="337" t="b">
        <f t="shared" si="142"/>
        <v>0</v>
      </c>
    </row>
    <row r="6645" spans="1:24" s="386" customFormat="1" ht="12" customHeight="1" outlineLevel="1">
      <c r="A6645" s="382"/>
      <c r="B6645" s="118" t="s">
        <v>12</v>
      </c>
      <c r="C6645" s="334" t="s">
        <v>15998</v>
      </c>
      <c r="D6645" s="124" t="s">
        <v>15999</v>
      </c>
      <c r="E6645" s="125"/>
      <c r="F6645" s="118" t="s">
        <v>1104</v>
      </c>
      <c r="G6645" s="126" t="s">
        <v>15326</v>
      </c>
      <c r="H6645" s="255">
        <v>2</v>
      </c>
      <c r="I6645" s="361">
        <v>1</v>
      </c>
      <c r="J6645" s="371" t="s">
        <v>286</v>
      </c>
      <c r="K6645" s="373"/>
      <c r="L6645" s="129"/>
      <c r="M6645" s="129"/>
      <c r="N6645" s="129"/>
      <c r="O6645" s="129"/>
      <c r="P6645" s="364"/>
      <c r="Q6645" s="364"/>
      <c r="R6645" s="129"/>
      <c r="S6645" s="129"/>
      <c r="T6645" s="129"/>
      <c r="W6645" s="129" t="s">
        <v>310</v>
      </c>
      <c r="X6645" s="337" t="b">
        <f t="shared" si="142"/>
        <v>0</v>
      </c>
    </row>
    <row r="6646" spans="1:24" s="386" customFormat="1" ht="12" customHeight="1" outlineLevel="1">
      <c r="A6646" s="382"/>
      <c r="B6646" s="118" t="s">
        <v>12</v>
      </c>
      <c r="C6646" s="334" t="s">
        <v>16000</v>
      </c>
      <c r="D6646" s="124" t="s">
        <v>16001</v>
      </c>
      <c r="E6646" s="125"/>
      <c r="F6646" s="118" t="s">
        <v>1104</v>
      </c>
      <c r="G6646" s="126" t="s">
        <v>15326</v>
      </c>
      <c r="H6646" s="255">
        <v>2</v>
      </c>
      <c r="I6646" s="361">
        <v>1</v>
      </c>
      <c r="J6646" s="371" t="s">
        <v>286</v>
      </c>
      <c r="K6646" s="373"/>
      <c r="L6646" s="129"/>
      <c r="M6646" s="129"/>
      <c r="N6646" s="129"/>
      <c r="O6646" s="129"/>
      <c r="P6646" s="364"/>
      <c r="Q6646" s="364"/>
      <c r="R6646" s="129"/>
      <c r="S6646" s="129"/>
      <c r="T6646" s="129"/>
      <c r="W6646" s="129" t="s">
        <v>310</v>
      </c>
      <c r="X6646" s="337" t="b">
        <f t="shared" si="142"/>
        <v>0</v>
      </c>
    </row>
    <row r="6647" spans="1:24" s="386" customFormat="1" ht="12" customHeight="1" outlineLevel="1">
      <c r="A6647" s="382"/>
      <c r="B6647" s="118" t="s">
        <v>12</v>
      </c>
      <c r="C6647" s="334" t="s">
        <v>16002</v>
      </c>
      <c r="D6647" s="124" t="s">
        <v>16003</v>
      </c>
      <c r="E6647" s="125"/>
      <c r="F6647" s="118" t="s">
        <v>1104</v>
      </c>
      <c r="G6647" s="126" t="s">
        <v>15326</v>
      </c>
      <c r="H6647" s="255">
        <v>2</v>
      </c>
      <c r="I6647" s="361">
        <v>1</v>
      </c>
      <c r="J6647" s="371" t="s">
        <v>286</v>
      </c>
      <c r="K6647" s="373"/>
      <c r="L6647" s="129"/>
      <c r="M6647" s="129"/>
      <c r="N6647" s="129"/>
      <c r="O6647" s="129"/>
      <c r="P6647" s="364"/>
      <c r="Q6647" s="364"/>
      <c r="R6647" s="129"/>
      <c r="S6647" s="129"/>
      <c r="T6647" s="129"/>
      <c r="W6647" s="129" t="s">
        <v>310</v>
      </c>
      <c r="X6647" s="337" t="b">
        <f t="shared" si="142"/>
        <v>0</v>
      </c>
    </row>
    <row r="6648" spans="1:24" s="386" customFormat="1" ht="12" customHeight="1" outlineLevel="1">
      <c r="A6648" s="382"/>
      <c r="B6648" s="118" t="s">
        <v>12</v>
      </c>
      <c r="C6648" s="334" t="s">
        <v>16004</v>
      </c>
      <c r="D6648" s="124" t="s">
        <v>16005</v>
      </c>
      <c r="E6648" s="125"/>
      <c r="F6648" s="118" t="s">
        <v>1104</v>
      </c>
      <c r="G6648" s="126" t="s">
        <v>15326</v>
      </c>
      <c r="H6648" s="255">
        <v>2</v>
      </c>
      <c r="I6648" s="361">
        <v>1</v>
      </c>
      <c r="J6648" s="371" t="s">
        <v>286</v>
      </c>
      <c r="K6648" s="373"/>
      <c r="L6648" s="129"/>
      <c r="M6648" s="129"/>
      <c r="N6648" s="129"/>
      <c r="O6648" s="129"/>
      <c r="P6648" s="364"/>
      <c r="Q6648" s="364"/>
      <c r="R6648" s="129"/>
      <c r="S6648" s="129"/>
      <c r="T6648" s="129"/>
      <c r="W6648" s="129" t="s">
        <v>310</v>
      </c>
      <c r="X6648" s="337" t="b">
        <f t="shared" si="142"/>
        <v>0</v>
      </c>
    </row>
    <row r="6649" spans="1:24" s="386" customFormat="1" ht="12" customHeight="1" outlineLevel="1">
      <c r="A6649" s="382"/>
      <c r="B6649" s="118" t="s">
        <v>12</v>
      </c>
      <c r="C6649" s="334" t="s">
        <v>16006</v>
      </c>
      <c r="D6649" s="124" t="s">
        <v>16007</v>
      </c>
      <c r="E6649" s="125"/>
      <c r="F6649" s="118" t="s">
        <v>1104</v>
      </c>
      <c r="G6649" s="126" t="s">
        <v>15326</v>
      </c>
      <c r="H6649" s="255">
        <v>2</v>
      </c>
      <c r="I6649" s="361">
        <v>1</v>
      </c>
      <c r="J6649" s="371" t="s">
        <v>286</v>
      </c>
      <c r="K6649" s="373"/>
      <c r="L6649" s="129"/>
      <c r="M6649" s="129"/>
      <c r="N6649" s="129"/>
      <c r="O6649" s="129"/>
      <c r="P6649" s="364"/>
      <c r="Q6649" s="364"/>
      <c r="R6649" s="129"/>
      <c r="S6649" s="129"/>
      <c r="T6649" s="129"/>
      <c r="W6649" s="129" t="s">
        <v>310</v>
      </c>
      <c r="X6649" s="337" t="b">
        <f t="shared" si="142"/>
        <v>0</v>
      </c>
    </row>
    <row r="6650" spans="1:24" s="386" customFormat="1" ht="12" customHeight="1" outlineLevel="1">
      <c r="A6650" s="382"/>
      <c r="B6650" s="118" t="s">
        <v>12</v>
      </c>
      <c r="C6650" s="334" t="s">
        <v>16008</v>
      </c>
      <c r="D6650" s="124" t="s">
        <v>16009</v>
      </c>
      <c r="E6650" s="125"/>
      <c r="F6650" s="118" t="s">
        <v>1104</v>
      </c>
      <c r="G6650" s="126" t="s">
        <v>15326</v>
      </c>
      <c r="H6650" s="255">
        <v>2</v>
      </c>
      <c r="I6650" s="361">
        <v>1</v>
      </c>
      <c r="J6650" s="371" t="s">
        <v>286</v>
      </c>
      <c r="K6650" s="373"/>
      <c r="L6650" s="129"/>
      <c r="M6650" s="129"/>
      <c r="N6650" s="129"/>
      <c r="O6650" s="129"/>
      <c r="P6650" s="364"/>
      <c r="Q6650" s="364"/>
      <c r="R6650" s="129"/>
      <c r="S6650" s="129"/>
      <c r="T6650" s="129"/>
      <c r="W6650" s="129" t="s">
        <v>310</v>
      </c>
      <c r="X6650" s="337" t="b">
        <f t="shared" si="142"/>
        <v>0</v>
      </c>
    </row>
    <row r="6651" spans="1:24" s="386" customFormat="1" ht="12" customHeight="1" outlineLevel="1">
      <c r="A6651" s="382"/>
      <c r="B6651" s="118" t="s">
        <v>12</v>
      </c>
      <c r="C6651" s="334" t="s">
        <v>16010</v>
      </c>
      <c r="D6651" s="124" t="s">
        <v>16011</v>
      </c>
      <c r="E6651" s="125"/>
      <c r="F6651" s="118" t="s">
        <v>1104</v>
      </c>
      <c r="G6651" s="126" t="s">
        <v>15326</v>
      </c>
      <c r="H6651" s="255">
        <v>2</v>
      </c>
      <c r="I6651" s="361">
        <v>1</v>
      </c>
      <c r="J6651" s="371" t="s">
        <v>286</v>
      </c>
      <c r="K6651" s="373"/>
      <c r="L6651" s="129"/>
      <c r="M6651" s="129"/>
      <c r="N6651" s="129"/>
      <c r="O6651" s="129"/>
      <c r="P6651" s="364"/>
      <c r="Q6651" s="364"/>
      <c r="R6651" s="129"/>
      <c r="S6651" s="129"/>
      <c r="T6651" s="129"/>
      <c r="W6651" s="129" t="s">
        <v>310</v>
      </c>
      <c r="X6651" s="337" t="b">
        <f t="shared" si="142"/>
        <v>0</v>
      </c>
    </row>
    <row r="6652" spans="1:24" s="386" customFormat="1" ht="12" customHeight="1" outlineLevel="1">
      <c r="A6652" s="382"/>
      <c r="B6652" s="118" t="s">
        <v>12</v>
      </c>
      <c r="C6652" s="334" t="s">
        <v>16012</v>
      </c>
      <c r="D6652" s="124" t="s">
        <v>16013</v>
      </c>
      <c r="E6652" s="125"/>
      <c r="F6652" s="118" t="s">
        <v>1104</v>
      </c>
      <c r="G6652" s="126" t="s">
        <v>15326</v>
      </c>
      <c r="H6652" s="255">
        <v>2</v>
      </c>
      <c r="I6652" s="361">
        <v>1</v>
      </c>
      <c r="J6652" s="371" t="s">
        <v>286</v>
      </c>
      <c r="K6652" s="373"/>
      <c r="L6652" s="129"/>
      <c r="M6652" s="129"/>
      <c r="N6652" s="129"/>
      <c r="O6652" s="129"/>
      <c r="P6652" s="364"/>
      <c r="Q6652" s="364"/>
      <c r="R6652" s="129"/>
      <c r="S6652" s="129"/>
      <c r="T6652" s="129"/>
      <c r="W6652" s="129" t="s">
        <v>310</v>
      </c>
      <c r="X6652" s="337" t="b">
        <f t="shared" si="142"/>
        <v>0</v>
      </c>
    </row>
    <row r="6653" spans="1:24" s="386" customFormat="1" ht="12" customHeight="1" outlineLevel="1">
      <c r="A6653" s="382"/>
      <c r="B6653" s="118" t="s">
        <v>12</v>
      </c>
      <c r="C6653" s="334" t="s">
        <v>16014</v>
      </c>
      <c r="D6653" s="124" t="s">
        <v>15846</v>
      </c>
      <c r="E6653" s="125"/>
      <c r="F6653" s="118" t="s">
        <v>1104</v>
      </c>
      <c r="G6653" s="126" t="s">
        <v>15326</v>
      </c>
      <c r="H6653" s="255">
        <v>2</v>
      </c>
      <c r="I6653" s="361">
        <v>1</v>
      </c>
      <c r="J6653" s="371" t="s">
        <v>310</v>
      </c>
      <c r="K6653" s="373"/>
      <c r="L6653" s="129"/>
      <c r="M6653" s="129"/>
      <c r="N6653" s="129"/>
      <c r="O6653" s="129"/>
      <c r="P6653" s="364"/>
      <c r="Q6653" s="364"/>
      <c r="R6653" s="129"/>
      <c r="S6653" s="129"/>
      <c r="T6653" s="129"/>
      <c r="W6653" s="129" t="s">
        <v>286</v>
      </c>
      <c r="X6653" s="337" t="b">
        <f t="shared" si="142"/>
        <v>0</v>
      </c>
    </row>
    <row r="6654" spans="1:24" s="386" customFormat="1" ht="12" customHeight="1" outlineLevel="1">
      <c r="A6654" s="382"/>
      <c r="B6654" s="118" t="s">
        <v>12</v>
      </c>
      <c r="C6654" s="334" t="s">
        <v>16015</v>
      </c>
      <c r="D6654" s="124" t="s">
        <v>15850</v>
      </c>
      <c r="E6654" s="125"/>
      <c r="F6654" s="118" t="s">
        <v>1104</v>
      </c>
      <c r="G6654" s="126" t="s">
        <v>15326</v>
      </c>
      <c r="H6654" s="255">
        <v>2</v>
      </c>
      <c r="I6654" s="361">
        <v>1</v>
      </c>
      <c r="J6654" s="371" t="s">
        <v>310</v>
      </c>
      <c r="K6654" s="373"/>
      <c r="L6654" s="129"/>
      <c r="M6654" s="129"/>
      <c r="N6654" s="129"/>
      <c r="O6654" s="129"/>
      <c r="P6654" s="364"/>
      <c r="Q6654" s="364"/>
      <c r="R6654" s="129"/>
      <c r="S6654" s="129"/>
      <c r="T6654" s="129"/>
      <c r="W6654" s="129" t="s">
        <v>286</v>
      </c>
      <c r="X6654" s="337" t="b">
        <f t="shared" si="142"/>
        <v>0</v>
      </c>
    </row>
    <row r="6655" spans="1:24" s="386" customFormat="1" ht="12" customHeight="1" outlineLevel="1">
      <c r="A6655" s="382"/>
      <c r="B6655" s="118" t="s">
        <v>12</v>
      </c>
      <c r="C6655" s="334" t="s">
        <v>16016</v>
      </c>
      <c r="D6655" s="124" t="s">
        <v>15848</v>
      </c>
      <c r="E6655" s="125"/>
      <c r="F6655" s="118" t="s">
        <v>1104</v>
      </c>
      <c r="G6655" s="126" t="s">
        <v>15326</v>
      </c>
      <c r="H6655" s="255">
        <v>2</v>
      </c>
      <c r="I6655" s="361">
        <v>1</v>
      </c>
      <c r="J6655" s="371" t="s">
        <v>310</v>
      </c>
      <c r="K6655" s="373"/>
      <c r="L6655" s="129"/>
      <c r="M6655" s="129"/>
      <c r="N6655" s="129"/>
      <c r="O6655" s="129"/>
      <c r="P6655" s="364"/>
      <c r="Q6655" s="364"/>
      <c r="R6655" s="129"/>
      <c r="S6655" s="129"/>
      <c r="T6655" s="129"/>
      <c r="W6655" s="129" t="s">
        <v>286</v>
      </c>
      <c r="X6655" s="337" t="b">
        <f t="shared" si="142"/>
        <v>0</v>
      </c>
    </row>
    <row r="6656" spans="1:24" s="386" customFormat="1" ht="12" customHeight="1" outlineLevel="1">
      <c r="A6656" s="382"/>
      <c r="B6656" s="118" t="s">
        <v>12</v>
      </c>
      <c r="C6656" s="334" t="s">
        <v>16017</v>
      </c>
      <c r="D6656" s="124" t="s">
        <v>16018</v>
      </c>
      <c r="E6656" s="125"/>
      <c r="F6656" s="118" t="s">
        <v>1104</v>
      </c>
      <c r="G6656" s="126" t="s">
        <v>15326</v>
      </c>
      <c r="H6656" s="255">
        <v>2</v>
      </c>
      <c r="I6656" s="361">
        <v>1</v>
      </c>
      <c r="J6656" s="371" t="s">
        <v>286</v>
      </c>
      <c r="K6656" s="373"/>
      <c r="L6656" s="129"/>
      <c r="M6656" s="129"/>
      <c r="N6656" s="129"/>
      <c r="O6656" s="129"/>
      <c r="P6656" s="364"/>
      <c r="Q6656" s="364"/>
      <c r="R6656" s="129"/>
      <c r="S6656" s="129"/>
      <c r="T6656" s="129"/>
      <c r="W6656" s="129" t="s">
        <v>286</v>
      </c>
      <c r="X6656" s="337" t="b">
        <f t="shared" si="142"/>
        <v>1</v>
      </c>
    </row>
    <row r="6657" spans="1:24" s="386" customFormat="1" ht="12" customHeight="1" outlineLevel="1">
      <c r="A6657" s="382"/>
      <c r="B6657" s="118" t="s">
        <v>12</v>
      </c>
      <c r="C6657" s="334" t="s">
        <v>16019</v>
      </c>
      <c r="D6657" s="124" t="s">
        <v>16020</v>
      </c>
      <c r="E6657" s="125"/>
      <c r="F6657" s="118" t="s">
        <v>1104</v>
      </c>
      <c r="G6657" s="126" t="s">
        <v>15326</v>
      </c>
      <c r="H6657" s="255">
        <v>2</v>
      </c>
      <c r="I6657" s="361">
        <v>1</v>
      </c>
      <c r="J6657" s="371" t="s">
        <v>310</v>
      </c>
      <c r="K6657" s="373"/>
      <c r="L6657" s="129"/>
      <c r="M6657" s="129"/>
      <c r="N6657" s="129"/>
      <c r="O6657" s="129"/>
      <c r="P6657" s="364"/>
      <c r="Q6657" s="364"/>
      <c r="R6657" s="129"/>
      <c r="S6657" s="129"/>
      <c r="T6657" s="129"/>
      <c r="W6657" s="129" t="s">
        <v>286</v>
      </c>
      <c r="X6657" s="337" t="b">
        <f t="shared" si="142"/>
        <v>0</v>
      </c>
    </row>
    <row r="6658" spans="1:24" s="386" customFormat="1" ht="12" customHeight="1" outlineLevel="1">
      <c r="A6658" s="382"/>
      <c r="B6658" s="118" t="s">
        <v>12</v>
      </c>
      <c r="C6658" s="334" t="s">
        <v>16021</v>
      </c>
      <c r="D6658" s="124" t="s">
        <v>16022</v>
      </c>
      <c r="E6658" s="125"/>
      <c r="F6658" s="118" t="s">
        <v>1104</v>
      </c>
      <c r="G6658" s="126" t="s">
        <v>15326</v>
      </c>
      <c r="H6658" s="255">
        <v>2</v>
      </c>
      <c r="I6658" s="361">
        <v>1</v>
      </c>
      <c r="J6658" s="371" t="s">
        <v>310</v>
      </c>
      <c r="K6658" s="373"/>
      <c r="L6658" s="129"/>
      <c r="M6658" s="129"/>
      <c r="N6658" s="129"/>
      <c r="O6658" s="129"/>
      <c r="P6658" s="364"/>
      <c r="Q6658" s="364"/>
      <c r="R6658" s="129"/>
      <c r="S6658" s="129"/>
      <c r="T6658" s="129"/>
      <c r="W6658" s="129" t="s">
        <v>286</v>
      </c>
      <c r="X6658" s="337" t="b">
        <f t="shared" si="142"/>
        <v>0</v>
      </c>
    </row>
    <row r="6659" spans="1:24" s="386" customFormat="1" ht="12" customHeight="1" outlineLevel="1">
      <c r="A6659" s="382"/>
      <c r="B6659" s="118" t="s">
        <v>12</v>
      </c>
      <c r="C6659" s="334" t="s">
        <v>16023</v>
      </c>
      <c r="D6659" s="124" t="s">
        <v>16024</v>
      </c>
      <c r="E6659" s="125"/>
      <c r="F6659" s="118" t="s">
        <v>1104</v>
      </c>
      <c r="G6659" s="126" t="s">
        <v>15326</v>
      </c>
      <c r="H6659" s="255">
        <v>2</v>
      </c>
      <c r="I6659" s="361">
        <v>1</v>
      </c>
      <c r="J6659" s="371" t="s">
        <v>310</v>
      </c>
      <c r="K6659" s="373"/>
      <c r="L6659" s="129"/>
      <c r="M6659" s="129"/>
      <c r="N6659" s="129"/>
      <c r="O6659" s="129"/>
      <c r="P6659" s="364"/>
      <c r="Q6659" s="364"/>
      <c r="R6659" s="129"/>
      <c r="S6659" s="129"/>
      <c r="T6659" s="129"/>
      <c r="W6659" s="129" t="s">
        <v>286</v>
      </c>
      <c r="X6659" s="337" t="b">
        <f t="shared" si="142"/>
        <v>0</v>
      </c>
    </row>
    <row r="6660" spans="1:24" s="386" customFormat="1" ht="12" customHeight="1" outlineLevel="1">
      <c r="A6660" s="382"/>
      <c r="B6660" s="118" t="s">
        <v>12</v>
      </c>
      <c r="C6660" s="334" t="s">
        <v>16025</v>
      </c>
      <c r="D6660" s="124" t="s">
        <v>16026</v>
      </c>
      <c r="E6660" s="125"/>
      <c r="F6660" s="118" t="s">
        <v>1104</v>
      </c>
      <c r="G6660" s="126" t="s">
        <v>15326</v>
      </c>
      <c r="H6660" s="255">
        <v>2</v>
      </c>
      <c r="I6660" s="361">
        <v>1</v>
      </c>
      <c r="J6660" s="371" t="s">
        <v>286</v>
      </c>
      <c r="K6660" s="373"/>
      <c r="L6660" s="129"/>
      <c r="M6660" s="129"/>
      <c r="N6660" s="129"/>
      <c r="O6660" s="129"/>
      <c r="P6660" s="364"/>
      <c r="Q6660" s="364"/>
      <c r="R6660" s="129"/>
      <c r="S6660" s="129"/>
      <c r="T6660" s="129"/>
      <c r="W6660" s="129" t="s">
        <v>4876</v>
      </c>
      <c r="X6660" s="337" t="b">
        <f t="shared" si="142"/>
        <v>0</v>
      </c>
    </row>
    <row r="6661" spans="1:24" s="386" customFormat="1" ht="12" customHeight="1" outlineLevel="1">
      <c r="A6661" s="382"/>
      <c r="B6661" s="118" t="s">
        <v>12</v>
      </c>
      <c r="C6661" s="334" t="s">
        <v>16027</v>
      </c>
      <c r="D6661" s="124" t="s">
        <v>15594</v>
      </c>
      <c r="E6661" s="125"/>
      <c r="F6661" s="118" t="s">
        <v>1104</v>
      </c>
      <c r="G6661" s="126" t="s">
        <v>15326</v>
      </c>
      <c r="H6661" s="255">
        <v>2</v>
      </c>
      <c r="I6661" s="361">
        <v>1</v>
      </c>
      <c r="J6661" s="371" t="s">
        <v>286</v>
      </c>
      <c r="K6661" s="373"/>
      <c r="L6661" s="129"/>
      <c r="M6661" s="129"/>
      <c r="N6661" s="129"/>
      <c r="O6661" s="129"/>
      <c r="P6661" s="364"/>
      <c r="Q6661" s="364"/>
      <c r="R6661" s="129"/>
      <c r="S6661" s="129"/>
      <c r="T6661" s="129"/>
      <c r="W6661" s="129" t="s">
        <v>286</v>
      </c>
      <c r="X6661" s="337" t="b">
        <f t="shared" si="142"/>
        <v>1</v>
      </c>
    </row>
    <row r="6662" spans="1:24" s="386" customFormat="1" ht="12" customHeight="1" outlineLevel="1">
      <c r="A6662" s="382"/>
      <c r="B6662" s="118" t="s">
        <v>12</v>
      </c>
      <c r="C6662" s="334" t="s">
        <v>16028</v>
      </c>
      <c r="D6662" s="124" t="s">
        <v>16029</v>
      </c>
      <c r="E6662" s="125"/>
      <c r="F6662" s="118" t="s">
        <v>1104</v>
      </c>
      <c r="G6662" s="126" t="s">
        <v>15326</v>
      </c>
      <c r="H6662" s="255">
        <v>2</v>
      </c>
      <c r="I6662" s="361">
        <v>1</v>
      </c>
      <c r="J6662" s="371" t="s">
        <v>286</v>
      </c>
      <c r="K6662" s="373"/>
      <c r="L6662" s="129"/>
      <c r="M6662" s="129"/>
      <c r="N6662" s="129"/>
      <c r="O6662" s="129"/>
      <c r="P6662" s="364"/>
      <c r="Q6662" s="364"/>
      <c r="R6662" s="129"/>
      <c r="S6662" s="129"/>
      <c r="T6662" s="129"/>
      <c r="W6662" s="129" t="s">
        <v>4876</v>
      </c>
      <c r="X6662" s="337" t="b">
        <f t="shared" si="142"/>
        <v>0</v>
      </c>
    </row>
    <row r="6663" spans="1:24" s="386" customFormat="1" ht="12" customHeight="1" outlineLevel="1">
      <c r="A6663" s="382"/>
      <c r="B6663" s="118" t="s">
        <v>12</v>
      </c>
      <c r="C6663" s="334" t="s">
        <v>16030</v>
      </c>
      <c r="D6663" s="124" t="s">
        <v>15598</v>
      </c>
      <c r="E6663" s="125"/>
      <c r="F6663" s="118" t="s">
        <v>1104</v>
      </c>
      <c r="G6663" s="126" t="s">
        <v>15326</v>
      </c>
      <c r="H6663" s="255">
        <v>2</v>
      </c>
      <c r="I6663" s="361">
        <v>1</v>
      </c>
      <c r="J6663" s="371" t="s">
        <v>286</v>
      </c>
      <c r="K6663" s="373"/>
      <c r="L6663" s="129"/>
      <c r="M6663" s="129"/>
      <c r="N6663" s="129"/>
      <c r="O6663" s="129"/>
      <c r="P6663" s="364"/>
      <c r="Q6663" s="364"/>
      <c r="R6663" s="129"/>
      <c r="S6663" s="129"/>
      <c r="T6663" s="129"/>
      <c r="W6663" s="129" t="s">
        <v>286</v>
      </c>
      <c r="X6663" s="337" t="b">
        <f t="shared" si="142"/>
        <v>1</v>
      </c>
    </row>
    <row r="6664" spans="1:24" s="386" customFormat="1" ht="12" customHeight="1" outlineLevel="1">
      <c r="A6664" s="382"/>
      <c r="B6664" s="118" t="s">
        <v>12</v>
      </c>
      <c r="C6664" s="334" t="s">
        <v>16031</v>
      </c>
      <c r="D6664" s="124" t="s">
        <v>15600</v>
      </c>
      <c r="E6664" s="125"/>
      <c r="F6664" s="118" t="s">
        <v>1104</v>
      </c>
      <c r="G6664" s="126" t="s">
        <v>15326</v>
      </c>
      <c r="H6664" s="255">
        <v>2</v>
      </c>
      <c r="I6664" s="361">
        <v>1</v>
      </c>
      <c r="J6664" s="371" t="s">
        <v>286</v>
      </c>
      <c r="K6664" s="373"/>
      <c r="L6664" s="129"/>
      <c r="M6664" s="129"/>
      <c r="N6664" s="129"/>
      <c r="O6664" s="129"/>
      <c r="P6664" s="364"/>
      <c r="Q6664" s="364"/>
      <c r="R6664" s="129"/>
      <c r="S6664" s="129"/>
      <c r="T6664" s="129"/>
      <c r="W6664" s="129" t="s">
        <v>286</v>
      </c>
      <c r="X6664" s="337" t="b">
        <f t="shared" si="142"/>
        <v>1</v>
      </c>
    </row>
    <row r="6665" spans="1:24" s="386" customFormat="1" ht="12" customHeight="1" outlineLevel="1">
      <c r="A6665" s="382"/>
      <c r="B6665" s="118" t="s">
        <v>12</v>
      </c>
      <c r="C6665" s="334" t="s">
        <v>16032</v>
      </c>
      <c r="D6665" s="124" t="s">
        <v>16033</v>
      </c>
      <c r="E6665" s="125"/>
      <c r="F6665" s="118" t="s">
        <v>1104</v>
      </c>
      <c r="G6665" s="126" t="s">
        <v>15326</v>
      </c>
      <c r="H6665" s="255">
        <v>2</v>
      </c>
      <c r="I6665" s="361">
        <v>1</v>
      </c>
      <c r="J6665" s="371" t="s">
        <v>286</v>
      </c>
      <c r="K6665" s="373"/>
      <c r="L6665" s="129"/>
      <c r="M6665" s="129"/>
      <c r="N6665" s="129"/>
      <c r="O6665" s="129"/>
      <c r="P6665" s="364"/>
      <c r="Q6665" s="364"/>
      <c r="R6665" s="129"/>
      <c r="S6665" s="129"/>
      <c r="T6665" s="129"/>
      <c r="W6665" s="129" t="s">
        <v>310</v>
      </c>
      <c r="X6665" s="337" t="b">
        <f t="shared" si="142"/>
        <v>0</v>
      </c>
    </row>
    <row r="6666" spans="1:24" s="386" customFormat="1" ht="12" customHeight="1" outlineLevel="1">
      <c r="A6666" s="382"/>
      <c r="B6666" s="118" t="s">
        <v>12</v>
      </c>
      <c r="C6666" s="334" t="s">
        <v>16034</v>
      </c>
      <c r="D6666" s="124" t="s">
        <v>16035</v>
      </c>
      <c r="E6666" s="125"/>
      <c r="F6666" s="118" t="s">
        <v>1104</v>
      </c>
      <c r="G6666" s="126" t="s">
        <v>15326</v>
      </c>
      <c r="H6666" s="255">
        <v>2</v>
      </c>
      <c r="I6666" s="361">
        <v>1</v>
      </c>
      <c r="J6666" s="371" t="s">
        <v>310</v>
      </c>
      <c r="K6666" s="373"/>
      <c r="L6666" s="129"/>
      <c r="M6666" s="129"/>
      <c r="N6666" s="129"/>
      <c r="O6666" s="129"/>
      <c r="P6666" s="364"/>
      <c r="Q6666" s="364"/>
      <c r="R6666" s="129"/>
      <c r="S6666" s="129"/>
      <c r="T6666" s="129"/>
      <c r="W6666" s="129" t="s">
        <v>307</v>
      </c>
      <c r="X6666" s="337" t="b">
        <f t="shared" si="142"/>
        <v>0</v>
      </c>
    </row>
    <row r="6667" spans="1:24" s="386" customFormat="1" ht="12" customHeight="1" outlineLevel="1">
      <c r="A6667" s="382"/>
      <c r="B6667" s="118" t="s">
        <v>12</v>
      </c>
      <c r="C6667" s="334" t="s">
        <v>16036</v>
      </c>
      <c r="D6667" s="124" t="s">
        <v>16037</v>
      </c>
      <c r="E6667" s="125"/>
      <c r="F6667" s="118" t="s">
        <v>1104</v>
      </c>
      <c r="G6667" s="126" t="s">
        <v>15326</v>
      </c>
      <c r="H6667" s="255">
        <v>2</v>
      </c>
      <c r="I6667" s="361">
        <v>1</v>
      </c>
      <c r="J6667" s="371" t="s">
        <v>286</v>
      </c>
      <c r="K6667" s="373"/>
      <c r="L6667" s="129"/>
      <c r="M6667" s="129"/>
      <c r="N6667" s="129"/>
      <c r="O6667" s="129"/>
      <c r="P6667" s="364"/>
      <c r="Q6667" s="364"/>
      <c r="R6667" s="129"/>
      <c r="S6667" s="129"/>
      <c r="T6667" s="129"/>
      <c r="W6667" s="129" t="s">
        <v>310</v>
      </c>
      <c r="X6667" s="337" t="b">
        <f t="shared" si="142"/>
        <v>0</v>
      </c>
    </row>
    <row r="6668" spans="1:24" s="386" customFormat="1" ht="12" customHeight="1" outlineLevel="1">
      <c r="A6668" s="382"/>
      <c r="B6668" s="118" t="s">
        <v>12</v>
      </c>
      <c r="C6668" s="334" t="s">
        <v>16038</v>
      </c>
      <c r="D6668" s="124" t="s">
        <v>16039</v>
      </c>
      <c r="E6668" s="125"/>
      <c r="F6668" s="118" t="s">
        <v>1104</v>
      </c>
      <c r="G6668" s="126" t="s">
        <v>15326</v>
      </c>
      <c r="H6668" s="255">
        <v>2</v>
      </c>
      <c r="I6668" s="361">
        <v>1</v>
      </c>
      <c r="J6668" s="371" t="s">
        <v>286</v>
      </c>
      <c r="K6668" s="373"/>
      <c r="L6668" s="129"/>
      <c r="M6668" s="129"/>
      <c r="N6668" s="129"/>
      <c r="O6668" s="129"/>
      <c r="P6668" s="364"/>
      <c r="Q6668" s="364"/>
      <c r="R6668" s="129"/>
      <c r="S6668" s="129"/>
      <c r="T6668" s="129"/>
      <c r="W6668" s="129" t="s">
        <v>310</v>
      </c>
      <c r="X6668" s="337" t="b">
        <f t="shared" si="142"/>
        <v>0</v>
      </c>
    </row>
    <row r="6669" spans="1:24" s="386" customFormat="1" ht="12" customHeight="1" outlineLevel="1">
      <c r="A6669" s="382"/>
      <c r="B6669" s="118" t="s">
        <v>12</v>
      </c>
      <c r="C6669" s="334" t="s">
        <v>16040</v>
      </c>
      <c r="D6669" s="124" t="s">
        <v>16041</v>
      </c>
      <c r="E6669" s="125"/>
      <c r="F6669" s="118" t="s">
        <v>1104</v>
      </c>
      <c r="G6669" s="126" t="s">
        <v>15326</v>
      </c>
      <c r="H6669" s="255">
        <v>2</v>
      </c>
      <c r="I6669" s="361">
        <v>1</v>
      </c>
      <c r="J6669" s="371" t="s">
        <v>310</v>
      </c>
      <c r="K6669" s="373"/>
      <c r="L6669" s="129"/>
      <c r="M6669" s="129"/>
      <c r="N6669" s="129"/>
      <c r="O6669" s="129"/>
      <c r="P6669" s="364"/>
      <c r="Q6669" s="364"/>
      <c r="R6669" s="129"/>
      <c r="S6669" s="129"/>
      <c r="T6669" s="129"/>
      <c r="W6669" s="129" t="s">
        <v>310</v>
      </c>
      <c r="X6669" s="337" t="b">
        <f t="shared" si="142"/>
        <v>1</v>
      </c>
    </row>
    <row r="6670" spans="1:24" s="386" customFormat="1" ht="12" customHeight="1" outlineLevel="1">
      <c r="A6670" s="382"/>
      <c r="B6670" s="118" t="s">
        <v>12</v>
      </c>
      <c r="C6670" s="334" t="s">
        <v>16042</v>
      </c>
      <c r="D6670" s="124" t="s">
        <v>16043</v>
      </c>
      <c r="E6670" s="125"/>
      <c r="F6670" s="118" t="s">
        <v>1104</v>
      </c>
      <c r="G6670" s="126" t="s">
        <v>15326</v>
      </c>
      <c r="H6670" s="255">
        <v>2</v>
      </c>
      <c r="I6670" s="361">
        <v>1</v>
      </c>
      <c r="J6670" s="371" t="s">
        <v>310</v>
      </c>
      <c r="K6670" s="373"/>
      <c r="L6670" s="129"/>
      <c r="M6670" s="129"/>
      <c r="N6670" s="129"/>
      <c r="O6670" s="129"/>
      <c r="P6670" s="364"/>
      <c r="Q6670" s="364"/>
      <c r="R6670" s="129"/>
      <c r="S6670" s="129"/>
      <c r="T6670" s="129"/>
      <c r="W6670" s="129" t="s">
        <v>307</v>
      </c>
      <c r="X6670" s="337" t="b">
        <f t="shared" ref="X6670:X6699" si="143">W6670=J6670</f>
        <v>0</v>
      </c>
    </row>
    <row r="6671" spans="1:24" s="386" customFormat="1" ht="12" customHeight="1" outlineLevel="1">
      <c r="A6671" s="382"/>
      <c r="B6671" s="118" t="s">
        <v>12</v>
      </c>
      <c r="C6671" s="334" t="s">
        <v>16044</v>
      </c>
      <c r="D6671" s="124" t="s">
        <v>16045</v>
      </c>
      <c r="E6671" s="125"/>
      <c r="F6671" s="118" t="s">
        <v>1104</v>
      </c>
      <c r="G6671" s="126" t="s">
        <v>15326</v>
      </c>
      <c r="H6671" s="255">
        <v>2</v>
      </c>
      <c r="I6671" s="361">
        <v>1</v>
      </c>
      <c r="J6671" s="371" t="s">
        <v>286</v>
      </c>
      <c r="K6671" s="373"/>
      <c r="L6671" s="129"/>
      <c r="M6671" s="129"/>
      <c r="N6671" s="129"/>
      <c r="O6671" s="129"/>
      <c r="P6671" s="364"/>
      <c r="Q6671" s="364"/>
      <c r="R6671" s="129"/>
      <c r="S6671" s="129"/>
      <c r="T6671" s="129"/>
      <c r="W6671" s="129" t="s">
        <v>310</v>
      </c>
      <c r="X6671" s="337" t="b">
        <f t="shared" si="143"/>
        <v>0</v>
      </c>
    </row>
    <row r="6672" spans="1:24" s="386" customFormat="1" ht="12" customHeight="1" outlineLevel="1">
      <c r="A6672" s="382"/>
      <c r="B6672" s="118" t="s">
        <v>12</v>
      </c>
      <c r="C6672" s="334" t="s">
        <v>16046</v>
      </c>
      <c r="D6672" s="124" t="s">
        <v>16047</v>
      </c>
      <c r="E6672" s="125"/>
      <c r="F6672" s="118" t="s">
        <v>1104</v>
      </c>
      <c r="G6672" s="126" t="s">
        <v>15326</v>
      </c>
      <c r="H6672" s="255">
        <v>2</v>
      </c>
      <c r="I6672" s="361">
        <v>1</v>
      </c>
      <c r="J6672" s="371" t="s">
        <v>310</v>
      </c>
      <c r="K6672" s="373"/>
      <c r="L6672" s="129"/>
      <c r="M6672" s="129"/>
      <c r="N6672" s="129"/>
      <c r="O6672" s="129"/>
      <c r="P6672" s="364"/>
      <c r="Q6672" s="364"/>
      <c r="R6672" s="129"/>
      <c r="S6672" s="129"/>
      <c r="T6672" s="129"/>
      <c r="W6672" s="129" t="s">
        <v>307</v>
      </c>
      <c r="X6672" s="337" t="b">
        <f t="shared" si="143"/>
        <v>0</v>
      </c>
    </row>
    <row r="6673" spans="1:24" s="386" customFormat="1" ht="12" customHeight="1" outlineLevel="1">
      <c r="A6673" s="382"/>
      <c r="B6673" s="118" t="s">
        <v>12</v>
      </c>
      <c r="C6673" s="334" t="s">
        <v>16048</v>
      </c>
      <c r="D6673" s="124" t="s">
        <v>16049</v>
      </c>
      <c r="E6673" s="125"/>
      <c r="F6673" s="118" t="s">
        <v>1104</v>
      </c>
      <c r="G6673" s="126" t="s">
        <v>15326</v>
      </c>
      <c r="H6673" s="255">
        <v>2</v>
      </c>
      <c r="I6673" s="361">
        <v>1</v>
      </c>
      <c r="J6673" s="371" t="s">
        <v>310</v>
      </c>
      <c r="K6673" s="373"/>
      <c r="L6673" s="129"/>
      <c r="M6673" s="129"/>
      <c r="N6673" s="129"/>
      <c r="O6673" s="129"/>
      <c r="P6673" s="364"/>
      <c r="Q6673" s="364"/>
      <c r="R6673" s="129"/>
      <c r="S6673" s="129"/>
      <c r="T6673" s="129"/>
      <c r="W6673" s="129" t="s">
        <v>307</v>
      </c>
      <c r="X6673" s="337" t="b">
        <f t="shared" si="143"/>
        <v>0</v>
      </c>
    </row>
    <row r="6674" spans="1:24" s="386" customFormat="1" ht="12" customHeight="1" outlineLevel="1">
      <c r="A6674" s="382"/>
      <c r="B6674" s="118" t="s">
        <v>12</v>
      </c>
      <c r="C6674" s="334" t="s">
        <v>16050</v>
      </c>
      <c r="D6674" s="124" t="s">
        <v>16051</v>
      </c>
      <c r="E6674" s="125"/>
      <c r="F6674" s="118" t="s">
        <v>1104</v>
      </c>
      <c r="G6674" s="126" t="s">
        <v>15326</v>
      </c>
      <c r="H6674" s="255">
        <v>2</v>
      </c>
      <c r="I6674" s="361">
        <v>1</v>
      </c>
      <c r="J6674" s="371" t="s">
        <v>310</v>
      </c>
      <c r="K6674" s="373"/>
      <c r="L6674" s="129"/>
      <c r="M6674" s="129"/>
      <c r="N6674" s="129"/>
      <c r="O6674" s="129"/>
      <c r="P6674" s="364"/>
      <c r="Q6674" s="364"/>
      <c r="R6674" s="129"/>
      <c r="S6674" s="129"/>
      <c r="T6674" s="129"/>
      <c r="W6674" s="129" t="s">
        <v>307</v>
      </c>
      <c r="X6674" s="337" t="b">
        <f t="shared" si="143"/>
        <v>0</v>
      </c>
    </row>
    <row r="6675" spans="1:24" s="386" customFormat="1" ht="12" customHeight="1" outlineLevel="1">
      <c r="A6675" s="382"/>
      <c r="B6675" s="118" t="s">
        <v>12</v>
      </c>
      <c r="C6675" s="334" t="s">
        <v>16052</v>
      </c>
      <c r="D6675" s="124" t="s">
        <v>16053</v>
      </c>
      <c r="E6675" s="125"/>
      <c r="F6675" s="118" t="s">
        <v>1104</v>
      </c>
      <c r="G6675" s="126" t="s">
        <v>15326</v>
      </c>
      <c r="H6675" s="255">
        <v>2</v>
      </c>
      <c r="I6675" s="361">
        <v>1</v>
      </c>
      <c r="J6675" s="371" t="s">
        <v>286</v>
      </c>
      <c r="K6675" s="373"/>
      <c r="L6675" s="129"/>
      <c r="M6675" s="129"/>
      <c r="N6675" s="129"/>
      <c r="O6675" s="129"/>
      <c r="P6675" s="364"/>
      <c r="Q6675" s="364"/>
      <c r="R6675" s="129"/>
      <c r="S6675" s="129"/>
      <c r="T6675" s="129"/>
      <c r="W6675" s="129" t="s">
        <v>286</v>
      </c>
      <c r="X6675" s="337" t="b">
        <f t="shared" si="143"/>
        <v>1</v>
      </c>
    </row>
    <row r="6676" spans="1:24" s="386" customFormat="1" ht="12" customHeight="1" outlineLevel="1">
      <c r="A6676" s="382"/>
      <c r="B6676" s="118" t="s">
        <v>12</v>
      </c>
      <c r="C6676" s="334" t="s">
        <v>16054</v>
      </c>
      <c r="D6676" s="124" t="s">
        <v>16055</v>
      </c>
      <c r="E6676" s="125"/>
      <c r="F6676" s="118" t="s">
        <v>1104</v>
      </c>
      <c r="G6676" s="126" t="s">
        <v>15326</v>
      </c>
      <c r="H6676" s="255">
        <v>2</v>
      </c>
      <c r="I6676" s="361">
        <v>1</v>
      </c>
      <c r="J6676" s="371" t="s">
        <v>286</v>
      </c>
      <c r="K6676" s="373"/>
      <c r="L6676" s="129"/>
      <c r="M6676" s="129"/>
      <c r="N6676" s="129"/>
      <c r="O6676" s="129"/>
      <c r="P6676" s="364"/>
      <c r="Q6676" s="364"/>
      <c r="R6676" s="129"/>
      <c r="S6676" s="129"/>
      <c r="T6676" s="129"/>
      <c r="W6676" s="129" t="s">
        <v>286</v>
      </c>
      <c r="X6676" s="337" t="b">
        <f t="shared" si="143"/>
        <v>1</v>
      </c>
    </row>
    <row r="6677" spans="1:24" s="386" customFormat="1" ht="12" customHeight="1" outlineLevel="1">
      <c r="A6677" s="382"/>
      <c r="B6677" s="118" t="s">
        <v>12</v>
      </c>
      <c r="C6677" s="334" t="s">
        <v>16056</v>
      </c>
      <c r="D6677" s="124" t="s">
        <v>16057</v>
      </c>
      <c r="E6677" s="125"/>
      <c r="F6677" s="118" t="s">
        <v>1104</v>
      </c>
      <c r="G6677" s="126" t="s">
        <v>15326</v>
      </c>
      <c r="H6677" s="255">
        <v>2</v>
      </c>
      <c r="I6677" s="361">
        <v>1</v>
      </c>
      <c r="J6677" s="371" t="s">
        <v>286</v>
      </c>
      <c r="K6677" s="373"/>
      <c r="L6677" s="129"/>
      <c r="M6677" s="129"/>
      <c r="N6677" s="129"/>
      <c r="O6677" s="129"/>
      <c r="P6677" s="364"/>
      <c r="Q6677" s="364"/>
      <c r="R6677" s="129"/>
      <c r="S6677" s="129"/>
      <c r="T6677" s="129"/>
      <c r="W6677" s="129" t="s">
        <v>286</v>
      </c>
      <c r="X6677" s="337" t="b">
        <f t="shared" si="143"/>
        <v>1</v>
      </c>
    </row>
    <row r="6678" spans="1:24" s="386" customFormat="1" ht="12" customHeight="1" outlineLevel="1">
      <c r="A6678" s="382"/>
      <c r="B6678" s="118" t="s">
        <v>12</v>
      </c>
      <c r="C6678" s="334" t="s">
        <v>16058</v>
      </c>
      <c r="D6678" s="124" t="s">
        <v>16059</v>
      </c>
      <c r="E6678" s="125"/>
      <c r="F6678" s="118" t="s">
        <v>1104</v>
      </c>
      <c r="G6678" s="126" t="s">
        <v>15326</v>
      </c>
      <c r="H6678" s="255">
        <v>2</v>
      </c>
      <c r="I6678" s="361">
        <v>1</v>
      </c>
      <c r="J6678" s="371" t="s">
        <v>286</v>
      </c>
      <c r="K6678" s="373"/>
      <c r="L6678" s="129"/>
      <c r="M6678" s="129"/>
      <c r="N6678" s="129"/>
      <c r="O6678" s="129"/>
      <c r="P6678" s="364"/>
      <c r="Q6678" s="364"/>
      <c r="R6678" s="129"/>
      <c r="S6678" s="129"/>
      <c r="T6678" s="129"/>
      <c r="W6678" s="129" t="s">
        <v>286</v>
      </c>
      <c r="X6678" s="337" t="b">
        <f t="shared" si="143"/>
        <v>1</v>
      </c>
    </row>
    <row r="6679" spans="1:24" s="386" customFormat="1" ht="12" customHeight="1" outlineLevel="1">
      <c r="A6679" s="382"/>
      <c r="B6679" s="118" t="s">
        <v>12</v>
      </c>
      <c r="C6679" s="334" t="s">
        <v>16060</v>
      </c>
      <c r="D6679" s="124" t="s">
        <v>16061</v>
      </c>
      <c r="E6679" s="125"/>
      <c r="F6679" s="118" t="s">
        <v>1104</v>
      </c>
      <c r="G6679" s="126" t="s">
        <v>15326</v>
      </c>
      <c r="H6679" s="255">
        <v>2</v>
      </c>
      <c r="I6679" s="361">
        <v>1</v>
      </c>
      <c r="J6679" s="371" t="s">
        <v>286</v>
      </c>
      <c r="K6679" s="373"/>
      <c r="L6679" s="129"/>
      <c r="M6679" s="129"/>
      <c r="N6679" s="129"/>
      <c r="O6679" s="129"/>
      <c r="P6679" s="364"/>
      <c r="Q6679" s="364"/>
      <c r="R6679" s="129"/>
      <c r="S6679" s="129"/>
      <c r="T6679" s="129"/>
      <c r="W6679" s="129" t="s">
        <v>286</v>
      </c>
      <c r="X6679" s="337" t="b">
        <f t="shared" si="143"/>
        <v>1</v>
      </c>
    </row>
    <row r="6680" spans="1:24" s="386" customFormat="1" ht="12" customHeight="1" outlineLevel="1">
      <c r="A6680" s="382"/>
      <c r="B6680" s="118" t="s">
        <v>12</v>
      </c>
      <c r="C6680" s="334" t="s">
        <v>16062</v>
      </c>
      <c r="D6680" s="124" t="s">
        <v>16063</v>
      </c>
      <c r="E6680" s="125"/>
      <c r="F6680" s="118" t="s">
        <v>1104</v>
      </c>
      <c r="G6680" s="126" t="s">
        <v>15326</v>
      </c>
      <c r="H6680" s="255">
        <v>2</v>
      </c>
      <c r="I6680" s="361">
        <v>1</v>
      </c>
      <c r="J6680" s="371" t="s">
        <v>286</v>
      </c>
      <c r="K6680" s="373"/>
      <c r="L6680" s="129"/>
      <c r="M6680" s="129"/>
      <c r="N6680" s="129"/>
      <c r="O6680" s="129"/>
      <c r="P6680" s="364"/>
      <c r="Q6680" s="364"/>
      <c r="R6680" s="129"/>
      <c r="S6680" s="129"/>
      <c r="T6680" s="129"/>
      <c r="W6680" s="129" t="s">
        <v>286</v>
      </c>
      <c r="X6680" s="337" t="b">
        <f t="shared" si="143"/>
        <v>1</v>
      </c>
    </row>
    <row r="6681" spans="1:24" s="386" customFormat="1" ht="12" customHeight="1" outlineLevel="1">
      <c r="A6681" s="382"/>
      <c r="B6681" s="118" t="s">
        <v>12</v>
      </c>
      <c r="C6681" s="334" t="s">
        <v>16064</v>
      </c>
      <c r="D6681" s="124" t="s">
        <v>16065</v>
      </c>
      <c r="E6681" s="125"/>
      <c r="F6681" s="118" t="s">
        <v>1104</v>
      </c>
      <c r="G6681" s="126" t="s">
        <v>15326</v>
      </c>
      <c r="H6681" s="255">
        <v>2</v>
      </c>
      <c r="I6681" s="361">
        <v>1</v>
      </c>
      <c r="J6681" s="371" t="s">
        <v>286</v>
      </c>
      <c r="K6681" s="373"/>
      <c r="L6681" s="129"/>
      <c r="M6681" s="129"/>
      <c r="N6681" s="129"/>
      <c r="O6681" s="129"/>
      <c r="P6681" s="364"/>
      <c r="Q6681" s="364"/>
      <c r="R6681" s="129"/>
      <c r="S6681" s="129"/>
      <c r="T6681" s="129"/>
      <c r="W6681" s="129" t="s">
        <v>286</v>
      </c>
      <c r="X6681" s="337" t="b">
        <f t="shared" si="143"/>
        <v>1</v>
      </c>
    </row>
    <row r="6682" spans="1:24" s="386" customFormat="1" ht="12" customHeight="1" outlineLevel="1">
      <c r="A6682" s="382"/>
      <c r="B6682" s="118" t="s">
        <v>12</v>
      </c>
      <c r="C6682" s="334" t="s">
        <v>16066</v>
      </c>
      <c r="D6682" s="124" t="s">
        <v>16067</v>
      </c>
      <c r="E6682" s="125"/>
      <c r="F6682" s="118" t="s">
        <v>1104</v>
      </c>
      <c r="G6682" s="126" t="s">
        <v>15326</v>
      </c>
      <c r="H6682" s="255">
        <v>2</v>
      </c>
      <c r="I6682" s="361">
        <v>1</v>
      </c>
      <c r="J6682" s="371" t="s">
        <v>286</v>
      </c>
      <c r="K6682" s="373"/>
      <c r="L6682" s="129"/>
      <c r="M6682" s="129"/>
      <c r="N6682" s="129"/>
      <c r="O6682" s="129"/>
      <c r="P6682" s="364"/>
      <c r="Q6682" s="364"/>
      <c r="R6682" s="129"/>
      <c r="S6682" s="129"/>
      <c r="T6682" s="129"/>
      <c r="W6682" s="129" t="s">
        <v>286</v>
      </c>
      <c r="X6682" s="337" t="b">
        <f t="shared" si="143"/>
        <v>1</v>
      </c>
    </row>
    <row r="6683" spans="1:24" s="386" customFormat="1" ht="12" customHeight="1" outlineLevel="1">
      <c r="A6683" s="382"/>
      <c r="B6683" s="118" t="s">
        <v>12</v>
      </c>
      <c r="C6683" s="334" t="s">
        <v>16068</v>
      </c>
      <c r="D6683" s="124" t="s">
        <v>16069</v>
      </c>
      <c r="E6683" s="125"/>
      <c r="F6683" s="118" t="s">
        <v>1104</v>
      </c>
      <c r="G6683" s="126" t="s">
        <v>15326</v>
      </c>
      <c r="H6683" s="255">
        <v>2</v>
      </c>
      <c r="I6683" s="361">
        <v>1</v>
      </c>
      <c r="J6683" s="371" t="s">
        <v>286</v>
      </c>
      <c r="K6683" s="373"/>
      <c r="L6683" s="129"/>
      <c r="M6683" s="129"/>
      <c r="N6683" s="129"/>
      <c r="O6683" s="129"/>
      <c r="P6683" s="364"/>
      <c r="Q6683" s="364"/>
      <c r="R6683" s="129"/>
      <c r="S6683" s="129"/>
      <c r="T6683" s="129"/>
      <c r="W6683" s="129" t="s">
        <v>286</v>
      </c>
      <c r="X6683" s="337" t="b">
        <f t="shared" si="143"/>
        <v>1</v>
      </c>
    </row>
    <row r="6684" spans="1:24" s="386" customFormat="1" ht="12" customHeight="1" outlineLevel="1">
      <c r="A6684" s="382"/>
      <c r="B6684" s="118" t="s">
        <v>12</v>
      </c>
      <c r="C6684" s="334" t="s">
        <v>16070</v>
      </c>
      <c r="D6684" s="124" t="s">
        <v>16071</v>
      </c>
      <c r="E6684" s="125"/>
      <c r="F6684" s="118" t="s">
        <v>1104</v>
      </c>
      <c r="G6684" s="126" t="s">
        <v>15326</v>
      </c>
      <c r="H6684" s="255">
        <v>2</v>
      </c>
      <c r="I6684" s="361">
        <v>1</v>
      </c>
      <c r="J6684" s="371" t="s">
        <v>286</v>
      </c>
      <c r="K6684" s="373"/>
      <c r="L6684" s="129"/>
      <c r="M6684" s="129"/>
      <c r="N6684" s="129"/>
      <c r="O6684" s="129"/>
      <c r="P6684" s="364"/>
      <c r="Q6684" s="364"/>
      <c r="R6684" s="129"/>
      <c r="S6684" s="129"/>
      <c r="T6684" s="129"/>
      <c r="W6684" s="129" t="s">
        <v>286</v>
      </c>
      <c r="X6684" s="337" t="b">
        <f t="shared" si="143"/>
        <v>1</v>
      </c>
    </row>
    <row r="6685" spans="1:24" s="386" customFormat="1" ht="12" customHeight="1" outlineLevel="1">
      <c r="A6685" s="382"/>
      <c r="B6685" s="118" t="s">
        <v>12</v>
      </c>
      <c r="C6685" s="334" t="s">
        <v>16072</v>
      </c>
      <c r="D6685" s="124" t="s">
        <v>16073</v>
      </c>
      <c r="E6685" s="125"/>
      <c r="F6685" s="118" t="s">
        <v>1104</v>
      </c>
      <c r="G6685" s="126" t="s">
        <v>15326</v>
      </c>
      <c r="H6685" s="255">
        <v>2</v>
      </c>
      <c r="I6685" s="361">
        <v>1</v>
      </c>
      <c r="J6685" s="371" t="s">
        <v>286</v>
      </c>
      <c r="K6685" s="373"/>
      <c r="L6685" s="129"/>
      <c r="M6685" s="129"/>
      <c r="N6685" s="129"/>
      <c r="O6685" s="129"/>
      <c r="P6685" s="364"/>
      <c r="Q6685" s="364"/>
      <c r="R6685" s="129"/>
      <c r="S6685" s="129"/>
      <c r="T6685" s="129"/>
      <c r="W6685" s="129" t="s">
        <v>286</v>
      </c>
      <c r="X6685" s="337" t="b">
        <f t="shared" si="143"/>
        <v>1</v>
      </c>
    </row>
    <row r="6686" spans="1:24" s="386" customFormat="1" ht="12" customHeight="1" outlineLevel="1">
      <c r="A6686" s="382"/>
      <c r="B6686" s="118" t="s">
        <v>12</v>
      </c>
      <c r="C6686" s="334" t="s">
        <v>16074</v>
      </c>
      <c r="D6686" s="124" t="s">
        <v>16075</v>
      </c>
      <c r="E6686" s="125"/>
      <c r="F6686" s="118" t="s">
        <v>1104</v>
      </c>
      <c r="G6686" s="126" t="s">
        <v>15326</v>
      </c>
      <c r="H6686" s="255">
        <v>2</v>
      </c>
      <c r="I6686" s="361">
        <v>1</v>
      </c>
      <c r="J6686" s="371" t="s">
        <v>286</v>
      </c>
      <c r="K6686" s="373"/>
      <c r="L6686" s="129"/>
      <c r="M6686" s="129"/>
      <c r="N6686" s="129"/>
      <c r="O6686" s="129"/>
      <c r="P6686" s="364"/>
      <c r="Q6686" s="364"/>
      <c r="R6686" s="129"/>
      <c r="S6686" s="129"/>
      <c r="T6686" s="129"/>
      <c r="W6686" s="129" t="s">
        <v>286</v>
      </c>
      <c r="X6686" s="337" t="b">
        <f t="shared" si="143"/>
        <v>1</v>
      </c>
    </row>
    <row r="6687" spans="1:24" s="386" customFormat="1" ht="12" customHeight="1" outlineLevel="1">
      <c r="A6687" s="382"/>
      <c r="B6687" s="118" t="s">
        <v>12</v>
      </c>
      <c r="C6687" s="334" t="s">
        <v>16076</v>
      </c>
      <c r="D6687" s="124" t="s">
        <v>16077</v>
      </c>
      <c r="E6687" s="125"/>
      <c r="F6687" s="118" t="s">
        <v>1104</v>
      </c>
      <c r="G6687" s="126" t="s">
        <v>15326</v>
      </c>
      <c r="H6687" s="255">
        <v>2</v>
      </c>
      <c r="I6687" s="361">
        <v>1</v>
      </c>
      <c r="J6687" s="371" t="s">
        <v>286</v>
      </c>
      <c r="K6687" s="373"/>
      <c r="L6687" s="129"/>
      <c r="M6687" s="129"/>
      <c r="N6687" s="129"/>
      <c r="O6687" s="129"/>
      <c r="P6687" s="364"/>
      <c r="Q6687" s="364"/>
      <c r="R6687" s="129"/>
      <c r="S6687" s="129"/>
      <c r="T6687" s="129"/>
      <c r="W6687" s="129" t="s">
        <v>286</v>
      </c>
      <c r="X6687" s="337" t="b">
        <f t="shared" si="143"/>
        <v>1</v>
      </c>
    </row>
    <row r="6688" spans="1:24" s="386" customFormat="1" ht="12" customHeight="1" outlineLevel="1">
      <c r="A6688" s="382"/>
      <c r="B6688" s="118" t="s">
        <v>12</v>
      </c>
      <c r="C6688" s="334" t="s">
        <v>16078</v>
      </c>
      <c r="D6688" s="124" t="s">
        <v>16079</v>
      </c>
      <c r="E6688" s="125"/>
      <c r="F6688" s="118" t="s">
        <v>1104</v>
      </c>
      <c r="G6688" s="126" t="s">
        <v>15312</v>
      </c>
      <c r="H6688" s="255">
        <v>1</v>
      </c>
      <c r="I6688" s="361">
        <v>1</v>
      </c>
      <c r="J6688" s="371" t="s">
        <v>310</v>
      </c>
      <c r="K6688" s="373"/>
      <c r="L6688" s="129"/>
      <c r="M6688" s="129"/>
      <c r="N6688" s="129"/>
      <c r="O6688" s="129"/>
      <c r="P6688" s="364"/>
      <c r="Q6688" s="364"/>
      <c r="R6688" s="129"/>
      <c r="S6688" s="129"/>
      <c r="T6688" s="129"/>
      <c r="W6688" s="129" t="s">
        <v>286</v>
      </c>
      <c r="X6688" s="337" t="b">
        <f t="shared" si="143"/>
        <v>0</v>
      </c>
    </row>
    <row r="6689" spans="1:24" s="386" customFormat="1" ht="12" customHeight="1" outlineLevel="1">
      <c r="A6689" s="382"/>
      <c r="B6689" s="118" t="s">
        <v>12</v>
      </c>
      <c r="C6689" s="334" t="s">
        <v>16080</v>
      </c>
      <c r="D6689" s="124" t="s">
        <v>16081</v>
      </c>
      <c r="E6689" s="125"/>
      <c r="F6689" s="118" t="s">
        <v>1104</v>
      </c>
      <c r="G6689" s="126" t="s">
        <v>15312</v>
      </c>
      <c r="H6689" s="255">
        <v>1</v>
      </c>
      <c r="I6689" s="361">
        <v>1</v>
      </c>
      <c r="J6689" s="371" t="s">
        <v>286</v>
      </c>
      <c r="K6689" s="373"/>
      <c r="L6689" s="129"/>
      <c r="M6689" s="129"/>
      <c r="N6689" s="129"/>
      <c r="O6689" s="129"/>
      <c r="P6689" s="364"/>
      <c r="Q6689" s="364"/>
      <c r="R6689" s="129"/>
      <c r="S6689" s="129"/>
      <c r="T6689" s="129"/>
      <c r="W6689" s="129" t="s">
        <v>286</v>
      </c>
      <c r="X6689" s="337" t="b">
        <f t="shared" si="143"/>
        <v>1</v>
      </c>
    </row>
    <row r="6690" spans="1:24" s="386" customFormat="1" ht="12" customHeight="1" outlineLevel="1">
      <c r="A6690" s="382"/>
      <c r="B6690" s="118" t="s">
        <v>12</v>
      </c>
      <c r="C6690" s="334" t="s">
        <v>16082</v>
      </c>
      <c r="D6690" s="124" t="s">
        <v>16083</v>
      </c>
      <c r="E6690" s="125"/>
      <c r="F6690" s="118" t="s">
        <v>1104</v>
      </c>
      <c r="G6690" s="126" t="s">
        <v>15312</v>
      </c>
      <c r="H6690" s="255">
        <v>1</v>
      </c>
      <c r="I6690" s="361">
        <v>1</v>
      </c>
      <c r="J6690" s="371" t="s">
        <v>286</v>
      </c>
      <c r="K6690" s="373"/>
      <c r="L6690" s="129"/>
      <c r="M6690" s="129"/>
      <c r="N6690" s="129"/>
      <c r="O6690" s="129"/>
      <c r="P6690" s="364"/>
      <c r="Q6690" s="364"/>
      <c r="R6690" s="129"/>
      <c r="S6690" s="129"/>
      <c r="T6690" s="129"/>
      <c r="W6690" s="129" t="s">
        <v>286</v>
      </c>
      <c r="X6690" s="337" t="b">
        <f t="shared" si="143"/>
        <v>1</v>
      </c>
    </row>
    <row r="6691" spans="1:24" s="386" customFormat="1" ht="12" customHeight="1" outlineLevel="1">
      <c r="A6691" s="382"/>
      <c r="B6691" s="118" t="s">
        <v>12</v>
      </c>
      <c r="C6691" s="334" t="s">
        <v>16084</v>
      </c>
      <c r="D6691" s="124" t="s">
        <v>16085</v>
      </c>
      <c r="E6691" s="125"/>
      <c r="F6691" s="118" t="s">
        <v>1104</v>
      </c>
      <c r="G6691" s="126" t="s">
        <v>15312</v>
      </c>
      <c r="H6691" s="255">
        <v>1</v>
      </c>
      <c r="I6691" s="361">
        <v>1</v>
      </c>
      <c r="J6691" s="371" t="s">
        <v>286</v>
      </c>
      <c r="K6691" s="373"/>
      <c r="L6691" s="129"/>
      <c r="M6691" s="129"/>
      <c r="N6691" s="129"/>
      <c r="O6691" s="129"/>
      <c r="P6691" s="364"/>
      <c r="Q6691" s="364"/>
      <c r="R6691" s="129"/>
      <c r="S6691" s="129"/>
      <c r="T6691" s="129"/>
      <c r="W6691" s="129" t="s">
        <v>286</v>
      </c>
      <c r="X6691" s="337" t="b">
        <f t="shared" si="143"/>
        <v>1</v>
      </c>
    </row>
    <row r="6692" spans="1:24" s="386" customFormat="1" ht="12" customHeight="1" outlineLevel="1">
      <c r="A6692" s="382"/>
      <c r="B6692" s="118" t="s">
        <v>12</v>
      </c>
      <c r="C6692" s="334" t="s">
        <v>16086</v>
      </c>
      <c r="D6692" s="124" t="s">
        <v>16087</v>
      </c>
      <c r="E6692" s="125"/>
      <c r="F6692" s="118" t="s">
        <v>1104</v>
      </c>
      <c r="G6692" s="126" t="s">
        <v>15312</v>
      </c>
      <c r="H6692" s="255">
        <v>1</v>
      </c>
      <c r="I6692" s="361">
        <v>1</v>
      </c>
      <c r="J6692" s="371" t="s">
        <v>286</v>
      </c>
      <c r="K6692" s="373"/>
      <c r="L6692" s="129"/>
      <c r="M6692" s="129"/>
      <c r="N6692" s="129"/>
      <c r="O6692" s="129"/>
      <c r="P6692" s="364"/>
      <c r="Q6692" s="364"/>
      <c r="R6692" s="129"/>
      <c r="S6692" s="129"/>
      <c r="T6692" s="129"/>
      <c r="W6692" s="129" t="s">
        <v>286</v>
      </c>
      <c r="X6692" s="337" t="b">
        <f t="shared" si="143"/>
        <v>1</v>
      </c>
    </row>
    <row r="6693" spans="1:24" s="386" customFormat="1" ht="12" customHeight="1" outlineLevel="1">
      <c r="A6693" s="382"/>
      <c r="B6693" s="118" t="s">
        <v>12</v>
      </c>
      <c r="C6693" s="334" t="s">
        <v>16088</v>
      </c>
      <c r="D6693" s="124" t="s">
        <v>16089</v>
      </c>
      <c r="E6693" s="125"/>
      <c r="F6693" s="118" t="s">
        <v>1104</v>
      </c>
      <c r="G6693" s="126" t="s">
        <v>15312</v>
      </c>
      <c r="H6693" s="255">
        <v>1</v>
      </c>
      <c r="I6693" s="361">
        <v>1</v>
      </c>
      <c r="J6693" s="371" t="s">
        <v>286</v>
      </c>
      <c r="K6693" s="373"/>
      <c r="L6693" s="129"/>
      <c r="M6693" s="129"/>
      <c r="N6693" s="129"/>
      <c r="O6693" s="129"/>
      <c r="P6693" s="364"/>
      <c r="Q6693" s="364"/>
      <c r="R6693" s="129"/>
      <c r="S6693" s="129"/>
      <c r="T6693" s="129"/>
      <c r="W6693" s="129" t="s">
        <v>286</v>
      </c>
      <c r="X6693" s="337" t="b">
        <f t="shared" si="143"/>
        <v>1</v>
      </c>
    </row>
    <row r="6694" spans="1:24" s="386" customFormat="1" ht="12" customHeight="1" outlineLevel="1">
      <c r="A6694" s="382"/>
      <c r="B6694" s="118" t="s">
        <v>12</v>
      </c>
      <c r="C6694" s="334" t="s">
        <v>16090</v>
      </c>
      <c r="D6694" s="124" t="s">
        <v>16091</v>
      </c>
      <c r="E6694" s="125"/>
      <c r="F6694" s="118" t="s">
        <v>1104</v>
      </c>
      <c r="G6694" s="126" t="s">
        <v>15312</v>
      </c>
      <c r="H6694" s="255">
        <v>1</v>
      </c>
      <c r="I6694" s="361">
        <v>1</v>
      </c>
      <c r="J6694" s="371" t="s">
        <v>286</v>
      </c>
      <c r="K6694" s="373"/>
      <c r="L6694" s="129"/>
      <c r="M6694" s="129"/>
      <c r="N6694" s="129"/>
      <c r="O6694" s="129"/>
      <c r="P6694" s="364"/>
      <c r="Q6694" s="364"/>
      <c r="R6694" s="129"/>
      <c r="S6694" s="129"/>
      <c r="T6694" s="129"/>
      <c r="W6694" s="129" t="s">
        <v>286</v>
      </c>
      <c r="X6694" s="337" t="b">
        <f t="shared" si="143"/>
        <v>1</v>
      </c>
    </row>
    <row r="6695" spans="1:24" s="386" customFormat="1" ht="12" customHeight="1" outlineLevel="1">
      <c r="A6695" s="382"/>
      <c r="B6695" s="118" t="s">
        <v>12</v>
      </c>
      <c r="C6695" s="334" t="s">
        <v>16092</v>
      </c>
      <c r="D6695" s="124" t="s">
        <v>16093</v>
      </c>
      <c r="E6695" s="125"/>
      <c r="F6695" s="118" t="s">
        <v>1104</v>
      </c>
      <c r="G6695" s="126" t="s">
        <v>15312</v>
      </c>
      <c r="H6695" s="255">
        <v>1</v>
      </c>
      <c r="I6695" s="361">
        <v>1</v>
      </c>
      <c r="J6695" s="371" t="s">
        <v>286</v>
      </c>
      <c r="K6695" s="373"/>
      <c r="L6695" s="129"/>
      <c r="M6695" s="129"/>
      <c r="N6695" s="129"/>
      <c r="O6695" s="129"/>
      <c r="P6695" s="364"/>
      <c r="Q6695" s="364"/>
      <c r="R6695" s="129"/>
      <c r="S6695" s="129"/>
      <c r="T6695" s="129"/>
      <c r="W6695" s="129" t="s">
        <v>286</v>
      </c>
      <c r="X6695" s="337" t="b">
        <f t="shared" si="143"/>
        <v>1</v>
      </c>
    </row>
    <row r="6696" spans="1:24" s="386" customFormat="1" ht="12" customHeight="1" outlineLevel="1">
      <c r="A6696" s="382"/>
      <c r="B6696" s="118" t="s">
        <v>12</v>
      </c>
      <c r="C6696" s="334" t="s">
        <v>16094</v>
      </c>
      <c r="D6696" s="124" t="s">
        <v>16095</v>
      </c>
      <c r="E6696" s="125"/>
      <c r="F6696" s="118" t="s">
        <v>1104</v>
      </c>
      <c r="G6696" s="126" t="s">
        <v>15312</v>
      </c>
      <c r="H6696" s="255">
        <v>1</v>
      </c>
      <c r="I6696" s="361">
        <v>1</v>
      </c>
      <c r="J6696" s="371" t="s">
        <v>286</v>
      </c>
      <c r="K6696" s="373"/>
      <c r="L6696" s="129"/>
      <c r="M6696" s="129"/>
      <c r="N6696" s="129"/>
      <c r="O6696" s="129"/>
      <c r="P6696" s="364"/>
      <c r="Q6696" s="364"/>
      <c r="R6696" s="129"/>
      <c r="S6696" s="129"/>
      <c r="T6696" s="129"/>
      <c r="W6696" s="129" t="s">
        <v>286</v>
      </c>
      <c r="X6696" s="337" t="b">
        <f t="shared" si="143"/>
        <v>1</v>
      </c>
    </row>
    <row r="6697" spans="1:24" s="386" customFormat="1" ht="12" customHeight="1" outlineLevel="1">
      <c r="A6697" s="382"/>
      <c r="B6697" s="118" t="s">
        <v>12</v>
      </c>
      <c r="C6697" s="334" t="s">
        <v>16096</v>
      </c>
      <c r="D6697" s="124" t="s">
        <v>16097</v>
      </c>
      <c r="E6697" s="125"/>
      <c r="F6697" s="118" t="s">
        <v>1104</v>
      </c>
      <c r="G6697" s="126" t="s">
        <v>15312</v>
      </c>
      <c r="H6697" s="255">
        <v>1</v>
      </c>
      <c r="I6697" s="361">
        <v>1</v>
      </c>
      <c r="J6697" s="371" t="s">
        <v>286</v>
      </c>
      <c r="K6697" s="373"/>
      <c r="L6697" s="129"/>
      <c r="M6697" s="129"/>
      <c r="N6697" s="129"/>
      <c r="O6697" s="129"/>
      <c r="P6697" s="364"/>
      <c r="Q6697" s="364"/>
      <c r="R6697" s="129"/>
      <c r="S6697" s="129"/>
      <c r="T6697" s="129"/>
      <c r="W6697" s="129" t="s">
        <v>286</v>
      </c>
      <c r="X6697" s="337" t="b">
        <f t="shared" si="143"/>
        <v>1</v>
      </c>
    </row>
    <row r="6698" spans="1:24" s="386" customFormat="1" ht="12" customHeight="1" outlineLevel="1">
      <c r="A6698" s="382"/>
      <c r="B6698" s="118" t="s">
        <v>12</v>
      </c>
      <c r="C6698" s="334" t="s">
        <v>16098</v>
      </c>
      <c r="D6698" s="124" t="s">
        <v>16099</v>
      </c>
      <c r="E6698" s="125"/>
      <c r="F6698" s="118" t="s">
        <v>1104</v>
      </c>
      <c r="G6698" s="126" t="s">
        <v>15312</v>
      </c>
      <c r="H6698" s="255">
        <v>1</v>
      </c>
      <c r="I6698" s="361">
        <v>1</v>
      </c>
      <c r="J6698" s="371" t="s">
        <v>286</v>
      </c>
      <c r="K6698" s="373"/>
      <c r="L6698" s="129"/>
      <c r="M6698" s="129"/>
      <c r="N6698" s="129"/>
      <c r="O6698" s="129"/>
      <c r="P6698" s="364"/>
      <c r="Q6698" s="364"/>
      <c r="R6698" s="129"/>
      <c r="S6698" s="129"/>
      <c r="T6698" s="129"/>
      <c r="W6698" s="129" t="s">
        <v>286</v>
      </c>
      <c r="X6698" s="337" t="b">
        <f t="shared" si="143"/>
        <v>1</v>
      </c>
    </row>
    <row r="6699" spans="1:24" s="386" customFormat="1" ht="12" customHeight="1" outlineLevel="1">
      <c r="A6699" s="382"/>
      <c r="B6699" s="118" t="s">
        <v>12</v>
      </c>
      <c r="C6699" s="334" t="s">
        <v>16100</v>
      </c>
      <c r="D6699" s="124" t="s">
        <v>15681</v>
      </c>
      <c r="E6699" s="125"/>
      <c r="F6699" s="118" t="s">
        <v>1104</v>
      </c>
      <c r="G6699" s="126" t="s">
        <v>15312</v>
      </c>
      <c r="H6699" s="255">
        <v>1</v>
      </c>
      <c r="I6699" s="361">
        <v>1</v>
      </c>
      <c r="J6699" s="371" t="s">
        <v>286</v>
      </c>
      <c r="K6699" s="373"/>
      <c r="L6699" s="129"/>
      <c r="M6699" s="129"/>
      <c r="N6699" s="129"/>
      <c r="O6699" s="129"/>
      <c r="P6699" s="364"/>
      <c r="Q6699" s="364"/>
      <c r="R6699" s="129"/>
      <c r="S6699" s="129"/>
      <c r="T6699" s="129"/>
      <c r="W6699" s="129" t="s">
        <v>4876</v>
      </c>
      <c r="X6699" s="337" t="b">
        <f t="shared" si="143"/>
        <v>0</v>
      </c>
    </row>
    <row r="6700" spans="1:24" ht="3" customHeight="1">
      <c r="A6700" s="370"/>
      <c r="B6700" s="118"/>
      <c r="C6700" s="334"/>
      <c r="D6700" s="124"/>
      <c r="E6700" s="125"/>
      <c r="F6700" s="118"/>
      <c r="G6700" s="126"/>
      <c r="H6700" s="255"/>
      <c r="K6700" s="363"/>
      <c r="L6700" s="129"/>
      <c r="M6700" s="129"/>
      <c r="N6700" s="129"/>
      <c r="O6700" s="129"/>
      <c r="P6700" s="372"/>
      <c r="Q6700" s="372"/>
      <c r="R6700" s="129"/>
      <c r="S6700" s="129"/>
      <c r="T6700" s="129"/>
      <c r="W6700" s="129"/>
    </row>
    <row r="6701" spans="1:24" s="360" customFormat="1" ht="12" customHeight="1">
      <c r="A6701" s="110" t="s">
        <v>1188</v>
      </c>
      <c r="B6701" s="118"/>
      <c r="C6701" s="334"/>
      <c r="D6701" s="124"/>
      <c r="E6701" s="125"/>
      <c r="F6701" s="118"/>
      <c r="G6701" s="126"/>
      <c r="H6701" s="255"/>
      <c r="I6701" s="361"/>
      <c r="J6701" s="358"/>
      <c r="K6701" s="62"/>
      <c r="L6701" s="62"/>
      <c r="M6701" s="62"/>
      <c r="N6701" s="62"/>
      <c r="O6701" s="62"/>
      <c r="P6701" s="359"/>
      <c r="Q6701" s="359"/>
      <c r="R6701" s="359"/>
      <c r="S6701" s="359"/>
      <c r="T6701" s="359"/>
      <c r="W6701" s="129"/>
    </row>
    <row r="6702" spans="1:24" s="386" customFormat="1" ht="12" customHeight="1" outlineLevel="1">
      <c r="A6702" s="382"/>
      <c r="B6702" s="118" t="s">
        <v>12</v>
      </c>
      <c r="C6702" s="334" t="s">
        <v>16101</v>
      </c>
      <c r="D6702" s="124" t="s">
        <v>6275</v>
      </c>
      <c r="E6702" s="125"/>
      <c r="F6702" s="118" t="s">
        <v>1192</v>
      </c>
      <c r="G6702" s="126" t="s">
        <v>16102</v>
      </c>
      <c r="H6702" s="255">
        <v>1</v>
      </c>
      <c r="I6702" s="369">
        <v>1</v>
      </c>
      <c r="J6702" s="371" t="s">
        <v>307</v>
      </c>
      <c r="K6702" s="369"/>
      <c r="L6702" s="129"/>
      <c r="M6702" s="378"/>
      <c r="O6702" s="129"/>
      <c r="P6702" s="129"/>
      <c r="Q6702" s="372"/>
      <c r="R6702" s="129"/>
      <c r="S6702" s="129"/>
      <c r="T6702" s="129"/>
      <c r="W6702" s="129" t="s">
        <v>310</v>
      </c>
      <c r="X6702" s="337" t="b">
        <f t="shared" ref="X6702:X6765" si="144">W6702=J6702</f>
        <v>0</v>
      </c>
    </row>
    <row r="6703" spans="1:24" s="386" customFormat="1" ht="12" customHeight="1" outlineLevel="1">
      <c r="A6703" s="382"/>
      <c r="B6703" s="118" t="s">
        <v>12</v>
      </c>
      <c r="C6703" s="334" t="s">
        <v>16103</v>
      </c>
      <c r="D6703" s="124" t="s">
        <v>16104</v>
      </c>
      <c r="E6703" s="125"/>
      <c r="F6703" s="118" t="s">
        <v>1192</v>
      </c>
      <c r="G6703" s="126" t="s">
        <v>16102</v>
      </c>
      <c r="H6703" s="255">
        <v>1</v>
      </c>
      <c r="I6703" s="369">
        <v>1</v>
      </c>
      <c r="J6703" s="371" t="s">
        <v>286</v>
      </c>
      <c r="K6703" s="369"/>
      <c r="L6703" s="129"/>
      <c r="M6703" s="378"/>
      <c r="O6703" s="129"/>
      <c r="P6703" s="129"/>
      <c r="Q6703" s="372"/>
      <c r="R6703" s="129"/>
      <c r="S6703" s="129"/>
      <c r="T6703" s="129"/>
      <c r="W6703" s="129" t="s">
        <v>286</v>
      </c>
      <c r="X6703" s="337" t="b">
        <f t="shared" si="144"/>
        <v>1</v>
      </c>
    </row>
    <row r="6704" spans="1:24" s="386" customFormat="1" ht="12" customHeight="1" outlineLevel="1">
      <c r="A6704" s="382"/>
      <c r="B6704" s="118" t="s">
        <v>12</v>
      </c>
      <c r="C6704" s="334" t="s">
        <v>16105</v>
      </c>
      <c r="D6704" s="124" t="s">
        <v>16106</v>
      </c>
      <c r="E6704" s="125"/>
      <c r="F6704" s="118" t="s">
        <v>1192</v>
      </c>
      <c r="G6704" s="126" t="s">
        <v>16102</v>
      </c>
      <c r="H6704" s="255">
        <v>1</v>
      </c>
      <c r="I6704" s="369">
        <v>1</v>
      </c>
      <c r="J6704" s="371" t="s">
        <v>286</v>
      </c>
      <c r="K6704" s="369"/>
      <c r="L6704" s="129"/>
      <c r="M6704" s="378"/>
      <c r="O6704" s="129"/>
      <c r="P6704" s="129"/>
      <c r="Q6704" s="372"/>
      <c r="R6704" s="129"/>
      <c r="S6704" s="129"/>
      <c r="T6704" s="129"/>
      <c r="W6704" s="129" t="s">
        <v>286</v>
      </c>
      <c r="X6704" s="337" t="b">
        <f t="shared" si="144"/>
        <v>1</v>
      </c>
    </row>
    <row r="6705" spans="1:24" s="386" customFormat="1" ht="12" customHeight="1" outlineLevel="1">
      <c r="A6705" s="382"/>
      <c r="B6705" s="118" t="s">
        <v>12</v>
      </c>
      <c r="C6705" s="334" t="s">
        <v>16107</v>
      </c>
      <c r="D6705" s="124" t="s">
        <v>16108</v>
      </c>
      <c r="E6705" s="125"/>
      <c r="F6705" s="118" t="s">
        <v>1192</v>
      </c>
      <c r="G6705" s="126" t="s">
        <v>16102</v>
      </c>
      <c r="H6705" s="255">
        <v>1</v>
      </c>
      <c r="I6705" s="369">
        <v>1</v>
      </c>
      <c r="J6705" s="371" t="s">
        <v>286</v>
      </c>
      <c r="K6705" s="369"/>
      <c r="L6705" s="129"/>
      <c r="M6705" s="378"/>
      <c r="O6705" s="129"/>
      <c r="P6705" s="129"/>
      <c r="Q6705" s="372"/>
      <c r="R6705" s="129"/>
      <c r="S6705" s="129"/>
      <c r="T6705" s="129"/>
      <c r="W6705" s="129" t="s">
        <v>286</v>
      </c>
      <c r="X6705" s="337" t="b">
        <f t="shared" si="144"/>
        <v>1</v>
      </c>
    </row>
    <row r="6706" spans="1:24" s="386" customFormat="1" ht="12" customHeight="1" outlineLevel="1">
      <c r="A6706" s="382"/>
      <c r="B6706" s="118" t="s">
        <v>12</v>
      </c>
      <c r="C6706" s="334" t="s">
        <v>16109</v>
      </c>
      <c r="D6706" s="124" t="s">
        <v>16110</v>
      </c>
      <c r="E6706" s="125"/>
      <c r="F6706" s="118" t="s">
        <v>1192</v>
      </c>
      <c r="G6706" s="126" t="s">
        <v>16102</v>
      </c>
      <c r="H6706" s="255">
        <v>1</v>
      </c>
      <c r="I6706" s="369">
        <v>1</v>
      </c>
      <c r="J6706" s="371" t="s">
        <v>286</v>
      </c>
      <c r="K6706" s="369"/>
      <c r="L6706" s="129"/>
      <c r="M6706" s="378"/>
      <c r="O6706" s="129"/>
      <c r="P6706" s="129"/>
      <c r="Q6706" s="372"/>
      <c r="R6706" s="129"/>
      <c r="S6706" s="129"/>
      <c r="T6706" s="129"/>
      <c r="W6706" s="129" t="s">
        <v>286</v>
      </c>
      <c r="X6706" s="337" t="b">
        <f t="shared" si="144"/>
        <v>1</v>
      </c>
    </row>
    <row r="6707" spans="1:24" s="386" customFormat="1" ht="12" customHeight="1" outlineLevel="1">
      <c r="A6707" s="382"/>
      <c r="B6707" s="118" t="s">
        <v>12</v>
      </c>
      <c r="C6707" s="334" t="s">
        <v>16111</v>
      </c>
      <c r="D6707" s="124" t="s">
        <v>16112</v>
      </c>
      <c r="E6707" s="125"/>
      <c r="F6707" s="118" t="s">
        <v>1192</v>
      </c>
      <c r="G6707" s="126" t="s">
        <v>16102</v>
      </c>
      <c r="H6707" s="255">
        <v>1</v>
      </c>
      <c r="I6707" s="369">
        <v>1</v>
      </c>
      <c r="J6707" s="371" t="s">
        <v>286</v>
      </c>
      <c r="K6707" s="369"/>
      <c r="L6707" s="129"/>
      <c r="M6707" s="378"/>
      <c r="O6707" s="129"/>
      <c r="P6707" s="129"/>
      <c r="Q6707" s="372"/>
      <c r="R6707" s="129"/>
      <c r="S6707" s="129"/>
      <c r="T6707" s="129"/>
      <c r="W6707" s="129" t="s">
        <v>286</v>
      </c>
      <c r="X6707" s="337" t="b">
        <f t="shared" si="144"/>
        <v>1</v>
      </c>
    </row>
    <row r="6708" spans="1:24" s="386" customFormat="1" ht="12" customHeight="1" outlineLevel="1">
      <c r="A6708" s="382"/>
      <c r="B6708" s="118" t="s">
        <v>12</v>
      </c>
      <c r="C6708" s="334" t="s">
        <v>16113</v>
      </c>
      <c r="D6708" s="124" t="s">
        <v>5938</v>
      </c>
      <c r="E6708" s="125"/>
      <c r="F6708" s="118" t="s">
        <v>1192</v>
      </c>
      <c r="G6708" s="126" t="s">
        <v>16102</v>
      </c>
      <c r="H6708" s="255">
        <v>1</v>
      </c>
      <c r="I6708" s="369">
        <v>1</v>
      </c>
      <c r="J6708" s="371" t="s">
        <v>307</v>
      </c>
      <c r="K6708" s="369"/>
      <c r="L6708" s="129"/>
      <c r="M6708" s="378"/>
      <c r="O6708" s="129"/>
      <c r="P6708" s="129"/>
      <c r="Q6708" s="372"/>
      <c r="R6708" s="129"/>
      <c r="S6708" s="129"/>
      <c r="T6708" s="129"/>
      <c r="W6708" s="129" t="s">
        <v>286</v>
      </c>
      <c r="X6708" s="337" t="b">
        <f t="shared" si="144"/>
        <v>0</v>
      </c>
    </row>
    <row r="6709" spans="1:24" s="386" customFormat="1" ht="12" customHeight="1" outlineLevel="1">
      <c r="A6709" s="382"/>
      <c r="B6709" s="118" t="s">
        <v>12</v>
      </c>
      <c r="C6709" s="334" t="s">
        <v>16114</v>
      </c>
      <c r="D6709" s="124" t="s">
        <v>16115</v>
      </c>
      <c r="E6709" s="125"/>
      <c r="F6709" s="118" t="s">
        <v>1192</v>
      </c>
      <c r="G6709" s="126" t="s">
        <v>16102</v>
      </c>
      <c r="H6709" s="255">
        <v>1</v>
      </c>
      <c r="I6709" s="369">
        <v>1</v>
      </c>
      <c r="J6709" s="371" t="s">
        <v>325</v>
      </c>
      <c r="K6709" s="369"/>
      <c r="L6709" s="129"/>
      <c r="M6709" s="378"/>
      <c r="O6709" s="129"/>
      <c r="P6709" s="129"/>
      <c r="Q6709" s="372"/>
      <c r="R6709" s="129"/>
      <c r="S6709" s="129"/>
      <c r="T6709" s="129"/>
      <c r="W6709" s="129" t="s">
        <v>286</v>
      </c>
      <c r="X6709" s="337" t="b">
        <f t="shared" si="144"/>
        <v>0</v>
      </c>
    </row>
    <row r="6710" spans="1:24" s="386" customFormat="1" ht="12" customHeight="1" outlineLevel="1">
      <c r="A6710" s="382"/>
      <c r="B6710" s="118" t="s">
        <v>12</v>
      </c>
      <c r="C6710" s="334" t="s">
        <v>16116</v>
      </c>
      <c r="D6710" s="124" t="s">
        <v>16117</v>
      </c>
      <c r="E6710" s="125"/>
      <c r="F6710" s="118" t="s">
        <v>1192</v>
      </c>
      <c r="G6710" s="126" t="s">
        <v>16102</v>
      </c>
      <c r="H6710" s="255">
        <v>1</v>
      </c>
      <c r="I6710" s="369">
        <v>1</v>
      </c>
      <c r="J6710" s="371" t="s">
        <v>325</v>
      </c>
      <c r="K6710" s="369"/>
      <c r="L6710" s="129"/>
      <c r="M6710" s="378"/>
      <c r="O6710" s="129"/>
      <c r="P6710" s="129"/>
      <c r="Q6710" s="372"/>
      <c r="R6710" s="129"/>
      <c r="S6710" s="129"/>
      <c r="T6710" s="129"/>
      <c r="W6710" s="129" t="s">
        <v>286</v>
      </c>
      <c r="X6710" s="337" t="b">
        <f t="shared" si="144"/>
        <v>0</v>
      </c>
    </row>
    <row r="6711" spans="1:24" s="386" customFormat="1" ht="12" customHeight="1" outlineLevel="1">
      <c r="A6711" s="382"/>
      <c r="B6711" s="118" t="s">
        <v>12</v>
      </c>
      <c r="C6711" s="334" t="s">
        <v>16118</v>
      </c>
      <c r="D6711" s="124" t="s">
        <v>16119</v>
      </c>
      <c r="E6711" s="125"/>
      <c r="F6711" s="118" t="s">
        <v>1192</v>
      </c>
      <c r="G6711" s="126" t="s">
        <v>16102</v>
      </c>
      <c r="H6711" s="255">
        <v>1</v>
      </c>
      <c r="I6711" s="369">
        <v>1</v>
      </c>
      <c r="J6711" s="371" t="s">
        <v>310</v>
      </c>
      <c r="K6711" s="369"/>
      <c r="L6711" s="129"/>
      <c r="M6711" s="378"/>
      <c r="O6711" s="129"/>
      <c r="P6711" s="129"/>
      <c r="Q6711" s="372"/>
      <c r="R6711" s="129"/>
      <c r="S6711" s="129"/>
      <c r="T6711" s="129"/>
      <c r="W6711" s="129" t="s">
        <v>286</v>
      </c>
      <c r="X6711" s="337" t="b">
        <f t="shared" si="144"/>
        <v>0</v>
      </c>
    </row>
    <row r="6712" spans="1:24" s="386" customFormat="1" ht="12" customHeight="1" outlineLevel="1">
      <c r="A6712" s="382"/>
      <c r="B6712" s="118" t="s">
        <v>12</v>
      </c>
      <c r="C6712" s="334" t="s">
        <v>16120</v>
      </c>
      <c r="D6712" s="124" t="s">
        <v>2199</v>
      </c>
      <c r="E6712" s="125"/>
      <c r="F6712" s="118" t="s">
        <v>1192</v>
      </c>
      <c r="G6712" s="126" t="s">
        <v>16102</v>
      </c>
      <c r="H6712" s="255">
        <v>1</v>
      </c>
      <c r="I6712" s="369">
        <v>1</v>
      </c>
      <c r="J6712" s="371" t="s">
        <v>310</v>
      </c>
      <c r="K6712" s="369"/>
      <c r="L6712" s="129"/>
      <c r="M6712" s="378"/>
      <c r="O6712" s="129"/>
      <c r="P6712" s="129"/>
      <c r="Q6712" s="372"/>
      <c r="R6712" s="129"/>
      <c r="S6712" s="129"/>
      <c r="T6712" s="129"/>
      <c r="W6712" s="129" t="s">
        <v>286</v>
      </c>
      <c r="X6712" s="337" t="b">
        <f t="shared" si="144"/>
        <v>0</v>
      </c>
    </row>
    <row r="6713" spans="1:24" s="386" customFormat="1" ht="12" customHeight="1" outlineLevel="1">
      <c r="A6713" s="382"/>
      <c r="B6713" s="118" t="s">
        <v>12</v>
      </c>
      <c r="C6713" s="334" t="s">
        <v>16121</v>
      </c>
      <c r="D6713" s="124" t="s">
        <v>16122</v>
      </c>
      <c r="E6713" s="125"/>
      <c r="F6713" s="118" t="s">
        <v>1192</v>
      </c>
      <c r="G6713" s="126" t="s">
        <v>16102</v>
      </c>
      <c r="H6713" s="255">
        <v>1</v>
      </c>
      <c r="I6713" s="369">
        <v>1</v>
      </c>
      <c r="J6713" s="371" t="s">
        <v>310</v>
      </c>
      <c r="K6713" s="369"/>
      <c r="L6713" s="129"/>
      <c r="M6713" s="378"/>
      <c r="O6713" s="129"/>
      <c r="P6713" s="129"/>
      <c r="Q6713" s="372"/>
      <c r="R6713" s="129"/>
      <c r="S6713" s="129"/>
      <c r="T6713" s="129"/>
      <c r="W6713" s="129" t="s">
        <v>286</v>
      </c>
      <c r="X6713" s="337" t="b">
        <f t="shared" si="144"/>
        <v>0</v>
      </c>
    </row>
    <row r="6714" spans="1:24" s="386" customFormat="1" ht="12" customHeight="1" outlineLevel="1">
      <c r="A6714" s="382"/>
      <c r="B6714" s="118" t="s">
        <v>12</v>
      </c>
      <c r="C6714" s="334" t="s">
        <v>16123</v>
      </c>
      <c r="D6714" s="124" t="s">
        <v>5895</v>
      </c>
      <c r="E6714" s="125"/>
      <c r="F6714" s="118" t="s">
        <v>1192</v>
      </c>
      <c r="G6714" s="126" t="s">
        <v>16102</v>
      </c>
      <c r="H6714" s="255">
        <v>1</v>
      </c>
      <c r="I6714" s="369">
        <v>1</v>
      </c>
      <c r="J6714" s="371" t="s">
        <v>286</v>
      </c>
      <c r="K6714" s="369"/>
      <c r="L6714" s="129"/>
      <c r="M6714" s="378"/>
      <c r="O6714" s="129"/>
      <c r="P6714" s="129"/>
      <c r="Q6714" s="372"/>
      <c r="R6714" s="129"/>
      <c r="S6714" s="129"/>
      <c r="T6714" s="129"/>
      <c r="W6714" s="129" t="s">
        <v>286</v>
      </c>
      <c r="X6714" s="337" t="b">
        <f t="shared" si="144"/>
        <v>1</v>
      </c>
    </row>
    <row r="6715" spans="1:24" s="386" customFormat="1" ht="12" customHeight="1" outlineLevel="1">
      <c r="A6715" s="382"/>
      <c r="B6715" s="118" t="s">
        <v>12</v>
      </c>
      <c r="C6715" s="334" t="s">
        <v>16124</v>
      </c>
      <c r="D6715" s="124" t="s">
        <v>16125</v>
      </c>
      <c r="E6715" s="125"/>
      <c r="F6715" s="118" t="s">
        <v>1192</v>
      </c>
      <c r="G6715" s="126" t="s">
        <v>16102</v>
      </c>
      <c r="H6715" s="255">
        <v>1</v>
      </c>
      <c r="I6715" s="369">
        <v>1</v>
      </c>
      <c r="J6715" s="371" t="s">
        <v>286</v>
      </c>
      <c r="K6715" s="369"/>
      <c r="L6715" s="129"/>
      <c r="M6715" s="378"/>
      <c r="O6715" s="129"/>
      <c r="P6715" s="129"/>
      <c r="Q6715" s="372"/>
      <c r="R6715" s="129"/>
      <c r="S6715" s="129"/>
      <c r="T6715" s="129"/>
      <c r="W6715" s="129" t="s">
        <v>4876</v>
      </c>
      <c r="X6715" s="337" t="b">
        <f t="shared" si="144"/>
        <v>0</v>
      </c>
    </row>
    <row r="6716" spans="1:24" s="386" customFormat="1" ht="12" customHeight="1" outlineLevel="1">
      <c r="A6716" s="382"/>
      <c r="B6716" s="118" t="s">
        <v>12</v>
      </c>
      <c r="C6716" s="334" t="s">
        <v>16126</v>
      </c>
      <c r="D6716" s="124" t="s">
        <v>16127</v>
      </c>
      <c r="E6716" s="125"/>
      <c r="F6716" s="118" t="s">
        <v>1192</v>
      </c>
      <c r="G6716" s="126" t="s">
        <v>16102</v>
      </c>
      <c r="H6716" s="255">
        <v>1</v>
      </c>
      <c r="I6716" s="369">
        <v>1</v>
      </c>
      <c r="J6716" s="371" t="s">
        <v>286</v>
      </c>
      <c r="K6716" s="369"/>
      <c r="L6716" s="129"/>
      <c r="M6716" s="378"/>
      <c r="O6716" s="129"/>
      <c r="P6716" s="129"/>
      <c r="Q6716" s="372"/>
      <c r="R6716" s="129"/>
      <c r="S6716" s="129"/>
      <c r="T6716" s="129"/>
      <c r="W6716" s="129" t="s">
        <v>4876</v>
      </c>
      <c r="X6716" s="337" t="b">
        <f t="shared" si="144"/>
        <v>0</v>
      </c>
    </row>
    <row r="6717" spans="1:24" s="386" customFormat="1" ht="12" customHeight="1" outlineLevel="1">
      <c r="A6717" s="382"/>
      <c r="B6717" s="118" t="s">
        <v>12</v>
      </c>
      <c r="C6717" s="334" t="s">
        <v>16128</v>
      </c>
      <c r="D6717" s="124" t="s">
        <v>16129</v>
      </c>
      <c r="E6717" s="125"/>
      <c r="F6717" s="118" t="s">
        <v>1192</v>
      </c>
      <c r="G6717" s="126" t="s">
        <v>16102</v>
      </c>
      <c r="H6717" s="255">
        <v>1</v>
      </c>
      <c r="I6717" s="369"/>
      <c r="J6717" s="371" t="s">
        <v>286</v>
      </c>
      <c r="K6717" s="369">
        <v>1</v>
      </c>
      <c r="L6717" s="129">
        <v>1</v>
      </c>
      <c r="M6717" s="378"/>
      <c r="O6717" s="129"/>
      <c r="P6717" s="129">
        <v>1</v>
      </c>
      <c r="Q6717" s="372">
        <v>1</v>
      </c>
      <c r="R6717" s="129"/>
      <c r="S6717" s="129"/>
      <c r="T6717" s="129"/>
      <c r="W6717" s="129" t="s">
        <v>4876</v>
      </c>
      <c r="X6717" s="337" t="b">
        <f t="shared" si="144"/>
        <v>0</v>
      </c>
    </row>
    <row r="6718" spans="1:24" s="386" customFormat="1" ht="12" customHeight="1" outlineLevel="1">
      <c r="A6718" s="382"/>
      <c r="B6718" s="118" t="s">
        <v>12</v>
      </c>
      <c r="C6718" s="334" t="s">
        <v>16130</v>
      </c>
      <c r="D6718" s="124" t="s">
        <v>16131</v>
      </c>
      <c r="E6718" s="125"/>
      <c r="F6718" s="118" t="s">
        <v>1192</v>
      </c>
      <c r="G6718" s="126" t="s">
        <v>16102</v>
      </c>
      <c r="H6718" s="255">
        <v>1</v>
      </c>
      <c r="I6718" s="369">
        <v>1</v>
      </c>
      <c r="J6718" s="371" t="s">
        <v>286</v>
      </c>
      <c r="K6718" s="369"/>
      <c r="L6718" s="129"/>
      <c r="M6718" s="378"/>
      <c r="O6718" s="129"/>
      <c r="P6718" s="129"/>
      <c r="Q6718" s="372"/>
      <c r="R6718" s="129"/>
      <c r="S6718" s="129"/>
      <c r="T6718" s="129"/>
      <c r="W6718" s="129" t="s">
        <v>286</v>
      </c>
      <c r="X6718" s="337" t="b">
        <f t="shared" si="144"/>
        <v>1</v>
      </c>
    </row>
    <row r="6719" spans="1:24" s="386" customFormat="1" ht="12" customHeight="1" outlineLevel="1">
      <c r="A6719" s="382"/>
      <c r="B6719" s="118" t="s">
        <v>12</v>
      </c>
      <c r="C6719" s="334" t="s">
        <v>16132</v>
      </c>
      <c r="D6719" s="124" t="s">
        <v>16133</v>
      </c>
      <c r="E6719" s="125"/>
      <c r="F6719" s="118" t="s">
        <v>1192</v>
      </c>
      <c r="G6719" s="126" t="s">
        <v>16102</v>
      </c>
      <c r="H6719" s="255">
        <v>1</v>
      </c>
      <c r="I6719" s="369">
        <v>1</v>
      </c>
      <c r="J6719" s="371" t="s">
        <v>310</v>
      </c>
      <c r="K6719" s="369"/>
      <c r="L6719" s="129"/>
      <c r="M6719" s="378"/>
      <c r="O6719" s="129"/>
      <c r="P6719" s="129"/>
      <c r="Q6719" s="372"/>
      <c r="R6719" s="129"/>
      <c r="S6719" s="129"/>
      <c r="T6719" s="129"/>
      <c r="W6719" s="129" t="s">
        <v>286</v>
      </c>
      <c r="X6719" s="337" t="b">
        <f t="shared" si="144"/>
        <v>0</v>
      </c>
    </row>
    <row r="6720" spans="1:24" s="386" customFormat="1" ht="12" customHeight="1" outlineLevel="1">
      <c r="A6720" s="382"/>
      <c r="B6720" s="118" t="s">
        <v>12</v>
      </c>
      <c r="C6720" s="334" t="s">
        <v>16134</v>
      </c>
      <c r="D6720" s="124" t="s">
        <v>16135</v>
      </c>
      <c r="E6720" s="125"/>
      <c r="F6720" s="118" t="s">
        <v>1192</v>
      </c>
      <c r="G6720" s="126" t="s">
        <v>16102</v>
      </c>
      <c r="H6720" s="255">
        <v>1</v>
      </c>
      <c r="I6720" s="369">
        <v>1</v>
      </c>
      <c r="J6720" s="371" t="s">
        <v>310</v>
      </c>
      <c r="K6720" s="369"/>
      <c r="L6720" s="129"/>
      <c r="M6720" s="378"/>
      <c r="O6720" s="129"/>
      <c r="P6720" s="129"/>
      <c r="Q6720" s="372"/>
      <c r="R6720" s="129"/>
      <c r="S6720" s="129"/>
      <c r="T6720" s="129"/>
      <c r="W6720" s="129" t="s">
        <v>286</v>
      </c>
      <c r="X6720" s="337" t="b">
        <f t="shared" si="144"/>
        <v>0</v>
      </c>
    </row>
    <row r="6721" spans="1:24" s="386" customFormat="1" ht="12" customHeight="1" outlineLevel="1">
      <c r="A6721" s="382"/>
      <c r="B6721" s="118" t="s">
        <v>12</v>
      </c>
      <c r="C6721" s="334" t="s">
        <v>16136</v>
      </c>
      <c r="D6721" s="124" t="s">
        <v>16137</v>
      </c>
      <c r="E6721" s="125"/>
      <c r="F6721" s="118" t="s">
        <v>1192</v>
      </c>
      <c r="G6721" s="126" t="s">
        <v>16102</v>
      </c>
      <c r="H6721" s="255">
        <v>1</v>
      </c>
      <c r="I6721" s="369">
        <v>1</v>
      </c>
      <c r="J6721" s="371" t="s">
        <v>286</v>
      </c>
      <c r="K6721" s="369"/>
      <c r="L6721" s="129"/>
      <c r="M6721" s="378"/>
      <c r="O6721" s="129"/>
      <c r="P6721" s="129"/>
      <c r="Q6721" s="372"/>
      <c r="R6721" s="129"/>
      <c r="S6721" s="129"/>
      <c r="T6721" s="129"/>
      <c r="W6721" s="129" t="s">
        <v>286</v>
      </c>
      <c r="X6721" s="337" t="b">
        <f t="shared" si="144"/>
        <v>1</v>
      </c>
    </row>
    <row r="6722" spans="1:24" s="386" customFormat="1" ht="12" customHeight="1" outlineLevel="1">
      <c r="A6722" s="382"/>
      <c r="B6722" s="118" t="s">
        <v>12</v>
      </c>
      <c r="C6722" s="334" t="s">
        <v>16138</v>
      </c>
      <c r="D6722" s="124" t="s">
        <v>16139</v>
      </c>
      <c r="E6722" s="125"/>
      <c r="F6722" s="118" t="s">
        <v>1192</v>
      </c>
      <c r="G6722" s="126" t="s">
        <v>16102</v>
      </c>
      <c r="H6722" s="255">
        <v>1</v>
      </c>
      <c r="I6722" s="369"/>
      <c r="J6722" s="371" t="s">
        <v>310</v>
      </c>
      <c r="K6722" s="369">
        <v>1</v>
      </c>
      <c r="L6722" s="129">
        <v>1</v>
      </c>
      <c r="M6722" s="378"/>
      <c r="O6722" s="129"/>
      <c r="P6722" s="129">
        <v>1</v>
      </c>
      <c r="Q6722" s="129">
        <v>1</v>
      </c>
      <c r="R6722" s="129"/>
      <c r="S6722" s="129"/>
      <c r="T6722" s="129"/>
      <c r="W6722" s="129" t="s">
        <v>286</v>
      </c>
      <c r="X6722" s="337" t="b">
        <f t="shared" si="144"/>
        <v>0</v>
      </c>
    </row>
    <row r="6723" spans="1:24" s="386" customFormat="1" ht="12" customHeight="1" outlineLevel="1">
      <c r="A6723" s="382"/>
      <c r="B6723" s="118" t="s">
        <v>12</v>
      </c>
      <c r="C6723" s="334" t="s">
        <v>16140</v>
      </c>
      <c r="D6723" s="124" t="s">
        <v>16141</v>
      </c>
      <c r="E6723" s="125"/>
      <c r="F6723" s="118" t="s">
        <v>1192</v>
      </c>
      <c r="G6723" s="126" t="s">
        <v>16102</v>
      </c>
      <c r="H6723" s="255">
        <v>1</v>
      </c>
      <c r="I6723" s="369">
        <v>1</v>
      </c>
      <c r="J6723" s="371" t="s">
        <v>286</v>
      </c>
      <c r="K6723" s="369"/>
      <c r="L6723" s="129"/>
      <c r="M6723" s="378"/>
      <c r="O6723" s="129"/>
      <c r="P6723" s="129"/>
      <c r="Q6723" s="372"/>
      <c r="R6723" s="129"/>
      <c r="S6723" s="129"/>
      <c r="T6723" s="129"/>
      <c r="W6723" s="129" t="s">
        <v>286</v>
      </c>
      <c r="X6723" s="337" t="b">
        <f t="shared" si="144"/>
        <v>1</v>
      </c>
    </row>
    <row r="6724" spans="1:24" s="386" customFormat="1" ht="12" customHeight="1" outlineLevel="1">
      <c r="A6724" s="382"/>
      <c r="B6724" s="118" t="s">
        <v>12</v>
      </c>
      <c r="C6724" s="334" t="s">
        <v>16142</v>
      </c>
      <c r="D6724" s="124" t="s">
        <v>16143</v>
      </c>
      <c r="E6724" s="125"/>
      <c r="F6724" s="118" t="s">
        <v>1192</v>
      </c>
      <c r="G6724" s="126" t="s">
        <v>16102</v>
      </c>
      <c r="H6724" s="255">
        <v>1</v>
      </c>
      <c r="I6724" s="369">
        <v>1</v>
      </c>
      <c r="J6724" s="371" t="s">
        <v>310</v>
      </c>
      <c r="K6724" s="369"/>
      <c r="L6724" s="129"/>
      <c r="M6724" s="378"/>
      <c r="O6724" s="129"/>
      <c r="P6724" s="129"/>
      <c r="Q6724" s="372"/>
      <c r="R6724" s="129"/>
      <c r="S6724" s="129"/>
      <c r="T6724" s="129"/>
      <c r="W6724" s="129" t="s">
        <v>310</v>
      </c>
      <c r="X6724" s="337" t="b">
        <f t="shared" si="144"/>
        <v>1</v>
      </c>
    </row>
    <row r="6725" spans="1:24" s="386" customFormat="1" ht="12" customHeight="1" outlineLevel="1">
      <c r="A6725" s="382"/>
      <c r="B6725" s="118" t="s">
        <v>12</v>
      </c>
      <c r="C6725" s="334" t="s">
        <v>16144</v>
      </c>
      <c r="D6725" s="124" t="s">
        <v>16145</v>
      </c>
      <c r="E6725" s="125"/>
      <c r="F6725" s="118" t="s">
        <v>1192</v>
      </c>
      <c r="G6725" s="126" t="s">
        <v>16102</v>
      </c>
      <c r="H6725" s="255">
        <v>1</v>
      </c>
      <c r="I6725" s="369">
        <v>1</v>
      </c>
      <c r="J6725" s="371" t="s">
        <v>286</v>
      </c>
      <c r="K6725" s="369"/>
      <c r="L6725" s="129"/>
      <c r="M6725" s="378"/>
      <c r="O6725" s="129"/>
      <c r="P6725" s="129"/>
      <c r="Q6725" s="372"/>
      <c r="R6725" s="129"/>
      <c r="S6725" s="129"/>
      <c r="T6725" s="129"/>
      <c r="W6725" s="129" t="s">
        <v>286</v>
      </c>
      <c r="X6725" s="337" t="b">
        <f t="shared" si="144"/>
        <v>1</v>
      </c>
    </row>
    <row r="6726" spans="1:24" s="386" customFormat="1" ht="12" customHeight="1" outlineLevel="1">
      <c r="A6726" s="382"/>
      <c r="B6726" s="118" t="s">
        <v>12</v>
      </c>
      <c r="C6726" s="334" t="s">
        <v>16146</v>
      </c>
      <c r="D6726" s="124" t="s">
        <v>16147</v>
      </c>
      <c r="E6726" s="125"/>
      <c r="F6726" s="118" t="s">
        <v>1192</v>
      </c>
      <c r="G6726" s="126" t="s">
        <v>16102</v>
      </c>
      <c r="H6726" s="255">
        <v>1</v>
      </c>
      <c r="I6726" s="369">
        <v>1</v>
      </c>
      <c r="J6726" s="371" t="s">
        <v>310</v>
      </c>
      <c r="K6726" s="369"/>
      <c r="L6726" s="129"/>
      <c r="M6726" s="378"/>
      <c r="O6726" s="129"/>
      <c r="P6726" s="129"/>
      <c r="Q6726" s="372"/>
      <c r="R6726" s="129"/>
      <c r="S6726" s="129"/>
      <c r="T6726" s="129"/>
      <c r="W6726" s="129" t="s">
        <v>4876</v>
      </c>
      <c r="X6726" s="337" t="b">
        <f t="shared" si="144"/>
        <v>0</v>
      </c>
    </row>
    <row r="6727" spans="1:24" s="386" customFormat="1" ht="12" customHeight="1" outlineLevel="1">
      <c r="A6727" s="382"/>
      <c r="B6727" s="118" t="s">
        <v>12</v>
      </c>
      <c r="C6727" s="334" t="s">
        <v>16148</v>
      </c>
      <c r="D6727" s="124" t="s">
        <v>16149</v>
      </c>
      <c r="E6727" s="125"/>
      <c r="F6727" s="118" t="s">
        <v>1192</v>
      </c>
      <c r="G6727" s="126" t="s">
        <v>16102</v>
      </c>
      <c r="H6727" s="255">
        <v>1</v>
      </c>
      <c r="I6727" s="369">
        <v>1</v>
      </c>
      <c r="J6727" s="371" t="s">
        <v>310</v>
      </c>
      <c r="K6727" s="369"/>
      <c r="L6727" s="129"/>
      <c r="M6727" s="378"/>
      <c r="O6727" s="129"/>
      <c r="P6727" s="129"/>
      <c r="Q6727" s="372"/>
      <c r="R6727" s="129"/>
      <c r="S6727" s="129"/>
      <c r="T6727" s="129"/>
      <c r="W6727" s="129" t="s">
        <v>4876</v>
      </c>
      <c r="X6727" s="337" t="b">
        <f t="shared" si="144"/>
        <v>0</v>
      </c>
    </row>
    <row r="6728" spans="1:24" s="386" customFormat="1" ht="12" customHeight="1" outlineLevel="1">
      <c r="A6728" s="382"/>
      <c r="B6728" s="118" t="s">
        <v>12</v>
      </c>
      <c r="C6728" s="334" t="s">
        <v>16150</v>
      </c>
      <c r="D6728" s="124" t="s">
        <v>16151</v>
      </c>
      <c r="E6728" s="125"/>
      <c r="F6728" s="118" t="s">
        <v>1192</v>
      </c>
      <c r="G6728" s="126" t="s">
        <v>16102</v>
      </c>
      <c r="H6728" s="255">
        <v>1</v>
      </c>
      <c r="I6728" s="369">
        <v>1</v>
      </c>
      <c r="J6728" s="371" t="s">
        <v>310</v>
      </c>
      <c r="K6728" s="369"/>
      <c r="L6728" s="129"/>
      <c r="M6728" s="378"/>
      <c r="O6728" s="129"/>
      <c r="P6728" s="129"/>
      <c r="Q6728" s="372"/>
      <c r="R6728" s="129"/>
      <c r="S6728" s="129"/>
      <c r="T6728" s="129"/>
      <c r="W6728" s="129" t="s">
        <v>4876</v>
      </c>
      <c r="X6728" s="337" t="b">
        <f t="shared" si="144"/>
        <v>0</v>
      </c>
    </row>
    <row r="6729" spans="1:24" s="386" customFormat="1" ht="12" customHeight="1" outlineLevel="1">
      <c r="A6729" s="382"/>
      <c r="B6729" s="118" t="s">
        <v>12</v>
      </c>
      <c r="C6729" s="334" t="s">
        <v>16152</v>
      </c>
      <c r="D6729" s="124" t="s">
        <v>16153</v>
      </c>
      <c r="E6729" s="125"/>
      <c r="F6729" s="118" t="s">
        <v>1192</v>
      </c>
      <c r="G6729" s="126" t="s">
        <v>16102</v>
      </c>
      <c r="H6729" s="255">
        <v>1</v>
      </c>
      <c r="I6729" s="369">
        <v>1</v>
      </c>
      <c r="J6729" s="371" t="s">
        <v>310</v>
      </c>
      <c r="K6729" s="369"/>
      <c r="L6729" s="129"/>
      <c r="M6729" s="378"/>
      <c r="O6729" s="129"/>
      <c r="P6729" s="129"/>
      <c r="Q6729" s="372"/>
      <c r="R6729" s="129"/>
      <c r="S6729" s="129"/>
      <c r="T6729" s="129"/>
      <c r="W6729" s="129" t="s">
        <v>4876</v>
      </c>
      <c r="X6729" s="337" t="b">
        <f t="shared" si="144"/>
        <v>0</v>
      </c>
    </row>
    <row r="6730" spans="1:24" s="386" customFormat="1" ht="12" customHeight="1" outlineLevel="1">
      <c r="A6730" s="382"/>
      <c r="B6730" s="118" t="s">
        <v>12</v>
      </c>
      <c r="C6730" s="334" t="s">
        <v>16154</v>
      </c>
      <c r="D6730" s="124" t="s">
        <v>16155</v>
      </c>
      <c r="E6730" s="125"/>
      <c r="F6730" s="118" t="s">
        <v>1192</v>
      </c>
      <c r="G6730" s="126" t="s">
        <v>16102</v>
      </c>
      <c r="H6730" s="255">
        <v>1</v>
      </c>
      <c r="I6730" s="369">
        <v>1</v>
      </c>
      <c r="J6730" s="371" t="s">
        <v>310</v>
      </c>
      <c r="K6730" s="369"/>
      <c r="L6730" s="129"/>
      <c r="M6730" s="378"/>
      <c r="O6730" s="129"/>
      <c r="P6730" s="129"/>
      <c r="Q6730" s="372"/>
      <c r="R6730" s="129"/>
      <c r="S6730" s="129"/>
      <c r="T6730" s="129"/>
      <c r="W6730" s="129" t="s">
        <v>4876</v>
      </c>
      <c r="X6730" s="337" t="b">
        <f t="shared" si="144"/>
        <v>0</v>
      </c>
    </row>
    <row r="6731" spans="1:24" s="386" customFormat="1" ht="12" customHeight="1" outlineLevel="1">
      <c r="A6731" s="382"/>
      <c r="B6731" s="118" t="s">
        <v>12</v>
      </c>
      <c r="C6731" s="334" t="s">
        <v>16156</v>
      </c>
      <c r="D6731" s="124" t="s">
        <v>13113</v>
      </c>
      <c r="E6731" s="125"/>
      <c r="F6731" s="118" t="s">
        <v>1192</v>
      </c>
      <c r="G6731" s="126" t="s">
        <v>16157</v>
      </c>
      <c r="H6731" s="255">
        <v>2</v>
      </c>
      <c r="I6731" s="369">
        <v>1</v>
      </c>
      <c r="J6731" s="371" t="s">
        <v>286</v>
      </c>
      <c r="K6731" s="369"/>
      <c r="L6731" s="129"/>
      <c r="M6731" s="378"/>
      <c r="O6731" s="129"/>
      <c r="P6731" s="129"/>
      <c r="Q6731" s="372"/>
      <c r="R6731" s="129"/>
      <c r="S6731" s="129"/>
      <c r="T6731" s="129"/>
      <c r="W6731" s="129" t="s">
        <v>4876</v>
      </c>
      <c r="X6731" s="337" t="b">
        <f t="shared" si="144"/>
        <v>0</v>
      </c>
    </row>
    <row r="6732" spans="1:24" s="386" customFormat="1" ht="12" customHeight="1" outlineLevel="1">
      <c r="A6732" s="382"/>
      <c r="B6732" s="118" t="s">
        <v>12</v>
      </c>
      <c r="C6732" s="334" t="s">
        <v>16158</v>
      </c>
      <c r="D6732" s="124" t="s">
        <v>16159</v>
      </c>
      <c r="E6732" s="125"/>
      <c r="F6732" s="118" t="s">
        <v>1192</v>
      </c>
      <c r="G6732" s="126" t="s">
        <v>16157</v>
      </c>
      <c r="H6732" s="255">
        <v>2</v>
      </c>
      <c r="I6732" s="369">
        <v>1</v>
      </c>
      <c r="J6732" s="371" t="s">
        <v>286</v>
      </c>
      <c r="K6732" s="369"/>
      <c r="L6732" s="129"/>
      <c r="M6732" s="378"/>
      <c r="O6732" s="129"/>
      <c r="P6732" s="129"/>
      <c r="Q6732" s="372"/>
      <c r="R6732" s="129"/>
      <c r="S6732" s="129"/>
      <c r="T6732" s="129"/>
      <c r="W6732" s="129" t="s">
        <v>4876</v>
      </c>
      <c r="X6732" s="337" t="b">
        <f t="shared" si="144"/>
        <v>0</v>
      </c>
    </row>
    <row r="6733" spans="1:24" s="386" customFormat="1" ht="12" customHeight="1" outlineLevel="1">
      <c r="A6733" s="382"/>
      <c r="B6733" s="118" t="s">
        <v>12</v>
      </c>
      <c r="C6733" s="334" t="s">
        <v>16160</v>
      </c>
      <c r="D6733" s="124" t="s">
        <v>5950</v>
      </c>
      <c r="E6733" s="125"/>
      <c r="F6733" s="118" t="s">
        <v>1192</v>
      </c>
      <c r="G6733" s="126" t="s">
        <v>16157</v>
      </c>
      <c r="H6733" s="255">
        <v>2</v>
      </c>
      <c r="I6733" s="369">
        <v>1</v>
      </c>
      <c r="J6733" s="371" t="s">
        <v>286</v>
      </c>
      <c r="K6733" s="369"/>
      <c r="L6733" s="129"/>
      <c r="M6733" s="378"/>
      <c r="O6733" s="129"/>
      <c r="P6733" s="129"/>
      <c r="Q6733" s="372"/>
      <c r="R6733" s="129"/>
      <c r="S6733" s="129"/>
      <c r="T6733" s="129"/>
      <c r="W6733" s="129" t="s">
        <v>4876</v>
      </c>
      <c r="X6733" s="337" t="b">
        <f t="shared" si="144"/>
        <v>0</v>
      </c>
    </row>
    <row r="6734" spans="1:24" s="386" customFormat="1" ht="12" customHeight="1" outlineLevel="1">
      <c r="A6734" s="382"/>
      <c r="B6734" s="118" t="s">
        <v>12</v>
      </c>
      <c r="C6734" s="334" t="s">
        <v>16161</v>
      </c>
      <c r="D6734" s="124" t="s">
        <v>16162</v>
      </c>
      <c r="E6734" s="125"/>
      <c r="F6734" s="118" t="s">
        <v>1192</v>
      </c>
      <c r="G6734" s="126" t="s">
        <v>16157</v>
      </c>
      <c r="H6734" s="255">
        <v>2</v>
      </c>
      <c r="I6734" s="369">
        <v>1</v>
      </c>
      <c r="J6734" s="371" t="s">
        <v>310</v>
      </c>
      <c r="K6734" s="369"/>
      <c r="L6734" s="129"/>
      <c r="M6734" s="378"/>
      <c r="O6734" s="129"/>
      <c r="P6734" s="129"/>
      <c r="Q6734" s="372"/>
      <c r="R6734" s="129"/>
      <c r="S6734" s="129"/>
      <c r="T6734" s="129"/>
      <c r="W6734" s="129" t="s">
        <v>286</v>
      </c>
      <c r="X6734" s="337" t="b">
        <f t="shared" si="144"/>
        <v>0</v>
      </c>
    </row>
    <row r="6735" spans="1:24" s="386" customFormat="1" ht="12" customHeight="1" outlineLevel="1">
      <c r="A6735" s="382"/>
      <c r="B6735" s="118" t="s">
        <v>12</v>
      </c>
      <c r="C6735" s="334" t="s">
        <v>16163</v>
      </c>
      <c r="D6735" s="124" t="s">
        <v>5956</v>
      </c>
      <c r="E6735" s="125"/>
      <c r="F6735" s="118" t="s">
        <v>1192</v>
      </c>
      <c r="G6735" s="126" t="s">
        <v>16157</v>
      </c>
      <c r="H6735" s="255">
        <v>2</v>
      </c>
      <c r="I6735" s="369">
        <v>1</v>
      </c>
      <c r="J6735" s="371" t="s">
        <v>310</v>
      </c>
      <c r="K6735" s="369"/>
      <c r="L6735" s="129"/>
      <c r="M6735" s="378"/>
      <c r="O6735" s="129"/>
      <c r="P6735" s="129"/>
      <c r="Q6735" s="372"/>
      <c r="R6735" s="129"/>
      <c r="S6735" s="129"/>
      <c r="T6735" s="129"/>
      <c r="W6735" s="129" t="s">
        <v>286</v>
      </c>
      <c r="X6735" s="337" t="b">
        <f t="shared" si="144"/>
        <v>0</v>
      </c>
    </row>
    <row r="6736" spans="1:24" s="386" customFormat="1" ht="12" customHeight="1" outlineLevel="1">
      <c r="A6736" s="382"/>
      <c r="B6736" s="118" t="s">
        <v>12</v>
      </c>
      <c r="C6736" s="334" t="s">
        <v>16164</v>
      </c>
      <c r="D6736" s="124" t="s">
        <v>5940</v>
      </c>
      <c r="E6736" s="125"/>
      <c r="F6736" s="118" t="s">
        <v>1192</v>
      </c>
      <c r="G6736" s="126" t="s">
        <v>16157</v>
      </c>
      <c r="H6736" s="255">
        <v>2</v>
      </c>
      <c r="I6736" s="369">
        <v>1</v>
      </c>
      <c r="J6736" s="371" t="s">
        <v>286</v>
      </c>
      <c r="K6736" s="369"/>
      <c r="L6736" s="129"/>
      <c r="M6736" s="378"/>
      <c r="O6736" s="129"/>
      <c r="P6736" s="129"/>
      <c r="Q6736" s="372"/>
      <c r="R6736" s="129"/>
      <c r="S6736" s="129"/>
      <c r="T6736" s="129"/>
      <c r="W6736" s="129" t="s">
        <v>4876</v>
      </c>
      <c r="X6736" s="337" t="b">
        <f t="shared" si="144"/>
        <v>0</v>
      </c>
    </row>
    <row r="6737" spans="1:24" s="386" customFormat="1" ht="12" customHeight="1" outlineLevel="1">
      <c r="A6737" s="382"/>
      <c r="B6737" s="118" t="s">
        <v>12</v>
      </c>
      <c r="C6737" s="334" t="s">
        <v>16165</v>
      </c>
      <c r="D6737" s="124" t="s">
        <v>16166</v>
      </c>
      <c r="E6737" s="125"/>
      <c r="F6737" s="118" t="s">
        <v>1192</v>
      </c>
      <c r="G6737" s="126" t="s">
        <v>16157</v>
      </c>
      <c r="H6737" s="255">
        <v>2</v>
      </c>
      <c r="I6737" s="369">
        <v>1</v>
      </c>
      <c r="J6737" s="371" t="s">
        <v>286</v>
      </c>
      <c r="K6737" s="369"/>
      <c r="L6737" s="129"/>
      <c r="M6737" s="378"/>
      <c r="O6737" s="129"/>
      <c r="P6737" s="129"/>
      <c r="Q6737" s="372"/>
      <c r="R6737" s="129"/>
      <c r="S6737" s="129"/>
      <c r="T6737" s="129"/>
      <c r="W6737" s="129" t="s">
        <v>4876</v>
      </c>
      <c r="X6737" s="337" t="b">
        <f t="shared" si="144"/>
        <v>0</v>
      </c>
    </row>
    <row r="6738" spans="1:24" s="386" customFormat="1" ht="12" customHeight="1" outlineLevel="1">
      <c r="A6738" s="382"/>
      <c r="B6738" s="118" t="s">
        <v>12</v>
      </c>
      <c r="C6738" s="334" t="s">
        <v>16167</v>
      </c>
      <c r="D6738" s="124" t="s">
        <v>16168</v>
      </c>
      <c r="E6738" s="125"/>
      <c r="F6738" s="118" t="s">
        <v>1192</v>
      </c>
      <c r="G6738" s="126" t="s">
        <v>16157</v>
      </c>
      <c r="H6738" s="255">
        <v>2</v>
      </c>
      <c r="I6738" s="369">
        <v>1</v>
      </c>
      <c r="J6738" s="371" t="s">
        <v>310</v>
      </c>
      <c r="K6738" s="369"/>
      <c r="L6738" s="129"/>
      <c r="M6738" s="378"/>
      <c r="O6738" s="129"/>
      <c r="P6738" s="129"/>
      <c r="Q6738" s="372"/>
      <c r="R6738" s="129"/>
      <c r="S6738" s="129"/>
      <c r="T6738" s="129"/>
      <c r="W6738" s="129" t="s">
        <v>286</v>
      </c>
      <c r="X6738" s="337" t="b">
        <f t="shared" si="144"/>
        <v>0</v>
      </c>
    </row>
    <row r="6739" spans="1:24" s="386" customFormat="1" ht="12" customHeight="1" outlineLevel="1">
      <c r="A6739" s="382"/>
      <c r="B6739" s="118" t="s">
        <v>12</v>
      </c>
      <c r="C6739" s="334" t="s">
        <v>16169</v>
      </c>
      <c r="D6739" s="124" t="s">
        <v>16170</v>
      </c>
      <c r="E6739" s="125"/>
      <c r="F6739" s="118" t="s">
        <v>1192</v>
      </c>
      <c r="G6739" s="126" t="s">
        <v>16157</v>
      </c>
      <c r="H6739" s="255">
        <v>2</v>
      </c>
      <c r="I6739" s="369">
        <v>1</v>
      </c>
      <c r="J6739" s="371" t="s">
        <v>286</v>
      </c>
      <c r="K6739" s="369"/>
      <c r="L6739" s="129"/>
      <c r="M6739" s="378"/>
      <c r="O6739" s="129"/>
      <c r="P6739" s="129"/>
      <c r="Q6739" s="372"/>
      <c r="R6739" s="129"/>
      <c r="S6739" s="129"/>
      <c r="T6739" s="129"/>
      <c r="W6739" s="129" t="s">
        <v>4876</v>
      </c>
      <c r="X6739" s="337" t="b">
        <f t="shared" si="144"/>
        <v>0</v>
      </c>
    </row>
    <row r="6740" spans="1:24" s="386" customFormat="1" ht="12" customHeight="1" outlineLevel="1">
      <c r="A6740" s="382"/>
      <c r="B6740" s="118" t="s">
        <v>12</v>
      </c>
      <c r="C6740" s="334" t="s">
        <v>16171</v>
      </c>
      <c r="D6740" s="124" t="s">
        <v>16172</v>
      </c>
      <c r="E6740" s="125"/>
      <c r="F6740" s="118" t="s">
        <v>1192</v>
      </c>
      <c r="G6740" s="126" t="s">
        <v>16157</v>
      </c>
      <c r="H6740" s="255">
        <v>2</v>
      </c>
      <c r="I6740" s="369">
        <v>1</v>
      </c>
      <c r="J6740" s="371" t="s">
        <v>310</v>
      </c>
      <c r="K6740" s="369"/>
      <c r="L6740" s="129"/>
      <c r="M6740" s="378"/>
      <c r="O6740" s="129"/>
      <c r="P6740" s="129"/>
      <c r="Q6740" s="372"/>
      <c r="R6740" s="129"/>
      <c r="S6740" s="129"/>
      <c r="T6740" s="129"/>
      <c r="W6740" s="129" t="s">
        <v>286</v>
      </c>
      <c r="X6740" s="337" t="b">
        <f t="shared" si="144"/>
        <v>0</v>
      </c>
    </row>
    <row r="6741" spans="1:24" s="386" customFormat="1" ht="12" customHeight="1" outlineLevel="1">
      <c r="A6741" s="382"/>
      <c r="B6741" s="118" t="s">
        <v>12</v>
      </c>
      <c r="C6741" s="334" t="s">
        <v>16173</v>
      </c>
      <c r="D6741" s="124" t="s">
        <v>16174</v>
      </c>
      <c r="E6741" s="125"/>
      <c r="F6741" s="118" t="s">
        <v>1192</v>
      </c>
      <c r="G6741" s="126" t="s">
        <v>16157</v>
      </c>
      <c r="H6741" s="255">
        <v>2</v>
      </c>
      <c r="I6741" s="369">
        <v>1</v>
      </c>
      <c r="J6741" s="371" t="s">
        <v>286</v>
      </c>
      <c r="K6741" s="369"/>
      <c r="L6741" s="129"/>
      <c r="M6741" s="378"/>
      <c r="O6741" s="129"/>
      <c r="P6741" s="129"/>
      <c r="Q6741" s="372"/>
      <c r="R6741" s="129"/>
      <c r="S6741" s="129"/>
      <c r="T6741" s="129"/>
      <c r="W6741" s="129" t="s">
        <v>4876</v>
      </c>
      <c r="X6741" s="337" t="b">
        <f t="shared" si="144"/>
        <v>0</v>
      </c>
    </row>
    <row r="6742" spans="1:24" s="386" customFormat="1" ht="12" customHeight="1" outlineLevel="1">
      <c r="A6742" s="382"/>
      <c r="B6742" s="118" t="s">
        <v>12</v>
      </c>
      <c r="C6742" s="334" t="s">
        <v>16175</v>
      </c>
      <c r="D6742" s="124" t="s">
        <v>16176</v>
      </c>
      <c r="E6742" s="125"/>
      <c r="F6742" s="118" t="s">
        <v>1192</v>
      </c>
      <c r="G6742" s="126" t="s">
        <v>16157</v>
      </c>
      <c r="H6742" s="255">
        <v>2</v>
      </c>
      <c r="I6742" s="369">
        <v>1</v>
      </c>
      <c r="J6742" s="371" t="s">
        <v>286</v>
      </c>
      <c r="K6742" s="369"/>
      <c r="L6742" s="129"/>
      <c r="M6742" s="378"/>
      <c r="O6742" s="129"/>
      <c r="P6742" s="129"/>
      <c r="Q6742" s="372"/>
      <c r="R6742" s="129"/>
      <c r="S6742" s="129"/>
      <c r="T6742" s="129"/>
      <c r="W6742" s="129" t="s">
        <v>4876</v>
      </c>
      <c r="X6742" s="337" t="b">
        <f t="shared" si="144"/>
        <v>0</v>
      </c>
    </row>
    <row r="6743" spans="1:24" s="386" customFormat="1" ht="12" customHeight="1" outlineLevel="1">
      <c r="A6743" s="382"/>
      <c r="B6743" s="118" t="s">
        <v>12</v>
      </c>
      <c r="C6743" s="334" t="s">
        <v>16177</v>
      </c>
      <c r="D6743" s="124" t="s">
        <v>16178</v>
      </c>
      <c r="E6743" s="125"/>
      <c r="F6743" s="118" t="s">
        <v>1192</v>
      </c>
      <c r="G6743" s="126" t="s">
        <v>16157</v>
      </c>
      <c r="H6743" s="255">
        <v>2</v>
      </c>
      <c r="I6743" s="369">
        <v>1</v>
      </c>
      <c r="J6743" s="371" t="s">
        <v>286</v>
      </c>
      <c r="K6743" s="369"/>
      <c r="L6743" s="129"/>
      <c r="M6743" s="378"/>
      <c r="O6743" s="129"/>
      <c r="P6743" s="129"/>
      <c r="Q6743" s="372"/>
      <c r="R6743" s="129"/>
      <c r="S6743" s="129"/>
      <c r="T6743" s="129"/>
      <c r="W6743" s="129" t="s">
        <v>4876</v>
      </c>
      <c r="X6743" s="337" t="b">
        <f t="shared" si="144"/>
        <v>0</v>
      </c>
    </row>
    <row r="6744" spans="1:24" s="386" customFormat="1" ht="12" customHeight="1" outlineLevel="1">
      <c r="A6744" s="382"/>
      <c r="B6744" s="118" t="s">
        <v>12</v>
      </c>
      <c r="C6744" s="334" t="s">
        <v>16179</v>
      </c>
      <c r="D6744" s="124" t="s">
        <v>16180</v>
      </c>
      <c r="E6744" s="125"/>
      <c r="F6744" s="118" t="s">
        <v>1192</v>
      </c>
      <c r="G6744" s="126" t="s">
        <v>16157</v>
      </c>
      <c r="H6744" s="255">
        <v>2</v>
      </c>
      <c r="I6744" s="369">
        <v>1</v>
      </c>
      <c r="J6744" s="371" t="s">
        <v>310</v>
      </c>
      <c r="K6744" s="369"/>
      <c r="L6744" s="129"/>
      <c r="M6744" s="378"/>
      <c r="O6744" s="129"/>
      <c r="P6744" s="129"/>
      <c r="Q6744" s="372"/>
      <c r="R6744" s="129"/>
      <c r="S6744" s="129"/>
      <c r="T6744" s="129"/>
      <c r="W6744" s="129" t="s">
        <v>286</v>
      </c>
      <c r="X6744" s="337" t="b">
        <f t="shared" si="144"/>
        <v>0</v>
      </c>
    </row>
    <row r="6745" spans="1:24" s="386" customFormat="1" ht="12" customHeight="1" outlineLevel="1">
      <c r="A6745" s="382"/>
      <c r="B6745" s="118" t="s">
        <v>12</v>
      </c>
      <c r="C6745" s="334" t="s">
        <v>16181</v>
      </c>
      <c r="D6745" s="124" t="s">
        <v>16182</v>
      </c>
      <c r="E6745" s="125"/>
      <c r="F6745" s="118" t="s">
        <v>1192</v>
      </c>
      <c r="G6745" s="126" t="s">
        <v>16157</v>
      </c>
      <c r="H6745" s="255">
        <v>2</v>
      </c>
      <c r="I6745" s="369">
        <v>1</v>
      </c>
      <c r="J6745" s="371" t="s">
        <v>286</v>
      </c>
      <c r="K6745" s="369"/>
      <c r="L6745" s="129"/>
      <c r="M6745" s="378"/>
      <c r="O6745" s="129"/>
      <c r="P6745" s="129"/>
      <c r="Q6745" s="372"/>
      <c r="R6745" s="129"/>
      <c r="S6745" s="129"/>
      <c r="T6745" s="129"/>
      <c r="W6745" s="129" t="s">
        <v>4876</v>
      </c>
      <c r="X6745" s="337" t="b">
        <f t="shared" si="144"/>
        <v>0</v>
      </c>
    </row>
    <row r="6746" spans="1:24" s="386" customFormat="1" ht="12" customHeight="1" outlineLevel="1">
      <c r="A6746" s="382"/>
      <c r="B6746" s="118" t="s">
        <v>12</v>
      </c>
      <c r="C6746" s="334" t="s">
        <v>16183</v>
      </c>
      <c r="D6746" s="124" t="s">
        <v>16184</v>
      </c>
      <c r="E6746" s="125"/>
      <c r="F6746" s="118" t="s">
        <v>1192</v>
      </c>
      <c r="G6746" s="126" t="s">
        <v>16157</v>
      </c>
      <c r="H6746" s="255">
        <v>2</v>
      </c>
      <c r="I6746" s="369">
        <v>1</v>
      </c>
      <c r="J6746" s="371" t="s">
        <v>286</v>
      </c>
      <c r="K6746" s="369"/>
      <c r="L6746" s="129"/>
      <c r="M6746" s="378"/>
      <c r="O6746" s="129"/>
      <c r="P6746" s="129"/>
      <c r="Q6746" s="372"/>
      <c r="R6746" s="129"/>
      <c r="S6746" s="129"/>
      <c r="T6746" s="129"/>
      <c r="W6746" s="129" t="s">
        <v>4876</v>
      </c>
      <c r="X6746" s="337" t="b">
        <f t="shared" si="144"/>
        <v>0</v>
      </c>
    </row>
    <row r="6747" spans="1:24" s="386" customFormat="1" ht="12" customHeight="1" outlineLevel="1">
      <c r="A6747" s="382"/>
      <c r="B6747" s="118" t="s">
        <v>12</v>
      </c>
      <c r="C6747" s="334" t="s">
        <v>16185</v>
      </c>
      <c r="D6747" s="124" t="s">
        <v>16186</v>
      </c>
      <c r="E6747" s="125"/>
      <c r="F6747" s="118" t="s">
        <v>1192</v>
      </c>
      <c r="G6747" s="126" t="s">
        <v>16157</v>
      </c>
      <c r="H6747" s="255">
        <v>2</v>
      </c>
      <c r="I6747" s="369">
        <v>1</v>
      </c>
      <c r="J6747" s="371" t="s">
        <v>307</v>
      </c>
      <c r="K6747" s="369"/>
      <c r="L6747" s="129"/>
      <c r="M6747" s="378"/>
      <c r="O6747" s="129"/>
      <c r="P6747" s="129"/>
      <c r="Q6747" s="372"/>
      <c r="R6747" s="129"/>
      <c r="S6747" s="129"/>
      <c r="T6747" s="129"/>
      <c r="W6747" s="129" t="s">
        <v>310</v>
      </c>
      <c r="X6747" s="337" t="b">
        <f t="shared" si="144"/>
        <v>0</v>
      </c>
    </row>
    <row r="6748" spans="1:24" s="386" customFormat="1" ht="12" customHeight="1" outlineLevel="1">
      <c r="A6748" s="382"/>
      <c r="B6748" s="118" t="s">
        <v>12</v>
      </c>
      <c r="C6748" s="334" t="s">
        <v>16187</v>
      </c>
      <c r="D6748" s="124" t="s">
        <v>16188</v>
      </c>
      <c r="E6748" s="125"/>
      <c r="F6748" s="118" t="s">
        <v>1192</v>
      </c>
      <c r="G6748" s="126" t="s">
        <v>16157</v>
      </c>
      <c r="H6748" s="255">
        <v>2</v>
      </c>
      <c r="I6748" s="369">
        <v>1</v>
      </c>
      <c r="J6748" s="371" t="s">
        <v>325</v>
      </c>
      <c r="K6748" s="369"/>
      <c r="L6748" s="129"/>
      <c r="M6748" s="378"/>
      <c r="O6748" s="129"/>
      <c r="P6748" s="129"/>
      <c r="Q6748" s="372"/>
      <c r="R6748" s="129"/>
      <c r="S6748" s="129"/>
      <c r="T6748" s="129"/>
      <c r="W6748" s="129" t="s">
        <v>307</v>
      </c>
      <c r="X6748" s="337" t="b">
        <f t="shared" si="144"/>
        <v>0</v>
      </c>
    </row>
    <row r="6749" spans="1:24" s="386" customFormat="1" ht="12" customHeight="1" outlineLevel="1">
      <c r="A6749" s="382"/>
      <c r="B6749" s="118" t="s">
        <v>12</v>
      </c>
      <c r="C6749" s="334" t="s">
        <v>16189</v>
      </c>
      <c r="D6749" s="124" t="s">
        <v>16190</v>
      </c>
      <c r="E6749" s="125"/>
      <c r="F6749" s="118" t="s">
        <v>1192</v>
      </c>
      <c r="G6749" s="126" t="s">
        <v>16157</v>
      </c>
      <c r="H6749" s="255">
        <v>2</v>
      </c>
      <c r="I6749" s="369">
        <v>1</v>
      </c>
      <c r="J6749" s="371" t="s">
        <v>307</v>
      </c>
      <c r="K6749" s="369"/>
      <c r="L6749" s="129"/>
      <c r="M6749" s="378"/>
      <c r="O6749" s="129"/>
      <c r="P6749" s="129"/>
      <c r="Q6749" s="372"/>
      <c r="R6749" s="129"/>
      <c r="S6749" s="129"/>
      <c r="T6749" s="129"/>
      <c r="W6749" s="129" t="s">
        <v>310</v>
      </c>
      <c r="X6749" s="337" t="b">
        <f t="shared" si="144"/>
        <v>0</v>
      </c>
    </row>
    <row r="6750" spans="1:24" s="386" customFormat="1" ht="12" customHeight="1" outlineLevel="1">
      <c r="A6750" s="382"/>
      <c r="B6750" s="118" t="s">
        <v>12</v>
      </c>
      <c r="C6750" s="334" t="s">
        <v>16191</v>
      </c>
      <c r="D6750" s="124" t="s">
        <v>16192</v>
      </c>
      <c r="E6750" s="125"/>
      <c r="F6750" s="118" t="s">
        <v>1192</v>
      </c>
      <c r="G6750" s="126" t="s">
        <v>16157</v>
      </c>
      <c r="H6750" s="255">
        <v>2</v>
      </c>
      <c r="I6750" s="369">
        <v>1</v>
      </c>
      <c r="J6750" s="371" t="s">
        <v>307</v>
      </c>
      <c r="K6750" s="369"/>
      <c r="L6750" s="129"/>
      <c r="M6750" s="378"/>
      <c r="O6750" s="129"/>
      <c r="P6750" s="129"/>
      <c r="Q6750" s="372"/>
      <c r="R6750" s="129"/>
      <c r="S6750" s="129"/>
      <c r="T6750" s="129"/>
      <c r="W6750" s="129" t="s">
        <v>310</v>
      </c>
      <c r="X6750" s="337" t="b">
        <f t="shared" si="144"/>
        <v>0</v>
      </c>
    </row>
    <row r="6751" spans="1:24" s="386" customFormat="1" ht="12" customHeight="1" outlineLevel="1">
      <c r="A6751" s="382"/>
      <c r="B6751" s="118" t="s">
        <v>12</v>
      </c>
      <c r="C6751" s="334" t="s">
        <v>16193</v>
      </c>
      <c r="D6751" s="124" t="s">
        <v>16194</v>
      </c>
      <c r="E6751" s="125"/>
      <c r="F6751" s="118" t="s">
        <v>1192</v>
      </c>
      <c r="G6751" s="126" t="s">
        <v>16157</v>
      </c>
      <c r="H6751" s="255">
        <v>2</v>
      </c>
      <c r="I6751" s="369">
        <v>1</v>
      </c>
      <c r="J6751" s="371" t="s">
        <v>286</v>
      </c>
      <c r="K6751" s="369"/>
      <c r="L6751" s="129"/>
      <c r="M6751" s="378"/>
      <c r="O6751" s="129"/>
      <c r="P6751" s="129"/>
      <c r="Q6751" s="372"/>
      <c r="R6751" s="129"/>
      <c r="S6751" s="129"/>
      <c r="T6751" s="129"/>
      <c r="W6751" s="129" t="s">
        <v>4876</v>
      </c>
      <c r="X6751" s="337" t="b">
        <f t="shared" si="144"/>
        <v>0</v>
      </c>
    </row>
    <row r="6752" spans="1:24" s="386" customFormat="1" ht="12" customHeight="1" outlineLevel="1">
      <c r="A6752" s="382"/>
      <c r="B6752" s="118" t="s">
        <v>12</v>
      </c>
      <c r="C6752" s="334" t="s">
        <v>16195</v>
      </c>
      <c r="D6752" s="124" t="s">
        <v>16196</v>
      </c>
      <c r="E6752" s="125"/>
      <c r="F6752" s="118" t="s">
        <v>1192</v>
      </c>
      <c r="G6752" s="126" t="s">
        <v>16157</v>
      </c>
      <c r="H6752" s="255">
        <v>2</v>
      </c>
      <c r="I6752" s="369">
        <v>1</v>
      </c>
      <c r="J6752" s="371" t="s">
        <v>310</v>
      </c>
      <c r="K6752" s="369"/>
      <c r="L6752" s="129"/>
      <c r="M6752" s="378"/>
      <c r="O6752" s="129"/>
      <c r="P6752" s="129"/>
      <c r="Q6752" s="372"/>
      <c r="R6752" s="129"/>
      <c r="S6752" s="129"/>
      <c r="T6752" s="129"/>
      <c r="W6752" s="129" t="s">
        <v>286</v>
      </c>
      <c r="X6752" s="337" t="b">
        <f t="shared" si="144"/>
        <v>0</v>
      </c>
    </row>
    <row r="6753" spans="1:24" s="386" customFormat="1" ht="12" customHeight="1" outlineLevel="1">
      <c r="A6753" s="382"/>
      <c r="B6753" s="118" t="s">
        <v>12</v>
      </c>
      <c r="C6753" s="334" t="s">
        <v>16197</v>
      </c>
      <c r="D6753" s="124" t="s">
        <v>16198</v>
      </c>
      <c r="E6753" s="125"/>
      <c r="F6753" s="118" t="s">
        <v>1192</v>
      </c>
      <c r="G6753" s="126" t="s">
        <v>16157</v>
      </c>
      <c r="H6753" s="255">
        <v>2</v>
      </c>
      <c r="I6753" s="369">
        <v>1</v>
      </c>
      <c r="J6753" s="371" t="s">
        <v>286</v>
      </c>
      <c r="K6753" s="369"/>
      <c r="L6753" s="129"/>
      <c r="M6753" s="378"/>
      <c r="O6753" s="129"/>
      <c r="P6753" s="129"/>
      <c r="Q6753" s="372"/>
      <c r="R6753" s="129"/>
      <c r="S6753" s="129"/>
      <c r="T6753" s="129"/>
      <c r="W6753" s="129" t="s">
        <v>4876</v>
      </c>
      <c r="X6753" s="337" t="b">
        <f t="shared" si="144"/>
        <v>0</v>
      </c>
    </row>
    <row r="6754" spans="1:24" s="386" customFormat="1" ht="12" customHeight="1" outlineLevel="1">
      <c r="A6754" s="382"/>
      <c r="B6754" s="118" t="s">
        <v>12</v>
      </c>
      <c r="C6754" s="334" t="s">
        <v>16199</v>
      </c>
      <c r="D6754" s="124" t="s">
        <v>16200</v>
      </c>
      <c r="E6754" s="125"/>
      <c r="F6754" s="118" t="s">
        <v>1192</v>
      </c>
      <c r="G6754" s="126" t="s">
        <v>16157</v>
      </c>
      <c r="H6754" s="255">
        <v>2</v>
      </c>
      <c r="I6754" s="369">
        <v>1</v>
      </c>
      <c r="J6754" s="371" t="s">
        <v>286</v>
      </c>
      <c r="K6754" s="369"/>
      <c r="L6754" s="129"/>
      <c r="M6754" s="378"/>
      <c r="O6754" s="129"/>
      <c r="P6754" s="129"/>
      <c r="Q6754" s="372"/>
      <c r="R6754" s="129"/>
      <c r="S6754" s="129"/>
      <c r="T6754" s="129"/>
      <c r="W6754" s="129" t="s">
        <v>4876</v>
      </c>
      <c r="X6754" s="337" t="b">
        <f t="shared" si="144"/>
        <v>0</v>
      </c>
    </row>
    <row r="6755" spans="1:24" s="386" customFormat="1" ht="12" customHeight="1" outlineLevel="1">
      <c r="A6755" s="382"/>
      <c r="B6755" s="118" t="s">
        <v>12</v>
      </c>
      <c r="C6755" s="334" t="s">
        <v>16201</v>
      </c>
      <c r="D6755" s="124" t="s">
        <v>16202</v>
      </c>
      <c r="E6755" s="125"/>
      <c r="F6755" s="118" t="s">
        <v>1192</v>
      </c>
      <c r="G6755" s="126" t="s">
        <v>16157</v>
      </c>
      <c r="H6755" s="255">
        <v>2</v>
      </c>
      <c r="I6755" s="369">
        <v>1</v>
      </c>
      <c r="J6755" s="371" t="s">
        <v>286</v>
      </c>
      <c r="K6755" s="369"/>
      <c r="L6755" s="129"/>
      <c r="M6755" s="378"/>
      <c r="O6755" s="129"/>
      <c r="P6755" s="129"/>
      <c r="Q6755" s="372"/>
      <c r="R6755" s="129"/>
      <c r="S6755" s="129"/>
      <c r="T6755" s="129"/>
      <c r="W6755" s="129" t="s">
        <v>4876</v>
      </c>
      <c r="X6755" s="337" t="b">
        <f t="shared" si="144"/>
        <v>0</v>
      </c>
    </row>
    <row r="6756" spans="1:24" s="386" customFormat="1" ht="12" customHeight="1" outlineLevel="1">
      <c r="A6756" s="382"/>
      <c r="B6756" s="118" t="s">
        <v>12</v>
      </c>
      <c r="C6756" s="334" t="s">
        <v>16203</v>
      </c>
      <c r="D6756" s="124" t="s">
        <v>16204</v>
      </c>
      <c r="E6756" s="125"/>
      <c r="F6756" s="118" t="s">
        <v>1192</v>
      </c>
      <c r="G6756" s="126" t="s">
        <v>16157</v>
      </c>
      <c r="H6756" s="255">
        <v>2</v>
      </c>
      <c r="I6756" s="369">
        <v>1</v>
      </c>
      <c r="J6756" s="371" t="s">
        <v>286</v>
      </c>
      <c r="K6756" s="369"/>
      <c r="L6756" s="129"/>
      <c r="M6756" s="378"/>
      <c r="O6756" s="129"/>
      <c r="P6756" s="129"/>
      <c r="Q6756" s="372"/>
      <c r="R6756" s="129"/>
      <c r="S6756" s="129"/>
      <c r="T6756" s="129"/>
      <c r="W6756" s="129" t="s">
        <v>4876</v>
      </c>
      <c r="X6756" s="337" t="b">
        <f t="shared" si="144"/>
        <v>0</v>
      </c>
    </row>
    <row r="6757" spans="1:24" s="386" customFormat="1" ht="12" customHeight="1" outlineLevel="1">
      <c r="A6757" s="382"/>
      <c r="B6757" s="118" t="s">
        <v>12</v>
      </c>
      <c r="C6757" s="334" t="s">
        <v>16205</v>
      </c>
      <c r="D6757" s="124" t="s">
        <v>16206</v>
      </c>
      <c r="E6757" s="125"/>
      <c r="F6757" s="118" t="s">
        <v>1192</v>
      </c>
      <c r="G6757" s="126" t="s">
        <v>16157</v>
      </c>
      <c r="H6757" s="255">
        <v>2</v>
      </c>
      <c r="I6757" s="369">
        <v>1</v>
      </c>
      <c r="J6757" s="371" t="s">
        <v>286</v>
      </c>
      <c r="K6757" s="369"/>
      <c r="L6757" s="129"/>
      <c r="M6757" s="378"/>
      <c r="O6757" s="129"/>
      <c r="P6757" s="129"/>
      <c r="Q6757" s="372"/>
      <c r="R6757" s="129"/>
      <c r="S6757" s="129"/>
      <c r="T6757" s="129"/>
      <c r="W6757" s="129" t="s">
        <v>4876</v>
      </c>
      <c r="X6757" s="337" t="b">
        <f t="shared" si="144"/>
        <v>0</v>
      </c>
    </row>
    <row r="6758" spans="1:24" s="386" customFormat="1" ht="12" customHeight="1" outlineLevel="1">
      <c r="A6758" s="382"/>
      <c r="B6758" s="118" t="s">
        <v>12</v>
      </c>
      <c r="C6758" s="334" t="s">
        <v>16207</v>
      </c>
      <c r="D6758" s="124" t="s">
        <v>16208</v>
      </c>
      <c r="E6758" s="125"/>
      <c r="F6758" s="118" t="s">
        <v>1192</v>
      </c>
      <c r="G6758" s="126" t="s">
        <v>16157</v>
      </c>
      <c r="H6758" s="255">
        <v>2</v>
      </c>
      <c r="I6758" s="369">
        <v>1</v>
      </c>
      <c r="J6758" s="371" t="s">
        <v>286</v>
      </c>
      <c r="K6758" s="369"/>
      <c r="L6758" s="129"/>
      <c r="M6758" s="378"/>
      <c r="O6758" s="129"/>
      <c r="P6758" s="129"/>
      <c r="Q6758" s="372"/>
      <c r="R6758" s="129"/>
      <c r="S6758" s="129"/>
      <c r="T6758" s="129"/>
      <c r="W6758" s="129" t="s">
        <v>4876</v>
      </c>
      <c r="X6758" s="337" t="b">
        <f t="shared" si="144"/>
        <v>0</v>
      </c>
    </row>
    <row r="6759" spans="1:24" s="386" customFormat="1" ht="12" customHeight="1" outlineLevel="1">
      <c r="A6759" s="382"/>
      <c r="B6759" s="118" t="s">
        <v>12</v>
      </c>
      <c r="C6759" s="334" t="s">
        <v>16209</v>
      </c>
      <c r="D6759" s="124" t="s">
        <v>16210</v>
      </c>
      <c r="E6759" s="125"/>
      <c r="F6759" s="118" t="s">
        <v>1192</v>
      </c>
      <c r="G6759" s="126" t="s">
        <v>16157</v>
      </c>
      <c r="H6759" s="255">
        <v>2</v>
      </c>
      <c r="I6759" s="369">
        <v>1</v>
      </c>
      <c r="J6759" s="371" t="s">
        <v>310</v>
      </c>
      <c r="K6759" s="369"/>
      <c r="L6759" s="129"/>
      <c r="M6759" s="378"/>
      <c r="O6759" s="129"/>
      <c r="P6759" s="129"/>
      <c r="Q6759" s="372"/>
      <c r="R6759" s="129"/>
      <c r="S6759" s="129"/>
      <c r="T6759" s="129"/>
      <c r="W6759" s="129" t="s">
        <v>286</v>
      </c>
      <c r="X6759" s="337" t="b">
        <f t="shared" si="144"/>
        <v>0</v>
      </c>
    </row>
    <row r="6760" spans="1:24" s="386" customFormat="1" ht="12" customHeight="1" outlineLevel="1">
      <c r="A6760" s="382"/>
      <c r="B6760" s="118" t="s">
        <v>12</v>
      </c>
      <c r="C6760" s="334" t="s">
        <v>16211</v>
      </c>
      <c r="D6760" s="124" t="s">
        <v>16212</v>
      </c>
      <c r="E6760" s="125"/>
      <c r="F6760" s="118" t="s">
        <v>1192</v>
      </c>
      <c r="G6760" s="126" t="s">
        <v>16157</v>
      </c>
      <c r="H6760" s="255">
        <v>2</v>
      </c>
      <c r="I6760" s="369">
        <v>1</v>
      </c>
      <c r="J6760" s="371" t="s">
        <v>310</v>
      </c>
      <c r="K6760" s="369"/>
      <c r="L6760" s="129"/>
      <c r="M6760" s="378"/>
      <c r="O6760" s="129"/>
      <c r="P6760" s="129"/>
      <c r="Q6760" s="372"/>
      <c r="R6760" s="129"/>
      <c r="S6760" s="129"/>
      <c r="T6760" s="129"/>
      <c r="W6760" s="129" t="s">
        <v>286</v>
      </c>
      <c r="X6760" s="337" t="b">
        <f t="shared" si="144"/>
        <v>0</v>
      </c>
    </row>
    <row r="6761" spans="1:24" s="386" customFormat="1" ht="12" customHeight="1" outlineLevel="1">
      <c r="A6761" s="382"/>
      <c r="B6761" s="118" t="s">
        <v>12</v>
      </c>
      <c r="C6761" s="334" t="s">
        <v>16213</v>
      </c>
      <c r="D6761" s="124" t="s">
        <v>16214</v>
      </c>
      <c r="E6761" s="125"/>
      <c r="F6761" s="118" t="s">
        <v>1192</v>
      </c>
      <c r="G6761" s="126" t="s">
        <v>16157</v>
      </c>
      <c r="H6761" s="255">
        <v>2</v>
      </c>
      <c r="I6761" s="369">
        <v>1</v>
      </c>
      <c r="J6761" s="371" t="s">
        <v>286</v>
      </c>
      <c r="K6761" s="369"/>
      <c r="L6761" s="129"/>
      <c r="M6761" s="378"/>
      <c r="O6761" s="129"/>
      <c r="P6761" s="129"/>
      <c r="Q6761" s="372"/>
      <c r="R6761" s="129"/>
      <c r="S6761" s="129"/>
      <c r="T6761" s="129"/>
      <c r="W6761" s="129" t="s">
        <v>4876</v>
      </c>
      <c r="X6761" s="337" t="b">
        <f t="shared" si="144"/>
        <v>0</v>
      </c>
    </row>
    <row r="6762" spans="1:24" s="386" customFormat="1" ht="12" customHeight="1" outlineLevel="1">
      <c r="A6762" s="382"/>
      <c r="B6762" s="118" t="s">
        <v>12</v>
      </c>
      <c r="C6762" s="334" t="s">
        <v>16215</v>
      </c>
      <c r="D6762" s="124" t="s">
        <v>16216</v>
      </c>
      <c r="E6762" s="125"/>
      <c r="F6762" s="118" t="s">
        <v>1192</v>
      </c>
      <c r="G6762" s="126" t="s">
        <v>16157</v>
      </c>
      <c r="H6762" s="255">
        <v>2</v>
      </c>
      <c r="I6762" s="369">
        <v>1</v>
      </c>
      <c r="J6762" s="371" t="s">
        <v>286</v>
      </c>
      <c r="K6762" s="369"/>
      <c r="L6762" s="129"/>
      <c r="M6762" s="378"/>
      <c r="O6762" s="129"/>
      <c r="P6762" s="129"/>
      <c r="Q6762" s="372"/>
      <c r="R6762" s="129"/>
      <c r="S6762" s="129"/>
      <c r="T6762" s="129"/>
      <c r="W6762" s="129" t="s">
        <v>4876</v>
      </c>
      <c r="X6762" s="337" t="b">
        <f t="shared" si="144"/>
        <v>0</v>
      </c>
    </row>
    <row r="6763" spans="1:24" s="386" customFormat="1" ht="12" customHeight="1" outlineLevel="1">
      <c r="A6763" s="382"/>
      <c r="B6763" s="118" t="s">
        <v>12</v>
      </c>
      <c r="C6763" s="334" t="s">
        <v>16217</v>
      </c>
      <c r="D6763" s="124" t="s">
        <v>16218</v>
      </c>
      <c r="E6763" s="125"/>
      <c r="F6763" s="118" t="s">
        <v>1192</v>
      </c>
      <c r="G6763" s="126" t="s">
        <v>16157</v>
      </c>
      <c r="H6763" s="255">
        <v>2</v>
      </c>
      <c r="I6763" s="369">
        <v>1</v>
      </c>
      <c r="J6763" s="371" t="s">
        <v>286</v>
      </c>
      <c r="K6763" s="369"/>
      <c r="L6763" s="129"/>
      <c r="M6763" s="378"/>
      <c r="O6763" s="129"/>
      <c r="P6763" s="129"/>
      <c r="Q6763" s="372"/>
      <c r="R6763" s="129"/>
      <c r="S6763" s="129"/>
      <c r="T6763" s="129"/>
      <c r="W6763" s="129" t="s">
        <v>4876</v>
      </c>
      <c r="X6763" s="337" t="b">
        <f t="shared" si="144"/>
        <v>0</v>
      </c>
    </row>
    <row r="6764" spans="1:24" s="386" customFormat="1" ht="12" customHeight="1" outlineLevel="1">
      <c r="A6764" s="382"/>
      <c r="B6764" s="118" t="s">
        <v>12</v>
      </c>
      <c r="C6764" s="334" t="s">
        <v>16219</v>
      </c>
      <c r="D6764" s="124" t="s">
        <v>16220</v>
      </c>
      <c r="E6764" s="125"/>
      <c r="F6764" s="118" t="s">
        <v>1192</v>
      </c>
      <c r="G6764" s="126" t="s">
        <v>16157</v>
      </c>
      <c r="H6764" s="255">
        <v>2</v>
      </c>
      <c r="I6764" s="369">
        <v>1</v>
      </c>
      <c r="J6764" s="371" t="s">
        <v>286</v>
      </c>
      <c r="K6764" s="369"/>
      <c r="L6764" s="129"/>
      <c r="M6764" s="378"/>
      <c r="O6764" s="129"/>
      <c r="P6764" s="129"/>
      <c r="Q6764" s="372"/>
      <c r="R6764" s="129"/>
      <c r="S6764" s="129"/>
      <c r="T6764" s="129"/>
      <c r="W6764" s="129" t="s">
        <v>4876</v>
      </c>
      <c r="X6764" s="337" t="b">
        <f t="shared" si="144"/>
        <v>0</v>
      </c>
    </row>
    <row r="6765" spans="1:24" s="386" customFormat="1" ht="12" customHeight="1" outlineLevel="1">
      <c r="A6765" s="382"/>
      <c r="B6765" s="118" t="s">
        <v>12</v>
      </c>
      <c r="C6765" s="334" t="s">
        <v>16221</v>
      </c>
      <c r="D6765" s="124" t="s">
        <v>16222</v>
      </c>
      <c r="E6765" s="125"/>
      <c r="F6765" s="118" t="s">
        <v>1192</v>
      </c>
      <c r="G6765" s="126" t="s">
        <v>16157</v>
      </c>
      <c r="H6765" s="255">
        <v>2</v>
      </c>
      <c r="I6765" s="369">
        <v>1</v>
      </c>
      <c r="J6765" s="371" t="s">
        <v>310</v>
      </c>
      <c r="K6765" s="369"/>
      <c r="L6765" s="129"/>
      <c r="M6765" s="378"/>
      <c r="O6765" s="129"/>
      <c r="P6765" s="129"/>
      <c r="Q6765" s="372"/>
      <c r="R6765" s="129"/>
      <c r="S6765" s="129"/>
      <c r="T6765" s="129"/>
      <c r="W6765" s="129" t="s">
        <v>286</v>
      </c>
      <c r="X6765" s="337" t="b">
        <f t="shared" si="144"/>
        <v>0</v>
      </c>
    </row>
    <row r="6766" spans="1:24" s="386" customFormat="1" ht="12" customHeight="1" outlineLevel="1">
      <c r="A6766" s="382"/>
      <c r="B6766" s="118" t="s">
        <v>12</v>
      </c>
      <c r="C6766" s="334" t="s">
        <v>16223</v>
      </c>
      <c r="D6766" s="124" t="s">
        <v>16224</v>
      </c>
      <c r="E6766" s="125"/>
      <c r="F6766" s="118" t="s">
        <v>1192</v>
      </c>
      <c r="G6766" s="126" t="s">
        <v>16157</v>
      </c>
      <c r="H6766" s="255">
        <v>2</v>
      </c>
      <c r="I6766" s="369">
        <v>1</v>
      </c>
      <c r="J6766" s="371" t="s">
        <v>310</v>
      </c>
      <c r="K6766" s="369"/>
      <c r="L6766" s="129"/>
      <c r="M6766" s="378"/>
      <c r="O6766" s="129"/>
      <c r="P6766" s="129"/>
      <c r="Q6766" s="372"/>
      <c r="R6766" s="129"/>
      <c r="S6766" s="129"/>
      <c r="T6766" s="129"/>
      <c r="W6766" s="129" t="s">
        <v>286</v>
      </c>
      <c r="X6766" s="337" t="b">
        <f t="shared" ref="X6766:X6819" si="145">W6766=J6766</f>
        <v>0</v>
      </c>
    </row>
    <row r="6767" spans="1:24" s="386" customFormat="1" ht="12" customHeight="1" outlineLevel="1">
      <c r="A6767" s="382"/>
      <c r="B6767" s="118" t="s">
        <v>12</v>
      </c>
      <c r="C6767" s="334" t="s">
        <v>16225</v>
      </c>
      <c r="D6767" s="124" t="s">
        <v>16226</v>
      </c>
      <c r="E6767" s="125"/>
      <c r="F6767" s="118" t="s">
        <v>1192</v>
      </c>
      <c r="G6767" s="126" t="s">
        <v>16157</v>
      </c>
      <c r="H6767" s="255">
        <v>2</v>
      </c>
      <c r="I6767" s="369">
        <v>1</v>
      </c>
      <c r="J6767" s="371" t="s">
        <v>286</v>
      </c>
      <c r="K6767" s="369"/>
      <c r="L6767" s="129"/>
      <c r="M6767" s="378"/>
      <c r="O6767" s="129"/>
      <c r="P6767" s="129"/>
      <c r="Q6767" s="372"/>
      <c r="R6767" s="129"/>
      <c r="S6767" s="129"/>
      <c r="T6767" s="129"/>
      <c r="W6767" s="129" t="s">
        <v>4876</v>
      </c>
      <c r="X6767" s="337" t="b">
        <f t="shared" si="145"/>
        <v>0</v>
      </c>
    </row>
    <row r="6768" spans="1:24" s="386" customFormat="1" ht="12" customHeight="1" outlineLevel="1">
      <c r="A6768" s="382"/>
      <c r="B6768" s="118" t="s">
        <v>12</v>
      </c>
      <c r="C6768" s="334" t="s">
        <v>16227</v>
      </c>
      <c r="D6768" s="124" t="s">
        <v>16228</v>
      </c>
      <c r="E6768" s="125"/>
      <c r="F6768" s="118" t="s">
        <v>1192</v>
      </c>
      <c r="G6768" s="126" t="s">
        <v>16157</v>
      </c>
      <c r="H6768" s="255">
        <v>2</v>
      </c>
      <c r="I6768" s="369">
        <v>1</v>
      </c>
      <c r="J6768" s="371" t="s">
        <v>286</v>
      </c>
      <c r="K6768" s="369"/>
      <c r="L6768" s="129"/>
      <c r="M6768" s="378"/>
      <c r="O6768" s="129"/>
      <c r="P6768" s="129"/>
      <c r="Q6768" s="372"/>
      <c r="R6768" s="129"/>
      <c r="S6768" s="129"/>
      <c r="T6768" s="129"/>
      <c r="W6768" s="129" t="s">
        <v>4876</v>
      </c>
      <c r="X6768" s="337" t="b">
        <f t="shared" si="145"/>
        <v>0</v>
      </c>
    </row>
    <row r="6769" spans="1:24" s="386" customFormat="1" ht="12" customHeight="1" outlineLevel="1">
      <c r="A6769" s="382"/>
      <c r="B6769" s="118" t="s">
        <v>12</v>
      </c>
      <c r="C6769" s="334" t="s">
        <v>16229</v>
      </c>
      <c r="D6769" s="124" t="s">
        <v>16230</v>
      </c>
      <c r="E6769" s="125"/>
      <c r="F6769" s="118" t="s">
        <v>1192</v>
      </c>
      <c r="G6769" s="126" t="s">
        <v>16157</v>
      </c>
      <c r="H6769" s="255">
        <v>2</v>
      </c>
      <c r="I6769" s="369">
        <v>1</v>
      </c>
      <c r="J6769" s="371" t="s">
        <v>286</v>
      </c>
      <c r="K6769" s="369"/>
      <c r="L6769" s="129"/>
      <c r="M6769" s="378"/>
      <c r="O6769" s="129"/>
      <c r="P6769" s="129"/>
      <c r="Q6769" s="372"/>
      <c r="R6769" s="129"/>
      <c r="S6769" s="129"/>
      <c r="T6769" s="129"/>
      <c r="W6769" s="129" t="s">
        <v>4876</v>
      </c>
      <c r="X6769" s="337" t="b">
        <f t="shared" si="145"/>
        <v>0</v>
      </c>
    </row>
    <row r="6770" spans="1:24" s="386" customFormat="1" ht="12" customHeight="1" outlineLevel="1">
      <c r="A6770" s="382"/>
      <c r="B6770" s="118" t="s">
        <v>12</v>
      </c>
      <c r="C6770" s="334" t="s">
        <v>16231</v>
      </c>
      <c r="D6770" s="124" t="s">
        <v>16232</v>
      </c>
      <c r="E6770" s="125"/>
      <c r="F6770" s="118" t="s">
        <v>1192</v>
      </c>
      <c r="G6770" s="126" t="s">
        <v>16157</v>
      </c>
      <c r="H6770" s="255">
        <v>2</v>
      </c>
      <c r="I6770" s="369">
        <v>1</v>
      </c>
      <c r="J6770" s="371" t="s">
        <v>286</v>
      </c>
      <c r="K6770" s="369"/>
      <c r="L6770" s="129"/>
      <c r="M6770" s="378"/>
      <c r="O6770" s="129"/>
      <c r="P6770" s="129"/>
      <c r="Q6770" s="372"/>
      <c r="R6770" s="129"/>
      <c r="S6770" s="129"/>
      <c r="T6770" s="129"/>
      <c r="W6770" s="129" t="s">
        <v>4876</v>
      </c>
      <c r="X6770" s="337" t="b">
        <f t="shared" si="145"/>
        <v>0</v>
      </c>
    </row>
    <row r="6771" spans="1:24" s="386" customFormat="1" ht="12" customHeight="1" outlineLevel="1">
      <c r="A6771" s="382"/>
      <c r="B6771" s="118" t="s">
        <v>12</v>
      </c>
      <c r="C6771" s="334" t="s">
        <v>16233</v>
      </c>
      <c r="D6771" s="124" t="s">
        <v>16234</v>
      </c>
      <c r="E6771" s="125"/>
      <c r="F6771" s="118" t="s">
        <v>1192</v>
      </c>
      <c r="G6771" s="126" t="s">
        <v>16157</v>
      </c>
      <c r="H6771" s="255">
        <v>2</v>
      </c>
      <c r="I6771" s="369">
        <v>1</v>
      </c>
      <c r="J6771" s="371" t="s">
        <v>310</v>
      </c>
      <c r="K6771" s="369"/>
      <c r="L6771" s="129"/>
      <c r="M6771" s="378"/>
      <c r="O6771" s="129"/>
      <c r="P6771" s="129"/>
      <c r="Q6771" s="372"/>
      <c r="R6771" s="129"/>
      <c r="S6771" s="129"/>
      <c r="T6771" s="129"/>
      <c r="W6771" s="129" t="s">
        <v>286</v>
      </c>
      <c r="X6771" s="337" t="b">
        <f t="shared" si="145"/>
        <v>0</v>
      </c>
    </row>
    <row r="6772" spans="1:24" s="386" customFormat="1" ht="12" customHeight="1" outlineLevel="1">
      <c r="A6772" s="382"/>
      <c r="B6772" s="118" t="s">
        <v>12</v>
      </c>
      <c r="C6772" s="334" t="s">
        <v>16235</v>
      </c>
      <c r="D6772" s="124" t="s">
        <v>16236</v>
      </c>
      <c r="E6772" s="125"/>
      <c r="F6772" s="118" t="s">
        <v>1192</v>
      </c>
      <c r="G6772" s="126" t="s">
        <v>16157</v>
      </c>
      <c r="H6772" s="255">
        <v>2</v>
      </c>
      <c r="I6772" s="369">
        <v>1</v>
      </c>
      <c r="J6772" s="371" t="s">
        <v>286</v>
      </c>
      <c r="K6772" s="369"/>
      <c r="L6772" s="129"/>
      <c r="M6772" s="378"/>
      <c r="O6772" s="129"/>
      <c r="P6772" s="129"/>
      <c r="Q6772" s="372"/>
      <c r="R6772" s="129"/>
      <c r="S6772" s="129"/>
      <c r="T6772" s="129"/>
      <c r="W6772" s="129" t="s">
        <v>4876</v>
      </c>
      <c r="X6772" s="337" t="b">
        <f t="shared" si="145"/>
        <v>0</v>
      </c>
    </row>
    <row r="6773" spans="1:24" s="386" customFormat="1" ht="12" customHeight="1" outlineLevel="1">
      <c r="A6773" s="382"/>
      <c r="B6773" s="118" t="s">
        <v>12</v>
      </c>
      <c r="C6773" s="334" t="s">
        <v>16237</v>
      </c>
      <c r="D6773" s="124" t="s">
        <v>16238</v>
      </c>
      <c r="E6773" s="125"/>
      <c r="F6773" s="118" t="s">
        <v>1192</v>
      </c>
      <c r="G6773" s="126" t="s">
        <v>16157</v>
      </c>
      <c r="H6773" s="255">
        <v>2</v>
      </c>
      <c r="I6773" s="369">
        <v>1</v>
      </c>
      <c r="J6773" s="371" t="s">
        <v>310</v>
      </c>
      <c r="K6773" s="369"/>
      <c r="L6773" s="129"/>
      <c r="M6773" s="378"/>
      <c r="O6773" s="129"/>
      <c r="P6773" s="129"/>
      <c r="Q6773" s="372"/>
      <c r="R6773" s="129"/>
      <c r="S6773" s="129"/>
      <c r="T6773" s="129"/>
      <c r="W6773" s="129" t="s">
        <v>286</v>
      </c>
      <c r="X6773" s="337" t="b">
        <f t="shared" si="145"/>
        <v>0</v>
      </c>
    </row>
    <row r="6774" spans="1:24" s="386" customFormat="1" ht="12" customHeight="1" outlineLevel="1">
      <c r="A6774" s="382"/>
      <c r="B6774" s="118" t="s">
        <v>12</v>
      </c>
      <c r="C6774" s="334" t="s">
        <v>16239</v>
      </c>
      <c r="D6774" s="124" t="s">
        <v>16240</v>
      </c>
      <c r="E6774" s="125"/>
      <c r="F6774" s="118" t="s">
        <v>1192</v>
      </c>
      <c r="G6774" s="126" t="s">
        <v>16157</v>
      </c>
      <c r="H6774" s="255">
        <v>2</v>
      </c>
      <c r="I6774" s="369">
        <v>1</v>
      </c>
      <c r="J6774" s="371" t="s">
        <v>310</v>
      </c>
      <c r="K6774" s="369"/>
      <c r="L6774" s="129"/>
      <c r="M6774" s="378"/>
      <c r="O6774" s="129"/>
      <c r="P6774" s="129"/>
      <c r="Q6774" s="372"/>
      <c r="R6774" s="129"/>
      <c r="S6774" s="129"/>
      <c r="T6774" s="129"/>
      <c r="W6774" s="129" t="s">
        <v>286</v>
      </c>
      <c r="X6774" s="337" t="b">
        <f t="shared" si="145"/>
        <v>0</v>
      </c>
    </row>
    <row r="6775" spans="1:24" s="386" customFormat="1" ht="12" customHeight="1" outlineLevel="1">
      <c r="A6775" s="382"/>
      <c r="B6775" s="118" t="s">
        <v>12</v>
      </c>
      <c r="C6775" s="334" t="s">
        <v>16241</v>
      </c>
      <c r="D6775" s="124" t="s">
        <v>16242</v>
      </c>
      <c r="E6775" s="125"/>
      <c r="F6775" s="118" t="s">
        <v>1192</v>
      </c>
      <c r="G6775" s="126" t="s">
        <v>16157</v>
      </c>
      <c r="H6775" s="255">
        <v>2</v>
      </c>
      <c r="I6775" s="369">
        <v>1</v>
      </c>
      <c r="J6775" s="371" t="s">
        <v>310</v>
      </c>
      <c r="K6775" s="369"/>
      <c r="L6775" s="129"/>
      <c r="M6775" s="378"/>
      <c r="O6775" s="129"/>
      <c r="P6775" s="129"/>
      <c r="Q6775" s="372"/>
      <c r="R6775" s="129"/>
      <c r="S6775" s="129"/>
      <c r="T6775" s="129"/>
      <c r="W6775" s="129" t="s">
        <v>286</v>
      </c>
      <c r="X6775" s="337" t="b">
        <f t="shared" si="145"/>
        <v>0</v>
      </c>
    </row>
    <row r="6776" spans="1:24" s="386" customFormat="1" ht="12" customHeight="1" outlineLevel="1">
      <c r="A6776" s="382"/>
      <c r="B6776" s="118" t="s">
        <v>12</v>
      </c>
      <c r="C6776" s="334" t="s">
        <v>16243</v>
      </c>
      <c r="D6776" s="124" t="s">
        <v>16244</v>
      </c>
      <c r="E6776" s="125"/>
      <c r="F6776" s="118" t="s">
        <v>1192</v>
      </c>
      <c r="G6776" s="126" t="s">
        <v>16157</v>
      </c>
      <c r="H6776" s="255">
        <v>2</v>
      </c>
      <c r="I6776" s="369">
        <v>1</v>
      </c>
      <c r="J6776" s="371" t="s">
        <v>307</v>
      </c>
      <c r="K6776" s="369"/>
      <c r="L6776" s="129"/>
      <c r="M6776" s="378"/>
      <c r="O6776" s="129"/>
      <c r="P6776" s="129"/>
      <c r="Q6776" s="372"/>
      <c r="R6776" s="129"/>
      <c r="S6776" s="129"/>
      <c r="T6776" s="129"/>
      <c r="W6776" s="129" t="s">
        <v>286</v>
      </c>
      <c r="X6776" s="337" t="b">
        <f t="shared" si="145"/>
        <v>0</v>
      </c>
    </row>
    <row r="6777" spans="1:24" s="386" customFormat="1" ht="12" customHeight="1" outlineLevel="1">
      <c r="A6777" s="382"/>
      <c r="B6777" s="118" t="s">
        <v>12</v>
      </c>
      <c r="C6777" s="334" t="s">
        <v>16245</v>
      </c>
      <c r="D6777" s="124" t="s">
        <v>16246</v>
      </c>
      <c r="E6777" s="125"/>
      <c r="F6777" s="118" t="s">
        <v>1192</v>
      </c>
      <c r="G6777" s="126" t="s">
        <v>16157</v>
      </c>
      <c r="H6777" s="255">
        <v>2</v>
      </c>
      <c r="I6777" s="369">
        <v>1</v>
      </c>
      <c r="J6777" s="371" t="s">
        <v>310</v>
      </c>
      <c r="K6777" s="369"/>
      <c r="L6777" s="129"/>
      <c r="M6777" s="378"/>
      <c r="O6777" s="129"/>
      <c r="P6777" s="129"/>
      <c r="Q6777" s="372"/>
      <c r="R6777" s="129"/>
      <c r="S6777" s="129"/>
      <c r="T6777" s="129"/>
      <c r="W6777" s="129" t="s">
        <v>4876</v>
      </c>
      <c r="X6777" s="337" t="b">
        <f t="shared" si="145"/>
        <v>0</v>
      </c>
    </row>
    <row r="6778" spans="1:24" s="386" customFormat="1" ht="12" customHeight="1" outlineLevel="1">
      <c r="A6778" s="382"/>
      <c r="B6778" s="118" t="s">
        <v>12</v>
      </c>
      <c r="C6778" s="334" t="s">
        <v>16247</v>
      </c>
      <c r="D6778" s="124" t="s">
        <v>16248</v>
      </c>
      <c r="E6778" s="125"/>
      <c r="F6778" s="118" t="s">
        <v>1192</v>
      </c>
      <c r="G6778" s="126" t="s">
        <v>16157</v>
      </c>
      <c r="H6778" s="255">
        <v>2</v>
      </c>
      <c r="I6778" s="369">
        <v>1</v>
      </c>
      <c r="J6778" s="371" t="s">
        <v>307</v>
      </c>
      <c r="K6778" s="369"/>
      <c r="L6778" s="129"/>
      <c r="M6778" s="378"/>
      <c r="O6778" s="129"/>
      <c r="P6778" s="129"/>
      <c r="Q6778" s="372"/>
      <c r="R6778" s="129"/>
      <c r="S6778" s="129"/>
      <c r="T6778" s="129"/>
      <c r="W6778" s="129" t="s">
        <v>286</v>
      </c>
      <c r="X6778" s="337" t="b">
        <f t="shared" si="145"/>
        <v>0</v>
      </c>
    </row>
    <row r="6779" spans="1:24" s="386" customFormat="1" ht="12" customHeight="1" outlineLevel="1">
      <c r="A6779" s="382"/>
      <c r="B6779" s="118" t="s">
        <v>12</v>
      </c>
      <c r="C6779" s="334" t="s">
        <v>16249</v>
      </c>
      <c r="D6779" s="124" t="s">
        <v>16250</v>
      </c>
      <c r="E6779" s="125"/>
      <c r="F6779" s="118" t="s">
        <v>1192</v>
      </c>
      <c r="G6779" s="126" t="s">
        <v>16157</v>
      </c>
      <c r="H6779" s="255">
        <v>2</v>
      </c>
      <c r="I6779" s="369">
        <v>1</v>
      </c>
      <c r="J6779" s="371" t="s">
        <v>307</v>
      </c>
      <c r="K6779" s="369"/>
      <c r="L6779" s="129"/>
      <c r="M6779" s="378"/>
      <c r="O6779" s="129"/>
      <c r="P6779" s="129"/>
      <c r="Q6779" s="372"/>
      <c r="R6779" s="129"/>
      <c r="S6779" s="129"/>
      <c r="T6779" s="129"/>
      <c r="W6779" s="129" t="s">
        <v>286</v>
      </c>
      <c r="X6779" s="337" t="b">
        <f t="shared" si="145"/>
        <v>0</v>
      </c>
    </row>
    <row r="6780" spans="1:24" s="386" customFormat="1" ht="12" customHeight="1" outlineLevel="1">
      <c r="A6780" s="382"/>
      <c r="B6780" s="118" t="s">
        <v>12</v>
      </c>
      <c r="C6780" s="334" t="s">
        <v>16251</v>
      </c>
      <c r="D6780" s="124" t="s">
        <v>16252</v>
      </c>
      <c r="E6780" s="125"/>
      <c r="F6780" s="118" t="s">
        <v>1192</v>
      </c>
      <c r="G6780" s="126" t="s">
        <v>16157</v>
      </c>
      <c r="H6780" s="255">
        <v>2</v>
      </c>
      <c r="I6780" s="369">
        <v>1</v>
      </c>
      <c r="J6780" s="371" t="s">
        <v>307</v>
      </c>
      <c r="K6780" s="369"/>
      <c r="L6780" s="129"/>
      <c r="M6780" s="378"/>
      <c r="O6780" s="129"/>
      <c r="P6780" s="129"/>
      <c r="Q6780" s="372"/>
      <c r="R6780" s="129"/>
      <c r="S6780" s="129"/>
      <c r="T6780" s="129"/>
      <c r="W6780" s="129" t="s">
        <v>286</v>
      </c>
      <c r="X6780" s="337" t="b">
        <f t="shared" si="145"/>
        <v>0</v>
      </c>
    </row>
    <row r="6781" spans="1:24" s="386" customFormat="1" ht="12" customHeight="1" outlineLevel="1">
      <c r="A6781" s="382"/>
      <c r="B6781" s="118" t="s">
        <v>12</v>
      </c>
      <c r="C6781" s="334" t="s">
        <v>16253</v>
      </c>
      <c r="D6781" s="124" t="s">
        <v>16254</v>
      </c>
      <c r="E6781" s="125"/>
      <c r="F6781" s="118" t="s">
        <v>1192</v>
      </c>
      <c r="G6781" s="126" t="s">
        <v>16157</v>
      </c>
      <c r="H6781" s="255">
        <v>2</v>
      </c>
      <c r="I6781" s="369">
        <v>1</v>
      </c>
      <c r="J6781" s="371" t="s">
        <v>307</v>
      </c>
      <c r="K6781" s="369"/>
      <c r="L6781" s="129"/>
      <c r="M6781" s="378"/>
      <c r="O6781" s="129"/>
      <c r="P6781" s="129"/>
      <c r="Q6781" s="372"/>
      <c r="R6781" s="129"/>
      <c r="S6781" s="129"/>
      <c r="T6781" s="129"/>
      <c r="W6781" s="129" t="s">
        <v>286</v>
      </c>
      <c r="X6781" s="337" t="b">
        <f t="shared" si="145"/>
        <v>0</v>
      </c>
    </row>
    <row r="6782" spans="1:24" s="386" customFormat="1" ht="12" customHeight="1" outlineLevel="1">
      <c r="A6782" s="382"/>
      <c r="B6782" s="118" t="s">
        <v>12</v>
      </c>
      <c r="C6782" s="334" t="s">
        <v>16255</v>
      </c>
      <c r="D6782" s="124" t="s">
        <v>16256</v>
      </c>
      <c r="E6782" s="125"/>
      <c r="F6782" s="118" t="s">
        <v>1192</v>
      </c>
      <c r="G6782" s="126" t="s">
        <v>16157</v>
      </c>
      <c r="H6782" s="255">
        <v>2</v>
      </c>
      <c r="I6782" s="369">
        <v>1</v>
      </c>
      <c r="J6782" s="371" t="s">
        <v>307</v>
      </c>
      <c r="K6782" s="369"/>
      <c r="L6782" s="129"/>
      <c r="M6782" s="378"/>
      <c r="O6782" s="129"/>
      <c r="P6782" s="129"/>
      <c r="Q6782" s="372"/>
      <c r="R6782" s="129"/>
      <c r="S6782" s="129"/>
      <c r="T6782" s="129"/>
      <c r="W6782" s="129" t="s">
        <v>286</v>
      </c>
      <c r="X6782" s="337" t="b">
        <f t="shared" si="145"/>
        <v>0</v>
      </c>
    </row>
    <row r="6783" spans="1:24" s="386" customFormat="1" ht="12" customHeight="1" outlineLevel="1">
      <c r="A6783" s="382"/>
      <c r="B6783" s="118" t="s">
        <v>12</v>
      </c>
      <c r="C6783" s="334" t="s">
        <v>16257</v>
      </c>
      <c r="D6783" s="124" t="s">
        <v>16258</v>
      </c>
      <c r="E6783" s="125"/>
      <c r="F6783" s="118" t="s">
        <v>1192</v>
      </c>
      <c r="G6783" s="126" t="s">
        <v>16157</v>
      </c>
      <c r="H6783" s="255">
        <v>2</v>
      </c>
      <c r="I6783" s="369">
        <v>1</v>
      </c>
      <c r="J6783" s="371" t="s">
        <v>307</v>
      </c>
      <c r="K6783" s="369"/>
      <c r="L6783" s="129"/>
      <c r="M6783" s="378"/>
      <c r="O6783" s="129"/>
      <c r="P6783" s="129"/>
      <c r="Q6783" s="372"/>
      <c r="R6783" s="129"/>
      <c r="S6783" s="129"/>
      <c r="T6783" s="129"/>
      <c r="W6783" s="129" t="s">
        <v>286</v>
      </c>
      <c r="X6783" s="337" t="b">
        <f t="shared" si="145"/>
        <v>0</v>
      </c>
    </row>
    <row r="6784" spans="1:24" s="386" customFormat="1" ht="12" customHeight="1" outlineLevel="1">
      <c r="A6784" s="382"/>
      <c r="B6784" s="118" t="s">
        <v>12</v>
      </c>
      <c r="C6784" s="334" t="s">
        <v>16259</v>
      </c>
      <c r="D6784" s="124" t="s">
        <v>16260</v>
      </c>
      <c r="E6784" s="125"/>
      <c r="F6784" s="118" t="s">
        <v>1192</v>
      </c>
      <c r="G6784" s="126" t="s">
        <v>16157</v>
      </c>
      <c r="H6784" s="255">
        <v>2</v>
      </c>
      <c r="I6784" s="369">
        <v>1</v>
      </c>
      <c r="J6784" s="371" t="s">
        <v>307</v>
      </c>
      <c r="K6784" s="369"/>
      <c r="L6784" s="129"/>
      <c r="M6784" s="378"/>
      <c r="O6784" s="129"/>
      <c r="P6784" s="129"/>
      <c r="Q6784" s="372"/>
      <c r="R6784" s="129"/>
      <c r="S6784" s="129"/>
      <c r="T6784" s="129"/>
      <c r="W6784" s="129" t="s">
        <v>286</v>
      </c>
      <c r="X6784" s="337" t="b">
        <f t="shared" si="145"/>
        <v>0</v>
      </c>
    </row>
    <row r="6785" spans="1:24" s="386" customFormat="1" ht="12" customHeight="1" outlineLevel="1">
      <c r="A6785" s="382"/>
      <c r="B6785" s="118" t="s">
        <v>12</v>
      </c>
      <c r="C6785" s="334" t="s">
        <v>16261</v>
      </c>
      <c r="D6785" s="124" t="s">
        <v>16262</v>
      </c>
      <c r="E6785" s="125"/>
      <c r="F6785" s="118" t="s">
        <v>1192</v>
      </c>
      <c r="G6785" s="126" t="s">
        <v>16157</v>
      </c>
      <c r="H6785" s="255">
        <v>2</v>
      </c>
      <c r="I6785" s="369">
        <v>1</v>
      </c>
      <c r="J6785" s="371" t="s">
        <v>307</v>
      </c>
      <c r="K6785" s="369"/>
      <c r="L6785" s="129"/>
      <c r="M6785" s="378"/>
      <c r="O6785" s="129"/>
      <c r="P6785" s="129"/>
      <c r="Q6785" s="372"/>
      <c r="R6785" s="129"/>
      <c r="S6785" s="129"/>
      <c r="T6785" s="129"/>
      <c r="W6785" s="129" t="s">
        <v>286</v>
      </c>
      <c r="X6785" s="337" t="b">
        <f t="shared" si="145"/>
        <v>0</v>
      </c>
    </row>
    <row r="6786" spans="1:24" s="386" customFormat="1" ht="12" customHeight="1" outlineLevel="1">
      <c r="A6786" s="382"/>
      <c r="B6786" s="118" t="s">
        <v>12</v>
      </c>
      <c r="C6786" s="334" t="s">
        <v>16263</v>
      </c>
      <c r="D6786" s="124" t="s">
        <v>16264</v>
      </c>
      <c r="E6786" s="125"/>
      <c r="F6786" s="118" t="s">
        <v>1192</v>
      </c>
      <c r="G6786" s="126" t="s">
        <v>16157</v>
      </c>
      <c r="H6786" s="255">
        <v>2</v>
      </c>
      <c r="I6786" s="369"/>
      <c r="J6786" s="371" t="s">
        <v>286</v>
      </c>
      <c r="K6786" s="369">
        <v>1</v>
      </c>
      <c r="L6786" s="129">
        <v>1</v>
      </c>
      <c r="M6786" s="378"/>
      <c r="O6786" s="129"/>
      <c r="P6786" s="129">
        <v>1</v>
      </c>
      <c r="Q6786" s="129">
        <v>1</v>
      </c>
      <c r="R6786" s="129"/>
      <c r="S6786" s="129"/>
      <c r="T6786" s="129"/>
      <c r="W6786" s="129" t="s">
        <v>4876</v>
      </c>
      <c r="X6786" s="337" t="b">
        <f t="shared" si="145"/>
        <v>0</v>
      </c>
    </row>
    <row r="6787" spans="1:24" s="386" customFormat="1" ht="12" customHeight="1" outlineLevel="1">
      <c r="A6787" s="382"/>
      <c r="B6787" s="118" t="s">
        <v>12</v>
      </c>
      <c r="C6787" s="334" t="s">
        <v>16265</v>
      </c>
      <c r="D6787" s="124" t="s">
        <v>16266</v>
      </c>
      <c r="E6787" s="125"/>
      <c r="F6787" s="118" t="s">
        <v>1192</v>
      </c>
      <c r="G6787" s="126" t="s">
        <v>16157</v>
      </c>
      <c r="H6787" s="255">
        <v>2</v>
      </c>
      <c r="I6787" s="369"/>
      <c r="J6787" s="371" t="s">
        <v>286</v>
      </c>
      <c r="K6787" s="369">
        <v>1</v>
      </c>
      <c r="L6787" s="129">
        <v>1</v>
      </c>
      <c r="M6787" s="378"/>
      <c r="O6787" s="129"/>
      <c r="P6787" s="129">
        <v>1</v>
      </c>
      <c r="Q6787" s="129">
        <v>1</v>
      </c>
      <c r="R6787" s="129"/>
      <c r="S6787" s="129"/>
      <c r="T6787" s="129"/>
      <c r="W6787" s="129" t="s">
        <v>4876</v>
      </c>
      <c r="X6787" s="337" t="b">
        <f t="shared" si="145"/>
        <v>0</v>
      </c>
    </row>
    <row r="6788" spans="1:24" s="386" customFormat="1" ht="12" customHeight="1" outlineLevel="1">
      <c r="A6788" s="382"/>
      <c r="B6788" s="118" t="s">
        <v>12</v>
      </c>
      <c r="C6788" s="334" t="s">
        <v>16267</v>
      </c>
      <c r="D6788" s="124" t="s">
        <v>16268</v>
      </c>
      <c r="E6788" s="125"/>
      <c r="F6788" s="118" t="s">
        <v>1192</v>
      </c>
      <c r="G6788" s="126" t="s">
        <v>16157</v>
      </c>
      <c r="H6788" s="255">
        <v>2</v>
      </c>
      <c r="I6788" s="369"/>
      <c r="J6788" s="371" t="s">
        <v>286</v>
      </c>
      <c r="K6788" s="369">
        <v>1</v>
      </c>
      <c r="L6788" s="129">
        <v>1</v>
      </c>
      <c r="M6788" s="378"/>
      <c r="O6788" s="129"/>
      <c r="P6788" s="129">
        <v>1</v>
      </c>
      <c r="Q6788" s="129">
        <v>1</v>
      </c>
      <c r="R6788" s="129"/>
      <c r="S6788" s="129"/>
      <c r="T6788" s="129"/>
      <c r="W6788" s="129" t="s">
        <v>4876</v>
      </c>
      <c r="X6788" s="337" t="b">
        <f t="shared" si="145"/>
        <v>0</v>
      </c>
    </row>
    <row r="6789" spans="1:24" s="386" customFormat="1" ht="12" customHeight="1" outlineLevel="1">
      <c r="A6789" s="382"/>
      <c r="B6789" s="118" t="s">
        <v>12</v>
      </c>
      <c r="C6789" s="334" t="s">
        <v>16269</v>
      </c>
      <c r="D6789" s="124" t="s">
        <v>16270</v>
      </c>
      <c r="E6789" s="125"/>
      <c r="F6789" s="118" t="s">
        <v>1192</v>
      </c>
      <c r="G6789" s="126" t="s">
        <v>16157</v>
      </c>
      <c r="H6789" s="255">
        <v>2</v>
      </c>
      <c r="I6789" s="369"/>
      <c r="J6789" s="371" t="s">
        <v>286</v>
      </c>
      <c r="K6789" s="369">
        <v>1</v>
      </c>
      <c r="L6789" s="129">
        <v>1</v>
      </c>
      <c r="M6789" s="378"/>
      <c r="O6789" s="129"/>
      <c r="P6789" s="129">
        <v>1</v>
      </c>
      <c r="Q6789" s="129">
        <v>1</v>
      </c>
      <c r="R6789" s="129"/>
      <c r="S6789" s="129"/>
      <c r="T6789" s="129"/>
      <c r="W6789" s="129" t="s">
        <v>4876</v>
      </c>
      <c r="X6789" s="337" t="b">
        <f t="shared" si="145"/>
        <v>0</v>
      </c>
    </row>
    <row r="6790" spans="1:24" s="386" customFormat="1" ht="12" customHeight="1" outlineLevel="1">
      <c r="A6790" s="382"/>
      <c r="B6790" s="118" t="s">
        <v>12</v>
      </c>
      <c r="C6790" s="334" t="s">
        <v>16271</v>
      </c>
      <c r="D6790" s="124" t="s">
        <v>16272</v>
      </c>
      <c r="E6790" s="125"/>
      <c r="F6790" s="118" t="s">
        <v>1192</v>
      </c>
      <c r="G6790" s="126" t="s">
        <v>16157</v>
      </c>
      <c r="H6790" s="255">
        <v>2</v>
      </c>
      <c r="I6790" s="369"/>
      <c r="J6790" s="371" t="s">
        <v>286</v>
      </c>
      <c r="K6790" s="369">
        <v>1</v>
      </c>
      <c r="L6790" s="129">
        <v>1</v>
      </c>
      <c r="M6790" s="378"/>
      <c r="O6790" s="129"/>
      <c r="P6790" s="129">
        <v>1</v>
      </c>
      <c r="Q6790" s="129">
        <v>1</v>
      </c>
      <c r="R6790" s="129"/>
      <c r="S6790" s="129"/>
      <c r="T6790" s="129"/>
      <c r="W6790" s="129" t="s">
        <v>4876</v>
      </c>
      <c r="X6790" s="337" t="b">
        <f t="shared" si="145"/>
        <v>0</v>
      </c>
    </row>
    <row r="6791" spans="1:24" s="386" customFormat="1" ht="12" customHeight="1" outlineLevel="1">
      <c r="A6791" s="382"/>
      <c r="B6791" s="118" t="s">
        <v>12</v>
      </c>
      <c r="C6791" s="334" t="s">
        <v>16273</v>
      </c>
      <c r="D6791" s="124" t="s">
        <v>16274</v>
      </c>
      <c r="E6791" s="125"/>
      <c r="F6791" s="118" t="s">
        <v>1192</v>
      </c>
      <c r="G6791" s="126" t="s">
        <v>16157</v>
      </c>
      <c r="H6791" s="255">
        <v>2</v>
      </c>
      <c r="I6791" s="369"/>
      <c r="J6791" s="371" t="s">
        <v>286</v>
      </c>
      <c r="K6791" s="369">
        <v>1</v>
      </c>
      <c r="L6791" s="129">
        <v>1</v>
      </c>
      <c r="M6791" s="378"/>
      <c r="O6791" s="129"/>
      <c r="P6791" s="129">
        <v>1</v>
      </c>
      <c r="Q6791" s="129">
        <v>1</v>
      </c>
      <c r="R6791" s="129"/>
      <c r="S6791" s="129"/>
      <c r="T6791" s="129"/>
      <c r="W6791" s="129" t="s">
        <v>4876</v>
      </c>
      <c r="X6791" s="337" t="b">
        <f t="shared" si="145"/>
        <v>0</v>
      </c>
    </row>
    <row r="6792" spans="1:24" s="386" customFormat="1" ht="12" customHeight="1" outlineLevel="1">
      <c r="A6792" s="382"/>
      <c r="B6792" s="118" t="s">
        <v>12</v>
      </c>
      <c r="C6792" s="334" t="s">
        <v>16275</v>
      </c>
      <c r="D6792" s="124" t="s">
        <v>16276</v>
      </c>
      <c r="E6792" s="125"/>
      <c r="F6792" s="118" t="s">
        <v>1192</v>
      </c>
      <c r="G6792" s="126" t="s">
        <v>16157</v>
      </c>
      <c r="H6792" s="255">
        <v>2</v>
      </c>
      <c r="I6792" s="369"/>
      <c r="J6792" s="371" t="s">
        <v>286</v>
      </c>
      <c r="K6792" s="369">
        <v>1</v>
      </c>
      <c r="L6792" s="129">
        <v>1</v>
      </c>
      <c r="M6792" s="378"/>
      <c r="O6792" s="129"/>
      <c r="P6792" s="129">
        <v>1</v>
      </c>
      <c r="Q6792" s="129">
        <v>1</v>
      </c>
      <c r="R6792" s="129"/>
      <c r="S6792" s="129"/>
      <c r="T6792" s="129"/>
      <c r="W6792" s="129" t="s">
        <v>4876</v>
      </c>
      <c r="X6792" s="337" t="b">
        <f t="shared" si="145"/>
        <v>0</v>
      </c>
    </row>
    <row r="6793" spans="1:24" s="386" customFormat="1" ht="12" customHeight="1" outlineLevel="1">
      <c r="A6793" s="382"/>
      <c r="B6793" s="118" t="s">
        <v>12</v>
      </c>
      <c r="C6793" s="334" t="s">
        <v>16277</v>
      </c>
      <c r="D6793" s="124" t="s">
        <v>16278</v>
      </c>
      <c r="E6793" s="125"/>
      <c r="F6793" s="118" t="s">
        <v>1192</v>
      </c>
      <c r="G6793" s="126" t="s">
        <v>16157</v>
      </c>
      <c r="H6793" s="255">
        <v>2</v>
      </c>
      <c r="I6793" s="369"/>
      <c r="J6793" s="371" t="s">
        <v>286</v>
      </c>
      <c r="K6793" s="369">
        <v>1</v>
      </c>
      <c r="L6793" s="129">
        <v>1</v>
      </c>
      <c r="M6793" s="378"/>
      <c r="O6793" s="129"/>
      <c r="P6793" s="129">
        <v>1</v>
      </c>
      <c r="Q6793" s="129">
        <v>1</v>
      </c>
      <c r="R6793" s="129"/>
      <c r="S6793" s="129"/>
      <c r="T6793" s="129"/>
      <c r="W6793" s="129" t="s">
        <v>4876</v>
      </c>
      <c r="X6793" s="337" t="b">
        <f t="shared" si="145"/>
        <v>0</v>
      </c>
    </row>
    <row r="6794" spans="1:24" s="386" customFormat="1" ht="12" customHeight="1" outlineLevel="1">
      <c r="A6794" s="382"/>
      <c r="B6794" s="118" t="s">
        <v>12</v>
      </c>
      <c r="C6794" s="334" t="s">
        <v>16279</v>
      </c>
      <c r="D6794" s="124" t="s">
        <v>16280</v>
      </c>
      <c r="E6794" s="125"/>
      <c r="F6794" s="118" t="s">
        <v>1192</v>
      </c>
      <c r="G6794" s="126" t="s">
        <v>16157</v>
      </c>
      <c r="H6794" s="255">
        <v>2</v>
      </c>
      <c r="I6794" s="369">
        <v>1</v>
      </c>
      <c r="J6794" s="371" t="s">
        <v>310</v>
      </c>
      <c r="K6794" s="369"/>
      <c r="L6794" s="129"/>
      <c r="M6794" s="378"/>
      <c r="O6794" s="129"/>
      <c r="P6794" s="129"/>
      <c r="Q6794" s="129"/>
      <c r="R6794" s="129"/>
      <c r="S6794" s="129"/>
      <c r="T6794" s="129"/>
      <c r="W6794" s="129" t="s">
        <v>286</v>
      </c>
      <c r="X6794" s="337" t="b">
        <f t="shared" si="145"/>
        <v>0</v>
      </c>
    </row>
    <row r="6795" spans="1:24" s="386" customFormat="1" ht="12" customHeight="1" outlineLevel="1">
      <c r="A6795" s="382"/>
      <c r="B6795" s="118" t="s">
        <v>12</v>
      </c>
      <c r="C6795" s="334" t="s">
        <v>16281</v>
      </c>
      <c r="D6795" s="124" t="s">
        <v>16282</v>
      </c>
      <c r="E6795" s="125"/>
      <c r="F6795" s="118" t="s">
        <v>1192</v>
      </c>
      <c r="G6795" s="126" t="s">
        <v>16157</v>
      </c>
      <c r="H6795" s="255">
        <v>2</v>
      </c>
      <c r="I6795" s="369">
        <v>1</v>
      </c>
      <c r="J6795" s="371" t="s">
        <v>310</v>
      </c>
      <c r="K6795" s="369"/>
      <c r="L6795" s="129"/>
      <c r="M6795" s="378"/>
      <c r="O6795" s="129"/>
      <c r="P6795" s="129"/>
      <c r="Q6795" s="129"/>
      <c r="R6795" s="129"/>
      <c r="S6795" s="129"/>
      <c r="T6795" s="129"/>
      <c r="W6795" s="129" t="s">
        <v>286</v>
      </c>
      <c r="X6795" s="337" t="b">
        <f t="shared" si="145"/>
        <v>0</v>
      </c>
    </row>
    <row r="6796" spans="1:24" s="386" customFormat="1" ht="12" customHeight="1" outlineLevel="1">
      <c r="A6796" s="382"/>
      <c r="B6796" s="118" t="s">
        <v>12</v>
      </c>
      <c r="C6796" s="334" t="s">
        <v>16283</v>
      </c>
      <c r="D6796" s="124" t="s">
        <v>16284</v>
      </c>
      <c r="E6796" s="125"/>
      <c r="F6796" s="118" t="s">
        <v>1192</v>
      </c>
      <c r="G6796" s="126" t="s">
        <v>16157</v>
      </c>
      <c r="H6796" s="255">
        <v>2</v>
      </c>
      <c r="I6796" s="369">
        <v>1</v>
      </c>
      <c r="J6796" s="371" t="s">
        <v>310</v>
      </c>
      <c r="K6796" s="369"/>
      <c r="L6796" s="129"/>
      <c r="M6796" s="378"/>
      <c r="O6796" s="129"/>
      <c r="P6796" s="129"/>
      <c r="Q6796" s="129"/>
      <c r="R6796" s="129"/>
      <c r="S6796" s="129"/>
      <c r="T6796" s="129"/>
      <c r="W6796" s="129" t="s">
        <v>286</v>
      </c>
      <c r="X6796" s="337" t="b">
        <f t="shared" si="145"/>
        <v>0</v>
      </c>
    </row>
    <row r="6797" spans="1:24" s="386" customFormat="1" ht="12" customHeight="1" outlineLevel="1">
      <c r="A6797" s="382"/>
      <c r="B6797" s="118" t="s">
        <v>12</v>
      </c>
      <c r="C6797" s="334" t="s">
        <v>16285</v>
      </c>
      <c r="D6797" s="124" t="s">
        <v>16286</v>
      </c>
      <c r="E6797" s="125"/>
      <c r="F6797" s="118" t="s">
        <v>1192</v>
      </c>
      <c r="G6797" s="126" t="s">
        <v>16157</v>
      </c>
      <c r="H6797" s="255">
        <v>2</v>
      </c>
      <c r="I6797" s="369"/>
      <c r="J6797" s="371" t="s">
        <v>310</v>
      </c>
      <c r="K6797" s="369">
        <v>1</v>
      </c>
      <c r="L6797" s="129">
        <v>1</v>
      </c>
      <c r="M6797" s="378"/>
      <c r="O6797" s="129"/>
      <c r="P6797" s="129">
        <v>1</v>
      </c>
      <c r="Q6797" s="129">
        <v>1</v>
      </c>
      <c r="R6797" s="129"/>
      <c r="S6797" s="129"/>
      <c r="T6797" s="129"/>
      <c r="W6797" s="129" t="s">
        <v>4876</v>
      </c>
      <c r="X6797" s="337" t="b">
        <f t="shared" si="145"/>
        <v>0</v>
      </c>
    </row>
    <row r="6798" spans="1:24" s="386" customFormat="1" ht="12" customHeight="1" outlineLevel="1">
      <c r="A6798" s="382"/>
      <c r="B6798" s="118" t="s">
        <v>12</v>
      </c>
      <c r="C6798" s="334" t="s">
        <v>16287</v>
      </c>
      <c r="D6798" s="124" t="s">
        <v>16288</v>
      </c>
      <c r="E6798" s="125"/>
      <c r="F6798" s="118" t="s">
        <v>1192</v>
      </c>
      <c r="G6798" s="126" t="s">
        <v>16157</v>
      </c>
      <c r="H6798" s="255">
        <v>2</v>
      </c>
      <c r="I6798" s="369"/>
      <c r="J6798" s="371" t="s">
        <v>310</v>
      </c>
      <c r="K6798" s="369">
        <v>1</v>
      </c>
      <c r="L6798" s="129">
        <v>1</v>
      </c>
      <c r="M6798" s="378"/>
      <c r="O6798" s="129"/>
      <c r="P6798" s="129">
        <v>1</v>
      </c>
      <c r="Q6798" s="129">
        <v>1</v>
      </c>
      <c r="R6798" s="129"/>
      <c r="S6798" s="129"/>
      <c r="T6798" s="129"/>
      <c r="W6798" s="129" t="s">
        <v>4876</v>
      </c>
      <c r="X6798" s="337" t="b">
        <f t="shared" si="145"/>
        <v>0</v>
      </c>
    </row>
    <row r="6799" spans="1:24" s="386" customFormat="1" ht="12" customHeight="1" outlineLevel="1">
      <c r="A6799" s="382"/>
      <c r="B6799" s="118" t="s">
        <v>12</v>
      </c>
      <c r="C6799" s="334" t="s">
        <v>16289</v>
      </c>
      <c r="D6799" s="124" t="s">
        <v>16290</v>
      </c>
      <c r="E6799" s="125"/>
      <c r="F6799" s="118" t="s">
        <v>1192</v>
      </c>
      <c r="G6799" s="126" t="s">
        <v>16157</v>
      </c>
      <c r="H6799" s="255">
        <v>2</v>
      </c>
      <c r="I6799" s="369"/>
      <c r="J6799" s="371" t="s">
        <v>310</v>
      </c>
      <c r="K6799" s="369">
        <v>1</v>
      </c>
      <c r="L6799" s="129">
        <v>1</v>
      </c>
      <c r="M6799" s="378"/>
      <c r="O6799" s="129"/>
      <c r="P6799" s="129">
        <v>1</v>
      </c>
      <c r="Q6799" s="129">
        <v>1</v>
      </c>
      <c r="R6799" s="129"/>
      <c r="S6799" s="129"/>
      <c r="T6799" s="129"/>
      <c r="W6799" s="129" t="s">
        <v>4876</v>
      </c>
      <c r="X6799" s="337" t="b">
        <f t="shared" si="145"/>
        <v>0</v>
      </c>
    </row>
    <row r="6800" spans="1:24" s="386" customFormat="1" ht="12" customHeight="1" outlineLevel="1">
      <c r="A6800" s="382"/>
      <c r="B6800" s="118" t="s">
        <v>12</v>
      </c>
      <c r="C6800" s="334" t="s">
        <v>16291</v>
      </c>
      <c r="D6800" s="124" t="s">
        <v>16292</v>
      </c>
      <c r="E6800" s="125"/>
      <c r="F6800" s="118" t="s">
        <v>1192</v>
      </c>
      <c r="G6800" s="126" t="s">
        <v>16157</v>
      </c>
      <c r="H6800" s="255">
        <v>2</v>
      </c>
      <c r="I6800" s="369"/>
      <c r="J6800" s="371" t="s">
        <v>286</v>
      </c>
      <c r="K6800" s="369">
        <v>1</v>
      </c>
      <c r="L6800" s="129">
        <v>1</v>
      </c>
      <c r="M6800" s="378"/>
      <c r="O6800" s="129"/>
      <c r="P6800" s="129">
        <v>1</v>
      </c>
      <c r="Q6800" s="129">
        <v>1</v>
      </c>
      <c r="R6800" s="129"/>
      <c r="S6800" s="129"/>
      <c r="T6800" s="129"/>
      <c r="W6800" s="129" t="s">
        <v>4876</v>
      </c>
      <c r="X6800" s="337" t="b">
        <f t="shared" si="145"/>
        <v>0</v>
      </c>
    </row>
    <row r="6801" spans="1:24" s="386" customFormat="1" ht="12" customHeight="1" outlineLevel="1">
      <c r="A6801" s="382"/>
      <c r="B6801" s="118" t="s">
        <v>12</v>
      </c>
      <c r="C6801" s="334" t="s">
        <v>16293</v>
      </c>
      <c r="D6801" s="124" t="s">
        <v>16294</v>
      </c>
      <c r="E6801" s="125"/>
      <c r="F6801" s="118" t="s">
        <v>1192</v>
      </c>
      <c r="G6801" s="126" t="s">
        <v>16157</v>
      </c>
      <c r="H6801" s="255">
        <v>2</v>
      </c>
      <c r="I6801" s="369"/>
      <c r="J6801" s="371" t="s">
        <v>286</v>
      </c>
      <c r="K6801" s="369">
        <v>1</v>
      </c>
      <c r="L6801" s="129">
        <v>1</v>
      </c>
      <c r="M6801" s="378"/>
      <c r="O6801" s="129"/>
      <c r="P6801" s="129">
        <v>1</v>
      </c>
      <c r="Q6801" s="129">
        <v>1</v>
      </c>
      <c r="R6801" s="129"/>
      <c r="S6801" s="129"/>
      <c r="T6801" s="129"/>
      <c r="W6801" s="129" t="s">
        <v>4876</v>
      </c>
      <c r="X6801" s="337" t="b">
        <f t="shared" si="145"/>
        <v>0</v>
      </c>
    </row>
    <row r="6802" spans="1:24" s="386" customFormat="1" ht="12" customHeight="1" outlineLevel="1">
      <c r="A6802" s="382"/>
      <c r="B6802" s="118" t="s">
        <v>12</v>
      </c>
      <c r="C6802" s="334" t="s">
        <v>16295</v>
      </c>
      <c r="D6802" s="124" t="s">
        <v>16296</v>
      </c>
      <c r="E6802" s="125"/>
      <c r="F6802" s="118" t="s">
        <v>1192</v>
      </c>
      <c r="G6802" s="126" t="s">
        <v>16157</v>
      </c>
      <c r="H6802" s="255">
        <v>2</v>
      </c>
      <c r="I6802" s="369"/>
      <c r="J6802" s="371" t="s">
        <v>286</v>
      </c>
      <c r="K6802" s="369">
        <v>1</v>
      </c>
      <c r="L6802" s="129">
        <v>1</v>
      </c>
      <c r="M6802" s="378"/>
      <c r="O6802" s="129"/>
      <c r="P6802" s="129">
        <v>1</v>
      </c>
      <c r="Q6802" s="129">
        <v>1</v>
      </c>
      <c r="R6802" s="129"/>
      <c r="S6802" s="129"/>
      <c r="T6802" s="129"/>
      <c r="W6802" s="129" t="s">
        <v>4876</v>
      </c>
      <c r="X6802" s="337" t="b">
        <f t="shared" si="145"/>
        <v>0</v>
      </c>
    </row>
    <row r="6803" spans="1:24" s="386" customFormat="1" ht="12" customHeight="1" outlineLevel="1">
      <c r="A6803" s="382"/>
      <c r="B6803" s="118" t="s">
        <v>12</v>
      </c>
      <c r="C6803" s="334" t="s">
        <v>16297</v>
      </c>
      <c r="D6803" s="124" t="s">
        <v>16298</v>
      </c>
      <c r="E6803" s="125"/>
      <c r="F6803" s="118" t="s">
        <v>1192</v>
      </c>
      <c r="G6803" s="126" t="s">
        <v>16157</v>
      </c>
      <c r="H6803" s="255">
        <v>2</v>
      </c>
      <c r="I6803" s="369"/>
      <c r="J6803" s="371" t="s">
        <v>286</v>
      </c>
      <c r="K6803" s="369">
        <v>1</v>
      </c>
      <c r="L6803" s="129">
        <v>1</v>
      </c>
      <c r="M6803" s="378"/>
      <c r="O6803" s="129"/>
      <c r="P6803" s="129">
        <v>1</v>
      </c>
      <c r="Q6803" s="129">
        <v>1</v>
      </c>
      <c r="R6803" s="129"/>
      <c r="S6803" s="129"/>
      <c r="T6803" s="129"/>
      <c r="W6803" s="129" t="s">
        <v>4876</v>
      </c>
      <c r="X6803" s="337" t="b">
        <f t="shared" si="145"/>
        <v>0</v>
      </c>
    </row>
    <row r="6804" spans="1:24" s="386" customFormat="1" ht="12" customHeight="1" outlineLevel="1">
      <c r="A6804" s="382"/>
      <c r="B6804" s="118" t="s">
        <v>12</v>
      </c>
      <c r="C6804" s="334" t="s">
        <v>16299</v>
      </c>
      <c r="D6804" s="124" t="s">
        <v>16300</v>
      </c>
      <c r="E6804" s="125"/>
      <c r="F6804" s="118" t="s">
        <v>1192</v>
      </c>
      <c r="G6804" s="126" t="s">
        <v>16157</v>
      </c>
      <c r="H6804" s="255">
        <v>2</v>
      </c>
      <c r="I6804" s="369"/>
      <c r="J6804" s="371" t="s">
        <v>286</v>
      </c>
      <c r="K6804" s="369">
        <v>1</v>
      </c>
      <c r="L6804" s="129">
        <v>1</v>
      </c>
      <c r="M6804" s="378"/>
      <c r="O6804" s="129"/>
      <c r="P6804" s="129">
        <v>1</v>
      </c>
      <c r="Q6804" s="129">
        <v>1</v>
      </c>
      <c r="R6804" s="129"/>
      <c r="S6804" s="129"/>
      <c r="T6804" s="129"/>
      <c r="W6804" s="129" t="s">
        <v>4876</v>
      </c>
      <c r="X6804" s="337" t="b">
        <f t="shared" si="145"/>
        <v>0</v>
      </c>
    </row>
    <row r="6805" spans="1:24" s="386" customFormat="1" ht="12" customHeight="1" outlineLevel="1">
      <c r="A6805" s="382"/>
      <c r="B6805" s="118" t="s">
        <v>12</v>
      </c>
      <c r="C6805" s="334" t="s">
        <v>16301</v>
      </c>
      <c r="D6805" s="124" t="s">
        <v>16302</v>
      </c>
      <c r="E6805" s="125"/>
      <c r="F6805" s="118" t="s">
        <v>1192</v>
      </c>
      <c r="G6805" s="126" t="s">
        <v>16157</v>
      </c>
      <c r="H6805" s="255">
        <v>2</v>
      </c>
      <c r="I6805" s="369"/>
      <c r="J6805" s="371" t="s">
        <v>286</v>
      </c>
      <c r="K6805" s="369">
        <v>1</v>
      </c>
      <c r="L6805" s="129">
        <v>1</v>
      </c>
      <c r="M6805" s="378"/>
      <c r="O6805" s="129"/>
      <c r="P6805" s="129">
        <v>1</v>
      </c>
      <c r="Q6805" s="129">
        <v>1</v>
      </c>
      <c r="R6805" s="129"/>
      <c r="S6805" s="129"/>
      <c r="T6805" s="129"/>
      <c r="W6805" s="129" t="s">
        <v>4876</v>
      </c>
      <c r="X6805" s="337" t="b">
        <f t="shared" si="145"/>
        <v>0</v>
      </c>
    </row>
    <row r="6806" spans="1:24" s="386" customFormat="1" ht="12" customHeight="1" outlineLevel="1">
      <c r="A6806" s="382"/>
      <c r="B6806" s="118" t="s">
        <v>12</v>
      </c>
      <c r="C6806" s="334" t="s">
        <v>16303</v>
      </c>
      <c r="D6806" s="124" t="s">
        <v>16304</v>
      </c>
      <c r="E6806" s="125"/>
      <c r="F6806" s="118" t="s">
        <v>1192</v>
      </c>
      <c r="G6806" s="126" t="s">
        <v>16157</v>
      </c>
      <c r="H6806" s="255">
        <v>2</v>
      </c>
      <c r="I6806" s="369"/>
      <c r="J6806" s="371" t="s">
        <v>286</v>
      </c>
      <c r="K6806" s="369">
        <v>1</v>
      </c>
      <c r="L6806" s="129">
        <v>1</v>
      </c>
      <c r="M6806" s="378"/>
      <c r="O6806" s="129"/>
      <c r="P6806" s="129">
        <v>1</v>
      </c>
      <c r="Q6806" s="129">
        <v>1</v>
      </c>
      <c r="R6806" s="129"/>
      <c r="S6806" s="129"/>
      <c r="T6806" s="129"/>
      <c r="W6806" s="129" t="s">
        <v>4876</v>
      </c>
      <c r="X6806" s="337" t="b">
        <f t="shared" si="145"/>
        <v>0</v>
      </c>
    </row>
    <row r="6807" spans="1:24" s="386" customFormat="1" ht="12" customHeight="1" outlineLevel="1">
      <c r="A6807" s="382"/>
      <c r="B6807" s="118" t="s">
        <v>12</v>
      </c>
      <c r="C6807" s="334" t="s">
        <v>16305</v>
      </c>
      <c r="D6807" s="124" t="s">
        <v>16306</v>
      </c>
      <c r="E6807" s="125"/>
      <c r="F6807" s="118" t="s">
        <v>1192</v>
      </c>
      <c r="G6807" s="126" t="s">
        <v>16157</v>
      </c>
      <c r="H6807" s="255">
        <v>2</v>
      </c>
      <c r="I6807" s="369"/>
      <c r="J6807" s="371" t="s">
        <v>286</v>
      </c>
      <c r="K6807" s="369">
        <v>1</v>
      </c>
      <c r="L6807" s="129">
        <v>1</v>
      </c>
      <c r="M6807" s="378"/>
      <c r="O6807" s="129"/>
      <c r="P6807" s="129">
        <v>1</v>
      </c>
      <c r="Q6807" s="129">
        <v>1</v>
      </c>
      <c r="R6807" s="129"/>
      <c r="S6807" s="129"/>
      <c r="T6807" s="129"/>
      <c r="W6807" s="129" t="s">
        <v>4876</v>
      </c>
      <c r="X6807" s="337" t="b">
        <f t="shared" si="145"/>
        <v>0</v>
      </c>
    </row>
    <row r="6808" spans="1:24" s="386" customFormat="1" ht="12" customHeight="1" outlineLevel="1">
      <c r="A6808" s="382"/>
      <c r="B6808" s="118" t="s">
        <v>12</v>
      </c>
      <c r="C6808" s="334" t="s">
        <v>16307</v>
      </c>
      <c r="D6808" s="124" t="s">
        <v>16308</v>
      </c>
      <c r="E6808" s="125"/>
      <c r="F6808" s="118" t="s">
        <v>1192</v>
      </c>
      <c r="G6808" s="126" t="s">
        <v>16157</v>
      </c>
      <c r="H6808" s="255">
        <v>2</v>
      </c>
      <c r="I6808" s="369"/>
      <c r="J6808" s="371" t="s">
        <v>286</v>
      </c>
      <c r="K6808" s="369">
        <v>1</v>
      </c>
      <c r="L6808" s="129">
        <v>1</v>
      </c>
      <c r="M6808" s="378"/>
      <c r="O6808" s="129"/>
      <c r="P6808" s="129">
        <v>1</v>
      </c>
      <c r="Q6808" s="129">
        <v>1</v>
      </c>
      <c r="R6808" s="129"/>
      <c r="S6808" s="129"/>
      <c r="T6808" s="129"/>
      <c r="W6808" s="129" t="s">
        <v>4876</v>
      </c>
      <c r="X6808" s="337" t="b">
        <f t="shared" si="145"/>
        <v>0</v>
      </c>
    </row>
    <row r="6809" spans="1:24" s="386" customFormat="1" ht="12" customHeight="1" outlineLevel="1">
      <c r="A6809" s="382"/>
      <c r="B6809" s="118" t="s">
        <v>12</v>
      </c>
      <c r="C6809" s="334" t="s">
        <v>16309</v>
      </c>
      <c r="D6809" s="124" t="s">
        <v>16310</v>
      </c>
      <c r="E6809" s="125"/>
      <c r="F6809" s="118" t="s">
        <v>1192</v>
      </c>
      <c r="G6809" s="126" t="s">
        <v>16157</v>
      </c>
      <c r="H6809" s="255">
        <v>2</v>
      </c>
      <c r="I6809" s="369">
        <v>1</v>
      </c>
      <c r="J6809" s="371" t="s">
        <v>307</v>
      </c>
      <c r="K6809" s="369"/>
      <c r="L6809" s="129"/>
      <c r="M6809" s="378"/>
      <c r="O6809" s="129"/>
      <c r="P6809" s="129"/>
      <c r="Q6809" s="129"/>
      <c r="R6809" s="129"/>
      <c r="S6809" s="129"/>
      <c r="T6809" s="129"/>
      <c r="W6809" s="129" t="s">
        <v>286</v>
      </c>
      <c r="X6809" s="337" t="b">
        <f t="shared" si="145"/>
        <v>0</v>
      </c>
    </row>
    <row r="6810" spans="1:24" s="386" customFormat="1" ht="12" customHeight="1" outlineLevel="1">
      <c r="A6810" s="382"/>
      <c r="B6810" s="118" t="s">
        <v>12</v>
      </c>
      <c r="C6810" s="334" t="s">
        <v>16311</v>
      </c>
      <c r="D6810" s="124" t="s">
        <v>16312</v>
      </c>
      <c r="E6810" s="125"/>
      <c r="F6810" s="118" t="s">
        <v>1192</v>
      </c>
      <c r="G6810" s="126" t="s">
        <v>16157</v>
      </c>
      <c r="H6810" s="255">
        <v>2</v>
      </c>
      <c r="I6810" s="369">
        <v>1</v>
      </c>
      <c r="J6810" s="371" t="s">
        <v>307</v>
      </c>
      <c r="K6810" s="369"/>
      <c r="L6810" s="129"/>
      <c r="M6810" s="378"/>
      <c r="O6810" s="129"/>
      <c r="P6810" s="129"/>
      <c r="Q6810" s="129"/>
      <c r="R6810" s="129"/>
      <c r="S6810" s="129"/>
      <c r="T6810" s="129"/>
      <c r="W6810" s="129" t="s">
        <v>286</v>
      </c>
      <c r="X6810" s="337" t="b">
        <f t="shared" si="145"/>
        <v>0</v>
      </c>
    </row>
    <row r="6811" spans="1:24" s="386" customFormat="1" ht="12" customHeight="1" outlineLevel="1">
      <c r="A6811" s="382"/>
      <c r="B6811" s="118" t="s">
        <v>12</v>
      </c>
      <c r="C6811" s="334" t="s">
        <v>16313</v>
      </c>
      <c r="D6811" s="124" t="s">
        <v>16314</v>
      </c>
      <c r="E6811" s="125"/>
      <c r="F6811" s="118" t="s">
        <v>1192</v>
      </c>
      <c r="G6811" s="126" t="s">
        <v>16157</v>
      </c>
      <c r="H6811" s="255">
        <v>2</v>
      </c>
      <c r="I6811" s="369">
        <v>1</v>
      </c>
      <c r="J6811" s="371" t="s">
        <v>307</v>
      </c>
      <c r="K6811" s="369"/>
      <c r="L6811" s="129"/>
      <c r="M6811" s="378"/>
      <c r="O6811" s="129"/>
      <c r="P6811" s="129"/>
      <c r="Q6811" s="129"/>
      <c r="R6811" s="129"/>
      <c r="S6811" s="129"/>
      <c r="T6811" s="129"/>
      <c r="W6811" s="129" t="s">
        <v>286</v>
      </c>
      <c r="X6811" s="337" t="b">
        <f t="shared" si="145"/>
        <v>0</v>
      </c>
    </row>
    <row r="6812" spans="1:24" s="386" customFormat="1" ht="12" customHeight="1" outlineLevel="1">
      <c r="A6812" s="382"/>
      <c r="B6812" s="118" t="s">
        <v>12</v>
      </c>
      <c r="C6812" s="334" t="s">
        <v>16315</v>
      </c>
      <c r="D6812" s="124" t="s">
        <v>16316</v>
      </c>
      <c r="E6812" s="125"/>
      <c r="F6812" s="118" t="s">
        <v>1192</v>
      </c>
      <c r="G6812" s="126" t="s">
        <v>16157</v>
      </c>
      <c r="H6812" s="255">
        <v>2</v>
      </c>
      <c r="I6812" s="369"/>
      <c r="J6812" s="371" t="s">
        <v>286</v>
      </c>
      <c r="K6812" s="369">
        <v>1</v>
      </c>
      <c r="L6812" s="129">
        <v>1</v>
      </c>
      <c r="M6812" s="378"/>
      <c r="O6812" s="129"/>
      <c r="P6812" s="129">
        <v>1</v>
      </c>
      <c r="Q6812" s="129">
        <v>1</v>
      </c>
      <c r="R6812" s="129"/>
      <c r="S6812" s="129"/>
      <c r="T6812" s="129"/>
      <c r="W6812" s="129" t="s">
        <v>4876</v>
      </c>
      <c r="X6812" s="337" t="b">
        <f t="shared" si="145"/>
        <v>0</v>
      </c>
    </row>
    <row r="6813" spans="1:24" s="386" customFormat="1" ht="12" customHeight="1" outlineLevel="1">
      <c r="A6813" s="382"/>
      <c r="B6813" s="118" t="s">
        <v>12</v>
      </c>
      <c r="C6813" s="334" t="s">
        <v>16317</v>
      </c>
      <c r="D6813" s="124" t="s">
        <v>16318</v>
      </c>
      <c r="E6813" s="125"/>
      <c r="F6813" s="118" t="s">
        <v>1192</v>
      </c>
      <c r="G6813" s="126" t="s">
        <v>16157</v>
      </c>
      <c r="H6813" s="255">
        <v>2</v>
      </c>
      <c r="I6813" s="369">
        <v>1</v>
      </c>
      <c r="J6813" s="371" t="s">
        <v>310</v>
      </c>
      <c r="K6813" s="369"/>
      <c r="L6813" s="129"/>
      <c r="M6813" s="378"/>
      <c r="O6813" s="129"/>
      <c r="P6813" s="129"/>
      <c r="Q6813" s="129"/>
      <c r="R6813" s="129"/>
      <c r="S6813" s="129"/>
      <c r="T6813" s="129"/>
      <c r="W6813" s="129" t="s">
        <v>286</v>
      </c>
      <c r="X6813" s="337" t="b">
        <f t="shared" si="145"/>
        <v>0</v>
      </c>
    </row>
    <row r="6814" spans="1:24" s="386" customFormat="1" ht="12" customHeight="1" outlineLevel="1">
      <c r="A6814" s="382"/>
      <c r="B6814" s="118" t="s">
        <v>12</v>
      </c>
      <c r="C6814" s="334" t="s">
        <v>16319</v>
      </c>
      <c r="D6814" s="124" t="s">
        <v>16320</v>
      </c>
      <c r="E6814" s="125"/>
      <c r="F6814" s="118" t="s">
        <v>1192</v>
      </c>
      <c r="G6814" s="126" t="s">
        <v>16157</v>
      </c>
      <c r="H6814" s="255">
        <v>2</v>
      </c>
      <c r="I6814" s="369"/>
      <c r="J6814" s="371" t="s">
        <v>286</v>
      </c>
      <c r="K6814" s="369">
        <v>1</v>
      </c>
      <c r="L6814" s="129">
        <v>1</v>
      </c>
      <c r="M6814" s="378"/>
      <c r="O6814" s="129"/>
      <c r="P6814" s="129">
        <v>1</v>
      </c>
      <c r="Q6814" s="129">
        <v>1</v>
      </c>
      <c r="R6814" s="129"/>
      <c r="S6814" s="129"/>
      <c r="T6814" s="129"/>
      <c r="W6814" s="129" t="s">
        <v>4876</v>
      </c>
      <c r="X6814" s="337" t="b">
        <f t="shared" si="145"/>
        <v>0</v>
      </c>
    </row>
    <row r="6815" spans="1:24" s="386" customFormat="1" ht="12" customHeight="1" outlineLevel="1">
      <c r="A6815" s="382"/>
      <c r="B6815" s="118" t="s">
        <v>12</v>
      </c>
      <c r="C6815" s="334" t="s">
        <v>16321</v>
      </c>
      <c r="D6815" s="124" t="s">
        <v>16322</v>
      </c>
      <c r="E6815" s="125"/>
      <c r="F6815" s="118" t="s">
        <v>1192</v>
      </c>
      <c r="G6815" s="126" t="s">
        <v>16157</v>
      </c>
      <c r="H6815" s="255">
        <v>2</v>
      </c>
      <c r="I6815" s="369"/>
      <c r="J6815" s="371" t="s">
        <v>286</v>
      </c>
      <c r="K6815" s="369">
        <v>1</v>
      </c>
      <c r="L6815" s="129">
        <v>1</v>
      </c>
      <c r="M6815" s="378"/>
      <c r="O6815" s="129"/>
      <c r="P6815" s="129">
        <v>1</v>
      </c>
      <c r="Q6815" s="129">
        <v>1</v>
      </c>
      <c r="R6815" s="129"/>
      <c r="S6815" s="129"/>
      <c r="T6815" s="129"/>
      <c r="W6815" s="129" t="s">
        <v>4876</v>
      </c>
      <c r="X6815" s="337" t="b">
        <f t="shared" si="145"/>
        <v>0</v>
      </c>
    </row>
    <row r="6816" spans="1:24" s="386" customFormat="1" ht="12" customHeight="1" outlineLevel="1">
      <c r="A6816" s="382"/>
      <c r="B6816" s="118" t="s">
        <v>12</v>
      </c>
      <c r="C6816" s="334" t="s">
        <v>16323</v>
      </c>
      <c r="D6816" s="124" t="s">
        <v>16324</v>
      </c>
      <c r="E6816" s="125"/>
      <c r="F6816" s="118" t="s">
        <v>1192</v>
      </c>
      <c r="G6816" s="126" t="s">
        <v>16157</v>
      </c>
      <c r="H6816" s="255">
        <v>2</v>
      </c>
      <c r="I6816" s="369"/>
      <c r="J6816" s="371" t="s">
        <v>286</v>
      </c>
      <c r="K6816" s="369">
        <v>1</v>
      </c>
      <c r="L6816" s="129">
        <v>1</v>
      </c>
      <c r="M6816" s="378"/>
      <c r="O6816" s="129"/>
      <c r="P6816" s="129">
        <v>1</v>
      </c>
      <c r="Q6816" s="129">
        <v>1</v>
      </c>
      <c r="R6816" s="129"/>
      <c r="S6816" s="129"/>
      <c r="T6816" s="129"/>
      <c r="W6816" s="129" t="s">
        <v>4876</v>
      </c>
      <c r="X6816" s="337" t="b">
        <f t="shared" si="145"/>
        <v>0</v>
      </c>
    </row>
    <row r="6817" spans="1:24" s="386" customFormat="1" ht="12" customHeight="1" outlineLevel="1">
      <c r="A6817" s="382"/>
      <c r="B6817" s="118" t="s">
        <v>12</v>
      </c>
      <c r="C6817" s="334" t="s">
        <v>16325</v>
      </c>
      <c r="D6817" s="124" t="s">
        <v>16326</v>
      </c>
      <c r="E6817" s="125"/>
      <c r="F6817" s="118" t="s">
        <v>1192</v>
      </c>
      <c r="G6817" s="126" t="s">
        <v>16157</v>
      </c>
      <c r="H6817" s="255">
        <v>2</v>
      </c>
      <c r="I6817" s="369"/>
      <c r="J6817" s="371" t="s">
        <v>286</v>
      </c>
      <c r="K6817" s="369">
        <v>1</v>
      </c>
      <c r="L6817" s="129">
        <v>1</v>
      </c>
      <c r="M6817" s="378"/>
      <c r="O6817" s="129"/>
      <c r="P6817" s="129">
        <v>1</v>
      </c>
      <c r="Q6817" s="129">
        <v>1</v>
      </c>
      <c r="R6817" s="129"/>
      <c r="S6817" s="129"/>
      <c r="T6817" s="129"/>
      <c r="W6817" s="129" t="s">
        <v>4876</v>
      </c>
      <c r="X6817" s="337" t="b">
        <f t="shared" si="145"/>
        <v>0</v>
      </c>
    </row>
    <row r="6818" spans="1:24" s="386" customFormat="1" ht="12" customHeight="1" outlineLevel="1">
      <c r="A6818" s="382"/>
      <c r="B6818" s="118" t="s">
        <v>12</v>
      </c>
      <c r="C6818" s="334" t="s">
        <v>16327</v>
      </c>
      <c r="D6818" s="124" t="s">
        <v>16328</v>
      </c>
      <c r="E6818" s="125"/>
      <c r="F6818" s="118" t="s">
        <v>1192</v>
      </c>
      <c r="G6818" s="126" t="s">
        <v>16157</v>
      </c>
      <c r="H6818" s="255">
        <v>2</v>
      </c>
      <c r="I6818" s="369"/>
      <c r="J6818" s="371" t="s">
        <v>310</v>
      </c>
      <c r="K6818" s="369">
        <v>1</v>
      </c>
      <c r="L6818" s="129">
        <v>1</v>
      </c>
      <c r="M6818" s="378"/>
      <c r="O6818" s="129"/>
      <c r="P6818" s="129">
        <v>1</v>
      </c>
      <c r="Q6818" s="129">
        <v>1</v>
      </c>
      <c r="R6818" s="129"/>
      <c r="S6818" s="129"/>
      <c r="T6818" s="129"/>
      <c r="W6818" s="129" t="s">
        <v>4876</v>
      </c>
      <c r="X6818" s="337" t="b">
        <f t="shared" si="145"/>
        <v>0</v>
      </c>
    </row>
    <row r="6819" spans="1:24" s="386" customFormat="1" ht="12" customHeight="1" outlineLevel="1">
      <c r="A6819" s="382"/>
      <c r="B6819" s="118" t="s">
        <v>12</v>
      </c>
      <c r="C6819" s="334" t="s">
        <v>16329</v>
      </c>
      <c r="D6819" s="124" t="s">
        <v>16330</v>
      </c>
      <c r="E6819" s="125"/>
      <c r="F6819" s="118" t="s">
        <v>1192</v>
      </c>
      <c r="G6819" s="126" t="s">
        <v>16157</v>
      </c>
      <c r="H6819" s="255">
        <v>2</v>
      </c>
      <c r="I6819" s="369">
        <v>1</v>
      </c>
      <c r="J6819" s="371" t="s">
        <v>286</v>
      </c>
      <c r="K6819" s="369"/>
      <c r="L6819" s="129"/>
      <c r="M6819" s="378"/>
      <c r="O6819" s="129"/>
      <c r="P6819" s="129"/>
      <c r="Q6819" s="372"/>
      <c r="R6819" s="129"/>
      <c r="S6819" s="129"/>
      <c r="T6819" s="129"/>
      <c r="W6819" s="129" t="s">
        <v>286</v>
      </c>
      <c r="X6819" s="337" t="b">
        <f t="shared" si="145"/>
        <v>1</v>
      </c>
    </row>
    <row r="6820" spans="1:24" s="386" customFormat="1" ht="12" customHeight="1" outlineLevel="1">
      <c r="A6820" s="382"/>
      <c r="B6820" s="118" t="s">
        <v>12</v>
      </c>
      <c r="C6820" s="334" t="s">
        <v>16331</v>
      </c>
      <c r="D6820" s="124" t="s">
        <v>16330</v>
      </c>
      <c r="E6820" s="125"/>
      <c r="F6820" s="118" t="s">
        <v>1192</v>
      </c>
      <c r="G6820" s="126" t="s">
        <v>16157</v>
      </c>
      <c r="H6820" s="255">
        <v>2</v>
      </c>
      <c r="I6820" s="369">
        <v>1</v>
      </c>
      <c r="J6820" s="371" t="s">
        <v>286</v>
      </c>
      <c r="K6820" s="369"/>
      <c r="L6820" s="129"/>
      <c r="M6820" s="378"/>
      <c r="O6820" s="129"/>
      <c r="P6820" s="129"/>
      <c r="Q6820" s="372"/>
      <c r="R6820" s="129"/>
      <c r="S6820" s="129"/>
      <c r="T6820" s="129"/>
      <c r="W6820" s="129" t="s">
        <v>286</v>
      </c>
      <c r="X6820" s="337" t="b">
        <f t="shared" ref="X6820" si="146">W6820=J6820</f>
        <v>1</v>
      </c>
    </row>
    <row r="6821" spans="1:24" s="386" customFormat="1" ht="3" customHeight="1">
      <c r="A6821" s="382"/>
      <c r="B6821" s="118"/>
      <c r="C6821" s="334"/>
      <c r="D6821" s="124"/>
      <c r="E6821" s="125"/>
      <c r="F6821" s="118"/>
      <c r="G6821" s="126"/>
      <c r="H6821" s="255"/>
      <c r="I6821" s="361"/>
      <c r="J6821" s="371"/>
      <c r="K6821" s="377"/>
      <c r="L6821" s="129"/>
      <c r="N6821" s="378"/>
      <c r="O6821" s="129"/>
      <c r="P6821" s="372"/>
      <c r="Q6821" s="372"/>
      <c r="R6821" s="129"/>
      <c r="S6821" s="129"/>
      <c r="T6821" s="129"/>
      <c r="W6821" s="129"/>
    </row>
    <row r="6822" spans="1:24" s="360" customFormat="1" ht="12" customHeight="1">
      <c r="A6822" s="110" t="s">
        <v>27</v>
      </c>
      <c r="B6822" s="118"/>
      <c r="C6822" s="334"/>
      <c r="D6822" s="124"/>
      <c r="E6822" s="125"/>
      <c r="F6822" s="118"/>
      <c r="G6822" s="126"/>
      <c r="H6822" s="255"/>
      <c r="I6822" s="62"/>
      <c r="J6822" s="358"/>
      <c r="K6822" s="62"/>
      <c r="L6822" s="62"/>
      <c r="M6822" s="62"/>
      <c r="N6822" s="62"/>
      <c r="O6822" s="62"/>
      <c r="P6822" s="359"/>
      <c r="Q6822" s="359"/>
      <c r="R6822" s="359"/>
      <c r="S6822" s="359"/>
      <c r="T6822" s="359"/>
      <c r="W6822" s="359">
        <f>SUM(W6824:W7184)</f>
        <v>0</v>
      </c>
    </row>
    <row r="6823" spans="1:24" s="360" customFormat="1" ht="12" customHeight="1" outlineLevel="1">
      <c r="A6823" s="110"/>
      <c r="B6823" s="135" t="s">
        <v>204</v>
      </c>
      <c r="C6823" s="334"/>
      <c r="D6823" s="124"/>
      <c r="E6823" s="125"/>
      <c r="F6823" s="118"/>
      <c r="G6823" s="126"/>
      <c r="H6823" s="255"/>
      <c r="I6823" s="62"/>
      <c r="J6823" s="358"/>
      <c r="K6823" s="62"/>
      <c r="L6823" s="62"/>
      <c r="M6823" s="62"/>
      <c r="N6823" s="62"/>
      <c r="O6823" s="62"/>
      <c r="P6823" s="359"/>
      <c r="Q6823" s="359"/>
      <c r="R6823" s="359"/>
      <c r="S6823" s="359"/>
      <c r="T6823" s="359"/>
      <c r="W6823" s="359"/>
    </row>
    <row r="6824" spans="1:24" s="360" customFormat="1" ht="12" customHeight="1" outlineLevel="1">
      <c r="B6824" s="118" t="s">
        <v>12</v>
      </c>
      <c r="C6824" s="334"/>
      <c r="D6824" s="124" t="s">
        <v>16332</v>
      </c>
      <c r="E6824" s="125"/>
      <c r="F6824" s="118" t="s">
        <v>4396</v>
      </c>
      <c r="G6824" s="126" t="s">
        <v>16333</v>
      </c>
      <c r="H6824" s="255">
        <v>2</v>
      </c>
      <c r="I6824" s="361"/>
      <c r="J6824" s="368"/>
      <c r="K6824" s="369">
        <v>1</v>
      </c>
      <c r="L6824" s="129">
        <v>1</v>
      </c>
      <c r="M6824" s="369"/>
      <c r="N6824" s="129"/>
      <c r="O6824" s="129"/>
      <c r="P6824" s="364"/>
      <c r="Q6824" s="364"/>
      <c r="R6824" s="129"/>
      <c r="S6824" s="129"/>
      <c r="T6824" s="129"/>
      <c r="W6824" s="129"/>
    </row>
    <row r="6825" spans="1:24" s="360" customFormat="1" ht="12" customHeight="1" outlineLevel="1">
      <c r="B6825" s="118" t="s">
        <v>12</v>
      </c>
      <c r="C6825" s="334"/>
      <c r="D6825" s="124" t="s">
        <v>16334</v>
      </c>
      <c r="E6825" s="125"/>
      <c r="F6825" s="118" t="s">
        <v>4396</v>
      </c>
      <c r="G6825" s="126" t="s">
        <v>16333</v>
      </c>
      <c r="H6825" s="255">
        <v>2</v>
      </c>
      <c r="I6825" s="361"/>
      <c r="J6825" s="368"/>
      <c r="K6825" s="369">
        <v>1</v>
      </c>
      <c r="L6825" s="387">
        <v>1</v>
      </c>
      <c r="M6825" s="129"/>
      <c r="N6825" s="129"/>
      <c r="O6825" s="129"/>
      <c r="P6825" s="364"/>
      <c r="Q6825" s="364"/>
    </row>
    <row r="6826" spans="1:24" s="360" customFormat="1" ht="12" customHeight="1" outlineLevel="1">
      <c r="B6826" s="118" t="s">
        <v>12</v>
      </c>
      <c r="C6826" s="334" t="s">
        <v>16335</v>
      </c>
      <c r="D6826" s="124" t="s">
        <v>16336</v>
      </c>
      <c r="E6826" s="125"/>
      <c r="F6826" s="118" t="s">
        <v>4396</v>
      </c>
      <c r="G6826" s="126" t="s">
        <v>16333</v>
      </c>
      <c r="H6826" s="255">
        <v>2</v>
      </c>
      <c r="I6826" s="361">
        <v>1</v>
      </c>
      <c r="J6826" s="368" t="s">
        <v>310</v>
      </c>
      <c r="K6826" s="369"/>
      <c r="L6826" s="387"/>
      <c r="M6826" s="129"/>
      <c r="N6826" s="129"/>
      <c r="O6826" s="129"/>
      <c r="P6826" s="369"/>
      <c r="Q6826" s="387"/>
    </row>
    <row r="6827" spans="1:24" s="360" customFormat="1" ht="12" customHeight="1" outlineLevel="1">
      <c r="B6827" s="118" t="s">
        <v>12</v>
      </c>
      <c r="C6827" s="334" t="s">
        <v>16337</v>
      </c>
      <c r="D6827" s="124" t="s">
        <v>16338</v>
      </c>
      <c r="E6827" s="125"/>
      <c r="F6827" s="118" t="s">
        <v>4396</v>
      </c>
      <c r="G6827" s="126" t="s">
        <v>16333</v>
      </c>
      <c r="H6827" s="255">
        <v>2</v>
      </c>
      <c r="I6827" s="361">
        <v>1</v>
      </c>
      <c r="J6827" s="368" t="s">
        <v>286</v>
      </c>
      <c r="K6827" s="388"/>
      <c r="L6827" s="387"/>
      <c r="W6827" s="129" t="s">
        <v>4876</v>
      </c>
      <c r="X6827" s="337" t="b">
        <f t="shared" ref="X6827:X6893" si="147">W6827=J6827</f>
        <v>0</v>
      </c>
    </row>
    <row r="6828" spans="1:24" s="360" customFormat="1" ht="12" customHeight="1" outlineLevel="1">
      <c r="B6828" s="118" t="s">
        <v>12</v>
      </c>
      <c r="C6828" s="334" t="s">
        <v>16339</v>
      </c>
      <c r="D6828" s="124" t="s">
        <v>16340</v>
      </c>
      <c r="E6828" s="125"/>
      <c r="F6828" s="118" t="s">
        <v>4396</v>
      </c>
      <c r="G6828" s="126" t="s">
        <v>16333</v>
      </c>
      <c r="H6828" s="255">
        <v>2</v>
      </c>
      <c r="I6828" s="361">
        <v>1</v>
      </c>
      <c r="J6828" s="368" t="s">
        <v>307</v>
      </c>
      <c r="K6828" s="388"/>
      <c r="L6828" s="387"/>
      <c r="W6828" s="129" t="s">
        <v>310</v>
      </c>
      <c r="X6828" s="337" t="b">
        <f t="shared" si="147"/>
        <v>0</v>
      </c>
    </row>
    <row r="6829" spans="1:24" s="360" customFormat="1" ht="12" customHeight="1" outlineLevel="1">
      <c r="B6829" s="118" t="s">
        <v>12</v>
      </c>
      <c r="C6829" s="334" t="s">
        <v>16341</v>
      </c>
      <c r="D6829" s="124" t="s">
        <v>16342</v>
      </c>
      <c r="E6829" s="125"/>
      <c r="F6829" s="118" t="s">
        <v>4396</v>
      </c>
      <c r="G6829" s="126" t="s">
        <v>16333</v>
      </c>
      <c r="H6829" s="255">
        <v>2</v>
      </c>
      <c r="I6829" s="361">
        <v>1</v>
      </c>
      <c r="J6829" s="368" t="s">
        <v>307</v>
      </c>
      <c r="K6829" s="388"/>
      <c r="L6829" s="387"/>
      <c r="W6829" s="129" t="s">
        <v>325</v>
      </c>
      <c r="X6829" s="337" t="b">
        <f t="shared" si="147"/>
        <v>0</v>
      </c>
    </row>
    <row r="6830" spans="1:24" s="360" customFormat="1" ht="12" customHeight="1" outlineLevel="1">
      <c r="B6830" s="118" t="s">
        <v>12</v>
      </c>
      <c r="C6830" s="334" t="s">
        <v>16343</v>
      </c>
      <c r="D6830" s="124" t="s">
        <v>16344</v>
      </c>
      <c r="E6830" s="125"/>
      <c r="F6830" s="118" t="s">
        <v>4396</v>
      </c>
      <c r="G6830" s="126" t="s">
        <v>16333</v>
      </c>
      <c r="H6830" s="255">
        <v>2</v>
      </c>
      <c r="I6830" s="361">
        <v>1</v>
      </c>
      <c r="J6830" s="368" t="s">
        <v>307</v>
      </c>
      <c r="K6830" s="388"/>
      <c r="L6830" s="387"/>
      <c r="W6830" s="129" t="s">
        <v>325</v>
      </c>
      <c r="X6830" s="337" t="b">
        <f t="shared" si="147"/>
        <v>0</v>
      </c>
    </row>
    <row r="6831" spans="1:24" s="360" customFormat="1" ht="12" customHeight="1" outlineLevel="1">
      <c r="B6831" s="118" t="s">
        <v>12</v>
      </c>
      <c r="C6831" s="334" t="s">
        <v>16345</v>
      </c>
      <c r="D6831" s="124" t="s">
        <v>16346</v>
      </c>
      <c r="E6831" s="125"/>
      <c r="F6831" s="118" t="s">
        <v>4396</v>
      </c>
      <c r="G6831" s="126" t="s">
        <v>16333</v>
      </c>
      <c r="H6831" s="255">
        <v>2</v>
      </c>
      <c r="I6831" s="361">
        <v>1</v>
      </c>
      <c r="J6831" s="368" t="s">
        <v>307</v>
      </c>
      <c r="K6831" s="388"/>
      <c r="L6831" s="387"/>
      <c r="W6831" s="129" t="s">
        <v>307</v>
      </c>
      <c r="X6831" s="337" t="b">
        <f t="shared" si="147"/>
        <v>1</v>
      </c>
    </row>
    <row r="6832" spans="1:24" s="360" customFormat="1" ht="12" customHeight="1" outlineLevel="1">
      <c r="B6832" s="118" t="s">
        <v>12</v>
      </c>
      <c r="C6832" s="334" t="s">
        <v>16347</v>
      </c>
      <c r="D6832" s="124" t="s">
        <v>16348</v>
      </c>
      <c r="E6832" s="125"/>
      <c r="F6832" s="118" t="s">
        <v>4396</v>
      </c>
      <c r="G6832" s="126" t="s">
        <v>16333</v>
      </c>
      <c r="H6832" s="255">
        <v>2</v>
      </c>
      <c r="I6832" s="361">
        <v>1</v>
      </c>
      <c r="J6832" s="368" t="s">
        <v>286</v>
      </c>
      <c r="K6832" s="388"/>
      <c r="L6832" s="387"/>
      <c r="W6832" s="129" t="s">
        <v>4876</v>
      </c>
      <c r="X6832" s="337" t="b">
        <f t="shared" si="147"/>
        <v>0</v>
      </c>
    </row>
    <row r="6833" spans="2:24" s="360" customFormat="1" ht="12" customHeight="1" outlineLevel="1">
      <c r="B6833" s="118" t="s">
        <v>12</v>
      </c>
      <c r="C6833" s="334" t="s">
        <v>16349</v>
      </c>
      <c r="D6833" s="124" t="s">
        <v>16350</v>
      </c>
      <c r="E6833" s="125"/>
      <c r="F6833" s="118" t="s">
        <v>4396</v>
      </c>
      <c r="G6833" s="126" t="s">
        <v>16333</v>
      </c>
      <c r="H6833" s="255">
        <v>2</v>
      </c>
      <c r="I6833" s="361">
        <v>1</v>
      </c>
      <c r="J6833" s="368" t="s">
        <v>286</v>
      </c>
      <c r="K6833" s="388"/>
      <c r="L6833" s="387"/>
      <c r="W6833" s="129" t="s">
        <v>4876</v>
      </c>
      <c r="X6833" s="337" t="b">
        <f t="shared" si="147"/>
        <v>0</v>
      </c>
    </row>
    <row r="6834" spans="2:24" s="360" customFormat="1" ht="12" customHeight="1" outlineLevel="1">
      <c r="B6834" s="118" t="s">
        <v>12</v>
      </c>
      <c r="C6834" s="334" t="s">
        <v>16351</v>
      </c>
      <c r="D6834" s="124" t="s">
        <v>16352</v>
      </c>
      <c r="E6834" s="125"/>
      <c r="F6834" s="118" t="s">
        <v>4396</v>
      </c>
      <c r="G6834" s="126" t="s">
        <v>16333</v>
      </c>
      <c r="H6834" s="255">
        <v>2</v>
      </c>
      <c r="I6834" s="361">
        <v>1</v>
      </c>
      <c r="J6834" s="368" t="s">
        <v>325</v>
      </c>
      <c r="K6834" s="388"/>
      <c r="L6834" s="387"/>
      <c r="W6834" s="129" t="s">
        <v>4876</v>
      </c>
      <c r="X6834" s="337" t="b">
        <f t="shared" si="147"/>
        <v>0</v>
      </c>
    </row>
    <row r="6835" spans="2:24" s="360" customFormat="1" ht="12" customHeight="1" outlineLevel="1">
      <c r="B6835" s="118" t="s">
        <v>12</v>
      </c>
      <c r="C6835" s="334" t="s">
        <v>16353</v>
      </c>
      <c r="D6835" s="124" t="s">
        <v>16354</v>
      </c>
      <c r="E6835" s="125"/>
      <c r="F6835" s="118" t="s">
        <v>4396</v>
      </c>
      <c r="G6835" s="126" t="s">
        <v>16333</v>
      </c>
      <c r="H6835" s="255">
        <v>2</v>
      </c>
      <c r="I6835" s="361">
        <v>1</v>
      </c>
      <c r="J6835" s="368" t="s">
        <v>286</v>
      </c>
      <c r="K6835" s="388"/>
      <c r="L6835" s="387"/>
      <c r="W6835" s="129" t="s">
        <v>4876</v>
      </c>
      <c r="X6835" s="337" t="b">
        <f t="shared" si="147"/>
        <v>0</v>
      </c>
    </row>
    <row r="6836" spans="2:24" s="360" customFormat="1" ht="12" customHeight="1" outlineLevel="1">
      <c r="B6836" s="118" t="s">
        <v>12</v>
      </c>
      <c r="C6836" s="334" t="s">
        <v>16355</v>
      </c>
      <c r="D6836" s="124" t="s">
        <v>16356</v>
      </c>
      <c r="E6836" s="125"/>
      <c r="F6836" s="118" t="s">
        <v>4396</v>
      </c>
      <c r="G6836" s="126" t="s">
        <v>16333</v>
      </c>
      <c r="H6836" s="255">
        <v>2</v>
      </c>
      <c r="I6836" s="361">
        <v>1</v>
      </c>
      <c r="J6836" s="368" t="s">
        <v>286</v>
      </c>
      <c r="K6836" s="388"/>
      <c r="L6836" s="387"/>
      <c r="W6836" s="129" t="s">
        <v>4876</v>
      </c>
      <c r="X6836" s="337" t="b">
        <f t="shared" si="147"/>
        <v>0</v>
      </c>
    </row>
    <row r="6837" spans="2:24" s="360" customFormat="1" ht="12" customHeight="1" outlineLevel="1">
      <c r="B6837" s="118" t="s">
        <v>12</v>
      </c>
      <c r="C6837" s="334" t="s">
        <v>16357</v>
      </c>
      <c r="D6837" s="124" t="s">
        <v>16358</v>
      </c>
      <c r="E6837" s="125"/>
      <c r="F6837" s="118" t="s">
        <v>4396</v>
      </c>
      <c r="G6837" s="126" t="s">
        <v>16333</v>
      </c>
      <c r="H6837" s="255">
        <v>2</v>
      </c>
      <c r="I6837" s="361">
        <v>1</v>
      </c>
      <c r="J6837" s="368" t="s">
        <v>286</v>
      </c>
      <c r="K6837" s="388"/>
      <c r="L6837" s="387"/>
      <c r="W6837" s="129" t="s">
        <v>4876</v>
      </c>
      <c r="X6837" s="337" t="b">
        <f t="shared" si="147"/>
        <v>0</v>
      </c>
    </row>
    <row r="6838" spans="2:24" s="360" customFormat="1" ht="12" customHeight="1" outlineLevel="1">
      <c r="B6838" s="118" t="s">
        <v>12</v>
      </c>
      <c r="C6838" s="334" t="s">
        <v>16359</v>
      </c>
      <c r="D6838" s="124" t="s">
        <v>16360</v>
      </c>
      <c r="E6838" s="125"/>
      <c r="F6838" s="118" t="s">
        <v>4396</v>
      </c>
      <c r="G6838" s="126" t="s">
        <v>16333</v>
      </c>
      <c r="H6838" s="255">
        <v>2</v>
      </c>
      <c r="I6838" s="361">
        <v>1</v>
      </c>
      <c r="J6838" s="368" t="s">
        <v>286</v>
      </c>
      <c r="K6838" s="388"/>
      <c r="L6838" s="387"/>
      <c r="W6838" s="129" t="s">
        <v>4876</v>
      </c>
      <c r="X6838" s="337" t="b">
        <f t="shared" si="147"/>
        <v>0</v>
      </c>
    </row>
    <row r="6839" spans="2:24" s="360" customFormat="1" ht="12" customHeight="1" outlineLevel="1">
      <c r="B6839" s="118" t="s">
        <v>12</v>
      </c>
      <c r="C6839" s="334" t="s">
        <v>16361</v>
      </c>
      <c r="D6839" s="124" t="s">
        <v>16362</v>
      </c>
      <c r="E6839" s="125"/>
      <c r="F6839" s="118" t="s">
        <v>4396</v>
      </c>
      <c r="G6839" s="126" t="s">
        <v>16333</v>
      </c>
      <c r="H6839" s="255">
        <v>2</v>
      </c>
      <c r="I6839" s="361">
        <v>1</v>
      </c>
      <c r="J6839" s="368" t="s">
        <v>286</v>
      </c>
      <c r="K6839" s="388"/>
      <c r="L6839" s="387"/>
      <c r="W6839" s="129" t="s">
        <v>4876</v>
      </c>
      <c r="X6839" s="337" t="b">
        <f t="shared" si="147"/>
        <v>0</v>
      </c>
    </row>
    <row r="6840" spans="2:24" s="360" customFormat="1" ht="12" customHeight="1" outlineLevel="1">
      <c r="B6840" s="118" t="s">
        <v>12</v>
      </c>
      <c r="C6840" s="334" t="s">
        <v>16363</v>
      </c>
      <c r="D6840" s="124" t="s">
        <v>16364</v>
      </c>
      <c r="E6840" s="125"/>
      <c r="F6840" s="118" t="s">
        <v>4396</v>
      </c>
      <c r="G6840" s="126" t="s">
        <v>16333</v>
      </c>
      <c r="H6840" s="255">
        <v>2</v>
      </c>
      <c r="I6840" s="361">
        <v>1</v>
      </c>
      <c r="J6840" s="368" t="s">
        <v>307</v>
      </c>
      <c r="K6840" s="388"/>
      <c r="L6840" s="387"/>
      <c r="W6840" s="129" t="s">
        <v>325</v>
      </c>
      <c r="X6840" s="337" t="b">
        <f t="shared" si="147"/>
        <v>0</v>
      </c>
    </row>
    <row r="6841" spans="2:24" s="360" customFormat="1" ht="12" customHeight="1" outlineLevel="1">
      <c r="B6841" s="118" t="s">
        <v>12</v>
      </c>
      <c r="C6841" s="334" t="s">
        <v>16365</v>
      </c>
      <c r="D6841" s="124" t="s">
        <v>16366</v>
      </c>
      <c r="E6841" s="125"/>
      <c r="F6841" s="118" t="s">
        <v>4396</v>
      </c>
      <c r="G6841" s="126" t="s">
        <v>16333</v>
      </c>
      <c r="H6841" s="255">
        <v>2</v>
      </c>
      <c r="I6841" s="361">
        <v>1</v>
      </c>
      <c r="J6841" s="368" t="s">
        <v>307</v>
      </c>
      <c r="K6841" s="388"/>
      <c r="L6841" s="387"/>
      <c r="W6841" s="129" t="s">
        <v>325</v>
      </c>
      <c r="X6841" s="337" t="b">
        <f t="shared" si="147"/>
        <v>0</v>
      </c>
    </row>
    <row r="6842" spans="2:24" s="360" customFormat="1" ht="12" customHeight="1" outlineLevel="1">
      <c r="B6842" s="118" t="s">
        <v>12</v>
      </c>
      <c r="C6842" s="334" t="s">
        <v>16367</v>
      </c>
      <c r="D6842" s="124" t="s">
        <v>16368</v>
      </c>
      <c r="E6842" s="125"/>
      <c r="F6842" s="118" t="s">
        <v>4396</v>
      </c>
      <c r="G6842" s="126" t="s">
        <v>16333</v>
      </c>
      <c r="H6842" s="255">
        <v>2</v>
      </c>
      <c r="I6842" s="361">
        <v>1</v>
      </c>
      <c r="J6842" s="368" t="s">
        <v>325</v>
      </c>
      <c r="K6842" s="388"/>
      <c r="L6842" s="387"/>
      <c r="W6842" s="129" t="s">
        <v>743</v>
      </c>
      <c r="X6842" s="337" t="b">
        <f t="shared" si="147"/>
        <v>0</v>
      </c>
    </row>
    <row r="6843" spans="2:24" s="360" customFormat="1" ht="12" customHeight="1" outlineLevel="1">
      <c r="B6843" s="118" t="s">
        <v>12</v>
      </c>
      <c r="C6843" s="334" t="s">
        <v>16369</v>
      </c>
      <c r="D6843" s="124" t="s">
        <v>16370</v>
      </c>
      <c r="E6843" s="125"/>
      <c r="F6843" s="118" t="s">
        <v>4396</v>
      </c>
      <c r="G6843" s="126" t="s">
        <v>16333</v>
      </c>
      <c r="H6843" s="255">
        <v>2</v>
      </c>
      <c r="I6843" s="361">
        <v>1</v>
      </c>
      <c r="J6843" s="368" t="s">
        <v>307</v>
      </c>
      <c r="K6843" s="388"/>
      <c r="L6843" s="387"/>
      <c r="W6843" s="129" t="s">
        <v>325</v>
      </c>
      <c r="X6843" s="337" t="b">
        <f t="shared" si="147"/>
        <v>0</v>
      </c>
    </row>
    <row r="6844" spans="2:24" s="360" customFormat="1" ht="12" customHeight="1" outlineLevel="1">
      <c r="B6844" s="118" t="s">
        <v>12</v>
      </c>
      <c r="C6844" s="334" t="s">
        <v>16371</v>
      </c>
      <c r="D6844" s="124" t="s">
        <v>6275</v>
      </c>
      <c r="E6844" s="125"/>
      <c r="F6844" s="118" t="s">
        <v>4396</v>
      </c>
      <c r="G6844" s="126" t="s">
        <v>16333</v>
      </c>
      <c r="H6844" s="255">
        <v>2</v>
      </c>
      <c r="I6844" s="361">
        <v>1</v>
      </c>
      <c r="J6844" s="368" t="s">
        <v>286</v>
      </c>
      <c r="K6844" s="388"/>
      <c r="L6844" s="387"/>
      <c r="W6844" s="129" t="s">
        <v>286</v>
      </c>
      <c r="X6844" s="337" t="b">
        <f t="shared" si="147"/>
        <v>1</v>
      </c>
    </row>
    <row r="6845" spans="2:24" s="360" customFormat="1" ht="12" customHeight="1" outlineLevel="1">
      <c r="B6845" s="118" t="s">
        <v>12</v>
      </c>
      <c r="C6845" s="334" t="s">
        <v>16372</v>
      </c>
      <c r="D6845" s="124" t="s">
        <v>16373</v>
      </c>
      <c r="E6845" s="125"/>
      <c r="F6845" s="118" t="s">
        <v>4396</v>
      </c>
      <c r="G6845" s="126" t="s">
        <v>16333</v>
      </c>
      <c r="H6845" s="255">
        <v>2</v>
      </c>
      <c r="I6845" s="361">
        <v>1</v>
      </c>
      <c r="J6845" s="368" t="s">
        <v>286</v>
      </c>
      <c r="K6845" s="388"/>
      <c r="L6845" s="387"/>
      <c r="W6845" s="129" t="s">
        <v>286</v>
      </c>
      <c r="X6845" s="337" t="b">
        <f t="shared" si="147"/>
        <v>1</v>
      </c>
    </row>
    <row r="6846" spans="2:24" s="360" customFormat="1" ht="12" customHeight="1" outlineLevel="1">
      <c r="B6846" s="118" t="s">
        <v>12</v>
      </c>
      <c r="C6846" s="334" t="s">
        <v>16374</v>
      </c>
      <c r="D6846" s="124" t="s">
        <v>16375</v>
      </c>
      <c r="E6846" s="125"/>
      <c r="F6846" s="118" t="s">
        <v>4396</v>
      </c>
      <c r="G6846" s="126" t="s">
        <v>16333</v>
      </c>
      <c r="H6846" s="255">
        <v>2</v>
      </c>
      <c r="I6846" s="361">
        <v>1</v>
      </c>
      <c r="J6846" s="368" t="s">
        <v>286</v>
      </c>
      <c r="K6846" s="388"/>
      <c r="L6846" s="387"/>
      <c r="W6846" s="129" t="s">
        <v>286</v>
      </c>
      <c r="X6846" s="337" t="b">
        <f t="shared" si="147"/>
        <v>1</v>
      </c>
    </row>
    <row r="6847" spans="2:24" s="360" customFormat="1" ht="12" customHeight="1" outlineLevel="1">
      <c r="B6847" s="118" t="s">
        <v>12</v>
      </c>
      <c r="C6847" s="334" t="s">
        <v>16376</v>
      </c>
      <c r="D6847" s="124" t="s">
        <v>16377</v>
      </c>
      <c r="E6847" s="125"/>
      <c r="F6847" s="118" t="s">
        <v>4396</v>
      </c>
      <c r="G6847" s="126" t="s">
        <v>16333</v>
      </c>
      <c r="H6847" s="255">
        <v>2</v>
      </c>
      <c r="I6847" s="361">
        <v>1</v>
      </c>
      <c r="J6847" s="368" t="s">
        <v>286</v>
      </c>
      <c r="K6847" s="388"/>
      <c r="L6847" s="387"/>
      <c r="W6847" s="129" t="s">
        <v>4876</v>
      </c>
      <c r="X6847" s="337" t="b">
        <f t="shared" si="147"/>
        <v>0</v>
      </c>
    </row>
    <row r="6848" spans="2:24" s="360" customFormat="1" ht="12" customHeight="1" outlineLevel="1">
      <c r="B6848" s="118" t="s">
        <v>12</v>
      </c>
      <c r="C6848" s="334" t="s">
        <v>16378</v>
      </c>
      <c r="D6848" s="124" t="s">
        <v>16379</v>
      </c>
      <c r="E6848" s="125"/>
      <c r="F6848" s="118" t="s">
        <v>4396</v>
      </c>
      <c r="G6848" s="126" t="s">
        <v>16333</v>
      </c>
      <c r="H6848" s="255">
        <v>2</v>
      </c>
      <c r="I6848" s="361">
        <v>1</v>
      </c>
      <c r="J6848" s="368" t="s">
        <v>286</v>
      </c>
      <c r="K6848" s="388"/>
      <c r="L6848" s="387"/>
      <c r="W6848" s="129" t="s">
        <v>286</v>
      </c>
      <c r="X6848" s="337" t="b">
        <f t="shared" si="147"/>
        <v>1</v>
      </c>
    </row>
    <row r="6849" spans="1:24" s="360" customFormat="1" ht="12" customHeight="1" outlineLevel="1">
      <c r="B6849" s="118" t="s">
        <v>12</v>
      </c>
      <c r="C6849" s="334" t="s">
        <v>16380</v>
      </c>
      <c r="D6849" s="124" t="s">
        <v>16381</v>
      </c>
      <c r="E6849" s="125"/>
      <c r="F6849" s="118" t="s">
        <v>4396</v>
      </c>
      <c r="G6849" s="126" t="s">
        <v>16333</v>
      </c>
      <c r="H6849" s="255">
        <v>2</v>
      </c>
      <c r="I6849" s="361">
        <v>1</v>
      </c>
      <c r="J6849" s="368" t="s">
        <v>286</v>
      </c>
      <c r="K6849" s="388"/>
      <c r="L6849" s="387"/>
      <c r="W6849" s="129" t="s">
        <v>286</v>
      </c>
      <c r="X6849" s="337" t="b">
        <f t="shared" si="147"/>
        <v>1</v>
      </c>
    </row>
    <row r="6850" spans="1:24" s="360" customFormat="1" ht="12" customHeight="1" outlineLevel="1">
      <c r="B6850" s="118" t="s">
        <v>12</v>
      </c>
      <c r="C6850" s="334" t="s">
        <v>16382</v>
      </c>
      <c r="D6850" s="124" t="s">
        <v>16383</v>
      </c>
      <c r="E6850" s="125"/>
      <c r="F6850" s="118" t="s">
        <v>4396</v>
      </c>
      <c r="G6850" s="126" t="s">
        <v>16333</v>
      </c>
      <c r="H6850" s="255">
        <v>2</v>
      </c>
      <c r="I6850" s="361">
        <v>1</v>
      </c>
      <c r="J6850" s="368" t="s">
        <v>286</v>
      </c>
      <c r="K6850" s="388"/>
      <c r="L6850" s="387"/>
      <c r="W6850" s="129" t="s">
        <v>286</v>
      </c>
      <c r="X6850" s="337" t="b">
        <f t="shared" si="147"/>
        <v>1</v>
      </c>
    </row>
    <row r="6851" spans="1:24" s="386" customFormat="1" ht="12" customHeight="1" outlineLevel="1">
      <c r="A6851" s="382"/>
      <c r="B6851" s="118" t="s">
        <v>12</v>
      </c>
      <c r="C6851" s="334" t="s">
        <v>16384</v>
      </c>
      <c r="D6851" s="124" t="s">
        <v>16385</v>
      </c>
      <c r="E6851" s="125"/>
      <c r="F6851" s="118" t="s">
        <v>4396</v>
      </c>
      <c r="G6851" s="126" t="s">
        <v>16333</v>
      </c>
      <c r="H6851" s="255">
        <v>2</v>
      </c>
      <c r="I6851" s="369">
        <v>1</v>
      </c>
      <c r="J6851" s="371" t="s">
        <v>286</v>
      </c>
      <c r="K6851" s="369"/>
      <c r="L6851" s="129"/>
      <c r="M6851" s="378"/>
      <c r="O6851" s="129"/>
      <c r="P6851" s="129"/>
      <c r="Q6851" s="372"/>
      <c r="R6851" s="129"/>
      <c r="S6851" s="129"/>
      <c r="T6851" s="129"/>
      <c r="W6851" s="129" t="s">
        <v>286</v>
      </c>
      <c r="X6851" s="337" t="b">
        <f t="shared" si="147"/>
        <v>1</v>
      </c>
    </row>
    <row r="6852" spans="1:24" s="386" customFormat="1" ht="12" customHeight="1" outlineLevel="1">
      <c r="A6852" s="382"/>
      <c r="B6852" s="118" t="s">
        <v>12</v>
      </c>
      <c r="C6852" s="334" t="s">
        <v>16386</v>
      </c>
      <c r="D6852" s="124" t="s">
        <v>16387</v>
      </c>
      <c r="E6852" s="125"/>
      <c r="F6852" s="118" t="s">
        <v>4396</v>
      </c>
      <c r="G6852" s="126" t="s">
        <v>16333</v>
      </c>
      <c r="H6852" s="255">
        <v>2</v>
      </c>
      <c r="I6852" s="369">
        <v>1</v>
      </c>
      <c r="J6852" s="371" t="s">
        <v>286</v>
      </c>
      <c r="K6852" s="369"/>
      <c r="L6852" s="129"/>
      <c r="M6852" s="378"/>
      <c r="O6852" s="129"/>
      <c r="P6852" s="129"/>
      <c r="Q6852" s="372"/>
      <c r="R6852" s="129"/>
      <c r="S6852" s="129"/>
      <c r="T6852" s="129"/>
      <c r="W6852" s="129" t="s">
        <v>286</v>
      </c>
      <c r="X6852" s="337" t="b">
        <f t="shared" ref="X6852" si="148">W6852=J6852</f>
        <v>1</v>
      </c>
    </row>
    <row r="6853" spans="1:24" s="386" customFormat="1" ht="12" customHeight="1" outlineLevel="1">
      <c r="A6853" s="382"/>
      <c r="B6853" s="135" t="s">
        <v>206</v>
      </c>
      <c r="C6853" s="334"/>
      <c r="D6853" s="124"/>
      <c r="E6853" s="125"/>
      <c r="F6853" s="118"/>
      <c r="G6853" s="126"/>
      <c r="H6853" s="255"/>
      <c r="I6853" s="369"/>
      <c r="J6853" s="371"/>
      <c r="K6853" s="369"/>
      <c r="L6853" s="129"/>
      <c r="M6853" s="378"/>
      <c r="O6853" s="129"/>
      <c r="P6853" s="129"/>
      <c r="Q6853" s="372"/>
      <c r="R6853" s="129"/>
      <c r="S6853" s="129"/>
      <c r="T6853" s="129"/>
      <c r="W6853" s="129"/>
      <c r="X6853" s="337"/>
    </row>
    <row r="6854" spans="1:24" s="360" customFormat="1" ht="12" customHeight="1" outlineLevel="1">
      <c r="B6854" s="118" t="s">
        <v>12</v>
      </c>
      <c r="C6854" s="334" t="s">
        <v>16388</v>
      </c>
      <c r="D6854" s="124" t="s">
        <v>16389</v>
      </c>
      <c r="E6854" s="125"/>
      <c r="F6854" s="118" t="s">
        <v>4396</v>
      </c>
      <c r="G6854" s="126" t="s">
        <v>16390</v>
      </c>
      <c r="H6854" s="255">
        <v>3</v>
      </c>
      <c r="I6854" s="361">
        <v>1</v>
      </c>
      <c r="J6854" s="368" t="s">
        <v>286</v>
      </c>
      <c r="K6854" s="388"/>
      <c r="L6854" s="387"/>
      <c r="W6854" s="129" t="s">
        <v>286</v>
      </c>
      <c r="X6854" s="337" t="b">
        <f t="shared" si="147"/>
        <v>1</v>
      </c>
    </row>
    <row r="6855" spans="1:24" s="360" customFormat="1" ht="12" customHeight="1" outlineLevel="1">
      <c r="B6855" s="118" t="s">
        <v>12</v>
      </c>
      <c r="C6855" s="334" t="s">
        <v>16391</v>
      </c>
      <c r="D6855" s="124" t="s">
        <v>16392</v>
      </c>
      <c r="E6855" s="125"/>
      <c r="F6855" s="118" t="s">
        <v>4396</v>
      </c>
      <c r="G6855" s="126" t="s">
        <v>16390</v>
      </c>
      <c r="H6855" s="255">
        <v>3</v>
      </c>
      <c r="I6855" s="361">
        <v>1</v>
      </c>
      <c r="J6855" s="368" t="s">
        <v>286</v>
      </c>
      <c r="K6855" s="388"/>
      <c r="L6855" s="387"/>
      <c r="W6855" s="129" t="s">
        <v>4876</v>
      </c>
      <c r="X6855" s="337" t="b">
        <f t="shared" si="147"/>
        <v>0</v>
      </c>
    </row>
    <row r="6856" spans="1:24" s="360" customFormat="1" ht="12" customHeight="1" outlineLevel="1">
      <c r="B6856" s="118" t="s">
        <v>12</v>
      </c>
      <c r="C6856" s="334" t="s">
        <v>16393</v>
      </c>
      <c r="D6856" s="124" t="s">
        <v>16394</v>
      </c>
      <c r="E6856" s="125"/>
      <c r="F6856" s="118" t="s">
        <v>4396</v>
      </c>
      <c r="G6856" s="126" t="s">
        <v>16390</v>
      </c>
      <c r="H6856" s="255">
        <v>3</v>
      </c>
      <c r="I6856" s="361">
        <v>1</v>
      </c>
      <c r="J6856" s="368" t="s">
        <v>286</v>
      </c>
      <c r="K6856" s="388"/>
      <c r="L6856" s="387"/>
      <c r="W6856" s="129" t="s">
        <v>286</v>
      </c>
      <c r="X6856" s="337" t="b">
        <f t="shared" si="147"/>
        <v>1</v>
      </c>
    </row>
    <row r="6857" spans="1:24" s="360" customFormat="1" ht="12" customHeight="1" outlineLevel="1">
      <c r="B6857" s="118" t="s">
        <v>12</v>
      </c>
      <c r="C6857" s="334" t="s">
        <v>16395</v>
      </c>
      <c r="D6857" s="124" t="s">
        <v>16396</v>
      </c>
      <c r="E6857" s="125"/>
      <c r="F6857" s="118" t="s">
        <v>4396</v>
      </c>
      <c r="G6857" s="126" t="s">
        <v>16390</v>
      </c>
      <c r="H6857" s="255">
        <v>3</v>
      </c>
      <c r="I6857" s="361">
        <v>1</v>
      </c>
      <c r="J6857" s="368" t="s">
        <v>286</v>
      </c>
      <c r="K6857" s="388"/>
      <c r="L6857" s="387"/>
      <c r="W6857" s="129" t="s">
        <v>286</v>
      </c>
      <c r="X6857" s="337" t="b">
        <f t="shared" si="147"/>
        <v>1</v>
      </c>
    </row>
    <row r="6858" spans="1:24" s="360" customFormat="1" ht="12" customHeight="1" outlineLevel="1">
      <c r="B6858" s="118" t="s">
        <v>12</v>
      </c>
      <c r="C6858" s="334" t="s">
        <v>16397</v>
      </c>
      <c r="D6858" s="124" t="s">
        <v>16398</v>
      </c>
      <c r="E6858" s="125"/>
      <c r="F6858" s="118" t="s">
        <v>4396</v>
      </c>
      <c r="G6858" s="126" t="s">
        <v>16390</v>
      </c>
      <c r="H6858" s="255">
        <v>3</v>
      </c>
      <c r="I6858" s="361">
        <v>1</v>
      </c>
      <c r="J6858" s="368" t="s">
        <v>286</v>
      </c>
      <c r="K6858" s="388"/>
      <c r="L6858" s="387"/>
      <c r="W6858" s="129" t="s">
        <v>4876</v>
      </c>
      <c r="X6858" s="337" t="b">
        <f t="shared" si="147"/>
        <v>0</v>
      </c>
    </row>
    <row r="6859" spans="1:24" s="360" customFormat="1" ht="12" customHeight="1" outlineLevel="1">
      <c r="B6859" s="118" t="s">
        <v>12</v>
      </c>
      <c r="C6859" s="334" t="s">
        <v>16399</v>
      </c>
      <c r="D6859" s="124" t="s">
        <v>16400</v>
      </c>
      <c r="E6859" s="125"/>
      <c r="F6859" s="118" t="s">
        <v>4396</v>
      </c>
      <c r="G6859" s="126" t="s">
        <v>16390</v>
      </c>
      <c r="H6859" s="255">
        <v>3</v>
      </c>
      <c r="I6859" s="361">
        <v>1</v>
      </c>
      <c r="J6859" s="368" t="s">
        <v>310</v>
      </c>
      <c r="K6859" s="388"/>
      <c r="L6859" s="387"/>
      <c r="W6859" s="129" t="s">
        <v>286</v>
      </c>
      <c r="X6859" s="337" t="b">
        <f t="shared" si="147"/>
        <v>0</v>
      </c>
    </row>
    <row r="6860" spans="1:24" s="360" customFormat="1" ht="12" customHeight="1" outlineLevel="1">
      <c r="B6860" s="118" t="s">
        <v>12</v>
      </c>
      <c r="C6860" s="334" t="s">
        <v>16401</v>
      </c>
      <c r="D6860" s="124" t="s">
        <v>16402</v>
      </c>
      <c r="E6860" s="125"/>
      <c r="F6860" s="118" t="s">
        <v>4396</v>
      </c>
      <c r="G6860" s="126" t="s">
        <v>16390</v>
      </c>
      <c r="H6860" s="255">
        <v>3</v>
      </c>
      <c r="I6860" s="361">
        <v>1</v>
      </c>
      <c r="J6860" s="368" t="s">
        <v>310</v>
      </c>
      <c r="K6860" s="388"/>
      <c r="L6860" s="387"/>
      <c r="W6860" s="129" t="s">
        <v>286</v>
      </c>
      <c r="X6860" s="337" t="b">
        <f t="shared" si="147"/>
        <v>0</v>
      </c>
    </row>
    <row r="6861" spans="1:24" s="360" customFormat="1" ht="12" customHeight="1" outlineLevel="1">
      <c r="B6861" s="118" t="s">
        <v>12</v>
      </c>
      <c r="C6861" s="334" t="s">
        <v>16403</v>
      </c>
      <c r="D6861" s="124" t="s">
        <v>16404</v>
      </c>
      <c r="E6861" s="125"/>
      <c r="F6861" s="118" t="s">
        <v>4396</v>
      </c>
      <c r="G6861" s="126" t="s">
        <v>16390</v>
      </c>
      <c r="H6861" s="255">
        <v>3</v>
      </c>
      <c r="I6861" s="361">
        <v>1</v>
      </c>
      <c r="J6861" s="368" t="s">
        <v>286</v>
      </c>
      <c r="K6861" s="388"/>
      <c r="L6861" s="387"/>
      <c r="W6861" s="129" t="s">
        <v>286</v>
      </c>
      <c r="X6861" s="337" t="b">
        <f t="shared" si="147"/>
        <v>1</v>
      </c>
    </row>
    <row r="6862" spans="1:24" s="360" customFormat="1" ht="12" customHeight="1" outlineLevel="1">
      <c r="B6862" s="118" t="s">
        <v>12</v>
      </c>
      <c r="C6862" s="334" t="s">
        <v>16405</v>
      </c>
      <c r="D6862" s="124" t="s">
        <v>16406</v>
      </c>
      <c r="E6862" s="125"/>
      <c r="F6862" s="118" t="s">
        <v>4396</v>
      </c>
      <c r="G6862" s="126" t="s">
        <v>16390</v>
      </c>
      <c r="H6862" s="255">
        <v>3</v>
      </c>
      <c r="I6862" s="361">
        <v>1</v>
      </c>
      <c r="J6862" s="368" t="s">
        <v>307</v>
      </c>
      <c r="K6862" s="388"/>
      <c r="L6862" s="387"/>
      <c r="W6862" s="129" t="s">
        <v>286</v>
      </c>
      <c r="X6862" s="337" t="b">
        <f t="shared" si="147"/>
        <v>0</v>
      </c>
    </row>
    <row r="6863" spans="1:24" s="360" customFormat="1" ht="12" customHeight="1" outlineLevel="1">
      <c r="B6863" s="118" t="s">
        <v>12</v>
      </c>
      <c r="C6863" s="334" t="s">
        <v>16407</v>
      </c>
      <c r="D6863" s="124" t="s">
        <v>16408</v>
      </c>
      <c r="E6863" s="125"/>
      <c r="F6863" s="118" t="s">
        <v>4396</v>
      </c>
      <c r="G6863" s="126" t="s">
        <v>16390</v>
      </c>
      <c r="H6863" s="255">
        <v>3</v>
      </c>
      <c r="I6863" s="361">
        <v>1</v>
      </c>
      <c r="J6863" s="368" t="s">
        <v>310</v>
      </c>
      <c r="K6863" s="388"/>
      <c r="L6863" s="387"/>
      <c r="W6863" s="129" t="s">
        <v>286</v>
      </c>
      <c r="X6863" s="337" t="b">
        <f t="shared" si="147"/>
        <v>0</v>
      </c>
    </row>
    <row r="6864" spans="1:24" s="360" customFormat="1" ht="12" customHeight="1" outlineLevel="1">
      <c r="B6864" s="118" t="s">
        <v>12</v>
      </c>
      <c r="C6864" s="334" t="s">
        <v>16409</v>
      </c>
      <c r="D6864" s="124" t="s">
        <v>16410</v>
      </c>
      <c r="E6864" s="125"/>
      <c r="F6864" s="118" t="s">
        <v>4396</v>
      </c>
      <c r="G6864" s="126" t="s">
        <v>16390</v>
      </c>
      <c r="H6864" s="255">
        <v>3</v>
      </c>
      <c r="I6864" s="361">
        <v>1</v>
      </c>
      <c r="J6864" s="368" t="s">
        <v>286</v>
      </c>
      <c r="K6864" s="388"/>
      <c r="L6864" s="387"/>
      <c r="W6864" s="129" t="s">
        <v>286</v>
      </c>
      <c r="X6864" s="337" t="b">
        <f t="shared" si="147"/>
        <v>1</v>
      </c>
    </row>
    <row r="6865" spans="2:24" s="360" customFormat="1" ht="12" customHeight="1" outlineLevel="1">
      <c r="B6865" s="118" t="s">
        <v>12</v>
      </c>
      <c r="C6865" s="334" t="s">
        <v>16411</v>
      </c>
      <c r="D6865" s="124" t="s">
        <v>16412</v>
      </c>
      <c r="E6865" s="125"/>
      <c r="F6865" s="118" t="s">
        <v>4396</v>
      </c>
      <c r="G6865" s="126" t="s">
        <v>16390</v>
      </c>
      <c r="H6865" s="255">
        <v>3</v>
      </c>
      <c r="I6865" s="361">
        <v>1</v>
      </c>
      <c r="J6865" s="368" t="s">
        <v>286</v>
      </c>
      <c r="K6865" s="388"/>
      <c r="L6865" s="387"/>
      <c r="W6865" s="129" t="s">
        <v>286</v>
      </c>
      <c r="X6865" s="337" t="b">
        <f t="shared" si="147"/>
        <v>1</v>
      </c>
    </row>
    <row r="6866" spans="2:24" s="360" customFormat="1" ht="12" customHeight="1" outlineLevel="1">
      <c r="B6866" s="118" t="s">
        <v>12</v>
      </c>
      <c r="C6866" s="334" t="s">
        <v>16413</v>
      </c>
      <c r="D6866" s="124" t="s">
        <v>16414</v>
      </c>
      <c r="E6866" s="125"/>
      <c r="F6866" s="118" t="s">
        <v>4396</v>
      </c>
      <c r="G6866" s="126" t="s">
        <v>16390</v>
      </c>
      <c r="H6866" s="255">
        <v>3</v>
      </c>
      <c r="I6866" s="361">
        <v>1</v>
      </c>
      <c r="J6866" s="368" t="s">
        <v>286</v>
      </c>
      <c r="K6866" s="388"/>
      <c r="L6866" s="387"/>
      <c r="W6866" s="129" t="s">
        <v>286</v>
      </c>
      <c r="X6866" s="337" t="b">
        <f t="shared" si="147"/>
        <v>1</v>
      </c>
    </row>
    <row r="6867" spans="2:24" s="360" customFormat="1" ht="12" customHeight="1" outlineLevel="1">
      <c r="B6867" s="118" t="s">
        <v>12</v>
      </c>
      <c r="C6867" s="334" t="s">
        <v>16415</v>
      </c>
      <c r="D6867" s="124" t="s">
        <v>16416</v>
      </c>
      <c r="E6867" s="125"/>
      <c r="F6867" s="118" t="s">
        <v>4396</v>
      </c>
      <c r="G6867" s="126" t="s">
        <v>16390</v>
      </c>
      <c r="H6867" s="255">
        <v>3</v>
      </c>
      <c r="I6867" s="361">
        <v>1</v>
      </c>
      <c r="J6867" s="368" t="s">
        <v>286</v>
      </c>
      <c r="K6867" s="388"/>
      <c r="L6867" s="387"/>
      <c r="W6867" s="129" t="s">
        <v>286</v>
      </c>
      <c r="X6867" s="337" t="b">
        <f t="shared" si="147"/>
        <v>1</v>
      </c>
    </row>
    <row r="6868" spans="2:24" s="360" customFormat="1" ht="12" customHeight="1" outlineLevel="1">
      <c r="B6868" s="118" t="s">
        <v>12</v>
      </c>
      <c r="C6868" s="334" t="s">
        <v>16417</v>
      </c>
      <c r="D6868" s="124" t="s">
        <v>16418</v>
      </c>
      <c r="E6868" s="125"/>
      <c r="F6868" s="118" t="s">
        <v>4396</v>
      </c>
      <c r="G6868" s="126" t="s">
        <v>16390</v>
      </c>
      <c r="H6868" s="255">
        <v>3</v>
      </c>
      <c r="I6868" s="361">
        <v>1</v>
      </c>
      <c r="J6868" s="368" t="s">
        <v>286</v>
      </c>
      <c r="K6868" s="388"/>
      <c r="L6868" s="387"/>
      <c r="W6868" s="129" t="s">
        <v>286</v>
      </c>
      <c r="X6868" s="337" t="b">
        <f t="shared" si="147"/>
        <v>1</v>
      </c>
    </row>
    <row r="6869" spans="2:24" s="360" customFormat="1" ht="12" customHeight="1" outlineLevel="1">
      <c r="B6869" s="118" t="s">
        <v>12</v>
      </c>
      <c r="C6869" s="334" t="s">
        <v>16419</v>
      </c>
      <c r="D6869" s="124" t="s">
        <v>16420</v>
      </c>
      <c r="E6869" s="125"/>
      <c r="F6869" s="118" t="s">
        <v>4396</v>
      </c>
      <c r="G6869" s="126" t="s">
        <v>16390</v>
      </c>
      <c r="H6869" s="255">
        <v>3</v>
      </c>
      <c r="I6869" s="361">
        <v>1</v>
      </c>
      <c r="J6869" s="368" t="s">
        <v>310</v>
      </c>
      <c r="K6869" s="388"/>
      <c r="L6869" s="387"/>
      <c r="W6869" s="129" t="s">
        <v>286</v>
      </c>
      <c r="X6869" s="337" t="b">
        <f t="shared" si="147"/>
        <v>0</v>
      </c>
    </row>
    <row r="6870" spans="2:24" s="360" customFormat="1" ht="12" customHeight="1" outlineLevel="1">
      <c r="B6870" s="118" t="s">
        <v>12</v>
      </c>
      <c r="C6870" s="334" t="s">
        <v>16421</v>
      </c>
      <c r="D6870" s="124" t="s">
        <v>16422</v>
      </c>
      <c r="E6870" s="125"/>
      <c r="F6870" s="118" t="s">
        <v>4396</v>
      </c>
      <c r="G6870" s="126" t="s">
        <v>16390</v>
      </c>
      <c r="H6870" s="255">
        <v>3</v>
      </c>
      <c r="I6870" s="361">
        <v>1</v>
      </c>
      <c r="J6870" s="368" t="s">
        <v>310</v>
      </c>
      <c r="K6870" s="388"/>
      <c r="L6870" s="387"/>
      <c r="W6870" s="129" t="s">
        <v>286</v>
      </c>
      <c r="X6870" s="337" t="b">
        <f t="shared" si="147"/>
        <v>0</v>
      </c>
    </row>
    <row r="6871" spans="2:24" s="360" customFormat="1" ht="12" customHeight="1" outlineLevel="1">
      <c r="B6871" s="118" t="s">
        <v>12</v>
      </c>
      <c r="C6871" s="334" t="s">
        <v>16423</v>
      </c>
      <c r="D6871" s="124" t="s">
        <v>16424</v>
      </c>
      <c r="E6871" s="125"/>
      <c r="F6871" s="118" t="s">
        <v>4396</v>
      </c>
      <c r="G6871" s="126" t="s">
        <v>16390</v>
      </c>
      <c r="H6871" s="255">
        <v>3</v>
      </c>
      <c r="I6871" s="361">
        <v>1</v>
      </c>
      <c r="J6871" s="368" t="s">
        <v>310</v>
      </c>
      <c r="K6871" s="388"/>
      <c r="L6871" s="387"/>
      <c r="W6871" s="129" t="s">
        <v>286</v>
      </c>
      <c r="X6871" s="337" t="b">
        <f t="shared" si="147"/>
        <v>0</v>
      </c>
    </row>
    <row r="6872" spans="2:24" s="360" customFormat="1" ht="12" customHeight="1" outlineLevel="1">
      <c r="B6872" s="118" t="s">
        <v>12</v>
      </c>
      <c r="C6872" s="334" t="s">
        <v>16425</v>
      </c>
      <c r="D6872" s="124" t="s">
        <v>16426</v>
      </c>
      <c r="E6872" s="125"/>
      <c r="F6872" s="118" t="s">
        <v>4396</v>
      </c>
      <c r="G6872" s="126" t="s">
        <v>16390</v>
      </c>
      <c r="H6872" s="255">
        <v>3</v>
      </c>
      <c r="I6872" s="361">
        <v>1</v>
      </c>
      <c r="J6872" s="368" t="s">
        <v>310</v>
      </c>
      <c r="K6872" s="388"/>
      <c r="L6872" s="387"/>
      <c r="W6872" s="129" t="s">
        <v>286</v>
      </c>
      <c r="X6872" s="337" t="b">
        <f t="shared" si="147"/>
        <v>0</v>
      </c>
    </row>
    <row r="6873" spans="2:24" s="360" customFormat="1" ht="12" customHeight="1" outlineLevel="1">
      <c r="B6873" s="118" t="s">
        <v>12</v>
      </c>
      <c r="C6873" s="334" t="s">
        <v>16427</v>
      </c>
      <c r="D6873" s="124" t="s">
        <v>16428</v>
      </c>
      <c r="E6873" s="125"/>
      <c r="F6873" s="118" t="s">
        <v>4396</v>
      </c>
      <c r="G6873" s="126" t="s">
        <v>16390</v>
      </c>
      <c r="H6873" s="255">
        <v>3</v>
      </c>
      <c r="I6873" s="361">
        <v>1</v>
      </c>
      <c r="J6873" s="368" t="s">
        <v>6148</v>
      </c>
      <c r="K6873" s="388"/>
      <c r="L6873" s="387"/>
      <c r="W6873" s="129" t="s">
        <v>286</v>
      </c>
      <c r="X6873" s="337" t="b">
        <f t="shared" si="147"/>
        <v>0</v>
      </c>
    </row>
    <row r="6874" spans="2:24" s="360" customFormat="1" ht="12" customHeight="1" outlineLevel="1">
      <c r="B6874" s="118" t="s">
        <v>12</v>
      </c>
      <c r="C6874" s="334" t="s">
        <v>16429</v>
      </c>
      <c r="D6874" s="124" t="s">
        <v>16430</v>
      </c>
      <c r="E6874" s="125"/>
      <c r="F6874" s="118" t="s">
        <v>4396</v>
      </c>
      <c r="G6874" s="126" t="s">
        <v>16390</v>
      </c>
      <c r="H6874" s="255">
        <v>3</v>
      </c>
      <c r="I6874" s="361">
        <v>1</v>
      </c>
      <c r="J6874" s="368" t="s">
        <v>286</v>
      </c>
      <c r="K6874" s="388"/>
      <c r="L6874" s="387"/>
      <c r="W6874" s="129" t="s">
        <v>286</v>
      </c>
      <c r="X6874" s="337" t="b">
        <f t="shared" si="147"/>
        <v>1</v>
      </c>
    </row>
    <row r="6875" spans="2:24" s="360" customFormat="1" ht="12" customHeight="1" outlineLevel="1">
      <c r="B6875" s="118" t="s">
        <v>12</v>
      </c>
      <c r="C6875" s="334" t="s">
        <v>16431</v>
      </c>
      <c r="D6875" s="124" t="s">
        <v>16432</v>
      </c>
      <c r="E6875" s="125"/>
      <c r="F6875" s="118" t="s">
        <v>4396</v>
      </c>
      <c r="G6875" s="126" t="s">
        <v>16390</v>
      </c>
      <c r="H6875" s="255">
        <v>3</v>
      </c>
      <c r="I6875" s="361">
        <v>1</v>
      </c>
      <c r="J6875" s="368" t="s">
        <v>286</v>
      </c>
      <c r="K6875" s="388"/>
      <c r="L6875" s="387"/>
      <c r="W6875" s="129" t="s">
        <v>286</v>
      </c>
      <c r="X6875" s="337" t="b">
        <f t="shared" si="147"/>
        <v>1</v>
      </c>
    </row>
    <row r="6876" spans="2:24" s="360" customFormat="1" ht="12" customHeight="1" outlineLevel="1">
      <c r="B6876" s="118" t="s">
        <v>12</v>
      </c>
      <c r="C6876" s="334" t="s">
        <v>16433</v>
      </c>
      <c r="D6876" s="124" t="s">
        <v>16434</v>
      </c>
      <c r="E6876" s="125"/>
      <c r="F6876" s="118" t="s">
        <v>4396</v>
      </c>
      <c r="G6876" s="126" t="s">
        <v>16390</v>
      </c>
      <c r="H6876" s="255">
        <v>3</v>
      </c>
      <c r="I6876" s="361">
        <v>1</v>
      </c>
      <c r="J6876" s="368" t="s">
        <v>310</v>
      </c>
      <c r="K6876" s="388"/>
      <c r="L6876" s="387"/>
      <c r="W6876" s="129" t="s">
        <v>286</v>
      </c>
      <c r="X6876" s="337" t="b">
        <f t="shared" si="147"/>
        <v>0</v>
      </c>
    </row>
    <row r="6877" spans="2:24" s="360" customFormat="1" ht="12" customHeight="1" outlineLevel="1">
      <c r="B6877" s="118" t="s">
        <v>12</v>
      </c>
      <c r="C6877" s="334" t="s">
        <v>16435</v>
      </c>
      <c r="D6877" s="124" t="s">
        <v>16436</v>
      </c>
      <c r="E6877" s="125"/>
      <c r="F6877" s="118" t="s">
        <v>4396</v>
      </c>
      <c r="G6877" s="126" t="s">
        <v>16390</v>
      </c>
      <c r="H6877" s="255">
        <v>3</v>
      </c>
      <c r="I6877" s="361">
        <v>1</v>
      </c>
      <c r="J6877" s="368" t="s">
        <v>286</v>
      </c>
      <c r="K6877" s="388"/>
      <c r="L6877" s="387"/>
      <c r="W6877" s="129" t="s">
        <v>286</v>
      </c>
      <c r="X6877" s="337" t="b">
        <f t="shared" si="147"/>
        <v>1</v>
      </c>
    </row>
    <row r="6878" spans="2:24" s="360" customFormat="1" ht="12" customHeight="1" outlineLevel="1">
      <c r="B6878" s="118" t="s">
        <v>12</v>
      </c>
      <c r="C6878" s="334" t="s">
        <v>16437</v>
      </c>
      <c r="D6878" s="124" t="s">
        <v>16438</v>
      </c>
      <c r="E6878" s="125"/>
      <c r="F6878" s="118" t="s">
        <v>4396</v>
      </c>
      <c r="G6878" s="126" t="s">
        <v>16390</v>
      </c>
      <c r="H6878" s="255">
        <v>3</v>
      </c>
      <c r="I6878" s="361">
        <v>1</v>
      </c>
      <c r="J6878" s="368" t="s">
        <v>286</v>
      </c>
      <c r="K6878" s="388"/>
      <c r="L6878" s="387"/>
      <c r="W6878" s="129" t="s">
        <v>286</v>
      </c>
      <c r="X6878" s="337" t="b">
        <f t="shared" si="147"/>
        <v>1</v>
      </c>
    </row>
    <row r="6879" spans="2:24" s="360" customFormat="1" ht="12" customHeight="1" outlineLevel="1">
      <c r="B6879" s="118" t="s">
        <v>12</v>
      </c>
      <c r="C6879" s="334" t="s">
        <v>16439</v>
      </c>
      <c r="D6879" s="124" t="s">
        <v>16440</v>
      </c>
      <c r="E6879" s="125"/>
      <c r="F6879" s="118" t="s">
        <v>4396</v>
      </c>
      <c r="G6879" s="126" t="s">
        <v>16390</v>
      </c>
      <c r="H6879" s="255">
        <v>3</v>
      </c>
      <c r="I6879" s="361">
        <v>1</v>
      </c>
      <c r="J6879" s="368" t="s">
        <v>286</v>
      </c>
      <c r="K6879" s="388"/>
      <c r="L6879" s="387"/>
      <c r="W6879" s="129" t="s">
        <v>286</v>
      </c>
      <c r="X6879" s="337" t="b">
        <f t="shared" si="147"/>
        <v>1</v>
      </c>
    </row>
    <row r="6880" spans="2:24" s="360" customFormat="1" ht="12" customHeight="1" outlineLevel="1">
      <c r="B6880" s="118" t="s">
        <v>12</v>
      </c>
      <c r="C6880" s="334" t="s">
        <v>16441</v>
      </c>
      <c r="D6880" s="124" t="s">
        <v>16442</v>
      </c>
      <c r="E6880" s="125"/>
      <c r="F6880" s="118" t="s">
        <v>4396</v>
      </c>
      <c r="G6880" s="126" t="s">
        <v>16390</v>
      </c>
      <c r="H6880" s="255">
        <v>3</v>
      </c>
      <c r="I6880" s="361">
        <v>1</v>
      </c>
      <c r="J6880" s="368" t="s">
        <v>286</v>
      </c>
      <c r="K6880" s="388"/>
      <c r="L6880" s="387"/>
      <c r="W6880" s="129" t="s">
        <v>286</v>
      </c>
      <c r="X6880" s="337" t="b">
        <f t="shared" si="147"/>
        <v>1</v>
      </c>
    </row>
    <row r="6881" spans="2:24" s="360" customFormat="1" ht="12" customHeight="1" outlineLevel="1">
      <c r="B6881" s="118" t="s">
        <v>12</v>
      </c>
      <c r="C6881" s="334" t="s">
        <v>16443</v>
      </c>
      <c r="D6881" s="124" t="s">
        <v>16444</v>
      </c>
      <c r="E6881" s="125"/>
      <c r="F6881" s="118" t="s">
        <v>4396</v>
      </c>
      <c r="G6881" s="126" t="s">
        <v>16390</v>
      </c>
      <c r="H6881" s="255">
        <v>3</v>
      </c>
      <c r="I6881" s="361">
        <v>1</v>
      </c>
      <c r="J6881" s="368" t="s">
        <v>286</v>
      </c>
      <c r="K6881" s="388"/>
      <c r="L6881" s="387"/>
      <c r="W6881" s="129" t="s">
        <v>286</v>
      </c>
      <c r="X6881" s="337" t="b">
        <f t="shared" si="147"/>
        <v>1</v>
      </c>
    </row>
    <row r="6882" spans="2:24" s="360" customFormat="1" ht="12" customHeight="1" outlineLevel="1">
      <c r="B6882" s="118" t="s">
        <v>12</v>
      </c>
      <c r="C6882" s="334" t="s">
        <v>16445</v>
      </c>
      <c r="D6882" s="124" t="s">
        <v>16446</v>
      </c>
      <c r="E6882" s="125"/>
      <c r="F6882" s="118" t="s">
        <v>4396</v>
      </c>
      <c r="G6882" s="126" t="s">
        <v>16390</v>
      </c>
      <c r="H6882" s="255">
        <v>3</v>
      </c>
      <c r="I6882" s="361">
        <v>1</v>
      </c>
      <c r="J6882" s="368" t="s">
        <v>310</v>
      </c>
      <c r="K6882" s="388"/>
      <c r="L6882" s="387"/>
      <c r="W6882" s="129" t="s">
        <v>4876</v>
      </c>
      <c r="X6882" s="337" t="b">
        <f t="shared" si="147"/>
        <v>0</v>
      </c>
    </row>
    <row r="6883" spans="2:24" s="360" customFormat="1" ht="12" customHeight="1" outlineLevel="1">
      <c r="B6883" s="118" t="s">
        <v>12</v>
      </c>
      <c r="C6883" s="334" t="s">
        <v>16447</v>
      </c>
      <c r="D6883" s="124" t="s">
        <v>16448</v>
      </c>
      <c r="E6883" s="125"/>
      <c r="F6883" s="118" t="s">
        <v>4396</v>
      </c>
      <c r="G6883" s="126" t="s">
        <v>16390</v>
      </c>
      <c r="H6883" s="255">
        <v>3</v>
      </c>
      <c r="I6883" s="361">
        <v>1</v>
      </c>
      <c r="J6883" s="368" t="s">
        <v>310</v>
      </c>
      <c r="K6883" s="388"/>
      <c r="L6883" s="387"/>
      <c r="W6883" s="129" t="s">
        <v>4876</v>
      </c>
      <c r="X6883" s="337" t="b">
        <f t="shared" si="147"/>
        <v>0</v>
      </c>
    </row>
    <row r="6884" spans="2:24" s="360" customFormat="1" ht="12" customHeight="1" outlineLevel="1">
      <c r="B6884" s="118" t="s">
        <v>12</v>
      </c>
      <c r="C6884" s="334" t="s">
        <v>16449</v>
      </c>
      <c r="D6884" s="124" t="s">
        <v>16450</v>
      </c>
      <c r="E6884" s="125"/>
      <c r="F6884" s="118" t="s">
        <v>4396</v>
      </c>
      <c r="G6884" s="126" t="s">
        <v>16390</v>
      </c>
      <c r="H6884" s="255">
        <v>3</v>
      </c>
      <c r="I6884" s="361">
        <v>1</v>
      </c>
      <c r="J6884" s="368" t="s">
        <v>286</v>
      </c>
      <c r="K6884" s="388"/>
      <c r="L6884" s="387"/>
      <c r="W6884" s="129" t="s">
        <v>286</v>
      </c>
      <c r="X6884" s="337" t="b">
        <f t="shared" si="147"/>
        <v>1</v>
      </c>
    </row>
    <row r="6885" spans="2:24" s="360" customFormat="1" ht="12" customHeight="1" outlineLevel="1">
      <c r="B6885" s="118" t="s">
        <v>12</v>
      </c>
      <c r="C6885" s="334" t="s">
        <v>16451</v>
      </c>
      <c r="D6885" s="124" t="s">
        <v>16452</v>
      </c>
      <c r="E6885" s="125"/>
      <c r="F6885" s="118" t="s">
        <v>4396</v>
      </c>
      <c r="G6885" s="126" t="s">
        <v>16390</v>
      </c>
      <c r="H6885" s="255">
        <v>3</v>
      </c>
      <c r="I6885" s="361">
        <v>1</v>
      </c>
      <c r="J6885" s="368" t="s">
        <v>286</v>
      </c>
      <c r="K6885" s="388"/>
      <c r="L6885" s="387"/>
      <c r="W6885" s="129" t="s">
        <v>286</v>
      </c>
      <c r="X6885" s="337" t="b">
        <f t="shared" si="147"/>
        <v>1</v>
      </c>
    </row>
    <row r="6886" spans="2:24" s="360" customFormat="1" ht="12" customHeight="1" outlineLevel="1">
      <c r="B6886" s="118" t="s">
        <v>12</v>
      </c>
      <c r="C6886" s="334" t="s">
        <v>16453</v>
      </c>
      <c r="D6886" s="124" t="s">
        <v>16454</v>
      </c>
      <c r="E6886" s="125"/>
      <c r="F6886" s="118" t="s">
        <v>4396</v>
      </c>
      <c r="G6886" s="126" t="s">
        <v>16390</v>
      </c>
      <c r="H6886" s="255">
        <v>3</v>
      </c>
      <c r="I6886" s="361">
        <v>1</v>
      </c>
      <c r="J6886" s="368" t="s">
        <v>286</v>
      </c>
      <c r="K6886" s="388"/>
      <c r="L6886" s="387"/>
      <c r="W6886" s="129" t="s">
        <v>310</v>
      </c>
      <c r="X6886" s="337" t="b">
        <f t="shared" si="147"/>
        <v>0</v>
      </c>
    </row>
    <row r="6887" spans="2:24" s="360" customFormat="1" ht="12" customHeight="1" outlineLevel="1">
      <c r="B6887" s="118" t="s">
        <v>12</v>
      </c>
      <c r="C6887" s="334" t="s">
        <v>16455</v>
      </c>
      <c r="D6887" s="124" t="s">
        <v>16456</v>
      </c>
      <c r="E6887" s="125"/>
      <c r="F6887" s="118" t="s">
        <v>4396</v>
      </c>
      <c r="G6887" s="126" t="s">
        <v>16390</v>
      </c>
      <c r="H6887" s="255">
        <v>3</v>
      </c>
      <c r="I6887" s="361">
        <v>1</v>
      </c>
      <c r="J6887" s="368" t="s">
        <v>6067</v>
      </c>
      <c r="K6887" s="388"/>
      <c r="L6887" s="387"/>
      <c r="W6887" s="129" t="s">
        <v>310</v>
      </c>
      <c r="X6887" s="337" t="b">
        <f t="shared" si="147"/>
        <v>0</v>
      </c>
    </row>
    <row r="6888" spans="2:24" s="360" customFormat="1" ht="12" customHeight="1" outlineLevel="1">
      <c r="B6888" s="118" t="s">
        <v>12</v>
      </c>
      <c r="C6888" s="334" t="s">
        <v>16457</v>
      </c>
      <c r="D6888" s="124" t="s">
        <v>16458</v>
      </c>
      <c r="E6888" s="125"/>
      <c r="F6888" s="118" t="s">
        <v>4396</v>
      </c>
      <c r="G6888" s="126" t="s">
        <v>16390</v>
      </c>
      <c r="H6888" s="255">
        <v>3</v>
      </c>
      <c r="I6888" s="361">
        <v>1</v>
      </c>
      <c r="J6888" s="368" t="s">
        <v>325</v>
      </c>
      <c r="K6888" s="388"/>
      <c r="L6888" s="387"/>
      <c r="W6888" s="129" t="s">
        <v>4876</v>
      </c>
      <c r="X6888" s="337" t="b">
        <f t="shared" si="147"/>
        <v>0</v>
      </c>
    </row>
    <row r="6889" spans="2:24" s="360" customFormat="1" ht="12" customHeight="1" outlineLevel="1">
      <c r="B6889" s="118" t="s">
        <v>12</v>
      </c>
      <c r="C6889" s="334" t="s">
        <v>16459</v>
      </c>
      <c r="D6889" s="124" t="s">
        <v>16336</v>
      </c>
      <c r="E6889" s="125"/>
      <c r="F6889" s="118" t="s">
        <v>4396</v>
      </c>
      <c r="G6889" s="126" t="s">
        <v>16390</v>
      </c>
      <c r="H6889" s="255">
        <v>3</v>
      </c>
      <c r="I6889" s="361">
        <v>1</v>
      </c>
      <c r="J6889" s="368" t="s">
        <v>310</v>
      </c>
      <c r="K6889" s="388"/>
      <c r="L6889" s="387"/>
      <c r="W6889" s="129" t="s">
        <v>286</v>
      </c>
      <c r="X6889" s="337" t="b">
        <f t="shared" si="147"/>
        <v>0</v>
      </c>
    </row>
    <row r="6890" spans="2:24" s="360" customFormat="1" ht="12" customHeight="1" outlineLevel="1">
      <c r="B6890" s="118" t="s">
        <v>12</v>
      </c>
      <c r="C6890" s="334" t="s">
        <v>16460</v>
      </c>
      <c r="D6890" s="124" t="s">
        <v>16461</v>
      </c>
      <c r="E6890" s="125"/>
      <c r="F6890" s="118" t="s">
        <v>4396</v>
      </c>
      <c r="G6890" s="126" t="s">
        <v>16390</v>
      </c>
      <c r="H6890" s="255">
        <v>3</v>
      </c>
      <c r="I6890" s="361">
        <v>1</v>
      </c>
      <c r="J6890" s="368" t="s">
        <v>286</v>
      </c>
      <c r="K6890" s="388"/>
      <c r="L6890" s="387"/>
      <c r="W6890" s="129" t="s">
        <v>286</v>
      </c>
      <c r="X6890" s="337" t="b">
        <f t="shared" si="147"/>
        <v>1</v>
      </c>
    </row>
    <row r="6891" spans="2:24" s="360" customFormat="1" ht="12" customHeight="1" outlineLevel="1">
      <c r="B6891" s="118" t="s">
        <v>12</v>
      </c>
      <c r="C6891" s="334" t="s">
        <v>16462</v>
      </c>
      <c r="D6891" s="124" t="s">
        <v>16463</v>
      </c>
      <c r="E6891" s="125"/>
      <c r="F6891" s="118" t="s">
        <v>4396</v>
      </c>
      <c r="G6891" s="126" t="s">
        <v>16390</v>
      </c>
      <c r="H6891" s="255">
        <v>3</v>
      </c>
      <c r="I6891" s="361">
        <v>1</v>
      </c>
      <c r="J6891" s="368" t="s">
        <v>286</v>
      </c>
      <c r="K6891" s="388"/>
      <c r="L6891" s="387"/>
      <c r="W6891" s="129" t="s">
        <v>310</v>
      </c>
      <c r="X6891" s="337" t="b">
        <f t="shared" si="147"/>
        <v>0</v>
      </c>
    </row>
    <row r="6892" spans="2:24" s="360" customFormat="1" ht="12" customHeight="1" outlineLevel="1">
      <c r="B6892" s="118" t="s">
        <v>12</v>
      </c>
      <c r="C6892" s="334" t="s">
        <v>16464</v>
      </c>
      <c r="D6892" s="124" t="s">
        <v>16465</v>
      </c>
      <c r="E6892" s="125"/>
      <c r="F6892" s="118" t="s">
        <v>4396</v>
      </c>
      <c r="G6892" s="126" t="s">
        <v>16390</v>
      </c>
      <c r="H6892" s="255">
        <v>3</v>
      </c>
      <c r="I6892" s="361">
        <v>1</v>
      </c>
      <c r="J6892" s="368" t="s">
        <v>286</v>
      </c>
      <c r="K6892" s="388"/>
      <c r="L6892" s="387"/>
      <c r="W6892" s="129" t="s">
        <v>286</v>
      </c>
      <c r="X6892" s="337" t="b">
        <f t="shared" si="147"/>
        <v>1</v>
      </c>
    </row>
    <row r="6893" spans="2:24" s="360" customFormat="1" ht="12" customHeight="1" outlineLevel="1">
      <c r="B6893" s="118" t="s">
        <v>12</v>
      </c>
      <c r="C6893" s="334" t="s">
        <v>16466</v>
      </c>
      <c r="D6893" s="124" t="s">
        <v>16467</v>
      </c>
      <c r="E6893" s="125"/>
      <c r="F6893" s="118" t="s">
        <v>4396</v>
      </c>
      <c r="G6893" s="126" t="s">
        <v>16390</v>
      </c>
      <c r="H6893" s="255">
        <v>3</v>
      </c>
      <c r="I6893" s="361">
        <v>1</v>
      </c>
      <c r="J6893" s="368" t="s">
        <v>286</v>
      </c>
      <c r="K6893" s="388"/>
      <c r="L6893" s="387"/>
      <c r="W6893" s="129" t="s">
        <v>286</v>
      </c>
      <c r="X6893" s="337" t="b">
        <f t="shared" si="147"/>
        <v>1</v>
      </c>
    </row>
    <row r="6894" spans="2:24" s="360" customFormat="1" ht="12" customHeight="1" outlineLevel="1">
      <c r="B6894" s="118" t="s">
        <v>12</v>
      </c>
      <c r="C6894" s="334" t="s">
        <v>16468</v>
      </c>
      <c r="D6894" s="124" t="s">
        <v>16469</v>
      </c>
      <c r="E6894" s="125"/>
      <c r="F6894" s="118" t="s">
        <v>4396</v>
      </c>
      <c r="G6894" s="126" t="s">
        <v>16390</v>
      </c>
      <c r="H6894" s="255">
        <v>3</v>
      </c>
      <c r="I6894" s="361">
        <v>1</v>
      </c>
      <c r="J6894" s="368" t="s">
        <v>286</v>
      </c>
      <c r="K6894" s="388"/>
      <c r="L6894" s="387"/>
      <c r="W6894" s="129" t="s">
        <v>286</v>
      </c>
      <c r="X6894" s="337" t="b">
        <f t="shared" ref="X6894:X6957" si="149">W6894=J6894</f>
        <v>1</v>
      </c>
    </row>
    <row r="6895" spans="2:24" s="360" customFormat="1" ht="12" customHeight="1" outlineLevel="1">
      <c r="B6895" s="118" t="s">
        <v>12</v>
      </c>
      <c r="C6895" s="334" t="s">
        <v>16470</v>
      </c>
      <c r="D6895" s="124" t="s">
        <v>16471</v>
      </c>
      <c r="E6895" s="125"/>
      <c r="F6895" s="118" t="s">
        <v>4396</v>
      </c>
      <c r="G6895" s="126" t="s">
        <v>16390</v>
      </c>
      <c r="H6895" s="255">
        <v>3</v>
      </c>
      <c r="I6895" s="361">
        <v>1</v>
      </c>
      <c r="J6895" s="368" t="s">
        <v>286</v>
      </c>
      <c r="K6895" s="388"/>
      <c r="L6895" s="387"/>
      <c r="W6895" s="129" t="s">
        <v>286</v>
      </c>
      <c r="X6895" s="337" t="b">
        <f t="shared" si="149"/>
        <v>1</v>
      </c>
    </row>
    <row r="6896" spans="2:24" s="360" customFormat="1" ht="12" customHeight="1" outlineLevel="1">
      <c r="B6896" s="118" t="s">
        <v>12</v>
      </c>
      <c r="C6896" s="334" t="s">
        <v>16472</v>
      </c>
      <c r="D6896" s="124" t="s">
        <v>16473</v>
      </c>
      <c r="E6896" s="125"/>
      <c r="F6896" s="118" t="s">
        <v>4396</v>
      </c>
      <c r="G6896" s="126" t="s">
        <v>16390</v>
      </c>
      <c r="H6896" s="255">
        <v>3</v>
      </c>
      <c r="I6896" s="361">
        <v>1</v>
      </c>
      <c r="J6896" s="368" t="s">
        <v>286</v>
      </c>
      <c r="K6896" s="388"/>
      <c r="L6896" s="387"/>
      <c r="W6896" s="129" t="s">
        <v>4876</v>
      </c>
      <c r="X6896" s="337" t="b">
        <f t="shared" si="149"/>
        <v>0</v>
      </c>
    </row>
    <row r="6897" spans="2:24" s="360" customFormat="1" ht="12" customHeight="1" outlineLevel="1">
      <c r="B6897" s="118" t="s">
        <v>12</v>
      </c>
      <c r="C6897" s="334" t="s">
        <v>16474</v>
      </c>
      <c r="D6897" s="124" t="s">
        <v>16475</v>
      </c>
      <c r="E6897" s="125"/>
      <c r="F6897" s="118" t="s">
        <v>4396</v>
      </c>
      <c r="G6897" s="126" t="s">
        <v>16390</v>
      </c>
      <c r="H6897" s="255">
        <v>3</v>
      </c>
      <c r="I6897" s="361">
        <v>1</v>
      </c>
      <c r="J6897" s="368" t="s">
        <v>310</v>
      </c>
      <c r="K6897" s="388"/>
      <c r="L6897" s="387"/>
      <c r="W6897" s="129" t="s">
        <v>310</v>
      </c>
      <c r="X6897" s="337" t="b">
        <f t="shared" si="149"/>
        <v>1</v>
      </c>
    </row>
    <row r="6898" spans="2:24" s="360" customFormat="1" ht="12" customHeight="1" outlineLevel="1">
      <c r="B6898" s="118" t="s">
        <v>12</v>
      </c>
      <c r="C6898" s="334" t="s">
        <v>16476</v>
      </c>
      <c r="D6898" s="124" t="s">
        <v>16477</v>
      </c>
      <c r="E6898" s="125"/>
      <c r="F6898" s="118" t="s">
        <v>4396</v>
      </c>
      <c r="G6898" s="126" t="s">
        <v>16390</v>
      </c>
      <c r="H6898" s="255">
        <v>3</v>
      </c>
      <c r="I6898" s="361">
        <v>1</v>
      </c>
      <c r="J6898" s="368" t="s">
        <v>310</v>
      </c>
      <c r="K6898" s="388"/>
      <c r="L6898" s="387"/>
      <c r="W6898" s="129" t="s">
        <v>310</v>
      </c>
      <c r="X6898" s="337" t="b">
        <f t="shared" si="149"/>
        <v>1</v>
      </c>
    </row>
    <row r="6899" spans="2:24" s="360" customFormat="1" ht="12" customHeight="1" outlineLevel="1">
      <c r="B6899" s="118" t="s">
        <v>12</v>
      </c>
      <c r="C6899" s="334" t="s">
        <v>16478</v>
      </c>
      <c r="D6899" s="124" t="s">
        <v>16479</v>
      </c>
      <c r="E6899" s="125"/>
      <c r="F6899" s="118" t="s">
        <v>4396</v>
      </c>
      <c r="G6899" s="126" t="s">
        <v>16390</v>
      </c>
      <c r="H6899" s="255">
        <v>3</v>
      </c>
      <c r="I6899" s="361">
        <v>1</v>
      </c>
      <c r="J6899" s="368" t="s">
        <v>286</v>
      </c>
      <c r="K6899" s="388"/>
      <c r="L6899" s="387"/>
      <c r="W6899" s="129" t="s">
        <v>310</v>
      </c>
      <c r="X6899" s="337" t="b">
        <f t="shared" si="149"/>
        <v>0</v>
      </c>
    </row>
    <row r="6900" spans="2:24" s="360" customFormat="1" ht="12" customHeight="1" outlineLevel="1">
      <c r="B6900" s="118" t="s">
        <v>12</v>
      </c>
      <c r="C6900" s="334" t="s">
        <v>16480</v>
      </c>
      <c r="D6900" s="124" t="s">
        <v>16481</v>
      </c>
      <c r="E6900" s="125"/>
      <c r="F6900" s="118" t="s">
        <v>4396</v>
      </c>
      <c r="G6900" s="126" t="s">
        <v>16390</v>
      </c>
      <c r="H6900" s="255">
        <v>3</v>
      </c>
      <c r="I6900" s="361">
        <v>1</v>
      </c>
      <c r="J6900" s="368" t="s">
        <v>286</v>
      </c>
      <c r="K6900" s="388"/>
      <c r="L6900" s="387"/>
      <c r="W6900" s="129" t="s">
        <v>310</v>
      </c>
      <c r="X6900" s="337" t="b">
        <f t="shared" si="149"/>
        <v>0</v>
      </c>
    </row>
    <row r="6901" spans="2:24" s="360" customFormat="1" ht="12" customHeight="1" outlineLevel="1">
      <c r="B6901" s="118" t="s">
        <v>12</v>
      </c>
      <c r="C6901" s="334" t="s">
        <v>16482</v>
      </c>
      <c r="D6901" s="124" t="s">
        <v>16483</v>
      </c>
      <c r="E6901" s="125"/>
      <c r="F6901" s="118" t="s">
        <v>4396</v>
      </c>
      <c r="G6901" s="126" t="s">
        <v>16390</v>
      </c>
      <c r="H6901" s="255">
        <v>3</v>
      </c>
      <c r="I6901" s="361">
        <v>1</v>
      </c>
      <c r="J6901" s="368" t="s">
        <v>286</v>
      </c>
      <c r="K6901" s="388"/>
      <c r="L6901" s="387"/>
      <c r="W6901" s="129" t="s">
        <v>310</v>
      </c>
      <c r="X6901" s="337" t="b">
        <f t="shared" si="149"/>
        <v>0</v>
      </c>
    </row>
    <row r="6902" spans="2:24" s="360" customFormat="1" ht="12" customHeight="1" outlineLevel="1">
      <c r="B6902" s="118" t="s">
        <v>12</v>
      </c>
      <c r="C6902" s="334" t="s">
        <v>16484</v>
      </c>
      <c r="D6902" s="124" t="s">
        <v>16485</v>
      </c>
      <c r="E6902" s="125"/>
      <c r="F6902" s="118" t="s">
        <v>4396</v>
      </c>
      <c r="G6902" s="126" t="s">
        <v>16390</v>
      </c>
      <c r="H6902" s="255">
        <v>3</v>
      </c>
      <c r="I6902" s="361">
        <v>1</v>
      </c>
      <c r="J6902" s="368" t="s">
        <v>286</v>
      </c>
      <c r="K6902" s="388"/>
      <c r="L6902" s="387"/>
      <c r="W6902" s="129" t="s">
        <v>286</v>
      </c>
      <c r="X6902" s="337" t="b">
        <f t="shared" si="149"/>
        <v>1</v>
      </c>
    </row>
    <row r="6903" spans="2:24" s="360" customFormat="1" ht="12" customHeight="1" outlineLevel="1">
      <c r="B6903" s="118" t="s">
        <v>12</v>
      </c>
      <c r="C6903" s="334" t="s">
        <v>16486</v>
      </c>
      <c r="D6903" s="124" t="s">
        <v>16487</v>
      </c>
      <c r="E6903" s="125"/>
      <c r="F6903" s="118" t="s">
        <v>4396</v>
      </c>
      <c r="G6903" s="126" t="s">
        <v>16390</v>
      </c>
      <c r="H6903" s="255">
        <v>3</v>
      </c>
      <c r="I6903" s="361">
        <v>1</v>
      </c>
      <c r="J6903" s="368" t="s">
        <v>307</v>
      </c>
      <c r="K6903" s="388"/>
      <c r="L6903" s="387"/>
      <c r="W6903" s="129" t="s">
        <v>4876</v>
      </c>
      <c r="X6903" s="337" t="b">
        <f t="shared" si="149"/>
        <v>0</v>
      </c>
    </row>
    <row r="6904" spans="2:24" s="360" customFormat="1" ht="12" customHeight="1" outlineLevel="1">
      <c r="B6904" s="118" t="s">
        <v>12</v>
      </c>
      <c r="C6904" s="334" t="s">
        <v>16488</v>
      </c>
      <c r="D6904" s="124" t="s">
        <v>16489</v>
      </c>
      <c r="E6904" s="125"/>
      <c r="F6904" s="118" t="s">
        <v>4396</v>
      </c>
      <c r="G6904" s="126" t="s">
        <v>16390</v>
      </c>
      <c r="H6904" s="255">
        <v>3</v>
      </c>
      <c r="I6904" s="361">
        <v>1</v>
      </c>
      <c r="J6904" s="368" t="s">
        <v>307</v>
      </c>
      <c r="K6904" s="388"/>
      <c r="L6904" s="387"/>
      <c r="W6904" s="129" t="s">
        <v>307</v>
      </c>
      <c r="X6904" s="337" t="b">
        <f t="shared" si="149"/>
        <v>1</v>
      </c>
    </row>
    <row r="6905" spans="2:24" s="360" customFormat="1" ht="12" customHeight="1" outlineLevel="1">
      <c r="B6905" s="118" t="s">
        <v>12</v>
      </c>
      <c r="C6905" s="334" t="s">
        <v>16490</v>
      </c>
      <c r="D6905" s="124" t="s">
        <v>16491</v>
      </c>
      <c r="E6905" s="125"/>
      <c r="F6905" s="118" t="s">
        <v>4396</v>
      </c>
      <c r="G6905" s="126" t="s">
        <v>16390</v>
      </c>
      <c r="H6905" s="255">
        <v>3</v>
      </c>
      <c r="I6905" s="361">
        <v>1</v>
      </c>
      <c r="J6905" s="368" t="s">
        <v>310</v>
      </c>
      <c r="K6905" s="388"/>
      <c r="L6905" s="387"/>
      <c r="W6905" s="129" t="s">
        <v>310</v>
      </c>
      <c r="X6905" s="337" t="b">
        <f t="shared" si="149"/>
        <v>1</v>
      </c>
    </row>
    <row r="6906" spans="2:24" s="360" customFormat="1" ht="12" customHeight="1" outlineLevel="1">
      <c r="B6906" s="118" t="s">
        <v>12</v>
      </c>
      <c r="C6906" s="334" t="s">
        <v>16492</v>
      </c>
      <c r="D6906" s="124" t="s">
        <v>16493</v>
      </c>
      <c r="E6906" s="125"/>
      <c r="F6906" s="118" t="s">
        <v>4396</v>
      </c>
      <c r="G6906" s="126" t="s">
        <v>16390</v>
      </c>
      <c r="H6906" s="255">
        <v>3</v>
      </c>
      <c r="I6906" s="361">
        <v>1</v>
      </c>
      <c r="J6906" s="368" t="s">
        <v>310</v>
      </c>
      <c r="K6906" s="388"/>
      <c r="L6906" s="387"/>
      <c r="W6906" s="129" t="s">
        <v>310</v>
      </c>
      <c r="X6906" s="337" t="b">
        <f t="shared" si="149"/>
        <v>1</v>
      </c>
    </row>
    <row r="6907" spans="2:24" s="360" customFormat="1" ht="12" customHeight="1" outlineLevel="1">
      <c r="B6907" s="118" t="s">
        <v>12</v>
      </c>
      <c r="C6907" s="334" t="s">
        <v>16494</v>
      </c>
      <c r="D6907" s="124" t="s">
        <v>16495</v>
      </c>
      <c r="E6907" s="125"/>
      <c r="F6907" s="118" t="s">
        <v>4396</v>
      </c>
      <c r="G6907" s="126" t="s">
        <v>16390</v>
      </c>
      <c r="H6907" s="255">
        <v>3</v>
      </c>
      <c r="I6907" s="361">
        <v>1</v>
      </c>
      <c r="J6907" s="368" t="s">
        <v>286</v>
      </c>
      <c r="K6907" s="388"/>
      <c r="L6907" s="387"/>
      <c r="W6907" s="129" t="s">
        <v>286</v>
      </c>
      <c r="X6907" s="337" t="b">
        <f t="shared" si="149"/>
        <v>1</v>
      </c>
    </row>
    <row r="6908" spans="2:24" s="360" customFormat="1" ht="12" customHeight="1" outlineLevel="1">
      <c r="B6908" s="118" t="s">
        <v>12</v>
      </c>
      <c r="C6908" s="334" t="s">
        <v>16496</v>
      </c>
      <c r="D6908" s="124" t="s">
        <v>16497</v>
      </c>
      <c r="E6908" s="125"/>
      <c r="F6908" s="118" t="s">
        <v>4396</v>
      </c>
      <c r="G6908" s="126" t="s">
        <v>16390</v>
      </c>
      <c r="H6908" s="255">
        <v>3</v>
      </c>
      <c r="I6908" s="361">
        <v>1</v>
      </c>
      <c r="J6908" s="368" t="s">
        <v>286</v>
      </c>
      <c r="K6908" s="388"/>
      <c r="L6908" s="387"/>
      <c r="W6908" s="129" t="s">
        <v>286</v>
      </c>
      <c r="X6908" s="337" t="b">
        <f t="shared" si="149"/>
        <v>1</v>
      </c>
    </row>
    <row r="6909" spans="2:24" s="360" customFormat="1" ht="12" customHeight="1" outlineLevel="1">
      <c r="B6909" s="118" t="s">
        <v>12</v>
      </c>
      <c r="C6909" s="334" t="s">
        <v>16498</v>
      </c>
      <c r="D6909" s="124" t="s">
        <v>16499</v>
      </c>
      <c r="E6909" s="125"/>
      <c r="F6909" s="118" t="s">
        <v>4396</v>
      </c>
      <c r="G6909" s="126" t="s">
        <v>16390</v>
      </c>
      <c r="H6909" s="255">
        <v>3</v>
      </c>
      <c r="I6909" s="361">
        <v>1</v>
      </c>
      <c r="J6909" s="368" t="s">
        <v>286</v>
      </c>
      <c r="K6909" s="388"/>
      <c r="L6909" s="387"/>
      <c r="W6909" s="129" t="s">
        <v>286</v>
      </c>
      <c r="X6909" s="337" t="b">
        <f t="shared" si="149"/>
        <v>1</v>
      </c>
    </row>
    <row r="6910" spans="2:24" s="360" customFormat="1" ht="12" customHeight="1" outlineLevel="1">
      <c r="B6910" s="118" t="s">
        <v>12</v>
      </c>
      <c r="C6910" s="334" t="s">
        <v>16500</v>
      </c>
      <c r="D6910" s="124" t="s">
        <v>16501</v>
      </c>
      <c r="E6910" s="125"/>
      <c r="F6910" s="118" t="s">
        <v>4396</v>
      </c>
      <c r="G6910" s="126" t="s">
        <v>16390</v>
      </c>
      <c r="H6910" s="255">
        <v>3</v>
      </c>
      <c r="I6910" s="361">
        <v>1</v>
      </c>
      <c r="J6910" s="368" t="s">
        <v>286</v>
      </c>
      <c r="K6910" s="388"/>
      <c r="L6910" s="387"/>
      <c r="W6910" s="129" t="s">
        <v>286</v>
      </c>
      <c r="X6910" s="337" t="b">
        <f t="shared" si="149"/>
        <v>1</v>
      </c>
    </row>
    <row r="6911" spans="2:24" s="360" customFormat="1" ht="12" customHeight="1" outlineLevel="1">
      <c r="B6911" s="118" t="s">
        <v>12</v>
      </c>
      <c r="C6911" s="334" t="s">
        <v>16502</v>
      </c>
      <c r="D6911" s="124" t="s">
        <v>16503</v>
      </c>
      <c r="E6911" s="125"/>
      <c r="F6911" s="118" t="s">
        <v>4396</v>
      </c>
      <c r="G6911" s="126" t="s">
        <v>16390</v>
      </c>
      <c r="H6911" s="255">
        <v>3</v>
      </c>
      <c r="I6911" s="361">
        <v>1</v>
      </c>
      <c r="J6911" s="368" t="s">
        <v>286</v>
      </c>
      <c r="K6911" s="388"/>
      <c r="L6911" s="387"/>
      <c r="W6911" s="129" t="s">
        <v>4876</v>
      </c>
      <c r="X6911" s="337" t="b">
        <f t="shared" si="149"/>
        <v>0</v>
      </c>
    </row>
    <row r="6912" spans="2:24" s="360" customFormat="1" ht="12" customHeight="1" outlineLevel="1">
      <c r="B6912" s="118" t="s">
        <v>12</v>
      </c>
      <c r="C6912" s="334" t="s">
        <v>16504</v>
      </c>
      <c r="D6912" s="124" t="s">
        <v>16505</v>
      </c>
      <c r="E6912" s="125"/>
      <c r="F6912" s="118" t="s">
        <v>4396</v>
      </c>
      <c r="G6912" s="126" t="s">
        <v>16390</v>
      </c>
      <c r="H6912" s="255">
        <v>3</v>
      </c>
      <c r="I6912" s="361">
        <v>1</v>
      </c>
      <c r="J6912" s="368" t="s">
        <v>286</v>
      </c>
      <c r="K6912" s="388"/>
      <c r="L6912" s="387"/>
      <c r="W6912" s="129" t="s">
        <v>286</v>
      </c>
      <c r="X6912" s="337" t="b">
        <f t="shared" si="149"/>
        <v>1</v>
      </c>
    </row>
    <row r="6913" spans="2:24" s="360" customFormat="1" ht="12" customHeight="1" outlineLevel="1">
      <c r="B6913" s="118" t="s">
        <v>12</v>
      </c>
      <c r="C6913" s="334" t="s">
        <v>16506</v>
      </c>
      <c r="D6913" s="124" t="s">
        <v>16507</v>
      </c>
      <c r="E6913" s="125"/>
      <c r="F6913" s="118" t="s">
        <v>4396</v>
      </c>
      <c r="G6913" s="126" t="s">
        <v>16390</v>
      </c>
      <c r="H6913" s="255">
        <v>3</v>
      </c>
      <c r="I6913" s="361">
        <v>1</v>
      </c>
      <c r="J6913" s="368" t="s">
        <v>286</v>
      </c>
      <c r="K6913" s="388"/>
      <c r="L6913" s="387"/>
      <c r="W6913" s="129" t="s">
        <v>310</v>
      </c>
      <c r="X6913" s="337" t="b">
        <f t="shared" si="149"/>
        <v>0</v>
      </c>
    </row>
    <row r="6914" spans="2:24" s="360" customFormat="1" ht="12" customHeight="1" outlineLevel="1">
      <c r="B6914" s="118" t="s">
        <v>12</v>
      </c>
      <c r="C6914" s="334" t="s">
        <v>16508</v>
      </c>
      <c r="D6914" s="124" t="s">
        <v>16509</v>
      </c>
      <c r="E6914" s="125"/>
      <c r="F6914" s="118" t="s">
        <v>4396</v>
      </c>
      <c r="G6914" s="126" t="s">
        <v>16390</v>
      </c>
      <c r="H6914" s="255">
        <v>3</v>
      </c>
      <c r="I6914" s="361">
        <v>1</v>
      </c>
      <c r="J6914" s="368" t="s">
        <v>286</v>
      </c>
      <c r="K6914" s="388"/>
      <c r="L6914" s="387"/>
      <c r="W6914" s="129" t="s">
        <v>286</v>
      </c>
      <c r="X6914" s="337" t="b">
        <f t="shared" si="149"/>
        <v>1</v>
      </c>
    </row>
    <row r="6915" spans="2:24" s="360" customFormat="1" ht="12" customHeight="1" outlineLevel="1">
      <c r="B6915" s="118" t="s">
        <v>12</v>
      </c>
      <c r="C6915" s="334" t="s">
        <v>16510</v>
      </c>
      <c r="D6915" s="124" t="s">
        <v>16511</v>
      </c>
      <c r="E6915" s="125"/>
      <c r="F6915" s="118" t="s">
        <v>4396</v>
      </c>
      <c r="G6915" s="126" t="s">
        <v>16390</v>
      </c>
      <c r="H6915" s="255">
        <v>3</v>
      </c>
      <c r="I6915" s="361">
        <v>1</v>
      </c>
      <c r="J6915" s="368" t="s">
        <v>286</v>
      </c>
      <c r="K6915" s="388"/>
      <c r="L6915" s="387"/>
      <c r="W6915" s="129" t="s">
        <v>286</v>
      </c>
      <c r="X6915" s="337" t="b">
        <f t="shared" si="149"/>
        <v>1</v>
      </c>
    </row>
    <row r="6916" spans="2:24" s="360" customFormat="1" ht="12" customHeight="1" outlineLevel="1">
      <c r="B6916" s="118" t="s">
        <v>12</v>
      </c>
      <c r="C6916" s="334" t="s">
        <v>16512</v>
      </c>
      <c r="D6916" s="124" t="s">
        <v>16513</v>
      </c>
      <c r="E6916" s="125"/>
      <c r="F6916" s="118" t="s">
        <v>4396</v>
      </c>
      <c r="G6916" s="126" t="s">
        <v>16390</v>
      </c>
      <c r="H6916" s="255">
        <v>3</v>
      </c>
      <c r="I6916" s="361">
        <v>1</v>
      </c>
      <c r="J6916" s="368" t="s">
        <v>286</v>
      </c>
      <c r="K6916" s="388"/>
      <c r="L6916" s="387"/>
      <c r="W6916" s="129" t="s">
        <v>286</v>
      </c>
      <c r="X6916" s="337" t="b">
        <f t="shared" si="149"/>
        <v>1</v>
      </c>
    </row>
    <row r="6917" spans="2:24" s="360" customFormat="1" ht="12" customHeight="1" outlineLevel="1">
      <c r="B6917" s="118" t="s">
        <v>12</v>
      </c>
      <c r="C6917" s="334" t="s">
        <v>16514</v>
      </c>
      <c r="D6917" s="124" t="s">
        <v>16515</v>
      </c>
      <c r="E6917" s="125"/>
      <c r="F6917" s="118" t="s">
        <v>4396</v>
      </c>
      <c r="G6917" s="126" t="s">
        <v>16390</v>
      </c>
      <c r="H6917" s="255">
        <v>3</v>
      </c>
      <c r="I6917" s="361">
        <v>1</v>
      </c>
      <c r="J6917" s="368" t="s">
        <v>286</v>
      </c>
      <c r="K6917" s="388"/>
      <c r="L6917" s="387"/>
      <c r="W6917" s="129" t="s">
        <v>286</v>
      </c>
      <c r="X6917" s="337" t="b">
        <f t="shared" si="149"/>
        <v>1</v>
      </c>
    </row>
    <row r="6918" spans="2:24" s="360" customFormat="1" ht="12" customHeight="1" outlineLevel="1">
      <c r="B6918" s="118" t="s">
        <v>12</v>
      </c>
      <c r="C6918" s="334" t="s">
        <v>16516</v>
      </c>
      <c r="D6918" s="124" t="s">
        <v>16517</v>
      </c>
      <c r="E6918" s="125"/>
      <c r="F6918" s="118" t="s">
        <v>4396</v>
      </c>
      <c r="G6918" s="126" t="s">
        <v>16390</v>
      </c>
      <c r="H6918" s="255">
        <v>3</v>
      </c>
      <c r="I6918" s="361">
        <v>1</v>
      </c>
      <c r="J6918" s="368" t="s">
        <v>286</v>
      </c>
      <c r="K6918" s="388"/>
      <c r="L6918" s="387"/>
      <c r="W6918" s="129" t="s">
        <v>286</v>
      </c>
      <c r="X6918" s="337" t="b">
        <f t="shared" si="149"/>
        <v>1</v>
      </c>
    </row>
    <row r="6919" spans="2:24" s="360" customFormat="1" ht="12" customHeight="1" outlineLevel="1">
      <c r="B6919" s="118" t="s">
        <v>12</v>
      </c>
      <c r="C6919" s="334" t="s">
        <v>16518</v>
      </c>
      <c r="D6919" s="124" t="s">
        <v>16519</v>
      </c>
      <c r="E6919" s="125"/>
      <c r="F6919" s="118" t="s">
        <v>4396</v>
      </c>
      <c r="G6919" s="126" t="s">
        <v>16390</v>
      </c>
      <c r="H6919" s="255">
        <v>3</v>
      </c>
      <c r="I6919" s="361">
        <v>1</v>
      </c>
      <c r="J6919" s="368" t="s">
        <v>286</v>
      </c>
      <c r="K6919" s="388"/>
      <c r="L6919" s="387"/>
      <c r="W6919" s="129" t="s">
        <v>4876</v>
      </c>
      <c r="X6919" s="337" t="b">
        <f t="shared" si="149"/>
        <v>0</v>
      </c>
    </row>
    <row r="6920" spans="2:24" s="360" customFormat="1" ht="12" customHeight="1" outlineLevel="1">
      <c r="B6920" s="118" t="s">
        <v>12</v>
      </c>
      <c r="C6920" s="334" t="s">
        <v>16520</v>
      </c>
      <c r="D6920" s="124" t="s">
        <v>16521</v>
      </c>
      <c r="E6920" s="125"/>
      <c r="F6920" s="118" t="s">
        <v>4396</v>
      </c>
      <c r="G6920" s="126" t="s">
        <v>16390</v>
      </c>
      <c r="H6920" s="255">
        <v>3</v>
      </c>
      <c r="I6920" s="361">
        <v>1</v>
      </c>
      <c r="J6920" s="368" t="s">
        <v>286</v>
      </c>
      <c r="K6920" s="388"/>
      <c r="L6920" s="387"/>
      <c r="W6920" s="129" t="s">
        <v>286</v>
      </c>
      <c r="X6920" s="337" t="b">
        <f t="shared" si="149"/>
        <v>1</v>
      </c>
    </row>
    <row r="6921" spans="2:24" s="360" customFormat="1" ht="12" customHeight="1" outlineLevel="1">
      <c r="B6921" s="118" t="s">
        <v>12</v>
      </c>
      <c r="C6921" s="334" t="s">
        <v>16522</v>
      </c>
      <c r="D6921" s="124" t="s">
        <v>16523</v>
      </c>
      <c r="E6921" s="125"/>
      <c r="F6921" s="118" t="s">
        <v>4396</v>
      </c>
      <c r="G6921" s="126" t="s">
        <v>16390</v>
      </c>
      <c r="H6921" s="255">
        <v>3</v>
      </c>
      <c r="I6921" s="361">
        <v>1</v>
      </c>
      <c r="J6921" s="368" t="s">
        <v>310</v>
      </c>
      <c r="K6921" s="388"/>
      <c r="L6921" s="387"/>
      <c r="W6921" s="129" t="s">
        <v>4876</v>
      </c>
      <c r="X6921" s="337" t="b">
        <f t="shared" si="149"/>
        <v>0</v>
      </c>
    </row>
    <row r="6922" spans="2:24" s="360" customFormat="1" ht="12" customHeight="1" outlineLevel="1">
      <c r="B6922" s="118" t="s">
        <v>12</v>
      </c>
      <c r="C6922" s="334" t="s">
        <v>16524</v>
      </c>
      <c r="D6922" s="124" t="s">
        <v>16525</v>
      </c>
      <c r="E6922" s="125"/>
      <c r="F6922" s="118" t="s">
        <v>4396</v>
      </c>
      <c r="G6922" s="126" t="s">
        <v>16390</v>
      </c>
      <c r="H6922" s="255">
        <v>3</v>
      </c>
      <c r="I6922" s="361">
        <v>1</v>
      </c>
      <c r="J6922" s="368" t="s">
        <v>307</v>
      </c>
      <c r="K6922" s="388"/>
      <c r="L6922" s="387"/>
      <c r="W6922" s="129" t="s">
        <v>4876</v>
      </c>
      <c r="X6922" s="337" t="b">
        <f t="shared" si="149"/>
        <v>0</v>
      </c>
    </row>
    <row r="6923" spans="2:24" s="360" customFormat="1" ht="12" customHeight="1" outlineLevel="1">
      <c r="B6923" s="118" t="s">
        <v>12</v>
      </c>
      <c r="C6923" s="334" t="s">
        <v>16526</v>
      </c>
      <c r="D6923" s="124" t="s">
        <v>16527</v>
      </c>
      <c r="E6923" s="125"/>
      <c r="F6923" s="118" t="s">
        <v>4396</v>
      </c>
      <c r="G6923" s="126" t="s">
        <v>16390</v>
      </c>
      <c r="H6923" s="255">
        <v>3</v>
      </c>
      <c r="I6923" s="361">
        <v>1</v>
      </c>
      <c r="J6923" s="368" t="s">
        <v>286</v>
      </c>
      <c r="K6923" s="388"/>
      <c r="L6923" s="387"/>
      <c r="W6923" s="129" t="s">
        <v>4876</v>
      </c>
      <c r="X6923" s="337" t="b">
        <f t="shared" si="149"/>
        <v>0</v>
      </c>
    </row>
    <row r="6924" spans="2:24" s="360" customFormat="1" ht="12" customHeight="1" outlineLevel="1">
      <c r="B6924" s="118" t="s">
        <v>12</v>
      </c>
      <c r="C6924" s="334" t="s">
        <v>16528</v>
      </c>
      <c r="D6924" s="124" t="s">
        <v>16529</v>
      </c>
      <c r="E6924" s="125"/>
      <c r="F6924" s="118" t="s">
        <v>4396</v>
      </c>
      <c r="G6924" s="126" t="s">
        <v>16390</v>
      </c>
      <c r="H6924" s="255">
        <v>3</v>
      </c>
      <c r="I6924" s="361">
        <v>1</v>
      </c>
      <c r="J6924" s="368" t="s">
        <v>286</v>
      </c>
      <c r="K6924" s="388"/>
      <c r="L6924" s="387"/>
      <c r="W6924" s="129" t="s">
        <v>4876</v>
      </c>
      <c r="X6924" s="337" t="b">
        <f t="shared" si="149"/>
        <v>0</v>
      </c>
    </row>
    <row r="6925" spans="2:24" s="360" customFormat="1" ht="12" customHeight="1" outlineLevel="1">
      <c r="B6925" s="118" t="s">
        <v>12</v>
      </c>
      <c r="C6925" s="334" t="s">
        <v>16530</v>
      </c>
      <c r="D6925" s="124" t="s">
        <v>16531</v>
      </c>
      <c r="E6925" s="125"/>
      <c r="F6925" s="118" t="s">
        <v>4396</v>
      </c>
      <c r="G6925" s="126" t="s">
        <v>16390</v>
      </c>
      <c r="H6925" s="255">
        <v>3</v>
      </c>
      <c r="I6925" s="361">
        <v>1</v>
      </c>
      <c r="J6925" s="368" t="s">
        <v>286</v>
      </c>
      <c r="K6925" s="388"/>
      <c r="L6925" s="387"/>
      <c r="W6925" s="129" t="s">
        <v>4876</v>
      </c>
      <c r="X6925" s="337" t="b">
        <f t="shared" si="149"/>
        <v>0</v>
      </c>
    </row>
    <row r="6926" spans="2:24" s="360" customFormat="1" ht="12" customHeight="1" outlineLevel="1">
      <c r="B6926" s="118" t="s">
        <v>12</v>
      </c>
      <c r="C6926" s="334" t="s">
        <v>16532</v>
      </c>
      <c r="D6926" s="124" t="s">
        <v>16533</v>
      </c>
      <c r="E6926" s="125"/>
      <c r="F6926" s="118" t="s">
        <v>4396</v>
      </c>
      <c r="G6926" s="126" t="s">
        <v>16390</v>
      </c>
      <c r="H6926" s="255">
        <v>3</v>
      </c>
      <c r="I6926" s="361">
        <v>1</v>
      </c>
      <c r="J6926" s="368" t="s">
        <v>286</v>
      </c>
      <c r="K6926" s="388"/>
      <c r="L6926" s="387"/>
      <c r="W6926" s="129" t="s">
        <v>4876</v>
      </c>
      <c r="X6926" s="337" t="b">
        <f t="shared" si="149"/>
        <v>0</v>
      </c>
    </row>
    <row r="6927" spans="2:24" s="360" customFormat="1" ht="12" customHeight="1" outlineLevel="1">
      <c r="B6927" s="118" t="s">
        <v>12</v>
      </c>
      <c r="C6927" s="334" t="s">
        <v>16534</v>
      </c>
      <c r="D6927" s="124" t="s">
        <v>16535</v>
      </c>
      <c r="E6927" s="125"/>
      <c r="F6927" s="118" t="s">
        <v>4396</v>
      </c>
      <c r="G6927" s="126" t="s">
        <v>16390</v>
      </c>
      <c r="H6927" s="255">
        <v>3</v>
      </c>
      <c r="I6927" s="361">
        <v>1</v>
      </c>
      <c r="J6927" s="368" t="s">
        <v>310</v>
      </c>
      <c r="K6927" s="388"/>
      <c r="L6927" s="387"/>
      <c r="W6927" s="129" t="s">
        <v>310</v>
      </c>
      <c r="X6927" s="337" t="b">
        <f t="shared" si="149"/>
        <v>1</v>
      </c>
    </row>
    <row r="6928" spans="2:24" s="360" customFormat="1" ht="12" customHeight="1" outlineLevel="1">
      <c r="B6928" s="118" t="s">
        <v>12</v>
      </c>
      <c r="C6928" s="334" t="s">
        <v>16536</v>
      </c>
      <c r="D6928" s="124" t="s">
        <v>16537</v>
      </c>
      <c r="E6928" s="125"/>
      <c r="F6928" s="118" t="s">
        <v>4396</v>
      </c>
      <c r="G6928" s="126" t="s">
        <v>16390</v>
      </c>
      <c r="H6928" s="255">
        <v>3</v>
      </c>
      <c r="I6928" s="361">
        <v>1</v>
      </c>
      <c r="J6928" s="368" t="s">
        <v>286</v>
      </c>
      <c r="K6928" s="388"/>
      <c r="L6928" s="387"/>
      <c r="W6928" s="129" t="s">
        <v>4876</v>
      </c>
      <c r="X6928" s="337" t="b">
        <f t="shared" si="149"/>
        <v>0</v>
      </c>
    </row>
    <row r="6929" spans="2:24" s="360" customFormat="1" ht="12" customHeight="1" outlineLevel="1">
      <c r="B6929" s="118" t="s">
        <v>12</v>
      </c>
      <c r="C6929" s="334" t="s">
        <v>16538</v>
      </c>
      <c r="D6929" s="124" t="s">
        <v>16539</v>
      </c>
      <c r="E6929" s="125"/>
      <c r="F6929" s="118" t="s">
        <v>4396</v>
      </c>
      <c r="G6929" s="126" t="s">
        <v>16390</v>
      </c>
      <c r="H6929" s="255">
        <v>3</v>
      </c>
      <c r="I6929" s="361">
        <v>1</v>
      </c>
      <c r="J6929" s="368" t="s">
        <v>6148</v>
      </c>
      <c r="K6929" s="388"/>
      <c r="L6929" s="387"/>
      <c r="W6929" s="129" t="s">
        <v>4876</v>
      </c>
      <c r="X6929" s="337" t="b">
        <f t="shared" si="149"/>
        <v>0</v>
      </c>
    </row>
    <row r="6930" spans="2:24" s="360" customFormat="1" ht="12" customHeight="1" outlineLevel="1">
      <c r="B6930" s="118" t="s">
        <v>12</v>
      </c>
      <c r="C6930" s="334" t="s">
        <v>16540</v>
      </c>
      <c r="D6930" s="124" t="s">
        <v>16541</v>
      </c>
      <c r="E6930" s="125"/>
      <c r="F6930" s="118" t="s">
        <v>4396</v>
      </c>
      <c r="G6930" s="126" t="s">
        <v>16390</v>
      </c>
      <c r="H6930" s="255">
        <v>3</v>
      </c>
      <c r="I6930" s="361">
        <v>1</v>
      </c>
      <c r="J6930" s="368" t="s">
        <v>286</v>
      </c>
      <c r="K6930" s="388"/>
      <c r="L6930" s="387"/>
      <c r="W6930" s="129" t="s">
        <v>4876</v>
      </c>
      <c r="X6930" s="337" t="b">
        <f t="shared" si="149"/>
        <v>0</v>
      </c>
    </row>
    <row r="6931" spans="2:24" s="360" customFormat="1" ht="12" customHeight="1" outlineLevel="1">
      <c r="B6931" s="118" t="s">
        <v>12</v>
      </c>
      <c r="C6931" s="334" t="s">
        <v>16542</v>
      </c>
      <c r="D6931" s="124" t="s">
        <v>16543</v>
      </c>
      <c r="E6931" s="125"/>
      <c r="F6931" s="118" t="s">
        <v>4396</v>
      </c>
      <c r="G6931" s="126" t="s">
        <v>16390</v>
      </c>
      <c r="H6931" s="255">
        <v>3</v>
      </c>
      <c r="I6931" s="361">
        <v>1</v>
      </c>
      <c r="J6931" s="368" t="s">
        <v>286</v>
      </c>
      <c r="K6931" s="388"/>
      <c r="L6931" s="387"/>
      <c r="W6931" s="129" t="s">
        <v>4876</v>
      </c>
      <c r="X6931" s="337" t="b">
        <f t="shared" si="149"/>
        <v>0</v>
      </c>
    </row>
    <row r="6932" spans="2:24" s="360" customFormat="1" ht="12" customHeight="1" outlineLevel="1">
      <c r="B6932" s="118" t="s">
        <v>12</v>
      </c>
      <c r="C6932" s="334" t="s">
        <v>16544</v>
      </c>
      <c r="D6932" s="124" t="s">
        <v>16545</v>
      </c>
      <c r="E6932" s="125"/>
      <c r="F6932" s="118" t="s">
        <v>4396</v>
      </c>
      <c r="G6932" s="126" t="s">
        <v>16390</v>
      </c>
      <c r="H6932" s="255">
        <v>3</v>
      </c>
      <c r="I6932" s="361">
        <v>1</v>
      </c>
      <c r="J6932" s="368" t="s">
        <v>286</v>
      </c>
      <c r="K6932" s="388"/>
      <c r="L6932" s="387"/>
      <c r="W6932" s="129" t="s">
        <v>4876</v>
      </c>
      <c r="X6932" s="337" t="b">
        <f t="shared" si="149"/>
        <v>0</v>
      </c>
    </row>
    <row r="6933" spans="2:24" s="360" customFormat="1" ht="12" customHeight="1" outlineLevel="1">
      <c r="B6933" s="118" t="s">
        <v>12</v>
      </c>
      <c r="C6933" s="334" t="s">
        <v>16546</v>
      </c>
      <c r="D6933" s="124" t="s">
        <v>16547</v>
      </c>
      <c r="E6933" s="125"/>
      <c r="F6933" s="118" t="s">
        <v>4396</v>
      </c>
      <c r="G6933" s="126" t="s">
        <v>16390</v>
      </c>
      <c r="H6933" s="255">
        <v>3</v>
      </c>
      <c r="I6933" s="361">
        <v>1</v>
      </c>
      <c r="J6933" s="368" t="s">
        <v>286</v>
      </c>
      <c r="K6933" s="388"/>
      <c r="L6933" s="387"/>
      <c r="W6933" s="129" t="s">
        <v>286</v>
      </c>
      <c r="X6933" s="337" t="b">
        <f t="shared" si="149"/>
        <v>1</v>
      </c>
    </row>
    <row r="6934" spans="2:24" s="360" customFormat="1" ht="12" customHeight="1" outlineLevel="1">
      <c r="B6934" s="118" t="s">
        <v>12</v>
      </c>
      <c r="C6934" s="334" t="s">
        <v>16548</v>
      </c>
      <c r="D6934" s="124" t="s">
        <v>16549</v>
      </c>
      <c r="E6934" s="125"/>
      <c r="F6934" s="118" t="s">
        <v>4396</v>
      </c>
      <c r="G6934" s="126" t="s">
        <v>16390</v>
      </c>
      <c r="H6934" s="255">
        <v>3</v>
      </c>
      <c r="I6934" s="361">
        <v>1</v>
      </c>
      <c r="J6934" s="368" t="s">
        <v>310</v>
      </c>
      <c r="K6934" s="388"/>
      <c r="L6934" s="387"/>
      <c r="W6934" s="129" t="s">
        <v>310</v>
      </c>
      <c r="X6934" s="337" t="b">
        <f t="shared" si="149"/>
        <v>1</v>
      </c>
    </row>
    <row r="6935" spans="2:24" s="360" customFormat="1" ht="12" customHeight="1" outlineLevel="1">
      <c r="B6935" s="118" t="s">
        <v>12</v>
      </c>
      <c r="C6935" s="334" t="s">
        <v>16550</v>
      </c>
      <c r="D6935" s="124" t="s">
        <v>16551</v>
      </c>
      <c r="E6935" s="125"/>
      <c r="F6935" s="118" t="s">
        <v>4396</v>
      </c>
      <c r="G6935" s="126" t="s">
        <v>16390</v>
      </c>
      <c r="H6935" s="255">
        <v>3</v>
      </c>
      <c r="I6935" s="361">
        <v>1</v>
      </c>
      <c r="J6935" s="368" t="s">
        <v>310</v>
      </c>
      <c r="K6935" s="388"/>
      <c r="L6935" s="387"/>
      <c r="W6935" s="129" t="s">
        <v>4876</v>
      </c>
      <c r="X6935" s="337" t="b">
        <f t="shared" si="149"/>
        <v>0</v>
      </c>
    </row>
    <row r="6936" spans="2:24" s="360" customFormat="1" ht="12" customHeight="1" outlineLevel="1">
      <c r="B6936" s="118" t="s">
        <v>12</v>
      </c>
      <c r="C6936" s="334" t="s">
        <v>16552</v>
      </c>
      <c r="D6936" s="124" t="s">
        <v>16553</v>
      </c>
      <c r="E6936" s="125"/>
      <c r="F6936" s="118" t="s">
        <v>4396</v>
      </c>
      <c r="G6936" s="126" t="s">
        <v>16390</v>
      </c>
      <c r="H6936" s="255">
        <v>3</v>
      </c>
      <c r="I6936" s="361">
        <v>1</v>
      </c>
      <c r="J6936" s="368" t="s">
        <v>310</v>
      </c>
      <c r="K6936" s="388"/>
      <c r="L6936" s="387"/>
      <c r="W6936" s="129" t="s">
        <v>4876</v>
      </c>
      <c r="X6936" s="337" t="b">
        <f t="shared" si="149"/>
        <v>0</v>
      </c>
    </row>
    <row r="6937" spans="2:24" s="360" customFormat="1" ht="12" customHeight="1" outlineLevel="1">
      <c r="B6937" s="118" t="s">
        <v>12</v>
      </c>
      <c r="C6937" s="334" t="s">
        <v>16554</v>
      </c>
      <c r="D6937" s="124" t="s">
        <v>16555</v>
      </c>
      <c r="E6937" s="125"/>
      <c r="F6937" s="118" t="s">
        <v>4396</v>
      </c>
      <c r="G6937" s="126" t="s">
        <v>16390</v>
      </c>
      <c r="H6937" s="255">
        <v>3</v>
      </c>
      <c r="I6937" s="361">
        <v>1</v>
      </c>
      <c r="J6937" s="368" t="s">
        <v>310</v>
      </c>
      <c r="K6937" s="388"/>
      <c r="L6937" s="387"/>
      <c r="W6937" s="129" t="s">
        <v>4876</v>
      </c>
      <c r="X6937" s="337" t="b">
        <f t="shared" si="149"/>
        <v>0</v>
      </c>
    </row>
    <row r="6938" spans="2:24" s="360" customFormat="1" ht="12" customHeight="1" outlineLevel="1">
      <c r="B6938" s="118" t="s">
        <v>12</v>
      </c>
      <c r="C6938" s="334" t="s">
        <v>16556</v>
      </c>
      <c r="D6938" s="124" t="s">
        <v>16557</v>
      </c>
      <c r="E6938" s="125"/>
      <c r="F6938" s="118" t="s">
        <v>4396</v>
      </c>
      <c r="G6938" s="126" t="s">
        <v>16390</v>
      </c>
      <c r="H6938" s="255">
        <v>3</v>
      </c>
      <c r="I6938" s="361">
        <v>1</v>
      </c>
      <c r="J6938" s="368" t="s">
        <v>310</v>
      </c>
      <c r="K6938" s="388"/>
      <c r="L6938" s="387"/>
      <c r="W6938" s="129" t="s">
        <v>4876</v>
      </c>
      <c r="X6938" s="337" t="b">
        <f t="shared" si="149"/>
        <v>0</v>
      </c>
    </row>
    <row r="6939" spans="2:24" s="360" customFormat="1" ht="12" customHeight="1" outlineLevel="1">
      <c r="B6939" s="118" t="s">
        <v>12</v>
      </c>
      <c r="C6939" s="334" t="s">
        <v>16558</v>
      </c>
      <c r="D6939" s="124" t="s">
        <v>16559</v>
      </c>
      <c r="E6939" s="125"/>
      <c r="F6939" s="118" t="s">
        <v>4396</v>
      </c>
      <c r="G6939" s="126" t="s">
        <v>16390</v>
      </c>
      <c r="H6939" s="255">
        <v>3</v>
      </c>
      <c r="I6939" s="361">
        <v>1</v>
      </c>
      <c r="J6939" s="368" t="s">
        <v>286</v>
      </c>
      <c r="K6939" s="388"/>
      <c r="L6939" s="387"/>
      <c r="W6939" s="129" t="s">
        <v>4876</v>
      </c>
      <c r="X6939" s="337" t="b">
        <f t="shared" si="149"/>
        <v>0</v>
      </c>
    </row>
    <row r="6940" spans="2:24" s="360" customFormat="1" ht="12" customHeight="1" outlineLevel="1">
      <c r="B6940" s="118" t="s">
        <v>12</v>
      </c>
      <c r="C6940" s="334" t="s">
        <v>16560</v>
      </c>
      <c r="D6940" s="124" t="s">
        <v>16561</v>
      </c>
      <c r="E6940" s="125"/>
      <c r="F6940" s="118" t="s">
        <v>4396</v>
      </c>
      <c r="G6940" s="126" t="s">
        <v>16390</v>
      </c>
      <c r="H6940" s="255">
        <v>3</v>
      </c>
      <c r="I6940" s="361">
        <v>1</v>
      </c>
      <c r="J6940" s="368" t="s">
        <v>310</v>
      </c>
      <c r="K6940" s="388"/>
      <c r="L6940" s="387"/>
      <c r="W6940" s="129" t="s">
        <v>310</v>
      </c>
      <c r="X6940" s="337" t="b">
        <f t="shared" si="149"/>
        <v>1</v>
      </c>
    </row>
    <row r="6941" spans="2:24" s="360" customFormat="1" ht="12" customHeight="1" outlineLevel="1">
      <c r="B6941" s="118" t="s">
        <v>12</v>
      </c>
      <c r="C6941" s="334" t="s">
        <v>16562</v>
      </c>
      <c r="D6941" s="124" t="s">
        <v>16563</v>
      </c>
      <c r="E6941" s="125"/>
      <c r="F6941" s="118" t="s">
        <v>4396</v>
      </c>
      <c r="G6941" s="126" t="s">
        <v>16390</v>
      </c>
      <c r="H6941" s="255">
        <v>3</v>
      </c>
      <c r="I6941" s="361">
        <v>1</v>
      </c>
      <c r="J6941" s="368" t="s">
        <v>286</v>
      </c>
      <c r="K6941" s="388"/>
      <c r="L6941" s="387"/>
      <c r="W6941" s="129" t="s">
        <v>4876</v>
      </c>
      <c r="X6941" s="337" t="b">
        <f t="shared" si="149"/>
        <v>0</v>
      </c>
    </row>
    <row r="6942" spans="2:24" s="360" customFormat="1" ht="12" customHeight="1" outlineLevel="1">
      <c r="B6942" s="118" t="s">
        <v>12</v>
      </c>
      <c r="C6942" s="334" t="s">
        <v>16564</v>
      </c>
      <c r="D6942" s="124" t="s">
        <v>16565</v>
      </c>
      <c r="E6942" s="125"/>
      <c r="F6942" s="118" t="s">
        <v>4396</v>
      </c>
      <c r="G6942" s="126" t="s">
        <v>16390</v>
      </c>
      <c r="H6942" s="255">
        <v>3</v>
      </c>
      <c r="I6942" s="361">
        <v>1</v>
      </c>
      <c r="J6942" s="368" t="s">
        <v>286</v>
      </c>
      <c r="K6942" s="388"/>
      <c r="L6942" s="387"/>
      <c r="W6942" s="129" t="s">
        <v>4876</v>
      </c>
      <c r="X6942" s="337" t="b">
        <f t="shared" si="149"/>
        <v>0</v>
      </c>
    </row>
    <row r="6943" spans="2:24" s="360" customFormat="1" ht="12" customHeight="1" outlineLevel="1">
      <c r="B6943" s="118" t="s">
        <v>12</v>
      </c>
      <c r="C6943" s="334" t="s">
        <v>16566</v>
      </c>
      <c r="D6943" s="124" t="s">
        <v>5893</v>
      </c>
      <c r="E6943" s="125"/>
      <c r="F6943" s="118" t="s">
        <v>4396</v>
      </c>
      <c r="G6943" s="126" t="s">
        <v>16390</v>
      </c>
      <c r="H6943" s="255">
        <v>3</v>
      </c>
      <c r="I6943" s="361">
        <v>1</v>
      </c>
      <c r="J6943" s="368" t="s">
        <v>310</v>
      </c>
      <c r="K6943" s="388"/>
      <c r="L6943" s="387"/>
      <c r="W6943" s="129" t="s">
        <v>286</v>
      </c>
      <c r="X6943" s="337" t="b">
        <f t="shared" si="149"/>
        <v>0</v>
      </c>
    </row>
    <row r="6944" spans="2:24" s="360" customFormat="1" ht="12" customHeight="1" outlineLevel="1">
      <c r="B6944" s="118" t="s">
        <v>12</v>
      </c>
      <c r="C6944" s="334" t="s">
        <v>16567</v>
      </c>
      <c r="D6944" s="124" t="s">
        <v>16568</v>
      </c>
      <c r="E6944" s="125"/>
      <c r="F6944" s="118" t="s">
        <v>4396</v>
      </c>
      <c r="G6944" s="126" t="s">
        <v>16390</v>
      </c>
      <c r="H6944" s="255">
        <v>3</v>
      </c>
      <c r="I6944" s="361">
        <v>1</v>
      </c>
      <c r="J6944" s="368" t="s">
        <v>286</v>
      </c>
      <c r="K6944" s="388"/>
      <c r="L6944" s="387"/>
      <c r="W6944" s="129" t="s">
        <v>286</v>
      </c>
      <c r="X6944" s="337" t="b">
        <f t="shared" si="149"/>
        <v>1</v>
      </c>
    </row>
    <row r="6945" spans="2:24" s="360" customFormat="1" ht="12" customHeight="1" outlineLevel="1">
      <c r="B6945" s="118" t="s">
        <v>12</v>
      </c>
      <c r="C6945" s="334" t="s">
        <v>16569</v>
      </c>
      <c r="D6945" s="124" t="s">
        <v>16570</v>
      </c>
      <c r="E6945" s="125"/>
      <c r="F6945" s="118" t="s">
        <v>4396</v>
      </c>
      <c r="G6945" s="126" t="s">
        <v>16390</v>
      </c>
      <c r="H6945" s="255">
        <v>3</v>
      </c>
      <c r="I6945" s="361">
        <v>1</v>
      </c>
      <c r="J6945" s="368" t="s">
        <v>286</v>
      </c>
      <c r="K6945" s="388"/>
      <c r="L6945" s="387"/>
      <c r="W6945" s="129" t="s">
        <v>286</v>
      </c>
      <c r="X6945" s="337" t="b">
        <f t="shared" si="149"/>
        <v>1</v>
      </c>
    </row>
    <row r="6946" spans="2:24" s="360" customFormat="1" ht="12" customHeight="1" outlineLevel="1">
      <c r="B6946" s="118" t="s">
        <v>12</v>
      </c>
      <c r="C6946" s="334" t="s">
        <v>16571</v>
      </c>
      <c r="D6946" s="124" t="s">
        <v>16572</v>
      </c>
      <c r="E6946" s="125"/>
      <c r="F6946" s="118" t="s">
        <v>4396</v>
      </c>
      <c r="G6946" s="126" t="s">
        <v>16390</v>
      </c>
      <c r="H6946" s="255">
        <v>3</v>
      </c>
      <c r="I6946" s="361">
        <v>1</v>
      </c>
      <c r="J6946" s="368" t="s">
        <v>286</v>
      </c>
      <c r="K6946" s="388"/>
      <c r="L6946" s="387"/>
      <c r="W6946" s="129" t="s">
        <v>286</v>
      </c>
      <c r="X6946" s="337" t="b">
        <f t="shared" si="149"/>
        <v>1</v>
      </c>
    </row>
    <row r="6947" spans="2:24" s="360" customFormat="1" ht="12" customHeight="1" outlineLevel="1">
      <c r="B6947" s="118" t="s">
        <v>12</v>
      </c>
      <c r="C6947" s="334" t="s">
        <v>16573</v>
      </c>
      <c r="D6947" s="124" t="s">
        <v>16574</v>
      </c>
      <c r="E6947" s="125"/>
      <c r="F6947" s="118" t="s">
        <v>4396</v>
      </c>
      <c r="G6947" s="126" t="s">
        <v>16390</v>
      </c>
      <c r="H6947" s="255">
        <v>3</v>
      </c>
      <c r="I6947" s="361">
        <v>1</v>
      </c>
      <c r="J6947" s="368" t="s">
        <v>286</v>
      </c>
      <c r="K6947" s="388"/>
      <c r="L6947" s="387"/>
      <c r="W6947" s="129" t="s">
        <v>286</v>
      </c>
      <c r="X6947" s="337" t="b">
        <f t="shared" si="149"/>
        <v>1</v>
      </c>
    </row>
    <row r="6948" spans="2:24" s="360" customFormat="1" ht="12" customHeight="1" outlineLevel="1">
      <c r="B6948" s="118" t="s">
        <v>12</v>
      </c>
      <c r="C6948" s="334" t="s">
        <v>16575</v>
      </c>
      <c r="D6948" s="124" t="s">
        <v>16576</v>
      </c>
      <c r="E6948" s="125"/>
      <c r="F6948" s="118" t="s">
        <v>4396</v>
      </c>
      <c r="G6948" s="126" t="s">
        <v>16390</v>
      </c>
      <c r="H6948" s="255">
        <v>3</v>
      </c>
      <c r="I6948" s="361">
        <v>1</v>
      </c>
      <c r="J6948" s="368" t="s">
        <v>286</v>
      </c>
      <c r="K6948" s="388"/>
      <c r="L6948" s="387"/>
      <c r="W6948" s="129" t="s">
        <v>286</v>
      </c>
      <c r="X6948" s="337" t="b">
        <f t="shared" si="149"/>
        <v>1</v>
      </c>
    </row>
    <row r="6949" spans="2:24" s="360" customFormat="1" ht="12" customHeight="1" outlineLevel="1">
      <c r="B6949" s="118" t="s">
        <v>12</v>
      </c>
      <c r="C6949" s="334" t="s">
        <v>16577</v>
      </c>
      <c r="D6949" s="124" t="s">
        <v>16578</v>
      </c>
      <c r="E6949" s="125"/>
      <c r="F6949" s="118" t="s">
        <v>4396</v>
      </c>
      <c r="G6949" s="126" t="s">
        <v>16390</v>
      </c>
      <c r="H6949" s="255">
        <v>3</v>
      </c>
      <c r="I6949" s="361">
        <v>1</v>
      </c>
      <c r="J6949" s="368" t="s">
        <v>286</v>
      </c>
      <c r="K6949" s="388"/>
      <c r="L6949" s="387"/>
      <c r="W6949" s="129" t="s">
        <v>286</v>
      </c>
      <c r="X6949" s="337" t="b">
        <f t="shared" si="149"/>
        <v>1</v>
      </c>
    </row>
    <row r="6950" spans="2:24" s="360" customFormat="1" ht="12" customHeight="1" outlineLevel="1">
      <c r="B6950" s="118" t="s">
        <v>12</v>
      </c>
      <c r="C6950" s="334" t="s">
        <v>16579</v>
      </c>
      <c r="D6950" s="124" t="s">
        <v>16580</v>
      </c>
      <c r="E6950" s="125"/>
      <c r="F6950" s="118" t="s">
        <v>4396</v>
      </c>
      <c r="G6950" s="126" t="s">
        <v>16390</v>
      </c>
      <c r="H6950" s="255">
        <v>3</v>
      </c>
      <c r="I6950" s="361">
        <v>1</v>
      </c>
      <c r="J6950" s="368" t="s">
        <v>286</v>
      </c>
      <c r="K6950" s="388"/>
      <c r="L6950" s="387"/>
      <c r="W6950" s="129" t="s">
        <v>286</v>
      </c>
      <c r="X6950" s="337" t="b">
        <f t="shared" si="149"/>
        <v>1</v>
      </c>
    </row>
    <row r="6951" spans="2:24" s="360" customFormat="1" ht="12" customHeight="1" outlineLevel="1">
      <c r="B6951" s="118" t="s">
        <v>12</v>
      </c>
      <c r="C6951" s="334" t="s">
        <v>16581</v>
      </c>
      <c r="D6951" s="124" t="s">
        <v>16582</v>
      </c>
      <c r="E6951" s="125"/>
      <c r="F6951" s="118" t="s">
        <v>4396</v>
      </c>
      <c r="G6951" s="126" t="s">
        <v>16390</v>
      </c>
      <c r="H6951" s="255">
        <v>3</v>
      </c>
      <c r="I6951" s="361">
        <v>1</v>
      </c>
      <c r="J6951" s="368" t="s">
        <v>286</v>
      </c>
      <c r="K6951" s="388"/>
      <c r="L6951" s="387"/>
      <c r="W6951" s="129" t="s">
        <v>286</v>
      </c>
      <c r="X6951" s="337" t="b">
        <f t="shared" si="149"/>
        <v>1</v>
      </c>
    </row>
    <row r="6952" spans="2:24" s="360" customFormat="1" ht="12" customHeight="1" outlineLevel="1">
      <c r="B6952" s="118" t="s">
        <v>12</v>
      </c>
      <c r="C6952" s="334" t="s">
        <v>16583</v>
      </c>
      <c r="D6952" s="124" t="s">
        <v>16584</v>
      </c>
      <c r="E6952" s="125"/>
      <c r="F6952" s="118" t="s">
        <v>4396</v>
      </c>
      <c r="G6952" s="126" t="s">
        <v>16390</v>
      </c>
      <c r="H6952" s="255">
        <v>3</v>
      </c>
      <c r="I6952" s="361">
        <v>1</v>
      </c>
      <c r="J6952" s="368" t="s">
        <v>286</v>
      </c>
      <c r="K6952" s="388"/>
      <c r="L6952" s="387"/>
      <c r="W6952" s="129" t="s">
        <v>286</v>
      </c>
      <c r="X6952" s="337" t="b">
        <f t="shared" si="149"/>
        <v>1</v>
      </c>
    </row>
    <row r="6953" spans="2:24" s="360" customFormat="1" ht="12" customHeight="1" outlineLevel="1">
      <c r="B6953" s="118" t="s">
        <v>12</v>
      </c>
      <c r="C6953" s="334" t="s">
        <v>16585</v>
      </c>
      <c r="D6953" s="124" t="s">
        <v>16586</v>
      </c>
      <c r="E6953" s="125"/>
      <c r="F6953" s="118" t="s">
        <v>4396</v>
      </c>
      <c r="G6953" s="126" t="s">
        <v>16390</v>
      </c>
      <c r="H6953" s="255">
        <v>3</v>
      </c>
      <c r="I6953" s="361">
        <v>1</v>
      </c>
      <c r="J6953" s="368" t="s">
        <v>286</v>
      </c>
      <c r="K6953" s="388"/>
      <c r="L6953" s="387"/>
      <c r="W6953" s="129" t="s">
        <v>286</v>
      </c>
      <c r="X6953" s="337" t="b">
        <f t="shared" si="149"/>
        <v>1</v>
      </c>
    </row>
    <row r="6954" spans="2:24" s="360" customFormat="1" ht="12" customHeight="1" outlineLevel="1">
      <c r="B6954" s="118" t="s">
        <v>12</v>
      </c>
      <c r="C6954" s="334" t="s">
        <v>16587</v>
      </c>
      <c r="D6954" s="124" t="s">
        <v>8615</v>
      </c>
      <c r="E6954" s="125"/>
      <c r="F6954" s="118" t="s">
        <v>4396</v>
      </c>
      <c r="G6954" s="126" t="s">
        <v>16390</v>
      </c>
      <c r="H6954" s="255">
        <v>3</v>
      </c>
      <c r="I6954" s="361">
        <v>1</v>
      </c>
      <c r="J6954" s="368" t="s">
        <v>286</v>
      </c>
      <c r="K6954" s="388"/>
      <c r="L6954" s="387"/>
      <c r="W6954" s="129" t="s">
        <v>4876</v>
      </c>
      <c r="X6954" s="337" t="b">
        <f t="shared" si="149"/>
        <v>0</v>
      </c>
    </row>
    <row r="6955" spans="2:24" s="360" customFormat="1" ht="12" customHeight="1" outlineLevel="1">
      <c r="B6955" s="118" t="s">
        <v>12</v>
      </c>
      <c r="C6955" s="334" t="s">
        <v>16588</v>
      </c>
      <c r="D6955" s="124" t="s">
        <v>16589</v>
      </c>
      <c r="E6955" s="125"/>
      <c r="F6955" s="118" t="s">
        <v>4396</v>
      </c>
      <c r="G6955" s="126" t="s">
        <v>16390</v>
      </c>
      <c r="H6955" s="255">
        <v>3</v>
      </c>
      <c r="I6955" s="361">
        <v>1</v>
      </c>
      <c r="J6955" s="368" t="s">
        <v>307</v>
      </c>
      <c r="K6955" s="388"/>
      <c r="L6955" s="387"/>
      <c r="W6955" s="129" t="s">
        <v>286</v>
      </c>
      <c r="X6955" s="337" t="b">
        <f t="shared" si="149"/>
        <v>0</v>
      </c>
    </row>
    <row r="6956" spans="2:24" s="360" customFormat="1" ht="12" customHeight="1" outlineLevel="1">
      <c r="B6956" s="118" t="s">
        <v>12</v>
      </c>
      <c r="C6956" s="334" t="s">
        <v>16590</v>
      </c>
      <c r="D6956" s="124" t="s">
        <v>16591</v>
      </c>
      <c r="E6956" s="125"/>
      <c r="F6956" s="118" t="s">
        <v>4396</v>
      </c>
      <c r="G6956" s="126" t="s">
        <v>16390</v>
      </c>
      <c r="H6956" s="255">
        <v>3</v>
      </c>
      <c r="I6956" s="361">
        <v>1</v>
      </c>
      <c r="J6956" s="368" t="s">
        <v>310</v>
      </c>
      <c r="K6956" s="388"/>
      <c r="L6956" s="387"/>
      <c r="W6956" s="129" t="s">
        <v>310</v>
      </c>
      <c r="X6956" s="337" t="b">
        <f t="shared" si="149"/>
        <v>1</v>
      </c>
    </row>
    <row r="6957" spans="2:24" s="360" customFormat="1" ht="12" customHeight="1" outlineLevel="1">
      <c r="B6957" s="118" t="s">
        <v>12</v>
      </c>
      <c r="C6957" s="334" t="s">
        <v>16592</v>
      </c>
      <c r="D6957" s="124" t="s">
        <v>16593</v>
      </c>
      <c r="E6957" s="125"/>
      <c r="F6957" s="118" t="s">
        <v>4396</v>
      </c>
      <c r="G6957" s="126" t="s">
        <v>16390</v>
      </c>
      <c r="H6957" s="255">
        <v>3</v>
      </c>
      <c r="I6957" s="361">
        <v>1</v>
      </c>
      <c r="J6957" s="368" t="s">
        <v>307</v>
      </c>
      <c r="K6957" s="388"/>
      <c r="L6957" s="387"/>
      <c r="W6957" s="129" t="s">
        <v>4876</v>
      </c>
      <c r="X6957" s="337" t="b">
        <f t="shared" si="149"/>
        <v>0</v>
      </c>
    </row>
    <row r="6958" spans="2:24" s="360" customFormat="1" ht="12" customHeight="1" outlineLevel="1">
      <c r="B6958" s="118" t="s">
        <v>12</v>
      </c>
      <c r="C6958" s="334" t="s">
        <v>16594</v>
      </c>
      <c r="D6958" s="124" t="s">
        <v>16595</v>
      </c>
      <c r="E6958" s="125"/>
      <c r="F6958" s="118" t="s">
        <v>4396</v>
      </c>
      <c r="G6958" s="126" t="s">
        <v>16390</v>
      </c>
      <c r="H6958" s="255">
        <v>3</v>
      </c>
      <c r="I6958" s="361">
        <v>1</v>
      </c>
      <c r="J6958" s="368" t="s">
        <v>307</v>
      </c>
      <c r="K6958" s="388"/>
      <c r="L6958" s="387"/>
      <c r="W6958" s="129" t="s">
        <v>4876</v>
      </c>
      <c r="X6958" s="337" t="b">
        <f t="shared" ref="X6958:X7021" si="150">W6958=J6958</f>
        <v>0</v>
      </c>
    </row>
    <row r="6959" spans="2:24" s="360" customFormat="1" ht="12" customHeight="1" outlineLevel="1">
      <c r="B6959" s="118" t="s">
        <v>12</v>
      </c>
      <c r="C6959" s="334" t="s">
        <v>16596</v>
      </c>
      <c r="D6959" s="124" t="s">
        <v>16597</v>
      </c>
      <c r="E6959" s="125"/>
      <c r="F6959" s="118" t="s">
        <v>4396</v>
      </c>
      <c r="G6959" s="126" t="s">
        <v>16390</v>
      </c>
      <c r="H6959" s="255">
        <v>3</v>
      </c>
      <c r="I6959" s="361">
        <v>1</v>
      </c>
      <c r="J6959" s="368" t="s">
        <v>307</v>
      </c>
      <c r="K6959" s="388"/>
      <c r="L6959" s="387"/>
      <c r="W6959" s="129" t="s">
        <v>4876</v>
      </c>
      <c r="X6959" s="337" t="b">
        <f t="shared" si="150"/>
        <v>0</v>
      </c>
    </row>
    <row r="6960" spans="2:24" s="360" customFormat="1" ht="12" customHeight="1" outlineLevel="1">
      <c r="B6960" s="118" t="s">
        <v>12</v>
      </c>
      <c r="C6960" s="334" t="s">
        <v>16598</v>
      </c>
      <c r="D6960" s="124" t="s">
        <v>16599</v>
      </c>
      <c r="E6960" s="125"/>
      <c r="F6960" s="118" t="s">
        <v>4396</v>
      </c>
      <c r="G6960" s="126" t="s">
        <v>16390</v>
      </c>
      <c r="H6960" s="255">
        <v>3</v>
      </c>
      <c r="I6960" s="361">
        <v>1</v>
      </c>
      <c r="J6960" s="368" t="s">
        <v>310</v>
      </c>
      <c r="K6960" s="388"/>
      <c r="L6960" s="387"/>
      <c r="W6960" s="129" t="s">
        <v>4876</v>
      </c>
      <c r="X6960" s="337" t="b">
        <f t="shared" si="150"/>
        <v>0</v>
      </c>
    </row>
    <row r="6961" spans="2:24" s="360" customFormat="1" ht="12" customHeight="1" outlineLevel="1">
      <c r="B6961" s="118" t="s">
        <v>12</v>
      </c>
      <c r="C6961" s="334" t="s">
        <v>16600</v>
      </c>
      <c r="D6961" s="124" t="s">
        <v>16601</v>
      </c>
      <c r="E6961" s="125"/>
      <c r="F6961" s="118" t="s">
        <v>4396</v>
      </c>
      <c r="G6961" s="126" t="s">
        <v>16390</v>
      </c>
      <c r="H6961" s="255">
        <v>3</v>
      </c>
      <c r="I6961" s="361">
        <v>1</v>
      </c>
      <c r="J6961" s="368" t="s">
        <v>310</v>
      </c>
      <c r="K6961" s="388"/>
      <c r="L6961" s="387"/>
      <c r="W6961" s="129" t="s">
        <v>4876</v>
      </c>
      <c r="X6961" s="337" t="b">
        <f t="shared" si="150"/>
        <v>0</v>
      </c>
    </row>
    <row r="6962" spans="2:24" s="360" customFormat="1" ht="12" customHeight="1" outlineLevel="1">
      <c r="B6962" s="118" t="s">
        <v>12</v>
      </c>
      <c r="C6962" s="334" t="s">
        <v>16602</v>
      </c>
      <c r="D6962" s="124" t="s">
        <v>16603</v>
      </c>
      <c r="E6962" s="125"/>
      <c r="F6962" s="118" t="s">
        <v>4396</v>
      </c>
      <c r="G6962" s="126" t="s">
        <v>16390</v>
      </c>
      <c r="H6962" s="255">
        <v>3</v>
      </c>
      <c r="I6962" s="361">
        <v>1</v>
      </c>
      <c r="J6962" s="368" t="s">
        <v>286</v>
      </c>
      <c r="K6962" s="388"/>
      <c r="L6962" s="387"/>
      <c r="W6962" s="129" t="s">
        <v>4876</v>
      </c>
      <c r="X6962" s="337" t="b">
        <f t="shared" si="150"/>
        <v>0</v>
      </c>
    </row>
    <row r="6963" spans="2:24" s="360" customFormat="1" ht="12" customHeight="1" outlineLevel="1">
      <c r="B6963" s="118" t="s">
        <v>12</v>
      </c>
      <c r="C6963" s="334" t="s">
        <v>16604</v>
      </c>
      <c r="D6963" s="124" t="s">
        <v>16605</v>
      </c>
      <c r="E6963" s="125"/>
      <c r="F6963" s="118" t="s">
        <v>4396</v>
      </c>
      <c r="G6963" s="126" t="s">
        <v>16390</v>
      </c>
      <c r="H6963" s="255">
        <v>3</v>
      </c>
      <c r="I6963" s="361">
        <v>1</v>
      </c>
      <c r="J6963" s="368" t="s">
        <v>286</v>
      </c>
      <c r="K6963" s="388"/>
      <c r="L6963" s="387"/>
      <c r="W6963" s="129" t="s">
        <v>286</v>
      </c>
      <c r="X6963" s="337" t="b">
        <f t="shared" si="150"/>
        <v>1</v>
      </c>
    </row>
    <row r="6964" spans="2:24" s="360" customFormat="1" ht="12" customHeight="1" outlineLevel="1">
      <c r="B6964" s="118" t="s">
        <v>12</v>
      </c>
      <c r="C6964" s="334" t="s">
        <v>16606</v>
      </c>
      <c r="D6964" s="124" t="s">
        <v>16607</v>
      </c>
      <c r="E6964" s="125"/>
      <c r="F6964" s="118" t="s">
        <v>4396</v>
      </c>
      <c r="G6964" s="126" t="s">
        <v>16390</v>
      </c>
      <c r="H6964" s="255">
        <v>3</v>
      </c>
      <c r="I6964" s="361">
        <v>1</v>
      </c>
      <c r="J6964" s="368" t="s">
        <v>286</v>
      </c>
      <c r="K6964" s="388"/>
      <c r="L6964" s="387"/>
      <c r="W6964" s="129" t="s">
        <v>286</v>
      </c>
      <c r="X6964" s="337" t="b">
        <f t="shared" si="150"/>
        <v>1</v>
      </c>
    </row>
    <row r="6965" spans="2:24" s="360" customFormat="1" ht="12" customHeight="1" outlineLevel="1">
      <c r="B6965" s="118" t="s">
        <v>12</v>
      </c>
      <c r="C6965" s="334" t="s">
        <v>16608</v>
      </c>
      <c r="D6965" s="124" t="s">
        <v>16609</v>
      </c>
      <c r="E6965" s="125"/>
      <c r="F6965" s="118" t="s">
        <v>4396</v>
      </c>
      <c r="G6965" s="126" t="s">
        <v>16390</v>
      </c>
      <c r="H6965" s="255">
        <v>3</v>
      </c>
      <c r="I6965" s="361">
        <v>1</v>
      </c>
      <c r="J6965" s="368" t="s">
        <v>286</v>
      </c>
      <c r="K6965" s="388"/>
      <c r="L6965" s="387"/>
      <c r="W6965" s="129" t="s">
        <v>286</v>
      </c>
      <c r="X6965" s="337" t="b">
        <f t="shared" si="150"/>
        <v>1</v>
      </c>
    </row>
    <row r="6966" spans="2:24" s="360" customFormat="1" ht="12" customHeight="1" outlineLevel="1">
      <c r="B6966" s="118" t="s">
        <v>12</v>
      </c>
      <c r="C6966" s="334" t="s">
        <v>16610</v>
      </c>
      <c r="D6966" s="124" t="s">
        <v>16611</v>
      </c>
      <c r="E6966" s="125"/>
      <c r="F6966" s="118" t="s">
        <v>4396</v>
      </c>
      <c r="G6966" s="126" t="s">
        <v>16390</v>
      </c>
      <c r="H6966" s="255">
        <v>3</v>
      </c>
      <c r="I6966" s="361">
        <v>1</v>
      </c>
      <c r="J6966" s="368" t="s">
        <v>286</v>
      </c>
      <c r="K6966" s="388"/>
      <c r="L6966" s="387"/>
      <c r="W6966" s="129" t="s">
        <v>286</v>
      </c>
      <c r="X6966" s="337" t="b">
        <f t="shared" si="150"/>
        <v>1</v>
      </c>
    </row>
    <row r="6967" spans="2:24" s="360" customFormat="1" ht="12" customHeight="1" outlineLevel="1">
      <c r="B6967" s="118" t="s">
        <v>12</v>
      </c>
      <c r="C6967" s="334" t="s">
        <v>16612</v>
      </c>
      <c r="D6967" s="124" t="s">
        <v>16613</v>
      </c>
      <c r="E6967" s="125"/>
      <c r="F6967" s="118" t="s">
        <v>4396</v>
      </c>
      <c r="G6967" s="126" t="s">
        <v>16390</v>
      </c>
      <c r="H6967" s="255">
        <v>3</v>
      </c>
      <c r="I6967" s="361">
        <v>1</v>
      </c>
      <c r="J6967" s="368" t="s">
        <v>286</v>
      </c>
      <c r="K6967" s="388"/>
      <c r="L6967" s="387"/>
      <c r="W6967" s="129" t="s">
        <v>286</v>
      </c>
      <c r="X6967" s="337" t="b">
        <f t="shared" si="150"/>
        <v>1</v>
      </c>
    </row>
    <row r="6968" spans="2:24" s="360" customFormat="1" ht="12" customHeight="1" outlineLevel="1">
      <c r="B6968" s="118" t="s">
        <v>12</v>
      </c>
      <c r="C6968" s="334" t="s">
        <v>16614</v>
      </c>
      <c r="D6968" s="124" t="s">
        <v>16615</v>
      </c>
      <c r="E6968" s="125"/>
      <c r="F6968" s="118" t="s">
        <v>4396</v>
      </c>
      <c r="G6968" s="126" t="s">
        <v>16390</v>
      </c>
      <c r="H6968" s="255">
        <v>3</v>
      </c>
      <c r="I6968" s="361">
        <v>1</v>
      </c>
      <c r="J6968" s="368" t="s">
        <v>286</v>
      </c>
      <c r="K6968" s="388"/>
      <c r="L6968" s="387"/>
      <c r="W6968" s="129" t="s">
        <v>4876</v>
      </c>
      <c r="X6968" s="337" t="b">
        <f t="shared" si="150"/>
        <v>0</v>
      </c>
    </row>
    <row r="6969" spans="2:24" s="360" customFormat="1" ht="12" customHeight="1" outlineLevel="1">
      <c r="B6969" s="118" t="s">
        <v>12</v>
      </c>
      <c r="C6969" s="334" t="s">
        <v>16616</v>
      </c>
      <c r="D6969" s="124" t="s">
        <v>5933</v>
      </c>
      <c r="E6969" s="125"/>
      <c r="F6969" s="118" t="s">
        <v>4396</v>
      </c>
      <c r="G6969" s="126" t="s">
        <v>16390</v>
      </c>
      <c r="H6969" s="255">
        <v>3</v>
      </c>
      <c r="I6969" s="361">
        <v>1</v>
      </c>
      <c r="J6969" s="368" t="s">
        <v>286</v>
      </c>
      <c r="K6969" s="388"/>
      <c r="L6969" s="387"/>
      <c r="W6969" s="129" t="s">
        <v>4876</v>
      </c>
      <c r="X6969" s="337" t="b">
        <f t="shared" si="150"/>
        <v>0</v>
      </c>
    </row>
    <row r="6970" spans="2:24" s="360" customFormat="1" ht="12" customHeight="1" outlineLevel="1">
      <c r="B6970" s="118" t="s">
        <v>12</v>
      </c>
      <c r="C6970" s="334" t="s">
        <v>16617</v>
      </c>
      <c r="D6970" s="124" t="s">
        <v>16618</v>
      </c>
      <c r="E6970" s="125"/>
      <c r="F6970" s="118" t="s">
        <v>4396</v>
      </c>
      <c r="G6970" s="126" t="s">
        <v>16390</v>
      </c>
      <c r="H6970" s="255">
        <v>3</v>
      </c>
      <c r="I6970" s="361">
        <v>1</v>
      </c>
      <c r="J6970" s="368" t="s">
        <v>286</v>
      </c>
      <c r="K6970" s="388"/>
      <c r="L6970" s="387"/>
      <c r="W6970" s="129" t="s">
        <v>4876</v>
      </c>
      <c r="X6970" s="337" t="b">
        <f t="shared" si="150"/>
        <v>0</v>
      </c>
    </row>
    <row r="6971" spans="2:24" s="360" customFormat="1" ht="12" customHeight="1" outlineLevel="1">
      <c r="B6971" s="118" t="s">
        <v>12</v>
      </c>
      <c r="C6971" s="334" t="s">
        <v>16619</v>
      </c>
      <c r="D6971" s="124" t="s">
        <v>16620</v>
      </c>
      <c r="E6971" s="125"/>
      <c r="F6971" s="118" t="s">
        <v>4396</v>
      </c>
      <c r="G6971" s="126" t="s">
        <v>16390</v>
      </c>
      <c r="H6971" s="255">
        <v>3</v>
      </c>
      <c r="I6971" s="361">
        <v>1</v>
      </c>
      <c r="J6971" s="368" t="s">
        <v>286</v>
      </c>
      <c r="K6971" s="388"/>
      <c r="L6971" s="387"/>
      <c r="W6971" s="129" t="s">
        <v>4876</v>
      </c>
      <c r="X6971" s="337" t="b">
        <f t="shared" si="150"/>
        <v>0</v>
      </c>
    </row>
    <row r="6972" spans="2:24" s="360" customFormat="1" ht="12" customHeight="1" outlineLevel="1">
      <c r="B6972" s="118" t="s">
        <v>12</v>
      </c>
      <c r="C6972" s="334" t="s">
        <v>16621</v>
      </c>
      <c r="D6972" s="124" t="s">
        <v>16622</v>
      </c>
      <c r="E6972" s="125"/>
      <c r="F6972" s="118" t="s">
        <v>4396</v>
      </c>
      <c r="G6972" s="126" t="s">
        <v>16390</v>
      </c>
      <c r="H6972" s="255">
        <v>3</v>
      </c>
      <c r="I6972" s="361">
        <v>1</v>
      </c>
      <c r="J6972" s="368" t="s">
        <v>310</v>
      </c>
      <c r="K6972" s="388"/>
      <c r="L6972" s="387"/>
      <c r="W6972" s="129" t="s">
        <v>286</v>
      </c>
      <c r="X6972" s="337" t="b">
        <f t="shared" si="150"/>
        <v>0</v>
      </c>
    </row>
    <row r="6973" spans="2:24" s="360" customFormat="1" ht="12" customHeight="1" outlineLevel="1">
      <c r="B6973" s="118" t="s">
        <v>12</v>
      </c>
      <c r="C6973" s="334" t="s">
        <v>16623</v>
      </c>
      <c r="D6973" s="124" t="s">
        <v>16624</v>
      </c>
      <c r="E6973" s="125"/>
      <c r="F6973" s="118" t="s">
        <v>4396</v>
      </c>
      <c r="G6973" s="126" t="s">
        <v>16390</v>
      </c>
      <c r="H6973" s="255">
        <v>3</v>
      </c>
      <c r="I6973" s="361">
        <v>1</v>
      </c>
      <c r="J6973" s="368" t="s">
        <v>286</v>
      </c>
      <c r="K6973" s="388"/>
      <c r="L6973" s="387"/>
      <c r="W6973" s="129" t="s">
        <v>4876</v>
      </c>
      <c r="X6973" s="337" t="b">
        <f t="shared" si="150"/>
        <v>0</v>
      </c>
    </row>
    <row r="6974" spans="2:24" s="360" customFormat="1" ht="12" customHeight="1" outlineLevel="1">
      <c r="B6974" s="118" t="s">
        <v>12</v>
      </c>
      <c r="C6974" s="334" t="s">
        <v>16625</v>
      </c>
      <c r="D6974" s="124" t="s">
        <v>16626</v>
      </c>
      <c r="E6974" s="125"/>
      <c r="F6974" s="118" t="s">
        <v>4396</v>
      </c>
      <c r="G6974" s="126" t="s">
        <v>16390</v>
      </c>
      <c r="H6974" s="255">
        <v>3</v>
      </c>
      <c r="I6974" s="361">
        <v>1</v>
      </c>
      <c r="J6974" s="368" t="s">
        <v>286</v>
      </c>
      <c r="K6974" s="388"/>
      <c r="L6974" s="387"/>
      <c r="W6974" s="129" t="s">
        <v>4876</v>
      </c>
      <c r="X6974" s="337" t="b">
        <f t="shared" si="150"/>
        <v>0</v>
      </c>
    </row>
    <row r="6975" spans="2:24" s="360" customFormat="1" ht="12" customHeight="1" outlineLevel="1">
      <c r="B6975" s="118" t="s">
        <v>12</v>
      </c>
      <c r="C6975" s="334" t="s">
        <v>16627</v>
      </c>
      <c r="D6975" s="124" t="s">
        <v>16628</v>
      </c>
      <c r="E6975" s="125"/>
      <c r="F6975" s="118" t="s">
        <v>4396</v>
      </c>
      <c r="G6975" s="126" t="s">
        <v>16390</v>
      </c>
      <c r="H6975" s="255">
        <v>3</v>
      </c>
      <c r="I6975" s="361">
        <v>1</v>
      </c>
      <c r="J6975" s="368" t="s">
        <v>286</v>
      </c>
      <c r="K6975" s="388"/>
      <c r="L6975" s="387"/>
      <c r="W6975" s="129" t="s">
        <v>4876</v>
      </c>
      <c r="X6975" s="337" t="b">
        <f t="shared" si="150"/>
        <v>0</v>
      </c>
    </row>
    <row r="6976" spans="2:24" s="360" customFormat="1" ht="12" customHeight="1" outlineLevel="1">
      <c r="B6976" s="118" t="s">
        <v>12</v>
      </c>
      <c r="C6976" s="334" t="s">
        <v>16629</v>
      </c>
      <c r="D6976" s="124" t="s">
        <v>16630</v>
      </c>
      <c r="E6976" s="125"/>
      <c r="F6976" s="118" t="s">
        <v>4396</v>
      </c>
      <c r="G6976" s="126" t="s">
        <v>16390</v>
      </c>
      <c r="H6976" s="255">
        <v>3</v>
      </c>
      <c r="I6976" s="361">
        <v>1</v>
      </c>
      <c r="J6976" s="368" t="s">
        <v>286</v>
      </c>
      <c r="K6976" s="388"/>
      <c r="L6976" s="387"/>
      <c r="W6976" s="129" t="s">
        <v>286</v>
      </c>
      <c r="X6976" s="337" t="b">
        <f t="shared" si="150"/>
        <v>1</v>
      </c>
    </row>
    <row r="6977" spans="2:24" s="360" customFormat="1" ht="12" customHeight="1" outlineLevel="1">
      <c r="B6977" s="118" t="s">
        <v>12</v>
      </c>
      <c r="C6977" s="334" t="s">
        <v>16631</v>
      </c>
      <c r="D6977" s="124" t="s">
        <v>16632</v>
      </c>
      <c r="E6977" s="125"/>
      <c r="F6977" s="118" t="s">
        <v>4396</v>
      </c>
      <c r="G6977" s="126" t="s">
        <v>16390</v>
      </c>
      <c r="H6977" s="255">
        <v>3</v>
      </c>
      <c r="I6977" s="361">
        <v>1</v>
      </c>
      <c r="J6977" s="368" t="s">
        <v>286</v>
      </c>
      <c r="K6977" s="388"/>
      <c r="L6977" s="387"/>
      <c r="W6977" s="129" t="s">
        <v>286</v>
      </c>
      <c r="X6977" s="337" t="b">
        <f t="shared" si="150"/>
        <v>1</v>
      </c>
    </row>
    <row r="6978" spans="2:24" s="360" customFormat="1" ht="12" customHeight="1" outlineLevel="1">
      <c r="B6978" s="118" t="s">
        <v>12</v>
      </c>
      <c r="C6978" s="334" t="s">
        <v>16633</v>
      </c>
      <c r="D6978" s="124" t="s">
        <v>5933</v>
      </c>
      <c r="E6978" s="125"/>
      <c r="F6978" s="118" t="s">
        <v>4396</v>
      </c>
      <c r="G6978" s="126" t="s">
        <v>16390</v>
      </c>
      <c r="H6978" s="255">
        <v>3</v>
      </c>
      <c r="I6978" s="361">
        <v>1</v>
      </c>
      <c r="J6978" s="368" t="s">
        <v>286</v>
      </c>
      <c r="K6978" s="388"/>
      <c r="L6978" s="387"/>
      <c r="W6978" s="129" t="s">
        <v>4876</v>
      </c>
      <c r="X6978" s="337" t="b">
        <f t="shared" si="150"/>
        <v>0</v>
      </c>
    </row>
    <row r="6979" spans="2:24" s="360" customFormat="1" ht="12" customHeight="1" outlineLevel="1">
      <c r="B6979" s="118" t="s">
        <v>12</v>
      </c>
      <c r="C6979" s="334" t="s">
        <v>16634</v>
      </c>
      <c r="D6979" s="124" t="s">
        <v>16618</v>
      </c>
      <c r="E6979" s="125"/>
      <c r="F6979" s="118" t="s">
        <v>4396</v>
      </c>
      <c r="G6979" s="126" t="s">
        <v>16390</v>
      </c>
      <c r="H6979" s="255">
        <v>3</v>
      </c>
      <c r="I6979" s="361">
        <v>1</v>
      </c>
      <c r="J6979" s="368" t="s">
        <v>286</v>
      </c>
      <c r="K6979" s="388"/>
      <c r="L6979" s="387"/>
      <c r="W6979" s="129" t="s">
        <v>4876</v>
      </c>
      <c r="X6979" s="337" t="b">
        <f t="shared" si="150"/>
        <v>0</v>
      </c>
    </row>
    <row r="6980" spans="2:24" s="360" customFormat="1" ht="12" customHeight="1" outlineLevel="1">
      <c r="B6980" s="118" t="s">
        <v>12</v>
      </c>
      <c r="C6980" s="334" t="s">
        <v>16635</v>
      </c>
      <c r="D6980" s="124" t="s">
        <v>16620</v>
      </c>
      <c r="E6980" s="125"/>
      <c r="F6980" s="118" t="s">
        <v>4396</v>
      </c>
      <c r="G6980" s="126" t="s">
        <v>16390</v>
      </c>
      <c r="H6980" s="255">
        <v>3</v>
      </c>
      <c r="I6980" s="361">
        <v>1</v>
      </c>
      <c r="J6980" s="368" t="s">
        <v>286</v>
      </c>
      <c r="K6980" s="388"/>
      <c r="L6980" s="387"/>
      <c r="W6980" s="129" t="s">
        <v>4876</v>
      </c>
      <c r="X6980" s="337" t="b">
        <f t="shared" si="150"/>
        <v>0</v>
      </c>
    </row>
    <row r="6981" spans="2:24" s="360" customFormat="1" ht="12" customHeight="1" outlineLevel="1">
      <c r="B6981" s="118" t="s">
        <v>12</v>
      </c>
      <c r="C6981" s="334" t="s">
        <v>16636</v>
      </c>
      <c r="D6981" s="124" t="s">
        <v>16637</v>
      </c>
      <c r="E6981" s="125"/>
      <c r="F6981" s="118" t="s">
        <v>4396</v>
      </c>
      <c r="G6981" s="126" t="s">
        <v>16390</v>
      </c>
      <c r="H6981" s="255">
        <v>3</v>
      </c>
      <c r="I6981" s="361">
        <v>1</v>
      </c>
      <c r="J6981" s="368" t="s">
        <v>286</v>
      </c>
      <c r="K6981" s="388"/>
      <c r="L6981" s="387"/>
      <c r="W6981" s="129" t="s">
        <v>4876</v>
      </c>
      <c r="X6981" s="337" t="b">
        <f t="shared" si="150"/>
        <v>0</v>
      </c>
    </row>
    <row r="6982" spans="2:24" s="360" customFormat="1" ht="12" customHeight="1" outlineLevel="1">
      <c r="B6982" s="118" t="s">
        <v>12</v>
      </c>
      <c r="C6982" s="334" t="s">
        <v>16638</v>
      </c>
      <c r="D6982" s="124" t="s">
        <v>16639</v>
      </c>
      <c r="E6982" s="125"/>
      <c r="F6982" s="118" t="s">
        <v>4396</v>
      </c>
      <c r="G6982" s="126" t="s">
        <v>16390</v>
      </c>
      <c r="H6982" s="255">
        <v>3</v>
      </c>
      <c r="I6982" s="361">
        <v>1</v>
      </c>
      <c r="J6982" s="368" t="s">
        <v>286</v>
      </c>
      <c r="K6982" s="388"/>
      <c r="L6982" s="387"/>
      <c r="W6982" s="129" t="s">
        <v>4876</v>
      </c>
      <c r="X6982" s="337" t="b">
        <f t="shared" si="150"/>
        <v>0</v>
      </c>
    </row>
    <row r="6983" spans="2:24" s="360" customFormat="1" ht="12" customHeight="1" outlineLevel="1">
      <c r="B6983" s="118" t="s">
        <v>12</v>
      </c>
      <c r="C6983" s="334" t="s">
        <v>16640</v>
      </c>
      <c r="D6983" s="124" t="s">
        <v>16641</v>
      </c>
      <c r="E6983" s="125"/>
      <c r="F6983" s="118" t="s">
        <v>4396</v>
      </c>
      <c r="G6983" s="126" t="s">
        <v>16390</v>
      </c>
      <c r="H6983" s="255">
        <v>3</v>
      </c>
      <c r="I6983" s="361">
        <v>1</v>
      </c>
      <c r="J6983" s="368" t="s">
        <v>286</v>
      </c>
      <c r="K6983" s="388"/>
      <c r="L6983" s="387"/>
      <c r="W6983" s="129" t="s">
        <v>4876</v>
      </c>
      <c r="X6983" s="337" t="b">
        <f t="shared" si="150"/>
        <v>0</v>
      </c>
    </row>
    <row r="6984" spans="2:24" s="360" customFormat="1" ht="12" customHeight="1" outlineLevel="1">
      <c r="B6984" s="118" t="s">
        <v>12</v>
      </c>
      <c r="C6984" s="334" t="s">
        <v>16642</v>
      </c>
      <c r="D6984" s="124" t="s">
        <v>16643</v>
      </c>
      <c r="E6984" s="125"/>
      <c r="F6984" s="118" t="s">
        <v>4396</v>
      </c>
      <c r="G6984" s="126" t="s">
        <v>16390</v>
      </c>
      <c r="H6984" s="255">
        <v>3</v>
      </c>
      <c r="I6984" s="361">
        <v>1</v>
      </c>
      <c r="J6984" s="368" t="s">
        <v>286</v>
      </c>
      <c r="K6984" s="388"/>
      <c r="L6984" s="387"/>
      <c r="W6984" s="129" t="s">
        <v>4876</v>
      </c>
      <c r="X6984" s="337" t="b">
        <f t="shared" si="150"/>
        <v>0</v>
      </c>
    </row>
    <row r="6985" spans="2:24" s="360" customFormat="1" ht="12" customHeight="1" outlineLevel="1">
      <c r="B6985" s="118" t="s">
        <v>12</v>
      </c>
      <c r="C6985" s="334" t="s">
        <v>16644</v>
      </c>
      <c r="D6985" s="124" t="s">
        <v>16645</v>
      </c>
      <c r="E6985" s="125"/>
      <c r="F6985" s="118" t="s">
        <v>4396</v>
      </c>
      <c r="G6985" s="126" t="s">
        <v>16390</v>
      </c>
      <c r="H6985" s="255">
        <v>3</v>
      </c>
      <c r="I6985" s="361">
        <v>1</v>
      </c>
      <c r="J6985" s="368" t="s">
        <v>286</v>
      </c>
      <c r="K6985" s="388"/>
      <c r="L6985" s="387"/>
      <c r="W6985" s="129" t="s">
        <v>4876</v>
      </c>
      <c r="X6985" s="337" t="b">
        <f t="shared" si="150"/>
        <v>0</v>
      </c>
    </row>
    <row r="6986" spans="2:24" s="360" customFormat="1" ht="12" customHeight="1" outlineLevel="1">
      <c r="B6986" s="118" t="s">
        <v>12</v>
      </c>
      <c r="C6986" s="334" t="s">
        <v>16646</v>
      </c>
      <c r="D6986" s="124" t="s">
        <v>16647</v>
      </c>
      <c r="E6986" s="125"/>
      <c r="F6986" s="118" t="s">
        <v>4396</v>
      </c>
      <c r="G6986" s="126" t="s">
        <v>16390</v>
      </c>
      <c r="H6986" s="255">
        <v>3</v>
      </c>
      <c r="I6986" s="361">
        <v>1</v>
      </c>
      <c r="J6986" s="368" t="s">
        <v>286</v>
      </c>
      <c r="K6986" s="388"/>
      <c r="L6986" s="387"/>
      <c r="W6986" s="129" t="s">
        <v>4876</v>
      </c>
      <c r="X6986" s="337" t="b">
        <f t="shared" si="150"/>
        <v>0</v>
      </c>
    </row>
    <row r="6987" spans="2:24" s="360" customFormat="1" ht="12" customHeight="1" outlineLevel="1">
      <c r="B6987" s="118" t="s">
        <v>12</v>
      </c>
      <c r="C6987" s="334" t="s">
        <v>16648</v>
      </c>
      <c r="D6987" s="124" t="s">
        <v>16649</v>
      </c>
      <c r="E6987" s="125"/>
      <c r="F6987" s="118" t="s">
        <v>4396</v>
      </c>
      <c r="G6987" s="126" t="s">
        <v>16390</v>
      </c>
      <c r="H6987" s="255">
        <v>3</v>
      </c>
      <c r="I6987" s="361">
        <v>1</v>
      </c>
      <c r="J6987" s="368" t="s">
        <v>286</v>
      </c>
      <c r="K6987" s="388"/>
      <c r="L6987" s="387"/>
      <c r="W6987" s="129" t="s">
        <v>4876</v>
      </c>
      <c r="X6987" s="337" t="b">
        <f t="shared" si="150"/>
        <v>0</v>
      </c>
    </row>
    <row r="6988" spans="2:24" s="360" customFormat="1" ht="12" customHeight="1" outlineLevel="1">
      <c r="B6988" s="118" t="s">
        <v>12</v>
      </c>
      <c r="C6988" s="334" t="s">
        <v>16650</v>
      </c>
      <c r="D6988" s="124" t="s">
        <v>16651</v>
      </c>
      <c r="E6988" s="125"/>
      <c r="F6988" s="118" t="s">
        <v>4396</v>
      </c>
      <c r="G6988" s="126" t="s">
        <v>16390</v>
      </c>
      <c r="H6988" s="255">
        <v>3</v>
      </c>
      <c r="I6988" s="361">
        <v>1</v>
      </c>
      <c r="J6988" s="368" t="s">
        <v>286</v>
      </c>
      <c r="K6988" s="388"/>
      <c r="L6988" s="387"/>
      <c r="W6988" s="129" t="s">
        <v>4876</v>
      </c>
      <c r="X6988" s="337" t="b">
        <f t="shared" si="150"/>
        <v>0</v>
      </c>
    </row>
    <row r="6989" spans="2:24" s="360" customFormat="1" ht="12" customHeight="1" outlineLevel="1">
      <c r="B6989" s="118" t="s">
        <v>12</v>
      </c>
      <c r="C6989" s="334" t="s">
        <v>16652</v>
      </c>
      <c r="D6989" s="124" t="s">
        <v>16653</v>
      </c>
      <c r="E6989" s="125"/>
      <c r="F6989" s="118" t="s">
        <v>4396</v>
      </c>
      <c r="G6989" s="126" t="s">
        <v>16390</v>
      </c>
      <c r="H6989" s="255">
        <v>3</v>
      </c>
      <c r="I6989" s="361">
        <v>1</v>
      </c>
      <c r="J6989" s="368" t="s">
        <v>286</v>
      </c>
      <c r="K6989" s="388"/>
      <c r="L6989" s="387"/>
      <c r="W6989" s="129" t="s">
        <v>4876</v>
      </c>
      <c r="X6989" s="337" t="b">
        <f t="shared" si="150"/>
        <v>0</v>
      </c>
    </row>
    <row r="6990" spans="2:24" s="360" customFormat="1" ht="12" customHeight="1" outlineLevel="1">
      <c r="B6990" s="118" t="s">
        <v>12</v>
      </c>
      <c r="C6990" s="334" t="s">
        <v>16654</v>
      </c>
      <c r="D6990" s="124" t="s">
        <v>5940</v>
      </c>
      <c r="E6990" s="125"/>
      <c r="F6990" s="118" t="s">
        <v>4396</v>
      </c>
      <c r="G6990" s="126" t="s">
        <v>16390</v>
      </c>
      <c r="H6990" s="255">
        <v>3</v>
      </c>
      <c r="I6990" s="361">
        <v>1</v>
      </c>
      <c r="J6990" s="368" t="s">
        <v>286</v>
      </c>
      <c r="K6990" s="388"/>
      <c r="L6990" s="387"/>
      <c r="W6990" s="129" t="s">
        <v>4876</v>
      </c>
      <c r="X6990" s="337" t="b">
        <f t="shared" si="150"/>
        <v>0</v>
      </c>
    </row>
    <row r="6991" spans="2:24" s="360" customFormat="1" ht="12" customHeight="1" outlineLevel="1">
      <c r="B6991" s="118" t="s">
        <v>12</v>
      </c>
      <c r="C6991" s="334" t="s">
        <v>16655</v>
      </c>
      <c r="D6991" s="124" t="s">
        <v>16656</v>
      </c>
      <c r="E6991" s="125"/>
      <c r="F6991" s="118" t="s">
        <v>4396</v>
      </c>
      <c r="G6991" s="126" t="s">
        <v>16390</v>
      </c>
      <c r="H6991" s="255">
        <v>3</v>
      </c>
      <c r="I6991" s="361">
        <v>1</v>
      </c>
      <c r="J6991" s="368" t="s">
        <v>286</v>
      </c>
      <c r="K6991" s="388"/>
      <c r="L6991" s="387"/>
      <c r="W6991" s="129" t="s">
        <v>4876</v>
      </c>
      <c r="X6991" s="337" t="b">
        <f t="shared" si="150"/>
        <v>0</v>
      </c>
    </row>
    <row r="6992" spans="2:24" s="360" customFormat="1" ht="12" customHeight="1" outlineLevel="1">
      <c r="B6992" s="118" t="s">
        <v>12</v>
      </c>
      <c r="C6992" s="334" t="s">
        <v>16657</v>
      </c>
      <c r="D6992" s="124" t="s">
        <v>16658</v>
      </c>
      <c r="E6992" s="125"/>
      <c r="F6992" s="118" t="s">
        <v>4396</v>
      </c>
      <c r="G6992" s="126" t="s">
        <v>16390</v>
      </c>
      <c r="H6992" s="255">
        <v>3</v>
      </c>
      <c r="I6992" s="361">
        <v>1</v>
      </c>
      <c r="J6992" s="368" t="s">
        <v>286</v>
      </c>
      <c r="K6992" s="388"/>
      <c r="L6992" s="387"/>
      <c r="W6992" s="129" t="s">
        <v>4876</v>
      </c>
      <c r="X6992" s="337" t="b">
        <f t="shared" si="150"/>
        <v>0</v>
      </c>
    </row>
    <row r="6993" spans="2:24" s="360" customFormat="1" ht="12" customHeight="1" outlineLevel="1">
      <c r="B6993" s="118" t="s">
        <v>12</v>
      </c>
      <c r="C6993" s="334" t="s">
        <v>16659</v>
      </c>
      <c r="D6993" s="124" t="s">
        <v>16660</v>
      </c>
      <c r="E6993" s="125"/>
      <c r="F6993" s="118" t="s">
        <v>4396</v>
      </c>
      <c r="G6993" s="126" t="s">
        <v>16390</v>
      </c>
      <c r="H6993" s="255">
        <v>3</v>
      </c>
      <c r="I6993" s="361">
        <v>1</v>
      </c>
      <c r="J6993" s="368" t="s">
        <v>286</v>
      </c>
      <c r="K6993" s="388"/>
      <c r="L6993" s="387"/>
      <c r="W6993" s="129" t="s">
        <v>4876</v>
      </c>
      <c r="X6993" s="337" t="b">
        <f t="shared" si="150"/>
        <v>0</v>
      </c>
    </row>
    <row r="6994" spans="2:24" s="360" customFormat="1" ht="12" customHeight="1" outlineLevel="1">
      <c r="B6994" s="118" t="s">
        <v>12</v>
      </c>
      <c r="C6994" s="334" t="s">
        <v>16661</v>
      </c>
      <c r="D6994" s="124" t="s">
        <v>16662</v>
      </c>
      <c r="E6994" s="125"/>
      <c r="F6994" s="118" t="s">
        <v>4396</v>
      </c>
      <c r="G6994" s="126" t="s">
        <v>16390</v>
      </c>
      <c r="H6994" s="255">
        <v>3</v>
      </c>
      <c r="I6994" s="361">
        <v>1</v>
      </c>
      <c r="J6994" s="368" t="s">
        <v>310</v>
      </c>
      <c r="K6994" s="388"/>
      <c r="L6994" s="387"/>
      <c r="W6994" s="129" t="s">
        <v>310</v>
      </c>
      <c r="X6994" s="337" t="b">
        <f t="shared" si="150"/>
        <v>1</v>
      </c>
    </row>
    <row r="6995" spans="2:24" s="360" customFormat="1" ht="12" customHeight="1" outlineLevel="1">
      <c r="B6995" s="118" t="s">
        <v>12</v>
      </c>
      <c r="C6995" s="334" t="s">
        <v>16663</v>
      </c>
      <c r="D6995" s="124" t="s">
        <v>16664</v>
      </c>
      <c r="E6995" s="125"/>
      <c r="F6995" s="118" t="s">
        <v>4396</v>
      </c>
      <c r="G6995" s="126" t="s">
        <v>16390</v>
      </c>
      <c r="H6995" s="255">
        <v>3</v>
      </c>
      <c r="I6995" s="361">
        <v>1</v>
      </c>
      <c r="J6995" s="368" t="s">
        <v>310</v>
      </c>
      <c r="K6995" s="388"/>
      <c r="L6995" s="387"/>
      <c r="W6995" s="129" t="s">
        <v>286</v>
      </c>
      <c r="X6995" s="337" t="b">
        <f t="shared" si="150"/>
        <v>0</v>
      </c>
    </row>
    <row r="6996" spans="2:24" s="360" customFormat="1" ht="12" customHeight="1" outlineLevel="1">
      <c r="B6996" s="118" t="s">
        <v>12</v>
      </c>
      <c r="C6996" s="334" t="s">
        <v>16665</v>
      </c>
      <c r="D6996" s="124" t="s">
        <v>16666</v>
      </c>
      <c r="E6996" s="125"/>
      <c r="F6996" s="118" t="s">
        <v>4396</v>
      </c>
      <c r="G6996" s="126" t="s">
        <v>16390</v>
      </c>
      <c r="H6996" s="255">
        <v>3</v>
      </c>
      <c r="I6996" s="361">
        <v>1</v>
      </c>
      <c r="J6996" s="368" t="s">
        <v>286</v>
      </c>
      <c r="K6996" s="388"/>
      <c r="L6996" s="387"/>
      <c r="W6996" s="129" t="s">
        <v>4876</v>
      </c>
      <c r="X6996" s="337" t="b">
        <f t="shared" si="150"/>
        <v>0</v>
      </c>
    </row>
    <row r="6997" spans="2:24" s="360" customFormat="1" ht="12" customHeight="1" outlineLevel="1">
      <c r="B6997" s="118" t="s">
        <v>12</v>
      </c>
      <c r="C6997" s="334" t="s">
        <v>16667</v>
      </c>
      <c r="D6997" s="124" t="s">
        <v>16668</v>
      </c>
      <c r="E6997" s="125"/>
      <c r="F6997" s="118" t="s">
        <v>4396</v>
      </c>
      <c r="G6997" s="126" t="s">
        <v>16390</v>
      </c>
      <c r="H6997" s="255">
        <v>3</v>
      </c>
      <c r="I6997" s="361">
        <v>1</v>
      </c>
      <c r="J6997" s="368" t="s">
        <v>310</v>
      </c>
      <c r="K6997" s="388"/>
      <c r="L6997" s="387"/>
      <c r="W6997" s="129" t="s">
        <v>4876</v>
      </c>
      <c r="X6997" s="337" t="b">
        <f t="shared" si="150"/>
        <v>0</v>
      </c>
    </row>
    <row r="6998" spans="2:24" s="360" customFormat="1" ht="12" customHeight="1" outlineLevel="1">
      <c r="B6998" s="118" t="s">
        <v>12</v>
      </c>
      <c r="C6998" s="334" t="s">
        <v>16669</v>
      </c>
      <c r="D6998" s="124" t="s">
        <v>16670</v>
      </c>
      <c r="E6998" s="125"/>
      <c r="F6998" s="118" t="s">
        <v>4396</v>
      </c>
      <c r="G6998" s="126" t="s">
        <v>16390</v>
      </c>
      <c r="H6998" s="255">
        <v>3</v>
      </c>
      <c r="I6998" s="361">
        <v>1</v>
      </c>
      <c r="J6998" s="368" t="s">
        <v>310</v>
      </c>
      <c r="K6998" s="388"/>
      <c r="L6998" s="387"/>
      <c r="W6998" s="129" t="s">
        <v>4876</v>
      </c>
      <c r="X6998" s="337" t="b">
        <f t="shared" si="150"/>
        <v>0</v>
      </c>
    </row>
    <row r="6999" spans="2:24" s="360" customFormat="1" ht="12" customHeight="1" outlineLevel="1">
      <c r="B6999" s="118" t="s">
        <v>12</v>
      </c>
      <c r="C6999" s="334" t="s">
        <v>16671</v>
      </c>
      <c r="D6999" s="124" t="s">
        <v>16672</v>
      </c>
      <c r="E6999" s="125"/>
      <c r="F6999" s="118" t="s">
        <v>4396</v>
      </c>
      <c r="G6999" s="126" t="s">
        <v>16390</v>
      </c>
      <c r="H6999" s="255">
        <v>3</v>
      </c>
      <c r="I6999" s="361">
        <v>1</v>
      </c>
      <c r="J6999" s="368" t="s">
        <v>310</v>
      </c>
      <c r="K6999" s="388"/>
      <c r="L6999" s="387"/>
      <c r="W6999" s="129" t="s">
        <v>4876</v>
      </c>
      <c r="X6999" s="337" t="b">
        <f t="shared" si="150"/>
        <v>0</v>
      </c>
    </row>
    <row r="7000" spans="2:24" s="360" customFormat="1" ht="12" customHeight="1" outlineLevel="1">
      <c r="B7000" s="118" t="s">
        <v>12</v>
      </c>
      <c r="C7000" s="334" t="s">
        <v>16673</v>
      </c>
      <c r="D7000" s="124" t="s">
        <v>16674</v>
      </c>
      <c r="E7000" s="125"/>
      <c r="F7000" s="118" t="s">
        <v>4396</v>
      </c>
      <c r="G7000" s="126" t="s">
        <v>16390</v>
      </c>
      <c r="H7000" s="255">
        <v>3</v>
      </c>
      <c r="I7000" s="361">
        <v>1</v>
      </c>
      <c r="J7000" s="368" t="s">
        <v>310</v>
      </c>
      <c r="K7000" s="388"/>
      <c r="L7000" s="387"/>
      <c r="W7000" s="129" t="s">
        <v>4876</v>
      </c>
      <c r="X7000" s="337" t="b">
        <f t="shared" si="150"/>
        <v>0</v>
      </c>
    </row>
    <row r="7001" spans="2:24" s="360" customFormat="1" ht="12" customHeight="1" outlineLevel="1">
      <c r="B7001" s="118" t="s">
        <v>12</v>
      </c>
      <c r="C7001" s="334" t="s">
        <v>16675</v>
      </c>
      <c r="D7001" s="124" t="s">
        <v>16676</v>
      </c>
      <c r="E7001" s="125"/>
      <c r="F7001" s="118" t="s">
        <v>4396</v>
      </c>
      <c r="G7001" s="126" t="s">
        <v>16390</v>
      </c>
      <c r="H7001" s="255">
        <v>3</v>
      </c>
      <c r="I7001" s="361">
        <v>1</v>
      </c>
      <c r="J7001" s="368" t="s">
        <v>310</v>
      </c>
      <c r="K7001" s="388"/>
      <c r="L7001" s="387"/>
      <c r="W7001" s="129" t="s">
        <v>310</v>
      </c>
      <c r="X7001" s="337" t="b">
        <f t="shared" si="150"/>
        <v>1</v>
      </c>
    </row>
    <row r="7002" spans="2:24" s="360" customFormat="1" ht="12" customHeight="1" outlineLevel="1">
      <c r="B7002" s="118" t="s">
        <v>12</v>
      </c>
      <c r="C7002" s="334" t="s">
        <v>16677</v>
      </c>
      <c r="D7002" s="124" t="s">
        <v>16678</v>
      </c>
      <c r="E7002" s="125"/>
      <c r="F7002" s="118" t="s">
        <v>4396</v>
      </c>
      <c r="G7002" s="126" t="s">
        <v>16390</v>
      </c>
      <c r="H7002" s="255">
        <v>3</v>
      </c>
      <c r="I7002" s="361">
        <v>1</v>
      </c>
      <c r="J7002" s="368" t="s">
        <v>286</v>
      </c>
      <c r="K7002" s="388"/>
      <c r="L7002" s="387"/>
      <c r="W7002" s="129" t="s">
        <v>286</v>
      </c>
      <c r="X7002" s="337" t="b">
        <f t="shared" si="150"/>
        <v>1</v>
      </c>
    </row>
    <row r="7003" spans="2:24" s="360" customFormat="1" ht="12" customHeight="1" outlineLevel="1">
      <c r="B7003" s="118" t="s">
        <v>12</v>
      </c>
      <c r="C7003" s="334" t="s">
        <v>16679</v>
      </c>
      <c r="D7003" s="124" t="s">
        <v>16680</v>
      </c>
      <c r="E7003" s="125"/>
      <c r="F7003" s="118" t="s">
        <v>4396</v>
      </c>
      <c r="G7003" s="126" t="s">
        <v>16390</v>
      </c>
      <c r="H7003" s="255">
        <v>3</v>
      </c>
      <c r="I7003" s="361">
        <v>1</v>
      </c>
      <c r="J7003" s="368" t="s">
        <v>286</v>
      </c>
      <c r="K7003" s="388"/>
      <c r="L7003" s="387"/>
      <c r="W7003" s="129" t="s">
        <v>286</v>
      </c>
      <c r="X7003" s="337" t="b">
        <f t="shared" si="150"/>
        <v>1</v>
      </c>
    </row>
    <row r="7004" spans="2:24" s="360" customFormat="1" ht="12" customHeight="1" outlineLevel="1">
      <c r="B7004" s="118" t="s">
        <v>12</v>
      </c>
      <c r="C7004" s="334" t="s">
        <v>16681</v>
      </c>
      <c r="D7004" s="124" t="s">
        <v>16682</v>
      </c>
      <c r="E7004" s="125"/>
      <c r="F7004" s="118" t="s">
        <v>4396</v>
      </c>
      <c r="G7004" s="126" t="s">
        <v>16390</v>
      </c>
      <c r="H7004" s="255">
        <v>3</v>
      </c>
      <c r="I7004" s="361">
        <v>1</v>
      </c>
      <c r="J7004" s="368" t="s">
        <v>286</v>
      </c>
      <c r="K7004" s="388"/>
      <c r="L7004" s="387"/>
      <c r="W7004" s="129" t="s">
        <v>286</v>
      </c>
      <c r="X7004" s="337" t="b">
        <f t="shared" si="150"/>
        <v>1</v>
      </c>
    </row>
    <row r="7005" spans="2:24" s="360" customFormat="1" ht="12" customHeight="1" outlineLevel="1">
      <c r="B7005" s="118" t="s">
        <v>12</v>
      </c>
      <c r="C7005" s="334" t="s">
        <v>16683</v>
      </c>
      <c r="D7005" s="124" t="s">
        <v>16684</v>
      </c>
      <c r="E7005" s="125"/>
      <c r="F7005" s="118" t="s">
        <v>4396</v>
      </c>
      <c r="G7005" s="126" t="s">
        <v>16390</v>
      </c>
      <c r="H7005" s="255">
        <v>3</v>
      </c>
      <c r="I7005" s="361">
        <v>1</v>
      </c>
      <c r="J7005" s="368" t="s">
        <v>286</v>
      </c>
      <c r="K7005" s="388"/>
      <c r="L7005" s="387"/>
      <c r="W7005" s="129" t="s">
        <v>286</v>
      </c>
      <c r="X7005" s="337" t="b">
        <f t="shared" si="150"/>
        <v>1</v>
      </c>
    </row>
    <row r="7006" spans="2:24" s="360" customFormat="1" ht="12" customHeight="1" outlineLevel="1">
      <c r="B7006" s="118" t="s">
        <v>12</v>
      </c>
      <c r="C7006" s="334" t="s">
        <v>16685</v>
      </c>
      <c r="D7006" s="124" t="s">
        <v>16686</v>
      </c>
      <c r="E7006" s="125"/>
      <c r="F7006" s="118" t="s">
        <v>4396</v>
      </c>
      <c r="G7006" s="126" t="s">
        <v>16390</v>
      </c>
      <c r="H7006" s="255">
        <v>3</v>
      </c>
      <c r="I7006" s="361">
        <v>1</v>
      </c>
      <c r="J7006" s="368" t="s">
        <v>286</v>
      </c>
      <c r="K7006" s="388"/>
      <c r="L7006" s="387"/>
      <c r="W7006" s="129" t="s">
        <v>286</v>
      </c>
      <c r="X7006" s="337" t="b">
        <f t="shared" si="150"/>
        <v>1</v>
      </c>
    </row>
    <row r="7007" spans="2:24" s="360" customFormat="1" ht="12" customHeight="1" outlineLevel="1">
      <c r="B7007" s="118" t="s">
        <v>12</v>
      </c>
      <c r="C7007" s="334" t="s">
        <v>16687</v>
      </c>
      <c r="D7007" s="124" t="s">
        <v>16688</v>
      </c>
      <c r="E7007" s="125"/>
      <c r="F7007" s="118" t="s">
        <v>4396</v>
      </c>
      <c r="G7007" s="126" t="s">
        <v>16390</v>
      </c>
      <c r="H7007" s="255">
        <v>3</v>
      </c>
      <c r="I7007" s="361">
        <v>1</v>
      </c>
      <c r="J7007" s="368" t="s">
        <v>286</v>
      </c>
      <c r="K7007" s="388"/>
      <c r="L7007" s="387"/>
      <c r="W7007" s="129" t="s">
        <v>286</v>
      </c>
      <c r="X7007" s="337" t="b">
        <f t="shared" si="150"/>
        <v>1</v>
      </c>
    </row>
    <row r="7008" spans="2:24" s="360" customFormat="1" ht="12" customHeight="1" outlineLevel="1">
      <c r="B7008" s="118" t="s">
        <v>12</v>
      </c>
      <c r="C7008" s="334" t="s">
        <v>16689</v>
      </c>
      <c r="D7008" s="124" t="s">
        <v>16690</v>
      </c>
      <c r="E7008" s="125"/>
      <c r="F7008" s="118" t="s">
        <v>4396</v>
      </c>
      <c r="G7008" s="126" t="s">
        <v>16390</v>
      </c>
      <c r="H7008" s="255">
        <v>3</v>
      </c>
      <c r="I7008" s="361">
        <v>1</v>
      </c>
      <c r="J7008" s="368" t="s">
        <v>286</v>
      </c>
      <c r="K7008" s="388"/>
      <c r="L7008" s="387"/>
      <c r="W7008" s="129" t="s">
        <v>286</v>
      </c>
      <c r="X7008" s="337" t="b">
        <f t="shared" si="150"/>
        <v>1</v>
      </c>
    </row>
    <row r="7009" spans="2:24" s="360" customFormat="1" ht="12" customHeight="1" outlineLevel="1">
      <c r="B7009" s="118" t="s">
        <v>12</v>
      </c>
      <c r="C7009" s="334" t="s">
        <v>16691</v>
      </c>
      <c r="D7009" s="124" t="s">
        <v>16692</v>
      </c>
      <c r="E7009" s="125"/>
      <c r="F7009" s="118" t="s">
        <v>4396</v>
      </c>
      <c r="G7009" s="126" t="s">
        <v>16390</v>
      </c>
      <c r="H7009" s="255">
        <v>3</v>
      </c>
      <c r="I7009" s="361">
        <v>1</v>
      </c>
      <c r="J7009" s="368" t="s">
        <v>286</v>
      </c>
      <c r="K7009" s="388"/>
      <c r="L7009" s="387"/>
      <c r="W7009" s="129" t="s">
        <v>286</v>
      </c>
      <c r="X7009" s="337" t="b">
        <f t="shared" si="150"/>
        <v>1</v>
      </c>
    </row>
    <row r="7010" spans="2:24" s="360" customFormat="1" ht="12" customHeight="1" outlineLevel="1">
      <c r="B7010" s="118" t="s">
        <v>12</v>
      </c>
      <c r="C7010" s="334" t="s">
        <v>16693</v>
      </c>
      <c r="D7010" s="124" t="s">
        <v>16694</v>
      </c>
      <c r="E7010" s="125"/>
      <c r="F7010" s="118" t="s">
        <v>4396</v>
      </c>
      <c r="G7010" s="126" t="s">
        <v>16390</v>
      </c>
      <c r="H7010" s="255">
        <v>3</v>
      </c>
      <c r="I7010" s="361">
        <v>1</v>
      </c>
      <c r="J7010" s="368" t="s">
        <v>310</v>
      </c>
      <c r="K7010" s="388"/>
      <c r="L7010" s="387"/>
      <c r="W7010" s="129" t="s">
        <v>307</v>
      </c>
      <c r="X7010" s="337" t="b">
        <f t="shared" si="150"/>
        <v>0</v>
      </c>
    </row>
    <row r="7011" spans="2:24" s="360" customFormat="1" ht="12" customHeight="1" outlineLevel="1">
      <c r="B7011" s="118" t="s">
        <v>12</v>
      </c>
      <c r="C7011" s="334" t="s">
        <v>16695</v>
      </c>
      <c r="D7011" s="124" t="s">
        <v>5933</v>
      </c>
      <c r="E7011" s="125"/>
      <c r="F7011" s="118" t="s">
        <v>4396</v>
      </c>
      <c r="G7011" s="126" t="s">
        <v>16390</v>
      </c>
      <c r="H7011" s="255">
        <v>3</v>
      </c>
      <c r="I7011" s="361">
        <v>1</v>
      </c>
      <c r="J7011" s="368" t="s">
        <v>286</v>
      </c>
      <c r="K7011" s="388"/>
      <c r="L7011" s="387"/>
      <c r="W7011" s="129" t="s">
        <v>4876</v>
      </c>
      <c r="X7011" s="337" t="b">
        <f t="shared" si="150"/>
        <v>0</v>
      </c>
    </row>
    <row r="7012" spans="2:24" s="360" customFormat="1" ht="12" customHeight="1" outlineLevel="1">
      <c r="B7012" s="118" t="s">
        <v>12</v>
      </c>
      <c r="C7012" s="334" t="s">
        <v>16696</v>
      </c>
      <c r="D7012" s="124" t="s">
        <v>16618</v>
      </c>
      <c r="E7012" s="125"/>
      <c r="F7012" s="118" t="s">
        <v>4396</v>
      </c>
      <c r="G7012" s="126" t="s">
        <v>16390</v>
      </c>
      <c r="H7012" s="255">
        <v>3</v>
      </c>
      <c r="I7012" s="361">
        <v>1</v>
      </c>
      <c r="J7012" s="368" t="s">
        <v>286</v>
      </c>
      <c r="K7012" s="388"/>
      <c r="L7012" s="387"/>
      <c r="W7012" s="129" t="s">
        <v>4876</v>
      </c>
      <c r="X7012" s="337" t="b">
        <f t="shared" si="150"/>
        <v>0</v>
      </c>
    </row>
    <row r="7013" spans="2:24" s="360" customFormat="1" ht="12" customHeight="1" outlineLevel="1">
      <c r="B7013" s="118" t="s">
        <v>12</v>
      </c>
      <c r="C7013" s="334" t="s">
        <v>16697</v>
      </c>
      <c r="D7013" s="124" t="s">
        <v>16620</v>
      </c>
      <c r="E7013" s="125"/>
      <c r="F7013" s="118" t="s">
        <v>4396</v>
      </c>
      <c r="G7013" s="126" t="s">
        <v>16390</v>
      </c>
      <c r="H7013" s="255">
        <v>3</v>
      </c>
      <c r="I7013" s="361">
        <v>1</v>
      </c>
      <c r="J7013" s="368" t="s">
        <v>286</v>
      </c>
      <c r="K7013" s="388"/>
      <c r="L7013" s="387"/>
      <c r="W7013" s="129" t="s">
        <v>4876</v>
      </c>
      <c r="X7013" s="337" t="b">
        <f t="shared" si="150"/>
        <v>0</v>
      </c>
    </row>
    <row r="7014" spans="2:24" s="360" customFormat="1" ht="12" customHeight="1" outlineLevel="1">
      <c r="B7014" s="118" t="s">
        <v>12</v>
      </c>
      <c r="C7014" s="334" t="s">
        <v>16698</v>
      </c>
      <c r="D7014" s="124" t="s">
        <v>16699</v>
      </c>
      <c r="E7014" s="125"/>
      <c r="F7014" s="118" t="s">
        <v>4396</v>
      </c>
      <c r="G7014" s="126" t="s">
        <v>16390</v>
      </c>
      <c r="H7014" s="255">
        <v>3</v>
      </c>
      <c r="I7014" s="361">
        <v>1</v>
      </c>
      <c r="J7014" s="368" t="s">
        <v>286</v>
      </c>
      <c r="K7014" s="388"/>
      <c r="L7014" s="387"/>
      <c r="W7014" s="129" t="s">
        <v>286</v>
      </c>
      <c r="X7014" s="337" t="b">
        <f t="shared" si="150"/>
        <v>1</v>
      </c>
    </row>
    <row r="7015" spans="2:24" s="360" customFormat="1" ht="12" customHeight="1" outlineLevel="1">
      <c r="B7015" s="118" t="s">
        <v>12</v>
      </c>
      <c r="C7015" s="334" t="s">
        <v>16700</v>
      </c>
      <c r="D7015" s="124" t="s">
        <v>16701</v>
      </c>
      <c r="E7015" s="125"/>
      <c r="F7015" s="118" t="s">
        <v>4396</v>
      </c>
      <c r="G7015" s="126" t="s">
        <v>16390</v>
      </c>
      <c r="H7015" s="255">
        <v>3</v>
      </c>
      <c r="I7015" s="361">
        <v>1</v>
      </c>
      <c r="J7015" s="368" t="s">
        <v>286</v>
      </c>
      <c r="K7015" s="388"/>
      <c r="L7015" s="387"/>
      <c r="W7015" s="129" t="s">
        <v>286</v>
      </c>
      <c r="X7015" s="337" t="b">
        <f t="shared" si="150"/>
        <v>1</v>
      </c>
    </row>
    <row r="7016" spans="2:24" s="360" customFormat="1" ht="12" customHeight="1" outlineLevel="1">
      <c r="B7016" s="118" t="s">
        <v>12</v>
      </c>
      <c r="C7016" s="334" t="s">
        <v>16702</v>
      </c>
      <c r="D7016" s="124" t="s">
        <v>9767</v>
      </c>
      <c r="E7016" s="125"/>
      <c r="F7016" s="118" t="s">
        <v>4396</v>
      </c>
      <c r="G7016" s="126" t="s">
        <v>16390</v>
      </c>
      <c r="H7016" s="255">
        <v>3</v>
      </c>
      <c r="I7016" s="361">
        <v>1</v>
      </c>
      <c r="J7016" s="368" t="s">
        <v>286</v>
      </c>
      <c r="K7016" s="388"/>
      <c r="L7016" s="387"/>
      <c r="W7016" s="129" t="s">
        <v>286</v>
      </c>
      <c r="X7016" s="337" t="b">
        <f t="shared" si="150"/>
        <v>1</v>
      </c>
    </row>
    <row r="7017" spans="2:24" s="360" customFormat="1" ht="12" customHeight="1" outlineLevel="1">
      <c r="B7017" s="118" t="s">
        <v>12</v>
      </c>
      <c r="C7017" s="334" t="s">
        <v>16703</v>
      </c>
      <c r="D7017" s="124" t="s">
        <v>16704</v>
      </c>
      <c r="E7017" s="125"/>
      <c r="F7017" s="118" t="s">
        <v>4396</v>
      </c>
      <c r="G7017" s="126" t="s">
        <v>16390</v>
      </c>
      <c r="H7017" s="255">
        <v>3</v>
      </c>
      <c r="I7017" s="361">
        <v>1</v>
      </c>
      <c r="J7017" s="368" t="s">
        <v>286</v>
      </c>
      <c r="K7017" s="388"/>
      <c r="L7017" s="387"/>
      <c r="W7017" s="129" t="s">
        <v>286</v>
      </c>
      <c r="X7017" s="337" t="b">
        <f t="shared" si="150"/>
        <v>1</v>
      </c>
    </row>
    <row r="7018" spans="2:24" s="360" customFormat="1" ht="12" customHeight="1" outlineLevel="1">
      <c r="B7018" s="118" t="s">
        <v>12</v>
      </c>
      <c r="C7018" s="334" t="s">
        <v>16705</v>
      </c>
      <c r="D7018" s="124" t="s">
        <v>16706</v>
      </c>
      <c r="E7018" s="125"/>
      <c r="F7018" s="118" t="s">
        <v>4396</v>
      </c>
      <c r="G7018" s="126" t="s">
        <v>16390</v>
      </c>
      <c r="H7018" s="255">
        <v>3</v>
      </c>
      <c r="I7018" s="361">
        <v>1</v>
      </c>
      <c r="J7018" s="368" t="s">
        <v>286</v>
      </c>
      <c r="K7018" s="388"/>
      <c r="L7018" s="387"/>
      <c r="W7018" s="129" t="s">
        <v>286</v>
      </c>
      <c r="X7018" s="337" t="b">
        <f t="shared" si="150"/>
        <v>1</v>
      </c>
    </row>
    <row r="7019" spans="2:24" s="360" customFormat="1" ht="12" customHeight="1" outlineLevel="1">
      <c r="B7019" s="118" t="s">
        <v>12</v>
      </c>
      <c r="C7019" s="334" t="s">
        <v>16707</v>
      </c>
      <c r="D7019" s="124" t="s">
        <v>16708</v>
      </c>
      <c r="E7019" s="125"/>
      <c r="F7019" s="118" t="s">
        <v>4396</v>
      </c>
      <c r="G7019" s="126" t="s">
        <v>16390</v>
      </c>
      <c r="H7019" s="255">
        <v>3</v>
      </c>
      <c r="I7019" s="361">
        <v>1</v>
      </c>
      <c r="J7019" s="368" t="s">
        <v>286</v>
      </c>
      <c r="K7019" s="388"/>
      <c r="L7019" s="387"/>
      <c r="W7019" s="129" t="s">
        <v>4876</v>
      </c>
      <c r="X7019" s="337" t="b">
        <f t="shared" si="150"/>
        <v>0</v>
      </c>
    </row>
    <row r="7020" spans="2:24" s="360" customFormat="1" ht="12" customHeight="1" outlineLevel="1">
      <c r="B7020" s="118" t="s">
        <v>12</v>
      </c>
      <c r="C7020" s="334" t="s">
        <v>16709</v>
      </c>
      <c r="D7020" s="124" t="s">
        <v>16710</v>
      </c>
      <c r="E7020" s="125"/>
      <c r="F7020" s="118" t="s">
        <v>4396</v>
      </c>
      <c r="G7020" s="126" t="s">
        <v>16390</v>
      </c>
      <c r="H7020" s="255">
        <v>3</v>
      </c>
      <c r="I7020" s="361">
        <v>1</v>
      </c>
      <c r="J7020" s="368" t="s">
        <v>286</v>
      </c>
      <c r="K7020" s="388"/>
      <c r="L7020" s="387"/>
      <c r="W7020" s="129" t="s">
        <v>4876</v>
      </c>
      <c r="X7020" s="337" t="b">
        <f t="shared" si="150"/>
        <v>0</v>
      </c>
    </row>
    <row r="7021" spans="2:24" s="360" customFormat="1" ht="12" customHeight="1" outlineLevel="1">
      <c r="B7021" s="118" t="s">
        <v>12</v>
      </c>
      <c r="C7021" s="334" t="s">
        <v>16711</v>
      </c>
      <c r="D7021" s="124" t="s">
        <v>16712</v>
      </c>
      <c r="E7021" s="125"/>
      <c r="F7021" s="118" t="s">
        <v>4396</v>
      </c>
      <c r="G7021" s="126" t="s">
        <v>16390</v>
      </c>
      <c r="H7021" s="255">
        <v>3</v>
      </c>
      <c r="I7021" s="361">
        <v>1</v>
      </c>
      <c r="J7021" s="368" t="s">
        <v>286</v>
      </c>
      <c r="K7021" s="388"/>
      <c r="L7021" s="387"/>
      <c r="W7021" s="129" t="s">
        <v>4876</v>
      </c>
      <c r="X7021" s="337" t="b">
        <f t="shared" si="150"/>
        <v>0</v>
      </c>
    </row>
    <row r="7022" spans="2:24" s="360" customFormat="1" ht="12" customHeight="1" outlineLevel="1">
      <c r="B7022" s="118" t="s">
        <v>12</v>
      </c>
      <c r="C7022" s="334" t="s">
        <v>16713</v>
      </c>
      <c r="D7022" s="124" t="s">
        <v>16714</v>
      </c>
      <c r="E7022" s="125"/>
      <c r="F7022" s="118" t="s">
        <v>4396</v>
      </c>
      <c r="G7022" s="126" t="s">
        <v>16390</v>
      </c>
      <c r="H7022" s="255">
        <v>3</v>
      </c>
      <c r="I7022" s="361">
        <v>1</v>
      </c>
      <c r="J7022" s="368" t="s">
        <v>286</v>
      </c>
      <c r="K7022" s="388"/>
      <c r="L7022" s="387"/>
      <c r="W7022" s="129" t="s">
        <v>4876</v>
      </c>
      <c r="X7022" s="337" t="b">
        <f t="shared" ref="X7022:X7085" si="151">W7022=J7022</f>
        <v>0</v>
      </c>
    </row>
    <row r="7023" spans="2:24" s="360" customFormat="1" ht="12" customHeight="1" outlineLevel="1">
      <c r="B7023" s="118" t="s">
        <v>12</v>
      </c>
      <c r="C7023" s="334" t="s">
        <v>16715</v>
      </c>
      <c r="D7023" s="124" t="s">
        <v>16716</v>
      </c>
      <c r="E7023" s="125"/>
      <c r="F7023" s="118" t="s">
        <v>4396</v>
      </c>
      <c r="G7023" s="126" t="s">
        <v>16390</v>
      </c>
      <c r="H7023" s="255">
        <v>3</v>
      </c>
      <c r="I7023" s="361">
        <v>1</v>
      </c>
      <c r="J7023" s="368" t="s">
        <v>286</v>
      </c>
      <c r="K7023" s="388"/>
      <c r="L7023" s="387"/>
      <c r="W7023" s="129" t="s">
        <v>4876</v>
      </c>
      <c r="X7023" s="337" t="b">
        <f t="shared" si="151"/>
        <v>0</v>
      </c>
    </row>
    <row r="7024" spans="2:24" s="360" customFormat="1" ht="12" customHeight="1" outlineLevel="1">
      <c r="B7024" s="118" t="s">
        <v>12</v>
      </c>
      <c r="C7024" s="334" t="s">
        <v>16717</v>
      </c>
      <c r="D7024" s="124" t="s">
        <v>16718</v>
      </c>
      <c r="E7024" s="125"/>
      <c r="F7024" s="118" t="s">
        <v>4396</v>
      </c>
      <c r="G7024" s="126" t="s">
        <v>16390</v>
      </c>
      <c r="H7024" s="255">
        <v>3</v>
      </c>
      <c r="I7024" s="361">
        <v>1</v>
      </c>
      <c r="J7024" s="368" t="s">
        <v>286</v>
      </c>
      <c r="K7024" s="388"/>
      <c r="L7024" s="387"/>
      <c r="W7024" s="129" t="s">
        <v>4876</v>
      </c>
      <c r="X7024" s="337" t="b">
        <f t="shared" si="151"/>
        <v>0</v>
      </c>
    </row>
    <row r="7025" spans="2:24" s="360" customFormat="1" ht="12" customHeight="1" outlineLevel="1">
      <c r="B7025" s="118" t="s">
        <v>12</v>
      </c>
      <c r="C7025" s="334" t="s">
        <v>16719</v>
      </c>
      <c r="D7025" s="124" t="s">
        <v>16720</v>
      </c>
      <c r="E7025" s="125"/>
      <c r="F7025" s="118" t="s">
        <v>4396</v>
      </c>
      <c r="G7025" s="126" t="s">
        <v>16390</v>
      </c>
      <c r="H7025" s="255">
        <v>3</v>
      </c>
      <c r="I7025" s="361">
        <v>1</v>
      </c>
      <c r="J7025" s="368" t="s">
        <v>286</v>
      </c>
      <c r="K7025" s="388"/>
      <c r="L7025" s="387"/>
      <c r="W7025" s="129" t="s">
        <v>4876</v>
      </c>
      <c r="X7025" s="337" t="b">
        <f t="shared" si="151"/>
        <v>0</v>
      </c>
    </row>
    <row r="7026" spans="2:24" s="360" customFormat="1" ht="12" customHeight="1" outlineLevel="1">
      <c r="B7026" s="118" t="s">
        <v>12</v>
      </c>
      <c r="C7026" s="334" t="s">
        <v>16721</v>
      </c>
      <c r="D7026" s="124" t="s">
        <v>16722</v>
      </c>
      <c r="E7026" s="125"/>
      <c r="F7026" s="118" t="s">
        <v>4396</v>
      </c>
      <c r="G7026" s="126" t="s">
        <v>16390</v>
      </c>
      <c r="H7026" s="255">
        <v>3</v>
      </c>
      <c r="I7026" s="361">
        <v>1</v>
      </c>
      <c r="J7026" s="368" t="s">
        <v>286</v>
      </c>
      <c r="K7026" s="388"/>
      <c r="L7026" s="387"/>
      <c r="W7026" s="129" t="s">
        <v>4876</v>
      </c>
      <c r="X7026" s="337" t="b">
        <f t="shared" si="151"/>
        <v>0</v>
      </c>
    </row>
    <row r="7027" spans="2:24" s="360" customFormat="1" ht="12" customHeight="1" outlineLevel="1">
      <c r="B7027" s="118" t="s">
        <v>12</v>
      </c>
      <c r="C7027" s="334" t="s">
        <v>16723</v>
      </c>
      <c r="D7027" s="124" t="s">
        <v>16724</v>
      </c>
      <c r="E7027" s="125"/>
      <c r="F7027" s="118" t="s">
        <v>4396</v>
      </c>
      <c r="G7027" s="126" t="s">
        <v>16390</v>
      </c>
      <c r="H7027" s="255">
        <v>3</v>
      </c>
      <c r="I7027" s="361">
        <v>1</v>
      </c>
      <c r="J7027" s="368" t="s">
        <v>286</v>
      </c>
      <c r="K7027" s="388"/>
      <c r="L7027" s="387"/>
      <c r="W7027" s="129" t="s">
        <v>4876</v>
      </c>
      <c r="X7027" s="337" t="b">
        <f t="shared" si="151"/>
        <v>0</v>
      </c>
    </row>
    <row r="7028" spans="2:24" s="360" customFormat="1" ht="12" customHeight="1" outlineLevel="1">
      <c r="B7028" s="118" t="s">
        <v>12</v>
      </c>
      <c r="C7028" s="334" t="s">
        <v>16725</v>
      </c>
      <c r="D7028" s="124" t="s">
        <v>16726</v>
      </c>
      <c r="E7028" s="125"/>
      <c r="F7028" s="118" t="s">
        <v>4396</v>
      </c>
      <c r="G7028" s="126" t="s">
        <v>16390</v>
      </c>
      <c r="H7028" s="255">
        <v>3</v>
      </c>
      <c r="I7028" s="361">
        <v>1</v>
      </c>
      <c r="J7028" s="368" t="s">
        <v>286</v>
      </c>
      <c r="K7028" s="388"/>
      <c r="L7028" s="387"/>
      <c r="W7028" s="129" t="s">
        <v>286</v>
      </c>
      <c r="X7028" s="337" t="b">
        <f t="shared" si="151"/>
        <v>1</v>
      </c>
    </row>
    <row r="7029" spans="2:24" s="360" customFormat="1" ht="12" customHeight="1" outlineLevel="1">
      <c r="B7029" s="118" t="s">
        <v>12</v>
      </c>
      <c r="C7029" s="334" t="s">
        <v>16727</v>
      </c>
      <c r="D7029" s="124" t="s">
        <v>16728</v>
      </c>
      <c r="E7029" s="125"/>
      <c r="F7029" s="118" t="s">
        <v>4396</v>
      </c>
      <c r="G7029" s="126" t="s">
        <v>16390</v>
      </c>
      <c r="H7029" s="255">
        <v>3</v>
      </c>
      <c r="I7029" s="361">
        <v>1</v>
      </c>
      <c r="J7029" s="368" t="s">
        <v>310</v>
      </c>
      <c r="K7029" s="388"/>
      <c r="L7029" s="387"/>
      <c r="W7029" s="129" t="s">
        <v>310</v>
      </c>
      <c r="X7029" s="337" t="b">
        <f t="shared" si="151"/>
        <v>1</v>
      </c>
    </row>
    <row r="7030" spans="2:24" s="360" customFormat="1" ht="12" customHeight="1" outlineLevel="1">
      <c r="B7030" s="118" t="s">
        <v>12</v>
      </c>
      <c r="C7030" s="334" t="s">
        <v>16729</v>
      </c>
      <c r="D7030" s="124" t="s">
        <v>16730</v>
      </c>
      <c r="E7030" s="125"/>
      <c r="F7030" s="118" t="s">
        <v>4396</v>
      </c>
      <c r="G7030" s="126" t="s">
        <v>16390</v>
      </c>
      <c r="H7030" s="255">
        <v>3</v>
      </c>
      <c r="I7030" s="361">
        <v>1</v>
      </c>
      <c r="J7030" s="368" t="s">
        <v>310</v>
      </c>
      <c r="K7030" s="388"/>
      <c r="L7030" s="387"/>
      <c r="W7030" s="129" t="s">
        <v>310</v>
      </c>
      <c r="X7030" s="337" t="b">
        <f t="shared" si="151"/>
        <v>1</v>
      </c>
    </row>
    <row r="7031" spans="2:24" s="360" customFormat="1" ht="12" customHeight="1" outlineLevel="1">
      <c r="B7031" s="118" t="s">
        <v>12</v>
      </c>
      <c r="C7031" s="334" t="s">
        <v>16731</v>
      </c>
      <c r="D7031" s="124" t="s">
        <v>16732</v>
      </c>
      <c r="E7031" s="125"/>
      <c r="F7031" s="118" t="s">
        <v>4396</v>
      </c>
      <c r="G7031" s="126" t="s">
        <v>16390</v>
      </c>
      <c r="H7031" s="255">
        <v>3</v>
      </c>
      <c r="I7031" s="361">
        <v>1</v>
      </c>
      <c r="J7031" s="368" t="s">
        <v>310</v>
      </c>
      <c r="K7031" s="388"/>
      <c r="L7031" s="387"/>
      <c r="W7031" s="129" t="s">
        <v>310</v>
      </c>
      <c r="X7031" s="337" t="b">
        <f t="shared" si="151"/>
        <v>1</v>
      </c>
    </row>
    <row r="7032" spans="2:24" s="360" customFormat="1" ht="12" customHeight="1" outlineLevel="1">
      <c r="B7032" s="118" t="s">
        <v>12</v>
      </c>
      <c r="C7032" s="334" t="s">
        <v>16733</v>
      </c>
      <c r="D7032" s="124" t="s">
        <v>16734</v>
      </c>
      <c r="E7032" s="125"/>
      <c r="F7032" s="118" t="s">
        <v>4396</v>
      </c>
      <c r="G7032" s="126" t="s">
        <v>16390</v>
      </c>
      <c r="H7032" s="255">
        <v>3</v>
      </c>
      <c r="I7032" s="361">
        <v>1</v>
      </c>
      <c r="J7032" s="368" t="s">
        <v>286</v>
      </c>
      <c r="K7032" s="388"/>
      <c r="L7032" s="387"/>
      <c r="W7032" s="129" t="s">
        <v>286</v>
      </c>
      <c r="X7032" s="337" t="b">
        <f t="shared" si="151"/>
        <v>1</v>
      </c>
    </row>
    <row r="7033" spans="2:24" s="360" customFormat="1" ht="12" customHeight="1" outlineLevel="1">
      <c r="B7033" s="118" t="s">
        <v>12</v>
      </c>
      <c r="C7033" s="334" t="s">
        <v>16735</v>
      </c>
      <c r="D7033" s="124" t="s">
        <v>16736</v>
      </c>
      <c r="E7033" s="125"/>
      <c r="F7033" s="118" t="s">
        <v>4396</v>
      </c>
      <c r="G7033" s="126" t="s">
        <v>16390</v>
      </c>
      <c r="H7033" s="255">
        <v>3</v>
      </c>
      <c r="I7033" s="361">
        <v>1</v>
      </c>
      <c r="J7033" s="368" t="s">
        <v>286</v>
      </c>
      <c r="K7033" s="388"/>
      <c r="L7033" s="387"/>
      <c r="W7033" s="129" t="s">
        <v>286</v>
      </c>
      <c r="X7033" s="337" t="b">
        <f t="shared" si="151"/>
        <v>1</v>
      </c>
    </row>
    <row r="7034" spans="2:24" s="360" customFormat="1" ht="12" customHeight="1" outlineLevel="1">
      <c r="B7034" s="118" t="s">
        <v>12</v>
      </c>
      <c r="C7034" s="334" t="s">
        <v>16737</v>
      </c>
      <c r="D7034" s="124" t="s">
        <v>16738</v>
      </c>
      <c r="E7034" s="125"/>
      <c r="F7034" s="118" t="s">
        <v>4396</v>
      </c>
      <c r="G7034" s="126" t="s">
        <v>16390</v>
      </c>
      <c r="H7034" s="255">
        <v>3</v>
      </c>
      <c r="I7034" s="361">
        <v>1</v>
      </c>
      <c r="J7034" s="368" t="s">
        <v>310</v>
      </c>
      <c r="K7034" s="388"/>
      <c r="L7034" s="387"/>
      <c r="W7034" s="129" t="s">
        <v>310</v>
      </c>
      <c r="X7034" s="337" t="b">
        <f t="shared" si="151"/>
        <v>1</v>
      </c>
    </row>
    <row r="7035" spans="2:24" s="360" customFormat="1" ht="12" customHeight="1" outlineLevel="1">
      <c r="B7035" s="118" t="s">
        <v>12</v>
      </c>
      <c r="C7035" s="334" t="s">
        <v>16739</v>
      </c>
      <c r="D7035" s="124" t="s">
        <v>16740</v>
      </c>
      <c r="E7035" s="125"/>
      <c r="F7035" s="118" t="s">
        <v>4396</v>
      </c>
      <c r="G7035" s="126" t="s">
        <v>16390</v>
      </c>
      <c r="H7035" s="255">
        <v>3</v>
      </c>
      <c r="I7035" s="361">
        <v>1</v>
      </c>
      <c r="J7035" s="368" t="s">
        <v>310</v>
      </c>
      <c r="K7035" s="388"/>
      <c r="L7035" s="387"/>
      <c r="W7035" s="129" t="s">
        <v>310</v>
      </c>
      <c r="X7035" s="337" t="b">
        <f t="shared" si="151"/>
        <v>1</v>
      </c>
    </row>
    <row r="7036" spans="2:24" s="360" customFormat="1" ht="12" customHeight="1" outlineLevel="1">
      <c r="B7036" s="118" t="s">
        <v>12</v>
      </c>
      <c r="C7036" s="334" t="s">
        <v>16741</v>
      </c>
      <c r="D7036" s="124" t="s">
        <v>16742</v>
      </c>
      <c r="E7036" s="125"/>
      <c r="F7036" s="118" t="s">
        <v>4396</v>
      </c>
      <c r="G7036" s="126" t="s">
        <v>16390</v>
      </c>
      <c r="H7036" s="255">
        <v>3</v>
      </c>
      <c r="I7036" s="361">
        <v>1</v>
      </c>
      <c r="J7036" s="368" t="s">
        <v>310</v>
      </c>
      <c r="K7036" s="388"/>
      <c r="L7036" s="387"/>
      <c r="W7036" s="129" t="s">
        <v>310</v>
      </c>
      <c r="X7036" s="337" t="b">
        <f t="shared" si="151"/>
        <v>1</v>
      </c>
    </row>
    <row r="7037" spans="2:24" s="360" customFormat="1" ht="12" customHeight="1" outlineLevel="1">
      <c r="B7037" s="118" t="s">
        <v>12</v>
      </c>
      <c r="C7037" s="334" t="s">
        <v>16743</v>
      </c>
      <c r="D7037" s="124" t="s">
        <v>16744</v>
      </c>
      <c r="E7037" s="125"/>
      <c r="F7037" s="118" t="s">
        <v>4396</v>
      </c>
      <c r="G7037" s="126" t="s">
        <v>16390</v>
      </c>
      <c r="H7037" s="255">
        <v>3</v>
      </c>
      <c r="I7037" s="361">
        <v>1</v>
      </c>
      <c r="J7037" s="368" t="s">
        <v>310</v>
      </c>
      <c r="K7037" s="388"/>
      <c r="L7037" s="387"/>
      <c r="W7037" s="129" t="s">
        <v>286</v>
      </c>
      <c r="X7037" s="337" t="b">
        <f t="shared" si="151"/>
        <v>0</v>
      </c>
    </row>
    <row r="7038" spans="2:24" s="360" customFormat="1" ht="12" customHeight="1" outlineLevel="1">
      <c r="B7038" s="118" t="s">
        <v>12</v>
      </c>
      <c r="C7038" s="334" t="s">
        <v>16745</v>
      </c>
      <c r="D7038" s="124" t="s">
        <v>16746</v>
      </c>
      <c r="E7038" s="125"/>
      <c r="F7038" s="118" t="s">
        <v>4396</v>
      </c>
      <c r="G7038" s="126" t="s">
        <v>16390</v>
      </c>
      <c r="H7038" s="255">
        <v>3</v>
      </c>
      <c r="I7038" s="361">
        <v>1</v>
      </c>
      <c r="J7038" s="368" t="s">
        <v>310</v>
      </c>
      <c r="K7038" s="388"/>
      <c r="L7038" s="387"/>
      <c r="W7038" s="129" t="s">
        <v>310</v>
      </c>
      <c r="X7038" s="337" t="b">
        <f t="shared" si="151"/>
        <v>1</v>
      </c>
    </row>
    <row r="7039" spans="2:24" s="360" customFormat="1" ht="12" customHeight="1" outlineLevel="1">
      <c r="B7039" s="118" t="s">
        <v>12</v>
      </c>
      <c r="C7039" s="334" t="s">
        <v>16747</v>
      </c>
      <c r="D7039" s="124" t="s">
        <v>16748</v>
      </c>
      <c r="E7039" s="125"/>
      <c r="F7039" s="118" t="s">
        <v>4396</v>
      </c>
      <c r="G7039" s="126" t="s">
        <v>16390</v>
      </c>
      <c r="H7039" s="255">
        <v>3</v>
      </c>
      <c r="I7039" s="361">
        <v>1</v>
      </c>
      <c r="J7039" s="368" t="s">
        <v>310</v>
      </c>
      <c r="K7039" s="388"/>
      <c r="L7039" s="387"/>
      <c r="W7039" s="129" t="s">
        <v>310</v>
      </c>
      <c r="X7039" s="337" t="b">
        <f t="shared" si="151"/>
        <v>1</v>
      </c>
    </row>
    <row r="7040" spans="2:24" s="360" customFormat="1" ht="12" customHeight="1" outlineLevel="1">
      <c r="B7040" s="118" t="s">
        <v>12</v>
      </c>
      <c r="C7040" s="334" t="s">
        <v>16749</v>
      </c>
      <c r="D7040" s="124" t="s">
        <v>16750</v>
      </c>
      <c r="E7040" s="125"/>
      <c r="F7040" s="118" t="s">
        <v>4396</v>
      </c>
      <c r="G7040" s="126" t="s">
        <v>16390</v>
      </c>
      <c r="H7040" s="255">
        <v>3</v>
      </c>
      <c r="I7040" s="361">
        <v>1</v>
      </c>
      <c r="J7040" s="368" t="s">
        <v>310</v>
      </c>
      <c r="K7040" s="388"/>
      <c r="L7040" s="387"/>
      <c r="W7040" s="129" t="s">
        <v>310</v>
      </c>
      <c r="X7040" s="337" t="b">
        <f t="shared" si="151"/>
        <v>1</v>
      </c>
    </row>
    <row r="7041" spans="2:24" s="360" customFormat="1" ht="12" customHeight="1" outlineLevel="1">
      <c r="B7041" s="118" t="s">
        <v>12</v>
      </c>
      <c r="C7041" s="334" t="s">
        <v>16751</v>
      </c>
      <c r="D7041" s="124" t="s">
        <v>16752</v>
      </c>
      <c r="E7041" s="125"/>
      <c r="F7041" s="118" t="s">
        <v>4396</v>
      </c>
      <c r="G7041" s="126" t="s">
        <v>16390</v>
      </c>
      <c r="H7041" s="255">
        <v>3</v>
      </c>
      <c r="I7041" s="361">
        <v>1</v>
      </c>
      <c r="J7041" s="368" t="s">
        <v>310</v>
      </c>
      <c r="K7041" s="388"/>
      <c r="L7041" s="387"/>
      <c r="W7041" s="129" t="s">
        <v>310</v>
      </c>
      <c r="X7041" s="337" t="b">
        <f t="shared" si="151"/>
        <v>1</v>
      </c>
    </row>
    <row r="7042" spans="2:24" s="360" customFormat="1" ht="12" customHeight="1" outlineLevel="1">
      <c r="B7042" s="118" t="s">
        <v>12</v>
      </c>
      <c r="C7042" s="334" t="s">
        <v>16753</v>
      </c>
      <c r="D7042" s="124" t="s">
        <v>16754</v>
      </c>
      <c r="E7042" s="125"/>
      <c r="F7042" s="118" t="s">
        <v>4396</v>
      </c>
      <c r="G7042" s="126" t="s">
        <v>16390</v>
      </c>
      <c r="H7042" s="255">
        <v>3</v>
      </c>
      <c r="I7042" s="361">
        <v>1</v>
      </c>
      <c r="J7042" s="368" t="s">
        <v>307</v>
      </c>
      <c r="K7042" s="388"/>
      <c r="L7042" s="387"/>
      <c r="W7042" s="129" t="s">
        <v>286</v>
      </c>
      <c r="X7042" s="337" t="b">
        <f t="shared" si="151"/>
        <v>0</v>
      </c>
    </row>
    <row r="7043" spans="2:24" s="360" customFormat="1" ht="12" customHeight="1" outlineLevel="1">
      <c r="B7043" s="118" t="s">
        <v>12</v>
      </c>
      <c r="C7043" s="334" t="s">
        <v>16755</v>
      </c>
      <c r="D7043" s="124" t="s">
        <v>16756</v>
      </c>
      <c r="E7043" s="125"/>
      <c r="F7043" s="118" t="s">
        <v>4396</v>
      </c>
      <c r="G7043" s="126" t="s">
        <v>16390</v>
      </c>
      <c r="H7043" s="255">
        <v>3</v>
      </c>
      <c r="I7043" s="361">
        <v>1</v>
      </c>
      <c r="J7043" s="368" t="s">
        <v>286</v>
      </c>
      <c r="K7043" s="388"/>
      <c r="L7043" s="387"/>
      <c r="W7043" s="129" t="s">
        <v>286</v>
      </c>
      <c r="X7043" s="337" t="b">
        <f t="shared" si="151"/>
        <v>1</v>
      </c>
    </row>
    <row r="7044" spans="2:24" s="360" customFormat="1" ht="12" customHeight="1" outlineLevel="1">
      <c r="B7044" s="118" t="s">
        <v>12</v>
      </c>
      <c r="C7044" s="334" t="s">
        <v>16757</v>
      </c>
      <c r="D7044" s="124" t="s">
        <v>16758</v>
      </c>
      <c r="E7044" s="125"/>
      <c r="F7044" s="118" t="s">
        <v>4396</v>
      </c>
      <c r="G7044" s="126" t="s">
        <v>16390</v>
      </c>
      <c r="H7044" s="255">
        <v>3</v>
      </c>
      <c r="I7044" s="361">
        <v>1</v>
      </c>
      <c r="J7044" s="368" t="s">
        <v>310</v>
      </c>
      <c r="K7044" s="388"/>
      <c r="L7044" s="387"/>
      <c r="W7044" s="129" t="s">
        <v>286</v>
      </c>
      <c r="X7044" s="337" t="b">
        <f t="shared" si="151"/>
        <v>0</v>
      </c>
    </row>
    <row r="7045" spans="2:24" s="360" customFormat="1" ht="12" customHeight="1" outlineLevel="1">
      <c r="B7045" s="118" t="s">
        <v>12</v>
      </c>
      <c r="C7045" s="334" t="s">
        <v>16759</v>
      </c>
      <c r="D7045" s="124" t="s">
        <v>16760</v>
      </c>
      <c r="E7045" s="125"/>
      <c r="F7045" s="118" t="s">
        <v>4396</v>
      </c>
      <c r="G7045" s="126" t="s">
        <v>16390</v>
      </c>
      <c r="H7045" s="255">
        <v>3</v>
      </c>
      <c r="I7045" s="361">
        <v>1</v>
      </c>
      <c r="J7045" s="368" t="s">
        <v>310</v>
      </c>
      <c r="K7045" s="388"/>
      <c r="L7045" s="387"/>
      <c r="W7045" s="129" t="s">
        <v>286</v>
      </c>
      <c r="X7045" s="337" t="b">
        <f t="shared" si="151"/>
        <v>0</v>
      </c>
    </row>
    <row r="7046" spans="2:24" s="360" customFormat="1" ht="12" customHeight="1" outlineLevel="1">
      <c r="B7046" s="118" t="s">
        <v>12</v>
      </c>
      <c r="C7046" s="334" t="s">
        <v>16761</v>
      </c>
      <c r="D7046" s="124" t="s">
        <v>16762</v>
      </c>
      <c r="E7046" s="125"/>
      <c r="F7046" s="118" t="s">
        <v>4396</v>
      </c>
      <c r="G7046" s="126" t="s">
        <v>16390</v>
      </c>
      <c r="H7046" s="255">
        <v>3</v>
      </c>
      <c r="I7046" s="361">
        <v>1</v>
      </c>
      <c r="J7046" s="368" t="s">
        <v>310</v>
      </c>
      <c r="K7046" s="388"/>
      <c r="L7046" s="387"/>
      <c r="W7046" s="129" t="s">
        <v>286</v>
      </c>
      <c r="X7046" s="337" t="b">
        <f t="shared" si="151"/>
        <v>0</v>
      </c>
    </row>
    <row r="7047" spans="2:24" s="360" customFormat="1" ht="12" customHeight="1" outlineLevel="1">
      <c r="B7047" s="118" t="s">
        <v>12</v>
      </c>
      <c r="C7047" s="334" t="s">
        <v>16763</v>
      </c>
      <c r="D7047" s="124" t="s">
        <v>16764</v>
      </c>
      <c r="E7047" s="125"/>
      <c r="F7047" s="118" t="s">
        <v>4396</v>
      </c>
      <c r="G7047" s="126" t="s">
        <v>16390</v>
      </c>
      <c r="H7047" s="255">
        <v>3</v>
      </c>
      <c r="I7047" s="361">
        <v>1</v>
      </c>
      <c r="J7047" s="368" t="s">
        <v>310</v>
      </c>
      <c r="K7047" s="388"/>
      <c r="L7047" s="387"/>
      <c r="W7047" s="129" t="s">
        <v>286</v>
      </c>
      <c r="X7047" s="337" t="b">
        <f t="shared" si="151"/>
        <v>0</v>
      </c>
    </row>
    <row r="7048" spans="2:24" s="360" customFormat="1" ht="12" customHeight="1" outlineLevel="1">
      <c r="B7048" s="118" t="s">
        <v>12</v>
      </c>
      <c r="C7048" s="334" t="s">
        <v>16765</v>
      </c>
      <c r="D7048" s="124" t="s">
        <v>16766</v>
      </c>
      <c r="E7048" s="125"/>
      <c r="F7048" s="118" t="s">
        <v>4396</v>
      </c>
      <c r="G7048" s="126" t="s">
        <v>16390</v>
      </c>
      <c r="H7048" s="255">
        <v>3</v>
      </c>
      <c r="I7048" s="361">
        <v>1</v>
      </c>
      <c r="J7048" s="368" t="s">
        <v>286</v>
      </c>
      <c r="K7048" s="388"/>
      <c r="L7048" s="387"/>
      <c r="W7048" s="129" t="s">
        <v>286</v>
      </c>
      <c r="X7048" s="337" t="b">
        <f t="shared" si="151"/>
        <v>1</v>
      </c>
    </row>
    <row r="7049" spans="2:24" s="360" customFormat="1" ht="12" customHeight="1" outlineLevel="1">
      <c r="B7049" s="118" t="s">
        <v>12</v>
      </c>
      <c r="C7049" s="334" t="s">
        <v>16767</v>
      </c>
      <c r="D7049" s="124" t="s">
        <v>16768</v>
      </c>
      <c r="E7049" s="125"/>
      <c r="F7049" s="118" t="s">
        <v>4396</v>
      </c>
      <c r="G7049" s="126" t="s">
        <v>16390</v>
      </c>
      <c r="H7049" s="255">
        <v>3</v>
      </c>
      <c r="I7049" s="361">
        <v>1</v>
      </c>
      <c r="J7049" s="368" t="s">
        <v>310</v>
      </c>
      <c r="K7049" s="388"/>
      <c r="L7049" s="387"/>
      <c r="W7049" s="129" t="s">
        <v>310</v>
      </c>
      <c r="X7049" s="337" t="b">
        <f t="shared" si="151"/>
        <v>1</v>
      </c>
    </row>
    <row r="7050" spans="2:24" s="360" customFormat="1" ht="12" customHeight="1" outlineLevel="1">
      <c r="B7050" s="118" t="s">
        <v>12</v>
      </c>
      <c r="C7050" s="334" t="s">
        <v>16769</v>
      </c>
      <c r="D7050" s="124" t="s">
        <v>16770</v>
      </c>
      <c r="E7050" s="125"/>
      <c r="F7050" s="118" t="s">
        <v>4396</v>
      </c>
      <c r="G7050" s="126" t="s">
        <v>16390</v>
      </c>
      <c r="H7050" s="255">
        <v>3</v>
      </c>
      <c r="I7050" s="361">
        <v>1</v>
      </c>
      <c r="J7050" s="368" t="s">
        <v>310</v>
      </c>
      <c r="K7050" s="388"/>
      <c r="L7050" s="387"/>
      <c r="W7050" s="129" t="s">
        <v>310</v>
      </c>
      <c r="X7050" s="337" t="b">
        <f t="shared" si="151"/>
        <v>1</v>
      </c>
    </row>
    <row r="7051" spans="2:24" s="360" customFormat="1" ht="12" customHeight="1" outlineLevel="1">
      <c r="B7051" s="118" t="s">
        <v>12</v>
      </c>
      <c r="C7051" s="334" t="s">
        <v>16771</v>
      </c>
      <c r="D7051" s="124" t="s">
        <v>16772</v>
      </c>
      <c r="E7051" s="125"/>
      <c r="F7051" s="118" t="s">
        <v>4396</v>
      </c>
      <c r="G7051" s="126" t="s">
        <v>16390</v>
      </c>
      <c r="H7051" s="255">
        <v>3</v>
      </c>
      <c r="I7051" s="361">
        <v>1</v>
      </c>
      <c r="J7051" s="368" t="s">
        <v>310</v>
      </c>
      <c r="K7051" s="388"/>
      <c r="L7051" s="387"/>
      <c r="W7051" s="129" t="s">
        <v>286</v>
      </c>
      <c r="X7051" s="337" t="b">
        <f t="shared" si="151"/>
        <v>0</v>
      </c>
    </row>
    <row r="7052" spans="2:24" s="360" customFormat="1" ht="12" customHeight="1" outlineLevel="1">
      <c r="B7052" s="118" t="s">
        <v>12</v>
      </c>
      <c r="C7052" s="334" t="s">
        <v>16773</v>
      </c>
      <c r="D7052" s="124" t="s">
        <v>16774</v>
      </c>
      <c r="E7052" s="125"/>
      <c r="F7052" s="118" t="s">
        <v>4396</v>
      </c>
      <c r="G7052" s="126" t="s">
        <v>16390</v>
      </c>
      <c r="H7052" s="255">
        <v>3</v>
      </c>
      <c r="I7052" s="361">
        <v>1</v>
      </c>
      <c r="J7052" s="368" t="s">
        <v>286</v>
      </c>
      <c r="K7052" s="388"/>
      <c r="L7052" s="387"/>
      <c r="W7052" s="129" t="s">
        <v>4876</v>
      </c>
      <c r="X7052" s="337" t="b">
        <f t="shared" si="151"/>
        <v>0</v>
      </c>
    </row>
    <row r="7053" spans="2:24" s="360" customFormat="1" ht="12" customHeight="1" outlineLevel="1">
      <c r="B7053" s="118" t="s">
        <v>12</v>
      </c>
      <c r="C7053" s="334" t="s">
        <v>16775</v>
      </c>
      <c r="D7053" s="124" t="s">
        <v>16776</v>
      </c>
      <c r="E7053" s="125"/>
      <c r="F7053" s="118" t="s">
        <v>4396</v>
      </c>
      <c r="G7053" s="126" t="s">
        <v>16390</v>
      </c>
      <c r="H7053" s="255">
        <v>3</v>
      </c>
      <c r="I7053" s="361">
        <v>1</v>
      </c>
      <c r="J7053" s="368" t="s">
        <v>286</v>
      </c>
      <c r="K7053" s="388"/>
      <c r="L7053" s="387"/>
      <c r="W7053" s="129" t="s">
        <v>4876</v>
      </c>
      <c r="X7053" s="337" t="b">
        <f t="shared" si="151"/>
        <v>0</v>
      </c>
    </row>
    <row r="7054" spans="2:24" s="360" customFormat="1" ht="12" customHeight="1" outlineLevel="1">
      <c r="B7054" s="118" t="s">
        <v>12</v>
      </c>
      <c r="C7054" s="334" t="s">
        <v>16777</v>
      </c>
      <c r="D7054" s="124" t="s">
        <v>16778</v>
      </c>
      <c r="E7054" s="125"/>
      <c r="F7054" s="118" t="s">
        <v>4396</v>
      </c>
      <c r="G7054" s="126" t="s">
        <v>16390</v>
      </c>
      <c r="H7054" s="255">
        <v>3</v>
      </c>
      <c r="I7054" s="361">
        <v>1</v>
      </c>
      <c r="J7054" s="368" t="s">
        <v>286</v>
      </c>
      <c r="K7054" s="388"/>
      <c r="L7054" s="387"/>
      <c r="W7054" s="129" t="s">
        <v>4876</v>
      </c>
      <c r="X7054" s="337" t="b">
        <f t="shared" si="151"/>
        <v>0</v>
      </c>
    </row>
    <row r="7055" spans="2:24" s="360" customFormat="1" ht="12" customHeight="1" outlineLevel="1">
      <c r="B7055" s="118" t="s">
        <v>12</v>
      </c>
      <c r="C7055" s="334" t="s">
        <v>16779</v>
      </c>
      <c r="D7055" s="124" t="s">
        <v>16780</v>
      </c>
      <c r="E7055" s="125"/>
      <c r="F7055" s="118" t="s">
        <v>4396</v>
      </c>
      <c r="G7055" s="126" t="s">
        <v>16390</v>
      </c>
      <c r="H7055" s="255">
        <v>3</v>
      </c>
      <c r="I7055" s="361">
        <v>1</v>
      </c>
      <c r="J7055" s="368" t="s">
        <v>286</v>
      </c>
      <c r="K7055" s="388"/>
      <c r="L7055" s="387"/>
      <c r="W7055" s="129" t="s">
        <v>4876</v>
      </c>
      <c r="X7055" s="337" t="b">
        <f t="shared" si="151"/>
        <v>0</v>
      </c>
    </row>
    <row r="7056" spans="2:24" s="360" customFormat="1" ht="12" customHeight="1" outlineLevel="1">
      <c r="B7056" s="118" t="s">
        <v>12</v>
      </c>
      <c r="C7056" s="334" t="s">
        <v>16781</v>
      </c>
      <c r="D7056" s="124" t="s">
        <v>16782</v>
      </c>
      <c r="E7056" s="125"/>
      <c r="F7056" s="118" t="s">
        <v>4396</v>
      </c>
      <c r="G7056" s="126" t="s">
        <v>16390</v>
      </c>
      <c r="H7056" s="255">
        <v>3</v>
      </c>
      <c r="I7056" s="361">
        <v>1</v>
      </c>
      <c r="J7056" s="368" t="s">
        <v>307</v>
      </c>
      <c r="K7056" s="388"/>
      <c r="L7056" s="387"/>
      <c r="W7056" s="129" t="s">
        <v>286</v>
      </c>
      <c r="X7056" s="337" t="b">
        <f t="shared" si="151"/>
        <v>0</v>
      </c>
    </row>
    <row r="7057" spans="2:24" s="360" customFormat="1" ht="12" customHeight="1" outlineLevel="1">
      <c r="B7057" s="118" t="s">
        <v>12</v>
      </c>
      <c r="C7057" s="334" t="s">
        <v>16783</v>
      </c>
      <c r="D7057" s="124" t="s">
        <v>16784</v>
      </c>
      <c r="E7057" s="125"/>
      <c r="F7057" s="118" t="s">
        <v>4396</v>
      </c>
      <c r="G7057" s="126" t="s">
        <v>16390</v>
      </c>
      <c r="H7057" s="255">
        <v>3</v>
      </c>
      <c r="I7057" s="361">
        <v>1</v>
      </c>
      <c r="J7057" s="368" t="s">
        <v>325</v>
      </c>
      <c r="K7057" s="388"/>
      <c r="L7057" s="387"/>
      <c r="W7057" s="129" t="s">
        <v>286</v>
      </c>
      <c r="X7057" s="337" t="b">
        <f t="shared" si="151"/>
        <v>0</v>
      </c>
    </row>
    <row r="7058" spans="2:24" s="360" customFormat="1" ht="12" customHeight="1" outlineLevel="1">
      <c r="B7058" s="118" t="s">
        <v>12</v>
      </c>
      <c r="C7058" s="334" t="s">
        <v>16785</v>
      </c>
      <c r="D7058" s="124" t="s">
        <v>16786</v>
      </c>
      <c r="E7058" s="125"/>
      <c r="F7058" s="118" t="s">
        <v>4396</v>
      </c>
      <c r="G7058" s="126" t="s">
        <v>16390</v>
      </c>
      <c r="H7058" s="255">
        <v>3</v>
      </c>
      <c r="I7058" s="361">
        <v>1</v>
      </c>
      <c r="J7058" s="368" t="s">
        <v>310</v>
      </c>
      <c r="K7058" s="388"/>
      <c r="L7058" s="387"/>
      <c r="W7058" s="129" t="s">
        <v>286</v>
      </c>
      <c r="X7058" s="337" t="b">
        <f t="shared" si="151"/>
        <v>0</v>
      </c>
    </row>
    <row r="7059" spans="2:24" s="360" customFormat="1" ht="12" customHeight="1" outlineLevel="1">
      <c r="B7059" s="118" t="s">
        <v>12</v>
      </c>
      <c r="C7059" s="334" t="s">
        <v>16787</v>
      </c>
      <c r="D7059" s="124" t="s">
        <v>16788</v>
      </c>
      <c r="E7059" s="125"/>
      <c r="F7059" s="118" t="s">
        <v>4396</v>
      </c>
      <c r="G7059" s="126" t="s">
        <v>16390</v>
      </c>
      <c r="H7059" s="255">
        <v>3</v>
      </c>
      <c r="I7059" s="361">
        <v>1</v>
      </c>
      <c r="J7059" s="368" t="s">
        <v>286</v>
      </c>
      <c r="K7059" s="388"/>
      <c r="L7059" s="387"/>
      <c r="W7059" s="129" t="s">
        <v>286</v>
      </c>
      <c r="X7059" s="337" t="b">
        <f t="shared" si="151"/>
        <v>1</v>
      </c>
    </row>
    <row r="7060" spans="2:24" s="360" customFormat="1" ht="12" customHeight="1" outlineLevel="1">
      <c r="B7060" s="118" t="s">
        <v>12</v>
      </c>
      <c r="C7060" s="334" t="s">
        <v>16789</v>
      </c>
      <c r="D7060" s="124" t="s">
        <v>16790</v>
      </c>
      <c r="E7060" s="125"/>
      <c r="F7060" s="118" t="s">
        <v>4396</v>
      </c>
      <c r="G7060" s="126" t="s">
        <v>16390</v>
      </c>
      <c r="H7060" s="255">
        <v>3</v>
      </c>
      <c r="I7060" s="361">
        <v>1</v>
      </c>
      <c r="J7060" s="368" t="s">
        <v>310</v>
      </c>
      <c r="K7060" s="388"/>
      <c r="L7060" s="387"/>
      <c r="W7060" s="129" t="s">
        <v>310</v>
      </c>
      <c r="X7060" s="337" t="b">
        <f t="shared" si="151"/>
        <v>1</v>
      </c>
    </row>
    <row r="7061" spans="2:24" s="360" customFormat="1" ht="12" customHeight="1" outlineLevel="1">
      <c r="B7061" s="118" t="s">
        <v>12</v>
      </c>
      <c r="C7061" s="334" t="s">
        <v>16791</v>
      </c>
      <c r="D7061" s="124" t="s">
        <v>16792</v>
      </c>
      <c r="E7061" s="125"/>
      <c r="F7061" s="118" t="s">
        <v>4396</v>
      </c>
      <c r="G7061" s="126" t="s">
        <v>16390</v>
      </c>
      <c r="H7061" s="255">
        <v>3</v>
      </c>
      <c r="I7061" s="361">
        <v>1</v>
      </c>
      <c r="J7061" s="368" t="s">
        <v>286</v>
      </c>
      <c r="K7061" s="388"/>
      <c r="L7061" s="387"/>
      <c r="W7061" s="129" t="s">
        <v>286</v>
      </c>
      <c r="X7061" s="337" t="b">
        <f t="shared" si="151"/>
        <v>1</v>
      </c>
    </row>
    <row r="7062" spans="2:24" s="360" customFormat="1" ht="12" customHeight="1" outlineLevel="1">
      <c r="B7062" s="118" t="s">
        <v>12</v>
      </c>
      <c r="C7062" s="334" t="s">
        <v>16793</v>
      </c>
      <c r="D7062" s="124" t="s">
        <v>5224</v>
      </c>
      <c r="E7062" s="125"/>
      <c r="F7062" s="118" t="s">
        <v>4396</v>
      </c>
      <c r="G7062" s="126" t="s">
        <v>16390</v>
      </c>
      <c r="H7062" s="255">
        <v>3</v>
      </c>
      <c r="I7062" s="361">
        <v>1</v>
      </c>
      <c r="J7062" s="368" t="s">
        <v>286</v>
      </c>
      <c r="K7062" s="388"/>
      <c r="L7062" s="387"/>
      <c r="W7062" s="129" t="s">
        <v>286</v>
      </c>
      <c r="X7062" s="337" t="b">
        <f t="shared" si="151"/>
        <v>1</v>
      </c>
    </row>
    <row r="7063" spans="2:24" s="360" customFormat="1" ht="12" customHeight="1" outlineLevel="1">
      <c r="B7063" s="118" t="s">
        <v>12</v>
      </c>
      <c r="C7063" s="334" t="s">
        <v>16794</v>
      </c>
      <c r="D7063" s="124" t="s">
        <v>5226</v>
      </c>
      <c r="E7063" s="125"/>
      <c r="F7063" s="118" t="s">
        <v>4396</v>
      </c>
      <c r="G7063" s="126" t="s">
        <v>16390</v>
      </c>
      <c r="H7063" s="255">
        <v>3</v>
      </c>
      <c r="I7063" s="361">
        <v>1</v>
      </c>
      <c r="J7063" s="368" t="s">
        <v>286</v>
      </c>
      <c r="K7063" s="388"/>
      <c r="L7063" s="387"/>
      <c r="W7063" s="129" t="s">
        <v>286</v>
      </c>
      <c r="X7063" s="337" t="b">
        <f t="shared" si="151"/>
        <v>1</v>
      </c>
    </row>
    <row r="7064" spans="2:24" s="360" customFormat="1" ht="12" customHeight="1" outlineLevel="1">
      <c r="B7064" s="118" t="s">
        <v>12</v>
      </c>
      <c r="C7064" s="334" t="s">
        <v>16795</v>
      </c>
      <c r="D7064" s="124" t="s">
        <v>5228</v>
      </c>
      <c r="E7064" s="125"/>
      <c r="F7064" s="118" t="s">
        <v>4396</v>
      </c>
      <c r="G7064" s="126" t="s">
        <v>16390</v>
      </c>
      <c r="H7064" s="255">
        <v>3</v>
      </c>
      <c r="I7064" s="361">
        <v>1</v>
      </c>
      <c r="J7064" s="368" t="s">
        <v>286</v>
      </c>
      <c r="K7064" s="388"/>
      <c r="L7064" s="387"/>
      <c r="W7064" s="129" t="s">
        <v>286</v>
      </c>
      <c r="X7064" s="337" t="b">
        <f t="shared" si="151"/>
        <v>1</v>
      </c>
    </row>
    <row r="7065" spans="2:24" s="360" customFormat="1" ht="12" customHeight="1" outlineLevel="1">
      <c r="B7065" s="118" t="s">
        <v>12</v>
      </c>
      <c r="C7065" s="334" t="s">
        <v>16796</v>
      </c>
      <c r="D7065" s="124" t="s">
        <v>5230</v>
      </c>
      <c r="E7065" s="125"/>
      <c r="F7065" s="118" t="s">
        <v>4396</v>
      </c>
      <c r="G7065" s="126" t="s">
        <v>16390</v>
      </c>
      <c r="H7065" s="255">
        <v>3</v>
      </c>
      <c r="I7065" s="361">
        <v>1</v>
      </c>
      <c r="J7065" s="368" t="s">
        <v>286</v>
      </c>
      <c r="K7065" s="388"/>
      <c r="L7065" s="387"/>
      <c r="W7065" s="129" t="s">
        <v>286</v>
      </c>
      <c r="X7065" s="337" t="b">
        <f t="shared" si="151"/>
        <v>1</v>
      </c>
    </row>
    <row r="7066" spans="2:24" s="360" customFormat="1" ht="12" customHeight="1" outlineLevel="1">
      <c r="B7066" s="118" t="s">
        <v>12</v>
      </c>
      <c r="C7066" s="334" t="s">
        <v>16797</v>
      </c>
      <c r="D7066" s="124" t="s">
        <v>5232</v>
      </c>
      <c r="E7066" s="125"/>
      <c r="F7066" s="118" t="s">
        <v>4396</v>
      </c>
      <c r="G7066" s="126" t="s">
        <v>16390</v>
      </c>
      <c r="H7066" s="255">
        <v>3</v>
      </c>
      <c r="I7066" s="361">
        <v>1</v>
      </c>
      <c r="J7066" s="368" t="s">
        <v>286</v>
      </c>
      <c r="K7066" s="388"/>
      <c r="L7066" s="387"/>
      <c r="W7066" s="129" t="s">
        <v>286</v>
      </c>
      <c r="X7066" s="337" t="b">
        <f t="shared" si="151"/>
        <v>1</v>
      </c>
    </row>
    <row r="7067" spans="2:24" s="360" customFormat="1" ht="12" customHeight="1" outlineLevel="1">
      <c r="B7067" s="118" t="s">
        <v>12</v>
      </c>
      <c r="C7067" s="334" t="s">
        <v>16798</v>
      </c>
      <c r="D7067" s="124" t="s">
        <v>5234</v>
      </c>
      <c r="E7067" s="125"/>
      <c r="F7067" s="118" t="s">
        <v>4396</v>
      </c>
      <c r="G7067" s="126" t="s">
        <v>16390</v>
      </c>
      <c r="H7067" s="255">
        <v>3</v>
      </c>
      <c r="I7067" s="361">
        <v>1</v>
      </c>
      <c r="J7067" s="368" t="s">
        <v>286</v>
      </c>
      <c r="K7067" s="388"/>
      <c r="L7067" s="387"/>
      <c r="W7067" s="129" t="s">
        <v>286</v>
      </c>
      <c r="X7067" s="337" t="b">
        <f t="shared" si="151"/>
        <v>1</v>
      </c>
    </row>
    <row r="7068" spans="2:24" s="360" customFormat="1" ht="12" customHeight="1" outlineLevel="1">
      <c r="B7068" s="118" t="s">
        <v>12</v>
      </c>
      <c r="C7068" s="334" t="s">
        <v>16799</v>
      </c>
      <c r="D7068" s="124" t="s">
        <v>5236</v>
      </c>
      <c r="E7068" s="125"/>
      <c r="F7068" s="118" t="s">
        <v>4396</v>
      </c>
      <c r="G7068" s="126" t="s">
        <v>16390</v>
      </c>
      <c r="H7068" s="255">
        <v>3</v>
      </c>
      <c r="I7068" s="361">
        <v>1</v>
      </c>
      <c r="J7068" s="368" t="s">
        <v>286</v>
      </c>
      <c r="K7068" s="388"/>
      <c r="L7068" s="387"/>
      <c r="W7068" s="129" t="s">
        <v>286</v>
      </c>
      <c r="X7068" s="337" t="b">
        <f t="shared" si="151"/>
        <v>1</v>
      </c>
    </row>
    <row r="7069" spans="2:24" s="360" customFormat="1" ht="12" customHeight="1" outlineLevel="1">
      <c r="B7069" s="118" t="s">
        <v>12</v>
      </c>
      <c r="C7069" s="334" t="s">
        <v>16800</v>
      </c>
      <c r="D7069" s="124" t="s">
        <v>5238</v>
      </c>
      <c r="E7069" s="125"/>
      <c r="F7069" s="118" t="s">
        <v>4396</v>
      </c>
      <c r="G7069" s="126" t="s">
        <v>16390</v>
      </c>
      <c r="H7069" s="255">
        <v>3</v>
      </c>
      <c r="I7069" s="361">
        <v>1</v>
      </c>
      <c r="J7069" s="368" t="s">
        <v>286</v>
      </c>
      <c r="K7069" s="388"/>
      <c r="L7069" s="387"/>
      <c r="W7069" s="129" t="s">
        <v>286</v>
      </c>
      <c r="X7069" s="337" t="b">
        <f t="shared" si="151"/>
        <v>1</v>
      </c>
    </row>
    <row r="7070" spans="2:24" s="360" customFormat="1" ht="12" customHeight="1" outlineLevel="1">
      <c r="B7070" s="118" t="s">
        <v>12</v>
      </c>
      <c r="C7070" s="334" t="s">
        <v>16801</v>
      </c>
      <c r="D7070" s="124" t="s">
        <v>16802</v>
      </c>
      <c r="E7070" s="125"/>
      <c r="F7070" s="118" t="s">
        <v>4396</v>
      </c>
      <c r="G7070" s="126" t="s">
        <v>16390</v>
      </c>
      <c r="H7070" s="255">
        <v>3</v>
      </c>
      <c r="I7070" s="361">
        <v>1</v>
      </c>
      <c r="J7070" s="368" t="s">
        <v>286</v>
      </c>
      <c r="K7070" s="388"/>
      <c r="L7070" s="387"/>
      <c r="W7070" s="129" t="s">
        <v>286</v>
      </c>
      <c r="X7070" s="337" t="b">
        <f t="shared" si="151"/>
        <v>1</v>
      </c>
    </row>
    <row r="7071" spans="2:24" s="360" customFormat="1" ht="12" customHeight="1" outlineLevel="1">
      <c r="B7071" s="118" t="s">
        <v>12</v>
      </c>
      <c r="C7071" s="334" t="s">
        <v>16803</v>
      </c>
      <c r="D7071" s="124" t="s">
        <v>16804</v>
      </c>
      <c r="E7071" s="125"/>
      <c r="F7071" s="118" t="s">
        <v>4396</v>
      </c>
      <c r="G7071" s="126" t="s">
        <v>16390</v>
      </c>
      <c r="H7071" s="255">
        <v>3</v>
      </c>
      <c r="I7071" s="361">
        <v>1</v>
      </c>
      <c r="J7071" s="368" t="s">
        <v>286</v>
      </c>
      <c r="K7071" s="388"/>
      <c r="L7071" s="387"/>
      <c r="W7071" s="129" t="s">
        <v>286</v>
      </c>
      <c r="X7071" s="337" t="b">
        <f t="shared" si="151"/>
        <v>1</v>
      </c>
    </row>
    <row r="7072" spans="2:24" s="360" customFormat="1" ht="12" customHeight="1" outlineLevel="1">
      <c r="B7072" s="118" t="s">
        <v>12</v>
      </c>
      <c r="C7072" s="334" t="s">
        <v>16805</v>
      </c>
      <c r="D7072" s="124" t="s">
        <v>5242</v>
      </c>
      <c r="E7072" s="125"/>
      <c r="F7072" s="118" t="s">
        <v>4396</v>
      </c>
      <c r="G7072" s="126" t="s">
        <v>16390</v>
      </c>
      <c r="H7072" s="255">
        <v>3</v>
      </c>
      <c r="I7072" s="361">
        <v>1</v>
      </c>
      <c r="J7072" s="368" t="s">
        <v>286</v>
      </c>
      <c r="K7072" s="388"/>
      <c r="L7072" s="387"/>
      <c r="W7072" s="129" t="s">
        <v>286</v>
      </c>
      <c r="X7072" s="337" t="b">
        <f t="shared" si="151"/>
        <v>1</v>
      </c>
    </row>
    <row r="7073" spans="2:24" s="360" customFormat="1" ht="12" customHeight="1" outlineLevel="1">
      <c r="B7073" s="118" t="s">
        <v>12</v>
      </c>
      <c r="C7073" s="334" t="s">
        <v>16806</v>
      </c>
      <c r="D7073" s="124" t="s">
        <v>16807</v>
      </c>
      <c r="E7073" s="125"/>
      <c r="F7073" s="118" t="s">
        <v>4396</v>
      </c>
      <c r="G7073" s="126" t="s">
        <v>16390</v>
      </c>
      <c r="H7073" s="255">
        <v>3</v>
      </c>
      <c r="I7073" s="361">
        <v>1</v>
      </c>
      <c r="J7073" s="368" t="s">
        <v>286</v>
      </c>
      <c r="K7073" s="388"/>
      <c r="L7073" s="387"/>
      <c r="W7073" s="129" t="s">
        <v>286</v>
      </c>
      <c r="X7073" s="337" t="b">
        <f t="shared" si="151"/>
        <v>1</v>
      </c>
    </row>
    <row r="7074" spans="2:24" s="360" customFormat="1" ht="12" customHeight="1" outlineLevel="1">
      <c r="B7074" s="118" t="s">
        <v>12</v>
      </c>
      <c r="C7074" s="334" t="s">
        <v>16808</v>
      </c>
      <c r="D7074" s="124" t="s">
        <v>16809</v>
      </c>
      <c r="E7074" s="125"/>
      <c r="F7074" s="118" t="s">
        <v>4396</v>
      </c>
      <c r="G7074" s="126" t="s">
        <v>16390</v>
      </c>
      <c r="H7074" s="255">
        <v>3</v>
      </c>
      <c r="I7074" s="361">
        <v>1</v>
      </c>
      <c r="J7074" s="368" t="s">
        <v>286</v>
      </c>
      <c r="K7074" s="388"/>
      <c r="L7074" s="387"/>
      <c r="W7074" s="129" t="s">
        <v>286</v>
      </c>
      <c r="X7074" s="337" t="b">
        <f t="shared" si="151"/>
        <v>1</v>
      </c>
    </row>
    <row r="7075" spans="2:24" s="360" customFormat="1" ht="12" customHeight="1" outlineLevel="1">
      <c r="B7075" s="118" t="s">
        <v>12</v>
      </c>
      <c r="C7075" s="334" t="s">
        <v>16810</v>
      </c>
      <c r="D7075" s="124" t="s">
        <v>16811</v>
      </c>
      <c r="E7075" s="125"/>
      <c r="F7075" s="118" t="s">
        <v>4396</v>
      </c>
      <c r="G7075" s="126" t="s">
        <v>16390</v>
      </c>
      <c r="H7075" s="255">
        <v>3</v>
      </c>
      <c r="I7075" s="361">
        <v>1</v>
      </c>
      <c r="J7075" s="368" t="s">
        <v>286</v>
      </c>
      <c r="K7075" s="388"/>
      <c r="L7075" s="387"/>
      <c r="W7075" s="129" t="s">
        <v>286</v>
      </c>
      <c r="X7075" s="337" t="b">
        <f t="shared" si="151"/>
        <v>1</v>
      </c>
    </row>
    <row r="7076" spans="2:24" s="360" customFormat="1" ht="12" customHeight="1" outlineLevel="1">
      <c r="B7076" s="118" t="s">
        <v>12</v>
      </c>
      <c r="C7076" s="334" t="s">
        <v>16812</v>
      </c>
      <c r="D7076" s="124" t="s">
        <v>5222</v>
      </c>
      <c r="E7076" s="125"/>
      <c r="F7076" s="118" t="s">
        <v>4396</v>
      </c>
      <c r="G7076" s="126" t="s">
        <v>16390</v>
      </c>
      <c r="H7076" s="255">
        <v>3</v>
      </c>
      <c r="I7076" s="361">
        <v>1</v>
      </c>
      <c r="J7076" s="368" t="s">
        <v>286</v>
      </c>
      <c r="K7076" s="388"/>
      <c r="L7076" s="387"/>
      <c r="W7076" s="129" t="s">
        <v>4876</v>
      </c>
      <c r="X7076" s="337" t="b">
        <f t="shared" si="151"/>
        <v>0</v>
      </c>
    </row>
    <row r="7077" spans="2:24" s="360" customFormat="1" ht="12" customHeight="1" outlineLevel="1">
      <c r="B7077" s="118" t="s">
        <v>12</v>
      </c>
      <c r="C7077" s="334" t="s">
        <v>16813</v>
      </c>
      <c r="D7077" s="124" t="s">
        <v>16814</v>
      </c>
      <c r="E7077" s="125"/>
      <c r="F7077" s="118" t="s">
        <v>4396</v>
      </c>
      <c r="G7077" s="126" t="s">
        <v>16390</v>
      </c>
      <c r="H7077" s="255">
        <v>3</v>
      </c>
      <c r="I7077" s="361">
        <v>1</v>
      </c>
      <c r="J7077" s="368" t="s">
        <v>307</v>
      </c>
      <c r="K7077" s="388"/>
      <c r="L7077" s="387"/>
      <c r="W7077" s="129" t="s">
        <v>310</v>
      </c>
      <c r="X7077" s="337" t="b">
        <f t="shared" si="151"/>
        <v>0</v>
      </c>
    </row>
    <row r="7078" spans="2:24" s="360" customFormat="1" ht="12" customHeight="1" outlineLevel="1">
      <c r="B7078" s="118" t="s">
        <v>12</v>
      </c>
      <c r="C7078" s="334" t="s">
        <v>16815</v>
      </c>
      <c r="D7078" s="124" t="s">
        <v>16816</v>
      </c>
      <c r="E7078" s="125"/>
      <c r="F7078" s="118" t="s">
        <v>4396</v>
      </c>
      <c r="G7078" s="126" t="s">
        <v>16390</v>
      </c>
      <c r="H7078" s="255">
        <v>3</v>
      </c>
      <c r="I7078" s="361">
        <v>1</v>
      </c>
      <c r="J7078" s="368" t="s">
        <v>310</v>
      </c>
      <c r="K7078" s="388"/>
      <c r="L7078" s="387"/>
      <c r="W7078" s="129" t="s">
        <v>286</v>
      </c>
      <c r="X7078" s="337" t="b">
        <f t="shared" si="151"/>
        <v>0</v>
      </c>
    </row>
    <row r="7079" spans="2:24" s="360" customFormat="1" ht="12" customHeight="1" outlineLevel="1">
      <c r="B7079" s="118" t="s">
        <v>12</v>
      </c>
      <c r="C7079" s="334" t="s">
        <v>16817</v>
      </c>
      <c r="D7079" s="124" t="s">
        <v>16818</v>
      </c>
      <c r="E7079" s="125"/>
      <c r="F7079" s="118" t="s">
        <v>4396</v>
      </c>
      <c r="G7079" s="126" t="s">
        <v>16390</v>
      </c>
      <c r="H7079" s="255">
        <v>3</v>
      </c>
      <c r="I7079" s="361">
        <v>1</v>
      </c>
      <c r="J7079" s="368" t="s">
        <v>310</v>
      </c>
      <c r="K7079" s="388"/>
      <c r="L7079" s="387"/>
      <c r="W7079" s="129" t="s">
        <v>286</v>
      </c>
      <c r="X7079" s="337" t="b">
        <f t="shared" si="151"/>
        <v>0</v>
      </c>
    </row>
    <row r="7080" spans="2:24" s="360" customFormat="1" ht="12" customHeight="1" outlineLevel="1">
      <c r="B7080" s="118" t="s">
        <v>12</v>
      </c>
      <c r="C7080" s="334" t="s">
        <v>16819</v>
      </c>
      <c r="D7080" s="124" t="s">
        <v>16820</v>
      </c>
      <c r="E7080" s="125"/>
      <c r="F7080" s="118" t="s">
        <v>4396</v>
      </c>
      <c r="G7080" s="126" t="s">
        <v>16390</v>
      </c>
      <c r="H7080" s="255">
        <v>3</v>
      </c>
      <c r="I7080" s="361">
        <v>1</v>
      </c>
      <c r="J7080" s="368" t="s">
        <v>307</v>
      </c>
      <c r="K7080" s="388"/>
      <c r="L7080" s="387"/>
      <c r="W7080" s="129" t="s">
        <v>310</v>
      </c>
      <c r="X7080" s="337" t="b">
        <f t="shared" si="151"/>
        <v>0</v>
      </c>
    </row>
    <row r="7081" spans="2:24" s="360" customFormat="1" ht="12" customHeight="1" outlineLevel="1">
      <c r="B7081" s="118" t="s">
        <v>12</v>
      </c>
      <c r="C7081" s="334" t="s">
        <v>16821</v>
      </c>
      <c r="D7081" s="124" t="s">
        <v>16822</v>
      </c>
      <c r="E7081" s="125"/>
      <c r="F7081" s="118" t="s">
        <v>4396</v>
      </c>
      <c r="G7081" s="126" t="s">
        <v>16390</v>
      </c>
      <c r="H7081" s="255">
        <v>3</v>
      </c>
      <c r="I7081" s="361">
        <v>1</v>
      </c>
      <c r="J7081" s="368" t="s">
        <v>310</v>
      </c>
      <c r="K7081" s="388"/>
      <c r="L7081" s="387"/>
      <c r="W7081" s="129" t="s">
        <v>286</v>
      </c>
      <c r="X7081" s="337" t="b">
        <f t="shared" si="151"/>
        <v>0</v>
      </c>
    </row>
    <row r="7082" spans="2:24" s="360" customFormat="1" ht="12" customHeight="1" outlineLevel="1">
      <c r="B7082" s="118" t="s">
        <v>12</v>
      </c>
      <c r="C7082" s="334" t="s">
        <v>16823</v>
      </c>
      <c r="D7082" s="124" t="s">
        <v>16824</v>
      </c>
      <c r="E7082" s="125"/>
      <c r="F7082" s="118" t="s">
        <v>4396</v>
      </c>
      <c r="G7082" s="126" t="s">
        <v>16390</v>
      </c>
      <c r="H7082" s="255">
        <v>3</v>
      </c>
      <c r="I7082" s="361">
        <v>1</v>
      </c>
      <c r="J7082" s="368" t="s">
        <v>307</v>
      </c>
      <c r="K7082" s="388"/>
      <c r="L7082" s="387"/>
      <c r="W7082" s="129" t="s">
        <v>310</v>
      </c>
      <c r="X7082" s="337" t="b">
        <f t="shared" si="151"/>
        <v>0</v>
      </c>
    </row>
    <row r="7083" spans="2:24" s="360" customFormat="1" ht="12" customHeight="1" outlineLevel="1">
      <c r="B7083" s="118" t="s">
        <v>12</v>
      </c>
      <c r="C7083" s="334" t="s">
        <v>16825</v>
      </c>
      <c r="D7083" s="124" t="s">
        <v>16826</v>
      </c>
      <c r="E7083" s="125"/>
      <c r="F7083" s="118" t="s">
        <v>4396</v>
      </c>
      <c r="G7083" s="126" t="s">
        <v>16390</v>
      </c>
      <c r="H7083" s="255">
        <v>3</v>
      </c>
      <c r="I7083" s="361">
        <v>1</v>
      </c>
      <c r="J7083" s="368" t="s">
        <v>307</v>
      </c>
      <c r="K7083" s="388"/>
      <c r="L7083" s="387"/>
      <c r="W7083" s="129" t="s">
        <v>310</v>
      </c>
      <c r="X7083" s="337" t="b">
        <f t="shared" si="151"/>
        <v>0</v>
      </c>
    </row>
    <row r="7084" spans="2:24" s="360" customFormat="1" ht="12" customHeight="1" outlineLevel="1">
      <c r="B7084" s="118" t="s">
        <v>12</v>
      </c>
      <c r="C7084" s="334" t="s">
        <v>16827</v>
      </c>
      <c r="D7084" s="124" t="s">
        <v>16828</v>
      </c>
      <c r="E7084" s="125"/>
      <c r="F7084" s="118" t="s">
        <v>4396</v>
      </c>
      <c r="G7084" s="126" t="s">
        <v>16390</v>
      </c>
      <c r="H7084" s="255">
        <v>3</v>
      </c>
      <c r="I7084" s="361">
        <v>1</v>
      </c>
      <c r="J7084" s="368" t="s">
        <v>307</v>
      </c>
      <c r="K7084" s="388"/>
      <c r="L7084" s="387"/>
      <c r="W7084" s="129" t="s">
        <v>310</v>
      </c>
      <c r="X7084" s="337" t="b">
        <f t="shared" si="151"/>
        <v>0</v>
      </c>
    </row>
    <row r="7085" spans="2:24" s="360" customFormat="1" ht="12" customHeight="1" outlineLevel="1">
      <c r="B7085" s="118" t="s">
        <v>12</v>
      </c>
      <c r="C7085" s="334" t="s">
        <v>16829</v>
      </c>
      <c r="D7085" s="124" t="s">
        <v>16830</v>
      </c>
      <c r="E7085" s="125"/>
      <c r="F7085" s="118" t="s">
        <v>4396</v>
      </c>
      <c r="G7085" s="126" t="s">
        <v>16390</v>
      </c>
      <c r="H7085" s="255">
        <v>3</v>
      </c>
      <c r="I7085" s="361">
        <v>1</v>
      </c>
      <c r="J7085" s="368" t="s">
        <v>310</v>
      </c>
      <c r="K7085" s="388"/>
      <c r="L7085" s="387"/>
      <c r="W7085" s="129" t="s">
        <v>286</v>
      </c>
      <c r="X7085" s="337" t="b">
        <f t="shared" si="151"/>
        <v>0</v>
      </c>
    </row>
    <row r="7086" spans="2:24" s="360" customFormat="1" ht="12" customHeight="1" outlineLevel="1">
      <c r="B7086" s="118" t="s">
        <v>12</v>
      </c>
      <c r="C7086" s="334" t="s">
        <v>16831</v>
      </c>
      <c r="D7086" s="124" t="s">
        <v>16832</v>
      </c>
      <c r="E7086" s="125"/>
      <c r="F7086" s="118" t="s">
        <v>4396</v>
      </c>
      <c r="G7086" s="126" t="s">
        <v>16390</v>
      </c>
      <c r="H7086" s="255">
        <v>3</v>
      </c>
      <c r="I7086" s="361">
        <v>1</v>
      </c>
      <c r="J7086" s="368" t="s">
        <v>310</v>
      </c>
      <c r="K7086" s="388"/>
      <c r="L7086" s="387"/>
      <c r="W7086" s="129" t="s">
        <v>286</v>
      </c>
      <c r="X7086" s="337" t="b">
        <f t="shared" ref="X7086:X7149" si="152">W7086=J7086</f>
        <v>0</v>
      </c>
    </row>
    <row r="7087" spans="2:24" s="360" customFormat="1" ht="12" customHeight="1" outlineLevel="1">
      <c r="B7087" s="118" t="s">
        <v>12</v>
      </c>
      <c r="C7087" s="334" t="s">
        <v>16833</v>
      </c>
      <c r="D7087" s="124" t="s">
        <v>16834</v>
      </c>
      <c r="E7087" s="125"/>
      <c r="F7087" s="118" t="s">
        <v>4396</v>
      </c>
      <c r="G7087" s="126" t="s">
        <v>16390</v>
      </c>
      <c r="H7087" s="255">
        <v>3</v>
      </c>
      <c r="I7087" s="361">
        <v>1</v>
      </c>
      <c r="J7087" s="368" t="s">
        <v>310</v>
      </c>
      <c r="K7087" s="388"/>
      <c r="L7087" s="387"/>
      <c r="W7087" s="129" t="s">
        <v>286</v>
      </c>
      <c r="X7087" s="337" t="b">
        <f t="shared" si="152"/>
        <v>0</v>
      </c>
    </row>
    <row r="7088" spans="2:24" s="360" customFormat="1" ht="12" customHeight="1" outlineLevel="1">
      <c r="B7088" s="118" t="s">
        <v>12</v>
      </c>
      <c r="C7088" s="334" t="s">
        <v>16835</v>
      </c>
      <c r="D7088" s="124" t="s">
        <v>16836</v>
      </c>
      <c r="E7088" s="125"/>
      <c r="F7088" s="118" t="s">
        <v>4396</v>
      </c>
      <c r="G7088" s="126" t="s">
        <v>16390</v>
      </c>
      <c r="H7088" s="255">
        <v>3</v>
      </c>
      <c r="I7088" s="361">
        <v>1</v>
      </c>
      <c r="J7088" s="368" t="s">
        <v>310</v>
      </c>
      <c r="K7088" s="388"/>
      <c r="L7088" s="387"/>
      <c r="W7088" s="129" t="s">
        <v>286</v>
      </c>
      <c r="X7088" s="337" t="b">
        <f t="shared" si="152"/>
        <v>0</v>
      </c>
    </row>
    <row r="7089" spans="2:24" s="360" customFormat="1" ht="12" customHeight="1" outlineLevel="1">
      <c r="B7089" s="118" t="s">
        <v>12</v>
      </c>
      <c r="C7089" s="334" t="s">
        <v>16837</v>
      </c>
      <c r="D7089" s="124" t="s">
        <v>16838</v>
      </c>
      <c r="E7089" s="125"/>
      <c r="F7089" s="118" t="s">
        <v>4396</v>
      </c>
      <c r="G7089" s="126" t="s">
        <v>16390</v>
      </c>
      <c r="H7089" s="255">
        <v>3</v>
      </c>
      <c r="I7089" s="361">
        <v>1</v>
      </c>
      <c r="J7089" s="368" t="s">
        <v>307</v>
      </c>
      <c r="K7089" s="388"/>
      <c r="L7089" s="387"/>
      <c r="W7089" s="129" t="s">
        <v>310</v>
      </c>
      <c r="X7089" s="337" t="b">
        <f t="shared" si="152"/>
        <v>0</v>
      </c>
    </row>
    <row r="7090" spans="2:24" s="360" customFormat="1" ht="12" customHeight="1" outlineLevel="1">
      <c r="B7090" s="118" t="s">
        <v>12</v>
      </c>
      <c r="C7090" s="334" t="s">
        <v>16839</v>
      </c>
      <c r="D7090" s="124" t="s">
        <v>16840</v>
      </c>
      <c r="E7090" s="125"/>
      <c r="F7090" s="118" t="s">
        <v>4396</v>
      </c>
      <c r="G7090" s="126" t="s">
        <v>16390</v>
      </c>
      <c r="H7090" s="255">
        <v>3</v>
      </c>
      <c r="I7090" s="361">
        <v>1</v>
      </c>
      <c r="J7090" s="368" t="s">
        <v>310</v>
      </c>
      <c r="K7090" s="388"/>
      <c r="L7090" s="387"/>
      <c r="W7090" s="129" t="s">
        <v>286</v>
      </c>
      <c r="X7090" s="337" t="b">
        <f t="shared" si="152"/>
        <v>0</v>
      </c>
    </row>
    <row r="7091" spans="2:24" s="360" customFormat="1" ht="12" customHeight="1" outlineLevel="1">
      <c r="B7091" s="118" t="s">
        <v>12</v>
      </c>
      <c r="C7091" s="334" t="s">
        <v>16841</v>
      </c>
      <c r="D7091" s="124" t="s">
        <v>16842</v>
      </c>
      <c r="E7091" s="125"/>
      <c r="F7091" s="118" t="s">
        <v>4396</v>
      </c>
      <c r="G7091" s="126" t="s">
        <v>16390</v>
      </c>
      <c r="H7091" s="255">
        <v>3</v>
      </c>
      <c r="I7091" s="361">
        <v>1</v>
      </c>
      <c r="J7091" s="368" t="s">
        <v>307</v>
      </c>
      <c r="K7091" s="388"/>
      <c r="L7091" s="387"/>
      <c r="W7091" s="129" t="s">
        <v>310</v>
      </c>
      <c r="X7091" s="337" t="b">
        <f t="shared" si="152"/>
        <v>0</v>
      </c>
    </row>
    <row r="7092" spans="2:24" s="360" customFormat="1" ht="12" customHeight="1" outlineLevel="1">
      <c r="B7092" s="118" t="s">
        <v>12</v>
      </c>
      <c r="C7092" s="334" t="s">
        <v>16843</v>
      </c>
      <c r="D7092" s="124" t="s">
        <v>16844</v>
      </c>
      <c r="E7092" s="125"/>
      <c r="F7092" s="118" t="s">
        <v>4396</v>
      </c>
      <c r="G7092" s="126" t="s">
        <v>16390</v>
      </c>
      <c r="H7092" s="255">
        <v>3</v>
      </c>
      <c r="I7092" s="361">
        <v>1</v>
      </c>
      <c r="J7092" s="368" t="s">
        <v>307</v>
      </c>
      <c r="K7092" s="388"/>
      <c r="L7092" s="387"/>
      <c r="W7092" s="129" t="s">
        <v>310</v>
      </c>
      <c r="X7092" s="337" t="b">
        <f t="shared" si="152"/>
        <v>0</v>
      </c>
    </row>
    <row r="7093" spans="2:24" s="360" customFormat="1" ht="12" customHeight="1" outlineLevel="1">
      <c r="B7093" s="118" t="s">
        <v>12</v>
      </c>
      <c r="C7093" s="334" t="s">
        <v>16845</v>
      </c>
      <c r="D7093" s="124" t="s">
        <v>16846</v>
      </c>
      <c r="E7093" s="125"/>
      <c r="F7093" s="118" t="s">
        <v>4396</v>
      </c>
      <c r="G7093" s="126" t="s">
        <v>16390</v>
      </c>
      <c r="H7093" s="255">
        <v>3</v>
      </c>
      <c r="I7093" s="361">
        <v>1</v>
      </c>
      <c r="J7093" s="368" t="s">
        <v>310</v>
      </c>
      <c r="K7093" s="388"/>
      <c r="L7093" s="387"/>
      <c r="W7093" s="129" t="s">
        <v>286</v>
      </c>
      <c r="X7093" s="337" t="b">
        <f t="shared" si="152"/>
        <v>0</v>
      </c>
    </row>
    <row r="7094" spans="2:24" s="360" customFormat="1" ht="12" customHeight="1" outlineLevel="1">
      <c r="B7094" s="118" t="s">
        <v>12</v>
      </c>
      <c r="C7094" s="334" t="s">
        <v>16847</v>
      </c>
      <c r="D7094" s="124" t="s">
        <v>16848</v>
      </c>
      <c r="E7094" s="125"/>
      <c r="F7094" s="118" t="s">
        <v>4396</v>
      </c>
      <c r="G7094" s="126" t="s">
        <v>16390</v>
      </c>
      <c r="H7094" s="255">
        <v>3</v>
      </c>
      <c r="I7094" s="361">
        <v>1</v>
      </c>
      <c r="J7094" s="368" t="s">
        <v>307</v>
      </c>
      <c r="K7094" s="388"/>
      <c r="L7094" s="387"/>
      <c r="W7094" s="129" t="s">
        <v>310</v>
      </c>
      <c r="X7094" s="337" t="b">
        <f t="shared" si="152"/>
        <v>0</v>
      </c>
    </row>
    <row r="7095" spans="2:24" s="360" customFormat="1" ht="12" customHeight="1" outlineLevel="1">
      <c r="B7095" s="118" t="s">
        <v>12</v>
      </c>
      <c r="C7095" s="334" t="s">
        <v>16849</v>
      </c>
      <c r="D7095" s="124" t="s">
        <v>16850</v>
      </c>
      <c r="E7095" s="125"/>
      <c r="F7095" s="118" t="s">
        <v>4396</v>
      </c>
      <c r="G7095" s="126" t="s">
        <v>16390</v>
      </c>
      <c r="H7095" s="255">
        <v>3</v>
      </c>
      <c r="I7095" s="361">
        <v>1</v>
      </c>
      <c r="J7095" s="368" t="s">
        <v>307</v>
      </c>
      <c r="K7095" s="388"/>
      <c r="L7095" s="387"/>
      <c r="W7095" s="129" t="s">
        <v>310</v>
      </c>
      <c r="X7095" s="337" t="b">
        <f t="shared" si="152"/>
        <v>0</v>
      </c>
    </row>
    <row r="7096" spans="2:24" s="360" customFormat="1" ht="12" customHeight="1" outlineLevel="1">
      <c r="B7096" s="118" t="s">
        <v>12</v>
      </c>
      <c r="C7096" s="334" t="s">
        <v>16851</v>
      </c>
      <c r="D7096" s="124" t="s">
        <v>16852</v>
      </c>
      <c r="E7096" s="125"/>
      <c r="F7096" s="118" t="s">
        <v>4396</v>
      </c>
      <c r="G7096" s="126" t="s">
        <v>16390</v>
      </c>
      <c r="H7096" s="255">
        <v>3</v>
      </c>
      <c r="I7096" s="361">
        <v>1</v>
      </c>
      <c r="J7096" s="368" t="s">
        <v>307</v>
      </c>
      <c r="K7096" s="388"/>
      <c r="L7096" s="387"/>
      <c r="W7096" s="129" t="s">
        <v>310</v>
      </c>
      <c r="X7096" s="337" t="b">
        <f t="shared" si="152"/>
        <v>0</v>
      </c>
    </row>
    <row r="7097" spans="2:24" s="360" customFormat="1" ht="12" customHeight="1" outlineLevel="1">
      <c r="B7097" s="118" t="s">
        <v>12</v>
      </c>
      <c r="C7097" s="334" t="s">
        <v>16853</v>
      </c>
      <c r="D7097" s="124" t="s">
        <v>16854</v>
      </c>
      <c r="E7097" s="125"/>
      <c r="F7097" s="118" t="s">
        <v>4396</v>
      </c>
      <c r="G7097" s="126" t="s">
        <v>16390</v>
      </c>
      <c r="H7097" s="255">
        <v>3</v>
      </c>
      <c r="I7097" s="361">
        <v>1</v>
      </c>
      <c r="J7097" s="368" t="s">
        <v>307</v>
      </c>
      <c r="K7097" s="388"/>
      <c r="L7097" s="387"/>
      <c r="W7097" s="129" t="s">
        <v>310</v>
      </c>
      <c r="X7097" s="337" t="b">
        <f t="shared" si="152"/>
        <v>0</v>
      </c>
    </row>
    <row r="7098" spans="2:24" s="360" customFormat="1" ht="12" customHeight="1" outlineLevel="1">
      <c r="B7098" s="118" t="s">
        <v>12</v>
      </c>
      <c r="C7098" s="334" t="s">
        <v>16855</v>
      </c>
      <c r="D7098" s="124" t="s">
        <v>16856</v>
      </c>
      <c r="E7098" s="125"/>
      <c r="F7098" s="118" t="s">
        <v>4396</v>
      </c>
      <c r="G7098" s="126" t="s">
        <v>16390</v>
      </c>
      <c r="H7098" s="255">
        <v>3</v>
      </c>
      <c r="I7098" s="361">
        <v>1</v>
      </c>
      <c r="J7098" s="368" t="s">
        <v>307</v>
      </c>
      <c r="K7098" s="388"/>
      <c r="L7098" s="387"/>
      <c r="W7098" s="129" t="s">
        <v>310</v>
      </c>
      <c r="X7098" s="337" t="b">
        <f t="shared" si="152"/>
        <v>0</v>
      </c>
    </row>
    <row r="7099" spans="2:24" s="360" customFormat="1" ht="12" customHeight="1" outlineLevel="1">
      <c r="B7099" s="118" t="s">
        <v>12</v>
      </c>
      <c r="C7099" s="334" t="s">
        <v>16857</v>
      </c>
      <c r="D7099" s="124" t="s">
        <v>16858</v>
      </c>
      <c r="E7099" s="125"/>
      <c r="F7099" s="118" t="s">
        <v>4396</v>
      </c>
      <c r="G7099" s="126" t="s">
        <v>16390</v>
      </c>
      <c r="H7099" s="255">
        <v>3</v>
      </c>
      <c r="I7099" s="361">
        <v>1</v>
      </c>
      <c r="J7099" s="368" t="s">
        <v>310</v>
      </c>
      <c r="K7099" s="388"/>
      <c r="L7099" s="387"/>
      <c r="W7099" s="129" t="s">
        <v>286</v>
      </c>
      <c r="X7099" s="337" t="b">
        <f t="shared" si="152"/>
        <v>0</v>
      </c>
    </row>
    <row r="7100" spans="2:24" s="360" customFormat="1" ht="12" customHeight="1" outlineLevel="1">
      <c r="B7100" s="118" t="s">
        <v>12</v>
      </c>
      <c r="C7100" s="334" t="s">
        <v>16859</v>
      </c>
      <c r="D7100" s="124" t="s">
        <v>16860</v>
      </c>
      <c r="E7100" s="125"/>
      <c r="F7100" s="118" t="s">
        <v>4396</v>
      </c>
      <c r="G7100" s="126" t="s">
        <v>16390</v>
      </c>
      <c r="H7100" s="255">
        <v>3</v>
      </c>
      <c r="I7100" s="361">
        <v>1</v>
      </c>
      <c r="J7100" s="368" t="s">
        <v>310</v>
      </c>
      <c r="K7100" s="388"/>
      <c r="L7100" s="387"/>
      <c r="W7100" s="129" t="s">
        <v>286</v>
      </c>
      <c r="X7100" s="337" t="b">
        <f t="shared" si="152"/>
        <v>0</v>
      </c>
    </row>
    <row r="7101" spans="2:24" s="360" customFormat="1" ht="12" customHeight="1" outlineLevel="1">
      <c r="B7101" s="118" t="s">
        <v>12</v>
      </c>
      <c r="C7101" s="334" t="s">
        <v>16861</v>
      </c>
      <c r="D7101" s="124" t="s">
        <v>16862</v>
      </c>
      <c r="E7101" s="125"/>
      <c r="F7101" s="118" t="s">
        <v>4396</v>
      </c>
      <c r="G7101" s="126" t="s">
        <v>16390</v>
      </c>
      <c r="H7101" s="255">
        <v>3</v>
      </c>
      <c r="I7101" s="361">
        <v>1</v>
      </c>
      <c r="J7101" s="368" t="s">
        <v>286</v>
      </c>
      <c r="K7101" s="388"/>
      <c r="L7101" s="387"/>
      <c r="W7101" s="129" t="s">
        <v>286</v>
      </c>
      <c r="X7101" s="337" t="b">
        <f t="shared" si="152"/>
        <v>1</v>
      </c>
    </row>
    <row r="7102" spans="2:24" s="360" customFormat="1" ht="12" customHeight="1" outlineLevel="1">
      <c r="B7102" s="118" t="s">
        <v>12</v>
      </c>
      <c r="C7102" s="334" t="s">
        <v>16863</v>
      </c>
      <c r="D7102" s="124" t="s">
        <v>16864</v>
      </c>
      <c r="E7102" s="125"/>
      <c r="F7102" s="118" t="s">
        <v>4396</v>
      </c>
      <c r="G7102" s="126" t="s">
        <v>16390</v>
      </c>
      <c r="H7102" s="255">
        <v>3</v>
      </c>
      <c r="I7102" s="361">
        <v>1</v>
      </c>
      <c r="J7102" s="368" t="s">
        <v>310</v>
      </c>
      <c r="K7102" s="388"/>
      <c r="L7102" s="387"/>
      <c r="W7102" s="129" t="s">
        <v>286</v>
      </c>
      <c r="X7102" s="337" t="b">
        <f t="shared" si="152"/>
        <v>0</v>
      </c>
    </row>
    <row r="7103" spans="2:24" s="360" customFormat="1" ht="12" customHeight="1" outlineLevel="1">
      <c r="B7103" s="118" t="s">
        <v>12</v>
      </c>
      <c r="C7103" s="334" t="s">
        <v>16865</v>
      </c>
      <c r="D7103" s="124" t="s">
        <v>16866</v>
      </c>
      <c r="E7103" s="125"/>
      <c r="F7103" s="118" t="s">
        <v>4396</v>
      </c>
      <c r="G7103" s="126" t="s">
        <v>16390</v>
      </c>
      <c r="H7103" s="255">
        <v>3</v>
      </c>
      <c r="I7103" s="361">
        <v>1</v>
      </c>
      <c r="J7103" s="368" t="s">
        <v>307</v>
      </c>
      <c r="K7103" s="388"/>
      <c r="L7103" s="387"/>
      <c r="W7103" s="129" t="s">
        <v>310</v>
      </c>
      <c r="X7103" s="337" t="b">
        <f t="shared" si="152"/>
        <v>0</v>
      </c>
    </row>
    <row r="7104" spans="2:24" s="360" customFormat="1" ht="12" customHeight="1" outlineLevel="1">
      <c r="B7104" s="118" t="s">
        <v>12</v>
      </c>
      <c r="C7104" s="334" t="s">
        <v>16867</v>
      </c>
      <c r="D7104" s="124" t="s">
        <v>16868</v>
      </c>
      <c r="E7104" s="125"/>
      <c r="F7104" s="118" t="s">
        <v>4396</v>
      </c>
      <c r="G7104" s="126" t="s">
        <v>16390</v>
      </c>
      <c r="H7104" s="255">
        <v>3</v>
      </c>
      <c r="I7104" s="361">
        <v>1</v>
      </c>
      <c r="J7104" s="368" t="s">
        <v>307</v>
      </c>
      <c r="K7104" s="388"/>
      <c r="L7104" s="387"/>
      <c r="W7104" s="129" t="s">
        <v>310</v>
      </c>
      <c r="X7104" s="337" t="b">
        <f t="shared" si="152"/>
        <v>0</v>
      </c>
    </row>
    <row r="7105" spans="2:24" s="360" customFormat="1" ht="12" customHeight="1" outlineLevel="1">
      <c r="B7105" s="118" t="s">
        <v>12</v>
      </c>
      <c r="C7105" s="334" t="s">
        <v>16869</v>
      </c>
      <c r="D7105" s="124" t="s">
        <v>16814</v>
      </c>
      <c r="E7105" s="125"/>
      <c r="F7105" s="118" t="s">
        <v>4396</v>
      </c>
      <c r="G7105" s="126" t="s">
        <v>16390</v>
      </c>
      <c r="H7105" s="255">
        <v>3</v>
      </c>
      <c r="I7105" s="361">
        <v>1</v>
      </c>
      <c r="J7105" s="368" t="s">
        <v>286</v>
      </c>
      <c r="K7105" s="388"/>
      <c r="L7105" s="387"/>
      <c r="W7105" s="129" t="s">
        <v>286</v>
      </c>
      <c r="X7105" s="337" t="b">
        <f t="shared" si="152"/>
        <v>1</v>
      </c>
    </row>
    <row r="7106" spans="2:24" s="360" customFormat="1" ht="12" customHeight="1" outlineLevel="1">
      <c r="B7106" s="118" t="s">
        <v>12</v>
      </c>
      <c r="C7106" s="334" t="s">
        <v>16870</v>
      </c>
      <c r="D7106" s="124" t="s">
        <v>16871</v>
      </c>
      <c r="E7106" s="125"/>
      <c r="F7106" s="118" t="s">
        <v>4396</v>
      </c>
      <c r="G7106" s="126" t="s">
        <v>16390</v>
      </c>
      <c r="H7106" s="255">
        <v>3</v>
      </c>
      <c r="I7106" s="361">
        <v>1</v>
      </c>
      <c r="J7106" s="368" t="s">
        <v>286</v>
      </c>
      <c r="K7106" s="388"/>
      <c r="L7106" s="387"/>
      <c r="W7106" s="129" t="s">
        <v>286</v>
      </c>
      <c r="X7106" s="337" t="b">
        <f t="shared" si="152"/>
        <v>1</v>
      </c>
    </row>
    <row r="7107" spans="2:24" s="360" customFormat="1" ht="12" customHeight="1" outlineLevel="1">
      <c r="B7107" s="118" t="s">
        <v>12</v>
      </c>
      <c r="C7107" s="334" t="s">
        <v>16872</v>
      </c>
      <c r="D7107" s="124" t="s">
        <v>16873</v>
      </c>
      <c r="E7107" s="125"/>
      <c r="F7107" s="118" t="s">
        <v>4396</v>
      </c>
      <c r="G7107" s="126" t="s">
        <v>16390</v>
      </c>
      <c r="H7107" s="255">
        <v>3</v>
      </c>
      <c r="I7107" s="361">
        <v>1</v>
      </c>
      <c r="J7107" s="368" t="s">
        <v>286</v>
      </c>
      <c r="K7107" s="388"/>
      <c r="L7107" s="387"/>
      <c r="W7107" s="129" t="s">
        <v>286</v>
      </c>
      <c r="X7107" s="337" t="b">
        <f t="shared" si="152"/>
        <v>1</v>
      </c>
    </row>
    <row r="7108" spans="2:24" s="360" customFormat="1" ht="12" customHeight="1" outlineLevel="1">
      <c r="B7108" s="118" t="s">
        <v>12</v>
      </c>
      <c r="C7108" s="334" t="s">
        <v>16874</v>
      </c>
      <c r="D7108" s="124" t="s">
        <v>16875</v>
      </c>
      <c r="E7108" s="125"/>
      <c r="F7108" s="118" t="s">
        <v>4396</v>
      </c>
      <c r="G7108" s="126" t="s">
        <v>16390</v>
      </c>
      <c r="H7108" s="255">
        <v>3</v>
      </c>
      <c r="I7108" s="361">
        <v>1</v>
      </c>
      <c r="J7108" s="368" t="s">
        <v>286</v>
      </c>
      <c r="K7108" s="388"/>
      <c r="L7108" s="387"/>
      <c r="W7108" s="129" t="s">
        <v>286</v>
      </c>
      <c r="X7108" s="337" t="b">
        <f t="shared" si="152"/>
        <v>1</v>
      </c>
    </row>
    <row r="7109" spans="2:24" s="360" customFormat="1" ht="12" customHeight="1" outlineLevel="1">
      <c r="B7109" s="118" t="s">
        <v>12</v>
      </c>
      <c r="C7109" s="334" t="s">
        <v>16876</v>
      </c>
      <c r="D7109" s="124" t="s">
        <v>16877</v>
      </c>
      <c r="E7109" s="125"/>
      <c r="F7109" s="118" t="s">
        <v>4396</v>
      </c>
      <c r="G7109" s="126" t="s">
        <v>16390</v>
      </c>
      <c r="H7109" s="255">
        <v>3</v>
      </c>
      <c r="I7109" s="361">
        <v>1</v>
      </c>
      <c r="J7109" s="368" t="s">
        <v>286</v>
      </c>
      <c r="K7109" s="388"/>
      <c r="L7109" s="387"/>
      <c r="W7109" s="129" t="s">
        <v>286</v>
      </c>
      <c r="X7109" s="337" t="b">
        <f t="shared" si="152"/>
        <v>1</v>
      </c>
    </row>
    <row r="7110" spans="2:24" s="360" customFormat="1" ht="12" customHeight="1" outlineLevel="1">
      <c r="B7110" s="118" t="s">
        <v>12</v>
      </c>
      <c r="C7110" s="334" t="s">
        <v>16878</v>
      </c>
      <c r="D7110" s="124" t="s">
        <v>16879</v>
      </c>
      <c r="E7110" s="125"/>
      <c r="F7110" s="118" t="s">
        <v>4396</v>
      </c>
      <c r="G7110" s="126" t="s">
        <v>16390</v>
      </c>
      <c r="H7110" s="255">
        <v>3</v>
      </c>
      <c r="I7110" s="361">
        <v>1</v>
      </c>
      <c r="J7110" s="368" t="s">
        <v>286</v>
      </c>
      <c r="K7110" s="388"/>
      <c r="L7110" s="387"/>
      <c r="W7110" s="129" t="s">
        <v>286</v>
      </c>
      <c r="X7110" s="337" t="b">
        <f t="shared" si="152"/>
        <v>1</v>
      </c>
    </row>
    <row r="7111" spans="2:24" s="360" customFormat="1" ht="12" customHeight="1" outlineLevel="1">
      <c r="B7111" s="118" t="s">
        <v>12</v>
      </c>
      <c r="C7111" s="334" t="s">
        <v>16880</v>
      </c>
      <c r="D7111" s="124" t="s">
        <v>16830</v>
      </c>
      <c r="E7111" s="125"/>
      <c r="F7111" s="118" t="s">
        <v>4396</v>
      </c>
      <c r="G7111" s="126" t="s">
        <v>16390</v>
      </c>
      <c r="H7111" s="255">
        <v>3</v>
      </c>
      <c r="I7111" s="361">
        <v>1</v>
      </c>
      <c r="J7111" s="368" t="s">
        <v>286</v>
      </c>
      <c r="K7111" s="388"/>
      <c r="L7111" s="387"/>
      <c r="W7111" s="129" t="s">
        <v>286</v>
      </c>
      <c r="X7111" s="337" t="b">
        <f t="shared" si="152"/>
        <v>1</v>
      </c>
    </row>
    <row r="7112" spans="2:24" s="360" customFormat="1" ht="12" customHeight="1" outlineLevel="1">
      <c r="B7112" s="118" t="s">
        <v>12</v>
      </c>
      <c r="C7112" s="334" t="s">
        <v>16881</v>
      </c>
      <c r="D7112" s="124" t="s">
        <v>16832</v>
      </c>
      <c r="E7112" s="125"/>
      <c r="F7112" s="118" t="s">
        <v>4396</v>
      </c>
      <c r="G7112" s="126" t="s">
        <v>16390</v>
      </c>
      <c r="H7112" s="255">
        <v>3</v>
      </c>
      <c r="I7112" s="361">
        <v>1</v>
      </c>
      <c r="J7112" s="368" t="s">
        <v>286</v>
      </c>
      <c r="K7112" s="388"/>
      <c r="L7112" s="387"/>
      <c r="W7112" s="129" t="s">
        <v>286</v>
      </c>
      <c r="X7112" s="337" t="b">
        <f t="shared" si="152"/>
        <v>1</v>
      </c>
    </row>
    <row r="7113" spans="2:24" s="360" customFormat="1" ht="12" customHeight="1" outlineLevel="1">
      <c r="B7113" s="118" t="s">
        <v>12</v>
      </c>
      <c r="C7113" s="334" t="s">
        <v>16882</v>
      </c>
      <c r="D7113" s="124" t="s">
        <v>16883</v>
      </c>
      <c r="E7113" s="125"/>
      <c r="F7113" s="118" t="s">
        <v>4396</v>
      </c>
      <c r="G7113" s="126" t="s">
        <v>16390</v>
      </c>
      <c r="H7113" s="255">
        <v>3</v>
      </c>
      <c r="I7113" s="361">
        <v>1</v>
      </c>
      <c r="J7113" s="368" t="s">
        <v>286</v>
      </c>
      <c r="K7113" s="388"/>
      <c r="L7113" s="387"/>
      <c r="W7113" s="129" t="s">
        <v>286</v>
      </c>
      <c r="X7113" s="337" t="b">
        <f t="shared" si="152"/>
        <v>1</v>
      </c>
    </row>
    <row r="7114" spans="2:24" s="360" customFormat="1" ht="12" customHeight="1" outlineLevel="1">
      <c r="B7114" s="118" t="s">
        <v>12</v>
      </c>
      <c r="C7114" s="334" t="s">
        <v>16884</v>
      </c>
      <c r="D7114" s="124" t="s">
        <v>16885</v>
      </c>
      <c r="E7114" s="125"/>
      <c r="F7114" s="118" t="s">
        <v>4396</v>
      </c>
      <c r="G7114" s="126" t="s">
        <v>16390</v>
      </c>
      <c r="H7114" s="255">
        <v>3</v>
      </c>
      <c r="I7114" s="361">
        <v>1</v>
      </c>
      <c r="J7114" s="368" t="s">
        <v>286</v>
      </c>
      <c r="K7114" s="388"/>
      <c r="L7114" s="387"/>
      <c r="W7114" s="129" t="s">
        <v>286</v>
      </c>
      <c r="X7114" s="337" t="b">
        <f t="shared" si="152"/>
        <v>1</v>
      </c>
    </row>
    <row r="7115" spans="2:24" s="360" customFormat="1" ht="12" customHeight="1" outlineLevel="1">
      <c r="B7115" s="118" t="s">
        <v>12</v>
      </c>
      <c r="C7115" s="334" t="s">
        <v>16886</v>
      </c>
      <c r="D7115" s="124" t="s">
        <v>16887</v>
      </c>
      <c r="E7115" s="125"/>
      <c r="F7115" s="118" t="s">
        <v>4396</v>
      </c>
      <c r="G7115" s="126" t="s">
        <v>16390</v>
      </c>
      <c r="H7115" s="255">
        <v>3</v>
      </c>
      <c r="I7115" s="361">
        <v>1</v>
      </c>
      <c r="J7115" s="368" t="s">
        <v>286</v>
      </c>
      <c r="K7115" s="388"/>
      <c r="L7115" s="387"/>
      <c r="W7115" s="129" t="s">
        <v>286</v>
      </c>
      <c r="X7115" s="337" t="b">
        <f t="shared" si="152"/>
        <v>1</v>
      </c>
    </row>
    <row r="7116" spans="2:24" s="360" customFormat="1" ht="12" customHeight="1" outlineLevel="1">
      <c r="B7116" s="118" t="s">
        <v>12</v>
      </c>
      <c r="C7116" s="334" t="s">
        <v>16888</v>
      </c>
      <c r="D7116" s="124" t="s">
        <v>16889</v>
      </c>
      <c r="E7116" s="125"/>
      <c r="F7116" s="118" t="s">
        <v>4396</v>
      </c>
      <c r="G7116" s="126" t="s">
        <v>16390</v>
      </c>
      <c r="H7116" s="255">
        <v>3</v>
      </c>
      <c r="I7116" s="361">
        <v>1</v>
      </c>
      <c r="J7116" s="368" t="s">
        <v>286</v>
      </c>
      <c r="K7116" s="388"/>
      <c r="L7116" s="387"/>
      <c r="W7116" s="129" t="s">
        <v>286</v>
      </c>
      <c r="X7116" s="337" t="b">
        <f t="shared" si="152"/>
        <v>1</v>
      </c>
    </row>
    <row r="7117" spans="2:24" s="360" customFormat="1" ht="12" customHeight="1" outlineLevel="1">
      <c r="B7117" s="118" t="s">
        <v>12</v>
      </c>
      <c r="C7117" s="334" t="s">
        <v>16890</v>
      </c>
      <c r="D7117" s="124" t="s">
        <v>16842</v>
      </c>
      <c r="E7117" s="125"/>
      <c r="F7117" s="118" t="s">
        <v>4396</v>
      </c>
      <c r="G7117" s="126" t="s">
        <v>16390</v>
      </c>
      <c r="H7117" s="255">
        <v>3</v>
      </c>
      <c r="I7117" s="361">
        <v>1</v>
      </c>
      <c r="J7117" s="368" t="s">
        <v>286</v>
      </c>
      <c r="K7117" s="388"/>
      <c r="L7117" s="387"/>
      <c r="W7117" s="129" t="s">
        <v>286</v>
      </c>
      <c r="X7117" s="337" t="b">
        <f t="shared" si="152"/>
        <v>1</v>
      </c>
    </row>
    <row r="7118" spans="2:24" s="360" customFormat="1" ht="12" customHeight="1" outlineLevel="1">
      <c r="B7118" s="118" t="s">
        <v>12</v>
      </c>
      <c r="C7118" s="334" t="s">
        <v>16891</v>
      </c>
      <c r="D7118" s="124" t="s">
        <v>16844</v>
      </c>
      <c r="E7118" s="125"/>
      <c r="F7118" s="118" t="s">
        <v>4396</v>
      </c>
      <c r="G7118" s="126" t="s">
        <v>16390</v>
      </c>
      <c r="H7118" s="255">
        <v>3</v>
      </c>
      <c r="I7118" s="361">
        <v>1</v>
      </c>
      <c r="J7118" s="368" t="s">
        <v>286</v>
      </c>
      <c r="K7118" s="388"/>
      <c r="L7118" s="387"/>
      <c r="W7118" s="129" t="s">
        <v>286</v>
      </c>
      <c r="X7118" s="337" t="b">
        <f t="shared" si="152"/>
        <v>1</v>
      </c>
    </row>
    <row r="7119" spans="2:24" s="360" customFormat="1" ht="12" customHeight="1" outlineLevel="1">
      <c r="B7119" s="118" t="s">
        <v>12</v>
      </c>
      <c r="C7119" s="334" t="s">
        <v>16892</v>
      </c>
      <c r="D7119" s="124" t="s">
        <v>16846</v>
      </c>
      <c r="E7119" s="125"/>
      <c r="F7119" s="118" t="s">
        <v>4396</v>
      </c>
      <c r="G7119" s="126" t="s">
        <v>16390</v>
      </c>
      <c r="H7119" s="255">
        <v>3</v>
      </c>
      <c r="I7119" s="361">
        <v>1</v>
      </c>
      <c r="J7119" s="368" t="s">
        <v>286</v>
      </c>
      <c r="K7119" s="388"/>
      <c r="L7119" s="387"/>
      <c r="W7119" s="129" t="s">
        <v>286</v>
      </c>
      <c r="X7119" s="337" t="b">
        <f t="shared" si="152"/>
        <v>1</v>
      </c>
    </row>
    <row r="7120" spans="2:24" s="360" customFormat="1" ht="12" customHeight="1" outlineLevel="1">
      <c r="B7120" s="118" t="s">
        <v>12</v>
      </c>
      <c r="C7120" s="334" t="s">
        <v>16893</v>
      </c>
      <c r="D7120" s="124" t="s">
        <v>16848</v>
      </c>
      <c r="E7120" s="125"/>
      <c r="F7120" s="118" t="s">
        <v>4396</v>
      </c>
      <c r="G7120" s="126" t="s">
        <v>16390</v>
      </c>
      <c r="H7120" s="255">
        <v>3</v>
      </c>
      <c r="I7120" s="361">
        <v>1</v>
      </c>
      <c r="J7120" s="368" t="s">
        <v>286</v>
      </c>
      <c r="K7120" s="388"/>
      <c r="L7120" s="387"/>
      <c r="W7120" s="129" t="s">
        <v>286</v>
      </c>
      <c r="X7120" s="337" t="b">
        <f t="shared" si="152"/>
        <v>1</v>
      </c>
    </row>
    <row r="7121" spans="2:24" s="360" customFormat="1" ht="12" customHeight="1" outlineLevel="1">
      <c r="B7121" s="118" t="s">
        <v>12</v>
      </c>
      <c r="C7121" s="334" t="s">
        <v>16894</v>
      </c>
      <c r="D7121" s="124" t="s">
        <v>16850</v>
      </c>
      <c r="E7121" s="125"/>
      <c r="F7121" s="118" t="s">
        <v>4396</v>
      </c>
      <c r="G7121" s="126" t="s">
        <v>16390</v>
      </c>
      <c r="H7121" s="255">
        <v>3</v>
      </c>
      <c r="I7121" s="361">
        <v>1</v>
      </c>
      <c r="J7121" s="368" t="s">
        <v>286</v>
      </c>
      <c r="K7121" s="388"/>
      <c r="L7121" s="387"/>
      <c r="W7121" s="129" t="s">
        <v>286</v>
      </c>
      <c r="X7121" s="337" t="b">
        <f t="shared" si="152"/>
        <v>1</v>
      </c>
    </row>
    <row r="7122" spans="2:24" s="360" customFormat="1" ht="12" customHeight="1" outlineLevel="1">
      <c r="B7122" s="118" t="s">
        <v>12</v>
      </c>
      <c r="C7122" s="334" t="s">
        <v>16895</v>
      </c>
      <c r="D7122" s="124" t="s">
        <v>16896</v>
      </c>
      <c r="E7122" s="125"/>
      <c r="F7122" s="118" t="s">
        <v>4396</v>
      </c>
      <c r="G7122" s="126" t="s">
        <v>16390</v>
      </c>
      <c r="H7122" s="255">
        <v>3</v>
      </c>
      <c r="I7122" s="361">
        <v>1</v>
      </c>
      <c r="J7122" s="368" t="s">
        <v>286</v>
      </c>
      <c r="K7122" s="388"/>
      <c r="L7122" s="387"/>
      <c r="W7122" s="129" t="s">
        <v>286</v>
      </c>
      <c r="X7122" s="337" t="b">
        <f t="shared" si="152"/>
        <v>1</v>
      </c>
    </row>
    <row r="7123" spans="2:24" s="360" customFormat="1" ht="12" customHeight="1" outlineLevel="1">
      <c r="B7123" s="118" t="s">
        <v>12</v>
      </c>
      <c r="C7123" s="334" t="s">
        <v>16897</v>
      </c>
      <c r="D7123" s="124" t="s">
        <v>16898</v>
      </c>
      <c r="E7123" s="125"/>
      <c r="F7123" s="118" t="s">
        <v>4396</v>
      </c>
      <c r="G7123" s="126" t="s">
        <v>16390</v>
      </c>
      <c r="H7123" s="255">
        <v>3</v>
      </c>
      <c r="I7123" s="361">
        <v>1</v>
      </c>
      <c r="J7123" s="368" t="s">
        <v>286</v>
      </c>
      <c r="K7123" s="388"/>
      <c r="L7123" s="387"/>
      <c r="W7123" s="129" t="s">
        <v>286</v>
      </c>
      <c r="X7123" s="337" t="b">
        <f t="shared" si="152"/>
        <v>1</v>
      </c>
    </row>
    <row r="7124" spans="2:24" s="360" customFormat="1" ht="12" customHeight="1" outlineLevel="1">
      <c r="B7124" s="118" t="s">
        <v>12</v>
      </c>
      <c r="C7124" s="334" t="s">
        <v>16899</v>
      </c>
      <c r="D7124" s="124" t="s">
        <v>16900</v>
      </c>
      <c r="E7124" s="125"/>
      <c r="F7124" s="118" t="s">
        <v>4396</v>
      </c>
      <c r="G7124" s="126" t="s">
        <v>16390</v>
      </c>
      <c r="H7124" s="255">
        <v>3</v>
      </c>
      <c r="I7124" s="361">
        <v>1</v>
      </c>
      <c r="J7124" s="368" t="s">
        <v>286</v>
      </c>
      <c r="K7124" s="388"/>
      <c r="L7124" s="387"/>
      <c r="W7124" s="129" t="s">
        <v>286</v>
      </c>
      <c r="X7124" s="337" t="b">
        <f t="shared" si="152"/>
        <v>1</v>
      </c>
    </row>
    <row r="7125" spans="2:24" s="360" customFormat="1" ht="12" customHeight="1" outlineLevel="1">
      <c r="B7125" s="118" t="s">
        <v>12</v>
      </c>
      <c r="C7125" s="334" t="s">
        <v>16901</v>
      </c>
      <c r="D7125" s="124" t="s">
        <v>16902</v>
      </c>
      <c r="E7125" s="125"/>
      <c r="F7125" s="118" t="s">
        <v>4396</v>
      </c>
      <c r="G7125" s="126" t="s">
        <v>16390</v>
      </c>
      <c r="H7125" s="255">
        <v>3</v>
      </c>
      <c r="I7125" s="361">
        <v>1</v>
      </c>
      <c r="J7125" s="368" t="s">
        <v>286</v>
      </c>
      <c r="K7125" s="388"/>
      <c r="L7125" s="387"/>
      <c r="W7125" s="129" t="s">
        <v>286</v>
      </c>
      <c r="X7125" s="337" t="b">
        <f t="shared" si="152"/>
        <v>1</v>
      </c>
    </row>
    <row r="7126" spans="2:24" s="360" customFormat="1" ht="12" customHeight="1" outlineLevel="1">
      <c r="B7126" s="118" t="s">
        <v>12</v>
      </c>
      <c r="C7126" s="334" t="s">
        <v>16903</v>
      </c>
      <c r="D7126" s="124" t="s">
        <v>16904</v>
      </c>
      <c r="E7126" s="125"/>
      <c r="F7126" s="118" t="s">
        <v>4396</v>
      </c>
      <c r="G7126" s="126" t="s">
        <v>16390</v>
      </c>
      <c r="H7126" s="255">
        <v>3</v>
      </c>
      <c r="I7126" s="361">
        <v>1</v>
      </c>
      <c r="J7126" s="368" t="s">
        <v>286</v>
      </c>
      <c r="K7126" s="388"/>
      <c r="L7126" s="387"/>
      <c r="W7126" s="129" t="s">
        <v>286</v>
      </c>
      <c r="X7126" s="337" t="b">
        <f t="shared" si="152"/>
        <v>1</v>
      </c>
    </row>
    <row r="7127" spans="2:24" s="360" customFormat="1" ht="12" customHeight="1" outlineLevel="1">
      <c r="B7127" s="118" t="s">
        <v>12</v>
      </c>
      <c r="C7127" s="334" t="s">
        <v>16905</v>
      </c>
      <c r="D7127" s="124" t="s">
        <v>16860</v>
      </c>
      <c r="E7127" s="125"/>
      <c r="F7127" s="118" t="s">
        <v>4396</v>
      </c>
      <c r="G7127" s="126" t="s">
        <v>16390</v>
      </c>
      <c r="H7127" s="255">
        <v>3</v>
      </c>
      <c r="I7127" s="361">
        <v>1</v>
      </c>
      <c r="J7127" s="368" t="s">
        <v>286</v>
      </c>
      <c r="K7127" s="388"/>
      <c r="L7127" s="387"/>
      <c r="W7127" s="129" t="s">
        <v>286</v>
      </c>
      <c r="X7127" s="337" t="b">
        <f t="shared" si="152"/>
        <v>1</v>
      </c>
    </row>
    <row r="7128" spans="2:24" s="360" customFormat="1" ht="12" customHeight="1" outlineLevel="1">
      <c r="B7128" s="118" t="s">
        <v>12</v>
      </c>
      <c r="C7128" s="334" t="s">
        <v>16906</v>
      </c>
      <c r="D7128" s="124" t="s">
        <v>16907</v>
      </c>
      <c r="E7128" s="125"/>
      <c r="F7128" s="118" t="s">
        <v>4396</v>
      </c>
      <c r="G7128" s="126" t="s">
        <v>16390</v>
      </c>
      <c r="H7128" s="255">
        <v>3</v>
      </c>
      <c r="I7128" s="361">
        <v>1</v>
      </c>
      <c r="J7128" s="368" t="s">
        <v>286</v>
      </c>
      <c r="K7128" s="388"/>
      <c r="L7128" s="387"/>
      <c r="W7128" s="129" t="s">
        <v>286</v>
      </c>
      <c r="X7128" s="337" t="b">
        <f t="shared" si="152"/>
        <v>1</v>
      </c>
    </row>
    <row r="7129" spans="2:24" s="360" customFormat="1" ht="12" customHeight="1" outlineLevel="1">
      <c r="B7129" s="118" t="s">
        <v>12</v>
      </c>
      <c r="C7129" s="334" t="s">
        <v>16908</v>
      </c>
      <c r="D7129" s="124" t="s">
        <v>16909</v>
      </c>
      <c r="E7129" s="125"/>
      <c r="F7129" s="118" t="s">
        <v>4396</v>
      </c>
      <c r="G7129" s="126" t="s">
        <v>16390</v>
      </c>
      <c r="H7129" s="255">
        <v>3</v>
      </c>
      <c r="I7129" s="361">
        <v>1</v>
      </c>
      <c r="J7129" s="368" t="s">
        <v>286</v>
      </c>
      <c r="K7129" s="388"/>
      <c r="L7129" s="387"/>
      <c r="W7129" s="129" t="s">
        <v>286</v>
      </c>
      <c r="X7129" s="337" t="b">
        <f t="shared" si="152"/>
        <v>1</v>
      </c>
    </row>
    <row r="7130" spans="2:24" s="360" customFormat="1" ht="12" customHeight="1" outlineLevel="1">
      <c r="B7130" s="118" t="s">
        <v>12</v>
      </c>
      <c r="C7130" s="334" t="s">
        <v>16910</v>
      </c>
      <c r="D7130" s="124" t="s">
        <v>16864</v>
      </c>
      <c r="E7130" s="125"/>
      <c r="F7130" s="118" t="s">
        <v>4396</v>
      </c>
      <c r="G7130" s="126" t="s">
        <v>16390</v>
      </c>
      <c r="H7130" s="255">
        <v>3</v>
      </c>
      <c r="I7130" s="361">
        <v>1</v>
      </c>
      <c r="J7130" s="368" t="s">
        <v>286</v>
      </c>
      <c r="K7130" s="388"/>
      <c r="L7130" s="387"/>
      <c r="W7130" s="129" t="s">
        <v>286</v>
      </c>
      <c r="X7130" s="337" t="b">
        <f t="shared" si="152"/>
        <v>1</v>
      </c>
    </row>
    <row r="7131" spans="2:24" s="360" customFormat="1" ht="12" customHeight="1" outlineLevel="1">
      <c r="B7131" s="118" t="s">
        <v>12</v>
      </c>
      <c r="C7131" s="334" t="s">
        <v>16911</v>
      </c>
      <c r="D7131" s="124" t="s">
        <v>16912</v>
      </c>
      <c r="E7131" s="125"/>
      <c r="F7131" s="118" t="s">
        <v>4396</v>
      </c>
      <c r="G7131" s="126" t="s">
        <v>16390</v>
      </c>
      <c r="H7131" s="255">
        <v>3</v>
      </c>
      <c r="I7131" s="361">
        <v>1</v>
      </c>
      <c r="J7131" s="368" t="s">
        <v>286</v>
      </c>
      <c r="K7131" s="388"/>
      <c r="L7131" s="387"/>
      <c r="W7131" s="129" t="s">
        <v>286</v>
      </c>
      <c r="X7131" s="337" t="b">
        <f t="shared" si="152"/>
        <v>1</v>
      </c>
    </row>
    <row r="7132" spans="2:24" s="360" customFormat="1" ht="12" customHeight="1" outlineLevel="1">
      <c r="B7132" s="118" t="s">
        <v>12</v>
      </c>
      <c r="C7132" s="334" t="s">
        <v>16913</v>
      </c>
      <c r="D7132" s="124" t="s">
        <v>16914</v>
      </c>
      <c r="E7132" s="125"/>
      <c r="F7132" s="118" t="s">
        <v>4396</v>
      </c>
      <c r="G7132" s="126" t="s">
        <v>16390</v>
      </c>
      <c r="H7132" s="255">
        <v>3</v>
      </c>
      <c r="I7132" s="361">
        <v>1</v>
      </c>
      <c r="J7132" s="368" t="s">
        <v>286</v>
      </c>
      <c r="K7132" s="388"/>
      <c r="L7132" s="387"/>
      <c r="W7132" s="129" t="s">
        <v>286</v>
      </c>
      <c r="X7132" s="337" t="b">
        <f t="shared" si="152"/>
        <v>1</v>
      </c>
    </row>
    <row r="7133" spans="2:24" s="360" customFormat="1" ht="12" customHeight="1" outlineLevel="1">
      <c r="B7133" s="118" t="s">
        <v>12</v>
      </c>
      <c r="C7133" s="334" t="s">
        <v>16915</v>
      </c>
      <c r="D7133" s="124" t="s">
        <v>16916</v>
      </c>
      <c r="E7133" s="125"/>
      <c r="F7133" s="118" t="s">
        <v>4396</v>
      </c>
      <c r="G7133" s="126" t="s">
        <v>16390</v>
      </c>
      <c r="H7133" s="255">
        <v>3</v>
      </c>
      <c r="I7133" s="361">
        <v>1</v>
      </c>
      <c r="J7133" s="368" t="s">
        <v>286</v>
      </c>
      <c r="K7133" s="388"/>
      <c r="L7133" s="387"/>
      <c r="W7133" s="129" t="s">
        <v>286</v>
      </c>
      <c r="X7133" s="337" t="b">
        <f t="shared" si="152"/>
        <v>1</v>
      </c>
    </row>
    <row r="7134" spans="2:24" s="360" customFormat="1" ht="12" customHeight="1" outlineLevel="1">
      <c r="B7134" s="118" t="s">
        <v>12</v>
      </c>
      <c r="C7134" s="334" t="s">
        <v>16917</v>
      </c>
      <c r="D7134" s="124" t="s">
        <v>16918</v>
      </c>
      <c r="E7134" s="125"/>
      <c r="F7134" s="118" t="s">
        <v>4396</v>
      </c>
      <c r="G7134" s="126" t="s">
        <v>16390</v>
      </c>
      <c r="H7134" s="255">
        <v>3</v>
      </c>
      <c r="I7134" s="361">
        <v>1</v>
      </c>
      <c r="J7134" s="368" t="s">
        <v>286</v>
      </c>
      <c r="K7134" s="388"/>
      <c r="L7134" s="387"/>
      <c r="W7134" s="129" t="s">
        <v>286</v>
      </c>
      <c r="X7134" s="337" t="b">
        <f t="shared" si="152"/>
        <v>1</v>
      </c>
    </row>
    <row r="7135" spans="2:24" s="360" customFormat="1" ht="12" customHeight="1" outlineLevel="1">
      <c r="B7135" s="118" t="s">
        <v>12</v>
      </c>
      <c r="C7135" s="334" t="s">
        <v>16919</v>
      </c>
      <c r="D7135" s="124" t="s">
        <v>16920</v>
      </c>
      <c r="E7135" s="125"/>
      <c r="F7135" s="118" t="s">
        <v>4396</v>
      </c>
      <c r="G7135" s="126" t="s">
        <v>16390</v>
      </c>
      <c r="H7135" s="255">
        <v>3</v>
      </c>
      <c r="I7135" s="361">
        <v>1</v>
      </c>
      <c r="J7135" s="368" t="s">
        <v>286</v>
      </c>
      <c r="K7135" s="388"/>
      <c r="L7135" s="387"/>
      <c r="W7135" s="129" t="s">
        <v>286</v>
      </c>
      <c r="X7135" s="337" t="b">
        <f t="shared" si="152"/>
        <v>1</v>
      </c>
    </row>
    <row r="7136" spans="2:24" s="360" customFormat="1" ht="12" customHeight="1" outlineLevel="1">
      <c r="B7136" s="118" t="s">
        <v>12</v>
      </c>
      <c r="C7136" s="334" t="s">
        <v>16921</v>
      </c>
      <c r="D7136" s="124" t="s">
        <v>16922</v>
      </c>
      <c r="E7136" s="125"/>
      <c r="F7136" s="118" t="s">
        <v>4396</v>
      </c>
      <c r="G7136" s="126" t="s">
        <v>16390</v>
      </c>
      <c r="H7136" s="255">
        <v>3</v>
      </c>
      <c r="I7136" s="361">
        <v>1</v>
      </c>
      <c r="J7136" s="368" t="s">
        <v>310</v>
      </c>
      <c r="K7136" s="388"/>
      <c r="L7136" s="387"/>
      <c r="W7136" s="129" t="s">
        <v>286</v>
      </c>
      <c r="X7136" s="337" t="b">
        <f t="shared" si="152"/>
        <v>0</v>
      </c>
    </row>
    <row r="7137" spans="2:24" s="360" customFormat="1" ht="12" customHeight="1" outlineLevel="1">
      <c r="B7137" s="118" t="s">
        <v>12</v>
      </c>
      <c r="C7137" s="334" t="s">
        <v>16923</v>
      </c>
      <c r="D7137" s="124" t="s">
        <v>16924</v>
      </c>
      <c r="E7137" s="125"/>
      <c r="F7137" s="118" t="s">
        <v>4396</v>
      </c>
      <c r="G7137" s="126" t="s">
        <v>16390</v>
      </c>
      <c r="H7137" s="255">
        <v>3</v>
      </c>
      <c r="I7137" s="361">
        <v>1</v>
      </c>
      <c r="J7137" s="368" t="s">
        <v>286</v>
      </c>
      <c r="K7137" s="388"/>
      <c r="L7137" s="387"/>
      <c r="W7137" s="129" t="s">
        <v>286</v>
      </c>
      <c r="X7137" s="337" t="b">
        <f t="shared" si="152"/>
        <v>1</v>
      </c>
    </row>
    <row r="7138" spans="2:24" s="360" customFormat="1" ht="12" customHeight="1" outlineLevel="1">
      <c r="B7138" s="118" t="s">
        <v>12</v>
      </c>
      <c r="C7138" s="334" t="s">
        <v>16925</v>
      </c>
      <c r="D7138" s="124" t="s">
        <v>16926</v>
      </c>
      <c r="E7138" s="125"/>
      <c r="F7138" s="118" t="s">
        <v>4396</v>
      </c>
      <c r="G7138" s="126" t="s">
        <v>16390</v>
      </c>
      <c r="H7138" s="255">
        <v>3</v>
      </c>
      <c r="I7138" s="361">
        <v>1</v>
      </c>
      <c r="J7138" s="368" t="s">
        <v>286</v>
      </c>
      <c r="K7138" s="388"/>
      <c r="L7138" s="387"/>
      <c r="W7138" s="129" t="s">
        <v>286</v>
      </c>
      <c r="X7138" s="337" t="b">
        <f t="shared" si="152"/>
        <v>1</v>
      </c>
    </row>
    <row r="7139" spans="2:24" s="360" customFormat="1" ht="12" customHeight="1" outlineLevel="1">
      <c r="B7139" s="118" t="s">
        <v>12</v>
      </c>
      <c r="C7139" s="334" t="s">
        <v>16927</v>
      </c>
      <c r="D7139" s="124" t="s">
        <v>5940</v>
      </c>
      <c r="E7139" s="125"/>
      <c r="F7139" s="118" t="s">
        <v>4396</v>
      </c>
      <c r="G7139" s="126" t="s">
        <v>16390</v>
      </c>
      <c r="H7139" s="255">
        <v>3</v>
      </c>
      <c r="I7139" s="361">
        <v>1</v>
      </c>
      <c r="J7139" s="368" t="s">
        <v>286</v>
      </c>
      <c r="K7139" s="388"/>
      <c r="L7139" s="387"/>
      <c r="W7139" s="129" t="s">
        <v>286</v>
      </c>
      <c r="X7139" s="337" t="b">
        <f t="shared" si="152"/>
        <v>1</v>
      </c>
    </row>
    <row r="7140" spans="2:24" s="360" customFormat="1" ht="12" customHeight="1" outlineLevel="1">
      <c r="B7140" s="118" t="s">
        <v>12</v>
      </c>
      <c r="C7140" s="334" t="s">
        <v>16928</v>
      </c>
      <c r="D7140" s="124" t="s">
        <v>16929</v>
      </c>
      <c r="E7140" s="125"/>
      <c r="F7140" s="118" t="s">
        <v>4396</v>
      </c>
      <c r="G7140" s="126" t="s">
        <v>16390</v>
      </c>
      <c r="H7140" s="255">
        <v>3</v>
      </c>
      <c r="I7140" s="361">
        <v>1</v>
      </c>
      <c r="J7140" s="368" t="s">
        <v>310</v>
      </c>
      <c r="K7140" s="388"/>
      <c r="L7140" s="387"/>
      <c r="W7140" s="129" t="s">
        <v>310</v>
      </c>
      <c r="X7140" s="337" t="b">
        <f t="shared" si="152"/>
        <v>1</v>
      </c>
    </row>
    <row r="7141" spans="2:24" s="360" customFormat="1" ht="12" customHeight="1" outlineLevel="1">
      <c r="B7141" s="118" t="s">
        <v>12</v>
      </c>
      <c r="C7141" s="334" t="s">
        <v>16930</v>
      </c>
      <c r="D7141" s="124" t="s">
        <v>16931</v>
      </c>
      <c r="E7141" s="125"/>
      <c r="F7141" s="118" t="s">
        <v>4396</v>
      </c>
      <c r="G7141" s="126" t="s">
        <v>16390</v>
      </c>
      <c r="H7141" s="255">
        <v>3</v>
      </c>
      <c r="I7141" s="361">
        <v>1</v>
      </c>
      <c r="J7141" s="368" t="s">
        <v>286</v>
      </c>
      <c r="K7141" s="388"/>
      <c r="L7141" s="387"/>
      <c r="W7141" s="129" t="s">
        <v>286</v>
      </c>
      <c r="X7141" s="337" t="b">
        <f t="shared" si="152"/>
        <v>1</v>
      </c>
    </row>
    <row r="7142" spans="2:24" s="360" customFormat="1" ht="12" customHeight="1" outlineLevel="1">
      <c r="B7142" s="118" t="s">
        <v>12</v>
      </c>
      <c r="C7142" s="334" t="s">
        <v>16932</v>
      </c>
      <c r="D7142" s="124" t="s">
        <v>5940</v>
      </c>
      <c r="E7142" s="125"/>
      <c r="F7142" s="118" t="s">
        <v>4396</v>
      </c>
      <c r="G7142" s="126" t="s">
        <v>16390</v>
      </c>
      <c r="H7142" s="255">
        <v>3</v>
      </c>
      <c r="I7142" s="361">
        <v>1</v>
      </c>
      <c r="J7142" s="368" t="s">
        <v>286</v>
      </c>
      <c r="K7142" s="388"/>
      <c r="L7142" s="387"/>
      <c r="W7142" s="129" t="s">
        <v>286</v>
      </c>
      <c r="X7142" s="337" t="b">
        <f t="shared" si="152"/>
        <v>1</v>
      </c>
    </row>
    <row r="7143" spans="2:24" s="360" customFormat="1" ht="12" customHeight="1" outlineLevel="1">
      <c r="B7143" s="118" t="s">
        <v>12</v>
      </c>
      <c r="C7143" s="334" t="s">
        <v>16933</v>
      </c>
      <c r="D7143" s="124" t="s">
        <v>16934</v>
      </c>
      <c r="E7143" s="125"/>
      <c r="F7143" s="118" t="s">
        <v>4396</v>
      </c>
      <c r="G7143" s="126" t="s">
        <v>16390</v>
      </c>
      <c r="H7143" s="255">
        <v>3</v>
      </c>
      <c r="I7143" s="361">
        <v>1</v>
      </c>
      <c r="J7143" s="368" t="s">
        <v>286</v>
      </c>
      <c r="K7143" s="388"/>
      <c r="L7143" s="387"/>
      <c r="W7143" s="129" t="s">
        <v>286</v>
      </c>
      <c r="X7143" s="337" t="b">
        <f t="shared" si="152"/>
        <v>1</v>
      </c>
    </row>
    <row r="7144" spans="2:24" s="360" customFormat="1" ht="12" customHeight="1" outlineLevel="1">
      <c r="B7144" s="118" t="s">
        <v>12</v>
      </c>
      <c r="C7144" s="334" t="s">
        <v>16935</v>
      </c>
      <c r="D7144" s="124" t="s">
        <v>16936</v>
      </c>
      <c r="E7144" s="125"/>
      <c r="F7144" s="118" t="s">
        <v>4396</v>
      </c>
      <c r="G7144" s="126" t="s">
        <v>16390</v>
      </c>
      <c r="H7144" s="255">
        <v>3</v>
      </c>
      <c r="I7144" s="361">
        <v>1</v>
      </c>
      <c r="J7144" s="368" t="s">
        <v>286</v>
      </c>
      <c r="K7144" s="388"/>
      <c r="L7144" s="387"/>
      <c r="W7144" s="129" t="s">
        <v>286</v>
      </c>
      <c r="X7144" s="337" t="b">
        <f t="shared" si="152"/>
        <v>1</v>
      </c>
    </row>
    <row r="7145" spans="2:24" s="360" customFormat="1" ht="12" customHeight="1" outlineLevel="1">
      <c r="B7145" s="118" t="s">
        <v>12</v>
      </c>
      <c r="C7145" s="334" t="s">
        <v>16937</v>
      </c>
      <c r="D7145" s="124" t="s">
        <v>16938</v>
      </c>
      <c r="E7145" s="125"/>
      <c r="F7145" s="118" t="s">
        <v>4396</v>
      </c>
      <c r="G7145" s="126" t="s">
        <v>16390</v>
      </c>
      <c r="H7145" s="255">
        <v>3</v>
      </c>
      <c r="I7145" s="361">
        <v>1</v>
      </c>
      <c r="J7145" s="368" t="s">
        <v>286</v>
      </c>
      <c r="K7145" s="388"/>
      <c r="L7145" s="387"/>
      <c r="W7145" s="129" t="s">
        <v>286</v>
      </c>
      <c r="X7145" s="337" t="b">
        <f t="shared" si="152"/>
        <v>1</v>
      </c>
    </row>
    <row r="7146" spans="2:24" s="360" customFormat="1" ht="12" customHeight="1" outlineLevel="1">
      <c r="B7146" s="118" t="s">
        <v>12</v>
      </c>
      <c r="C7146" s="334" t="s">
        <v>16939</v>
      </c>
      <c r="D7146" s="124" t="s">
        <v>16940</v>
      </c>
      <c r="E7146" s="125"/>
      <c r="F7146" s="118" t="s">
        <v>4396</v>
      </c>
      <c r="G7146" s="126" t="s">
        <v>16390</v>
      </c>
      <c r="H7146" s="255">
        <v>3</v>
      </c>
      <c r="I7146" s="361">
        <v>1</v>
      </c>
      <c r="J7146" s="368" t="s">
        <v>286</v>
      </c>
      <c r="K7146" s="388"/>
      <c r="L7146" s="387"/>
      <c r="W7146" s="129" t="s">
        <v>286</v>
      </c>
      <c r="X7146" s="337" t="b">
        <f t="shared" si="152"/>
        <v>1</v>
      </c>
    </row>
    <row r="7147" spans="2:24" s="360" customFormat="1" ht="12" customHeight="1" outlineLevel="1">
      <c r="B7147" s="118" t="s">
        <v>12</v>
      </c>
      <c r="C7147" s="334" t="s">
        <v>16941</v>
      </c>
      <c r="D7147" s="124" t="s">
        <v>16942</v>
      </c>
      <c r="E7147" s="125"/>
      <c r="F7147" s="118" t="s">
        <v>4396</v>
      </c>
      <c r="G7147" s="126" t="s">
        <v>16390</v>
      </c>
      <c r="H7147" s="255">
        <v>3</v>
      </c>
      <c r="I7147" s="361">
        <v>1</v>
      </c>
      <c r="J7147" s="368" t="s">
        <v>286</v>
      </c>
      <c r="K7147" s="388"/>
      <c r="L7147" s="387"/>
      <c r="W7147" s="129" t="s">
        <v>286</v>
      </c>
      <c r="X7147" s="337" t="b">
        <f t="shared" si="152"/>
        <v>1</v>
      </c>
    </row>
    <row r="7148" spans="2:24" s="360" customFormat="1" ht="12" customHeight="1" outlineLevel="1">
      <c r="B7148" s="118" t="s">
        <v>12</v>
      </c>
      <c r="C7148" s="334" t="s">
        <v>16943</v>
      </c>
      <c r="D7148" s="124" t="s">
        <v>10244</v>
      </c>
      <c r="E7148" s="125"/>
      <c r="F7148" s="118" t="s">
        <v>4396</v>
      </c>
      <c r="G7148" s="126" t="s">
        <v>16390</v>
      </c>
      <c r="H7148" s="255">
        <v>3</v>
      </c>
      <c r="I7148" s="361">
        <v>1</v>
      </c>
      <c r="J7148" s="368" t="s">
        <v>286</v>
      </c>
      <c r="K7148" s="388"/>
      <c r="L7148" s="387"/>
      <c r="W7148" s="129" t="s">
        <v>4876</v>
      </c>
      <c r="X7148" s="337" t="b">
        <f t="shared" si="152"/>
        <v>0</v>
      </c>
    </row>
    <row r="7149" spans="2:24" s="360" customFormat="1" ht="12" customHeight="1" outlineLevel="1">
      <c r="B7149" s="118" t="s">
        <v>12</v>
      </c>
      <c r="C7149" s="334" t="s">
        <v>16944</v>
      </c>
      <c r="D7149" s="124" t="s">
        <v>16945</v>
      </c>
      <c r="E7149" s="125"/>
      <c r="F7149" s="118" t="s">
        <v>4396</v>
      </c>
      <c r="G7149" s="126" t="s">
        <v>16390</v>
      </c>
      <c r="H7149" s="255">
        <v>3</v>
      </c>
      <c r="I7149" s="361">
        <v>1</v>
      </c>
      <c r="J7149" s="368" t="s">
        <v>310</v>
      </c>
      <c r="K7149" s="388"/>
      <c r="L7149" s="387"/>
      <c r="W7149" s="129" t="s">
        <v>4876</v>
      </c>
      <c r="X7149" s="337" t="b">
        <f t="shared" si="152"/>
        <v>0</v>
      </c>
    </row>
    <row r="7150" spans="2:24" s="360" customFormat="1" ht="12" customHeight="1" outlineLevel="1">
      <c r="B7150" s="118" t="s">
        <v>12</v>
      </c>
      <c r="C7150" s="334" t="s">
        <v>16946</v>
      </c>
      <c r="D7150" s="124" t="s">
        <v>16947</v>
      </c>
      <c r="E7150" s="125"/>
      <c r="F7150" s="118" t="s">
        <v>4396</v>
      </c>
      <c r="G7150" s="126" t="s">
        <v>16390</v>
      </c>
      <c r="H7150" s="255">
        <v>3</v>
      </c>
      <c r="I7150" s="361">
        <v>1</v>
      </c>
      <c r="J7150" s="368" t="s">
        <v>310</v>
      </c>
      <c r="K7150" s="388"/>
      <c r="L7150" s="387"/>
      <c r="W7150" s="129" t="s">
        <v>4876</v>
      </c>
      <c r="X7150" s="337" t="b">
        <f t="shared" ref="X7150:X7178" si="153">W7150=J7150</f>
        <v>0</v>
      </c>
    </row>
    <row r="7151" spans="2:24" s="360" customFormat="1" ht="12" customHeight="1" outlineLevel="1">
      <c r="B7151" s="118" t="s">
        <v>12</v>
      </c>
      <c r="C7151" s="334" t="s">
        <v>16948</v>
      </c>
      <c r="D7151" s="124" t="s">
        <v>16949</v>
      </c>
      <c r="E7151" s="125"/>
      <c r="F7151" s="118" t="s">
        <v>4396</v>
      </c>
      <c r="G7151" s="126" t="s">
        <v>16390</v>
      </c>
      <c r="H7151" s="255">
        <v>3</v>
      </c>
      <c r="I7151" s="361">
        <v>1</v>
      </c>
      <c r="J7151" s="368" t="s">
        <v>310</v>
      </c>
      <c r="K7151" s="388"/>
      <c r="L7151" s="387"/>
      <c r="W7151" s="129" t="s">
        <v>4876</v>
      </c>
      <c r="X7151" s="337" t="b">
        <f t="shared" si="153"/>
        <v>0</v>
      </c>
    </row>
    <row r="7152" spans="2:24" s="360" customFormat="1" ht="12" customHeight="1" outlineLevel="1">
      <c r="B7152" s="118" t="s">
        <v>12</v>
      </c>
      <c r="C7152" s="334" t="s">
        <v>16950</v>
      </c>
      <c r="D7152" s="124" t="s">
        <v>16951</v>
      </c>
      <c r="E7152" s="125"/>
      <c r="F7152" s="118" t="s">
        <v>4396</v>
      </c>
      <c r="G7152" s="126" t="s">
        <v>16390</v>
      </c>
      <c r="H7152" s="255">
        <v>3</v>
      </c>
      <c r="I7152" s="361">
        <v>1</v>
      </c>
      <c r="J7152" s="368" t="s">
        <v>286</v>
      </c>
      <c r="K7152" s="388"/>
      <c r="L7152" s="387"/>
      <c r="W7152" s="129" t="s">
        <v>4876</v>
      </c>
      <c r="X7152" s="337" t="b">
        <f t="shared" si="153"/>
        <v>0</v>
      </c>
    </row>
    <row r="7153" spans="2:24" s="360" customFormat="1" ht="12" customHeight="1" outlineLevel="1">
      <c r="B7153" s="118" t="s">
        <v>12</v>
      </c>
      <c r="C7153" s="334" t="s">
        <v>16952</v>
      </c>
      <c r="D7153" s="124" t="s">
        <v>16953</v>
      </c>
      <c r="E7153" s="125"/>
      <c r="F7153" s="118" t="s">
        <v>4396</v>
      </c>
      <c r="G7153" s="126" t="s">
        <v>16390</v>
      </c>
      <c r="H7153" s="255">
        <v>3</v>
      </c>
      <c r="I7153" s="361">
        <v>1</v>
      </c>
      <c r="J7153" s="368" t="s">
        <v>286</v>
      </c>
      <c r="K7153" s="388"/>
      <c r="L7153" s="387"/>
      <c r="W7153" s="129" t="s">
        <v>4876</v>
      </c>
      <c r="X7153" s="337" t="b">
        <f t="shared" si="153"/>
        <v>0</v>
      </c>
    </row>
    <row r="7154" spans="2:24" s="360" customFormat="1" ht="12" customHeight="1" outlineLevel="1">
      <c r="B7154" s="118" t="s">
        <v>12</v>
      </c>
      <c r="C7154" s="334" t="s">
        <v>16954</v>
      </c>
      <c r="D7154" s="124" t="s">
        <v>16955</v>
      </c>
      <c r="E7154" s="125"/>
      <c r="F7154" s="118" t="s">
        <v>4396</v>
      </c>
      <c r="G7154" s="126" t="s">
        <v>16390</v>
      </c>
      <c r="H7154" s="255">
        <v>3</v>
      </c>
      <c r="I7154" s="361">
        <v>1</v>
      </c>
      <c r="J7154" s="368" t="s">
        <v>286</v>
      </c>
      <c r="K7154" s="388"/>
      <c r="L7154" s="387"/>
      <c r="W7154" s="129" t="s">
        <v>4876</v>
      </c>
      <c r="X7154" s="337" t="b">
        <f t="shared" si="153"/>
        <v>0</v>
      </c>
    </row>
    <row r="7155" spans="2:24" s="360" customFormat="1" ht="12" customHeight="1" outlineLevel="1">
      <c r="B7155" s="118" t="s">
        <v>12</v>
      </c>
      <c r="C7155" s="334" t="s">
        <v>16956</v>
      </c>
      <c r="D7155" s="124" t="s">
        <v>16957</v>
      </c>
      <c r="E7155" s="125"/>
      <c r="F7155" s="118" t="s">
        <v>4396</v>
      </c>
      <c r="G7155" s="126" t="s">
        <v>16390</v>
      </c>
      <c r="H7155" s="255">
        <v>3</v>
      </c>
      <c r="I7155" s="361">
        <v>1</v>
      </c>
      <c r="J7155" s="368" t="s">
        <v>286</v>
      </c>
      <c r="K7155" s="388"/>
      <c r="L7155" s="387"/>
      <c r="W7155" s="129" t="s">
        <v>4876</v>
      </c>
      <c r="X7155" s="337" t="b">
        <f t="shared" si="153"/>
        <v>0</v>
      </c>
    </row>
    <row r="7156" spans="2:24" s="360" customFormat="1" ht="12" customHeight="1" outlineLevel="1">
      <c r="B7156" s="118" t="s">
        <v>12</v>
      </c>
      <c r="C7156" s="334" t="s">
        <v>16958</v>
      </c>
      <c r="D7156" s="124" t="s">
        <v>16959</v>
      </c>
      <c r="E7156" s="125"/>
      <c r="F7156" s="118" t="s">
        <v>4396</v>
      </c>
      <c r="G7156" s="126" t="s">
        <v>16390</v>
      </c>
      <c r="H7156" s="255">
        <v>3</v>
      </c>
      <c r="I7156" s="361">
        <v>1</v>
      </c>
      <c r="J7156" s="368" t="s">
        <v>286</v>
      </c>
      <c r="K7156" s="388"/>
      <c r="L7156" s="387"/>
      <c r="W7156" s="129" t="s">
        <v>4876</v>
      </c>
      <c r="X7156" s="337" t="b">
        <f t="shared" si="153"/>
        <v>0</v>
      </c>
    </row>
    <row r="7157" spans="2:24" s="360" customFormat="1" ht="12" customHeight="1" outlineLevel="1">
      <c r="B7157" s="118" t="s">
        <v>12</v>
      </c>
      <c r="C7157" s="334" t="s">
        <v>16960</v>
      </c>
      <c r="D7157" s="124" t="s">
        <v>16961</v>
      </c>
      <c r="E7157" s="125"/>
      <c r="F7157" s="118" t="s">
        <v>4396</v>
      </c>
      <c r="G7157" s="126" t="s">
        <v>16390</v>
      </c>
      <c r="H7157" s="255">
        <v>3</v>
      </c>
      <c r="I7157" s="361">
        <v>1</v>
      </c>
      <c r="J7157" s="368" t="s">
        <v>286</v>
      </c>
      <c r="K7157" s="388"/>
      <c r="L7157" s="387"/>
      <c r="W7157" s="129" t="s">
        <v>4876</v>
      </c>
      <c r="X7157" s="337" t="b">
        <f t="shared" si="153"/>
        <v>0</v>
      </c>
    </row>
    <row r="7158" spans="2:24" s="360" customFormat="1" ht="12" customHeight="1" outlineLevel="1">
      <c r="B7158" s="118" t="s">
        <v>12</v>
      </c>
      <c r="C7158" s="334" t="s">
        <v>16962</v>
      </c>
      <c r="D7158" s="124" t="s">
        <v>16963</v>
      </c>
      <c r="E7158" s="125"/>
      <c r="F7158" s="118" t="s">
        <v>4396</v>
      </c>
      <c r="G7158" s="126" t="s">
        <v>16390</v>
      </c>
      <c r="H7158" s="255">
        <v>3</v>
      </c>
      <c r="I7158" s="361">
        <v>1</v>
      </c>
      <c r="J7158" s="368" t="s">
        <v>286</v>
      </c>
      <c r="K7158" s="388"/>
      <c r="L7158" s="387"/>
      <c r="W7158" s="129" t="s">
        <v>4876</v>
      </c>
      <c r="X7158" s="337" t="b">
        <f t="shared" si="153"/>
        <v>0</v>
      </c>
    </row>
    <row r="7159" spans="2:24" s="360" customFormat="1" ht="12" customHeight="1" outlineLevel="1">
      <c r="B7159" s="118" t="s">
        <v>12</v>
      </c>
      <c r="C7159" s="334" t="s">
        <v>16964</v>
      </c>
      <c r="D7159" s="124" t="s">
        <v>16965</v>
      </c>
      <c r="E7159" s="125"/>
      <c r="F7159" s="118" t="s">
        <v>4396</v>
      </c>
      <c r="G7159" s="126" t="s">
        <v>16390</v>
      </c>
      <c r="H7159" s="255">
        <v>3</v>
      </c>
      <c r="I7159" s="361">
        <v>1</v>
      </c>
      <c r="J7159" s="368" t="s">
        <v>286</v>
      </c>
      <c r="K7159" s="388"/>
      <c r="L7159" s="387"/>
      <c r="W7159" s="129" t="s">
        <v>4876</v>
      </c>
      <c r="X7159" s="337" t="b">
        <f t="shared" si="153"/>
        <v>0</v>
      </c>
    </row>
    <row r="7160" spans="2:24" s="360" customFormat="1" ht="12" customHeight="1" outlineLevel="1">
      <c r="B7160" s="118" t="s">
        <v>12</v>
      </c>
      <c r="C7160" s="334" t="s">
        <v>16966</v>
      </c>
      <c r="D7160" s="124" t="s">
        <v>16967</v>
      </c>
      <c r="E7160" s="125"/>
      <c r="F7160" s="118" t="s">
        <v>4396</v>
      </c>
      <c r="G7160" s="126" t="s">
        <v>16390</v>
      </c>
      <c r="H7160" s="255">
        <v>3</v>
      </c>
      <c r="I7160" s="361">
        <v>1</v>
      </c>
      <c r="J7160" s="368" t="s">
        <v>286</v>
      </c>
      <c r="K7160" s="388"/>
      <c r="L7160" s="387"/>
      <c r="W7160" s="129" t="s">
        <v>4876</v>
      </c>
      <c r="X7160" s="337" t="b">
        <f t="shared" si="153"/>
        <v>0</v>
      </c>
    </row>
    <row r="7161" spans="2:24" s="360" customFormat="1" ht="12" customHeight="1" outlineLevel="1">
      <c r="B7161" s="118" t="s">
        <v>12</v>
      </c>
      <c r="C7161" s="334" t="s">
        <v>16968</v>
      </c>
      <c r="D7161" s="124" t="s">
        <v>16969</v>
      </c>
      <c r="E7161" s="125"/>
      <c r="F7161" s="118" t="s">
        <v>4396</v>
      </c>
      <c r="G7161" s="126" t="s">
        <v>16390</v>
      </c>
      <c r="H7161" s="255">
        <v>3</v>
      </c>
      <c r="I7161" s="361">
        <v>1</v>
      </c>
      <c r="J7161" s="368" t="s">
        <v>286</v>
      </c>
      <c r="K7161" s="388"/>
      <c r="L7161" s="387"/>
      <c r="W7161" s="129" t="s">
        <v>4876</v>
      </c>
      <c r="X7161" s="337" t="b">
        <f t="shared" si="153"/>
        <v>0</v>
      </c>
    </row>
    <row r="7162" spans="2:24" s="360" customFormat="1" ht="12" customHeight="1" outlineLevel="1">
      <c r="B7162" s="118" t="s">
        <v>12</v>
      </c>
      <c r="C7162" s="334" t="s">
        <v>16970</v>
      </c>
      <c r="D7162" s="124" t="s">
        <v>16971</v>
      </c>
      <c r="E7162" s="125"/>
      <c r="F7162" s="118" t="s">
        <v>4396</v>
      </c>
      <c r="G7162" s="126" t="s">
        <v>16390</v>
      </c>
      <c r="H7162" s="255">
        <v>3</v>
      </c>
      <c r="I7162" s="361">
        <v>1</v>
      </c>
      <c r="J7162" s="368" t="s">
        <v>286</v>
      </c>
      <c r="K7162" s="388"/>
      <c r="L7162" s="387"/>
      <c r="W7162" s="129" t="s">
        <v>4876</v>
      </c>
      <c r="X7162" s="337" t="b">
        <f t="shared" si="153"/>
        <v>0</v>
      </c>
    </row>
    <row r="7163" spans="2:24" s="360" customFormat="1" ht="12" customHeight="1" outlineLevel="1">
      <c r="B7163" s="118" t="s">
        <v>12</v>
      </c>
      <c r="C7163" s="334" t="s">
        <v>16972</v>
      </c>
      <c r="D7163" s="124" t="s">
        <v>16973</v>
      </c>
      <c r="E7163" s="125"/>
      <c r="F7163" s="118" t="s">
        <v>4396</v>
      </c>
      <c r="G7163" s="126" t="s">
        <v>16390</v>
      </c>
      <c r="H7163" s="255">
        <v>3</v>
      </c>
      <c r="I7163" s="361">
        <v>1</v>
      </c>
      <c r="J7163" s="368" t="s">
        <v>286</v>
      </c>
      <c r="K7163" s="388"/>
      <c r="L7163" s="387"/>
      <c r="W7163" s="129" t="s">
        <v>4876</v>
      </c>
      <c r="X7163" s="337" t="b">
        <f t="shared" si="153"/>
        <v>0</v>
      </c>
    </row>
    <row r="7164" spans="2:24" s="360" customFormat="1" ht="12" customHeight="1" outlineLevel="1">
      <c r="B7164" s="118" t="s">
        <v>12</v>
      </c>
      <c r="C7164" s="334" t="s">
        <v>16974</v>
      </c>
      <c r="D7164" s="124" t="s">
        <v>16975</v>
      </c>
      <c r="E7164" s="125"/>
      <c r="F7164" s="118" t="s">
        <v>4396</v>
      </c>
      <c r="G7164" s="126" t="s">
        <v>16390</v>
      </c>
      <c r="H7164" s="255">
        <v>3</v>
      </c>
      <c r="I7164" s="361">
        <v>1</v>
      </c>
      <c r="J7164" s="368" t="s">
        <v>286</v>
      </c>
      <c r="K7164" s="388"/>
      <c r="L7164" s="387"/>
      <c r="W7164" s="129" t="s">
        <v>286</v>
      </c>
      <c r="X7164" s="337" t="b">
        <f t="shared" si="153"/>
        <v>1</v>
      </c>
    </row>
    <row r="7165" spans="2:24" s="360" customFormat="1" ht="12" customHeight="1" outlineLevel="1">
      <c r="B7165" s="118" t="s">
        <v>12</v>
      </c>
      <c r="C7165" s="334" t="s">
        <v>16976</v>
      </c>
      <c r="D7165" s="124" t="s">
        <v>16977</v>
      </c>
      <c r="E7165" s="125"/>
      <c r="F7165" s="118" t="s">
        <v>4396</v>
      </c>
      <c r="G7165" s="126" t="s">
        <v>16390</v>
      </c>
      <c r="H7165" s="255">
        <v>3</v>
      </c>
      <c r="I7165" s="361">
        <v>1</v>
      </c>
      <c r="J7165" s="368" t="s">
        <v>286</v>
      </c>
      <c r="K7165" s="388"/>
      <c r="L7165" s="387"/>
      <c r="W7165" s="129" t="s">
        <v>286</v>
      </c>
      <c r="X7165" s="337" t="b">
        <f t="shared" si="153"/>
        <v>1</v>
      </c>
    </row>
    <row r="7166" spans="2:24" s="360" customFormat="1" ht="12" customHeight="1" outlineLevel="1">
      <c r="B7166" s="118" t="s">
        <v>12</v>
      </c>
      <c r="C7166" s="334" t="s">
        <v>16978</v>
      </c>
      <c r="D7166" s="124" t="s">
        <v>16979</v>
      </c>
      <c r="E7166" s="125"/>
      <c r="F7166" s="118" t="s">
        <v>4396</v>
      </c>
      <c r="G7166" s="126" t="s">
        <v>16390</v>
      </c>
      <c r="H7166" s="255">
        <v>3</v>
      </c>
      <c r="I7166" s="361">
        <v>1</v>
      </c>
      <c r="J7166" s="368" t="s">
        <v>286</v>
      </c>
      <c r="K7166" s="388"/>
      <c r="L7166" s="387"/>
      <c r="W7166" s="129" t="s">
        <v>286</v>
      </c>
      <c r="X7166" s="337" t="b">
        <f t="shared" si="153"/>
        <v>1</v>
      </c>
    </row>
    <row r="7167" spans="2:24" s="360" customFormat="1" ht="12" customHeight="1" outlineLevel="1">
      <c r="B7167" s="118" t="s">
        <v>12</v>
      </c>
      <c r="C7167" s="334" t="s">
        <v>16980</v>
      </c>
      <c r="D7167" s="124" t="s">
        <v>16981</v>
      </c>
      <c r="E7167" s="125"/>
      <c r="F7167" s="118" t="s">
        <v>4396</v>
      </c>
      <c r="G7167" s="126" t="s">
        <v>16390</v>
      </c>
      <c r="H7167" s="255">
        <v>3</v>
      </c>
      <c r="I7167" s="361">
        <v>1</v>
      </c>
      <c r="J7167" s="368" t="s">
        <v>286</v>
      </c>
      <c r="K7167" s="388"/>
      <c r="L7167" s="387"/>
      <c r="W7167" s="129" t="s">
        <v>286</v>
      </c>
      <c r="X7167" s="337" t="b">
        <f t="shared" si="153"/>
        <v>1</v>
      </c>
    </row>
    <row r="7168" spans="2:24" s="360" customFormat="1" ht="12" customHeight="1" outlineLevel="1">
      <c r="B7168" s="118" t="s">
        <v>12</v>
      </c>
      <c r="C7168" s="334" t="s">
        <v>16982</v>
      </c>
      <c r="D7168" s="124" t="s">
        <v>16983</v>
      </c>
      <c r="E7168" s="125"/>
      <c r="F7168" s="118" t="s">
        <v>4396</v>
      </c>
      <c r="G7168" s="126" t="s">
        <v>16390</v>
      </c>
      <c r="H7168" s="255">
        <v>3</v>
      </c>
      <c r="I7168" s="361">
        <v>1</v>
      </c>
      <c r="J7168" s="368" t="s">
        <v>286</v>
      </c>
      <c r="K7168" s="388"/>
      <c r="L7168" s="387"/>
      <c r="W7168" s="129" t="s">
        <v>286</v>
      </c>
      <c r="X7168" s="337" t="b">
        <f t="shared" si="153"/>
        <v>1</v>
      </c>
    </row>
    <row r="7169" spans="1:24" s="360" customFormat="1" ht="12" customHeight="1" outlineLevel="1">
      <c r="B7169" s="118" t="s">
        <v>12</v>
      </c>
      <c r="C7169" s="334" t="s">
        <v>16984</v>
      </c>
      <c r="D7169" s="124" t="s">
        <v>16985</v>
      </c>
      <c r="E7169" s="125"/>
      <c r="F7169" s="118" t="s">
        <v>4396</v>
      </c>
      <c r="G7169" s="126" t="s">
        <v>16390</v>
      </c>
      <c r="H7169" s="255">
        <v>3</v>
      </c>
      <c r="I7169" s="361">
        <v>1</v>
      </c>
      <c r="J7169" s="368" t="s">
        <v>286</v>
      </c>
      <c r="K7169" s="388"/>
      <c r="L7169" s="387"/>
      <c r="W7169" s="129" t="s">
        <v>286</v>
      </c>
      <c r="X7169" s="337" t="b">
        <f t="shared" si="153"/>
        <v>1</v>
      </c>
    </row>
    <row r="7170" spans="1:24" s="360" customFormat="1" ht="12" customHeight="1" outlineLevel="1">
      <c r="B7170" s="118" t="s">
        <v>12</v>
      </c>
      <c r="C7170" s="334" t="s">
        <v>16986</v>
      </c>
      <c r="D7170" s="124" t="s">
        <v>16987</v>
      </c>
      <c r="E7170" s="125"/>
      <c r="F7170" s="118" t="s">
        <v>4396</v>
      </c>
      <c r="G7170" s="126" t="s">
        <v>16390</v>
      </c>
      <c r="H7170" s="255">
        <v>3</v>
      </c>
      <c r="I7170" s="361">
        <v>1</v>
      </c>
      <c r="J7170" s="368" t="s">
        <v>310</v>
      </c>
      <c r="K7170" s="388"/>
      <c r="L7170" s="387"/>
      <c r="W7170" s="129" t="s">
        <v>4876</v>
      </c>
      <c r="X7170" s="337" t="b">
        <f t="shared" si="153"/>
        <v>0</v>
      </c>
    </row>
    <row r="7171" spans="1:24" s="360" customFormat="1" ht="12" customHeight="1" outlineLevel="1">
      <c r="B7171" s="118" t="s">
        <v>12</v>
      </c>
      <c r="C7171" s="334" t="s">
        <v>16988</v>
      </c>
      <c r="D7171" s="124" t="s">
        <v>16989</v>
      </c>
      <c r="E7171" s="125"/>
      <c r="F7171" s="118" t="s">
        <v>4396</v>
      </c>
      <c r="G7171" s="126" t="s">
        <v>16390</v>
      </c>
      <c r="H7171" s="255">
        <v>3</v>
      </c>
      <c r="I7171" s="361">
        <v>1</v>
      </c>
      <c r="J7171" s="368" t="s">
        <v>286</v>
      </c>
      <c r="K7171" s="388"/>
      <c r="L7171" s="387"/>
      <c r="W7171" s="129" t="s">
        <v>4876</v>
      </c>
      <c r="X7171" s="337" t="b">
        <f t="shared" si="153"/>
        <v>0</v>
      </c>
    </row>
    <row r="7172" spans="1:24" s="360" customFormat="1" ht="12" customHeight="1" outlineLevel="1">
      <c r="B7172" s="118" t="s">
        <v>12</v>
      </c>
      <c r="C7172" s="334" t="s">
        <v>16990</v>
      </c>
      <c r="D7172" s="124" t="s">
        <v>16991</v>
      </c>
      <c r="E7172" s="125"/>
      <c r="F7172" s="118" t="s">
        <v>4396</v>
      </c>
      <c r="G7172" s="126" t="s">
        <v>16390</v>
      </c>
      <c r="H7172" s="255">
        <v>3</v>
      </c>
      <c r="I7172" s="361">
        <v>1</v>
      </c>
      <c r="J7172" s="368" t="s">
        <v>286</v>
      </c>
      <c r="K7172" s="388"/>
      <c r="L7172" s="387"/>
      <c r="W7172" s="129" t="s">
        <v>4876</v>
      </c>
      <c r="X7172" s="337" t="b">
        <f t="shared" si="153"/>
        <v>0</v>
      </c>
    </row>
    <row r="7173" spans="1:24" s="360" customFormat="1" ht="12" customHeight="1" outlineLevel="1">
      <c r="B7173" s="118" t="s">
        <v>12</v>
      </c>
      <c r="C7173" s="334" t="s">
        <v>16992</v>
      </c>
      <c r="D7173" s="124" t="s">
        <v>16993</v>
      </c>
      <c r="E7173" s="125"/>
      <c r="F7173" s="118" t="s">
        <v>4396</v>
      </c>
      <c r="G7173" s="126" t="s">
        <v>16390</v>
      </c>
      <c r="H7173" s="255">
        <v>3</v>
      </c>
      <c r="I7173" s="361">
        <v>1</v>
      </c>
      <c r="J7173" s="368" t="s">
        <v>286</v>
      </c>
      <c r="K7173" s="388"/>
      <c r="L7173" s="387"/>
      <c r="W7173" s="129" t="s">
        <v>4876</v>
      </c>
      <c r="X7173" s="337" t="b">
        <f t="shared" si="153"/>
        <v>0</v>
      </c>
    </row>
    <row r="7174" spans="1:24" s="360" customFormat="1" ht="12" customHeight="1" outlineLevel="1">
      <c r="B7174" s="118" t="s">
        <v>12</v>
      </c>
      <c r="C7174" s="334" t="s">
        <v>16994</v>
      </c>
      <c r="D7174" s="124" t="s">
        <v>16995</v>
      </c>
      <c r="E7174" s="125"/>
      <c r="F7174" s="118" t="s">
        <v>4396</v>
      </c>
      <c r="G7174" s="126" t="s">
        <v>16390</v>
      </c>
      <c r="H7174" s="255">
        <v>3</v>
      </c>
      <c r="I7174" s="361">
        <v>1</v>
      </c>
      <c r="J7174" s="368" t="s">
        <v>286</v>
      </c>
      <c r="K7174" s="388"/>
      <c r="L7174" s="387"/>
      <c r="W7174" s="129" t="s">
        <v>4876</v>
      </c>
      <c r="X7174" s="337" t="b">
        <f t="shared" si="153"/>
        <v>0</v>
      </c>
    </row>
    <row r="7175" spans="1:24" s="360" customFormat="1" ht="12" customHeight="1" outlineLevel="1">
      <c r="B7175" s="118" t="s">
        <v>12</v>
      </c>
      <c r="C7175" s="334" t="s">
        <v>16996</v>
      </c>
      <c r="D7175" s="124" t="s">
        <v>16997</v>
      </c>
      <c r="E7175" s="125"/>
      <c r="F7175" s="118" t="s">
        <v>4396</v>
      </c>
      <c r="G7175" s="126" t="s">
        <v>16390</v>
      </c>
      <c r="H7175" s="255">
        <v>3</v>
      </c>
      <c r="I7175" s="361">
        <v>1</v>
      </c>
      <c r="J7175" s="368" t="s">
        <v>286</v>
      </c>
      <c r="K7175" s="388"/>
      <c r="L7175" s="387"/>
      <c r="W7175" s="129" t="s">
        <v>4876</v>
      </c>
      <c r="X7175" s="337" t="b">
        <f t="shared" si="153"/>
        <v>0</v>
      </c>
    </row>
    <row r="7176" spans="1:24" s="360" customFormat="1" ht="12" customHeight="1" outlineLevel="1">
      <c r="B7176" s="118" t="s">
        <v>12</v>
      </c>
      <c r="C7176" s="334" t="s">
        <v>16998</v>
      </c>
      <c r="D7176" s="124" t="s">
        <v>16999</v>
      </c>
      <c r="E7176" s="125"/>
      <c r="F7176" s="118" t="s">
        <v>4396</v>
      </c>
      <c r="G7176" s="126" t="s">
        <v>16390</v>
      </c>
      <c r="H7176" s="255">
        <v>3</v>
      </c>
      <c r="I7176" s="361">
        <v>1</v>
      </c>
      <c r="J7176" s="368" t="s">
        <v>286</v>
      </c>
      <c r="K7176" s="388"/>
      <c r="L7176" s="387"/>
      <c r="W7176" s="129" t="s">
        <v>4876</v>
      </c>
      <c r="X7176" s="337" t="b">
        <f t="shared" si="153"/>
        <v>0</v>
      </c>
    </row>
    <row r="7177" spans="1:24" s="360" customFormat="1" ht="12" customHeight="1" outlineLevel="1">
      <c r="B7177" s="118" t="s">
        <v>12</v>
      </c>
      <c r="C7177" s="334" t="s">
        <v>17000</v>
      </c>
      <c r="D7177" s="124" t="s">
        <v>17001</v>
      </c>
      <c r="E7177" s="125"/>
      <c r="F7177" s="118" t="s">
        <v>4396</v>
      </c>
      <c r="G7177" s="126" t="s">
        <v>16390</v>
      </c>
      <c r="H7177" s="255">
        <v>3</v>
      </c>
      <c r="I7177" s="361">
        <v>1</v>
      </c>
      <c r="J7177" s="368" t="s">
        <v>286</v>
      </c>
      <c r="K7177" s="388"/>
      <c r="L7177" s="387"/>
      <c r="W7177" s="129" t="s">
        <v>286</v>
      </c>
      <c r="X7177" s="337" t="b">
        <f t="shared" si="153"/>
        <v>1</v>
      </c>
    </row>
    <row r="7178" spans="1:24" s="360" customFormat="1" ht="12" customHeight="1" outlineLevel="1">
      <c r="B7178" s="118" t="s">
        <v>12</v>
      </c>
      <c r="C7178" s="334" t="s">
        <v>17002</v>
      </c>
      <c r="D7178" s="124" t="s">
        <v>17003</v>
      </c>
      <c r="E7178" s="125"/>
      <c r="F7178" s="118" t="s">
        <v>4396</v>
      </c>
      <c r="G7178" s="126" t="s">
        <v>16390</v>
      </c>
      <c r="H7178" s="255">
        <v>3</v>
      </c>
      <c r="I7178" s="361">
        <v>1</v>
      </c>
      <c r="J7178" s="368" t="s">
        <v>286</v>
      </c>
      <c r="K7178" s="388"/>
      <c r="L7178" s="387"/>
      <c r="W7178" s="129" t="s">
        <v>286</v>
      </c>
      <c r="X7178" s="337" t="b">
        <f t="shared" si="153"/>
        <v>1</v>
      </c>
    </row>
    <row r="7179" spans="1:24" s="360" customFormat="1" ht="12" customHeight="1" outlineLevel="1">
      <c r="A7179" s="266" t="s">
        <v>4591</v>
      </c>
      <c r="B7179" s="118"/>
      <c r="C7179" s="334"/>
      <c r="D7179" s="124"/>
      <c r="E7179" s="125"/>
      <c r="F7179" s="118"/>
      <c r="G7179" s="126"/>
      <c r="H7179" s="253"/>
      <c r="I7179" s="361"/>
      <c r="J7179" s="368"/>
      <c r="K7179" s="329"/>
      <c r="L7179" s="129"/>
    </row>
    <row r="7180" spans="1:24" s="337" customFormat="1" ht="12" customHeight="1" outlineLevel="1">
      <c r="A7180" s="335"/>
      <c r="B7180" s="118" t="s">
        <v>12</v>
      </c>
      <c r="C7180" s="334" t="s">
        <v>5183</v>
      </c>
      <c r="D7180" s="124" t="s">
        <v>5184</v>
      </c>
      <c r="E7180" s="125"/>
      <c r="F7180" s="118" t="s">
        <v>4396</v>
      </c>
      <c r="G7180" s="126" t="s">
        <v>16390</v>
      </c>
      <c r="H7180" s="255">
        <v>3</v>
      </c>
      <c r="I7180" s="361"/>
      <c r="J7180" s="368"/>
      <c r="K7180" s="369">
        <v>1</v>
      </c>
      <c r="L7180" s="129">
        <v>1</v>
      </c>
      <c r="M7180" s="387"/>
      <c r="N7180" s="129"/>
      <c r="O7180" s="129"/>
      <c r="P7180" s="364"/>
      <c r="Q7180" s="364"/>
      <c r="R7180" s="129"/>
      <c r="S7180" s="129"/>
      <c r="T7180" s="129"/>
      <c r="W7180" s="129"/>
    </row>
    <row r="7181" spans="1:24" s="337" customFormat="1" ht="12" customHeight="1" outlineLevel="1">
      <c r="A7181" s="335"/>
      <c r="B7181" s="118" t="s">
        <v>12</v>
      </c>
      <c r="C7181" s="334" t="s">
        <v>5892</v>
      </c>
      <c r="D7181" s="124" t="s">
        <v>5893</v>
      </c>
      <c r="E7181" s="125"/>
      <c r="F7181" s="118" t="s">
        <v>4396</v>
      </c>
      <c r="G7181" s="126" t="s">
        <v>16390</v>
      </c>
      <c r="H7181" s="255">
        <v>3</v>
      </c>
      <c r="I7181" s="361"/>
      <c r="J7181" s="368"/>
      <c r="K7181" s="369">
        <v>1</v>
      </c>
      <c r="L7181" s="129">
        <v>1</v>
      </c>
      <c r="M7181" s="387"/>
      <c r="N7181" s="129"/>
      <c r="O7181" s="129"/>
      <c r="P7181" s="364"/>
      <c r="Q7181" s="364"/>
      <c r="R7181" s="129"/>
      <c r="S7181" s="129"/>
      <c r="T7181" s="129"/>
      <c r="W7181" s="129"/>
    </row>
    <row r="7182" spans="1:24" s="337" customFormat="1" ht="12" customHeight="1" outlineLevel="1">
      <c r="A7182" s="335"/>
      <c r="B7182" s="118" t="s">
        <v>12</v>
      </c>
      <c r="C7182" s="334" t="s">
        <v>5896</v>
      </c>
      <c r="D7182" s="124" t="s">
        <v>5897</v>
      </c>
      <c r="E7182" s="125"/>
      <c r="F7182" s="118" t="s">
        <v>4396</v>
      </c>
      <c r="G7182" s="126" t="s">
        <v>16390</v>
      </c>
      <c r="H7182" s="255">
        <v>3</v>
      </c>
      <c r="I7182" s="361"/>
      <c r="J7182" s="368"/>
      <c r="K7182" s="369">
        <v>1</v>
      </c>
      <c r="L7182" s="129">
        <v>1</v>
      </c>
      <c r="M7182" s="387"/>
      <c r="N7182" s="129"/>
      <c r="O7182" s="129"/>
      <c r="P7182" s="364"/>
      <c r="Q7182" s="364"/>
      <c r="R7182" s="129"/>
      <c r="S7182" s="129"/>
      <c r="T7182" s="129"/>
      <c r="W7182" s="129"/>
    </row>
    <row r="7183" spans="1:24" s="337" customFormat="1" ht="12" customHeight="1" outlineLevel="1">
      <c r="A7183" s="335"/>
      <c r="B7183" s="118" t="s">
        <v>12</v>
      </c>
      <c r="C7183" s="334" t="s">
        <v>5898</v>
      </c>
      <c r="D7183" s="124" t="s">
        <v>17004</v>
      </c>
      <c r="E7183" s="125"/>
      <c r="F7183" s="118" t="s">
        <v>4396</v>
      </c>
      <c r="G7183" s="126" t="s">
        <v>16390</v>
      </c>
      <c r="H7183" s="255">
        <v>3</v>
      </c>
      <c r="I7183" s="361"/>
      <c r="J7183" s="368"/>
      <c r="K7183" s="369">
        <v>1</v>
      </c>
      <c r="L7183" s="129">
        <v>1</v>
      </c>
      <c r="M7183" s="387"/>
      <c r="N7183" s="129"/>
      <c r="O7183" s="129"/>
      <c r="P7183" s="364"/>
      <c r="Q7183" s="364"/>
      <c r="R7183" s="129"/>
      <c r="S7183" s="129"/>
      <c r="T7183" s="129"/>
      <c r="W7183" s="129"/>
    </row>
    <row r="7184" spans="1:24" s="337" customFormat="1" ht="12" customHeight="1" outlineLevel="1">
      <c r="A7184" s="335"/>
      <c r="B7184" s="118" t="s">
        <v>12</v>
      </c>
      <c r="C7184" s="334" t="s">
        <v>5900</v>
      </c>
      <c r="D7184" s="124" t="s">
        <v>17005</v>
      </c>
      <c r="E7184" s="125"/>
      <c r="F7184" s="118" t="s">
        <v>4396</v>
      </c>
      <c r="G7184" s="126" t="s">
        <v>16390</v>
      </c>
      <c r="H7184" s="255">
        <v>3</v>
      </c>
      <c r="I7184" s="361"/>
      <c r="J7184" s="368"/>
      <c r="K7184" s="369">
        <v>1</v>
      </c>
      <c r="L7184" s="129">
        <v>1</v>
      </c>
      <c r="M7184" s="387"/>
      <c r="N7184" s="129"/>
      <c r="O7184" s="129"/>
      <c r="P7184" s="364"/>
      <c r="Q7184" s="364"/>
      <c r="R7184" s="129"/>
      <c r="S7184" s="129"/>
      <c r="T7184" s="129"/>
      <c r="W7184" s="129"/>
    </row>
    <row r="7185" spans="1:24" ht="3" customHeight="1">
      <c r="B7185" s="118"/>
      <c r="C7185" s="334"/>
      <c r="D7185" s="124"/>
      <c r="E7185" s="125"/>
      <c r="F7185" s="118"/>
      <c r="G7185" s="126"/>
      <c r="H7185" s="253"/>
      <c r="L7185" s="129"/>
      <c r="M7185" s="129"/>
      <c r="N7185" s="129"/>
      <c r="O7185" s="129"/>
      <c r="P7185" s="364"/>
      <c r="Q7185" s="364"/>
      <c r="R7185" s="129"/>
      <c r="S7185" s="129"/>
      <c r="T7185" s="129"/>
      <c r="W7185" s="129"/>
    </row>
    <row r="7186" spans="1:24" s="360" customFormat="1" ht="12" customHeight="1">
      <c r="A7186" s="110" t="s">
        <v>29</v>
      </c>
      <c r="B7186" s="118"/>
      <c r="C7186" s="334"/>
      <c r="D7186" s="124"/>
      <c r="E7186" s="125"/>
      <c r="F7186" s="118"/>
      <c r="G7186" s="126"/>
      <c r="H7186" s="255"/>
      <c r="I7186" s="62"/>
      <c r="J7186" s="358"/>
      <c r="K7186" s="62"/>
      <c r="L7186" s="62"/>
      <c r="M7186" s="62"/>
      <c r="N7186" s="62"/>
      <c r="O7186" s="62"/>
      <c r="P7186" s="62"/>
      <c r="Q7186" s="62"/>
      <c r="R7186" s="62"/>
      <c r="S7186" s="62"/>
      <c r="T7186" s="62"/>
      <c r="W7186" s="62">
        <f>SUM(W7187:W7369)</f>
        <v>0</v>
      </c>
    </row>
    <row r="7187" spans="1:24" s="360" customFormat="1" ht="12" customHeight="1" outlineLevel="1">
      <c r="A7187" s="365"/>
      <c r="B7187" s="118"/>
      <c r="C7187" s="334" t="s">
        <v>4625</v>
      </c>
      <c r="D7187" s="124"/>
      <c r="E7187" s="125"/>
      <c r="F7187" s="118"/>
      <c r="G7187" s="126"/>
      <c r="H7187" s="253"/>
      <c r="I7187" s="361"/>
      <c r="J7187" s="368"/>
      <c r="K7187" s="329"/>
      <c r="L7187" s="129"/>
      <c r="M7187" s="129"/>
      <c r="N7187" s="129"/>
      <c r="O7187" s="129"/>
      <c r="P7187" s="375"/>
      <c r="Q7187" s="375"/>
      <c r="R7187" s="129"/>
      <c r="S7187" s="129"/>
      <c r="T7187" s="129"/>
      <c r="W7187" s="129"/>
    </row>
    <row r="7188" spans="1:24" s="337" customFormat="1" ht="12" customHeight="1" outlineLevel="1">
      <c r="A7188" s="335"/>
      <c r="B7188" s="118" t="s">
        <v>12</v>
      </c>
      <c r="C7188" s="338" t="s">
        <v>17006</v>
      </c>
      <c r="D7188" s="124" t="s">
        <v>17007</v>
      </c>
      <c r="E7188" s="125"/>
      <c r="F7188" s="118" t="s">
        <v>4628</v>
      </c>
      <c r="G7188" s="126" t="s">
        <v>17008</v>
      </c>
      <c r="H7188" s="255">
        <v>1</v>
      </c>
      <c r="I7188" s="361">
        <v>1</v>
      </c>
      <c r="J7188" s="368" t="s">
        <v>325</v>
      </c>
      <c r="K7188" s="363"/>
      <c r="L7188" s="129"/>
      <c r="M7188" s="129"/>
      <c r="N7188" s="129"/>
      <c r="O7188" s="129"/>
      <c r="P7188" s="375"/>
      <c r="Q7188" s="375"/>
      <c r="R7188" s="129"/>
      <c r="S7188" s="129"/>
      <c r="T7188" s="129"/>
      <c r="W7188" s="129" t="s">
        <v>325</v>
      </c>
      <c r="X7188" s="337" t="b">
        <f t="shared" ref="X7188:X7251" si="154">W7188=J7188</f>
        <v>1</v>
      </c>
    </row>
    <row r="7189" spans="1:24" s="337" customFormat="1" ht="12" customHeight="1" outlineLevel="1">
      <c r="A7189" s="335"/>
      <c r="B7189" s="118" t="s">
        <v>12</v>
      </c>
      <c r="C7189" s="338" t="s">
        <v>17009</v>
      </c>
      <c r="D7189" s="124" t="s">
        <v>17010</v>
      </c>
      <c r="E7189" s="125"/>
      <c r="F7189" s="118" t="s">
        <v>4628</v>
      </c>
      <c r="G7189" s="126" t="s">
        <v>17008</v>
      </c>
      <c r="H7189" s="255">
        <v>1</v>
      </c>
      <c r="I7189" s="361">
        <v>1</v>
      </c>
      <c r="J7189" s="368" t="s">
        <v>325</v>
      </c>
      <c r="K7189" s="363"/>
      <c r="L7189" s="129"/>
      <c r="M7189" s="129"/>
      <c r="N7189" s="129"/>
      <c r="O7189" s="129"/>
      <c r="P7189" s="375"/>
      <c r="Q7189" s="375"/>
      <c r="R7189" s="129"/>
      <c r="S7189" s="129"/>
      <c r="T7189" s="129"/>
      <c r="W7189" s="129" t="s">
        <v>4876</v>
      </c>
      <c r="X7189" s="337" t="b">
        <f t="shared" si="154"/>
        <v>0</v>
      </c>
    </row>
    <row r="7190" spans="1:24" s="337" customFormat="1" ht="12" customHeight="1" outlineLevel="1">
      <c r="A7190" s="335"/>
      <c r="B7190" s="118" t="s">
        <v>12</v>
      </c>
      <c r="C7190" s="338" t="s">
        <v>17011</v>
      </c>
      <c r="D7190" s="124" t="s">
        <v>17012</v>
      </c>
      <c r="E7190" s="125"/>
      <c r="F7190" s="118" t="s">
        <v>4628</v>
      </c>
      <c r="G7190" s="126" t="s">
        <v>17008</v>
      </c>
      <c r="H7190" s="255">
        <v>1</v>
      </c>
      <c r="I7190" s="361">
        <v>1</v>
      </c>
      <c r="J7190" s="368" t="s">
        <v>325</v>
      </c>
      <c r="K7190" s="363"/>
      <c r="L7190" s="129"/>
      <c r="M7190" s="129"/>
      <c r="N7190" s="129"/>
      <c r="O7190" s="129"/>
      <c r="P7190" s="375"/>
      <c r="Q7190" s="375"/>
      <c r="R7190" s="129"/>
      <c r="S7190" s="129"/>
      <c r="T7190" s="129"/>
      <c r="W7190" s="129" t="s">
        <v>4876</v>
      </c>
      <c r="X7190" s="337" t="b">
        <f t="shared" si="154"/>
        <v>0</v>
      </c>
    </row>
    <row r="7191" spans="1:24" s="337" customFormat="1" ht="12" customHeight="1" outlineLevel="1">
      <c r="A7191" s="335"/>
      <c r="B7191" s="118" t="s">
        <v>12</v>
      </c>
      <c r="C7191" s="338" t="s">
        <v>17013</v>
      </c>
      <c r="D7191" s="124" t="s">
        <v>17014</v>
      </c>
      <c r="E7191" s="125"/>
      <c r="F7191" s="118" t="s">
        <v>4628</v>
      </c>
      <c r="G7191" s="126" t="s">
        <v>17008</v>
      </c>
      <c r="H7191" s="255">
        <v>1</v>
      </c>
      <c r="I7191" s="361">
        <v>1</v>
      </c>
      <c r="J7191" s="368" t="s">
        <v>325</v>
      </c>
      <c r="K7191" s="363"/>
      <c r="L7191" s="129"/>
      <c r="M7191" s="129"/>
      <c r="N7191" s="129"/>
      <c r="O7191" s="129"/>
      <c r="P7191" s="375"/>
      <c r="Q7191" s="375"/>
      <c r="R7191" s="129"/>
      <c r="S7191" s="129"/>
      <c r="T7191" s="129"/>
      <c r="W7191" s="129" t="s">
        <v>4876</v>
      </c>
      <c r="X7191" s="337" t="b">
        <f t="shared" si="154"/>
        <v>0</v>
      </c>
    </row>
    <row r="7192" spans="1:24" s="337" customFormat="1" ht="12" customHeight="1" outlineLevel="1">
      <c r="A7192" s="335"/>
      <c r="B7192" s="118" t="s">
        <v>12</v>
      </c>
      <c r="C7192" s="338" t="s">
        <v>17015</v>
      </c>
      <c r="D7192" s="124" t="s">
        <v>17016</v>
      </c>
      <c r="E7192" s="125"/>
      <c r="F7192" s="118" t="s">
        <v>4628</v>
      </c>
      <c r="G7192" s="126" t="s">
        <v>17008</v>
      </c>
      <c r="H7192" s="255">
        <v>1</v>
      </c>
      <c r="I7192" s="361">
        <v>1</v>
      </c>
      <c r="J7192" s="368" t="s">
        <v>325</v>
      </c>
      <c r="K7192" s="363"/>
      <c r="L7192" s="129"/>
      <c r="M7192" s="129"/>
      <c r="N7192" s="129"/>
      <c r="O7192" s="129"/>
      <c r="P7192" s="375"/>
      <c r="Q7192" s="375"/>
      <c r="R7192" s="129"/>
      <c r="S7192" s="129"/>
      <c r="T7192" s="129"/>
      <c r="W7192" s="129" t="s">
        <v>4876</v>
      </c>
      <c r="X7192" s="337" t="b">
        <f t="shared" si="154"/>
        <v>0</v>
      </c>
    </row>
    <row r="7193" spans="1:24" s="337" customFormat="1" ht="12" customHeight="1" outlineLevel="1">
      <c r="A7193" s="335"/>
      <c r="B7193" s="118" t="s">
        <v>12</v>
      </c>
      <c r="C7193" s="338" t="s">
        <v>17017</v>
      </c>
      <c r="D7193" s="124" t="s">
        <v>17018</v>
      </c>
      <c r="E7193" s="125"/>
      <c r="F7193" s="118" t="s">
        <v>4628</v>
      </c>
      <c r="G7193" s="126" t="s">
        <v>17008</v>
      </c>
      <c r="H7193" s="255">
        <v>1</v>
      </c>
      <c r="I7193" s="361">
        <v>1</v>
      </c>
      <c r="J7193" s="368" t="s">
        <v>310</v>
      </c>
      <c r="K7193" s="363"/>
      <c r="L7193" s="129"/>
      <c r="M7193" s="129"/>
      <c r="N7193" s="129"/>
      <c r="O7193" s="129"/>
      <c r="P7193" s="375"/>
      <c r="Q7193" s="375"/>
      <c r="R7193" s="129"/>
      <c r="S7193" s="129"/>
      <c r="T7193" s="129"/>
      <c r="W7193" s="129" t="s">
        <v>307</v>
      </c>
      <c r="X7193" s="337" t="b">
        <f t="shared" si="154"/>
        <v>0</v>
      </c>
    </row>
    <row r="7194" spans="1:24" s="337" customFormat="1" ht="12" customHeight="1" outlineLevel="1">
      <c r="A7194" s="335"/>
      <c r="B7194" s="118" t="s">
        <v>12</v>
      </c>
      <c r="C7194" s="338" t="s">
        <v>17019</v>
      </c>
      <c r="D7194" s="124" t="s">
        <v>17020</v>
      </c>
      <c r="E7194" s="125"/>
      <c r="F7194" s="118" t="s">
        <v>4628</v>
      </c>
      <c r="G7194" s="126" t="s">
        <v>17008</v>
      </c>
      <c r="H7194" s="255">
        <v>1</v>
      </c>
      <c r="I7194" s="361">
        <v>1</v>
      </c>
      <c r="J7194" s="368" t="s">
        <v>286</v>
      </c>
      <c r="K7194" s="363"/>
      <c r="L7194" s="129"/>
      <c r="M7194" s="129"/>
      <c r="N7194" s="129"/>
      <c r="O7194" s="129"/>
      <c r="P7194" s="375"/>
      <c r="Q7194" s="375"/>
      <c r="R7194" s="129"/>
      <c r="S7194" s="129"/>
      <c r="T7194" s="129"/>
      <c r="W7194" s="129" t="s">
        <v>286</v>
      </c>
      <c r="X7194" s="337" t="b">
        <f t="shared" si="154"/>
        <v>1</v>
      </c>
    </row>
    <row r="7195" spans="1:24" s="337" customFormat="1" ht="12" customHeight="1" outlineLevel="1">
      <c r="A7195" s="335"/>
      <c r="B7195" s="118" t="s">
        <v>12</v>
      </c>
      <c r="C7195" s="338" t="s">
        <v>17021</v>
      </c>
      <c r="D7195" s="124" t="s">
        <v>17022</v>
      </c>
      <c r="E7195" s="125"/>
      <c r="F7195" s="118" t="s">
        <v>4628</v>
      </c>
      <c r="G7195" s="126" t="s">
        <v>17008</v>
      </c>
      <c r="H7195" s="255">
        <v>1</v>
      </c>
      <c r="I7195" s="361">
        <v>1</v>
      </c>
      <c r="J7195" s="368" t="s">
        <v>286</v>
      </c>
      <c r="K7195" s="363"/>
      <c r="L7195" s="129"/>
      <c r="M7195" s="129"/>
      <c r="N7195" s="129"/>
      <c r="O7195" s="129"/>
      <c r="P7195" s="375"/>
      <c r="Q7195" s="375"/>
      <c r="R7195" s="129"/>
      <c r="S7195" s="129"/>
      <c r="T7195" s="129"/>
      <c r="W7195" s="129" t="s">
        <v>286</v>
      </c>
      <c r="X7195" s="337" t="b">
        <f t="shared" si="154"/>
        <v>1</v>
      </c>
    </row>
    <row r="7196" spans="1:24" s="337" customFormat="1" ht="12" customHeight="1" outlineLevel="1">
      <c r="A7196" s="335"/>
      <c r="B7196" s="118" t="s">
        <v>12</v>
      </c>
      <c r="C7196" s="338" t="s">
        <v>17023</v>
      </c>
      <c r="D7196" s="124" t="s">
        <v>17024</v>
      </c>
      <c r="E7196" s="125"/>
      <c r="F7196" s="118" t="s">
        <v>4628</v>
      </c>
      <c r="G7196" s="126" t="s">
        <v>17008</v>
      </c>
      <c r="H7196" s="255">
        <v>1</v>
      </c>
      <c r="I7196" s="361">
        <v>1</v>
      </c>
      <c r="J7196" s="368" t="s">
        <v>286</v>
      </c>
      <c r="K7196" s="363"/>
      <c r="L7196" s="129"/>
      <c r="M7196" s="129"/>
      <c r="N7196" s="129"/>
      <c r="O7196" s="129"/>
      <c r="P7196" s="375"/>
      <c r="Q7196" s="375"/>
      <c r="R7196" s="129"/>
      <c r="S7196" s="129"/>
      <c r="T7196" s="129"/>
      <c r="W7196" s="129" t="s">
        <v>286</v>
      </c>
      <c r="X7196" s="337" t="b">
        <f t="shared" si="154"/>
        <v>1</v>
      </c>
    </row>
    <row r="7197" spans="1:24" s="337" customFormat="1" ht="12" customHeight="1" outlineLevel="1">
      <c r="A7197" s="335"/>
      <c r="B7197" s="118" t="s">
        <v>12</v>
      </c>
      <c r="C7197" s="338" t="s">
        <v>17025</v>
      </c>
      <c r="D7197" s="124" t="s">
        <v>17026</v>
      </c>
      <c r="E7197" s="125"/>
      <c r="F7197" s="118" t="s">
        <v>4628</v>
      </c>
      <c r="G7197" s="126" t="s">
        <v>17008</v>
      </c>
      <c r="H7197" s="255">
        <v>1</v>
      </c>
      <c r="I7197" s="361">
        <v>1</v>
      </c>
      <c r="J7197" s="368" t="s">
        <v>310</v>
      </c>
      <c r="K7197" s="363"/>
      <c r="L7197" s="129"/>
      <c r="M7197" s="129"/>
      <c r="N7197" s="129"/>
      <c r="O7197" s="129"/>
      <c r="P7197" s="375"/>
      <c r="Q7197" s="375"/>
      <c r="R7197" s="129"/>
      <c r="S7197" s="129"/>
      <c r="T7197" s="129"/>
      <c r="W7197" s="129" t="s">
        <v>307</v>
      </c>
      <c r="X7197" s="337" t="b">
        <f t="shared" si="154"/>
        <v>0</v>
      </c>
    </row>
    <row r="7198" spans="1:24" s="337" customFormat="1" ht="12" customHeight="1" outlineLevel="1">
      <c r="A7198" s="335"/>
      <c r="B7198" s="118" t="s">
        <v>12</v>
      </c>
      <c r="C7198" s="338" t="s">
        <v>17027</v>
      </c>
      <c r="D7198" s="124" t="s">
        <v>17028</v>
      </c>
      <c r="E7198" s="125"/>
      <c r="F7198" s="118" t="s">
        <v>4628</v>
      </c>
      <c r="G7198" s="126" t="s">
        <v>17008</v>
      </c>
      <c r="H7198" s="255">
        <v>1</v>
      </c>
      <c r="I7198" s="361">
        <v>1</v>
      </c>
      <c r="J7198" s="368" t="s">
        <v>310</v>
      </c>
      <c r="K7198" s="363"/>
      <c r="L7198" s="129"/>
      <c r="M7198" s="129"/>
      <c r="N7198" s="129"/>
      <c r="O7198" s="129"/>
      <c r="P7198" s="375"/>
      <c r="Q7198" s="375"/>
      <c r="R7198" s="129"/>
      <c r="S7198" s="129"/>
      <c r="T7198" s="129"/>
      <c r="W7198" s="129" t="s">
        <v>307</v>
      </c>
      <c r="X7198" s="337" t="b">
        <f t="shared" si="154"/>
        <v>0</v>
      </c>
    </row>
    <row r="7199" spans="1:24" s="337" customFormat="1" ht="12" customHeight="1" outlineLevel="1">
      <c r="A7199" s="335"/>
      <c r="B7199" s="118" t="s">
        <v>12</v>
      </c>
      <c r="C7199" s="338" t="s">
        <v>17029</v>
      </c>
      <c r="D7199" s="124" t="s">
        <v>17030</v>
      </c>
      <c r="E7199" s="125"/>
      <c r="F7199" s="118" t="s">
        <v>4628</v>
      </c>
      <c r="G7199" s="126" t="s">
        <v>17008</v>
      </c>
      <c r="H7199" s="255">
        <v>1</v>
      </c>
      <c r="I7199" s="361">
        <v>1</v>
      </c>
      <c r="J7199" s="368" t="s">
        <v>310</v>
      </c>
      <c r="K7199" s="363"/>
      <c r="L7199" s="129"/>
      <c r="M7199" s="129"/>
      <c r="N7199" s="129"/>
      <c r="O7199" s="129"/>
      <c r="P7199" s="375"/>
      <c r="Q7199" s="375"/>
      <c r="R7199" s="129"/>
      <c r="S7199" s="129"/>
      <c r="T7199" s="129"/>
      <c r="W7199" s="129" t="s">
        <v>307</v>
      </c>
      <c r="X7199" s="337" t="b">
        <f t="shared" si="154"/>
        <v>0</v>
      </c>
    </row>
    <row r="7200" spans="1:24" s="337" customFormat="1" ht="12" customHeight="1" outlineLevel="1">
      <c r="A7200" s="335"/>
      <c r="B7200" s="118" t="s">
        <v>12</v>
      </c>
      <c r="C7200" s="338" t="s">
        <v>17031</v>
      </c>
      <c r="D7200" s="124" t="s">
        <v>17032</v>
      </c>
      <c r="E7200" s="125"/>
      <c r="F7200" s="118" t="s">
        <v>4628</v>
      </c>
      <c r="G7200" s="126" t="s">
        <v>17008</v>
      </c>
      <c r="H7200" s="255">
        <v>1</v>
      </c>
      <c r="I7200" s="361">
        <v>1</v>
      </c>
      <c r="J7200" s="368" t="s">
        <v>286</v>
      </c>
      <c r="K7200" s="363"/>
      <c r="L7200" s="129"/>
      <c r="M7200" s="129"/>
      <c r="N7200" s="129"/>
      <c r="O7200" s="129"/>
      <c r="P7200" s="375"/>
      <c r="Q7200" s="375"/>
      <c r="R7200" s="129"/>
      <c r="S7200" s="129"/>
      <c r="T7200" s="129"/>
      <c r="W7200" s="129" t="s">
        <v>286</v>
      </c>
      <c r="X7200" s="337" t="b">
        <f t="shared" si="154"/>
        <v>1</v>
      </c>
    </row>
    <row r="7201" spans="1:24" s="337" customFormat="1" ht="12" customHeight="1" outlineLevel="1">
      <c r="A7201" s="335"/>
      <c r="B7201" s="118" t="s">
        <v>12</v>
      </c>
      <c r="C7201" s="338" t="s">
        <v>17033</v>
      </c>
      <c r="D7201" s="124" t="s">
        <v>17034</v>
      </c>
      <c r="E7201" s="125"/>
      <c r="F7201" s="118" t="s">
        <v>4628</v>
      </c>
      <c r="G7201" s="126" t="s">
        <v>17008</v>
      </c>
      <c r="H7201" s="255">
        <v>1</v>
      </c>
      <c r="I7201" s="361">
        <v>1</v>
      </c>
      <c r="J7201" s="368" t="s">
        <v>286</v>
      </c>
      <c r="K7201" s="363"/>
      <c r="L7201" s="129"/>
      <c r="M7201" s="129"/>
      <c r="N7201" s="129"/>
      <c r="O7201" s="129"/>
      <c r="P7201" s="375"/>
      <c r="Q7201" s="375"/>
      <c r="R7201" s="129"/>
      <c r="S7201" s="129"/>
      <c r="T7201" s="129"/>
      <c r="W7201" s="129" t="s">
        <v>4876</v>
      </c>
      <c r="X7201" s="337" t="b">
        <f t="shared" si="154"/>
        <v>0</v>
      </c>
    </row>
    <row r="7202" spans="1:24" s="337" customFormat="1" ht="12" customHeight="1" outlineLevel="1">
      <c r="A7202" s="335"/>
      <c r="B7202" s="118" t="s">
        <v>12</v>
      </c>
      <c r="C7202" s="338" t="s">
        <v>17035</v>
      </c>
      <c r="D7202" s="124" t="s">
        <v>17036</v>
      </c>
      <c r="E7202" s="125"/>
      <c r="F7202" s="118" t="s">
        <v>4628</v>
      </c>
      <c r="G7202" s="126" t="s">
        <v>17008</v>
      </c>
      <c r="H7202" s="255">
        <v>1</v>
      </c>
      <c r="I7202" s="361">
        <v>1</v>
      </c>
      <c r="J7202" s="368" t="s">
        <v>310</v>
      </c>
      <c r="K7202" s="363"/>
      <c r="L7202" s="129"/>
      <c r="M7202" s="129"/>
      <c r="N7202" s="129"/>
      <c r="O7202" s="129"/>
      <c r="P7202" s="375"/>
      <c r="Q7202" s="375"/>
      <c r="R7202" s="129"/>
      <c r="S7202" s="129"/>
      <c r="T7202" s="129"/>
      <c r="W7202" s="129" t="s">
        <v>4876</v>
      </c>
      <c r="X7202" s="337" t="b">
        <f t="shared" si="154"/>
        <v>0</v>
      </c>
    </row>
    <row r="7203" spans="1:24" s="337" customFormat="1" ht="12" customHeight="1" outlineLevel="1">
      <c r="A7203" s="335"/>
      <c r="B7203" s="118" t="s">
        <v>12</v>
      </c>
      <c r="C7203" s="338" t="s">
        <v>17037</v>
      </c>
      <c r="D7203" s="124" t="s">
        <v>17038</v>
      </c>
      <c r="E7203" s="125"/>
      <c r="F7203" s="118" t="s">
        <v>4628</v>
      </c>
      <c r="G7203" s="126" t="s">
        <v>17008</v>
      </c>
      <c r="H7203" s="255">
        <v>1</v>
      </c>
      <c r="I7203" s="361">
        <v>1</v>
      </c>
      <c r="J7203" s="368" t="s">
        <v>325</v>
      </c>
      <c r="K7203" s="363"/>
      <c r="L7203" s="129"/>
      <c r="M7203" s="129"/>
      <c r="N7203" s="129"/>
      <c r="O7203" s="129"/>
      <c r="P7203" s="375"/>
      <c r="Q7203" s="375"/>
      <c r="R7203" s="129"/>
      <c r="S7203" s="129"/>
      <c r="T7203" s="129"/>
      <c r="W7203" s="129" t="s">
        <v>4876</v>
      </c>
      <c r="X7203" s="337" t="b">
        <f t="shared" si="154"/>
        <v>0</v>
      </c>
    </row>
    <row r="7204" spans="1:24" s="337" customFormat="1" ht="12" customHeight="1" outlineLevel="1">
      <c r="A7204" s="335"/>
      <c r="B7204" s="118" t="s">
        <v>12</v>
      </c>
      <c r="C7204" s="338" t="s">
        <v>17039</v>
      </c>
      <c r="D7204" s="124" t="s">
        <v>17040</v>
      </c>
      <c r="E7204" s="125"/>
      <c r="F7204" s="118" t="s">
        <v>4628</v>
      </c>
      <c r="G7204" s="126" t="s">
        <v>17008</v>
      </c>
      <c r="H7204" s="255">
        <v>1</v>
      </c>
      <c r="I7204" s="361">
        <v>1</v>
      </c>
      <c r="J7204" s="368" t="s">
        <v>307</v>
      </c>
      <c r="K7204" s="363"/>
      <c r="L7204" s="129"/>
      <c r="M7204" s="129"/>
      <c r="N7204" s="129"/>
      <c r="O7204" s="129"/>
      <c r="P7204" s="375"/>
      <c r="Q7204" s="375"/>
      <c r="R7204" s="129"/>
      <c r="S7204" s="129"/>
      <c r="T7204" s="129"/>
      <c r="W7204" s="129" t="s">
        <v>4876</v>
      </c>
      <c r="X7204" s="337" t="b">
        <f t="shared" si="154"/>
        <v>0</v>
      </c>
    </row>
    <row r="7205" spans="1:24" s="337" customFormat="1" ht="12" customHeight="1" outlineLevel="1">
      <c r="A7205" s="335"/>
      <c r="B7205" s="118" t="s">
        <v>12</v>
      </c>
      <c r="C7205" s="334" t="s">
        <v>17041</v>
      </c>
      <c r="D7205" s="124" t="s">
        <v>17042</v>
      </c>
      <c r="E7205" s="125"/>
      <c r="F7205" s="118" t="s">
        <v>4628</v>
      </c>
      <c r="G7205" s="126" t="s">
        <v>17043</v>
      </c>
      <c r="H7205" s="255">
        <v>3</v>
      </c>
      <c r="I7205" s="361">
        <v>1</v>
      </c>
      <c r="J7205" s="368" t="s">
        <v>307</v>
      </c>
      <c r="K7205" s="361"/>
      <c r="L7205" s="361"/>
      <c r="W7205" s="129" t="s">
        <v>310</v>
      </c>
      <c r="X7205" s="337" t="b">
        <f t="shared" si="154"/>
        <v>0</v>
      </c>
    </row>
    <row r="7206" spans="1:24" s="337" customFormat="1" ht="12" customHeight="1" outlineLevel="1">
      <c r="A7206" s="335"/>
      <c r="B7206" s="118" t="s">
        <v>12</v>
      </c>
      <c r="C7206" s="334" t="s">
        <v>17044</v>
      </c>
      <c r="D7206" s="124" t="s">
        <v>17045</v>
      </c>
      <c r="E7206" s="125"/>
      <c r="F7206" s="118" t="s">
        <v>4628</v>
      </c>
      <c r="G7206" s="126" t="s">
        <v>17043</v>
      </c>
      <c r="H7206" s="255">
        <v>3</v>
      </c>
      <c r="I7206" s="361">
        <v>1</v>
      </c>
      <c r="J7206" s="368" t="s">
        <v>310</v>
      </c>
      <c r="K7206" s="361"/>
      <c r="L7206" s="361"/>
      <c r="W7206" s="129" t="s">
        <v>310</v>
      </c>
      <c r="X7206" s="337" t="b">
        <f t="shared" si="154"/>
        <v>1</v>
      </c>
    </row>
    <row r="7207" spans="1:24" s="337" customFormat="1" ht="12" customHeight="1" outlineLevel="1">
      <c r="A7207" s="335"/>
      <c r="B7207" s="118" t="s">
        <v>12</v>
      </c>
      <c r="C7207" s="334" t="s">
        <v>17046</v>
      </c>
      <c r="D7207" s="124" t="s">
        <v>17047</v>
      </c>
      <c r="E7207" s="125"/>
      <c r="F7207" s="118" t="s">
        <v>4628</v>
      </c>
      <c r="G7207" s="126" t="s">
        <v>17043</v>
      </c>
      <c r="H7207" s="255">
        <v>3</v>
      </c>
      <c r="I7207" s="361">
        <v>1</v>
      </c>
      <c r="J7207" s="368" t="s">
        <v>310</v>
      </c>
      <c r="K7207" s="361"/>
      <c r="L7207" s="361"/>
      <c r="W7207" s="129" t="s">
        <v>310</v>
      </c>
      <c r="X7207" s="337" t="b">
        <f t="shared" si="154"/>
        <v>1</v>
      </c>
    </row>
    <row r="7208" spans="1:24" s="337" customFormat="1" ht="12" customHeight="1" outlineLevel="1">
      <c r="A7208" s="335"/>
      <c r="B7208" s="118" t="s">
        <v>12</v>
      </c>
      <c r="C7208" s="334" t="s">
        <v>17048</v>
      </c>
      <c r="D7208" s="124" t="s">
        <v>17049</v>
      </c>
      <c r="E7208" s="125"/>
      <c r="F7208" s="118" t="s">
        <v>4628</v>
      </c>
      <c r="G7208" s="126" t="s">
        <v>17043</v>
      </c>
      <c r="H7208" s="255">
        <v>3</v>
      </c>
      <c r="I7208" s="361">
        <v>1</v>
      </c>
      <c r="J7208" s="368" t="s">
        <v>310</v>
      </c>
      <c r="K7208" s="361"/>
      <c r="L7208" s="361"/>
      <c r="W7208" s="129" t="s">
        <v>286</v>
      </c>
      <c r="X7208" s="337" t="b">
        <f t="shared" si="154"/>
        <v>0</v>
      </c>
    </row>
    <row r="7209" spans="1:24" s="337" customFormat="1" ht="12" customHeight="1" outlineLevel="1">
      <c r="A7209" s="335"/>
      <c r="B7209" s="118" t="s">
        <v>12</v>
      </c>
      <c r="C7209" s="334" t="s">
        <v>17050</v>
      </c>
      <c r="D7209" s="124" t="s">
        <v>17051</v>
      </c>
      <c r="E7209" s="125"/>
      <c r="F7209" s="118" t="s">
        <v>4628</v>
      </c>
      <c r="G7209" s="126" t="s">
        <v>17043</v>
      </c>
      <c r="H7209" s="255">
        <v>3</v>
      </c>
      <c r="I7209" s="361">
        <v>1</v>
      </c>
      <c r="J7209" s="368" t="s">
        <v>286</v>
      </c>
      <c r="K7209" s="361"/>
      <c r="L7209" s="361"/>
      <c r="W7209" s="129" t="s">
        <v>286</v>
      </c>
      <c r="X7209" s="337" t="b">
        <f t="shared" si="154"/>
        <v>1</v>
      </c>
    </row>
    <row r="7210" spans="1:24" s="337" customFormat="1" ht="12" customHeight="1" outlineLevel="1">
      <c r="A7210" s="335"/>
      <c r="B7210" s="118" t="s">
        <v>12</v>
      </c>
      <c r="C7210" s="334" t="s">
        <v>17052</v>
      </c>
      <c r="D7210" s="124" t="s">
        <v>17053</v>
      </c>
      <c r="E7210" s="125"/>
      <c r="F7210" s="118" t="s">
        <v>4628</v>
      </c>
      <c r="G7210" s="126" t="s">
        <v>17008</v>
      </c>
      <c r="H7210" s="255">
        <v>1</v>
      </c>
      <c r="I7210" s="361">
        <v>1</v>
      </c>
      <c r="J7210" s="368" t="s">
        <v>286</v>
      </c>
      <c r="K7210" s="361"/>
      <c r="L7210" s="361"/>
      <c r="W7210" s="129" t="s">
        <v>286</v>
      </c>
      <c r="X7210" s="337" t="b">
        <f t="shared" si="154"/>
        <v>1</v>
      </c>
    </row>
    <row r="7211" spans="1:24" s="337" customFormat="1" ht="12" customHeight="1" outlineLevel="1">
      <c r="A7211" s="335"/>
      <c r="B7211" s="118" t="s">
        <v>12</v>
      </c>
      <c r="C7211" s="334" t="s">
        <v>17054</v>
      </c>
      <c r="D7211" s="124" t="s">
        <v>17055</v>
      </c>
      <c r="E7211" s="125"/>
      <c r="F7211" s="118" t="s">
        <v>4628</v>
      </c>
      <c r="G7211" s="126" t="s">
        <v>17008</v>
      </c>
      <c r="H7211" s="255">
        <v>1</v>
      </c>
      <c r="I7211" s="361">
        <v>1</v>
      </c>
      <c r="J7211" s="368" t="s">
        <v>286</v>
      </c>
      <c r="K7211" s="361"/>
      <c r="L7211" s="361"/>
      <c r="W7211" s="129" t="s">
        <v>4876</v>
      </c>
      <c r="X7211" s="337" t="b">
        <f t="shared" si="154"/>
        <v>0</v>
      </c>
    </row>
    <row r="7212" spans="1:24" s="337" customFormat="1" ht="12" customHeight="1" outlineLevel="1">
      <c r="A7212" s="335"/>
      <c r="B7212" s="118" t="s">
        <v>12</v>
      </c>
      <c r="C7212" s="334" t="s">
        <v>17056</v>
      </c>
      <c r="D7212" s="124" t="s">
        <v>17057</v>
      </c>
      <c r="E7212" s="125"/>
      <c r="F7212" s="118" t="s">
        <v>4628</v>
      </c>
      <c r="G7212" s="126" t="s">
        <v>17008</v>
      </c>
      <c r="H7212" s="255">
        <v>1</v>
      </c>
      <c r="I7212" s="361">
        <v>1</v>
      </c>
      <c r="J7212" s="368" t="s">
        <v>310</v>
      </c>
      <c r="K7212" s="361"/>
      <c r="L7212" s="361"/>
      <c r="W7212" s="129" t="s">
        <v>286</v>
      </c>
      <c r="X7212" s="337" t="b">
        <f t="shared" si="154"/>
        <v>0</v>
      </c>
    </row>
    <row r="7213" spans="1:24" s="337" customFormat="1" ht="12" customHeight="1" outlineLevel="1">
      <c r="A7213" s="335"/>
      <c r="B7213" s="118" t="s">
        <v>12</v>
      </c>
      <c r="C7213" s="334" t="s">
        <v>17058</v>
      </c>
      <c r="D7213" s="124" t="s">
        <v>17059</v>
      </c>
      <c r="E7213" s="125"/>
      <c r="F7213" s="118" t="s">
        <v>4628</v>
      </c>
      <c r="G7213" s="126" t="s">
        <v>17008</v>
      </c>
      <c r="H7213" s="255">
        <v>1</v>
      </c>
      <c r="I7213" s="361">
        <v>1</v>
      </c>
      <c r="J7213" s="368" t="s">
        <v>286</v>
      </c>
      <c r="K7213" s="361"/>
      <c r="L7213" s="361"/>
      <c r="W7213" s="129" t="s">
        <v>286</v>
      </c>
      <c r="X7213" s="337" t="b">
        <f t="shared" si="154"/>
        <v>1</v>
      </c>
    </row>
    <row r="7214" spans="1:24" s="337" customFormat="1" ht="12" customHeight="1" outlineLevel="1">
      <c r="A7214" s="335"/>
      <c r="B7214" s="118" t="s">
        <v>12</v>
      </c>
      <c r="C7214" s="334" t="s">
        <v>17060</v>
      </c>
      <c r="D7214" s="124" t="s">
        <v>17061</v>
      </c>
      <c r="E7214" s="125"/>
      <c r="F7214" s="118" t="s">
        <v>4628</v>
      </c>
      <c r="G7214" s="126" t="s">
        <v>17008</v>
      </c>
      <c r="H7214" s="255">
        <v>1</v>
      </c>
      <c r="I7214" s="361">
        <v>1</v>
      </c>
      <c r="J7214" s="368" t="s">
        <v>286</v>
      </c>
      <c r="K7214" s="361"/>
      <c r="L7214" s="361"/>
      <c r="W7214" s="129" t="s">
        <v>286</v>
      </c>
      <c r="X7214" s="337" t="b">
        <f t="shared" si="154"/>
        <v>1</v>
      </c>
    </row>
    <row r="7215" spans="1:24" s="337" customFormat="1" ht="12" customHeight="1" outlineLevel="1">
      <c r="A7215" s="335"/>
      <c r="B7215" s="118" t="s">
        <v>12</v>
      </c>
      <c r="C7215" s="334" t="s">
        <v>17062</v>
      </c>
      <c r="D7215" s="124" t="s">
        <v>8765</v>
      </c>
      <c r="E7215" s="125"/>
      <c r="F7215" s="118" t="s">
        <v>4628</v>
      </c>
      <c r="G7215" s="126" t="s">
        <v>17008</v>
      </c>
      <c r="H7215" s="255">
        <v>1</v>
      </c>
      <c r="I7215" s="361">
        <v>1</v>
      </c>
      <c r="J7215" s="368" t="s">
        <v>6148</v>
      </c>
      <c r="K7215" s="361"/>
      <c r="L7215" s="361"/>
      <c r="W7215" s="129" t="s">
        <v>325</v>
      </c>
      <c r="X7215" s="337" t="b">
        <f t="shared" si="154"/>
        <v>0</v>
      </c>
    </row>
    <row r="7216" spans="1:24" s="337" customFormat="1" ht="12" customHeight="1" outlineLevel="1">
      <c r="A7216" s="335"/>
      <c r="B7216" s="118" t="s">
        <v>12</v>
      </c>
      <c r="C7216" s="334" t="s">
        <v>17063</v>
      </c>
      <c r="D7216" s="124" t="s">
        <v>7307</v>
      </c>
      <c r="E7216" s="125"/>
      <c r="F7216" s="118" t="s">
        <v>4628</v>
      </c>
      <c r="G7216" s="126" t="s">
        <v>17008</v>
      </c>
      <c r="H7216" s="255">
        <v>1</v>
      </c>
      <c r="I7216" s="361">
        <v>1</v>
      </c>
      <c r="J7216" s="368" t="s">
        <v>325</v>
      </c>
      <c r="K7216" s="361"/>
      <c r="L7216" s="361"/>
      <c r="W7216" s="129" t="s">
        <v>307</v>
      </c>
      <c r="X7216" s="337" t="b">
        <f t="shared" si="154"/>
        <v>0</v>
      </c>
    </row>
    <row r="7217" spans="1:24" s="337" customFormat="1" ht="12" customHeight="1" outlineLevel="1">
      <c r="A7217" s="335"/>
      <c r="B7217" s="118" t="s">
        <v>12</v>
      </c>
      <c r="C7217" s="334" t="s">
        <v>17064</v>
      </c>
      <c r="D7217" s="124" t="s">
        <v>5222</v>
      </c>
      <c r="E7217" s="125"/>
      <c r="F7217" s="118" t="s">
        <v>4628</v>
      </c>
      <c r="G7217" s="126" t="s">
        <v>17008</v>
      </c>
      <c r="H7217" s="255">
        <v>1</v>
      </c>
      <c r="I7217" s="361">
        <v>1</v>
      </c>
      <c r="J7217" s="368" t="s">
        <v>286</v>
      </c>
      <c r="K7217" s="361"/>
      <c r="L7217" s="361"/>
      <c r="W7217" s="129" t="s">
        <v>4876</v>
      </c>
      <c r="X7217" s="337" t="b">
        <f t="shared" si="154"/>
        <v>0</v>
      </c>
    </row>
    <row r="7218" spans="1:24" s="337" customFormat="1" ht="12" customHeight="1" outlineLevel="1">
      <c r="A7218" s="335"/>
      <c r="B7218" s="118" t="s">
        <v>12</v>
      </c>
      <c r="C7218" s="334" t="s">
        <v>17065</v>
      </c>
      <c r="D7218" s="124" t="s">
        <v>17066</v>
      </c>
      <c r="E7218" s="125"/>
      <c r="F7218" s="118" t="s">
        <v>4628</v>
      </c>
      <c r="G7218" s="126" t="s">
        <v>17008</v>
      </c>
      <c r="H7218" s="255">
        <v>1</v>
      </c>
      <c r="I7218" s="361">
        <v>1</v>
      </c>
      <c r="J7218" s="368" t="s">
        <v>286</v>
      </c>
      <c r="K7218" s="361"/>
      <c r="L7218" s="361"/>
      <c r="W7218" s="129" t="s">
        <v>4876</v>
      </c>
      <c r="X7218" s="337" t="b">
        <f t="shared" si="154"/>
        <v>0</v>
      </c>
    </row>
    <row r="7219" spans="1:24" s="337" customFormat="1" ht="12" customHeight="1" outlineLevel="1">
      <c r="A7219" s="335"/>
      <c r="B7219" s="118" t="s">
        <v>12</v>
      </c>
      <c r="C7219" s="334" t="s">
        <v>17067</v>
      </c>
      <c r="D7219" s="124" t="s">
        <v>17068</v>
      </c>
      <c r="E7219" s="125"/>
      <c r="F7219" s="118" t="s">
        <v>4628</v>
      </c>
      <c r="G7219" s="126" t="s">
        <v>17008</v>
      </c>
      <c r="H7219" s="255">
        <v>1</v>
      </c>
      <c r="I7219" s="361">
        <v>1</v>
      </c>
      <c r="J7219" s="368" t="s">
        <v>286</v>
      </c>
      <c r="K7219" s="361"/>
      <c r="L7219" s="361"/>
      <c r="W7219" s="129" t="s">
        <v>4876</v>
      </c>
      <c r="X7219" s="337" t="b">
        <f t="shared" si="154"/>
        <v>0</v>
      </c>
    </row>
    <row r="7220" spans="1:24" s="337" customFormat="1" ht="12" customHeight="1" outlineLevel="1">
      <c r="A7220" s="335"/>
      <c r="B7220" s="118" t="s">
        <v>12</v>
      </c>
      <c r="C7220" s="334" t="s">
        <v>17069</v>
      </c>
      <c r="D7220" s="124" t="s">
        <v>17070</v>
      </c>
      <c r="E7220" s="125"/>
      <c r="F7220" s="118" t="s">
        <v>4628</v>
      </c>
      <c r="G7220" s="126" t="s">
        <v>17008</v>
      </c>
      <c r="H7220" s="255">
        <v>1</v>
      </c>
      <c r="I7220" s="361">
        <v>1</v>
      </c>
      <c r="J7220" s="368" t="s">
        <v>286</v>
      </c>
      <c r="K7220" s="361"/>
      <c r="L7220" s="361"/>
      <c r="W7220" s="129" t="s">
        <v>4876</v>
      </c>
      <c r="X7220" s="337" t="b">
        <f t="shared" si="154"/>
        <v>0</v>
      </c>
    </row>
    <row r="7221" spans="1:24" s="337" customFormat="1" ht="12" customHeight="1" outlineLevel="1">
      <c r="A7221" s="335"/>
      <c r="B7221" s="118" t="s">
        <v>12</v>
      </c>
      <c r="C7221" s="334" t="s">
        <v>17071</v>
      </c>
      <c r="D7221" s="124" t="s">
        <v>17072</v>
      </c>
      <c r="E7221" s="125"/>
      <c r="F7221" s="118" t="s">
        <v>4628</v>
      </c>
      <c r="G7221" s="126" t="s">
        <v>17008</v>
      </c>
      <c r="H7221" s="255">
        <v>1</v>
      </c>
      <c r="I7221" s="361">
        <v>1</v>
      </c>
      <c r="J7221" s="368" t="s">
        <v>286</v>
      </c>
      <c r="K7221" s="361"/>
      <c r="L7221" s="361"/>
      <c r="W7221" s="129" t="s">
        <v>4876</v>
      </c>
      <c r="X7221" s="337" t="b">
        <f t="shared" si="154"/>
        <v>0</v>
      </c>
    </row>
    <row r="7222" spans="1:24" s="337" customFormat="1" ht="12" customHeight="1" outlineLevel="1">
      <c r="A7222" s="335"/>
      <c r="B7222" s="118" t="s">
        <v>12</v>
      </c>
      <c r="C7222" s="334" t="s">
        <v>17073</v>
      </c>
      <c r="D7222" s="124" t="s">
        <v>17074</v>
      </c>
      <c r="E7222" s="125"/>
      <c r="F7222" s="118" t="s">
        <v>4628</v>
      </c>
      <c r="G7222" s="126" t="s">
        <v>17008</v>
      </c>
      <c r="H7222" s="255">
        <v>1</v>
      </c>
      <c r="I7222" s="361">
        <v>1</v>
      </c>
      <c r="J7222" s="368" t="s">
        <v>286</v>
      </c>
      <c r="K7222" s="361"/>
      <c r="L7222" s="361"/>
      <c r="W7222" s="129" t="s">
        <v>4876</v>
      </c>
      <c r="X7222" s="337" t="b">
        <f t="shared" si="154"/>
        <v>0</v>
      </c>
    </row>
    <row r="7223" spans="1:24" s="337" customFormat="1" ht="12" customHeight="1" outlineLevel="1">
      <c r="A7223" s="335"/>
      <c r="B7223" s="118" t="s">
        <v>12</v>
      </c>
      <c r="C7223" s="334" t="s">
        <v>17075</v>
      </c>
      <c r="D7223" s="124" t="s">
        <v>17076</v>
      </c>
      <c r="E7223" s="125"/>
      <c r="F7223" s="118" t="s">
        <v>4628</v>
      </c>
      <c r="G7223" s="126" t="s">
        <v>17008</v>
      </c>
      <c r="H7223" s="255">
        <v>1</v>
      </c>
      <c r="I7223" s="361">
        <v>1</v>
      </c>
      <c r="J7223" s="368" t="s">
        <v>286</v>
      </c>
      <c r="K7223" s="361"/>
      <c r="L7223" s="361"/>
      <c r="W7223" s="129" t="s">
        <v>4876</v>
      </c>
      <c r="X7223" s="337" t="b">
        <f t="shared" si="154"/>
        <v>0</v>
      </c>
    </row>
    <row r="7224" spans="1:24" s="337" customFormat="1" ht="12" customHeight="1" outlineLevel="1">
      <c r="A7224" s="335"/>
      <c r="B7224" s="118" t="s">
        <v>12</v>
      </c>
      <c r="C7224" s="334" t="s">
        <v>17077</v>
      </c>
      <c r="D7224" s="124" t="s">
        <v>17078</v>
      </c>
      <c r="E7224" s="125"/>
      <c r="F7224" s="118" t="s">
        <v>4628</v>
      </c>
      <c r="G7224" s="126" t="s">
        <v>17008</v>
      </c>
      <c r="H7224" s="255">
        <v>1</v>
      </c>
      <c r="I7224" s="361">
        <v>1</v>
      </c>
      <c r="J7224" s="368" t="s">
        <v>286</v>
      </c>
      <c r="K7224" s="361"/>
      <c r="L7224" s="361"/>
      <c r="W7224" s="129" t="s">
        <v>4876</v>
      </c>
      <c r="X7224" s="337" t="b">
        <f t="shared" si="154"/>
        <v>0</v>
      </c>
    </row>
    <row r="7225" spans="1:24" s="337" customFormat="1" ht="12" customHeight="1" outlineLevel="1">
      <c r="A7225" s="335"/>
      <c r="B7225" s="118" t="s">
        <v>12</v>
      </c>
      <c r="C7225" s="334" t="s">
        <v>17079</v>
      </c>
      <c r="D7225" s="124" t="s">
        <v>17080</v>
      </c>
      <c r="E7225" s="125"/>
      <c r="F7225" s="118" t="s">
        <v>4628</v>
      </c>
      <c r="G7225" s="126" t="s">
        <v>17008</v>
      </c>
      <c r="H7225" s="255">
        <v>1</v>
      </c>
      <c r="I7225" s="361">
        <v>1</v>
      </c>
      <c r="J7225" s="368" t="s">
        <v>286</v>
      </c>
      <c r="K7225" s="361"/>
      <c r="L7225" s="361"/>
      <c r="W7225" s="129" t="s">
        <v>4876</v>
      </c>
      <c r="X7225" s="337" t="b">
        <f t="shared" si="154"/>
        <v>0</v>
      </c>
    </row>
    <row r="7226" spans="1:24" s="337" customFormat="1" ht="12" customHeight="1" outlineLevel="1">
      <c r="A7226" s="335"/>
      <c r="B7226" s="118" t="s">
        <v>12</v>
      </c>
      <c r="C7226" s="334" t="s">
        <v>17081</v>
      </c>
      <c r="D7226" s="124" t="s">
        <v>17082</v>
      </c>
      <c r="E7226" s="125"/>
      <c r="F7226" s="118" t="s">
        <v>4628</v>
      </c>
      <c r="G7226" s="126" t="s">
        <v>17008</v>
      </c>
      <c r="H7226" s="255">
        <v>1</v>
      </c>
      <c r="I7226" s="361">
        <v>1</v>
      </c>
      <c r="J7226" s="368" t="s">
        <v>286</v>
      </c>
      <c r="K7226" s="361"/>
      <c r="L7226" s="361"/>
      <c r="W7226" s="129" t="s">
        <v>4876</v>
      </c>
      <c r="X7226" s="337" t="b">
        <f t="shared" si="154"/>
        <v>0</v>
      </c>
    </row>
    <row r="7227" spans="1:24" s="337" customFormat="1" ht="12" customHeight="1" outlineLevel="1">
      <c r="A7227" s="335"/>
      <c r="B7227" s="118" t="s">
        <v>12</v>
      </c>
      <c r="C7227" s="334" t="s">
        <v>17083</v>
      </c>
      <c r="D7227" s="124" t="s">
        <v>17084</v>
      </c>
      <c r="E7227" s="125"/>
      <c r="F7227" s="118" t="s">
        <v>4628</v>
      </c>
      <c r="G7227" s="126" t="s">
        <v>17008</v>
      </c>
      <c r="H7227" s="255">
        <v>1</v>
      </c>
      <c r="I7227" s="361">
        <v>1</v>
      </c>
      <c r="J7227" s="368" t="s">
        <v>286</v>
      </c>
      <c r="K7227" s="361"/>
      <c r="L7227" s="361"/>
      <c r="W7227" s="129" t="s">
        <v>4876</v>
      </c>
      <c r="X7227" s="337" t="b">
        <f t="shared" si="154"/>
        <v>0</v>
      </c>
    </row>
    <row r="7228" spans="1:24" s="337" customFormat="1" ht="12" customHeight="1" outlineLevel="1">
      <c r="A7228" s="335"/>
      <c r="B7228" s="118" t="s">
        <v>12</v>
      </c>
      <c r="C7228" s="334" t="s">
        <v>17085</v>
      </c>
      <c r="D7228" s="124" t="s">
        <v>17086</v>
      </c>
      <c r="E7228" s="125"/>
      <c r="F7228" s="118" t="s">
        <v>4628</v>
      </c>
      <c r="G7228" s="126" t="s">
        <v>17008</v>
      </c>
      <c r="H7228" s="255">
        <v>1</v>
      </c>
      <c r="I7228" s="361">
        <v>1</v>
      </c>
      <c r="J7228" s="368" t="s">
        <v>286</v>
      </c>
      <c r="K7228" s="361"/>
      <c r="L7228" s="361"/>
      <c r="W7228" s="129" t="s">
        <v>4876</v>
      </c>
      <c r="X7228" s="337" t="b">
        <f t="shared" si="154"/>
        <v>0</v>
      </c>
    </row>
    <row r="7229" spans="1:24" s="337" customFormat="1" ht="12" customHeight="1" outlineLevel="1">
      <c r="A7229" s="335"/>
      <c r="B7229" s="118" t="s">
        <v>12</v>
      </c>
      <c r="C7229" s="334" t="s">
        <v>17087</v>
      </c>
      <c r="D7229" s="124" t="s">
        <v>17088</v>
      </c>
      <c r="E7229" s="125"/>
      <c r="F7229" s="118" t="s">
        <v>4628</v>
      </c>
      <c r="G7229" s="126" t="s">
        <v>17008</v>
      </c>
      <c r="H7229" s="255">
        <v>1</v>
      </c>
      <c r="I7229" s="361">
        <v>1</v>
      </c>
      <c r="J7229" s="368" t="s">
        <v>286</v>
      </c>
      <c r="K7229" s="361"/>
      <c r="L7229" s="361"/>
      <c r="W7229" s="129" t="s">
        <v>4876</v>
      </c>
      <c r="X7229" s="337" t="b">
        <f t="shared" si="154"/>
        <v>0</v>
      </c>
    </row>
    <row r="7230" spans="1:24" s="337" customFormat="1" ht="12" customHeight="1" outlineLevel="1">
      <c r="A7230" s="335"/>
      <c r="B7230" s="118" t="s">
        <v>12</v>
      </c>
      <c r="C7230" s="334" t="s">
        <v>17089</v>
      </c>
      <c r="D7230" s="124" t="s">
        <v>17090</v>
      </c>
      <c r="E7230" s="125"/>
      <c r="F7230" s="118" t="s">
        <v>4628</v>
      </c>
      <c r="G7230" s="126" t="s">
        <v>17008</v>
      </c>
      <c r="H7230" s="255">
        <v>1</v>
      </c>
      <c r="I7230" s="361">
        <v>1</v>
      </c>
      <c r="J7230" s="368" t="s">
        <v>286</v>
      </c>
      <c r="K7230" s="361"/>
      <c r="L7230" s="361"/>
      <c r="W7230" s="129" t="s">
        <v>310</v>
      </c>
      <c r="X7230" s="337" t="b">
        <f t="shared" si="154"/>
        <v>0</v>
      </c>
    </row>
    <row r="7231" spans="1:24" s="337" customFormat="1" ht="12" customHeight="1" outlineLevel="1">
      <c r="A7231" s="335"/>
      <c r="B7231" s="118" t="s">
        <v>12</v>
      </c>
      <c r="C7231" s="334" t="s">
        <v>17091</v>
      </c>
      <c r="D7231" s="124" t="s">
        <v>17092</v>
      </c>
      <c r="E7231" s="125"/>
      <c r="F7231" s="118" t="s">
        <v>4628</v>
      </c>
      <c r="G7231" s="126" t="s">
        <v>17008</v>
      </c>
      <c r="H7231" s="255">
        <v>1</v>
      </c>
      <c r="I7231" s="361">
        <v>1</v>
      </c>
      <c r="J7231" s="368" t="s">
        <v>286</v>
      </c>
      <c r="K7231" s="361"/>
      <c r="L7231" s="361"/>
      <c r="W7231" s="129" t="s">
        <v>310</v>
      </c>
      <c r="X7231" s="337" t="b">
        <f t="shared" si="154"/>
        <v>0</v>
      </c>
    </row>
    <row r="7232" spans="1:24" s="337" customFormat="1" ht="12" customHeight="1" outlineLevel="1">
      <c r="A7232" s="335"/>
      <c r="B7232" s="118" t="s">
        <v>12</v>
      </c>
      <c r="C7232" s="334" t="s">
        <v>17093</v>
      </c>
      <c r="D7232" s="124" t="s">
        <v>17094</v>
      </c>
      <c r="E7232" s="125"/>
      <c r="F7232" s="118" t="s">
        <v>4628</v>
      </c>
      <c r="G7232" s="126" t="s">
        <v>17008</v>
      </c>
      <c r="H7232" s="255">
        <v>1</v>
      </c>
      <c r="I7232" s="361">
        <v>1</v>
      </c>
      <c r="J7232" s="368" t="s">
        <v>286</v>
      </c>
      <c r="K7232" s="361"/>
      <c r="L7232" s="361"/>
      <c r="W7232" s="129" t="s">
        <v>310</v>
      </c>
      <c r="X7232" s="337" t="b">
        <f t="shared" si="154"/>
        <v>0</v>
      </c>
    </row>
    <row r="7233" spans="1:24" s="337" customFormat="1" ht="12" customHeight="1" outlineLevel="1">
      <c r="A7233" s="335"/>
      <c r="B7233" s="118" t="s">
        <v>12</v>
      </c>
      <c r="C7233" s="334" t="s">
        <v>17095</v>
      </c>
      <c r="D7233" s="124" t="s">
        <v>17096</v>
      </c>
      <c r="E7233" s="125"/>
      <c r="F7233" s="118" t="s">
        <v>4628</v>
      </c>
      <c r="G7233" s="126" t="s">
        <v>17008</v>
      </c>
      <c r="H7233" s="255">
        <v>1</v>
      </c>
      <c r="I7233" s="361">
        <v>1</v>
      </c>
      <c r="J7233" s="368" t="s">
        <v>286</v>
      </c>
      <c r="K7233" s="361"/>
      <c r="L7233" s="361"/>
      <c r="W7233" s="129" t="s">
        <v>310</v>
      </c>
      <c r="X7233" s="337" t="b">
        <f t="shared" si="154"/>
        <v>0</v>
      </c>
    </row>
    <row r="7234" spans="1:24" s="337" customFormat="1" ht="12" customHeight="1" outlineLevel="1">
      <c r="A7234" s="335"/>
      <c r="B7234" s="118" t="s">
        <v>12</v>
      </c>
      <c r="C7234" s="334" t="s">
        <v>17097</v>
      </c>
      <c r="D7234" s="124" t="s">
        <v>17098</v>
      </c>
      <c r="E7234" s="125"/>
      <c r="F7234" s="118" t="s">
        <v>4628</v>
      </c>
      <c r="G7234" s="126" t="s">
        <v>17008</v>
      </c>
      <c r="H7234" s="255">
        <v>1</v>
      </c>
      <c r="I7234" s="361">
        <v>1</v>
      </c>
      <c r="J7234" s="368" t="s">
        <v>286</v>
      </c>
      <c r="K7234" s="361"/>
      <c r="L7234" s="361"/>
      <c r="W7234" s="129" t="s">
        <v>310</v>
      </c>
      <c r="X7234" s="337" t="b">
        <f t="shared" si="154"/>
        <v>0</v>
      </c>
    </row>
    <row r="7235" spans="1:24" s="337" customFormat="1" ht="12" customHeight="1" outlineLevel="1">
      <c r="A7235" s="335"/>
      <c r="B7235" s="118" t="s">
        <v>12</v>
      </c>
      <c r="C7235" s="334" t="s">
        <v>17099</v>
      </c>
      <c r="D7235" s="124" t="s">
        <v>17100</v>
      </c>
      <c r="E7235" s="125"/>
      <c r="F7235" s="118" t="s">
        <v>4628</v>
      </c>
      <c r="G7235" s="126" t="s">
        <v>17008</v>
      </c>
      <c r="H7235" s="255">
        <v>1</v>
      </c>
      <c r="I7235" s="361">
        <v>1</v>
      </c>
      <c r="J7235" s="368" t="s">
        <v>286</v>
      </c>
      <c r="K7235" s="361"/>
      <c r="L7235" s="361"/>
      <c r="W7235" s="129" t="s">
        <v>310</v>
      </c>
      <c r="X7235" s="337" t="b">
        <f t="shared" si="154"/>
        <v>0</v>
      </c>
    </row>
    <row r="7236" spans="1:24" s="337" customFormat="1" ht="12" customHeight="1" outlineLevel="1">
      <c r="A7236" s="335"/>
      <c r="B7236" s="118" t="s">
        <v>12</v>
      </c>
      <c r="C7236" s="334" t="s">
        <v>17101</v>
      </c>
      <c r="D7236" s="124" t="s">
        <v>17102</v>
      </c>
      <c r="E7236" s="125"/>
      <c r="F7236" s="118" t="s">
        <v>4628</v>
      </c>
      <c r="G7236" s="126" t="s">
        <v>17008</v>
      </c>
      <c r="H7236" s="255">
        <v>1</v>
      </c>
      <c r="I7236" s="361">
        <v>1</v>
      </c>
      <c r="J7236" s="368" t="s">
        <v>286</v>
      </c>
      <c r="K7236" s="361"/>
      <c r="L7236" s="361"/>
      <c r="W7236" s="129" t="s">
        <v>310</v>
      </c>
      <c r="X7236" s="337" t="b">
        <f t="shared" si="154"/>
        <v>0</v>
      </c>
    </row>
    <row r="7237" spans="1:24" s="337" customFormat="1" ht="12" customHeight="1" outlineLevel="1">
      <c r="A7237" s="335"/>
      <c r="B7237" s="118" t="s">
        <v>12</v>
      </c>
      <c r="C7237" s="334" t="s">
        <v>17103</v>
      </c>
      <c r="D7237" s="124" t="s">
        <v>17104</v>
      </c>
      <c r="E7237" s="125"/>
      <c r="F7237" s="118" t="s">
        <v>4628</v>
      </c>
      <c r="G7237" s="126" t="s">
        <v>17008</v>
      </c>
      <c r="H7237" s="255">
        <v>1</v>
      </c>
      <c r="I7237" s="361">
        <v>1</v>
      </c>
      <c r="J7237" s="368" t="s">
        <v>286</v>
      </c>
      <c r="K7237" s="361"/>
      <c r="L7237" s="361"/>
      <c r="W7237" s="129" t="s">
        <v>310</v>
      </c>
      <c r="X7237" s="337" t="b">
        <f t="shared" si="154"/>
        <v>0</v>
      </c>
    </row>
    <row r="7238" spans="1:24" s="337" customFormat="1" ht="12" customHeight="1" outlineLevel="1">
      <c r="A7238" s="335"/>
      <c r="B7238" s="118" t="s">
        <v>12</v>
      </c>
      <c r="C7238" s="334" t="s">
        <v>17105</v>
      </c>
      <c r="D7238" s="124" t="s">
        <v>17106</v>
      </c>
      <c r="E7238" s="125"/>
      <c r="F7238" s="118" t="s">
        <v>4628</v>
      </c>
      <c r="G7238" s="126" t="s">
        <v>17008</v>
      </c>
      <c r="H7238" s="255">
        <v>1</v>
      </c>
      <c r="I7238" s="361">
        <v>1</v>
      </c>
      <c r="J7238" s="368" t="s">
        <v>286</v>
      </c>
      <c r="K7238" s="361"/>
      <c r="L7238" s="361"/>
      <c r="W7238" s="129" t="s">
        <v>310</v>
      </c>
      <c r="X7238" s="337" t="b">
        <f t="shared" si="154"/>
        <v>0</v>
      </c>
    </row>
    <row r="7239" spans="1:24" s="337" customFormat="1" ht="12" customHeight="1" outlineLevel="1">
      <c r="A7239" s="335"/>
      <c r="B7239" s="118" t="s">
        <v>12</v>
      </c>
      <c r="C7239" s="334" t="s">
        <v>17107</v>
      </c>
      <c r="D7239" s="124" t="s">
        <v>17108</v>
      </c>
      <c r="E7239" s="125"/>
      <c r="F7239" s="118" t="s">
        <v>4628</v>
      </c>
      <c r="G7239" s="126" t="s">
        <v>17008</v>
      </c>
      <c r="H7239" s="255">
        <v>1</v>
      </c>
      <c r="I7239" s="361">
        <v>1</v>
      </c>
      <c r="J7239" s="368" t="s">
        <v>286</v>
      </c>
      <c r="K7239" s="361"/>
      <c r="L7239" s="361"/>
      <c r="W7239" s="129" t="s">
        <v>310</v>
      </c>
      <c r="X7239" s="337" t="b">
        <f t="shared" si="154"/>
        <v>0</v>
      </c>
    </row>
    <row r="7240" spans="1:24" s="337" customFormat="1" ht="12" customHeight="1" outlineLevel="1">
      <c r="A7240" s="335"/>
      <c r="B7240" s="118" t="s">
        <v>12</v>
      </c>
      <c r="C7240" s="334" t="s">
        <v>17109</v>
      </c>
      <c r="D7240" s="124" t="s">
        <v>17110</v>
      </c>
      <c r="E7240" s="125"/>
      <c r="F7240" s="118" t="s">
        <v>4628</v>
      </c>
      <c r="G7240" s="126" t="s">
        <v>17008</v>
      </c>
      <c r="H7240" s="255">
        <v>1</v>
      </c>
      <c r="I7240" s="361">
        <v>1</v>
      </c>
      <c r="J7240" s="368" t="s">
        <v>286</v>
      </c>
      <c r="K7240" s="361"/>
      <c r="L7240" s="361"/>
      <c r="W7240" s="129" t="s">
        <v>310</v>
      </c>
      <c r="X7240" s="337" t="b">
        <f t="shared" si="154"/>
        <v>0</v>
      </c>
    </row>
    <row r="7241" spans="1:24" s="337" customFormat="1" ht="12" customHeight="1" outlineLevel="1">
      <c r="A7241" s="335"/>
      <c r="B7241" s="118" t="s">
        <v>12</v>
      </c>
      <c r="C7241" s="334" t="s">
        <v>17111</v>
      </c>
      <c r="D7241" s="124" t="s">
        <v>17112</v>
      </c>
      <c r="E7241" s="125"/>
      <c r="F7241" s="118" t="s">
        <v>4628</v>
      </c>
      <c r="G7241" s="126" t="s">
        <v>17008</v>
      </c>
      <c r="H7241" s="255">
        <v>1</v>
      </c>
      <c r="I7241" s="361">
        <v>1</v>
      </c>
      <c r="J7241" s="368" t="s">
        <v>286</v>
      </c>
      <c r="K7241" s="361"/>
      <c r="L7241" s="361"/>
      <c r="W7241" s="129" t="s">
        <v>310</v>
      </c>
      <c r="X7241" s="337" t="b">
        <f t="shared" si="154"/>
        <v>0</v>
      </c>
    </row>
    <row r="7242" spans="1:24" s="337" customFormat="1" ht="12" customHeight="1" outlineLevel="1">
      <c r="A7242" s="335"/>
      <c r="B7242" s="118" t="s">
        <v>12</v>
      </c>
      <c r="C7242" s="334" t="s">
        <v>17113</v>
      </c>
      <c r="D7242" s="124" t="s">
        <v>17114</v>
      </c>
      <c r="E7242" s="125"/>
      <c r="F7242" s="118" t="s">
        <v>4628</v>
      </c>
      <c r="G7242" s="126" t="s">
        <v>17008</v>
      </c>
      <c r="H7242" s="255">
        <v>1</v>
      </c>
      <c r="I7242" s="361">
        <v>1</v>
      </c>
      <c r="J7242" s="368" t="s">
        <v>286</v>
      </c>
      <c r="K7242" s="361"/>
      <c r="L7242" s="361"/>
      <c r="W7242" s="129" t="s">
        <v>310</v>
      </c>
      <c r="X7242" s="337" t="b">
        <f t="shared" si="154"/>
        <v>0</v>
      </c>
    </row>
    <row r="7243" spans="1:24" s="337" customFormat="1" ht="12" customHeight="1" outlineLevel="1">
      <c r="A7243" s="335"/>
      <c r="B7243" s="118" t="s">
        <v>12</v>
      </c>
      <c r="C7243" s="334" t="s">
        <v>17115</v>
      </c>
      <c r="D7243" s="124" t="s">
        <v>17116</v>
      </c>
      <c r="E7243" s="125"/>
      <c r="F7243" s="118" t="s">
        <v>4628</v>
      </c>
      <c r="G7243" s="126" t="s">
        <v>17008</v>
      </c>
      <c r="H7243" s="255">
        <v>1</v>
      </c>
      <c r="I7243" s="361">
        <v>1</v>
      </c>
      <c r="J7243" s="368" t="s">
        <v>286</v>
      </c>
      <c r="K7243" s="361"/>
      <c r="L7243" s="361"/>
      <c r="W7243" s="129" t="s">
        <v>310</v>
      </c>
      <c r="X7243" s="337" t="b">
        <f t="shared" si="154"/>
        <v>0</v>
      </c>
    </row>
    <row r="7244" spans="1:24" s="337" customFormat="1" ht="12" customHeight="1" outlineLevel="1">
      <c r="A7244" s="335"/>
      <c r="B7244" s="118" t="s">
        <v>12</v>
      </c>
      <c r="C7244" s="334" t="s">
        <v>17117</v>
      </c>
      <c r="D7244" s="124" t="s">
        <v>17118</v>
      </c>
      <c r="E7244" s="125"/>
      <c r="F7244" s="118" t="s">
        <v>4628</v>
      </c>
      <c r="G7244" s="126" t="s">
        <v>17008</v>
      </c>
      <c r="H7244" s="255">
        <v>1</v>
      </c>
      <c r="I7244" s="361">
        <v>1</v>
      </c>
      <c r="J7244" s="368" t="s">
        <v>286</v>
      </c>
      <c r="K7244" s="361"/>
      <c r="L7244" s="361"/>
      <c r="W7244" s="129" t="s">
        <v>310</v>
      </c>
      <c r="X7244" s="337" t="b">
        <f t="shared" si="154"/>
        <v>0</v>
      </c>
    </row>
    <row r="7245" spans="1:24" s="337" customFormat="1" ht="12" customHeight="1" outlineLevel="1">
      <c r="A7245" s="335"/>
      <c r="B7245" s="118" t="s">
        <v>12</v>
      </c>
      <c r="C7245" s="334" t="s">
        <v>17119</v>
      </c>
      <c r="D7245" s="124" t="s">
        <v>17120</v>
      </c>
      <c r="E7245" s="125"/>
      <c r="F7245" s="118" t="s">
        <v>4628</v>
      </c>
      <c r="G7245" s="126" t="s">
        <v>17008</v>
      </c>
      <c r="H7245" s="255">
        <v>1</v>
      </c>
      <c r="I7245" s="361">
        <v>1</v>
      </c>
      <c r="J7245" s="368" t="s">
        <v>286</v>
      </c>
      <c r="K7245" s="361"/>
      <c r="L7245" s="361"/>
      <c r="W7245" s="129" t="s">
        <v>4876</v>
      </c>
      <c r="X7245" s="337" t="b">
        <f t="shared" si="154"/>
        <v>0</v>
      </c>
    </row>
    <row r="7246" spans="1:24" s="337" customFormat="1" ht="12" customHeight="1" outlineLevel="1">
      <c r="A7246" s="335"/>
      <c r="B7246" s="118" t="s">
        <v>12</v>
      </c>
      <c r="C7246" s="334" t="s">
        <v>17121</v>
      </c>
      <c r="D7246" s="124" t="s">
        <v>17122</v>
      </c>
      <c r="E7246" s="125"/>
      <c r="F7246" s="118" t="s">
        <v>4628</v>
      </c>
      <c r="G7246" s="126" t="s">
        <v>17008</v>
      </c>
      <c r="H7246" s="255">
        <v>1</v>
      </c>
      <c r="I7246" s="361">
        <v>1</v>
      </c>
      <c r="J7246" s="368" t="s">
        <v>286</v>
      </c>
      <c r="K7246" s="361"/>
      <c r="L7246" s="361"/>
      <c r="W7246" s="129" t="s">
        <v>4876</v>
      </c>
      <c r="X7246" s="337" t="b">
        <f t="shared" si="154"/>
        <v>0</v>
      </c>
    </row>
    <row r="7247" spans="1:24" s="337" customFormat="1" ht="12" customHeight="1" outlineLevel="1">
      <c r="A7247" s="335"/>
      <c r="B7247" s="118" t="s">
        <v>12</v>
      </c>
      <c r="C7247" s="334" t="s">
        <v>17123</v>
      </c>
      <c r="D7247" s="124" t="s">
        <v>17124</v>
      </c>
      <c r="E7247" s="125"/>
      <c r="F7247" s="118" t="s">
        <v>4628</v>
      </c>
      <c r="G7247" s="126" t="s">
        <v>17008</v>
      </c>
      <c r="H7247" s="255">
        <v>1</v>
      </c>
      <c r="I7247" s="361">
        <v>1</v>
      </c>
      <c r="J7247" s="368" t="s">
        <v>286</v>
      </c>
      <c r="K7247" s="361"/>
      <c r="L7247" s="361"/>
      <c r="W7247" s="129" t="s">
        <v>4876</v>
      </c>
      <c r="X7247" s="337" t="b">
        <f t="shared" si="154"/>
        <v>0</v>
      </c>
    </row>
    <row r="7248" spans="1:24" s="337" customFormat="1" ht="12" customHeight="1" outlineLevel="1">
      <c r="A7248" s="335"/>
      <c r="B7248" s="118" t="s">
        <v>12</v>
      </c>
      <c r="C7248" s="334" t="s">
        <v>17125</v>
      </c>
      <c r="D7248" s="124" t="s">
        <v>17126</v>
      </c>
      <c r="E7248" s="125"/>
      <c r="F7248" s="118" t="s">
        <v>4628</v>
      </c>
      <c r="G7248" s="126" t="s">
        <v>17008</v>
      </c>
      <c r="H7248" s="255">
        <v>1</v>
      </c>
      <c r="I7248" s="361">
        <v>1</v>
      </c>
      <c r="J7248" s="368" t="s">
        <v>286</v>
      </c>
      <c r="K7248" s="361"/>
      <c r="L7248" s="361"/>
      <c r="W7248" s="129" t="s">
        <v>4876</v>
      </c>
      <c r="X7248" s="337" t="b">
        <f t="shared" si="154"/>
        <v>0</v>
      </c>
    </row>
    <row r="7249" spans="1:24" s="337" customFormat="1" ht="12" customHeight="1" outlineLevel="1">
      <c r="A7249" s="335"/>
      <c r="B7249" s="118" t="s">
        <v>12</v>
      </c>
      <c r="C7249" s="334" t="s">
        <v>17127</v>
      </c>
      <c r="D7249" s="124" t="s">
        <v>17128</v>
      </c>
      <c r="E7249" s="125"/>
      <c r="F7249" s="118" t="s">
        <v>4628</v>
      </c>
      <c r="G7249" s="126" t="s">
        <v>17008</v>
      </c>
      <c r="H7249" s="255">
        <v>1</v>
      </c>
      <c r="I7249" s="361">
        <v>1</v>
      </c>
      <c r="J7249" s="368" t="s">
        <v>286</v>
      </c>
      <c r="K7249" s="361"/>
      <c r="L7249" s="361"/>
      <c r="W7249" s="129" t="s">
        <v>4876</v>
      </c>
      <c r="X7249" s="337" t="b">
        <f t="shared" si="154"/>
        <v>0</v>
      </c>
    </row>
    <row r="7250" spans="1:24" s="337" customFormat="1" ht="12" customHeight="1" outlineLevel="1">
      <c r="A7250" s="335"/>
      <c r="B7250" s="118" t="s">
        <v>12</v>
      </c>
      <c r="C7250" s="334" t="s">
        <v>17129</v>
      </c>
      <c r="D7250" s="124" t="s">
        <v>17130</v>
      </c>
      <c r="E7250" s="125"/>
      <c r="F7250" s="118" t="s">
        <v>4628</v>
      </c>
      <c r="G7250" s="126" t="s">
        <v>17008</v>
      </c>
      <c r="H7250" s="255">
        <v>1</v>
      </c>
      <c r="I7250" s="361">
        <v>1</v>
      </c>
      <c r="J7250" s="368" t="s">
        <v>286</v>
      </c>
      <c r="K7250" s="361"/>
      <c r="L7250" s="361"/>
      <c r="W7250" s="129" t="s">
        <v>4876</v>
      </c>
      <c r="X7250" s="337" t="b">
        <f t="shared" si="154"/>
        <v>0</v>
      </c>
    </row>
    <row r="7251" spans="1:24" s="337" customFormat="1" ht="12" customHeight="1" outlineLevel="1">
      <c r="A7251" s="335"/>
      <c r="B7251" s="118" t="s">
        <v>12</v>
      </c>
      <c r="C7251" s="334" t="s">
        <v>17131</v>
      </c>
      <c r="D7251" s="124" t="s">
        <v>17132</v>
      </c>
      <c r="E7251" s="125"/>
      <c r="F7251" s="118" t="s">
        <v>4628</v>
      </c>
      <c r="G7251" s="126" t="s">
        <v>17008</v>
      </c>
      <c r="H7251" s="255">
        <v>1</v>
      </c>
      <c r="I7251" s="361">
        <v>1</v>
      </c>
      <c r="J7251" s="368" t="s">
        <v>286</v>
      </c>
      <c r="K7251" s="361"/>
      <c r="L7251" s="361"/>
      <c r="W7251" s="129" t="s">
        <v>4876</v>
      </c>
      <c r="X7251" s="337" t="b">
        <f t="shared" si="154"/>
        <v>0</v>
      </c>
    </row>
    <row r="7252" spans="1:24" s="337" customFormat="1" ht="12" customHeight="1" outlineLevel="1">
      <c r="A7252" s="335"/>
      <c r="B7252" s="118" t="s">
        <v>12</v>
      </c>
      <c r="C7252" s="334" t="s">
        <v>17133</v>
      </c>
      <c r="D7252" s="124" t="s">
        <v>17134</v>
      </c>
      <c r="E7252" s="125"/>
      <c r="F7252" s="118" t="s">
        <v>4628</v>
      </c>
      <c r="G7252" s="126" t="s">
        <v>17008</v>
      </c>
      <c r="H7252" s="255">
        <v>1</v>
      </c>
      <c r="I7252" s="361">
        <v>1</v>
      </c>
      <c r="J7252" s="368" t="s">
        <v>286</v>
      </c>
      <c r="K7252" s="361"/>
      <c r="L7252" s="361"/>
      <c r="W7252" s="129" t="s">
        <v>4876</v>
      </c>
      <c r="X7252" s="337" t="b">
        <f t="shared" ref="X7252:X7315" si="155">W7252=J7252</f>
        <v>0</v>
      </c>
    </row>
    <row r="7253" spans="1:24" s="337" customFormat="1" ht="12" customHeight="1" outlineLevel="1">
      <c r="A7253" s="335"/>
      <c r="B7253" s="118" t="s">
        <v>12</v>
      </c>
      <c r="C7253" s="334" t="s">
        <v>17135</v>
      </c>
      <c r="D7253" s="124" t="s">
        <v>17136</v>
      </c>
      <c r="E7253" s="125"/>
      <c r="F7253" s="118" t="s">
        <v>4628</v>
      </c>
      <c r="G7253" s="126" t="s">
        <v>17008</v>
      </c>
      <c r="H7253" s="255">
        <v>1</v>
      </c>
      <c r="I7253" s="361">
        <v>1</v>
      </c>
      <c r="J7253" s="368" t="s">
        <v>286</v>
      </c>
      <c r="K7253" s="361"/>
      <c r="L7253" s="361"/>
      <c r="W7253" s="129" t="s">
        <v>4876</v>
      </c>
      <c r="X7253" s="337" t="b">
        <f t="shared" si="155"/>
        <v>0</v>
      </c>
    </row>
    <row r="7254" spans="1:24" s="337" customFormat="1" ht="12" customHeight="1" outlineLevel="1">
      <c r="A7254" s="335"/>
      <c r="B7254" s="118" t="s">
        <v>12</v>
      </c>
      <c r="C7254" s="334" t="s">
        <v>17137</v>
      </c>
      <c r="D7254" s="124" t="s">
        <v>17138</v>
      </c>
      <c r="E7254" s="125"/>
      <c r="F7254" s="118" t="s">
        <v>4628</v>
      </c>
      <c r="G7254" s="126" t="s">
        <v>17008</v>
      </c>
      <c r="H7254" s="255">
        <v>1</v>
      </c>
      <c r="I7254" s="361">
        <v>1</v>
      </c>
      <c r="J7254" s="368" t="s">
        <v>310</v>
      </c>
      <c r="K7254" s="361"/>
      <c r="L7254" s="361"/>
      <c r="W7254" s="129" t="s">
        <v>307</v>
      </c>
      <c r="X7254" s="337" t="b">
        <f t="shared" si="155"/>
        <v>0</v>
      </c>
    </row>
    <row r="7255" spans="1:24" s="337" customFormat="1" ht="12" customHeight="1" outlineLevel="1">
      <c r="A7255" s="335"/>
      <c r="B7255" s="118" t="s">
        <v>12</v>
      </c>
      <c r="C7255" s="334" t="s">
        <v>17139</v>
      </c>
      <c r="D7255" s="124" t="s">
        <v>17140</v>
      </c>
      <c r="E7255" s="125"/>
      <c r="F7255" s="118" t="s">
        <v>4628</v>
      </c>
      <c r="G7255" s="126" t="s">
        <v>17008</v>
      </c>
      <c r="H7255" s="255">
        <v>1</v>
      </c>
      <c r="I7255" s="361">
        <v>1</v>
      </c>
      <c r="J7255" s="368" t="s">
        <v>310</v>
      </c>
      <c r="K7255" s="361"/>
      <c r="L7255" s="361"/>
      <c r="W7255" s="129" t="s">
        <v>307</v>
      </c>
      <c r="X7255" s="337" t="b">
        <f t="shared" si="155"/>
        <v>0</v>
      </c>
    </row>
    <row r="7256" spans="1:24" s="337" customFormat="1" ht="12" customHeight="1" outlineLevel="1">
      <c r="A7256" s="335"/>
      <c r="B7256" s="118" t="s">
        <v>12</v>
      </c>
      <c r="C7256" s="334" t="s">
        <v>17141</v>
      </c>
      <c r="D7256" s="124" t="s">
        <v>17142</v>
      </c>
      <c r="E7256" s="125"/>
      <c r="F7256" s="118" t="s">
        <v>4628</v>
      </c>
      <c r="G7256" s="126" t="s">
        <v>17008</v>
      </c>
      <c r="H7256" s="255">
        <v>1</v>
      </c>
      <c r="I7256" s="361">
        <v>1</v>
      </c>
      <c r="J7256" s="368" t="s">
        <v>325</v>
      </c>
      <c r="K7256" s="361"/>
      <c r="L7256" s="361"/>
      <c r="W7256" s="129" t="s">
        <v>743</v>
      </c>
      <c r="X7256" s="337" t="b">
        <f t="shared" si="155"/>
        <v>0</v>
      </c>
    </row>
    <row r="7257" spans="1:24" s="337" customFormat="1" ht="12" customHeight="1" outlineLevel="1">
      <c r="A7257" s="335"/>
      <c r="B7257" s="118" t="s">
        <v>12</v>
      </c>
      <c r="C7257" s="334" t="s">
        <v>17143</v>
      </c>
      <c r="D7257" s="124" t="s">
        <v>17144</v>
      </c>
      <c r="E7257" s="125"/>
      <c r="F7257" s="118" t="s">
        <v>4628</v>
      </c>
      <c r="G7257" s="126" t="s">
        <v>17008</v>
      </c>
      <c r="H7257" s="255">
        <v>1</v>
      </c>
      <c r="I7257" s="361">
        <v>1</v>
      </c>
      <c r="J7257" s="368" t="s">
        <v>307</v>
      </c>
      <c r="K7257" s="361"/>
      <c r="L7257" s="361"/>
      <c r="W7257" s="129" t="s">
        <v>325</v>
      </c>
      <c r="X7257" s="337" t="b">
        <f t="shared" si="155"/>
        <v>0</v>
      </c>
    </row>
    <row r="7258" spans="1:24" s="337" customFormat="1" ht="12" customHeight="1" outlineLevel="1">
      <c r="A7258" s="335"/>
      <c r="B7258" s="118" t="s">
        <v>12</v>
      </c>
      <c r="C7258" s="334" t="s">
        <v>17145</v>
      </c>
      <c r="D7258" s="124" t="s">
        <v>17146</v>
      </c>
      <c r="E7258" s="125"/>
      <c r="F7258" s="118" t="s">
        <v>4628</v>
      </c>
      <c r="G7258" s="126" t="s">
        <v>17008</v>
      </c>
      <c r="H7258" s="255">
        <v>1</v>
      </c>
      <c r="I7258" s="361">
        <v>1</v>
      </c>
      <c r="J7258" s="368" t="s">
        <v>310</v>
      </c>
      <c r="K7258" s="361"/>
      <c r="L7258" s="361"/>
      <c r="W7258" s="129" t="s">
        <v>307</v>
      </c>
      <c r="X7258" s="337" t="b">
        <f t="shared" si="155"/>
        <v>0</v>
      </c>
    </row>
    <row r="7259" spans="1:24" s="337" customFormat="1" ht="12" customHeight="1" outlineLevel="1">
      <c r="A7259" s="335"/>
      <c r="B7259" s="118" t="s">
        <v>12</v>
      </c>
      <c r="C7259" s="334" t="s">
        <v>17147</v>
      </c>
      <c r="D7259" s="124" t="s">
        <v>10427</v>
      </c>
      <c r="E7259" s="125"/>
      <c r="F7259" s="118" t="s">
        <v>4628</v>
      </c>
      <c r="G7259" s="126" t="s">
        <v>17008</v>
      </c>
      <c r="H7259" s="255">
        <v>1</v>
      </c>
      <c r="I7259" s="361">
        <v>1</v>
      </c>
      <c r="J7259" s="368" t="s">
        <v>310</v>
      </c>
      <c r="K7259" s="361"/>
      <c r="L7259" s="361"/>
      <c r="W7259" s="129" t="s">
        <v>307</v>
      </c>
      <c r="X7259" s="337" t="b">
        <f t="shared" si="155"/>
        <v>0</v>
      </c>
    </row>
    <row r="7260" spans="1:24" s="337" customFormat="1" ht="12" customHeight="1" outlineLevel="1">
      <c r="A7260" s="335"/>
      <c r="B7260" s="118" t="s">
        <v>12</v>
      </c>
      <c r="C7260" s="334" t="s">
        <v>17148</v>
      </c>
      <c r="D7260" s="124" t="s">
        <v>17149</v>
      </c>
      <c r="E7260" s="125"/>
      <c r="F7260" s="118" t="s">
        <v>4628</v>
      </c>
      <c r="G7260" s="126" t="s">
        <v>17008</v>
      </c>
      <c r="H7260" s="255">
        <v>1</v>
      </c>
      <c r="I7260" s="361">
        <v>1</v>
      </c>
      <c r="J7260" s="368" t="s">
        <v>310</v>
      </c>
      <c r="K7260" s="361"/>
      <c r="L7260" s="361"/>
      <c r="W7260" s="129" t="s">
        <v>307</v>
      </c>
      <c r="X7260" s="337" t="b">
        <f t="shared" si="155"/>
        <v>0</v>
      </c>
    </row>
    <row r="7261" spans="1:24" s="337" customFormat="1" ht="12" customHeight="1" outlineLevel="1">
      <c r="A7261" s="335"/>
      <c r="B7261" s="118" t="s">
        <v>12</v>
      </c>
      <c r="C7261" s="334" t="s">
        <v>17150</v>
      </c>
      <c r="D7261" s="124" t="s">
        <v>17151</v>
      </c>
      <c r="E7261" s="125"/>
      <c r="F7261" s="118" t="s">
        <v>4628</v>
      </c>
      <c r="G7261" s="126" t="s">
        <v>17008</v>
      </c>
      <c r="H7261" s="255">
        <v>1</v>
      </c>
      <c r="I7261" s="361">
        <v>1</v>
      </c>
      <c r="J7261" s="368" t="s">
        <v>310</v>
      </c>
      <c r="K7261" s="361"/>
      <c r="L7261" s="361"/>
      <c r="W7261" s="129" t="s">
        <v>307</v>
      </c>
      <c r="X7261" s="337" t="b">
        <f t="shared" si="155"/>
        <v>0</v>
      </c>
    </row>
    <row r="7262" spans="1:24" s="337" customFormat="1" ht="12" customHeight="1" outlineLevel="1">
      <c r="A7262" s="335"/>
      <c r="B7262" s="118" t="s">
        <v>12</v>
      </c>
      <c r="C7262" s="334" t="s">
        <v>17152</v>
      </c>
      <c r="D7262" s="124" t="s">
        <v>17153</v>
      </c>
      <c r="E7262" s="125"/>
      <c r="F7262" s="118" t="s">
        <v>4628</v>
      </c>
      <c r="G7262" s="126" t="s">
        <v>17008</v>
      </c>
      <c r="H7262" s="255">
        <v>1</v>
      </c>
      <c r="I7262" s="361">
        <v>1</v>
      </c>
      <c r="J7262" s="368" t="s">
        <v>310</v>
      </c>
      <c r="K7262" s="361"/>
      <c r="L7262" s="361"/>
      <c r="W7262" s="129" t="s">
        <v>307</v>
      </c>
      <c r="X7262" s="337" t="b">
        <f t="shared" si="155"/>
        <v>0</v>
      </c>
    </row>
    <row r="7263" spans="1:24" s="337" customFormat="1" ht="12" customHeight="1" outlineLevel="1">
      <c r="A7263" s="335"/>
      <c r="B7263" s="118" t="s">
        <v>12</v>
      </c>
      <c r="C7263" s="334" t="s">
        <v>17154</v>
      </c>
      <c r="D7263" s="124" t="s">
        <v>17155</v>
      </c>
      <c r="E7263" s="125"/>
      <c r="F7263" s="118" t="s">
        <v>4628</v>
      </c>
      <c r="G7263" s="126" t="s">
        <v>17008</v>
      </c>
      <c r="H7263" s="255">
        <v>1</v>
      </c>
      <c r="I7263" s="361">
        <v>1</v>
      </c>
      <c r="J7263" s="368" t="s">
        <v>310</v>
      </c>
      <c r="K7263" s="361"/>
      <c r="L7263" s="361"/>
      <c r="W7263" s="129" t="s">
        <v>307</v>
      </c>
      <c r="X7263" s="337" t="b">
        <f t="shared" si="155"/>
        <v>0</v>
      </c>
    </row>
    <row r="7264" spans="1:24" s="337" customFormat="1" ht="12" customHeight="1" outlineLevel="1">
      <c r="A7264" s="335"/>
      <c r="B7264" s="118" t="s">
        <v>12</v>
      </c>
      <c r="C7264" s="334" t="s">
        <v>17156</v>
      </c>
      <c r="D7264" s="124" t="s">
        <v>11600</v>
      </c>
      <c r="E7264" s="125"/>
      <c r="F7264" s="118" t="s">
        <v>4628</v>
      </c>
      <c r="G7264" s="126" t="s">
        <v>17008</v>
      </c>
      <c r="H7264" s="255">
        <v>1</v>
      </c>
      <c r="I7264" s="361">
        <v>1</v>
      </c>
      <c r="J7264" s="368" t="s">
        <v>310</v>
      </c>
      <c r="K7264" s="361"/>
      <c r="L7264" s="361"/>
      <c r="W7264" s="129" t="s">
        <v>307</v>
      </c>
      <c r="X7264" s="337" t="b">
        <f t="shared" si="155"/>
        <v>0</v>
      </c>
    </row>
    <row r="7265" spans="1:24" s="337" customFormat="1" ht="12" customHeight="1" outlineLevel="1">
      <c r="A7265" s="335"/>
      <c r="B7265" s="118" t="s">
        <v>12</v>
      </c>
      <c r="C7265" s="334" t="s">
        <v>17157</v>
      </c>
      <c r="D7265" s="124" t="s">
        <v>17158</v>
      </c>
      <c r="E7265" s="125"/>
      <c r="F7265" s="118" t="s">
        <v>4628</v>
      </c>
      <c r="G7265" s="126" t="s">
        <v>17008</v>
      </c>
      <c r="H7265" s="255">
        <v>1</v>
      </c>
      <c r="I7265" s="361">
        <v>1</v>
      </c>
      <c r="J7265" s="368" t="s">
        <v>310</v>
      </c>
      <c r="K7265" s="361"/>
      <c r="L7265" s="361"/>
      <c r="W7265" s="129" t="s">
        <v>307</v>
      </c>
      <c r="X7265" s="337" t="b">
        <f t="shared" si="155"/>
        <v>0</v>
      </c>
    </row>
    <row r="7266" spans="1:24" s="337" customFormat="1" ht="12" customHeight="1" outlineLevel="1">
      <c r="A7266" s="335"/>
      <c r="B7266" s="118" t="s">
        <v>12</v>
      </c>
      <c r="C7266" s="334" t="s">
        <v>17159</v>
      </c>
      <c r="D7266" s="124" t="s">
        <v>17160</v>
      </c>
      <c r="E7266" s="125"/>
      <c r="F7266" s="118" t="s">
        <v>4628</v>
      </c>
      <c r="G7266" s="126" t="s">
        <v>17008</v>
      </c>
      <c r="H7266" s="255">
        <v>1</v>
      </c>
      <c r="I7266" s="361">
        <v>1</v>
      </c>
      <c r="J7266" s="368" t="s">
        <v>310</v>
      </c>
      <c r="K7266" s="361"/>
      <c r="L7266" s="361"/>
      <c r="W7266" s="129" t="s">
        <v>307</v>
      </c>
      <c r="X7266" s="337" t="b">
        <f t="shared" si="155"/>
        <v>0</v>
      </c>
    </row>
    <row r="7267" spans="1:24" s="337" customFormat="1" ht="12" customHeight="1" outlineLevel="1">
      <c r="A7267" s="335"/>
      <c r="B7267" s="118" t="s">
        <v>12</v>
      </c>
      <c r="C7267" s="334" t="s">
        <v>17161</v>
      </c>
      <c r="D7267" s="124" t="s">
        <v>17162</v>
      </c>
      <c r="E7267" s="125"/>
      <c r="F7267" s="118" t="s">
        <v>4628</v>
      </c>
      <c r="G7267" s="126" t="s">
        <v>17008</v>
      </c>
      <c r="H7267" s="255">
        <v>1</v>
      </c>
      <c r="I7267" s="361">
        <v>1</v>
      </c>
      <c r="J7267" s="368" t="s">
        <v>310</v>
      </c>
      <c r="K7267" s="361"/>
      <c r="L7267" s="361"/>
      <c r="W7267" s="129" t="s">
        <v>307</v>
      </c>
      <c r="X7267" s="337" t="b">
        <f t="shared" si="155"/>
        <v>0</v>
      </c>
    </row>
    <row r="7268" spans="1:24" s="337" customFormat="1" ht="12" customHeight="1" outlineLevel="1">
      <c r="A7268" s="335"/>
      <c r="B7268" s="118" t="s">
        <v>12</v>
      </c>
      <c r="C7268" s="334" t="s">
        <v>17163</v>
      </c>
      <c r="D7268" s="124" t="s">
        <v>17164</v>
      </c>
      <c r="E7268" s="125"/>
      <c r="F7268" s="118" t="s">
        <v>4628</v>
      </c>
      <c r="G7268" s="126" t="s">
        <v>17008</v>
      </c>
      <c r="H7268" s="255">
        <v>1</v>
      </c>
      <c r="I7268" s="361">
        <v>1</v>
      </c>
      <c r="J7268" s="368" t="s">
        <v>310</v>
      </c>
      <c r="K7268" s="361"/>
      <c r="L7268" s="361"/>
      <c r="W7268" s="129" t="s">
        <v>307</v>
      </c>
      <c r="X7268" s="337" t="b">
        <f t="shared" si="155"/>
        <v>0</v>
      </c>
    </row>
    <row r="7269" spans="1:24" s="337" customFormat="1" ht="12" customHeight="1" outlineLevel="1">
      <c r="A7269" s="335"/>
      <c r="B7269" s="118" t="s">
        <v>12</v>
      </c>
      <c r="C7269" s="334" t="s">
        <v>17165</v>
      </c>
      <c r="D7269" s="124" t="s">
        <v>17166</v>
      </c>
      <c r="E7269" s="125"/>
      <c r="F7269" s="118" t="s">
        <v>4628</v>
      </c>
      <c r="G7269" s="126" t="s">
        <v>17008</v>
      </c>
      <c r="H7269" s="255">
        <v>1</v>
      </c>
      <c r="I7269" s="361">
        <v>1</v>
      </c>
      <c r="J7269" s="368" t="s">
        <v>310</v>
      </c>
      <c r="K7269" s="361"/>
      <c r="L7269" s="361"/>
      <c r="W7269" s="129" t="s">
        <v>307</v>
      </c>
      <c r="X7269" s="337" t="b">
        <f t="shared" si="155"/>
        <v>0</v>
      </c>
    </row>
    <row r="7270" spans="1:24" s="337" customFormat="1" ht="12" customHeight="1" outlineLevel="1">
      <c r="A7270" s="335"/>
      <c r="B7270" s="118" t="s">
        <v>12</v>
      </c>
      <c r="C7270" s="334" t="s">
        <v>17167</v>
      </c>
      <c r="D7270" s="124" t="s">
        <v>17168</v>
      </c>
      <c r="E7270" s="125"/>
      <c r="F7270" s="118" t="s">
        <v>4628</v>
      </c>
      <c r="G7270" s="126" t="s">
        <v>17008</v>
      </c>
      <c r="H7270" s="255">
        <v>1</v>
      </c>
      <c r="I7270" s="361">
        <v>1</v>
      </c>
      <c r="J7270" s="368" t="s">
        <v>310</v>
      </c>
      <c r="K7270" s="361"/>
      <c r="L7270" s="361"/>
      <c r="W7270" s="129" t="s">
        <v>307</v>
      </c>
      <c r="X7270" s="337" t="b">
        <f t="shared" si="155"/>
        <v>0</v>
      </c>
    </row>
    <row r="7271" spans="1:24" s="337" customFormat="1" ht="12" customHeight="1" outlineLevel="1">
      <c r="A7271" s="335"/>
      <c r="B7271" s="118" t="s">
        <v>12</v>
      </c>
      <c r="C7271" s="334" t="s">
        <v>17169</v>
      </c>
      <c r="D7271" s="124" t="s">
        <v>17170</v>
      </c>
      <c r="E7271" s="125"/>
      <c r="F7271" s="118" t="s">
        <v>4628</v>
      </c>
      <c r="G7271" s="126" t="s">
        <v>17008</v>
      </c>
      <c r="H7271" s="255">
        <v>1</v>
      </c>
      <c r="I7271" s="361">
        <v>1</v>
      </c>
      <c r="J7271" s="368" t="s">
        <v>310</v>
      </c>
      <c r="K7271" s="361"/>
      <c r="L7271" s="361"/>
      <c r="W7271" s="129" t="s">
        <v>307</v>
      </c>
      <c r="X7271" s="337" t="b">
        <f t="shared" si="155"/>
        <v>0</v>
      </c>
    </row>
    <row r="7272" spans="1:24" s="337" customFormat="1" ht="12" customHeight="1" outlineLevel="1">
      <c r="A7272" s="335"/>
      <c r="B7272" s="118" t="s">
        <v>12</v>
      </c>
      <c r="C7272" s="334" t="s">
        <v>17171</v>
      </c>
      <c r="D7272" s="124" t="s">
        <v>17172</v>
      </c>
      <c r="E7272" s="125"/>
      <c r="F7272" s="118" t="s">
        <v>4628</v>
      </c>
      <c r="G7272" s="126" t="s">
        <v>17008</v>
      </c>
      <c r="H7272" s="255">
        <v>1</v>
      </c>
      <c r="I7272" s="361">
        <v>1</v>
      </c>
      <c r="J7272" s="368" t="s">
        <v>310</v>
      </c>
      <c r="K7272" s="361"/>
      <c r="L7272" s="361"/>
      <c r="W7272" s="129" t="s">
        <v>307</v>
      </c>
      <c r="X7272" s="337" t="b">
        <f t="shared" si="155"/>
        <v>0</v>
      </c>
    </row>
    <row r="7273" spans="1:24" s="337" customFormat="1" ht="12" customHeight="1" outlineLevel="1">
      <c r="A7273" s="335"/>
      <c r="B7273" s="118" t="s">
        <v>12</v>
      </c>
      <c r="C7273" s="334" t="s">
        <v>17173</v>
      </c>
      <c r="D7273" s="124" t="s">
        <v>17174</v>
      </c>
      <c r="E7273" s="125"/>
      <c r="F7273" s="118" t="s">
        <v>4628</v>
      </c>
      <c r="G7273" s="126" t="s">
        <v>17008</v>
      </c>
      <c r="H7273" s="255">
        <v>1</v>
      </c>
      <c r="I7273" s="361">
        <v>1</v>
      </c>
      <c r="J7273" s="368" t="s">
        <v>310</v>
      </c>
      <c r="K7273" s="361"/>
      <c r="L7273" s="361"/>
      <c r="W7273" s="129" t="s">
        <v>307</v>
      </c>
      <c r="X7273" s="337" t="b">
        <f t="shared" si="155"/>
        <v>0</v>
      </c>
    </row>
    <row r="7274" spans="1:24" s="337" customFormat="1" ht="12" customHeight="1" outlineLevel="1">
      <c r="A7274" s="335"/>
      <c r="B7274" s="118" t="s">
        <v>12</v>
      </c>
      <c r="C7274" s="334" t="s">
        <v>17175</v>
      </c>
      <c r="D7274" s="124" t="s">
        <v>17176</v>
      </c>
      <c r="E7274" s="125"/>
      <c r="F7274" s="118" t="s">
        <v>4628</v>
      </c>
      <c r="G7274" s="126" t="s">
        <v>17008</v>
      </c>
      <c r="H7274" s="255">
        <v>1</v>
      </c>
      <c r="I7274" s="361">
        <v>1</v>
      </c>
      <c r="J7274" s="368" t="s">
        <v>286</v>
      </c>
      <c r="K7274" s="361"/>
      <c r="L7274" s="361"/>
      <c r="W7274" s="129" t="s">
        <v>310</v>
      </c>
      <c r="X7274" s="337" t="b">
        <f t="shared" si="155"/>
        <v>0</v>
      </c>
    </row>
    <row r="7275" spans="1:24" s="337" customFormat="1" ht="12" customHeight="1" outlineLevel="1">
      <c r="A7275" s="335"/>
      <c r="B7275" s="118" t="s">
        <v>12</v>
      </c>
      <c r="C7275" s="334" t="s">
        <v>17177</v>
      </c>
      <c r="D7275" s="124" t="s">
        <v>17178</v>
      </c>
      <c r="E7275" s="125"/>
      <c r="F7275" s="118" t="s">
        <v>4628</v>
      </c>
      <c r="G7275" s="126" t="s">
        <v>17008</v>
      </c>
      <c r="H7275" s="255">
        <v>1</v>
      </c>
      <c r="I7275" s="361">
        <v>1</v>
      </c>
      <c r="J7275" s="368" t="s">
        <v>310</v>
      </c>
      <c r="K7275" s="361"/>
      <c r="L7275" s="361"/>
      <c r="W7275" s="129" t="s">
        <v>307</v>
      </c>
      <c r="X7275" s="337" t="b">
        <f t="shared" si="155"/>
        <v>0</v>
      </c>
    </row>
    <row r="7276" spans="1:24" s="337" customFormat="1" ht="12" customHeight="1" outlineLevel="1">
      <c r="A7276" s="335"/>
      <c r="B7276" s="118" t="s">
        <v>12</v>
      </c>
      <c r="C7276" s="334" t="s">
        <v>17179</v>
      </c>
      <c r="D7276" s="124" t="s">
        <v>17180</v>
      </c>
      <c r="E7276" s="125"/>
      <c r="F7276" s="118" t="s">
        <v>4628</v>
      </c>
      <c r="G7276" s="126" t="s">
        <v>17008</v>
      </c>
      <c r="H7276" s="255">
        <v>1</v>
      </c>
      <c r="I7276" s="361">
        <v>1</v>
      </c>
      <c r="J7276" s="368" t="s">
        <v>310</v>
      </c>
      <c r="K7276" s="361"/>
      <c r="L7276" s="361"/>
      <c r="W7276" s="129" t="s">
        <v>307</v>
      </c>
      <c r="X7276" s="337" t="b">
        <f t="shared" si="155"/>
        <v>0</v>
      </c>
    </row>
    <row r="7277" spans="1:24" s="337" customFormat="1" ht="12" customHeight="1" outlineLevel="1">
      <c r="A7277" s="335"/>
      <c r="B7277" s="118" t="s">
        <v>12</v>
      </c>
      <c r="C7277" s="334" t="s">
        <v>17181</v>
      </c>
      <c r="D7277" s="124" t="s">
        <v>17182</v>
      </c>
      <c r="E7277" s="125"/>
      <c r="F7277" s="118" t="s">
        <v>4628</v>
      </c>
      <c r="G7277" s="126" t="s">
        <v>17008</v>
      </c>
      <c r="H7277" s="255">
        <v>1</v>
      </c>
      <c r="I7277" s="361">
        <v>1</v>
      </c>
      <c r="J7277" s="368" t="s">
        <v>310</v>
      </c>
      <c r="K7277" s="361"/>
      <c r="L7277" s="361"/>
      <c r="W7277" s="129" t="s">
        <v>307</v>
      </c>
      <c r="X7277" s="337" t="b">
        <f t="shared" si="155"/>
        <v>0</v>
      </c>
    </row>
    <row r="7278" spans="1:24" s="337" customFormat="1" ht="12" customHeight="1" outlineLevel="1">
      <c r="A7278" s="335"/>
      <c r="B7278" s="118" t="s">
        <v>12</v>
      </c>
      <c r="C7278" s="334" t="s">
        <v>17183</v>
      </c>
      <c r="D7278" s="124" t="s">
        <v>17184</v>
      </c>
      <c r="E7278" s="125"/>
      <c r="F7278" s="118" t="s">
        <v>4628</v>
      </c>
      <c r="G7278" s="126" t="s">
        <v>17008</v>
      </c>
      <c r="H7278" s="255">
        <v>1</v>
      </c>
      <c r="I7278" s="361">
        <v>1</v>
      </c>
      <c r="J7278" s="368" t="s">
        <v>286</v>
      </c>
      <c r="K7278" s="361"/>
      <c r="L7278" s="361"/>
      <c r="W7278" s="129" t="s">
        <v>286</v>
      </c>
      <c r="X7278" s="337" t="b">
        <f t="shared" si="155"/>
        <v>1</v>
      </c>
    </row>
    <row r="7279" spans="1:24" s="337" customFormat="1" ht="12" customHeight="1" outlineLevel="1">
      <c r="A7279" s="335"/>
      <c r="B7279" s="118" t="s">
        <v>12</v>
      </c>
      <c r="C7279" s="334" t="s">
        <v>17185</v>
      </c>
      <c r="D7279" s="124" t="s">
        <v>17186</v>
      </c>
      <c r="E7279" s="125"/>
      <c r="F7279" s="118" t="s">
        <v>4628</v>
      </c>
      <c r="G7279" s="126" t="s">
        <v>17008</v>
      </c>
      <c r="H7279" s="255">
        <v>1</v>
      </c>
      <c r="I7279" s="361">
        <v>1</v>
      </c>
      <c r="J7279" s="368" t="s">
        <v>286</v>
      </c>
      <c r="K7279" s="361"/>
      <c r="L7279" s="361"/>
      <c r="W7279" s="129" t="s">
        <v>310</v>
      </c>
      <c r="X7279" s="337" t="b">
        <f t="shared" si="155"/>
        <v>0</v>
      </c>
    </row>
    <row r="7280" spans="1:24" s="337" customFormat="1" ht="12" customHeight="1" outlineLevel="1">
      <c r="A7280" s="335"/>
      <c r="B7280" s="118" t="s">
        <v>12</v>
      </c>
      <c r="C7280" s="334" t="s">
        <v>17187</v>
      </c>
      <c r="D7280" s="124" t="s">
        <v>17188</v>
      </c>
      <c r="E7280" s="125"/>
      <c r="F7280" s="118" t="s">
        <v>4628</v>
      </c>
      <c r="G7280" s="126" t="s">
        <v>17008</v>
      </c>
      <c r="H7280" s="255">
        <v>1</v>
      </c>
      <c r="I7280" s="361">
        <v>1</v>
      </c>
      <c r="J7280" s="368" t="s">
        <v>286</v>
      </c>
      <c r="K7280" s="361"/>
      <c r="L7280" s="361"/>
      <c r="W7280" s="129" t="s">
        <v>310</v>
      </c>
      <c r="X7280" s="337" t="b">
        <f t="shared" si="155"/>
        <v>0</v>
      </c>
    </row>
    <row r="7281" spans="1:24" s="337" customFormat="1" ht="12" customHeight="1" outlineLevel="1">
      <c r="A7281" s="335"/>
      <c r="B7281" s="118" t="s">
        <v>12</v>
      </c>
      <c r="C7281" s="334" t="s">
        <v>17189</v>
      </c>
      <c r="D7281" s="124" t="s">
        <v>17190</v>
      </c>
      <c r="E7281" s="125"/>
      <c r="F7281" s="118" t="s">
        <v>4628</v>
      </c>
      <c r="G7281" s="126" t="s">
        <v>17008</v>
      </c>
      <c r="H7281" s="255">
        <v>1</v>
      </c>
      <c r="I7281" s="361">
        <v>1</v>
      </c>
      <c r="J7281" s="368" t="s">
        <v>286</v>
      </c>
      <c r="K7281" s="361"/>
      <c r="L7281" s="361"/>
      <c r="W7281" s="129" t="s">
        <v>310</v>
      </c>
      <c r="X7281" s="337" t="b">
        <f t="shared" si="155"/>
        <v>0</v>
      </c>
    </row>
    <row r="7282" spans="1:24" s="337" customFormat="1" ht="12" customHeight="1" outlineLevel="1">
      <c r="A7282" s="335"/>
      <c r="B7282" s="118" t="s">
        <v>12</v>
      </c>
      <c r="C7282" s="334" t="s">
        <v>17191</v>
      </c>
      <c r="D7282" s="124" t="s">
        <v>17192</v>
      </c>
      <c r="E7282" s="125"/>
      <c r="F7282" s="118" t="s">
        <v>4628</v>
      </c>
      <c r="G7282" s="126" t="s">
        <v>17008</v>
      </c>
      <c r="H7282" s="255">
        <v>1</v>
      </c>
      <c r="I7282" s="361">
        <v>1</v>
      </c>
      <c r="J7282" s="368" t="s">
        <v>286</v>
      </c>
      <c r="K7282" s="361"/>
      <c r="L7282" s="361"/>
      <c r="W7282" s="129" t="s">
        <v>310</v>
      </c>
      <c r="X7282" s="337" t="b">
        <f t="shared" si="155"/>
        <v>0</v>
      </c>
    </row>
    <row r="7283" spans="1:24" s="337" customFormat="1" ht="12" customHeight="1" outlineLevel="1">
      <c r="A7283" s="335"/>
      <c r="B7283" s="118" t="s">
        <v>12</v>
      </c>
      <c r="C7283" s="334" t="s">
        <v>17193</v>
      </c>
      <c r="D7283" s="124" t="s">
        <v>17194</v>
      </c>
      <c r="E7283" s="125"/>
      <c r="F7283" s="118" t="s">
        <v>4628</v>
      </c>
      <c r="G7283" s="126" t="s">
        <v>17008</v>
      </c>
      <c r="H7283" s="255">
        <v>1</v>
      </c>
      <c r="I7283" s="361">
        <v>1</v>
      </c>
      <c r="J7283" s="368" t="s">
        <v>286</v>
      </c>
      <c r="K7283" s="361"/>
      <c r="L7283" s="361"/>
      <c r="W7283" s="129" t="s">
        <v>310</v>
      </c>
      <c r="X7283" s="337" t="b">
        <f t="shared" si="155"/>
        <v>0</v>
      </c>
    </row>
    <row r="7284" spans="1:24" s="337" customFormat="1" ht="12" customHeight="1" outlineLevel="1">
      <c r="A7284" s="335"/>
      <c r="B7284" s="118" t="s">
        <v>12</v>
      </c>
      <c r="C7284" s="334" t="s">
        <v>17195</v>
      </c>
      <c r="D7284" s="124" t="s">
        <v>17196</v>
      </c>
      <c r="E7284" s="125"/>
      <c r="F7284" s="118" t="s">
        <v>4628</v>
      </c>
      <c r="G7284" s="126" t="s">
        <v>17008</v>
      </c>
      <c r="H7284" s="255">
        <v>1</v>
      </c>
      <c r="I7284" s="361">
        <v>1</v>
      </c>
      <c r="J7284" s="368" t="s">
        <v>310</v>
      </c>
      <c r="K7284" s="361"/>
      <c r="L7284" s="361"/>
      <c r="W7284" s="129" t="s">
        <v>307</v>
      </c>
      <c r="X7284" s="337" t="b">
        <f t="shared" si="155"/>
        <v>0</v>
      </c>
    </row>
    <row r="7285" spans="1:24" s="337" customFormat="1" ht="12" customHeight="1" outlineLevel="1">
      <c r="A7285" s="335"/>
      <c r="B7285" s="118" t="s">
        <v>12</v>
      </c>
      <c r="C7285" s="334" t="s">
        <v>17197</v>
      </c>
      <c r="D7285" s="124" t="s">
        <v>17198</v>
      </c>
      <c r="E7285" s="125"/>
      <c r="F7285" s="118" t="s">
        <v>4628</v>
      </c>
      <c r="G7285" s="126" t="s">
        <v>17008</v>
      </c>
      <c r="H7285" s="255">
        <v>1</v>
      </c>
      <c r="I7285" s="361">
        <v>1</v>
      </c>
      <c r="J7285" s="368" t="s">
        <v>310</v>
      </c>
      <c r="K7285" s="361"/>
      <c r="L7285" s="361"/>
      <c r="W7285" s="129" t="s">
        <v>307</v>
      </c>
      <c r="X7285" s="337" t="b">
        <f t="shared" si="155"/>
        <v>0</v>
      </c>
    </row>
    <row r="7286" spans="1:24" s="337" customFormat="1" ht="12" customHeight="1" outlineLevel="1">
      <c r="A7286" s="335"/>
      <c r="B7286" s="118" t="s">
        <v>12</v>
      </c>
      <c r="C7286" s="334" t="s">
        <v>17199</v>
      </c>
      <c r="D7286" s="124" t="s">
        <v>17200</v>
      </c>
      <c r="E7286" s="125"/>
      <c r="F7286" s="118" t="s">
        <v>4628</v>
      </c>
      <c r="G7286" s="126" t="s">
        <v>17008</v>
      </c>
      <c r="H7286" s="255">
        <v>1</v>
      </c>
      <c r="I7286" s="361">
        <v>1</v>
      </c>
      <c r="J7286" s="368" t="s">
        <v>310</v>
      </c>
      <c r="K7286" s="361"/>
      <c r="L7286" s="361"/>
      <c r="W7286" s="129" t="s">
        <v>307</v>
      </c>
      <c r="X7286" s="337" t="b">
        <f t="shared" si="155"/>
        <v>0</v>
      </c>
    </row>
    <row r="7287" spans="1:24" s="337" customFormat="1" ht="12" customHeight="1" outlineLevel="1">
      <c r="A7287" s="335"/>
      <c r="B7287" s="118" t="s">
        <v>12</v>
      </c>
      <c r="C7287" s="334" t="s">
        <v>17201</v>
      </c>
      <c r="D7287" s="124" t="s">
        <v>17202</v>
      </c>
      <c r="E7287" s="125"/>
      <c r="F7287" s="118" t="s">
        <v>4628</v>
      </c>
      <c r="G7287" s="126" t="s">
        <v>17008</v>
      </c>
      <c r="H7287" s="255">
        <v>1</v>
      </c>
      <c r="I7287" s="361">
        <v>1</v>
      </c>
      <c r="J7287" s="368" t="s">
        <v>310</v>
      </c>
      <c r="K7287" s="361"/>
      <c r="L7287" s="361"/>
      <c r="W7287" s="129" t="s">
        <v>307</v>
      </c>
      <c r="X7287" s="337" t="b">
        <f t="shared" si="155"/>
        <v>0</v>
      </c>
    </row>
    <row r="7288" spans="1:24" s="337" customFormat="1" ht="12" customHeight="1" outlineLevel="1">
      <c r="A7288" s="335"/>
      <c r="B7288" s="118" t="s">
        <v>12</v>
      </c>
      <c r="C7288" s="334" t="s">
        <v>17203</v>
      </c>
      <c r="D7288" s="124" t="s">
        <v>17204</v>
      </c>
      <c r="E7288" s="125"/>
      <c r="F7288" s="118" t="s">
        <v>4628</v>
      </c>
      <c r="G7288" s="126" t="s">
        <v>17008</v>
      </c>
      <c r="H7288" s="255">
        <v>1</v>
      </c>
      <c r="I7288" s="361">
        <v>1</v>
      </c>
      <c r="J7288" s="368" t="s">
        <v>310</v>
      </c>
      <c r="K7288" s="361"/>
      <c r="L7288" s="361"/>
      <c r="W7288" s="129" t="s">
        <v>307</v>
      </c>
      <c r="X7288" s="337" t="b">
        <f t="shared" si="155"/>
        <v>0</v>
      </c>
    </row>
    <row r="7289" spans="1:24" s="337" customFormat="1" ht="12" customHeight="1" outlineLevel="1">
      <c r="A7289" s="335"/>
      <c r="B7289" s="118" t="s">
        <v>12</v>
      </c>
      <c r="C7289" s="334" t="s">
        <v>17205</v>
      </c>
      <c r="D7289" s="124" t="s">
        <v>17206</v>
      </c>
      <c r="E7289" s="125"/>
      <c r="F7289" s="118" t="s">
        <v>4628</v>
      </c>
      <c r="G7289" s="126" t="s">
        <v>17008</v>
      </c>
      <c r="H7289" s="255">
        <v>1</v>
      </c>
      <c r="I7289" s="361">
        <v>1</v>
      </c>
      <c r="J7289" s="368" t="s">
        <v>310</v>
      </c>
      <c r="K7289" s="361"/>
      <c r="L7289" s="361"/>
      <c r="W7289" s="129" t="s">
        <v>310</v>
      </c>
      <c r="X7289" s="337" t="b">
        <f t="shared" si="155"/>
        <v>1</v>
      </c>
    </row>
    <row r="7290" spans="1:24" s="337" customFormat="1" ht="12" customHeight="1" outlineLevel="1">
      <c r="A7290" s="335"/>
      <c r="B7290" s="118" t="s">
        <v>12</v>
      </c>
      <c r="C7290" s="334" t="s">
        <v>17207</v>
      </c>
      <c r="D7290" s="124" t="s">
        <v>17208</v>
      </c>
      <c r="E7290" s="125"/>
      <c r="F7290" s="118" t="s">
        <v>4628</v>
      </c>
      <c r="G7290" s="126" t="s">
        <v>17008</v>
      </c>
      <c r="H7290" s="255">
        <v>1</v>
      </c>
      <c r="I7290" s="361">
        <v>1</v>
      </c>
      <c r="J7290" s="368" t="s">
        <v>310</v>
      </c>
      <c r="K7290" s="361"/>
      <c r="L7290" s="361"/>
      <c r="W7290" s="129" t="s">
        <v>307</v>
      </c>
      <c r="X7290" s="337" t="b">
        <f t="shared" si="155"/>
        <v>0</v>
      </c>
    </row>
    <row r="7291" spans="1:24" s="337" customFormat="1" ht="12" customHeight="1" outlineLevel="1">
      <c r="A7291" s="335"/>
      <c r="B7291" s="118" t="s">
        <v>12</v>
      </c>
      <c r="C7291" s="334" t="s">
        <v>17209</v>
      </c>
      <c r="D7291" s="124" t="s">
        <v>17210</v>
      </c>
      <c r="E7291" s="125"/>
      <c r="F7291" s="118" t="s">
        <v>4628</v>
      </c>
      <c r="G7291" s="126" t="s">
        <v>17008</v>
      </c>
      <c r="H7291" s="255">
        <v>1</v>
      </c>
      <c r="I7291" s="361">
        <v>1</v>
      </c>
      <c r="J7291" s="368" t="s">
        <v>310</v>
      </c>
      <c r="K7291" s="361"/>
      <c r="L7291" s="361"/>
      <c r="W7291" s="129" t="s">
        <v>307</v>
      </c>
      <c r="X7291" s="337" t="b">
        <f t="shared" si="155"/>
        <v>0</v>
      </c>
    </row>
    <row r="7292" spans="1:24" s="337" customFormat="1" ht="12" customHeight="1" outlineLevel="1">
      <c r="A7292" s="335"/>
      <c r="B7292" s="118" t="s">
        <v>12</v>
      </c>
      <c r="C7292" s="334" t="s">
        <v>17211</v>
      </c>
      <c r="D7292" s="124" t="s">
        <v>17212</v>
      </c>
      <c r="E7292" s="125"/>
      <c r="F7292" s="118" t="s">
        <v>4628</v>
      </c>
      <c r="G7292" s="126" t="s">
        <v>17008</v>
      </c>
      <c r="H7292" s="255">
        <v>1</v>
      </c>
      <c r="I7292" s="361">
        <v>1</v>
      </c>
      <c r="J7292" s="368" t="s">
        <v>310</v>
      </c>
      <c r="K7292" s="361"/>
      <c r="L7292" s="361"/>
      <c r="W7292" s="129" t="s">
        <v>307</v>
      </c>
      <c r="X7292" s="337" t="b">
        <f t="shared" si="155"/>
        <v>0</v>
      </c>
    </row>
    <row r="7293" spans="1:24" s="337" customFormat="1" ht="12" customHeight="1" outlineLevel="1">
      <c r="A7293" s="335"/>
      <c r="B7293" s="118" t="s">
        <v>12</v>
      </c>
      <c r="C7293" s="334" t="s">
        <v>17213</v>
      </c>
      <c r="D7293" s="124" t="s">
        <v>17214</v>
      </c>
      <c r="E7293" s="125"/>
      <c r="F7293" s="118" t="s">
        <v>4628</v>
      </c>
      <c r="G7293" s="126" t="s">
        <v>17008</v>
      </c>
      <c r="H7293" s="255">
        <v>1</v>
      </c>
      <c r="I7293" s="361">
        <v>1</v>
      </c>
      <c r="J7293" s="368" t="s">
        <v>310</v>
      </c>
      <c r="K7293" s="361"/>
      <c r="L7293" s="361"/>
      <c r="W7293" s="129" t="s">
        <v>307</v>
      </c>
      <c r="X7293" s="337" t="b">
        <f t="shared" si="155"/>
        <v>0</v>
      </c>
    </row>
    <row r="7294" spans="1:24" s="337" customFormat="1" ht="12" customHeight="1" outlineLevel="1">
      <c r="A7294" s="335"/>
      <c r="B7294" s="118" t="s">
        <v>12</v>
      </c>
      <c r="C7294" s="334" t="s">
        <v>17215</v>
      </c>
      <c r="D7294" s="124" t="s">
        <v>17216</v>
      </c>
      <c r="E7294" s="125"/>
      <c r="F7294" s="118" t="s">
        <v>4628</v>
      </c>
      <c r="G7294" s="126" t="s">
        <v>17008</v>
      </c>
      <c r="H7294" s="255">
        <v>1</v>
      </c>
      <c r="I7294" s="361">
        <v>1</v>
      </c>
      <c r="J7294" s="368" t="s">
        <v>310</v>
      </c>
      <c r="K7294" s="361"/>
      <c r="L7294" s="361"/>
      <c r="W7294" s="129" t="s">
        <v>307</v>
      </c>
      <c r="X7294" s="337" t="b">
        <f t="shared" si="155"/>
        <v>0</v>
      </c>
    </row>
    <row r="7295" spans="1:24" s="337" customFormat="1" ht="12" customHeight="1" outlineLevel="1">
      <c r="A7295" s="335"/>
      <c r="B7295" s="118" t="s">
        <v>12</v>
      </c>
      <c r="C7295" s="334" t="s">
        <v>17217</v>
      </c>
      <c r="D7295" s="124" t="s">
        <v>17218</v>
      </c>
      <c r="E7295" s="125"/>
      <c r="F7295" s="118" t="s">
        <v>4628</v>
      </c>
      <c r="G7295" s="126" t="s">
        <v>17008</v>
      </c>
      <c r="H7295" s="255">
        <v>1</v>
      </c>
      <c r="I7295" s="361">
        <v>1</v>
      </c>
      <c r="J7295" s="368" t="s">
        <v>310</v>
      </c>
      <c r="K7295" s="361"/>
      <c r="L7295" s="361"/>
      <c r="W7295" s="129" t="s">
        <v>307</v>
      </c>
      <c r="X7295" s="337" t="b">
        <f t="shared" si="155"/>
        <v>0</v>
      </c>
    </row>
    <row r="7296" spans="1:24" s="337" customFormat="1" ht="12" customHeight="1" outlineLevel="1">
      <c r="A7296" s="335"/>
      <c r="B7296" s="118" t="s">
        <v>12</v>
      </c>
      <c r="C7296" s="334" t="s">
        <v>17219</v>
      </c>
      <c r="D7296" s="124" t="s">
        <v>17220</v>
      </c>
      <c r="E7296" s="125"/>
      <c r="F7296" s="118" t="s">
        <v>4628</v>
      </c>
      <c r="G7296" s="126" t="s">
        <v>17008</v>
      </c>
      <c r="H7296" s="255">
        <v>1</v>
      </c>
      <c r="I7296" s="361">
        <v>1</v>
      </c>
      <c r="J7296" s="368" t="s">
        <v>310</v>
      </c>
      <c r="K7296" s="361"/>
      <c r="L7296" s="361"/>
      <c r="W7296" s="129" t="s">
        <v>307</v>
      </c>
      <c r="X7296" s="337" t="b">
        <f t="shared" si="155"/>
        <v>0</v>
      </c>
    </row>
    <row r="7297" spans="1:24" s="337" customFormat="1" ht="12" customHeight="1" outlineLevel="1">
      <c r="A7297" s="335"/>
      <c r="B7297" s="118" t="s">
        <v>12</v>
      </c>
      <c r="C7297" s="334" t="s">
        <v>17221</v>
      </c>
      <c r="D7297" s="124" t="s">
        <v>17222</v>
      </c>
      <c r="E7297" s="125"/>
      <c r="F7297" s="118" t="s">
        <v>4628</v>
      </c>
      <c r="G7297" s="126" t="s">
        <v>17008</v>
      </c>
      <c r="H7297" s="255">
        <v>1</v>
      </c>
      <c r="I7297" s="361">
        <v>1</v>
      </c>
      <c r="J7297" s="368" t="s">
        <v>310</v>
      </c>
      <c r="K7297" s="361"/>
      <c r="L7297" s="361"/>
      <c r="W7297" s="129" t="s">
        <v>307</v>
      </c>
      <c r="X7297" s="337" t="b">
        <f t="shared" si="155"/>
        <v>0</v>
      </c>
    </row>
    <row r="7298" spans="1:24" s="337" customFormat="1" ht="12" customHeight="1" outlineLevel="1">
      <c r="A7298" s="335"/>
      <c r="B7298" s="118" t="s">
        <v>12</v>
      </c>
      <c r="C7298" s="334" t="s">
        <v>17223</v>
      </c>
      <c r="D7298" s="124" t="s">
        <v>17224</v>
      </c>
      <c r="E7298" s="125"/>
      <c r="F7298" s="118" t="s">
        <v>4628</v>
      </c>
      <c r="G7298" s="126" t="s">
        <v>17008</v>
      </c>
      <c r="H7298" s="255">
        <v>1</v>
      </c>
      <c r="I7298" s="361">
        <v>1</v>
      </c>
      <c r="J7298" s="368" t="s">
        <v>310</v>
      </c>
      <c r="K7298" s="361"/>
      <c r="L7298" s="361"/>
      <c r="W7298" s="129" t="s">
        <v>307</v>
      </c>
      <c r="X7298" s="337" t="b">
        <f t="shared" si="155"/>
        <v>0</v>
      </c>
    </row>
    <row r="7299" spans="1:24" s="337" customFormat="1" ht="12" customHeight="1" outlineLevel="1">
      <c r="A7299" s="335"/>
      <c r="B7299" s="118" t="s">
        <v>12</v>
      </c>
      <c r="C7299" s="334" t="s">
        <v>17225</v>
      </c>
      <c r="D7299" s="124" t="s">
        <v>17226</v>
      </c>
      <c r="E7299" s="125"/>
      <c r="F7299" s="118" t="s">
        <v>4628</v>
      </c>
      <c r="G7299" s="126" t="s">
        <v>17008</v>
      </c>
      <c r="H7299" s="255">
        <v>1</v>
      </c>
      <c r="I7299" s="361">
        <v>1</v>
      </c>
      <c r="J7299" s="368" t="s">
        <v>310</v>
      </c>
      <c r="K7299" s="361"/>
      <c r="L7299" s="361"/>
      <c r="W7299" s="129" t="s">
        <v>307</v>
      </c>
      <c r="X7299" s="337" t="b">
        <f t="shared" si="155"/>
        <v>0</v>
      </c>
    </row>
    <row r="7300" spans="1:24" s="337" customFormat="1" ht="12" customHeight="1" outlineLevel="1">
      <c r="A7300" s="335"/>
      <c r="B7300" s="118" t="s">
        <v>12</v>
      </c>
      <c r="C7300" s="334" t="s">
        <v>17227</v>
      </c>
      <c r="D7300" s="124" t="s">
        <v>17228</v>
      </c>
      <c r="E7300" s="125"/>
      <c r="F7300" s="118" t="s">
        <v>4628</v>
      </c>
      <c r="G7300" s="126" t="s">
        <v>17008</v>
      </c>
      <c r="H7300" s="255">
        <v>1</v>
      </c>
      <c r="I7300" s="361">
        <v>1</v>
      </c>
      <c r="J7300" s="368" t="s">
        <v>286</v>
      </c>
      <c r="K7300" s="361"/>
      <c r="L7300" s="361"/>
      <c r="W7300" s="129" t="s">
        <v>310</v>
      </c>
      <c r="X7300" s="337" t="b">
        <f t="shared" si="155"/>
        <v>0</v>
      </c>
    </row>
    <row r="7301" spans="1:24" s="337" customFormat="1" ht="12" customHeight="1" outlineLevel="1">
      <c r="A7301" s="335"/>
      <c r="B7301" s="118" t="s">
        <v>12</v>
      </c>
      <c r="C7301" s="334" t="s">
        <v>17229</v>
      </c>
      <c r="D7301" s="124" t="s">
        <v>17230</v>
      </c>
      <c r="E7301" s="125"/>
      <c r="F7301" s="118" t="s">
        <v>4628</v>
      </c>
      <c r="G7301" s="126" t="s">
        <v>17008</v>
      </c>
      <c r="H7301" s="255">
        <v>1</v>
      </c>
      <c r="I7301" s="361">
        <v>1</v>
      </c>
      <c r="J7301" s="368" t="s">
        <v>310</v>
      </c>
      <c r="K7301" s="361"/>
      <c r="L7301" s="361"/>
      <c r="W7301" s="129" t="s">
        <v>307</v>
      </c>
      <c r="X7301" s="337" t="b">
        <f t="shared" si="155"/>
        <v>0</v>
      </c>
    </row>
    <row r="7302" spans="1:24" s="337" customFormat="1" ht="12" customHeight="1" outlineLevel="1">
      <c r="A7302" s="335"/>
      <c r="B7302" s="118" t="s">
        <v>12</v>
      </c>
      <c r="C7302" s="334" t="s">
        <v>17231</v>
      </c>
      <c r="D7302" s="124" t="s">
        <v>17232</v>
      </c>
      <c r="E7302" s="125"/>
      <c r="F7302" s="118" t="s">
        <v>4628</v>
      </c>
      <c r="G7302" s="126" t="s">
        <v>17008</v>
      </c>
      <c r="H7302" s="255">
        <v>1</v>
      </c>
      <c r="I7302" s="361">
        <v>1</v>
      </c>
      <c r="J7302" s="368" t="s">
        <v>310</v>
      </c>
      <c r="K7302" s="361"/>
      <c r="L7302" s="361"/>
      <c r="W7302" s="129" t="s">
        <v>307</v>
      </c>
      <c r="X7302" s="337" t="b">
        <f t="shared" si="155"/>
        <v>0</v>
      </c>
    </row>
    <row r="7303" spans="1:24" s="337" customFormat="1" ht="12" customHeight="1" outlineLevel="1">
      <c r="A7303" s="335"/>
      <c r="B7303" s="118" t="s">
        <v>12</v>
      </c>
      <c r="C7303" s="334" t="s">
        <v>17233</v>
      </c>
      <c r="D7303" s="124" t="s">
        <v>17234</v>
      </c>
      <c r="E7303" s="125"/>
      <c r="F7303" s="118" t="s">
        <v>4628</v>
      </c>
      <c r="G7303" s="126" t="s">
        <v>17008</v>
      </c>
      <c r="H7303" s="255">
        <v>1</v>
      </c>
      <c r="I7303" s="361">
        <v>1</v>
      </c>
      <c r="J7303" s="368" t="s">
        <v>310</v>
      </c>
      <c r="K7303" s="361"/>
      <c r="L7303" s="361"/>
      <c r="W7303" s="129" t="s">
        <v>307</v>
      </c>
      <c r="X7303" s="337" t="b">
        <f t="shared" si="155"/>
        <v>0</v>
      </c>
    </row>
    <row r="7304" spans="1:24" s="337" customFormat="1" ht="12" customHeight="1" outlineLevel="1">
      <c r="A7304" s="335"/>
      <c r="B7304" s="118" t="s">
        <v>12</v>
      </c>
      <c r="C7304" s="334" t="s">
        <v>17235</v>
      </c>
      <c r="D7304" s="124" t="s">
        <v>17236</v>
      </c>
      <c r="E7304" s="125"/>
      <c r="F7304" s="118" t="s">
        <v>4628</v>
      </c>
      <c r="G7304" s="126" t="s">
        <v>17008</v>
      </c>
      <c r="H7304" s="255">
        <v>1</v>
      </c>
      <c r="I7304" s="361">
        <v>1</v>
      </c>
      <c r="J7304" s="368" t="s">
        <v>307</v>
      </c>
      <c r="K7304" s="361"/>
      <c r="L7304" s="361"/>
      <c r="W7304" s="129" t="s">
        <v>325</v>
      </c>
      <c r="X7304" s="337" t="b">
        <f t="shared" si="155"/>
        <v>0</v>
      </c>
    </row>
    <row r="7305" spans="1:24" s="337" customFormat="1" ht="12" customHeight="1" outlineLevel="1">
      <c r="A7305" s="335"/>
      <c r="B7305" s="118" t="s">
        <v>12</v>
      </c>
      <c r="C7305" s="334" t="s">
        <v>17237</v>
      </c>
      <c r="D7305" s="124" t="s">
        <v>17238</v>
      </c>
      <c r="E7305" s="125"/>
      <c r="F7305" s="118" t="s">
        <v>4628</v>
      </c>
      <c r="G7305" s="126" t="s">
        <v>17008</v>
      </c>
      <c r="H7305" s="255">
        <v>1</v>
      </c>
      <c r="I7305" s="361">
        <v>1</v>
      </c>
      <c r="J7305" s="368" t="s">
        <v>310</v>
      </c>
      <c r="K7305" s="361"/>
      <c r="L7305" s="361"/>
      <c r="W7305" s="129" t="s">
        <v>307</v>
      </c>
      <c r="X7305" s="337" t="b">
        <f t="shared" si="155"/>
        <v>0</v>
      </c>
    </row>
    <row r="7306" spans="1:24" s="337" customFormat="1" ht="12" customHeight="1" outlineLevel="1">
      <c r="A7306" s="335"/>
      <c r="B7306" s="118" t="s">
        <v>12</v>
      </c>
      <c r="C7306" s="334" t="s">
        <v>17239</v>
      </c>
      <c r="D7306" s="124" t="s">
        <v>17240</v>
      </c>
      <c r="E7306" s="125"/>
      <c r="F7306" s="118" t="s">
        <v>4628</v>
      </c>
      <c r="G7306" s="126" t="s">
        <v>17008</v>
      </c>
      <c r="H7306" s="255">
        <v>1</v>
      </c>
      <c r="I7306" s="361">
        <v>1</v>
      </c>
      <c r="J7306" s="368" t="s">
        <v>286</v>
      </c>
      <c r="K7306" s="361"/>
      <c r="L7306" s="361"/>
      <c r="W7306" s="129" t="s">
        <v>310</v>
      </c>
      <c r="X7306" s="337" t="b">
        <f t="shared" si="155"/>
        <v>0</v>
      </c>
    </row>
    <row r="7307" spans="1:24" s="337" customFormat="1" ht="12" customHeight="1" outlineLevel="1">
      <c r="A7307" s="335"/>
      <c r="B7307" s="118" t="s">
        <v>12</v>
      </c>
      <c r="C7307" s="334" t="s">
        <v>17241</v>
      </c>
      <c r="D7307" s="124" t="s">
        <v>17242</v>
      </c>
      <c r="E7307" s="125"/>
      <c r="F7307" s="118" t="s">
        <v>4628</v>
      </c>
      <c r="G7307" s="126" t="s">
        <v>17008</v>
      </c>
      <c r="H7307" s="255">
        <v>1</v>
      </c>
      <c r="I7307" s="361">
        <v>1</v>
      </c>
      <c r="J7307" s="368" t="s">
        <v>286</v>
      </c>
      <c r="K7307" s="361"/>
      <c r="L7307" s="361"/>
      <c r="W7307" s="129" t="s">
        <v>310</v>
      </c>
      <c r="X7307" s="337" t="b">
        <f t="shared" si="155"/>
        <v>0</v>
      </c>
    </row>
    <row r="7308" spans="1:24" s="337" customFormat="1" ht="12" customHeight="1" outlineLevel="1">
      <c r="A7308" s="335"/>
      <c r="B7308" s="118" t="s">
        <v>12</v>
      </c>
      <c r="C7308" s="334" t="s">
        <v>17243</v>
      </c>
      <c r="D7308" s="124" t="s">
        <v>17244</v>
      </c>
      <c r="E7308" s="125"/>
      <c r="F7308" s="118" t="s">
        <v>4628</v>
      </c>
      <c r="G7308" s="126" t="s">
        <v>17008</v>
      </c>
      <c r="H7308" s="255">
        <v>1</v>
      </c>
      <c r="I7308" s="361">
        <v>1</v>
      </c>
      <c r="J7308" s="368" t="s">
        <v>286</v>
      </c>
      <c r="K7308" s="361"/>
      <c r="L7308" s="361"/>
      <c r="W7308" s="129" t="s">
        <v>310</v>
      </c>
      <c r="X7308" s="337" t="b">
        <f t="shared" si="155"/>
        <v>0</v>
      </c>
    </row>
    <row r="7309" spans="1:24" s="337" customFormat="1" ht="12" customHeight="1" outlineLevel="1">
      <c r="A7309" s="335"/>
      <c r="B7309" s="118" t="s">
        <v>12</v>
      </c>
      <c r="C7309" s="334" t="s">
        <v>17245</v>
      </c>
      <c r="D7309" s="124" t="s">
        <v>17246</v>
      </c>
      <c r="E7309" s="125"/>
      <c r="F7309" s="118" t="s">
        <v>4628</v>
      </c>
      <c r="G7309" s="126" t="s">
        <v>17008</v>
      </c>
      <c r="H7309" s="255">
        <v>1</v>
      </c>
      <c r="I7309" s="361">
        <v>1</v>
      </c>
      <c r="J7309" s="368" t="s">
        <v>286</v>
      </c>
      <c r="K7309" s="361"/>
      <c r="L7309" s="361"/>
      <c r="W7309" s="129" t="s">
        <v>310</v>
      </c>
      <c r="X7309" s="337" t="b">
        <f t="shared" si="155"/>
        <v>0</v>
      </c>
    </row>
    <row r="7310" spans="1:24" s="337" customFormat="1" ht="12" customHeight="1" outlineLevel="1">
      <c r="A7310" s="335"/>
      <c r="B7310" s="118" t="s">
        <v>12</v>
      </c>
      <c r="C7310" s="334" t="s">
        <v>17247</v>
      </c>
      <c r="D7310" s="124" t="s">
        <v>17248</v>
      </c>
      <c r="E7310" s="125"/>
      <c r="F7310" s="118" t="s">
        <v>4628</v>
      </c>
      <c r="G7310" s="126" t="s">
        <v>17008</v>
      </c>
      <c r="H7310" s="255">
        <v>1</v>
      </c>
      <c r="I7310" s="361">
        <v>1</v>
      </c>
      <c r="J7310" s="368" t="s">
        <v>286</v>
      </c>
      <c r="K7310" s="361"/>
      <c r="L7310" s="361"/>
      <c r="W7310" s="129" t="s">
        <v>310</v>
      </c>
      <c r="X7310" s="337" t="b">
        <f t="shared" si="155"/>
        <v>0</v>
      </c>
    </row>
    <row r="7311" spans="1:24" s="337" customFormat="1" ht="12" customHeight="1" outlineLevel="1">
      <c r="A7311" s="335"/>
      <c r="B7311" s="118" t="s">
        <v>12</v>
      </c>
      <c r="C7311" s="334" t="s">
        <v>17249</v>
      </c>
      <c r="D7311" s="124" t="s">
        <v>12583</v>
      </c>
      <c r="E7311" s="125"/>
      <c r="F7311" s="118" t="s">
        <v>4628</v>
      </c>
      <c r="G7311" s="126" t="s">
        <v>17008</v>
      </c>
      <c r="H7311" s="255">
        <v>1</v>
      </c>
      <c r="I7311" s="361">
        <v>1</v>
      </c>
      <c r="J7311" s="368" t="s">
        <v>286</v>
      </c>
      <c r="K7311" s="361"/>
      <c r="L7311" s="361"/>
      <c r="W7311" s="129" t="s">
        <v>310</v>
      </c>
      <c r="X7311" s="337" t="b">
        <f t="shared" si="155"/>
        <v>0</v>
      </c>
    </row>
    <row r="7312" spans="1:24" s="337" customFormat="1" ht="12" customHeight="1" outlineLevel="1">
      <c r="A7312" s="335"/>
      <c r="B7312" s="118" t="s">
        <v>12</v>
      </c>
      <c r="C7312" s="334" t="s">
        <v>17250</v>
      </c>
      <c r="D7312" s="124" t="s">
        <v>17251</v>
      </c>
      <c r="E7312" s="125"/>
      <c r="F7312" s="118" t="s">
        <v>4628</v>
      </c>
      <c r="G7312" s="126" t="s">
        <v>17008</v>
      </c>
      <c r="H7312" s="255">
        <v>1</v>
      </c>
      <c r="I7312" s="361">
        <v>1</v>
      </c>
      <c r="J7312" s="368" t="s">
        <v>286</v>
      </c>
      <c r="K7312" s="361"/>
      <c r="L7312" s="361"/>
      <c r="W7312" s="129" t="s">
        <v>310</v>
      </c>
      <c r="X7312" s="337" t="b">
        <f t="shared" si="155"/>
        <v>0</v>
      </c>
    </row>
    <row r="7313" spans="1:24" s="337" customFormat="1" ht="12" customHeight="1" outlineLevel="1">
      <c r="A7313" s="335"/>
      <c r="B7313" s="118" t="s">
        <v>12</v>
      </c>
      <c r="C7313" s="334" t="s">
        <v>17252</v>
      </c>
      <c r="D7313" s="124" t="s">
        <v>17253</v>
      </c>
      <c r="E7313" s="125"/>
      <c r="F7313" s="118" t="s">
        <v>4628</v>
      </c>
      <c r="G7313" s="126" t="s">
        <v>17008</v>
      </c>
      <c r="H7313" s="255">
        <v>1</v>
      </c>
      <c r="I7313" s="361">
        <v>1</v>
      </c>
      <c r="J7313" s="368" t="s">
        <v>286</v>
      </c>
      <c r="K7313" s="361"/>
      <c r="L7313" s="361"/>
      <c r="W7313" s="129" t="s">
        <v>310</v>
      </c>
      <c r="X7313" s="337" t="b">
        <f t="shared" si="155"/>
        <v>0</v>
      </c>
    </row>
    <row r="7314" spans="1:24" s="337" customFormat="1" ht="12" customHeight="1" outlineLevel="1">
      <c r="A7314" s="335"/>
      <c r="B7314" s="118" t="s">
        <v>12</v>
      </c>
      <c r="C7314" s="334" t="s">
        <v>17254</v>
      </c>
      <c r="D7314" s="124" t="s">
        <v>11349</v>
      </c>
      <c r="E7314" s="125"/>
      <c r="F7314" s="118" t="s">
        <v>4628</v>
      </c>
      <c r="G7314" s="126" t="s">
        <v>17008</v>
      </c>
      <c r="H7314" s="255">
        <v>1</v>
      </c>
      <c r="I7314" s="361">
        <v>1</v>
      </c>
      <c r="J7314" s="368" t="s">
        <v>310</v>
      </c>
      <c r="K7314" s="361"/>
      <c r="L7314" s="361"/>
      <c r="W7314" s="129" t="s">
        <v>307</v>
      </c>
      <c r="X7314" s="337" t="b">
        <f t="shared" si="155"/>
        <v>0</v>
      </c>
    </row>
    <row r="7315" spans="1:24" s="337" customFormat="1" ht="12" customHeight="1" outlineLevel="1">
      <c r="A7315" s="335"/>
      <c r="B7315" s="118" t="s">
        <v>12</v>
      </c>
      <c r="C7315" s="334" t="s">
        <v>17255</v>
      </c>
      <c r="D7315" s="124" t="s">
        <v>17256</v>
      </c>
      <c r="E7315" s="125"/>
      <c r="F7315" s="118" t="s">
        <v>4628</v>
      </c>
      <c r="G7315" s="126" t="s">
        <v>17008</v>
      </c>
      <c r="H7315" s="255">
        <v>1</v>
      </c>
      <c r="I7315" s="361">
        <v>1</v>
      </c>
      <c r="J7315" s="368" t="s">
        <v>310</v>
      </c>
      <c r="K7315" s="361"/>
      <c r="L7315" s="361"/>
      <c r="W7315" s="129" t="s">
        <v>307</v>
      </c>
      <c r="X7315" s="337" t="b">
        <f t="shared" si="155"/>
        <v>0</v>
      </c>
    </row>
    <row r="7316" spans="1:24" s="337" customFormat="1" ht="12" customHeight="1" outlineLevel="1">
      <c r="A7316" s="335"/>
      <c r="B7316" s="118" t="s">
        <v>12</v>
      </c>
      <c r="C7316" s="334" t="s">
        <v>17257</v>
      </c>
      <c r="D7316" s="124" t="s">
        <v>17258</v>
      </c>
      <c r="E7316" s="125"/>
      <c r="F7316" s="118" t="s">
        <v>4628</v>
      </c>
      <c r="G7316" s="126" t="s">
        <v>17008</v>
      </c>
      <c r="H7316" s="255">
        <v>1</v>
      </c>
      <c r="I7316" s="361">
        <v>1</v>
      </c>
      <c r="J7316" s="368" t="s">
        <v>310</v>
      </c>
      <c r="K7316" s="361"/>
      <c r="L7316" s="361"/>
      <c r="W7316" s="129" t="s">
        <v>307</v>
      </c>
      <c r="X7316" s="337" t="b">
        <f t="shared" ref="X7316:X7343" si="156">W7316=J7316</f>
        <v>0</v>
      </c>
    </row>
    <row r="7317" spans="1:24" s="337" customFormat="1" ht="12" customHeight="1" outlineLevel="1">
      <c r="A7317" s="335"/>
      <c r="B7317" s="118" t="s">
        <v>12</v>
      </c>
      <c r="C7317" s="334" t="s">
        <v>17259</v>
      </c>
      <c r="D7317" s="124" t="s">
        <v>17260</v>
      </c>
      <c r="E7317" s="125"/>
      <c r="F7317" s="118" t="s">
        <v>4628</v>
      </c>
      <c r="G7317" s="126" t="s">
        <v>17008</v>
      </c>
      <c r="H7317" s="255">
        <v>1</v>
      </c>
      <c r="I7317" s="361">
        <v>1</v>
      </c>
      <c r="J7317" s="368" t="s">
        <v>286</v>
      </c>
      <c r="K7317" s="361"/>
      <c r="L7317" s="361"/>
      <c r="W7317" s="129" t="s">
        <v>307</v>
      </c>
      <c r="X7317" s="337" t="b">
        <f t="shared" si="156"/>
        <v>0</v>
      </c>
    </row>
    <row r="7318" spans="1:24" s="337" customFormat="1" ht="12" customHeight="1" outlineLevel="1">
      <c r="A7318" s="335"/>
      <c r="B7318" s="118" t="s">
        <v>12</v>
      </c>
      <c r="C7318" s="334" t="s">
        <v>17261</v>
      </c>
      <c r="D7318" s="124" t="s">
        <v>17262</v>
      </c>
      <c r="E7318" s="125"/>
      <c r="F7318" s="118" t="s">
        <v>4628</v>
      </c>
      <c r="G7318" s="126" t="s">
        <v>17008</v>
      </c>
      <c r="H7318" s="255">
        <v>1</v>
      </c>
      <c r="I7318" s="361">
        <v>1</v>
      </c>
      <c r="J7318" s="368" t="s">
        <v>310</v>
      </c>
      <c r="K7318" s="361"/>
      <c r="L7318" s="361"/>
      <c r="W7318" s="129" t="s">
        <v>307</v>
      </c>
      <c r="X7318" s="337" t="b">
        <f t="shared" si="156"/>
        <v>0</v>
      </c>
    </row>
    <row r="7319" spans="1:24" s="337" customFormat="1" ht="12" customHeight="1" outlineLevel="1">
      <c r="A7319" s="335"/>
      <c r="B7319" s="118" t="s">
        <v>12</v>
      </c>
      <c r="C7319" s="334" t="s">
        <v>17263</v>
      </c>
      <c r="D7319" s="124" t="s">
        <v>17264</v>
      </c>
      <c r="E7319" s="125"/>
      <c r="F7319" s="118" t="s">
        <v>4628</v>
      </c>
      <c r="G7319" s="126" t="s">
        <v>17008</v>
      </c>
      <c r="H7319" s="255">
        <v>1</v>
      </c>
      <c r="I7319" s="361">
        <v>1</v>
      </c>
      <c r="J7319" s="368" t="s">
        <v>286</v>
      </c>
      <c r="K7319" s="361"/>
      <c r="L7319" s="361"/>
      <c r="W7319" s="129" t="s">
        <v>310</v>
      </c>
      <c r="X7319" s="337" t="b">
        <f t="shared" si="156"/>
        <v>0</v>
      </c>
    </row>
    <row r="7320" spans="1:24" s="337" customFormat="1" ht="12" customHeight="1" outlineLevel="1">
      <c r="A7320" s="335"/>
      <c r="B7320" s="118" t="s">
        <v>12</v>
      </c>
      <c r="C7320" s="334" t="s">
        <v>17265</v>
      </c>
      <c r="D7320" s="124" t="s">
        <v>17266</v>
      </c>
      <c r="E7320" s="125"/>
      <c r="F7320" s="118" t="s">
        <v>4628</v>
      </c>
      <c r="G7320" s="126" t="s">
        <v>17008</v>
      </c>
      <c r="H7320" s="255">
        <v>1</v>
      </c>
      <c r="I7320" s="361">
        <v>1</v>
      </c>
      <c r="J7320" s="368" t="s">
        <v>286</v>
      </c>
      <c r="K7320" s="361"/>
      <c r="L7320" s="361"/>
      <c r="W7320" s="129" t="s">
        <v>310</v>
      </c>
      <c r="X7320" s="337" t="b">
        <f t="shared" si="156"/>
        <v>0</v>
      </c>
    </row>
    <row r="7321" spans="1:24" s="337" customFormat="1" ht="12" customHeight="1" outlineLevel="1">
      <c r="A7321" s="335"/>
      <c r="B7321" s="118" t="s">
        <v>12</v>
      </c>
      <c r="C7321" s="334" t="s">
        <v>17267</v>
      </c>
      <c r="D7321" s="124" t="s">
        <v>17268</v>
      </c>
      <c r="E7321" s="125"/>
      <c r="F7321" s="118" t="s">
        <v>4628</v>
      </c>
      <c r="G7321" s="126" t="s">
        <v>17008</v>
      </c>
      <c r="H7321" s="255">
        <v>1</v>
      </c>
      <c r="I7321" s="361">
        <v>1</v>
      </c>
      <c r="J7321" s="368" t="s">
        <v>286</v>
      </c>
      <c r="K7321" s="361"/>
      <c r="L7321" s="361"/>
      <c r="W7321" s="129" t="s">
        <v>310</v>
      </c>
      <c r="X7321" s="337" t="b">
        <f t="shared" si="156"/>
        <v>0</v>
      </c>
    </row>
    <row r="7322" spans="1:24" s="337" customFormat="1" ht="12" customHeight="1" outlineLevel="1">
      <c r="A7322" s="335"/>
      <c r="B7322" s="118" t="s">
        <v>12</v>
      </c>
      <c r="C7322" s="334" t="s">
        <v>17269</v>
      </c>
      <c r="D7322" s="124" t="s">
        <v>10244</v>
      </c>
      <c r="E7322" s="125"/>
      <c r="F7322" s="118" t="s">
        <v>4628</v>
      </c>
      <c r="G7322" s="126" t="s">
        <v>17008</v>
      </c>
      <c r="H7322" s="255">
        <v>1</v>
      </c>
      <c r="I7322" s="361">
        <v>1</v>
      </c>
      <c r="J7322" s="368" t="s">
        <v>286</v>
      </c>
      <c r="K7322" s="361"/>
      <c r="L7322" s="361"/>
      <c r="W7322" s="129" t="s">
        <v>4876</v>
      </c>
      <c r="X7322" s="337" t="b">
        <f t="shared" si="156"/>
        <v>0</v>
      </c>
    </row>
    <row r="7323" spans="1:24" s="337" customFormat="1" ht="12" customHeight="1" outlineLevel="1">
      <c r="A7323" s="335"/>
      <c r="B7323" s="118" t="s">
        <v>12</v>
      </c>
      <c r="C7323" s="334" t="s">
        <v>17270</v>
      </c>
      <c r="D7323" s="124" t="s">
        <v>17271</v>
      </c>
      <c r="E7323" s="125"/>
      <c r="F7323" s="118" t="s">
        <v>4628</v>
      </c>
      <c r="G7323" s="126" t="s">
        <v>17008</v>
      </c>
      <c r="H7323" s="255">
        <v>1</v>
      </c>
      <c r="I7323" s="361">
        <v>1</v>
      </c>
      <c r="J7323" s="368" t="s">
        <v>286</v>
      </c>
      <c r="K7323" s="361"/>
      <c r="L7323" s="361"/>
      <c r="W7323" s="129" t="s">
        <v>4876</v>
      </c>
      <c r="X7323" s="337" t="b">
        <f t="shared" si="156"/>
        <v>0</v>
      </c>
    </row>
    <row r="7324" spans="1:24" s="337" customFormat="1" ht="12" customHeight="1" outlineLevel="1">
      <c r="A7324" s="335"/>
      <c r="B7324" s="118" t="s">
        <v>12</v>
      </c>
      <c r="C7324" s="334" t="s">
        <v>17272</v>
      </c>
      <c r="D7324" s="124" t="s">
        <v>17273</v>
      </c>
      <c r="E7324" s="125"/>
      <c r="F7324" s="118" t="s">
        <v>4628</v>
      </c>
      <c r="G7324" s="126" t="s">
        <v>17008</v>
      </c>
      <c r="H7324" s="255">
        <v>1</v>
      </c>
      <c r="I7324" s="361">
        <v>1</v>
      </c>
      <c r="J7324" s="368" t="s">
        <v>286</v>
      </c>
      <c r="K7324" s="361"/>
      <c r="L7324" s="361"/>
      <c r="W7324" s="129" t="s">
        <v>4876</v>
      </c>
      <c r="X7324" s="337" t="b">
        <f t="shared" si="156"/>
        <v>0</v>
      </c>
    </row>
    <row r="7325" spans="1:24" s="337" customFormat="1" ht="12" customHeight="1" outlineLevel="1">
      <c r="A7325" s="335"/>
      <c r="B7325" s="118" t="s">
        <v>12</v>
      </c>
      <c r="C7325" s="334" t="s">
        <v>17274</v>
      </c>
      <c r="D7325" s="124" t="s">
        <v>17275</v>
      </c>
      <c r="E7325" s="125"/>
      <c r="F7325" s="118" t="s">
        <v>4628</v>
      </c>
      <c r="G7325" s="126" t="s">
        <v>17008</v>
      </c>
      <c r="H7325" s="255">
        <v>1</v>
      </c>
      <c r="I7325" s="361">
        <v>1</v>
      </c>
      <c r="J7325" s="368" t="s">
        <v>310</v>
      </c>
      <c r="K7325" s="361"/>
      <c r="L7325" s="361"/>
      <c r="W7325" s="129" t="s">
        <v>4876</v>
      </c>
      <c r="X7325" s="337" t="b">
        <f t="shared" si="156"/>
        <v>0</v>
      </c>
    </row>
    <row r="7326" spans="1:24" s="337" customFormat="1" ht="12" customHeight="1" outlineLevel="1">
      <c r="A7326" s="335"/>
      <c r="B7326" s="118" t="s">
        <v>12</v>
      </c>
      <c r="C7326" s="334" t="s">
        <v>17276</v>
      </c>
      <c r="D7326" s="124" t="s">
        <v>17277</v>
      </c>
      <c r="E7326" s="125"/>
      <c r="F7326" s="118" t="s">
        <v>4628</v>
      </c>
      <c r="G7326" s="126" t="s">
        <v>17008</v>
      </c>
      <c r="H7326" s="255">
        <v>1</v>
      </c>
      <c r="I7326" s="361">
        <v>1</v>
      </c>
      <c r="J7326" s="368" t="s">
        <v>286</v>
      </c>
      <c r="K7326" s="361"/>
      <c r="L7326" s="361"/>
      <c r="W7326" s="129" t="s">
        <v>4876</v>
      </c>
      <c r="X7326" s="337" t="b">
        <f t="shared" si="156"/>
        <v>0</v>
      </c>
    </row>
    <row r="7327" spans="1:24" s="337" customFormat="1" ht="12" customHeight="1" outlineLevel="1">
      <c r="A7327" s="335"/>
      <c r="B7327" s="118" t="s">
        <v>12</v>
      </c>
      <c r="C7327" s="334" t="s">
        <v>17278</v>
      </c>
      <c r="D7327" s="124" t="s">
        <v>17279</v>
      </c>
      <c r="E7327" s="125"/>
      <c r="F7327" s="118" t="s">
        <v>4628</v>
      </c>
      <c r="G7327" s="126" t="s">
        <v>17008</v>
      </c>
      <c r="H7327" s="255">
        <v>1</v>
      </c>
      <c r="I7327" s="361">
        <v>1</v>
      </c>
      <c r="J7327" s="368" t="s">
        <v>310</v>
      </c>
      <c r="K7327" s="361"/>
      <c r="L7327" s="361"/>
      <c r="W7327" s="129" t="s">
        <v>4876</v>
      </c>
      <c r="X7327" s="337" t="b">
        <f t="shared" si="156"/>
        <v>0</v>
      </c>
    </row>
    <row r="7328" spans="1:24" s="337" customFormat="1" ht="12" customHeight="1" outlineLevel="1">
      <c r="A7328" s="335"/>
      <c r="B7328" s="118" t="s">
        <v>12</v>
      </c>
      <c r="C7328" s="334" t="s">
        <v>17280</v>
      </c>
      <c r="D7328" s="124" t="s">
        <v>17281</v>
      </c>
      <c r="E7328" s="125"/>
      <c r="F7328" s="118" t="s">
        <v>4628</v>
      </c>
      <c r="G7328" s="126" t="s">
        <v>17008</v>
      </c>
      <c r="H7328" s="255">
        <v>1</v>
      </c>
      <c r="I7328" s="361">
        <v>1</v>
      </c>
      <c r="J7328" s="368" t="s">
        <v>310</v>
      </c>
      <c r="K7328" s="361"/>
      <c r="L7328" s="361"/>
      <c r="W7328" s="129" t="s">
        <v>4876</v>
      </c>
      <c r="X7328" s="337" t="b">
        <f t="shared" si="156"/>
        <v>0</v>
      </c>
    </row>
    <row r="7329" spans="1:24" s="337" customFormat="1" ht="12" customHeight="1" outlineLevel="1">
      <c r="A7329" s="335"/>
      <c r="B7329" s="118" t="s">
        <v>12</v>
      </c>
      <c r="C7329" s="334" t="s">
        <v>17282</v>
      </c>
      <c r="D7329" s="124" t="s">
        <v>17283</v>
      </c>
      <c r="E7329" s="125"/>
      <c r="F7329" s="118" t="s">
        <v>4628</v>
      </c>
      <c r="G7329" s="126" t="s">
        <v>17008</v>
      </c>
      <c r="H7329" s="255">
        <v>1</v>
      </c>
      <c r="I7329" s="361">
        <v>1</v>
      </c>
      <c r="J7329" s="368" t="s">
        <v>310</v>
      </c>
      <c r="K7329" s="361"/>
      <c r="L7329" s="361"/>
      <c r="W7329" s="129" t="s">
        <v>307</v>
      </c>
      <c r="X7329" s="337" t="b">
        <f t="shared" si="156"/>
        <v>0</v>
      </c>
    </row>
    <row r="7330" spans="1:24" s="337" customFormat="1" ht="12" customHeight="1" outlineLevel="1">
      <c r="A7330" s="335"/>
      <c r="B7330" s="118" t="s">
        <v>12</v>
      </c>
      <c r="C7330" s="334" t="s">
        <v>17284</v>
      </c>
      <c r="D7330" s="124" t="s">
        <v>17285</v>
      </c>
      <c r="E7330" s="125"/>
      <c r="F7330" s="118" t="s">
        <v>4628</v>
      </c>
      <c r="G7330" s="126" t="s">
        <v>17008</v>
      </c>
      <c r="H7330" s="255">
        <v>1</v>
      </c>
      <c r="I7330" s="361">
        <v>1</v>
      </c>
      <c r="J7330" s="368" t="s">
        <v>310</v>
      </c>
      <c r="K7330" s="361"/>
      <c r="L7330" s="361"/>
      <c r="W7330" s="129" t="s">
        <v>307</v>
      </c>
      <c r="X7330" s="337" t="b">
        <f t="shared" si="156"/>
        <v>0</v>
      </c>
    </row>
    <row r="7331" spans="1:24" s="337" customFormat="1" ht="12" customHeight="1" outlineLevel="1">
      <c r="A7331" s="335"/>
      <c r="B7331" s="118" t="s">
        <v>12</v>
      </c>
      <c r="C7331" s="334" t="s">
        <v>17286</v>
      </c>
      <c r="D7331" s="124" t="s">
        <v>17287</v>
      </c>
      <c r="E7331" s="125"/>
      <c r="F7331" s="118" t="s">
        <v>4628</v>
      </c>
      <c r="G7331" s="126" t="s">
        <v>17008</v>
      </c>
      <c r="H7331" s="255">
        <v>1</v>
      </c>
      <c r="I7331" s="361">
        <v>1</v>
      </c>
      <c r="J7331" s="368" t="s">
        <v>286</v>
      </c>
      <c r="K7331" s="361"/>
      <c r="L7331" s="361"/>
      <c r="W7331" s="129" t="s">
        <v>286</v>
      </c>
      <c r="X7331" s="337" t="b">
        <f t="shared" si="156"/>
        <v>1</v>
      </c>
    </row>
    <row r="7332" spans="1:24" s="337" customFormat="1" ht="12" customHeight="1" outlineLevel="1">
      <c r="A7332" s="335"/>
      <c r="B7332" s="118" t="s">
        <v>12</v>
      </c>
      <c r="C7332" s="334" t="s">
        <v>17288</v>
      </c>
      <c r="D7332" s="124" t="s">
        <v>17289</v>
      </c>
      <c r="E7332" s="125"/>
      <c r="F7332" s="118" t="s">
        <v>4628</v>
      </c>
      <c r="G7332" s="126" t="s">
        <v>17008</v>
      </c>
      <c r="H7332" s="255">
        <v>1</v>
      </c>
      <c r="I7332" s="361">
        <v>1</v>
      </c>
      <c r="J7332" s="368" t="s">
        <v>286</v>
      </c>
      <c r="K7332" s="361"/>
      <c r="L7332" s="361"/>
      <c r="W7332" s="129" t="s">
        <v>286</v>
      </c>
      <c r="X7332" s="337" t="b">
        <f t="shared" si="156"/>
        <v>1</v>
      </c>
    </row>
    <row r="7333" spans="1:24" s="337" customFormat="1" ht="12" customHeight="1" outlineLevel="1">
      <c r="A7333" s="335"/>
      <c r="B7333" s="118" t="s">
        <v>12</v>
      </c>
      <c r="C7333" s="334" t="s">
        <v>17290</v>
      </c>
      <c r="D7333" s="124" t="s">
        <v>17291</v>
      </c>
      <c r="E7333" s="125"/>
      <c r="F7333" s="118" t="s">
        <v>4628</v>
      </c>
      <c r="G7333" s="126" t="s">
        <v>17008</v>
      </c>
      <c r="H7333" s="255">
        <v>1</v>
      </c>
      <c r="I7333" s="361">
        <v>1</v>
      </c>
      <c r="J7333" s="368" t="s">
        <v>310</v>
      </c>
      <c r="K7333" s="361"/>
      <c r="L7333" s="361"/>
      <c r="W7333" s="129" t="s">
        <v>310</v>
      </c>
      <c r="X7333" s="337" t="b">
        <f t="shared" si="156"/>
        <v>1</v>
      </c>
    </row>
    <row r="7334" spans="1:24" s="337" customFormat="1" ht="12" customHeight="1" outlineLevel="1">
      <c r="A7334" s="335"/>
      <c r="B7334" s="118" t="s">
        <v>12</v>
      </c>
      <c r="C7334" s="334" t="s">
        <v>17292</v>
      </c>
      <c r="D7334" s="124" t="s">
        <v>17287</v>
      </c>
      <c r="E7334" s="125"/>
      <c r="F7334" s="118" t="s">
        <v>4628</v>
      </c>
      <c r="G7334" s="126" t="s">
        <v>17008</v>
      </c>
      <c r="H7334" s="255">
        <v>1</v>
      </c>
      <c r="I7334" s="361">
        <v>1</v>
      </c>
      <c r="J7334" s="368" t="s">
        <v>286</v>
      </c>
      <c r="K7334" s="361"/>
      <c r="L7334" s="361"/>
      <c r="W7334" s="129" t="s">
        <v>310</v>
      </c>
      <c r="X7334" s="337" t="b">
        <f t="shared" si="156"/>
        <v>0</v>
      </c>
    </row>
    <row r="7335" spans="1:24" s="337" customFormat="1" ht="12" customHeight="1" outlineLevel="1">
      <c r="A7335" s="335"/>
      <c r="B7335" s="118" t="s">
        <v>12</v>
      </c>
      <c r="C7335" s="334" t="s">
        <v>17293</v>
      </c>
      <c r="D7335" s="124" t="s">
        <v>17294</v>
      </c>
      <c r="E7335" s="125"/>
      <c r="F7335" s="118" t="s">
        <v>4628</v>
      </c>
      <c r="G7335" s="126" t="s">
        <v>17008</v>
      </c>
      <c r="H7335" s="255">
        <v>1</v>
      </c>
      <c r="I7335" s="361">
        <v>1</v>
      </c>
      <c r="J7335" s="368" t="s">
        <v>286</v>
      </c>
      <c r="K7335" s="361"/>
      <c r="L7335" s="361"/>
      <c r="W7335" s="129" t="s">
        <v>310</v>
      </c>
      <c r="X7335" s="337" t="b">
        <f t="shared" si="156"/>
        <v>0</v>
      </c>
    </row>
    <row r="7336" spans="1:24" s="337" customFormat="1" ht="12" customHeight="1" outlineLevel="1">
      <c r="A7336" s="335"/>
      <c r="B7336" s="118" t="s">
        <v>12</v>
      </c>
      <c r="C7336" s="334" t="s">
        <v>17295</v>
      </c>
      <c r="D7336" s="124" t="s">
        <v>17296</v>
      </c>
      <c r="E7336" s="125"/>
      <c r="F7336" s="118" t="s">
        <v>4628</v>
      </c>
      <c r="G7336" s="126" t="s">
        <v>17008</v>
      </c>
      <c r="H7336" s="255">
        <v>1</v>
      </c>
      <c r="I7336" s="361">
        <v>1</v>
      </c>
      <c r="J7336" s="368" t="s">
        <v>286</v>
      </c>
      <c r="K7336" s="361"/>
      <c r="L7336" s="361"/>
      <c r="W7336" s="129" t="s">
        <v>310</v>
      </c>
      <c r="X7336" s="337" t="b">
        <f t="shared" si="156"/>
        <v>0</v>
      </c>
    </row>
    <row r="7337" spans="1:24" s="337" customFormat="1" ht="12" customHeight="1" outlineLevel="1">
      <c r="A7337" s="335"/>
      <c r="B7337" s="118" t="s">
        <v>12</v>
      </c>
      <c r="C7337" s="334" t="s">
        <v>17297</v>
      </c>
      <c r="D7337" s="124" t="s">
        <v>17298</v>
      </c>
      <c r="E7337" s="125"/>
      <c r="F7337" s="118" t="s">
        <v>4628</v>
      </c>
      <c r="G7337" s="126" t="s">
        <v>17008</v>
      </c>
      <c r="H7337" s="255">
        <v>1</v>
      </c>
      <c r="I7337" s="361">
        <v>1</v>
      </c>
      <c r="J7337" s="368" t="s">
        <v>310</v>
      </c>
      <c r="K7337" s="361"/>
      <c r="L7337" s="361"/>
      <c r="W7337" s="129" t="s">
        <v>307</v>
      </c>
      <c r="X7337" s="337" t="b">
        <f t="shared" si="156"/>
        <v>0</v>
      </c>
    </row>
    <row r="7338" spans="1:24" s="337" customFormat="1" ht="12" customHeight="1" outlineLevel="1">
      <c r="A7338" s="335"/>
      <c r="B7338" s="118" t="s">
        <v>12</v>
      </c>
      <c r="C7338" s="334" t="s">
        <v>17299</v>
      </c>
      <c r="D7338" s="124" t="s">
        <v>17300</v>
      </c>
      <c r="E7338" s="125"/>
      <c r="F7338" s="118" t="s">
        <v>4628</v>
      </c>
      <c r="G7338" s="126" t="s">
        <v>17008</v>
      </c>
      <c r="H7338" s="255">
        <v>1</v>
      </c>
      <c r="I7338" s="361">
        <v>1</v>
      </c>
      <c r="J7338" s="368" t="s">
        <v>286</v>
      </c>
      <c r="K7338" s="361"/>
      <c r="L7338" s="361"/>
      <c r="W7338" s="129" t="s">
        <v>310</v>
      </c>
      <c r="X7338" s="337" t="b">
        <f t="shared" si="156"/>
        <v>0</v>
      </c>
    </row>
    <row r="7339" spans="1:24" s="337" customFormat="1" ht="12" customHeight="1" outlineLevel="1">
      <c r="A7339" s="335"/>
      <c r="B7339" s="118" t="s">
        <v>12</v>
      </c>
      <c r="C7339" s="334" t="s">
        <v>17301</v>
      </c>
      <c r="D7339" s="124" t="s">
        <v>17302</v>
      </c>
      <c r="E7339" s="125"/>
      <c r="F7339" s="118" t="s">
        <v>4628</v>
      </c>
      <c r="G7339" s="126" t="s">
        <v>17008</v>
      </c>
      <c r="H7339" s="255">
        <v>1</v>
      </c>
      <c r="I7339" s="361">
        <v>1</v>
      </c>
      <c r="J7339" s="368" t="s">
        <v>286</v>
      </c>
      <c r="K7339" s="361"/>
      <c r="L7339" s="361"/>
      <c r="W7339" s="129" t="s">
        <v>310</v>
      </c>
      <c r="X7339" s="337" t="b">
        <f t="shared" si="156"/>
        <v>0</v>
      </c>
    </row>
    <row r="7340" spans="1:24" s="337" customFormat="1" ht="12" customHeight="1" outlineLevel="1">
      <c r="A7340" s="335"/>
      <c r="B7340" s="118" t="s">
        <v>12</v>
      </c>
      <c r="C7340" s="334" t="s">
        <v>17303</v>
      </c>
      <c r="D7340" s="124" t="s">
        <v>17304</v>
      </c>
      <c r="E7340" s="125"/>
      <c r="F7340" s="118" t="s">
        <v>4628</v>
      </c>
      <c r="G7340" s="126" t="s">
        <v>17008</v>
      </c>
      <c r="H7340" s="255">
        <v>1</v>
      </c>
      <c r="I7340" s="361">
        <v>1</v>
      </c>
      <c r="J7340" s="368" t="s">
        <v>310</v>
      </c>
      <c r="K7340" s="361"/>
      <c r="L7340" s="361"/>
      <c r="W7340" s="129" t="s">
        <v>4876</v>
      </c>
      <c r="X7340" s="337" t="b">
        <f t="shared" si="156"/>
        <v>0</v>
      </c>
    </row>
    <row r="7341" spans="1:24" s="337" customFormat="1" ht="12" customHeight="1" outlineLevel="1">
      <c r="A7341" s="335"/>
      <c r="B7341" s="118" t="s">
        <v>12</v>
      </c>
      <c r="C7341" s="334" t="s">
        <v>17305</v>
      </c>
      <c r="D7341" s="124" t="s">
        <v>17306</v>
      </c>
      <c r="E7341" s="125"/>
      <c r="F7341" s="118" t="s">
        <v>4628</v>
      </c>
      <c r="G7341" s="126" t="s">
        <v>17008</v>
      </c>
      <c r="H7341" s="255">
        <v>1</v>
      </c>
      <c r="I7341" s="361">
        <v>1</v>
      </c>
      <c r="J7341" s="368" t="s">
        <v>310</v>
      </c>
      <c r="K7341" s="361"/>
      <c r="L7341" s="361"/>
      <c r="W7341" s="129" t="s">
        <v>4876</v>
      </c>
      <c r="X7341" s="337" t="b">
        <f t="shared" si="156"/>
        <v>0</v>
      </c>
    </row>
    <row r="7342" spans="1:24" s="337" customFormat="1" ht="12" customHeight="1" outlineLevel="1">
      <c r="A7342" s="335"/>
      <c r="B7342" s="118" t="s">
        <v>12</v>
      </c>
      <c r="C7342" s="334" t="s">
        <v>17307</v>
      </c>
      <c r="D7342" s="124" t="s">
        <v>17308</v>
      </c>
      <c r="E7342" s="125"/>
      <c r="F7342" s="118" t="s">
        <v>4628</v>
      </c>
      <c r="G7342" s="126" t="s">
        <v>17008</v>
      </c>
      <c r="H7342" s="255">
        <v>3</v>
      </c>
      <c r="I7342" s="361">
        <v>1</v>
      </c>
      <c r="J7342" s="368" t="s">
        <v>310</v>
      </c>
      <c r="K7342" s="361"/>
      <c r="L7342" s="361"/>
      <c r="W7342" s="129" t="s">
        <v>310</v>
      </c>
      <c r="X7342" s="337" t="b">
        <f t="shared" si="156"/>
        <v>1</v>
      </c>
    </row>
    <row r="7343" spans="1:24" s="337" customFormat="1" ht="12" customHeight="1" outlineLevel="1">
      <c r="A7343" s="335"/>
      <c r="B7343" s="118" t="s">
        <v>12</v>
      </c>
      <c r="C7343" s="334" t="s">
        <v>17309</v>
      </c>
      <c r="D7343" s="124" t="s">
        <v>17310</v>
      </c>
      <c r="E7343" s="125"/>
      <c r="F7343" s="118" t="s">
        <v>4628</v>
      </c>
      <c r="G7343" s="126" t="s">
        <v>17008</v>
      </c>
      <c r="H7343" s="255">
        <v>3</v>
      </c>
      <c r="I7343" s="361">
        <v>1</v>
      </c>
      <c r="J7343" s="368" t="s">
        <v>286</v>
      </c>
      <c r="K7343" s="361"/>
      <c r="L7343" s="361"/>
      <c r="W7343" s="129" t="s">
        <v>310</v>
      </c>
      <c r="X7343" s="337" t="b">
        <f t="shared" si="156"/>
        <v>0</v>
      </c>
    </row>
    <row r="7344" spans="1:24" s="337" customFormat="1" ht="12" customHeight="1" outlineLevel="1">
      <c r="A7344" s="335"/>
      <c r="B7344" s="118" t="s">
        <v>12</v>
      </c>
      <c r="C7344" s="334" t="s">
        <v>17311</v>
      </c>
      <c r="D7344" s="124" t="s">
        <v>17310</v>
      </c>
      <c r="E7344" s="125"/>
      <c r="F7344" s="118" t="s">
        <v>4628</v>
      </c>
      <c r="G7344" s="126" t="s">
        <v>17008</v>
      </c>
      <c r="H7344" s="255">
        <v>3</v>
      </c>
      <c r="I7344" s="361">
        <v>1</v>
      </c>
      <c r="J7344" s="368" t="s">
        <v>286</v>
      </c>
      <c r="K7344" s="361"/>
      <c r="L7344" s="361"/>
      <c r="W7344" s="129" t="s">
        <v>4876</v>
      </c>
      <c r="X7344" s="337" t="b">
        <f t="shared" ref="X7344:X7352" si="157">W7344=J7344</f>
        <v>0</v>
      </c>
    </row>
    <row r="7345" spans="1:24" s="337" customFormat="1" ht="12" customHeight="1" outlineLevel="1">
      <c r="A7345" s="335"/>
      <c r="B7345" s="118" t="s">
        <v>12</v>
      </c>
      <c r="C7345" s="334" t="s">
        <v>17312</v>
      </c>
      <c r="D7345" s="124" t="s">
        <v>17310</v>
      </c>
      <c r="E7345" s="125"/>
      <c r="F7345" s="118" t="s">
        <v>4628</v>
      </c>
      <c r="G7345" s="126" t="s">
        <v>17008</v>
      </c>
      <c r="H7345" s="255">
        <v>3</v>
      </c>
      <c r="I7345" s="361">
        <v>1</v>
      </c>
      <c r="J7345" s="368" t="s">
        <v>286</v>
      </c>
      <c r="K7345" s="361"/>
      <c r="L7345" s="361"/>
      <c r="W7345" s="129" t="s">
        <v>4876</v>
      </c>
      <c r="X7345" s="337" t="b">
        <f t="shared" ref="X7345:X7349" si="158">W7345=J7345</f>
        <v>0</v>
      </c>
    </row>
    <row r="7346" spans="1:24" s="337" customFormat="1" ht="12" customHeight="1" outlineLevel="1">
      <c r="A7346" s="335"/>
      <c r="B7346" s="118" t="s">
        <v>12</v>
      </c>
      <c r="C7346" s="334" t="s">
        <v>17313</v>
      </c>
      <c r="D7346" s="124" t="s">
        <v>17310</v>
      </c>
      <c r="E7346" s="125"/>
      <c r="F7346" s="118" t="s">
        <v>4628</v>
      </c>
      <c r="G7346" s="126" t="s">
        <v>17008</v>
      </c>
      <c r="H7346" s="255">
        <v>3</v>
      </c>
      <c r="I7346" s="361">
        <v>1</v>
      </c>
      <c r="J7346" s="368" t="s">
        <v>286</v>
      </c>
      <c r="K7346" s="361"/>
      <c r="L7346" s="361"/>
      <c r="W7346" s="129" t="s">
        <v>4876</v>
      </c>
      <c r="X7346" s="337" t="b">
        <f t="shared" si="158"/>
        <v>0</v>
      </c>
    </row>
    <row r="7347" spans="1:24" s="337" customFormat="1" ht="12" customHeight="1" outlineLevel="1">
      <c r="A7347" s="335"/>
      <c r="B7347" s="118" t="s">
        <v>12</v>
      </c>
      <c r="C7347" s="334" t="s">
        <v>17314</v>
      </c>
      <c r="D7347" s="124" t="s">
        <v>17310</v>
      </c>
      <c r="E7347" s="125"/>
      <c r="F7347" s="118" t="s">
        <v>4628</v>
      </c>
      <c r="G7347" s="126" t="s">
        <v>17008</v>
      </c>
      <c r="H7347" s="255">
        <v>3</v>
      </c>
      <c r="I7347" s="361">
        <v>1</v>
      </c>
      <c r="J7347" s="368" t="s">
        <v>286</v>
      </c>
      <c r="K7347" s="361"/>
      <c r="L7347" s="361"/>
      <c r="W7347" s="129" t="s">
        <v>4876</v>
      </c>
      <c r="X7347" s="337" t="b">
        <f t="shared" si="158"/>
        <v>0</v>
      </c>
    </row>
    <row r="7348" spans="1:24" s="337" customFormat="1" ht="12" customHeight="1" outlineLevel="1">
      <c r="A7348" s="335"/>
      <c r="B7348" s="118" t="s">
        <v>12</v>
      </c>
      <c r="C7348" s="334" t="s">
        <v>17315</v>
      </c>
      <c r="D7348" s="124" t="s">
        <v>17316</v>
      </c>
      <c r="E7348" s="125"/>
      <c r="F7348" s="118" t="s">
        <v>4628</v>
      </c>
      <c r="G7348" s="126" t="s">
        <v>17008</v>
      </c>
      <c r="H7348" s="255">
        <v>3</v>
      </c>
      <c r="I7348" s="361">
        <v>1</v>
      </c>
      <c r="J7348" s="368" t="s">
        <v>286</v>
      </c>
      <c r="K7348" s="361"/>
      <c r="L7348" s="361"/>
      <c r="W7348" s="129" t="s">
        <v>4876</v>
      </c>
      <c r="X7348" s="337" t="b">
        <f t="shared" si="158"/>
        <v>0</v>
      </c>
    </row>
    <row r="7349" spans="1:24" s="337" customFormat="1" ht="12" customHeight="1" outlineLevel="1">
      <c r="A7349" s="335"/>
      <c r="B7349" s="118" t="s">
        <v>12</v>
      </c>
      <c r="C7349" s="334" t="s">
        <v>17317</v>
      </c>
      <c r="D7349" s="124" t="s">
        <v>17316</v>
      </c>
      <c r="E7349" s="125"/>
      <c r="F7349" s="118" t="s">
        <v>4628</v>
      </c>
      <c r="G7349" s="126" t="s">
        <v>17008</v>
      </c>
      <c r="H7349" s="255">
        <v>3</v>
      </c>
      <c r="I7349" s="361">
        <v>1</v>
      </c>
      <c r="J7349" s="368" t="s">
        <v>286</v>
      </c>
      <c r="K7349" s="361"/>
      <c r="L7349" s="361"/>
      <c r="W7349" s="129" t="s">
        <v>4876</v>
      </c>
      <c r="X7349" s="337" t="b">
        <f t="shared" si="158"/>
        <v>0</v>
      </c>
    </row>
    <row r="7350" spans="1:24" s="337" customFormat="1" ht="12" customHeight="1" outlineLevel="1">
      <c r="A7350" s="335"/>
      <c r="B7350" s="118" t="s">
        <v>12</v>
      </c>
      <c r="C7350" s="334" t="s">
        <v>17318</v>
      </c>
      <c r="D7350" s="124" t="s">
        <v>17319</v>
      </c>
      <c r="E7350" s="125"/>
      <c r="F7350" s="118" t="s">
        <v>4628</v>
      </c>
      <c r="G7350" s="126" t="s">
        <v>17008</v>
      </c>
      <c r="H7350" s="255">
        <v>3</v>
      </c>
      <c r="I7350" s="361">
        <v>1</v>
      </c>
      <c r="J7350" s="368" t="s">
        <v>286</v>
      </c>
      <c r="K7350" s="361"/>
      <c r="L7350" s="361"/>
      <c r="W7350" s="129" t="s">
        <v>4876</v>
      </c>
      <c r="X7350" s="337" t="b">
        <f t="shared" si="157"/>
        <v>0</v>
      </c>
    </row>
    <row r="7351" spans="1:24" s="337" customFormat="1" ht="12" customHeight="1" outlineLevel="1">
      <c r="A7351" s="335"/>
      <c r="B7351" s="118" t="s">
        <v>12</v>
      </c>
      <c r="C7351" s="334" t="s">
        <v>17320</v>
      </c>
      <c r="D7351" s="124" t="s">
        <v>17321</v>
      </c>
      <c r="E7351" s="125"/>
      <c r="F7351" s="118" t="s">
        <v>4628</v>
      </c>
      <c r="G7351" s="126" t="s">
        <v>17008</v>
      </c>
      <c r="H7351" s="255">
        <v>3</v>
      </c>
      <c r="I7351" s="361">
        <v>1</v>
      </c>
      <c r="J7351" s="368" t="s">
        <v>286</v>
      </c>
      <c r="K7351" s="361"/>
      <c r="L7351" s="361"/>
      <c r="W7351" s="129" t="s">
        <v>4876</v>
      </c>
      <c r="X7351" s="337" t="b">
        <f t="shared" si="157"/>
        <v>0</v>
      </c>
    </row>
    <row r="7352" spans="1:24" s="337" customFormat="1" ht="12" customHeight="1" outlineLevel="1">
      <c r="A7352" s="335"/>
      <c r="B7352" s="118" t="s">
        <v>12</v>
      </c>
      <c r="C7352" s="334" t="s">
        <v>17322</v>
      </c>
      <c r="D7352" s="124" t="s">
        <v>17323</v>
      </c>
      <c r="E7352" s="125"/>
      <c r="F7352" s="118" t="s">
        <v>4628</v>
      </c>
      <c r="G7352" s="126" t="s">
        <v>17008</v>
      </c>
      <c r="H7352" s="255">
        <v>3</v>
      </c>
      <c r="I7352" s="361">
        <v>1</v>
      </c>
      <c r="J7352" s="368" t="s">
        <v>286</v>
      </c>
      <c r="K7352" s="361"/>
      <c r="L7352" s="361"/>
      <c r="W7352" s="129" t="s">
        <v>4876</v>
      </c>
      <c r="X7352" s="337" t="b">
        <f t="shared" si="157"/>
        <v>0</v>
      </c>
    </row>
    <row r="7353" spans="1:24" s="337" customFormat="1" ht="12" customHeight="1" outlineLevel="1">
      <c r="A7353" s="335"/>
      <c r="B7353" s="118" t="s">
        <v>12</v>
      </c>
      <c r="C7353" s="334" t="s">
        <v>17324</v>
      </c>
      <c r="D7353" s="124" t="s">
        <v>17325</v>
      </c>
      <c r="E7353" s="125"/>
      <c r="F7353" s="118" t="s">
        <v>4628</v>
      </c>
      <c r="G7353" s="126" t="s">
        <v>17008</v>
      </c>
      <c r="H7353" s="255">
        <v>3</v>
      </c>
      <c r="I7353" s="361">
        <v>1</v>
      </c>
      <c r="J7353" s="368" t="s">
        <v>286</v>
      </c>
      <c r="K7353" s="361"/>
      <c r="L7353" s="361"/>
      <c r="W7353" s="129" t="s">
        <v>4876</v>
      </c>
      <c r="X7353" s="337" t="b">
        <f t="shared" ref="X7353:X7357" si="159">W7353=J7353</f>
        <v>0</v>
      </c>
    </row>
    <row r="7354" spans="1:24" s="337" customFormat="1" ht="12" customHeight="1" outlineLevel="1">
      <c r="A7354" s="335"/>
      <c r="B7354" s="118" t="s">
        <v>12</v>
      </c>
      <c r="C7354" s="334" t="s">
        <v>17326</v>
      </c>
      <c r="D7354" s="124" t="s">
        <v>17327</v>
      </c>
      <c r="E7354" s="125"/>
      <c r="F7354" s="118" t="s">
        <v>4628</v>
      </c>
      <c r="G7354" s="126" t="s">
        <v>17008</v>
      </c>
      <c r="H7354" s="255">
        <v>3</v>
      </c>
      <c r="I7354" s="361">
        <v>1</v>
      </c>
      <c r="J7354" s="368" t="s">
        <v>286</v>
      </c>
      <c r="K7354" s="361"/>
      <c r="L7354" s="361"/>
      <c r="W7354" s="129" t="s">
        <v>4876</v>
      </c>
      <c r="X7354" s="337" t="b">
        <f t="shared" si="159"/>
        <v>0</v>
      </c>
    </row>
    <row r="7355" spans="1:24" s="337" customFormat="1" ht="12" customHeight="1" outlineLevel="1">
      <c r="A7355" s="335"/>
      <c r="B7355" s="118" t="s">
        <v>12</v>
      </c>
      <c r="C7355" s="334" t="s">
        <v>17328</v>
      </c>
      <c r="D7355" s="124" t="s">
        <v>17329</v>
      </c>
      <c r="E7355" s="125"/>
      <c r="F7355" s="118" t="s">
        <v>4628</v>
      </c>
      <c r="G7355" s="126" t="s">
        <v>17008</v>
      </c>
      <c r="H7355" s="255">
        <v>3</v>
      </c>
      <c r="I7355" s="361">
        <v>1</v>
      </c>
      <c r="J7355" s="368" t="s">
        <v>286</v>
      </c>
      <c r="K7355" s="361"/>
      <c r="L7355" s="361"/>
      <c r="W7355" s="129" t="s">
        <v>4876</v>
      </c>
      <c r="X7355" s="337" t="b">
        <f t="shared" si="159"/>
        <v>0</v>
      </c>
    </row>
    <row r="7356" spans="1:24" s="337" customFormat="1" ht="12" customHeight="1" outlineLevel="1">
      <c r="A7356" s="335"/>
      <c r="B7356" s="118" t="s">
        <v>12</v>
      </c>
      <c r="C7356" s="334" t="s">
        <v>17330</v>
      </c>
      <c r="D7356" s="124" t="s">
        <v>17331</v>
      </c>
      <c r="E7356" s="125"/>
      <c r="F7356" s="118" t="s">
        <v>4628</v>
      </c>
      <c r="G7356" s="126" t="s">
        <v>17008</v>
      </c>
      <c r="H7356" s="255">
        <v>3</v>
      </c>
      <c r="I7356" s="361">
        <v>1</v>
      </c>
      <c r="J7356" s="368" t="s">
        <v>286</v>
      </c>
      <c r="K7356" s="361"/>
      <c r="L7356" s="361"/>
      <c r="W7356" s="129" t="s">
        <v>4876</v>
      </c>
      <c r="X7356" s="337" t="b">
        <f t="shared" si="159"/>
        <v>0</v>
      </c>
    </row>
    <row r="7357" spans="1:24" s="337" customFormat="1" ht="12" customHeight="1" outlineLevel="1">
      <c r="A7357" s="335"/>
      <c r="B7357" s="118" t="s">
        <v>12</v>
      </c>
      <c r="C7357" s="334" t="s">
        <v>17332</v>
      </c>
      <c r="D7357" s="124" t="s">
        <v>17333</v>
      </c>
      <c r="E7357" s="125"/>
      <c r="F7357" s="118" t="s">
        <v>4628</v>
      </c>
      <c r="G7357" s="126" t="s">
        <v>17008</v>
      </c>
      <c r="H7357" s="255">
        <v>3</v>
      </c>
      <c r="I7357" s="361">
        <v>1</v>
      </c>
      <c r="J7357" s="368" t="s">
        <v>286</v>
      </c>
      <c r="K7357" s="361"/>
      <c r="L7357" s="361"/>
      <c r="W7357" s="129" t="s">
        <v>4876</v>
      </c>
      <c r="X7357" s="337" t="b">
        <f t="shared" si="159"/>
        <v>0</v>
      </c>
    </row>
    <row r="7358" spans="1:24" s="337" customFormat="1" ht="12" customHeight="1" outlineLevel="1">
      <c r="A7358" s="335"/>
      <c r="B7358" s="118" t="s">
        <v>12</v>
      </c>
      <c r="C7358" s="334" t="s">
        <v>17334</v>
      </c>
      <c r="D7358" s="124" t="s">
        <v>17335</v>
      </c>
      <c r="E7358" s="125"/>
      <c r="F7358" s="118" t="s">
        <v>4628</v>
      </c>
      <c r="G7358" s="126" t="s">
        <v>17008</v>
      </c>
      <c r="H7358" s="255">
        <v>3</v>
      </c>
      <c r="I7358" s="361">
        <v>1</v>
      </c>
      <c r="J7358" s="368" t="s">
        <v>286</v>
      </c>
      <c r="K7358" s="361"/>
      <c r="L7358" s="361"/>
      <c r="W7358" s="129" t="s">
        <v>4876</v>
      </c>
      <c r="X7358" s="337" t="b">
        <f t="shared" ref="X7358:X7359" si="160">W7358=J7358</f>
        <v>0</v>
      </c>
    </row>
    <row r="7359" spans="1:24" s="337" customFormat="1" ht="12" customHeight="1" outlineLevel="1">
      <c r="A7359" s="335"/>
      <c r="B7359" s="118" t="s">
        <v>12</v>
      </c>
      <c r="C7359" s="334" t="s">
        <v>17336</v>
      </c>
      <c r="D7359" s="124" t="s">
        <v>17337</v>
      </c>
      <c r="E7359" s="125"/>
      <c r="F7359" s="118" t="s">
        <v>4628</v>
      </c>
      <c r="G7359" s="126" t="s">
        <v>17008</v>
      </c>
      <c r="H7359" s="255">
        <v>3</v>
      </c>
      <c r="I7359" s="361">
        <v>1</v>
      </c>
      <c r="J7359" s="368" t="s">
        <v>286</v>
      </c>
      <c r="K7359" s="361"/>
      <c r="L7359" s="361"/>
      <c r="W7359" s="129" t="s">
        <v>4876</v>
      </c>
      <c r="X7359" s="337" t="b">
        <f t="shared" si="160"/>
        <v>0</v>
      </c>
    </row>
    <row r="7360" spans="1:24" s="337" customFormat="1" ht="3" customHeight="1">
      <c r="A7360" s="335"/>
      <c r="B7360" s="118"/>
      <c r="C7360" s="334"/>
      <c r="D7360" s="124"/>
      <c r="E7360" s="125"/>
      <c r="F7360" s="118"/>
      <c r="G7360" s="126"/>
      <c r="H7360" s="255"/>
      <c r="I7360" s="361"/>
      <c r="J7360" s="368"/>
      <c r="K7360" s="361"/>
      <c r="L7360" s="361"/>
      <c r="W7360" s="129"/>
    </row>
    <row r="7361" spans="1:24" s="360" customFormat="1" ht="12" customHeight="1">
      <c r="A7361" s="110" t="s">
        <v>17338</v>
      </c>
      <c r="B7361" s="118"/>
      <c r="C7361" s="334"/>
      <c r="D7361" s="124"/>
      <c r="E7361" s="125"/>
      <c r="F7361" s="118"/>
      <c r="G7361" s="126"/>
      <c r="H7361" s="253"/>
      <c r="I7361" s="361"/>
      <c r="J7361" s="368"/>
      <c r="K7361" s="329"/>
      <c r="L7361" s="129"/>
    </row>
    <row r="7362" spans="1:24" s="337" customFormat="1" ht="12" customHeight="1" outlineLevel="1">
      <c r="A7362" s="335"/>
      <c r="B7362" s="118" t="s">
        <v>12</v>
      </c>
      <c r="C7362" s="334" t="s">
        <v>5183</v>
      </c>
      <c r="D7362" s="124" t="s">
        <v>5184</v>
      </c>
      <c r="E7362" s="125"/>
      <c r="F7362" s="118" t="s">
        <v>4628</v>
      </c>
      <c r="G7362" s="126" t="str">
        <f t="shared" ref="G7362:G7370" si="161">CONCATENATE(B7362,"-",F7362,"-",H7362)</f>
        <v>ST-AMN-5</v>
      </c>
      <c r="H7362" s="255">
        <v>5</v>
      </c>
      <c r="I7362" s="361"/>
      <c r="J7362" s="368"/>
      <c r="K7362" s="361">
        <v>1</v>
      </c>
      <c r="L7362" s="369">
        <v>1</v>
      </c>
    </row>
    <row r="7363" spans="1:24" s="337" customFormat="1" ht="12" customHeight="1" outlineLevel="1">
      <c r="A7363" s="335"/>
      <c r="B7363" s="118" t="s">
        <v>12</v>
      </c>
      <c r="C7363" s="334" t="s">
        <v>5892</v>
      </c>
      <c r="D7363" s="124" t="s">
        <v>5893</v>
      </c>
      <c r="E7363" s="125"/>
      <c r="F7363" s="118" t="s">
        <v>4628</v>
      </c>
      <c r="G7363" s="126" t="str">
        <f t="shared" si="161"/>
        <v>ST-AMN-5</v>
      </c>
      <c r="H7363" s="255">
        <v>5</v>
      </c>
      <c r="I7363" s="361"/>
      <c r="J7363" s="368"/>
      <c r="K7363" s="361">
        <v>1</v>
      </c>
      <c r="L7363" s="369">
        <v>1</v>
      </c>
    </row>
    <row r="7364" spans="1:24" s="337" customFormat="1" ht="12" customHeight="1" outlineLevel="1">
      <c r="A7364" s="335"/>
      <c r="B7364" s="118" t="s">
        <v>12</v>
      </c>
      <c r="C7364" s="334" t="s">
        <v>5894</v>
      </c>
      <c r="D7364" s="124" t="s">
        <v>17339</v>
      </c>
      <c r="E7364" s="125"/>
      <c r="F7364" s="118" t="s">
        <v>4628</v>
      </c>
      <c r="G7364" s="126" t="str">
        <f t="shared" si="161"/>
        <v>ST-AMN-5</v>
      </c>
      <c r="H7364" s="255">
        <v>5</v>
      </c>
      <c r="I7364" s="361"/>
      <c r="J7364" s="368"/>
      <c r="K7364" s="361">
        <v>1</v>
      </c>
      <c r="L7364" s="369">
        <v>1</v>
      </c>
    </row>
    <row r="7365" spans="1:24" s="337" customFormat="1" ht="12" customHeight="1" outlineLevel="1">
      <c r="A7365" s="335"/>
      <c r="B7365" s="118" t="s">
        <v>12</v>
      </c>
      <c r="C7365" s="334" t="s">
        <v>5896</v>
      </c>
      <c r="D7365" s="124" t="s">
        <v>5897</v>
      </c>
      <c r="E7365" s="125"/>
      <c r="F7365" s="118" t="s">
        <v>4628</v>
      </c>
      <c r="G7365" s="126" t="str">
        <f t="shared" si="161"/>
        <v>ST-AMN-5</v>
      </c>
      <c r="H7365" s="255">
        <v>5</v>
      </c>
      <c r="I7365" s="361"/>
      <c r="J7365" s="368"/>
      <c r="K7365" s="361">
        <v>1</v>
      </c>
      <c r="L7365" s="369">
        <v>1</v>
      </c>
    </row>
    <row r="7366" spans="1:24" s="337" customFormat="1" ht="12" customHeight="1" outlineLevel="1">
      <c r="A7366" s="335"/>
      <c r="B7366" s="118" t="s">
        <v>12</v>
      </c>
      <c r="C7366" s="334" t="s">
        <v>5898</v>
      </c>
      <c r="D7366" s="124" t="s">
        <v>17004</v>
      </c>
      <c r="E7366" s="125"/>
      <c r="F7366" s="118" t="s">
        <v>4628</v>
      </c>
      <c r="G7366" s="126" t="str">
        <f t="shared" si="161"/>
        <v>ST-AMN-5</v>
      </c>
      <c r="H7366" s="255">
        <v>5</v>
      </c>
      <c r="I7366" s="361"/>
      <c r="J7366" s="368"/>
      <c r="K7366" s="361">
        <v>1</v>
      </c>
      <c r="L7366" s="369">
        <v>1</v>
      </c>
    </row>
    <row r="7367" spans="1:24" s="337" customFormat="1" ht="12" customHeight="1" outlineLevel="1">
      <c r="A7367" s="335"/>
      <c r="B7367" s="118" t="s">
        <v>12</v>
      </c>
      <c r="C7367" s="334" t="s">
        <v>5900</v>
      </c>
      <c r="D7367" s="124" t="s">
        <v>17005</v>
      </c>
      <c r="E7367" s="125"/>
      <c r="F7367" s="118" t="s">
        <v>4628</v>
      </c>
      <c r="G7367" s="126" t="str">
        <f t="shared" si="161"/>
        <v>ST-AMN-5</v>
      </c>
      <c r="H7367" s="255">
        <v>5</v>
      </c>
      <c r="I7367" s="361"/>
      <c r="J7367" s="368"/>
      <c r="K7367" s="361">
        <v>1</v>
      </c>
      <c r="L7367" s="369">
        <v>1</v>
      </c>
    </row>
    <row r="7368" spans="1:24" s="337" customFormat="1" ht="12" customHeight="1" outlineLevel="1">
      <c r="A7368" s="335"/>
      <c r="B7368" s="118" t="s">
        <v>12</v>
      </c>
      <c r="C7368" s="334" t="s">
        <v>5898</v>
      </c>
      <c r="D7368" s="124" t="s">
        <v>17340</v>
      </c>
      <c r="E7368" s="125"/>
      <c r="F7368" s="118" t="s">
        <v>4628</v>
      </c>
      <c r="G7368" s="126" t="str">
        <f t="shared" si="161"/>
        <v>ST-AMN-5</v>
      </c>
      <c r="H7368" s="255">
        <v>5</v>
      </c>
      <c r="I7368" s="361"/>
      <c r="J7368" s="368"/>
      <c r="K7368" s="361">
        <v>1</v>
      </c>
      <c r="L7368" s="369">
        <v>1</v>
      </c>
    </row>
    <row r="7369" spans="1:24" s="337" customFormat="1" ht="12" customHeight="1" outlineLevel="1">
      <c r="A7369" s="335"/>
      <c r="B7369" s="118" t="s">
        <v>12</v>
      </c>
      <c r="C7369" s="334" t="s">
        <v>5900</v>
      </c>
      <c r="D7369" s="124" t="s">
        <v>17341</v>
      </c>
      <c r="E7369" s="125"/>
      <c r="F7369" s="118" t="s">
        <v>4628</v>
      </c>
      <c r="G7369" s="126" t="str">
        <f t="shared" si="161"/>
        <v>ST-AMN-5</v>
      </c>
      <c r="H7369" s="255">
        <v>5</v>
      </c>
      <c r="I7369" s="361"/>
      <c r="J7369" s="368"/>
      <c r="K7369" s="361">
        <v>1</v>
      </c>
      <c r="L7369" s="369">
        <v>1</v>
      </c>
    </row>
    <row r="7370" spans="1:24" ht="12" customHeight="1" outlineLevel="1">
      <c r="B7370" s="118" t="s">
        <v>12</v>
      </c>
      <c r="C7370" s="334" t="s">
        <v>5900</v>
      </c>
      <c r="D7370" s="124" t="s">
        <v>217</v>
      </c>
      <c r="E7370" s="125"/>
      <c r="F7370" s="118" t="s">
        <v>4628</v>
      </c>
      <c r="G7370" s="126" t="str">
        <f t="shared" si="161"/>
        <v>ST-AMN-4</v>
      </c>
      <c r="H7370" s="255">
        <v>4</v>
      </c>
      <c r="I7370" s="361">
        <v>1</v>
      </c>
      <c r="J7370" s="368"/>
      <c r="K7370" s="361"/>
      <c r="L7370" s="129"/>
      <c r="M7370" s="129"/>
      <c r="N7370" s="129"/>
      <c r="O7370" s="129"/>
      <c r="X7370" s="389"/>
    </row>
    <row r="7371" spans="1:24" ht="12" customHeight="1">
      <c r="B7371" s="118"/>
      <c r="C7371" s="334"/>
      <c r="D7371" s="124"/>
      <c r="E7371" s="125"/>
      <c r="F7371" s="118"/>
      <c r="G7371" s="126"/>
      <c r="H7371" s="253"/>
      <c r="L7371" s="129"/>
      <c r="M7371" s="129"/>
      <c r="N7371" s="129"/>
      <c r="O7371" s="129"/>
      <c r="P7371" s="369"/>
      <c r="Q7371" s="364"/>
    </row>
    <row r="7372" spans="1:24" ht="2.25" customHeight="1">
      <c r="A7372" s="374" t="s">
        <v>4867</v>
      </c>
      <c r="B7372" s="118" t="s">
        <v>4867</v>
      </c>
      <c r="C7372" s="334" t="s">
        <v>4867</v>
      </c>
      <c r="D7372" s="124" t="s">
        <v>4867</v>
      </c>
      <c r="E7372" s="125" t="s">
        <v>4867</v>
      </c>
      <c r="F7372" s="118" t="s">
        <v>4867</v>
      </c>
      <c r="G7372" s="126" t="s">
        <v>4867</v>
      </c>
      <c r="H7372" s="255" t="s">
        <v>4867</v>
      </c>
      <c r="I7372" s="374" t="s">
        <v>4867</v>
      </c>
      <c r="J7372" s="366" t="s">
        <v>4867</v>
      </c>
      <c r="K7372" s="374" t="s">
        <v>4867</v>
      </c>
      <c r="L7372" s="374" t="s">
        <v>4867</v>
      </c>
      <c r="M7372" s="374" t="s">
        <v>4867</v>
      </c>
      <c r="N7372" s="374" t="s">
        <v>4867</v>
      </c>
      <c r="O7372" s="374" t="s">
        <v>4867</v>
      </c>
      <c r="P7372" s="374" t="s">
        <v>4867</v>
      </c>
      <c r="Q7372" s="374" t="s">
        <v>4867</v>
      </c>
      <c r="R7372" s="374" t="s">
        <v>4867</v>
      </c>
      <c r="S7372" s="374" t="s">
        <v>4867</v>
      </c>
      <c r="T7372" s="374" t="s">
        <v>4867</v>
      </c>
      <c r="U7372" s="374" t="s">
        <v>4867</v>
      </c>
      <c r="W7372" s="374"/>
    </row>
  </sheetData>
  <autoFilter ref="A5:T7370" xr:uid="{00000000-0009-0000-0000-000002000000}"/>
  <sortState xmlns:xlrd2="http://schemas.microsoft.com/office/spreadsheetml/2017/richdata2" ref="B1857:J2512">
    <sortCondition ref="H1857:H2512"/>
  </sortState>
  <mergeCells count="6">
    <mergeCell ref="P2:P4"/>
    <mergeCell ref="F2:F4"/>
    <mergeCell ref="I2:J2"/>
    <mergeCell ref="K2:K4"/>
    <mergeCell ref="G2:G4"/>
    <mergeCell ref="H2:H4"/>
  </mergeCells>
  <phoneticPr fontId="37" type="noConversion"/>
  <conditionalFormatting sqref="I4541:K4541">
    <cfRule type="iconSet" priority="2060">
      <iconSet iconSet="3Symbols2" showValue="0">
        <cfvo type="percent" val="0"/>
        <cfvo type="num" val="0"/>
        <cfvo type="num" val="1"/>
      </iconSet>
    </cfRule>
  </conditionalFormatting>
  <conditionalFormatting sqref="I4928:K4928">
    <cfRule type="iconSet" priority="2059">
      <iconSet iconSet="3Symbols2" showValue="0">
        <cfvo type="percent" val="0"/>
        <cfvo type="num" val="0"/>
        <cfvo type="num" val="1"/>
      </iconSet>
    </cfRule>
  </conditionalFormatting>
  <conditionalFormatting sqref="I5549:K5549">
    <cfRule type="iconSet" priority="2058">
      <iconSet iconSet="3Symbols2" showValue="0">
        <cfvo type="percent" val="0"/>
        <cfvo type="num" val="0"/>
        <cfvo type="num" val="1"/>
      </iconSet>
    </cfRule>
  </conditionalFormatting>
  <conditionalFormatting sqref="I5963:K5963">
    <cfRule type="iconSet" priority="2057">
      <iconSet iconSet="3Symbols2" showValue="0">
        <cfvo type="percent" val="0"/>
        <cfvo type="num" val="0"/>
        <cfvo type="num" val="1"/>
      </iconSet>
    </cfRule>
  </conditionalFormatting>
  <conditionalFormatting sqref="I6284:K6284">
    <cfRule type="iconSet" priority="2056">
      <iconSet iconSet="3Symbols2" showValue="0">
        <cfvo type="percent" val="0"/>
        <cfvo type="num" val="0"/>
        <cfvo type="num" val="1"/>
      </iconSet>
    </cfRule>
  </conditionalFormatting>
  <conditionalFormatting sqref="I6700:K6700">
    <cfRule type="iconSet" priority="2055">
      <iconSet iconSet="3Symbols2" showValue="0">
        <cfvo type="percent" val="0"/>
        <cfvo type="num" val="0"/>
        <cfvo type="num" val="1"/>
      </iconSet>
    </cfRule>
  </conditionalFormatting>
  <conditionalFormatting sqref="J3501:K3501">
    <cfRule type="iconSet" priority="2046">
      <iconSet iconSet="3Symbols2" showValue="0">
        <cfvo type="percent" val="0"/>
        <cfvo type="num" val="0"/>
        <cfvo type="num" val="1"/>
      </iconSet>
    </cfRule>
  </conditionalFormatting>
  <conditionalFormatting sqref="I7179:K7179">
    <cfRule type="iconSet" priority="2788">
      <iconSet iconSet="3Symbols2" showValue="0">
        <cfvo type="percent" val="0"/>
        <cfvo type="num" val="0"/>
        <cfvo type="num" val="1"/>
      </iconSet>
    </cfRule>
  </conditionalFormatting>
  <conditionalFormatting sqref="I3497:I3500 I3502:I3503">
    <cfRule type="iconSet" priority="2045">
      <iconSet iconSet="3Symbols2" showValue="0">
        <cfvo type="percent" val="0"/>
        <cfvo type="num" val="0"/>
        <cfvo type="num" val="1"/>
      </iconSet>
    </cfRule>
  </conditionalFormatting>
  <conditionalFormatting sqref="I3501">
    <cfRule type="iconSet" priority="2044">
      <iconSet iconSet="3Symbols2" showValue="0">
        <cfvo type="percent" val="0"/>
        <cfvo type="num" val="0"/>
        <cfvo type="num" val="1"/>
      </iconSet>
    </cfRule>
  </conditionalFormatting>
  <conditionalFormatting sqref="Q7370 Q1:Q3 Q6 Q7372:Q1048576">
    <cfRule type="iconSet" priority="1740">
      <iconSet iconSet="3Symbols2" showValue="0">
        <cfvo type="percent" val="0"/>
        <cfvo type="num" val="0"/>
        <cfvo type="num" val="1"/>
      </iconSet>
    </cfRule>
  </conditionalFormatting>
  <conditionalFormatting sqref="R7370:R1048576 R1:R3 R6">
    <cfRule type="iconSet" priority="1716">
      <iconSet iconSet="3Symbols2" showValue="0">
        <cfvo type="percent" val="0"/>
        <cfvo type="num" val="0"/>
        <cfvo type="num" val="1"/>
      </iconSet>
    </cfRule>
  </conditionalFormatting>
  <conditionalFormatting sqref="S7370:S1048576 S1:S3 S6">
    <cfRule type="iconSet" priority="1692">
      <iconSet iconSet="3Symbols2" showValue="0">
        <cfvo type="percent" val="0"/>
        <cfvo type="num" val="0"/>
        <cfvo type="num" val="1"/>
      </iconSet>
    </cfRule>
  </conditionalFormatting>
  <conditionalFormatting sqref="T7370:T1048576 T1:T3 T6">
    <cfRule type="iconSet" priority="1668">
      <iconSet iconSet="3Symbols2" showValue="0">
        <cfvo type="percent" val="0"/>
        <cfvo type="num" val="0"/>
        <cfvo type="num" val="1"/>
      </iconSet>
    </cfRule>
  </conditionalFormatting>
  <conditionalFormatting sqref="U4541">
    <cfRule type="iconSet" priority="1451">
      <iconSet iconSet="3Symbols2" showValue="0">
        <cfvo type="percent" val="0"/>
        <cfvo type="num" val="0"/>
        <cfvo type="num" val="1"/>
      </iconSet>
    </cfRule>
  </conditionalFormatting>
  <conditionalFormatting sqref="U4928">
    <cfRule type="iconSet" priority="1450">
      <iconSet iconSet="3Symbols2" showValue="0">
        <cfvo type="percent" val="0"/>
        <cfvo type="num" val="0"/>
        <cfvo type="num" val="1"/>
      </iconSet>
    </cfRule>
  </conditionalFormatting>
  <conditionalFormatting sqref="U5549">
    <cfRule type="iconSet" priority="1449">
      <iconSet iconSet="3Symbols2" showValue="0">
        <cfvo type="percent" val="0"/>
        <cfvo type="num" val="0"/>
        <cfvo type="num" val="1"/>
      </iconSet>
    </cfRule>
  </conditionalFormatting>
  <conditionalFormatting sqref="U5963">
    <cfRule type="iconSet" priority="1448">
      <iconSet iconSet="3Symbols2" showValue="0">
        <cfvo type="percent" val="0"/>
        <cfvo type="num" val="0"/>
        <cfvo type="num" val="1"/>
      </iconSet>
    </cfRule>
  </conditionalFormatting>
  <conditionalFormatting sqref="U6284">
    <cfRule type="iconSet" priority="1447">
      <iconSet iconSet="3Symbols2" showValue="0">
        <cfvo type="percent" val="0"/>
        <cfvo type="num" val="0"/>
        <cfvo type="num" val="1"/>
      </iconSet>
    </cfRule>
  </conditionalFormatting>
  <conditionalFormatting sqref="U6700">
    <cfRule type="iconSet" priority="1446">
      <iconSet iconSet="3Symbols2" showValue="0">
        <cfvo type="percent" val="0"/>
        <cfvo type="num" val="0"/>
        <cfvo type="num" val="1"/>
      </iconSet>
    </cfRule>
  </conditionalFormatting>
  <conditionalFormatting sqref="U7370:U1048576 U6285:U6699 U7185:U7204 U1:U3 U4929:U5393 U5550:U5962 U5965:U6283 U6:U572 U610:U3500 U5397:U5548 U7361:U7364 U4542:U4927 U6825:U7178 U6701:U6823 U3502:U4540">
    <cfRule type="iconSet" priority="1452">
      <iconSet iconSet="3Symbols2" showValue="0">
        <cfvo type="percent" val="0"/>
        <cfvo type="num" val="0"/>
        <cfvo type="num" val="1"/>
      </iconSet>
    </cfRule>
  </conditionalFormatting>
  <conditionalFormatting sqref="U3501">
    <cfRule type="iconSet" priority="1441">
      <iconSet iconSet="3Symbols2" showValue="0">
        <cfvo type="percent" val="0"/>
        <cfvo type="num" val="0"/>
        <cfvo type="num" val="1"/>
      </iconSet>
    </cfRule>
  </conditionalFormatting>
  <conditionalFormatting sqref="U7179">
    <cfRule type="iconSet" priority="1454">
      <iconSet iconSet="3Symbols2" showValue="0">
        <cfvo type="percent" val="0"/>
        <cfvo type="num" val="0"/>
        <cfvo type="num" val="1"/>
      </iconSet>
    </cfRule>
  </conditionalFormatting>
  <conditionalFormatting sqref="I5394:K5396">
    <cfRule type="iconSet" priority="1016">
      <iconSet iconSet="3Symbols2" showValue="0">
        <cfvo type="percent" val="0"/>
        <cfvo type="num" val="0"/>
        <cfvo type="num" val="1"/>
      </iconSet>
    </cfRule>
  </conditionalFormatting>
  <conditionalFormatting sqref="U5394:U5396">
    <cfRule type="iconSet" priority="997">
      <iconSet iconSet="3Symbols2" showValue="0">
        <cfvo type="percent" val="0"/>
        <cfvo type="num" val="0"/>
        <cfvo type="num" val="1"/>
      </iconSet>
    </cfRule>
  </conditionalFormatting>
  <conditionalFormatting sqref="I3504">
    <cfRule type="iconSet" priority="972">
      <iconSet iconSet="3Symbols2" showValue="0">
        <cfvo type="percent" val="0"/>
        <cfvo type="num" val="0"/>
        <cfvo type="num" val="1"/>
      </iconSet>
    </cfRule>
  </conditionalFormatting>
  <conditionalFormatting sqref="L4:O5">
    <cfRule type="iconSet" priority="941">
      <iconSet iconSet="3Symbols2" showValue="0">
        <cfvo type="percent" val="0"/>
        <cfvo type="num" val="0"/>
        <cfvo type="num" val="1"/>
      </iconSet>
    </cfRule>
  </conditionalFormatting>
  <conditionalFormatting sqref="Q4:T5">
    <cfRule type="iconSet" priority="922">
      <iconSet iconSet="3Symbols2" showValue="0">
        <cfvo type="percent" val="0"/>
        <cfvo type="num" val="0"/>
        <cfvo type="num" val="1"/>
      </iconSet>
    </cfRule>
  </conditionalFormatting>
  <conditionalFormatting sqref="L520:L522">
    <cfRule type="iconSet" priority="913">
      <iconSet iconSet="3Symbols2" showValue="0">
        <cfvo type="percent" val="0"/>
        <cfvo type="num" val="0"/>
        <cfvo type="num" val="1"/>
      </iconSet>
    </cfRule>
  </conditionalFormatting>
  <conditionalFormatting sqref="L523:L525">
    <cfRule type="iconSet" priority="912">
      <iconSet iconSet="3Symbols2" showValue="0">
        <cfvo type="percent" val="0"/>
        <cfvo type="num" val="0"/>
        <cfvo type="num" val="1"/>
      </iconSet>
    </cfRule>
  </conditionalFormatting>
  <conditionalFormatting sqref="L527:L529">
    <cfRule type="iconSet" priority="911">
      <iconSet iconSet="3Symbols2" showValue="0">
        <cfvo type="percent" val="0"/>
        <cfvo type="num" val="0"/>
        <cfvo type="num" val="1"/>
      </iconSet>
    </cfRule>
  </conditionalFormatting>
  <conditionalFormatting sqref="M534:M539">
    <cfRule type="iconSet" priority="909">
      <iconSet iconSet="3Symbols2" showValue="0">
        <cfvo type="percent" val="0"/>
        <cfvo type="num" val="0"/>
        <cfvo type="num" val="1"/>
      </iconSet>
    </cfRule>
  </conditionalFormatting>
  <conditionalFormatting sqref="M541:M546">
    <cfRule type="iconSet" priority="908">
      <iconSet iconSet="3Symbols2" showValue="0">
        <cfvo type="percent" val="0"/>
        <cfvo type="num" val="0"/>
        <cfvo type="num" val="1"/>
      </iconSet>
    </cfRule>
  </conditionalFormatting>
  <conditionalFormatting sqref="L3474:L3475">
    <cfRule type="iconSet" priority="877">
      <iconSet iconSet="3Symbols2" showValue="0">
        <cfvo type="percent" val="0"/>
        <cfvo type="num" val="0"/>
        <cfvo type="num" val="1"/>
      </iconSet>
    </cfRule>
  </conditionalFormatting>
  <conditionalFormatting sqref="L3481:L3483">
    <cfRule type="iconSet" priority="876">
      <iconSet iconSet="3Symbols2" showValue="0">
        <cfvo type="percent" val="0"/>
        <cfvo type="num" val="0"/>
        <cfvo type="num" val="1"/>
      </iconSet>
    </cfRule>
  </conditionalFormatting>
  <conditionalFormatting sqref="L3505:L3508">
    <cfRule type="iconSet" priority="875">
      <iconSet iconSet="3Symbols2" showValue="0">
        <cfvo type="percent" val="0"/>
        <cfvo type="num" val="0"/>
        <cfvo type="num" val="1"/>
      </iconSet>
    </cfRule>
  </conditionalFormatting>
  <conditionalFormatting sqref="L3491:L3495">
    <cfRule type="iconSet" priority="874">
      <iconSet iconSet="3Symbols2" showValue="0">
        <cfvo type="percent" val="0"/>
        <cfvo type="num" val="0"/>
        <cfvo type="num" val="1"/>
      </iconSet>
    </cfRule>
  </conditionalFormatting>
  <conditionalFormatting sqref="L3513:L3517">
    <cfRule type="iconSet" priority="873">
      <iconSet iconSet="3Symbols2" showValue="0">
        <cfvo type="percent" val="0"/>
        <cfvo type="num" val="0"/>
        <cfvo type="num" val="1"/>
      </iconSet>
    </cfRule>
  </conditionalFormatting>
  <conditionalFormatting sqref="L3527:L3531">
    <cfRule type="iconSet" priority="872">
      <iconSet iconSet="3Symbols2" showValue="0">
        <cfvo type="percent" val="0"/>
        <cfvo type="num" val="0"/>
        <cfvo type="num" val="1"/>
      </iconSet>
    </cfRule>
  </conditionalFormatting>
  <conditionalFormatting sqref="L3534:L3537">
    <cfRule type="iconSet" priority="871">
      <iconSet iconSet="3Symbols2" showValue="0">
        <cfvo type="percent" val="0"/>
        <cfvo type="num" val="0"/>
        <cfvo type="num" val="1"/>
      </iconSet>
    </cfRule>
  </conditionalFormatting>
  <conditionalFormatting sqref="L3542:L3545">
    <cfRule type="iconSet" priority="870">
      <iconSet iconSet="3Symbols2" showValue="0">
        <cfvo type="percent" val="0"/>
        <cfvo type="num" val="0"/>
        <cfvo type="num" val="1"/>
      </iconSet>
    </cfRule>
  </conditionalFormatting>
  <conditionalFormatting sqref="L3549:L3550">
    <cfRule type="iconSet" priority="869">
      <iconSet iconSet="3Symbols2" showValue="0">
        <cfvo type="percent" val="0"/>
        <cfvo type="num" val="0"/>
        <cfvo type="num" val="1"/>
      </iconSet>
    </cfRule>
  </conditionalFormatting>
  <conditionalFormatting sqref="M3553:M3554">
    <cfRule type="iconSet" priority="868">
      <iconSet iconSet="3Symbols2" showValue="0">
        <cfvo type="percent" val="0"/>
        <cfvo type="num" val="0"/>
        <cfvo type="num" val="1"/>
      </iconSet>
    </cfRule>
  </conditionalFormatting>
  <conditionalFormatting sqref="L5386:L5389">
    <cfRule type="iconSet" priority="846">
      <iconSet iconSet="3Symbols2" showValue="0">
        <cfvo type="percent" val="0"/>
        <cfvo type="num" val="0"/>
        <cfvo type="num" val="1"/>
      </iconSet>
    </cfRule>
  </conditionalFormatting>
  <conditionalFormatting sqref="L5404:L5408">
    <cfRule type="iconSet" priority="844">
      <iconSet iconSet="3Symbols2" showValue="0">
        <cfvo type="percent" val="0"/>
        <cfvo type="num" val="0"/>
        <cfvo type="num" val="1"/>
      </iconSet>
    </cfRule>
  </conditionalFormatting>
  <conditionalFormatting sqref="L5418:L5422">
    <cfRule type="iconSet" priority="843">
      <iconSet iconSet="3Symbols2" showValue="0">
        <cfvo type="percent" val="0"/>
        <cfvo type="num" val="0"/>
        <cfvo type="num" val="1"/>
      </iconSet>
    </cfRule>
  </conditionalFormatting>
  <conditionalFormatting sqref="L5426:L5429">
    <cfRule type="iconSet" priority="842">
      <iconSet iconSet="3Symbols2" showValue="0">
        <cfvo type="percent" val="0"/>
        <cfvo type="num" val="0"/>
        <cfvo type="num" val="1"/>
      </iconSet>
    </cfRule>
  </conditionalFormatting>
  <conditionalFormatting sqref="L5439:L5442">
    <cfRule type="iconSet" priority="841">
      <iconSet iconSet="3Symbols2" showValue="0">
        <cfvo type="percent" val="0"/>
        <cfvo type="num" val="0"/>
        <cfvo type="num" val="1"/>
      </iconSet>
    </cfRule>
  </conditionalFormatting>
  <conditionalFormatting sqref="L5446:L5449">
    <cfRule type="iconSet" priority="840">
      <iconSet iconSet="3Symbols2" showValue="0">
        <cfvo type="percent" val="0"/>
        <cfvo type="num" val="0"/>
        <cfvo type="num" val="1"/>
      </iconSet>
    </cfRule>
  </conditionalFormatting>
  <conditionalFormatting sqref="M5947">
    <cfRule type="iconSet" priority="835">
      <iconSet iconSet="3Symbols2" showValue="0">
        <cfvo type="percent" val="0"/>
        <cfvo type="num" val="0"/>
        <cfvo type="num" val="1"/>
      </iconSet>
    </cfRule>
  </conditionalFormatting>
  <conditionalFormatting sqref="M5956:M5960">
    <cfRule type="iconSet" priority="834">
      <iconSet iconSet="3Symbols2" showValue="0">
        <cfvo type="percent" val="0"/>
        <cfvo type="num" val="0"/>
        <cfvo type="num" val="1"/>
      </iconSet>
    </cfRule>
  </conditionalFormatting>
  <conditionalFormatting sqref="U6824">
    <cfRule type="iconSet" priority="76750">
      <iconSet iconSet="3Symbols2" showValue="0">
        <cfvo type="percent" val="0"/>
        <cfvo type="num" val="0"/>
        <cfvo type="num" val="1"/>
      </iconSet>
    </cfRule>
  </conditionalFormatting>
  <conditionalFormatting sqref="M6824">
    <cfRule type="iconSet" priority="821">
      <iconSet iconSet="3Symbols2" showValue="0">
        <cfvo type="percent" val="0"/>
        <cfvo type="num" val="0"/>
        <cfvo type="num" val="1"/>
      </iconSet>
    </cfRule>
  </conditionalFormatting>
  <conditionalFormatting sqref="M7179">
    <cfRule type="iconSet" priority="816">
      <iconSet iconSet="3Symbols2" showValue="0">
        <cfvo type="percent" val="0"/>
        <cfvo type="num" val="0"/>
        <cfvo type="num" val="1"/>
      </iconSet>
    </cfRule>
  </conditionalFormatting>
  <conditionalFormatting sqref="L7370:L7466 L7187:L7204 L5397:L5403 L9:L519 L526 L533:L547 L610 L3476:L3480 L3484:L3490 L3509:L3512 L3496:L3504 L3518:L3526 L3532:L3533 L3538:L3541 L3546:L3548 L5390:L5393 L5409:L5417 L5423:L5425 L5430:L5438 L5443:L5445 L5450:L5453 L5549 L612:L1144 L1146:L1855 L1857:L2513 L2515:L3473 L4930:L5385 L5551:L5963 L5965:L6284 L6286:L6700 L6824 L7361 L4543:L4928 L7179:L7185 L6851:L6853 L6702:L6821 L3551:L4541">
    <cfRule type="iconSet" priority="81106">
      <iconSet iconSet="3Symbols2" showValue="0">
        <cfvo type="percent" val="0"/>
        <cfvo type="num" val="0"/>
        <cfvo type="num" val="1"/>
      </iconSet>
    </cfRule>
  </conditionalFormatting>
  <conditionalFormatting sqref="N7370:N7466 N9:N572 N612:N1144 N1146:N1855 N5551:N5963 N6286:N6700 N1857:N2513 N5965:N6284 N610 N4930:N5549 N4543:N4928 N6824:N6850 N6854:N7185 N2515:N4541 N7187:N7361">
    <cfRule type="iconSet" priority="81181">
      <iconSet iconSet="3Symbols2" showValue="0">
        <cfvo type="percent" val="0"/>
        <cfvo type="num" val="0"/>
        <cfvo type="num" val="1"/>
      </iconSet>
    </cfRule>
  </conditionalFormatting>
  <conditionalFormatting sqref="O7370:O7466 O5551:O5963 O9:O572 O612:O1144 O1146:O1855 O5965:O6284 O6286:O6700 O1857:O2513 O610 O4930:O5549 O4543:O4928 O6824:O7185 O6702:O6821 O2515:O4541 O7187:O7361">
    <cfRule type="iconSet" priority="81184">
      <iconSet iconSet="3Symbols2" showValue="0">
        <cfvo type="percent" val="0"/>
        <cfvo type="num" val="0"/>
        <cfvo type="num" val="1"/>
      </iconSet>
    </cfRule>
  </conditionalFormatting>
  <conditionalFormatting sqref="Q7361:Q7364 Q7187:Q7204">
    <cfRule type="iconSet" priority="744">
      <iconSet iconSet="3Symbols2" showValue="0">
        <cfvo type="percent" val="0"/>
        <cfvo type="num" val="0"/>
        <cfvo type="num" val="1"/>
      </iconSet>
    </cfRule>
  </conditionalFormatting>
  <conditionalFormatting sqref="L5394:L5396">
    <cfRule type="iconSet" priority="81334">
      <iconSet iconSet="3Symbols2" showValue="0">
        <cfvo type="percent" val="0"/>
        <cfvo type="num" val="0"/>
        <cfvo type="num" val="1"/>
      </iconSet>
    </cfRule>
  </conditionalFormatting>
  <conditionalFormatting sqref="L585">
    <cfRule type="iconSet" priority="598">
      <iconSet iconSet="3Symbols2" showValue="0">
        <cfvo type="percent" val="0"/>
        <cfvo type="num" val="0"/>
        <cfvo type="num" val="1"/>
      </iconSet>
    </cfRule>
  </conditionalFormatting>
  <conditionalFormatting sqref="P4541">
    <cfRule type="iconSet" priority="488">
      <iconSet iconSet="3Symbols2" showValue="0">
        <cfvo type="percent" val="0"/>
        <cfvo type="num" val="0"/>
        <cfvo type="num" val="1"/>
      </iconSet>
    </cfRule>
  </conditionalFormatting>
  <conditionalFormatting sqref="P4928">
    <cfRule type="iconSet" priority="487">
      <iconSet iconSet="3Symbols2" showValue="0">
        <cfvo type="percent" val="0"/>
        <cfvo type="num" val="0"/>
        <cfvo type="num" val="1"/>
      </iconSet>
    </cfRule>
  </conditionalFormatting>
  <conditionalFormatting sqref="P5549">
    <cfRule type="iconSet" priority="486">
      <iconSet iconSet="3Symbols2" showValue="0">
        <cfvo type="percent" val="0"/>
        <cfvo type="num" val="0"/>
        <cfvo type="num" val="1"/>
      </iconSet>
    </cfRule>
  </conditionalFormatting>
  <conditionalFormatting sqref="P5963">
    <cfRule type="iconSet" priority="485">
      <iconSet iconSet="3Symbols2" showValue="0">
        <cfvo type="percent" val="0"/>
        <cfvo type="num" val="0"/>
        <cfvo type="num" val="1"/>
      </iconSet>
    </cfRule>
  </conditionalFormatting>
  <conditionalFormatting sqref="P6284">
    <cfRule type="iconSet" priority="484">
      <iconSet iconSet="3Symbols2" showValue="0">
        <cfvo type="percent" val="0"/>
        <cfvo type="num" val="0"/>
        <cfvo type="num" val="1"/>
      </iconSet>
    </cfRule>
  </conditionalFormatting>
  <conditionalFormatting sqref="P6700">
    <cfRule type="iconSet" priority="483">
      <iconSet iconSet="3Symbols2" showValue="0">
        <cfvo type="percent" val="0"/>
        <cfvo type="num" val="0"/>
        <cfvo type="num" val="1"/>
      </iconSet>
    </cfRule>
  </conditionalFormatting>
  <conditionalFormatting sqref="P3501">
    <cfRule type="iconSet" priority="481">
      <iconSet iconSet="3Symbols2" showValue="0">
        <cfvo type="percent" val="0"/>
        <cfvo type="num" val="0"/>
        <cfvo type="num" val="1"/>
      </iconSet>
    </cfRule>
  </conditionalFormatting>
  <conditionalFormatting sqref="P7179:P7184">
    <cfRule type="iconSet" priority="479">
      <iconSet iconSet="3Symbols2" showValue="0">
        <cfvo type="percent" val="0"/>
        <cfvo type="num" val="0"/>
        <cfvo type="num" val="1"/>
      </iconSet>
    </cfRule>
  </conditionalFormatting>
  <conditionalFormatting sqref="Q4541">
    <cfRule type="iconSet" priority="451">
      <iconSet iconSet="3Symbols2" showValue="0">
        <cfvo type="percent" val="0"/>
        <cfvo type="num" val="0"/>
        <cfvo type="num" val="1"/>
      </iconSet>
    </cfRule>
  </conditionalFormatting>
  <conditionalFormatting sqref="Q4928">
    <cfRule type="iconSet" priority="450">
      <iconSet iconSet="3Symbols2" showValue="0">
        <cfvo type="percent" val="0"/>
        <cfvo type="num" val="0"/>
        <cfvo type="num" val="1"/>
      </iconSet>
    </cfRule>
  </conditionalFormatting>
  <conditionalFormatting sqref="Q5549">
    <cfRule type="iconSet" priority="449">
      <iconSet iconSet="3Symbols2" showValue="0">
        <cfvo type="percent" val="0"/>
        <cfvo type="num" val="0"/>
        <cfvo type="num" val="1"/>
      </iconSet>
    </cfRule>
  </conditionalFormatting>
  <conditionalFormatting sqref="Q5963">
    <cfRule type="iconSet" priority="448">
      <iconSet iconSet="3Symbols2" showValue="0">
        <cfvo type="percent" val="0"/>
        <cfvo type="num" val="0"/>
        <cfvo type="num" val="1"/>
      </iconSet>
    </cfRule>
  </conditionalFormatting>
  <conditionalFormatting sqref="Q6284">
    <cfRule type="iconSet" priority="447">
      <iconSet iconSet="3Symbols2" showValue="0">
        <cfvo type="percent" val="0"/>
        <cfvo type="num" val="0"/>
        <cfvo type="num" val="1"/>
      </iconSet>
    </cfRule>
  </conditionalFormatting>
  <conditionalFormatting sqref="Q6700">
    <cfRule type="iconSet" priority="446">
      <iconSet iconSet="3Symbols2" showValue="0">
        <cfvo type="percent" val="0"/>
        <cfvo type="num" val="0"/>
        <cfvo type="num" val="1"/>
      </iconSet>
    </cfRule>
  </conditionalFormatting>
  <conditionalFormatting sqref="Q3501">
    <cfRule type="iconSet" priority="444">
      <iconSet iconSet="3Symbols2" showValue="0">
        <cfvo type="percent" val="0"/>
        <cfvo type="num" val="0"/>
        <cfvo type="num" val="1"/>
      </iconSet>
    </cfRule>
  </conditionalFormatting>
  <conditionalFormatting sqref="Q7185 Q5965:Q6283 Q4930:Q5385 Q6286:Q6699 Q3502:Q3504 Q5551:Q5946 Q523:Q526 Q3477:Q3480 Q3484:Q3490 Q3509:Q3512 Q3518:Q3526 Q3531:Q3533 Q3546:Q3548 Q3551:Q3552 Q9:Q519 Q612:Q1144 Q1857:Q2513 Q2515:Q3473 Q531:Q534 Q3496:Q3500 Q610 Q3555 Q3538:Q3541 Q1146:Q1855 Q5961:Q5962 Q5948:Q5956 Q547 Q540 Q4543:Q4927 Q6824:Q6825 Q6723:Q6785 Q6702:Q6721 Q6851:Q6853 Q6819:Q6821">
    <cfRule type="iconSet" priority="423">
      <iconSet iconSet="3Symbols2" showValue="0">
        <cfvo type="percent" val="0"/>
        <cfvo type="num" val="0"/>
        <cfvo type="num" val="1"/>
      </iconSet>
    </cfRule>
  </conditionalFormatting>
  <conditionalFormatting sqref="Q520:Q522">
    <cfRule type="iconSet" priority="421">
      <iconSet iconSet="3Symbols2" showValue="0">
        <cfvo type="percent" val="0"/>
        <cfvo type="num" val="0"/>
        <cfvo type="num" val="1"/>
      </iconSet>
    </cfRule>
  </conditionalFormatting>
  <conditionalFormatting sqref="P7185 P5965:P6283 P6286:P6699 P3502:P3504 P6821 P5551:P5946 P526 P3477:P3480 P3484:P3490 P3509:P3512 P3518:P3526 P3531:P3533 P3546:P3548 P3551:P3552 P9:P519 P612:P1144 P1857:P2513 P2515:P3473 P533 P3496:P3500 P610 P3538:P3541 P4930:P5393 P1146:P1855 P5397:P5548 P540 P5961:P5962 P5948:P5956 P547 P6827:P6850 P6854:P7178 P4543:P4927 P6824:P6825 P3555:P4540">
    <cfRule type="iconSet" priority="413">
      <iconSet iconSet="3Symbols2" showValue="0">
        <cfvo type="percent" val="0"/>
        <cfvo type="num" val="0"/>
        <cfvo type="num" val="1"/>
      </iconSet>
    </cfRule>
  </conditionalFormatting>
  <conditionalFormatting sqref="R6284">
    <cfRule type="iconSet" priority="390">
      <iconSet iconSet="3Symbols2" showValue="0">
        <cfvo type="percent" val="0"/>
        <cfvo type="num" val="0"/>
        <cfvo type="num" val="1"/>
      </iconSet>
    </cfRule>
  </conditionalFormatting>
  <conditionalFormatting sqref="Q527:Q528">
    <cfRule type="iconSet" priority="386">
      <iconSet iconSet="3Symbols2" showValue="0">
        <cfvo type="percent" val="0"/>
        <cfvo type="num" val="0"/>
        <cfvo type="num" val="1"/>
      </iconSet>
    </cfRule>
  </conditionalFormatting>
  <conditionalFormatting sqref="P527:P528">
    <cfRule type="iconSet" priority="385">
      <iconSet iconSet="3Symbols2" showValue="0">
        <cfvo type="percent" val="0"/>
        <cfvo type="num" val="0"/>
        <cfvo type="num" val="1"/>
      </iconSet>
    </cfRule>
  </conditionalFormatting>
  <conditionalFormatting sqref="R527:R528">
    <cfRule type="iconSet" priority="384">
      <iconSet iconSet="3Symbols2" showValue="0">
        <cfvo type="percent" val="0"/>
        <cfvo type="num" val="0"/>
        <cfvo type="num" val="1"/>
      </iconSet>
    </cfRule>
  </conditionalFormatting>
  <conditionalFormatting sqref="P3491">
    <cfRule type="iconSet" priority="382">
      <iconSet iconSet="3Symbols2" showValue="0">
        <cfvo type="percent" val="0"/>
        <cfvo type="num" val="0"/>
        <cfvo type="num" val="1"/>
      </iconSet>
    </cfRule>
  </conditionalFormatting>
  <conditionalFormatting sqref="R3491">
    <cfRule type="iconSet" priority="381">
      <iconSet iconSet="3Symbols2" showValue="0">
        <cfvo type="percent" val="0"/>
        <cfvo type="num" val="0"/>
        <cfvo type="num" val="1"/>
      </iconSet>
    </cfRule>
  </conditionalFormatting>
  <conditionalFormatting sqref="Q529">
    <cfRule type="iconSet" priority="374">
      <iconSet iconSet="3Symbols2" showValue="0">
        <cfvo type="percent" val="0"/>
        <cfvo type="num" val="0"/>
        <cfvo type="num" val="1"/>
      </iconSet>
    </cfRule>
  </conditionalFormatting>
  <conditionalFormatting sqref="P529">
    <cfRule type="iconSet" priority="373">
      <iconSet iconSet="3Symbols2" showValue="0">
        <cfvo type="percent" val="0"/>
        <cfvo type="num" val="0"/>
        <cfvo type="num" val="1"/>
      </iconSet>
    </cfRule>
  </conditionalFormatting>
  <conditionalFormatting sqref="R529">
    <cfRule type="iconSet" priority="372">
      <iconSet iconSet="3Symbols2" showValue="0">
        <cfvo type="percent" val="0"/>
        <cfvo type="num" val="0"/>
        <cfvo type="num" val="1"/>
      </iconSet>
    </cfRule>
  </conditionalFormatting>
  <conditionalFormatting sqref="Q530">
    <cfRule type="iconSet" priority="371">
      <iconSet iconSet="3Symbols2" showValue="0">
        <cfvo type="percent" val="0"/>
        <cfvo type="num" val="0"/>
        <cfvo type="num" val="1"/>
      </iconSet>
    </cfRule>
  </conditionalFormatting>
  <conditionalFormatting sqref="Q597 Q585">
    <cfRule type="iconSet" priority="365">
      <iconSet iconSet="3Symbols2" showValue="0">
        <cfvo type="percent" val="0"/>
        <cfvo type="num" val="0"/>
        <cfvo type="num" val="1"/>
      </iconSet>
    </cfRule>
  </conditionalFormatting>
  <conditionalFormatting sqref="P597 P585">
    <cfRule type="iconSet" priority="364">
      <iconSet iconSet="3Symbols2" showValue="0">
        <cfvo type="percent" val="0"/>
        <cfvo type="num" val="0"/>
        <cfvo type="num" val="1"/>
      </iconSet>
    </cfRule>
  </conditionalFormatting>
  <conditionalFormatting sqref="Q3493:Q3495">
    <cfRule type="iconSet" priority="363">
      <iconSet iconSet="3Symbols2" showValue="0">
        <cfvo type="percent" val="0"/>
        <cfvo type="num" val="0"/>
        <cfvo type="num" val="1"/>
      </iconSet>
    </cfRule>
  </conditionalFormatting>
  <conditionalFormatting sqref="P3492:P3495">
    <cfRule type="iconSet" priority="362">
      <iconSet iconSet="3Symbols2" showValue="0">
        <cfvo type="percent" val="0"/>
        <cfvo type="num" val="0"/>
        <cfvo type="num" val="1"/>
      </iconSet>
    </cfRule>
  </conditionalFormatting>
  <conditionalFormatting sqref="R3492:R3495">
    <cfRule type="iconSet" priority="361">
      <iconSet iconSet="3Symbols2" showValue="0">
        <cfvo type="percent" val="0"/>
        <cfvo type="num" val="0"/>
        <cfvo type="num" val="1"/>
      </iconSet>
    </cfRule>
  </conditionalFormatting>
  <conditionalFormatting sqref="R3553:R3554">
    <cfRule type="iconSet" priority="360">
      <iconSet iconSet="3Symbols2" showValue="0">
        <cfvo type="percent" val="0"/>
        <cfvo type="num" val="0"/>
        <cfvo type="num" val="1"/>
      </iconSet>
    </cfRule>
  </conditionalFormatting>
  <conditionalFormatting sqref="Q3553:Q3554">
    <cfRule type="iconSet" priority="359">
      <iconSet iconSet="3Symbols2" showValue="0">
        <cfvo type="percent" val="0"/>
        <cfvo type="num" val="0"/>
        <cfvo type="num" val="1"/>
      </iconSet>
    </cfRule>
  </conditionalFormatting>
  <conditionalFormatting sqref="P3553:P3554">
    <cfRule type="iconSet" priority="358">
      <iconSet iconSet="3Symbols2" showValue="0">
        <cfvo type="percent" val="0"/>
        <cfvo type="num" val="0"/>
        <cfvo type="num" val="1"/>
      </iconSet>
    </cfRule>
  </conditionalFormatting>
  <conditionalFormatting sqref="Q3476">
    <cfRule type="iconSet" priority="353">
      <iconSet iconSet="3Symbols2" showValue="0">
        <cfvo type="percent" val="0"/>
        <cfvo type="num" val="0"/>
        <cfvo type="num" val="1"/>
      </iconSet>
    </cfRule>
  </conditionalFormatting>
  <conditionalFormatting sqref="P3474:P3476">
    <cfRule type="iconSet" priority="352">
      <iconSet iconSet="3Symbols2" showValue="0">
        <cfvo type="percent" val="0"/>
        <cfvo type="num" val="0"/>
        <cfvo type="num" val="1"/>
      </iconSet>
    </cfRule>
  </conditionalFormatting>
  <conditionalFormatting sqref="R3474:R3475">
    <cfRule type="iconSet" priority="351">
      <iconSet iconSet="3Symbols2" showValue="0">
        <cfvo type="percent" val="0"/>
        <cfvo type="num" val="0"/>
        <cfvo type="num" val="1"/>
      </iconSet>
    </cfRule>
  </conditionalFormatting>
  <conditionalFormatting sqref="R3476">
    <cfRule type="iconSet" priority="350">
      <iconSet iconSet="3Symbols2" showValue="0">
        <cfvo type="percent" val="0"/>
        <cfvo type="num" val="0"/>
        <cfvo type="num" val="1"/>
      </iconSet>
    </cfRule>
  </conditionalFormatting>
  <conditionalFormatting sqref="Q3483">
    <cfRule type="iconSet" priority="349">
      <iconSet iconSet="3Symbols2" showValue="0">
        <cfvo type="percent" val="0"/>
        <cfvo type="num" val="0"/>
        <cfvo type="num" val="1"/>
      </iconSet>
    </cfRule>
  </conditionalFormatting>
  <conditionalFormatting sqref="P3481:P3483">
    <cfRule type="iconSet" priority="348">
      <iconSet iconSet="3Symbols2" showValue="0">
        <cfvo type="percent" val="0"/>
        <cfvo type="num" val="0"/>
        <cfvo type="num" val="1"/>
      </iconSet>
    </cfRule>
  </conditionalFormatting>
  <conditionalFormatting sqref="R3481:R3483">
    <cfRule type="iconSet" priority="347">
      <iconSet iconSet="3Symbols2" showValue="0">
        <cfvo type="percent" val="0"/>
        <cfvo type="num" val="0"/>
        <cfvo type="num" val="1"/>
      </iconSet>
    </cfRule>
  </conditionalFormatting>
  <conditionalFormatting sqref="Q3507:Q3508">
    <cfRule type="iconSet" priority="343">
      <iconSet iconSet="3Symbols2" showValue="0">
        <cfvo type="percent" val="0"/>
        <cfvo type="num" val="0"/>
        <cfvo type="num" val="1"/>
      </iconSet>
    </cfRule>
  </conditionalFormatting>
  <conditionalFormatting sqref="P3505:P3508">
    <cfRule type="iconSet" priority="342">
      <iconSet iconSet="3Symbols2" showValue="0">
        <cfvo type="percent" val="0"/>
        <cfvo type="num" val="0"/>
        <cfvo type="num" val="1"/>
      </iconSet>
    </cfRule>
  </conditionalFormatting>
  <conditionalFormatting sqref="R3505:R3508">
    <cfRule type="iconSet" priority="341">
      <iconSet iconSet="3Symbols2" showValue="0">
        <cfvo type="percent" val="0"/>
        <cfvo type="num" val="0"/>
        <cfvo type="num" val="1"/>
      </iconSet>
    </cfRule>
  </conditionalFormatting>
  <conditionalFormatting sqref="Q3515:Q3517">
    <cfRule type="iconSet" priority="340">
      <iconSet iconSet="3Symbols2" showValue="0">
        <cfvo type="percent" val="0"/>
        <cfvo type="num" val="0"/>
        <cfvo type="num" val="1"/>
      </iconSet>
    </cfRule>
  </conditionalFormatting>
  <conditionalFormatting sqref="P3514:P3517">
    <cfRule type="iconSet" priority="339">
      <iconSet iconSet="3Symbols2" showValue="0">
        <cfvo type="percent" val="0"/>
        <cfvo type="num" val="0"/>
        <cfvo type="num" val="1"/>
      </iconSet>
    </cfRule>
  </conditionalFormatting>
  <conditionalFormatting sqref="R3514:R3517">
    <cfRule type="iconSet" priority="338">
      <iconSet iconSet="3Symbols2" showValue="0">
        <cfvo type="percent" val="0"/>
        <cfvo type="num" val="0"/>
        <cfvo type="num" val="1"/>
      </iconSet>
    </cfRule>
  </conditionalFormatting>
  <conditionalFormatting sqref="P3513">
    <cfRule type="iconSet" priority="336">
      <iconSet iconSet="3Symbols2" showValue="0">
        <cfvo type="percent" val="0"/>
        <cfvo type="num" val="0"/>
        <cfvo type="num" val="1"/>
      </iconSet>
    </cfRule>
  </conditionalFormatting>
  <conditionalFormatting sqref="R3513">
    <cfRule type="iconSet" priority="335">
      <iconSet iconSet="3Symbols2" showValue="0">
        <cfvo type="percent" val="0"/>
        <cfvo type="num" val="0"/>
        <cfvo type="num" val="1"/>
      </iconSet>
    </cfRule>
  </conditionalFormatting>
  <conditionalFormatting sqref="Q3529:Q3530">
    <cfRule type="iconSet" priority="334">
      <iconSet iconSet="3Symbols2" showValue="0">
        <cfvo type="percent" val="0"/>
        <cfvo type="num" val="0"/>
        <cfvo type="num" val="1"/>
      </iconSet>
    </cfRule>
  </conditionalFormatting>
  <conditionalFormatting sqref="P3527:P3530">
    <cfRule type="iconSet" priority="333">
      <iconSet iconSet="3Symbols2" showValue="0">
        <cfvo type="percent" val="0"/>
        <cfvo type="num" val="0"/>
        <cfvo type="num" val="1"/>
      </iconSet>
    </cfRule>
  </conditionalFormatting>
  <conditionalFormatting sqref="R3527:R3530">
    <cfRule type="iconSet" priority="332">
      <iconSet iconSet="3Symbols2" showValue="0">
        <cfvo type="percent" val="0"/>
        <cfvo type="num" val="0"/>
        <cfvo type="num" val="1"/>
      </iconSet>
    </cfRule>
  </conditionalFormatting>
  <conditionalFormatting sqref="Q3536:Q3537">
    <cfRule type="iconSet" priority="331">
      <iconSet iconSet="3Symbols2" showValue="0">
        <cfvo type="percent" val="0"/>
        <cfvo type="num" val="0"/>
        <cfvo type="num" val="1"/>
      </iconSet>
    </cfRule>
  </conditionalFormatting>
  <conditionalFormatting sqref="P3534:P3537">
    <cfRule type="iconSet" priority="330">
      <iconSet iconSet="3Symbols2" showValue="0">
        <cfvo type="percent" val="0"/>
        <cfvo type="num" val="0"/>
        <cfvo type="num" val="1"/>
      </iconSet>
    </cfRule>
  </conditionalFormatting>
  <conditionalFormatting sqref="R3534:R3537">
    <cfRule type="iconSet" priority="329">
      <iconSet iconSet="3Symbols2" showValue="0">
        <cfvo type="percent" val="0"/>
        <cfvo type="num" val="0"/>
        <cfvo type="num" val="1"/>
      </iconSet>
    </cfRule>
  </conditionalFormatting>
  <conditionalFormatting sqref="Q3544:Q3545">
    <cfRule type="iconSet" priority="328">
      <iconSet iconSet="3Symbols2" showValue="0">
        <cfvo type="percent" val="0"/>
        <cfvo type="num" val="0"/>
        <cfvo type="num" val="1"/>
      </iconSet>
    </cfRule>
  </conditionalFormatting>
  <conditionalFormatting sqref="P3542:P3545">
    <cfRule type="iconSet" priority="327">
      <iconSet iconSet="3Symbols2" showValue="0">
        <cfvo type="percent" val="0"/>
        <cfvo type="num" val="0"/>
        <cfvo type="num" val="1"/>
      </iconSet>
    </cfRule>
  </conditionalFormatting>
  <conditionalFormatting sqref="R3542:R3545">
    <cfRule type="iconSet" priority="326">
      <iconSet iconSet="3Symbols2" showValue="0">
        <cfvo type="percent" val="0"/>
        <cfvo type="num" val="0"/>
        <cfvo type="num" val="1"/>
      </iconSet>
    </cfRule>
  </conditionalFormatting>
  <conditionalFormatting sqref="P3549:P3550">
    <cfRule type="iconSet" priority="324">
      <iconSet iconSet="3Symbols2" showValue="0">
        <cfvo type="percent" val="0"/>
        <cfvo type="num" val="0"/>
        <cfvo type="num" val="1"/>
      </iconSet>
    </cfRule>
  </conditionalFormatting>
  <conditionalFormatting sqref="R3549:R3550">
    <cfRule type="iconSet" priority="323">
      <iconSet iconSet="3Symbols2" showValue="0">
        <cfvo type="percent" val="0"/>
        <cfvo type="num" val="0"/>
        <cfvo type="num" val="1"/>
      </iconSet>
    </cfRule>
  </conditionalFormatting>
  <conditionalFormatting sqref="P5394:P5396">
    <cfRule type="iconSet" priority="318">
      <iconSet iconSet="3Symbols2" showValue="0">
        <cfvo type="percent" val="0"/>
        <cfvo type="num" val="0"/>
        <cfvo type="num" val="1"/>
      </iconSet>
    </cfRule>
  </conditionalFormatting>
  <conditionalFormatting sqref="Q5389">
    <cfRule type="iconSet" priority="317">
      <iconSet iconSet="3Symbols2" showValue="0">
        <cfvo type="percent" val="0"/>
        <cfvo type="num" val="0"/>
        <cfvo type="num" val="1"/>
      </iconSet>
    </cfRule>
  </conditionalFormatting>
  <conditionalFormatting sqref="Q5406:Q5408">
    <cfRule type="iconSet" priority="316">
      <iconSet iconSet="3Symbols2" showValue="0">
        <cfvo type="percent" val="0"/>
        <cfvo type="num" val="0"/>
        <cfvo type="num" val="1"/>
      </iconSet>
    </cfRule>
  </conditionalFormatting>
  <conditionalFormatting sqref="Q5420:Q5422">
    <cfRule type="iconSet" priority="315">
      <iconSet iconSet="3Symbols2" showValue="0">
        <cfvo type="percent" val="0"/>
        <cfvo type="num" val="0"/>
        <cfvo type="num" val="1"/>
      </iconSet>
    </cfRule>
  </conditionalFormatting>
  <conditionalFormatting sqref="Q5428:Q5429">
    <cfRule type="iconSet" priority="314">
      <iconSet iconSet="3Symbols2" showValue="0">
        <cfvo type="percent" val="0"/>
        <cfvo type="num" val="0"/>
        <cfvo type="num" val="1"/>
      </iconSet>
    </cfRule>
  </conditionalFormatting>
  <conditionalFormatting sqref="Q5441:Q5442">
    <cfRule type="iconSet" priority="313">
      <iconSet iconSet="3Symbols2" showValue="0">
        <cfvo type="percent" val="0"/>
        <cfvo type="num" val="0"/>
        <cfvo type="num" val="1"/>
      </iconSet>
    </cfRule>
  </conditionalFormatting>
  <conditionalFormatting sqref="Q5448:Q5449">
    <cfRule type="iconSet" priority="312">
      <iconSet iconSet="3Symbols2" showValue="0">
        <cfvo type="percent" val="0"/>
        <cfvo type="num" val="0"/>
        <cfvo type="num" val="1"/>
      </iconSet>
    </cfRule>
  </conditionalFormatting>
  <conditionalFormatting sqref="Q5396">
    <cfRule type="iconSet" priority="304">
      <iconSet iconSet="3Symbols2" showValue="0">
        <cfvo type="percent" val="0"/>
        <cfvo type="num" val="0"/>
        <cfvo type="num" val="1"/>
      </iconSet>
    </cfRule>
  </conditionalFormatting>
  <conditionalFormatting sqref="R5386:R5389">
    <cfRule type="iconSet" priority="303">
      <iconSet iconSet="3Symbols2" showValue="0">
        <cfvo type="percent" val="0"/>
        <cfvo type="num" val="0"/>
        <cfvo type="num" val="1"/>
      </iconSet>
    </cfRule>
  </conditionalFormatting>
  <conditionalFormatting sqref="R5404:R5408">
    <cfRule type="iconSet" priority="302">
      <iconSet iconSet="3Symbols2" showValue="0">
        <cfvo type="percent" val="0"/>
        <cfvo type="num" val="0"/>
        <cfvo type="num" val="1"/>
      </iconSet>
    </cfRule>
  </conditionalFormatting>
  <conditionalFormatting sqref="R5418:R5422">
    <cfRule type="iconSet" priority="301">
      <iconSet iconSet="3Symbols2" showValue="0">
        <cfvo type="percent" val="0"/>
        <cfvo type="num" val="0"/>
        <cfvo type="num" val="1"/>
      </iconSet>
    </cfRule>
  </conditionalFormatting>
  <conditionalFormatting sqref="R5426:R5429">
    <cfRule type="iconSet" priority="300">
      <iconSet iconSet="3Symbols2" showValue="0">
        <cfvo type="percent" val="0"/>
        <cfvo type="num" val="0"/>
        <cfvo type="num" val="1"/>
      </iconSet>
    </cfRule>
  </conditionalFormatting>
  <conditionalFormatting sqref="R5439:R5442">
    <cfRule type="iconSet" priority="299">
      <iconSet iconSet="3Symbols2" showValue="0">
        <cfvo type="percent" val="0"/>
        <cfvo type="num" val="0"/>
        <cfvo type="num" val="1"/>
      </iconSet>
    </cfRule>
  </conditionalFormatting>
  <conditionalFormatting sqref="R5446:R5449">
    <cfRule type="iconSet" priority="298">
      <iconSet iconSet="3Symbols2" showValue="0">
        <cfvo type="percent" val="0"/>
        <cfvo type="num" val="0"/>
        <cfvo type="num" val="1"/>
      </iconSet>
    </cfRule>
  </conditionalFormatting>
  <conditionalFormatting sqref="R5394:R5396">
    <cfRule type="iconSet" priority="294">
      <iconSet iconSet="3Symbols2" showValue="0">
        <cfvo type="percent" val="0"/>
        <cfvo type="num" val="0"/>
        <cfvo type="num" val="1"/>
      </iconSet>
    </cfRule>
  </conditionalFormatting>
  <conditionalFormatting sqref="Q594">
    <cfRule type="iconSet" priority="291">
      <iconSet iconSet="3Symbols2" showValue="0">
        <cfvo type="percent" val="0"/>
        <cfvo type="num" val="0"/>
        <cfvo type="num" val="1"/>
      </iconSet>
    </cfRule>
  </conditionalFormatting>
  <conditionalFormatting sqref="P594">
    <cfRule type="iconSet" priority="290">
      <iconSet iconSet="3Symbols2" showValue="0">
        <cfvo type="percent" val="0"/>
        <cfvo type="num" val="0"/>
        <cfvo type="num" val="1"/>
      </iconSet>
    </cfRule>
  </conditionalFormatting>
  <conditionalFormatting sqref="R586:R594">
    <cfRule type="iconSet" priority="289">
      <iconSet iconSet="3Symbols2" showValue="0">
        <cfvo type="percent" val="0"/>
        <cfvo type="num" val="0"/>
        <cfvo type="num" val="1"/>
      </iconSet>
    </cfRule>
  </conditionalFormatting>
  <conditionalFormatting sqref="P520:P525">
    <cfRule type="iconSet" priority="216">
      <iconSet iconSet="3Symbols2" showValue="0">
        <cfvo type="percent" val="0"/>
        <cfvo type="num" val="0"/>
        <cfvo type="num" val="1"/>
      </iconSet>
    </cfRule>
  </conditionalFormatting>
  <conditionalFormatting sqref="R520:R522">
    <cfRule type="iconSet" priority="215">
      <iconSet iconSet="3Symbols2" showValue="0">
        <cfvo type="percent" val="0"/>
        <cfvo type="num" val="0"/>
        <cfvo type="num" val="1"/>
      </iconSet>
    </cfRule>
  </conditionalFormatting>
  <conditionalFormatting sqref="P534">
    <cfRule type="iconSet" priority="210">
      <iconSet iconSet="3Symbols2" showValue="0">
        <cfvo type="percent" val="0"/>
        <cfvo type="num" val="0"/>
        <cfvo type="num" val="1"/>
      </iconSet>
    </cfRule>
  </conditionalFormatting>
  <conditionalFormatting sqref="S534">
    <cfRule type="iconSet" priority="209">
      <iconSet iconSet="3Symbols2" showValue="0">
        <cfvo type="percent" val="0"/>
        <cfvo type="num" val="0"/>
        <cfvo type="num" val="1"/>
      </iconSet>
    </cfRule>
  </conditionalFormatting>
  <conditionalFormatting sqref="J7368:J7370">
    <cfRule type="iconSet" priority="208">
      <iconSet iconSet="3Symbols2" showValue="0">
        <cfvo type="percent" val="0"/>
        <cfvo type="num" val="0"/>
        <cfvo type="num" val="1"/>
      </iconSet>
    </cfRule>
  </conditionalFormatting>
  <conditionalFormatting sqref="U7365:U7367">
    <cfRule type="iconSet" priority="207">
      <iconSet iconSet="3Symbols2" showValue="0">
        <cfvo type="percent" val="0"/>
        <cfvo type="num" val="0"/>
        <cfvo type="num" val="1"/>
      </iconSet>
    </cfRule>
  </conditionalFormatting>
  <conditionalFormatting sqref="U7368:U7369">
    <cfRule type="iconSet" priority="206">
      <iconSet iconSet="3Symbols2" showValue="0">
        <cfvo type="percent" val="0"/>
        <cfvo type="num" val="0"/>
        <cfvo type="num" val="1"/>
      </iconSet>
    </cfRule>
  </conditionalFormatting>
  <conditionalFormatting sqref="P7365">
    <cfRule type="iconSet" priority="205">
      <iconSet iconSet="3Symbols2" showValue="0">
        <cfvo type="percent" val="0"/>
        <cfvo type="num" val="0"/>
        <cfvo type="num" val="1"/>
      </iconSet>
    </cfRule>
  </conditionalFormatting>
  <conditionalFormatting sqref="P7366">
    <cfRule type="iconSet" priority="204">
      <iconSet iconSet="3Symbols2" showValue="0">
        <cfvo type="percent" val="0"/>
        <cfvo type="num" val="0"/>
        <cfvo type="num" val="1"/>
      </iconSet>
    </cfRule>
  </conditionalFormatting>
  <conditionalFormatting sqref="P7367">
    <cfRule type="iconSet" priority="203">
      <iconSet iconSet="3Symbols2" showValue="0">
        <cfvo type="percent" val="0"/>
        <cfvo type="num" val="0"/>
        <cfvo type="num" val="1"/>
      </iconSet>
    </cfRule>
  </conditionalFormatting>
  <conditionalFormatting sqref="P7368:P7369">
    <cfRule type="iconSet" priority="202">
      <iconSet iconSet="3Symbols2" showValue="0">
        <cfvo type="percent" val="0"/>
        <cfvo type="num" val="0"/>
        <cfvo type="num" val="1"/>
      </iconSet>
    </cfRule>
  </conditionalFormatting>
  <conditionalFormatting sqref="I7365:I7369">
    <cfRule type="iconSet" priority="201">
      <iconSet iconSet="3Symbols2" showValue="0">
        <cfvo type="percent" val="0"/>
        <cfvo type="num" val="0"/>
        <cfvo type="num" val="1"/>
      </iconSet>
    </cfRule>
  </conditionalFormatting>
  <conditionalFormatting sqref="I7362:I7364">
    <cfRule type="iconSet" priority="200">
      <iconSet iconSet="3Symbols2" showValue="0">
        <cfvo type="percent" val="0"/>
        <cfvo type="num" val="0"/>
        <cfvo type="num" val="1"/>
      </iconSet>
    </cfRule>
  </conditionalFormatting>
  <conditionalFormatting sqref="Q7365">
    <cfRule type="iconSet" priority="198">
      <iconSet iconSet="3Symbols2" showValue="0">
        <cfvo type="percent" val="0"/>
        <cfvo type="num" val="0"/>
        <cfvo type="num" val="1"/>
      </iconSet>
    </cfRule>
  </conditionalFormatting>
  <conditionalFormatting sqref="Q7366">
    <cfRule type="iconSet" priority="197">
      <iconSet iconSet="3Symbols2" showValue="0">
        <cfvo type="percent" val="0"/>
        <cfvo type="num" val="0"/>
        <cfvo type="num" val="1"/>
      </iconSet>
    </cfRule>
  </conditionalFormatting>
  <conditionalFormatting sqref="Q7367">
    <cfRule type="iconSet" priority="196">
      <iconSet iconSet="3Symbols2" showValue="0">
        <cfvo type="percent" val="0"/>
        <cfvo type="num" val="0"/>
        <cfvo type="num" val="1"/>
      </iconSet>
    </cfRule>
  </conditionalFormatting>
  <conditionalFormatting sqref="Q7368:Q7369">
    <cfRule type="iconSet" priority="195">
      <iconSet iconSet="3Symbols2" showValue="0">
        <cfvo type="percent" val="0"/>
        <cfvo type="num" val="0"/>
        <cfvo type="num" val="1"/>
      </iconSet>
    </cfRule>
  </conditionalFormatting>
  <conditionalFormatting sqref="N7362:N7364">
    <cfRule type="iconSet" priority="193">
      <iconSet iconSet="3Symbols2" showValue="0">
        <cfvo type="percent" val="0"/>
        <cfvo type="num" val="0"/>
        <cfvo type="num" val="1"/>
      </iconSet>
    </cfRule>
  </conditionalFormatting>
  <conditionalFormatting sqref="N7365:N7369">
    <cfRule type="iconSet" priority="192">
      <iconSet iconSet="3Symbols2" showValue="0">
        <cfvo type="percent" val="0"/>
        <cfvo type="num" val="0"/>
        <cfvo type="num" val="1"/>
      </iconSet>
    </cfRule>
  </conditionalFormatting>
  <conditionalFormatting sqref="O7362:O7364">
    <cfRule type="iconSet" priority="191">
      <iconSet iconSet="3Symbols2" showValue="0">
        <cfvo type="percent" val="0"/>
        <cfvo type="num" val="0"/>
        <cfvo type="num" val="1"/>
      </iconSet>
    </cfRule>
  </conditionalFormatting>
  <conditionalFormatting sqref="O7365:O7369">
    <cfRule type="iconSet" priority="190">
      <iconSet iconSet="3Symbols2" showValue="0">
        <cfvo type="percent" val="0"/>
        <cfvo type="num" val="0"/>
        <cfvo type="num" val="1"/>
      </iconSet>
    </cfRule>
  </conditionalFormatting>
  <conditionalFormatting sqref="Q3474">
    <cfRule type="iconSet" priority="189">
      <iconSet iconSet="3Symbols2" showValue="0">
        <cfvo type="percent" val="0"/>
        <cfvo type="num" val="0"/>
        <cfvo type="num" val="1"/>
      </iconSet>
    </cfRule>
  </conditionalFormatting>
  <conditionalFormatting sqref="Q3481">
    <cfRule type="iconSet" priority="188">
      <iconSet iconSet="3Symbols2" showValue="0">
        <cfvo type="percent" val="0"/>
        <cfvo type="num" val="0"/>
        <cfvo type="num" val="1"/>
      </iconSet>
    </cfRule>
  </conditionalFormatting>
  <conditionalFormatting sqref="Q3492">
    <cfRule type="iconSet" priority="187">
      <iconSet iconSet="3Symbols2" showValue="0">
        <cfvo type="percent" val="0"/>
        <cfvo type="num" val="0"/>
        <cfvo type="num" val="1"/>
      </iconSet>
    </cfRule>
  </conditionalFormatting>
  <conditionalFormatting sqref="Q3514 Q3506">
    <cfRule type="iconSet" priority="186">
      <iconSet iconSet="3Symbols2" showValue="0">
        <cfvo type="percent" val="0"/>
        <cfvo type="num" val="0"/>
        <cfvo type="num" val="1"/>
      </iconSet>
    </cfRule>
  </conditionalFormatting>
  <conditionalFormatting sqref="Q3528">
    <cfRule type="iconSet" priority="185">
      <iconSet iconSet="3Symbols2" showValue="0">
        <cfvo type="percent" val="0"/>
        <cfvo type="num" val="0"/>
        <cfvo type="num" val="1"/>
      </iconSet>
    </cfRule>
  </conditionalFormatting>
  <conditionalFormatting sqref="Q3535">
    <cfRule type="iconSet" priority="184">
      <iconSet iconSet="3Symbols2" showValue="0">
        <cfvo type="percent" val="0"/>
        <cfvo type="num" val="0"/>
        <cfvo type="num" val="1"/>
      </iconSet>
    </cfRule>
  </conditionalFormatting>
  <conditionalFormatting sqref="Q3543">
    <cfRule type="iconSet" priority="183">
      <iconSet iconSet="3Symbols2" showValue="0">
        <cfvo type="percent" val="0"/>
        <cfvo type="num" val="0"/>
        <cfvo type="num" val="1"/>
      </iconSet>
    </cfRule>
  </conditionalFormatting>
  <conditionalFormatting sqref="Q3550">
    <cfRule type="iconSet" priority="182">
      <iconSet iconSet="3Symbols2" showValue="0">
        <cfvo type="percent" val="0"/>
        <cfvo type="num" val="0"/>
        <cfvo type="num" val="1"/>
      </iconSet>
    </cfRule>
  </conditionalFormatting>
  <conditionalFormatting sqref="Q3475">
    <cfRule type="iconSet" priority="181">
      <iconSet iconSet="3Symbols2" showValue="0">
        <cfvo type="percent" val="0"/>
        <cfvo type="num" val="0"/>
        <cfvo type="num" val="1"/>
      </iconSet>
    </cfRule>
  </conditionalFormatting>
  <conditionalFormatting sqref="Q3482">
    <cfRule type="iconSet" priority="180">
      <iconSet iconSet="3Symbols2" showValue="0">
        <cfvo type="percent" val="0"/>
        <cfvo type="num" val="0"/>
        <cfvo type="num" val="1"/>
      </iconSet>
    </cfRule>
  </conditionalFormatting>
  <conditionalFormatting sqref="Q3491">
    <cfRule type="iconSet" priority="179">
      <iconSet iconSet="3Symbols2" showValue="0">
        <cfvo type="percent" val="0"/>
        <cfvo type="num" val="0"/>
        <cfvo type="num" val="1"/>
      </iconSet>
    </cfRule>
  </conditionalFormatting>
  <conditionalFormatting sqref="Q3505">
    <cfRule type="iconSet" priority="178">
      <iconSet iconSet="3Symbols2" showValue="0">
        <cfvo type="percent" val="0"/>
        <cfvo type="num" val="0"/>
        <cfvo type="num" val="1"/>
      </iconSet>
    </cfRule>
  </conditionalFormatting>
  <conditionalFormatting sqref="Q3513">
    <cfRule type="iconSet" priority="177">
      <iconSet iconSet="3Symbols2" showValue="0">
        <cfvo type="percent" val="0"/>
        <cfvo type="num" val="0"/>
        <cfvo type="num" val="1"/>
      </iconSet>
    </cfRule>
  </conditionalFormatting>
  <conditionalFormatting sqref="Q3534 Q3527">
    <cfRule type="iconSet" priority="176">
      <iconSet iconSet="3Symbols2" showValue="0">
        <cfvo type="percent" val="0"/>
        <cfvo type="num" val="0"/>
        <cfvo type="num" val="1"/>
      </iconSet>
    </cfRule>
  </conditionalFormatting>
  <conditionalFormatting sqref="Q3549 Q3542">
    <cfRule type="iconSet" priority="175">
      <iconSet iconSet="3Symbols2" showValue="0">
        <cfvo type="percent" val="0"/>
        <cfvo type="num" val="0"/>
        <cfvo type="num" val="1"/>
      </iconSet>
    </cfRule>
  </conditionalFormatting>
  <conditionalFormatting sqref="Q5386:Q5388">
    <cfRule type="iconSet" priority="174">
      <iconSet iconSet="3Symbols2" showValue="0">
        <cfvo type="percent" val="0"/>
        <cfvo type="num" val="0"/>
        <cfvo type="num" val="1"/>
      </iconSet>
    </cfRule>
  </conditionalFormatting>
  <conditionalFormatting sqref="Q5394:Q5395">
    <cfRule type="iconSet" priority="173">
      <iconSet iconSet="3Symbols2" showValue="0">
        <cfvo type="percent" val="0"/>
        <cfvo type="num" val="0"/>
        <cfvo type="num" val="1"/>
      </iconSet>
    </cfRule>
  </conditionalFormatting>
  <conditionalFormatting sqref="Q5404:Q5405">
    <cfRule type="iconSet" priority="172">
      <iconSet iconSet="3Symbols2" showValue="0">
        <cfvo type="percent" val="0"/>
        <cfvo type="num" val="0"/>
        <cfvo type="num" val="1"/>
      </iconSet>
    </cfRule>
  </conditionalFormatting>
  <conditionalFormatting sqref="Q5418:Q5419">
    <cfRule type="iconSet" priority="171">
      <iconSet iconSet="3Symbols2" showValue="0">
        <cfvo type="percent" val="0"/>
        <cfvo type="num" val="0"/>
        <cfvo type="num" val="1"/>
      </iconSet>
    </cfRule>
  </conditionalFormatting>
  <conditionalFormatting sqref="Q5426:Q5427">
    <cfRule type="iconSet" priority="170">
      <iconSet iconSet="3Symbols2" showValue="0">
        <cfvo type="percent" val="0"/>
        <cfvo type="num" val="0"/>
        <cfvo type="num" val="1"/>
      </iconSet>
    </cfRule>
  </conditionalFormatting>
  <conditionalFormatting sqref="Q5446:Q5447 Q5439:Q5440">
    <cfRule type="iconSet" priority="169">
      <iconSet iconSet="3Symbols2" showValue="0">
        <cfvo type="percent" val="0"/>
        <cfvo type="num" val="0"/>
        <cfvo type="num" val="1"/>
      </iconSet>
    </cfRule>
  </conditionalFormatting>
  <conditionalFormatting sqref="S523:S525">
    <cfRule type="iconSet" priority="160">
      <iconSet iconSet="3Symbols2" showValue="0">
        <cfvo type="percent" val="0"/>
        <cfvo type="num" val="0"/>
        <cfvo type="num" val="1"/>
      </iconSet>
    </cfRule>
  </conditionalFormatting>
  <conditionalFormatting sqref="K586:L594">
    <cfRule type="iconSet" priority="144">
      <iconSet iconSet="3Symbols2" showValue="0">
        <cfvo type="percent" val="0"/>
        <cfvo type="num" val="0"/>
        <cfvo type="num" val="1"/>
      </iconSet>
    </cfRule>
  </conditionalFormatting>
  <conditionalFormatting sqref="P586:Q593">
    <cfRule type="iconSet" priority="143">
      <iconSet iconSet="3Symbols2" showValue="0">
        <cfvo type="percent" val="0"/>
        <cfvo type="num" val="0"/>
        <cfvo type="num" val="1"/>
      </iconSet>
    </cfRule>
  </conditionalFormatting>
  <conditionalFormatting sqref="P586:Q593">
    <cfRule type="iconSet" priority="142">
      <iconSet iconSet="3Symbols2" showValue="0">
        <cfvo type="percent" val="0"/>
        <cfvo type="num" val="0"/>
        <cfvo type="num" val="1"/>
      </iconSet>
    </cfRule>
  </conditionalFormatting>
  <conditionalFormatting sqref="I586:I594">
    <cfRule type="iconSet" priority="141">
      <iconSet iconSet="3Symbols2" showValue="0">
        <cfvo type="percent" val="0"/>
        <cfvo type="num" val="0"/>
        <cfvo type="num" val="1"/>
      </iconSet>
    </cfRule>
  </conditionalFormatting>
  <conditionalFormatting sqref="L597">
    <cfRule type="iconSet" priority="140">
      <iconSet iconSet="3Symbols2" showValue="0">
        <cfvo type="percent" val="0"/>
        <cfvo type="num" val="0"/>
        <cfvo type="num" val="1"/>
      </iconSet>
    </cfRule>
  </conditionalFormatting>
  <conditionalFormatting sqref="Q5957:Q5960">
    <cfRule type="iconSet" priority="125">
      <iconSet iconSet="3Symbols2" showValue="0">
        <cfvo type="percent" val="0"/>
        <cfvo type="num" val="0"/>
        <cfvo type="num" val="1"/>
      </iconSet>
    </cfRule>
  </conditionalFormatting>
  <conditionalFormatting sqref="P5957:P5960">
    <cfRule type="iconSet" priority="124">
      <iconSet iconSet="3Symbols2" showValue="0">
        <cfvo type="percent" val="0"/>
        <cfvo type="num" val="0"/>
        <cfvo type="num" val="1"/>
      </iconSet>
    </cfRule>
  </conditionalFormatting>
  <conditionalFormatting sqref="Q5947">
    <cfRule type="iconSet" priority="106">
      <iconSet iconSet="3Symbols2" showValue="0">
        <cfvo type="percent" val="0"/>
        <cfvo type="num" val="0"/>
        <cfvo type="num" val="1"/>
      </iconSet>
    </cfRule>
  </conditionalFormatting>
  <conditionalFormatting sqref="P5947">
    <cfRule type="iconSet" priority="105">
      <iconSet iconSet="3Symbols2" showValue="0">
        <cfvo type="percent" val="0"/>
        <cfvo type="num" val="0"/>
        <cfvo type="num" val="1"/>
      </iconSet>
    </cfRule>
  </conditionalFormatting>
  <conditionalFormatting sqref="Q541:Q546">
    <cfRule type="iconSet" priority="102">
      <iconSet iconSet="3Symbols2" showValue="0">
        <cfvo type="percent" val="0"/>
        <cfvo type="num" val="0"/>
        <cfvo type="num" val="1"/>
      </iconSet>
    </cfRule>
  </conditionalFormatting>
  <conditionalFormatting sqref="P541:P546">
    <cfRule type="iconSet" priority="101">
      <iconSet iconSet="3Symbols2" showValue="0">
        <cfvo type="percent" val="0"/>
        <cfvo type="num" val="0"/>
        <cfvo type="num" val="1"/>
      </iconSet>
    </cfRule>
  </conditionalFormatting>
  <conditionalFormatting sqref="Q535:Q536 R537:R539">
    <cfRule type="iconSet" priority="98">
      <iconSet iconSet="3Symbols2" showValue="0">
        <cfvo type="percent" val="0"/>
        <cfvo type="num" val="0"/>
        <cfvo type="num" val="1"/>
      </iconSet>
    </cfRule>
  </conditionalFormatting>
  <conditionalFormatting sqref="P535:P539">
    <cfRule type="iconSet" priority="97">
      <iconSet iconSet="3Symbols2" showValue="0">
        <cfvo type="percent" val="0"/>
        <cfvo type="num" val="0"/>
        <cfvo type="num" val="1"/>
      </iconSet>
    </cfRule>
  </conditionalFormatting>
  <conditionalFormatting sqref="K7362:K7370">
    <cfRule type="iconSet" priority="70">
      <iconSet iconSet="3Symbols2" showValue="0">
        <cfvo type="percent" val="0"/>
        <cfvo type="num" val="0"/>
        <cfvo type="num" val="1"/>
      </iconSet>
    </cfRule>
  </conditionalFormatting>
  <conditionalFormatting sqref="P530:P532">
    <cfRule type="iconSet" priority="68">
      <iconSet iconSet="3Symbols2" showValue="0">
        <cfvo type="percent" val="0"/>
        <cfvo type="num" val="0"/>
        <cfvo type="num" val="1"/>
      </iconSet>
    </cfRule>
  </conditionalFormatting>
  <conditionalFormatting sqref="R530:R532">
    <cfRule type="iconSet" priority="67">
      <iconSet iconSet="3Symbols2" showValue="0">
        <cfvo type="percent" val="0"/>
        <cfvo type="num" val="0"/>
        <cfvo type="num" val="1"/>
      </iconSet>
    </cfRule>
  </conditionalFormatting>
  <conditionalFormatting sqref="I7370 I5957:I5960 I5947 I595:I596 I541:I546 I535:I539 I530:I532 I598:I609 I7205:I7360">
    <cfRule type="iconSet" priority="66">
      <iconSet iconSet="3Symbols2" showValue="0">
        <cfvo type="percent" val="0"/>
        <cfvo type="num" val="0"/>
        <cfvo type="num" val="1"/>
      </iconSet>
    </cfRule>
  </conditionalFormatting>
  <conditionalFormatting sqref="L7362:L7369">
    <cfRule type="iconSet" priority="65">
      <iconSet iconSet="3Symbols2" showValue="0">
        <cfvo type="percent" val="0"/>
        <cfvo type="num" val="0"/>
        <cfvo type="num" val="1"/>
      </iconSet>
    </cfRule>
  </conditionalFormatting>
  <conditionalFormatting sqref="E7203:E7209 C7205:D7209 F7204:H7339 B7204:B7339 B9:H7204 B7210:H7373">
    <cfRule type="expression" dxfId="45" priority="62">
      <formula>AND($K9=1,$P9&lt;&gt;1)</formula>
    </cfRule>
    <cfRule type="expression" dxfId="44" priority="63">
      <formula>OR($I9=1,$P9=1)</formula>
    </cfRule>
    <cfRule type="expression" dxfId="43" priority="64">
      <formula>($H9="NA")</formula>
    </cfRule>
  </conditionalFormatting>
  <conditionalFormatting sqref="Q7371">
    <cfRule type="iconSet" priority="60">
      <iconSet iconSet="3Symbols2" showValue="0">
        <cfvo type="percent" val="0"/>
        <cfvo type="num" val="0"/>
        <cfvo type="num" val="1"/>
      </iconSet>
    </cfRule>
  </conditionalFormatting>
  <conditionalFormatting sqref="P7371">
    <cfRule type="iconSet" priority="59">
      <iconSet iconSet="3Symbols2" showValue="0">
        <cfvo type="percent" val="0"/>
        <cfvo type="num" val="0"/>
        <cfvo type="num" val="1"/>
      </iconSet>
    </cfRule>
  </conditionalFormatting>
  <conditionalFormatting sqref="I6824">
    <cfRule type="iconSet" priority="148422">
      <iconSet iconSet="3Symbols2" showValue="0">
        <cfvo type="percent" val="0"/>
        <cfvo type="num" val="0"/>
        <cfvo type="num" val="1"/>
      </iconSet>
    </cfRule>
  </conditionalFormatting>
  <conditionalFormatting sqref="L6825:L6826">
    <cfRule type="iconSet" priority="149989">
      <iconSet iconSet="3Symbols2" showValue="0">
        <cfvo type="percent" val="0"/>
        <cfvo type="num" val="0"/>
        <cfvo type="num" val="1"/>
      </iconSet>
    </cfRule>
  </conditionalFormatting>
  <conditionalFormatting sqref="Q6826">
    <cfRule type="iconSet" priority="149990">
      <iconSet iconSet="3Symbols2" showValue="0">
        <cfvo type="percent" val="0"/>
        <cfvo type="num" val="0"/>
        <cfvo type="num" val="1"/>
      </iconSet>
    </cfRule>
  </conditionalFormatting>
  <conditionalFormatting sqref="P6826">
    <cfRule type="iconSet" priority="149991">
      <iconSet iconSet="3Symbols2" showValue="0">
        <cfvo type="percent" val="0"/>
        <cfvo type="num" val="0"/>
        <cfvo type="num" val="1"/>
      </iconSet>
    </cfRule>
  </conditionalFormatting>
  <conditionalFormatting sqref="L6827:L6850 L6854:L7178">
    <cfRule type="iconSet" priority="150539">
      <iconSet iconSet="3Symbols2" showValue="0">
        <cfvo type="percent" val="0"/>
        <cfvo type="num" val="0"/>
        <cfvo type="num" val="1"/>
      </iconSet>
    </cfRule>
  </conditionalFormatting>
  <conditionalFormatting sqref="Q6827:Q6850 Q6854:Q7178">
    <cfRule type="iconSet" priority="150540">
      <iconSet iconSet="3Symbols2" showValue="0">
        <cfvo type="percent" val="0"/>
        <cfvo type="num" val="0"/>
        <cfvo type="num" val="1"/>
      </iconSet>
    </cfRule>
  </conditionalFormatting>
  <conditionalFormatting sqref="R6827:R6850 R6854:R7178">
    <cfRule type="iconSet" priority="150541">
      <iconSet iconSet="3Symbols2" showValue="0">
        <cfvo type="percent" val="0"/>
        <cfvo type="num" val="0"/>
        <cfvo type="num" val="1"/>
      </iconSet>
    </cfRule>
  </conditionalFormatting>
  <conditionalFormatting sqref="I7180:J7184">
    <cfRule type="iconSet" priority="150576">
      <iconSet iconSet="3Symbols2" showValue="0">
        <cfvo type="percent" val="0"/>
        <cfvo type="num" val="0"/>
        <cfvo type="num" val="1"/>
      </iconSet>
    </cfRule>
  </conditionalFormatting>
  <conditionalFormatting sqref="U7180:U7184">
    <cfRule type="iconSet" priority="150607">
      <iconSet iconSet="3Symbols2" showValue="0">
        <cfvo type="percent" val="0"/>
        <cfvo type="num" val="0"/>
        <cfvo type="num" val="1"/>
      </iconSet>
    </cfRule>
  </conditionalFormatting>
  <conditionalFormatting sqref="M7180:M7184">
    <cfRule type="iconSet" priority="150608">
      <iconSet iconSet="3Symbols2" showValue="0">
        <cfvo type="percent" val="0"/>
        <cfvo type="num" val="0"/>
        <cfvo type="num" val="1"/>
      </iconSet>
    </cfRule>
  </conditionalFormatting>
  <conditionalFormatting sqref="Q7179:Q7184">
    <cfRule type="iconSet" priority="150834">
      <iconSet iconSet="3Symbols2" showValue="0">
        <cfvo type="percent" val="0"/>
        <cfvo type="num" val="0"/>
        <cfvo type="num" val="1"/>
      </iconSet>
    </cfRule>
  </conditionalFormatting>
  <conditionalFormatting sqref="R7179:R7185 R9:R519 R612:R1144 R2515:R3473 R4930:R5385 R5965:R6283 R6286:R6700 R533:R536 R540:R547 R3496:R3504 R610 R3555 R3477:R3480 R3484:R3490 R3509:R3512 R3518:R3526 R3531:R3533 R3538:R3541 R3546:R3548 R3551:R3552 R5549 R1857:R2513 R4541 R5551:R5963 R1146:R1855 R523:R526 R4543:R4928 R6824:R6826 R6851:R6853 R6702:R6821">
    <cfRule type="iconSet" priority="150961">
      <iconSet iconSet="3Symbols2" showValue="0">
        <cfvo type="percent" val="0"/>
        <cfvo type="num" val="0"/>
        <cfvo type="num" val="1"/>
      </iconSet>
    </cfRule>
  </conditionalFormatting>
  <conditionalFormatting sqref="S6824:S6850 S6854:S7185 S6821 S6286:S6700 S5551:S5963 S9:S522 S612:S1144 S4930:S5385 S610 S5549 S1146:S1855 S1857:S2513 S535:S572 S5965:S6284 S526:S533 S4543:S4928 S2515:S4541">
    <cfRule type="iconSet" priority="151095">
      <iconSet iconSet="3Symbols2" showValue="0">
        <cfvo type="percent" val="0"/>
        <cfvo type="num" val="0"/>
        <cfvo type="num" val="1"/>
      </iconSet>
    </cfRule>
  </conditionalFormatting>
  <conditionalFormatting sqref="T6286:T6700 T5965:T6284 T5551:T5963 T9:T572 T612:T1144 T1146:T1855 T1857:T2513 T4930:T5385 T610 T5549 T4543:T4928 T6824:T7185 T6702:T6821 T2515:T4541">
    <cfRule type="iconSet" priority="151128">
      <iconSet iconSet="3Symbols2" showValue="0">
        <cfvo type="percent" val="0"/>
        <cfvo type="num" val="0"/>
        <cfvo type="num" val="1"/>
      </iconSet>
    </cfRule>
  </conditionalFormatting>
  <conditionalFormatting sqref="Q595:Q596">
    <cfRule type="iconSet" priority="151537">
      <iconSet iconSet="3Symbols2" showValue="0">
        <cfvo type="percent" val="0"/>
        <cfvo type="num" val="0"/>
        <cfvo type="num" val="1"/>
      </iconSet>
    </cfRule>
  </conditionalFormatting>
  <conditionalFormatting sqref="P595:P596">
    <cfRule type="iconSet" priority="151538">
      <iconSet iconSet="3Symbols2" showValue="0">
        <cfvo type="percent" val="0"/>
        <cfvo type="num" val="0"/>
        <cfvo type="num" val="1"/>
      </iconSet>
    </cfRule>
  </conditionalFormatting>
  <conditionalFormatting sqref="J541:J546">
    <cfRule type="iconSet" priority="39">
      <iconSet iconSet="3Symbols2" showValue="0">
        <cfvo type="percent" val="0"/>
        <cfvo type="num" val="0"/>
        <cfvo type="num" val="1"/>
      </iconSet>
    </cfRule>
  </conditionalFormatting>
  <conditionalFormatting sqref="J534:J539">
    <cfRule type="iconSet" priority="38">
      <iconSet iconSet="3Symbols2" showValue="0">
        <cfvo type="percent" val="0"/>
        <cfvo type="num" val="0"/>
        <cfvo type="num" val="1"/>
      </iconSet>
    </cfRule>
  </conditionalFormatting>
  <conditionalFormatting sqref="J527:J532">
    <cfRule type="iconSet" priority="37">
      <iconSet iconSet="3Symbols2" showValue="0">
        <cfvo type="percent" val="0"/>
        <cfvo type="num" val="0"/>
        <cfvo type="num" val="1"/>
      </iconSet>
    </cfRule>
  </conditionalFormatting>
  <conditionalFormatting sqref="J520:J525">
    <cfRule type="iconSet" priority="36">
      <iconSet iconSet="3Symbols2" showValue="0">
        <cfvo type="percent" val="0"/>
        <cfvo type="num" val="0"/>
        <cfvo type="num" val="1"/>
      </iconSet>
    </cfRule>
  </conditionalFormatting>
  <conditionalFormatting sqref="J9:J161">
    <cfRule type="iconSet" priority="152778">
      <iconSet iconSet="3Symbols2" showValue="0">
        <cfvo type="percent" val="0"/>
        <cfvo type="num" val="0"/>
        <cfvo type="num" val="1"/>
      </iconSet>
    </cfRule>
  </conditionalFormatting>
  <conditionalFormatting sqref="L583:L584">
    <cfRule type="iconSet" priority="31">
      <iconSet iconSet="3Symbols2" showValue="0">
        <cfvo type="percent" val="0"/>
        <cfvo type="num" val="0"/>
        <cfvo type="num" val="1"/>
      </iconSet>
    </cfRule>
  </conditionalFormatting>
  <conditionalFormatting sqref="L573">
    <cfRule type="iconSet" priority="30">
      <iconSet iconSet="3Symbols2" showValue="0">
        <cfvo type="percent" val="0"/>
        <cfvo type="num" val="0"/>
        <cfvo type="num" val="1"/>
      </iconSet>
    </cfRule>
  </conditionalFormatting>
  <conditionalFormatting sqref="Q573">
    <cfRule type="iconSet" priority="29">
      <iconSet iconSet="3Symbols2" showValue="0">
        <cfvo type="percent" val="0"/>
        <cfvo type="num" val="0"/>
        <cfvo type="num" val="1"/>
      </iconSet>
    </cfRule>
  </conditionalFormatting>
  <conditionalFormatting sqref="P573">
    <cfRule type="iconSet" priority="28">
      <iconSet iconSet="3Symbols2" showValue="0">
        <cfvo type="percent" val="0"/>
        <cfvo type="num" val="0"/>
        <cfvo type="num" val="1"/>
      </iconSet>
    </cfRule>
  </conditionalFormatting>
  <conditionalFormatting sqref="Q582">
    <cfRule type="iconSet" priority="27">
      <iconSet iconSet="3Symbols2" showValue="0">
        <cfvo type="percent" val="0"/>
        <cfvo type="num" val="0"/>
        <cfvo type="num" val="1"/>
      </iconSet>
    </cfRule>
  </conditionalFormatting>
  <conditionalFormatting sqref="P582">
    <cfRule type="iconSet" priority="26">
      <iconSet iconSet="3Symbols2" showValue="0">
        <cfvo type="percent" val="0"/>
        <cfvo type="num" val="0"/>
        <cfvo type="num" val="1"/>
      </iconSet>
    </cfRule>
  </conditionalFormatting>
  <conditionalFormatting sqref="R574:R582">
    <cfRule type="iconSet" priority="25">
      <iconSet iconSet="3Symbols2" showValue="0">
        <cfvo type="percent" val="0"/>
        <cfvo type="num" val="0"/>
        <cfvo type="num" val="1"/>
      </iconSet>
    </cfRule>
  </conditionalFormatting>
  <conditionalFormatting sqref="K574:L582">
    <cfRule type="iconSet" priority="24">
      <iconSet iconSet="3Symbols2" showValue="0">
        <cfvo type="percent" val="0"/>
        <cfvo type="num" val="0"/>
        <cfvo type="num" val="1"/>
      </iconSet>
    </cfRule>
  </conditionalFormatting>
  <conditionalFormatting sqref="P574:Q581">
    <cfRule type="iconSet" priority="23">
      <iconSet iconSet="3Symbols2" showValue="0">
        <cfvo type="percent" val="0"/>
        <cfvo type="num" val="0"/>
        <cfvo type="num" val="1"/>
      </iconSet>
    </cfRule>
  </conditionalFormatting>
  <conditionalFormatting sqref="P574:Q581">
    <cfRule type="iconSet" priority="22">
      <iconSet iconSet="3Symbols2" showValue="0">
        <cfvo type="percent" val="0"/>
        <cfvo type="num" val="0"/>
        <cfvo type="num" val="1"/>
      </iconSet>
    </cfRule>
  </conditionalFormatting>
  <conditionalFormatting sqref="I574:I582">
    <cfRule type="iconSet" priority="21">
      <iconSet iconSet="3Symbols2" showValue="0">
        <cfvo type="percent" val="0"/>
        <cfvo type="num" val="0"/>
        <cfvo type="num" val="1"/>
      </iconSet>
    </cfRule>
  </conditionalFormatting>
  <conditionalFormatting sqref="I573:K573 J583:J584 I574:L582">
    <cfRule type="iconSet" priority="20">
      <iconSet iconSet="3Symbols2" showValue="0">
        <cfvo type="percent" val="0"/>
        <cfvo type="num" val="0"/>
        <cfvo type="num" val="1"/>
      </iconSet>
    </cfRule>
  </conditionalFormatting>
  <conditionalFormatting sqref="I583:I584">
    <cfRule type="iconSet" priority="19">
      <iconSet iconSet="3Symbols2" showValue="0">
        <cfvo type="percent" val="0"/>
        <cfvo type="num" val="0"/>
        <cfvo type="num" val="1"/>
      </iconSet>
    </cfRule>
  </conditionalFormatting>
  <conditionalFormatting sqref="K583:K584">
    <cfRule type="iconSet" priority="18">
      <iconSet iconSet="3Symbols2" showValue="0">
        <cfvo type="percent" val="0"/>
        <cfvo type="num" val="0"/>
        <cfvo type="num" val="1"/>
      </iconSet>
    </cfRule>
  </conditionalFormatting>
  <conditionalFormatting sqref="Q583:Q584">
    <cfRule type="iconSet" priority="17">
      <iconSet iconSet="3Symbols2" showValue="0">
        <cfvo type="percent" val="0"/>
        <cfvo type="num" val="0"/>
        <cfvo type="num" val="1"/>
      </iconSet>
    </cfRule>
  </conditionalFormatting>
  <conditionalFormatting sqref="P583:P584">
    <cfRule type="iconSet" priority="16">
      <iconSet iconSet="3Symbols2" showValue="0">
        <cfvo type="percent" val="0"/>
        <cfvo type="num" val="0"/>
        <cfvo type="num" val="1"/>
      </iconSet>
    </cfRule>
  </conditionalFormatting>
  <conditionalFormatting sqref="L595:L596">
    <cfRule type="iconSet" priority="153049">
      <iconSet iconSet="3Symbols2" showValue="0">
        <cfvo type="percent" val="0"/>
        <cfvo type="num" val="0"/>
        <cfvo type="num" val="1"/>
      </iconSet>
    </cfRule>
  </conditionalFormatting>
  <conditionalFormatting sqref="R595:R597 R573 R583:R585">
    <cfRule type="iconSet" priority="153174">
      <iconSet iconSet="3Symbols2" showValue="0">
        <cfvo type="percent" val="0"/>
        <cfvo type="num" val="0"/>
        <cfvo type="num" val="1"/>
      </iconSet>
    </cfRule>
  </conditionalFormatting>
  <conditionalFormatting sqref="P598:Q609">
    <cfRule type="iconSet" priority="153190">
      <iconSet iconSet="3Symbols2" showValue="0">
        <cfvo type="percent" val="0"/>
        <cfvo type="num" val="0"/>
        <cfvo type="num" val="1"/>
      </iconSet>
    </cfRule>
  </conditionalFormatting>
  <conditionalFormatting sqref="I597:K597 I585:K585 J595:J596 I586:L594 J598:L609">
    <cfRule type="iconSet" priority="153191">
      <iconSet iconSet="3Symbols2" showValue="0">
        <cfvo type="percent" val="0"/>
        <cfvo type="num" val="0"/>
        <cfvo type="num" val="1"/>
      </iconSet>
    </cfRule>
  </conditionalFormatting>
  <conditionalFormatting sqref="R598:R609">
    <cfRule type="iconSet" priority="153197">
      <iconSet iconSet="3Symbols2" showValue="0">
        <cfvo type="percent" val="0"/>
        <cfvo type="num" val="0"/>
        <cfvo type="num" val="1"/>
      </iconSet>
    </cfRule>
  </conditionalFormatting>
  <conditionalFormatting sqref="K598:L609">
    <cfRule type="iconSet" priority="153198">
      <iconSet iconSet="3Symbols2" showValue="0">
        <cfvo type="percent" val="0"/>
        <cfvo type="num" val="0"/>
        <cfvo type="num" val="1"/>
      </iconSet>
    </cfRule>
  </conditionalFormatting>
  <conditionalFormatting sqref="U573:U609">
    <cfRule type="iconSet" priority="153373">
      <iconSet iconSet="3Symbols2" showValue="0">
        <cfvo type="percent" val="0"/>
        <cfvo type="num" val="0"/>
        <cfvo type="num" val="1"/>
      </iconSet>
    </cfRule>
  </conditionalFormatting>
  <conditionalFormatting sqref="M573:M609">
    <cfRule type="iconSet" priority="153374">
      <iconSet iconSet="3Symbols2" showValue="0">
        <cfvo type="percent" val="0"/>
        <cfvo type="num" val="0"/>
        <cfvo type="num" val="1"/>
      </iconSet>
    </cfRule>
  </conditionalFormatting>
  <conditionalFormatting sqref="N573:N609">
    <cfRule type="iconSet" priority="153375">
      <iconSet iconSet="3Symbols2" showValue="0">
        <cfvo type="percent" val="0"/>
        <cfvo type="num" val="0"/>
        <cfvo type="num" val="1"/>
      </iconSet>
    </cfRule>
  </conditionalFormatting>
  <conditionalFormatting sqref="O573:O609">
    <cfRule type="iconSet" priority="153376">
      <iconSet iconSet="3Symbols2" showValue="0">
        <cfvo type="percent" val="0"/>
        <cfvo type="num" val="0"/>
        <cfvo type="num" val="1"/>
      </iconSet>
    </cfRule>
  </conditionalFormatting>
  <conditionalFormatting sqref="S573:S609">
    <cfRule type="iconSet" priority="153377">
      <iconSet iconSet="3Symbols2" showValue="0">
        <cfvo type="percent" val="0"/>
        <cfvo type="num" val="0"/>
        <cfvo type="num" val="1"/>
      </iconSet>
    </cfRule>
  </conditionalFormatting>
  <conditionalFormatting sqref="T573:T609">
    <cfRule type="iconSet" priority="153378">
      <iconSet iconSet="3Symbols2" showValue="0">
        <cfvo type="percent" val="0"/>
        <cfvo type="num" val="0"/>
        <cfvo type="num" val="1"/>
      </iconSet>
    </cfRule>
  </conditionalFormatting>
  <conditionalFormatting sqref="J163:J208">
    <cfRule type="iconSet" priority="153974">
      <iconSet iconSet="3Symbols2" showValue="0">
        <cfvo type="percent" val="0"/>
        <cfvo type="num" val="0"/>
        <cfvo type="num" val="1"/>
      </iconSet>
    </cfRule>
  </conditionalFormatting>
  <conditionalFormatting sqref="J210:J363">
    <cfRule type="iconSet" priority="154570">
      <iconSet iconSet="3Symbols2" showValue="0">
        <cfvo type="percent" val="0"/>
        <cfvo type="num" val="0"/>
        <cfvo type="num" val="1"/>
      </iconSet>
    </cfRule>
  </conditionalFormatting>
  <conditionalFormatting sqref="J365:J518">
    <cfRule type="iconSet" priority="155166">
      <iconSet iconSet="3Symbols2" showValue="0">
        <cfvo type="percent" val="0"/>
        <cfvo type="num" val="0"/>
        <cfvo type="num" val="1"/>
      </iconSet>
    </cfRule>
  </conditionalFormatting>
  <conditionalFormatting sqref="L548:L572">
    <cfRule type="iconSet" priority="155199">
      <iconSet iconSet="3Symbols2" showValue="0">
        <cfvo type="percent" val="0"/>
        <cfvo type="num" val="0"/>
        <cfvo type="num" val="1"/>
      </iconSet>
    </cfRule>
  </conditionalFormatting>
  <conditionalFormatting sqref="Q548:Q572">
    <cfRule type="iconSet" priority="155563">
      <iconSet iconSet="3Symbols2" showValue="0">
        <cfvo type="percent" val="0"/>
        <cfvo type="num" val="0"/>
        <cfvo type="num" val="1"/>
      </iconSet>
    </cfRule>
  </conditionalFormatting>
  <conditionalFormatting sqref="P548:P572">
    <cfRule type="iconSet" priority="155564">
      <iconSet iconSet="3Symbols2" showValue="0">
        <cfvo type="percent" val="0"/>
        <cfvo type="num" val="0"/>
        <cfvo type="num" val="1"/>
      </iconSet>
    </cfRule>
  </conditionalFormatting>
  <conditionalFormatting sqref="R548:R572">
    <cfRule type="iconSet" priority="155565">
      <iconSet iconSet="3Symbols2" showValue="0">
        <cfvo type="percent" val="0"/>
        <cfvo type="num" val="0"/>
        <cfvo type="num" val="1"/>
      </iconSet>
    </cfRule>
  </conditionalFormatting>
  <conditionalFormatting sqref="J548:J572">
    <cfRule type="iconSet" priority="155755">
      <iconSet iconSet="3Symbols2" showValue="0">
        <cfvo type="percent" val="0"/>
        <cfvo type="num" val="0"/>
        <cfvo type="num" val="1"/>
      </iconSet>
    </cfRule>
  </conditionalFormatting>
  <conditionalFormatting sqref="M3556:M4540">
    <cfRule type="iconSet" priority="157089">
      <iconSet iconSet="3Symbols2" showValue="0">
        <cfvo type="percent" val="0"/>
        <cfvo type="num" val="0"/>
        <cfvo type="num" val="1"/>
      </iconSet>
    </cfRule>
  </conditionalFormatting>
  <conditionalFormatting sqref="R3556:R4540">
    <cfRule type="iconSet" priority="157090">
      <iconSet iconSet="3Symbols2" showValue="0">
        <cfvo type="percent" val="0"/>
        <cfvo type="num" val="0"/>
        <cfvo type="num" val="1"/>
      </iconSet>
    </cfRule>
  </conditionalFormatting>
  <conditionalFormatting sqref="Q3556:Q4540">
    <cfRule type="iconSet" priority="157091">
      <iconSet iconSet="3Symbols2" showValue="0">
        <cfvo type="percent" val="0"/>
        <cfvo type="num" val="0"/>
        <cfvo type="num" val="1"/>
      </iconSet>
    </cfRule>
  </conditionalFormatting>
  <conditionalFormatting sqref="L5454:L5548">
    <cfRule type="iconSet" priority="157116">
      <iconSet iconSet="3Symbols2" showValue="0">
        <cfvo type="percent" val="0"/>
        <cfvo type="num" val="0"/>
        <cfvo type="num" val="1"/>
      </iconSet>
    </cfRule>
  </conditionalFormatting>
  <conditionalFormatting sqref="Q5397:R5403 Q5390:R5393 Q5409:R5417 Q5423:R5425 Q5430:R5438 Q5443:R5445 Q5450:R5453">
    <cfRule type="iconSet" priority="157379">
      <iconSet iconSet="3Symbols2" showValue="0">
        <cfvo type="percent" val="0"/>
        <cfvo type="num" val="0"/>
        <cfvo type="num" val="1"/>
      </iconSet>
    </cfRule>
  </conditionalFormatting>
  <conditionalFormatting sqref="S5386:S5548">
    <cfRule type="iconSet" priority="157386">
      <iconSet iconSet="3Symbols2" showValue="0">
        <cfvo type="percent" val="0"/>
        <cfvo type="num" val="0"/>
        <cfvo type="num" val="1"/>
      </iconSet>
    </cfRule>
  </conditionalFormatting>
  <conditionalFormatting sqref="T5386:T5548">
    <cfRule type="iconSet" priority="157387">
      <iconSet iconSet="3Symbols2" showValue="0">
        <cfvo type="percent" val="0"/>
        <cfvo type="num" val="0"/>
        <cfvo type="num" val="1"/>
      </iconSet>
    </cfRule>
  </conditionalFormatting>
  <conditionalFormatting sqref="R5454:R5548">
    <cfRule type="iconSet" priority="157388">
      <iconSet iconSet="3Symbols2" showValue="0">
        <cfvo type="percent" val="0"/>
        <cfvo type="num" val="0"/>
        <cfvo type="num" val="1"/>
      </iconSet>
    </cfRule>
  </conditionalFormatting>
  <conditionalFormatting sqref="Q5454:Q5548">
    <cfRule type="iconSet" priority="157389">
      <iconSet iconSet="3Symbols2" showValue="0">
        <cfvo type="percent" val="0"/>
        <cfvo type="num" val="0"/>
        <cfvo type="num" val="1"/>
      </iconSet>
    </cfRule>
  </conditionalFormatting>
  <conditionalFormatting sqref="B1:H8 B7374:H1048576">
    <cfRule type="expression" dxfId="42" priority="157630">
      <formula>AND($K1=1,$P1&lt;&gt;1)</formula>
    </cfRule>
  </conditionalFormatting>
  <conditionalFormatting sqref="A7179">
    <cfRule type="expression" dxfId="41" priority="13">
      <formula>AND($K7179=1,$P7179&lt;&gt;1)</formula>
    </cfRule>
    <cfRule type="expression" dxfId="40" priority="14">
      <formula>OR($I7179=1,$P7179=1)</formula>
    </cfRule>
    <cfRule type="expression" dxfId="39" priority="15">
      <formula>($H7179="NA")</formula>
    </cfRule>
  </conditionalFormatting>
  <conditionalFormatting sqref="W7370:W1048576 W1:W3 W6">
    <cfRule type="iconSet" priority="9">
      <iconSet iconSet="3Symbols2" showValue="0">
        <cfvo type="percent" val="0"/>
        <cfvo type="num" val="0"/>
        <cfvo type="num" val="1"/>
      </iconSet>
    </cfRule>
  </conditionalFormatting>
  <conditionalFormatting sqref="W4:W5">
    <cfRule type="iconSet" priority="8">
      <iconSet iconSet="3Symbols2" showValue="0">
        <cfvo type="percent" val="0"/>
        <cfvo type="num" val="0"/>
        <cfvo type="num" val="1"/>
      </iconSet>
    </cfRule>
  </conditionalFormatting>
  <conditionalFormatting sqref="W7361:W7369 W7187">
    <cfRule type="iconSet" priority="7">
      <iconSet iconSet="3Symbols2" showValue="0">
        <cfvo type="percent" val="0"/>
        <cfvo type="num" val="0"/>
        <cfvo type="num" val="1"/>
      </iconSet>
    </cfRule>
  </conditionalFormatting>
  <conditionalFormatting sqref="W573 W585 W597">
    <cfRule type="iconSet" priority="5">
      <iconSet iconSet="3Symbols2" showValue="0">
        <cfvo type="percent" val="0"/>
        <cfvo type="num" val="0"/>
        <cfvo type="num" val="1"/>
      </iconSet>
    </cfRule>
  </conditionalFormatting>
  <conditionalFormatting sqref="Q6786:Q6818">
    <cfRule type="iconSet" priority="3">
      <iconSet iconSet="3Symbols2" showValue="0">
        <cfvo type="percent" val="0"/>
        <cfvo type="num" val="0"/>
        <cfvo type="num" val="1"/>
      </iconSet>
    </cfRule>
  </conditionalFormatting>
  <conditionalFormatting sqref="Q6722">
    <cfRule type="iconSet" priority="1">
      <iconSet iconSet="3Symbols2" showValue="0">
        <cfvo type="percent" val="0"/>
        <cfvo type="num" val="0"/>
        <cfvo type="num" val="1"/>
      </iconSet>
    </cfRule>
  </conditionalFormatting>
  <conditionalFormatting sqref="U7205:U7360">
    <cfRule type="iconSet" priority="158394">
      <iconSet iconSet="3Symbols2" showValue="0">
        <cfvo type="percent" val="0"/>
        <cfvo type="num" val="0"/>
        <cfvo type="num" val="1"/>
      </iconSet>
    </cfRule>
  </conditionalFormatting>
  <conditionalFormatting sqref="K7205:L7360">
    <cfRule type="iconSet" priority="158395">
      <iconSet iconSet="3Symbols2" showValue="0">
        <cfvo type="percent" val="0"/>
        <cfvo type="num" val="0"/>
        <cfvo type="num" val="1"/>
      </iconSet>
    </cfRule>
  </conditionalFormatting>
  <conditionalFormatting sqref="P7205:Q7360">
    <cfRule type="iconSet" priority="158396">
      <iconSet iconSet="3Symbols2" showValue="0">
        <cfvo type="percent" val="0"/>
        <cfvo type="num" val="0"/>
        <cfvo type="num" val="1"/>
      </iconSet>
    </cfRule>
  </conditionalFormatting>
  <conditionalFormatting sqref="I7188:I7360">
    <cfRule type="iconSet" priority="158397">
      <iconSet iconSet="3Symbols2" showValue="0">
        <cfvo type="percent" val="0"/>
        <cfvo type="num" val="0"/>
        <cfvo type="num" val="1"/>
      </iconSet>
    </cfRule>
  </conditionalFormatting>
  <conditionalFormatting sqref="J7188:J7360">
    <cfRule type="iconSet" priority="158398">
      <iconSet iconSet="3Symbols2" showValue="0">
        <cfvo type="percent" val="0"/>
        <cfvo type="num" val="0"/>
        <cfvo type="num" val="1"/>
      </iconSet>
    </cfRule>
  </conditionalFormatting>
  <conditionalFormatting sqref="M7185 M9:M533 M540 M547:M572 M3555 M4541 M5948:M5955 M5961:M5963 M612:M1144 M1146:M1855 M1857:M2513 M2515:M3552 M5551:M5946 M6286:M6700 M5965:M6284 M610 M4930:M5549 M4543:M4928 M6825:M6826 M7187:M7466">
    <cfRule type="iconSet" priority="158399">
      <iconSet iconSet="3Symbols2" showValue="0">
        <cfvo type="percent" val="0"/>
        <cfvo type="num" val="0"/>
        <cfvo type="num" val="1"/>
      </iconSet>
    </cfRule>
  </conditionalFormatting>
  <conditionalFormatting sqref="R7187:R7369">
    <cfRule type="iconSet" priority="158420">
      <iconSet iconSet="3Symbols2" showValue="0">
        <cfvo type="percent" val="0"/>
        <cfvo type="num" val="0"/>
        <cfvo type="num" val="1"/>
      </iconSet>
    </cfRule>
  </conditionalFormatting>
  <conditionalFormatting sqref="S7187:S7369">
    <cfRule type="iconSet" priority="158422">
      <iconSet iconSet="3Symbols2" showValue="0">
        <cfvo type="percent" val="0"/>
        <cfvo type="num" val="0"/>
        <cfvo type="num" val="1"/>
      </iconSet>
    </cfRule>
  </conditionalFormatting>
  <conditionalFormatting sqref="T7187:T7369">
    <cfRule type="iconSet" priority="158424">
      <iconSet iconSet="3Symbols2" showValue="0">
        <cfvo type="percent" val="0"/>
        <cfvo type="num" val="0"/>
        <cfvo type="num" val="1"/>
      </iconSet>
    </cfRule>
  </conditionalFormatting>
  <conditionalFormatting sqref="W5965:W6284 W5551:W5963 W4930:W5549 W4543:W4928 W1857:W2513 W612:W1144 W9:W572 W574:W584 W586:W596 W598:W610 W1146:W1855 W6824:W7185 W6286:W6821 W2515:W4541 W7188:W7360">
    <cfRule type="iconSet" priority="158431">
      <iconSet iconSet="3Symbols2" showValue="0">
        <cfvo type="percent" val="0"/>
        <cfvo type="num" val="0"/>
        <cfvo type="num" val="1"/>
      </iconSet>
    </cfRule>
  </conditionalFormatting>
  <conditionalFormatting sqref="M7467:O1048576 J3497:K3500 I6286:K6699 M1:O1 I5551:K5941 I5942:J5946 I5965:K6283 P7370 M3:O3 I4930:K5393 J3502:K3504 I5397:K5548 I526:K526 M6:O6 P1:P6 I2515:K3496 I7187:K7187 P7187:P7204 J7362:J7367 I7361:K7361 P7361:P7364 I2515:I4537 I4930:I5549 I5965:I6284 I6286:I6701 I547:K547 J5957:J5960 I6854:K7178 I610:K610 I1857:K2513 K530:L530 L531:L532 I7371:K1048576 I4543:K4927 I533:K533 I540:K540 I597 I4928 J5947 I5948:K5956 I5961:K5962 P7372:P1048576 I6821:K6821 I6824:J6826 I7185:K7185 K7188:K7204 I6827:K6850 I6854:I7184 K548:K572 I534 K534 K527:K529 K520:K525 I519:K519 K365:K518 I364:K364 K210:K363 I209:K209 K163:K208 I162:K162 K9:K161 I585:I594 I9:I529 I547:I582 I1:K6 I612:K1144 I1146:K1253 I1266:K1530 J1254:K1265 J1531:K1531 I1254:I1854 I1532:K1855 I5551:I5963 J6851:J6853 J6702:J6820 I4540:I4541 I3505:K4540 I7187:I7369">
    <cfRule type="iconSet" priority="158528">
      <iconSet iconSet="3Symbols2" showValue="0">
        <cfvo type="percent" val="0"/>
        <cfvo type="num" val="0"/>
        <cfvo type="num" val="1"/>
      </iconSet>
    </cfRule>
  </conditionalFormatting>
  <conditionalFormatting sqref="K7180:K7184 K5957:K5960 K5947 K595:K596 K541:K546 K535:K539 K531:K532 K6824:K6826 K6851:K6853 K6702:K6820">
    <cfRule type="iconSet" priority="158721">
      <iconSet iconSet="3Symbols2" showValue="0">
        <cfvo type="percent" val="0"/>
        <cfvo type="num" val="0"/>
        <cfvo type="num" val="1"/>
      </iconSet>
    </cfRule>
  </conditionalFormatting>
  <conditionalFormatting sqref="N6821 M6851:M6853 M6702:M6820">
    <cfRule type="iconSet" priority="158763">
      <iconSet iconSet="3Symbols2" showValue="0">
        <cfvo type="percent" val="0"/>
        <cfvo type="num" val="0"/>
        <cfvo type="num" val="1"/>
      </iconSet>
    </cfRule>
  </conditionalFormatting>
  <conditionalFormatting sqref="P6851:P6853 P6702:P6820">
    <cfRule type="iconSet" priority="158766">
      <iconSet iconSet="3Symbols2" showValue="0">
        <cfvo type="percent" val="0"/>
        <cfvo type="num" val="0"/>
        <cfvo type="num" val="1"/>
      </iconSet>
    </cfRule>
  </conditionalFormatting>
  <conditionalFormatting sqref="S6851:S6853 S6702:S6820">
    <cfRule type="iconSet" priority="158768">
      <iconSet iconSet="3Symbols2" showValue="0">
        <cfvo type="percent" val="0"/>
        <cfvo type="num" val="0"/>
        <cfvo type="num" val="1"/>
      </iconSet>
    </cfRule>
  </conditionalFormatting>
  <conditionalFormatting sqref="I6851:I6853 I6702:I6820">
    <cfRule type="iconSet" priority="158770">
      <iconSet iconSet="3Symbols2" showValue="0">
        <cfvo type="percent" val="0"/>
        <cfvo type="num" val="0"/>
        <cfvo type="num" val="1"/>
      </iconSet>
    </cfRule>
  </conditionalFormatting>
  <pageMargins left="0.7" right="0.7" top="0.75" bottom="0.75" header="0.3" footer="0.3"/>
  <pageSetup scale="70"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outlinePr summaryBelow="0" summaryRight="0"/>
  </sheetPr>
  <dimension ref="A2:XFC1017"/>
  <sheetViews>
    <sheetView zoomScaleNormal="100" workbookViewId="0">
      <pane xSplit="4" ySplit="5" topLeftCell="E921" activePane="bottomRight" state="frozen"/>
      <selection pane="bottomRight" activeCell="K945" sqref="K945"/>
      <selection pane="bottomLeft" activeCell="A6" sqref="A6"/>
      <selection pane="topRight" activeCell="F1" sqref="F1"/>
    </sheetView>
  </sheetViews>
  <sheetFormatPr defaultColWidth="8.5703125" defaultRowHeight="12.75" customHeight="1" outlineLevelRow="3" outlineLevelCol="1"/>
  <cols>
    <col min="1" max="1" width="0.5703125" style="16" customWidth="1"/>
    <col min="2" max="2" width="7.28515625" style="17" customWidth="1"/>
    <col min="3" max="3" width="16.140625" style="309" customWidth="1"/>
    <col min="4" max="4" width="75.5703125" style="123" customWidth="1"/>
    <col min="5" max="5" width="2.5703125" style="16" customWidth="1"/>
    <col min="6" max="6" width="8.42578125" style="16" bestFit="1" customWidth="1"/>
    <col min="7" max="7" width="14.42578125" style="16" bestFit="1" customWidth="1"/>
    <col min="8" max="8" width="5.5703125" style="122" bestFit="1" customWidth="1"/>
    <col min="9" max="9" width="9.42578125" style="128" customWidth="1"/>
    <col min="10" max="10" width="11.42578125" style="128" customWidth="1"/>
    <col min="11" max="11" width="10.42578125" style="128" customWidth="1"/>
    <col min="12" max="15" width="10.42578125" style="128" customWidth="1" outlineLevel="1"/>
    <col min="16" max="16" width="10.42578125" style="128" customWidth="1"/>
    <col min="17" max="20" width="10.42578125" style="128" customWidth="1" outlineLevel="1"/>
    <col min="21" max="16384" width="8.5703125" style="16"/>
  </cols>
  <sheetData>
    <row r="2" spans="1:20" s="1" customFormat="1" ht="20.25" customHeight="1">
      <c r="A2" s="254" t="s">
        <v>260</v>
      </c>
      <c r="B2" s="63"/>
      <c r="C2" s="306"/>
      <c r="D2" s="112"/>
      <c r="E2" s="113"/>
      <c r="F2" s="701" t="s">
        <v>261</v>
      </c>
      <c r="G2" s="701" t="s">
        <v>262</v>
      </c>
      <c r="H2" s="702" t="s">
        <v>263</v>
      </c>
      <c r="I2" s="702" t="s">
        <v>264</v>
      </c>
      <c r="J2" s="702"/>
      <c r="K2" s="700" t="s">
        <v>4868</v>
      </c>
      <c r="L2" s="116"/>
      <c r="M2" s="116"/>
      <c r="N2" s="116"/>
      <c r="O2" s="116"/>
      <c r="P2" s="700" t="s">
        <v>17342</v>
      </c>
      <c r="Q2" s="116"/>
      <c r="R2" s="116"/>
      <c r="S2" s="116"/>
      <c r="T2" s="116"/>
    </row>
    <row r="3" spans="1:20" s="1" customFormat="1" ht="19.5" customHeight="1">
      <c r="A3" s="110"/>
      <c r="B3" s="63"/>
      <c r="C3" s="306"/>
      <c r="D3" s="112"/>
      <c r="E3" s="113"/>
      <c r="F3" s="701"/>
      <c r="G3" s="701"/>
      <c r="H3" s="702"/>
      <c r="I3" s="114"/>
      <c r="J3" s="114"/>
      <c r="K3" s="700"/>
      <c r="L3" s="116"/>
      <c r="M3" s="116"/>
      <c r="N3" s="116"/>
      <c r="O3" s="116"/>
      <c r="P3" s="700"/>
      <c r="Q3" s="116"/>
      <c r="R3" s="116"/>
      <c r="S3" s="116"/>
      <c r="T3" s="116"/>
    </row>
    <row r="4" spans="1:20" s="1" customFormat="1" ht="19.5" customHeight="1">
      <c r="A4" s="110"/>
      <c r="B4" s="63"/>
      <c r="C4" s="306"/>
      <c r="D4" s="112"/>
      <c r="E4" s="113"/>
      <c r="F4" s="701"/>
      <c r="G4" s="701"/>
      <c r="H4" s="702"/>
      <c r="I4" s="115" t="s">
        <v>268</v>
      </c>
      <c r="J4" s="117" t="s">
        <v>4871</v>
      </c>
      <c r="K4" s="700"/>
      <c r="L4" s="116" t="s">
        <v>7</v>
      </c>
      <c r="M4" s="116" t="s">
        <v>8</v>
      </c>
      <c r="N4" s="116" t="s">
        <v>9</v>
      </c>
      <c r="O4" s="116" t="s">
        <v>10</v>
      </c>
      <c r="P4" s="700"/>
      <c r="Q4" s="116" t="s">
        <v>7</v>
      </c>
      <c r="R4" s="116" t="s">
        <v>8</v>
      </c>
      <c r="S4" s="116" t="s">
        <v>9</v>
      </c>
      <c r="T4" s="116" t="s">
        <v>10</v>
      </c>
    </row>
    <row r="5" spans="1:20" s="1" customFormat="1" ht="12.75" customHeight="1">
      <c r="A5" s="110"/>
      <c r="B5" s="63"/>
      <c r="C5" s="306"/>
      <c r="D5" s="112"/>
      <c r="E5" s="113"/>
      <c r="F5" s="63"/>
      <c r="G5" s="64"/>
      <c r="H5" s="64"/>
      <c r="I5" s="111"/>
      <c r="J5" s="114"/>
      <c r="K5" s="114"/>
      <c r="L5" s="114"/>
      <c r="M5" s="114"/>
      <c r="N5" s="114"/>
      <c r="O5" s="114"/>
      <c r="P5" s="114"/>
      <c r="Q5" s="114"/>
      <c r="R5" s="114"/>
      <c r="S5" s="114"/>
      <c r="T5" s="114"/>
    </row>
    <row r="6" spans="1:20" s="1" customFormat="1" ht="12.75" customHeight="1">
      <c r="A6" s="110"/>
      <c r="B6" s="63"/>
      <c r="C6" s="306"/>
      <c r="D6" s="112"/>
      <c r="E6" s="113"/>
      <c r="F6" s="63"/>
      <c r="G6" s="64"/>
      <c r="H6" s="64"/>
      <c r="I6" s="111"/>
      <c r="J6" s="114"/>
      <c r="K6" s="62"/>
      <c r="L6" s="62"/>
      <c r="M6" s="62"/>
      <c r="N6" s="62"/>
      <c r="O6" s="62"/>
      <c r="P6" s="114"/>
      <c r="Q6" s="114"/>
      <c r="R6" s="114"/>
      <c r="S6" s="114"/>
      <c r="T6" s="114"/>
    </row>
    <row r="7" spans="1:20" s="18" customFormat="1" ht="12.75" customHeight="1" collapsed="1">
      <c r="A7" s="110" t="s">
        <v>271</v>
      </c>
      <c r="B7" s="118"/>
      <c r="C7" s="307"/>
      <c r="D7" s="119"/>
      <c r="E7" s="46"/>
      <c r="F7" s="41" t="s">
        <v>261</v>
      </c>
      <c r="G7" s="41" t="s">
        <v>262</v>
      </c>
      <c r="H7" s="42" t="s">
        <v>263</v>
      </c>
      <c r="I7" s="120"/>
      <c r="J7" s="120"/>
      <c r="K7" s="62"/>
      <c r="L7" s="62"/>
      <c r="M7" s="62"/>
      <c r="N7" s="62"/>
      <c r="O7" s="62"/>
      <c r="P7" s="120"/>
      <c r="Q7" s="120"/>
      <c r="R7" s="120"/>
      <c r="S7" s="120"/>
      <c r="T7" s="120"/>
    </row>
    <row r="8" spans="1:20" ht="12.75" hidden="1" customHeight="1" outlineLevel="1">
      <c r="A8" s="123"/>
      <c r="B8" s="118" t="s">
        <v>17343</v>
      </c>
      <c r="C8" s="308" t="s">
        <v>17344</v>
      </c>
      <c r="D8" s="124" t="s">
        <v>17345</v>
      </c>
      <c r="E8" s="125"/>
      <c r="F8" s="118" t="s">
        <v>275</v>
      </c>
      <c r="G8" s="126" t="str">
        <f t="shared" ref="G8:G39" si="0">CONCATENATE("MEP-",F8,"-",H8)</f>
        <v>MEP-SS0-2</v>
      </c>
      <c r="H8" s="127">
        <v>2</v>
      </c>
      <c r="I8" s="128">
        <v>1</v>
      </c>
      <c r="J8" s="128" t="s">
        <v>310</v>
      </c>
      <c r="L8" s="129"/>
      <c r="M8" s="129"/>
      <c r="N8" s="129"/>
      <c r="O8" s="129"/>
      <c r="P8" s="130"/>
      <c r="Q8" s="129"/>
      <c r="R8" s="129"/>
      <c r="S8" s="129"/>
      <c r="T8" s="129"/>
    </row>
    <row r="9" spans="1:20" ht="12.75" hidden="1" customHeight="1" outlineLevel="1">
      <c r="A9" s="123"/>
      <c r="B9" s="118" t="s">
        <v>17343</v>
      </c>
      <c r="C9" s="308" t="s">
        <v>17346</v>
      </c>
      <c r="D9" s="124" t="s">
        <v>17347</v>
      </c>
      <c r="E9" s="125"/>
      <c r="F9" s="118" t="s">
        <v>275</v>
      </c>
      <c r="G9" s="126" t="str">
        <f t="shared" si="0"/>
        <v>MEP-SS0-2</v>
      </c>
      <c r="H9" s="127">
        <v>2</v>
      </c>
      <c r="I9" s="128">
        <v>1</v>
      </c>
      <c r="J9" s="128" t="s">
        <v>310</v>
      </c>
      <c r="L9" s="129"/>
      <c r="M9" s="129"/>
      <c r="N9" s="129"/>
      <c r="O9" s="129"/>
      <c r="P9" s="130"/>
      <c r="Q9" s="129"/>
      <c r="R9" s="129"/>
      <c r="S9" s="129"/>
      <c r="T9" s="129"/>
    </row>
    <row r="10" spans="1:20" ht="12.75" hidden="1" customHeight="1" outlineLevel="1">
      <c r="A10" s="123"/>
      <c r="B10" s="118" t="s">
        <v>17343</v>
      </c>
      <c r="C10" s="308" t="s">
        <v>17348</v>
      </c>
      <c r="D10" s="124" t="s">
        <v>17345</v>
      </c>
      <c r="E10" s="125"/>
      <c r="F10" s="118" t="s">
        <v>275</v>
      </c>
      <c r="G10" s="126" t="str">
        <f t="shared" si="0"/>
        <v>MEP-SS0-2</v>
      </c>
      <c r="H10" s="127">
        <v>2</v>
      </c>
      <c r="I10" s="128">
        <v>1</v>
      </c>
      <c r="J10" s="128" t="s">
        <v>286</v>
      </c>
      <c r="L10" s="129"/>
      <c r="M10" s="129"/>
      <c r="N10" s="129"/>
      <c r="O10" s="129"/>
      <c r="P10" s="130"/>
      <c r="Q10" s="129"/>
      <c r="R10" s="129"/>
      <c r="S10" s="129"/>
      <c r="T10" s="129"/>
    </row>
    <row r="11" spans="1:20" ht="12.75" hidden="1" customHeight="1" outlineLevel="1">
      <c r="A11" s="123"/>
      <c r="B11" s="118" t="s">
        <v>17343</v>
      </c>
      <c r="C11" s="308" t="s">
        <v>17349</v>
      </c>
      <c r="D11" s="124" t="s">
        <v>17345</v>
      </c>
      <c r="E11" s="125"/>
      <c r="F11" s="118" t="s">
        <v>275</v>
      </c>
      <c r="G11" s="126" t="str">
        <f t="shared" si="0"/>
        <v>MEP-SS0-2</v>
      </c>
      <c r="H11" s="127">
        <v>2</v>
      </c>
      <c r="I11" s="128">
        <v>1</v>
      </c>
      <c r="J11" s="128" t="s">
        <v>286</v>
      </c>
      <c r="L11" s="129"/>
      <c r="M11" s="129"/>
      <c r="N11" s="129"/>
      <c r="O11" s="129"/>
      <c r="P11" s="130"/>
      <c r="Q11" s="129"/>
      <c r="R11" s="129"/>
      <c r="S11" s="129"/>
      <c r="T11" s="129"/>
    </row>
    <row r="12" spans="1:20" ht="12.75" hidden="1" customHeight="1" outlineLevel="1">
      <c r="A12" s="123"/>
      <c r="B12" s="118" t="s">
        <v>17343</v>
      </c>
      <c r="C12" s="308" t="s">
        <v>17350</v>
      </c>
      <c r="D12" s="124" t="s">
        <v>17351</v>
      </c>
      <c r="E12" s="125"/>
      <c r="F12" s="118" t="s">
        <v>275</v>
      </c>
      <c r="G12" s="126" t="str">
        <f t="shared" si="0"/>
        <v>MEP-SS0-2</v>
      </c>
      <c r="H12" s="127">
        <v>2</v>
      </c>
      <c r="I12" s="128">
        <v>1</v>
      </c>
      <c r="J12" s="128" t="s">
        <v>286</v>
      </c>
      <c r="L12" s="129"/>
      <c r="M12" s="129"/>
      <c r="N12" s="129"/>
      <c r="O12" s="129"/>
      <c r="P12" s="130"/>
      <c r="Q12" s="129"/>
      <c r="R12" s="129"/>
      <c r="S12" s="129"/>
      <c r="T12" s="129"/>
    </row>
    <row r="13" spans="1:20" ht="12.75" hidden="1" customHeight="1" outlineLevel="1">
      <c r="A13" s="123"/>
      <c r="B13" s="118" t="s">
        <v>17343</v>
      </c>
      <c r="C13" s="308" t="s">
        <v>17352</v>
      </c>
      <c r="D13" s="124" t="s">
        <v>17353</v>
      </c>
      <c r="E13" s="125"/>
      <c r="F13" s="118" t="s">
        <v>275</v>
      </c>
      <c r="G13" s="126" t="str">
        <f t="shared" si="0"/>
        <v>MEP-SS0-3</v>
      </c>
      <c r="H13" s="127">
        <v>3</v>
      </c>
      <c r="I13" s="128">
        <v>1</v>
      </c>
      <c r="J13" s="128" t="s">
        <v>286</v>
      </c>
      <c r="L13" s="129"/>
      <c r="M13" s="129"/>
      <c r="N13" s="129"/>
      <c r="O13" s="129"/>
      <c r="P13" s="130"/>
      <c r="Q13" s="129"/>
      <c r="R13" s="129"/>
      <c r="S13" s="129"/>
      <c r="T13" s="129"/>
    </row>
    <row r="14" spans="1:20" ht="12.75" hidden="1" customHeight="1" outlineLevel="1">
      <c r="A14" s="123"/>
      <c r="B14" s="118" t="s">
        <v>17343</v>
      </c>
      <c r="C14" s="308" t="s">
        <v>17354</v>
      </c>
      <c r="D14" s="124" t="s">
        <v>17355</v>
      </c>
      <c r="E14" s="125"/>
      <c r="F14" s="118" t="s">
        <v>275</v>
      </c>
      <c r="G14" s="126" t="str">
        <f t="shared" si="0"/>
        <v>MEP-SS0-3</v>
      </c>
      <c r="H14" s="127">
        <v>3</v>
      </c>
      <c r="I14" s="128">
        <v>1</v>
      </c>
      <c r="J14" s="128" t="s">
        <v>286</v>
      </c>
      <c r="L14" s="129"/>
      <c r="M14" s="129"/>
      <c r="N14" s="129"/>
      <c r="O14" s="129"/>
      <c r="P14" s="130"/>
      <c r="Q14" s="129"/>
      <c r="R14" s="129"/>
      <c r="S14" s="129"/>
      <c r="T14" s="129"/>
    </row>
    <row r="15" spans="1:20" ht="12.75" hidden="1" customHeight="1" outlineLevel="1">
      <c r="B15" s="118" t="s">
        <v>17343</v>
      </c>
      <c r="C15" s="308" t="s">
        <v>17356</v>
      </c>
      <c r="D15" s="131" t="s">
        <v>17357</v>
      </c>
      <c r="E15" s="125"/>
      <c r="F15" s="118" t="s">
        <v>275</v>
      </c>
      <c r="G15" s="126" t="str">
        <f t="shared" si="0"/>
        <v>MEP-SS0-3</v>
      </c>
      <c r="H15" s="127">
        <v>3</v>
      </c>
      <c r="I15" s="128">
        <v>1</v>
      </c>
      <c r="J15" s="128" t="s">
        <v>286</v>
      </c>
      <c r="L15" s="129"/>
    </row>
    <row r="16" spans="1:20" ht="12.75" hidden="1" customHeight="1" outlineLevel="1">
      <c r="B16" s="118" t="s">
        <v>17343</v>
      </c>
      <c r="C16" s="308" t="s">
        <v>17358</v>
      </c>
      <c r="D16" s="131" t="s">
        <v>17359</v>
      </c>
      <c r="E16" s="125"/>
      <c r="F16" s="118" t="s">
        <v>275</v>
      </c>
      <c r="G16" s="126" t="str">
        <f t="shared" si="0"/>
        <v>MEP-SS0-3</v>
      </c>
      <c r="H16" s="127">
        <v>3</v>
      </c>
      <c r="I16" s="128">
        <v>1</v>
      </c>
      <c r="J16" s="128" t="s">
        <v>286</v>
      </c>
      <c r="L16" s="129"/>
    </row>
    <row r="17" spans="2:18" ht="12.75" hidden="1" customHeight="1" outlineLevel="1">
      <c r="B17" s="118" t="s">
        <v>17343</v>
      </c>
      <c r="C17" s="308" t="s">
        <v>17360</v>
      </c>
      <c r="D17" s="131" t="s">
        <v>17361</v>
      </c>
      <c r="E17" s="125"/>
      <c r="F17" s="118" t="s">
        <v>275</v>
      </c>
      <c r="G17" s="126" t="str">
        <f t="shared" si="0"/>
        <v>MEP-SS0-3</v>
      </c>
      <c r="H17" s="127">
        <v>3</v>
      </c>
      <c r="I17" s="128">
        <v>1</v>
      </c>
      <c r="J17" s="128" t="s">
        <v>310</v>
      </c>
      <c r="K17" s="129"/>
      <c r="L17" s="129"/>
    </row>
    <row r="18" spans="2:18" ht="12.75" hidden="1" customHeight="1" outlineLevel="1">
      <c r="B18" s="118" t="s">
        <v>17343</v>
      </c>
      <c r="C18" s="308" t="s">
        <v>17362</v>
      </c>
      <c r="D18" s="131" t="s">
        <v>17361</v>
      </c>
      <c r="E18" s="125"/>
      <c r="F18" s="118" t="s">
        <v>275</v>
      </c>
      <c r="G18" s="126" t="str">
        <f t="shared" si="0"/>
        <v>MEP-SS0-3</v>
      </c>
      <c r="H18" s="127">
        <v>3</v>
      </c>
      <c r="I18" s="128">
        <v>1</v>
      </c>
      <c r="J18" s="128" t="s">
        <v>286</v>
      </c>
      <c r="K18" s="129"/>
      <c r="L18" s="129"/>
    </row>
    <row r="19" spans="2:18" ht="12.75" hidden="1" customHeight="1" outlineLevel="1">
      <c r="B19" s="118" t="s">
        <v>17343</v>
      </c>
      <c r="C19" s="308" t="s">
        <v>17363</v>
      </c>
      <c r="D19" s="131" t="s">
        <v>17364</v>
      </c>
      <c r="E19" s="125"/>
      <c r="F19" s="118" t="s">
        <v>275</v>
      </c>
      <c r="G19" s="126" t="str">
        <f t="shared" si="0"/>
        <v>MEP-SS0-3</v>
      </c>
      <c r="H19" s="127">
        <v>3</v>
      </c>
      <c r="I19" s="128">
        <v>1</v>
      </c>
      <c r="J19" s="128" t="s">
        <v>310</v>
      </c>
      <c r="K19" s="129"/>
      <c r="L19" s="129"/>
    </row>
    <row r="20" spans="2:18" ht="12.75" hidden="1" customHeight="1" outlineLevel="1">
      <c r="B20" s="118" t="s">
        <v>17343</v>
      </c>
      <c r="C20" s="308" t="s">
        <v>17365</v>
      </c>
      <c r="D20" s="131" t="s">
        <v>17366</v>
      </c>
      <c r="E20" s="125"/>
      <c r="F20" s="118" t="s">
        <v>275</v>
      </c>
      <c r="G20" s="126" t="str">
        <f t="shared" si="0"/>
        <v>MEP-SS0-3</v>
      </c>
      <c r="H20" s="127">
        <v>3</v>
      </c>
      <c r="I20" s="128">
        <v>1</v>
      </c>
      <c r="J20" s="128" t="s">
        <v>286</v>
      </c>
      <c r="K20" s="129"/>
      <c r="L20" s="129"/>
    </row>
    <row r="21" spans="2:18" ht="12.75" hidden="1" customHeight="1" outlineLevel="1">
      <c r="B21" s="118" t="s">
        <v>17343</v>
      </c>
      <c r="C21" s="308" t="s">
        <v>17367</v>
      </c>
      <c r="D21" s="131" t="s">
        <v>17366</v>
      </c>
      <c r="E21" s="125"/>
      <c r="F21" s="118" t="s">
        <v>275</v>
      </c>
      <c r="G21" s="126" t="str">
        <f t="shared" si="0"/>
        <v>MEP-SS0-3</v>
      </c>
      <c r="H21" s="127">
        <v>3</v>
      </c>
      <c r="I21" s="128">
        <v>1</v>
      </c>
      <c r="J21" s="128" t="s">
        <v>286</v>
      </c>
      <c r="K21" s="129"/>
      <c r="L21" s="129"/>
    </row>
    <row r="22" spans="2:18" ht="12.75" hidden="1" customHeight="1" outlineLevel="1">
      <c r="B22" s="118" t="s">
        <v>17343</v>
      </c>
      <c r="C22" s="308" t="s">
        <v>17368</v>
      </c>
      <c r="D22" s="131" t="s">
        <v>17369</v>
      </c>
      <c r="E22" s="125"/>
      <c r="F22" s="118" t="s">
        <v>275</v>
      </c>
      <c r="G22" s="126" t="str">
        <f t="shared" si="0"/>
        <v>MEP-SS0-3</v>
      </c>
      <c r="H22" s="127">
        <v>3</v>
      </c>
      <c r="I22" s="128">
        <v>1</v>
      </c>
      <c r="J22" s="128" t="s">
        <v>310</v>
      </c>
      <c r="K22" s="129"/>
      <c r="L22" s="129"/>
      <c r="P22" s="129"/>
      <c r="Q22" s="129"/>
      <c r="R22" s="129"/>
    </row>
    <row r="23" spans="2:18" ht="12.75" hidden="1" customHeight="1" outlineLevel="1">
      <c r="B23" s="118" t="s">
        <v>17343</v>
      </c>
      <c r="C23" s="308" t="s">
        <v>17370</v>
      </c>
      <c r="D23" s="131" t="s">
        <v>17369</v>
      </c>
      <c r="E23" s="125"/>
      <c r="F23" s="118" t="s">
        <v>275</v>
      </c>
      <c r="G23" s="126" t="str">
        <f t="shared" si="0"/>
        <v>MEP-SS0-3</v>
      </c>
      <c r="H23" s="127">
        <v>3</v>
      </c>
      <c r="J23" s="128" t="s">
        <v>286</v>
      </c>
      <c r="K23" s="129">
        <v>1</v>
      </c>
      <c r="L23" s="129">
        <v>1</v>
      </c>
      <c r="P23" s="129">
        <v>1</v>
      </c>
      <c r="Q23" s="129"/>
      <c r="R23" s="129">
        <v>1</v>
      </c>
    </row>
    <row r="24" spans="2:18" ht="12.75" hidden="1" customHeight="1" outlineLevel="1">
      <c r="B24" s="118" t="s">
        <v>17371</v>
      </c>
      <c r="C24" s="307" t="s">
        <v>17372</v>
      </c>
      <c r="D24" s="124" t="s">
        <v>17373</v>
      </c>
      <c r="E24" s="125"/>
      <c r="F24" s="118" t="s">
        <v>275</v>
      </c>
      <c r="G24" s="126" t="str">
        <f t="shared" si="0"/>
        <v>MEP-SS0-3</v>
      </c>
      <c r="H24" s="127">
        <v>3</v>
      </c>
      <c r="I24" s="128">
        <v>1</v>
      </c>
      <c r="J24" s="128" t="s">
        <v>286</v>
      </c>
      <c r="L24" s="129"/>
    </row>
    <row r="25" spans="2:18" ht="12.75" hidden="1" customHeight="1" outlineLevel="1">
      <c r="B25" s="118" t="s">
        <v>17371</v>
      </c>
      <c r="C25" s="307" t="s">
        <v>17374</v>
      </c>
      <c r="D25" s="124" t="s">
        <v>17373</v>
      </c>
      <c r="E25" s="125"/>
      <c r="F25" s="118" t="s">
        <v>275</v>
      </c>
      <c r="G25" s="126" t="str">
        <f t="shared" si="0"/>
        <v>MEP-SS0-3</v>
      </c>
      <c r="H25" s="127">
        <v>3</v>
      </c>
      <c r="I25" s="128">
        <v>1</v>
      </c>
      <c r="J25" s="128" t="s">
        <v>286</v>
      </c>
      <c r="L25" s="129"/>
    </row>
    <row r="26" spans="2:18" ht="12.75" hidden="1" customHeight="1" outlineLevel="1">
      <c r="B26" s="118" t="s">
        <v>17371</v>
      </c>
      <c r="C26" s="307" t="s">
        <v>17375</v>
      </c>
      <c r="D26" s="124" t="s">
        <v>17376</v>
      </c>
      <c r="E26" s="125"/>
      <c r="F26" s="118" t="s">
        <v>275</v>
      </c>
      <c r="G26" s="126" t="str">
        <f t="shared" si="0"/>
        <v>MEP-SS0-3</v>
      </c>
      <c r="H26" s="127">
        <v>3</v>
      </c>
      <c r="I26" s="128">
        <v>1</v>
      </c>
      <c r="J26" s="128" t="s">
        <v>286</v>
      </c>
      <c r="L26" s="133"/>
    </row>
    <row r="27" spans="2:18" ht="12.75" hidden="1" customHeight="1" outlineLevel="1">
      <c r="B27" s="118" t="s">
        <v>17371</v>
      </c>
      <c r="C27" s="307" t="s">
        <v>17377</v>
      </c>
      <c r="D27" s="124" t="s">
        <v>17378</v>
      </c>
      <c r="E27" s="125"/>
      <c r="F27" s="118" t="s">
        <v>275</v>
      </c>
      <c r="G27" s="126" t="str">
        <f t="shared" si="0"/>
        <v>MEP-SS0-3</v>
      </c>
      <c r="H27" s="127">
        <v>3</v>
      </c>
      <c r="I27" s="128">
        <v>1</v>
      </c>
      <c r="J27" s="128" t="s">
        <v>307</v>
      </c>
      <c r="L27" s="129"/>
    </row>
    <row r="28" spans="2:18" ht="12.75" hidden="1" customHeight="1" outlineLevel="1">
      <c r="B28" s="118" t="s">
        <v>17371</v>
      </c>
      <c r="C28" s="307" t="s">
        <v>17379</v>
      </c>
      <c r="D28" s="124" t="s">
        <v>17380</v>
      </c>
      <c r="E28" s="125"/>
      <c r="F28" s="118" t="s">
        <v>275</v>
      </c>
      <c r="G28" s="126" t="str">
        <f t="shared" si="0"/>
        <v>MEP-SS0-3</v>
      </c>
      <c r="H28" s="127">
        <v>3</v>
      </c>
      <c r="I28" s="128">
        <v>1</v>
      </c>
      <c r="J28" s="128" t="s">
        <v>310</v>
      </c>
      <c r="L28" s="129"/>
    </row>
    <row r="29" spans="2:18" ht="12.75" hidden="1" customHeight="1" outlineLevel="1">
      <c r="B29" s="118" t="s">
        <v>17371</v>
      </c>
      <c r="C29" s="307" t="s">
        <v>17381</v>
      </c>
      <c r="D29" s="124" t="s">
        <v>17382</v>
      </c>
      <c r="E29" s="125"/>
      <c r="F29" s="118" t="s">
        <v>275</v>
      </c>
      <c r="G29" s="126" t="str">
        <f t="shared" si="0"/>
        <v>MEP-SS0-3</v>
      </c>
      <c r="H29" s="127">
        <v>3</v>
      </c>
      <c r="I29" s="128">
        <v>1</v>
      </c>
      <c r="J29" s="128" t="s">
        <v>286</v>
      </c>
      <c r="L29" s="129"/>
    </row>
    <row r="30" spans="2:18" ht="12.75" hidden="1" customHeight="1" outlineLevel="1">
      <c r="B30" s="118" t="s">
        <v>17371</v>
      </c>
      <c r="C30" s="307" t="s">
        <v>1094</v>
      </c>
      <c r="D30" s="124" t="s">
        <v>17383</v>
      </c>
      <c r="E30" s="125"/>
      <c r="F30" s="118" t="s">
        <v>275</v>
      </c>
      <c r="G30" s="126" t="str">
        <f t="shared" si="0"/>
        <v>MEP-SS0-3</v>
      </c>
      <c r="H30" s="127">
        <v>3</v>
      </c>
      <c r="I30" s="128">
        <v>1</v>
      </c>
      <c r="J30" s="128" t="s">
        <v>310</v>
      </c>
      <c r="L30" s="129"/>
    </row>
    <row r="31" spans="2:18" ht="12.75" hidden="1" customHeight="1" outlineLevel="1">
      <c r="B31" s="118" t="s">
        <v>17371</v>
      </c>
      <c r="C31" s="307" t="s">
        <v>17384</v>
      </c>
      <c r="D31" s="124" t="s">
        <v>17385</v>
      </c>
      <c r="E31" s="125"/>
      <c r="F31" s="118" t="s">
        <v>275</v>
      </c>
      <c r="G31" s="126" t="str">
        <f t="shared" si="0"/>
        <v>MEP-SS0-3</v>
      </c>
      <c r="H31" s="127">
        <v>3</v>
      </c>
      <c r="I31" s="128">
        <v>1</v>
      </c>
      <c r="J31" s="128" t="s">
        <v>286</v>
      </c>
      <c r="L31" s="129"/>
    </row>
    <row r="32" spans="2:18" ht="12.75" hidden="1" customHeight="1" outlineLevel="1">
      <c r="B32" s="118" t="s">
        <v>17371</v>
      </c>
      <c r="C32" s="307" t="s">
        <v>17386</v>
      </c>
      <c r="D32" s="124" t="s">
        <v>17387</v>
      </c>
      <c r="E32" s="125"/>
      <c r="F32" s="118" t="s">
        <v>275</v>
      </c>
      <c r="G32" s="126" t="str">
        <f t="shared" si="0"/>
        <v>MEP-SS0-3</v>
      </c>
      <c r="H32" s="127">
        <v>3</v>
      </c>
      <c r="I32" s="128">
        <v>1</v>
      </c>
      <c r="J32" s="128" t="s">
        <v>286</v>
      </c>
      <c r="L32" s="129"/>
    </row>
    <row r="33" spans="2:12" ht="12.75" hidden="1" customHeight="1" outlineLevel="1">
      <c r="B33" s="118" t="s">
        <v>17371</v>
      </c>
      <c r="C33" s="307" t="s">
        <v>17388</v>
      </c>
      <c r="D33" s="124" t="s">
        <v>17389</v>
      </c>
      <c r="E33" s="125"/>
      <c r="F33" s="118" t="s">
        <v>275</v>
      </c>
      <c r="G33" s="126" t="str">
        <f t="shared" si="0"/>
        <v>MEP-SS0-3</v>
      </c>
      <c r="H33" s="127">
        <v>3</v>
      </c>
      <c r="I33" s="128">
        <v>1</v>
      </c>
      <c r="J33" s="128" t="s">
        <v>286</v>
      </c>
      <c r="L33" s="129"/>
    </row>
    <row r="34" spans="2:12" ht="12.75" hidden="1" customHeight="1" outlineLevel="1">
      <c r="B34" s="118" t="s">
        <v>17371</v>
      </c>
      <c r="C34" s="307" t="s">
        <v>17390</v>
      </c>
      <c r="D34" s="124" t="s">
        <v>17391</v>
      </c>
      <c r="E34" s="125"/>
      <c r="F34" s="118" t="s">
        <v>275</v>
      </c>
      <c r="G34" s="126" t="str">
        <f t="shared" si="0"/>
        <v>MEP-SS0-3</v>
      </c>
      <c r="H34" s="127">
        <v>3</v>
      </c>
      <c r="I34" s="128">
        <v>1</v>
      </c>
      <c r="J34" s="128" t="s">
        <v>286</v>
      </c>
      <c r="L34" s="129"/>
    </row>
    <row r="35" spans="2:12" ht="12.75" hidden="1" customHeight="1" outlineLevel="1">
      <c r="B35" s="118" t="s">
        <v>17371</v>
      </c>
      <c r="C35" s="307" t="s">
        <v>17392</v>
      </c>
      <c r="D35" s="124" t="s">
        <v>17393</v>
      </c>
      <c r="E35" s="125"/>
      <c r="F35" s="118" t="s">
        <v>275</v>
      </c>
      <c r="G35" s="126" t="str">
        <f t="shared" si="0"/>
        <v>MEP-SS0-3</v>
      </c>
      <c r="H35" s="127">
        <v>3</v>
      </c>
      <c r="I35" s="128">
        <v>1</v>
      </c>
      <c r="J35" s="128" t="s">
        <v>286</v>
      </c>
      <c r="L35" s="129"/>
    </row>
    <row r="36" spans="2:12" ht="12.75" hidden="1" customHeight="1" outlineLevel="1">
      <c r="B36" s="118" t="s">
        <v>17394</v>
      </c>
      <c r="C36" s="307" t="s">
        <v>17395</v>
      </c>
      <c r="D36" s="124" t="s">
        <v>17396</v>
      </c>
      <c r="E36" s="125"/>
      <c r="F36" s="118" t="s">
        <v>275</v>
      </c>
      <c r="G36" s="126" t="str">
        <f t="shared" si="0"/>
        <v>MEP-SS0-3</v>
      </c>
      <c r="H36" s="127">
        <v>3</v>
      </c>
      <c r="I36" s="128">
        <v>1</v>
      </c>
      <c r="J36" s="128" t="s">
        <v>286</v>
      </c>
      <c r="L36" s="129"/>
    </row>
    <row r="37" spans="2:12" ht="12.75" hidden="1" customHeight="1" outlineLevel="1">
      <c r="B37" s="118" t="s">
        <v>17394</v>
      </c>
      <c r="C37" s="307" t="s">
        <v>17397</v>
      </c>
      <c r="D37" s="124" t="s">
        <v>17396</v>
      </c>
      <c r="E37" s="125"/>
      <c r="F37" s="118" t="s">
        <v>275</v>
      </c>
      <c r="G37" s="126" t="str">
        <f t="shared" si="0"/>
        <v>MEP-SS0-3</v>
      </c>
      <c r="H37" s="127">
        <v>3</v>
      </c>
      <c r="I37" s="128">
        <v>1</v>
      </c>
      <c r="J37" s="128" t="s">
        <v>286</v>
      </c>
      <c r="L37" s="129"/>
    </row>
    <row r="38" spans="2:12" ht="12.75" hidden="1" customHeight="1" outlineLevel="1">
      <c r="B38" s="118" t="s">
        <v>17394</v>
      </c>
      <c r="C38" s="307" t="s">
        <v>17398</v>
      </c>
      <c r="D38" s="124" t="s">
        <v>17399</v>
      </c>
      <c r="E38" s="125"/>
      <c r="F38" s="118" t="s">
        <v>275</v>
      </c>
      <c r="G38" s="126" t="str">
        <f t="shared" si="0"/>
        <v>MEP-SS0-3</v>
      </c>
      <c r="H38" s="127">
        <v>3</v>
      </c>
      <c r="I38" s="128">
        <v>1</v>
      </c>
      <c r="J38" s="128" t="s">
        <v>286</v>
      </c>
      <c r="K38" s="129"/>
      <c r="L38" s="129"/>
    </row>
    <row r="39" spans="2:12" ht="12.75" hidden="1" customHeight="1" outlineLevel="1">
      <c r="B39" s="118" t="s">
        <v>17394</v>
      </c>
      <c r="C39" s="307" t="s">
        <v>17400</v>
      </c>
      <c r="D39" s="124" t="s">
        <v>17401</v>
      </c>
      <c r="E39" s="125"/>
      <c r="F39" s="118" t="s">
        <v>275</v>
      </c>
      <c r="G39" s="126" t="str">
        <f t="shared" si="0"/>
        <v>MEP-SS0-3</v>
      </c>
      <c r="H39" s="127">
        <v>3</v>
      </c>
      <c r="I39" s="128">
        <v>1</v>
      </c>
      <c r="J39" s="128" t="s">
        <v>286</v>
      </c>
      <c r="K39" s="129"/>
      <c r="L39" s="129"/>
    </row>
    <row r="40" spans="2:12" ht="12.75" hidden="1" customHeight="1" outlineLevel="1">
      <c r="B40" s="118" t="s">
        <v>17394</v>
      </c>
      <c r="C40" s="307" t="s">
        <v>17402</v>
      </c>
      <c r="D40" s="124" t="s">
        <v>17403</v>
      </c>
      <c r="E40" s="125"/>
      <c r="F40" s="118" t="s">
        <v>275</v>
      </c>
      <c r="G40" s="126" t="str">
        <f t="shared" ref="G40:G64" si="1">CONCATENATE("MEP-",F40,"-",H40)</f>
        <v>MEP-SS0-3</v>
      </c>
      <c r="H40" s="127">
        <v>3</v>
      </c>
      <c r="I40" s="128">
        <v>1</v>
      </c>
      <c r="J40" s="128" t="s">
        <v>286</v>
      </c>
      <c r="K40" s="129"/>
      <c r="L40" s="129"/>
    </row>
    <row r="41" spans="2:12" ht="12.75" hidden="1" customHeight="1" outlineLevel="1">
      <c r="B41" s="118" t="s">
        <v>17394</v>
      </c>
      <c r="C41" s="307" t="s">
        <v>17404</v>
      </c>
      <c r="D41" s="124" t="s">
        <v>17403</v>
      </c>
      <c r="E41" s="125"/>
      <c r="F41" s="118" t="s">
        <v>275</v>
      </c>
      <c r="G41" s="126" t="str">
        <f t="shared" si="1"/>
        <v>MEP-SS0-3</v>
      </c>
      <c r="H41" s="127">
        <v>3</v>
      </c>
      <c r="I41" s="128">
        <v>1</v>
      </c>
      <c r="J41" s="128" t="s">
        <v>286</v>
      </c>
      <c r="K41" s="129"/>
      <c r="L41" s="129"/>
    </row>
    <row r="42" spans="2:12" ht="12.75" hidden="1" customHeight="1" outlineLevel="1">
      <c r="B42" s="118" t="s">
        <v>17405</v>
      </c>
      <c r="C42" s="307" t="s">
        <v>17406</v>
      </c>
      <c r="D42" s="124" t="s">
        <v>17407</v>
      </c>
      <c r="E42" s="125"/>
      <c r="F42" s="118" t="s">
        <v>275</v>
      </c>
      <c r="G42" s="126" t="str">
        <f t="shared" si="1"/>
        <v>MEP-SS0-3</v>
      </c>
      <c r="H42" s="127">
        <v>3</v>
      </c>
      <c r="I42" s="128">
        <v>1</v>
      </c>
      <c r="J42" s="128" t="s">
        <v>286</v>
      </c>
      <c r="L42" s="129"/>
    </row>
    <row r="43" spans="2:12" ht="12.75" hidden="1" customHeight="1" outlineLevel="1">
      <c r="B43" s="118" t="s">
        <v>17405</v>
      </c>
      <c r="C43" s="307" t="s">
        <v>17408</v>
      </c>
      <c r="D43" s="124" t="s">
        <v>17407</v>
      </c>
      <c r="E43" s="125"/>
      <c r="F43" s="118" t="s">
        <v>275</v>
      </c>
      <c r="G43" s="126" t="str">
        <f t="shared" si="1"/>
        <v>MEP-SS0-3</v>
      </c>
      <c r="H43" s="127">
        <v>3</v>
      </c>
      <c r="I43" s="128">
        <v>1</v>
      </c>
      <c r="J43" s="128" t="s">
        <v>286</v>
      </c>
    </row>
    <row r="44" spans="2:12" ht="12.75" hidden="1" customHeight="1" outlineLevel="1">
      <c r="B44" s="118" t="s">
        <v>17405</v>
      </c>
      <c r="C44" s="307" t="s">
        <v>17409</v>
      </c>
      <c r="D44" s="124" t="s">
        <v>17410</v>
      </c>
      <c r="E44" s="125"/>
      <c r="F44" s="118" t="s">
        <v>275</v>
      </c>
      <c r="G44" s="126" t="str">
        <f t="shared" si="1"/>
        <v>MEP-SS0-3</v>
      </c>
      <c r="H44" s="127">
        <v>3</v>
      </c>
      <c r="I44" s="128">
        <v>1</v>
      </c>
      <c r="J44" s="128" t="s">
        <v>286</v>
      </c>
    </row>
    <row r="45" spans="2:12" ht="12.75" hidden="1" customHeight="1" outlineLevel="1">
      <c r="B45" s="118" t="s">
        <v>17405</v>
      </c>
      <c r="C45" s="307" t="s">
        <v>17411</v>
      </c>
      <c r="D45" s="124" t="s">
        <v>17412</v>
      </c>
      <c r="E45" s="125"/>
      <c r="F45" s="118" t="s">
        <v>275</v>
      </c>
      <c r="G45" s="126" t="str">
        <f t="shared" si="1"/>
        <v>MEP-SS0-3</v>
      </c>
      <c r="H45" s="127">
        <v>3</v>
      </c>
      <c r="I45" s="128">
        <v>1</v>
      </c>
      <c r="J45" s="128" t="s">
        <v>286</v>
      </c>
    </row>
    <row r="46" spans="2:12" ht="12.75" hidden="1" customHeight="1" outlineLevel="1">
      <c r="B46" s="118" t="s">
        <v>17405</v>
      </c>
      <c r="C46" s="307" t="s">
        <v>17413</v>
      </c>
      <c r="D46" s="124" t="s">
        <v>17407</v>
      </c>
      <c r="E46" s="125"/>
      <c r="F46" s="118" t="s">
        <v>275</v>
      </c>
      <c r="G46" s="126" t="str">
        <f t="shared" si="1"/>
        <v>MEP-SS0-3</v>
      </c>
      <c r="H46" s="127">
        <v>3</v>
      </c>
      <c r="I46" s="128">
        <v>1</v>
      </c>
      <c r="J46" s="128" t="s">
        <v>307</v>
      </c>
    </row>
    <row r="47" spans="2:12" ht="12.75" hidden="1" customHeight="1" outlineLevel="1">
      <c r="B47" s="118" t="s">
        <v>17405</v>
      </c>
      <c r="C47" s="307" t="s">
        <v>17414</v>
      </c>
      <c r="D47" s="124" t="s">
        <v>17415</v>
      </c>
      <c r="E47" s="125"/>
      <c r="F47" s="118" t="s">
        <v>275</v>
      </c>
      <c r="G47" s="126" t="str">
        <f t="shared" si="1"/>
        <v>MEP-SS0-3</v>
      </c>
      <c r="H47" s="127">
        <v>3</v>
      </c>
      <c r="I47" s="128">
        <v>1</v>
      </c>
      <c r="J47" s="128" t="s">
        <v>307</v>
      </c>
    </row>
    <row r="48" spans="2:12" ht="12.75" hidden="1" customHeight="1" outlineLevel="1">
      <c r="B48" s="118" t="s">
        <v>17405</v>
      </c>
      <c r="C48" s="307" t="s">
        <v>17416</v>
      </c>
      <c r="D48" s="124" t="s">
        <v>17417</v>
      </c>
      <c r="E48" s="125"/>
      <c r="F48" s="118" t="s">
        <v>275</v>
      </c>
      <c r="G48" s="126" t="str">
        <f t="shared" si="1"/>
        <v>MEP-SS0-3</v>
      </c>
      <c r="H48" s="127">
        <v>3</v>
      </c>
      <c r="I48" s="128">
        <v>1</v>
      </c>
      <c r="J48" s="128" t="s">
        <v>307</v>
      </c>
    </row>
    <row r="49" spans="1:19" ht="12.75" hidden="1" customHeight="1" outlineLevel="1">
      <c r="B49" s="118" t="s">
        <v>17405</v>
      </c>
      <c r="C49" s="307" t="s">
        <v>17418</v>
      </c>
      <c r="D49" s="124" t="s">
        <v>17419</v>
      </c>
      <c r="E49" s="125"/>
      <c r="F49" s="118" t="s">
        <v>275</v>
      </c>
      <c r="G49" s="126" t="str">
        <f t="shared" si="1"/>
        <v>MEP-SS0-3</v>
      </c>
      <c r="H49" s="127">
        <v>3</v>
      </c>
      <c r="I49" s="128">
        <v>1</v>
      </c>
      <c r="J49" s="128" t="s">
        <v>307</v>
      </c>
    </row>
    <row r="50" spans="1:19" ht="12.75" hidden="1" customHeight="1" outlineLevel="1">
      <c r="B50" s="118" t="s">
        <v>17405</v>
      </c>
      <c r="C50" s="307" t="s">
        <v>17420</v>
      </c>
      <c r="D50" s="124" t="s">
        <v>17419</v>
      </c>
      <c r="E50" s="125"/>
      <c r="F50" s="118" t="s">
        <v>275</v>
      </c>
      <c r="G50" s="126" t="str">
        <f t="shared" si="1"/>
        <v>MEP-SS0-3</v>
      </c>
      <c r="H50" s="127">
        <v>3</v>
      </c>
      <c r="I50" s="128">
        <v>1</v>
      </c>
      <c r="J50" s="128" t="s">
        <v>307</v>
      </c>
    </row>
    <row r="51" spans="1:19" ht="12.75" hidden="1" customHeight="1" outlineLevel="1">
      <c r="B51" s="118" t="s">
        <v>17405</v>
      </c>
      <c r="C51" s="307" t="s">
        <v>17421</v>
      </c>
      <c r="D51" s="124" t="s">
        <v>17419</v>
      </c>
      <c r="E51" s="125"/>
      <c r="F51" s="118" t="s">
        <v>275</v>
      </c>
      <c r="G51" s="126" t="str">
        <f t="shared" si="1"/>
        <v>MEP-SS0-3</v>
      </c>
      <c r="H51" s="127">
        <v>3</v>
      </c>
      <c r="I51" s="128">
        <v>1</v>
      </c>
      <c r="J51" s="128" t="s">
        <v>286</v>
      </c>
    </row>
    <row r="52" spans="1:19" ht="12.75" hidden="1" customHeight="1" outlineLevel="1">
      <c r="B52" s="118" t="s">
        <v>17405</v>
      </c>
      <c r="C52" s="307" t="s">
        <v>17422</v>
      </c>
      <c r="D52" s="124" t="s">
        <v>17419</v>
      </c>
      <c r="E52" s="125"/>
      <c r="F52" s="118" t="s">
        <v>275</v>
      </c>
      <c r="G52" s="126" t="str">
        <f t="shared" si="1"/>
        <v>MEP-SS0-3</v>
      </c>
      <c r="H52" s="127">
        <v>3</v>
      </c>
      <c r="I52" s="128">
        <v>1</v>
      </c>
      <c r="J52" s="128" t="s">
        <v>286</v>
      </c>
    </row>
    <row r="53" spans="1:19" ht="12.75" hidden="1" customHeight="1" outlineLevel="1">
      <c r="B53" s="118" t="s">
        <v>17405</v>
      </c>
      <c r="C53" s="307" t="s">
        <v>17423</v>
      </c>
      <c r="D53" s="124" t="s">
        <v>17424</v>
      </c>
      <c r="E53" s="125"/>
      <c r="F53" s="118" t="s">
        <v>275</v>
      </c>
      <c r="G53" s="126" t="str">
        <f t="shared" si="1"/>
        <v>MEP-SS0-3</v>
      </c>
      <c r="H53" s="127">
        <v>3</v>
      </c>
      <c r="I53" s="128">
        <v>1</v>
      </c>
      <c r="J53" s="128" t="s">
        <v>286</v>
      </c>
    </row>
    <row r="54" spans="1:19" ht="12.75" hidden="1" customHeight="1" outlineLevel="1">
      <c r="B54" s="118" t="s">
        <v>17405</v>
      </c>
      <c r="C54" s="307" t="s">
        <v>17425</v>
      </c>
      <c r="D54" s="124" t="s">
        <v>17426</v>
      </c>
      <c r="E54" s="125"/>
      <c r="F54" s="118" t="s">
        <v>275</v>
      </c>
      <c r="G54" s="126" t="str">
        <f t="shared" si="1"/>
        <v>MEP-SS0-3</v>
      </c>
      <c r="H54" s="127">
        <v>3</v>
      </c>
      <c r="I54" s="128">
        <v>1</v>
      </c>
      <c r="J54" s="128" t="s">
        <v>286</v>
      </c>
    </row>
    <row r="55" spans="1:19" ht="12.75" hidden="1" customHeight="1" outlineLevel="1">
      <c r="B55" s="118" t="s">
        <v>17405</v>
      </c>
      <c r="C55" s="307" t="s">
        <v>17427</v>
      </c>
      <c r="D55" s="124" t="s">
        <v>17424</v>
      </c>
      <c r="E55" s="125"/>
      <c r="F55" s="118" t="s">
        <v>275</v>
      </c>
      <c r="G55" s="126" t="str">
        <f t="shared" si="1"/>
        <v>MEP-SS0-3</v>
      </c>
      <c r="H55" s="127">
        <v>3</v>
      </c>
      <c r="I55" s="128">
        <v>1</v>
      </c>
      <c r="J55" s="128" t="s">
        <v>286</v>
      </c>
    </row>
    <row r="56" spans="1:19" ht="12.75" hidden="1" customHeight="1" outlineLevel="1">
      <c r="B56" s="118" t="s">
        <v>17405</v>
      </c>
      <c r="C56" s="307" t="s">
        <v>17428</v>
      </c>
      <c r="D56" s="124" t="s">
        <v>17429</v>
      </c>
      <c r="E56" s="125"/>
      <c r="F56" s="118" t="s">
        <v>275</v>
      </c>
      <c r="G56" s="126" t="str">
        <f t="shared" si="1"/>
        <v>MEP-SS0-3</v>
      </c>
      <c r="H56" s="127">
        <v>3</v>
      </c>
      <c r="I56" s="128">
        <v>1</v>
      </c>
      <c r="J56" s="128" t="s">
        <v>286</v>
      </c>
    </row>
    <row r="57" spans="1:19" ht="12.75" hidden="1" customHeight="1" outlineLevel="1">
      <c r="B57" s="118" t="s">
        <v>17405</v>
      </c>
      <c r="C57" s="307" t="s">
        <v>17430</v>
      </c>
      <c r="D57" s="124" t="s">
        <v>17429</v>
      </c>
      <c r="E57" s="125"/>
      <c r="F57" s="118" t="s">
        <v>275</v>
      </c>
      <c r="G57" s="126" t="str">
        <f t="shared" si="1"/>
        <v>MEP-SS0-3</v>
      </c>
      <c r="H57" s="127">
        <v>3</v>
      </c>
      <c r="I57" s="128">
        <v>1</v>
      </c>
      <c r="J57" s="128" t="s">
        <v>286</v>
      </c>
    </row>
    <row r="58" spans="1:19" ht="12.75" hidden="1" customHeight="1" outlineLevel="1">
      <c r="B58" s="118" t="s">
        <v>17405</v>
      </c>
      <c r="C58" s="307" t="s">
        <v>17431</v>
      </c>
      <c r="D58" s="124" t="s">
        <v>17432</v>
      </c>
      <c r="E58" s="125"/>
      <c r="F58" s="118" t="s">
        <v>275</v>
      </c>
      <c r="G58" s="126" t="str">
        <f t="shared" si="1"/>
        <v>MEP-SS0-3</v>
      </c>
      <c r="H58" s="127">
        <v>3</v>
      </c>
      <c r="I58" s="128">
        <v>1</v>
      </c>
      <c r="J58" s="128" t="s">
        <v>286</v>
      </c>
    </row>
    <row r="59" spans="1:19" ht="12.75" hidden="1" customHeight="1" outlineLevel="1">
      <c r="A59" s="123"/>
      <c r="B59" s="118" t="s">
        <v>17405</v>
      </c>
      <c r="C59" s="307" t="s">
        <v>17433</v>
      </c>
      <c r="D59" s="124" t="s">
        <v>17419</v>
      </c>
      <c r="E59" s="125"/>
      <c r="F59" s="118" t="s">
        <v>275</v>
      </c>
      <c r="G59" s="126" t="str">
        <f t="shared" si="1"/>
        <v>MEP-SS0-3</v>
      </c>
      <c r="H59" s="127">
        <v>3</v>
      </c>
      <c r="I59" s="128">
        <v>1</v>
      </c>
      <c r="J59" s="128" t="s">
        <v>286</v>
      </c>
    </row>
    <row r="60" spans="1:19" ht="12.75" hidden="1" customHeight="1" outlineLevel="1">
      <c r="A60" s="123"/>
      <c r="B60" s="118" t="s">
        <v>17405</v>
      </c>
      <c r="C60" s="307" t="s">
        <v>17434</v>
      </c>
      <c r="D60" s="124" t="s">
        <v>17435</v>
      </c>
      <c r="E60" s="125"/>
      <c r="F60" s="118" t="s">
        <v>275</v>
      </c>
      <c r="G60" s="126" t="str">
        <f t="shared" si="1"/>
        <v>MEP-SS0-3</v>
      </c>
      <c r="H60" s="127">
        <v>3</v>
      </c>
      <c r="I60" s="128">
        <v>1</v>
      </c>
      <c r="J60" s="128" t="s">
        <v>286</v>
      </c>
    </row>
    <row r="61" spans="1:19" ht="12.75" hidden="1" customHeight="1" outlineLevel="1">
      <c r="A61" s="123"/>
      <c r="B61" s="118" t="s">
        <v>17405</v>
      </c>
      <c r="C61" s="307" t="s">
        <v>17436</v>
      </c>
      <c r="D61" s="124" t="s">
        <v>17432</v>
      </c>
      <c r="E61" s="125"/>
      <c r="F61" s="118" t="s">
        <v>275</v>
      </c>
      <c r="G61" s="126" t="str">
        <f t="shared" si="1"/>
        <v>MEP-SS0-3</v>
      </c>
      <c r="H61" s="127">
        <v>3</v>
      </c>
      <c r="I61" s="128">
        <v>1</v>
      </c>
      <c r="J61" s="128" t="s">
        <v>286</v>
      </c>
    </row>
    <row r="62" spans="1:19" ht="12.75" hidden="1" customHeight="1" outlineLevel="1">
      <c r="B62" s="118" t="s">
        <v>17343</v>
      </c>
      <c r="C62" s="308" t="s">
        <v>17437</v>
      </c>
      <c r="D62" s="131" t="s">
        <v>17432</v>
      </c>
      <c r="E62" s="125"/>
      <c r="F62" s="118" t="s">
        <v>275</v>
      </c>
      <c r="G62" s="126" t="str">
        <f t="shared" si="1"/>
        <v>MEP-SS0-3</v>
      </c>
      <c r="H62" s="127">
        <v>3</v>
      </c>
      <c r="J62" s="128" t="s">
        <v>286</v>
      </c>
      <c r="K62" s="129">
        <v>1</v>
      </c>
      <c r="L62" s="129">
        <v>1</v>
      </c>
      <c r="P62" s="128">
        <v>1</v>
      </c>
      <c r="S62" s="128">
        <v>1</v>
      </c>
    </row>
    <row r="63" spans="1:19" ht="12.75" hidden="1" customHeight="1" outlineLevel="1">
      <c r="B63" s="118" t="s">
        <v>17438</v>
      </c>
      <c r="C63" s="307" t="s">
        <v>17439</v>
      </c>
      <c r="D63" s="124" t="s">
        <v>17440</v>
      </c>
      <c r="E63" s="125"/>
      <c r="F63" s="118" t="s">
        <v>275</v>
      </c>
      <c r="G63" s="126" t="str">
        <f t="shared" ref="G63" si="2">CONCATENATE("MEP-",F63,"-",H63)</f>
        <v>MEP-SS0-4</v>
      </c>
      <c r="H63" s="127">
        <v>4</v>
      </c>
      <c r="I63" s="128">
        <v>1</v>
      </c>
      <c r="J63" s="128" t="s">
        <v>743</v>
      </c>
      <c r="L63" s="129"/>
    </row>
    <row r="64" spans="1:19" ht="12.75" hidden="1" customHeight="1" outlineLevel="1">
      <c r="B64" s="118" t="s">
        <v>17343</v>
      </c>
      <c r="C64" s="307" t="s">
        <v>17441</v>
      </c>
      <c r="D64" s="124" t="s">
        <v>17442</v>
      </c>
      <c r="E64" s="125"/>
      <c r="F64" s="118" t="s">
        <v>275</v>
      </c>
      <c r="G64" s="126" t="str">
        <f t="shared" si="1"/>
        <v>MEP-SS0-4</v>
      </c>
      <c r="H64" s="127">
        <v>4</v>
      </c>
      <c r="I64" s="128">
        <v>1</v>
      </c>
      <c r="J64" s="128" t="s">
        <v>310</v>
      </c>
      <c r="L64" s="129"/>
    </row>
    <row r="65" spans="1:10" ht="3" customHeight="1">
      <c r="A65" s="123"/>
      <c r="B65" s="118"/>
      <c r="C65" s="307"/>
      <c r="D65" s="124"/>
      <c r="E65" s="125"/>
      <c r="F65" s="118"/>
      <c r="G65" s="132"/>
      <c r="H65" s="127"/>
    </row>
    <row r="66" spans="1:10" s="18" customFormat="1" ht="12.75" customHeight="1" collapsed="1">
      <c r="A66" s="110" t="s">
        <v>17443</v>
      </c>
      <c r="B66" s="118"/>
      <c r="C66" s="307"/>
      <c r="D66" s="119"/>
      <c r="E66" s="46"/>
      <c r="F66" s="41" t="s">
        <v>261</v>
      </c>
      <c r="G66" s="41" t="s">
        <v>262</v>
      </c>
      <c r="H66" s="42" t="s">
        <v>263</v>
      </c>
      <c r="I66" s="120"/>
    </row>
    <row r="67" spans="1:10" s="18" customFormat="1" ht="12.75" hidden="1" customHeight="1" outlineLevel="1">
      <c r="A67" s="110"/>
      <c r="B67" s="118" t="s">
        <v>17343</v>
      </c>
      <c r="C67" s="307" t="s">
        <v>17444</v>
      </c>
      <c r="D67" s="119" t="s">
        <v>17445</v>
      </c>
      <c r="E67" s="46"/>
      <c r="F67" s="118" t="s">
        <v>63</v>
      </c>
      <c r="G67" s="126" t="str">
        <f t="shared" ref="G67:G95" si="3">CONCATENATE("MEP-",F67,"-",H67)</f>
        <v>MEP-T01-07-1</v>
      </c>
      <c r="H67" s="122" t="s">
        <v>304</v>
      </c>
      <c r="I67" s="120">
        <v>1</v>
      </c>
      <c r="J67" s="128" t="s">
        <v>286</v>
      </c>
    </row>
    <row r="68" spans="1:10" s="18" customFormat="1" ht="12.75" hidden="1" customHeight="1" outlineLevel="1">
      <c r="A68" s="110"/>
      <c r="B68" s="118" t="s">
        <v>17343</v>
      </c>
      <c r="C68" s="307" t="s">
        <v>17446</v>
      </c>
      <c r="D68" s="119" t="s">
        <v>17447</v>
      </c>
      <c r="E68" s="46"/>
      <c r="F68" s="118" t="s">
        <v>63</v>
      </c>
      <c r="G68" s="126" t="str">
        <f t="shared" si="3"/>
        <v>MEP-T01-07-4</v>
      </c>
      <c r="H68" s="122" t="s">
        <v>292</v>
      </c>
      <c r="I68" s="120">
        <v>1</v>
      </c>
      <c r="J68" s="128" t="s">
        <v>286</v>
      </c>
    </row>
    <row r="69" spans="1:10" s="18" customFormat="1" ht="12.75" hidden="1" customHeight="1" outlineLevel="1">
      <c r="A69" s="110"/>
      <c r="B69" s="118" t="s">
        <v>17343</v>
      </c>
      <c r="C69" s="307" t="s">
        <v>17448</v>
      </c>
      <c r="D69" s="119" t="s">
        <v>17449</v>
      </c>
      <c r="E69" s="46"/>
      <c r="F69" s="118" t="s">
        <v>63</v>
      </c>
      <c r="G69" s="126" t="str">
        <f t="shared" si="3"/>
        <v>MEP-T01-07-4</v>
      </c>
      <c r="H69" s="122" t="s">
        <v>292</v>
      </c>
      <c r="I69" s="120">
        <v>1</v>
      </c>
      <c r="J69" s="128" t="s">
        <v>286</v>
      </c>
    </row>
    <row r="70" spans="1:10" s="18" customFormat="1" ht="12.75" hidden="1" customHeight="1" outlineLevel="1">
      <c r="A70" s="110"/>
      <c r="B70" s="118" t="s">
        <v>17343</v>
      </c>
      <c r="C70" s="307" t="s">
        <v>17450</v>
      </c>
      <c r="D70" s="119" t="s">
        <v>17451</v>
      </c>
      <c r="E70" s="46"/>
      <c r="F70" s="118" t="s">
        <v>63</v>
      </c>
      <c r="G70" s="126" t="str">
        <f t="shared" si="3"/>
        <v>MEP-T01-07-4</v>
      </c>
      <c r="H70" s="122" t="s">
        <v>292</v>
      </c>
      <c r="I70" s="120">
        <v>1</v>
      </c>
      <c r="J70" s="128" t="s">
        <v>286</v>
      </c>
    </row>
    <row r="71" spans="1:10" s="18" customFormat="1" ht="12.75" hidden="1" customHeight="1" outlineLevel="1">
      <c r="A71" s="110"/>
      <c r="B71" s="118" t="s">
        <v>17343</v>
      </c>
      <c r="C71" s="307" t="s">
        <v>17452</v>
      </c>
      <c r="D71" s="119" t="s">
        <v>17453</v>
      </c>
      <c r="E71" s="46"/>
      <c r="F71" s="118" t="s">
        <v>63</v>
      </c>
      <c r="G71" s="126" t="str">
        <f t="shared" si="3"/>
        <v>MEP-T01-07-4</v>
      </c>
      <c r="H71" s="122" t="s">
        <v>292</v>
      </c>
      <c r="I71" s="120">
        <v>1</v>
      </c>
      <c r="J71" s="128" t="s">
        <v>286</v>
      </c>
    </row>
    <row r="72" spans="1:10" s="18" customFormat="1" ht="12.75" hidden="1" customHeight="1" outlineLevel="1">
      <c r="A72" s="110"/>
      <c r="B72" s="118" t="s">
        <v>17343</v>
      </c>
      <c r="C72" s="307" t="s">
        <v>17454</v>
      </c>
      <c r="D72" s="119" t="s">
        <v>17396</v>
      </c>
      <c r="E72" s="46"/>
      <c r="F72" s="118" t="s">
        <v>63</v>
      </c>
      <c r="G72" s="126" t="str">
        <f t="shared" si="3"/>
        <v>MEP-T01-07-4</v>
      </c>
      <c r="H72" s="122" t="s">
        <v>292</v>
      </c>
      <c r="I72" s="120">
        <v>1</v>
      </c>
      <c r="J72" s="128" t="s">
        <v>286</v>
      </c>
    </row>
    <row r="73" spans="1:10" s="18" customFormat="1" ht="12.75" hidden="1" customHeight="1" outlineLevel="1">
      <c r="B73" s="118" t="s">
        <v>17343</v>
      </c>
      <c r="C73" s="307" t="s">
        <v>17395</v>
      </c>
      <c r="D73" s="119" t="s">
        <v>17396</v>
      </c>
      <c r="E73" s="46"/>
      <c r="F73" s="118" t="s">
        <v>63</v>
      </c>
      <c r="G73" s="126" t="str">
        <f t="shared" si="3"/>
        <v>MEP-T01-07-4</v>
      </c>
      <c r="H73" s="122" t="s">
        <v>292</v>
      </c>
      <c r="I73" s="120">
        <v>1</v>
      </c>
      <c r="J73" s="128" t="s">
        <v>286</v>
      </c>
    </row>
    <row r="74" spans="1:10" s="18" customFormat="1" ht="12.75" hidden="1" customHeight="1" outlineLevel="1">
      <c r="B74" s="118" t="s">
        <v>17343</v>
      </c>
      <c r="C74" s="307" t="s">
        <v>17455</v>
      </c>
      <c r="D74" s="119" t="s">
        <v>17396</v>
      </c>
      <c r="E74" s="46"/>
      <c r="F74" s="118" t="s">
        <v>63</v>
      </c>
      <c r="G74" s="126" t="str">
        <f t="shared" si="3"/>
        <v>MEP-T01-07-4</v>
      </c>
      <c r="H74" s="122" t="s">
        <v>292</v>
      </c>
      <c r="I74" s="120">
        <v>1</v>
      </c>
      <c r="J74" s="128" t="s">
        <v>286</v>
      </c>
    </row>
    <row r="75" spans="1:10" s="18" customFormat="1" ht="12.75" hidden="1" customHeight="1" outlineLevel="1">
      <c r="B75" s="118" t="s">
        <v>17343</v>
      </c>
      <c r="C75" s="307" t="s">
        <v>17400</v>
      </c>
      <c r="D75" s="119" t="s">
        <v>17403</v>
      </c>
      <c r="E75" s="46"/>
      <c r="F75" s="118" t="s">
        <v>63</v>
      </c>
      <c r="G75" s="126" t="str">
        <f t="shared" si="3"/>
        <v>MEP-T01-07-4</v>
      </c>
      <c r="H75" s="122" t="s">
        <v>292</v>
      </c>
      <c r="I75" s="120">
        <v>1</v>
      </c>
      <c r="J75" s="128" t="s">
        <v>307</v>
      </c>
    </row>
    <row r="76" spans="1:10" s="18" customFormat="1" ht="12.75" hidden="1" customHeight="1" outlineLevel="1">
      <c r="B76" s="118" t="s">
        <v>17343</v>
      </c>
      <c r="C76" s="307" t="s">
        <v>17402</v>
      </c>
      <c r="D76" s="119" t="s">
        <v>17403</v>
      </c>
      <c r="E76" s="46"/>
      <c r="F76" s="118" t="s">
        <v>63</v>
      </c>
      <c r="G76" s="126" t="str">
        <f t="shared" si="3"/>
        <v>MEP-T01-07-4</v>
      </c>
      <c r="H76" s="122" t="s">
        <v>292</v>
      </c>
      <c r="I76" s="120">
        <v>1</v>
      </c>
      <c r="J76" s="128" t="s">
        <v>286</v>
      </c>
    </row>
    <row r="77" spans="1:10" s="18" customFormat="1" ht="12.75" hidden="1" customHeight="1" outlineLevel="1">
      <c r="B77" s="118" t="s">
        <v>17343</v>
      </c>
      <c r="C77" s="307" t="s">
        <v>17404</v>
      </c>
      <c r="D77" s="119" t="s">
        <v>17403</v>
      </c>
      <c r="E77" s="46"/>
      <c r="F77" s="118" t="s">
        <v>63</v>
      </c>
      <c r="G77" s="126" t="str">
        <f t="shared" si="3"/>
        <v>MEP-T01-07-4</v>
      </c>
      <c r="H77" s="122" t="s">
        <v>292</v>
      </c>
      <c r="I77" s="120">
        <v>1</v>
      </c>
      <c r="J77" s="128" t="s">
        <v>286</v>
      </c>
    </row>
    <row r="78" spans="1:10" s="18" customFormat="1" ht="12.75" hidden="1" customHeight="1" outlineLevel="1">
      <c r="B78" s="118" t="s">
        <v>17343</v>
      </c>
      <c r="C78" s="307" t="s">
        <v>17456</v>
      </c>
      <c r="D78" s="119" t="s">
        <v>17457</v>
      </c>
      <c r="E78" s="46"/>
      <c r="F78" s="118" t="s">
        <v>63</v>
      </c>
      <c r="G78" s="126" t="str">
        <f t="shared" si="3"/>
        <v>MEP-T01-07-4</v>
      </c>
      <c r="H78" s="122" t="s">
        <v>292</v>
      </c>
      <c r="I78" s="120">
        <v>1</v>
      </c>
      <c r="J78" s="128" t="s">
        <v>286</v>
      </c>
    </row>
    <row r="79" spans="1:10" s="18" customFormat="1" ht="12.75" hidden="1" customHeight="1" outlineLevel="1">
      <c r="B79" s="118" t="s">
        <v>17371</v>
      </c>
      <c r="C79" s="307" t="s">
        <v>17406</v>
      </c>
      <c r="D79" s="119" t="s">
        <v>17407</v>
      </c>
      <c r="E79" s="46"/>
      <c r="F79" s="118" t="s">
        <v>63</v>
      </c>
      <c r="G79" s="126" t="str">
        <f t="shared" si="3"/>
        <v>MEP-T01-07-4</v>
      </c>
      <c r="H79" s="122" t="s">
        <v>292</v>
      </c>
      <c r="I79" s="120">
        <v>1</v>
      </c>
      <c r="J79" s="128" t="s">
        <v>325</v>
      </c>
    </row>
    <row r="80" spans="1:10" s="18" customFormat="1" ht="12.75" hidden="1" customHeight="1" outlineLevel="1">
      <c r="B80" s="118" t="s">
        <v>17371</v>
      </c>
      <c r="C80" s="307" t="s">
        <v>17458</v>
      </c>
      <c r="D80" s="119" t="s">
        <v>17459</v>
      </c>
      <c r="E80" s="46"/>
      <c r="F80" s="118" t="s">
        <v>63</v>
      </c>
      <c r="G80" s="126" t="str">
        <f t="shared" si="3"/>
        <v>MEP-T01-07-4</v>
      </c>
      <c r="H80" s="122" t="s">
        <v>292</v>
      </c>
      <c r="I80" s="120">
        <v>1</v>
      </c>
      <c r="J80" s="128" t="s">
        <v>286</v>
      </c>
    </row>
    <row r="81" spans="2:10" s="18" customFormat="1" ht="12.75" hidden="1" customHeight="1" outlineLevel="1">
      <c r="B81" s="118" t="s">
        <v>17371</v>
      </c>
      <c r="C81" s="307" t="s">
        <v>17413</v>
      </c>
      <c r="D81" s="119" t="s">
        <v>17407</v>
      </c>
      <c r="E81" s="46"/>
      <c r="F81" s="118" t="s">
        <v>63</v>
      </c>
      <c r="G81" s="126" t="str">
        <f t="shared" si="3"/>
        <v>MEP-T01-07-4</v>
      </c>
      <c r="H81" s="122" t="s">
        <v>292</v>
      </c>
      <c r="I81" s="120">
        <v>1</v>
      </c>
      <c r="J81" s="128" t="s">
        <v>325</v>
      </c>
    </row>
    <row r="82" spans="2:10" s="18" customFormat="1" ht="12.75" hidden="1" customHeight="1" outlineLevel="1">
      <c r="B82" s="118" t="s">
        <v>17371</v>
      </c>
      <c r="C82" s="307" t="s">
        <v>17460</v>
      </c>
      <c r="D82" s="119" t="s">
        <v>17461</v>
      </c>
      <c r="E82" s="46"/>
      <c r="F82" s="118" t="s">
        <v>63</v>
      </c>
      <c r="G82" s="126" t="str">
        <f t="shared" si="3"/>
        <v>MEP-T01-07-4</v>
      </c>
      <c r="H82" s="122" t="s">
        <v>292</v>
      </c>
      <c r="I82" s="120">
        <v>1</v>
      </c>
      <c r="J82" s="128" t="s">
        <v>286</v>
      </c>
    </row>
    <row r="83" spans="2:10" s="18" customFormat="1" ht="12.75" hidden="1" customHeight="1" outlineLevel="1">
      <c r="B83" s="118" t="s">
        <v>17371</v>
      </c>
      <c r="C83" s="307" t="s">
        <v>17462</v>
      </c>
      <c r="D83" s="119" t="s">
        <v>17463</v>
      </c>
      <c r="E83" s="46"/>
      <c r="F83" s="118" t="s">
        <v>63</v>
      </c>
      <c r="G83" s="126" t="str">
        <f t="shared" si="3"/>
        <v>MEP-T01-07-4</v>
      </c>
      <c r="H83" s="122" t="s">
        <v>292</v>
      </c>
      <c r="I83" s="120">
        <v>1</v>
      </c>
      <c r="J83" s="128" t="s">
        <v>286</v>
      </c>
    </row>
    <row r="84" spans="2:10" s="18" customFormat="1" ht="12.75" hidden="1" customHeight="1" outlineLevel="1">
      <c r="B84" s="118" t="s">
        <v>17371</v>
      </c>
      <c r="C84" s="307" t="s">
        <v>17464</v>
      </c>
      <c r="D84" s="119" t="s">
        <v>17465</v>
      </c>
      <c r="E84" s="46"/>
      <c r="F84" s="118" t="s">
        <v>63</v>
      </c>
      <c r="G84" s="126" t="str">
        <f t="shared" si="3"/>
        <v>MEP-T01-07-4</v>
      </c>
      <c r="H84" s="122" t="s">
        <v>292</v>
      </c>
      <c r="I84" s="120">
        <v>1</v>
      </c>
      <c r="J84" s="128" t="s">
        <v>286</v>
      </c>
    </row>
    <row r="85" spans="2:10" s="18" customFormat="1" ht="12.75" hidden="1" customHeight="1" outlineLevel="1">
      <c r="B85" s="118" t="s">
        <v>17371</v>
      </c>
      <c r="C85" s="307" t="s">
        <v>17466</v>
      </c>
      <c r="D85" s="119" t="s">
        <v>17467</v>
      </c>
      <c r="E85" s="46"/>
      <c r="F85" s="118" t="s">
        <v>63</v>
      </c>
      <c r="G85" s="126" t="str">
        <f t="shared" si="3"/>
        <v>MEP-T01-07-4</v>
      </c>
      <c r="H85" s="122" t="s">
        <v>292</v>
      </c>
      <c r="I85" s="120">
        <v>1</v>
      </c>
      <c r="J85" s="128" t="s">
        <v>286</v>
      </c>
    </row>
    <row r="86" spans="2:10" s="18" customFormat="1" ht="12.75" hidden="1" customHeight="1" outlineLevel="1">
      <c r="B86" s="118" t="s">
        <v>17371</v>
      </c>
      <c r="C86" s="307" t="s">
        <v>17468</v>
      </c>
      <c r="D86" s="119" t="s">
        <v>17469</v>
      </c>
      <c r="E86" s="46"/>
      <c r="F86" s="118" t="s">
        <v>63</v>
      </c>
      <c r="G86" s="126" t="str">
        <f t="shared" si="3"/>
        <v>MEP-T01-07-4</v>
      </c>
      <c r="H86" s="122" t="s">
        <v>292</v>
      </c>
      <c r="I86" s="120">
        <v>1</v>
      </c>
      <c r="J86" s="128" t="s">
        <v>286</v>
      </c>
    </row>
    <row r="87" spans="2:10" s="18" customFormat="1" ht="12.75" hidden="1" customHeight="1" outlineLevel="1">
      <c r="B87" s="118" t="s">
        <v>17371</v>
      </c>
      <c r="C87" s="307" t="s">
        <v>17470</v>
      </c>
      <c r="D87" s="119" t="s">
        <v>17471</v>
      </c>
      <c r="E87" s="46"/>
      <c r="F87" s="118" t="s">
        <v>63</v>
      </c>
      <c r="G87" s="126" t="str">
        <f t="shared" si="3"/>
        <v>MEP-T01-07-4</v>
      </c>
      <c r="H87" s="122" t="s">
        <v>292</v>
      </c>
      <c r="I87" s="120">
        <v>1</v>
      </c>
      <c r="J87" s="128" t="s">
        <v>286</v>
      </c>
    </row>
    <row r="88" spans="2:10" s="18" customFormat="1" ht="12.75" hidden="1" customHeight="1" outlineLevel="1">
      <c r="B88" s="118" t="s">
        <v>17371</v>
      </c>
      <c r="C88" s="307" t="s">
        <v>17472</v>
      </c>
      <c r="D88" s="119" t="s">
        <v>17473</v>
      </c>
      <c r="E88" s="46"/>
      <c r="F88" s="118" t="s">
        <v>63</v>
      </c>
      <c r="G88" s="126" t="str">
        <f t="shared" si="3"/>
        <v>MEP-T01-07-4</v>
      </c>
      <c r="H88" s="122" t="s">
        <v>292</v>
      </c>
      <c r="I88" s="120">
        <v>1</v>
      </c>
      <c r="J88" s="128" t="s">
        <v>286</v>
      </c>
    </row>
    <row r="89" spans="2:10" s="18" customFormat="1" ht="12.75" hidden="1" customHeight="1" outlineLevel="1">
      <c r="B89" s="118" t="s">
        <v>17371</v>
      </c>
      <c r="C89" s="307" t="s">
        <v>17474</v>
      </c>
      <c r="D89" s="119" t="s">
        <v>17475</v>
      </c>
      <c r="E89" s="46"/>
      <c r="F89" s="118" t="s">
        <v>63</v>
      </c>
      <c r="G89" s="126" t="str">
        <f t="shared" si="3"/>
        <v>MEP-T01-07-4</v>
      </c>
      <c r="H89" s="122" t="s">
        <v>292</v>
      </c>
      <c r="I89" s="120">
        <v>1</v>
      </c>
      <c r="J89" s="128" t="s">
        <v>286</v>
      </c>
    </row>
    <row r="90" spans="2:10" s="18" customFormat="1" ht="12.75" hidden="1" customHeight="1" outlineLevel="1">
      <c r="B90" s="118" t="s">
        <v>17371</v>
      </c>
      <c r="C90" s="307" t="s">
        <v>17476</v>
      </c>
      <c r="D90" s="119" t="s">
        <v>17477</v>
      </c>
      <c r="E90" s="46"/>
      <c r="F90" s="118" t="s">
        <v>63</v>
      </c>
      <c r="G90" s="126" t="str">
        <f t="shared" si="3"/>
        <v>MEP-T01-07-4</v>
      </c>
      <c r="H90" s="122" t="s">
        <v>292</v>
      </c>
      <c r="I90" s="120">
        <v>1</v>
      </c>
      <c r="J90" s="128" t="s">
        <v>286</v>
      </c>
    </row>
    <row r="91" spans="2:10" s="18" customFormat="1" ht="12.75" hidden="1" customHeight="1" outlineLevel="1">
      <c r="B91" s="118" t="s">
        <v>17371</v>
      </c>
      <c r="C91" s="307" t="s">
        <v>17478</v>
      </c>
      <c r="D91" s="119" t="s">
        <v>17479</v>
      </c>
      <c r="E91" s="46"/>
      <c r="F91" s="118" t="s">
        <v>63</v>
      </c>
      <c r="G91" s="126" t="str">
        <f t="shared" si="3"/>
        <v>MEP-T01-07-4</v>
      </c>
      <c r="H91" s="122" t="s">
        <v>292</v>
      </c>
      <c r="I91" s="120">
        <v>1</v>
      </c>
      <c r="J91" s="128" t="s">
        <v>286</v>
      </c>
    </row>
    <row r="92" spans="2:10" s="18" customFormat="1" ht="12.75" hidden="1" customHeight="1" outlineLevel="1">
      <c r="B92" s="118" t="s">
        <v>17371</v>
      </c>
      <c r="C92" s="307" t="s">
        <v>17480</v>
      </c>
      <c r="D92" s="119" t="s">
        <v>17481</v>
      </c>
      <c r="E92" s="46"/>
      <c r="F92" s="118" t="s">
        <v>63</v>
      </c>
      <c r="G92" s="126" t="str">
        <f t="shared" si="3"/>
        <v>MEP-T01-07-4</v>
      </c>
      <c r="H92" s="122" t="s">
        <v>292</v>
      </c>
      <c r="I92" s="120">
        <v>1</v>
      </c>
      <c r="J92" s="128" t="s">
        <v>286</v>
      </c>
    </row>
    <row r="93" spans="2:10" s="18" customFormat="1" ht="12.75" hidden="1" customHeight="1" outlineLevel="1">
      <c r="B93" s="118" t="s">
        <v>17371</v>
      </c>
      <c r="C93" s="307" t="s">
        <v>17482</v>
      </c>
      <c r="D93" s="119" t="s">
        <v>17345</v>
      </c>
      <c r="E93" s="46"/>
      <c r="F93" s="118" t="s">
        <v>63</v>
      </c>
      <c r="G93" s="126" t="str">
        <f t="shared" si="3"/>
        <v>MEP-T01-07-4</v>
      </c>
      <c r="H93" s="122" t="s">
        <v>292</v>
      </c>
      <c r="I93" s="120">
        <v>1</v>
      </c>
      <c r="J93" s="128" t="s">
        <v>286</v>
      </c>
    </row>
    <row r="94" spans="2:10" s="18" customFormat="1" ht="12.75" hidden="1" customHeight="1" outlineLevel="1">
      <c r="B94" s="118" t="s">
        <v>17371</v>
      </c>
      <c r="C94" s="307" t="s">
        <v>17348</v>
      </c>
      <c r="D94" s="119" t="s">
        <v>17483</v>
      </c>
      <c r="E94" s="46"/>
      <c r="F94" s="118" t="s">
        <v>63</v>
      </c>
      <c r="G94" s="126" t="str">
        <f t="shared" si="3"/>
        <v>MEP-T01-07-4</v>
      </c>
      <c r="H94" s="122" t="s">
        <v>292</v>
      </c>
      <c r="I94" s="120">
        <v>1</v>
      </c>
      <c r="J94" s="128" t="s">
        <v>286</v>
      </c>
    </row>
    <row r="95" spans="2:10" s="18" customFormat="1" ht="12.75" hidden="1" customHeight="1" outlineLevel="1">
      <c r="B95" s="118" t="s">
        <v>17438</v>
      </c>
      <c r="C95" s="307" t="s">
        <v>17484</v>
      </c>
      <c r="D95" s="119" t="s">
        <v>17485</v>
      </c>
      <c r="E95" s="46"/>
      <c r="F95" s="118" t="s">
        <v>63</v>
      </c>
      <c r="G95" s="126" t="str">
        <f t="shared" si="3"/>
        <v>MEP-T01-07-4</v>
      </c>
      <c r="H95" s="122" t="s">
        <v>292</v>
      </c>
      <c r="I95" s="120">
        <v>1</v>
      </c>
      <c r="J95" s="128" t="s">
        <v>286</v>
      </c>
    </row>
    <row r="96" spans="2:10" s="18" customFormat="1" ht="12.75" hidden="1" customHeight="1" outlineLevel="1">
      <c r="B96" s="118" t="s">
        <v>17438</v>
      </c>
      <c r="C96" s="307" t="s">
        <v>17428</v>
      </c>
      <c r="D96" s="119" t="s">
        <v>17486</v>
      </c>
      <c r="E96" s="46"/>
      <c r="F96" s="118" t="s">
        <v>63</v>
      </c>
      <c r="G96" s="126" t="str">
        <f t="shared" ref="G96:G121" si="4">CONCATENATE("MEP-",F96,"-",H96)</f>
        <v>MEP-T01-07-4</v>
      </c>
      <c r="H96" s="122" t="s">
        <v>292</v>
      </c>
      <c r="I96" s="120">
        <v>1</v>
      </c>
      <c r="J96" s="128" t="s">
        <v>286</v>
      </c>
    </row>
    <row r="97" spans="2:10" s="18" customFormat="1" ht="12.75" hidden="1" customHeight="1" outlineLevel="1">
      <c r="B97" s="118" t="s">
        <v>17438</v>
      </c>
      <c r="C97" s="307" t="s">
        <v>17430</v>
      </c>
      <c r="D97" s="119" t="s">
        <v>17486</v>
      </c>
      <c r="E97" s="46"/>
      <c r="F97" s="118" t="s">
        <v>63</v>
      </c>
      <c r="G97" s="126" t="str">
        <f t="shared" ref="G97:G109" si="5">CONCATENATE("MEP-",F97,"-",H97)</f>
        <v>MEP-T01-07-4</v>
      </c>
      <c r="H97" s="122" t="s">
        <v>292</v>
      </c>
      <c r="I97" s="120">
        <v>1</v>
      </c>
      <c r="J97" s="128" t="s">
        <v>286</v>
      </c>
    </row>
    <row r="98" spans="2:10" s="18" customFormat="1" ht="12.75" hidden="1" customHeight="1" outlineLevel="1">
      <c r="B98" s="118" t="s">
        <v>17371</v>
      </c>
      <c r="C98" s="307" t="s">
        <v>17431</v>
      </c>
      <c r="D98" s="119" t="s">
        <v>17486</v>
      </c>
      <c r="E98" s="46"/>
      <c r="F98" s="118" t="s">
        <v>63</v>
      </c>
      <c r="G98" s="126" t="str">
        <f t="shared" si="5"/>
        <v>MEP-T01-07-4</v>
      </c>
      <c r="H98" s="122" t="s">
        <v>292</v>
      </c>
      <c r="I98" s="120">
        <v>1</v>
      </c>
      <c r="J98" s="128" t="s">
        <v>286</v>
      </c>
    </row>
    <row r="99" spans="2:10" s="18" customFormat="1" ht="12.75" hidden="1" customHeight="1" outlineLevel="1">
      <c r="B99" s="118" t="s">
        <v>17371</v>
      </c>
      <c r="C99" s="307" t="s">
        <v>17433</v>
      </c>
      <c r="D99" s="119" t="s">
        <v>17419</v>
      </c>
      <c r="E99" s="46"/>
      <c r="F99" s="118" t="s">
        <v>63</v>
      </c>
      <c r="G99" s="126" t="str">
        <f t="shared" si="5"/>
        <v>MEP-T01-07-4</v>
      </c>
      <c r="H99" s="122" t="s">
        <v>292</v>
      </c>
      <c r="I99" s="120">
        <v>1</v>
      </c>
      <c r="J99" s="128" t="s">
        <v>286</v>
      </c>
    </row>
    <row r="100" spans="2:10" s="18" customFormat="1" ht="12.75" hidden="1" customHeight="1" outlineLevel="1">
      <c r="B100" s="118" t="s">
        <v>17371</v>
      </c>
      <c r="C100" s="307" t="s">
        <v>17434</v>
      </c>
      <c r="D100" s="119" t="s">
        <v>17486</v>
      </c>
      <c r="E100" s="46"/>
      <c r="F100" s="118" t="s">
        <v>63</v>
      </c>
      <c r="G100" s="126" t="str">
        <f t="shared" si="5"/>
        <v>MEP-T01-07-4</v>
      </c>
      <c r="H100" s="122" t="s">
        <v>292</v>
      </c>
      <c r="I100" s="120">
        <v>1</v>
      </c>
      <c r="J100" s="128" t="s">
        <v>286</v>
      </c>
    </row>
    <row r="101" spans="2:10" s="18" customFormat="1" ht="12.75" hidden="1" customHeight="1" outlineLevel="1">
      <c r="B101" s="118" t="s">
        <v>17371</v>
      </c>
      <c r="C101" s="307" t="s">
        <v>17436</v>
      </c>
      <c r="D101" s="119" t="s">
        <v>17486</v>
      </c>
      <c r="E101" s="46"/>
      <c r="F101" s="118" t="s">
        <v>63</v>
      </c>
      <c r="G101" s="126" t="str">
        <f t="shared" si="5"/>
        <v>MEP-T01-07-4</v>
      </c>
      <c r="H101" s="122" t="s">
        <v>292</v>
      </c>
      <c r="I101" s="120">
        <v>1</v>
      </c>
      <c r="J101" s="128" t="s">
        <v>286</v>
      </c>
    </row>
    <row r="102" spans="2:10" s="18" customFormat="1" ht="12.75" hidden="1" customHeight="1" outlineLevel="1">
      <c r="B102" s="118" t="s">
        <v>17371</v>
      </c>
      <c r="C102" s="307" t="s">
        <v>17437</v>
      </c>
      <c r="D102" s="119" t="s">
        <v>17486</v>
      </c>
      <c r="E102" s="46"/>
      <c r="F102" s="118" t="s">
        <v>63</v>
      </c>
      <c r="G102" s="126" t="str">
        <f t="shared" si="5"/>
        <v>MEP-T01-07-4</v>
      </c>
      <c r="H102" s="122" t="s">
        <v>292</v>
      </c>
      <c r="I102" s="120">
        <v>1</v>
      </c>
      <c r="J102" s="128" t="s">
        <v>286</v>
      </c>
    </row>
    <row r="103" spans="2:10" s="18" customFormat="1" ht="12.75" hidden="1" customHeight="1" outlineLevel="1">
      <c r="B103" s="118" t="s">
        <v>17371</v>
      </c>
      <c r="C103" s="307" t="s">
        <v>17487</v>
      </c>
      <c r="D103" s="119" t="s">
        <v>17432</v>
      </c>
      <c r="E103" s="46"/>
      <c r="F103" s="118" t="s">
        <v>63</v>
      </c>
      <c r="G103" s="126" t="str">
        <f t="shared" si="5"/>
        <v>MEP-T01-07-4</v>
      </c>
      <c r="H103" s="122" t="s">
        <v>292</v>
      </c>
      <c r="I103" s="120">
        <v>1</v>
      </c>
      <c r="J103" s="128" t="s">
        <v>286</v>
      </c>
    </row>
    <row r="104" spans="2:10" s="18" customFormat="1" ht="12.75" hidden="1" customHeight="1" outlineLevel="1">
      <c r="B104" s="118" t="s">
        <v>17438</v>
      </c>
      <c r="C104" s="307" t="s">
        <v>17488</v>
      </c>
      <c r="D104" s="119" t="s">
        <v>17432</v>
      </c>
      <c r="E104" s="46"/>
      <c r="F104" s="118" t="s">
        <v>63</v>
      </c>
      <c r="G104" s="126" t="str">
        <f t="shared" si="5"/>
        <v>MEP-T01-07-4</v>
      </c>
      <c r="H104" s="122" t="s">
        <v>292</v>
      </c>
      <c r="I104" s="120">
        <v>1</v>
      </c>
      <c r="J104" s="128" t="s">
        <v>286</v>
      </c>
    </row>
    <row r="105" spans="2:10" s="18" customFormat="1" ht="12.75" hidden="1" customHeight="1" outlineLevel="1">
      <c r="B105" s="118" t="s">
        <v>17438</v>
      </c>
      <c r="C105" s="307" t="s">
        <v>17489</v>
      </c>
      <c r="D105" s="119" t="s">
        <v>17432</v>
      </c>
      <c r="E105" s="46"/>
      <c r="F105" s="118" t="s">
        <v>63</v>
      </c>
      <c r="G105" s="126" t="str">
        <f t="shared" si="5"/>
        <v>MEP-T01-07-4</v>
      </c>
      <c r="H105" s="122" t="s">
        <v>292</v>
      </c>
      <c r="I105" s="120">
        <v>1</v>
      </c>
      <c r="J105" s="128" t="s">
        <v>286</v>
      </c>
    </row>
    <row r="106" spans="2:10" s="18" customFormat="1" ht="12.75" hidden="1" customHeight="1" outlineLevel="1">
      <c r="B106" s="118" t="s">
        <v>17438</v>
      </c>
      <c r="C106" s="307" t="s">
        <v>17490</v>
      </c>
      <c r="D106" s="119" t="s">
        <v>17491</v>
      </c>
      <c r="E106" s="46"/>
      <c r="F106" s="118" t="s">
        <v>63</v>
      </c>
      <c r="G106" s="126" t="str">
        <f t="shared" si="5"/>
        <v>MEP-T01-07-7</v>
      </c>
      <c r="H106" s="122" t="s">
        <v>373</v>
      </c>
      <c r="I106" s="120">
        <v>1</v>
      </c>
      <c r="J106" s="128" t="s">
        <v>286</v>
      </c>
    </row>
    <row r="107" spans="2:10" s="18" customFormat="1" ht="12.75" hidden="1" customHeight="1" outlineLevel="1">
      <c r="B107" s="118" t="s">
        <v>17438</v>
      </c>
      <c r="C107" s="307" t="s">
        <v>17492</v>
      </c>
      <c r="D107" s="119" t="s">
        <v>3440</v>
      </c>
      <c r="E107" s="46"/>
      <c r="F107" s="118" t="s">
        <v>63</v>
      </c>
      <c r="G107" s="126" t="str">
        <f t="shared" si="5"/>
        <v>MEP-T01-07-8</v>
      </c>
      <c r="H107" s="122" t="s">
        <v>410</v>
      </c>
      <c r="I107" s="120">
        <v>1</v>
      </c>
      <c r="J107" s="128" t="s">
        <v>286</v>
      </c>
    </row>
    <row r="108" spans="2:10" s="18" customFormat="1" ht="12.75" hidden="1" customHeight="1" outlineLevel="1">
      <c r="B108" s="118" t="s">
        <v>17438</v>
      </c>
      <c r="C108" s="307" t="s">
        <v>17493</v>
      </c>
      <c r="D108" s="119" t="s">
        <v>3440</v>
      </c>
      <c r="E108" s="46"/>
      <c r="F108" s="118" t="s">
        <v>63</v>
      </c>
      <c r="G108" s="126" t="str">
        <f t="shared" si="5"/>
        <v>MEP-T01-07-8</v>
      </c>
      <c r="H108" s="122" t="s">
        <v>410</v>
      </c>
      <c r="I108" s="120">
        <v>1</v>
      </c>
      <c r="J108" s="128" t="s">
        <v>286</v>
      </c>
    </row>
    <row r="109" spans="2:10" s="18" customFormat="1" ht="12.75" hidden="1" customHeight="1" outlineLevel="1">
      <c r="B109" s="118" t="s">
        <v>17438</v>
      </c>
      <c r="C109" s="307" t="s">
        <v>17494</v>
      </c>
      <c r="D109" s="119" t="s">
        <v>3443</v>
      </c>
      <c r="E109" s="46"/>
      <c r="F109" s="118" t="s">
        <v>63</v>
      </c>
      <c r="G109" s="126" t="str">
        <f t="shared" si="5"/>
        <v>MEP-T01-07-8</v>
      </c>
      <c r="H109" s="122" t="s">
        <v>410</v>
      </c>
      <c r="I109" s="120">
        <v>1</v>
      </c>
      <c r="J109" s="128" t="s">
        <v>286</v>
      </c>
    </row>
    <row r="110" spans="2:10" s="18" customFormat="1" ht="12.75" hidden="1" customHeight="1" outlineLevel="1">
      <c r="B110" s="118" t="s">
        <v>17343</v>
      </c>
      <c r="C110" s="307" t="s">
        <v>17495</v>
      </c>
      <c r="D110" s="119" t="s">
        <v>3443</v>
      </c>
      <c r="E110" s="46"/>
      <c r="F110" s="118" t="s">
        <v>63</v>
      </c>
      <c r="G110" s="126" t="str">
        <f t="shared" ref="G110" si="6">CONCATENATE("MEP-",F110,"-",H110)</f>
        <v>MEP-T01-07-8</v>
      </c>
      <c r="H110" s="122" t="s">
        <v>410</v>
      </c>
      <c r="I110" s="120">
        <v>1</v>
      </c>
      <c r="J110" s="128" t="s">
        <v>286</v>
      </c>
    </row>
    <row r="111" spans="2:10" s="18" customFormat="1" ht="12.75" hidden="1" customHeight="1" outlineLevel="1">
      <c r="B111" s="118" t="s">
        <v>17343</v>
      </c>
      <c r="C111" s="307" t="s">
        <v>3444</v>
      </c>
      <c r="D111" s="119" t="s">
        <v>17496</v>
      </c>
      <c r="E111" s="46"/>
      <c r="F111" s="118" t="s">
        <v>63</v>
      </c>
      <c r="G111" s="126" t="str">
        <f t="shared" ref="G111:G114" si="7">CONCATENATE("MEP-",F111,"-",H111)</f>
        <v>MEP-T01-07-8</v>
      </c>
      <c r="H111" s="122" t="s">
        <v>410</v>
      </c>
      <c r="I111" s="120">
        <v>1</v>
      </c>
      <c r="J111" s="128" t="s">
        <v>286</v>
      </c>
    </row>
    <row r="112" spans="2:10" s="18" customFormat="1" ht="12.75" hidden="1" customHeight="1" outlineLevel="1">
      <c r="B112" s="118" t="s">
        <v>17343</v>
      </c>
      <c r="C112" s="307" t="s">
        <v>17497</v>
      </c>
      <c r="D112" s="119" t="s">
        <v>3445</v>
      </c>
      <c r="E112" s="46"/>
      <c r="F112" s="118" t="s">
        <v>63</v>
      </c>
      <c r="G112" s="126" t="str">
        <f t="shared" si="7"/>
        <v>MEP-T01-07-8</v>
      </c>
      <c r="H112" s="122" t="s">
        <v>410</v>
      </c>
      <c r="I112" s="120">
        <v>1</v>
      </c>
      <c r="J112" s="128" t="s">
        <v>286</v>
      </c>
    </row>
    <row r="113" spans="2:10" s="18" customFormat="1" ht="12.75" hidden="1" customHeight="1" outlineLevel="1">
      <c r="B113" s="118" t="s">
        <v>17343</v>
      </c>
      <c r="C113" s="307" t="s">
        <v>17498</v>
      </c>
      <c r="D113" s="119" t="s">
        <v>3447</v>
      </c>
      <c r="E113" s="46"/>
      <c r="F113" s="118" t="s">
        <v>63</v>
      </c>
      <c r="G113" s="126" t="str">
        <f t="shared" si="7"/>
        <v>MEP-T01-07-8</v>
      </c>
      <c r="H113" s="122" t="s">
        <v>410</v>
      </c>
      <c r="I113" s="120">
        <v>1</v>
      </c>
      <c r="J113" s="128" t="s">
        <v>286</v>
      </c>
    </row>
    <row r="114" spans="2:10" s="18" customFormat="1" ht="12.75" hidden="1" customHeight="1" outlineLevel="1">
      <c r="B114" s="118" t="s">
        <v>17343</v>
      </c>
      <c r="C114" s="307" t="s">
        <v>17499</v>
      </c>
      <c r="D114" s="119" t="s">
        <v>3447</v>
      </c>
      <c r="E114" s="46"/>
      <c r="F114" s="118" t="s">
        <v>63</v>
      </c>
      <c r="G114" s="126" t="str">
        <f t="shared" si="7"/>
        <v>MEP-T01-07-8</v>
      </c>
      <c r="H114" s="122" t="s">
        <v>410</v>
      </c>
      <c r="I114" s="120">
        <v>1</v>
      </c>
      <c r="J114" s="128" t="s">
        <v>286</v>
      </c>
    </row>
    <row r="115" spans="2:10" s="18" customFormat="1" ht="12.75" hidden="1" customHeight="1" outlineLevel="1">
      <c r="B115" s="118" t="s">
        <v>17343</v>
      </c>
      <c r="C115" s="307" t="s">
        <v>17500</v>
      </c>
      <c r="D115" s="119" t="s">
        <v>17501</v>
      </c>
      <c r="E115" s="46"/>
      <c r="F115" s="118" t="s">
        <v>63</v>
      </c>
      <c r="G115" s="126" t="str">
        <f t="shared" ref="G115" si="8">CONCATENATE("MEP-",F115,"-",H115)</f>
        <v>MEP-T01-07-9</v>
      </c>
      <c r="H115" s="122" t="s">
        <v>421</v>
      </c>
      <c r="I115" s="120">
        <v>1</v>
      </c>
      <c r="J115" s="128" t="s">
        <v>286</v>
      </c>
    </row>
    <row r="116" spans="2:10" s="18" customFormat="1" ht="12.75" hidden="1" customHeight="1" outlineLevel="1">
      <c r="B116" s="118" t="s">
        <v>17438</v>
      </c>
      <c r="C116" s="307" t="s">
        <v>17502</v>
      </c>
      <c r="D116" s="119" t="s">
        <v>17503</v>
      </c>
      <c r="E116" s="46"/>
      <c r="F116" s="118" t="s">
        <v>63</v>
      </c>
      <c r="G116" s="126" t="str">
        <f t="shared" si="4"/>
        <v>MEP-T01-07-9</v>
      </c>
      <c r="H116" s="122" t="s">
        <v>421</v>
      </c>
      <c r="I116" s="120">
        <v>1</v>
      </c>
      <c r="J116" s="128" t="s">
        <v>310</v>
      </c>
    </row>
    <row r="117" spans="2:10" s="18" customFormat="1" ht="12.75" hidden="1" customHeight="1" outlineLevel="1">
      <c r="B117" s="118" t="s">
        <v>17438</v>
      </c>
      <c r="C117" s="307" t="s">
        <v>17504</v>
      </c>
      <c r="D117" s="119" t="s">
        <v>17505</v>
      </c>
      <c r="E117" s="46"/>
      <c r="F117" s="118" t="s">
        <v>63</v>
      </c>
      <c r="G117" s="126" t="str">
        <f t="shared" si="4"/>
        <v>MEP-T01-07-9</v>
      </c>
      <c r="H117" s="122" t="s">
        <v>421</v>
      </c>
      <c r="I117" s="120">
        <v>1</v>
      </c>
      <c r="J117" s="128" t="s">
        <v>286</v>
      </c>
    </row>
    <row r="118" spans="2:10" s="18" customFormat="1" ht="12.75" hidden="1" customHeight="1" outlineLevel="1">
      <c r="B118" s="118" t="s">
        <v>17438</v>
      </c>
      <c r="C118" s="307" t="s">
        <v>17506</v>
      </c>
      <c r="D118" s="119" t="s">
        <v>17507</v>
      </c>
      <c r="E118" s="46"/>
      <c r="F118" s="118" t="s">
        <v>63</v>
      </c>
      <c r="G118" s="126" t="str">
        <f t="shared" si="4"/>
        <v>MEP-T01-07-9</v>
      </c>
      <c r="H118" s="122" t="s">
        <v>421</v>
      </c>
      <c r="I118" s="120">
        <v>1</v>
      </c>
      <c r="J118" s="128" t="s">
        <v>286</v>
      </c>
    </row>
    <row r="119" spans="2:10" s="18" customFormat="1" ht="12.75" hidden="1" customHeight="1" outlineLevel="1">
      <c r="B119" s="118" t="s">
        <v>17438</v>
      </c>
      <c r="C119" s="307" t="s">
        <v>17508</v>
      </c>
      <c r="D119" s="119" t="s">
        <v>17509</v>
      </c>
      <c r="E119" s="46"/>
      <c r="F119" s="118" t="s">
        <v>63</v>
      </c>
      <c r="G119" s="126" t="str">
        <f t="shared" si="4"/>
        <v>MEP-T01-07-9</v>
      </c>
      <c r="H119" s="122" t="s">
        <v>421</v>
      </c>
      <c r="I119" s="120">
        <v>1</v>
      </c>
      <c r="J119" s="128" t="s">
        <v>286</v>
      </c>
    </row>
    <row r="120" spans="2:10" s="18" customFormat="1" ht="12.75" hidden="1" customHeight="1" outlineLevel="1">
      <c r="B120" s="118" t="s">
        <v>17438</v>
      </c>
      <c r="C120" s="307" t="s">
        <v>17510</v>
      </c>
      <c r="D120" s="119" t="s">
        <v>17511</v>
      </c>
      <c r="E120" s="46"/>
      <c r="F120" s="118" t="s">
        <v>63</v>
      </c>
      <c r="G120" s="126" t="str">
        <f t="shared" si="4"/>
        <v>MEP-T01-07-9</v>
      </c>
      <c r="H120" s="122" t="s">
        <v>421</v>
      </c>
      <c r="I120" s="120">
        <v>1</v>
      </c>
      <c r="J120" s="128" t="s">
        <v>286</v>
      </c>
    </row>
    <row r="121" spans="2:10" ht="12.75" hidden="1" customHeight="1" outlineLevel="1">
      <c r="B121" s="118" t="s">
        <v>17438</v>
      </c>
      <c r="C121" s="307" t="s">
        <v>17512</v>
      </c>
      <c r="D121" s="124" t="s">
        <v>17513</v>
      </c>
      <c r="E121" s="125"/>
      <c r="F121" s="118" t="s">
        <v>63</v>
      </c>
      <c r="G121" s="126" t="str">
        <f t="shared" si="4"/>
        <v>MEP-T01-07-9</v>
      </c>
      <c r="H121" s="127" t="s">
        <v>421</v>
      </c>
      <c r="I121" s="128">
        <v>1</v>
      </c>
      <c r="J121" s="128" t="s">
        <v>286</v>
      </c>
    </row>
    <row r="122" spans="2:10" ht="12.75" hidden="1" customHeight="1" outlineLevel="1">
      <c r="B122" s="118" t="s">
        <v>17394</v>
      </c>
      <c r="C122" s="307" t="s">
        <v>17514</v>
      </c>
      <c r="D122" s="124" t="s">
        <v>17515</v>
      </c>
      <c r="E122" s="125"/>
      <c r="F122" s="118" t="s">
        <v>63</v>
      </c>
      <c r="G122" s="126" t="str">
        <f t="shared" ref="G122:G126" si="9">CONCATENATE("MEP-",F122,"-",H122)</f>
        <v>MEP-T01-07-9</v>
      </c>
      <c r="H122" s="127" t="s">
        <v>421</v>
      </c>
      <c r="I122" s="128">
        <v>1</v>
      </c>
      <c r="J122" s="128" t="s">
        <v>286</v>
      </c>
    </row>
    <row r="123" spans="2:10" ht="12.75" hidden="1" customHeight="1" outlineLevel="1">
      <c r="B123" s="118" t="s">
        <v>17394</v>
      </c>
      <c r="C123" s="307" t="s">
        <v>17516</v>
      </c>
      <c r="D123" s="124" t="s">
        <v>17517</v>
      </c>
      <c r="E123" s="125"/>
      <c r="F123" s="118" t="s">
        <v>63</v>
      </c>
      <c r="G123" s="126" t="str">
        <f t="shared" si="9"/>
        <v>MEP-T01-07-9</v>
      </c>
      <c r="H123" s="127" t="s">
        <v>421</v>
      </c>
      <c r="I123" s="128">
        <v>1</v>
      </c>
      <c r="J123" s="128" t="s">
        <v>286</v>
      </c>
    </row>
    <row r="124" spans="2:10" ht="12.75" hidden="1" customHeight="1" outlineLevel="1">
      <c r="B124" s="118" t="s">
        <v>17394</v>
      </c>
      <c r="C124" s="307" t="s">
        <v>17518</v>
      </c>
      <c r="D124" s="124" t="s">
        <v>17519</v>
      </c>
      <c r="E124" s="125"/>
      <c r="F124" s="118" t="s">
        <v>63</v>
      </c>
      <c r="G124" s="126" t="str">
        <f t="shared" si="9"/>
        <v>MEP-T01-07-9</v>
      </c>
      <c r="H124" s="127" t="s">
        <v>421</v>
      </c>
      <c r="I124" s="128">
        <v>1</v>
      </c>
      <c r="J124" s="128" t="s">
        <v>286</v>
      </c>
    </row>
    <row r="125" spans="2:10" ht="12.75" hidden="1" customHeight="1" outlineLevel="1">
      <c r="B125" s="118" t="s">
        <v>17394</v>
      </c>
      <c r="C125" s="307" t="s">
        <v>17520</v>
      </c>
      <c r="D125" s="124" t="s">
        <v>17521</v>
      </c>
      <c r="E125" s="125"/>
      <c r="F125" s="118" t="s">
        <v>63</v>
      </c>
      <c r="G125" s="126" t="str">
        <f t="shared" si="9"/>
        <v>MEP-T01-07-1</v>
      </c>
      <c r="H125" s="127" t="s">
        <v>304</v>
      </c>
      <c r="I125" s="128">
        <v>1</v>
      </c>
      <c r="J125" s="128" t="s">
        <v>286</v>
      </c>
    </row>
    <row r="126" spans="2:10" ht="12.75" hidden="1" customHeight="1" outlineLevel="1">
      <c r="B126" s="118" t="s">
        <v>17394</v>
      </c>
      <c r="C126" s="307" t="s">
        <v>17346</v>
      </c>
      <c r="D126" s="124" t="s">
        <v>17347</v>
      </c>
      <c r="E126" s="125"/>
      <c r="F126" s="118" t="s">
        <v>63</v>
      </c>
      <c r="G126" s="126" t="str">
        <f t="shared" si="9"/>
        <v>MEP-T01-07-1</v>
      </c>
      <c r="H126" s="127" t="s">
        <v>304</v>
      </c>
      <c r="I126" s="128">
        <v>1</v>
      </c>
      <c r="J126" s="128" t="s">
        <v>310</v>
      </c>
    </row>
    <row r="127" spans="2:10" ht="12.75" hidden="1" customHeight="1" outlineLevel="1">
      <c r="B127" s="118" t="s">
        <v>17394</v>
      </c>
      <c r="C127" s="307" t="s">
        <v>17522</v>
      </c>
      <c r="D127" s="124" t="s">
        <v>17523</v>
      </c>
      <c r="E127" s="125"/>
      <c r="F127" s="118" t="s">
        <v>63</v>
      </c>
      <c r="G127" s="126" t="str">
        <f t="shared" ref="G127:G140" si="10">CONCATENATE("MEP-",F127,"-",H127)</f>
        <v>MEP-T01-07-4</v>
      </c>
      <c r="H127" s="127" t="s">
        <v>292</v>
      </c>
      <c r="I127" s="128">
        <v>1</v>
      </c>
      <c r="J127" s="128" t="s">
        <v>286</v>
      </c>
    </row>
    <row r="128" spans="2:10" ht="12.75" hidden="1" customHeight="1" outlineLevel="1">
      <c r="B128" s="118" t="s">
        <v>17394</v>
      </c>
      <c r="C128" s="307" t="s">
        <v>17524</v>
      </c>
      <c r="D128" s="124" t="s">
        <v>17525</v>
      </c>
      <c r="E128" s="125"/>
      <c r="F128" s="118" t="s">
        <v>63</v>
      </c>
      <c r="G128" s="126" t="str">
        <f t="shared" si="10"/>
        <v>MEP-T01-07-4</v>
      </c>
      <c r="H128" s="127" t="s">
        <v>292</v>
      </c>
      <c r="I128" s="128">
        <v>1</v>
      </c>
      <c r="J128" s="128" t="s">
        <v>286</v>
      </c>
    </row>
    <row r="129" spans="1:10" ht="12.75" hidden="1" customHeight="1" outlineLevel="1">
      <c r="B129" s="118" t="s">
        <v>17394</v>
      </c>
      <c r="C129" s="307" t="s">
        <v>17526</v>
      </c>
      <c r="D129" s="124" t="s">
        <v>17527</v>
      </c>
      <c r="E129" s="125"/>
      <c r="F129" s="118" t="s">
        <v>63</v>
      </c>
      <c r="G129" s="126" t="str">
        <f t="shared" si="10"/>
        <v>MEP-T01-07-4</v>
      </c>
      <c r="H129" s="127" t="s">
        <v>292</v>
      </c>
      <c r="I129" s="128">
        <v>1</v>
      </c>
      <c r="J129" s="128" t="s">
        <v>286</v>
      </c>
    </row>
    <row r="130" spans="1:10" ht="12.75" hidden="1" customHeight="1" outlineLevel="1">
      <c r="B130" s="118" t="s">
        <v>17394</v>
      </c>
      <c r="C130" s="307" t="s">
        <v>17528</v>
      </c>
      <c r="D130" s="124" t="s">
        <v>17529</v>
      </c>
      <c r="E130" s="125"/>
      <c r="F130" s="118" t="s">
        <v>63</v>
      </c>
      <c r="G130" s="126" t="str">
        <f t="shared" si="10"/>
        <v>MEP-T01-07-4</v>
      </c>
      <c r="H130" s="127" t="s">
        <v>292</v>
      </c>
      <c r="I130" s="128">
        <v>1</v>
      </c>
      <c r="J130" s="128" t="s">
        <v>286</v>
      </c>
    </row>
    <row r="131" spans="1:10" ht="12.75" hidden="1" customHeight="1" outlineLevel="1">
      <c r="B131" s="118" t="s">
        <v>17394</v>
      </c>
      <c r="C131" s="307" t="s">
        <v>17530</v>
      </c>
      <c r="D131" s="124" t="s">
        <v>17531</v>
      </c>
      <c r="E131" s="125"/>
      <c r="F131" s="118" t="s">
        <v>63</v>
      </c>
      <c r="G131" s="126" t="str">
        <f t="shared" si="10"/>
        <v>MEP-T01-07-4</v>
      </c>
      <c r="H131" s="127" t="s">
        <v>292</v>
      </c>
      <c r="I131" s="128">
        <v>1</v>
      </c>
      <c r="J131" s="128" t="s">
        <v>286</v>
      </c>
    </row>
    <row r="132" spans="1:10" ht="12.75" hidden="1" customHeight="1" outlineLevel="1">
      <c r="B132" s="118" t="s">
        <v>17394</v>
      </c>
      <c r="C132" s="307" t="s">
        <v>17532</v>
      </c>
      <c r="D132" s="124" t="s">
        <v>17533</v>
      </c>
      <c r="E132" s="125"/>
      <c r="F132" s="118" t="s">
        <v>63</v>
      </c>
      <c r="G132" s="126" t="str">
        <f t="shared" si="10"/>
        <v>MEP-T01-07-4</v>
      </c>
      <c r="H132" s="127" t="s">
        <v>292</v>
      </c>
      <c r="I132" s="128">
        <v>1</v>
      </c>
      <c r="J132" s="128" t="s">
        <v>286</v>
      </c>
    </row>
    <row r="133" spans="1:10" ht="12.75" hidden="1" customHeight="1" outlineLevel="1">
      <c r="B133" s="118" t="s">
        <v>17394</v>
      </c>
      <c r="C133" s="307" t="s">
        <v>17534</v>
      </c>
      <c r="D133" s="124" t="s">
        <v>17417</v>
      </c>
      <c r="E133" s="125"/>
      <c r="F133" s="118" t="s">
        <v>63</v>
      </c>
      <c r="G133" s="126" t="str">
        <f t="shared" si="10"/>
        <v>MEP-T01-07-4</v>
      </c>
      <c r="H133" s="127" t="s">
        <v>292</v>
      </c>
      <c r="I133" s="128">
        <v>1</v>
      </c>
      <c r="J133" s="128" t="s">
        <v>286</v>
      </c>
    </row>
    <row r="134" spans="1:10" ht="12.75" hidden="1" customHeight="1" outlineLevel="1">
      <c r="B134" s="118" t="s">
        <v>17394</v>
      </c>
      <c r="C134" s="307" t="s">
        <v>17492</v>
      </c>
      <c r="D134" s="124" t="s">
        <v>3440</v>
      </c>
      <c r="E134" s="125"/>
      <c r="F134" s="118" t="s">
        <v>63</v>
      </c>
      <c r="G134" s="126" t="str">
        <f t="shared" si="10"/>
        <v>MEP-T01-07-8</v>
      </c>
      <c r="H134" s="127" t="s">
        <v>410</v>
      </c>
      <c r="I134" s="128">
        <v>1</v>
      </c>
      <c r="J134" s="128" t="s">
        <v>286</v>
      </c>
    </row>
    <row r="135" spans="1:10" ht="12.75" hidden="1" customHeight="1" outlineLevel="1">
      <c r="B135" s="118" t="s">
        <v>17405</v>
      </c>
      <c r="C135" s="307" t="s">
        <v>17493</v>
      </c>
      <c r="D135" s="124" t="s">
        <v>3440</v>
      </c>
      <c r="E135" s="125"/>
      <c r="F135" s="118" t="s">
        <v>63</v>
      </c>
      <c r="G135" s="126" t="str">
        <f t="shared" si="10"/>
        <v>MEP-T01-07-8</v>
      </c>
      <c r="H135" s="127" t="s">
        <v>410</v>
      </c>
      <c r="I135" s="128">
        <v>1</v>
      </c>
      <c r="J135" s="128" t="s">
        <v>286</v>
      </c>
    </row>
    <row r="136" spans="1:10" ht="12.75" hidden="1" customHeight="1" outlineLevel="1">
      <c r="B136" s="118" t="s">
        <v>17394</v>
      </c>
      <c r="C136" s="307" t="s">
        <v>17494</v>
      </c>
      <c r="D136" s="124" t="s">
        <v>3443</v>
      </c>
      <c r="E136" s="125"/>
      <c r="F136" s="118" t="s">
        <v>63</v>
      </c>
      <c r="G136" s="126" t="str">
        <f t="shared" si="10"/>
        <v>MEP-T01-07-8</v>
      </c>
      <c r="H136" s="127" t="s">
        <v>410</v>
      </c>
      <c r="I136" s="128">
        <v>1</v>
      </c>
      <c r="J136" s="128" t="s">
        <v>286</v>
      </c>
    </row>
    <row r="137" spans="1:10" ht="12.75" hidden="1" customHeight="1" outlineLevel="1">
      <c r="A137" s="123"/>
      <c r="B137" s="118" t="s">
        <v>17394</v>
      </c>
      <c r="C137" s="307" t="s">
        <v>17495</v>
      </c>
      <c r="D137" s="124" t="s">
        <v>3443</v>
      </c>
      <c r="E137" s="125"/>
      <c r="F137" s="118" t="s">
        <v>63</v>
      </c>
      <c r="G137" s="126" t="str">
        <f t="shared" si="10"/>
        <v>MEP-T01-07-8</v>
      </c>
      <c r="H137" s="127" t="s">
        <v>410</v>
      </c>
      <c r="I137" s="128">
        <v>1</v>
      </c>
      <c r="J137" s="128" t="s">
        <v>286</v>
      </c>
    </row>
    <row r="138" spans="1:10" ht="12.75" hidden="1" customHeight="1" outlineLevel="1">
      <c r="A138" s="123"/>
      <c r="B138" s="118" t="s">
        <v>17405</v>
      </c>
      <c r="C138" s="307" t="s">
        <v>17497</v>
      </c>
      <c r="D138" s="124" t="s">
        <v>3445</v>
      </c>
      <c r="E138" s="125"/>
      <c r="F138" s="118" t="s">
        <v>63</v>
      </c>
      <c r="G138" s="126" t="str">
        <f t="shared" si="10"/>
        <v>MEP-T01-07-8</v>
      </c>
      <c r="H138" s="127" t="s">
        <v>410</v>
      </c>
      <c r="I138" s="128">
        <v>1</v>
      </c>
      <c r="J138" s="128" t="s">
        <v>286</v>
      </c>
    </row>
    <row r="139" spans="1:10" ht="12.75" hidden="1" customHeight="1" outlineLevel="1">
      <c r="A139" s="123"/>
      <c r="B139" s="118" t="s">
        <v>17405</v>
      </c>
      <c r="C139" s="307" t="s">
        <v>17535</v>
      </c>
      <c r="D139" s="124" t="s">
        <v>17536</v>
      </c>
      <c r="E139" s="125"/>
      <c r="F139" s="118" t="s">
        <v>63</v>
      </c>
      <c r="G139" s="126" t="str">
        <f t="shared" si="10"/>
        <v>MEP-T01-07-8</v>
      </c>
      <c r="H139" s="127" t="s">
        <v>410</v>
      </c>
      <c r="I139" s="128">
        <v>1</v>
      </c>
      <c r="J139" s="128" t="s">
        <v>286</v>
      </c>
    </row>
    <row r="140" spans="1:10" ht="12.75" hidden="1" customHeight="1" outlineLevel="1">
      <c r="A140" s="123"/>
      <c r="B140" s="118" t="s">
        <v>17405</v>
      </c>
      <c r="C140" s="307" t="s">
        <v>17498</v>
      </c>
      <c r="D140" s="124" t="s">
        <v>3447</v>
      </c>
      <c r="E140" s="125"/>
      <c r="F140" s="118" t="s">
        <v>63</v>
      </c>
      <c r="G140" s="126" t="str">
        <f t="shared" si="10"/>
        <v>MEP-T01-07-8</v>
      </c>
      <c r="H140" s="127" t="s">
        <v>410</v>
      </c>
      <c r="I140" s="120">
        <v>1</v>
      </c>
      <c r="J140" s="128" t="s">
        <v>286</v>
      </c>
    </row>
    <row r="141" spans="1:10" ht="12.75" hidden="1" customHeight="1" outlineLevel="1">
      <c r="A141" s="123"/>
      <c r="B141" s="118" t="s">
        <v>17405</v>
      </c>
      <c r="C141" s="307" t="s">
        <v>17499</v>
      </c>
      <c r="D141" s="124" t="s">
        <v>3447</v>
      </c>
      <c r="E141" s="125"/>
      <c r="F141" s="118" t="s">
        <v>63</v>
      </c>
      <c r="G141" s="126" t="str">
        <f t="shared" ref="G141" si="11">CONCATENATE("MEP-",F141,"-",H141)</f>
        <v>MEP-T01-07-8</v>
      </c>
      <c r="H141" s="127" t="s">
        <v>410</v>
      </c>
      <c r="I141" s="128">
        <v>1</v>
      </c>
      <c r="J141" s="128" t="s">
        <v>286</v>
      </c>
    </row>
    <row r="142" spans="1:10" ht="3" customHeight="1">
      <c r="A142" s="123"/>
      <c r="B142" s="118"/>
      <c r="C142" s="307"/>
      <c r="D142" s="124"/>
      <c r="E142" s="125"/>
      <c r="F142" s="118"/>
      <c r="G142" s="132"/>
      <c r="H142" s="127"/>
    </row>
    <row r="143" spans="1:10" s="18" customFormat="1" ht="12.75" customHeight="1" collapsed="1">
      <c r="A143" s="110" t="s">
        <v>17537</v>
      </c>
      <c r="B143" s="118"/>
      <c r="C143" s="307"/>
      <c r="D143" s="124"/>
      <c r="E143" s="46"/>
      <c r="F143" s="41" t="s">
        <v>261</v>
      </c>
      <c r="G143" s="41" t="s">
        <v>262</v>
      </c>
      <c r="H143" s="42" t="s">
        <v>263</v>
      </c>
      <c r="I143" s="120"/>
    </row>
    <row r="144" spans="1:10" s="18" customFormat="1" ht="12.75" hidden="1" customHeight="1" outlineLevel="1">
      <c r="A144" s="110"/>
      <c r="B144" s="118"/>
      <c r="C144" s="307"/>
      <c r="D144" s="124"/>
      <c r="E144" s="46"/>
      <c r="F144" s="41"/>
      <c r="G144" s="41"/>
      <c r="H144" s="42"/>
      <c r="I144" s="120"/>
    </row>
    <row r="145" spans="1:18" s="18" customFormat="1" ht="12.75" hidden="1" customHeight="1" outlineLevel="1">
      <c r="A145" s="110"/>
      <c r="B145" s="118" t="s">
        <v>17343</v>
      </c>
      <c r="C145" s="307" t="s">
        <v>17538</v>
      </c>
      <c r="D145" s="124" t="s">
        <v>17539</v>
      </c>
      <c r="E145" s="46"/>
      <c r="F145" s="118" t="s">
        <v>17540</v>
      </c>
      <c r="G145" s="126" t="str">
        <f t="shared" ref="G145:G208" si="12">CONCATENATE("MEP-",F145,"-",H145)</f>
        <v>MEP-T2V-6V-1</v>
      </c>
      <c r="H145" s="127" t="s">
        <v>304</v>
      </c>
      <c r="I145" s="120">
        <v>1</v>
      </c>
      <c r="J145" s="128" t="s">
        <v>286</v>
      </c>
    </row>
    <row r="146" spans="1:18" s="18" customFormat="1" ht="12.75" hidden="1" customHeight="1" outlineLevel="1">
      <c r="A146" s="110"/>
      <c r="B146" s="118" t="s">
        <v>17343</v>
      </c>
      <c r="C146" s="307" t="s">
        <v>17541</v>
      </c>
      <c r="D146" s="124" t="s">
        <v>17542</v>
      </c>
      <c r="E146" s="46"/>
      <c r="F146" s="118" t="s">
        <v>17540</v>
      </c>
      <c r="G146" s="126" t="str">
        <f t="shared" si="12"/>
        <v>MEP-T2V-6V-1</v>
      </c>
      <c r="H146" s="127" t="s">
        <v>304</v>
      </c>
      <c r="I146" s="120">
        <v>1</v>
      </c>
      <c r="J146" s="128" t="s">
        <v>286</v>
      </c>
    </row>
    <row r="147" spans="1:18" s="18" customFormat="1" ht="12.75" hidden="1" customHeight="1" outlineLevel="1">
      <c r="A147" s="110"/>
      <c r="B147" s="118" t="s">
        <v>17343</v>
      </c>
      <c r="C147" s="307" t="s">
        <v>17543</v>
      </c>
      <c r="D147" s="124" t="s">
        <v>17542</v>
      </c>
      <c r="E147" s="46"/>
      <c r="F147" s="118" t="s">
        <v>17540</v>
      </c>
      <c r="G147" s="126" t="str">
        <f t="shared" si="12"/>
        <v>MEP-T2V-6V-1</v>
      </c>
      <c r="H147" s="127" t="s">
        <v>304</v>
      </c>
      <c r="I147" s="120">
        <v>1</v>
      </c>
      <c r="J147" s="128" t="s">
        <v>286</v>
      </c>
    </row>
    <row r="148" spans="1:18" s="18" customFormat="1" ht="12.75" hidden="1" customHeight="1" outlineLevel="1">
      <c r="A148" s="110"/>
      <c r="B148" s="118" t="s">
        <v>17343</v>
      </c>
      <c r="C148" s="307" t="s">
        <v>17544</v>
      </c>
      <c r="D148" s="124" t="s">
        <v>17545</v>
      </c>
      <c r="E148" s="46"/>
      <c r="F148" s="118" t="s">
        <v>17540</v>
      </c>
      <c r="G148" s="126" t="str">
        <f t="shared" si="12"/>
        <v>MEP-T2V-6V-1</v>
      </c>
      <c r="H148" s="127" t="s">
        <v>304</v>
      </c>
      <c r="I148" s="129">
        <v>1</v>
      </c>
      <c r="J148" s="128" t="s">
        <v>286</v>
      </c>
    </row>
    <row r="149" spans="1:18" s="18" customFormat="1" ht="12.75" hidden="1" customHeight="1" outlineLevel="1">
      <c r="A149" s="110"/>
      <c r="B149" s="118" t="s">
        <v>17343</v>
      </c>
      <c r="C149" s="307" t="s">
        <v>17546</v>
      </c>
      <c r="D149" s="124" t="s">
        <v>17545</v>
      </c>
      <c r="E149" s="46"/>
      <c r="F149" s="118" t="s">
        <v>17540</v>
      </c>
      <c r="G149" s="126" t="str">
        <f t="shared" si="12"/>
        <v>MEP-T2V-6V-1</v>
      </c>
      <c r="H149" s="127" t="s">
        <v>304</v>
      </c>
      <c r="I149" s="129">
        <v>1</v>
      </c>
      <c r="J149" s="128" t="s">
        <v>286</v>
      </c>
    </row>
    <row r="150" spans="1:18" s="18" customFormat="1" ht="12.75" hidden="1" customHeight="1" outlineLevel="1">
      <c r="A150" s="110"/>
      <c r="B150" s="118" t="s">
        <v>17343</v>
      </c>
      <c r="C150" s="307" t="s">
        <v>17547</v>
      </c>
      <c r="D150" s="124" t="s">
        <v>17548</v>
      </c>
      <c r="E150" s="46"/>
      <c r="F150" s="118" t="s">
        <v>17540</v>
      </c>
      <c r="G150" s="126" t="str">
        <f t="shared" si="12"/>
        <v>MEP-T2V-6V-1</v>
      </c>
      <c r="H150" s="122" t="s">
        <v>304</v>
      </c>
      <c r="I150" s="129">
        <v>1</v>
      </c>
      <c r="J150" s="128" t="s">
        <v>286</v>
      </c>
      <c r="K150" s="129"/>
      <c r="L150" s="129"/>
    </row>
    <row r="151" spans="1:18" s="18" customFormat="1" ht="12.75" hidden="1" customHeight="1" outlineLevel="1">
      <c r="A151" s="110"/>
      <c r="B151" s="118" t="s">
        <v>17343</v>
      </c>
      <c r="C151" s="307" t="s">
        <v>17549</v>
      </c>
      <c r="D151" s="124" t="s">
        <v>17548</v>
      </c>
      <c r="E151" s="46"/>
      <c r="F151" s="118" t="s">
        <v>17540</v>
      </c>
      <c r="G151" s="126" t="str">
        <f t="shared" si="12"/>
        <v>MEP-T2V-6V-1</v>
      </c>
      <c r="H151" s="122" t="s">
        <v>304</v>
      </c>
      <c r="I151" s="120">
        <v>1</v>
      </c>
      <c r="J151" s="128" t="s">
        <v>286</v>
      </c>
      <c r="K151" s="120"/>
      <c r="L151" s="129"/>
    </row>
    <row r="152" spans="1:18" s="18" customFormat="1" ht="12.75" hidden="1" customHeight="1" outlineLevel="1">
      <c r="A152" s="110"/>
      <c r="B152" s="118" t="s">
        <v>17343</v>
      </c>
      <c r="C152" s="307" t="s">
        <v>17550</v>
      </c>
      <c r="D152" s="124" t="s">
        <v>17551</v>
      </c>
      <c r="E152" s="46"/>
      <c r="F152" s="118" t="s">
        <v>17540</v>
      </c>
      <c r="G152" s="126" t="str">
        <f t="shared" si="12"/>
        <v>MEP-T2V-6V-4</v>
      </c>
      <c r="H152" s="122" t="s">
        <v>292</v>
      </c>
      <c r="I152" s="120">
        <v>1</v>
      </c>
      <c r="J152" s="120" t="s">
        <v>286</v>
      </c>
      <c r="K152" s="129"/>
      <c r="L152" s="129"/>
    </row>
    <row r="153" spans="1:18" s="18" customFormat="1" ht="12.75" hidden="1" customHeight="1" outlineLevel="1">
      <c r="A153" s="110"/>
      <c r="B153" s="118" t="s">
        <v>17343</v>
      </c>
      <c r="C153" s="307" t="s">
        <v>17552</v>
      </c>
      <c r="D153" s="124" t="s">
        <v>17553</v>
      </c>
      <c r="E153" s="46"/>
      <c r="F153" s="118" t="s">
        <v>17540</v>
      </c>
      <c r="G153" s="126" t="str">
        <f t="shared" si="12"/>
        <v>MEP-T2V-6V-4</v>
      </c>
      <c r="H153" s="122" t="s">
        <v>292</v>
      </c>
      <c r="I153" s="129">
        <v>1</v>
      </c>
      <c r="J153" s="128" t="s">
        <v>286</v>
      </c>
      <c r="K153" s="129"/>
      <c r="L153" s="129"/>
    </row>
    <row r="154" spans="1:18" s="18" customFormat="1" ht="12.75" hidden="1" customHeight="1" outlineLevel="1">
      <c r="A154" s="110"/>
      <c r="B154" s="118" t="s">
        <v>17343</v>
      </c>
      <c r="C154" s="307" t="s">
        <v>17554</v>
      </c>
      <c r="D154" s="124" t="s">
        <v>17555</v>
      </c>
      <c r="E154" s="46"/>
      <c r="F154" s="118" t="s">
        <v>17540</v>
      </c>
      <c r="G154" s="126" t="str">
        <f t="shared" si="12"/>
        <v>MEP-T2V-6V-4</v>
      </c>
      <c r="H154" s="122" t="s">
        <v>292</v>
      </c>
      <c r="I154" s="129">
        <v>1</v>
      </c>
      <c r="J154" s="128" t="s">
        <v>286</v>
      </c>
      <c r="K154" s="129"/>
      <c r="L154" s="129"/>
    </row>
    <row r="155" spans="1:18" s="18" customFormat="1" ht="12.75" hidden="1" customHeight="1" outlineLevel="1">
      <c r="A155" s="110"/>
      <c r="B155" s="118" t="s">
        <v>17343</v>
      </c>
      <c r="C155" s="307" t="s">
        <v>17556</v>
      </c>
      <c r="D155" s="124" t="s">
        <v>17557</v>
      </c>
      <c r="E155" s="46"/>
      <c r="F155" s="118" t="s">
        <v>17540</v>
      </c>
      <c r="G155" s="126" t="str">
        <f t="shared" si="12"/>
        <v>MEP-T2V-6V-4</v>
      </c>
      <c r="H155" s="122" t="s">
        <v>292</v>
      </c>
      <c r="I155" s="129">
        <v>1</v>
      </c>
      <c r="J155" s="128" t="s">
        <v>286</v>
      </c>
      <c r="K155" s="129"/>
      <c r="L155" s="129"/>
    </row>
    <row r="156" spans="1:18" s="18" customFormat="1" ht="12.75" hidden="1" customHeight="1" outlineLevel="1">
      <c r="A156" s="110"/>
      <c r="B156" s="118" t="s">
        <v>17343</v>
      </c>
      <c r="C156" s="307" t="s">
        <v>17558</v>
      </c>
      <c r="D156" s="124" t="s">
        <v>17559</v>
      </c>
      <c r="E156" s="46"/>
      <c r="F156" s="118" t="s">
        <v>17540</v>
      </c>
      <c r="G156" s="126" t="str">
        <f t="shared" si="12"/>
        <v>MEP-T2V-6V-4</v>
      </c>
      <c r="H156" s="122" t="s">
        <v>292</v>
      </c>
      <c r="I156" s="129">
        <v>1</v>
      </c>
      <c r="J156" s="128" t="s">
        <v>286</v>
      </c>
      <c r="K156" s="129"/>
      <c r="L156" s="129"/>
    </row>
    <row r="157" spans="1:18" s="18" customFormat="1" ht="12.75" hidden="1" customHeight="1" outlineLevel="1">
      <c r="A157" s="110"/>
      <c r="B157" s="118" t="s">
        <v>17343</v>
      </c>
      <c r="C157" s="307" t="s">
        <v>17560</v>
      </c>
      <c r="D157" s="124" t="s">
        <v>17561</v>
      </c>
      <c r="E157" s="46"/>
      <c r="F157" s="118" t="s">
        <v>17540</v>
      </c>
      <c r="G157" s="126" t="str">
        <f t="shared" si="12"/>
        <v>MEP-T2V-6V-4</v>
      </c>
      <c r="H157" s="122" t="s">
        <v>292</v>
      </c>
      <c r="I157" s="129">
        <v>1</v>
      </c>
      <c r="J157" s="128" t="s">
        <v>286</v>
      </c>
      <c r="K157" s="129"/>
      <c r="L157" s="129"/>
    </row>
    <row r="158" spans="1:18" s="18" customFormat="1" ht="12.75" hidden="1" customHeight="1" outlineLevel="1">
      <c r="A158" s="110"/>
      <c r="B158" s="118" t="s">
        <v>17343</v>
      </c>
      <c r="C158" s="307" t="s">
        <v>17562</v>
      </c>
      <c r="D158" s="124" t="s">
        <v>17563</v>
      </c>
      <c r="E158" s="46"/>
      <c r="F158" s="118" t="s">
        <v>17540</v>
      </c>
      <c r="G158" s="126" t="str">
        <f t="shared" si="12"/>
        <v>MEP-T2V-6V-4</v>
      </c>
      <c r="H158" s="122" t="s">
        <v>292</v>
      </c>
      <c r="I158" s="129">
        <v>1</v>
      </c>
      <c r="J158" s="128" t="s">
        <v>286</v>
      </c>
      <c r="K158" s="129"/>
      <c r="L158" s="129"/>
    </row>
    <row r="159" spans="1:18" s="250" customFormat="1" ht="12.75" hidden="1" customHeight="1" outlineLevel="1">
      <c r="A159" s="248"/>
      <c r="B159" s="310" t="s">
        <v>17343</v>
      </c>
      <c r="C159" s="311" t="s">
        <v>17564</v>
      </c>
      <c r="D159" s="312" t="s">
        <v>17565</v>
      </c>
      <c r="E159" s="310"/>
      <c r="F159" s="310" t="s">
        <v>17540</v>
      </c>
      <c r="G159" s="126" t="str">
        <f t="shared" si="12"/>
        <v>MEP-T2V-6V-4</v>
      </c>
      <c r="H159" s="313" t="s">
        <v>292</v>
      </c>
      <c r="I159" s="314">
        <v>1</v>
      </c>
      <c r="J159" s="314" t="s">
        <v>286</v>
      </c>
      <c r="K159" s="249"/>
      <c r="L159" s="249"/>
    </row>
    <row r="160" spans="1:18" s="250" customFormat="1" hidden="1" outlineLevel="1">
      <c r="A160" s="248"/>
      <c r="B160" s="310" t="s">
        <v>17343</v>
      </c>
      <c r="C160" s="311" t="s">
        <v>17566</v>
      </c>
      <c r="D160" s="312" t="s">
        <v>17567</v>
      </c>
      <c r="E160" s="310"/>
      <c r="F160" s="310" t="s">
        <v>17540</v>
      </c>
      <c r="G160" s="126" t="str">
        <f t="shared" si="12"/>
        <v>MEP-T2V-6V-4</v>
      </c>
      <c r="H160" s="313" t="s">
        <v>292</v>
      </c>
      <c r="I160" s="314">
        <v>1</v>
      </c>
      <c r="J160" s="314" t="s">
        <v>286</v>
      </c>
      <c r="K160" s="249"/>
      <c r="L160" s="249"/>
    </row>
    <row r="161" spans="1:12" s="18" customFormat="1" ht="12.75" hidden="1" customHeight="1" outlineLevel="1">
      <c r="A161" s="110"/>
      <c r="B161" s="118" t="s">
        <v>17343</v>
      </c>
      <c r="C161" s="307" t="s">
        <v>17568</v>
      </c>
      <c r="D161" s="124" t="s">
        <v>17569</v>
      </c>
      <c r="E161" s="46"/>
      <c r="F161" s="118" t="s">
        <v>17540</v>
      </c>
      <c r="G161" s="126" t="str">
        <f t="shared" si="12"/>
        <v>MEP-T2V-6V-4</v>
      </c>
      <c r="H161" s="122" t="s">
        <v>292</v>
      </c>
      <c r="I161" s="120">
        <v>1</v>
      </c>
      <c r="J161" s="128" t="s">
        <v>286</v>
      </c>
      <c r="K161" s="120"/>
      <c r="L161" s="129"/>
    </row>
    <row r="162" spans="1:12" s="18" customFormat="1" ht="12.75" hidden="1" customHeight="1" outlineLevel="1">
      <c r="B162" s="118" t="s">
        <v>17371</v>
      </c>
      <c r="C162" s="307" t="s">
        <v>17570</v>
      </c>
      <c r="D162" s="124" t="s">
        <v>17571</v>
      </c>
      <c r="E162" s="46"/>
      <c r="F162" s="118" t="s">
        <v>17540</v>
      </c>
      <c r="G162" s="126" t="str">
        <f t="shared" si="12"/>
        <v>MEP-T2V-6V-4</v>
      </c>
      <c r="H162" s="122" t="s">
        <v>292</v>
      </c>
      <c r="I162" s="120">
        <v>1</v>
      </c>
      <c r="J162" s="128" t="s">
        <v>286</v>
      </c>
    </row>
    <row r="163" spans="1:12" s="18" customFormat="1" ht="12.75" hidden="1" customHeight="1" outlineLevel="1">
      <c r="B163" s="118" t="s">
        <v>17371</v>
      </c>
      <c r="C163" s="307" t="s">
        <v>17572</v>
      </c>
      <c r="D163" s="124" t="s">
        <v>17573</v>
      </c>
      <c r="E163" s="46"/>
      <c r="F163" s="118" t="s">
        <v>17540</v>
      </c>
      <c r="G163" s="126" t="str">
        <f t="shared" si="12"/>
        <v>MEP-T2V-6V-4</v>
      </c>
      <c r="H163" s="122" t="s">
        <v>292</v>
      </c>
      <c r="I163" s="120">
        <v>1</v>
      </c>
      <c r="J163" s="128" t="s">
        <v>286</v>
      </c>
    </row>
    <row r="164" spans="1:12" s="18" customFormat="1" ht="12.75" hidden="1" customHeight="1" outlineLevel="1">
      <c r="B164" s="118" t="s">
        <v>17371</v>
      </c>
      <c r="C164" s="307" t="s">
        <v>17574</v>
      </c>
      <c r="D164" s="124" t="s">
        <v>17575</v>
      </c>
      <c r="E164" s="46"/>
      <c r="F164" s="118" t="s">
        <v>17540</v>
      </c>
      <c r="G164" s="126" t="str">
        <f t="shared" si="12"/>
        <v>MEP-T2V-6V-4</v>
      </c>
      <c r="H164" s="122" t="s">
        <v>292</v>
      </c>
      <c r="I164" s="120">
        <v>1</v>
      </c>
      <c r="J164" s="128" t="s">
        <v>286</v>
      </c>
    </row>
    <row r="165" spans="1:12" s="18" customFormat="1" ht="12.75" hidden="1" customHeight="1" outlineLevel="1">
      <c r="B165" s="118" t="s">
        <v>17371</v>
      </c>
      <c r="C165" s="307" t="s">
        <v>17576</v>
      </c>
      <c r="D165" s="124" t="s">
        <v>17577</v>
      </c>
      <c r="E165" s="46"/>
      <c r="F165" s="118" t="s">
        <v>17540</v>
      </c>
      <c r="G165" s="126" t="str">
        <f t="shared" si="12"/>
        <v>MEP-T2V-6V-4</v>
      </c>
      <c r="H165" s="122" t="s">
        <v>292</v>
      </c>
      <c r="I165" s="120">
        <v>1</v>
      </c>
      <c r="J165" s="128" t="s">
        <v>286</v>
      </c>
    </row>
    <row r="166" spans="1:12" s="18" customFormat="1" ht="12.75" hidden="1" customHeight="1" outlineLevel="1">
      <c r="B166" s="118" t="s">
        <v>17371</v>
      </c>
      <c r="C166" s="307" t="s">
        <v>17578</v>
      </c>
      <c r="D166" s="124" t="s">
        <v>17579</v>
      </c>
      <c r="E166" s="46"/>
      <c r="F166" s="118" t="s">
        <v>17540</v>
      </c>
      <c r="G166" s="126" t="str">
        <f t="shared" si="12"/>
        <v>MEP-T2V-6V-4</v>
      </c>
      <c r="H166" s="122" t="s">
        <v>292</v>
      </c>
      <c r="I166" s="120">
        <v>1</v>
      </c>
      <c r="J166" s="128" t="s">
        <v>286</v>
      </c>
    </row>
    <row r="167" spans="1:12" s="18" customFormat="1" ht="12.75" hidden="1" customHeight="1" outlineLevel="1">
      <c r="B167" s="118" t="s">
        <v>17371</v>
      </c>
      <c r="C167" s="307" t="s">
        <v>17580</v>
      </c>
      <c r="D167" s="124" t="s">
        <v>17581</v>
      </c>
      <c r="E167" s="46"/>
      <c r="F167" s="118" t="s">
        <v>17540</v>
      </c>
      <c r="G167" s="126" t="str">
        <f t="shared" si="12"/>
        <v>MEP-T2V-6V-4</v>
      </c>
      <c r="H167" s="122" t="s">
        <v>292</v>
      </c>
      <c r="I167" s="129">
        <v>1</v>
      </c>
      <c r="J167" s="128" t="s">
        <v>286</v>
      </c>
    </row>
    <row r="168" spans="1:12" s="18" customFormat="1" ht="12.75" hidden="1" customHeight="1" outlineLevel="1">
      <c r="B168" s="118" t="s">
        <v>17371</v>
      </c>
      <c r="C168" s="307" t="s">
        <v>17582</v>
      </c>
      <c r="D168" s="124" t="s">
        <v>17583</v>
      </c>
      <c r="E168" s="46"/>
      <c r="F168" s="118" t="s">
        <v>17540</v>
      </c>
      <c r="G168" s="126" t="str">
        <f t="shared" si="12"/>
        <v>MEP-T2V-6V-4</v>
      </c>
      <c r="H168" s="122" t="s">
        <v>292</v>
      </c>
      <c r="I168" s="120">
        <v>1</v>
      </c>
      <c r="J168" s="128" t="s">
        <v>286</v>
      </c>
    </row>
    <row r="169" spans="1:12" s="18" customFormat="1" ht="12.75" hidden="1" customHeight="1" outlineLevel="1">
      <c r="B169" s="118" t="s">
        <v>17371</v>
      </c>
      <c r="C169" s="307" t="s">
        <v>17584</v>
      </c>
      <c r="D169" s="124" t="s">
        <v>17585</v>
      </c>
      <c r="E169" s="46"/>
      <c r="F169" s="118" t="s">
        <v>17540</v>
      </c>
      <c r="G169" s="126" t="str">
        <f t="shared" si="12"/>
        <v>MEP-T2V-6V-4</v>
      </c>
      <c r="H169" s="122" t="s">
        <v>292</v>
      </c>
      <c r="I169" s="120">
        <v>1</v>
      </c>
      <c r="J169" s="128" t="s">
        <v>286</v>
      </c>
    </row>
    <row r="170" spans="1:12" s="18" customFormat="1" ht="12.75" hidden="1" customHeight="1" outlineLevel="1">
      <c r="B170" s="118" t="s">
        <v>17371</v>
      </c>
      <c r="C170" s="307" t="s">
        <v>17586</v>
      </c>
      <c r="D170" s="124" t="s">
        <v>17587</v>
      </c>
      <c r="E170" s="46"/>
      <c r="F170" s="118" t="s">
        <v>17540</v>
      </c>
      <c r="G170" s="126" t="str">
        <f t="shared" si="12"/>
        <v>MEP-T2V-6V-4</v>
      </c>
      <c r="H170" s="122" t="s">
        <v>292</v>
      </c>
      <c r="I170" s="120">
        <v>1</v>
      </c>
      <c r="J170" s="128" t="s">
        <v>286</v>
      </c>
    </row>
    <row r="171" spans="1:12" s="18" customFormat="1" ht="12.75" hidden="1" customHeight="1" outlineLevel="1">
      <c r="B171" s="118" t="s">
        <v>17371</v>
      </c>
      <c r="C171" s="307" t="s">
        <v>17588</v>
      </c>
      <c r="D171" s="124" t="s">
        <v>17589</v>
      </c>
      <c r="E171" s="46"/>
      <c r="F171" s="118" t="s">
        <v>17540</v>
      </c>
      <c r="G171" s="126" t="str">
        <f t="shared" si="12"/>
        <v>MEP-T2V-6V-4</v>
      </c>
      <c r="H171" s="122" t="s">
        <v>292</v>
      </c>
      <c r="I171" s="120">
        <v>1</v>
      </c>
      <c r="J171" s="128" t="s">
        <v>286</v>
      </c>
    </row>
    <row r="172" spans="1:12" s="18" customFormat="1" ht="12.75" hidden="1" customHeight="1" outlineLevel="1">
      <c r="B172" s="118" t="s">
        <v>17371</v>
      </c>
      <c r="C172" s="307" t="s">
        <v>17590</v>
      </c>
      <c r="D172" s="124" t="s">
        <v>17591</v>
      </c>
      <c r="E172" s="46"/>
      <c r="F172" s="118" t="s">
        <v>17540</v>
      </c>
      <c r="G172" s="126" t="str">
        <f t="shared" si="12"/>
        <v>MEP-T2V-6V-4</v>
      </c>
      <c r="H172" s="122" t="s">
        <v>292</v>
      </c>
      <c r="I172" s="120">
        <v>1</v>
      </c>
      <c r="J172" s="128" t="s">
        <v>286</v>
      </c>
    </row>
    <row r="173" spans="1:12" s="18" customFormat="1" ht="12.75" hidden="1" customHeight="1" outlineLevel="1">
      <c r="B173" s="118" t="s">
        <v>17371</v>
      </c>
      <c r="C173" s="307" t="s">
        <v>17592</v>
      </c>
      <c r="D173" s="124" t="s">
        <v>17593</v>
      </c>
      <c r="E173" s="46"/>
      <c r="F173" s="118" t="s">
        <v>17540</v>
      </c>
      <c r="G173" s="126" t="str">
        <f t="shared" si="12"/>
        <v>MEP-T2V-6V-4</v>
      </c>
      <c r="H173" s="122" t="s">
        <v>292</v>
      </c>
      <c r="I173" s="120">
        <v>1</v>
      </c>
      <c r="J173" s="128" t="s">
        <v>286</v>
      </c>
    </row>
    <row r="174" spans="1:12" s="18" customFormat="1" ht="12.75" hidden="1" customHeight="1" outlineLevel="1">
      <c r="B174" s="118" t="s">
        <v>17371</v>
      </c>
      <c r="C174" s="307" t="s">
        <v>17594</v>
      </c>
      <c r="D174" s="124" t="s">
        <v>17595</v>
      </c>
      <c r="E174" s="46"/>
      <c r="F174" s="118" t="s">
        <v>17540</v>
      </c>
      <c r="G174" s="126" t="str">
        <f t="shared" si="12"/>
        <v>MEP-T2V-6V-4</v>
      </c>
      <c r="H174" s="122" t="s">
        <v>292</v>
      </c>
      <c r="I174" s="120">
        <v>1</v>
      </c>
      <c r="J174" s="128" t="s">
        <v>286</v>
      </c>
    </row>
    <row r="175" spans="1:12" s="18" customFormat="1" ht="12.75" hidden="1" customHeight="1" outlineLevel="1">
      <c r="B175" s="118" t="s">
        <v>17371</v>
      </c>
      <c r="C175" s="307" t="s">
        <v>17596</v>
      </c>
      <c r="D175" s="124" t="s">
        <v>17597</v>
      </c>
      <c r="E175" s="46"/>
      <c r="F175" s="118" t="s">
        <v>17540</v>
      </c>
      <c r="G175" s="126" t="str">
        <f t="shared" si="12"/>
        <v>MEP-T2V-6V-4</v>
      </c>
      <c r="H175" s="122" t="s">
        <v>292</v>
      </c>
      <c r="I175" s="120">
        <v>1</v>
      </c>
      <c r="J175" s="128" t="s">
        <v>286</v>
      </c>
    </row>
    <row r="176" spans="1:12" s="18" customFormat="1" ht="12.75" hidden="1" customHeight="1" outlineLevel="1">
      <c r="B176" s="118" t="s">
        <v>17371</v>
      </c>
      <c r="C176" s="307" t="s">
        <v>17598</v>
      </c>
      <c r="D176" s="124" t="s">
        <v>17599</v>
      </c>
      <c r="E176" s="46"/>
      <c r="F176" s="118" t="s">
        <v>17540</v>
      </c>
      <c r="G176" s="126" t="str">
        <f t="shared" si="12"/>
        <v>MEP-T2V-6V-4</v>
      </c>
      <c r="H176" s="122" t="s">
        <v>292</v>
      </c>
      <c r="I176" s="120">
        <v>1</v>
      </c>
      <c r="J176" s="128" t="s">
        <v>286</v>
      </c>
    </row>
    <row r="177" spans="2:10" s="18" customFormat="1" ht="12.75" hidden="1" customHeight="1" outlineLevel="1">
      <c r="B177" s="118" t="s">
        <v>17371</v>
      </c>
      <c r="C177" s="307" t="s">
        <v>17600</v>
      </c>
      <c r="D177" s="124" t="s">
        <v>17601</v>
      </c>
      <c r="E177" s="46"/>
      <c r="F177" s="118" t="s">
        <v>17540</v>
      </c>
      <c r="G177" s="126" t="str">
        <f t="shared" si="12"/>
        <v>MEP-T2V-6V-4</v>
      </c>
      <c r="H177" s="122" t="s">
        <v>292</v>
      </c>
      <c r="I177" s="120">
        <v>1</v>
      </c>
      <c r="J177" s="128" t="s">
        <v>286</v>
      </c>
    </row>
    <row r="178" spans="2:10" s="18" customFormat="1" ht="12.75" hidden="1" customHeight="1" outlineLevel="1">
      <c r="B178" s="118" t="s">
        <v>17371</v>
      </c>
      <c r="C178" s="307" t="s">
        <v>17602</v>
      </c>
      <c r="D178" s="124" t="s">
        <v>17603</v>
      </c>
      <c r="E178" s="46"/>
      <c r="F178" s="118" t="s">
        <v>17540</v>
      </c>
      <c r="G178" s="126" t="str">
        <f t="shared" si="12"/>
        <v>MEP-T2V-6V-4</v>
      </c>
      <c r="H178" s="122" t="s">
        <v>292</v>
      </c>
      <c r="I178" s="120">
        <v>1</v>
      </c>
      <c r="J178" s="128" t="s">
        <v>310</v>
      </c>
    </row>
    <row r="179" spans="2:10" s="18" customFormat="1" ht="12.75" hidden="1" customHeight="1" outlineLevel="1">
      <c r="B179" s="118" t="s">
        <v>17371</v>
      </c>
      <c r="C179" s="307" t="s">
        <v>17604</v>
      </c>
      <c r="D179" s="124" t="s">
        <v>17605</v>
      </c>
      <c r="E179" s="46"/>
      <c r="F179" s="118" t="s">
        <v>17540</v>
      </c>
      <c r="G179" s="126" t="str">
        <f t="shared" si="12"/>
        <v>MEP-T2V-6V-4</v>
      </c>
      <c r="H179" s="122" t="s">
        <v>292</v>
      </c>
      <c r="I179" s="120">
        <v>1</v>
      </c>
      <c r="J179" s="128" t="s">
        <v>286</v>
      </c>
    </row>
    <row r="180" spans="2:10" s="18" customFormat="1" ht="12.75" hidden="1" customHeight="1" outlineLevel="1">
      <c r="B180" s="118" t="s">
        <v>17371</v>
      </c>
      <c r="C180" s="307" t="s">
        <v>17606</v>
      </c>
      <c r="D180" s="124" t="s">
        <v>17607</v>
      </c>
      <c r="E180" s="46"/>
      <c r="F180" s="118" t="s">
        <v>17540</v>
      </c>
      <c r="G180" s="126" t="str">
        <f t="shared" si="12"/>
        <v>MEP-T2V-6V-4</v>
      </c>
      <c r="H180" s="122" t="s">
        <v>292</v>
      </c>
      <c r="I180" s="120">
        <v>1</v>
      </c>
      <c r="J180" s="128" t="s">
        <v>286</v>
      </c>
    </row>
    <row r="181" spans="2:10" s="18" customFormat="1" ht="12.75" hidden="1" customHeight="1" outlineLevel="1">
      <c r="B181" s="118" t="s">
        <v>17371</v>
      </c>
      <c r="C181" s="307" t="s">
        <v>17608</v>
      </c>
      <c r="D181" s="124" t="s">
        <v>17609</v>
      </c>
      <c r="E181" s="46"/>
      <c r="F181" s="118" t="s">
        <v>17540</v>
      </c>
      <c r="G181" s="126" t="str">
        <f t="shared" si="12"/>
        <v>MEP-T2V-6V-4</v>
      </c>
      <c r="H181" s="122" t="s">
        <v>292</v>
      </c>
      <c r="I181" s="120">
        <v>1</v>
      </c>
      <c r="J181" s="128" t="s">
        <v>286</v>
      </c>
    </row>
    <row r="182" spans="2:10" s="18" customFormat="1" ht="12.75" hidden="1" customHeight="1" outlineLevel="1">
      <c r="B182" s="118" t="s">
        <v>17371</v>
      </c>
      <c r="C182" s="307" t="s">
        <v>17610</v>
      </c>
      <c r="D182" s="124" t="s">
        <v>17611</v>
      </c>
      <c r="E182" s="46"/>
      <c r="F182" s="118" t="s">
        <v>17540</v>
      </c>
      <c r="G182" s="126" t="str">
        <f t="shared" si="12"/>
        <v>MEP-T2V-6V-4</v>
      </c>
      <c r="H182" s="122" t="s">
        <v>292</v>
      </c>
      <c r="I182" s="120">
        <v>1</v>
      </c>
      <c r="J182" s="128" t="s">
        <v>286</v>
      </c>
    </row>
    <row r="183" spans="2:10" s="18" customFormat="1" ht="12.75" hidden="1" customHeight="1" outlineLevel="1">
      <c r="B183" s="118" t="s">
        <v>17405</v>
      </c>
      <c r="C183" s="307" t="s">
        <v>17612</v>
      </c>
      <c r="D183" s="124" t="s">
        <v>17613</v>
      </c>
      <c r="E183" s="46"/>
      <c r="F183" s="118" t="s">
        <v>17540</v>
      </c>
      <c r="G183" s="126" t="str">
        <f t="shared" si="12"/>
        <v>MEP-T2V-6V-4</v>
      </c>
      <c r="H183" s="122" t="s">
        <v>292</v>
      </c>
      <c r="I183" s="120">
        <v>1</v>
      </c>
      <c r="J183" s="128" t="s">
        <v>286</v>
      </c>
    </row>
    <row r="184" spans="2:10" s="18" customFormat="1" ht="12.75" hidden="1" customHeight="1" outlineLevel="1">
      <c r="B184" s="118" t="s">
        <v>17405</v>
      </c>
      <c r="C184" s="307" t="s">
        <v>17614</v>
      </c>
      <c r="D184" s="124" t="s">
        <v>17615</v>
      </c>
      <c r="E184" s="46"/>
      <c r="F184" s="118" t="s">
        <v>17540</v>
      </c>
      <c r="G184" s="126" t="str">
        <f t="shared" si="12"/>
        <v>MEP-T2V-6V-4</v>
      </c>
      <c r="H184" s="122" t="s">
        <v>292</v>
      </c>
      <c r="I184" s="120">
        <v>1</v>
      </c>
      <c r="J184" s="128" t="s">
        <v>286</v>
      </c>
    </row>
    <row r="185" spans="2:10" s="18" customFormat="1" ht="12.75" hidden="1" customHeight="1" outlineLevel="1">
      <c r="B185" s="118" t="s">
        <v>17371</v>
      </c>
      <c r="C185" s="307" t="s">
        <v>17616</v>
      </c>
      <c r="D185" s="124" t="s">
        <v>17617</v>
      </c>
      <c r="E185" s="46"/>
      <c r="F185" s="118" t="s">
        <v>17540</v>
      </c>
      <c r="G185" s="126" t="str">
        <f t="shared" si="12"/>
        <v>MEP-T2V-6V-4</v>
      </c>
      <c r="H185" s="122" t="s">
        <v>292</v>
      </c>
      <c r="I185" s="120">
        <v>1</v>
      </c>
      <c r="J185" s="128" t="s">
        <v>286</v>
      </c>
    </row>
    <row r="186" spans="2:10" s="18" customFormat="1" ht="12.75" hidden="1" customHeight="1" outlineLevel="1">
      <c r="B186" s="118" t="s">
        <v>17371</v>
      </c>
      <c r="C186" s="307" t="s">
        <v>17618</v>
      </c>
      <c r="D186" s="124" t="s">
        <v>17619</v>
      </c>
      <c r="E186" s="46"/>
      <c r="F186" s="118" t="s">
        <v>17540</v>
      </c>
      <c r="G186" s="126" t="str">
        <f t="shared" si="12"/>
        <v>MEP-T2V-6V-4</v>
      </c>
      <c r="H186" s="122" t="s">
        <v>292</v>
      </c>
      <c r="I186" s="120">
        <v>1</v>
      </c>
      <c r="J186" s="128" t="s">
        <v>286</v>
      </c>
    </row>
    <row r="187" spans="2:10" s="18" customFormat="1" ht="12.75" hidden="1" customHeight="1" outlineLevel="1">
      <c r="B187" s="118" t="s">
        <v>17371</v>
      </c>
      <c r="C187" s="307" t="s">
        <v>17620</v>
      </c>
      <c r="D187" s="124" t="s">
        <v>17621</v>
      </c>
      <c r="E187" s="46"/>
      <c r="F187" s="118" t="s">
        <v>17540</v>
      </c>
      <c r="G187" s="126" t="str">
        <f t="shared" si="12"/>
        <v>MEP-T2V-6V-4</v>
      </c>
      <c r="H187" s="122" t="s">
        <v>292</v>
      </c>
      <c r="I187" s="120">
        <v>1</v>
      </c>
      <c r="J187" s="128" t="s">
        <v>286</v>
      </c>
    </row>
    <row r="188" spans="2:10" s="18" customFormat="1" ht="12.75" hidden="1" customHeight="1" outlineLevel="1">
      <c r="B188" s="118" t="s">
        <v>17371</v>
      </c>
      <c r="C188" s="307" t="s">
        <v>17622</v>
      </c>
      <c r="D188" s="124" t="s">
        <v>17623</v>
      </c>
      <c r="E188" s="46"/>
      <c r="F188" s="118" t="s">
        <v>17540</v>
      </c>
      <c r="G188" s="126" t="str">
        <f t="shared" si="12"/>
        <v>MEP-T2V-6V-4</v>
      </c>
      <c r="H188" s="122" t="s">
        <v>292</v>
      </c>
      <c r="I188" s="120">
        <v>1</v>
      </c>
      <c r="J188" s="128" t="s">
        <v>286</v>
      </c>
    </row>
    <row r="189" spans="2:10" s="18" customFormat="1" ht="12.75" hidden="1" customHeight="1" outlineLevel="1">
      <c r="B189" s="118" t="s">
        <v>17371</v>
      </c>
      <c r="C189" s="307" t="s">
        <v>17624</v>
      </c>
      <c r="D189" s="124" t="s">
        <v>17625</v>
      </c>
      <c r="E189" s="46"/>
      <c r="F189" s="118" t="s">
        <v>17540</v>
      </c>
      <c r="G189" s="126" t="str">
        <f t="shared" si="12"/>
        <v>MEP-T2V-6V-4</v>
      </c>
      <c r="H189" s="122" t="s">
        <v>292</v>
      </c>
      <c r="I189" s="120">
        <v>1</v>
      </c>
      <c r="J189" s="128" t="s">
        <v>286</v>
      </c>
    </row>
    <row r="190" spans="2:10" s="18" customFormat="1" ht="12.75" hidden="1" customHeight="1" outlineLevel="1">
      <c r="B190" s="118" t="s">
        <v>17371</v>
      </c>
      <c r="C190" s="307" t="s">
        <v>17626</v>
      </c>
      <c r="D190" s="124" t="s">
        <v>17627</v>
      </c>
      <c r="E190" s="46"/>
      <c r="F190" s="118" t="s">
        <v>17540</v>
      </c>
      <c r="G190" s="126" t="str">
        <f t="shared" si="12"/>
        <v>MEP-T2V-6V-4</v>
      </c>
      <c r="H190" s="122" t="s">
        <v>292</v>
      </c>
      <c r="I190" s="120">
        <v>1</v>
      </c>
      <c r="J190" s="128" t="s">
        <v>286</v>
      </c>
    </row>
    <row r="191" spans="2:10" s="18" customFormat="1" ht="12.75" hidden="1" customHeight="1" outlineLevel="1">
      <c r="B191" s="118" t="s">
        <v>17371</v>
      </c>
      <c r="C191" s="307" t="s">
        <v>17628</v>
      </c>
      <c r="D191" s="124" t="s">
        <v>17629</v>
      </c>
      <c r="E191" s="46"/>
      <c r="F191" s="118" t="s">
        <v>17540</v>
      </c>
      <c r="G191" s="126" t="str">
        <f t="shared" si="12"/>
        <v>MEP-T2V-6V-4</v>
      </c>
      <c r="H191" s="122" t="s">
        <v>292</v>
      </c>
      <c r="I191" s="120">
        <v>1</v>
      </c>
      <c r="J191" s="128" t="s">
        <v>286</v>
      </c>
    </row>
    <row r="192" spans="2:10" s="18" customFormat="1" ht="12.75" hidden="1" customHeight="1" outlineLevel="1">
      <c r="B192" s="118" t="s">
        <v>17371</v>
      </c>
      <c r="C192" s="307" t="s">
        <v>17630</v>
      </c>
      <c r="D192" s="124" t="s">
        <v>17631</v>
      </c>
      <c r="E192" s="46"/>
      <c r="F192" s="118" t="s">
        <v>17540</v>
      </c>
      <c r="G192" s="126" t="str">
        <f t="shared" si="12"/>
        <v>MEP-T2V-6V-4</v>
      </c>
      <c r="H192" s="122" t="s">
        <v>292</v>
      </c>
      <c r="I192" s="120">
        <v>1</v>
      </c>
      <c r="J192" s="128" t="s">
        <v>286</v>
      </c>
    </row>
    <row r="193" spans="2:10" s="18" customFormat="1" ht="12.75" hidden="1" customHeight="1" outlineLevel="1">
      <c r="B193" s="118" t="s">
        <v>17371</v>
      </c>
      <c r="C193" s="307" t="s">
        <v>17632</v>
      </c>
      <c r="D193" s="124" t="s">
        <v>17633</v>
      </c>
      <c r="E193" s="46"/>
      <c r="F193" s="118" t="s">
        <v>17540</v>
      </c>
      <c r="G193" s="126" t="str">
        <f t="shared" si="12"/>
        <v>MEP-T2V-6V-4</v>
      </c>
      <c r="H193" s="122" t="s">
        <v>292</v>
      </c>
      <c r="I193" s="120">
        <v>1</v>
      </c>
      <c r="J193" s="128" t="s">
        <v>286</v>
      </c>
    </row>
    <row r="194" spans="2:10" s="18" customFormat="1" ht="12.75" hidden="1" customHeight="1" outlineLevel="1">
      <c r="B194" s="118" t="s">
        <v>17371</v>
      </c>
      <c r="C194" s="307" t="s">
        <v>17634</v>
      </c>
      <c r="D194" s="124" t="s">
        <v>17635</v>
      </c>
      <c r="E194" s="46"/>
      <c r="F194" s="118" t="s">
        <v>17540</v>
      </c>
      <c r="G194" s="126" t="str">
        <f t="shared" si="12"/>
        <v>MEP-T2V-6V-4</v>
      </c>
      <c r="H194" s="122" t="s">
        <v>292</v>
      </c>
      <c r="I194" s="120">
        <v>1</v>
      </c>
      <c r="J194" s="128" t="s">
        <v>286</v>
      </c>
    </row>
    <row r="195" spans="2:10" s="18" customFormat="1" ht="12.75" hidden="1" customHeight="1" outlineLevel="1">
      <c r="B195" s="118" t="s">
        <v>17371</v>
      </c>
      <c r="C195" s="307" t="s">
        <v>17636</v>
      </c>
      <c r="D195" s="124" t="s">
        <v>17637</v>
      </c>
      <c r="E195" s="46"/>
      <c r="F195" s="118" t="s">
        <v>17540</v>
      </c>
      <c r="G195" s="126" t="str">
        <f t="shared" si="12"/>
        <v>MEP-T2V-6V-4</v>
      </c>
      <c r="H195" s="122" t="s">
        <v>292</v>
      </c>
      <c r="I195" s="120">
        <v>1</v>
      </c>
      <c r="J195" s="128" t="s">
        <v>286</v>
      </c>
    </row>
    <row r="196" spans="2:10" s="18" customFormat="1" ht="12.75" hidden="1" customHeight="1" outlineLevel="1">
      <c r="B196" s="118" t="s">
        <v>17371</v>
      </c>
      <c r="C196" s="307" t="s">
        <v>17638</v>
      </c>
      <c r="D196" s="124" t="s">
        <v>17639</v>
      </c>
      <c r="E196" s="46"/>
      <c r="F196" s="118" t="s">
        <v>17540</v>
      </c>
      <c r="G196" s="126" t="str">
        <f t="shared" si="12"/>
        <v>MEP-T2V-6V-4</v>
      </c>
      <c r="H196" s="122" t="s">
        <v>292</v>
      </c>
      <c r="I196" s="120">
        <v>1</v>
      </c>
      <c r="J196" s="128" t="s">
        <v>286</v>
      </c>
    </row>
    <row r="197" spans="2:10" s="18" customFormat="1" ht="12.75" hidden="1" customHeight="1" outlineLevel="1">
      <c r="B197" s="118" t="s">
        <v>17371</v>
      </c>
      <c r="C197" s="307" t="s">
        <v>17640</v>
      </c>
      <c r="D197" s="124" t="s">
        <v>392</v>
      </c>
      <c r="E197" s="46"/>
      <c r="F197" s="118" t="s">
        <v>17540</v>
      </c>
      <c r="G197" s="126" t="str">
        <f t="shared" si="12"/>
        <v>MEP-T2V-6V-7</v>
      </c>
      <c r="H197" s="122" t="s">
        <v>373</v>
      </c>
      <c r="I197" s="120">
        <v>1</v>
      </c>
      <c r="J197" s="128" t="s">
        <v>286</v>
      </c>
    </row>
    <row r="198" spans="2:10" s="18" customFormat="1" ht="12.75" hidden="1" customHeight="1" outlineLevel="1">
      <c r="B198" s="118" t="s">
        <v>17371</v>
      </c>
      <c r="C198" s="307" t="s">
        <v>17641</v>
      </c>
      <c r="D198" s="124" t="s">
        <v>3440</v>
      </c>
      <c r="E198" s="46"/>
      <c r="F198" s="118" t="s">
        <v>17540</v>
      </c>
      <c r="G198" s="126" t="str">
        <f t="shared" si="12"/>
        <v>MEP-T2V-6V-8</v>
      </c>
      <c r="H198" s="122" t="s">
        <v>410</v>
      </c>
      <c r="I198" s="120">
        <v>1</v>
      </c>
      <c r="J198" s="128" t="s">
        <v>286</v>
      </c>
    </row>
    <row r="199" spans="2:10" s="18" customFormat="1" ht="12.75" hidden="1" customHeight="1" outlineLevel="1">
      <c r="B199" s="118" t="s">
        <v>17371</v>
      </c>
      <c r="C199" s="307" t="s">
        <v>3439</v>
      </c>
      <c r="D199" s="124" t="s">
        <v>3440</v>
      </c>
      <c r="E199" s="46"/>
      <c r="F199" s="118" t="s">
        <v>17540</v>
      </c>
      <c r="G199" s="126" t="str">
        <f t="shared" si="12"/>
        <v>MEP-T2V-6V-8</v>
      </c>
      <c r="H199" s="122" t="s">
        <v>410</v>
      </c>
      <c r="I199" s="120">
        <v>1</v>
      </c>
      <c r="J199" s="128" t="s">
        <v>286</v>
      </c>
    </row>
    <row r="200" spans="2:10" s="18" customFormat="1" ht="12.75" hidden="1" customHeight="1" outlineLevel="1">
      <c r="B200" s="118" t="s">
        <v>17371</v>
      </c>
      <c r="C200" s="307" t="s">
        <v>3442</v>
      </c>
      <c r="D200" s="124" t="s">
        <v>3443</v>
      </c>
      <c r="E200" s="46"/>
      <c r="F200" s="118" t="s">
        <v>17540</v>
      </c>
      <c r="G200" s="126" t="str">
        <f t="shared" si="12"/>
        <v>MEP-T2V-6V-8</v>
      </c>
      <c r="H200" s="122" t="s">
        <v>410</v>
      </c>
      <c r="I200" s="120">
        <v>1</v>
      </c>
      <c r="J200" s="128" t="s">
        <v>286</v>
      </c>
    </row>
    <row r="201" spans="2:10" s="18" customFormat="1" ht="12.75" hidden="1" customHeight="1" outlineLevel="1">
      <c r="B201" s="118" t="s">
        <v>17371</v>
      </c>
      <c r="C201" s="307" t="s">
        <v>17494</v>
      </c>
      <c r="D201" s="124" t="s">
        <v>3443</v>
      </c>
      <c r="E201" s="46"/>
      <c r="F201" s="118" t="s">
        <v>17540</v>
      </c>
      <c r="G201" s="126" t="str">
        <f t="shared" si="12"/>
        <v>MEP-T2V-6V-8</v>
      </c>
      <c r="H201" s="122" t="s">
        <v>410</v>
      </c>
      <c r="I201" s="120">
        <v>1</v>
      </c>
      <c r="J201" s="128" t="s">
        <v>286</v>
      </c>
    </row>
    <row r="202" spans="2:10" s="18" customFormat="1" ht="12.75" hidden="1" customHeight="1" outlineLevel="1">
      <c r="B202" s="118" t="s">
        <v>17371</v>
      </c>
      <c r="C202" s="307" t="s">
        <v>3444</v>
      </c>
      <c r="D202" s="124" t="s">
        <v>17496</v>
      </c>
      <c r="E202" s="46"/>
      <c r="F202" s="118" t="s">
        <v>17540</v>
      </c>
      <c r="G202" s="126" t="str">
        <f t="shared" si="12"/>
        <v>MEP-T2V-6V-8</v>
      </c>
      <c r="H202" s="122" t="s">
        <v>410</v>
      </c>
      <c r="I202" s="120">
        <v>1</v>
      </c>
      <c r="J202" s="128" t="s">
        <v>286</v>
      </c>
    </row>
    <row r="203" spans="2:10" s="18" customFormat="1" ht="12.75" hidden="1" customHeight="1" outlineLevel="1">
      <c r="B203" s="118" t="s">
        <v>17371</v>
      </c>
      <c r="C203" s="307" t="s">
        <v>17497</v>
      </c>
      <c r="D203" s="124" t="s">
        <v>17642</v>
      </c>
      <c r="E203" s="46"/>
      <c r="F203" s="118" t="s">
        <v>17540</v>
      </c>
      <c r="G203" s="126" t="str">
        <f t="shared" si="12"/>
        <v>MEP-T2V-6V-8</v>
      </c>
      <c r="H203" s="122" t="s">
        <v>410</v>
      </c>
      <c r="I203" s="120">
        <v>1</v>
      </c>
      <c r="J203" s="128" t="s">
        <v>286</v>
      </c>
    </row>
    <row r="204" spans="2:10" s="18" customFormat="1" ht="12.75" hidden="1" customHeight="1" outlineLevel="1">
      <c r="B204" s="118" t="s">
        <v>17371</v>
      </c>
      <c r="C204" s="307" t="s">
        <v>3446</v>
      </c>
      <c r="D204" s="124" t="s">
        <v>3447</v>
      </c>
      <c r="E204" s="46"/>
      <c r="F204" s="118" t="s">
        <v>17540</v>
      </c>
      <c r="G204" s="126" t="str">
        <f t="shared" si="12"/>
        <v>MEP-T2V-6V-8</v>
      </c>
      <c r="H204" s="122" t="s">
        <v>410</v>
      </c>
      <c r="I204" s="120">
        <v>1</v>
      </c>
      <c r="J204" s="128" t="s">
        <v>286</v>
      </c>
    </row>
    <row r="205" spans="2:10" s="18" customFormat="1" ht="12.75" hidden="1" customHeight="1" outlineLevel="1">
      <c r="B205" s="118" t="s">
        <v>17371</v>
      </c>
      <c r="C205" s="307" t="s">
        <v>17498</v>
      </c>
      <c r="D205" s="124" t="s">
        <v>3447</v>
      </c>
      <c r="E205" s="46"/>
      <c r="F205" s="118" t="s">
        <v>17540</v>
      </c>
      <c r="G205" s="126" t="str">
        <f t="shared" si="12"/>
        <v>MEP-T2V-6V-8</v>
      </c>
      <c r="H205" s="122" t="s">
        <v>410</v>
      </c>
      <c r="I205" s="120">
        <v>1</v>
      </c>
      <c r="J205" s="128" t="s">
        <v>286</v>
      </c>
    </row>
    <row r="206" spans="2:10" s="18" customFormat="1" ht="12.75" hidden="1" customHeight="1" outlineLevel="1">
      <c r="B206" s="118" t="s">
        <v>17371</v>
      </c>
      <c r="C206" s="307" t="s">
        <v>17643</v>
      </c>
      <c r="D206" s="124" t="s">
        <v>17501</v>
      </c>
      <c r="E206" s="46"/>
      <c r="F206" s="118" t="s">
        <v>17540</v>
      </c>
      <c r="G206" s="126" t="str">
        <f t="shared" si="12"/>
        <v>MEP-T2V-6V-8</v>
      </c>
      <c r="H206" s="122" t="s">
        <v>410</v>
      </c>
      <c r="I206" s="120">
        <v>1</v>
      </c>
      <c r="J206" s="128" t="s">
        <v>286</v>
      </c>
    </row>
    <row r="207" spans="2:10" s="18" customFormat="1" ht="12.75" hidden="1" customHeight="1" outlineLevel="1">
      <c r="B207" s="118" t="s">
        <v>17371</v>
      </c>
      <c r="C207" s="307" t="s">
        <v>17644</v>
      </c>
      <c r="D207" s="124" t="s">
        <v>17645</v>
      </c>
      <c r="E207" s="46"/>
      <c r="F207" s="118" t="s">
        <v>17540</v>
      </c>
      <c r="G207" s="126" t="str">
        <f t="shared" si="12"/>
        <v>MEP-T2V-6V-8</v>
      </c>
      <c r="H207" s="122" t="s">
        <v>410</v>
      </c>
      <c r="I207" s="120">
        <v>1</v>
      </c>
      <c r="J207" s="128" t="s">
        <v>286</v>
      </c>
    </row>
    <row r="208" spans="2:10" s="18" customFormat="1" ht="12.75" hidden="1" customHeight="1" outlineLevel="1">
      <c r="B208" s="118" t="s">
        <v>17371</v>
      </c>
      <c r="C208" s="307" t="s">
        <v>17646</v>
      </c>
      <c r="D208" s="124" t="s">
        <v>17647</v>
      </c>
      <c r="E208" s="46"/>
      <c r="F208" s="118" t="s">
        <v>17540</v>
      </c>
      <c r="G208" s="126" t="str">
        <f t="shared" si="12"/>
        <v>MEP-T2V-6V-8</v>
      </c>
      <c r="H208" s="122" t="s">
        <v>410</v>
      </c>
      <c r="I208" s="120">
        <v>1</v>
      </c>
      <c r="J208" s="128" t="s">
        <v>286</v>
      </c>
    </row>
    <row r="209" spans="2:10" s="18" customFormat="1" ht="12.75" hidden="1" customHeight="1" outlineLevel="1">
      <c r="B209" s="118" t="s">
        <v>17371</v>
      </c>
      <c r="C209" s="307" t="s">
        <v>17648</v>
      </c>
      <c r="D209" s="124" t="s">
        <v>17649</v>
      </c>
      <c r="E209" s="46"/>
      <c r="F209" s="118" t="s">
        <v>17540</v>
      </c>
      <c r="G209" s="126" t="str">
        <f t="shared" ref="G209:G313" si="13">CONCATENATE("MEP-",F209,"-",H209)</f>
        <v>MEP-T2V-6V-8</v>
      </c>
      <c r="H209" s="122" t="s">
        <v>410</v>
      </c>
      <c r="I209" s="120">
        <v>1</v>
      </c>
      <c r="J209" s="128" t="s">
        <v>286</v>
      </c>
    </row>
    <row r="210" spans="2:10" s="18" customFormat="1" ht="12.75" hidden="1" customHeight="1" outlineLevel="1">
      <c r="B210" s="118" t="s">
        <v>17371</v>
      </c>
      <c r="C210" s="307" t="s">
        <v>17650</v>
      </c>
      <c r="D210" s="124" t="s">
        <v>17651</v>
      </c>
      <c r="E210" s="46"/>
      <c r="F210" s="118" t="s">
        <v>17540</v>
      </c>
      <c r="G210" s="126" t="str">
        <f t="shared" si="13"/>
        <v>MEP-T2V-6V-8</v>
      </c>
      <c r="H210" s="122" t="s">
        <v>410</v>
      </c>
      <c r="I210" s="120">
        <v>1</v>
      </c>
      <c r="J210" s="128" t="s">
        <v>286</v>
      </c>
    </row>
    <row r="211" spans="2:10" s="18" customFormat="1" ht="12.75" hidden="1" customHeight="1" outlineLevel="1">
      <c r="B211" s="118" t="s">
        <v>17371</v>
      </c>
      <c r="C211" s="307" t="s">
        <v>17652</v>
      </c>
      <c r="D211" s="124" t="s">
        <v>17651</v>
      </c>
      <c r="E211" s="46"/>
      <c r="F211" s="118" t="s">
        <v>17540</v>
      </c>
      <c r="G211" s="126" t="str">
        <f t="shared" si="13"/>
        <v>MEP-T2V-6V-8</v>
      </c>
      <c r="H211" s="122" t="s">
        <v>410</v>
      </c>
      <c r="I211" s="120">
        <v>1</v>
      </c>
      <c r="J211" s="128" t="s">
        <v>286</v>
      </c>
    </row>
    <row r="212" spans="2:10" s="18" customFormat="1" ht="12.75" hidden="1" customHeight="1" outlineLevel="1">
      <c r="B212" s="118" t="s">
        <v>17371</v>
      </c>
      <c r="C212" s="307" t="s">
        <v>17653</v>
      </c>
      <c r="D212" s="124" t="s">
        <v>17654</v>
      </c>
      <c r="E212" s="46"/>
      <c r="F212" s="118" t="s">
        <v>17540</v>
      </c>
      <c r="G212" s="126" t="str">
        <f t="shared" si="13"/>
        <v>MEP-T2V-6V-8</v>
      </c>
      <c r="H212" s="122" t="s">
        <v>410</v>
      </c>
      <c r="I212" s="120">
        <v>1</v>
      </c>
      <c r="J212" s="128" t="s">
        <v>286</v>
      </c>
    </row>
    <row r="213" spans="2:10" s="18" customFormat="1" ht="12.75" hidden="1" customHeight="1" outlineLevel="1">
      <c r="B213" s="118" t="s">
        <v>17371</v>
      </c>
      <c r="C213" s="307" t="s">
        <v>17655</v>
      </c>
      <c r="D213" s="124" t="s">
        <v>17656</v>
      </c>
      <c r="E213" s="46"/>
      <c r="F213" s="118" t="s">
        <v>17540</v>
      </c>
      <c r="G213" s="126" t="str">
        <f t="shared" si="13"/>
        <v>MEP-T2V-6V-9</v>
      </c>
      <c r="H213" s="122" t="s">
        <v>421</v>
      </c>
      <c r="I213" s="120">
        <v>1</v>
      </c>
      <c r="J213" s="128" t="s">
        <v>286</v>
      </c>
    </row>
    <row r="214" spans="2:10" s="18" customFormat="1" ht="12.75" hidden="1" customHeight="1" outlineLevel="1">
      <c r="B214" s="118" t="s">
        <v>17371</v>
      </c>
      <c r="C214" s="307" t="s">
        <v>17657</v>
      </c>
      <c r="D214" s="124" t="s">
        <v>17658</v>
      </c>
      <c r="E214" s="46"/>
      <c r="F214" s="118" t="s">
        <v>17540</v>
      </c>
      <c r="G214" s="126" t="str">
        <f t="shared" si="13"/>
        <v>MEP-T2V-6V-9</v>
      </c>
      <c r="H214" s="122" t="s">
        <v>421</v>
      </c>
      <c r="I214" s="120">
        <v>1</v>
      </c>
      <c r="J214" s="128" t="s">
        <v>286</v>
      </c>
    </row>
    <row r="215" spans="2:10" s="18" customFormat="1" ht="12.75" hidden="1" customHeight="1" outlineLevel="1">
      <c r="B215" s="118" t="s">
        <v>17438</v>
      </c>
      <c r="C215" s="307" t="s">
        <v>17659</v>
      </c>
      <c r="D215" s="124" t="s">
        <v>17660</v>
      </c>
      <c r="E215" s="46"/>
      <c r="F215" s="118" t="s">
        <v>17540</v>
      </c>
      <c r="G215" s="126" t="str">
        <f t="shared" si="13"/>
        <v>MEP-T2V-6V-9</v>
      </c>
      <c r="H215" s="122" t="s">
        <v>421</v>
      </c>
      <c r="I215" s="120">
        <v>1</v>
      </c>
      <c r="J215" s="128" t="s">
        <v>286</v>
      </c>
    </row>
    <row r="216" spans="2:10" s="18" customFormat="1" ht="12.75" hidden="1" customHeight="1" outlineLevel="1">
      <c r="B216" s="118" t="s">
        <v>17438</v>
      </c>
      <c r="C216" s="307" t="s">
        <v>17661</v>
      </c>
      <c r="D216" s="124" t="s">
        <v>17662</v>
      </c>
      <c r="E216" s="46"/>
      <c r="F216" s="118" t="s">
        <v>17540</v>
      </c>
      <c r="G216" s="126" t="str">
        <f t="shared" si="13"/>
        <v>MEP-T2V-6V-9</v>
      </c>
      <c r="H216" s="122" t="s">
        <v>421</v>
      </c>
      <c r="I216" s="120">
        <v>1</v>
      </c>
      <c r="J216" s="128" t="s">
        <v>286</v>
      </c>
    </row>
    <row r="217" spans="2:10" s="18" customFormat="1" ht="12.75" hidden="1" customHeight="1" outlineLevel="1">
      <c r="B217" s="118" t="s">
        <v>17438</v>
      </c>
      <c r="C217" s="307" t="s">
        <v>17663</v>
      </c>
      <c r="D217" s="124" t="s">
        <v>17664</v>
      </c>
      <c r="E217" s="46"/>
      <c r="F217" s="118" t="s">
        <v>17540</v>
      </c>
      <c r="G217" s="126" t="str">
        <f t="shared" si="13"/>
        <v>MEP-T2V-6V-9</v>
      </c>
      <c r="H217" s="122" t="s">
        <v>421</v>
      </c>
      <c r="I217" s="120">
        <v>1</v>
      </c>
      <c r="J217" s="128" t="s">
        <v>286</v>
      </c>
    </row>
    <row r="218" spans="2:10" s="18" customFormat="1" ht="12.75" hidden="1" customHeight="1" outlineLevel="1">
      <c r="B218" s="118" t="s">
        <v>17438</v>
      </c>
      <c r="C218" s="307" t="s">
        <v>17665</v>
      </c>
      <c r="D218" s="124" t="s">
        <v>17666</v>
      </c>
      <c r="E218" s="46"/>
      <c r="F218" s="118" t="s">
        <v>17540</v>
      </c>
      <c r="G218" s="126" t="str">
        <f t="shared" si="13"/>
        <v>MEP-T2V-6V-9</v>
      </c>
      <c r="H218" s="122" t="s">
        <v>421</v>
      </c>
      <c r="I218" s="120">
        <v>1</v>
      </c>
      <c r="J218" s="128" t="s">
        <v>286</v>
      </c>
    </row>
    <row r="219" spans="2:10" s="18" customFormat="1" ht="12.75" hidden="1" customHeight="1" outlineLevel="1">
      <c r="B219" s="118" t="s">
        <v>17438</v>
      </c>
      <c r="C219" s="307" t="s">
        <v>17667</v>
      </c>
      <c r="D219" s="124" t="s">
        <v>17503</v>
      </c>
      <c r="E219" s="46"/>
      <c r="F219" s="118" t="s">
        <v>17540</v>
      </c>
      <c r="G219" s="126" t="str">
        <f t="shared" si="13"/>
        <v>MEP-T2V-6V-9</v>
      </c>
      <c r="H219" s="122" t="s">
        <v>421</v>
      </c>
      <c r="I219" s="120">
        <v>1</v>
      </c>
      <c r="J219" s="128" t="s">
        <v>286</v>
      </c>
    </row>
    <row r="220" spans="2:10" s="18" customFormat="1" ht="12.75" hidden="1" customHeight="1" outlineLevel="1">
      <c r="B220" s="118" t="s">
        <v>17438</v>
      </c>
      <c r="C220" s="307" t="s">
        <v>17668</v>
      </c>
      <c r="D220" s="124" t="s">
        <v>17669</v>
      </c>
      <c r="E220" s="46"/>
      <c r="F220" s="118" t="s">
        <v>17540</v>
      </c>
      <c r="G220" s="126" t="str">
        <f t="shared" si="13"/>
        <v>MEP-T2V-6V-9</v>
      </c>
      <c r="H220" s="122" t="s">
        <v>421</v>
      </c>
      <c r="I220" s="120">
        <v>1</v>
      </c>
      <c r="J220" s="128" t="s">
        <v>286</v>
      </c>
    </row>
    <row r="221" spans="2:10" s="18" customFormat="1" ht="12.75" hidden="1" customHeight="1" outlineLevel="1">
      <c r="B221" s="118" t="s">
        <v>17438</v>
      </c>
      <c r="C221" s="307" t="s">
        <v>17670</v>
      </c>
      <c r="D221" s="124" t="s">
        <v>17660</v>
      </c>
      <c r="E221" s="46"/>
      <c r="F221" s="118" t="s">
        <v>17540</v>
      </c>
      <c r="G221" s="126" t="str">
        <f t="shared" si="13"/>
        <v>MEP-T2V-6V-9</v>
      </c>
      <c r="H221" s="122" t="s">
        <v>421</v>
      </c>
      <c r="I221" s="120">
        <v>1</v>
      </c>
      <c r="J221" s="128" t="s">
        <v>286</v>
      </c>
    </row>
    <row r="222" spans="2:10" s="18" customFormat="1" ht="12.75" hidden="1" customHeight="1" outlineLevel="1">
      <c r="B222" s="118" t="s">
        <v>17438</v>
      </c>
      <c r="C222" s="307" t="s">
        <v>17671</v>
      </c>
      <c r="D222" s="124" t="s">
        <v>17672</v>
      </c>
      <c r="E222" s="46"/>
      <c r="F222" s="118" t="s">
        <v>17540</v>
      </c>
      <c r="G222" s="126" t="str">
        <f t="shared" si="13"/>
        <v>MEP-T2V-6V-9</v>
      </c>
      <c r="H222" s="122" t="s">
        <v>421</v>
      </c>
      <c r="I222" s="120">
        <v>1</v>
      </c>
      <c r="J222" s="128" t="s">
        <v>286</v>
      </c>
    </row>
    <row r="223" spans="2:10" s="18" customFormat="1" ht="12.75" hidden="1" customHeight="1" outlineLevel="1">
      <c r="B223" s="118" t="s">
        <v>17394</v>
      </c>
      <c r="C223" s="307" t="s">
        <v>17510</v>
      </c>
      <c r="D223" s="124" t="s">
        <v>17673</v>
      </c>
      <c r="E223" s="46"/>
      <c r="F223" s="118" t="s">
        <v>17540</v>
      </c>
      <c r="G223" s="126" t="str">
        <f t="shared" si="13"/>
        <v>MEP-T2V-6V-9</v>
      </c>
      <c r="H223" s="122" t="s">
        <v>421</v>
      </c>
      <c r="I223" s="120">
        <v>1</v>
      </c>
      <c r="J223" s="128" t="s">
        <v>286</v>
      </c>
    </row>
    <row r="224" spans="2:10" s="18" customFormat="1" ht="12.75" hidden="1" customHeight="1" outlineLevel="1">
      <c r="B224" s="118" t="s">
        <v>17394</v>
      </c>
      <c r="C224" s="307" t="s">
        <v>17674</v>
      </c>
      <c r="D224" s="124" t="s">
        <v>17675</v>
      </c>
      <c r="E224" s="46"/>
      <c r="F224" s="118" t="s">
        <v>17540</v>
      </c>
      <c r="G224" s="126" t="str">
        <f t="shared" si="13"/>
        <v>MEP-T2V-6V-9</v>
      </c>
      <c r="H224" s="122" t="s">
        <v>421</v>
      </c>
      <c r="I224" s="120">
        <v>1</v>
      </c>
      <c r="J224" s="128" t="s">
        <v>286</v>
      </c>
    </row>
    <row r="225" spans="2:10" s="18" customFormat="1" ht="12.75" hidden="1" customHeight="1" outlineLevel="1">
      <c r="B225" s="118" t="s">
        <v>17394</v>
      </c>
      <c r="C225" s="307" t="s">
        <v>17512</v>
      </c>
      <c r="D225" s="124" t="s">
        <v>17676</v>
      </c>
      <c r="E225" s="46"/>
      <c r="F225" s="118" t="s">
        <v>17540</v>
      </c>
      <c r="G225" s="126" t="str">
        <f t="shared" si="13"/>
        <v>MEP-T2V-6V-9</v>
      </c>
      <c r="H225" s="122" t="s">
        <v>421</v>
      </c>
      <c r="I225" s="120">
        <v>1</v>
      </c>
      <c r="J225" s="128" t="s">
        <v>286</v>
      </c>
    </row>
    <row r="226" spans="2:10" s="18" customFormat="1" ht="12.75" hidden="1" customHeight="1" outlineLevel="1">
      <c r="B226" s="118" t="s">
        <v>17394</v>
      </c>
      <c r="C226" s="307" t="s">
        <v>17677</v>
      </c>
      <c r="D226" s="124" t="s">
        <v>17678</v>
      </c>
      <c r="E226" s="46"/>
      <c r="F226" s="118" t="s">
        <v>17540</v>
      </c>
      <c r="G226" s="126" t="str">
        <f t="shared" si="13"/>
        <v>MEP-T2V-6V-9</v>
      </c>
      <c r="H226" s="122" t="s">
        <v>421</v>
      </c>
      <c r="I226" s="120">
        <v>1</v>
      </c>
      <c r="J226" s="128" t="s">
        <v>286</v>
      </c>
    </row>
    <row r="227" spans="2:10" s="18" customFormat="1" ht="12.75" hidden="1" customHeight="1" outlineLevel="1">
      <c r="B227" s="118" t="s">
        <v>17394</v>
      </c>
      <c r="C227" s="307" t="s">
        <v>17679</v>
      </c>
      <c r="D227" s="124" t="s">
        <v>17680</v>
      </c>
      <c r="E227" s="46"/>
      <c r="F227" s="118" t="s">
        <v>17540</v>
      </c>
      <c r="G227" s="126" t="str">
        <f t="shared" si="13"/>
        <v>MEP-T2V-6V-9</v>
      </c>
      <c r="H227" s="122" t="s">
        <v>421</v>
      </c>
      <c r="I227" s="120">
        <v>1</v>
      </c>
      <c r="J227" s="128" t="s">
        <v>286</v>
      </c>
    </row>
    <row r="228" spans="2:10" s="18" customFormat="1" ht="12.75" hidden="1" customHeight="1" outlineLevel="1">
      <c r="B228" s="118" t="s">
        <v>17394</v>
      </c>
      <c r="C228" s="307" t="s">
        <v>17681</v>
      </c>
      <c r="D228" s="124" t="s">
        <v>17682</v>
      </c>
      <c r="E228" s="46"/>
      <c r="F228" s="118" t="s">
        <v>17540</v>
      </c>
      <c r="G228" s="126" t="str">
        <f t="shared" si="13"/>
        <v>MEP-T2V-6V-9</v>
      </c>
      <c r="H228" s="122" t="s">
        <v>421</v>
      </c>
      <c r="I228" s="120">
        <v>1</v>
      </c>
      <c r="J228" s="128" t="s">
        <v>286</v>
      </c>
    </row>
    <row r="229" spans="2:10" s="18" customFormat="1" ht="12.75" hidden="1" customHeight="1" outlineLevel="1">
      <c r="B229" s="118" t="s">
        <v>17394</v>
      </c>
      <c r="C229" s="307" t="s">
        <v>17683</v>
      </c>
      <c r="D229" s="124" t="s">
        <v>17684</v>
      </c>
      <c r="E229" s="46"/>
      <c r="F229" s="118" t="s">
        <v>17540</v>
      </c>
      <c r="G229" s="126" t="str">
        <f t="shared" si="13"/>
        <v>MEP-T2V-6V-9</v>
      </c>
      <c r="H229" s="122" t="s">
        <v>421</v>
      </c>
      <c r="I229" s="120">
        <v>1</v>
      </c>
      <c r="J229" s="128" t="s">
        <v>286</v>
      </c>
    </row>
    <row r="230" spans="2:10" s="18" customFormat="1" ht="12.75" hidden="1" customHeight="1" outlineLevel="1">
      <c r="B230" s="118" t="s">
        <v>17394</v>
      </c>
      <c r="C230" s="307" t="s">
        <v>17685</v>
      </c>
      <c r="D230" s="124" t="s">
        <v>17686</v>
      </c>
      <c r="E230" s="46"/>
      <c r="F230" s="118" t="s">
        <v>17540</v>
      </c>
      <c r="G230" s="126" t="str">
        <f t="shared" si="13"/>
        <v>MEP-T2V-6V-9</v>
      </c>
      <c r="H230" s="122" t="s">
        <v>421</v>
      </c>
      <c r="I230" s="120">
        <v>1</v>
      </c>
      <c r="J230" s="128" t="s">
        <v>286</v>
      </c>
    </row>
    <row r="231" spans="2:10" s="18" customFormat="1" ht="12.75" hidden="1" customHeight="1" outlineLevel="1">
      <c r="B231" s="118" t="s">
        <v>17394</v>
      </c>
      <c r="C231" s="307" t="s">
        <v>17687</v>
      </c>
      <c r="D231" s="124" t="s">
        <v>17688</v>
      </c>
      <c r="E231" s="46"/>
      <c r="F231" s="118" t="s">
        <v>17540</v>
      </c>
      <c r="G231" s="126" t="str">
        <f t="shared" si="13"/>
        <v>MEP-T2V-6V-9</v>
      </c>
      <c r="H231" s="122" t="s">
        <v>421</v>
      </c>
      <c r="I231" s="120">
        <v>1</v>
      </c>
      <c r="J231" s="128" t="s">
        <v>286</v>
      </c>
    </row>
    <row r="232" spans="2:10" s="18" customFormat="1" ht="12.75" hidden="1" customHeight="1" outlineLevel="1">
      <c r="B232" s="118" t="s">
        <v>17394</v>
      </c>
      <c r="C232" s="307" t="s">
        <v>17689</v>
      </c>
      <c r="D232" s="124" t="s">
        <v>17686</v>
      </c>
      <c r="E232" s="46"/>
      <c r="F232" s="118" t="s">
        <v>17540</v>
      </c>
      <c r="G232" s="126" t="str">
        <f t="shared" si="13"/>
        <v>MEP-T2V-6V-9</v>
      </c>
      <c r="H232" s="122" t="s">
        <v>421</v>
      </c>
      <c r="I232" s="120">
        <v>1</v>
      </c>
      <c r="J232" s="128" t="s">
        <v>286</v>
      </c>
    </row>
    <row r="233" spans="2:10" s="18" customFormat="1" ht="12.75" hidden="1" customHeight="1" outlineLevel="1">
      <c r="B233" s="118" t="s">
        <v>17394</v>
      </c>
      <c r="C233" s="307" t="s">
        <v>17690</v>
      </c>
      <c r="D233" s="124" t="s">
        <v>17539</v>
      </c>
      <c r="E233" s="46"/>
      <c r="F233" s="118" t="s">
        <v>17540</v>
      </c>
      <c r="G233" s="126" t="str">
        <f t="shared" si="13"/>
        <v>MEP-T2V-6V-1</v>
      </c>
      <c r="H233" s="122" t="s">
        <v>304</v>
      </c>
      <c r="I233" s="120">
        <v>1</v>
      </c>
      <c r="J233" s="128" t="s">
        <v>286</v>
      </c>
    </row>
    <row r="234" spans="2:10" s="18" customFormat="1" ht="12.75" hidden="1" customHeight="1" outlineLevel="1">
      <c r="B234" s="118" t="s">
        <v>17394</v>
      </c>
      <c r="C234" s="307" t="s">
        <v>17691</v>
      </c>
      <c r="D234" s="124" t="s">
        <v>17692</v>
      </c>
      <c r="E234" s="46"/>
      <c r="F234" s="118" t="s">
        <v>17540</v>
      </c>
      <c r="G234" s="126" t="str">
        <f t="shared" si="13"/>
        <v>MEP-T2V-6V-4</v>
      </c>
      <c r="H234" s="122" t="s">
        <v>292</v>
      </c>
      <c r="I234" s="120">
        <v>1</v>
      </c>
      <c r="J234" s="128" t="s">
        <v>286</v>
      </c>
    </row>
    <row r="235" spans="2:10" s="18" customFormat="1" ht="12.75" hidden="1" customHeight="1" outlineLevel="1">
      <c r="B235" s="118" t="s">
        <v>17394</v>
      </c>
      <c r="C235" s="307" t="s">
        <v>17693</v>
      </c>
      <c r="D235" s="124" t="s">
        <v>17694</v>
      </c>
      <c r="E235" s="46"/>
      <c r="F235" s="118" t="s">
        <v>17540</v>
      </c>
      <c r="G235" s="126" t="str">
        <f t="shared" si="13"/>
        <v>MEP-T2V-6V-4</v>
      </c>
      <c r="H235" s="122" t="s">
        <v>292</v>
      </c>
      <c r="I235" s="120">
        <v>1</v>
      </c>
      <c r="J235" s="128" t="s">
        <v>286</v>
      </c>
    </row>
    <row r="236" spans="2:10" s="18" customFormat="1" ht="12.75" hidden="1" customHeight="1" outlineLevel="1">
      <c r="B236" s="118" t="s">
        <v>17394</v>
      </c>
      <c r="C236" s="307" t="s">
        <v>17695</v>
      </c>
      <c r="D236" s="124" t="s">
        <v>17696</v>
      </c>
      <c r="E236" s="46"/>
      <c r="F236" s="118" t="s">
        <v>17540</v>
      </c>
      <c r="G236" s="126" t="str">
        <f t="shared" si="13"/>
        <v>MEP-T2V-6V-4</v>
      </c>
      <c r="H236" s="122" t="s">
        <v>292</v>
      </c>
      <c r="I236" s="120">
        <v>1</v>
      </c>
      <c r="J236" s="128" t="s">
        <v>286</v>
      </c>
    </row>
    <row r="237" spans="2:10" s="18" customFormat="1" ht="12.75" hidden="1" customHeight="1" outlineLevel="1">
      <c r="B237" s="118" t="s">
        <v>17394</v>
      </c>
      <c r="C237" s="307" t="s">
        <v>17492</v>
      </c>
      <c r="D237" s="124" t="s">
        <v>3440</v>
      </c>
      <c r="E237" s="46"/>
      <c r="F237" s="118" t="s">
        <v>17540</v>
      </c>
      <c r="G237" s="126" t="str">
        <f t="shared" si="13"/>
        <v>MEP-T2V-6V-8</v>
      </c>
      <c r="H237" s="122" t="s">
        <v>410</v>
      </c>
      <c r="I237" s="120">
        <v>1</v>
      </c>
      <c r="J237" s="128" t="s">
        <v>286</v>
      </c>
    </row>
    <row r="238" spans="2:10" s="18" customFormat="1" ht="12.75" hidden="1" customHeight="1" outlineLevel="1">
      <c r="B238" s="118" t="s">
        <v>17394</v>
      </c>
      <c r="C238" s="307" t="s">
        <v>17493</v>
      </c>
      <c r="D238" s="124" t="s">
        <v>3440</v>
      </c>
      <c r="E238" s="46"/>
      <c r="F238" s="118" t="s">
        <v>17540</v>
      </c>
      <c r="G238" s="126" t="str">
        <f t="shared" si="13"/>
        <v>MEP-T2V-6V-8</v>
      </c>
      <c r="H238" s="122" t="s">
        <v>410</v>
      </c>
      <c r="I238" s="120">
        <v>1</v>
      </c>
      <c r="J238" s="128" t="s">
        <v>286</v>
      </c>
    </row>
    <row r="239" spans="2:10" s="18" customFormat="1" ht="12.75" hidden="1" customHeight="1" outlineLevel="1">
      <c r="B239" s="118" t="s">
        <v>17394</v>
      </c>
      <c r="C239" s="307" t="s">
        <v>17494</v>
      </c>
      <c r="D239" s="124" t="s">
        <v>3443</v>
      </c>
      <c r="E239" s="46"/>
      <c r="F239" s="118" t="s">
        <v>17540</v>
      </c>
      <c r="G239" s="126" t="str">
        <f t="shared" si="13"/>
        <v>MEP-T2V-6V-8</v>
      </c>
      <c r="H239" s="122" t="s">
        <v>410</v>
      </c>
      <c r="I239" s="120">
        <v>1</v>
      </c>
      <c r="J239" s="128" t="s">
        <v>286</v>
      </c>
    </row>
    <row r="240" spans="2:10" s="18" customFormat="1" ht="12.75" hidden="1" customHeight="1" outlineLevel="1">
      <c r="B240" s="118" t="s">
        <v>17394</v>
      </c>
      <c r="C240" s="307" t="s">
        <v>17495</v>
      </c>
      <c r="D240" s="124" t="s">
        <v>3443</v>
      </c>
      <c r="E240" s="46"/>
      <c r="F240" s="118" t="s">
        <v>17540</v>
      </c>
      <c r="G240" s="126" t="str">
        <f t="shared" si="13"/>
        <v>MEP-T2V-6V-8</v>
      </c>
      <c r="H240" s="122" t="s">
        <v>410</v>
      </c>
      <c r="I240" s="120">
        <v>1</v>
      </c>
      <c r="J240" s="128" t="s">
        <v>286</v>
      </c>
    </row>
    <row r="241" spans="1:10" s="18" customFormat="1" ht="12.75" hidden="1" customHeight="1" outlineLevel="1">
      <c r="B241" s="118" t="s">
        <v>17394</v>
      </c>
      <c r="C241" s="307" t="s">
        <v>17497</v>
      </c>
      <c r="D241" s="124" t="s">
        <v>3445</v>
      </c>
      <c r="E241" s="46"/>
      <c r="F241" s="118" t="s">
        <v>17540</v>
      </c>
      <c r="G241" s="126" t="str">
        <f t="shared" si="13"/>
        <v>MEP-T2V-6V-8</v>
      </c>
      <c r="H241" s="122" t="s">
        <v>410</v>
      </c>
      <c r="I241" s="120">
        <v>1</v>
      </c>
      <c r="J241" s="128" t="s">
        <v>286</v>
      </c>
    </row>
    <row r="242" spans="1:10" s="18" customFormat="1" ht="12.75" hidden="1" customHeight="1" outlineLevel="1">
      <c r="B242" s="118" t="s">
        <v>17394</v>
      </c>
      <c r="C242" s="307" t="s">
        <v>17535</v>
      </c>
      <c r="D242" s="124" t="s">
        <v>17536</v>
      </c>
      <c r="E242" s="46"/>
      <c r="F242" s="118" t="s">
        <v>17540</v>
      </c>
      <c r="G242" s="126" t="str">
        <f t="shared" si="13"/>
        <v>MEP-T2V-6V-8</v>
      </c>
      <c r="H242" s="122" t="s">
        <v>410</v>
      </c>
      <c r="I242" s="120">
        <v>1</v>
      </c>
      <c r="J242" s="128" t="s">
        <v>286</v>
      </c>
    </row>
    <row r="243" spans="1:10" s="18" customFormat="1" ht="12.75" hidden="1" customHeight="1" outlineLevel="1">
      <c r="B243" s="118" t="s">
        <v>17394</v>
      </c>
      <c r="C243" s="307" t="s">
        <v>17498</v>
      </c>
      <c r="D243" s="124" t="s">
        <v>3447</v>
      </c>
      <c r="E243" s="46"/>
      <c r="F243" s="118" t="s">
        <v>17540</v>
      </c>
      <c r="G243" s="126" t="str">
        <f t="shared" si="13"/>
        <v>MEP-T2V-6V-8</v>
      </c>
      <c r="H243" s="122" t="s">
        <v>410</v>
      </c>
      <c r="I243" s="120">
        <v>1</v>
      </c>
      <c r="J243" s="128" t="s">
        <v>286</v>
      </c>
    </row>
    <row r="244" spans="1:10" s="18" customFormat="1" ht="12.75" hidden="1" customHeight="1" outlineLevel="1">
      <c r="B244" s="118" t="s">
        <v>17394</v>
      </c>
      <c r="C244" s="307" t="s">
        <v>17499</v>
      </c>
      <c r="D244" s="124" t="s">
        <v>3447</v>
      </c>
      <c r="E244" s="46"/>
      <c r="F244" s="118" t="s">
        <v>17540</v>
      </c>
      <c r="G244" s="126" t="str">
        <f t="shared" si="13"/>
        <v>MEP-T2V-6V-8</v>
      </c>
      <c r="H244" s="122" t="s">
        <v>410</v>
      </c>
      <c r="I244" s="120">
        <v>1</v>
      </c>
      <c r="J244" s="128" t="s">
        <v>286</v>
      </c>
    </row>
    <row r="245" spans="1:10" s="18" customFormat="1" ht="12.75" hidden="1" customHeight="1" outlineLevel="1">
      <c r="B245" s="118" t="s">
        <v>17394</v>
      </c>
      <c r="C245" s="307" t="s">
        <v>17510</v>
      </c>
      <c r="D245" s="124" t="s">
        <v>17673</v>
      </c>
      <c r="E245" s="46"/>
      <c r="F245" s="118" t="s">
        <v>17540</v>
      </c>
      <c r="G245" s="126" t="str">
        <f t="shared" si="13"/>
        <v>MEP-T2V-6V-9</v>
      </c>
      <c r="H245" s="122" t="s">
        <v>421</v>
      </c>
      <c r="I245" s="120">
        <v>1</v>
      </c>
      <c r="J245" s="128" t="s">
        <v>286</v>
      </c>
    </row>
    <row r="246" spans="1:10" s="18" customFormat="1" ht="12.75" hidden="1" customHeight="1" outlineLevel="1">
      <c r="B246" s="118" t="s">
        <v>17394</v>
      </c>
      <c r="C246" s="307" t="s">
        <v>17674</v>
      </c>
      <c r="D246" s="124" t="s">
        <v>17675</v>
      </c>
      <c r="E246" s="46"/>
      <c r="F246" s="118" t="s">
        <v>17540</v>
      </c>
      <c r="G246" s="126" t="str">
        <f t="shared" si="13"/>
        <v>MEP-T2V-6V-9</v>
      </c>
      <c r="H246" s="122" t="s">
        <v>421</v>
      </c>
      <c r="I246" s="120">
        <v>1</v>
      </c>
      <c r="J246" s="128" t="s">
        <v>286</v>
      </c>
    </row>
    <row r="247" spans="1:10" s="18" customFormat="1" ht="12.75" hidden="1" customHeight="1" outlineLevel="1">
      <c r="A247" s="110"/>
      <c r="B247" s="118" t="s">
        <v>17394</v>
      </c>
      <c r="C247" s="307" t="s">
        <v>17512</v>
      </c>
      <c r="D247" s="124" t="s">
        <v>17676</v>
      </c>
      <c r="E247" s="46"/>
      <c r="F247" s="118" t="s">
        <v>17540</v>
      </c>
      <c r="G247" s="126" t="str">
        <f t="shared" si="13"/>
        <v>MEP-T2V-6V-9</v>
      </c>
      <c r="H247" s="122" t="s">
        <v>421</v>
      </c>
      <c r="I247" s="120">
        <v>1</v>
      </c>
      <c r="J247" s="128" t="s">
        <v>286</v>
      </c>
    </row>
    <row r="248" spans="1:10" s="18" customFormat="1" ht="12.75" hidden="1" customHeight="1" outlineLevel="1">
      <c r="A248" s="110"/>
      <c r="B248" s="118" t="s">
        <v>17394</v>
      </c>
      <c r="C248" s="307" t="s">
        <v>17677</v>
      </c>
      <c r="D248" s="124" t="s">
        <v>17678</v>
      </c>
      <c r="E248" s="46"/>
      <c r="F248" s="118" t="s">
        <v>17540</v>
      </c>
      <c r="G248" s="126" t="str">
        <f t="shared" si="13"/>
        <v>MEP-T2V-6V-9</v>
      </c>
      <c r="H248" s="122" t="s">
        <v>421</v>
      </c>
      <c r="I248" s="120">
        <v>1</v>
      </c>
      <c r="J248" s="128" t="s">
        <v>286</v>
      </c>
    </row>
    <row r="249" spans="1:10" s="18" customFormat="1" ht="12.75" hidden="1" customHeight="1" outlineLevel="1">
      <c r="A249" s="110"/>
      <c r="B249" s="118" t="s">
        <v>17394</v>
      </c>
      <c r="C249" s="307" t="s">
        <v>17697</v>
      </c>
      <c r="D249" s="124" t="s">
        <v>17539</v>
      </c>
      <c r="E249" s="46"/>
      <c r="F249" s="118" t="s">
        <v>17540</v>
      </c>
      <c r="G249" s="126" t="str">
        <f t="shared" si="13"/>
        <v>MEP-T2V-6V-1</v>
      </c>
      <c r="H249" s="122" t="s">
        <v>304</v>
      </c>
      <c r="I249" s="120">
        <v>1</v>
      </c>
      <c r="J249" s="128" t="s">
        <v>286</v>
      </c>
    </row>
    <row r="250" spans="1:10" s="18" customFormat="1" ht="12.75" hidden="1" customHeight="1" outlineLevel="1">
      <c r="A250" s="110"/>
      <c r="B250" s="118" t="s">
        <v>17371</v>
      </c>
      <c r="C250" s="307" t="s">
        <v>17698</v>
      </c>
      <c r="D250" s="124" t="s">
        <v>17699</v>
      </c>
      <c r="E250" s="46"/>
      <c r="F250" s="118" t="s">
        <v>17540</v>
      </c>
      <c r="G250" s="126" t="str">
        <f t="shared" si="13"/>
        <v>MEP-T2V-6V-4</v>
      </c>
      <c r="H250" s="122">
        <v>4</v>
      </c>
      <c r="I250" s="120">
        <v>1</v>
      </c>
      <c r="J250" s="128" t="s">
        <v>286</v>
      </c>
    </row>
    <row r="251" spans="1:10" s="18" customFormat="1" ht="12.75" hidden="1" customHeight="1" outlineLevel="1">
      <c r="A251" s="110"/>
      <c r="B251" s="118" t="s">
        <v>17371</v>
      </c>
      <c r="C251" s="307" t="s">
        <v>17700</v>
      </c>
      <c r="D251" s="124" t="s">
        <v>17701</v>
      </c>
      <c r="E251" s="46"/>
      <c r="F251" s="118" t="s">
        <v>17540</v>
      </c>
      <c r="G251" s="126" t="str">
        <f t="shared" si="13"/>
        <v>MEP-T2V-6V-4</v>
      </c>
      <c r="H251" s="122">
        <v>4</v>
      </c>
      <c r="I251" s="120">
        <v>1</v>
      </c>
      <c r="J251" s="128" t="s">
        <v>286</v>
      </c>
    </row>
    <row r="252" spans="1:10" s="18" customFormat="1" ht="12.75" hidden="1" customHeight="1" outlineLevel="1">
      <c r="A252" s="110"/>
      <c r="B252" s="118" t="s">
        <v>17438</v>
      </c>
      <c r="C252" s="307" t="s">
        <v>17702</v>
      </c>
      <c r="D252" s="124" t="s">
        <v>17703</v>
      </c>
      <c r="E252" s="46"/>
      <c r="F252" s="118" t="s">
        <v>17540</v>
      </c>
      <c r="G252" s="126" t="str">
        <f t="shared" si="13"/>
        <v>MEP-T2V-6V-4</v>
      </c>
      <c r="H252" s="122" t="s">
        <v>292</v>
      </c>
      <c r="I252" s="120">
        <v>1</v>
      </c>
      <c r="J252" s="128" t="s">
        <v>286</v>
      </c>
    </row>
    <row r="253" spans="1:10" s="18" customFormat="1" ht="12.75" hidden="1" customHeight="1" outlineLevel="1">
      <c r="A253" s="110"/>
      <c r="B253" s="118" t="s">
        <v>17394</v>
      </c>
      <c r="C253" s="307" t="s">
        <v>17704</v>
      </c>
      <c r="D253" s="124" t="s">
        <v>17705</v>
      </c>
      <c r="E253" s="46"/>
      <c r="F253" s="118" t="s">
        <v>17540</v>
      </c>
      <c r="G253" s="126" t="str">
        <f t="shared" si="13"/>
        <v>MEP-T2V-6V-4</v>
      </c>
      <c r="H253" s="122" t="s">
        <v>292</v>
      </c>
      <c r="I253" s="129">
        <v>1</v>
      </c>
      <c r="J253" s="128" t="s">
        <v>286</v>
      </c>
    </row>
    <row r="254" spans="1:10" s="18" customFormat="1" ht="12.75" hidden="1" customHeight="1" outlineLevel="1">
      <c r="A254" s="110"/>
      <c r="B254" s="118" t="s">
        <v>17405</v>
      </c>
      <c r="C254" s="307" t="s">
        <v>17706</v>
      </c>
      <c r="D254" s="124" t="s">
        <v>17707</v>
      </c>
      <c r="E254" s="46"/>
      <c r="F254" s="118" t="s">
        <v>17540</v>
      </c>
      <c r="G254" s="126" t="str">
        <f>CONCATENATE("MEP-",F254,"-",H254)</f>
        <v>MEP-T2V-6V-4</v>
      </c>
      <c r="H254" s="122" t="s">
        <v>292</v>
      </c>
      <c r="I254" s="120">
        <v>1</v>
      </c>
      <c r="J254" s="128" t="s">
        <v>286</v>
      </c>
    </row>
    <row r="255" spans="1:10" s="18" customFormat="1" ht="12.75" hidden="1" customHeight="1" outlineLevel="1">
      <c r="A255" s="110"/>
      <c r="B255" s="118" t="s">
        <v>17405</v>
      </c>
      <c r="C255" s="307" t="s">
        <v>17708</v>
      </c>
      <c r="D255" s="124" t="s">
        <v>17709</v>
      </c>
      <c r="E255" s="46"/>
      <c r="F255" s="118" t="s">
        <v>17540</v>
      </c>
      <c r="G255" s="126" t="str">
        <f t="shared" ref="G255:G256" si="14">CONCATENATE("MEP-",F255,"-",H255)</f>
        <v>MEP-T2V-6V-4</v>
      </c>
      <c r="H255" s="122" t="s">
        <v>292</v>
      </c>
      <c r="I255" s="120">
        <v>1</v>
      </c>
      <c r="J255" s="128" t="s">
        <v>286</v>
      </c>
    </row>
    <row r="256" spans="1:10" s="18" customFormat="1" ht="12.75" hidden="1" customHeight="1" outlineLevel="1">
      <c r="A256" s="110"/>
      <c r="B256" s="118" t="s">
        <v>17405</v>
      </c>
      <c r="C256" s="307" t="s">
        <v>17710</v>
      </c>
      <c r="D256" s="124" t="s">
        <v>17711</v>
      </c>
      <c r="E256" s="46"/>
      <c r="F256" s="118" t="s">
        <v>17540</v>
      </c>
      <c r="G256" s="126" t="str">
        <f t="shared" si="14"/>
        <v>MEP-T2V-6V-4</v>
      </c>
      <c r="H256" s="122" t="s">
        <v>292</v>
      </c>
      <c r="I256" s="120">
        <v>1</v>
      </c>
      <c r="J256" s="128" t="s">
        <v>286</v>
      </c>
    </row>
    <row r="257" spans="1:10" s="18" customFormat="1" ht="12.75" hidden="1" customHeight="1" outlineLevel="1">
      <c r="A257" s="110"/>
      <c r="B257" s="118" t="s">
        <v>17394</v>
      </c>
      <c r="C257" s="307" t="s">
        <v>17712</v>
      </c>
      <c r="D257" s="124" t="s">
        <v>17539</v>
      </c>
      <c r="E257" s="46"/>
      <c r="F257" s="118" t="s">
        <v>17540</v>
      </c>
      <c r="G257" s="126" t="str">
        <f t="shared" si="13"/>
        <v>MEP-T2V-6V-4</v>
      </c>
      <c r="H257" s="122" t="s">
        <v>292</v>
      </c>
      <c r="I257" s="120">
        <v>1</v>
      </c>
      <c r="J257" s="128" t="s">
        <v>286</v>
      </c>
    </row>
    <row r="258" spans="1:10" s="18" customFormat="1" ht="12.75" hidden="1" customHeight="1" outlineLevel="1">
      <c r="A258" s="110"/>
      <c r="B258" s="118" t="s">
        <v>17371</v>
      </c>
      <c r="C258" s="307" t="s">
        <v>17713</v>
      </c>
      <c r="D258" s="124" t="s">
        <v>17714</v>
      </c>
      <c r="E258" s="46"/>
      <c r="F258" s="118" t="s">
        <v>17540</v>
      </c>
      <c r="G258" s="126" t="str">
        <f t="shared" si="13"/>
        <v>MEP-T2V-6V-4</v>
      </c>
      <c r="H258" s="122" t="s">
        <v>292</v>
      </c>
      <c r="I258" s="120">
        <v>1</v>
      </c>
      <c r="J258" s="128" t="s">
        <v>286</v>
      </c>
    </row>
    <row r="259" spans="1:10" s="18" customFormat="1" ht="12.75" hidden="1" customHeight="1" outlineLevel="1">
      <c r="A259" s="110"/>
      <c r="B259" s="118" t="s">
        <v>17371</v>
      </c>
      <c r="C259" s="307" t="s">
        <v>17715</v>
      </c>
      <c r="D259" s="124" t="s">
        <v>17716</v>
      </c>
      <c r="E259" s="46"/>
      <c r="F259" s="118" t="s">
        <v>17540</v>
      </c>
      <c r="G259" s="126" t="str">
        <f t="shared" si="13"/>
        <v>MEP-T2V-6V-4</v>
      </c>
      <c r="H259" s="122" t="s">
        <v>292</v>
      </c>
      <c r="I259" s="120">
        <v>1</v>
      </c>
      <c r="J259" s="128" t="s">
        <v>286</v>
      </c>
    </row>
    <row r="260" spans="1:10" s="18" customFormat="1" ht="12.75" hidden="1" customHeight="1" outlineLevel="1">
      <c r="A260" s="110"/>
      <c r="B260" s="118" t="s">
        <v>17438</v>
      </c>
      <c r="C260" s="307" t="s">
        <v>17717</v>
      </c>
      <c r="D260" s="124" t="s">
        <v>17718</v>
      </c>
      <c r="E260" s="46"/>
      <c r="F260" s="118" t="s">
        <v>17540</v>
      </c>
      <c r="G260" s="126" t="str">
        <f t="shared" si="13"/>
        <v>MEP-T2V-6V-4</v>
      </c>
      <c r="H260" s="122" t="s">
        <v>292</v>
      </c>
      <c r="I260" s="120">
        <v>1</v>
      </c>
      <c r="J260" s="128" t="s">
        <v>286</v>
      </c>
    </row>
    <row r="261" spans="1:10" s="18" customFormat="1" ht="12.75" hidden="1" customHeight="1" outlineLevel="1">
      <c r="A261" s="110"/>
      <c r="B261" s="118" t="s">
        <v>17394</v>
      </c>
      <c r="C261" s="307" t="s">
        <v>17719</v>
      </c>
      <c r="D261" s="124" t="s">
        <v>17720</v>
      </c>
      <c r="E261" s="46"/>
      <c r="F261" s="118" t="s">
        <v>17540</v>
      </c>
      <c r="G261" s="126" t="str">
        <f t="shared" si="13"/>
        <v>MEP-T2V-6V-4</v>
      </c>
      <c r="H261" s="122" t="s">
        <v>292</v>
      </c>
      <c r="I261" s="129">
        <v>1</v>
      </c>
      <c r="J261" s="128" t="s">
        <v>286</v>
      </c>
    </row>
    <row r="262" spans="1:10" s="18" customFormat="1" ht="12.75" hidden="1" customHeight="1" outlineLevel="1">
      <c r="A262" s="110"/>
      <c r="B262" s="118" t="s">
        <v>17405</v>
      </c>
      <c r="C262" s="307" t="s">
        <v>17721</v>
      </c>
      <c r="D262" s="124" t="s">
        <v>17722</v>
      </c>
      <c r="E262" s="46"/>
      <c r="F262" s="118" t="s">
        <v>17540</v>
      </c>
      <c r="G262" s="126" t="str">
        <f>CONCATENATE("MEP-",F262,"-",H262)</f>
        <v>MEP-T2V-6V-4</v>
      </c>
      <c r="H262" s="122" t="s">
        <v>292</v>
      </c>
      <c r="I262" s="120">
        <v>1</v>
      </c>
      <c r="J262" s="128" t="s">
        <v>286</v>
      </c>
    </row>
    <row r="263" spans="1:10" s="18" customFormat="1" ht="12.75" hidden="1" customHeight="1" outlineLevel="1">
      <c r="A263" s="110"/>
      <c r="B263" s="118" t="s">
        <v>17405</v>
      </c>
      <c r="C263" s="307" t="s">
        <v>17723</v>
      </c>
      <c r="D263" s="124" t="s">
        <v>17724</v>
      </c>
      <c r="E263" s="46"/>
      <c r="F263" s="118" t="s">
        <v>17540</v>
      </c>
      <c r="G263" s="126" t="str">
        <f t="shared" ref="G263:G264" si="15">CONCATENATE("MEP-",F263,"-",H263)</f>
        <v>MEP-T2V-6V-4</v>
      </c>
      <c r="H263" s="122" t="s">
        <v>292</v>
      </c>
      <c r="I263" s="120">
        <v>1</v>
      </c>
      <c r="J263" s="128" t="s">
        <v>286</v>
      </c>
    </row>
    <row r="264" spans="1:10" s="18" customFormat="1" ht="12.75" hidden="1" customHeight="1" outlineLevel="1">
      <c r="A264" s="110"/>
      <c r="B264" s="118" t="s">
        <v>17405</v>
      </c>
      <c r="C264" s="307" t="s">
        <v>17725</v>
      </c>
      <c r="D264" s="124" t="s">
        <v>17726</v>
      </c>
      <c r="E264" s="46"/>
      <c r="F264" s="118" t="s">
        <v>17540</v>
      </c>
      <c r="G264" s="126" t="str">
        <f t="shared" si="15"/>
        <v>MEP-T2V-6V-4</v>
      </c>
      <c r="H264" s="122" t="s">
        <v>292</v>
      </c>
      <c r="I264" s="120">
        <v>1</v>
      </c>
      <c r="J264" s="128" t="s">
        <v>286</v>
      </c>
    </row>
    <row r="265" spans="1:10" s="18" customFormat="1" ht="12.75" hidden="1" customHeight="1" outlineLevel="1">
      <c r="A265" s="110"/>
      <c r="B265" s="118" t="s">
        <v>17394</v>
      </c>
      <c r="C265" s="307" t="s">
        <v>17727</v>
      </c>
      <c r="D265" s="124" t="s">
        <v>17728</v>
      </c>
      <c r="E265" s="46"/>
      <c r="F265" s="118" t="s">
        <v>17540</v>
      </c>
      <c r="G265" s="126" t="str">
        <f t="shared" si="13"/>
        <v>MEP-T2V-6V-4</v>
      </c>
      <c r="H265" s="122" t="s">
        <v>292</v>
      </c>
      <c r="I265" s="120">
        <v>1</v>
      </c>
      <c r="J265" s="128" t="s">
        <v>286</v>
      </c>
    </row>
    <row r="266" spans="1:10" s="18" customFormat="1" ht="12.75" hidden="1" customHeight="1" outlineLevel="1">
      <c r="A266" s="110"/>
      <c r="B266" s="118" t="s">
        <v>17371</v>
      </c>
      <c r="C266" s="307" t="s">
        <v>17729</v>
      </c>
      <c r="D266" s="124" t="s">
        <v>17730</v>
      </c>
      <c r="E266" s="46"/>
      <c r="F266" s="118" t="s">
        <v>17540</v>
      </c>
      <c r="G266" s="126" t="str">
        <f t="shared" si="13"/>
        <v>MEP-T2V-6V-4</v>
      </c>
      <c r="H266" s="122" t="s">
        <v>292</v>
      </c>
      <c r="I266" s="120">
        <v>1</v>
      </c>
      <c r="J266" s="128" t="s">
        <v>286</v>
      </c>
    </row>
    <row r="267" spans="1:10" s="18" customFormat="1" ht="12.75" hidden="1" customHeight="1" outlineLevel="1">
      <c r="A267" s="110"/>
      <c r="B267" s="118" t="s">
        <v>17371</v>
      </c>
      <c r="C267" s="307" t="s">
        <v>17731</v>
      </c>
      <c r="D267" s="124" t="s">
        <v>17732</v>
      </c>
      <c r="E267" s="46"/>
      <c r="F267" s="118" t="s">
        <v>17540</v>
      </c>
      <c r="G267" s="126" t="str">
        <f t="shared" si="13"/>
        <v>MEP-T2V-6V-4</v>
      </c>
      <c r="H267" s="122" t="s">
        <v>292</v>
      </c>
      <c r="I267" s="120">
        <v>1</v>
      </c>
      <c r="J267" s="128" t="s">
        <v>286</v>
      </c>
    </row>
    <row r="268" spans="1:10" s="18" customFormat="1" ht="12.75" hidden="1" customHeight="1" outlineLevel="1">
      <c r="A268" s="110"/>
      <c r="B268" s="118" t="s">
        <v>17438</v>
      </c>
      <c r="C268" s="307" t="s">
        <v>17733</v>
      </c>
      <c r="D268" s="124" t="s">
        <v>17734</v>
      </c>
      <c r="E268" s="46"/>
      <c r="F268" s="118" t="s">
        <v>17540</v>
      </c>
      <c r="G268" s="126" t="str">
        <f t="shared" si="13"/>
        <v>MEP-T2V-6V-4</v>
      </c>
      <c r="H268" s="122" t="s">
        <v>292</v>
      </c>
      <c r="I268" s="120">
        <v>1</v>
      </c>
      <c r="J268" s="128" t="s">
        <v>286</v>
      </c>
    </row>
    <row r="269" spans="1:10" s="18" customFormat="1" ht="12.75" hidden="1" customHeight="1" outlineLevel="1">
      <c r="A269" s="110"/>
      <c r="B269" s="118" t="s">
        <v>17394</v>
      </c>
      <c r="C269" s="307" t="s">
        <v>17735</v>
      </c>
      <c r="D269" s="124" t="s">
        <v>17736</v>
      </c>
      <c r="E269" s="46"/>
      <c r="F269" s="118" t="s">
        <v>17540</v>
      </c>
      <c r="G269" s="126" t="str">
        <f t="shared" si="13"/>
        <v>MEP-T2V-6V-4</v>
      </c>
      <c r="H269" s="122" t="s">
        <v>292</v>
      </c>
      <c r="I269" s="129">
        <v>1</v>
      </c>
      <c r="J269" s="128" t="s">
        <v>286</v>
      </c>
    </row>
    <row r="270" spans="1:10" s="18" customFormat="1" ht="12.75" hidden="1" customHeight="1" outlineLevel="1">
      <c r="A270" s="110"/>
      <c r="B270" s="118" t="s">
        <v>17405</v>
      </c>
      <c r="C270" s="307" t="s">
        <v>17737</v>
      </c>
      <c r="D270" s="124" t="s">
        <v>17738</v>
      </c>
      <c r="E270" s="46"/>
      <c r="F270" s="118" t="s">
        <v>17540</v>
      </c>
      <c r="G270" s="126" t="str">
        <f>CONCATENATE("MEP-",F270,"-",H270)</f>
        <v>MEP-T2V-6V-4</v>
      </c>
      <c r="H270" s="122" t="s">
        <v>292</v>
      </c>
      <c r="I270" s="120">
        <v>1</v>
      </c>
      <c r="J270" s="128" t="s">
        <v>286</v>
      </c>
    </row>
    <row r="271" spans="1:10" s="18" customFormat="1" ht="12.75" hidden="1" customHeight="1" outlineLevel="1">
      <c r="A271" s="110"/>
      <c r="B271" s="118" t="s">
        <v>17405</v>
      </c>
      <c r="C271" s="307" t="s">
        <v>17739</v>
      </c>
      <c r="D271" s="124" t="s">
        <v>17740</v>
      </c>
      <c r="E271" s="46"/>
      <c r="F271" s="118" t="s">
        <v>17540</v>
      </c>
      <c r="G271" s="126" t="str">
        <f t="shared" ref="G271:G272" si="16">CONCATENATE("MEP-",F271,"-",H271)</f>
        <v>MEP-T2V-6V-4</v>
      </c>
      <c r="H271" s="122" t="s">
        <v>292</v>
      </c>
      <c r="I271" s="120">
        <v>1</v>
      </c>
      <c r="J271" s="128" t="s">
        <v>286</v>
      </c>
    </row>
    <row r="272" spans="1:10" s="18" customFormat="1" ht="12.75" hidden="1" customHeight="1" outlineLevel="1">
      <c r="A272" s="110"/>
      <c r="B272" s="118" t="s">
        <v>17405</v>
      </c>
      <c r="C272" s="307" t="s">
        <v>17741</v>
      </c>
      <c r="D272" s="124" t="s">
        <v>17742</v>
      </c>
      <c r="E272" s="46"/>
      <c r="F272" s="118" t="s">
        <v>17540</v>
      </c>
      <c r="G272" s="126" t="str">
        <f t="shared" si="16"/>
        <v>MEP-T2V-6V-4</v>
      </c>
      <c r="H272" s="122" t="s">
        <v>292</v>
      </c>
      <c r="I272" s="120">
        <v>1</v>
      </c>
      <c r="J272" s="128" t="s">
        <v>286</v>
      </c>
    </row>
    <row r="273" spans="1:10" s="18" customFormat="1" ht="12.75" hidden="1" customHeight="1" outlineLevel="1">
      <c r="A273" s="110"/>
      <c r="B273" s="118" t="s">
        <v>17394</v>
      </c>
      <c r="C273" s="307" t="s">
        <v>17743</v>
      </c>
      <c r="D273" s="124" t="s">
        <v>17744</v>
      </c>
      <c r="E273" s="46"/>
      <c r="F273" s="118" t="s">
        <v>17540</v>
      </c>
      <c r="G273" s="126" t="str">
        <f t="shared" si="13"/>
        <v>MEP-T2V-6V-4</v>
      </c>
      <c r="H273" s="122" t="s">
        <v>292</v>
      </c>
      <c r="I273" s="120">
        <v>1</v>
      </c>
      <c r="J273" s="128" t="s">
        <v>286</v>
      </c>
    </row>
    <row r="274" spans="1:10" s="18" customFormat="1" ht="12.75" hidden="1" customHeight="1" outlineLevel="1">
      <c r="A274" s="110"/>
      <c r="B274" s="118" t="s">
        <v>17371</v>
      </c>
      <c r="C274" s="307" t="s">
        <v>17745</v>
      </c>
      <c r="D274" s="124" t="s">
        <v>17746</v>
      </c>
      <c r="E274" s="46"/>
      <c r="F274" s="118" t="s">
        <v>17540</v>
      </c>
      <c r="G274" s="126" t="str">
        <f t="shared" si="13"/>
        <v>MEP-T2V-6V-4</v>
      </c>
      <c r="H274" s="122" t="s">
        <v>292</v>
      </c>
      <c r="I274" s="120">
        <v>1</v>
      </c>
      <c r="J274" s="128" t="s">
        <v>286</v>
      </c>
    </row>
    <row r="275" spans="1:10" s="18" customFormat="1" ht="12.75" hidden="1" customHeight="1" outlineLevel="1">
      <c r="A275" s="110"/>
      <c r="B275" s="118" t="s">
        <v>17371</v>
      </c>
      <c r="C275" s="307" t="s">
        <v>17747</v>
      </c>
      <c r="D275" s="124" t="s">
        <v>17748</v>
      </c>
      <c r="E275" s="46"/>
      <c r="F275" s="118" t="s">
        <v>17540</v>
      </c>
      <c r="G275" s="126" t="str">
        <f t="shared" si="13"/>
        <v>MEP-T2V-6V-4</v>
      </c>
      <c r="H275" s="122" t="s">
        <v>292</v>
      </c>
      <c r="I275" s="120">
        <v>1</v>
      </c>
      <c r="J275" s="128" t="s">
        <v>286</v>
      </c>
    </row>
    <row r="276" spans="1:10" s="18" customFormat="1" ht="12.75" hidden="1" customHeight="1" outlineLevel="1">
      <c r="A276" s="110"/>
      <c r="B276" s="118" t="s">
        <v>17438</v>
      </c>
      <c r="C276" s="307" t="s">
        <v>17691</v>
      </c>
      <c r="D276" s="124" t="s">
        <v>17692</v>
      </c>
      <c r="E276" s="46"/>
      <c r="F276" s="118" t="s">
        <v>17540</v>
      </c>
      <c r="G276" s="126" t="str">
        <f t="shared" si="13"/>
        <v>MEP-T2V-6V-4</v>
      </c>
      <c r="H276" s="122" t="s">
        <v>292</v>
      </c>
      <c r="I276" s="120">
        <v>1</v>
      </c>
      <c r="J276" s="128" t="s">
        <v>286</v>
      </c>
    </row>
    <row r="277" spans="1:10" s="18" customFormat="1" ht="12.75" hidden="1" customHeight="1" outlineLevel="1">
      <c r="A277" s="110"/>
      <c r="B277" s="118" t="s">
        <v>17394</v>
      </c>
      <c r="C277" s="307" t="s">
        <v>17693</v>
      </c>
      <c r="D277" s="124" t="s">
        <v>17694</v>
      </c>
      <c r="E277" s="46"/>
      <c r="F277" s="118" t="s">
        <v>17540</v>
      </c>
      <c r="G277" s="126" t="str">
        <f t="shared" si="13"/>
        <v>MEP-T2V-6V-4</v>
      </c>
      <c r="H277" s="122" t="s">
        <v>292</v>
      </c>
      <c r="I277" s="129">
        <v>1</v>
      </c>
      <c r="J277" s="128" t="s">
        <v>286</v>
      </c>
    </row>
    <row r="278" spans="1:10" s="18" customFormat="1" ht="12.75" hidden="1" customHeight="1" outlineLevel="1">
      <c r="A278" s="110"/>
      <c r="B278" s="118" t="s">
        <v>17405</v>
      </c>
      <c r="C278" s="307" t="s">
        <v>17749</v>
      </c>
      <c r="D278" s="124" t="s">
        <v>17750</v>
      </c>
      <c r="E278" s="46"/>
      <c r="F278" s="118" t="s">
        <v>17540</v>
      </c>
      <c r="G278" s="126" t="str">
        <f>CONCATENATE("MEP-",F278,"-",H278)</f>
        <v>MEP-T2V-6V-4</v>
      </c>
      <c r="H278" s="122" t="s">
        <v>292</v>
      </c>
      <c r="I278" s="120">
        <v>1</v>
      </c>
      <c r="J278" s="128" t="s">
        <v>286</v>
      </c>
    </row>
    <row r="279" spans="1:10" s="18" customFormat="1" ht="12.75" hidden="1" customHeight="1" outlineLevel="1">
      <c r="A279" s="110"/>
      <c r="B279" s="118" t="s">
        <v>17405</v>
      </c>
      <c r="C279" s="307" t="s">
        <v>17441</v>
      </c>
      <c r="D279" s="124" t="s">
        <v>17442</v>
      </c>
      <c r="E279" s="46"/>
      <c r="F279" s="118" t="s">
        <v>17540</v>
      </c>
      <c r="G279" s="126" t="str">
        <f t="shared" ref="G279:G280" si="17">CONCATENATE("MEP-",F279,"-",H279)</f>
        <v>MEP-T2V-6V-4</v>
      </c>
      <c r="H279" s="122" t="s">
        <v>292</v>
      </c>
      <c r="I279" s="120">
        <v>1</v>
      </c>
      <c r="J279" s="128" t="s">
        <v>286</v>
      </c>
    </row>
    <row r="280" spans="1:10" s="18" customFormat="1" ht="12.75" hidden="1" customHeight="1" outlineLevel="1">
      <c r="A280" s="110"/>
      <c r="B280" s="118" t="s">
        <v>17405</v>
      </c>
      <c r="C280" s="307" t="s">
        <v>17751</v>
      </c>
      <c r="D280" s="124" t="s">
        <v>17752</v>
      </c>
      <c r="E280" s="46"/>
      <c r="F280" s="118" t="s">
        <v>17540</v>
      </c>
      <c r="G280" s="126" t="str">
        <f t="shared" si="17"/>
        <v>MEP-T2V-6V-4</v>
      </c>
      <c r="H280" s="122" t="s">
        <v>292</v>
      </c>
      <c r="I280" s="120">
        <v>1</v>
      </c>
      <c r="J280" s="128" t="s">
        <v>286</v>
      </c>
    </row>
    <row r="281" spans="1:10" s="18" customFormat="1" ht="12.75" hidden="1" customHeight="1" outlineLevel="1">
      <c r="A281" s="110"/>
      <c r="B281" s="118" t="s">
        <v>17394</v>
      </c>
      <c r="C281" s="307" t="s">
        <v>17753</v>
      </c>
      <c r="D281" s="124" t="s">
        <v>17754</v>
      </c>
      <c r="E281" s="46"/>
      <c r="F281" s="118" t="s">
        <v>17540</v>
      </c>
      <c r="G281" s="126" t="str">
        <f t="shared" si="13"/>
        <v>MEP-T2V-6V-4</v>
      </c>
      <c r="H281" s="122" t="s">
        <v>292</v>
      </c>
      <c r="I281" s="120">
        <v>1</v>
      </c>
      <c r="J281" s="128" t="s">
        <v>286</v>
      </c>
    </row>
    <row r="282" spans="1:10" s="18" customFormat="1" ht="12.75" hidden="1" customHeight="1" outlineLevel="1">
      <c r="A282" s="110"/>
      <c r="B282" s="118" t="s">
        <v>17371</v>
      </c>
      <c r="C282" s="307" t="s">
        <v>17634</v>
      </c>
      <c r="D282" s="124" t="s">
        <v>17635</v>
      </c>
      <c r="E282" s="46"/>
      <c r="F282" s="118" t="s">
        <v>17540</v>
      </c>
      <c r="G282" s="126" t="str">
        <f t="shared" si="13"/>
        <v>MEP-T2V-6V-4</v>
      </c>
      <c r="H282" s="122" t="s">
        <v>292</v>
      </c>
      <c r="I282" s="120">
        <v>1</v>
      </c>
      <c r="J282" s="128" t="s">
        <v>286</v>
      </c>
    </row>
    <row r="283" spans="1:10" s="18" customFormat="1" ht="12.75" hidden="1" customHeight="1" outlineLevel="1">
      <c r="A283" s="110"/>
      <c r="B283" s="118" t="s">
        <v>17371</v>
      </c>
      <c r="C283" s="307" t="s">
        <v>17755</v>
      </c>
      <c r="D283" s="124" t="s">
        <v>17756</v>
      </c>
      <c r="E283" s="46"/>
      <c r="F283" s="118" t="s">
        <v>17540</v>
      </c>
      <c r="G283" s="126" t="str">
        <f t="shared" si="13"/>
        <v>MEP-T2V-6V-4</v>
      </c>
      <c r="H283" s="122" t="s">
        <v>292</v>
      </c>
      <c r="I283" s="120">
        <v>1</v>
      </c>
      <c r="J283" s="128" t="s">
        <v>286</v>
      </c>
    </row>
    <row r="284" spans="1:10" s="18" customFormat="1" ht="12.75" hidden="1" customHeight="1" outlineLevel="1">
      <c r="A284" s="110"/>
      <c r="B284" s="118" t="s">
        <v>17438</v>
      </c>
      <c r="C284" s="307" t="s">
        <v>3366</v>
      </c>
      <c r="D284" s="124" t="s">
        <v>3367</v>
      </c>
      <c r="E284" s="46"/>
      <c r="F284" s="118" t="s">
        <v>17540</v>
      </c>
      <c r="G284" s="126" t="str">
        <f t="shared" si="13"/>
        <v>MEP-T2V-6V-4</v>
      </c>
      <c r="H284" s="122" t="s">
        <v>292</v>
      </c>
      <c r="I284" s="120">
        <v>1</v>
      </c>
      <c r="J284" s="128" t="s">
        <v>286</v>
      </c>
    </row>
    <row r="285" spans="1:10" s="18" customFormat="1" ht="12.75" hidden="1" customHeight="1" outlineLevel="1">
      <c r="A285" s="110"/>
      <c r="B285" s="118" t="s">
        <v>17394</v>
      </c>
      <c r="C285" s="307" t="s">
        <v>3368</v>
      </c>
      <c r="D285" s="124" t="s">
        <v>3369</v>
      </c>
      <c r="E285" s="46"/>
      <c r="F285" s="118" t="s">
        <v>17540</v>
      </c>
      <c r="G285" s="126" t="str">
        <f t="shared" si="13"/>
        <v>MEP-T2V-6V-4</v>
      </c>
      <c r="H285" s="122" t="s">
        <v>292</v>
      </c>
      <c r="I285" s="129">
        <v>1</v>
      </c>
      <c r="J285" s="128" t="s">
        <v>286</v>
      </c>
    </row>
    <row r="286" spans="1:10" s="18" customFormat="1" ht="12.75" hidden="1" customHeight="1" outlineLevel="1">
      <c r="A286" s="110"/>
      <c r="B286" s="118" t="s">
        <v>17405</v>
      </c>
      <c r="C286" s="307" t="s">
        <v>3370</v>
      </c>
      <c r="D286" s="124" t="s">
        <v>3371</v>
      </c>
      <c r="E286" s="46"/>
      <c r="F286" s="118" t="s">
        <v>17540</v>
      </c>
      <c r="G286" s="126" t="str">
        <f>CONCATENATE("MEP-",F286,"-",H286)</f>
        <v>MEP-T2V-6V-4</v>
      </c>
      <c r="H286" s="122" t="s">
        <v>292</v>
      </c>
      <c r="I286" s="120">
        <v>1</v>
      </c>
      <c r="J286" s="128" t="s">
        <v>286</v>
      </c>
    </row>
    <row r="287" spans="1:10" s="18" customFormat="1" ht="12.75" hidden="1" customHeight="1" outlineLevel="1">
      <c r="A287" s="110"/>
      <c r="B287" s="118" t="s">
        <v>17405</v>
      </c>
      <c r="C287" s="307" t="s">
        <v>3372</v>
      </c>
      <c r="D287" s="124" t="s">
        <v>17757</v>
      </c>
      <c r="E287" s="46"/>
      <c r="F287" s="118" t="s">
        <v>17540</v>
      </c>
      <c r="G287" s="126" t="str">
        <f t="shared" ref="G287:G288" si="18">CONCATENATE("MEP-",F287,"-",H287)</f>
        <v>MEP-T2V-6V-4</v>
      </c>
      <c r="H287" s="122" t="s">
        <v>292</v>
      </c>
      <c r="I287" s="120">
        <v>1</v>
      </c>
      <c r="J287" s="128" t="s">
        <v>286</v>
      </c>
    </row>
    <row r="288" spans="1:10" s="18" customFormat="1" ht="12.75" hidden="1" customHeight="1" outlineLevel="1">
      <c r="A288" s="110"/>
      <c r="B288" s="118" t="s">
        <v>17405</v>
      </c>
      <c r="C288" s="307" t="s">
        <v>17758</v>
      </c>
      <c r="D288" s="124" t="s">
        <v>17759</v>
      </c>
      <c r="E288" s="46"/>
      <c r="F288" s="118" t="s">
        <v>17540</v>
      </c>
      <c r="G288" s="126" t="str">
        <f t="shared" si="18"/>
        <v>MEP-T2V-6V-4</v>
      </c>
      <c r="H288" s="122" t="s">
        <v>292</v>
      </c>
      <c r="I288" s="120">
        <v>1</v>
      </c>
      <c r="J288" s="128" t="s">
        <v>286</v>
      </c>
    </row>
    <row r="289" spans="1:10" s="18" customFormat="1" ht="12.75" hidden="1" customHeight="1" outlineLevel="1">
      <c r="A289" s="110"/>
      <c r="B289" s="118" t="s">
        <v>17394</v>
      </c>
      <c r="C289" s="307" t="s">
        <v>3374</v>
      </c>
      <c r="D289" s="124" t="s">
        <v>3375</v>
      </c>
      <c r="E289" s="46"/>
      <c r="F289" s="118" t="s">
        <v>17540</v>
      </c>
      <c r="G289" s="126" t="str">
        <f t="shared" si="13"/>
        <v>MEP-T2V-6V-4</v>
      </c>
      <c r="H289" s="122" t="s">
        <v>292</v>
      </c>
      <c r="I289" s="120">
        <v>1</v>
      </c>
      <c r="J289" s="128" t="s">
        <v>286</v>
      </c>
    </row>
    <row r="290" spans="1:10" s="18" customFormat="1" ht="12.75" hidden="1" customHeight="1" outlineLevel="1">
      <c r="A290" s="110"/>
      <c r="B290" s="118" t="s">
        <v>17371</v>
      </c>
      <c r="C290" s="307" t="s">
        <v>3376</v>
      </c>
      <c r="D290" s="124" t="s">
        <v>3377</v>
      </c>
      <c r="E290" s="46"/>
      <c r="F290" s="118" t="s">
        <v>17540</v>
      </c>
      <c r="G290" s="126" t="str">
        <f t="shared" si="13"/>
        <v>MEP-T2V-6V-4</v>
      </c>
      <c r="H290" s="122" t="s">
        <v>292</v>
      </c>
      <c r="I290" s="120">
        <v>1</v>
      </c>
      <c r="J290" s="128" t="s">
        <v>286</v>
      </c>
    </row>
    <row r="291" spans="1:10" s="18" customFormat="1" ht="12.75" hidden="1" customHeight="1" outlineLevel="1">
      <c r="A291" s="110"/>
      <c r="B291" s="118" t="s">
        <v>17371</v>
      </c>
      <c r="C291" s="307" t="s">
        <v>3378</v>
      </c>
      <c r="D291" s="124" t="s">
        <v>3379</v>
      </c>
      <c r="E291" s="46"/>
      <c r="F291" s="118" t="s">
        <v>17540</v>
      </c>
      <c r="G291" s="126" t="str">
        <f t="shared" si="13"/>
        <v>MEP-T2V-6V-4</v>
      </c>
      <c r="H291" s="122" t="s">
        <v>292</v>
      </c>
      <c r="I291" s="120">
        <v>1</v>
      </c>
      <c r="J291" s="128" t="s">
        <v>286</v>
      </c>
    </row>
    <row r="292" spans="1:10" s="18" customFormat="1" ht="12.75" hidden="1" customHeight="1" outlineLevel="1">
      <c r="A292" s="110"/>
      <c r="B292" s="118" t="s">
        <v>17438</v>
      </c>
      <c r="C292" s="307" t="s">
        <v>3380</v>
      </c>
      <c r="D292" s="124" t="s">
        <v>3381</v>
      </c>
      <c r="E292" s="46"/>
      <c r="F292" s="118" t="s">
        <v>17540</v>
      </c>
      <c r="G292" s="126" t="str">
        <f t="shared" si="13"/>
        <v>MEP-T2V-6V-4</v>
      </c>
      <c r="H292" s="122" t="s">
        <v>292</v>
      </c>
      <c r="I292" s="120">
        <v>1</v>
      </c>
      <c r="J292" s="128" t="s">
        <v>286</v>
      </c>
    </row>
    <row r="293" spans="1:10" s="18" customFormat="1" ht="12.75" hidden="1" customHeight="1" outlineLevel="1">
      <c r="A293" s="110"/>
      <c r="B293" s="118" t="s">
        <v>17394</v>
      </c>
      <c r="C293" s="307" t="s">
        <v>3382</v>
      </c>
      <c r="D293" s="124" t="s">
        <v>3383</v>
      </c>
      <c r="E293" s="46"/>
      <c r="F293" s="118" t="s">
        <v>17540</v>
      </c>
      <c r="G293" s="126" t="str">
        <f t="shared" si="13"/>
        <v>MEP-T2V-6V-4</v>
      </c>
      <c r="H293" s="122" t="s">
        <v>292</v>
      </c>
      <c r="I293" s="129">
        <v>1</v>
      </c>
      <c r="J293" s="128" t="s">
        <v>286</v>
      </c>
    </row>
    <row r="294" spans="1:10" s="18" customFormat="1" ht="12.75" hidden="1" customHeight="1" outlineLevel="1">
      <c r="A294" s="110"/>
      <c r="B294" s="118" t="s">
        <v>17405</v>
      </c>
      <c r="C294" s="307" t="s">
        <v>3384</v>
      </c>
      <c r="D294" s="124" t="s">
        <v>3385</v>
      </c>
      <c r="E294" s="46"/>
      <c r="F294" s="118" t="s">
        <v>17540</v>
      </c>
      <c r="G294" s="126" t="str">
        <f>CONCATENATE("MEP-",F294,"-",H294)</f>
        <v>MEP-T2V-6V-4</v>
      </c>
      <c r="H294" s="122" t="s">
        <v>292</v>
      </c>
      <c r="I294" s="120">
        <v>1</v>
      </c>
      <c r="J294" s="128" t="s">
        <v>286</v>
      </c>
    </row>
    <row r="295" spans="1:10" s="18" customFormat="1" ht="12.75" hidden="1" customHeight="1" outlineLevel="1">
      <c r="A295" s="110"/>
      <c r="B295" s="118" t="s">
        <v>17405</v>
      </c>
      <c r="C295" s="307" t="s">
        <v>3386</v>
      </c>
      <c r="D295" s="124" t="s">
        <v>3387</v>
      </c>
      <c r="E295" s="46"/>
      <c r="F295" s="118" t="s">
        <v>17540</v>
      </c>
      <c r="G295" s="126" t="str">
        <f t="shared" ref="G295:G296" si="19">CONCATENATE("MEP-",F295,"-",H295)</f>
        <v>MEP-T2V-6V-4</v>
      </c>
      <c r="H295" s="122" t="s">
        <v>292</v>
      </c>
      <c r="I295" s="120">
        <v>1</v>
      </c>
      <c r="J295" s="128" t="s">
        <v>286</v>
      </c>
    </row>
    <row r="296" spans="1:10" s="18" customFormat="1" ht="12.75" hidden="1" customHeight="1" outlineLevel="1">
      <c r="A296" s="110"/>
      <c r="B296" s="118" t="s">
        <v>17405</v>
      </c>
      <c r="C296" s="307" t="s">
        <v>3388</v>
      </c>
      <c r="D296" s="124" t="s">
        <v>3389</v>
      </c>
      <c r="E296" s="46"/>
      <c r="F296" s="118" t="s">
        <v>17540</v>
      </c>
      <c r="G296" s="126" t="str">
        <f t="shared" si="19"/>
        <v>MEP-T2V-6V-4</v>
      </c>
      <c r="H296" s="122" t="s">
        <v>292</v>
      </c>
      <c r="I296" s="120">
        <v>1</v>
      </c>
      <c r="J296" s="128" t="s">
        <v>286</v>
      </c>
    </row>
    <row r="297" spans="1:10" s="18" customFormat="1" ht="12.75" hidden="1" customHeight="1" outlineLevel="1">
      <c r="A297" s="110"/>
      <c r="B297" s="118" t="s">
        <v>17394</v>
      </c>
      <c r="C297" s="307" t="s">
        <v>3390</v>
      </c>
      <c r="D297" s="124" t="s">
        <v>3391</v>
      </c>
      <c r="E297" s="46"/>
      <c r="F297" s="118" t="s">
        <v>17540</v>
      </c>
      <c r="G297" s="126" t="str">
        <f t="shared" si="13"/>
        <v>MEP-T2V-6V-4</v>
      </c>
      <c r="H297" s="122" t="s">
        <v>292</v>
      </c>
      <c r="I297" s="120">
        <v>1</v>
      </c>
      <c r="J297" s="128" t="s">
        <v>286</v>
      </c>
    </row>
    <row r="298" spans="1:10" s="18" customFormat="1" ht="12.75" hidden="1" customHeight="1" outlineLevel="1">
      <c r="A298" s="110"/>
      <c r="B298" s="118" t="s">
        <v>17371</v>
      </c>
      <c r="C298" s="307" t="s">
        <v>3392</v>
      </c>
      <c r="D298" s="124" t="s">
        <v>3393</v>
      </c>
      <c r="E298" s="46"/>
      <c r="F298" s="118" t="s">
        <v>17540</v>
      </c>
      <c r="G298" s="126" t="str">
        <f t="shared" si="13"/>
        <v>MEP-T2V-6V-4</v>
      </c>
      <c r="H298" s="122" t="s">
        <v>292</v>
      </c>
      <c r="I298" s="120">
        <v>1</v>
      </c>
      <c r="J298" s="128" t="s">
        <v>286</v>
      </c>
    </row>
    <row r="299" spans="1:10" s="18" customFormat="1" ht="12.75" hidden="1" customHeight="1" outlineLevel="1">
      <c r="A299" s="110"/>
      <c r="B299" s="118" t="s">
        <v>17371</v>
      </c>
      <c r="C299" s="307" t="s">
        <v>3394</v>
      </c>
      <c r="D299" s="124" t="s">
        <v>3395</v>
      </c>
      <c r="E299" s="46"/>
      <c r="F299" s="118" t="s">
        <v>17540</v>
      </c>
      <c r="G299" s="126" t="str">
        <f t="shared" si="13"/>
        <v>MEP-T2V-6V-4</v>
      </c>
      <c r="H299" s="122" t="s">
        <v>292</v>
      </c>
      <c r="I299" s="120">
        <v>1</v>
      </c>
      <c r="J299" s="128" t="s">
        <v>286</v>
      </c>
    </row>
    <row r="300" spans="1:10" s="18" customFormat="1" ht="12.75" hidden="1" customHeight="1" outlineLevel="1">
      <c r="A300" s="110"/>
      <c r="B300" s="118" t="s">
        <v>17438</v>
      </c>
      <c r="C300" s="307" t="s">
        <v>3396</v>
      </c>
      <c r="D300" s="124" t="s">
        <v>3397</v>
      </c>
      <c r="E300" s="46"/>
      <c r="F300" s="118" t="s">
        <v>17540</v>
      </c>
      <c r="G300" s="126" t="str">
        <f t="shared" si="13"/>
        <v>MEP-T2V-6V-4</v>
      </c>
      <c r="H300" s="122" t="s">
        <v>292</v>
      </c>
      <c r="I300" s="120">
        <v>1</v>
      </c>
      <c r="J300" s="128" t="s">
        <v>286</v>
      </c>
    </row>
    <row r="301" spans="1:10" s="18" customFormat="1" ht="12.75" hidden="1" customHeight="1" outlineLevel="1">
      <c r="A301" s="110"/>
      <c r="B301" s="118" t="s">
        <v>17394</v>
      </c>
      <c r="C301" s="307" t="s">
        <v>17760</v>
      </c>
      <c r="D301" s="124" t="s">
        <v>17761</v>
      </c>
      <c r="E301" s="46"/>
      <c r="F301" s="118" t="s">
        <v>17540</v>
      </c>
      <c r="G301" s="126" t="str">
        <f t="shared" si="13"/>
        <v>MEP-T2V-6V-4</v>
      </c>
      <c r="H301" s="122" t="s">
        <v>292</v>
      </c>
      <c r="I301" s="129">
        <v>1</v>
      </c>
      <c r="J301" s="128" t="s">
        <v>286</v>
      </c>
    </row>
    <row r="302" spans="1:10" s="18" customFormat="1" ht="12.75" hidden="1" customHeight="1" outlineLevel="1">
      <c r="A302" s="110"/>
      <c r="B302" s="118" t="s">
        <v>17405</v>
      </c>
      <c r="C302" s="307" t="s">
        <v>3320</v>
      </c>
      <c r="D302" s="124" t="s">
        <v>3321</v>
      </c>
      <c r="E302" s="46"/>
      <c r="F302" s="118" t="s">
        <v>17540</v>
      </c>
      <c r="G302" s="126" t="str">
        <f>CONCATENATE("MEP-",F302,"-",H302)</f>
        <v>MEP-T2V-6V-4</v>
      </c>
      <c r="H302" s="122" t="s">
        <v>292</v>
      </c>
      <c r="I302" s="120">
        <v>1</v>
      </c>
      <c r="J302" s="128" t="s">
        <v>286</v>
      </c>
    </row>
    <row r="303" spans="1:10" s="18" customFormat="1" ht="12.75" hidden="1" customHeight="1" outlineLevel="1">
      <c r="A303" s="110"/>
      <c r="B303" s="118" t="s">
        <v>17405</v>
      </c>
      <c r="C303" s="307" t="s">
        <v>3439</v>
      </c>
      <c r="D303" s="124" t="s">
        <v>3440</v>
      </c>
      <c r="E303" s="46"/>
      <c r="F303" s="118" t="s">
        <v>17540</v>
      </c>
      <c r="G303" s="126" t="str">
        <f t="shared" ref="G303:G304" si="20">CONCATENATE("MEP-",F303,"-",H303)</f>
        <v>MEP-T2V-6V-8</v>
      </c>
      <c r="H303" s="122" t="s">
        <v>410</v>
      </c>
      <c r="I303" s="120">
        <v>1</v>
      </c>
      <c r="J303" s="128" t="s">
        <v>286</v>
      </c>
    </row>
    <row r="304" spans="1:10" s="18" customFormat="1" ht="12.75" hidden="1" customHeight="1" outlineLevel="1">
      <c r="A304" s="110"/>
      <c r="B304" s="118" t="s">
        <v>17405</v>
      </c>
      <c r="C304" s="307" t="s">
        <v>17492</v>
      </c>
      <c r="D304" s="124" t="s">
        <v>3440</v>
      </c>
      <c r="E304" s="46"/>
      <c r="F304" s="118" t="s">
        <v>17540</v>
      </c>
      <c r="G304" s="126" t="str">
        <f t="shared" si="20"/>
        <v>MEP-T2V-6V-8</v>
      </c>
      <c r="H304" s="122" t="s">
        <v>410</v>
      </c>
      <c r="I304" s="120">
        <v>1</v>
      </c>
      <c r="J304" s="128" t="s">
        <v>286</v>
      </c>
    </row>
    <row r="305" spans="1:10" s="18" customFormat="1" ht="12.75" hidden="1" customHeight="1" outlineLevel="1">
      <c r="A305" s="110"/>
      <c r="B305" s="118" t="s">
        <v>17394</v>
      </c>
      <c r="C305" s="307" t="s">
        <v>3442</v>
      </c>
      <c r="D305" s="124" t="s">
        <v>3443</v>
      </c>
      <c r="E305" s="46"/>
      <c r="F305" s="118" t="s">
        <v>17540</v>
      </c>
      <c r="G305" s="126" t="str">
        <f t="shared" si="13"/>
        <v>MEP-T2V-6V-8</v>
      </c>
      <c r="H305" s="122" t="s">
        <v>410</v>
      </c>
      <c r="I305" s="120">
        <v>1</v>
      </c>
      <c r="J305" s="128" t="s">
        <v>286</v>
      </c>
    </row>
    <row r="306" spans="1:10" s="18" customFormat="1" ht="12.75" hidden="1" customHeight="1" outlineLevel="1">
      <c r="A306" s="110"/>
      <c r="B306" s="118" t="s">
        <v>17371</v>
      </c>
      <c r="C306" s="307" t="s">
        <v>17494</v>
      </c>
      <c r="D306" s="124" t="s">
        <v>3443</v>
      </c>
      <c r="E306" s="46"/>
      <c r="F306" s="118" t="s">
        <v>17540</v>
      </c>
      <c r="G306" s="126" t="str">
        <f t="shared" si="13"/>
        <v>MEP-T2V-6V-8</v>
      </c>
      <c r="H306" s="122" t="s">
        <v>410</v>
      </c>
      <c r="I306" s="120">
        <v>1</v>
      </c>
      <c r="J306" s="128" t="s">
        <v>286</v>
      </c>
    </row>
    <row r="307" spans="1:10" s="18" customFormat="1" ht="12.75" hidden="1" customHeight="1" outlineLevel="1">
      <c r="A307" s="110"/>
      <c r="B307" s="118" t="s">
        <v>17371</v>
      </c>
      <c r="C307" s="307" t="s">
        <v>3444</v>
      </c>
      <c r="D307" s="124" t="s">
        <v>17762</v>
      </c>
      <c r="E307" s="46"/>
      <c r="F307" s="118" t="s">
        <v>17540</v>
      </c>
      <c r="G307" s="126" t="str">
        <f t="shared" si="13"/>
        <v>MEP-T2V-6V-8</v>
      </c>
      <c r="H307" s="122" t="s">
        <v>410</v>
      </c>
      <c r="I307" s="120">
        <v>1</v>
      </c>
      <c r="J307" s="128" t="s">
        <v>286</v>
      </c>
    </row>
    <row r="308" spans="1:10" s="18" customFormat="1" ht="12.75" hidden="1" customHeight="1" outlineLevel="1">
      <c r="A308" s="110"/>
      <c r="B308" s="118" t="s">
        <v>17438</v>
      </c>
      <c r="C308" s="307" t="s">
        <v>17497</v>
      </c>
      <c r="D308" s="124" t="s">
        <v>17496</v>
      </c>
      <c r="E308" s="46"/>
      <c r="F308" s="118" t="s">
        <v>17540</v>
      </c>
      <c r="G308" s="126" t="str">
        <f t="shared" si="13"/>
        <v>MEP-T2V-6V-8</v>
      </c>
      <c r="H308" s="122" t="s">
        <v>410</v>
      </c>
      <c r="I308" s="120">
        <v>1</v>
      </c>
      <c r="J308" s="128" t="s">
        <v>286</v>
      </c>
    </row>
    <row r="309" spans="1:10" s="18" customFormat="1" ht="12.75" hidden="1" customHeight="1" outlineLevel="1">
      <c r="A309" s="110"/>
      <c r="B309" s="118" t="s">
        <v>17394</v>
      </c>
      <c r="C309" s="307" t="s">
        <v>3446</v>
      </c>
      <c r="D309" s="124" t="s">
        <v>3447</v>
      </c>
      <c r="E309" s="46"/>
      <c r="F309" s="118" t="s">
        <v>17540</v>
      </c>
      <c r="G309" s="126" t="str">
        <f t="shared" si="13"/>
        <v>MEP-T2V-6V-8</v>
      </c>
      <c r="H309" s="122" t="s">
        <v>410</v>
      </c>
      <c r="I309" s="129">
        <v>1</v>
      </c>
      <c r="J309" s="128" t="s">
        <v>286</v>
      </c>
    </row>
    <row r="310" spans="1:10" s="18" customFormat="1" ht="12.75" hidden="1" customHeight="1" outlineLevel="1">
      <c r="A310" s="110"/>
      <c r="B310" s="118" t="s">
        <v>17405</v>
      </c>
      <c r="C310" s="307" t="s">
        <v>17498</v>
      </c>
      <c r="D310" s="124" t="s">
        <v>3447</v>
      </c>
      <c r="E310" s="46"/>
      <c r="F310" s="118" t="s">
        <v>17540</v>
      </c>
      <c r="G310" s="126" t="str">
        <f>CONCATENATE("MEP-",F310,"-",H310)</f>
        <v>MEP-T2V-6V-8</v>
      </c>
      <c r="H310" s="122" t="s">
        <v>410</v>
      </c>
      <c r="I310" s="120">
        <v>1</v>
      </c>
      <c r="J310" s="128" t="s">
        <v>286</v>
      </c>
    </row>
    <row r="311" spans="1:10" s="18" customFormat="1" ht="12.75" hidden="1" customHeight="1" outlineLevel="1">
      <c r="A311" s="110"/>
      <c r="B311" s="118" t="s">
        <v>17405</v>
      </c>
      <c r="C311" s="307" t="s">
        <v>17510</v>
      </c>
      <c r="D311" s="124" t="s">
        <v>17673</v>
      </c>
      <c r="E311" s="46"/>
      <c r="F311" s="118" t="s">
        <v>17540</v>
      </c>
      <c r="G311" s="126" t="str">
        <f t="shared" ref="G311:G312" si="21">CONCATENATE("MEP-",F311,"-",H311)</f>
        <v>MEP-T2V-6V-9</v>
      </c>
      <c r="H311" s="122" t="s">
        <v>421</v>
      </c>
      <c r="I311" s="120">
        <v>1</v>
      </c>
      <c r="J311" s="128" t="s">
        <v>286</v>
      </c>
    </row>
    <row r="312" spans="1:10" s="18" customFormat="1" ht="12.75" hidden="1" customHeight="1" outlineLevel="1">
      <c r="A312" s="110"/>
      <c r="B312" s="118" t="s">
        <v>17405</v>
      </c>
      <c r="C312" s="307" t="s">
        <v>17512</v>
      </c>
      <c r="D312" s="124" t="s">
        <v>17676</v>
      </c>
      <c r="E312" s="46"/>
      <c r="F312" s="118" t="s">
        <v>17540</v>
      </c>
      <c r="G312" s="126" t="str">
        <f t="shared" si="21"/>
        <v>MEP-T2V-6V-9</v>
      </c>
      <c r="H312" s="122" t="s">
        <v>421</v>
      </c>
      <c r="I312" s="120">
        <v>1</v>
      </c>
      <c r="J312" s="128" t="s">
        <v>286</v>
      </c>
    </row>
    <row r="313" spans="1:10" s="18" customFormat="1" ht="12.75" hidden="1" customHeight="1" outlineLevel="1">
      <c r="A313" s="110"/>
      <c r="B313" s="118" t="s">
        <v>17343</v>
      </c>
      <c r="C313" s="307" t="s">
        <v>17677</v>
      </c>
      <c r="D313" s="124" t="s">
        <v>17678</v>
      </c>
      <c r="E313" s="46"/>
      <c r="F313" s="118" t="s">
        <v>17540</v>
      </c>
      <c r="G313" s="126" t="str">
        <f t="shared" si="13"/>
        <v>MEP-T2V-6V-9</v>
      </c>
      <c r="H313" s="122" t="s">
        <v>421</v>
      </c>
      <c r="I313" s="129">
        <v>1</v>
      </c>
      <c r="J313" s="128" t="s">
        <v>286</v>
      </c>
    </row>
    <row r="314" spans="1:10" s="18" customFormat="1" ht="12.75" hidden="1" customHeight="1" outlineLevel="1">
      <c r="A314" s="110"/>
      <c r="B314" s="118" t="s">
        <v>17405</v>
      </c>
      <c r="C314" s="307" t="s">
        <v>17763</v>
      </c>
      <c r="D314" s="124" t="s">
        <v>17675</v>
      </c>
      <c r="E314" s="46"/>
      <c r="F314" s="118" t="s">
        <v>17540</v>
      </c>
      <c r="G314" s="126" t="str">
        <f>CONCATENATE("MEP-",F314,"-",H314)</f>
        <v>MEP-T2V-6V-9</v>
      </c>
      <c r="H314" s="122" t="s">
        <v>421</v>
      </c>
      <c r="I314" s="120">
        <v>1</v>
      </c>
      <c r="J314" s="128" t="s">
        <v>286</v>
      </c>
    </row>
    <row r="315" spans="1:10" s="18" customFormat="1" ht="12.75" hidden="1" customHeight="1" outlineLevel="1">
      <c r="A315" s="110"/>
      <c r="B315" s="118" t="s">
        <v>17405</v>
      </c>
      <c r="C315" s="307" t="s">
        <v>3320</v>
      </c>
      <c r="D315" s="124" t="s">
        <v>17764</v>
      </c>
      <c r="E315" s="46"/>
      <c r="F315" s="118" t="s">
        <v>17540</v>
      </c>
      <c r="G315" s="126" t="str">
        <f t="shared" ref="G315:G316" si="22">CONCATENATE("MEP-",F315,"-",H315)</f>
        <v>MEP-T2V-6V-9</v>
      </c>
      <c r="H315" s="122" t="s">
        <v>421</v>
      </c>
      <c r="I315" s="120">
        <v>1</v>
      </c>
      <c r="J315" s="128" t="s">
        <v>286</v>
      </c>
    </row>
    <row r="316" spans="1:10" s="18" customFormat="1" ht="12.75" hidden="1" customHeight="1" outlineLevel="1">
      <c r="A316" s="110"/>
      <c r="B316" s="118" t="s">
        <v>17394</v>
      </c>
      <c r="C316" s="307" t="s">
        <v>17765</v>
      </c>
      <c r="D316" s="124" t="s">
        <v>17766</v>
      </c>
      <c r="E316" s="46"/>
      <c r="F316" s="118" t="s">
        <v>17540</v>
      </c>
      <c r="G316" s="126" t="str">
        <f t="shared" si="22"/>
        <v>MEP-T2V-6V-9</v>
      </c>
      <c r="H316" s="122" t="s">
        <v>421</v>
      </c>
      <c r="I316" s="120">
        <v>1</v>
      </c>
      <c r="J316" s="128" t="s">
        <v>286</v>
      </c>
    </row>
    <row r="317" spans="1:10" s="18" customFormat="1" ht="12.75" hidden="1" customHeight="1" outlineLevel="1">
      <c r="A317" s="110"/>
      <c r="B317" s="118" t="s">
        <v>17394</v>
      </c>
      <c r="C317" s="307" t="s">
        <v>17767</v>
      </c>
      <c r="D317" s="124" t="s">
        <v>17766</v>
      </c>
      <c r="E317" s="46"/>
      <c r="F317" s="118" t="s">
        <v>17540</v>
      </c>
      <c r="G317" s="126" t="str">
        <f t="shared" ref="G317" si="23">CONCATENATE("MEP-",F317,"-",H317)</f>
        <v>MEP-T2V-6V-9</v>
      </c>
      <c r="H317" s="122" t="s">
        <v>421</v>
      </c>
      <c r="I317" s="120">
        <v>1</v>
      </c>
      <c r="J317" s="128" t="s">
        <v>286</v>
      </c>
    </row>
    <row r="318" spans="1:10" ht="3" customHeight="1">
      <c r="A318" s="123"/>
      <c r="B318" s="118"/>
      <c r="C318" s="307"/>
      <c r="D318" s="124"/>
      <c r="E318" s="125"/>
      <c r="F318" s="118"/>
      <c r="G318" s="132"/>
      <c r="H318" s="127"/>
    </row>
    <row r="319" spans="1:10" s="18" customFormat="1" ht="12.75" customHeight="1" collapsed="1">
      <c r="A319" s="110" t="s">
        <v>17768</v>
      </c>
      <c r="B319" s="118"/>
      <c r="C319" s="307"/>
      <c r="D319" s="124"/>
      <c r="E319" s="46"/>
      <c r="F319" s="41" t="s">
        <v>261</v>
      </c>
      <c r="G319" s="41" t="s">
        <v>262</v>
      </c>
      <c r="H319" s="42" t="s">
        <v>263</v>
      </c>
      <c r="I319" s="120"/>
    </row>
    <row r="320" spans="1:10" s="18" customFormat="1" ht="12.75" hidden="1" customHeight="1" outlineLevel="1">
      <c r="A320" s="110"/>
      <c r="B320" s="118"/>
      <c r="C320" s="307"/>
      <c r="D320" s="124"/>
      <c r="E320" s="46"/>
      <c r="F320" s="46"/>
      <c r="G320" s="46"/>
      <c r="H320" s="122"/>
      <c r="I320" s="120"/>
    </row>
    <row r="321" spans="1:12" s="18" customFormat="1" ht="12.75" hidden="1" customHeight="1" outlineLevel="1">
      <c r="A321" s="110"/>
      <c r="B321" s="118" t="s">
        <v>17343</v>
      </c>
      <c r="C321" s="307" t="s">
        <v>17769</v>
      </c>
      <c r="D321" s="124" t="s">
        <v>17770</v>
      </c>
      <c r="E321" s="46"/>
      <c r="F321" s="118" t="s">
        <v>17771</v>
      </c>
      <c r="G321" s="126" t="str">
        <f t="shared" ref="G321:G362" si="24">CONCATENATE("MEP-",F321,"-",H321)</f>
        <v>MEP-T2S-6S-1</v>
      </c>
      <c r="H321" s="122" t="s">
        <v>304</v>
      </c>
      <c r="I321" s="129">
        <v>1</v>
      </c>
      <c r="J321" s="128" t="s">
        <v>286</v>
      </c>
    </row>
    <row r="322" spans="1:12" s="18" customFormat="1" ht="12.75" hidden="1" customHeight="1" outlineLevel="1">
      <c r="B322" s="118" t="s">
        <v>17343</v>
      </c>
      <c r="C322" s="307" t="s">
        <v>17772</v>
      </c>
      <c r="D322" s="124" t="s">
        <v>17773</v>
      </c>
      <c r="E322" s="46"/>
      <c r="F322" s="118" t="s">
        <v>17771</v>
      </c>
      <c r="G322" s="126" t="str">
        <f t="shared" si="24"/>
        <v>MEP-T2S-6S-1</v>
      </c>
      <c r="H322" s="122" t="s">
        <v>304</v>
      </c>
      <c r="I322" s="129">
        <v>1</v>
      </c>
      <c r="J322" s="128" t="s">
        <v>286</v>
      </c>
      <c r="K322" s="129"/>
      <c r="L322" s="129"/>
    </row>
    <row r="323" spans="1:12" s="18" customFormat="1" ht="12.75" hidden="1" customHeight="1" outlineLevel="1">
      <c r="B323" s="118" t="s">
        <v>17343</v>
      </c>
      <c r="C323" s="307" t="s">
        <v>17774</v>
      </c>
      <c r="D323" s="124" t="s">
        <v>17775</v>
      </c>
      <c r="E323" s="46"/>
      <c r="F323" s="118" t="s">
        <v>17771</v>
      </c>
      <c r="G323" s="126" t="str">
        <f t="shared" si="24"/>
        <v>MEP-T2S-6S-1</v>
      </c>
      <c r="H323" s="122" t="s">
        <v>304</v>
      </c>
      <c r="I323" s="120">
        <v>1</v>
      </c>
      <c r="J323" s="128" t="s">
        <v>310</v>
      </c>
      <c r="K323" s="120"/>
      <c r="L323" s="129"/>
    </row>
    <row r="324" spans="1:12" s="18" customFormat="1" ht="12.75" hidden="1" customHeight="1" outlineLevel="1">
      <c r="B324" s="118" t="s">
        <v>17343</v>
      </c>
      <c r="C324" s="307" t="s">
        <v>17776</v>
      </c>
      <c r="D324" s="124" t="s">
        <v>17777</v>
      </c>
      <c r="E324" s="46"/>
      <c r="F324" s="118" t="s">
        <v>17771</v>
      </c>
      <c r="G324" s="126" t="str">
        <f t="shared" si="24"/>
        <v>MEP-T2S-6S-1</v>
      </c>
      <c r="H324" s="122" t="s">
        <v>304</v>
      </c>
      <c r="I324" s="120">
        <v>1</v>
      </c>
      <c r="J324" s="128" t="s">
        <v>310</v>
      </c>
      <c r="K324" s="120"/>
      <c r="L324" s="129"/>
    </row>
    <row r="325" spans="1:12" s="18" customFormat="1" ht="12.75" hidden="1" customHeight="1" outlineLevel="1">
      <c r="B325" s="118" t="s">
        <v>17343</v>
      </c>
      <c r="C325" s="307" t="s">
        <v>17778</v>
      </c>
      <c r="D325" s="124" t="s">
        <v>17770</v>
      </c>
      <c r="E325" s="46"/>
      <c r="F325" s="118" t="s">
        <v>17771</v>
      </c>
      <c r="G325" s="126" t="str">
        <f t="shared" si="24"/>
        <v>MEP-T2S-6S-1</v>
      </c>
      <c r="H325" s="122" t="s">
        <v>304</v>
      </c>
      <c r="I325" s="120">
        <v>1</v>
      </c>
      <c r="J325" s="128" t="s">
        <v>286</v>
      </c>
      <c r="K325" s="120"/>
      <c r="L325" s="129"/>
    </row>
    <row r="326" spans="1:12" s="18" customFormat="1" ht="12.75" hidden="1" customHeight="1" outlineLevel="1">
      <c r="B326" s="118" t="s">
        <v>17343</v>
      </c>
      <c r="C326" s="307" t="s">
        <v>17779</v>
      </c>
      <c r="D326" s="124" t="s">
        <v>17770</v>
      </c>
      <c r="E326" s="46"/>
      <c r="F326" s="118" t="s">
        <v>17771</v>
      </c>
      <c r="G326" s="126" t="str">
        <f t="shared" si="24"/>
        <v>MEP-T2S-6S-1</v>
      </c>
      <c r="H326" s="122" t="s">
        <v>304</v>
      </c>
      <c r="I326" s="129">
        <v>1</v>
      </c>
      <c r="J326" s="128" t="s">
        <v>286</v>
      </c>
      <c r="K326" s="129"/>
      <c r="L326" s="129"/>
    </row>
    <row r="327" spans="1:12" s="18" customFormat="1" ht="12.75" hidden="1" customHeight="1" outlineLevel="1">
      <c r="B327" s="118" t="s">
        <v>17343</v>
      </c>
      <c r="C327" s="307" t="s">
        <v>17780</v>
      </c>
      <c r="D327" s="124" t="s">
        <v>17781</v>
      </c>
      <c r="E327" s="46"/>
      <c r="F327" s="118" t="s">
        <v>17771</v>
      </c>
      <c r="G327" s="126" t="str">
        <f t="shared" si="24"/>
        <v>MEP-T2S-6S-1</v>
      </c>
      <c r="H327" s="122" t="s">
        <v>304</v>
      </c>
      <c r="I327" s="129">
        <v>1</v>
      </c>
      <c r="J327" s="128" t="s">
        <v>310</v>
      </c>
      <c r="K327" s="129"/>
      <c r="L327" s="129"/>
    </row>
    <row r="328" spans="1:12" s="18" customFormat="1" ht="12.75" hidden="1" customHeight="1" outlineLevel="1">
      <c r="B328" s="118" t="s">
        <v>17343</v>
      </c>
      <c r="C328" s="307" t="s">
        <v>17782</v>
      </c>
      <c r="D328" s="124" t="s">
        <v>17783</v>
      </c>
      <c r="E328" s="46"/>
      <c r="F328" s="118" t="s">
        <v>17771</v>
      </c>
      <c r="G328" s="126" t="str">
        <f t="shared" si="24"/>
        <v>MEP-T2S-6S-1</v>
      </c>
      <c r="H328" s="122" t="s">
        <v>304</v>
      </c>
      <c r="I328" s="120">
        <v>1</v>
      </c>
      <c r="J328" s="128" t="s">
        <v>310</v>
      </c>
      <c r="L328" s="129"/>
    </row>
    <row r="329" spans="1:12" s="18" customFormat="1" ht="12.75" hidden="1" customHeight="1" outlineLevel="1">
      <c r="B329" s="118" t="s">
        <v>17343</v>
      </c>
      <c r="C329" s="307" t="s">
        <v>17784</v>
      </c>
      <c r="D329" s="124" t="s">
        <v>17785</v>
      </c>
      <c r="E329" s="46"/>
      <c r="F329" s="118" t="s">
        <v>17771</v>
      </c>
      <c r="G329" s="126" t="str">
        <f t="shared" si="24"/>
        <v>MEP-T2S-6S-1</v>
      </c>
      <c r="H329" s="122" t="s">
        <v>304</v>
      </c>
      <c r="I329" s="129">
        <v>1</v>
      </c>
      <c r="J329" s="128" t="s">
        <v>286</v>
      </c>
      <c r="K329" s="129"/>
      <c r="L329" s="129"/>
    </row>
    <row r="330" spans="1:12" s="18" customFormat="1" ht="12.75" hidden="1" customHeight="1" outlineLevel="1">
      <c r="B330" s="118" t="s">
        <v>17343</v>
      </c>
      <c r="C330" s="307" t="s">
        <v>17786</v>
      </c>
      <c r="D330" s="124" t="s">
        <v>17787</v>
      </c>
      <c r="E330" s="46"/>
      <c r="F330" s="118" t="s">
        <v>17771</v>
      </c>
      <c r="G330" s="126" t="str">
        <f t="shared" si="24"/>
        <v>MEP-T2S-6S-1</v>
      </c>
      <c r="H330" s="122" t="s">
        <v>304</v>
      </c>
      <c r="I330" s="129">
        <v>1</v>
      </c>
      <c r="J330" s="128" t="s">
        <v>286</v>
      </c>
      <c r="K330" s="129"/>
      <c r="L330" s="129"/>
    </row>
    <row r="331" spans="1:12" s="18" customFormat="1" ht="12.75" hidden="1" customHeight="1" outlineLevel="1">
      <c r="B331" s="118" t="s">
        <v>17343</v>
      </c>
      <c r="C331" s="307" t="s">
        <v>17788</v>
      </c>
      <c r="D331" s="124" t="s">
        <v>17789</v>
      </c>
      <c r="E331" s="46"/>
      <c r="F331" s="118" t="s">
        <v>17771</v>
      </c>
      <c r="G331" s="126" t="str">
        <f t="shared" si="24"/>
        <v>MEP-T2S-6S-1</v>
      </c>
      <c r="H331" s="122" t="s">
        <v>304</v>
      </c>
      <c r="I331" s="120">
        <v>1</v>
      </c>
      <c r="J331" s="128" t="s">
        <v>286</v>
      </c>
      <c r="K331" s="120"/>
      <c r="L331" s="129"/>
    </row>
    <row r="332" spans="1:12" s="18" customFormat="1" ht="12.75" hidden="1" customHeight="1" outlineLevel="1">
      <c r="B332" s="118" t="s">
        <v>17343</v>
      </c>
      <c r="C332" s="307" t="s">
        <v>17790</v>
      </c>
      <c r="D332" s="124" t="s">
        <v>17791</v>
      </c>
      <c r="E332" s="46"/>
      <c r="F332" s="118" t="s">
        <v>17771</v>
      </c>
      <c r="G332" s="126" t="str">
        <f t="shared" si="24"/>
        <v>MEP-T2S-6S-1</v>
      </c>
      <c r="H332" s="122" t="s">
        <v>304</v>
      </c>
      <c r="I332" s="129">
        <v>1</v>
      </c>
      <c r="J332" s="128" t="s">
        <v>286</v>
      </c>
      <c r="K332" s="129"/>
      <c r="L332" s="129"/>
    </row>
    <row r="333" spans="1:12" s="18" customFormat="1" ht="12.75" hidden="1" customHeight="1" outlineLevel="1">
      <c r="B333" s="118" t="s">
        <v>17343</v>
      </c>
      <c r="C333" s="307" t="s">
        <v>17792</v>
      </c>
      <c r="D333" s="124" t="s">
        <v>17793</v>
      </c>
      <c r="E333" s="46"/>
      <c r="F333" s="118" t="s">
        <v>17771</v>
      </c>
      <c r="G333" s="126" t="str">
        <f t="shared" si="24"/>
        <v>MEP-T2S-6S-1</v>
      </c>
      <c r="H333" s="122" t="s">
        <v>304</v>
      </c>
      <c r="I333" s="129">
        <v>1</v>
      </c>
      <c r="J333" s="128" t="s">
        <v>286</v>
      </c>
      <c r="K333" s="129"/>
      <c r="L333" s="129"/>
    </row>
    <row r="334" spans="1:12" s="18" customFormat="1" ht="12.75" hidden="1" customHeight="1" outlineLevel="1">
      <c r="B334" s="118" t="s">
        <v>17343</v>
      </c>
      <c r="C334" s="307" t="s">
        <v>17360</v>
      </c>
      <c r="D334" s="124" t="s">
        <v>17361</v>
      </c>
      <c r="E334" s="46"/>
      <c r="F334" s="118" t="s">
        <v>17771</v>
      </c>
      <c r="G334" s="126" t="str">
        <f t="shared" si="24"/>
        <v>MEP-T2S-6S-4</v>
      </c>
      <c r="H334" s="122" t="s">
        <v>292</v>
      </c>
      <c r="I334" s="120">
        <v>1</v>
      </c>
      <c r="J334" s="128" t="s">
        <v>310</v>
      </c>
      <c r="K334" s="120"/>
      <c r="L334" s="129"/>
    </row>
    <row r="335" spans="1:12" s="18" customFormat="1" ht="12.75" hidden="1" customHeight="1" outlineLevel="1">
      <c r="B335" s="118" t="s">
        <v>17343</v>
      </c>
      <c r="C335" s="307" t="s">
        <v>17363</v>
      </c>
      <c r="D335" s="124" t="s">
        <v>17794</v>
      </c>
      <c r="E335" s="46"/>
      <c r="F335" s="118" t="s">
        <v>17771</v>
      </c>
      <c r="G335" s="126" t="str">
        <f t="shared" si="24"/>
        <v>MEP-T2S-6S-4</v>
      </c>
      <c r="H335" s="122" t="s">
        <v>292</v>
      </c>
      <c r="I335" s="129">
        <v>1</v>
      </c>
      <c r="J335" s="128" t="s">
        <v>310</v>
      </c>
      <c r="K335" s="129"/>
      <c r="L335" s="129"/>
    </row>
    <row r="336" spans="1:12" s="18" customFormat="1" ht="12.75" hidden="1" customHeight="1" outlineLevel="1">
      <c r="B336" s="118" t="s">
        <v>17343</v>
      </c>
      <c r="C336" s="307" t="s">
        <v>17795</v>
      </c>
      <c r="D336" s="124" t="s">
        <v>17796</v>
      </c>
      <c r="E336" s="46"/>
      <c r="F336" s="118" t="s">
        <v>17771</v>
      </c>
      <c r="G336" s="126" t="str">
        <f t="shared" si="24"/>
        <v>MEP-T2S-6S-4</v>
      </c>
      <c r="H336" s="122" t="s">
        <v>292</v>
      </c>
      <c r="I336" s="120">
        <v>1</v>
      </c>
      <c r="J336" s="120" t="s">
        <v>307</v>
      </c>
      <c r="K336" s="129"/>
      <c r="L336" s="129"/>
    </row>
    <row r="337" spans="2:10" s="18" customFormat="1" ht="12.75" hidden="1" customHeight="1" outlineLevel="1">
      <c r="B337" s="118" t="s">
        <v>17371</v>
      </c>
      <c r="C337" s="307" t="s">
        <v>17797</v>
      </c>
      <c r="D337" s="124" t="s">
        <v>17798</v>
      </c>
      <c r="E337" s="46"/>
      <c r="F337" s="118" t="s">
        <v>17771</v>
      </c>
      <c r="G337" s="126" t="str">
        <f t="shared" si="24"/>
        <v>MEP-T2S-6S-4</v>
      </c>
      <c r="H337" s="122" t="s">
        <v>292</v>
      </c>
      <c r="I337" s="120">
        <v>1</v>
      </c>
      <c r="J337" s="128" t="s">
        <v>307</v>
      </c>
    </row>
    <row r="338" spans="2:10" s="18" customFormat="1" ht="12.75" hidden="1" customHeight="1" outlineLevel="1">
      <c r="B338" s="118" t="s">
        <v>17371</v>
      </c>
      <c r="C338" s="307" t="s">
        <v>17799</v>
      </c>
      <c r="D338" s="124" t="s">
        <v>17800</v>
      </c>
      <c r="E338" s="46"/>
      <c r="F338" s="118" t="s">
        <v>17771</v>
      </c>
      <c r="G338" s="126" t="str">
        <f t="shared" si="24"/>
        <v>MEP-T2S-6S-4</v>
      </c>
      <c r="H338" s="122" t="s">
        <v>292</v>
      </c>
      <c r="I338" s="120">
        <v>1</v>
      </c>
      <c r="J338" s="128" t="s">
        <v>286</v>
      </c>
    </row>
    <row r="339" spans="2:10" s="18" customFormat="1" ht="12.75" hidden="1" customHeight="1" outlineLevel="1">
      <c r="B339" s="118" t="s">
        <v>17371</v>
      </c>
      <c r="C339" s="307" t="s">
        <v>17801</v>
      </c>
      <c r="D339" s="124" t="s">
        <v>17802</v>
      </c>
      <c r="E339" s="46"/>
      <c r="F339" s="118" t="s">
        <v>17771</v>
      </c>
      <c r="G339" s="126" t="str">
        <f t="shared" si="24"/>
        <v>MEP-T2S-6S-4</v>
      </c>
      <c r="H339" s="122" t="s">
        <v>292</v>
      </c>
      <c r="I339" s="120">
        <v>1</v>
      </c>
      <c r="J339" s="128" t="s">
        <v>286</v>
      </c>
    </row>
    <row r="340" spans="2:10" s="18" customFormat="1" ht="12.75" hidden="1" customHeight="1" outlineLevel="1">
      <c r="B340" s="118" t="s">
        <v>17371</v>
      </c>
      <c r="C340" s="307" t="s">
        <v>17803</v>
      </c>
      <c r="D340" s="124" t="s">
        <v>17804</v>
      </c>
      <c r="E340" s="46"/>
      <c r="F340" s="118" t="s">
        <v>17771</v>
      </c>
      <c r="G340" s="126" t="str">
        <f t="shared" si="24"/>
        <v>MEP-T2S-6S-4</v>
      </c>
      <c r="H340" s="122" t="s">
        <v>292</v>
      </c>
      <c r="I340" s="120">
        <v>1</v>
      </c>
      <c r="J340" s="128" t="s">
        <v>307</v>
      </c>
    </row>
    <row r="341" spans="2:10" s="18" customFormat="1" ht="12.75" hidden="1" customHeight="1" outlineLevel="1">
      <c r="B341" s="118" t="s">
        <v>17371</v>
      </c>
      <c r="C341" s="307" t="s">
        <v>17805</v>
      </c>
      <c r="D341" s="124" t="s">
        <v>17806</v>
      </c>
      <c r="E341" s="46"/>
      <c r="F341" s="118" t="s">
        <v>17771</v>
      </c>
      <c r="G341" s="126" t="str">
        <f t="shared" si="24"/>
        <v>MEP-T2S-6S-4</v>
      </c>
      <c r="H341" s="122" t="s">
        <v>292</v>
      </c>
      <c r="I341" s="120">
        <v>1</v>
      </c>
      <c r="J341" s="128" t="s">
        <v>286</v>
      </c>
    </row>
    <row r="342" spans="2:10" s="18" customFormat="1" ht="12.75" hidden="1" customHeight="1" outlineLevel="1">
      <c r="B342" s="118" t="s">
        <v>17371</v>
      </c>
      <c r="C342" s="307" t="s">
        <v>17807</v>
      </c>
      <c r="D342" s="124" t="s">
        <v>17808</v>
      </c>
      <c r="E342" s="46"/>
      <c r="F342" s="118" t="s">
        <v>17771</v>
      </c>
      <c r="G342" s="126" t="str">
        <f t="shared" si="24"/>
        <v>MEP-T2S-6S-4</v>
      </c>
      <c r="H342" s="122" t="s">
        <v>292</v>
      </c>
      <c r="I342" s="120">
        <v>1</v>
      </c>
      <c r="J342" s="128" t="s">
        <v>310</v>
      </c>
    </row>
    <row r="343" spans="2:10" s="18" customFormat="1" ht="12.75" hidden="1" customHeight="1" outlineLevel="1">
      <c r="B343" s="118" t="s">
        <v>17371</v>
      </c>
      <c r="C343" s="307" t="s">
        <v>17809</v>
      </c>
      <c r="D343" s="124" t="s">
        <v>17810</v>
      </c>
      <c r="E343" s="46"/>
      <c r="F343" s="118" t="s">
        <v>17771</v>
      </c>
      <c r="G343" s="126" t="str">
        <f t="shared" si="24"/>
        <v>MEP-T2S-6S-4</v>
      </c>
      <c r="H343" s="122" t="s">
        <v>292</v>
      </c>
      <c r="I343" s="120">
        <v>1</v>
      </c>
      <c r="J343" s="128" t="s">
        <v>286</v>
      </c>
    </row>
    <row r="344" spans="2:10" s="18" customFormat="1" ht="12.75" hidden="1" customHeight="1" outlineLevel="1">
      <c r="B344" s="118" t="s">
        <v>17371</v>
      </c>
      <c r="C344" s="307" t="s">
        <v>17811</v>
      </c>
      <c r="D344" s="124" t="s">
        <v>17812</v>
      </c>
      <c r="E344" s="46"/>
      <c r="F344" s="118" t="s">
        <v>17771</v>
      </c>
      <c r="G344" s="126" t="str">
        <f t="shared" si="24"/>
        <v>MEP-T2S-6S-4</v>
      </c>
      <c r="H344" s="122" t="s">
        <v>292</v>
      </c>
      <c r="I344" s="120">
        <v>1</v>
      </c>
      <c r="J344" s="128" t="s">
        <v>286</v>
      </c>
    </row>
    <row r="345" spans="2:10" s="18" customFormat="1" ht="12.75" hidden="1" customHeight="1" outlineLevel="1">
      <c r="B345" s="118" t="s">
        <v>17371</v>
      </c>
      <c r="C345" s="307" t="s">
        <v>17813</v>
      </c>
      <c r="D345" s="124" t="s">
        <v>17814</v>
      </c>
      <c r="E345" s="46"/>
      <c r="F345" s="118" t="s">
        <v>17771</v>
      </c>
      <c r="G345" s="126" t="str">
        <f t="shared" si="24"/>
        <v>MEP-T2S-6S-4</v>
      </c>
      <c r="H345" s="122" t="s">
        <v>292</v>
      </c>
      <c r="I345" s="120">
        <v>1</v>
      </c>
      <c r="J345" s="128" t="s">
        <v>286</v>
      </c>
    </row>
    <row r="346" spans="2:10" s="18" customFormat="1" ht="12.75" hidden="1" customHeight="1" outlineLevel="1">
      <c r="B346" s="118" t="s">
        <v>17371</v>
      </c>
      <c r="C346" s="307" t="s">
        <v>17815</v>
      </c>
      <c r="D346" s="124" t="s">
        <v>17816</v>
      </c>
      <c r="E346" s="46"/>
      <c r="F346" s="118" t="s">
        <v>17771</v>
      </c>
      <c r="G346" s="126" t="str">
        <f t="shared" si="24"/>
        <v>MEP-T2S-6S-4</v>
      </c>
      <c r="H346" s="122" t="s">
        <v>292</v>
      </c>
      <c r="I346" s="120">
        <v>1</v>
      </c>
      <c r="J346" s="128" t="s">
        <v>310</v>
      </c>
    </row>
    <row r="347" spans="2:10" s="18" customFormat="1" ht="12.75" hidden="1" customHeight="1" outlineLevel="1">
      <c r="B347" s="118" t="s">
        <v>17371</v>
      </c>
      <c r="C347" s="307" t="s">
        <v>17817</v>
      </c>
      <c r="D347" s="124" t="s">
        <v>17818</v>
      </c>
      <c r="E347" s="46"/>
      <c r="F347" s="118" t="s">
        <v>17771</v>
      </c>
      <c r="G347" s="126" t="str">
        <f t="shared" si="24"/>
        <v>MEP-T2S-6S-4</v>
      </c>
      <c r="H347" s="122" t="s">
        <v>292</v>
      </c>
      <c r="I347" s="120">
        <v>1</v>
      </c>
      <c r="J347" s="128" t="s">
        <v>307</v>
      </c>
    </row>
    <row r="348" spans="2:10" s="18" customFormat="1" ht="12.75" hidden="1" customHeight="1" outlineLevel="1">
      <c r="B348" s="118" t="s">
        <v>17371</v>
      </c>
      <c r="C348" s="307" t="s">
        <v>17819</v>
      </c>
      <c r="D348" s="124" t="s">
        <v>17820</v>
      </c>
      <c r="E348" s="46"/>
      <c r="F348" s="118" t="s">
        <v>17771</v>
      </c>
      <c r="G348" s="126" t="str">
        <f t="shared" si="24"/>
        <v>MEP-T2S-6S-4</v>
      </c>
      <c r="H348" s="122" t="s">
        <v>292</v>
      </c>
      <c r="I348" s="120">
        <v>1</v>
      </c>
      <c r="J348" s="128" t="s">
        <v>286</v>
      </c>
    </row>
    <row r="349" spans="2:10" s="18" customFormat="1" ht="12.75" hidden="1" customHeight="1" outlineLevel="1">
      <c r="B349" s="118" t="s">
        <v>17371</v>
      </c>
      <c r="C349" s="307" t="s">
        <v>17821</v>
      </c>
      <c r="D349" s="124" t="s">
        <v>17822</v>
      </c>
      <c r="E349" s="46"/>
      <c r="F349" s="118" t="s">
        <v>17771</v>
      </c>
      <c r="G349" s="126" t="str">
        <f t="shared" si="24"/>
        <v>MEP-T2S-6S-4</v>
      </c>
      <c r="H349" s="122" t="s">
        <v>292</v>
      </c>
      <c r="I349" s="120">
        <v>1</v>
      </c>
      <c r="J349" s="128" t="s">
        <v>286</v>
      </c>
    </row>
    <row r="350" spans="2:10" s="18" customFormat="1" ht="12.75" hidden="1" customHeight="1" outlineLevel="1">
      <c r="B350" s="118" t="s">
        <v>17371</v>
      </c>
      <c r="C350" s="307" t="s">
        <v>17823</v>
      </c>
      <c r="D350" s="124" t="s">
        <v>17824</v>
      </c>
      <c r="E350" s="46"/>
      <c r="F350" s="118" t="s">
        <v>17771</v>
      </c>
      <c r="G350" s="126" t="str">
        <f t="shared" si="24"/>
        <v>MEP-T2S-6S-4</v>
      </c>
      <c r="H350" s="122" t="s">
        <v>292</v>
      </c>
      <c r="I350" s="120">
        <v>1</v>
      </c>
      <c r="J350" s="128" t="s">
        <v>307</v>
      </c>
    </row>
    <row r="351" spans="2:10" s="18" customFormat="1" ht="12.75" hidden="1" customHeight="1" outlineLevel="1">
      <c r="B351" s="118" t="s">
        <v>17371</v>
      </c>
      <c r="C351" s="307" t="s">
        <v>17825</v>
      </c>
      <c r="D351" s="124" t="s">
        <v>17826</v>
      </c>
      <c r="E351" s="46"/>
      <c r="F351" s="118" t="s">
        <v>17771</v>
      </c>
      <c r="G351" s="126" t="str">
        <f t="shared" si="24"/>
        <v>MEP-T2S-6S-4</v>
      </c>
      <c r="H351" s="122" t="s">
        <v>292</v>
      </c>
      <c r="I351" s="120">
        <v>1</v>
      </c>
      <c r="J351" s="128" t="s">
        <v>307</v>
      </c>
    </row>
    <row r="352" spans="2:10" s="18" customFormat="1" ht="12.75" hidden="1" customHeight="1" outlineLevel="1">
      <c r="B352" s="118" t="s">
        <v>17371</v>
      </c>
      <c r="C352" s="307" t="s">
        <v>17827</v>
      </c>
      <c r="D352" s="124" t="s">
        <v>17828</v>
      </c>
      <c r="E352" s="46"/>
      <c r="F352" s="118" t="s">
        <v>17771</v>
      </c>
      <c r="G352" s="126" t="str">
        <f t="shared" si="24"/>
        <v>MEP-T2S-6S-4</v>
      </c>
      <c r="H352" s="122" t="s">
        <v>292</v>
      </c>
      <c r="I352" s="120">
        <v>1</v>
      </c>
      <c r="J352" s="128" t="s">
        <v>286</v>
      </c>
    </row>
    <row r="353" spans="2:10" s="18" customFormat="1" ht="12.75" hidden="1" customHeight="1" outlineLevel="1">
      <c r="B353" s="118" t="s">
        <v>17371</v>
      </c>
      <c r="C353" s="307" t="s">
        <v>17829</v>
      </c>
      <c r="D353" s="124" t="s">
        <v>17830</v>
      </c>
      <c r="E353" s="46"/>
      <c r="F353" s="118" t="s">
        <v>17771</v>
      </c>
      <c r="G353" s="126" t="str">
        <f t="shared" si="24"/>
        <v>MEP-T2S-6S-4</v>
      </c>
      <c r="H353" s="122" t="s">
        <v>292</v>
      </c>
      <c r="I353" s="120">
        <v>1</v>
      </c>
      <c r="J353" s="128" t="s">
        <v>307</v>
      </c>
    </row>
    <row r="354" spans="2:10" s="18" customFormat="1" ht="12.75" hidden="1" customHeight="1" outlineLevel="1">
      <c r="B354" s="118" t="s">
        <v>17371</v>
      </c>
      <c r="C354" s="307" t="s">
        <v>17831</v>
      </c>
      <c r="D354" s="124" t="s">
        <v>17832</v>
      </c>
      <c r="E354" s="46"/>
      <c r="F354" s="118" t="s">
        <v>17771</v>
      </c>
      <c r="G354" s="126" t="str">
        <f t="shared" si="24"/>
        <v>MEP-T2S-6S-4</v>
      </c>
      <c r="H354" s="122" t="s">
        <v>292</v>
      </c>
      <c r="I354" s="120">
        <v>1</v>
      </c>
      <c r="J354" s="128" t="s">
        <v>307</v>
      </c>
    </row>
    <row r="355" spans="2:10" s="18" customFormat="1" ht="12.75" hidden="1" customHeight="1" outlineLevel="1">
      <c r="B355" s="118" t="s">
        <v>17371</v>
      </c>
      <c r="C355" s="307" t="s">
        <v>17833</v>
      </c>
      <c r="D355" s="124" t="s">
        <v>17834</v>
      </c>
      <c r="E355" s="46"/>
      <c r="F355" s="118" t="s">
        <v>17771</v>
      </c>
      <c r="G355" s="126" t="str">
        <f t="shared" si="24"/>
        <v>MEP-T2S-6S-4</v>
      </c>
      <c r="H355" s="122" t="s">
        <v>292</v>
      </c>
      <c r="I355" s="120">
        <v>1</v>
      </c>
      <c r="J355" s="128" t="s">
        <v>286</v>
      </c>
    </row>
    <row r="356" spans="2:10" s="18" customFormat="1" ht="12.75" hidden="1" customHeight="1" outlineLevel="1">
      <c r="B356" s="118" t="s">
        <v>17371</v>
      </c>
      <c r="C356" s="307" t="s">
        <v>17835</v>
      </c>
      <c r="D356" s="124" t="s">
        <v>17836</v>
      </c>
      <c r="E356" s="46"/>
      <c r="F356" s="118" t="s">
        <v>17771</v>
      </c>
      <c r="G356" s="126" t="str">
        <f t="shared" si="24"/>
        <v>MEP-T2S-6S-4</v>
      </c>
      <c r="H356" s="122" t="s">
        <v>292</v>
      </c>
      <c r="I356" s="120">
        <v>1</v>
      </c>
      <c r="J356" s="128" t="s">
        <v>286</v>
      </c>
    </row>
    <row r="357" spans="2:10" s="18" customFormat="1" ht="12.75" hidden="1" customHeight="1" outlineLevel="1">
      <c r="B357" s="118" t="s">
        <v>17371</v>
      </c>
      <c r="C357" s="307" t="s">
        <v>17837</v>
      </c>
      <c r="D357" s="124" t="s">
        <v>17838</v>
      </c>
      <c r="E357" s="46"/>
      <c r="F357" s="118" t="s">
        <v>17771</v>
      </c>
      <c r="G357" s="126" t="str">
        <f t="shared" si="24"/>
        <v>MEP-T2S-6S-4</v>
      </c>
      <c r="H357" s="122" t="s">
        <v>292</v>
      </c>
      <c r="I357" s="120">
        <v>1</v>
      </c>
      <c r="J357" s="128" t="s">
        <v>286</v>
      </c>
    </row>
    <row r="358" spans="2:10" s="18" customFormat="1" ht="12.75" hidden="1" customHeight="1" outlineLevel="1">
      <c r="B358" s="118" t="s">
        <v>17371</v>
      </c>
      <c r="C358" s="307" t="s">
        <v>17839</v>
      </c>
      <c r="D358" s="124" t="s">
        <v>17840</v>
      </c>
      <c r="E358" s="46"/>
      <c r="F358" s="118" t="s">
        <v>17771</v>
      </c>
      <c r="G358" s="126" t="str">
        <f t="shared" si="24"/>
        <v>MEP-T2S-6S-4</v>
      </c>
      <c r="H358" s="122" t="s">
        <v>292</v>
      </c>
      <c r="I358" s="120">
        <v>1</v>
      </c>
      <c r="J358" s="128" t="s">
        <v>286</v>
      </c>
    </row>
    <row r="359" spans="2:10" s="18" customFormat="1" ht="12.75" hidden="1" customHeight="1" outlineLevel="1">
      <c r="B359" s="118" t="s">
        <v>17371</v>
      </c>
      <c r="C359" s="307" t="s">
        <v>17841</v>
      </c>
      <c r="D359" s="124" t="s">
        <v>17840</v>
      </c>
      <c r="E359" s="46"/>
      <c r="F359" s="118" t="s">
        <v>17771</v>
      </c>
      <c r="G359" s="126" t="str">
        <f t="shared" si="24"/>
        <v>MEP-T2S-6S-4</v>
      </c>
      <c r="H359" s="122" t="s">
        <v>292</v>
      </c>
      <c r="I359" s="120">
        <v>1</v>
      </c>
      <c r="J359" s="128" t="s">
        <v>286</v>
      </c>
    </row>
    <row r="360" spans="2:10" s="18" customFormat="1" ht="12.75" hidden="1" customHeight="1" outlineLevel="1">
      <c r="B360" s="118" t="s">
        <v>17371</v>
      </c>
      <c r="C360" s="307" t="s">
        <v>17842</v>
      </c>
      <c r="D360" s="124" t="s">
        <v>17840</v>
      </c>
      <c r="E360" s="46"/>
      <c r="F360" s="118" t="s">
        <v>17771</v>
      </c>
      <c r="G360" s="126" t="str">
        <f t="shared" si="24"/>
        <v>MEP-T2S-6S-4</v>
      </c>
      <c r="H360" s="122" t="s">
        <v>292</v>
      </c>
      <c r="I360" s="120">
        <v>1</v>
      </c>
      <c r="J360" s="128" t="s">
        <v>286</v>
      </c>
    </row>
    <row r="361" spans="2:10" s="18" customFormat="1" ht="12.75" hidden="1" customHeight="1" outlineLevel="1">
      <c r="B361" s="118" t="s">
        <v>17371</v>
      </c>
      <c r="C361" s="307" t="s">
        <v>17843</v>
      </c>
      <c r="D361" s="124" t="s">
        <v>17840</v>
      </c>
      <c r="E361" s="46"/>
      <c r="F361" s="118" t="s">
        <v>17771</v>
      </c>
      <c r="G361" s="126" t="str">
        <f t="shared" si="24"/>
        <v>MEP-T2S-6S-4</v>
      </c>
      <c r="H361" s="122" t="s">
        <v>292</v>
      </c>
      <c r="I361" s="120">
        <v>1</v>
      </c>
      <c r="J361" s="128" t="s">
        <v>286</v>
      </c>
    </row>
    <row r="362" spans="2:10" s="18" customFormat="1" ht="12.75" hidden="1" customHeight="1" outlineLevel="1">
      <c r="B362" s="118" t="s">
        <v>17371</v>
      </c>
      <c r="C362" s="307" t="s">
        <v>17844</v>
      </c>
      <c r="D362" s="124" t="s">
        <v>17840</v>
      </c>
      <c r="E362" s="46"/>
      <c r="F362" s="118" t="s">
        <v>17771</v>
      </c>
      <c r="G362" s="126" t="str">
        <f t="shared" si="24"/>
        <v>MEP-T2S-6S-4</v>
      </c>
      <c r="H362" s="122" t="s">
        <v>292</v>
      </c>
      <c r="I362" s="120">
        <v>1</v>
      </c>
      <c r="J362" s="128" t="s">
        <v>286</v>
      </c>
    </row>
    <row r="363" spans="2:10" s="18" customFormat="1" ht="12.75" hidden="1" customHeight="1" outlineLevel="1">
      <c r="B363" s="118" t="s">
        <v>17438</v>
      </c>
      <c r="C363" s="307" t="s">
        <v>17845</v>
      </c>
      <c r="D363" s="124" t="s">
        <v>17840</v>
      </c>
      <c r="E363" s="46"/>
      <c r="F363" s="118" t="s">
        <v>17771</v>
      </c>
      <c r="G363" s="126" t="str">
        <f>CONCATENATE("MEP-",F363,"-",H363)</f>
        <v>MEP-T2S-6S-4</v>
      </c>
      <c r="H363" s="122" t="s">
        <v>292</v>
      </c>
      <c r="I363" s="120">
        <v>1</v>
      </c>
      <c r="J363" s="128" t="s">
        <v>286</v>
      </c>
    </row>
    <row r="364" spans="2:10" s="18" customFormat="1" ht="12.75" hidden="1" customHeight="1" outlineLevel="1">
      <c r="B364" s="118" t="s">
        <v>17371</v>
      </c>
      <c r="C364" s="307" t="s">
        <v>17846</v>
      </c>
      <c r="D364" s="124" t="s">
        <v>17847</v>
      </c>
      <c r="E364" s="46"/>
      <c r="F364" s="118" t="s">
        <v>17771</v>
      </c>
      <c r="G364" s="126" t="str">
        <f t="shared" ref="G364" si="25">CONCATENATE("MEP-",F364,"-",H364)</f>
        <v>MEP-T2S-6S-4</v>
      </c>
      <c r="H364" s="122" t="s">
        <v>292</v>
      </c>
      <c r="I364" s="120">
        <v>1</v>
      </c>
      <c r="J364" s="128" t="s">
        <v>286</v>
      </c>
    </row>
    <row r="365" spans="2:10" s="18" customFormat="1" ht="12.75" hidden="1" customHeight="1" outlineLevel="1">
      <c r="B365" s="118" t="s">
        <v>17371</v>
      </c>
      <c r="C365" s="307" t="s">
        <v>17848</v>
      </c>
      <c r="D365" s="124" t="s">
        <v>17849</v>
      </c>
      <c r="E365" s="46"/>
      <c r="F365" s="118" t="s">
        <v>17771</v>
      </c>
      <c r="G365" s="126" t="str">
        <f t="shared" ref="G365" si="26">CONCATENATE("MEP-",F365,"-",H365)</f>
        <v>MEP-T2S-6S-4</v>
      </c>
      <c r="H365" s="122" t="s">
        <v>292</v>
      </c>
      <c r="I365" s="120">
        <v>1</v>
      </c>
      <c r="J365" s="128" t="s">
        <v>286</v>
      </c>
    </row>
    <row r="366" spans="2:10" s="18" customFormat="1" ht="12.75" hidden="1" customHeight="1" outlineLevel="1">
      <c r="B366" s="118" t="s">
        <v>17438</v>
      </c>
      <c r="C366" s="307" t="s">
        <v>17414</v>
      </c>
      <c r="D366" s="124" t="s">
        <v>17415</v>
      </c>
      <c r="E366" s="46"/>
      <c r="F366" s="118" t="s">
        <v>17771</v>
      </c>
      <c r="G366" s="126" t="str">
        <f>CONCATENATE("MEP-",F366,"-",H366)</f>
        <v>MEP-T2S-6S-4</v>
      </c>
      <c r="H366" s="122" t="s">
        <v>292</v>
      </c>
      <c r="I366" s="120">
        <v>1</v>
      </c>
      <c r="J366" s="128" t="s">
        <v>286</v>
      </c>
    </row>
    <row r="367" spans="2:10" s="18" customFormat="1" ht="12.75" hidden="1" customHeight="1" outlineLevel="1">
      <c r="B367" s="118" t="s">
        <v>17394</v>
      </c>
      <c r="C367" s="307" t="s">
        <v>17850</v>
      </c>
      <c r="D367" s="124" t="s">
        <v>17851</v>
      </c>
      <c r="E367" s="46"/>
      <c r="F367" s="118" t="s">
        <v>17771</v>
      </c>
      <c r="G367" s="126" t="str">
        <f t="shared" ref="G367:G430" si="27">CONCATENATE("MEP-",F367,"-",H367)</f>
        <v>MEP-T2S-6S-4</v>
      </c>
      <c r="H367" s="122" t="s">
        <v>292</v>
      </c>
      <c r="I367" s="120">
        <v>1</v>
      </c>
      <c r="J367" s="128" t="s">
        <v>286</v>
      </c>
    </row>
    <row r="368" spans="2:10" s="18" customFormat="1" ht="12.75" hidden="1" customHeight="1" outlineLevel="1">
      <c r="B368" s="118" t="s">
        <v>17394</v>
      </c>
      <c r="C368" s="307" t="s">
        <v>17852</v>
      </c>
      <c r="D368" s="124" t="s">
        <v>17853</v>
      </c>
      <c r="E368" s="46"/>
      <c r="F368" s="118" t="s">
        <v>17771</v>
      </c>
      <c r="G368" s="126" t="str">
        <f t="shared" si="27"/>
        <v>MEP-T2S-6S-4</v>
      </c>
      <c r="H368" s="122" t="s">
        <v>292</v>
      </c>
      <c r="I368" s="120">
        <v>1</v>
      </c>
      <c r="J368" s="128" t="s">
        <v>286</v>
      </c>
    </row>
    <row r="369" spans="2:10" s="18" customFormat="1" ht="12.75" hidden="1" customHeight="1" outlineLevel="1">
      <c r="B369" s="118" t="s">
        <v>17394</v>
      </c>
      <c r="C369" s="307" t="s">
        <v>17854</v>
      </c>
      <c r="D369" s="124" t="s">
        <v>17855</v>
      </c>
      <c r="E369" s="46"/>
      <c r="F369" s="118" t="s">
        <v>17771</v>
      </c>
      <c r="G369" s="126" t="str">
        <f t="shared" si="27"/>
        <v>MEP-T2S-6S-4</v>
      </c>
      <c r="H369" s="122" t="s">
        <v>292</v>
      </c>
      <c r="I369" s="120">
        <v>1</v>
      </c>
      <c r="J369" s="128" t="s">
        <v>286</v>
      </c>
    </row>
    <row r="370" spans="2:10" s="18" customFormat="1" ht="12.75" hidden="1" customHeight="1" outlineLevel="1">
      <c r="B370" s="118" t="s">
        <v>17394</v>
      </c>
      <c r="C370" s="307" t="s">
        <v>1629</v>
      </c>
      <c r="D370" s="124" t="s">
        <v>1630</v>
      </c>
      <c r="E370" s="46"/>
      <c r="F370" s="118" t="s">
        <v>17771</v>
      </c>
      <c r="G370" s="126" t="str">
        <f t="shared" si="27"/>
        <v>MEP-T2S-6S-4</v>
      </c>
      <c r="H370" s="122" t="s">
        <v>292</v>
      </c>
      <c r="I370" s="120">
        <v>1</v>
      </c>
      <c r="J370" s="128" t="s">
        <v>286</v>
      </c>
    </row>
    <row r="371" spans="2:10" s="18" customFormat="1" ht="12.75" hidden="1" customHeight="1" outlineLevel="1">
      <c r="B371" s="118" t="s">
        <v>17394</v>
      </c>
      <c r="C371" s="307" t="s">
        <v>17856</v>
      </c>
      <c r="D371" s="124" t="s">
        <v>17857</v>
      </c>
      <c r="E371" s="46"/>
      <c r="F371" s="118" t="s">
        <v>17771</v>
      </c>
      <c r="G371" s="126" t="str">
        <f t="shared" si="27"/>
        <v>MEP-T2S-6S-4</v>
      </c>
      <c r="H371" s="122" t="s">
        <v>292</v>
      </c>
      <c r="I371" s="120">
        <v>1</v>
      </c>
      <c r="J371" s="128" t="s">
        <v>286</v>
      </c>
    </row>
    <row r="372" spans="2:10" s="18" customFormat="1" ht="12.75" hidden="1" customHeight="1" outlineLevel="1">
      <c r="B372" s="118" t="s">
        <v>17394</v>
      </c>
      <c r="C372" s="307" t="s">
        <v>17858</v>
      </c>
      <c r="D372" s="124" t="s">
        <v>17859</v>
      </c>
      <c r="E372" s="46"/>
      <c r="F372" s="118" t="s">
        <v>17771</v>
      </c>
      <c r="G372" s="126" t="str">
        <f t="shared" si="27"/>
        <v>MEP-T2S-6S-4</v>
      </c>
      <c r="H372" s="122" t="s">
        <v>292</v>
      </c>
      <c r="I372" s="120">
        <v>1</v>
      </c>
      <c r="J372" s="128" t="s">
        <v>286</v>
      </c>
    </row>
    <row r="373" spans="2:10" s="18" customFormat="1" ht="12.75" hidden="1" customHeight="1" outlineLevel="1">
      <c r="B373" s="118" t="s">
        <v>17394</v>
      </c>
      <c r="C373" s="307" t="s">
        <v>17860</v>
      </c>
      <c r="D373" s="124" t="s">
        <v>17859</v>
      </c>
      <c r="E373" s="46"/>
      <c r="F373" s="118" t="s">
        <v>17771</v>
      </c>
      <c r="G373" s="126" t="str">
        <f t="shared" si="27"/>
        <v>MEP-T2S-6S-4</v>
      </c>
      <c r="H373" s="122" t="s">
        <v>292</v>
      </c>
      <c r="I373" s="120">
        <v>1</v>
      </c>
      <c r="J373" s="128" t="s">
        <v>286</v>
      </c>
    </row>
    <row r="374" spans="2:10" s="18" customFormat="1" ht="12.75" hidden="1" customHeight="1" outlineLevel="1">
      <c r="B374" s="118" t="s">
        <v>17394</v>
      </c>
      <c r="C374" s="307" t="s">
        <v>17861</v>
      </c>
      <c r="D374" s="124" t="s">
        <v>17859</v>
      </c>
      <c r="E374" s="46"/>
      <c r="F374" s="118" t="s">
        <v>17771</v>
      </c>
      <c r="G374" s="126" t="str">
        <f t="shared" si="27"/>
        <v>MEP-T2S-6S-4</v>
      </c>
      <c r="H374" s="122" t="s">
        <v>292</v>
      </c>
      <c r="I374" s="120">
        <v>1</v>
      </c>
      <c r="J374" s="128" t="s">
        <v>286</v>
      </c>
    </row>
    <row r="375" spans="2:10" s="18" customFormat="1" ht="12.75" hidden="1" customHeight="1" outlineLevel="1">
      <c r="B375" s="118" t="s">
        <v>17394</v>
      </c>
      <c r="C375" s="307" t="s">
        <v>17862</v>
      </c>
      <c r="D375" s="124" t="s">
        <v>17859</v>
      </c>
      <c r="E375" s="46"/>
      <c r="F375" s="118" t="s">
        <v>17771</v>
      </c>
      <c r="G375" s="126" t="str">
        <f t="shared" si="27"/>
        <v>MEP-T2S-6S-4</v>
      </c>
      <c r="H375" s="122" t="s">
        <v>292</v>
      </c>
      <c r="I375" s="120">
        <v>1</v>
      </c>
      <c r="J375" s="128" t="s">
        <v>286</v>
      </c>
    </row>
    <row r="376" spans="2:10" s="18" customFormat="1" ht="12.75" hidden="1" customHeight="1" outlineLevel="1">
      <c r="B376" s="118" t="s">
        <v>17394</v>
      </c>
      <c r="C376" s="307" t="s">
        <v>17863</v>
      </c>
      <c r="D376" s="124" t="s">
        <v>17859</v>
      </c>
      <c r="E376" s="46"/>
      <c r="F376" s="118" t="s">
        <v>17771</v>
      </c>
      <c r="G376" s="126" t="str">
        <f t="shared" si="27"/>
        <v>MEP-T2S-6S-4</v>
      </c>
      <c r="H376" s="122" t="s">
        <v>292</v>
      </c>
      <c r="I376" s="120">
        <v>1</v>
      </c>
      <c r="J376" s="128" t="s">
        <v>286</v>
      </c>
    </row>
    <row r="377" spans="2:10" s="18" customFormat="1" ht="12.75" hidden="1" customHeight="1" outlineLevel="1">
      <c r="B377" s="118" t="s">
        <v>17394</v>
      </c>
      <c r="C377" s="307" t="s">
        <v>17864</v>
      </c>
      <c r="D377" s="124" t="s">
        <v>17859</v>
      </c>
      <c r="E377" s="46"/>
      <c r="F377" s="118" t="s">
        <v>17771</v>
      </c>
      <c r="G377" s="126" t="str">
        <f t="shared" si="27"/>
        <v>MEP-T2S-6S-4</v>
      </c>
      <c r="H377" s="122" t="s">
        <v>292</v>
      </c>
      <c r="I377" s="129">
        <v>1</v>
      </c>
      <c r="J377" s="128" t="s">
        <v>286</v>
      </c>
    </row>
    <row r="378" spans="2:10" s="18" customFormat="1" ht="12.75" hidden="1" customHeight="1" outlineLevel="1">
      <c r="B378" s="118" t="s">
        <v>17394</v>
      </c>
      <c r="C378" s="307" t="s">
        <v>1631</v>
      </c>
      <c r="D378" s="124" t="s">
        <v>1632</v>
      </c>
      <c r="E378" s="46"/>
      <c r="F378" s="118" t="s">
        <v>17771</v>
      </c>
      <c r="G378" s="126" t="str">
        <f t="shared" si="27"/>
        <v>MEP-T2S-6S-4</v>
      </c>
      <c r="H378" s="122" t="s">
        <v>292</v>
      </c>
      <c r="I378" s="129">
        <v>1</v>
      </c>
      <c r="J378" s="128" t="s">
        <v>286</v>
      </c>
    </row>
    <row r="379" spans="2:10" s="18" customFormat="1" ht="12.75" hidden="1" customHeight="1" outlineLevel="1">
      <c r="B379" s="118" t="s">
        <v>17394</v>
      </c>
      <c r="C379" s="307" t="s">
        <v>1633</v>
      </c>
      <c r="D379" s="124" t="s">
        <v>17865</v>
      </c>
      <c r="E379" s="46"/>
      <c r="F379" s="118" t="s">
        <v>17771</v>
      </c>
      <c r="G379" s="126" t="str">
        <f t="shared" si="27"/>
        <v>MEP-T2S-6S-4</v>
      </c>
      <c r="H379" s="122" t="s">
        <v>292</v>
      </c>
      <c r="I379" s="120">
        <v>1</v>
      </c>
      <c r="J379" s="128" t="s">
        <v>286</v>
      </c>
    </row>
    <row r="380" spans="2:10" s="18" customFormat="1" ht="12.75" hidden="1" customHeight="1" outlineLevel="1">
      <c r="B380" s="118" t="s">
        <v>17394</v>
      </c>
      <c r="C380" s="307" t="s">
        <v>1635</v>
      </c>
      <c r="D380" s="124" t="s">
        <v>1636</v>
      </c>
      <c r="E380" s="46"/>
      <c r="F380" s="118" t="s">
        <v>17771</v>
      </c>
      <c r="G380" s="126" t="str">
        <f t="shared" si="27"/>
        <v>MEP-T2S-6S-4</v>
      </c>
      <c r="H380" s="122" t="s">
        <v>292</v>
      </c>
      <c r="I380" s="120">
        <v>1</v>
      </c>
      <c r="J380" s="128" t="s">
        <v>286</v>
      </c>
    </row>
    <row r="381" spans="2:10" s="18" customFormat="1" ht="12.75" hidden="1" customHeight="1" outlineLevel="1">
      <c r="B381" s="118" t="s">
        <v>17394</v>
      </c>
      <c r="C381" s="307" t="s">
        <v>1637</v>
      </c>
      <c r="D381" s="124" t="s">
        <v>1638</v>
      </c>
      <c r="E381" s="46"/>
      <c r="F381" s="118" t="s">
        <v>17771</v>
      </c>
      <c r="G381" s="126" t="str">
        <f t="shared" si="27"/>
        <v>MEP-T2S-6S-4</v>
      </c>
      <c r="H381" s="122" t="s">
        <v>292</v>
      </c>
      <c r="I381" s="120">
        <v>1</v>
      </c>
      <c r="J381" s="128" t="s">
        <v>286</v>
      </c>
    </row>
    <row r="382" spans="2:10" s="18" customFormat="1" ht="12.75" hidden="1" customHeight="1" outlineLevel="1">
      <c r="B382" s="118" t="s">
        <v>17394</v>
      </c>
      <c r="C382" s="307" t="s">
        <v>1639</v>
      </c>
      <c r="D382" s="124" t="s">
        <v>1640</v>
      </c>
      <c r="E382" s="46"/>
      <c r="F382" s="118" t="s">
        <v>17771</v>
      </c>
      <c r="G382" s="126" t="str">
        <f t="shared" si="27"/>
        <v>MEP-T2S-6S-4</v>
      </c>
      <c r="H382" s="122" t="s">
        <v>292</v>
      </c>
      <c r="I382" s="120">
        <v>1</v>
      </c>
      <c r="J382" s="128" t="s">
        <v>286</v>
      </c>
    </row>
    <row r="383" spans="2:10" s="18" customFormat="1" ht="12.75" hidden="1" customHeight="1" outlineLevel="1">
      <c r="B383" s="118" t="s">
        <v>17394</v>
      </c>
      <c r="C383" s="307" t="s">
        <v>1641</v>
      </c>
      <c r="D383" s="124" t="s">
        <v>1642</v>
      </c>
      <c r="E383" s="46"/>
      <c r="F383" s="118" t="s">
        <v>17771</v>
      </c>
      <c r="G383" s="126" t="str">
        <f t="shared" si="27"/>
        <v>MEP-T2S-6S-4</v>
      </c>
      <c r="H383" s="122" t="s">
        <v>292</v>
      </c>
      <c r="I383" s="120">
        <v>1</v>
      </c>
      <c r="J383" s="128" t="s">
        <v>286</v>
      </c>
    </row>
    <row r="384" spans="2:10" s="18" customFormat="1" ht="12.75" hidden="1" customHeight="1" outlineLevel="1">
      <c r="B384" s="118" t="s">
        <v>17394</v>
      </c>
      <c r="C384" s="307" t="s">
        <v>1643</v>
      </c>
      <c r="D384" s="124" t="s">
        <v>1644</v>
      </c>
      <c r="E384" s="46"/>
      <c r="F384" s="118" t="s">
        <v>17771</v>
      </c>
      <c r="G384" s="126" t="str">
        <f t="shared" si="27"/>
        <v>MEP-T2S-6S-4</v>
      </c>
      <c r="H384" s="122" t="s">
        <v>292</v>
      </c>
      <c r="I384" s="120">
        <v>1</v>
      </c>
      <c r="J384" s="128" t="s">
        <v>286</v>
      </c>
    </row>
    <row r="385" spans="1:12" s="18" customFormat="1" ht="12.75" hidden="1" customHeight="1" outlineLevel="1">
      <c r="B385" s="118" t="s">
        <v>17394</v>
      </c>
      <c r="C385" s="307" t="s">
        <v>1645</v>
      </c>
      <c r="D385" s="124" t="s">
        <v>17866</v>
      </c>
      <c r="E385" s="46"/>
      <c r="F385" s="118" t="s">
        <v>17771</v>
      </c>
      <c r="G385" s="126" t="str">
        <f t="shared" si="27"/>
        <v>MEP-T2S-6S-4</v>
      </c>
      <c r="H385" s="122" t="s">
        <v>292</v>
      </c>
      <c r="I385" s="120">
        <v>1</v>
      </c>
      <c r="J385" s="128" t="s">
        <v>286</v>
      </c>
    </row>
    <row r="386" spans="1:12" s="18" customFormat="1" ht="12.75" hidden="1" customHeight="1" outlineLevel="1">
      <c r="B386" s="118" t="s">
        <v>17394</v>
      </c>
      <c r="C386" s="307" t="s">
        <v>1647</v>
      </c>
      <c r="D386" s="124" t="s">
        <v>1648</v>
      </c>
      <c r="E386" s="46"/>
      <c r="F386" s="118" t="s">
        <v>17771</v>
      </c>
      <c r="G386" s="126" t="str">
        <f t="shared" si="27"/>
        <v>MEP-T2S-6S-4</v>
      </c>
      <c r="H386" s="122" t="s">
        <v>292</v>
      </c>
      <c r="I386" s="120">
        <v>1</v>
      </c>
      <c r="J386" s="128" t="s">
        <v>286</v>
      </c>
    </row>
    <row r="387" spans="1:12" s="18" customFormat="1" ht="12.75" hidden="1" customHeight="1" outlineLevel="1">
      <c r="B387" s="118" t="s">
        <v>17394</v>
      </c>
      <c r="C387" s="307" t="s">
        <v>17867</v>
      </c>
      <c r="D387" s="124" t="s">
        <v>17868</v>
      </c>
      <c r="E387" s="46"/>
      <c r="F387" s="118" t="s">
        <v>17771</v>
      </c>
      <c r="G387" s="126" t="str">
        <f t="shared" si="27"/>
        <v>MEP-T2S-6S-4</v>
      </c>
      <c r="H387" s="122" t="s">
        <v>292</v>
      </c>
      <c r="I387" s="120">
        <v>1</v>
      </c>
      <c r="J387" s="128" t="s">
        <v>286</v>
      </c>
    </row>
    <row r="388" spans="1:12" s="18" customFormat="1" ht="12.75" hidden="1" customHeight="1" outlineLevel="1">
      <c r="B388" s="118" t="s">
        <v>17394</v>
      </c>
      <c r="C388" s="307" t="s">
        <v>1649</v>
      </c>
      <c r="D388" s="124" t="s">
        <v>1650</v>
      </c>
      <c r="E388" s="46"/>
      <c r="F388" s="118" t="s">
        <v>17771</v>
      </c>
      <c r="G388" s="126" t="str">
        <f t="shared" si="27"/>
        <v>MEP-T2S-6S-4</v>
      </c>
      <c r="H388" s="122" t="s">
        <v>292</v>
      </c>
      <c r="I388" s="120">
        <v>1</v>
      </c>
      <c r="J388" s="128" t="s">
        <v>286</v>
      </c>
    </row>
    <row r="389" spans="1:12" s="18" customFormat="1" ht="12.75" hidden="1" customHeight="1" outlineLevel="1">
      <c r="B389" s="118" t="s">
        <v>17394</v>
      </c>
      <c r="C389" s="307" t="s">
        <v>17869</v>
      </c>
      <c r="D389" s="124" t="s">
        <v>17870</v>
      </c>
      <c r="E389" s="46"/>
      <c r="F389" s="118" t="s">
        <v>17771</v>
      </c>
      <c r="G389" s="126" t="str">
        <f t="shared" si="27"/>
        <v>MEP-T2S-6S-4</v>
      </c>
      <c r="H389" s="122" t="s">
        <v>292</v>
      </c>
      <c r="I389" s="120">
        <v>1</v>
      </c>
      <c r="J389" s="128" t="s">
        <v>286</v>
      </c>
    </row>
    <row r="390" spans="1:12" s="18" customFormat="1" ht="12.75" hidden="1" customHeight="1" outlineLevel="1">
      <c r="B390" s="118" t="s">
        <v>17394</v>
      </c>
      <c r="C390" s="307" t="s">
        <v>17871</v>
      </c>
      <c r="D390" s="124" t="s">
        <v>17872</v>
      </c>
      <c r="E390" s="46"/>
      <c r="F390" s="118" t="s">
        <v>17771</v>
      </c>
      <c r="G390" s="126" t="str">
        <f t="shared" si="27"/>
        <v>MEP-T2S-6S-4</v>
      </c>
      <c r="H390" s="122" t="s">
        <v>292</v>
      </c>
      <c r="I390" s="120">
        <v>1</v>
      </c>
      <c r="J390" s="128" t="s">
        <v>286</v>
      </c>
    </row>
    <row r="391" spans="1:12" s="18" customFormat="1" ht="12.75" hidden="1" customHeight="1" outlineLevel="1">
      <c r="A391" s="110"/>
      <c r="B391" s="118" t="s">
        <v>17394</v>
      </c>
      <c r="C391" s="307" t="s">
        <v>17873</v>
      </c>
      <c r="D391" s="124" t="s">
        <v>17874</v>
      </c>
      <c r="E391" s="46"/>
      <c r="F391" s="118" t="s">
        <v>17771</v>
      </c>
      <c r="G391" s="126" t="str">
        <f t="shared" si="27"/>
        <v>MEP-T2S-6S-4</v>
      </c>
      <c r="H391" s="122" t="s">
        <v>292</v>
      </c>
      <c r="I391" s="129">
        <v>1</v>
      </c>
      <c r="J391" s="128" t="s">
        <v>286</v>
      </c>
    </row>
    <row r="392" spans="1:12" s="18" customFormat="1" ht="12.75" hidden="1" customHeight="1" outlineLevel="1">
      <c r="A392" s="110"/>
      <c r="B392" s="118" t="s">
        <v>17394</v>
      </c>
      <c r="C392" s="307" t="s">
        <v>1651</v>
      </c>
      <c r="D392" s="124" t="s">
        <v>1652</v>
      </c>
      <c r="E392" s="46"/>
      <c r="F392" s="118" t="s">
        <v>17771</v>
      </c>
      <c r="G392" s="126" t="str">
        <f t="shared" si="27"/>
        <v>MEP-T2S-6S-4</v>
      </c>
      <c r="H392" s="122" t="s">
        <v>292</v>
      </c>
      <c r="I392" s="129">
        <v>1</v>
      </c>
      <c r="J392" s="128" t="s">
        <v>286</v>
      </c>
    </row>
    <row r="393" spans="1:12" s="18" customFormat="1" ht="12.75" hidden="1" customHeight="1" outlineLevel="1">
      <c r="A393" s="110"/>
      <c r="B393" s="118" t="s">
        <v>17394</v>
      </c>
      <c r="C393" s="307" t="s">
        <v>1653</v>
      </c>
      <c r="D393" s="124" t="s">
        <v>1654</v>
      </c>
      <c r="E393" s="46"/>
      <c r="F393" s="118" t="s">
        <v>17771</v>
      </c>
      <c r="G393" s="126" t="str">
        <f t="shared" si="27"/>
        <v>MEP-T2S-6S-4</v>
      </c>
      <c r="H393" s="122" t="s">
        <v>292</v>
      </c>
      <c r="I393" s="129">
        <v>1</v>
      </c>
      <c r="J393" s="128" t="s">
        <v>286</v>
      </c>
    </row>
    <row r="394" spans="1:12" s="18" customFormat="1" ht="12.75" hidden="1" customHeight="1" outlineLevel="1">
      <c r="A394" s="110"/>
      <c r="B394" s="118" t="s">
        <v>17394</v>
      </c>
      <c r="C394" s="307" t="s">
        <v>1655</v>
      </c>
      <c r="D394" s="124" t="s">
        <v>1656</v>
      </c>
      <c r="E394" s="46"/>
      <c r="F394" s="118" t="s">
        <v>17771</v>
      </c>
      <c r="G394" s="126" t="str">
        <f t="shared" si="27"/>
        <v>MEP-T2S-6S-4</v>
      </c>
      <c r="H394" s="122" t="s">
        <v>292</v>
      </c>
      <c r="I394" s="129">
        <v>1</v>
      </c>
      <c r="J394" s="128" t="s">
        <v>286</v>
      </c>
    </row>
    <row r="395" spans="1:12" s="18" customFormat="1" ht="12.75" hidden="1" customHeight="1" outlineLevel="1">
      <c r="A395" s="110"/>
      <c r="B395" s="118" t="s">
        <v>17394</v>
      </c>
      <c r="C395" s="307" t="s">
        <v>1657</v>
      </c>
      <c r="D395" s="124" t="s">
        <v>1658</v>
      </c>
      <c r="E395" s="46"/>
      <c r="F395" s="118" t="s">
        <v>17771</v>
      </c>
      <c r="G395" s="126" t="str">
        <f t="shared" si="27"/>
        <v>MEP-T2S-6S-4</v>
      </c>
      <c r="H395" s="122" t="s">
        <v>292</v>
      </c>
      <c r="I395" s="129">
        <v>1</v>
      </c>
      <c r="J395" s="128" t="s">
        <v>286</v>
      </c>
    </row>
    <row r="396" spans="1:12" s="18" customFormat="1" ht="12.75" hidden="1" customHeight="1" outlineLevel="1">
      <c r="A396" s="110"/>
      <c r="B396" s="118" t="s">
        <v>17343</v>
      </c>
      <c r="C396" s="307" t="s">
        <v>1659</v>
      </c>
      <c r="D396" s="124" t="s">
        <v>1660</v>
      </c>
      <c r="E396" s="46"/>
      <c r="F396" s="118" t="s">
        <v>17771</v>
      </c>
      <c r="G396" s="126" t="str">
        <f t="shared" si="27"/>
        <v>MEP-T2S-6S-4</v>
      </c>
      <c r="H396" s="122" t="s">
        <v>292</v>
      </c>
      <c r="I396" s="129">
        <v>1</v>
      </c>
      <c r="J396" s="128" t="s">
        <v>286</v>
      </c>
    </row>
    <row r="397" spans="1:12" s="18" customFormat="1" ht="12.75" hidden="1" customHeight="1" outlineLevel="1">
      <c r="B397" s="118" t="s">
        <v>17343</v>
      </c>
      <c r="C397" s="307" t="s">
        <v>1645</v>
      </c>
      <c r="D397" s="124" t="s">
        <v>17866</v>
      </c>
      <c r="E397" s="46"/>
      <c r="F397" s="118" t="s">
        <v>17771</v>
      </c>
      <c r="G397" s="126" t="str">
        <f t="shared" si="27"/>
        <v>MEP-T2S-6S-6</v>
      </c>
      <c r="H397" s="122" t="s">
        <v>368</v>
      </c>
      <c r="I397" s="129">
        <v>1</v>
      </c>
      <c r="J397" s="128" t="s">
        <v>286</v>
      </c>
      <c r="K397" s="129"/>
      <c r="L397" s="129"/>
    </row>
    <row r="398" spans="1:12" s="18" customFormat="1" ht="12.75" hidden="1" customHeight="1" outlineLevel="1">
      <c r="B398" s="118" t="s">
        <v>17343</v>
      </c>
      <c r="C398" s="307" t="s">
        <v>17867</v>
      </c>
      <c r="D398" s="124" t="s">
        <v>17868</v>
      </c>
      <c r="E398" s="46"/>
      <c r="F398" s="118" t="s">
        <v>17771</v>
      </c>
      <c r="G398" s="126" t="str">
        <f t="shared" si="27"/>
        <v>MEP-T2S-6S-6</v>
      </c>
      <c r="H398" s="122" t="s">
        <v>368</v>
      </c>
      <c r="I398" s="120">
        <v>1</v>
      </c>
      <c r="J398" s="128" t="s">
        <v>286</v>
      </c>
      <c r="K398" s="120"/>
      <c r="L398" s="129"/>
    </row>
    <row r="399" spans="1:12" s="18" customFormat="1" ht="12.75" hidden="1" customHeight="1" outlineLevel="1">
      <c r="B399" s="118" t="s">
        <v>17343</v>
      </c>
      <c r="C399" s="307" t="s">
        <v>17869</v>
      </c>
      <c r="D399" s="124" t="s">
        <v>17870</v>
      </c>
      <c r="E399" s="46"/>
      <c r="F399" s="118" t="s">
        <v>17771</v>
      </c>
      <c r="G399" s="126" t="str">
        <f t="shared" si="27"/>
        <v>MEP-T2S-6S-6</v>
      </c>
      <c r="H399" s="122" t="s">
        <v>368</v>
      </c>
      <c r="I399" s="120">
        <v>1</v>
      </c>
      <c r="J399" s="128" t="s">
        <v>286</v>
      </c>
      <c r="K399" s="120"/>
      <c r="L399" s="129"/>
    </row>
    <row r="400" spans="1:12" s="18" customFormat="1" ht="12.75" hidden="1" customHeight="1" outlineLevel="1">
      <c r="B400" s="118" t="s">
        <v>17343</v>
      </c>
      <c r="C400" s="307" t="s">
        <v>17871</v>
      </c>
      <c r="D400" s="124" t="s">
        <v>17872</v>
      </c>
      <c r="E400" s="46"/>
      <c r="F400" s="118" t="s">
        <v>17771</v>
      </c>
      <c r="G400" s="126" t="str">
        <f t="shared" si="27"/>
        <v>MEP-T2S-6S-6</v>
      </c>
      <c r="H400" s="122" t="s">
        <v>368</v>
      </c>
      <c r="I400" s="120">
        <v>1</v>
      </c>
      <c r="J400" s="128" t="s">
        <v>286</v>
      </c>
      <c r="K400" s="120"/>
      <c r="L400" s="129"/>
    </row>
    <row r="401" spans="2:12" s="18" customFormat="1" ht="12.75" hidden="1" customHeight="1" outlineLevel="1">
      <c r="B401" s="118" t="s">
        <v>17343</v>
      </c>
      <c r="C401" s="307" t="s">
        <v>17875</v>
      </c>
      <c r="D401" s="124" t="s">
        <v>17876</v>
      </c>
      <c r="E401" s="46"/>
      <c r="F401" s="118" t="s">
        <v>17771</v>
      </c>
      <c r="G401" s="126" t="str">
        <f t="shared" si="27"/>
        <v>MEP-T2S-6S-7</v>
      </c>
      <c r="H401" s="122" t="s">
        <v>373</v>
      </c>
      <c r="I401" s="129">
        <v>1</v>
      </c>
      <c r="J401" s="128" t="s">
        <v>286</v>
      </c>
      <c r="K401" s="129"/>
      <c r="L401" s="129"/>
    </row>
    <row r="402" spans="2:12" s="18" customFormat="1" ht="12.75" hidden="1" customHeight="1" outlineLevel="1">
      <c r="B402" s="118" t="s">
        <v>17343</v>
      </c>
      <c r="C402" s="307" t="s">
        <v>17877</v>
      </c>
      <c r="D402" s="124" t="s">
        <v>17878</v>
      </c>
      <c r="E402" s="46"/>
      <c r="F402" s="118" t="s">
        <v>17771</v>
      </c>
      <c r="G402" s="126" t="str">
        <f t="shared" si="27"/>
        <v>MEP-T2S-6S-7</v>
      </c>
      <c r="H402" s="122" t="s">
        <v>373</v>
      </c>
      <c r="I402" s="129">
        <v>1</v>
      </c>
      <c r="J402" s="128" t="s">
        <v>286</v>
      </c>
      <c r="K402" s="129"/>
      <c r="L402" s="129"/>
    </row>
    <row r="403" spans="2:12" s="18" customFormat="1" ht="12.75" hidden="1" customHeight="1" outlineLevel="1">
      <c r="B403" s="118" t="s">
        <v>17343</v>
      </c>
      <c r="C403" s="307" t="s">
        <v>17879</v>
      </c>
      <c r="D403" s="124" t="s">
        <v>17880</v>
      </c>
      <c r="E403" s="46"/>
      <c r="F403" s="118" t="s">
        <v>17771</v>
      </c>
      <c r="G403" s="126" t="str">
        <f t="shared" si="27"/>
        <v>MEP-T2S-6S-7</v>
      </c>
      <c r="H403" s="122" t="s">
        <v>373</v>
      </c>
      <c r="I403" s="120">
        <v>1</v>
      </c>
      <c r="J403" s="128" t="s">
        <v>286</v>
      </c>
      <c r="L403" s="129"/>
    </row>
    <row r="404" spans="2:12" s="18" customFormat="1" ht="12.75" hidden="1" customHeight="1" outlineLevel="1">
      <c r="B404" s="118" t="s">
        <v>17343</v>
      </c>
      <c r="C404" s="307" t="s">
        <v>17881</v>
      </c>
      <c r="D404" s="124" t="s">
        <v>17882</v>
      </c>
      <c r="E404" s="46"/>
      <c r="F404" s="118" t="s">
        <v>17771</v>
      </c>
      <c r="G404" s="126" t="str">
        <f t="shared" si="27"/>
        <v>MEP-T2S-6S-7</v>
      </c>
      <c r="H404" s="122" t="s">
        <v>373</v>
      </c>
      <c r="I404" s="129">
        <v>1</v>
      </c>
      <c r="J404" s="128" t="s">
        <v>286</v>
      </c>
      <c r="K404" s="129"/>
      <c r="L404" s="129"/>
    </row>
    <row r="405" spans="2:12" s="18" customFormat="1" ht="12.75" hidden="1" customHeight="1" outlineLevel="1">
      <c r="B405" s="118" t="s">
        <v>17343</v>
      </c>
      <c r="C405" s="307" t="s">
        <v>17883</v>
      </c>
      <c r="D405" s="124" t="s">
        <v>17884</v>
      </c>
      <c r="E405" s="46"/>
      <c r="F405" s="118" t="s">
        <v>17771</v>
      </c>
      <c r="G405" s="126" t="str">
        <f t="shared" si="27"/>
        <v>MEP-T2S-6S-7</v>
      </c>
      <c r="H405" s="122" t="s">
        <v>373</v>
      </c>
      <c r="I405" s="129">
        <v>1</v>
      </c>
      <c r="J405" s="128" t="s">
        <v>286</v>
      </c>
      <c r="K405" s="129"/>
      <c r="L405" s="129"/>
    </row>
    <row r="406" spans="2:12" s="18" customFormat="1" ht="12.75" hidden="1" customHeight="1" outlineLevel="1">
      <c r="B406" s="118" t="s">
        <v>17343</v>
      </c>
      <c r="C406" s="307" t="s">
        <v>17885</v>
      </c>
      <c r="D406" s="124" t="s">
        <v>17886</v>
      </c>
      <c r="E406" s="46"/>
      <c r="F406" s="118" t="s">
        <v>17771</v>
      </c>
      <c r="G406" s="126" t="str">
        <f t="shared" si="27"/>
        <v>MEP-T2S-6S-7</v>
      </c>
      <c r="H406" s="122" t="s">
        <v>373</v>
      </c>
      <c r="I406" s="120">
        <v>1</v>
      </c>
      <c r="J406" s="128" t="s">
        <v>286</v>
      </c>
      <c r="K406" s="120"/>
      <c r="L406" s="129"/>
    </row>
    <row r="407" spans="2:12" s="18" customFormat="1" ht="12.75" hidden="1" customHeight="1" outlineLevel="1">
      <c r="B407" s="118" t="s">
        <v>17343</v>
      </c>
      <c r="C407" s="307" t="s">
        <v>17887</v>
      </c>
      <c r="D407" s="124" t="s">
        <v>17888</v>
      </c>
      <c r="E407" s="46"/>
      <c r="F407" s="118" t="s">
        <v>17771</v>
      </c>
      <c r="G407" s="126" t="str">
        <f t="shared" si="27"/>
        <v>MEP-T2S-6S-7</v>
      </c>
      <c r="H407" s="122" t="s">
        <v>373</v>
      </c>
      <c r="I407" s="129">
        <v>1</v>
      </c>
      <c r="J407" s="128" t="s">
        <v>286</v>
      </c>
      <c r="K407" s="129"/>
      <c r="L407" s="129"/>
    </row>
    <row r="408" spans="2:12" s="18" customFormat="1" ht="12.75" hidden="1" customHeight="1" outlineLevel="1">
      <c r="B408" s="118" t="s">
        <v>17343</v>
      </c>
      <c r="C408" s="307" t="s">
        <v>4257</v>
      </c>
      <c r="D408" s="124" t="s">
        <v>4258</v>
      </c>
      <c r="E408" s="46"/>
      <c r="F408" s="118" t="s">
        <v>17771</v>
      </c>
      <c r="G408" s="126" t="str">
        <f t="shared" si="27"/>
        <v>MEP-T2S-6S-7</v>
      </c>
      <c r="H408" s="122" t="s">
        <v>373</v>
      </c>
      <c r="I408" s="129">
        <v>1</v>
      </c>
      <c r="J408" s="128" t="s">
        <v>286</v>
      </c>
      <c r="K408" s="129"/>
      <c r="L408" s="129"/>
    </row>
    <row r="409" spans="2:12" s="18" customFormat="1" ht="12.75" hidden="1" customHeight="1" outlineLevel="1">
      <c r="B409" s="118" t="s">
        <v>17343</v>
      </c>
      <c r="C409" s="307" t="s">
        <v>17889</v>
      </c>
      <c r="D409" s="124" t="s">
        <v>17890</v>
      </c>
      <c r="E409" s="46"/>
      <c r="F409" s="118" t="s">
        <v>17771</v>
      </c>
      <c r="G409" s="126" t="str">
        <f t="shared" si="27"/>
        <v>MEP-T2S-6S-1</v>
      </c>
      <c r="H409" s="122" t="s">
        <v>304</v>
      </c>
      <c r="I409" s="120">
        <v>1</v>
      </c>
      <c r="J409" s="128" t="s">
        <v>286</v>
      </c>
      <c r="K409" s="120"/>
      <c r="L409" s="129"/>
    </row>
    <row r="410" spans="2:12" s="18" customFormat="1" ht="12.75" hidden="1" customHeight="1" outlineLevel="1">
      <c r="B410" s="118" t="s">
        <v>17343</v>
      </c>
      <c r="C410" s="307" t="s">
        <v>17891</v>
      </c>
      <c r="D410" s="124" t="s">
        <v>17791</v>
      </c>
      <c r="E410" s="46"/>
      <c r="F410" s="118" t="s">
        <v>17771</v>
      </c>
      <c r="G410" s="126" t="str">
        <f t="shared" si="27"/>
        <v>MEP-T2S-6S-1</v>
      </c>
      <c r="H410" s="122" t="s">
        <v>304</v>
      </c>
      <c r="I410" s="129">
        <v>1</v>
      </c>
      <c r="J410" s="128" t="s">
        <v>286</v>
      </c>
      <c r="K410" s="129"/>
      <c r="L410" s="129"/>
    </row>
    <row r="411" spans="2:12" s="18" customFormat="1" ht="12.75" hidden="1" customHeight="1" outlineLevel="1">
      <c r="B411" s="118" t="s">
        <v>17343</v>
      </c>
      <c r="C411" s="307" t="s">
        <v>17784</v>
      </c>
      <c r="D411" s="124" t="s">
        <v>17785</v>
      </c>
      <c r="E411" s="46"/>
      <c r="F411" s="118" t="s">
        <v>17771</v>
      </c>
      <c r="G411" s="126" t="str">
        <f t="shared" si="27"/>
        <v>MEP-T2S-6S-1</v>
      </c>
      <c r="H411" s="122" t="s">
        <v>304</v>
      </c>
      <c r="I411" s="120">
        <v>1</v>
      </c>
      <c r="J411" s="120" t="s">
        <v>286</v>
      </c>
      <c r="K411" s="129"/>
      <c r="L411" s="129"/>
    </row>
    <row r="412" spans="2:12" s="18" customFormat="1" ht="12.75" hidden="1" customHeight="1" outlineLevel="1">
      <c r="B412" s="118" t="s">
        <v>17371</v>
      </c>
      <c r="C412" s="307" t="s">
        <v>17892</v>
      </c>
      <c r="D412" s="124" t="s">
        <v>17789</v>
      </c>
      <c r="E412" s="46"/>
      <c r="F412" s="118" t="s">
        <v>17771</v>
      </c>
      <c r="G412" s="126" t="str">
        <f t="shared" si="27"/>
        <v>MEP-T2S-6S-1</v>
      </c>
      <c r="H412" s="122" t="s">
        <v>304</v>
      </c>
      <c r="I412" s="120">
        <v>1</v>
      </c>
      <c r="J412" s="128" t="s">
        <v>286</v>
      </c>
    </row>
    <row r="413" spans="2:12" s="18" customFormat="1" ht="12.75" hidden="1" customHeight="1" outlineLevel="1">
      <c r="B413" s="118" t="s">
        <v>17371</v>
      </c>
      <c r="C413" s="307" t="s">
        <v>17786</v>
      </c>
      <c r="D413" s="124" t="s">
        <v>17787</v>
      </c>
      <c r="E413" s="46"/>
      <c r="F413" s="118" t="s">
        <v>17771</v>
      </c>
      <c r="G413" s="126" t="str">
        <f t="shared" si="27"/>
        <v>MEP-T2S-6S-1</v>
      </c>
      <c r="H413" s="122" t="s">
        <v>304</v>
      </c>
      <c r="I413" s="120">
        <v>1</v>
      </c>
      <c r="J413" s="128" t="s">
        <v>286</v>
      </c>
    </row>
    <row r="414" spans="2:12" s="18" customFormat="1" ht="12.75" hidden="1" customHeight="1" outlineLevel="1">
      <c r="B414" s="118" t="s">
        <v>17371</v>
      </c>
      <c r="C414" s="307" t="s">
        <v>17893</v>
      </c>
      <c r="D414" s="124" t="s">
        <v>17793</v>
      </c>
      <c r="E414" s="46"/>
      <c r="F414" s="118" t="s">
        <v>17771</v>
      </c>
      <c r="G414" s="126" t="str">
        <f t="shared" si="27"/>
        <v>MEP-T2S-6S-1</v>
      </c>
      <c r="H414" s="122" t="s">
        <v>304</v>
      </c>
      <c r="I414" s="120">
        <v>1</v>
      </c>
      <c r="J414" s="128" t="s">
        <v>286</v>
      </c>
    </row>
    <row r="415" spans="2:12" s="18" customFormat="1" ht="12.75" hidden="1" customHeight="1" outlineLevel="1">
      <c r="B415" s="118" t="s">
        <v>17371</v>
      </c>
      <c r="C415" s="307" t="s">
        <v>17894</v>
      </c>
      <c r="D415" s="124" t="s">
        <v>17895</v>
      </c>
      <c r="E415" s="46"/>
      <c r="F415" s="118" t="s">
        <v>17771</v>
      </c>
      <c r="G415" s="126" t="str">
        <f t="shared" si="27"/>
        <v>MEP-T2S-6S-2</v>
      </c>
      <c r="H415" s="122" t="s">
        <v>289</v>
      </c>
      <c r="I415" s="120">
        <v>1</v>
      </c>
      <c r="J415" s="128" t="s">
        <v>286</v>
      </c>
    </row>
    <row r="416" spans="2:12" s="18" customFormat="1" ht="12.75" hidden="1" customHeight="1" outlineLevel="1">
      <c r="B416" s="118" t="s">
        <v>17371</v>
      </c>
      <c r="C416" s="307" t="s">
        <v>17896</v>
      </c>
      <c r="D416" s="124" t="s">
        <v>17897</v>
      </c>
      <c r="E416" s="46"/>
      <c r="F416" s="118" t="s">
        <v>17771</v>
      </c>
      <c r="G416" s="126" t="str">
        <f t="shared" si="27"/>
        <v>MEP-T2S-6S-4</v>
      </c>
      <c r="H416" s="122" t="s">
        <v>292</v>
      </c>
      <c r="I416" s="120">
        <v>1</v>
      </c>
      <c r="J416" s="128" t="s">
        <v>286</v>
      </c>
    </row>
    <row r="417" spans="2:10" s="18" customFormat="1" ht="12.75" hidden="1" customHeight="1" outlineLevel="1">
      <c r="B417" s="118" t="s">
        <v>17371</v>
      </c>
      <c r="C417" s="307" t="s">
        <v>17889</v>
      </c>
      <c r="D417" s="124" t="s">
        <v>17773</v>
      </c>
      <c r="E417" s="46"/>
      <c r="F417" s="118" t="s">
        <v>17771</v>
      </c>
      <c r="G417" s="126" t="str">
        <f t="shared" si="27"/>
        <v>MEP-T2S-6S-1</v>
      </c>
      <c r="H417" s="122" t="s">
        <v>304</v>
      </c>
      <c r="I417" s="120">
        <v>1</v>
      </c>
      <c r="J417" s="128" t="s">
        <v>286</v>
      </c>
    </row>
    <row r="418" spans="2:10" s="18" customFormat="1" ht="12.75" hidden="1" customHeight="1" outlineLevel="1">
      <c r="B418" s="118" t="s">
        <v>17371</v>
      </c>
      <c r="C418" s="307" t="s">
        <v>17784</v>
      </c>
      <c r="D418" s="124" t="s">
        <v>17785</v>
      </c>
      <c r="E418" s="46"/>
      <c r="F418" s="118" t="s">
        <v>17771</v>
      </c>
      <c r="G418" s="126" t="str">
        <f t="shared" si="27"/>
        <v>MEP-T2S-6S-1</v>
      </c>
      <c r="H418" s="122" t="s">
        <v>304</v>
      </c>
      <c r="I418" s="120">
        <v>1</v>
      </c>
      <c r="J418" s="128" t="s">
        <v>286</v>
      </c>
    </row>
    <row r="419" spans="2:10" s="18" customFormat="1" ht="12.75" hidden="1" customHeight="1" outlineLevel="1">
      <c r="B419" s="118" t="s">
        <v>17371</v>
      </c>
      <c r="C419" s="307" t="s">
        <v>17892</v>
      </c>
      <c r="D419" s="124" t="s">
        <v>17789</v>
      </c>
      <c r="E419" s="46"/>
      <c r="F419" s="118" t="s">
        <v>17771</v>
      </c>
      <c r="G419" s="126" t="str">
        <f t="shared" si="27"/>
        <v>MEP-T2S-6S-1</v>
      </c>
      <c r="H419" s="122" t="s">
        <v>304</v>
      </c>
      <c r="I419" s="120">
        <v>1</v>
      </c>
      <c r="J419" s="128" t="s">
        <v>286</v>
      </c>
    </row>
    <row r="420" spans="2:10" s="18" customFormat="1" ht="12.75" hidden="1" customHeight="1" outlineLevel="1">
      <c r="B420" s="118" t="s">
        <v>17371</v>
      </c>
      <c r="C420" s="307" t="s">
        <v>17898</v>
      </c>
      <c r="D420" s="124" t="s">
        <v>17899</v>
      </c>
      <c r="E420" s="46"/>
      <c r="F420" s="118" t="s">
        <v>17771</v>
      </c>
      <c r="G420" s="126" t="str">
        <f t="shared" si="27"/>
        <v>MEP-T2S-6S-1</v>
      </c>
      <c r="H420" s="122" t="s">
        <v>304</v>
      </c>
      <c r="I420" s="120">
        <v>1</v>
      </c>
      <c r="J420" s="128" t="s">
        <v>286</v>
      </c>
    </row>
    <row r="421" spans="2:10" s="18" customFormat="1" ht="12.75" hidden="1" customHeight="1" outlineLevel="1">
      <c r="B421" s="118" t="s">
        <v>17371</v>
      </c>
      <c r="C421" s="307" t="s">
        <v>17900</v>
      </c>
      <c r="D421" s="124" t="s">
        <v>17793</v>
      </c>
      <c r="E421" s="46"/>
      <c r="F421" s="118" t="s">
        <v>17771</v>
      </c>
      <c r="G421" s="126" t="str">
        <f t="shared" si="27"/>
        <v>MEP-T2S-6S-1</v>
      </c>
      <c r="H421" s="122" t="s">
        <v>304</v>
      </c>
      <c r="I421" s="120">
        <v>1</v>
      </c>
      <c r="J421" s="128" t="s">
        <v>286</v>
      </c>
    </row>
    <row r="422" spans="2:10" s="18" customFormat="1" ht="12.75" hidden="1" customHeight="1" outlineLevel="1">
      <c r="B422" s="118" t="s">
        <v>17371</v>
      </c>
      <c r="C422" s="307" t="s">
        <v>17901</v>
      </c>
      <c r="D422" s="124" t="s">
        <v>17791</v>
      </c>
      <c r="E422" s="46"/>
      <c r="F422" s="118" t="s">
        <v>17771</v>
      </c>
      <c r="G422" s="126" t="str">
        <f t="shared" si="27"/>
        <v>MEP-T2S-6S-1</v>
      </c>
      <c r="H422" s="122" t="s">
        <v>304</v>
      </c>
      <c r="I422" s="120">
        <v>1</v>
      </c>
      <c r="J422" s="128" t="s">
        <v>286</v>
      </c>
    </row>
    <row r="423" spans="2:10" s="18" customFormat="1" ht="12.75" hidden="1" customHeight="1" outlineLevel="1">
      <c r="B423" s="118" t="s">
        <v>17371</v>
      </c>
      <c r="C423" s="307" t="s">
        <v>17902</v>
      </c>
      <c r="D423" s="124" t="s">
        <v>17903</v>
      </c>
      <c r="E423" s="46"/>
      <c r="F423" s="118" t="s">
        <v>17771</v>
      </c>
      <c r="G423" s="126" t="str">
        <f t="shared" si="27"/>
        <v>MEP-T2S-6S-4</v>
      </c>
      <c r="H423" s="122" t="s">
        <v>292</v>
      </c>
      <c r="I423" s="120">
        <v>1</v>
      </c>
      <c r="J423" s="128" t="s">
        <v>286</v>
      </c>
    </row>
    <row r="424" spans="2:10" s="18" customFormat="1" ht="12.75" hidden="1" customHeight="1" outlineLevel="1">
      <c r="B424" s="118" t="s">
        <v>17371</v>
      </c>
      <c r="C424" s="307" t="s">
        <v>17904</v>
      </c>
      <c r="D424" s="124" t="s">
        <v>17905</v>
      </c>
      <c r="E424" s="46"/>
      <c r="F424" s="118" t="s">
        <v>17771</v>
      </c>
      <c r="G424" s="126" t="str">
        <f t="shared" si="27"/>
        <v>MEP-T2S-6S-4</v>
      </c>
      <c r="H424" s="122" t="s">
        <v>292</v>
      </c>
      <c r="I424" s="120">
        <v>1</v>
      </c>
      <c r="J424" s="128" t="s">
        <v>286</v>
      </c>
    </row>
    <row r="425" spans="2:10" s="18" customFormat="1" ht="12.75" hidden="1" customHeight="1" outlineLevel="1">
      <c r="B425" s="118" t="s">
        <v>17371</v>
      </c>
      <c r="C425" s="307" t="s">
        <v>1665</v>
      </c>
      <c r="D425" s="124" t="s">
        <v>17906</v>
      </c>
      <c r="E425" s="46"/>
      <c r="F425" s="118" t="s">
        <v>17771</v>
      </c>
      <c r="G425" s="126" t="str">
        <f t="shared" si="27"/>
        <v>MEP-T2S-6S-8</v>
      </c>
      <c r="H425" s="122">
        <v>8</v>
      </c>
      <c r="I425" s="120">
        <v>1</v>
      </c>
      <c r="J425" s="128" t="s">
        <v>286</v>
      </c>
    </row>
    <row r="426" spans="2:10" s="18" customFormat="1" ht="12.75" hidden="1" customHeight="1" outlineLevel="1">
      <c r="B426" s="118" t="s">
        <v>17371</v>
      </c>
      <c r="C426" s="307" t="s">
        <v>1667</v>
      </c>
      <c r="D426" s="124" t="s">
        <v>17907</v>
      </c>
      <c r="E426" s="46"/>
      <c r="F426" s="118" t="s">
        <v>17771</v>
      </c>
      <c r="G426" s="126" t="str">
        <f t="shared" si="27"/>
        <v>MEP-T2S-6S-8</v>
      </c>
      <c r="H426" s="122">
        <v>8</v>
      </c>
      <c r="I426" s="120">
        <v>1</v>
      </c>
      <c r="J426" s="128" t="s">
        <v>286</v>
      </c>
    </row>
    <row r="427" spans="2:10" s="18" customFormat="1" ht="12.75" hidden="1" customHeight="1" outlineLevel="1">
      <c r="B427" s="118" t="s">
        <v>17371</v>
      </c>
      <c r="C427" s="307" t="s">
        <v>1669</v>
      </c>
      <c r="D427" s="124" t="s">
        <v>17908</v>
      </c>
      <c r="E427" s="46"/>
      <c r="F427" s="118" t="s">
        <v>17771</v>
      </c>
      <c r="G427" s="126" t="str">
        <f t="shared" si="27"/>
        <v>MEP-T2S-6S-8</v>
      </c>
      <c r="H427" s="122">
        <v>8</v>
      </c>
      <c r="I427" s="120">
        <v>1</v>
      </c>
      <c r="J427" s="128" t="s">
        <v>286</v>
      </c>
    </row>
    <row r="428" spans="2:10" s="18" customFormat="1" ht="12.75" hidden="1" customHeight="1" outlineLevel="1">
      <c r="B428" s="118" t="s">
        <v>17371</v>
      </c>
      <c r="C428" s="307" t="s">
        <v>17909</v>
      </c>
      <c r="D428" s="124" t="s">
        <v>1662</v>
      </c>
      <c r="E428" s="46"/>
      <c r="F428" s="118" t="s">
        <v>17771</v>
      </c>
      <c r="G428" s="126" t="str">
        <f t="shared" si="27"/>
        <v>MEP-T2S-6S-4</v>
      </c>
      <c r="H428" s="122" t="s">
        <v>292</v>
      </c>
      <c r="I428" s="120">
        <v>1</v>
      </c>
      <c r="J428" s="128" t="s">
        <v>286</v>
      </c>
    </row>
    <row r="429" spans="2:10" s="18" customFormat="1" ht="12.75" hidden="1" customHeight="1" outlineLevel="1">
      <c r="B429" s="118" t="s">
        <v>17371</v>
      </c>
      <c r="C429" s="307" t="s">
        <v>17910</v>
      </c>
      <c r="D429" s="124" t="s">
        <v>17911</v>
      </c>
      <c r="E429" s="46"/>
      <c r="F429" s="118" t="s">
        <v>17771</v>
      </c>
      <c r="G429" s="126" t="str">
        <f t="shared" si="27"/>
        <v>MEP-T2S-6S-4</v>
      </c>
      <c r="H429" s="122" t="s">
        <v>292</v>
      </c>
      <c r="I429" s="120">
        <v>1</v>
      </c>
      <c r="J429" s="128" t="s">
        <v>286</v>
      </c>
    </row>
    <row r="430" spans="2:10" s="18" customFormat="1" ht="12.75" hidden="1" customHeight="1" outlineLevel="1">
      <c r="B430" s="118" t="s">
        <v>17371</v>
      </c>
      <c r="C430" s="307" t="s">
        <v>17912</v>
      </c>
      <c r="D430" s="124" t="s">
        <v>17913</v>
      </c>
      <c r="E430" s="46"/>
      <c r="F430" s="118" t="s">
        <v>17771</v>
      </c>
      <c r="G430" s="126" t="str">
        <f t="shared" si="27"/>
        <v>MEP-T2S-6S-4</v>
      </c>
      <c r="H430" s="122" t="s">
        <v>292</v>
      </c>
      <c r="I430" s="120">
        <v>1</v>
      </c>
      <c r="J430" s="128" t="s">
        <v>286</v>
      </c>
    </row>
    <row r="431" spans="2:10" s="18" customFormat="1" ht="12.75" hidden="1" customHeight="1" outlineLevel="1">
      <c r="B431" s="118" t="s">
        <v>17371</v>
      </c>
      <c r="C431" s="307" t="s">
        <v>17914</v>
      </c>
      <c r="D431" s="124" t="s">
        <v>17915</v>
      </c>
      <c r="E431" s="46"/>
      <c r="F431" s="118" t="s">
        <v>17771</v>
      </c>
      <c r="G431" s="126" t="str">
        <f t="shared" ref="G431:G437" si="28">CONCATENATE("MEP-",F431,"-",H431)</f>
        <v>MEP-T2S-6S-4</v>
      </c>
      <c r="H431" s="122" t="s">
        <v>292</v>
      </c>
      <c r="I431" s="120">
        <v>1</v>
      </c>
      <c r="J431" s="128" t="s">
        <v>286</v>
      </c>
    </row>
    <row r="432" spans="2:10" s="18" customFormat="1" ht="12.75" hidden="1" customHeight="1" outlineLevel="1">
      <c r="B432" s="118" t="s">
        <v>17371</v>
      </c>
      <c r="C432" s="307" t="s">
        <v>17916</v>
      </c>
      <c r="D432" s="124" t="s">
        <v>17917</v>
      </c>
      <c r="E432" s="46"/>
      <c r="F432" s="118" t="s">
        <v>17771</v>
      </c>
      <c r="G432" s="126" t="str">
        <f t="shared" si="28"/>
        <v>MEP-T2S-6S-4</v>
      </c>
      <c r="H432" s="122" t="s">
        <v>292</v>
      </c>
      <c r="I432" s="120">
        <v>1</v>
      </c>
      <c r="J432" s="128" t="s">
        <v>286</v>
      </c>
    </row>
    <row r="433" spans="1:10" s="18" customFormat="1" ht="12.75" hidden="1" customHeight="1" outlineLevel="1">
      <c r="B433" s="118" t="s">
        <v>17371</v>
      </c>
      <c r="C433" s="307" t="s">
        <v>17918</v>
      </c>
      <c r="D433" s="124" t="s">
        <v>17919</v>
      </c>
      <c r="E433" s="46"/>
      <c r="F433" s="118" t="s">
        <v>17771</v>
      </c>
      <c r="G433" s="126" t="str">
        <f t="shared" si="28"/>
        <v>MEP-T2S-6S-4</v>
      </c>
      <c r="H433" s="122" t="s">
        <v>292</v>
      </c>
      <c r="I433" s="120">
        <v>1</v>
      </c>
      <c r="J433" s="128" t="s">
        <v>286</v>
      </c>
    </row>
    <row r="434" spans="1:10" s="18" customFormat="1" ht="12.75" hidden="1" customHeight="1" outlineLevel="1">
      <c r="B434" s="118" t="s">
        <v>17371</v>
      </c>
      <c r="C434" s="307" t="s">
        <v>17920</v>
      </c>
      <c r="D434" s="124" t="s">
        <v>17921</v>
      </c>
      <c r="E434" s="46"/>
      <c r="F434" s="118" t="s">
        <v>17771</v>
      </c>
      <c r="G434" s="126" t="str">
        <f t="shared" si="28"/>
        <v>MEP-T2S-6S-4</v>
      </c>
      <c r="H434" s="122" t="s">
        <v>292</v>
      </c>
      <c r="I434" s="120">
        <v>1</v>
      </c>
      <c r="J434" s="128" t="s">
        <v>286</v>
      </c>
    </row>
    <row r="435" spans="1:10" s="18" customFormat="1" ht="12.75" hidden="1" customHeight="1" outlineLevel="1">
      <c r="B435" s="118" t="s">
        <v>17371</v>
      </c>
      <c r="C435" s="307" t="s">
        <v>17922</v>
      </c>
      <c r="D435" s="124" t="s">
        <v>17773</v>
      </c>
      <c r="E435" s="46"/>
      <c r="F435" s="118" t="s">
        <v>17771</v>
      </c>
      <c r="G435" s="126" t="str">
        <f t="shared" si="28"/>
        <v>MEP-T2S-6S-4</v>
      </c>
      <c r="H435" s="122" t="s">
        <v>292</v>
      </c>
      <c r="I435" s="120">
        <v>1</v>
      </c>
      <c r="J435" s="128" t="s">
        <v>286</v>
      </c>
    </row>
    <row r="436" spans="1:10" s="18" customFormat="1" ht="12.75" hidden="1" customHeight="1" outlineLevel="1">
      <c r="B436" s="118" t="s">
        <v>17371</v>
      </c>
      <c r="C436" s="307" t="s">
        <v>17923</v>
      </c>
      <c r="D436" s="124" t="s">
        <v>17791</v>
      </c>
      <c r="E436" s="46"/>
      <c r="F436" s="118" t="s">
        <v>17771</v>
      </c>
      <c r="G436" s="126" t="str">
        <f t="shared" si="28"/>
        <v>MEP-T2S-6S-4</v>
      </c>
      <c r="H436" s="122" t="s">
        <v>292</v>
      </c>
      <c r="I436" s="120">
        <v>1</v>
      </c>
      <c r="J436" s="128" t="s">
        <v>286</v>
      </c>
    </row>
    <row r="437" spans="1:10" s="18" customFormat="1" ht="12.75" hidden="1" customHeight="1" outlineLevel="1">
      <c r="B437" s="118" t="s">
        <v>17371</v>
      </c>
      <c r="C437" s="307" t="s">
        <v>17924</v>
      </c>
      <c r="D437" s="124" t="s">
        <v>17785</v>
      </c>
      <c r="E437" s="46"/>
      <c r="F437" s="118" t="s">
        <v>17771</v>
      </c>
      <c r="G437" s="126" t="str">
        <f t="shared" si="28"/>
        <v>MEP-T2S-6S-4</v>
      </c>
      <c r="H437" s="122" t="s">
        <v>292</v>
      </c>
      <c r="I437" s="120">
        <v>1</v>
      </c>
      <c r="J437" s="128" t="s">
        <v>286</v>
      </c>
    </row>
    <row r="438" spans="1:10" s="18" customFormat="1" ht="12.75" hidden="1" customHeight="1" outlineLevel="1">
      <c r="B438" s="118" t="s">
        <v>17438</v>
      </c>
      <c r="C438" s="307" t="s">
        <v>17925</v>
      </c>
      <c r="D438" s="124" t="s">
        <v>17789</v>
      </c>
      <c r="E438" s="46"/>
      <c r="F438" s="118" t="s">
        <v>17771</v>
      </c>
      <c r="G438" s="126" t="str">
        <f>CONCATENATE("MEP-",F438,"-",H438)</f>
        <v>MEP-T2S-6S-4</v>
      </c>
      <c r="H438" s="122" t="s">
        <v>292</v>
      </c>
      <c r="I438" s="120">
        <v>1</v>
      </c>
      <c r="J438" s="128" t="s">
        <v>286</v>
      </c>
    </row>
    <row r="439" spans="1:10" s="18" customFormat="1" ht="12.75" hidden="1" customHeight="1" outlineLevel="1">
      <c r="B439" s="118" t="s">
        <v>17438</v>
      </c>
      <c r="C439" s="307" t="s">
        <v>17926</v>
      </c>
      <c r="D439" s="124" t="s">
        <v>17787</v>
      </c>
      <c r="E439" s="46"/>
      <c r="F439" s="118" t="s">
        <v>17771</v>
      </c>
      <c r="G439" s="126" t="str">
        <f>CONCATENATE("MEP-",F439,"-",H439)</f>
        <v>MEP-T2S-6S-4</v>
      </c>
      <c r="H439" s="122" t="s">
        <v>292</v>
      </c>
      <c r="I439" s="120">
        <v>1</v>
      </c>
      <c r="J439" s="128" t="s">
        <v>286</v>
      </c>
    </row>
    <row r="440" spans="1:10" s="18" customFormat="1" ht="12.75" hidden="1" customHeight="1" outlineLevel="1">
      <c r="B440" s="118" t="s">
        <v>17394</v>
      </c>
      <c r="C440" s="307" t="s">
        <v>17927</v>
      </c>
      <c r="D440" s="124" t="s">
        <v>17793</v>
      </c>
      <c r="E440" s="46"/>
      <c r="F440" s="118" t="s">
        <v>17771</v>
      </c>
      <c r="G440" s="126" t="str">
        <f t="shared" ref="G440:G442" si="29">CONCATENATE("MEP-",F440,"-",H440)</f>
        <v>MEP-T2S-6S-4</v>
      </c>
      <c r="H440" s="122" t="s">
        <v>292</v>
      </c>
      <c r="I440" s="120">
        <v>1</v>
      </c>
      <c r="J440" s="128" t="s">
        <v>286</v>
      </c>
    </row>
    <row r="441" spans="1:10" s="18" customFormat="1" ht="12.75" hidden="1" customHeight="1" outlineLevel="1">
      <c r="B441" s="118" t="s">
        <v>17394</v>
      </c>
      <c r="C441" s="307" t="s">
        <v>17928</v>
      </c>
      <c r="D441" s="124" t="s">
        <v>17929</v>
      </c>
      <c r="E441" s="46"/>
      <c r="F441" s="118" t="s">
        <v>17771</v>
      </c>
      <c r="G441" s="126" t="str">
        <f t="shared" si="29"/>
        <v>MEP-T2S-6S-4</v>
      </c>
      <c r="H441" s="122" t="s">
        <v>292</v>
      </c>
      <c r="I441" s="120">
        <v>1</v>
      </c>
      <c r="J441" s="128" t="s">
        <v>286</v>
      </c>
    </row>
    <row r="442" spans="1:10" s="18" customFormat="1" ht="12.75" hidden="1" customHeight="1" outlineLevel="1">
      <c r="B442" s="118" t="s">
        <v>17394</v>
      </c>
      <c r="C442" s="307" t="s">
        <v>17930</v>
      </c>
      <c r="D442" s="124" t="s">
        <v>17931</v>
      </c>
      <c r="E442" s="46"/>
      <c r="F442" s="118" t="s">
        <v>17771</v>
      </c>
      <c r="G442" s="126" t="str">
        <f t="shared" si="29"/>
        <v>MEP-T2S-6S-4</v>
      </c>
      <c r="H442" s="122" t="s">
        <v>292</v>
      </c>
      <c r="I442" s="120">
        <v>1</v>
      </c>
      <c r="J442" s="128" t="s">
        <v>286</v>
      </c>
    </row>
    <row r="443" spans="1:10" s="18" customFormat="1" ht="3" customHeight="1">
      <c r="A443" s="110"/>
      <c r="B443" s="121"/>
      <c r="C443" s="307"/>
      <c r="D443" s="124"/>
      <c r="E443" s="46"/>
      <c r="F443" s="46"/>
      <c r="G443" s="46"/>
      <c r="H443" s="122"/>
      <c r="I443" s="120"/>
    </row>
    <row r="444" spans="1:10" s="18" customFormat="1" ht="12.75" customHeight="1" collapsed="1">
      <c r="A444" s="110" t="s">
        <v>1101</v>
      </c>
      <c r="B444" s="118"/>
      <c r="C444" s="307"/>
      <c r="D444" s="124"/>
      <c r="E444" s="46"/>
      <c r="F444" s="41" t="s">
        <v>261</v>
      </c>
      <c r="G444" s="41" t="s">
        <v>262</v>
      </c>
      <c r="H444" s="42" t="s">
        <v>263</v>
      </c>
      <c r="I444" s="120"/>
    </row>
    <row r="445" spans="1:10" s="18" customFormat="1" ht="12.75" hidden="1" customHeight="1" outlineLevel="1">
      <c r="A445" s="110"/>
      <c r="B445" s="118"/>
      <c r="C445" s="307"/>
      <c r="D445" s="124"/>
      <c r="E445" s="46"/>
      <c r="F445" s="41"/>
      <c r="G445" s="41"/>
      <c r="H445" s="42"/>
      <c r="I445" s="120"/>
    </row>
    <row r="446" spans="1:10" s="18" customFormat="1" ht="12.75" hidden="1" customHeight="1" outlineLevel="1">
      <c r="A446" s="110"/>
      <c r="B446" s="118" t="s">
        <v>17343</v>
      </c>
      <c r="C446" s="307">
        <v>9001</v>
      </c>
      <c r="D446" s="124" t="s">
        <v>17932</v>
      </c>
      <c r="E446" s="46"/>
      <c r="F446" s="118" t="s">
        <v>1104</v>
      </c>
      <c r="G446" s="126" t="str">
        <f>CONCATENATE("MEP-",F446,"-",H446)</f>
        <v>MEP-VC1-3</v>
      </c>
      <c r="H446" s="127">
        <v>3</v>
      </c>
      <c r="I446" s="120">
        <v>1</v>
      </c>
      <c r="J446" s="128" t="s">
        <v>307</v>
      </c>
    </row>
    <row r="447" spans="1:10" s="18" customFormat="1" ht="12.75" hidden="1" customHeight="1" outlineLevel="1">
      <c r="A447" s="110"/>
      <c r="B447" s="118" t="s">
        <v>17343</v>
      </c>
      <c r="C447" s="307">
        <v>1011</v>
      </c>
      <c r="D447" s="124" t="s">
        <v>17933</v>
      </c>
      <c r="E447" s="46"/>
      <c r="F447" s="118" t="s">
        <v>1104</v>
      </c>
      <c r="G447" s="126" t="str">
        <f>CONCATENATE("MEP-",F447,"-",H447)</f>
        <v>MEP-VC1-1</v>
      </c>
      <c r="H447" s="127">
        <v>1</v>
      </c>
      <c r="I447" s="120">
        <v>1</v>
      </c>
      <c r="J447" s="128" t="s">
        <v>310</v>
      </c>
    </row>
    <row r="448" spans="1:10" s="18" customFormat="1" ht="12.75" hidden="1" customHeight="1" outlineLevel="1">
      <c r="A448" s="110"/>
      <c r="B448" s="118" t="s">
        <v>17343</v>
      </c>
      <c r="C448" s="307">
        <v>1012</v>
      </c>
      <c r="D448" s="124" t="s">
        <v>17934</v>
      </c>
      <c r="E448" s="46"/>
      <c r="F448" s="118" t="s">
        <v>1104</v>
      </c>
      <c r="G448" s="126" t="str">
        <f>CONCATENATE("MEP-",F448,"-",H448)</f>
        <v>MEP-VC1-1</v>
      </c>
      <c r="H448" s="127">
        <v>1</v>
      </c>
      <c r="I448" s="120">
        <v>1</v>
      </c>
      <c r="J448" s="128" t="s">
        <v>286</v>
      </c>
    </row>
    <row r="449" spans="1:17" s="18" customFormat="1" ht="12.75" hidden="1" customHeight="1" outlineLevel="1">
      <c r="A449" s="110"/>
      <c r="B449" s="118" t="s">
        <v>17343</v>
      </c>
      <c r="C449" s="307">
        <v>1013</v>
      </c>
      <c r="D449" s="124" t="s">
        <v>17934</v>
      </c>
      <c r="E449" s="46"/>
      <c r="F449" s="118" t="s">
        <v>1104</v>
      </c>
      <c r="G449" s="126" t="str">
        <f>CONCATENATE("MEP-",F449,"-",H449)</f>
        <v>MEP-VC1-1</v>
      </c>
      <c r="H449" s="127">
        <v>1</v>
      </c>
      <c r="I449" s="120">
        <v>1</v>
      </c>
      <c r="J449" s="128" t="s">
        <v>286</v>
      </c>
    </row>
    <row r="450" spans="1:17" s="18" customFormat="1" ht="12.75" hidden="1" customHeight="1" outlineLevel="1">
      <c r="A450" s="110"/>
      <c r="B450" s="118" t="s">
        <v>17371</v>
      </c>
      <c r="C450" s="307" t="s">
        <v>1273</v>
      </c>
      <c r="D450" s="124" t="s">
        <v>17935</v>
      </c>
      <c r="E450" s="46"/>
      <c r="F450" s="118" t="s">
        <v>1104</v>
      </c>
      <c r="G450" s="126" t="str">
        <f t="shared" ref="G450:G455" si="30">CONCATENATE("MEP-",F450,"-",H450)</f>
        <v>MEP-VC1-2</v>
      </c>
      <c r="H450" s="127">
        <v>2</v>
      </c>
      <c r="I450" s="120">
        <v>1</v>
      </c>
      <c r="J450" s="128" t="s">
        <v>286</v>
      </c>
      <c r="K450" s="120"/>
      <c r="L450" s="129"/>
    </row>
    <row r="451" spans="1:17" s="18" customFormat="1" ht="12.75" hidden="1" customHeight="1" outlineLevel="1">
      <c r="A451" s="110"/>
      <c r="B451" s="118" t="s">
        <v>17371</v>
      </c>
      <c r="C451" s="307" t="s">
        <v>2131</v>
      </c>
      <c r="D451" s="124" t="s">
        <v>17936</v>
      </c>
      <c r="E451" s="46"/>
      <c r="F451" s="118" t="s">
        <v>1104</v>
      </c>
      <c r="G451" s="126" t="str">
        <f t="shared" si="30"/>
        <v>MEP-VC1-1</v>
      </c>
      <c r="H451" s="127">
        <v>1</v>
      </c>
      <c r="I451" s="120">
        <v>1</v>
      </c>
      <c r="J451" s="128" t="s">
        <v>286</v>
      </c>
      <c r="K451" s="120"/>
      <c r="L451" s="129"/>
    </row>
    <row r="452" spans="1:17" s="18" customFormat="1" ht="12.75" hidden="1" customHeight="1" outlineLevel="1">
      <c r="A452" s="110"/>
      <c r="B452" s="118" t="s">
        <v>17371</v>
      </c>
      <c r="C452" s="307" t="s">
        <v>2134</v>
      </c>
      <c r="D452" s="124" t="s">
        <v>17937</v>
      </c>
      <c r="E452" s="46"/>
      <c r="F452" s="118" t="s">
        <v>1104</v>
      </c>
      <c r="G452" s="126" t="str">
        <f t="shared" si="30"/>
        <v>MEP-VC1-2</v>
      </c>
      <c r="H452" s="127">
        <v>2</v>
      </c>
      <c r="I452" s="120">
        <v>1</v>
      </c>
      <c r="J452" s="128" t="s">
        <v>307</v>
      </c>
      <c r="K452" s="120"/>
      <c r="L452" s="129"/>
    </row>
    <row r="453" spans="1:17" s="18" customFormat="1" ht="12.75" hidden="1" customHeight="1" outlineLevel="1">
      <c r="A453" s="110"/>
      <c r="B453" s="118" t="s">
        <v>17371</v>
      </c>
      <c r="C453" s="307" t="s">
        <v>2136</v>
      </c>
      <c r="D453" s="124" t="s">
        <v>17938</v>
      </c>
      <c r="E453" s="46"/>
      <c r="F453" s="118" t="s">
        <v>1104</v>
      </c>
      <c r="G453" s="126" t="str">
        <f t="shared" si="30"/>
        <v>MEP-VC1-3</v>
      </c>
      <c r="H453" s="127">
        <v>3</v>
      </c>
      <c r="I453" s="120">
        <v>1</v>
      </c>
      <c r="J453" s="128" t="s">
        <v>307</v>
      </c>
      <c r="K453" s="120"/>
      <c r="L453" s="129"/>
    </row>
    <row r="454" spans="1:17" s="18" customFormat="1" ht="12.75" hidden="1" customHeight="1" outlineLevel="1">
      <c r="A454" s="110"/>
      <c r="B454" s="118" t="s">
        <v>17371</v>
      </c>
      <c r="C454" s="307">
        <v>1021</v>
      </c>
      <c r="D454" s="124" t="s">
        <v>17939</v>
      </c>
      <c r="E454" s="46"/>
      <c r="F454" s="118" t="s">
        <v>1104</v>
      </c>
      <c r="G454" s="126" t="str">
        <f t="shared" si="30"/>
        <v>MEP-VC1-2</v>
      </c>
      <c r="H454" s="127">
        <v>2</v>
      </c>
      <c r="I454" s="120">
        <v>1</v>
      </c>
      <c r="J454" s="128" t="s">
        <v>307</v>
      </c>
      <c r="K454" s="120"/>
      <c r="L454" s="129"/>
    </row>
    <row r="455" spans="1:17" s="18" customFormat="1" ht="12.75" hidden="1" customHeight="1" outlineLevel="1">
      <c r="A455" s="110"/>
      <c r="B455" s="118" t="s">
        <v>17371</v>
      </c>
      <c r="C455" s="307">
        <v>1031</v>
      </c>
      <c r="D455" s="124" t="s">
        <v>17940</v>
      </c>
      <c r="E455" s="46"/>
      <c r="F455" s="118" t="s">
        <v>1104</v>
      </c>
      <c r="G455" s="126" t="str">
        <f t="shared" si="30"/>
        <v>MEP-VC1-2</v>
      </c>
      <c r="H455" s="127">
        <v>2</v>
      </c>
      <c r="I455" s="120">
        <v>1</v>
      </c>
      <c r="J455" s="128" t="s">
        <v>307</v>
      </c>
      <c r="K455" s="120"/>
      <c r="L455" s="129"/>
    </row>
    <row r="456" spans="1:17" s="18" customFormat="1" ht="3" customHeight="1">
      <c r="A456" s="110"/>
      <c r="B456" s="118"/>
      <c r="C456" s="307"/>
      <c r="D456" s="124"/>
      <c r="E456" s="46"/>
      <c r="F456" s="41"/>
      <c r="G456" s="41"/>
      <c r="H456" s="42"/>
      <c r="I456" s="120"/>
      <c r="J456" s="120"/>
      <c r="K456" s="120"/>
      <c r="L456" s="129"/>
    </row>
    <row r="457" spans="1:17" s="18" customFormat="1" ht="12.75" customHeight="1" collapsed="1">
      <c r="A457" s="110" t="s">
        <v>1188</v>
      </c>
      <c r="B457" s="118"/>
      <c r="C457" s="307"/>
      <c r="D457" s="124"/>
      <c r="E457" s="46"/>
      <c r="F457" s="41" t="s">
        <v>261</v>
      </c>
      <c r="G457" s="41" t="s">
        <v>262</v>
      </c>
      <c r="H457" s="42" t="s">
        <v>263</v>
      </c>
      <c r="I457" s="120"/>
      <c r="J457" s="120"/>
      <c r="K457" s="62"/>
      <c r="L457" s="62"/>
    </row>
    <row r="458" spans="1:17" s="18" customFormat="1" ht="12.75" hidden="1" customHeight="1" outlineLevel="1">
      <c r="A458" s="110"/>
      <c r="B458" s="118"/>
      <c r="C458" s="307"/>
      <c r="D458" s="124"/>
      <c r="E458" s="46"/>
      <c r="F458" s="41"/>
      <c r="G458" s="41"/>
      <c r="H458" s="42"/>
      <c r="I458" s="120"/>
      <c r="J458" s="120"/>
      <c r="K458" s="120"/>
      <c r="L458" s="129"/>
    </row>
    <row r="459" spans="1:17" s="18" customFormat="1" ht="12.75" hidden="1" customHeight="1" outlineLevel="1">
      <c r="A459" s="110"/>
      <c r="B459" s="118" t="s">
        <v>17371</v>
      </c>
      <c r="C459" s="307" t="s">
        <v>17941</v>
      </c>
      <c r="D459" s="124" t="s">
        <v>17942</v>
      </c>
      <c r="E459" s="46"/>
      <c r="F459" s="118" t="s">
        <v>1192</v>
      </c>
      <c r="G459" s="126" t="str">
        <f>CONCATENATE("MEP-",F459,"-",H459)</f>
        <v>MEP-VC3-1</v>
      </c>
      <c r="H459" s="127">
        <v>1</v>
      </c>
      <c r="I459" s="129">
        <v>1</v>
      </c>
      <c r="J459" s="128" t="s">
        <v>286</v>
      </c>
      <c r="K459" s="129"/>
      <c r="L459" s="129"/>
      <c r="P459" s="129"/>
      <c r="Q459" s="129"/>
    </row>
    <row r="460" spans="1:17" s="18" customFormat="1" ht="12.75" hidden="1" customHeight="1" outlineLevel="1">
      <c r="A460" s="110"/>
      <c r="B460" s="118" t="s">
        <v>17343</v>
      </c>
      <c r="C460" s="307" t="s">
        <v>17943</v>
      </c>
      <c r="D460" s="124" t="s">
        <v>17944</v>
      </c>
      <c r="E460" s="46"/>
      <c r="F460" s="118" t="s">
        <v>1192</v>
      </c>
      <c r="G460" s="126" t="str">
        <f>CONCATENATE("MEP-",F460,"-",H460)</f>
        <v>MEP-VC3-2</v>
      </c>
      <c r="H460" s="127" t="s">
        <v>289</v>
      </c>
      <c r="I460" s="129">
        <v>1</v>
      </c>
      <c r="J460" s="128" t="s">
        <v>286</v>
      </c>
      <c r="K460" s="129"/>
      <c r="L460" s="129"/>
      <c r="P460" s="129"/>
      <c r="Q460" s="129"/>
    </row>
    <row r="461" spans="1:17" s="18" customFormat="1" ht="12.75" hidden="1" customHeight="1" outlineLevel="1">
      <c r="A461" s="110"/>
      <c r="B461" s="118" t="s">
        <v>17343</v>
      </c>
      <c r="C461" s="307" t="s">
        <v>17945</v>
      </c>
      <c r="D461" s="124" t="s">
        <v>17946</v>
      </c>
      <c r="E461" s="46"/>
      <c r="F461" s="118" t="s">
        <v>1192</v>
      </c>
      <c r="G461" s="126" t="str">
        <f>CONCATENATE("MEP-",F461,"-",H461)</f>
        <v>MEP-VC3-2</v>
      </c>
      <c r="H461" s="127" t="s">
        <v>289</v>
      </c>
      <c r="I461" s="129">
        <v>1</v>
      </c>
      <c r="J461" s="128" t="s">
        <v>286</v>
      </c>
      <c r="K461" s="129"/>
      <c r="L461" s="129"/>
      <c r="P461" s="129"/>
      <c r="Q461" s="129"/>
    </row>
    <row r="462" spans="1:17" s="18" customFormat="1" ht="12.75" hidden="1" customHeight="1" outlineLevel="1">
      <c r="A462" s="110"/>
      <c r="B462" s="118" t="s">
        <v>17343</v>
      </c>
      <c r="C462" s="307" t="s">
        <v>17947</v>
      </c>
      <c r="D462" s="124" t="s">
        <v>17948</v>
      </c>
      <c r="E462" s="46"/>
      <c r="F462" s="118" t="s">
        <v>1192</v>
      </c>
      <c r="G462" s="126" t="str">
        <f>CONCATENATE("MEP-",F462,"-",H462)</f>
        <v>MEP-VC3-2</v>
      </c>
      <c r="H462" s="127" t="s">
        <v>289</v>
      </c>
      <c r="I462" s="129">
        <v>1</v>
      </c>
      <c r="J462" s="128" t="s">
        <v>286</v>
      </c>
      <c r="K462" s="129"/>
      <c r="L462" s="129"/>
      <c r="P462" s="129"/>
      <c r="Q462" s="129"/>
    </row>
    <row r="463" spans="1:17" s="18" customFormat="1" ht="12.75" hidden="1" customHeight="1" outlineLevel="1">
      <c r="A463" s="110"/>
      <c r="B463" s="118" t="s">
        <v>17343</v>
      </c>
      <c r="C463" s="307" t="s">
        <v>17949</v>
      </c>
      <c r="D463" s="124" t="s">
        <v>17950</v>
      </c>
      <c r="E463" s="46"/>
      <c r="F463" s="118" t="s">
        <v>1192</v>
      </c>
      <c r="G463" s="126" t="str">
        <f>CONCATENATE("MEP-",F463,"-",H463)</f>
        <v>MEP-VC3-2</v>
      </c>
      <c r="H463" s="127" t="s">
        <v>289</v>
      </c>
      <c r="I463" s="129">
        <v>1</v>
      </c>
      <c r="J463" s="128" t="s">
        <v>286</v>
      </c>
      <c r="K463" s="129"/>
      <c r="L463" s="129"/>
      <c r="P463" s="129"/>
      <c r="Q463" s="129"/>
    </row>
    <row r="464" spans="1:17" s="18" customFormat="1" ht="12.75" hidden="1" customHeight="1" outlineLevel="1">
      <c r="A464" s="110"/>
      <c r="B464" s="118" t="s">
        <v>17343</v>
      </c>
      <c r="C464" s="307" t="s">
        <v>17951</v>
      </c>
      <c r="D464" s="124" t="s">
        <v>17952</v>
      </c>
      <c r="E464" s="46"/>
      <c r="F464" s="118" t="s">
        <v>1192</v>
      </c>
      <c r="G464" s="126" t="str">
        <f t="shared" ref="G464:G469" si="31">CONCATENATE("MEP-",F464,"-",H464)</f>
        <v>MEP-VC3-2</v>
      </c>
      <c r="H464" s="127" t="s">
        <v>289</v>
      </c>
      <c r="I464" s="129">
        <v>1</v>
      </c>
      <c r="J464" s="128" t="s">
        <v>286</v>
      </c>
      <c r="K464" s="129"/>
      <c r="L464" s="129"/>
      <c r="P464" s="129"/>
      <c r="Q464" s="129"/>
    </row>
    <row r="465" spans="1:17" s="18" customFormat="1" ht="12.75" hidden="1" customHeight="1" outlineLevel="1">
      <c r="A465" s="110"/>
      <c r="B465" s="118" t="s">
        <v>17343</v>
      </c>
      <c r="C465" s="307" t="s">
        <v>17953</v>
      </c>
      <c r="D465" s="124" t="s">
        <v>17954</v>
      </c>
      <c r="E465" s="46"/>
      <c r="F465" s="118" t="s">
        <v>1192</v>
      </c>
      <c r="G465" s="126" t="str">
        <f t="shared" si="31"/>
        <v>MEP-VC3-2</v>
      </c>
      <c r="H465" s="127" t="s">
        <v>289</v>
      </c>
      <c r="I465" s="129">
        <v>1</v>
      </c>
      <c r="J465" s="128" t="s">
        <v>286</v>
      </c>
      <c r="K465" s="129"/>
      <c r="L465" s="129"/>
      <c r="P465" s="129"/>
      <c r="Q465" s="129"/>
    </row>
    <row r="466" spans="1:17" s="18" customFormat="1" ht="12.75" hidden="1" customHeight="1" outlineLevel="1">
      <c r="A466" s="110"/>
      <c r="B466" s="118" t="s">
        <v>17343</v>
      </c>
      <c r="C466" s="307" t="s">
        <v>17955</v>
      </c>
      <c r="D466" s="124" t="s">
        <v>1662</v>
      </c>
      <c r="E466" s="46"/>
      <c r="F466" s="118" t="s">
        <v>1192</v>
      </c>
      <c r="G466" s="126" t="str">
        <f t="shared" si="31"/>
        <v>MEP-VC3-2</v>
      </c>
      <c r="H466" s="127" t="s">
        <v>289</v>
      </c>
      <c r="I466" s="129">
        <v>1</v>
      </c>
      <c r="J466" s="128" t="s">
        <v>286</v>
      </c>
      <c r="K466" s="129"/>
      <c r="L466" s="129"/>
      <c r="P466" s="129"/>
      <c r="Q466" s="129"/>
    </row>
    <row r="467" spans="1:17" s="18" customFormat="1" ht="12.75" hidden="1" customHeight="1" outlineLevel="1">
      <c r="A467" s="110"/>
      <c r="B467" s="118" t="s">
        <v>17371</v>
      </c>
      <c r="C467" s="307" t="s">
        <v>17956</v>
      </c>
      <c r="D467" s="124" t="s">
        <v>1664</v>
      </c>
      <c r="E467" s="46"/>
      <c r="F467" s="118" t="s">
        <v>1192</v>
      </c>
      <c r="G467" s="126" t="str">
        <f t="shared" si="31"/>
        <v>MEP-VC3-2</v>
      </c>
      <c r="H467" s="127" t="s">
        <v>289</v>
      </c>
      <c r="I467" s="129">
        <v>1</v>
      </c>
      <c r="J467" s="128" t="s">
        <v>286</v>
      </c>
      <c r="K467" s="129"/>
      <c r="L467" s="129"/>
      <c r="P467" s="129"/>
      <c r="Q467" s="129"/>
    </row>
    <row r="468" spans="1:17" s="18" customFormat="1" ht="12.75" hidden="1" customHeight="1" outlineLevel="1">
      <c r="A468" s="110"/>
      <c r="B468" s="118" t="s">
        <v>17371</v>
      </c>
      <c r="C468" s="307" t="s">
        <v>17957</v>
      </c>
      <c r="D468" s="124" t="s">
        <v>17958</v>
      </c>
      <c r="E468" s="46"/>
      <c r="F468" s="118" t="s">
        <v>1192</v>
      </c>
      <c r="G468" s="126" t="str">
        <f t="shared" si="31"/>
        <v>MEP-VC3-2</v>
      </c>
      <c r="H468" s="127" t="s">
        <v>289</v>
      </c>
      <c r="I468" s="129">
        <v>1</v>
      </c>
      <c r="J468" s="128" t="s">
        <v>286</v>
      </c>
      <c r="K468" s="129"/>
      <c r="L468" s="129"/>
      <c r="P468" s="129"/>
      <c r="Q468" s="129"/>
    </row>
    <row r="469" spans="1:17" s="18" customFormat="1" ht="12.75" hidden="1" customHeight="1" outlineLevel="1">
      <c r="A469" s="110"/>
      <c r="B469" s="118" t="s">
        <v>17371</v>
      </c>
      <c r="C469" s="307" t="s">
        <v>17959</v>
      </c>
      <c r="D469" s="124" t="s">
        <v>17960</v>
      </c>
      <c r="E469" s="46"/>
      <c r="F469" s="118" t="s">
        <v>1192</v>
      </c>
      <c r="G469" s="126" t="str">
        <f t="shared" si="31"/>
        <v>MEP-VC3-2</v>
      </c>
      <c r="H469" s="127" t="s">
        <v>289</v>
      </c>
      <c r="I469" s="129">
        <v>1</v>
      </c>
      <c r="J469" s="128" t="s">
        <v>286</v>
      </c>
      <c r="K469" s="129"/>
      <c r="L469" s="129"/>
      <c r="P469" s="129"/>
      <c r="Q469" s="129"/>
    </row>
    <row r="470" spans="1:17" s="18" customFormat="1" ht="12.75" hidden="1" customHeight="1" outlineLevel="1">
      <c r="A470" s="110"/>
      <c r="B470" s="118" t="s">
        <v>17343</v>
      </c>
      <c r="C470" s="307" t="s">
        <v>17961</v>
      </c>
      <c r="D470" s="124" t="s">
        <v>17962</v>
      </c>
      <c r="E470" s="46"/>
      <c r="F470" s="118" t="s">
        <v>1192</v>
      </c>
      <c r="G470" s="126" t="str">
        <f>CONCATENATE("MEP-",F470,"-",H470)</f>
        <v>MEP-VC3-3</v>
      </c>
      <c r="H470" s="127">
        <v>3</v>
      </c>
      <c r="I470" s="129">
        <v>1</v>
      </c>
      <c r="J470" s="128" t="s">
        <v>286</v>
      </c>
      <c r="K470" s="129"/>
      <c r="L470" s="129"/>
      <c r="P470" s="129"/>
      <c r="Q470" s="129"/>
    </row>
    <row r="471" spans="1:17" s="18" customFormat="1" ht="12.75" hidden="1" customHeight="1" outlineLevel="1">
      <c r="A471" s="110"/>
      <c r="B471" s="118" t="s">
        <v>17343</v>
      </c>
      <c r="C471" s="307" t="s">
        <v>17963</v>
      </c>
      <c r="D471" s="124" t="s">
        <v>17964</v>
      </c>
      <c r="E471" s="46"/>
      <c r="F471" s="118" t="s">
        <v>1192</v>
      </c>
      <c r="G471" s="126" t="str">
        <f>CONCATENATE("MEP-",F471,"-",H471)</f>
        <v>MEP-VC3-3</v>
      </c>
      <c r="H471" s="127">
        <v>3</v>
      </c>
      <c r="I471" s="129">
        <v>1</v>
      </c>
      <c r="J471" s="128" t="s">
        <v>286</v>
      </c>
      <c r="K471" s="129"/>
      <c r="L471" s="129"/>
      <c r="P471" s="129"/>
      <c r="Q471" s="129"/>
    </row>
    <row r="472" spans="1:17" s="18" customFormat="1" ht="12.75" hidden="1" customHeight="1" outlineLevel="1">
      <c r="A472" s="110"/>
      <c r="B472" s="118" t="s">
        <v>17343</v>
      </c>
      <c r="C472" s="307" t="s">
        <v>17965</v>
      </c>
      <c r="D472" s="124" t="s">
        <v>17966</v>
      </c>
      <c r="E472" s="46"/>
      <c r="F472" s="118" t="s">
        <v>1192</v>
      </c>
      <c r="G472" s="126" t="str">
        <f>CONCATENATE("MEP-",F472,"-",H472)</f>
        <v>MEP-VC3-3</v>
      </c>
      <c r="H472" s="127">
        <v>3</v>
      </c>
      <c r="I472" s="129">
        <v>1</v>
      </c>
      <c r="J472" s="128" t="s">
        <v>286</v>
      </c>
      <c r="K472" s="129"/>
      <c r="L472" s="129"/>
      <c r="P472" s="129"/>
      <c r="Q472" s="129"/>
    </row>
    <row r="473" spans="1:17" s="18" customFormat="1" ht="3" customHeight="1">
      <c r="A473" s="110"/>
      <c r="B473" s="118"/>
      <c r="C473" s="307"/>
      <c r="D473" s="124"/>
      <c r="E473" s="46"/>
      <c r="F473" s="41"/>
      <c r="G473" s="41"/>
      <c r="H473" s="42"/>
      <c r="I473" s="120"/>
      <c r="J473" s="120"/>
      <c r="K473" s="120"/>
      <c r="L473" s="129"/>
    </row>
    <row r="474" spans="1:17" s="18" customFormat="1" ht="12.75" customHeight="1" collapsed="1">
      <c r="A474" s="110" t="s">
        <v>1271</v>
      </c>
      <c r="B474" s="118"/>
      <c r="C474" s="307"/>
      <c r="D474" s="124"/>
      <c r="E474" s="46"/>
      <c r="F474" s="41" t="s">
        <v>261</v>
      </c>
      <c r="G474" s="41" t="s">
        <v>262</v>
      </c>
      <c r="H474" s="42" t="s">
        <v>263</v>
      </c>
      <c r="I474" s="120"/>
      <c r="J474" s="120"/>
      <c r="K474" s="62"/>
      <c r="L474" s="62"/>
    </row>
    <row r="475" spans="1:17" s="18" customFormat="1" ht="3" hidden="1" customHeight="1" outlineLevel="1">
      <c r="A475" s="121"/>
      <c r="B475" s="118"/>
      <c r="C475" s="307"/>
      <c r="D475" s="124"/>
      <c r="E475" s="46"/>
      <c r="F475" s="46"/>
      <c r="G475" s="46"/>
      <c r="H475" s="122"/>
      <c r="I475" s="120"/>
      <c r="J475" s="120"/>
      <c r="K475" s="120"/>
      <c r="L475" s="129"/>
    </row>
    <row r="476" spans="1:17" s="18" customFormat="1" ht="12.75" hidden="1" customHeight="1" outlineLevel="1">
      <c r="A476" s="121"/>
      <c r="B476" s="135" t="s">
        <v>17967</v>
      </c>
      <c r="C476" s="307"/>
      <c r="D476" s="124"/>
      <c r="E476" s="46"/>
      <c r="F476" s="46"/>
      <c r="G476" s="46"/>
      <c r="H476" s="122"/>
      <c r="I476" s="120"/>
      <c r="J476" s="120"/>
      <c r="K476" s="120"/>
      <c r="L476" s="129"/>
    </row>
    <row r="477" spans="1:17" s="18" customFormat="1" ht="12.75" hidden="1" customHeight="1" outlineLevel="2">
      <c r="A477" s="121"/>
      <c r="B477" s="135"/>
      <c r="C477" s="307"/>
      <c r="D477" s="124"/>
      <c r="E477" s="46"/>
      <c r="F477" s="46"/>
      <c r="G477" s="46"/>
      <c r="H477" s="122"/>
      <c r="I477" s="120"/>
      <c r="J477" s="120"/>
      <c r="K477" s="120"/>
      <c r="L477" s="129"/>
    </row>
    <row r="478" spans="1:17" s="18" customFormat="1" ht="12.75" hidden="1" customHeight="1" outlineLevel="2">
      <c r="A478" s="121"/>
      <c r="B478" s="121" t="s">
        <v>17968</v>
      </c>
      <c r="C478" s="307"/>
      <c r="D478" s="124"/>
      <c r="E478" s="46"/>
      <c r="F478" s="46"/>
      <c r="G478" s="46"/>
      <c r="H478" s="122"/>
      <c r="I478" s="120"/>
      <c r="J478" s="120"/>
      <c r="K478" s="120"/>
      <c r="L478" s="129"/>
    </row>
    <row r="479" spans="1:17" s="18" customFormat="1" ht="12.75" hidden="1" customHeight="1" outlineLevel="3">
      <c r="A479" s="121"/>
      <c r="B479" s="118" t="s">
        <v>17343</v>
      </c>
      <c r="C479" s="307"/>
      <c r="D479" s="124" t="s">
        <v>17969</v>
      </c>
      <c r="E479" s="46"/>
      <c r="F479" s="118" t="s">
        <v>2133</v>
      </c>
      <c r="G479" s="126" t="str">
        <f t="shared" ref="G479:G487" si="32">CONCATENATE("MEP-",F479,"-",H479)</f>
        <v>MEP-V50-1</v>
      </c>
      <c r="H479" s="127">
        <v>1</v>
      </c>
      <c r="I479" s="120">
        <v>1</v>
      </c>
      <c r="J479" s="128" t="s">
        <v>286</v>
      </c>
      <c r="K479" s="120"/>
      <c r="L479" s="129"/>
    </row>
    <row r="480" spans="1:17" s="18" customFormat="1" ht="12.75" hidden="1" customHeight="1" outlineLevel="3">
      <c r="A480" s="121"/>
      <c r="B480" s="118" t="s">
        <v>17343</v>
      </c>
      <c r="C480" s="307"/>
      <c r="D480" s="124" t="s">
        <v>17970</v>
      </c>
      <c r="E480" s="46"/>
      <c r="F480" s="118" t="s">
        <v>2133</v>
      </c>
      <c r="G480" s="126" t="str">
        <f t="shared" si="32"/>
        <v>MEP-V50-1</v>
      </c>
      <c r="H480" s="127">
        <v>1</v>
      </c>
      <c r="I480" s="120">
        <v>1</v>
      </c>
      <c r="J480" s="128" t="s">
        <v>286</v>
      </c>
      <c r="K480" s="120"/>
      <c r="L480" s="129"/>
    </row>
    <row r="481" spans="1:12" s="18" customFormat="1" ht="12.75" hidden="1" customHeight="1" outlineLevel="3">
      <c r="A481" s="121"/>
      <c r="B481" s="118" t="s">
        <v>17343</v>
      </c>
      <c r="C481" s="307"/>
      <c r="D481" s="124" t="s">
        <v>17971</v>
      </c>
      <c r="E481" s="46"/>
      <c r="F481" s="118" t="s">
        <v>2133</v>
      </c>
      <c r="G481" s="126" t="str">
        <f t="shared" si="32"/>
        <v>MEP-V50-1</v>
      </c>
      <c r="H481" s="127">
        <v>1</v>
      </c>
      <c r="I481" s="120">
        <v>1</v>
      </c>
      <c r="J481" s="128" t="s">
        <v>286</v>
      </c>
      <c r="K481" s="120"/>
      <c r="L481" s="129"/>
    </row>
    <row r="482" spans="1:12" s="18" customFormat="1" ht="12.75" hidden="1" customHeight="1" outlineLevel="3">
      <c r="B482" s="118" t="s">
        <v>17343</v>
      </c>
      <c r="C482" s="307"/>
      <c r="D482" s="124" t="s">
        <v>17972</v>
      </c>
      <c r="E482" s="46"/>
      <c r="F482" s="118" t="s">
        <v>2133</v>
      </c>
      <c r="G482" s="126" t="str">
        <f t="shared" si="32"/>
        <v>MEP-V50-1</v>
      </c>
      <c r="H482" s="127">
        <v>1</v>
      </c>
      <c r="I482" s="120">
        <v>1</v>
      </c>
      <c r="J482" s="128" t="s">
        <v>286</v>
      </c>
    </row>
    <row r="483" spans="1:12" s="18" customFormat="1" ht="12.75" hidden="1" customHeight="1" outlineLevel="3">
      <c r="B483" s="118" t="s">
        <v>17343</v>
      </c>
      <c r="C483" s="307"/>
      <c r="D483" s="124" t="s">
        <v>17973</v>
      </c>
      <c r="E483" s="46"/>
      <c r="F483" s="118" t="s">
        <v>2133</v>
      </c>
      <c r="G483" s="126" t="str">
        <f t="shared" si="32"/>
        <v>MEP-V50-1</v>
      </c>
      <c r="H483" s="127">
        <v>1</v>
      </c>
      <c r="I483" s="120">
        <v>1</v>
      </c>
      <c r="J483" s="128" t="s">
        <v>286</v>
      </c>
    </row>
    <row r="484" spans="1:12" s="18" customFormat="1" ht="12.75" hidden="1" customHeight="1" outlineLevel="3">
      <c r="B484" s="118" t="s">
        <v>17343</v>
      </c>
      <c r="C484" s="307"/>
      <c r="D484" s="124" t="s">
        <v>17974</v>
      </c>
      <c r="E484" s="46"/>
      <c r="F484" s="118" t="s">
        <v>2133</v>
      </c>
      <c r="G484" s="126" t="str">
        <f t="shared" si="32"/>
        <v>MEP-V50-1</v>
      </c>
      <c r="H484" s="127">
        <v>1</v>
      </c>
      <c r="I484" s="120">
        <v>1</v>
      </c>
      <c r="J484" s="128" t="s">
        <v>286</v>
      </c>
    </row>
    <row r="485" spans="1:12" s="18" customFormat="1" ht="12.75" hidden="1" customHeight="1" outlineLevel="3">
      <c r="B485" s="118" t="s">
        <v>17343</v>
      </c>
      <c r="C485" s="307"/>
      <c r="D485" s="124" t="s">
        <v>17975</v>
      </c>
      <c r="E485" s="46"/>
      <c r="F485" s="118" t="s">
        <v>2133</v>
      </c>
      <c r="G485" s="126" t="str">
        <f t="shared" si="32"/>
        <v>MEP-V50-1</v>
      </c>
      <c r="H485" s="127">
        <v>1</v>
      </c>
      <c r="I485" s="120">
        <v>1</v>
      </c>
      <c r="J485" s="128" t="s">
        <v>286</v>
      </c>
    </row>
    <row r="486" spans="1:12" s="18" customFormat="1" ht="12.75" hidden="1" customHeight="1" outlineLevel="3">
      <c r="B486" s="118" t="s">
        <v>17343</v>
      </c>
      <c r="C486" s="307"/>
      <c r="D486" s="124" t="s">
        <v>17976</v>
      </c>
      <c r="E486" s="46"/>
      <c r="F486" s="118" t="s">
        <v>2133</v>
      </c>
      <c r="G486" s="126" t="str">
        <f t="shared" si="32"/>
        <v>MEP-V50-1</v>
      </c>
      <c r="H486" s="127">
        <v>1</v>
      </c>
      <c r="I486" s="120">
        <v>1</v>
      </c>
      <c r="J486" s="128" t="s">
        <v>286</v>
      </c>
    </row>
    <row r="487" spans="1:12" s="18" customFormat="1" ht="12.75" hidden="1" customHeight="1" outlineLevel="3">
      <c r="B487" s="118" t="s">
        <v>17343</v>
      </c>
      <c r="C487" s="307"/>
      <c r="D487" s="124" t="s">
        <v>17977</v>
      </c>
      <c r="E487" s="46"/>
      <c r="F487" s="118" t="s">
        <v>2133</v>
      </c>
      <c r="G487" s="126" t="str">
        <f t="shared" si="32"/>
        <v>MEP-V50-1</v>
      </c>
      <c r="H487" s="127">
        <v>1</v>
      </c>
      <c r="I487" s="120">
        <v>1</v>
      </c>
      <c r="J487" s="128" t="s">
        <v>286</v>
      </c>
    </row>
    <row r="488" spans="1:12" s="18" customFormat="1" ht="12.75" hidden="1" customHeight="1" outlineLevel="2">
      <c r="B488" s="118"/>
      <c r="C488" s="307"/>
      <c r="D488" s="124"/>
      <c r="E488" s="46"/>
      <c r="F488" s="46"/>
      <c r="G488" s="46"/>
      <c r="H488" s="122"/>
      <c r="I488" s="120"/>
    </row>
    <row r="489" spans="1:12" s="18" customFormat="1" ht="12.75" hidden="1" customHeight="1" outlineLevel="2">
      <c r="B489" s="121" t="s">
        <v>17978</v>
      </c>
      <c r="C489" s="307"/>
      <c r="D489" s="124"/>
      <c r="E489" s="46"/>
      <c r="F489" s="46"/>
      <c r="G489" s="46"/>
      <c r="H489" s="122"/>
      <c r="I489" s="120"/>
    </row>
    <row r="490" spans="1:12" s="18" customFormat="1" ht="12.75" hidden="1" customHeight="1" outlineLevel="3">
      <c r="B490" s="118" t="s">
        <v>17371</v>
      </c>
      <c r="C490" s="307"/>
      <c r="D490" s="124" t="s">
        <v>17979</v>
      </c>
      <c r="E490" s="46"/>
      <c r="F490" s="118" t="s">
        <v>2133</v>
      </c>
      <c r="G490" s="126" t="str">
        <f>CONCATENATE("MEP-",F490,"-",H490)</f>
        <v>MEP-V50-1</v>
      </c>
      <c r="H490" s="127">
        <v>1</v>
      </c>
      <c r="I490" s="120">
        <v>1</v>
      </c>
      <c r="J490" s="128" t="s">
        <v>286</v>
      </c>
    </row>
    <row r="491" spans="1:12" s="18" customFormat="1" ht="12.75" hidden="1" customHeight="1" outlineLevel="3">
      <c r="B491" s="118" t="s">
        <v>17371</v>
      </c>
      <c r="C491" s="307"/>
      <c r="D491" s="124" t="s">
        <v>17980</v>
      </c>
      <c r="E491" s="46"/>
      <c r="F491" s="118" t="s">
        <v>2133</v>
      </c>
      <c r="G491" s="126" t="str">
        <f>CONCATENATE("MEP-",F491,"-",H491)</f>
        <v>MEP-V50-1</v>
      </c>
      <c r="H491" s="127">
        <v>1</v>
      </c>
      <c r="I491" s="120">
        <v>1</v>
      </c>
      <c r="J491" s="128" t="s">
        <v>286</v>
      </c>
    </row>
    <row r="492" spans="1:12" s="18" customFormat="1" ht="12.75" hidden="1" customHeight="1" outlineLevel="3">
      <c r="B492" s="118" t="s">
        <v>17371</v>
      </c>
      <c r="C492" s="307"/>
      <c r="D492" s="124" t="s">
        <v>17981</v>
      </c>
      <c r="E492" s="46"/>
      <c r="F492" s="118" t="s">
        <v>2133</v>
      </c>
      <c r="G492" s="126" t="str">
        <f>CONCATENATE("MEP-",F492,"-",H492)</f>
        <v>MEP-V50-1</v>
      </c>
      <c r="H492" s="127">
        <v>1</v>
      </c>
      <c r="I492" s="120">
        <v>1</v>
      </c>
      <c r="J492" s="128" t="s">
        <v>286</v>
      </c>
    </row>
    <row r="493" spans="1:12" s="18" customFormat="1" ht="12.75" hidden="1" customHeight="1" outlineLevel="3">
      <c r="B493" s="118" t="s">
        <v>17371</v>
      </c>
      <c r="C493" s="307"/>
      <c r="D493" s="124" t="s">
        <v>17982</v>
      </c>
      <c r="E493" s="46"/>
      <c r="F493" s="118" t="s">
        <v>2133</v>
      </c>
      <c r="G493" s="126" t="str">
        <f>CONCATENATE("MEP-",F493,"-",H493)</f>
        <v>MEP-V50-1</v>
      </c>
      <c r="H493" s="127">
        <v>1</v>
      </c>
      <c r="I493" s="120">
        <v>1</v>
      </c>
      <c r="J493" s="128" t="s">
        <v>286</v>
      </c>
    </row>
    <row r="494" spans="1:12" s="18" customFormat="1" ht="12.75" hidden="1" customHeight="1" outlineLevel="2">
      <c r="B494" s="118"/>
      <c r="C494" s="307"/>
      <c r="D494" s="124"/>
      <c r="E494" s="46"/>
      <c r="F494" s="46"/>
      <c r="G494" s="46"/>
      <c r="H494" s="122"/>
      <c r="I494" s="120"/>
    </row>
    <row r="495" spans="1:12" s="18" customFormat="1" ht="12.75" hidden="1" customHeight="1" outlineLevel="2">
      <c r="B495" s="121" t="s">
        <v>17438</v>
      </c>
      <c r="C495" s="307"/>
      <c r="D495" s="124"/>
      <c r="E495" s="46"/>
      <c r="F495" s="46"/>
      <c r="G495" s="46"/>
      <c r="H495" s="122"/>
      <c r="I495" s="120"/>
    </row>
    <row r="496" spans="1:12" s="18" customFormat="1" ht="12.75" hidden="1" customHeight="1" outlineLevel="3">
      <c r="B496" s="118" t="s">
        <v>17438</v>
      </c>
      <c r="C496" s="307"/>
      <c r="D496" s="124" t="s">
        <v>17983</v>
      </c>
      <c r="E496" s="46"/>
      <c r="F496" s="118" t="s">
        <v>2133</v>
      </c>
      <c r="G496" s="126" t="str">
        <f t="shared" ref="G496:G509" si="33">CONCATENATE("MEP-",F496,"-",H496)</f>
        <v>MEP-V50-1</v>
      </c>
      <c r="H496" s="127">
        <v>1</v>
      </c>
      <c r="I496" s="120">
        <v>1</v>
      </c>
      <c r="J496" s="128" t="s">
        <v>286</v>
      </c>
    </row>
    <row r="497" spans="2:10" s="18" customFormat="1" ht="12.75" hidden="1" customHeight="1" outlineLevel="3">
      <c r="B497" s="118" t="s">
        <v>17438</v>
      </c>
      <c r="C497" s="307"/>
      <c r="D497" s="124" t="s">
        <v>17984</v>
      </c>
      <c r="E497" s="46"/>
      <c r="F497" s="118" t="s">
        <v>2133</v>
      </c>
      <c r="G497" s="126" t="str">
        <f t="shared" si="33"/>
        <v>MEP-V50-1</v>
      </c>
      <c r="H497" s="127">
        <v>1</v>
      </c>
      <c r="I497" s="120">
        <v>1</v>
      </c>
      <c r="J497" s="128" t="s">
        <v>286</v>
      </c>
    </row>
    <row r="498" spans="2:10" s="18" customFormat="1" ht="12.75" hidden="1" customHeight="1" outlineLevel="3">
      <c r="B498" s="118" t="s">
        <v>17438</v>
      </c>
      <c r="C498" s="307"/>
      <c r="D498" s="124" t="s">
        <v>17985</v>
      </c>
      <c r="E498" s="46"/>
      <c r="F498" s="118" t="s">
        <v>2133</v>
      </c>
      <c r="G498" s="126" t="str">
        <f t="shared" si="33"/>
        <v>MEP-V50-1</v>
      </c>
      <c r="H498" s="127">
        <v>1</v>
      </c>
      <c r="I498" s="120">
        <v>1</v>
      </c>
      <c r="J498" s="128" t="s">
        <v>286</v>
      </c>
    </row>
    <row r="499" spans="2:10" s="18" customFormat="1" ht="12.75" hidden="1" customHeight="1" outlineLevel="3">
      <c r="B499" s="118" t="s">
        <v>17438</v>
      </c>
      <c r="C499" s="307"/>
      <c r="D499" s="124" t="s">
        <v>17986</v>
      </c>
      <c r="E499" s="46"/>
      <c r="F499" s="118" t="s">
        <v>2133</v>
      </c>
      <c r="G499" s="126" t="str">
        <f t="shared" si="33"/>
        <v>MEP-V50-1</v>
      </c>
      <c r="H499" s="127">
        <v>1</v>
      </c>
      <c r="I499" s="120">
        <v>1</v>
      </c>
      <c r="J499" s="128" t="s">
        <v>286</v>
      </c>
    </row>
    <row r="500" spans="2:10" s="18" customFormat="1" ht="12.75" hidden="1" customHeight="1" outlineLevel="3">
      <c r="B500" s="118" t="s">
        <v>17438</v>
      </c>
      <c r="C500" s="307"/>
      <c r="D500" s="124" t="s">
        <v>17987</v>
      </c>
      <c r="E500" s="46"/>
      <c r="F500" s="118" t="s">
        <v>2133</v>
      </c>
      <c r="G500" s="126" t="str">
        <f t="shared" si="33"/>
        <v>MEP-V50-1</v>
      </c>
      <c r="H500" s="127">
        <v>1</v>
      </c>
      <c r="I500" s="120">
        <v>1</v>
      </c>
      <c r="J500" s="128" t="s">
        <v>286</v>
      </c>
    </row>
    <row r="501" spans="2:10" s="18" customFormat="1" ht="12.75" hidden="1" customHeight="1" outlineLevel="3">
      <c r="B501" s="118" t="s">
        <v>17438</v>
      </c>
      <c r="C501" s="307"/>
      <c r="D501" s="124" t="s">
        <v>17988</v>
      </c>
      <c r="E501" s="46"/>
      <c r="F501" s="118" t="s">
        <v>2133</v>
      </c>
      <c r="G501" s="126" t="str">
        <f t="shared" si="33"/>
        <v>MEP-V50-1</v>
      </c>
      <c r="H501" s="127">
        <v>1</v>
      </c>
      <c r="I501" s="120">
        <v>1</v>
      </c>
      <c r="J501" s="128" t="s">
        <v>286</v>
      </c>
    </row>
    <row r="502" spans="2:10" s="18" customFormat="1" ht="12.75" hidden="1" customHeight="1" outlineLevel="3">
      <c r="B502" s="118" t="s">
        <v>17438</v>
      </c>
      <c r="C502" s="307"/>
      <c r="D502" s="124" t="s">
        <v>17989</v>
      </c>
      <c r="E502" s="46"/>
      <c r="F502" s="118" t="s">
        <v>2133</v>
      </c>
      <c r="G502" s="126" t="str">
        <f t="shared" si="33"/>
        <v>MEP-V50-1</v>
      </c>
      <c r="H502" s="127">
        <v>1</v>
      </c>
      <c r="I502" s="120">
        <v>1</v>
      </c>
      <c r="J502" s="128" t="s">
        <v>286</v>
      </c>
    </row>
    <row r="503" spans="2:10" s="18" customFormat="1" ht="12.75" hidden="1" customHeight="1" outlineLevel="3">
      <c r="B503" s="118" t="s">
        <v>17438</v>
      </c>
      <c r="C503" s="307"/>
      <c r="D503" s="124" t="s">
        <v>17990</v>
      </c>
      <c r="E503" s="46"/>
      <c r="F503" s="118" t="s">
        <v>2133</v>
      </c>
      <c r="G503" s="126" t="str">
        <f t="shared" si="33"/>
        <v>MEP-V50-1</v>
      </c>
      <c r="H503" s="127">
        <v>1</v>
      </c>
      <c r="I503" s="120">
        <v>1</v>
      </c>
      <c r="J503" s="128" t="s">
        <v>286</v>
      </c>
    </row>
    <row r="504" spans="2:10" s="18" customFormat="1" ht="12.75" hidden="1" customHeight="1" outlineLevel="3">
      <c r="B504" s="118" t="s">
        <v>17438</v>
      </c>
      <c r="C504" s="307"/>
      <c r="D504" s="124" t="s">
        <v>17991</v>
      </c>
      <c r="E504" s="46"/>
      <c r="F504" s="118" t="s">
        <v>2133</v>
      </c>
      <c r="G504" s="126" t="str">
        <f t="shared" si="33"/>
        <v>MEP-V50-1</v>
      </c>
      <c r="H504" s="127">
        <v>1</v>
      </c>
      <c r="I504" s="120">
        <v>1</v>
      </c>
      <c r="J504" s="128" t="s">
        <v>286</v>
      </c>
    </row>
    <row r="505" spans="2:10" s="18" customFormat="1" ht="12.75" hidden="1" customHeight="1" outlineLevel="3">
      <c r="B505" s="118" t="s">
        <v>17438</v>
      </c>
      <c r="C505" s="307"/>
      <c r="D505" s="124" t="s">
        <v>17991</v>
      </c>
      <c r="E505" s="46"/>
      <c r="F505" s="118" t="s">
        <v>2133</v>
      </c>
      <c r="G505" s="126" t="str">
        <f t="shared" si="33"/>
        <v>MEP-V50-1</v>
      </c>
      <c r="H505" s="127">
        <v>1</v>
      </c>
      <c r="I505" s="120">
        <v>1</v>
      </c>
      <c r="J505" s="128" t="s">
        <v>286</v>
      </c>
    </row>
    <row r="506" spans="2:10" s="18" customFormat="1" ht="12.75" hidden="1" customHeight="1" outlineLevel="3">
      <c r="B506" s="118" t="s">
        <v>17438</v>
      </c>
      <c r="C506" s="307"/>
      <c r="D506" s="124" t="s">
        <v>17991</v>
      </c>
      <c r="E506" s="46"/>
      <c r="F506" s="118" t="s">
        <v>2133</v>
      </c>
      <c r="G506" s="126" t="str">
        <f t="shared" si="33"/>
        <v>MEP-V50-1</v>
      </c>
      <c r="H506" s="127">
        <v>1</v>
      </c>
      <c r="I506" s="120">
        <v>1</v>
      </c>
      <c r="J506" s="128" t="s">
        <v>286</v>
      </c>
    </row>
    <row r="507" spans="2:10" s="18" customFormat="1" ht="12.75" hidden="1" customHeight="1" outlineLevel="3">
      <c r="B507" s="118" t="s">
        <v>17438</v>
      </c>
      <c r="C507" s="307"/>
      <c r="D507" s="124" t="s">
        <v>17991</v>
      </c>
      <c r="E507" s="46"/>
      <c r="F507" s="118" t="s">
        <v>2133</v>
      </c>
      <c r="G507" s="126" t="str">
        <f t="shared" si="33"/>
        <v>MEP-V50-1</v>
      </c>
      <c r="H507" s="127">
        <v>1</v>
      </c>
      <c r="I507" s="120">
        <v>1</v>
      </c>
      <c r="J507" s="128" t="s">
        <v>286</v>
      </c>
    </row>
    <row r="508" spans="2:10" s="18" customFormat="1" ht="12.75" hidden="1" customHeight="1" outlineLevel="3">
      <c r="B508" s="118" t="s">
        <v>17438</v>
      </c>
      <c r="C508" s="307"/>
      <c r="D508" s="124" t="s">
        <v>17991</v>
      </c>
      <c r="E508" s="46"/>
      <c r="F508" s="118" t="s">
        <v>2133</v>
      </c>
      <c r="G508" s="126" t="str">
        <f t="shared" si="33"/>
        <v>MEP-V50-1</v>
      </c>
      <c r="H508" s="127">
        <v>1</v>
      </c>
      <c r="I508" s="120">
        <v>1</v>
      </c>
      <c r="J508" s="128" t="s">
        <v>286</v>
      </c>
    </row>
    <row r="509" spans="2:10" s="18" customFormat="1" ht="12.75" hidden="1" customHeight="1" outlineLevel="3">
      <c r="B509" s="118" t="s">
        <v>17438</v>
      </c>
      <c r="C509" s="307"/>
      <c r="D509" s="124" t="s">
        <v>17991</v>
      </c>
      <c r="E509" s="46"/>
      <c r="F509" s="118" t="s">
        <v>2133</v>
      </c>
      <c r="G509" s="126" t="str">
        <f t="shared" si="33"/>
        <v>MEP-V50-1</v>
      </c>
      <c r="H509" s="127">
        <v>1</v>
      </c>
      <c r="I509" s="120">
        <v>1</v>
      </c>
      <c r="J509" s="128" t="s">
        <v>286</v>
      </c>
    </row>
    <row r="510" spans="2:10" s="18" customFormat="1" ht="12.75" hidden="1" customHeight="1" outlineLevel="2">
      <c r="B510" s="118"/>
      <c r="C510" s="307"/>
      <c r="D510" s="124"/>
      <c r="E510" s="46"/>
      <c r="F510" s="46"/>
      <c r="G510" s="46"/>
      <c r="H510" s="122"/>
      <c r="I510" s="120"/>
    </row>
    <row r="511" spans="2:10" s="18" customFormat="1" ht="12.75" hidden="1" customHeight="1" outlineLevel="2">
      <c r="B511" s="121" t="s">
        <v>17992</v>
      </c>
      <c r="C511" s="307"/>
      <c r="D511" s="124"/>
      <c r="E511" s="46"/>
      <c r="F511" s="46"/>
      <c r="G511" s="46"/>
      <c r="H511" s="122"/>
      <c r="I511" s="120"/>
    </row>
    <row r="512" spans="2:10" s="18" customFormat="1" ht="12.75" hidden="1" customHeight="1" outlineLevel="3">
      <c r="B512" s="118" t="s">
        <v>17405</v>
      </c>
      <c r="C512" s="307"/>
      <c r="D512" s="124" t="s">
        <v>17993</v>
      </c>
      <c r="E512" s="46"/>
      <c r="F512" s="118" t="s">
        <v>2133</v>
      </c>
      <c r="G512" s="126" t="str">
        <f>CONCATENATE("MEP-",F512,"-",H512)</f>
        <v>MEP-V50-1</v>
      </c>
      <c r="H512" s="127">
        <v>1</v>
      </c>
      <c r="I512" s="120">
        <v>1</v>
      </c>
      <c r="J512" s="128" t="s">
        <v>286</v>
      </c>
    </row>
    <row r="513" spans="2:18" s="18" customFormat="1" ht="12.75" hidden="1" customHeight="1" outlineLevel="2">
      <c r="C513" s="292"/>
    </row>
    <row r="514" spans="2:18" s="18" customFormat="1" ht="12.75" hidden="1" customHeight="1" outlineLevel="2">
      <c r="B514" s="121" t="s">
        <v>17994</v>
      </c>
      <c r="C514" s="307"/>
      <c r="D514" s="124"/>
      <c r="E514" s="46"/>
      <c r="F514" s="46"/>
      <c r="G514" s="46"/>
      <c r="H514" s="122"/>
      <c r="I514" s="120"/>
      <c r="J514" s="120"/>
      <c r="K514" s="120"/>
      <c r="L514" s="129"/>
    </row>
    <row r="515" spans="2:18" s="18" customFormat="1" ht="12.75" hidden="1" customHeight="1" outlineLevel="3">
      <c r="B515" s="118" t="s">
        <v>17995</v>
      </c>
      <c r="C515" s="307"/>
      <c r="D515" s="124" t="s">
        <v>17996</v>
      </c>
      <c r="E515" s="46"/>
      <c r="F515" s="118" t="s">
        <v>2133</v>
      </c>
      <c r="G515" s="126" t="str">
        <f>CONCATENATE("MEP-",F515,"-",H515)</f>
        <v>MEP-V50-1</v>
      </c>
      <c r="H515" s="127">
        <v>1</v>
      </c>
      <c r="I515" s="120">
        <v>1</v>
      </c>
      <c r="J515" s="128" t="s">
        <v>286</v>
      </c>
      <c r="K515" s="120"/>
      <c r="L515" s="129"/>
    </row>
    <row r="516" spans="2:18" s="18" customFormat="1" ht="12.75" hidden="1" customHeight="1" outlineLevel="3">
      <c r="B516" s="118" t="s">
        <v>17995</v>
      </c>
      <c r="C516" s="307"/>
      <c r="D516" s="124" t="s">
        <v>17997</v>
      </c>
      <c r="E516" s="46"/>
      <c r="F516" s="118" t="s">
        <v>2133</v>
      </c>
      <c r="G516" s="126" t="str">
        <f>CONCATENATE("MEP-",F516,"-",H516)</f>
        <v>MEP-V50-1</v>
      </c>
      <c r="H516" s="127">
        <v>1</v>
      </c>
      <c r="I516" s="120">
        <v>1</v>
      </c>
      <c r="J516" s="128" t="s">
        <v>286</v>
      </c>
      <c r="K516" s="120"/>
      <c r="L516" s="129"/>
    </row>
    <row r="517" spans="2:18" s="18" customFormat="1" ht="12.75" hidden="1" customHeight="1" outlineLevel="3">
      <c r="B517" s="118" t="s">
        <v>17995</v>
      </c>
      <c r="C517" s="307"/>
      <c r="D517" s="124" t="s">
        <v>17998</v>
      </c>
      <c r="E517" s="46"/>
      <c r="F517" s="118" t="s">
        <v>2133</v>
      </c>
      <c r="G517" s="126" t="str">
        <f>CONCATENATE("MEP-",F517,"-",H517)</f>
        <v>MEP-V50-1</v>
      </c>
      <c r="H517" s="127">
        <v>1</v>
      </c>
      <c r="I517" s="120">
        <v>1</v>
      </c>
      <c r="J517" s="128" t="s">
        <v>286</v>
      </c>
      <c r="K517" s="120"/>
      <c r="L517" s="129"/>
    </row>
    <row r="518" spans="2:18" s="18" customFormat="1" ht="3" hidden="1" customHeight="1" outlineLevel="1">
      <c r="B518" s="118"/>
      <c r="C518" s="307"/>
      <c r="D518" s="124"/>
      <c r="E518" s="46"/>
      <c r="F518" s="46"/>
      <c r="G518" s="46"/>
      <c r="H518" s="122"/>
      <c r="I518" s="120"/>
      <c r="J518" s="120"/>
      <c r="K518" s="120"/>
      <c r="L518" s="129"/>
    </row>
    <row r="519" spans="2:18" s="18" customFormat="1" ht="12.75" hidden="1" customHeight="1" outlineLevel="1">
      <c r="B519" s="135" t="s">
        <v>17999</v>
      </c>
      <c r="C519" s="307"/>
      <c r="D519" s="124"/>
      <c r="E519" s="46"/>
      <c r="F519" s="46"/>
      <c r="G519" s="46"/>
      <c r="H519" s="122"/>
      <c r="I519" s="120"/>
      <c r="J519" s="120"/>
      <c r="K519" s="120"/>
      <c r="L519" s="129"/>
    </row>
    <row r="520" spans="2:18" s="18" customFormat="1" ht="12.75" hidden="1" customHeight="1" outlineLevel="2">
      <c r="B520" s="118"/>
      <c r="C520" s="307"/>
      <c r="D520" s="124"/>
      <c r="E520" s="46"/>
      <c r="F520" s="46"/>
      <c r="G520" s="46"/>
      <c r="H520" s="122"/>
      <c r="I520" s="120"/>
      <c r="J520" s="120"/>
      <c r="K520" s="120"/>
      <c r="L520" s="129"/>
    </row>
    <row r="521" spans="2:18" s="18" customFormat="1" ht="12.75" hidden="1" customHeight="1" outlineLevel="2">
      <c r="B521" s="121" t="s">
        <v>17968</v>
      </c>
      <c r="C521" s="307"/>
      <c r="D521" s="124"/>
      <c r="E521" s="46"/>
      <c r="F521" s="46"/>
      <c r="G521" s="46"/>
      <c r="H521" s="122"/>
      <c r="I521" s="120"/>
      <c r="J521" s="120"/>
      <c r="K521" s="120"/>
      <c r="L521" s="129"/>
    </row>
    <row r="522" spans="2:18" s="18" customFormat="1" ht="12.75" hidden="1" customHeight="1" outlineLevel="3">
      <c r="B522" s="118" t="s">
        <v>17343</v>
      </c>
      <c r="C522" s="307"/>
      <c r="D522" s="124" t="s">
        <v>17969</v>
      </c>
      <c r="E522" s="46"/>
      <c r="F522" s="118" t="s">
        <v>2236</v>
      </c>
      <c r="G522" s="126" t="str">
        <f t="shared" ref="G522:G530" si="34">CONCATENATE("MEP-",F522,"-",H522)</f>
        <v>MEP-V40-1</v>
      </c>
      <c r="H522" s="127">
        <v>1</v>
      </c>
      <c r="I522" s="129"/>
      <c r="J522" s="128" t="s">
        <v>286</v>
      </c>
      <c r="K522" s="129">
        <v>1</v>
      </c>
      <c r="L522" s="129">
        <v>1</v>
      </c>
      <c r="P522" s="129">
        <v>1</v>
      </c>
      <c r="R522" s="129">
        <v>1</v>
      </c>
    </row>
    <row r="523" spans="2:18" s="18" customFormat="1" ht="12.75" hidden="1" customHeight="1" outlineLevel="3">
      <c r="B523" s="118" t="s">
        <v>17343</v>
      </c>
      <c r="C523" s="307"/>
      <c r="D523" s="124" t="s">
        <v>17970</v>
      </c>
      <c r="E523" s="46"/>
      <c r="F523" s="118" t="s">
        <v>2236</v>
      </c>
      <c r="G523" s="126" t="str">
        <f t="shared" si="34"/>
        <v>MEP-V40-1</v>
      </c>
      <c r="H523" s="127">
        <v>1</v>
      </c>
      <c r="I523" s="129"/>
      <c r="J523" s="128" t="s">
        <v>286</v>
      </c>
      <c r="K523" s="129">
        <v>1</v>
      </c>
      <c r="L523" s="129">
        <v>1</v>
      </c>
      <c r="P523" s="129">
        <v>1</v>
      </c>
      <c r="R523" s="129">
        <v>1</v>
      </c>
    </row>
    <row r="524" spans="2:18" s="18" customFormat="1" ht="12.75" hidden="1" customHeight="1" outlineLevel="3">
      <c r="B524" s="118" t="s">
        <v>17343</v>
      </c>
      <c r="C524" s="307"/>
      <c r="D524" s="124" t="s">
        <v>17971</v>
      </c>
      <c r="E524" s="46"/>
      <c r="F524" s="118" t="s">
        <v>2236</v>
      </c>
      <c r="G524" s="126" t="str">
        <f t="shared" si="34"/>
        <v>MEP-V40-1</v>
      </c>
      <c r="H524" s="127">
        <v>1</v>
      </c>
      <c r="I524" s="129"/>
      <c r="J524" s="128" t="s">
        <v>286</v>
      </c>
      <c r="K524" s="129">
        <v>1</v>
      </c>
      <c r="L524" s="129">
        <v>1</v>
      </c>
      <c r="P524" s="129">
        <v>1</v>
      </c>
      <c r="R524" s="129">
        <v>1</v>
      </c>
    </row>
    <row r="525" spans="2:18" s="18" customFormat="1" ht="12.75" hidden="1" customHeight="1" outlineLevel="3">
      <c r="B525" s="118" t="s">
        <v>17343</v>
      </c>
      <c r="C525" s="307"/>
      <c r="D525" s="124" t="s">
        <v>17972</v>
      </c>
      <c r="E525" s="46"/>
      <c r="F525" s="118" t="s">
        <v>2236</v>
      </c>
      <c r="G525" s="126" t="str">
        <f t="shared" si="34"/>
        <v>MEP-V40-1</v>
      </c>
      <c r="H525" s="127">
        <v>1</v>
      </c>
      <c r="I525" s="129"/>
      <c r="J525" s="128" t="s">
        <v>286</v>
      </c>
      <c r="K525" s="129">
        <v>1</v>
      </c>
      <c r="L525" s="129">
        <v>1</v>
      </c>
      <c r="P525" s="129">
        <v>1</v>
      </c>
      <c r="R525" s="129">
        <v>1</v>
      </c>
    </row>
    <row r="526" spans="2:18" s="18" customFormat="1" ht="12.75" hidden="1" customHeight="1" outlineLevel="3">
      <c r="B526" s="118" t="s">
        <v>17343</v>
      </c>
      <c r="C526" s="307"/>
      <c r="D526" s="124" t="s">
        <v>17973</v>
      </c>
      <c r="E526" s="46"/>
      <c r="F526" s="118" t="s">
        <v>2236</v>
      </c>
      <c r="G526" s="126" t="str">
        <f t="shared" si="34"/>
        <v>MEP-V40-1</v>
      </c>
      <c r="H526" s="127">
        <v>1</v>
      </c>
      <c r="I526" s="129"/>
      <c r="J526" s="128" t="s">
        <v>286</v>
      </c>
      <c r="K526" s="129">
        <v>1</v>
      </c>
      <c r="L526" s="129">
        <v>1</v>
      </c>
      <c r="P526" s="129">
        <v>1</v>
      </c>
      <c r="R526" s="129">
        <v>1</v>
      </c>
    </row>
    <row r="527" spans="2:18" s="18" customFormat="1" ht="12.75" hidden="1" customHeight="1" outlineLevel="3">
      <c r="B527" s="118" t="s">
        <v>17343</v>
      </c>
      <c r="C527" s="307"/>
      <c r="D527" s="124" t="s">
        <v>17974</v>
      </c>
      <c r="E527" s="46"/>
      <c r="F527" s="118" t="s">
        <v>2236</v>
      </c>
      <c r="G527" s="126" t="str">
        <f t="shared" si="34"/>
        <v>MEP-V40-1</v>
      </c>
      <c r="H527" s="127">
        <v>1</v>
      </c>
      <c r="I527" s="129"/>
      <c r="J527" s="128" t="s">
        <v>286</v>
      </c>
      <c r="K527" s="129">
        <v>1</v>
      </c>
      <c r="L527" s="129">
        <v>1</v>
      </c>
      <c r="P527" s="129">
        <v>1</v>
      </c>
      <c r="R527" s="129">
        <v>1</v>
      </c>
    </row>
    <row r="528" spans="2:18" s="18" customFormat="1" ht="12.75" hidden="1" customHeight="1" outlineLevel="3">
      <c r="B528" s="118" t="s">
        <v>17343</v>
      </c>
      <c r="C528" s="307"/>
      <c r="D528" s="124" t="s">
        <v>17975</v>
      </c>
      <c r="E528" s="46"/>
      <c r="F528" s="118" t="s">
        <v>2236</v>
      </c>
      <c r="G528" s="126" t="str">
        <f t="shared" si="34"/>
        <v>MEP-V40-1</v>
      </c>
      <c r="H528" s="127">
        <v>1</v>
      </c>
      <c r="I528" s="129"/>
      <c r="J528" s="128" t="s">
        <v>286</v>
      </c>
      <c r="K528" s="129">
        <v>1</v>
      </c>
      <c r="L528" s="129">
        <v>1</v>
      </c>
      <c r="P528" s="129">
        <v>1</v>
      </c>
      <c r="R528" s="129">
        <v>1</v>
      </c>
    </row>
    <row r="529" spans="2:18" s="18" customFormat="1" ht="12.75" hidden="1" customHeight="1" outlineLevel="3">
      <c r="B529" s="118" t="s">
        <v>17343</v>
      </c>
      <c r="C529" s="307"/>
      <c r="D529" s="124" t="s">
        <v>17976</v>
      </c>
      <c r="E529" s="46"/>
      <c r="F529" s="118" t="s">
        <v>2236</v>
      </c>
      <c r="G529" s="126" t="str">
        <f t="shared" si="34"/>
        <v>MEP-V40-1</v>
      </c>
      <c r="H529" s="127">
        <v>1</v>
      </c>
      <c r="I529" s="129"/>
      <c r="J529" s="128" t="s">
        <v>286</v>
      </c>
      <c r="K529" s="129">
        <v>1</v>
      </c>
      <c r="L529" s="129">
        <v>1</v>
      </c>
      <c r="P529" s="129">
        <v>1</v>
      </c>
      <c r="R529" s="129">
        <v>1</v>
      </c>
    </row>
    <row r="530" spans="2:18" s="18" customFormat="1" ht="12.75" hidden="1" customHeight="1" outlineLevel="3">
      <c r="B530" s="118" t="s">
        <v>17343</v>
      </c>
      <c r="C530" s="307"/>
      <c r="D530" s="124" t="s">
        <v>17977</v>
      </c>
      <c r="E530" s="46"/>
      <c r="F530" s="118" t="s">
        <v>2236</v>
      </c>
      <c r="G530" s="126" t="str">
        <f t="shared" si="34"/>
        <v>MEP-V40-1</v>
      </c>
      <c r="H530" s="127">
        <v>1</v>
      </c>
      <c r="I530" s="129"/>
      <c r="J530" s="128" t="s">
        <v>286</v>
      </c>
      <c r="K530" s="129">
        <v>1</v>
      </c>
      <c r="L530" s="129">
        <v>1</v>
      </c>
      <c r="P530" s="129">
        <v>1</v>
      </c>
      <c r="R530" s="129">
        <v>1</v>
      </c>
    </row>
    <row r="531" spans="2:18" s="18" customFormat="1" ht="12.75" hidden="1" customHeight="1" outlineLevel="2">
      <c r="B531" s="118"/>
      <c r="C531" s="307"/>
      <c r="D531" s="124"/>
      <c r="E531" s="46"/>
      <c r="F531" s="46"/>
      <c r="G531" s="46"/>
      <c r="H531" s="122"/>
      <c r="I531" s="120"/>
      <c r="J531" s="120"/>
      <c r="K531" s="120"/>
      <c r="L531" s="120"/>
    </row>
    <row r="532" spans="2:18" s="18" customFormat="1" ht="12.75" hidden="1" customHeight="1" outlineLevel="2">
      <c r="B532" s="121" t="s">
        <v>17978</v>
      </c>
      <c r="C532" s="307"/>
      <c r="D532" s="124"/>
      <c r="E532" s="46"/>
      <c r="F532" s="46"/>
      <c r="G532" s="46"/>
      <c r="H532" s="122"/>
      <c r="I532" s="120"/>
      <c r="J532" s="120"/>
      <c r="K532" s="120"/>
      <c r="L532" s="120"/>
    </row>
    <row r="533" spans="2:18" s="18" customFormat="1" ht="12.75" hidden="1" customHeight="1" outlineLevel="3">
      <c r="B533" s="118" t="s">
        <v>17371</v>
      </c>
      <c r="C533" s="307"/>
      <c r="D533" s="124" t="s">
        <v>18000</v>
      </c>
      <c r="E533" s="46"/>
      <c r="F533" s="118" t="s">
        <v>2236</v>
      </c>
      <c r="G533" s="126" t="str">
        <f>CONCATENATE("MEP-",F533,"-",H533)</f>
        <v>MEP-V40-1</v>
      </c>
      <c r="H533" s="127">
        <v>1</v>
      </c>
      <c r="I533" s="129"/>
      <c r="J533" s="128" t="s">
        <v>286</v>
      </c>
      <c r="K533" s="129">
        <v>1</v>
      </c>
      <c r="L533" s="129">
        <v>1</v>
      </c>
      <c r="P533" s="129">
        <v>1</v>
      </c>
      <c r="Q533" s="129">
        <v>1</v>
      </c>
    </row>
    <row r="534" spans="2:18" s="18" customFormat="1" ht="12.75" hidden="1" customHeight="1" outlineLevel="3">
      <c r="B534" s="118" t="s">
        <v>17371</v>
      </c>
      <c r="C534" s="307"/>
      <c r="D534" s="124" t="s">
        <v>18001</v>
      </c>
      <c r="E534" s="46"/>
      <c r="F534" s="118" t="s">
        <v>2236</v>
      </c>
      <c r="G534" s="126" t="str">
        <f>CONCATENATE("MEP-",F534,"-",H534)</f>
        <v>MEP-V40-1</v>
      </c>
      <c r="H534" s="127">
        <v>1</v>
      </c>
      <c r="I534" s="129"/>
      <c r="J534" s="128" t="s">
        <v>286</v>
      </c>
      <c r="K534" s="129">
        <v>1</v>
      </c>
      <c r="L534" s="129">
        <v>1</v>
      </c>
      <c r="P534" s="129">
        <v>1</v>
      </c>
      <c r="Q534" s="129">
        <v>1</v>
      </c>
    </row>
    <row r="535" spans="2:18" s="18" customFormat="1" ht="12.75" hidden="1" customHeight="1" outlineLevel="3">
      <c r="B535" s="118" t="s">
        <v>17371</v>
      </c>
      <c r="C535" s="307"/>
      <c r="D535" s="124" t="s">
        <v>18002</v>
      </c>
      <c r="E535" s="46"/>
      <c r="F535" s="118" t="s">
        <v>2236</v>
      </c>
      <c r="G535" s="126" t="str">
        <f>CONCATENATE("MEP-",F535,"-",H535)</f>
        <v>MEP-V40-1</v>
      </c>
      <c r="H535" s="127">
        <v>1</v>
      </c>
      <c r="I535" s="129"/>
      <c r="J535" s="128" t="s">
        <v>286</v>
      </c>
      <c r="K535" s="129">
        <v>1</v>
      </c>
      <c r="L535" s="129">
        <v>1</v>
      </c>
      <c r="P535" s="129">
        <v>1</v>
      </c>
      <c r="Q535" s="129">
        <v>1</v>
      </c>
    </row>
    <row r="536" spans="2:18" s="18" customFormat="1" ht="12.75" hidden="1" customHeight="1" outlineLevel="3">
      <c r="B536" s="118" t="s">
        <v>17371</v>
      </c>
      <c r="C536" s="307"/>
      <c r="D536" s="124" t="s">
        <v>18003</v>
      </c>
      <c r="E536" s="46"/>
      <c r="F536" s="118" t="s">
        <v>2236</v>
      </c>
      <c r="G536" s="126" t="str">
        <f>CONCATENATE("MEP-",F536,"-",H536)</f>
        <v>MEP-V40-1</v>
      </c>
      <c r="H536" s="127">
        <v>1</v>
      </c>
      <c r="I536" s="129"/>
      <c r="J536" s="128" t="s">
        <v>286</v>
      </c>
      <c r="K536" s="129">
        <v>1</v>
      </c>
      <c r="L536" s="129">
        <v>1</v>
      </c>
      <c r="P536" s="129">
        <v>1</v>
      </c>
      <c r="Q536" s="129">
        <v>1</v>
      </c>
    </row>
    <row r="537" spans="2:18" s="18" customFormat="1" ht="12.75" hidden="1" customHeight="1" outlineLevel="3">
      <c r="B537" s="118" t="s">
        <v>17371</v>
      </c>
      <c r="C537" s="307"/>
      <c r="D537" s="124" t="s">
        <v>17982</v>
      </c>
      <c r="E537" s="46"/>
      <c r="F537" s="118" t="s">
        <v>2236</v>
      </c>
      <c r="G537" s="126" t="str">
        <f>CONCATENATE("MEP-",F537,"-",H537)</f>
        <v>MEP-V40-1</v>
      </c>
      <c r="H537" s="127">
        <v>1</v>
      </c>
      <c r="I537" s="129"/>
      <c r="J537" s="128" t="s">
        <v>286</v>
      </c>
      <c r="K537" s="129">
        <v>1</v>
      </c>
      <c r="L537" s="129">
        <v>1</v>
      </c>
      <c r="P537" s="129">
        <v>1</v>
      </c>
      <c r="Q537" s="129">
        <v>1</v>
      </c>
    </row>
    <row r="538" spans="2:18" s="18" customFormat="1" ht="12.75" hidden="1" customHeight="1" outlineLevel="2">
      <c r="B538" s="118"/>
      <c r="C538" s="307"/>
      <c r="D538" s="124"/>
      <c r="E538" s="46"/>
      <c r="F538" s="46"/>
      <c r="G538" s="46"/>
      <c r="H538" s="122"/>
      <c r="I538" s="120"/>
      <c r="J538" s="120"/>
      <c r="K538" s="120"/>
      <c r="L538" s="120"/>
      <c r="P538" s="120"/>
      <c r="Q538" s="120"/>
    </row>
    <row r="539" spans="2:18" s="18" customFormat="1" ht="12.75" hidden="1" customHeight="1" outlineLevel="2">
      <c r="B539" s="121" t="s">
        <v>17438</v>
      </c>
      <c r="C539" s="307"/>
      <c r="D539" s="124"/>
      <c r="E539" s="46"/>
      <c r="F539" s="46"/>
      <c r="G539" s="46"/>
      <c r="H539" s="122"/>
      <c r="I539" s="120"/>
      <c r="J539" s="120"/>
      <c r="K539" s="120"/>
      <c r="L539" s="120"/>
      <c r="P539" s="120"/>
      <c r="Q539" s="120"/>
    </row>
    <row r="540" spans="2:18" s="18" customFormat="1" ht="12.75" hidden="1" customHeight="1" outlineLevel="3">
      <c r="B540" s="118" t="s">
        <v>17438</v>
      </c>
      <c r="C540" s="307"/>
      <c r="D540" s="124" t="s">
        <v>18004</v>
      </c>
      <c r="E540" s="46"/>
      <c r="F540" s="118" t="s">
        <v>2236</v>
      </c>
      <c r="G540" s="126" t="str">
        <f t="shared" ref="G540:G553" si="35">CONCATENATE("MEP-",F540,"-",H540)</f>
        <v>MEP-V40-1</v>
      </c>
      <c r="H540" s="127">
        <v>1</v>
      </c>
      <c r="I540" s="129"/>
      <c r="J540" s="128" t="s">
        <v>286</v>
      </c>
      <c r="K540" s="129">
        <v>1</v>
      </c>
      <c r="L540" s="129">
        <v>1</v>
      </c>
      <c r="P540" s="129">
        <v>1</v>
      </c>
      <c r="Q540" s="129">
        <v>1</v>
      </c>
    </row>
    <row r="541" spans="2:18" s="18" customFormat="1" ht="12.75" hidden="1" customHeight="1" outlineLevel="3">
      <c r="B541" s="118" t="s">
        <v>17438</v>
      </c>
      <c r="C541" s="307"/>
      <c r="D541" s="124" t="s">
        <v>18005</v>
      </c>
      <c r="E541" s="46"/>
      <c r="F541" s="118" t="s">
        <v>2236</v>
      </c>
      <c r="G541" s="126" t="str">
        <f t="shared" si="35"/>
        <v>MEP-V40-1</v>
      </c>
      <c r="H541" s="127">
        <v>1</v>
      </c>
      <c r="I541" s="129"/>
      <c r="J541" s="128" t="s">
        <v>286</v>
      </c>
      <c r="K541" s="129">
        <v>1</v>
      </c>
      <c r="L541" s="129">
        <v>1</v>
      </c>
      <c r="P541" s="129">
        <v>1</v>
      </c>
      <c r="Q541" s="129">
        <v>1</v>
      </c>
    </row>
    <row r="542" spans="2:18" s="18" customFormat="1" ht="12.75" hidden="1" customHeight="1" outlineLevel="3">
      <c r="B542" s="118" t="s">
        <v>17438</v>
      </c>
      <c r="C542" s="307"/>
      <c r="D542" s="124" t="s">
        <v>18006</v>
      </c>
      <c r="E542" s="46"/>
      <c r="F542" s="118" t="s">
        <v>2236</v>
      </c>
      <c r="G542" s="126" t="str">
        <f t="shared" si="35"/>
        <v>MEP-V40-1</v>
      </c>
      <c r="H542" s="127">
        <v>1</v>
      </c>
      <c r="I542" s="129"/>
      <c r="J542" s="128" t="s">
        <v>286</v>
      </c>
      <c r="K542" s="129">
        <v>1</v>
      </c>
      <c r="L542" s="129">
        <v>1</v>
      </c>
      <c r="P542" s="129">
        <v>1</v>
      </c>
      <c r="Q542" s="129">
        <v>1</v>
      </c>
    </row>
    <row r="543" spans="2:18" s="18" customFormat="1" ht="12.75" hidden="1" customHeight="1" outlineLevel="3">
      <c r="B543" s="118" t="s">
        <v>17438</v>
      </c>
      <c r="C543" s="307"/>
      <c r="D543" s="124" t="s">
        <v>18007</v>
      </c>
      <c r="E543" s="46"/>
      <c r="F543" s="118" t="s">
        <v>2236</v>
      </c>
      <c r="G543" s="126" t="str">
        <f t="shared" si="35"/>
        <v>MEP-V40-1</v>
      </c>
      <c r="H543" s="127">
        <v>1</v>
      </c>
      <c r="I543" s="129"/>
      <c r="J543" s="128" t="s">
        <v>286</v>
      </c>
      <c r="K543" s="129">
        <v>1</v>
      </c>
      <c r="L543" s="129">
        <v>1</v>
      </c>
      <c r="P543" s="129">
        <v>1</v>
      </c>
      <c r="Q543" s="129">
        <v>1</v>
      </c>
    </row>
    <row r="544" spans="2:18" s="18" customFormat="1" ht="12.75" hidden="1" customHeight="1" outlineLevel="3">
      <c r="B544" s="118" t="s">
        <v>17438</v>
      </c>
      <c r="C544" s="307"/>
      <c r="D544" s="124" t="s">
        <v>17987</v>
      </c>
      <c r="E544" s="46"/>
      <c r="F544" s="118" t="s">
        <v>2236</v>
      </c>
      <c r="G544" s="126" t="str">
        <f t="shared" si="35"/>
        <v>MEP-V40-1</v>
      </c>
      <c r="H544" s="127">
        <v>1</v>
      </c>
      <c r="I544" s="129"/>
      <c r="J544" s="128" t="s">
        <v>286</v>
      </c>
      <c r="K544" s="129">
        <v>1</v>
      </c>
      <c r="L544" s="129">
        <v>1</v>
      </c>
      <c r="P544" s="129">
        <v>1</v>
      </c>
      <c r="Q544" s="129">
        <v>1</v>
      </c>
    </row>
    <row r="545" spans="2:17" s="18" customFormat="1" ht="12.75" hidden="1" customHeight="1" outlineLevel="3">
      <c r="B545" s="118" t="s">
        <v>17438</v>
      </c>
      <c r="C545" s="307"/>
      <c r="D545" s="124" t="s">
        <v>17988</v>
      </c>
      <c r="E545" s="46"/>
      <c r="F545" s="118" t="s">
        <v>2236</v>
      </c>
      <c r="G545" s="126" t="str">
        <f t="shared" si="35"/>
        <v>MEP-V40-1</v>
      </c>
      <c r="H545" s="127">
        <v>1</v>
      </c>
      <c r="I545" s="129"/>
      <c r="J545" s="128" t="s">
        <v>286</v>
      </c>
      <c r="K545" s="129">
        <v>1</v>
      </c>
      <c r="L545" s="129">
        <v>1</v>
      </c>
      <c r="P545" s="129">
        <v>1</v>
      </c>
      <c r="Q545" s="129">
        <v>1</v>
      </c>
    </row>
    <row r="546" spans="2:17" s="18" customFormat="1" ht="12.75" hidden="1" customHeight="1" outlineLevel="3">
      <c r="B546" s="118" t="s">
        <v>17438</v>
      </c>
      <c r="C546" s="307"/>
      <c r="D546" s="124" t="s">
        <v>17989</v>
      </c>
      <c r="E546" s="46"/>
      <c r="F546" s="118" t="s">
        <v>2236</v>
      </c>
      <c r="G546" s="126" t="str">
        <f t="shared" si="35"/>
        <v>MEP-V40-1</v>
      </c>
      <c r="H546" s="127">
        <v>1</v>
      </c>
      <c r="I546" s="129"/>
      <c r="J546" s="128" t="s">
        <v>286</v>
      </c>
      <c r="K546" s="129">
        <v>1</v>
      </c>
      <c r="L546" s="129">
        <v>1</v>
      </c>
      <c r="P546" s="129">
        <v>1</v>
      </c>
      <c r="Q546" s="129">
        <v>1</v>
      </c>
    </row>
    <row r="547" spans="2:17" s="18" customFormat="1" ht="12.75" hidden="1" customHeight="1" outlineLevel="3">
      <c r="B547" s="118" t="s">
        <v>17438</v>
      </c>
      <c r="C547" s="307"/>
      <c r="D547" s="124" t="s">
        <v>17990</v>
      </c>
      <c r="E547" s="46"/>
      <c r="F547" s="118" t="s">
        <v>2236</v>
      </c>
      <c r="G547" s="126" t="str">
        <f t="shared" si="35"/>
        <v>MEP-V40-1</v>
      </c>
      <c r="H547" s="127">
        <v>1</v>
      </c>
      <c r="I547" s="129"/>
      <c r="J547" s="128" t="s">
        <v>286</v>
      </c>
      <c r="K547" s="129">
        <v>1</v>
      </c>
      <c r="L547" s="129">
        <v>1</v>
      </c>
      <c r="P547" s="129">
        <v>1</v>
      </c>
      <c r="Q547" s="129">
        <v>1</v>
      </c>
    </row>
    <row r="548" spans="2:17" s="18" customFormat="1" ht="12.75" hidden="1" customHeight="1" outlineLevel="3">
      <c r="B548" s="118" t="s">
        <v>17438</v>
      </c>
      <c r="C548" s="307"/>
      <c r="D548" s="124" t="s">
        <v>18008</v>
      </c>
      <c r="E548" s="46"/>
      <c r="F548" s="118" t="s">
        <v>2236</v>
      </c>
      <c r="G548" s="126" t="str">
        <f t="shared" si="35"/>
        <v>MEP-V40-1</v>
      </c>
      <c r="H548" s="127">
        <v>1</v>
      </c>
      <c r="I548" s="129"/>
      <c r="J548" s="128" t="s">
        <v>286</v>
      </c>
      <c r="K548" s="129">
        <v>1</v>
      </c>
      <c r="L548" s="129">
        <v>1</v>
      </c>
      <c r="P548" s="129">
        <v>1</v>
      </c>
      <c r="Q548" s="129">
        <v>1</v>
      </c>
    </row>
    <row r="549" spans="2:17" s="18" customFormat="1" ht="12.75" hidden="1" customHeight="1" outlineLevel="3">
      <c r="B549" s="118" t="s">
        <v>17438</v>
      </c>
      <c r="C549" s="307"/>
      <c r="D549" s="124" t="s">
        <v>18008</v>
      </c>
      <c r="E549" s="46"/>
      <c r="F549" s="118" t="s">
        <v>2236</v>
      </c>
      <c r="G549" s="126" t="str">
        <f t="shared" si="35"/>
        <v>MEP-V40-1</v>
      </c>
      <c r="H549" s="127">
        <v>1</v>
      </c>
      <c r="I549" s="129"/>
      <c r="J549" s="128" t="s">
        <v>286</v>
      </c>
      <c r="K549" s="129">
        <v>1</v>
      </c>
      <c r="L549" s="129">
        <v>1</v>
      </c>
      <c r="P549" s="129">
        <v>1</v>
      </c>
      <c r="Q549" s="129">
        <v>1</v>
      </c>
    </row>
    <row r="550" spans="2:17" s="18" customFormat="1" ht="12.75" hidden="1" customHeight="1" outlineLevel="3">
      <c r="B550" s="118" t="s">
        <v>17438</v>
      </c>
      <c r="C550" s="307"/>
      <c r="D550" s="124" t="s">
        <v>18008</v>
      </c>
      <c r="E550" s="46"/>
      <c r="F550" s="118" t="s">
        <v>2236</v>
      </c>
      <c r="G550" s="126" t="str">
        <f t="shared" si="35"/>
        <v>MEP-V40-1</v>
      </c>
      <c r="H550" s="127">
        <v>1</v>
      </c>
      <c r="I550" s="129"/>
      <c r="J550" s="128" t="s">
        <v>286</v>
      </c>
      <c r="K550" s="129">
        <v>1</v>
      </c>
      <c r="L550" s="129">
        <v>1</v>
      </c>
      <c r="P550" s="129">
        <v>1</v>
      </c>
      <c r="Q550" s="129">
        <v>1</v>
      </c>
    </row>
    <row r="551" spans="2:17" s="18" customFormat="1" ht="12.75" hidden="1" customHeight="1" outlineLevel="3">
      <c r="B551" s="118" t="s">
        <v>17438</v>
      </c>
      <c r="C551" s="307"/>
      <c r="D551" s="124" t="s">
        <v>18008</v>
      </c>
      <c r="E551" s="46"/>
      <c r="F551" s="118" t="s">
        <v>2236</v>
      </c>
      <c r="G551" s="126" t="str">
        <f t="shared" si="35"/>
        <v>MEP-V40-1</v>
      </c>
      <c r="H551" s="127">
        <v>1</v>
      </c>
      <c r="I551" s="129"/>
      <c r="J551" s="128" t="s">
        <v>286</v>
      </c>
      <c r="K551" s="129">
        <v>1</v>
      </c>
      <c r="L551" s="129">
        <v>1</v>
      </c>
      <c r="P551" s="129">
        <v>1</v>
      </c>
      <c r="Q551" s="129">
        <v>1</v>
      </c>
    </row>
    <row r="552" spans="2:17" s="18" customFormat="1" ht="12.75" hidden="1" customHeight="1" outlineLevel="3">
      <c r="B552" s="118" t="s">
        <v>17438</v>
      </c>
      <c r="C552" s="307"/>
      <c r="D552" s="124" t="s">
        <v>18008</v>
      </c>
      <c r="E552" s="46"/>
      <c r="F552" s="118" t="s">
        <v>2236</v>
      </c>
      <c r="G552" s="126" t="str">
        <f t="shared" si="35"/>
        <v>MEP-V40-1</v>
      </c>
      <c r="H552" s="127">
        <v>1</v>
      </c>
      <c r="I552" s="129"/>
      <c r="J552" s="128" t="s">
        <v>286</v>
      </c>
      <c r="K552" s="129">
        <v>1</v>
      </c>
      <c r="L552" s="129">
        <v>1</v>
      </c>
      <c r="P552" s="129">
        <v>1</v>
      </c>
      <c r="Q552" s="129">
        <v>1</v>
      </c>
    </row>
    <row r="553" spans="2:17" s="18" customFormat="1" ht="12.75" hidden="1" customHeight="1" outlineLevel="3">
      <c r="B553" s="118" t="s">
        <v>17438</v>
      </c>
      <c r="C553" s="307"/>
      <c r="D553" s="124" t="s">
        <v>18008</v>
      </c>
      <c r="E553" s="46"/>
      <c r="F553" s="118" t="s">
        <v>2236</v>
      </c>
      <c r="G553" s="126" t="str">
        <f t="shared" si="35"/>
        <v>MEP-V40-1</v>
      </c>
      <c r="H553" s="127">
        <v>1</v>
      </c>
      <c r="I553" s="129"/>
      <c r="J553" s="128" t="s">
        <v>286</v>
      </c>
      <c r="K553" s="129">
        <v>1</v>
      </c>
      <c r="L553" s="129">
        <v>1</v>
      </c>
      <c r="P553" s="129">
        <v>1</v>
      </c>
      <c r="Q553" s="129">
        <v>1</v>
      </c>
    </row>
    <row r="554" spans="2:17" s="18" customFormat="1" ht="3" hidden="1" customHeight="1" outlineLevel="1">
      <c r="B554" s="118"/>
      <c r="C554" s="307"/>
      <c r="D554" s="124"/>
      <c r="E554" s="46"/>
      <c r="F554" s="46"/>
      <c r="G554" s="46"/>
      <c r="H554" s="122"/>
      <c r="I554" s="120"/>
      <c r="J554" s="120"/>
      <c r="K554" s="120"/>
      <c r="L554" s="129"/>
    </row>
    <row r="555" spans="2:17" s="18" customFormat="1" ht="12.75" hidden="1" customHeight="1" outlineLevel="1">
      <c r="B555" s="135" t="s">
        <v>18009</v>
      </c>
      <c r="C555" s="307"/>
      <c r="D555" s="124"/>
      <c r="E555" s="46"/>
      <c r="F555" s="46"/>
      <c r="G555" s="46"/>
      <c r="H555" s="122"/>
      <c r="I555" s="120"/>
      <c r="J555" s="120"/>
      <c r="K555" s="120"/>
      <c r="L555" s="129"/>
    </row>
    <row r="556" spans="2:17" s="18" customFormat="1" ht="12.75" hidden="1" customHeight="1" outlineLevel="2">
      <c r="B556" s="118"/>
      <c r="C556" s="307"/>
      <c r="D556" s="124"/>
      <c r="E556" s="46"/>
      <c r="F556" s="46"/>
      <c r="G556" s="46"/>
      <c r="H556" s="122"/>
      <c r="I556" s="120"/>
      <c r="J556" s="120"/>
      <c r="K556" s="120"/>
      <c r="L556" s="129"/>
    </row>
    <row r="557" spans="2:17" s="18" customFormat="1" ht="12.75" hidden="1" customHeight="1" outlineLevel="2">
      <c r="B557" s="121" t="s">
        <v>17968</v>
      </c>
      <c r="C557" s="307"/>
      <c r="D557" s="124"/>
      <c r="E557" s="46"/>
      <c r="F557" s="46"/>
      <c r="G557" s="46"/>
      <c r="H557" s="122"/>
      <c r="I557" s="120"/>
      <c r="J557" s="120"/>
      <c r="K557" s="120"/>
      <c r="L557" s="129"/>
    </row>
    <row r="558" spans="2:17" s="18" customFormat="1" ht="12.75" hidden="1" customHeight="1" outlineLevel="3">
      <c r="B558" s="134" t="s">
        <v>18010</v>
      </c>
      <c r="C558" s="307"/>
      <c r="D558" s="119"/>
      <c r="E558" s="46"/>
      <c r="F558" s="46"/>
      <c r="G558" s="46"/>
      <c r="H558" s="122"/>
      <c r="I558" s="120"/>
      <c r="J558" s="120"/>
      <c r="K558" s="120"/>
      <c r="L558" s="129"/>
    </row>
    <row r="559" spans="2:17" s="18" customFormat="1" ht="12.75" hidden="1" customHeight="1" outlineLevel="3">
      <c r="B559" s="118" t="s">
        <v>17343</v>
      </c>
      <c r="C559" s="307"/>
      <c r="D559" s="119" t="s">
        <v>18011</v>
      </c>
      <c r="E559" s="46"/>
      <c r="F559" s="118" t="s">
        <v>1275</v>
      </c>
      <c r="G559" s="126" t="str">
        <f>CONCATENATE("MEP-",F559,"-",H559)</f>
        <v>MEP-C20-1</v>
      </c>
      <c r="H559" s="122">
        <v>1</v>
      </c>
      <c r="I559" s="120">
        <v>1</v>
      </c>
      <c r="J559" s="128" t="s">
        <v>286</v>
      </c>
      <c r="K559" s="120"/>
      <c r="L559" s="129"/>
    </row>
    <row r="560" spans="2:17" s="18" customFormat="1" ht="12.75" hidden="1" customHeight="1" outlineLevel="3">
      <c r="B560" s="118" t="s">
        <v>17343</v>
      </c>
      <c r="C560" s="307"/>
      <c r="D560" s="119" t="s">
        <v>18011</v>
      </c>
      <c r="E560" s="46"/>
      <c r="F560" s="118" t="s">
        <v>1275</v>
      </c>
      <c r="G560" s="126" t="str">
        <f t="shared" ref="G560:G567" si="36">CONCATENATE("MEP-",F560,"-",H560)</f>
        <v>MEP-C20-1</v>
      </c>
      <c r="H560" s="122">
        <v>1</v>
      </c>
      <c r="I560" s="120">
        <v>1</v>
      </c>
      <c r="J560" s="128" t="s">
        <v>286</v>
      </c>
      <c r="K560" s="120"/>
      <c r="L560" s="129"/>
    </row>
    <row r="561" spans="2:12" s="18" customFormat="1" ht="12.75" hidden="1" customHeight="1" outlineLevel="3">
      <c r="B561" s="118" t="s">
        <v>17343</v>
      </c>
      <c r="C561" s="307"/>
      <c r="D561" s="119" t="s">
        <v>18012</v>
      </c>
      <c r="E561" s="46"/>
      <c r="F561" s="118" t="s">
        <v>1275</v>
      </c>
      <c r="G561" s="126" t="str">
        <f t="shared" si="36"/>
        <v>MEP-C20-1</v>
      </c>
      <c r="H561" s="122">
        <v>1</v>
      </c>
      <c r="I561" s="120">
        <v>1</v>
      </c>
      <c r="J561" s="128" t="s">
        <v>286</v>
      </c>
      <c r="K561" s="120"/>
      <c r="L561" s="129"/>
    </row>
    <row r="562" spans="2:12" s="18" customFormat="1" ht="12.75" hidden="1" customHeight="1" outlineLevel="3">
      <c r="B562" s="118" t="s">
        <v>17343</v>
      </c>
      <c r="C562" s="307"/>
      <c r="D562" s="119" t="s">
        <v>18012</v>
      </c>
      <c r="E562" s="46"/>
      <c r="F562" s="118" t="s">
        <v>1275</v>
      </c>
      <c r="G562" s="126" t="str">
        <f t="shared" si="36"/>
        <v>MEP-C20-1</v>
      </c>
      <c r="H562" s="122">
        <v>1</v>
      </c>
      <c r="I562" s="120">
        <v>1</v>
      </c>
      <c r="J562" s="128" t="s">
        <v>286</v>
      </c>
    </row>
    <row r="563" spans="2:12" s="18" customFormat="1" ht="12.75" hidden="1" customHeight="1" outlineLevel="3">
      <c r="B563" s="118" t="s">
        <v>17343</v>
      </c>
      <c r="C563" s="307"/>
      <c r="D563" s="119" t="s">
        <v>18013</v>
      </c>
      <c r="E563" s="46"/>
      <c r="F563" s="118" t="s">
        <v>1275</v>
      </c>
      <c r="G563" s="126" t="str">
        <f t="shared" si="36"/>
        <v>MEP-C20-1</v>
      </c>
      <c r="H563" s="122">
        <v>1</v>
      </c>
      <c r="I563" s="120">
        <v>1</v>
      </c>
      <c r="J563" s="128" t="s">
        <v>286</v>
      </c>
    </row>
    <row r="564" spans="2:12" s="18" customFormat="1" ht="12.75" hidden="1" customHeight="1" outlineLevel="3">
      <c r="B564" s="118" t="s">
        <v>17343</v>
      </c>
      <c r="C564" s="307"/>
      <c r="D564" s="119" t="s">
        <v>18013</v>
      </c>
      <c r="E564" s="46"/>
      <c r="F564" s="118" t="s">
        <v>1275</v>
      </c>
      <c r="G564" s="126" t="str">
        <f t="shared" si="36"/>
        <v>MEP-C20-1</v>
      </c>
      <c r="H564" s="122">
        <v>1</v>
      </c>
      <c r="I564" s="120">
        <v>1</v>
      </c>
      <c r="J564" s="128" t="s">
        <v>286</v>
      </c>
    </row>
    <row r="565" spans="2:12" s="18" customFormat="1" ht="12.75" hidden="1" customHeight="1" outlineLevel="3">
      <c r="B565" s="118" t="s">
        <v>17343</v>
      </c>
      <c r="C565" s="307"/>
      <c r="D565" s="119" t="s">
        <v>18014</v>
      </c>
      <c r="E565" s="46"/>
      <c r="F565" s="118" t="s">
        <v>1275</v>
      </c>
      <c r="G565" s="126" t="str">
        <f t="shared" si="36"/>
        <v>MEP-C20-1</v>
      </c>
      <c r="H565" s="122">
        <v>1</v>
      </c>
      <c r="I565" s="120">
        <v>1</v>
      </c>
      <c r="J565" s="128" t="s">
        <v>286</v>
      </c>
    </row>
    <row r="566" spans="2:12" s="18" customFormat="1" ht="12.75" hidden="1" customHeight="1" outlineLevel="3">
      <c r="B566" s="118" t="s">
        <v>17343</v>
      </c>
      <c r="C566" s="307"/>
      <c r="D566" s="119" t="s">
        <v>18014</v>
      </c>
      <c r="E566" s="46"/>
      <c r="F566" s="118" t="s">
        <v>1275</v>
      </c>
      <c r="G566" s="126" t="str">
        <f t="shared" si="36"/>
        <v>MEP-C20-1</v>
      </c>
      <c r="H566" s="122">
        <v>1</v>
      </c>
      <c r="I566" s="120">
        <v>1</v>
      </c>
      <c r="J566" s="128" t="s">
        <v>286</v>
      </c>
    </row>
    <row r="567" spans="2:12" s="18" customFormat="1" ht="12.75" hidden="1" customHeight="1" outlineLevel="3">
      <c r="B567" s="118" t="s">
        <v>17343</v>
      </c>
      <c r="C567" s="307"/>
      <c r="D567" s="119" t="s">
        <v>18014</v>
      </c>
      <c r="E567" s="46"/>
      <c r="F567" s="118" t="s">
        <v>1275</v>
      </c>
      <c r="G567" s="126" t="str">
        <f t="shared" si="36"/>
        <v>MEP-C20-1</v>
      </c>
      <c r="H567" s="122">
        <v>1</v>
      </c>
      <c r="I567" s="120">
        <v>1</v>
      </c>
      <c r="J567" s="128" t="s">
        <v>286</v>
      </c>
    </row>
    <row r="568" spans="2:12" s="18" customFormat="1" ht="12.75" hidden="1" customHeight="1" outlineLevel="2">
      <c r="B568" s="118"/>
      <c r="C568" s="307"/>
      <c r="D568" s="124"/>
      <c r="E568" s="46"/>
      <c r="F568" s="46"/>
      <c r="G568" s="46"/>
      <c r="H568" s="122"/>
      <c r="I568" s="120"/>
    </row>
    <row r="569" spans="2:12" s="18" customFormat="1" ht="12.75" hidden="1" customHeight="1" outlineLevel="2">
      <c r="B569" s="121" t="s">
        <v>17978</v>
      </c>
      <c r="C569" s="307"/>
      <c r="D569" s="124"/>
      <c r="E569" s="46"/>
      <c r="F569" s="46"/>
      <c r="G569" s="46"/>
      <c r="H569" s="122"/>
      <c r="I569" s="120"/>
    </row>
    <row r="570" spans="2:12" s="18" customFormat="1" ht="12.75" hidden="1" customHeight="1" outlineLevel="3">
      <c r="B570" s="118" t="s">
        <v>17371</v>
      </c>
      <c r="C570" s="307"/>
      <c r="D570" s="119" t="s">
        <v>18015</v>
      </c>
      <c r="E570" s="46"/>
      <c r="F570" s="118" t="s">
        <v>1275</v>
      </c>
      <c r="G570" s="126" t="str">
        <f>CONCATENATE("MEP-",F570,"-",H570)</f>
        <v>MEP-C20-1</v>
      </c>
      <c r="H570" s="122">
        <v>1</v>
      </c>
      <c r="I570" s="120">
        <v>1</v>
      </c>
      <c r="J570" s="128" t="s">
        <v>286</v>
      </c>
    </row>
    <row r="571" spans="2:12" s="18" customFormat="1" ht="12.75" hidden="1" customHeight="1" outlineLevel="3">
      <c r="B571" s="118" t="s">
        <v>17371</v>
      </c>
      <c r="C571" s="307"/>
      <c r="D571" s="119" t="s">
        <v>18016</v>
      </c>
      <c r="E571" s="46"/>
      <c r="F571" s="118" t="s">
        <v>1275</v>
      </c>
      <c r="G571" s="126" t="str">
        <f>CONCATENATE("MEP-",F571,"-",H571)</f>
        <v>MEP-C20-1</v>
      </c>
      <c r="H571" s="122">
        <v>1</v>
      </c>
      <c r="I571" s="120">
        <v>1</v>
      </c>
      <c r="J571" s="128" t="s">
        <v>286</v>
      </c>
    </row>
    <row r="572" spans="2:12" s="18" customFormat="1" ht="12.75" hidden="1" customHeight="1" outlineLevel="3">
      <c r="B572" s="118" t="s">
        <v>17371</v>
      </c>
      <c r="C572" s="307"/>
      <c r="D572" s="119" t="s">
        <v>18017</v>
      </c>
      <c r="E572" s="46"/>
      <c r="F572" s="118" t="s">
        <v>1275</v>
      </c>
      <c r="G572" s="126" t="str">
        <f>CONCATENATE("MEP-",F572,"-",H572)</f>
        <v>MEP-C20-1</v>
      </c>
      <c r="H572" s="122">
        <v>1</v>
      </c>
      <c r="I572" s="120">
        <v>1</v>
      </c>
      <c r="J572" s="128" t="s">
        <v>286</v>
      </c>
    </row>
    <row r="573" spans="2:12" s="18" customFormat="1" ht="12.75" hidden="1" customHeight="1" outlineLevel="2">
      <c r="B573" s="118"/>
      <c r="C573" s="307"/>
      <c r="D573" s="124"/>
      <c r="E573" s="46"/>
      <c r="F573" s="46"/>
      <c r="G573" s="46"/>
      <c r="H573" s="122"/>
      <c r="I573" s="120"/>
    </row>
    <row r="574" spans="2:12" s="18" customFormat="1" ht="12.75" hidden="1" customHeight="1" outlineLevel="2">
      <c r="B574" s="121" t="s">
        <v>17438</v>
      </c>
      <c r="C574" s="307"/>
      <c r="D574" s="124"/>
      <c r="E574" s="46"/>
      <c r="F574" s="46"/>
      <c r="G574" s="46"/>
      <c r="H574" s="122"/>
      <c r="I574" s="120"/>
    </row>
    <row r="575" spans="2:12" s="18" customFormat="1" ht="12.75" hidden="1" customHeight="1" outlineLevel="3">
      <c r="B575" s="118" t="s">
        <v>17438</v>
      </c>
      <c r="C575" s="307"/>
      <c r="D575" s="119" t="s">
        <v>18018</v>
      </c>
      <c r="E575" s="46"/>
      <c r="F575" s="118" t="s">
        <v>1275</v>
      </c>
      <c r="G575" s="126" t="str">
        <f>CONCATENATE("MEP-",F575,"-",H575)</f>
        <v>MEP-C20-1</v>
      </c>
      <c r="H575" s="122">
        <v>1</v>
      </c>
      <c r="I575" s="120">
        <v>1</v>
      </c>
      <c r="J575" s="128" t="s">
        <v>286</v>
      </c>
    </row>
    <row r="576" spans="2:12" s="18" customFormat="1" ht="12.75" hidden="1" customHeight="1" outlineLevel="2">
      <c r="B576" s="118"/>
      <c r="C576" s="307"/>
      <c r="D576" s="124"/>
      <c r="E576" s="46"/>
      <c r="F576" s="46"/>
      <c r="G576" s="46"/>
      <c r="H576" s="122"/>
      <c r="I576" s="120"/>
    </row>
    <row r="577" spans="2:10" s="18" customFormat="1" ht="12.75" hidden="1" customHeight="1" outlineLevel="2">
      <c r="B577" s="121" t="s">
        <v>18019</v>
      </c>
      <c r="C577" s="307"/>
      <c r="D577" s="124"/>
      <c r="E577" s="46"/>
      <c r="F577" s="46"/>
      <c r="G577" s="46"/>
      <c r="H577" s="122"/>
      <c r="I577" s="120"/>
    </row>
    <row r="578" spans="2:10" ht="12.75" hidden="1" customHeight="1" outlineLevel="3">
      <c r="B578" s="118" t="s">
        <v>17405</v>
      </c>
      <c r="C578" s="307"/>
      <c r="D578" s="124" t="s">
        <v>18020</v>
      </c>
      <c r="E578" s="125"/>
      <c r="F578" s="118" t="s">
        <v>1275</v>
      </c>
      <c r="G578" s="126" t="str">
        <f t="shared" ref="G578:G586" si="37">CONCATENATE("MEP-",F578,"-",H578)</f>
        <v>MEP-C20-1</v>
      </c>
      <c r="H578" s="122">
        <v>1</v>
      </c>
      <c r="I578" s="128">
        <v>1</v>
      </c>
      <c r="J578" s="128" t="s">
        <v>286</v>
      </c>
    </row>
    <row r="579" spans="2:10" ht="12.75" hidden="1" customHeight="1" outlineLevel="3">
      <c r="B579" s="118" t="s">
        <v>17405</v>
      </c>
      <c r="C579" s="307"/>
      <c r="D579" s="124" t="s">
        <v>18021</v>
      </c>
      <c r="E579" s="125"/>
      <c r="F579" s="118" t="s">
        <v>1275</v>
      </c>
      <c r="G579" s="126" t="str">
        <f t="shared" si="37"/>
        <v>MEP-C20-1</v>
      </c>
      <c r="H579" s="122">
        <v>1</v>
      </c>
      <c r="I579" s="128">
        <v>1</v>
      </c>
      <c r="J579" s="128" t="s">
        <v>286</v>
      </c>
    </row>
    <row r="580" spans="2:10" ht="12.75" hidden="1" customHeight="1" outlineLevel="3">
      <c r="B580" s="118" t="s">
        <v>17405</v>
      </c>
      <c r="C580" s="307"/>
      <c r="D580" s="124" t="s">
        <v>18022</v>
      </c>
      <c r="E580" s="125"/>
      <c r="F580" s="118" t="s">
        <v>1275</v>
      </c>
      <c r="G580" s="126" t="str">
        <f t="shared" si="37"/>
        <v>MEP-C20-1</v>
      </c>
      <c r="H580" s="122">
        <v>1</v>
      </c>
      <c r="I580" s="128">
        <v>1</v>
      </c>
      <c r="J580" s="128" t="s">
        <v>286</v>
      </c>
    </row>
    <row r="581" spans="2:10" ht="12.75" hidden="1" customHeight="1" outlineLevel="3">
      <c r="B581" s="118" t="s">
        <v>17405</v>
      </c>
      <c r="C581" s="307"/>
      <c r="D581" s="124" t="s">
        <v>18023</v>
      </c>
      <c r="E581" s="125"/>
      <c r="F581" s="118" t="s">
        <v>1275</v>
      </c>
      <c r="G581" s="126" t="str">
        <f t="shared" si="37"/>
        <v>MEP-C20-1</v>
      </c>
      <c r="H581" s="122">
        <v>1</v>
      </c>
      <c r="I581" s="128">
        <v>1</v>
      </c>
      <c r="J581" s="128" t="s">
        <v>286</v>
      </c>
    </row>
    <row r="582" spans="2:10" ht="12.75" hidden="1" customHeight="1" outlineLevel="3">
      <c r="B582" s="118" t="s">
        <v>17405</v>
      </c>
      <c r="C582" s="307"/>
      <c r="D582" s="124" t="s">
        <v>18024</v>
      </c>
      <c r="E582" s="125"/>
      <c r="F582" s="118" t="s">
        <v>1275</v>
      </c>
      <c r="G582" s="126" t="str">
        <f t="shared" si="37"/>
        <v>MEP-C20-1</v>
      </c>
      <c r="H582" s="122">
        <v>1</v>
      </c>
      <c r="I582" s="128">
        <v>1</v>
      </c>
      <c r="J582" s="128" t="s">
        <v>286</v>
      </c>
    </row>
    <row r="583" spans="2:10" ht="12.75" hidden="1" customHeight="1" outlineLevel="3">
      <c r="B583" s="118" t="s">
        <v>17405</v>
      </c>
      <c r="C583" s="307"/>
      <c r="D583" s="124" t="s">
        <v>18025</v>
      </c>
      <c r="E583" s="125"/>
      <c r="F583" s="118" t="s">
        <v>1275</v>
      </c>
      <c r="G583" s="126" t="str">
        <f t="shared" si="37"/>
        <v>MEP-C20-1</v>
      </c>
      <c r="H583" s="122">
        <v>1</v>
      </c>
      <c r="I583" s="128">
        <v>1</v>
      </c>
      <c r="J583" s="128" t="s">
        <v>286</v>
      </c>
    </row>
    <row r="584" spans="2:10" ht="12.75" hidden="1" customHeight="1" outlineLevel="3">
      <c r="B584" s="118" t="s">
        <v>17405</v>
      </c>
      <c r="C584" s="307"/>
      <c r="D584" s="124" t="s">
        <v>18026</v>
      </c>
      <c r="E584" s="125"/>
      <c r="F584" s="118" t="s">
        <v>1275</v>
      </c>
      <c r="G584" s="126" t="str">
        <f t="shared" si="37"/>
        <v>MEP-C20-1</v>
      </c>
      <c r="H584" s="122">
        <v>1</v>
      </c>
      <c r="I584" s="128">
        <v>1</v>
      </c>
      <c r="J584" s="128" t="s">
        <v>286</v>
      </c>
    </row>
    <row r="585" spans="2:10" ht="12.75" hidden="1" customHeight="1" outlineLevel="3">
      <c r="B585" s="118" t="s">
        <v>17405</v>
      </c>
      <c r="C585" s="307"/>
      <c r="D585" s="124" t="s">
        <v>18027</v>
      </c>
      <c r="E585" s="125"/>
      <c r="F585" s="118" t="s">
        <v>1275</v>
      </c>
      <c r="G585" s="126" t="str">
        <f t="shared" si="37"/>
        <v>MEP-C20-1</v>
      </c>
      <c r="H585" s="122">
        <v>1</v>
      </c>
      <c r="I585" s="128">
        <v>1</v>
      </c>
      <c r="J585" s="128" t="s">
        <v>286</v>
      </c>
    </row>
    <row r="586" spans="2:10" ht="12.75" hidden="1" customHeight="1" outlineLevel="3">
      <c r="B586" s="118" t="s">
        <v>17405</v>
      </c>
      <c r="C586" s="307"/>
      <c r="D586" s="124" t="s">
        <v>18028</v>
      </c>
      <c r="E586" s="125"/>
      <c r="F586" s="118" t="s">
        <v>1275</v>
      </c>
      <c r="G586" s="126" t="str">
        <f t="shared" si="37"/>
        <v>MEP-C20-1</v>
      </c>
      <c r="H586" s="122">
        <v>1</v>
      </c>
      <c r="I586" s="128">
        <v>1</v>
      </c>
      <c r="J586" s="128" t="s">
        <v>286</v>
      </c>
    </row>
    <row r="587" spans="2:10" s="18" customFormat="1" ht="12.75" hidden="1" customHeight="1" outlineLevel="2">
      <c r="B587" s="118"/>
      <c r="C587" s="307"/>
      <c r="D587" s="124"/>
      <c r="E587" s="46"/>
      <c r="F587" s="46"/>
      <c r="G587" s="46"/>
      <c r="H587" s="122"/>
      <c r="I587" s="120"/>
    </row>
    <row r="588" spans="2:10" s="18" customFormat="1" ht="12.75" hidden="1" customHeight="1" outlineLevel="2">
      <c r="B588" s="121" t="s">
        <v>17994</v>
      </c>
      <c r="C588" s="307"/>
      <c r="D588" s="124"/>
      <c r="E588" s="46"/>
      <c r="F588" s="46"/>
      <c r="G588" s="46"/>
      <c r="H588" s="122"/>
      <c r="I588" s="120"/>
    </row>
    <row r="589" spans="2:10" ht="12.75" hidden="1" customHeight="1" outlineLevel="3">
      <c r="B589" s="118" t="s">
        <v>18029</v>
      </c>
      <c r="C589" s="307"/>
      <c r="D589" s="124" t="s">
        <v>18030</v>
      </c>
      <c r="E589" s="125"/>
      <c r="F589" s="118" t="s">
        <v>1275</v>
      </c>
      <c r="G589" s="126" t="str">
        <f>CONCATENATE("MEP-",F589,"-",H589)</f>
        <v>MEP-C20-1</v>
      </c>
      <c r="H589" s="122">
        <v>1</v>
      </c>
      <c r="I589" s="128">
        <v>1</v>
      </c>
      <c r="J589" s="128" t="s">
        <v>286</v>
      </c>
    </row>
    <row r="590" spans="2:10" ht="12.75" hidden="1" customHeight="1" outlineLevel="3">
      <c r="B590" s="118" t="s">
        <v>18029</v>
      </c>
      <c r="C590" s="307"/>
      <c r="D590" s="124" t="s">
        <v>18031</v>
      </c>
      <c r="E590" s="125"/>
      <c r="F590" s="118" t="s">
        <v>1275</v>
      </c>
      <c r="G590" s="126" t="str">
        <f>CONCATENATE("MEP-",F590,"-",H590)</f>
        <v>MEP-C20-1</v>
      </c>
      <c r="H590" s="122">
        <v>1</v>
      </c>
      <c r="I590" s="128">
        <v>1</v>
      </c>
      <c r="J590" s="128" t="s">
        <v>286</v>
      </c>
    </row>
    <row r="591" spans="2:10" ht="3" hidden="1" customHeight="1" outlineLevel="1">
      <c r="B591" s="118"/>
      <c r="C591" s="307"/>
      <c r="D591" s="124"/>
      <c r="E591" s="125"/>
      <c r="F591" s="118"/>
      <c r="G591" s="132"/>
      <c r="H591" s="127"/>
    </row>
    <row r="592" spans="2:10" s="18" customFormat="1" ht="12.75" hidden="1" customHeight="1" outlineLevel="1">
      <c r="B592" s="135" t="s">
        <v>18032</v>
      </c>
      <c r="C592" s="307"/>
      <c r="D592" s="124"/>
      <c r="E592" s="46"/>
      <c r="F592" s="46"/>
      <c r="G592" s="46"/>
      <c r="H592" s="122"/>
      <c r="I592" s="120"/>
    </row>
    <row r="593" spans="2:10" s="18" customFormat="1" ht="12.75" hidden="1" customHeight="1" outlineLevel="2">
      <c r="C593" s="292"/>
    </row>
    <row r="594" spans="2:10" s="18" customFormat="1" ht="12.75" hidden="1" customHeight="1" outlineLevel="2">
      <c r="B594" s="121" t="s">
        <v>17968</v>
      </c>
      <c r="C594" s="307"/>
      <c r="D594" s="124"/>
      <c r="E594" s="46"/>
      <c r="F594" s="46"/>
      <c r="G594" s="46"/>
      <c r="H594" s="122"/>
      <c r="I594" s="120"/>
    </row>
    <row r="595" spans="2:10" s="18" customFormat="1" ht="12.75" hidden="1" customHeight="1" outlineLevel="3">
      <c r="B595" s="134" t="s">
        <v>18010</v>
      </c>
      <c r="C595" s="307"/>
      <c r="D595" s="124"/>
      <c r="E595" s="46"/>
      <c r="F595" s="46"/>
      <c r="G595" s="46"/>
      <c r="H595" s="122"/>
      <c r="I595" s="120"/>
    </row>
    <row r="596" spans="2:10" s="18" customFormat="1" ht="12.75" hidden="1" customHeight="1" outlineLevel="3">
      <c r="B596" s="118" t="s">
        <v>17343</v>
      </c>
      <c r="C596" s="307"/>
      <c r="D596" s="124" t="s">
        <v>18033</v>
      </c>
      <c r="E596" s="46"/>
      <c r="F596" s="118" t="s">
        <v>1357</v>
      </c>
      <c r="G596" s="126" t="str">
        <f>CONCATENATE("MEP-",F596,"-",H596)</f>
        <v>MEP-L30-1</v>
      </c>
      <c r="H596" s="122">
        <v>1</v>
      </c>
      <c r="I596" s="129">
        <v>1</v>
      </c>
      <c r="J596" s="128" t="s">
        <v>286</v>
      </c>
    </row>
    <row r="597" spans="2:10" s="18" customFormat="1" ht="12.75" hidden="1" customHeight="1" outlineLevel="3">
      <c r="B597" s="118" t="s">
        <v>17343</v>
      </c>
      <c r="C597" s="307"/>
      <c r="D597" s="124" t="s">
        <v>18034</v>
      </c>
      <c r="E597" s="46"/>
      <c r="F597" s="118" t="s">
        <v>1357</v>
      </c>
      <c r="G597" s="126" t="str">
        <f t="shared" ref="G597:G604" si="38">CONCATENATE("MEP-",F597,"-",H597)</f>
        <v>MEP-L30-1</v>
      </c>
      <c r="H597" s="122">
        <v>1</v>
      </c>
      <c r="I597" s="129">
        <v>1</v>
      </c>
      <c r="J597" s="128" t="s">
        <v>286</v>
      </c>
    </row>
    <row r="598" spans="2:10" s="18" customFormat="1" ht="12.75" hidden="1" customHeight="1" outlineLevel="3">
      <c r="B598" s="118" t="s">
        <v>17343</v>
      </c>
      <c r="C598" s="307"/>
      <c r="D598" s="124" t="s">
        <v>18035</v>
      </c>
      <c r="E598" s="46"/>
      <c r="F598" s="118" t="s">
        <v>1357</v>
      </c>
      <c r="G598" s="126" t="str">
        <f t="shared" si="38"/>
        <v>MEP-L30-1</v>
      </c>
      <c r="H598" s="122">
        <v>1</v>
      </c>
      <c r="I598" s="129">
        <v>1</v>
      </c>
      <c r="J598" s="128" t="s">
        <v>286</v>
      </c>
    </row>
    <row r="599" spans="2:10" s="18" customFormat="1" ht="12.75" hidden="1" customHeight="1" outlineLevel="3">
      <c r="B599" s="118" t="s">
        <v>17343</v>
      </c>
      <c r="C599" s="307"/>
      <c r="D599" s="124" t="s">
        <v>18036</v>
      </c>
      <c r="E599" s="46"/>
      <c r="F599" s="118" t="s">
        <v>1357</v>
      </c>
      <c r="G599" s="126" t="str">
        <f t="shared" si="38"/>
        <v>MEP-L30-1</v>
      </c>
      <c r="H599" s="122">
        <v>1</v>
      </c>
      <c r="I599" s="129">
        <v>1</v>
      </c>
      <c r="J599" s="128" t="s">
        <v>286</v>
      </c>
    </row>
    <row r="600" spans="2:10" s="18" customFormat="1" ht="12.75" hidden="1" customHeight="1" outlineLevel="3">
      <c r="B600" s="118" t="s">
        <v>17343</v>
      </c>
      <c r="C600" s="307"/>
      <c r="D600" s="124" t="s">
        <v>18037</v>
      </c>
      <c r="E600" s="46"/>
      <c r="F600" s="118" t="s">
        <v>1357</v>
      </c>
      <c r="G600" s="126" t="str">
        <f t="shared" si="38"/>
        <v>MEP-L30-1</v>
      </c>
      <c r="H600" s="122">
        <v>1</v>
      </c>
      <c r="I600" s="129">
        <v>1</v>
      </c>
      <c r="J600" s="128" t="s">
        <v>286</v>
      </c>
    </row>
    <row r="601" spans="2:10" s="18" customFormat="1" ht="12.75" hidden="1" customHeight="1" outlineLevel="3">
      <c r="B601" s="118" t="s">
        <v>17343</v>
      </c>
      <c r="C601" s="307"/>
      <c r="D601" s="124" t="s">
        <v>18038</v>
      </c>
      <c r="E601" s="46"/>
      <c r="F601" s="118" t="s">
        <v>1357</v>
      </c>
      <c r="G601" s="126" t="str">
        <f t="shared" si="38"/>
        <v>MEP-L30-1</v>
      </c>
      <c r="H601" s="122">
        <v>1</v>
      </c>
      <c r="I601" s="129">
        <v>1</v>
      </c>
      <c r="J601" s="128" t="s">
        <v>286</v>
      </c>
    </row>
    <row r="602" spans="2:10" s="18" customFormat="1" ht="12.75" hidden="1" customHeight="1" outlineLevel="3">
      <c r="B602" s="118" t="s">
        <v>17343</v>
      </c>
      <c r="C602" s="307"/>
      <c r="D602" s="124" t="s">
        <v>18039</v>
      </c>
      <c r="E602" s="46"/>
      <c r="F602" s="118" t="s">
        <v>1357</v>
      </c>
      <c r="G602" s="126" t="str">
        <f t="shared" si="38"/>
        <v>MEP-L30-1</v>
      </c>
      <c r="H602" s="122">
        <v>1</v>
      </c>
      <c r="I602" s="129">
        <v>1</v>
      </c>
      <c r="J602" s="128" t="s">
        <v>286</v>
      </c>
    </row>
    <row r="603" spans="2:10" s="18" customFormat="1" ht="12.75" hidden="1" customHeight="1" outlineLevel="3">
      <c r="B603" s="118" t="s">
        <v>17343</v>
      </c>
      <c r="C603" s="307"/>
      <c r="D603" s="124" t="s">
        <v>18040</v>
      </c>
      <c r="E603" s="46"/>
      <c r="F603" s="118" t="s">
        <v>1357</v>
      </c>
      <c r="G603" s="126" t="str">
        <f t="shared" si="38"/>
        <v>MEP-L30-1</v>
      </c>
      <c r="H603" s="122">
        <v>1</v>
      </c>
      <c r="I603" s="129">
        <v>1</v>
      </c>
      <c r="J603" s="128" t="s">
        <v>286</v>
      </c>
    </row>
    <row r="604" spans="2:10" s="18" customFormat="1" ht="12.75" hidden="1" customHeight="1" outlineLevel="3">
      <c r="B604" s="118" t="s">
        <v>17343</v>
      </c>
      <c r="C604" s="307"/>
      <c r="D604" s="124" t="s">
        <v>18041</v>
      </c>
      <c r="E604" s="46"/>
      <c r="F604" s="118" t="s">
        <v>1357</v>
      </c>
      <c r="G604" s="126" t="str">
        <f t="shared" si="38"/>
        <v>MEP-L30-1</v>
      </c>
      <c r="H604" s="122">
        <v>1</v>
      </c>
      <c r="I604" s="129">
        <v>1</v>
      </c>
      <c r="J604" s="128" t="s">
        <v>286</v>
      </c>
    </row>
    <row r="605" spans="2:10" s="18" customFormat="1" ht="12.75" hidden="1" customHeight="1" outlineLevel="2">
      <c r="B605" s="118"/>
      <c r="C605" s="307"/>
      <c r="D605" s="124"/>
      <c r="E605" s="46"/>
      <c r="F605" s="46"/>
      <c r="G605" s="46"/>
      <c r="H605" s="122"/>
      <c r="I605" s="120"/>
    </row>
    <row r="606" spans="2:10" s="18" customFormat="1" ht="12.75" hidden="1" customHeight="1" outlineLevel="2">
      <c r="B606" s="121" t="s">
        <v>17978</v>
      </c>
      <c r="C606" s="307"/>
      <c r="D606" s="124"/>
      <c r="E606" s="46"/>
      <c r="F606" s="46"/>
      <c r="G606" s="46"/>
      <c r="H606" s="122"/>
      <c r="I606" s="120"/>
    </row>
    <row r="607" spans="2:10" s="18" customFormat="1" ht="12.75" hidden="1" customHeight="1" outlineLevel="3">
      <c r="B607" s="118" t="s">
        <v>17371</v>
      </c>
      <c r="C607" s="307"/>
      <c r="D607" s="124" t="s">
        <v>18042</v>
      </c>
      <c r="E607" s="46"/>
      <c r="F607" s="118" t="s">
        <v>1357</v>
      </c>
      <c r="G607" s="126" t="str">
        <f>CONCATENATE("MEP-",F607,"-",H607)</f>
        <v>MEP-L30-1</v>
      </c>
      <c r="H607" s="122">
        <v>1</v>
      </c>
      <c r="I607" s="120">
        <v>1</v>
      </c>
      <c r="J607" s="128" t="s">
        <v>286</v>
      </c>
    </row>
    <row r="608" spans="2:10" s="18" customFormat="1" ht="12.75" hidden="1" customHeight="1" outlineLevel="2">
      <c r="B608" s="118"/>
      <c r="C608" s="307"/>
      <c r="D608" s="124"/>
      <c r="E608" s="46"/>
      <c r="F608" s="46"/>
      <c r="G608" s="46"/>
      <c r="H608" s="122"/>
      <c r="I608" s="120"/>
    </row>
    <row r="609" spans="2:10" s="18" customFormat="1" ht="12.75" hidden="1" customHeight="1" outlineLevel="2">
      <c r="B609" s="121" t="s">
        <v>17438</v>
      </c>
      <c r="C609" s="307"/>
      <c r="D609" s="124"/>
      <c r="E609" s="46"/>
      <c r="F609" s="46"/>
      <c r="G609" s="46"/>
      <c r="H609" s="122"/>
      <c r="I609" s="120"/>
    </row>
    <row r="610" spans="2:10" s="18" customFormat="1" ht="12.75" hidden="1" customHeight="1" outlineLevel="3">
      <c r="B610" s="118" t="s">
        <v>17438</v>
      </c>
      <c r="C610" s="307"/>
      <c r="D610" s="124" t="s">
        <v>18043</v>
      </c>
      <c r="E610" s="46"/>
      <c r="F610" s="118" t="s">
        <v>1357</v>
      </c>
      <c r="G610" s="126" t="str">
        <f>CONCATENATE("MEP-",F610,"-",H610)</f>
        <v>MEP-L30-1</v>
      </c>
      <c r="H610" s="122">
        <v>1</v>
      </c>
      <c r="I610" s="120">
        <v>1</v>
      </c>
      <c r="J610" s="128" t="s">
        <v>286</v>
      </c>
    </row>
    <row r="611" spans="2:10" s="18" customFormat="1" ht="12.75" hidden="1" customHeight="1" outlineLevel="3">
      <c r="B611" s="118" t="s">
        <v>17438</v>
      </c>
      <c r="C611" s="307"/>
      <c r="D611" s="124" t="s">
        <v>18044</v>
      </c>
      <c r="E611" s="46"/>
      <c r="F611" s="118" t="s">
        <v>1357</v>
      </c>
      <c r="G611" s="126" t="str">
        <f>CONCATENATE("MEP-",F611,"-",H611)</f>
        <v>MEP-L30-1</v>
      </c>
      <c r="H611" s="122">
        <v>1</v>
      </c>
      <c r="I611" s="120">
        <v>1</v>
      </c>
      <c r="J611" s="128" t="s">
        <v>286</v>
      </c>
    </row>
    <row r="612" spans="2:10" s="18" customFormat="1" ht="12.75" hidden="1" customHeight="1" outlineLevel="2">
      <c r="B612" s="118"/>
      <c r="C612" s="307"/>
      <c r="D612" s="124"/>
      <c r="E612" s="46"/>
      <c r="F612" s="46"/>
      <c r="G612" s="46"/>
      <c r="H612" s="122"/>
      <c r="I612" s="120"/>
    </row>
    <row r="613" spans="2:10" s="18" customFormat="1" ht="12.75" hidden="1" customHeight="1" outlineLevel="2">
      <c r="B613" s="121" t="s">
        <v>17992</v>
      </c>
      <c r="C613" s="307"/>
      <c r="D613" s="124"/>
      <c r="E613" s="46"/>
      <c r="F613" s="46"/>
      <c r="G613" s="46"/>
      <c r="H613" s="122"/>
      <c r="I613" s="120"/>
    </row>
    <row r="614" spans="2:10" s="18" customFormat="1" ht="12.75" hidden="1" customHeight="1" outlineLevel="3">
      <c r="B614" s="118" t="s">
        <v>17405</v>
      </c>
      <c r="C614" s="307"/>
      <c r="D614" s="124" t="s">
        <v>18045</v>
      </c>
      <c r="E614" s="46"/>
      <c r="F614" s="118" t="s">
        <v>1357</v>
      </c>
      <c r="G614" s="126" t="str">
        <f t="shared" ref="G614:G624" si="39">CONCATENATE("MEP-",F614,"-",H614)</f>
        <v>MEP-L30-1</v>
      </c>
      <c r="H614" s="122">
        <v>1</v>
      </c>
      <c r="I614" s="120">
        <v>1</v>
      </c>
      <c r="J614" s="128" t="s">
        <v>286</v>
      </c>
    </row>
    <row r="615" spans="2:10" s="18" customFormat="1" ht="12.75" hidden="1" customHeight="1" outlineLevel="3">
      <c r="B615" s="118" t="s">
        <v>17405</v>
      </c>
      <c r="C615" s="307"/>
      <c r="D615" s="124" t="s">
        <v>18046</v>
      </c>
      <c r="E615" s="46"/>
      <c r="F615" s="118" t="s">
        <v>1357</v>
      </c>
      <c r="G615" s="126" t="str">
        <f t="shared" si="39"/>
        <v>MEP-L30-1</v>
      </c>
      <c r="H615" s="122">
        <v>1</v>
      </c>
      <c r="I615" s="120">
        <v>1</v>
      </c>
      <c r="J615" s="128" t="s">
        <v>286</v>
      </c>
    </row>
    <row r="616" spans="2:10" s="18" customFormat="1" ht="12.75" hidden="1" customHeight="1" outlineLevel="3">
      <c r="B616" s="118" t="s">
        <v>17405</v>
      </c>
      <c r="C616" s="307"/>
      <c r="D616" s="124" t="s">
        <v>18047</v>
      </c>
      <c r="E616" s="46"/>
      <c r="F616" s="118" t="s">
        <v>1357</v>
      </c>
      <c r="G616" s="126" t="str">
        <f t="shared" si="39"/>
        <v>MEP-L30-1</v>
      </c>
      <c r="H616" s="122">
        <v>1</v>
      </c>
      <c r="I616" s="120">
        <v>1</v>
      </c>
      <c r="J616" s="128" t="s">
        <v>286</v>
      </c>
    </row>
    <row r="617" spans="2:10" s="18" customFormat="1" ht="12.75" hidden="1" customHeight="1" outlineLevel="3">
      <c r="B617" s="118" t="s">
        <v>17405</v>
      </c>
      <c r="C617" s="307"/>
      <c r="D617" s="124" t="s">
        <v>18048</v>
      </c>
      <c r="E617" s="46"/>
      <c r="F617" s="118" t="s">
        <v>1357</v>
      </c>
      <c r="G617" s="126" t="str">
        <f t="shared" si="39"/>
        <v>MEP-L30-1</v>
      </c>
      <c r="H617" s="122">
        <v>1</v>
      </c>
      <c r="I617" s="120">
        <v>1</v>
      </c>
      <c r="J617" s="128" t="s">
        <v>286</v>
      </c>
    </row>
    <row r="618" spans="2:10" s="18" customFormat="1" ht="12.75" hidden="1" customHeight="1" outlineLevel="3">
      <c r="B618" s="118" t="s">
        <v>17405</v>
      </c>
      <c r="C618" s="307"/>
      <c r="D618" s="124" t="s">
        <v>18049</v>
      </c>
      <c r="E618" s="46"/>
      <c r="F618" s="118" t="s">
        <v>1357</v>
      </c>
      <c r="G618" s="126" t="str">
        <f t="shared" si="39"/>
        <v>MEP-L30-1</v>
      </c>
      <c r="H618" s="122">
        <v>1</v>
      </c>
      <c r="I618" s="120">
        <v>1</v>
      </c>
      <c r="J618" s="128" t="s">
        <v>286</v>
      </c>
    </row>
    <row r="619" spans="2:10" s="18" customFormat="1" ht="12.75" hidden="1" customHeight="1" outlineLevel="3">
      <c r="B619" s="118" t="s">
        <v>17405</v>
      </c>
      <c r="C619" s="307"/>
      <c r="D619" s="124" t="s">
        <v>18050</v>
      </c>
      <c r="E619" s="46"/>
      <c r="F619" s="118" t="s">
        <v>1357</v>
      </c>
      <c r="G619" s="126" t="str">
        <f t="shared" si="39"/>
        <v>MEP-L30-1</v>
      </c>
      <c r="H619" s="122">
        <v>1</v>
      </c>
      <c r="I619" s="120">
        <v>1</v>
      </c>
      <c r="J619" s="128" t="s">
        <v>286</v>
      </c>
    </row>
    <row r="620" spans="2:10" s="18" customFormat="1" ht="12.75" hidden="1" customHeight="1" outlineLevel="3">
      <c r="B620" s="118" t="s">
        <v>17405</v>
      </c>
      <c r="C620" s="307"/>
      <c r="D620" s="124" t="s">
        <v>18051</v>
      </c>
      <c r="E620" s="46"/>
      <c r="F620" s="118" t="s">
        <v>1357</v>
      </c>
      <c r="G620" s="126" t="str">
        <f t="shared" si="39"/>
        <v>MEP-L30-1</v>
      </c>
      <c r="H620" s="122">
        <v>1</v>
      </c>
      <c r="I620" s="120">
        <v>1</v>
      </c>
      <c r="J620" s="128" t="s">
        <v>286</v>
      </c>
    </row>
    <row r="621" spans="2:10" s="18" customFormat="1" ht="12.75" hidden="1" customHeight="1" outlineLevel="3">
      <c r="B621" s="118" t="s">
        <v>17405</v>
      </c>
      <c r="C621" s="307"/>
      <c r="D621" s="124" t="s">
        <v>18052</v>
      </c>
      <c r="E621" s="46"/>
      <c r="F621" s="118" t="s">
        <v>1357</v>
      </c>
      <c r="G621" s="126" t="str">
        <f t="shared" si="39"/>
        <v>MEP-L30-1</v>
      </c>
      <c r="H621" s="122">
        <v>1</v>
      </c>
      <c r="I621" s="120">
        <v>1</v>
      </c>
      <c r="J621" s="128" t="s">
        <v>286</v>
      </c>
    </row>
    <row r="622" spans="2:10" s="18" customFormat="1" ht="12.75" hidden="1" customHeight="1" outlineLevel="3">
      <c r="B622" s="118" t="s">
        <v>17405</v>
      </c>
      <c r="C622" s="307"/>
      <c r="D622" s="124" t="s">
        <v>18053</v>
      </c>
      <c r="E622" s="46"/>
      <c r="F622" s="118" t="s">
        <v>1357</v>
      </c>
      <c r="G622" s="126" t="str">
        <f t="shared" si="39"/>
        <v>MEP-L30-1</v>
      </c>
      <c r="H622" s="122">
        <v>1</v>
      </c>
      <c r="I622" s="120">
        <v>1</v>
      </c>
      <c r="J622" s="128" t="s">
        <v>286</v>
      </c>
    </row>
    <row r="623" spans="2:10" s="18" customFormat="1" ht="12.75" hidden="1" customHeight="1" outlineLevel="3">
      <c r="B623" s="118" t="s">
        <v>17405</v>
      </c>
      <c r="C623" s="307"/>
      <c r="D623" s="124" t="s">
        <v>18054</v>
      </c>
      <c r="E623" s="46"/>
      <c r="F623" s="118" t="s">
        <v>1357</v>
      </c>
      <c r="G623" s="126" t="str">
        <f t="shared" si="39"/>
        <v>MEP-L30-1</v>
      </c>
      <c r="H623" s="122">
        <v>1</v>
      </c>
      <c r="I623" s="120">
        <v>1</v>
      </c>
      <c r="J623" s="128" t="s">
        <v>286</v>
      </c>
    </row>
    <row r="624" spans="2:10" s="18" customFormat="1" ht="12.75" hidden="1" customHeight="1" outlineLevel="3">
      <c r="B624" s="118" t="s">
        <v>17405</v>
      </c>
      <c r="C624" s="307"/>
      <c r="D624" s="124" t="s">
        <v>18055</v>
      </c>
      <c r="E624" s="46"/>
      <c r="F624" s="118" t="s">
        <v>1357</v>
      </c>
      <c r="G624" s="126" t="str">
        <f t="shared" si="39"/>
        <v>MEP-L30-1</v>
      </c>
      <c r="H624" s="122">
        <v>1</v>
      </c>
      <c r="I624" s="120">
        <v>1</v>
      </c>
      <c r="J624" s="128" t="s">
        <v>286</v>
      </c>
    </row>
    <row r="625" spans="2:10" s="18" customFormat="1" ht="3" hidden="1" customHeight="1" outlineLevel="1">
      <c r="C625" s="292"/>
    </row>
    <row r="626" spans="2:10" s="18" customFormat="1" ht="12.75" hidden="1" customHeight="1" outlineLevel="1">
      <c r="B626" s="135" t="s">
        <v>18056</v>
      </c>
      <c r="C626" s="307"/>
      <c r="D626" s="124"/>
      <c r="E626" s="46"/>
      <c r="F626" s="46"/>
      <c r="G626" s="46"/>
      <c r="H626" s="122"/>
      <c r="I626" s="120"/>
    </row>
    <row r="627" spans="2:10" s="18" customFormat="1" ht="12.75" hidden="1" customHeight="1" outlineLevel="2">
      <c r="B627" s="118"/>
      <c r="C627" s="307"/>
      <c r="D627" s="124"/>
      <c r="E627" s="46"/>
      <c r="F627" s="46"/>
      <c r="G627" s="46"/>
      <c r="H627" s="122"/>
      <c r="I627" s="120"/>
    </row>
    <row r="628" spans="2:10" s="18" customFormat="1" ht="12.75" hidden="1" customHeight="1" outlineLevel="2">
      <c r="B628" s="121" t="s">
        <v>17968</v>
      </c>
      <c r="C628" s="307"/>
      <c r="D628" s="124"/>
      <c r="E628" s="46"/>
      <c r="F628" s="46"/>
      <c r="G628" s="46"/>
      <c r="H628" s="122"/>
      <c r="I628" s="120"/>
    </row>
    <row r="629" spans="2:10" s="18" customFormat="1" ht="12.75" hidden="1" customHeight="1" outlineLevel="3">
      <c r="B629" s="134" t="s">
        <v>18010</v>
      </c>
      <c r="C629" s="307"/>
      <c r="D629" s="124"/>
      <c r="E629" s="46"/>
      <c r="F629" s="46"/>
      <c r="G629" s="46"/>
      <c r="H629" s="122"/>
      <c r="I629" s="120"/>
    </row>
    <row r="630" spans="2:10" s="18" customFormat="1" ht="12.75" hidden="1" customHeight="1" outlineLevel="3">
      <c r="B630" s="118" t="s">
        <v>17343</v>
      </c>
      <c r="C630" s="307"/>
      <c r="D630" s="124" t="s">
        <v>18057</v>
      </c>
      <c r="E630" s="46"/>
      <c r="F630" s="118" t="s">
        <v>1628</v>
      </c>
      <c r="G630" s="126" t="str">
        <f>CONCATENATE("MEP-",F630,"-",H630)</f>
        <v>MEP-L45-1</v>
      </c>
      <c r="H630" s="122">
        <v>1</v>
      </c>
      <c r="I630" s="129">
        <v>1</v>
      </c>
      <c r="J630" s="128" t="s">
        <v>286</v>
      </c>
    </row>
    <row r="631" spans="2:10" s="18" customFormat="1" ht="12.75" hidden="1" customHeight="1" outlineLevel="3">
      <c r="B631" s="118" t="s">
        <v>17343</v>
      </c>
      <c r="C631" s="307"/>
      <c r="D631" s="124" t="s">
        <v>18058</v>
      </c>
      <c r="E631" s="46"/>
      <c r="F631" s="118" t="s">
        <v>1628</v>
      </c>
      <c r="G631" s="126" t="str">
        <f t="shared" ref="G631:G639" si="40">CONCATENATE("MEP-",F631,"-",H631)</f>
        <v>MEP-L45-1</v>
      </c>
      <c r="H631" s="122">
        <v>1</v>
      </c>
      <c r="I631" s="129">
        <v>1</v>
      </c>
      <c r="J631" s="128" t="s">
        <v>286</v>
      </c>
    </row>
    <row r="632" spans="2:10" s="18" customFormat="1" ht="12.75" hidden="1" customHeight="1" outlineLevel="3">
      <c r="B632" s="118" t="s">
        <v>17343</v>
      </c>
      <c r="C632" s="307"/>
      <c r="D632" s="124" t="s">
        <v>18059</v>
      </c>
      <c r="E632" s="46"/>
      <c r="F632" s="118" t="s">
        <v>1628</v>
      </c>
      <c r="G632" s="126" t="str">
        <f t="shared" si="40"/>
        <v>MEP-L45-1</v>
      </c>
      <c r="H632" s="122">
        <v>1</v>
      </c>
      <c r="I632" s="129">
        <v>1</v>
      </c>
      <c r="J632" s="128" t="s">
        <v>286</v>
      </c>
    </row>
    <row r="633" spans="2:10" s="18" customFormat="1" ht="12.75" hidden="1" customHeight="1" outlineLevel="3">
      <c r="B633" s="118" t="s">
        <v>17343</v>
      </c>
      <c r="C633" s="307"/>
      <c r="D633" s="124" t="s">
        <v>18060</v>
      </c>
      <c r="E633" s="46"/>
      <c r="F633" s="118" t="s">
        <v>1628</v>
      </c>
      <c r="G633" s="126" t="str">
        <f t="shared" si="40"/>
        <v>MEP-L45-1</v>
      </c>
      <c r="H633" s="122">
        <v>1</v>
      </c>
      <c r="I633" s="129">
        <v>1</v>
      </c>
      <c r="J633" s="128" t="s">
        <v>286</v>
      </c>
    </row>
    <row r="634" spans="2:10" s="18" customFormat="1" ht="12.75" hidden="1" customHeight="1" outlineLevel="3">
      <c r="B634" s="118" t="s">
        <v>17343</v>
      </c>
      <c r="C634" s="307"/>
      <c r="D634" s="124" t="s">
        <v>18061</v>
      </c>
      <c r="E634" s="46"/>
      <c r="F634" s="118" t="s">
        <v>1628</v>
      </c>
      <c r="G634" s="126" t="str">
        <f t="shared" si="40"/>
        <v>MEP-L45-1</v>
      </c>
      <c r="H634" s="122">
        <v>1</v>
      </c>
      <c r="I634" s="129">
        <v>1</v>
      </c>
      <c r="J634" s="128" t="s">
        <v>286</v>
      </c>
    </row>
    <row r="635" spans="2:10" s="18" customFormat="1" ht="12.75" hidden="1" customHeight="1" outlineLevel="3">
      <c r="B635" s="118" t="s">
        <v>17343</v>
      </c>
      <c r="C635" s="307"/>
      <c r="D635" s="124" t="s">
        <v>18062</v>
      </c>
      <c r="E635" s="46"/>
      <c r="F635" s="118" t="s">
        <v>1628</v>
      </c>
      <c r="G635" s="126" t="str">
        <f t="shared" si="40"/>
        <v>MEP-L45-1</v>
      </c>
      <c r="H635" s="122">
        <v>1</v>
      </c>
      <c r="I635" s="129">
        <v>1</v>
      </c>
      <c r="J635" s="128" t="s">
        <v>286</v>
      </c>
    </row>
    <row r="636" spans="2:10" s="18" customFormat="1" ht="12.75" hidden="1" customHeight="1" outlineLevel="3">
      <c r="B636" s="118" t="s">
        <v>17343</v>
      </c>
      <c r="C636" s="307"/>
      <c r="D636" s="124" t="s">
        <v>18063</v>
      </c>
      <c r="E636" s="46"/>
      <c r="F636" s="118" t="s">
        <v>1628</v>
      </c>
      <c r="G636" s="126" t="str">
        <f t="shared" si="40"/>
        <v>MEP-L45-1</v>
      </c>
      <c r="H636" s="122">
        <v>1</v>
      </c>
      <c r="I636" s="129">
        <v>1</v>
      </c>
      <c r="J636" s="128" t="s">
        <v>286</v>
      </c>
    </row>
    <row r="637" spans="2:10" s="18" customFormat="1" ht="12.75" hidden="1" customHeight="1" outlineLevel="3">
      <c r="B637" s="118" t="s">
        <v>17343</v>
      </c>
      <c r="C637" s="307"/>
      <c r="D637" s="124" t="s">
        <v>18064</v>
      </c>
      <c r="E637" s="46"/>
      <c r="F637" s="118" t="s">
        <v>1628</v>
      </c>
      <c r="G637" s="126" t="str">
        <f t="shared" si="40"/>
        <v>MEP-L45-1</v>
      </c>
      <c r="H637" s="122">
        <v>1</v>
      </c>
      <c r="I637" s="129">
        <v>1</v>
      </c>
      <c r="J637" s="128" t="s">
        <v>286</v>
      </c>
    </row>
    <row r="638" spans="2:10" s="18" customFormat="1" ht="12.75" hidden="1" customHeight="1" outlineLevel="3">
      <c r="B638" s="118" t="s">
        <v>17343</v>
      </c>
      <c r="C638" s="307"/>
      <c r="D638" s="124" t="s">
        <v>18065</v>
      </c>
      <c r="E638" s="46"/>
      <c r="F638" s="118" t="s">
        <v>1628</v>
      </c>
      <c r="G638" s="126" t="str">
        <f t="shared" si="40"/>
        <v>MEP-L45-1</v>
      </c>
      <c r="H638" s="122">
        <v>1</v>
      </c>
      <c r="I638" s="129">
        <v>1</v>
      </c>
      <c r="J638" s="128" t="s">
        <v>286</v>
      </c>
    </row>
    <row r="639" spans="2:10" s="18" customFormat="1" ht="12.75" hidden="1" customHeight="1" outlineLevel="3">
      <c r="B639" s="118" t="s">
        <v>17343</v>
      </c>
      <c r="C639" s="307"/>
      <c r="D639" s="124" t="s">
        <v>18066</v>
      </c>
      <c r="E639" s="46"/>
      <c r="F639" s="118" t="s">
        <v>1628</v>
      </c>
      <c r="G639" s="126" t="str">
        <f t="shared" si="40"/>
        <v>MEP-L45-1</v>
      </c>
      <c r="H639" s="122">
        <v>1</v>
      </c>
      <c r="I639" s="129">
        <v>1</v>
      </c>
      <c r="J639" s="128" t="s">
        <v>286</v>
      </c>
    </row>
    <row r="640" spans="2:10" s="18" customFormat="1" ht="12.75" hidden="1" customHeight="1" outlineLevel="2">
      <c r="B640" s="118"/>
      <c r="C640" s="307"/>
      <c r="D640" s="124"/>
      <c r="E640" s="46"/>
      <c r="F640" s="118"/>
      <c r="G640" s="126"/>
      <c r="H640" s="122"/>
      <c r="I640" s="120"/>
    </row>
    <row r="641" spans="2:10" s="18" customFormat="1" ht="12.75" hidden="1" customHeight="1" outlineLevel="2">
      <c r="B641" s="121" t="s">
        <v>17978</v>
      </c>
      <c r="C641" s="307"/>
      <c r="D641" s="124"/>
      <c r="E641" s="46"/>
      <c r="F641" s="46"/>
      <c r="G641" s="46"/>
      <c r="H641" s="122"/>
      <c r="I641" s="120"/>
    </row>
    <row r="642" spans="2:10" s="18" customFormat="1" ht="12.75" hidden="1" customHeight="1" outlineLevel="3">
      <c r="B642" s="118" t="s">
        <v>17371</v>
      </c>
      <c r="C642" s="307"/>
      <c r="D642" s="124" t="s">
        <v>18067</v>
      </c>
      <c r="E642" s="46"/>
      <c r="F642" s="118" t="s">
        <v>1628</v>
      </c>
      <c r="G642" s="126" t="str">
        <f>CONCATENATE("MEP-",F642,"-",H642)</f>
        <v>MEP-L45-1</v>
      </c>
      <c r="H642" s="122">
        <v>1</v>
      </c>
      <c r="I642" s="120">
        <v>1</v>
      </c>
      <c r="J642" s="128" t="s">
        <v>286</v>
      </c>
    </row>
    <row r="643" spans="2:10" s="18" customFormat="1" ht="12.75" hidden="1" customHeight="1" outlineLevel="3">
      <c r="B643" s="118" t="s">
        <v>17371</v>
      </c>
      <c r="C643" s="307"/>
      <c r="D643" s="124" t="s">
        <v>18068</v>
      </c>
      <c r="E643" s="46"/>
      <c r="F643" s="118" t="s">
        <v>1628</v>
      </c>
      <c r="G643" s="126" t="str">
        <f>CONCATENATE("MEP-",F643,"-",H643)</f>
        <v>MEP-L45-1</v>
      </c>
      <c r="H643" s="122">
        <v>1</v>
      </c>
      <c r="I643" s="120">
        <v>1</v>
      </c>
      <c r="J643" s="128" t="s">
        <v>286</v>
      </c>
    </row>
    <row r="644" spans="2:10" s="18" customFormat="1" ht="12.75" hidden="1" customHeight="1" outlineLevel="3">
      <c r="B644" s="118" t="s">
        <v>17371</v>
      </c>
      <c r="C644" s="307"/>
      <c r="D644" s="124" t="s">
        <v>18069</v>
      </c>
      <c r="E644" s="46"/>
      <c r="F644" s="118" t="s">
        <v>1628</v>
      </c>
      <c r="G644" s="126" t="str">
        <f>CONCATENATE("MEP-",F644,"-",H644)</f>
        <v>MEP-L45-1</v>
      </c>
      <c r="H644" s="122">
        <v>1</v>
      </c>
      <c r="I644" s="120">
        <v>1</v>
      </c>
      <c r="J644" s="128" t="s">
        <v>286</v>
      </c>
    </row>
    <row r="645" spans="2:10" s="18" customFormat="1" ht="12.75" hidden="1" customHeight="1" outlineLevel="3">
      <c r="B645" s="118" t="s">
        <v>17371</v>
      </c>
      <c r="C645" s="307"/>
      <c r="D645" s="124" t="s">
        <v>18070</v>
      </c>
      <c r="E645" s="46"/>
      <c r="F645" s="118" t="s">
        <v>1628</v>
      </c>
      <c r="G645" s="126" t="str">
        <f>CONCATENATE("MEP-",F645,"-",H645)</f>
        <v>MEP-L45-1</v>
      </c>
      <c r="H645" s="122">
        <v>1</v>
      </c>
      <c r="I645" s="120">
        <v>1</v>
      </c>
      <c r="J645" s="128" t="s">
        <v>286</v>
      </c>
    </row>
    <row r="646" spans="2:10" s="18" customFormat="1" ht="12.75" hidden="1" customHeight="1" outlineLevel="3">
      <c r="B646" s="118" t="s">
        <v>17371</v>
      </c>
      <c r="C646" s="307"/>
      <c r="D646" s="124" t="s">
        <v>18071</v>
      </c>
      <c r="E646" s="46"/>
      <c r="F646" s="118" t="s">
        <v>1628</v>
      </c>
      <c r="G646" s="126" t="str">
        <f>CONCATENATE("MEP-",F646,"-",H646)</f>
        <v>MEP-L45-1</v>
      </c>
      <c r="H646" s="122">
        <v>1</v>
      </c>
      <c r="I646" s="120">
        <v>1</v>
      </c>
      <c r="J646" s="128" t="s">
        <v>286</v>
      </c>
    </row>
    <row r="647" spans="2:10" s="18" customFormat="1" ht="12.75" hidden="1" customHeight="1" outlineLevel="2">
      <c r="B647" s="118"/>
      <c r="C647" s="307"/>
      <c r="D647" s="124"/>
      <c r="E647" s="46"/>
      <c r="F647" s="118"/>
      <c r="G647" s="126"/>
      <c r="H647" s="122"/>
      <c r="I647" s="120"/>
    </row>
    <row r="648" spans="2:10" s="18" customFormat="1" ht="12.75" hidden="1" customHeight="1" outlineLevel="2">
      <c r="B648" s="121" t="s">
        <v>17438</v>
      </c>
      <c r="C648" s="307"/>
      <c r="D648" s="124"/>
      <c r="E648" s="46"/>
      <c r="F648" s="46"/>
      <c r="G648" s="46"/>
      <c r="H648" s="122"/>
      <c r="I648" s="120"/>
    </row>
    <row r="649" spans="2:10" s="18" customFormat="1" ht="12.75" hidden="1" customHeight="1" outlineLevel="3">
      <c r="B649" s="118" t="s">
        <v>17438</v>
      </c>
      <c r="C649" s="307"/>
      <c r="D649" s="124" t="s">
        <v>18072</v>
      </c>
      <c r="E649" s="46"/>
      <c r="F649" s="118" t="s">
        <v>1628</v>
      </c>
      <c r="G649" s="126" t="str">
        <f t="shared" ref="G649:G654" si="41">CONCATENATE("MEP-",F649,"-",H649)</f>
        <v>MEP-L45-1</v>
      </c>
      <c r="H649" s="122">
        <v>1</v>
      </c>
      <c r="I649" s="129">
        <v>1</v>
      </c>
      <c r="J649" s="128" t="s">
        <v>286</v>
      </c>
    </row>
    <row r="650" spans="2:10" s="18" customFormat="1" ht="12.75" hidden="1" customHeight="1" outlineLevel="3">
      <c r="B650" s="118" t="s">
        <v>17438</v>
      </c>
      <c r="C650" s="307"/>
      <c r="D650" s="124" t="s">
        <v>18073</v>
      </c>
      <c r="E650" s="46"/>
      <c r="F650" s="118" t="s">
        <v>1628</v>
      </c>
      <c r="G650" s="126" t="str">
        <f t="shared" si="41"/>
        <v>MEP-L45-1</v>
      </c>
      <c r="H650" s="122">
        <v>1</v>
      </c>
      <c r="I650" s="129">
        <v>1</v>
      </c>
      <c r="J650" s="128" t="s">
        <v>286</v>
      </c>
    </row>
    <row r="651" spans="2:10" s="18" customFormat="1" ht="12.75" hidden="1" customHeight="1" outlineLevel="3">
      <c r="B651" s="118" t="s">
        <v>17438</v>
      </c>
      <c r="C651" s="307"/>
      <c r="D651" s="124" t="s">
        <v>18074</v>
      </c>
      <c r="E651" s="46"/>
      <c r="F651" s="118" t="s">
        <v>1628</v>
      </c>
      <c r="G651" s="126" t="str">
        <f t="shared" si="41"/>
        <v>MEP-L45-1</v>
      </c>
      <c r="H651" s="122">
        <v>1</v>
      </c>
      <c r="I651" s="129">
        <v>1</v>
      </c>
      <c r="J651" s="128" t="s">
        <v>286</v>
      </c>
    </row>
    <row r="652" spans="2:10" s="18" customFormat="1" ht="12.75" hidden="1" customHeight="1" outlineLevel="3">
      <c r="B652" s="118" t="s">
        <v>17438</v>
      </c>
      <c r="C652" s="307"/>
      <c r="D652" s="124" t="s">
        <v>18075</v>
      </c>
      <c r="E652" s="46"/>
      <c r="F652" s="118" t="s">
        <v>1628</v>
      </c>
      <c r="G652" s="126" t="str">
        <f t="shared" si="41"/>
        <v>MEP-L45-1</v>
      </c>
      <c r="H652" s="122">
        <v>1</v>
      </c>
      <c r="I652" s="129">
        <v>1</v>
      </c>
      <c r="J652" s="128" t="s">
        <v>286</v>
      </c>
    </row>
    <row r="653" spans="2:10" s="18" customFormat="1" ht="12.75" hidden="1" customHeight="1" outlineLevel="3">
      <c r="B653" s="118" t="s">
        <v>17438</v>
      </c>
      <c r="C653" s="307"/>
      <c r="D653" s="124" t="s">
        <v>18076</v>
      </c>
      <c r="E653" s="46"/>
      <c r="F653" s="118" t="s">
        <v>1628</v>
      </c>
      <c r="G653" s="126" t="str">
        <f t="shared" si="41"/>
        <v>MEP-L45-1</v>
      </c>
      <c r="H653" s="122">
        <v>1</v>
      </c>
      <c r="I653" s="129">
        <v>1</v>
      </c>
      <c r="J653" s="128" t="s">
        <v>286</v>
      </c>
    </row>
    <row r="654" spans="2:10" s="18" customFormat="1" ht="12.75" hidden="1" customHeight="1" outlineLevel="3">
      <c r="B654" s="118" t="s">
        <v>17438</v>
      </c>
      <c r="C654" s="307"/>
      <c r="D654" s="124" t="s">
        <v>18077</v>
      </c>
      <c r="E654" s="46"/>
      <c r="F654" s="118" t="s">
        <v>1628</v>
      </c>
      <c r="G654" s="126" t="str">
        <f t="shared" si="41"/>
        <v>MEP-L45-1</v>
      </c>
      <c r="H654" s="122">
        <v>1</v>
      </c>
      <c r="I654" s="129">
        <v>1</v>
      </c>
      <c r="J654" s="128" t="s">
        <v>286</v>
      </c>
    </row>
    <row r="655" spans="2:10" s="18" customFormat="1" ht="12.75" hidden="1" customHeight="1" outlineLevel="2">
      <c r="B655" s="118"/>
      <c r="C655" s="307"/>
      <c r="D655" s="124"/>
      <c r="E655" s="46"/>
      <c r="F655" s="118"/>
      <c r="G655" s="126"/>
      <c r="H655" s="122"/>
      <c r="I655" s="120"/>
    </row>
    <row r="656" spans="2:10" s="18" customFormat="1" ht="12.75" hidden="1" customHeight="1" outlineLevel="2">
      <c r="B656" s="121" t="s">
        <v>17992</v>
      </c>
      <c r="C656" s="307"/>
      <c r="D656" s="124"/>
      <c r="E656" s="46"/>
      <c r="F656" s="46"/>
      <c r="G656" s="46"/>
      <c r="H656" s="122"/>
      <c r="I656" s="120"/>
    </row>
    <row r="657" spans="2:10" s="18" customFormat="1" ht="12.75" hidden="1" customHeight="1" outlineLevel="3">
      <c r="B657" s="118" t="s">
        <v>17405</v>
      </c>
      <c r="C657" s="307"/>
      <c r="D657" s="124" t="s">
        <v>18078</v>
      </c>
      <c r="E657" s="46"/>
      <c r="F657" s="118" t="s">
        <v>1628</v>
      </c>
      <c r="G657" s="126" t="str">
        <f t="shared" ref="G657:G684" si="42">CONCATENATE("MEP-",F657,"-",H657)</f>
        <v>MEP-L45-1</v>
      </c>
      <c r="H657" s="122">
        <v>1</v>
      </c>
      <c r="I657" s="129">
        <v>1</v>
      </c>
      <c r="J657" s="128" t="s">
        <v>286</v>
      </c>
    </row>
    <row r="658" spans="2:10" s="18" customFormat="1" ht="12.75" hidden="1" customHeight="1" outlineLevel="3">
      <c r="B658" s="118" t="s">
        <v>17405</v>
      </c>
      <c r="C658" s="307"/>
      <c r="D658" s="124" t="s">
        <v>18079</v>
      </c>
      <c r="E658" s="46"/>
      <c r="F658" s="118" t="s">
        <v>1628</v>
      </c>
      <c r="G658" s="126" t="str">
        <f t="shared" si="42"/>
        <v>MEP-L45-1</v>
      </c>
      <c r="H658" s="122">
        <v>1</v>
      </c>
      <c r="I658" s="129">
        <v>1</v>
      </c>
      <c r="J658" s="128" t="s">
        <v>286</v>
      </c>
    </row>
    <row r="659" spans="2:10" s="18" customFormat="1" ht="12.75" hidden="1" customHeight="1" outlineLevel="3">
      <c r="B659" s="118" t="s">
        <v>17405</v>
      </c>
      <c r="C659" s="307"/>
      <c r="D659" s="124" t="s">
        <v>18080</v>
      </c>
      <c r="E659" s="46"/>
      <c r="F659" s="118" t="s">
        <v>1628</v>
      </c>
      <c r="G659" s="126" t="str">
        <f t="shared" si="42"/>
        <v>MEP-L45-1</v>
      </c>
      <c r="H659" s="122">
        <v>1</v>
      </c>
      <c r="I659" s="129">
        <v>1</v>
      </c>
      <c r="J659" s="128" t="s">
        <v>286</v>
      </c>
    </row>
    <row r="660" spans="2:10" s="18" customFormat="1" ht="12.75" hidden="1" customHeight="1" outlineLevel="3">
      <c r="B660" s="118" t="s">
        <v>17405</v>
      </c>
      <c r="C660" s="307"/>
      <c r="D660" s="124" t="s">
        <v>18081</v>
      </c>
      <c r="E660" s="46"/>
      <c r="F660" s="118" t="s">
        <v>1628</v>
      </c>
      <c r="G660" s="126" t="str">
        <f t="shared" si="42"/>
        <v>MEP-L45-1</v>
      </c>
      <c r="H660" s="122">
        <v>1</v>
      </c>
      <c r="I660" s="129">
        <v>1</v>
      </c>
      <c r="J660" s="128" t="s">
        <v>286</v>
      </c>
    </row>
    <row r="661" spans="2:10" s="18" customFormat="1" ht="12.75" hidden="1" customHeight="1" outlineLevel="3">
      <c r="B661" s="118" t="s">
        <v>17405</v>
      </c>
      <c r="C661" s="307"/>
      <c r="D661" s="124" t="s">
        <v>18082</v>
      </c>
      <c r="E661" s="46"/>
      <c r="F661" s="118" t="s">
        <v>1628</v>
      </c>
      <c r="G661" s="126" t="str">
        <f t="shared" si="42"/>
        <v>MEP-L45-1</v>
      </c>
      <c r="H661" s="122">
        <v>1</v>
      </c>
      <c r="I661" s="129">
        <v>1</v>
      </c>
      <c r="J661" s="128" t="s">
        <v>286</v>
      </c>
    </row>
    <row r="662" spans="2:10" s="18" customFormat="1" ht="12.75" hidden="1" customHeight="1" outlineLevel="3">
      <c r="B662" s="118" t="s">
        <v>17405</v>
      </c>
      <c r="C662" s="307"/>
      <c r="D662" s="124" t="s">
        <v>18083</v>
      </c>
      <c r="E662" s="46"/>
      <c r="F662" s="118" t="s">
        <v>1628</v>
      </c>
      <c r="G662" s="126" t="str">
        <f t="shared" si="42"/>
        <v>MEP-L45-1</v>
      </c>
      <c r="H662" s="122">
        <v>1</v>
      </c>
      <c r="I662" s="129">
        <v>1</v>
      </c>
      <c r="J662" s="128" t="s">
        <v>286</v>
      </c>
    </row>
    <row r="663" spans="2:10" s="18" customFormat="1" ht="12.75" hidden="1" customHeight="1" outlineLevel="3">
      <c r="B663" s="118" t="s">
        <v>17405</v>
      </c>
      <c r="C663" s="307"/>
      <c r="D663" s="124" t="s">
        <v>18084</v>
      </c>
      <c r="E663" s="46"/>
      <c r="F663" s="118" t="s">
        <v>1628</v>
      </c>
      <c r="G663" s="126" t="str">
        <f t="shared" si="42"/>
        <v>MEP-L45-1</v>
      </c>
      <c r="H663" s="122">
        <v>1</v>
      </c>
      <c r="I663" s="129">
        <v>1</v>
      </c>
      <c r="J663" s="128" t="s">
        <v>286</v>
      </c>
    </row>
    <row r="664" spans="2:10" s="18" customFormat="1" ht="12.75" hidden="1" customHeight="1" outlineLevel="3">
      <c r="B664" s="118" t="s">
        <v>17405</v>
      </c>
      <c r="C664" s="307"/>
      <c r="D664" s="124" t="s">
        <v>18085</v>
      </c>
      <c r="E664" s="46"/>
      <c r="F664" s="118" t="s">
        <v>1628</v>
      </c>
      <c r="G664" s="126" t="str">
        <f t="shared" si="42"/>
        <v>MEP-L45-1</v>
      </c>
      <c r="H664" s="122">
        <v>1</v>
      </c>
      <c r="I664" s="129">
        <v>1</v>
      </c>
      <c r="J664" s="128" t="s">
        <v>286</v>
      </c>
    </row>
    <row r="665" spans="2:10" s="18" customFormat="1" ht="12.75" hidden="1" customHeight="1" outlineLevel="3">
      <c r="B665" s="118" t="s">
        <v>17405</v>
      </c>
      <c r="C665" s="307"/>
      <c r="D665" s="124" t="s">
        <v>18086</v>
      </c>
      <c r="E665" s="46"/>
      <c r="F665" s="118" t="s">
        <v>1628</v>
      </c>
      <c r="G665" s="126" t="str">
        <f t="shared" si="42"/>
        <v>MEP-L45-1</v>
      </c>
      <c r="H665" s="122">
        <v>1</v>
      </c>
      <c r="I665" s="129">
        <v>1</v>
      </c>
      <c r="J665" s="128" t="s">
        <v>286</v>
      </c>
    </row>
    <row r="666" spans="2:10" s="18" customFormat="1" ht="12.75" hidden="1" customHeight="1" outlineLevel="3">
      <c r="B666" s="118" t="s">
        <v>17405</v>
      </c>
      <c r="C666" s="307"/>
      <c r="D666" s="124" t="s">
        <v>18087</v>
      </c>
      <c r="E666" s="46"/>
      <c r="F666" s="118" t="s">
        <v>1628</v>
      </c>
      <c r="G666" s="126" t="str">
        <f t="shared" si="42"/>
        <v>MEP-L45-1</v>
      </c>
      <c r="H666" s="122">
        <v>1</v>
      </c>
      <c r="I666" s="129">
        <v>1</v>
      </c>
      <c r="J666" s="128" t="s">
        <v>286</v>
      </c>
    </row>
    <row r="667" spans="2:10" s="18" customFormat="1" ht="12.75" hidden="1" customHeight="1" outlineLevel="3">
      <c r="B667" s="118" t="s">
        <v>17405</v>
      </c>
      <c r="C667" s="307"/>
      <c r="D667" s="124" t="s">
        <v>18088</v>
      </c>
      <c r="E667" s="46"/>
      <c r="F667" s="118" t="s">
        <v>1628</v>
      </c>
      <c r="G667" s="126" t="str">
        <f t="shared" si="42"/>
        <v>MEP-L45-1</v>
      </c>
      <c r="H667" s="122">
        <v>1</v>
      </c>
      <c r="I667" s="129">
        <v>1</v>
      </c>
      <c r="J667" s="128" t="s">
        <v>286</v>
      </c>
    </row>
    <row r="668" spans="2:10" s="18" customFormat="1" ht="12.75" hidden="1" customHeight="1" outlineLevel="3">
      <c r="B668" s="118" t="s">
        <v>17405</v>
      </c>
      <c r="C668" s="307"/>
      <c r="D668" s="124" t="s">
        <v>18089</v>
      </c>
      <c r="E668" s="46"/>
      <c r="F668" s="118" t="s">
        <v>1628</v>
      </c>
      <c r="G668" s="126" t="str">
        <f t="shared" si="42"/>
        <v>MEP-L45-1</v>
      </c>
      <c r="H668" s="122">
        <v>1</v>
      </c>
      <c r="I668" s="129">
        <v>1</v>
      </c>
      <c r="J668" s="128" t="s">
        <v>286</v>
      </c>
    </row>
    <row r="669" spans="2:10" s="18" customFormat="1" ht="12.75" hidden="1" customHeight="1" outlineLevel="3">
      <c r="B669" s="118" t="s">
        <v>17405</v>
      </c>
      <c r="C669" s="307"/>
      <c r="D669" s="124" t="s">
        <v>18090</v>
      </c>
      <c r="E669" s="46"/>
      <c r="F669" s="118" t="s">
        <v>1628</v>
      </c>
      <c r="G669" s="126" t="str">
        <f t="shared" si="42"/>
        <v>MEP-L45-1</v>
      </c>
      <c r="H669" s="122">
        <v>1</v>
      </c>
      <c r="I669" s="129">
        <v>1</v>
      </c>
      <c r="J669" s="128" t="s">
        <v>286</v>
      </c>
    </row>
    <row r="670" spans="2:10" s="18" customFormat="1" ht="12.75" hidden="1" customHeight="1" outlineLevel="3">
      <c r="B670" s="118" t="s">
        <v>17405</v>
      </c>
      <c r="C670" s="307"/>
      <c r="D670" s="124" t="s">
        <v>18091</v>
      </c>
      <c r="E670" s="46"/>
      <c r="F670" s="118" t="s">
        <v>1628</v>
      </c>
      <c r="G670" s="126" t="str">
        <f t="shared" si="42"/>
        <v>MEP-L45-1</v>
      </c>
      <c r="H670" s="122">
        <v>1</v>
      </c>
      <c r="I670" s="129">
        <v>1</v>
      </c>
      <c r="J670" s="128" t="s">
        <v>286</v>
      </c>
    </row>
    <row r="671" spans="2:10" s="18" customFormat="1" ht="12.75" hidden="1" customHeight="1" outlineLevel="3">
      <c r="B671" s="118" t="s">
        <v>17405</v>
      </c>
      <c r="C671" s="307"/>
      <c r="D671" s="124" t="s">
        <v>18092</v>
      </c>
      <c r="E671" s="46"/>
      <c r="F671" s="118" t="s">
        <v>1628</v>
      </c>
      <c r="G671" s="126" t="str">
        <f t="shared" si="42"/>
        <v>MEP-L45-1</v>
      </c>
      <c r="H671" s="122">
        <v>1</v>
      </c>
      <c r="I671" s="129">
        <v>1</v>
      </c>
      <c r="J671" s="128" t="s">
        <v>286</v>
      </c>
    </row>
    <row r="672" spans="2:10" s="18" customFormat="1" ht="12.75" hidden="1" customHeight="1" outlineLevel="3">
      <c r="B672" s="118" t="s">
        <v>17405</v>
      </c>
      <c r="C672" s="307"/>
      <c r="D672" s="124" t="s">
        <v>18093</v>
      </c>
      <c r="E672" s="46"/>
      <c r="F672" s="118" t="s">
        <v>1628</v>
      </c>
      <c r="G672" s="126" t="str">
        <f t="shared" si="42"/>
        <v>MEP-L45-1</v>
      </c>
      <c r="H672" s="122">
        <v>1</v>
      </c>
      <c r="I672" s="129">
        <v>1</v>
      </c>
      <c r="J672" s="128" t="s">
        <v>286</v>
      </c>
    </row>
    <row r="673" spans="2:10" s="18" customFormat="1" ht="12.75" hidden="1" customHeight="1" outlineLevel="3">
      <c r="B673" s="118" t="s">
        <v>17405</v>
      </c>
      <c r="C673" s="307"/>
      <c r="D673" s="124" t="s">
        <v>18094</v>
      </c>
      <c r="E673" s="46"/>
      <c r="F673" s="118" t="s">
        <v>1628</v>
      </c>
      <c r="G673" s="126" t="str">
        <f t="shared" si="42"/>
        <v>MEP-L45-1</v>
      </c>
      <c r="H673" s="122">
        <v>1</v>
      </c>
      <c r="I673" s="129">
        <v>1</v>
      </c>
      <c r="J673" s="128" t="s">
        <v>286</v>
      </c>
    </row>
    <row r="674" spans="2:10" s="18" customFormat="1" ht="12.75" hidden="1" customHeight="1" outlineLevel="3">
      <c r="B674" s="118" t="s">
        <v>17405</v>
      </c>
      <c r="C674" s="307"/>
      <c r="D674" s="124" t="s">
        <v>18095</v>
      </c>
      <c r="E674" s="46"/>
      <c r="F674" s="118" t="s">
        <v>1628</v>
      </c>
      <c r="G674" s="126" t="str">
        <f t="shared" si="42"/>
        <v>MEP-L45-1</v>
      </c>
      <c r="H674" s="122">
        <v>1</v>
      </c>
      <c r="I674" s="129">
        <v>1</v>
      </c>
      <c r="J674" s="128" t="s">
        <v>286</v>
      </c>
    </row>
    <row r="675" spans="2:10" s="18" customFormat="1" ht="12.75" hidden="1" customHeight="1" outlineLevel="3">
      <c r="B675" s="118" t="s">
        <v>17405</v>
      </c>
      <c r="C675" s="307"/>
      <c r="D675" s="124" t="s">
        <v>18096</v>
      </c>
      <c r="E675" s="46"/>
      <c r="F675" s="118" t="s">
        <v>1628</v>
      </c>
      <c r="G675" s="126" t="str">
        <f t="shared" si="42"/>
        <v>MEP-L45-1</v>
      </c>
      <c r="H675" s="122">
        <v>1</v>
      </c>
      <c r="I675" s="129">
        <v>1</v>
      </c>
      <c r="J675" s="128" t="s">
        <v>286</v>
      </c>
    </row>
    <row r="676" spans="2:10" s="18" customFormat="1" ht="12.75" hidden="1" customHeight="1" outlineLevel="3">
      <c r="B676" s="118" t="s">
        <v>17405</v>
      </c>
      <c r="C676" s="307"/>
      <c r="D676" s="124" t="s">
        <v>18097</v>
      </c>
      <c r="E676" s="46"/>
      <c r="F676" s="118" t="s">
        <v>1628</v>
      </c>
      <c r="G676" s="126" t="str">
        <f t="shared" si="42"/>
        <v>MEP-L45-1</v>
      </c>
      <c r="H676" s="122">
        <v>1</v>
      </c>
      <c r="I676" s="129">
        <v>1</v>
      </c>
      <c r="J676" s="128" t="s">
        <v>286</v>
      </c>
    </row>
    <row r="677" spans="2:10" s="18" customFormat="1" ht="12.75" hidden="1" customHeight="1" outlineLevel="3">
      <c r="B677" s="118" t="s">
        <v>17405</v>
      </c>
      <c r="C677" s="307"/>
      <c r="D677" s="124" t="s">
        <v>18098</v>
      </c>
      <c r="E677" s="46"/>
      <c r="F677" s="118" t="s">
        <v>1628</v>
      </c>
      <c r="G677" s="126" t="str">
        <f t="shared" si="42"/>
        <v>MEP-L45-1</v>
      </c>
      <c r="H677" s="122">
        <v>1</v>
      </c>
      <c r="I677" s="120">
        <v>1</v>
      </c>
      <c r="J677" s="128" t="s">
        <v>286</v>
      </c>
    </row>
    <row r="678" spans="2:10" s="18" customFormat="1" ht="12.75" hidden="1" customHeight="1" outlineLevel="3">
      <c r="B678" s="118" t="s">
        <v>17405</v>
      </c>
      <c r="C678" s="307"/>
      <c r="D678" s="124" t="s">
        <v>18099</v>
      </c>
      <c r="E678" s="46"/>
      <c r="F678" s="118" t="s">
        <v>1628</v>
      </c>
      <c r="G678" s="126" t="str">
        <f t="shared" si="42"/>
        <v>MEP-L45-1</v>
      </c>
      <c r="H678" s="122">
        <v>1</v>
      </c>
      <c r="I678" s="120">
        <v>1</v>
      </c>
      <c r="J678" s="128" t="s">
        <v>286</v>
      </c>
    </row>
    <row r="679" spans="2:10" s="18" customFormat="1" ht="12.75" hidden="1" customHeight="1" outlineLevel="3">
      <c r="B679" s="118" t="s">
        <v>17405</v>
      </c>
      <c r="C679" s="307"/>
      <c r="D679" s="124" t="s">
        <v>18100</v>
      </c>
      <c r="E679" s="46"/>
      <c r="F679" s="118" t="s">
        <v>1628</v>
      </c>
      <c r="G679" s="126" t="str">
        <f t="shared" si="42"/>
        <v>MEP-L45-1</v>
      </c>
      <c r="H679" s="122">
        <v>1</v>
      </c>
      <c r="I679" s="120">
        <v>1</v>
      </c>
      <c r="J679" s="128" t="s">
        <v>286</v>
      </c>
    </row>
    <row r="680" spans="2:10" s="18" customFormat="1" ht="12.75" hidden="1" customHeight="1" outlineLevel="3">
      <c r="B680" s="118" t="s">
        <v>17405</v>
      </c>
      <c r="C680" s="307"/>
      <c r="D680" s="124" t="s">
        <v>18101</v>
      </c>
      <c r="E680" s="46"/>
      <c r="F680" s="118" t="s">
        <v>1628</v>
      </c>
      <c r="G680" s="126" t="str">
        <f t="shared" si="42"/>
        <v>MEP-L45-1</v>
      </c>
      <c r="H680" s="122">
        <v>1</v>
      </c>
      <c r="I680" s="120">
        <v>1</v>
      </c>
      <c r="J680" s="128" t="s">
        <v>286</v>
      </c>
    </row>
    <row r="681" spans="2:10" s="18" customFormat="1" ht="12.75" hidden="1" customHeight="1" outlineLevel="3">
      <c r="B681" s="118" t="s">
        <v>17405</v>
      </c>
      <c r="C681" s="307"/>
      <c r="D681" s="124" t="s">
        <v>18102</v>
      </c>
      <c r="E681" s="46"/>
      <c r="F681" s="118" t="s">
        <v>1628</v>
      </c>
      <c r="G681" s="126" t="str">
        <f t="shared" si="42"/>
        <v>MEP-L45-1</v>
      </c>
      <c r="H681" s="122">
        <v>1</v>
      </c>
      <c r="I681" s="120">
        <v>1</v>
      </c>
      <c r="J681" s="128" t="s">
        <v>286</v>
      </c>
    </row>
    <row r="682" spans="2:10" s="18" customFormat="1" ht="12.75" hidden="1" customHeight="1" outlineLevel="3">
      <c r="B682" s="118" t="s">
        <v>17405</v>
      </c>
      <c r="C682" s="307"/>
      <c r="D682" s="124" t="s">
        <v>18103</v>
      </c>
      <c r="E682" s="46"/>
      <c r="F682" s="118" t="s">
        <v>1628</v>
      </c>
      <c r="G682" s="126" t="str">
        <f t="shared" si="42"/>
        <v>MEP-L45-1</v>
      </c>
      <c r="H682" s="122">
        <v>1</v>
      </c>
      <c r="I682" s="120">
        <v>1</v>
      </c>
      <c r="J682" s="128" t="s">
        <v>286</v>
      </c>
    </row>
    <row r="683" spans="2:10" s="18" customFormat="1" ht="12.75" hidden="1" customHeight="1" outlineLevel="3">
      <c r="B683" s="118" t="s">
        <v>17405</v>
      </c>
      <c r="C683" s="307"/>
      <c r="D683" s="124" t="s">
        <v>18104</v>
      </c>
      <c r="E683" s="46"/>
      <c r="F683" s="118" t="s">
        <v>1628</v>
      </c>
      <c r="G683" s="126" t="str">
        <f t="shared" si="42"/>
        <v>MEP-L45-1</v>
      </c>
      <c r="H683" s="122">
        <v>1</v>
      </c>
      <c r="I683" s="120">
        <v>1</v>
      </c>
      <c r="J683" s="128" t="s">
        <v>286</v>
      </c>
    </row>
    <row r="684" spans="2:10" s="18" customFormat="1" ht="12.75" hidden="1" customHeight="1" outlineLevel="3">
      <c r="B684" s="118" t="s">
        <v>17405</v>
      </c>
      <c r="C684" s="307"/>
      <c r="D684" s="124" t="s">
        <v>18105</v>
      </c>
      <c r="E684" s="46"/>
      <c r="F684" s="118" t="s">
        <v>1628</v>
      </c>
      <c r="G684" s="126" t="str">
        <f t="shared" si="42"/>
        <v>MEP-L45-1</v>
      </c>
      <c r="H684" s="122">
        <v>1</v>
      </c>
      <c r="I684" s="120">
        <v>1</v>
      </c>
      <c r="J684" s="128" t="s">
        <v>286</v>
      </c>
    </row>
    <row r="685" spans="2:10" s="18" customFormat="1" ht="3" hidden="1" customHeight="1" outlineLevel="1">
      <c r="B685" s="118"/>
      <c r="C685" s="307"/>
      <c r="D685" s="124"/>
      <c r="E685" s="46"/>
      <c r="F685" s="118"/>
      <c r="G685" s="126"/>
      <c r="H685" s="122"/>
      <c r="I685" s="120"/>
    </row>
    <row r="686" spans="2:10" s="18" customFormat="1" ht="12.75" hidden="1" customHeight="1" outlineLevel="1">
      <c r="B686" s="135" t="s">
        <v>18106</v>
      </c>
      <c r="C686" s="307"/>
      <c r="D686" s="124"/>
      <c r="E686" s="46"/>
      <c r="F686" s="46"/>
      <c r="G686" s="46"/>
      <c r="H686" s="122"/>
      <c r="I686" s="120"/>
    </row>
    <row r="687" spans="2:10" s="18" customFormat="1" ht="12.75" hidden="1" customHeight="1" outlineLevel="2">
      <c r="B687" s="118"/>
      <c r="C687" s="307"/>
      <c r="D687" s="124"/>
      <c r="E687" s="46"/>
      <c r="F687" s="46"/>
      <c r="G687" s="46"/>
      <c r="H687" s="122"/>
      <c r="I687" s="120"/>
    </row>
    <row r="688" spans="2:10" s="18" customFormat="1" ht="12.75" hidden="1" customHeight="1" outlineLevel="2">
      <c r="B688" s="121" t="s">
        <v>17968</v>
      </c>
      <c r="C688" s="307"/>
      <c r="D688" s="124"/>
      <c r="E688" s="46"/>
      <c r="F688" s="46"/>
      <c r="G688" s="46"/>
      <c r="H688" s="122"/>
      <c r="I688" s="120"/>
    </row>
    <row r="689" spans="2:12" s="18" customFormat="1" ht="12.75" hidden="1" customHeight="1" outlineLevel="3">
      <c r="B689" s="134" t="s">
        <v>18010</v>
      </c>
      <c r="C689" s="307"/>
      <c r="D689" s="124"/>
      <c r="E689" s="46"/>
      <c r="F689" s="46"/>
      <c r="G689" s="46"/>
      <c r="H689" s="122"/>
      <c r="I689" s="120"/>
    </row>
    <row r="690" spans="2:12" s="18" customFormat="1" ht="12.75" hidden="1" customHeight="1" outlineLevel="3">
      <c r="B690" s="118" t="s">
        <v>17343</v>
      </c>
      <c r="C690" s="307"/>
      <c r="D690" s="124" t="s">
        <v>18107</v>
      </c>
      <c r="E690" s="46"/>
      <c r="F690" s="118" t="s">
        <v>2239</v>
      </c>
      <c r="G690" s="126" t="str">
        <f>CONCATENATE("MEP-",F690,"-",H690)</f>
        <v>MEP-R11-1</v>
      </c>
      <c r="H690" s="122">
        <v>1</v>
      </c>
      <c r="I690" s="129">
        <v>1</v>
      </c>
      <c r="J690" s="128" t="s">
        <v>286</v>
      </c>
      <c r="K690" s="129"/>
      <c r="L690" s="129"/>
    </row>
    <row r="691" spans="2:12" s="18" customFormat="1" ht="12.75" hidden="1" customHeight="1" outlineLevel="3">
      <c r="B691" s="118" t="s">
        <v>17343</v>
      </c>
      <c r="C691" s="307"/>
      <c r="D691" s="124" t="s">
        <v>18108</v>
      </c>
      <c r="E691" s="46"/>
      <c r="F691" s="118" t="s">
        <v>2239</v>
      </c>
      <c r="G691" s="126" t="str">
        <f t="shared" ref="G691:G693" si="43">CONCATENATE("MEP-",F691,"-",H691)</f>
        <v>MEP-R11-1</v>
      </c>
      <c r="H691" s="122">
        <v>1</v>
      </c>
      <c r="I691" s="129">
        <v>1</v>
      </c>
      <c r="J691" s="128" t="s">
        <v>286</v>
      </c>
      <c r="K691" s="129"/>
      <c r="L691" s="129"/>
    </row>
    <row r="692" spans="2:12" s="18" customFormat="1" ht="12.75" hidden="1" customHeight="1" outlineLevel="3">
      <c r="B692" s="118" t="s">
        <v>17343</v>
      </c>
      <c r="C692" s="307"/>
      <c r="D692" s="124" t="s">
        <v>18109</v>
      </c>
      <c r="E692" s="46"/>
      <c r="F692" s="118" t="s">
        <v>2239</v>
      </c>
      <c r="G692" s="126" t="str">
        <f t="shared" si="43"/>
        <v>MEP-R11-1</v>
      </c>
      <c r="H692" s="122">
        <v>1</v>
      </c>
      <c r="I692" s="129">
        <v>1</v>
      </c>
      <c r="J692" s="128" t="s">
        <v>286</v>
      </c>
      <c r="K692" s="129"/>
      <c r="L692" s="129"/>
    </row>
    <row r="693" spans="2:12" s="18" customFormat="1" ht="12.75" hidden="1" customHeight="1" outlineLevel="3">
      <c r="B693" s="118" t="s">
        <v>17343</v>
      </c>
      <c r="C693" s="307"/>
      <c r="D693" s="124" t="s">
        <v>18110</v>
      </c>
      <c r="E693" s="46"/>
      <c r="F693" s="118" t="s">
        <v>2239</v>
      </c>
      <c r="G693" s="126" t="str">
        <f t="shared" si="43"/>
        <v>MEP-R11-1</v>
      </c>
      <c r="H693" s="122">
        <v>1</v>
      </c>
      <c r="I693" s="129">
        <v>1</v>
      </c>
      <c r="J693" s="128" t="s">
        <v>286</v>
      </c>
      <c r="K693" s="129"/>
      <c r="L693" s="129"/>
    </row>
    <row r="694" spans="2:12" s="18" customFormat="1" ht="12.75" hidden="1" customHeight="1" outlineLevel="2">
      <c r="B694" s="118"/>
      <c r="C694" s="307"/>
      <c r="D694" s="124"/>
      <c r="E694" s="46"/>
      <c r="F694" s="118"/>
      <c r="G694" s="126"/>
      <c r="H694" s="122"/>
      <c r="I694" s="120"/>
      <c r="J694" s="120"/>
      <c r="K694" s="120"/>
      <c r="L694" s="120"/>
    </row>
    <row r="695" spans="2:12" s="18" customFormat="1" ht="12.75" hidden="1" customHeight="1" outlineLevel="2">
      <c r="B695" s="121" t="s">
        <v>17978</v>
      </c>
      <c r="C695" s="307"/>
      <c r="D695" s="124"/>
      <c r="E695" s="46"/>
      <c r="F695" s="46"/>
      <c r="G695" s="46"/>
      <c r="H695" s="122"/>
      <c r="I695" s="120"/>
      <c r="J695" s="120"/>
      <c r="K695" s="120"/>
      <c r="L695" s="120"/>
    </row>
    <row r="696" spans="2:12" s="18" customFormat="1" ht="12.75" hidden="1" customHeight="1" outlineLevel="3">
      <c r="B696" s="118" t="s">
        <v>17371</v>
      </c>
      <c r="C696" s="307"/>
      <c r="D696" s="124" t="s">
        <v>18111</v>
      </c>
      <c r="E696" s="46"/>
      <c r="F696" s="118" t="s">
        <v>2239</v>
      </c>
      <c r="G696" s="126" t="str">
        <f>CONCATENATE("MEP-",F696,"-",H696)</f>
        <v>MEP-R11-1</v>
      </c>
      <c r="H696" s="122">
        <v>1</v>
      </c>
      <c r="I696" s="129">
        <v>1</v>
      </c>
      <c r="J696" s="128" t="s">
        <v>286</v>
      </c>
      <c r="K696" s="120"/>
      <c r="L696" s="120"/>
    </row>
    <row r="697" spans="2:12" s="18" customFormat="1" ht="12.75" hidden="1" customHeight="1" outlineLevel="3">
      <c r="B697" s="118" t="s">
        <v>17371</v>
      </c>
      <c r="C697" s="307"/>
      <c r="D697" s="124" t="s">
        <v>18112</v>
      </c>
      <c r="E697" s="46"/>
      <c r="F697" s="118" t="s">
        <v>2239</v>
      </c>
      <c r="G697" s="126" t="str">
        <f>CONCATENATE("MEP-",F697,"-",H697)</f>
        <v>MEP-R11-1</v>
      </c>
      <c r="H697" s="122">
        <v>1</v>
      </c>
      <c r="I697" s="129">
        <v>1</v>
      </c>
      <c r="J697" s="128" t="s">
        <v>286</v>
      </c>
      <c r="K697" s="120"/>
      <c r="L697" s="120"/>
    </row>
    <row r="698" spans="2:12" s="18" customFormat="1" ht="12.75" hidden="1" customHeight="1" outlineLevel="2">
      <c r="B698" s="118"/>
      <c r="C698" s="307"/>
      <c r="D698" s="124"/>
      <c r="E698" s="46"/>
      <c r="F698" s="118"/>
      <c r="G698" s="126"/>
      <c r="H698" s="122"/>
      <c r="I698" s="120"/>
      <c r="J698" s="120"/>
      <c r="K698" s="120"/>
      <c r="L698" s="120"/>
    </row>
    <row r="699" spans="2:12" s="18" customFormat="1" ht="12.75" hidden="1" customHeight="1" outlineLevel="2">
      <c r="B699" s="121" t="s">
        <v>17438</v>
      </c>
      <c r="C699" s="307"/>
      <c r="D699" s="124"/>
      <c r="E699" s="46"/>
      <c r="F699" s="46"/>
      <c r="G699" s="46"/>
      <c r="H699" s="122"/>
      <c r="I699" s="120"/>
      <c r="J699" s="120"/>
      <c r="K699" s="120"/>
      <c r="L699" s="120"/>
    </row>
    <row r="700" spans="2:12" s="18" customFormat="1" ht="12.75" hidden="1" customHeight="1" outlineLevel="3">
      <c r="B700" s="118" t="s">
        <v>17438</v>
      </c>
      <c r="C700" s="307"/>
      <c r="D700" s="124" t="s">
        <v>18113</v>
      </c>
      <c r="E700" s="46"/>
      <c r="F700" s="118" t="s">
        <v>2239</v>
      </c>
      <c r="G700" s="126" t="str">
        <f t="shared" ref="G700" si="44">CONCATENATE("MEP-",F700,"-",H700)</f>
        <v>MEP-R11-1</v>
      </c>
      <c r="H700" s="122">
        <v>1</v>
      </c>
      <c r="I700" s="129">
        <v>1</v>
      </c>
      <c r="J700" s="128" t="s">
        <v>286</v>
      </c>
      <c r="K700" s="129"/>
      <c r="L700" s="129"/>
    </row>
    <row r="701" spans="2:12" s="18" customFormat="1" ht="12.75" hidden="1" customHeight="1" outlineLevel="3">
      <c r="B701" s="118" t="s">
        <v>17438</v>
      </c>
      <c r="C701" s="307"/>
      <c r="D701" s="124" t="s">
        <v>18114</v>
      </c>
      <c r="E701" s="46"/>
      <c r="F701" s="118" t="s">
        <v>2239</v>
      </c>
      <c r="G701" s="126" t="str">
        <f t="shared" ref="G701" si="45">CONCATENATE("MEP-",F701,"-",H701)</f>
        <v>MEP-R11-1</v>
      </c>
      <c r="H701" s="122">
        <v>1</v>
      </c>
      <c r="I701" s="129">
        <v>1</v>
      </c>
      <c r="J701" s="128" t="s">
        <v>286</v>
      </c>
      <c r="K701" s="129"/>
      <c r="L701" s="129"/>
    </row>
    <row r="702" spans="2:12" s="18" customFormat="1" ht="12.75" hidden="1" customHeight="1" outlineLevel="2">
      <c r="B702" s="118"/>
      <c r="C702" s="307"/>
      <c r="D702" s="124"/>
      <c r="E702" s="46"/>
      <c r="F702" s="118"/>
      <c r="G702" s="126"/>
      <c r="H702" s="122"/>
      <c r="I702" s="120"/>
      <c r="J702" s="120"/>
      <c r="K702" s="120"/>
      <c r="L702" s="120"/>
    </row>
    <row r="703" spans="2:12" s="18" customFormat="1" ht="12.75" hidden="1" customHeight="1" outlineLevel="2">
      <c r="B703" s="121" t="s">
        <v>17992</v>
      </c>
      <c r="C703" s="307"/>
      <c r="D703" s="124"/>
      <c r="E703" s="46"/>
      <c r="F703" s="46"/>
      <c r="G703" s="46"/>
      <c r="H703" s="122"/>
      <c r="I703" s="120"/>
      <c r="J703" s="120"/>
      <c r="K703" s="120"/>
      <c r="L703" s="120"/>
    </row>
    <row r="704" spans="2:12" s="18" customFormat="1" ht="12.75" hidden="1" customHeight="1" outlineLevel="3">
      <c r="B704" s="118" t="s">
        <v>17405</v>
      </c>
      <c r="C704" s="307"/>
      <c r="D704" s="124" t="s">
        <v>18115</v>
      </c>
      <c r="E704" s="46"/>
      <c r="F704" s="118" t="s">
        <v>2239</v>
      </c>
      <c r="G704" s="126" t="str">
        <f t="shared" ref="G704:G708" si="46">CONCATENATE("MEP-",F704,"-",H704)</f>
        <v>MEP-R11-1</v>
      </c>
      <c r="H704" s="122">
        <v>1</v>
      </c>
      <c r="I704" s="129">
        <v>1</v>
      </c>
      <c r="J704" s="128" t="s">
        <v>286</v>
      </c>
      <c r="K704" s="129"/>
      <c r="L704" s="129"/>
    </row>
    <row r="705" spans="2:12" s="18" customFormat="1" ht="12.75" hidden="1" customHeight="1" outlineLevel="3">
      <c r="B705" s="118" t="s">
        <v>17405</v>
      </c>
      <c r="C705" s="307"/>
      <c r="D705" s="124" t="s">
        <v>18116</v>
      </c>
      <c r="E705" s="46"/>
      <c r="F705" s="118" t="s">
        <v>2239</v>
      </c>
      <c r="G705" s="126" t="str">
        <f t="shared" si="46"/>
        <v>MEP-R11-1</v>
      </c>
      <c r="H705" s="122">
        <v>1</v>
      </c>
      <c r="I705" s="129">
        <v>1</v>
      </c>
      <c r="J705" s="128" t="s">
        <v>286</v>
      </c>
      <c r="K705" s="129"/>
      <c r="L705" s="129"/>
    </row>
    <row r="706" spans="2:12" s="18" customFormat="1" ht="12.75" hidden="1" customHeight="1" outlineLevel="3">
      <c r="B706" s="118" t="s">
        <v>17405</v>
      </c>
      <c r="C706" s="307"/>
      <c r="D706" s="124" t="s">
        <v>18117</v>
      </c>
      <c r="E706" s="46"/>
      <c r="F706" s="118" t="s">
        <v>2239</v>
      </c>
      <c r="G706" s="126" t="str">
        <f t="shared" si="46"/>
        <v>MEP-R11-1</v>
      </c>
      <c r="H706" s="122">
        <v>1</v>
      </c>
      <c r="I706" s="129">
        <v>1</v>
      </c>
      <c r="J706" s="128" t="s">
        <v>286</v>
      </c>
      <c r="K706" s="129"/>
      <c r="L706" s="129"/>
    </row>
    <row r="707" spans="2:12" s="18" customFormat="1" ht="12.75" hidden="1" customHeight="1" outlineLevel="3">
      <c r="B707" s="118" t="s">
        <v>17405</v>
      </c>
      <c r="C707" s="307"/>
      <c r="D707" s="124" t="s">
        <v>18118</v>
      </c>
      <c r="E707" s="46"/>
      <c r="F707" s="118" t="s">
        <v>2239</v>
      </c>
      <c r="G707" s="126" t="str">
        <f t="shared" si="46"/>
        <v>MEP-R11-1</v>
      </c>
      <c r="H707" s="122">
        <v>1</v>
      </c>
      <c r="I707" s="129">
        <v>1</v>
      </c>
      <c r="J707" s="128" t="s">
        <v>286</v>
      </c>
      <c r="K707" s="129"/>
      <c r="L707" s="129"/>
    </row>
    <row r="708" spans="2:12" s="18" customFormat="1" ht="12.75" hidden="1" customHeight="1" outlineLevel="3">
      <c r="B708" s="118" t="s">
        <v>17405</v>
      </c>
      <c r="C708" s="307"/>
      <c r="D708" s="124" t="s">
        <v>18119</v>
      </c>
      <c r="E708" s="46"/>
      <c r="F708" s="118" t="s">
        <v>2239</v>
      </c>
      <c r="G708" s="126" t="str">
        <f t="shared" si="46"/>
        <v>MEP-R11-1</v>
      </c>
      <c r="H708" s="122">
        <v>1</v>
      </c>
      <c r="I708" s="129">
        <v>1</v>
      </c>
      <c r="J708" s="128" t="s">
        <v>286</v>
      </c>
      <c r="K708" s="129"/>
      <c r="L708" s="129"/>
    </row>
    <row r="709" spans="2:12" s="18" customFormat="1" ht="3" hidden="1" customHeight="1" outlineLevel="1">
      <c r="B709" s="118"/>
      <c r="C709" s="307"/>
      <c r="D709" s="124"/>
      <c r="E709" s="46"/>
      <c r="F709" s="118"/>
      <c r="G709" s="126"/>
      <c r="H709" s="122"/>
      <c r="I709" s="120"/>
      <c r="J709" s="120"/>
      <c r="L709" s="120"/>
    </row>
    <row r="710" spans="2:12" s="18" customFormat="1" ht="12.75" hidden="1" customHeight="1" outlineLevel="1">
      <c r="B710" s="135" t="s">
        <v>18120</v>
      </c>
      <c r="C710" s="307"/>
      <c r="D710" s="124"/>
      <c r="E710" s="46"/>
      <c r="F710" s="46"/>
      <c r="G710" s="46"/>
      <c r="H710" s="122"/>
      <c r="I710" s="120"/>
    </row>
    <row r="711" spans="2:12" s="18" customFormat="1" ht="12.75" hidden="1" customHeight="1" outlineLevel="2">
      <c r="B711" s="118"/>
      <c r="C711" s="307"/>
      <c r="D711" s="124"/>
      <c r="E711" s="46"/>
      <c r="F711" s="46"/>
      <c r="G711" s="46"/>
      <c r="H711" s="122"/>
      <c r="I711" s="120"/>
    </row>
    <row r="712" spans="2:12" s="18" customFormat="1" ht="12.75" hidden="1" customHeight="1" outlineLevel="2">
      <c r="B712" s="121" t="s">
        <v>17968</v>
      </c>
      <c r="C712" s="307"/>
      <c r="D712" s="124"/>
      <c r="E712" s="46"/>
      <c r="F712" s="46"/>
      <c r="G712" s="46"/>
      <c r="H712" s="122"/>
      <c r="I712" s="120"/>
    </row>
    <row r="713" spans="2:12" s="18" customFormat="1" ht="12.75" hidden="1" customHeight="1" outlineLevel="3">
      <c r="B713" s="134" t="s">
        <v>18010</v>
      </c>
      <c r="C713" s="307"/>
      <c r="D713" s="124"/>
      <c r="E713" s="46"/>
      <c r="F713" s="46"/>
      <c r="G713" s="46"/>
      <c r="H713" s="122"/>
      <c r="I713" s="120"/>
    </row>
    <row r="714" spans="2:12" s="18" customFormat="1" ht="12.75" hidden="1" customHeight="1" outlineLevel="3">
      <c r="B714" s="118" t="s">
        <v>17343</v>
      </c>
      <c r="C714" s="307"/>
      <c r="D714" s="124" t="s">
        <v>18121</v>
      </c>
      <c r="E714" s="46"/>
      <c r="F714" s="118" t="s">
        <v>2593</v>
      </c>
      <c r="G714" s="126" t="str">
        <f>CONCATENATE("MEP-",F714,"-",H714)</f>
        <v>MEP-R22-1</v>
      </c>
      <c r="H714" s="122">
        <v>1</v>
      </c>
      <c r="I714" s="129">
        <v>1</v>
      </c>
      <c r="J714" s="128" t="s">
        <v>286</v>
      </c>
      <c r="K714" s="129"/>
      <c r="L714" s="129"/>
    </row>
    <row r="715" spans="2:12" s="18" customFormat="1" ht="12.75" hidden="1" customHeight="1" outlineLevel="3">
      <c r="B715" s="118" t="s">
        <v>17343</v>
      </c>
      <c r="C715" s="307"/>
      <c r="D715" s="124" t="s">
        <v>18122</v>
      </c>
      <c r="E715" s="46"/>
      <c r="F715" s="118" t="s">
        <v>2593</v>
      </c>
      <c r="G715" s="126" t="str">
        <f t="shared" ref="G715:G717" si="47">CONCATENATE("MEP-",F715,"-",H715)</f>
        <v>MEP-R22-1</v>
      </c>
      <c r="H715" s="122">
        <v>1</v>
      </c>
      <c r="I715" s="129">
        <v>1</v>
      </c>
      <c r="J715" s="128" t="s">
        <v>286</v>
      </c>
      <c r="K715" s="129"/>
      <c r="L715" s="129"/>
    </row>
    <row r="716" spans="2:12" s="18" customFormat="1" ht="12.75" hidden="1" customHeight="1" outlineLevel="3">
      <c r="B716" s="118" t="s">
        <v>17343</v>
      </c>
      <c r="C716" s="307"/>
      <c r="D716" s="124" t="s">
        <v>18123</v>
      </c>
      <c r="E716" s="46"/>
      <c r="F716" s="118" t="s">
        <v>2593</v>
      </c>
      <c r="G716" s="126" t="str">
        <f t="shared" si="47"/>
        <v>MEP-R22-1</v>
      </c>
      <c r="H716" s="122">
        <v>1</v>
      </c>
      <c r="I716" s="129">
        <v>1</v>
      </c>
      <c r="J716" s="128" t="s">
        <v>286</v>
      </c>
      <c r="K716" s="129"/>
      <c r="L716" s="129"/>
    </row>
    <row r="717" spans="2:12" s="18" customFormat="1" ht="12.75" hidden="1" customHeight="1" outlineLevel="3">
      <c r="B717" s="118" t="s">
        <v>17343</v>
      </c>
      <c r="C717" s="307"/>
      <c r="D717" s="124" t="s">
        <v>18124</v>
      </c>
      <c r="E717" s="46"/>
      <c r="F717" s="118" t="s">
        <v>2593</v>
      </c>
      <c r="G717" s="126" t="str">
        <f t="shared" si="47"/>
        <v>MEP-R22-1</v>
      </c>
      <c r="H717" s="122">
        <v>1</v>
      </c>
      <c r="I717" s="129">
        <v>1</v>
      </c>
      <c r="J717" s="128" t="s">
        <v>286</v>
      </c>
      <c r="K717" s="129"/>
      <c r="L717" s="129"/>
    </row>
    <row r="718" spans="2:12" s="18" customFormat="1" ht="12.75" hidden="1" customHeight="1" outlineLevel="2">
      <c r="B718" s="118"/>
      <c r="C718" s="307"/>
      <c r="D718" s="124"/>
      <c r="E718" s="46"/>
      <c r="F718" s="118"/>
      <c r="G718" s="126"/>
      <c r="H718" s="122"/>
      <c r="I718" s="120"/>
      <c r="J718" s="120"/>
      <c r="K718" s="120"/>
      <c r="L718" s="120"/>
    </row>
    <row r="719" spans="2:12" s="18" customFormat="1" ht="12.75" hidden="1" customHeight="1" outlineLevel="2">
      <c r="B719" s="121" t="s">
        <v>17978</v>
      </c>
      <c r="C719" s="307"/>
      <c r="D719" s="124"/>
      <c r="E719" s="46"/>
      <c r="F719" s="46"/>
      <c r="G719" s="46"/>
      <c r="H719" s="122"/>
      <c r="I719" s="120"/>
      <c r="J719" s="120"/>
      <c r="K719" s="120"/>
      <c r="L719" s="120"/>
    </row>
    <row r="720" spans="2:12" s="18" customFormat="1" ht="12.75" hidden="1" customHeight="1" outlineLevel="3">
      <c r="B720" s="118" t="s">
        <v>17371</v>
      </c>
      <c r="C720" s="307"/>
      <c r="D720" s="124" t="s">
        <v>18125</v>
      </c>
      <c r="E720" s="46"/>
      <c r="F720" s="118" t="s">
        <v>2593</v>
      </c>
      <c r="G720" s="126" t="str">
        <f>CONCATENATE("MEP-",F720,"-",H720)</f>
        <v>MEP-R22-1</v>
      </c>
      <c r="H720" s="122">
        <v>1</v>
      </c>
      <c r="I720" s="129">
        <v>1</v>
      </c>
      <c r="J720" s="128" t="s">
        <v>286</v>
      </c>
      <c r="K720" s="120"/>
      <c r="L720" s="129"/>
    </row>
    <row r="721" spans="2:12" s="18" customFormat="1" ht="12.75" hidden="1" customHeight="1" outlineLevel="3">
      <c r="B721" s="118" t="s">
        <v>17371</v>
      </c>
      <c r="C721" s="307"/>
      <c r="D721" s="124" t="s">
        <v>18126</v>
      </c>
      <c r="E721" s="46"/>
      <c r="F721" s="118" t="s">
        <v>2593</v>
      </c>
      <c r="G721" s="126" t="str">
        <f>CONCATENATE("MEP-",F721,"-",H721)</f>
        <v>MEP-R22-1</v>
      </c>
      <c r="H721" s="122">
        <v>1</v>
      </c>
      <c r="I721" s="129">
        <v>1</v>
      </c>
      <c r="J721" s="128" t="s">
        <v>286</v>
      </c>
      <c r="K721" s="120"/>
      <c r="L721" s="129"/>
    </row>
    <row r="722" spans="2:12" s="18" customFormat="1" ht="12.75" hidden="1" customHeight="1" outlineLevel="2">
      <c r="B722" s="118"/>
      <c r="C722" s="307"/>
      <c r="D722" s="124"/>
      <c r="E722" s="46"/>
      <c r="F722" s="118"/>
      <c r="G722" s="126"/>
      <c r="H722" s="122"/>
      <c r="I722" s="120"/>
      <c r="J722" s="120"/>
      <c r="K722" s="120"/>
      <c r="L722" s="120"/>
    </row>
    <row r="723" spans="2:12" s="18" customFormat="1" ht="12.75" hidden="1" customHeight="1" outlineLevel="2">
      <c r="B723" s="121" t="s">
        <v>17438</v>
      </c>
      <c r="C723" s="307"/>
      <c r="D723" s="124"/>
      <c r="E723" s="46"/>
      <c r="F723" s="46"/>
      <c r="G723" s="46"/>
      <c r="H723" s="122"/>
      <c r="I723" s="120"/>
      <c r="J723" s="120"/>
      <c r="K723" s="120"/>
      <c r="L723" s="120"/>
    </row>
    <row r="724" spans="2:12" s="18" customFormat="1" ht="12.75" hidden="1" customHeight="1" outlineLevel="3">
      <c r="B724" s="118" t="s">
        <v>17438</v>
      </c>
      <c r="C724" s="307"/>
      <c r="D724" s="124" t="s">
        <v>18127</v>
      </c>
      <c r="E724" s="46"/>
      <c r="F724" s="118" t="s">
        <v>2593</v>
      </c>
      <c r="G724" s="126" t="str">
        <f t="shared" ref="G724:G725" si="48">CONCATENATE("MEP-",F724,"-",H724)</f>
        <v>MEP-R22-1</v>
      </c>
      <c r="H724" s="122">
        <v>1</v>
      </c>
      <c r="I724" s="129">
        <v>1</v>
      </c>
      <c r="J724" s="128" t="s">
        <v>286</v>
      </c>
      <c r="K724" s="129"/>
      <c r="L724" s="129"/>
    </row>
    <row r="725" spans="2:12" s="18" customFormat="1" ht="12.75" hidden="1" customHeight="1" outlineLevel="3">
      <c r="B725" s="118" t="s">
        <v>17438</v>
      </c>
      <c r="C725" s="307"/>
      <c r="D725" s="124" t="s">
        <v>18128</v>
      </c>
      <c r="E725" s="46"/>
      <c r="F725" s="118" t="s">
        <v>2593</v>
      </c>
      <c r="G725" s="126" t="str">
        <f t="shared" si="48"/>
        <v>MEP-R22-1</v>
      </c>
      <c r="H725" s="122">
        <v>1</v>
      </c>
      <c r="I725" s="129">
        <v>1</v>
      </c>
      <c r="J725" s="128" t="s">
        <v>286</v>
      </c>
      <c r="K725" s="129"/>
      <c r="L725" s="129"/>
    </row>
    <row r="726" spans="2:12" s="18" customFormat="1" ht="12.75" hidden="1" customHeight="1" outlineLevel="2">
      <c r="B726" s="118"/>
      <c r="C726" s="307"/>
      <c r="D726" s="124"/>
      <c r="E726" s="46"/>
      <c r="F726" s="118"/>
      <c r="G726" s="126"/>
      <c r="H726" s="122"/>
      <c r="I726" s="120"/>
      <c r="J726" s="120"/>
      <c r="K726" s="120"/>
      <c r="L726" s="120"/>
    </row>
    <row r="727" spans="2:12" s="18" customFormat="1" ht="12.75" hidden="1" customHeight="1" outlineLevel="2">
      <c r="B727" s="121" t="s">
        <v>17992</v>
      </c>
      <c r="C727" s="307"/>
      <c r="D727" s="124"/>
      <c r="E727" s="46"/>
      <c r="F727" s="46"/>
      <c r="G727" s="46"/>
      <c r="H727" s="122"/>
      <c r="I727" s="120"/>
      <c r="J727" s="120"/>
      <c r="K727" s="120"/>
      <c r="L727" s="120"/>
    </row>
    <row r="728" spans="2:12" s="18" customFormat="1" ht="12.75" hidden="1" customHeight="1" outlineLevel="3">
      <c r="B728" s="118" t="s">
        <v>17405</v>
      </c>
      <c r="C728" s="307"/>
      <c r="D728" s="124" t="s">
        <v>18129</v>
      </c>
      <c r="E728" s="46"/>
      <c r="F728" s="118" t="s">
        <v>2593</v>
      </c>
      <c r="G728" s="126" t="str">
        <f t="shared" ref="G728:G732" si="49">CONCATENATE("MEP-",F728,"-",H728)</f>
        <v>MEP-R22-1</v>
      </c>
      <c r="H728" s="122">
        <v>1</v>
      </c>
      <c r="I728" s="129">
        <v>1</v>
      </c>
      <c r="J728" s="128" t="s">
        <v>286</v>
      </c>
      <c r="K728" s="129"/>
      <c r="L728" s="129"/>
    </row>
    <row r="729" spans="2:12" s="18" customFormat="1" ht="12.75" hidden="1" customHeight="1" outlineLevel="3">
      <c r="B729" s="118" t="s">
        <v>17405</v>
      </c>
      <c r="C729" s="307"/>
      <c r="D729" s="124" t="s">
        <v>18130</v>
      </c>
      <c r="E729" s="46"/>
      <c r="F729" s="118" t="s">
        <v>2593</v>
      </c>
      <c r="G729" s="126" t="str">
        <f t="shared" si="49"/>
        <v>MEP-R22-1</v>
      </c>
      <c r="H729" s="122">
        <v>1</v>
      </c>
      <c r="I729" s="129">
        <v>1</v>
      </c>
      <c r="J729" s="128" t="s">
        <v>286</v>
      </c>
      <c r="K729" s="129"/>
      <c r="L729" s="129"/>
    </row>
    <row r="730" spans="2:12" s="18" customFormat="1" ht="12.75" hidden="1" customHeight="1" outlineLevel="3">
      <c r="B730" s="118" t="s">
        <v>17405</v>
      </c>
      <c r="C730" s="307"/>
      <c r="D730" s="124" t="s">
        <v>18131</v>
      </c>
      <c r="E730" s="46"/>
      <c r="F730" s="118" t="s">
        <v>2593</v>
      </c>
      <c r="G730" s="126" t="str">
        <f t="shared" si="49"/>
        <v>MEP-R22-1</v>
      </c>
      <c r="H730" s="122">
        <v>1</v>
      </c>
      <c r="I730" s="129">
        <v>1</v>
      </c>
      <c r="J730" s="128" t="s">
        <v>286</v>
      </c>
      <c r="K730" s="129"/>
      <c r="L730" s="129"/>
    </row>
    <row r="731" spans="2:12" s="18" customFormat="1" ht="12.75" hidden="1" customHeight="1" outlineLevel="3">
      <c r="B731" s="118" t="s">
        <v>17405</v>
      </c>
      <c r="C731" s="307"/>
      <c r="D731" s="124" t="s">
        <v>18132</v>
      </c>
      <c r="E731" s="46"/>
      <c r="F731" s="118" t="s">
        <v>2593</v>
      </c>
      <c r="G731" s="126" t="str">
        <f t="shared" si="49"/>
        <v>MEP-R22-1</v>
      </c>
      <c r="H731" s="122">
        <v>1</v>
      </c>
      <c r="I731" s="129">
        <v>1</v>
      </c>
      <c r="J731" s="128" t="s">
        <v>286</v>
      </c>
      <c r="K731" s="129"/>
      <c r="L731" s="129"/>
    </row>
    <row r="732" spans="2:12" s="18" customFormat="1" ht="12.75" hidden="1" customHeight="1" outlineLevel="3">
      <c r="B732" s="118" t="s">
        <v>17405</v>
      </c>
      <c r="C732" s="307"/>
      <c r="D732" s="124" t="s">
        <v>18133</v>
      </c>
      <c r="E732" s="46"/>
      <c r="F732" s="118" t="s">
        <v>2593</v>
      </c>
      <c r="G732" s="126" t="str">
        <f t="shared" si="49"/>
        <v>MEP-R22-1</v>
      </c>
      <c r="H732" s="122">
        <v>1</v>
      </c>
      <c r="I732" s="129">
        <v>1</v>
      </c>
      <c r="J732" s="128" t="s">
        <v>286</v>
      </c>
      <c r="K732" s="129"/>
      <c r="L732" s="129"/>
    </row>
    <row r="733" spans="2:12" s="18" customFormat="1" ht="3" hidden="1" customHeight="1" outlineLevel="1">
      <c r="B733" s="118"/>
      <c r="C733" s="307"/>
      <c r="D733" s="124"/>
      <c r="E733" s="46"/>
      <c r="F733" s="118"/>
      <c r="G733" s="126"/>
      <c r="H733" s="122"/>
      <c r="I733" s="120"/>
      <c r="J733" s="120"/>
      <c r="L733" s="120"/>
    </row>
    <row r="734" spans="2:12" s="18" customFormat="1" ht="12.75" hidden="1" customHeight="1" outlineLevel="1">
      <c r="B734" s="135" t="s">
        <v>18134</v>
      </c>
      <c r="C734" s="307"/>
      <c r="D734" s="124"/>
      <c r="E734" s="46"/>
      <c r="F734" s="46"/>
      <c r="G734" s="46"/>
      <c r="H734" s="122"/>
      <c r="I734" s="120"/>
      <c r="J734" s="120"/>
      <c r="K734" s="120"/>
      <c r="L734" s="129"/>
    </row>
    <row r="735" spans="2:12" s="18" customFormat="1" ht="12.75" hidden="1" customHeight="1" outlineLevel="2">
      <c r="B735" s="118"/>
      <c r="C735" s="307"/>
      <c r="D735" s="124"/>
      <c r="E735" s="46"/>
      <c r="F735" s="46"/>
      <c r="G735" s="46"/>
      <c r="H735" s="122"/>
      <c r="I735" s="120"/>
      <c r="J735" s="120"/>
      <c r="K735" s="120"/>
      <c r="L735" s="129"/>
    </row>
    <row r="736" spans="2:12" s="18" customFormat="1" ht="12.75" hidden="1" customHeight="1" outlineLevel="2">
      <c r="B736" s="121" t="s">
        <v>17968</v>
      </c>
      <c r="C736" s="307"/>
      <c r="D736" s="124"/>
      <c r="E736" s="46"/>
      <c r="F736" s="46"/>
      <c r="G736" s="46"/>
      <c r="H736" s="122"/>
      <c r="I736" s="120"/>
      <c r="J736" s="120"/>
      <c r="K736" s="120"/>
      <c r="L736" s="129"/>
    </row>
    <row r="737" spans="2:20" s="18" customFormat="1" ht="12.75" hidden="1" customHeight="1" outlineLevel="3">
      <c r="B737" s="134" t="s">
        <v>18010</v>
      </c>
      <c r="C737" s="307"/>
      <c r="D737" s="119"/>
      <c r="E737" s="46"/>
      <c r="F737" s="46"/>
      <c r="G737" s="46"/>
      <c r="H737" s="122"/>
      <c r="I737" s="120"/>
      <c r="J737" s="120"/>
      <c r="K737" s="120"/>
      <c r="L737" s="129"/>
    </row>
    <row r="738" spans="2:20" s="18" customFormat="1" ht="12.75" hidden="1" customHeight="1" outlineLevel="3">
      <c r="B738" s="118" t="s">
        <v>17343</v>
      </c>
      <c r="C738" s="307" t="s">
        <v>18135</v>
      </c>
      <c r="D738" s="119" t="s">
        <v>3949</v>
      </c>
      <c r="E738" s="46"/>
      <c r="F738" s="118" t="s">
        <v>3441</v>
      </c>
      <c r="G738" s="126" t="str">
        <f>CONCATENATE("MEP-",F738,"-",H738)</f>
        <v>MEP-C20P-1</v>
      </c>
      <c r="H738" s="122">
        <v>1</v>
      </c>
      <c r="I738" s="129">
        <v>1</v>
      </c>
      <c r="J738" s="128" t="s">
        <v>286</v>
      </c>
      <c r="K738" s="120"/>
      <c r="L738" s="120"/>
      <c r="P738" s="120"/>
      <c r="T738" s="120"/>
    </row>
    <row r="739" spans="2:20" s="18" customFormat="1" ht="12.75" hidden="1" customHeight="1" outlineLevel="3">
      <c r="B739" s="118" t="s">
        <v>17343</v>
      </c>
      <c r="C739" s="307" t="s">
        <v>18136</v>
      </c>
      <c r="D739" s="119" t="s">
        <v>18137</v>
      </c>
      <c r="E739" s="46"/>
      <c r="F739" s="118" t="s">
        <v>3441</v>
      </c>
      <c r="G739" s="126" t="str">
        <f t="shared" ref="G739:G746" si="50">CONCATENATE("MEP-",F739,"-",H739)</f>
        <v>MEP-C20P-1</v>
      </c>
      <c r="H739" s="122">
        <v>1</v>
      </c>
      <c r="I739" s="129">
        <v>1</v>
      </c>
      <c r="J739" s="128" t="s">
        <v>286</v>
      </c>
      <c r="K739" s="120"/>
      <c r="L739" s="120"/>
      <c r="P739" s="120"/>
      <c r="T739" s="120"/>
    </row>
    <row r="740" spans="2:20" s="18" customFormat="1" ht="12.75" hidden="1" customHeight="1" outlineLevel="3">
      <c r="B740" s="118" t="s">
        <v>17343</v>
      </c>
      <c r="C740" s="307" t="s">
        <v>18138</v>
      </c>
      <c r="D740" s="119" t="s">
        <v>18139</v>
      </c>
      <c r="E740" s="46"/>
      <c r="F740" s="118" t="s">
        <v>3441</v>
      </c>
      <c r="G740" s="126" t="str">
        <f t="shared" si="50"/>
        <v>MEP-C20P-1</v>
      </c>
      <c r="H740" s="122">
        <v>1</v>
      </c>
      <c r="I740" s="129">
        <v>1</v>
      </c>
      <c r="J740" s="128" t="s">
        <v>286</v>
      </c>
      <c r="K740" s="120"/>
      <c r="L740" s="120"/>
      <c r="P740" s="120"/>
      <c r="T740" s="120"/>
    </row>
    <row r="741" spans="2:20" s="18" customFormat="1" ht="12.75" hidden="1" customHeight="1" outlineLevel="3">
      <c r="B741" s="118" t="s">
        <v>17343</v>
      </c>
      <c r="C741" s="307" t="s">
        <v>18140</v>
      </c>
      <c r="D741" s="119" t="s">
        <v>18141</v>
      </c>
      <c r="E741" s="46"/>
      <c r="F741" s="118" t="s">
        <v>3441</v>
      </c>
      <c r="G741" s="126" t="str">
        <f t="shared" si="50"/>
        <v>MEP-C20P-1</v>
      </c>
      <c r="H741" s="122">
        <v>1</v>
      </c>
      <c r="I741" s="129">
        <v>1</v>
      </c>
      <c r="J741" s="128" t="s">
        <v>286</v>
      </c>
      <c r="K741" s="120"/>
      <c r="L741" s="120"/>
      <c r="P741" s="120"/>
      <c r="T741" s="120"/>
    </row>
    <row r="742" spans="2:20" s="18" customFormat="1" ht="12.75" hidden="1" customHeight="1" outlineLevel="3">
      <c r="B742" s="118" t="s">
        <v>17343</v>
      </c>
      <c r="C742" s="307" t="s">
        <v>18142</v>
      </c>
      <c r="D742" s="119" t="s">
        <v>18143</v>
      </c>
      <c r="E742" s="46"/>
      <c r="F742" s="118" t="s">
        <v>3441</v>
      </c>
      <c r="G742" s="126" t="str">
        <f t="shared" si="50"/>
        <v>MEP-C20P-1</v>
      </c>
      <c r="H742" s="122">
        <v>1</v>
      </c>
      <c r="I742" s="129">
        <v>1</v>
      </c>
      <c r="J742" s="128" t="s">
        <v>286</v>
      </c>
      <c r="K742" s="120"/>
      <c r="L742" s="120"/>
      <c r="P742" s="120"/>
      <c r="T742" s="120"/>
    </row>
    <row r="743" spans="2:20" s="18" customFormat="1" ht="12.75" hidden="1" customHeight="1" outlineLevel="3">
      <c r="B743" s="118" t="s">
        <v>17343</v>
      </c>
      <c r="C743" s="307" t="s">
        <v>18144</v>
      </c>
      <c r="D743" s="119" t="s">
        <v>18145</v>
      </c>
      <c r="E743" s="46"/>
      <c r="F743" s="118" t="s">
        <v>3441</v>
      </c>
      <c r="G743" s="126" t="str">
        <f t="shared" si="50"/>
        <v>MEP-C20P-1</v>
      </c>
      <c r="H743" s="122">
        <v>1</v>
      </c>
      <c r="I743" s="129">
        <v>1</v>
      </c>
      <c r="J743" s="128" t="s">
        <v>286</v>
      </c>
      <c r="K743" s="120"/>
      <c r="L743" s="120"/>
      <c r="P743" s="120"/>
      <c r="T743" s="120"/>
    </row>
    <row r="744" spans="2:20" s="18" customFormat="1" ht="12.75" hidden="1" customHeight="1" outlineLevel="3">
      <c r="B744" s="118" t="s">
        <v>17343</v>
      </c>
      <c r="C744" s="307" t="s">
        <v>18146</v>
      </c>
      <c r="D744" s="119" t="s">
        <v>18147</v>
      </c>
      <c r="E744" s="46"/>
      <c r="F744" s="118" t="s">
        <v>3441</v>
      </c>
      <c r="G744" s="126" t="str">
        <f t="shared" si="50"/>
        <v>MEP-C20P-1</v>
      </c>
      <c r="H744" s="122">
        <v>1</v>
      </c>
      <c r="I744" s="129">
        <v>1</v>
      </c>
      <c r="J744" s="128" t="s">
        <v>286</v>
      </c>
      <c r="K744" s="120"/>
      <c r="L744" s="120"/>
      <c r="P744" s="120"/>
      <c r="T744" s="120"/>
    </row>
    <row r="745" spans="2:20" s="18" customFormat="1" ht="12.75" hidden="1" customHeight="1" outlineLevel="3">
      <c r="B745" s="118" t="s">
        <v>17343</v>
      </c>
      <c r="C745" s="307" t="s">
        <v>18148</v>
      </c>
      <c r="D745" s="119" t="s">
        <v>18149</v>
      </c>
      <c r="E745" s="46"/>
      <c r="F745" s="118" t="s">
        <v>3441</v>
      </c>
      <c r="G745" s="126" t="str">
        <f t="shared" si="50"/>
        <v>MEP-C20P-1</v>
      </c>
      <c r="H745" s="122">
        <v>1</v>
      </c>
      <c r="I745" s="129">
        <v>1</v>
      </c>
      <c r="J745" s="128" t="s">
        <v>286</v>
      </c>
      <c r="K745" s="120"/>
      <c r="L745" s="120"/>
      <c r="P745" s="120"/>
      <c r="T745" s="120"/>
    </row>
    <row r="746" spans="2:20" s="18" customFormat="1" ht="12.75" hidden="1" customHeight="1" outlineLevel="3">
      <c r="B746" s="118" t="s">
        <v>17343</v>
      </c>
      <c r="C746" s="307" t="s">
        <v>18150</v>
      </c>
      <c r="D746" s="119" t="s">
        <v>18151</v>
      </c>
      <c r="E746" s="46"/>
      <c r="F746" s="118" t="s">
        <v>3441</v>
      </c>
      <c r="G746" s="126" t="str">
        <f t="shared" si="50"/>
        <v>MEP-C20P-1</v>
      </c>
      <c r="H746" s="122">
        <v>1</v>
      </c>
      <c r="I746" s="129">
        <v>1</v>
      </c>
      <c r="J746" s="128" t="s">
        <v>286</v>
      </c>
      <c r="K746" s="120"/>
      <c r="L746" s="120"/>
      <c r="M746" s="129"/>
      <c r="N746" s="120"/>
      <c r="O746" s="129"/>
      <c r="P746" s="120"/>
      <c r="Q746" s="129"/>
      <c r="T746" s="120"/>
    </row>
    <row r="747" spans="2:20" s="18" customFormat="1" ht="12.75" hidden="1" customHeight="1" outlineLevel="3">
      <c r="B747" s="118" t="s">
        <v>17343</v>
      </c>
      <c r="C747" s="307" t="s">
        <v>18152</v>
      </c>
      <c r="D747" s="119" t="s">
        <v>18153</v>
      </c>
      <c r="E747" s="46"/>
      <c r="F747" s="118" t="s">
        <v>3441</v>
      </c>
      <c r="G747" s="126" t="str">
        <f>CONCATENATE("MEP-",F747,"-",H747)</f>
        <v>MEP-C20P-1</v>
      </c>
      <c r="H747" s="122">
        <v>1</v>
      </c>
      <c r="I747" s="129">
        <v>1</v>
      </c>
      <c r="J747" s="128" t="s">
        <v>286</v>
      </c>
      <c r="K747" s="120"/>
      <c r="L747" s="120"/>
      <c r="P747" s="120"/>
      <c r="T747" s="120"/>
    </row>
    <row r="748" spans="2:20" s="18" customFormat="1" ht="12.75" hidden="1" customHeight="1" outlineLevel="3">
      <c r="B748" s="118" t="s">
        <v>17343</v>
      </c>
      <c r="C748" s="307" t="s">
        <v>18154</v>
      </c>
      <c r="D748" s="119" t="s">
        <v>18155</v>
      </c>
      <c r="E748" s="46"/>
      <c r="F748" s="118" t="s">
        <v>3441</v>
      </c>
      <c r="G748" s="126" t="str">
        <f t="shared" ref="G748:G755" si="51">CONCATENATE("MEP-",F748,"-",H748)</f>
        <v>MEP-C20P-1</v>
      </c>
      <c r="H748" s="122">
        <v>1</v>
      </c>
      <c r="I748" s="129">
        <v>1</v>
      </c>
      <c r="J748" s="128" t="s">
        <v>286</v>
      </c>
      <c r="K748" s="120"/>
      <c r="L748" s="120"/>
      <c r="P748" s="120"/>
      <c r="T748" s="120"/>
    </row>
    <row r="749" spans="2:20" s="18" customFormat="1" ht="12.75" hidden="1" customHeight="1" outlineLevel="3">
      <c r="B749" s="118" t="s">
        <v>17343</v>
      </c>
      <c r="C749" s="307" t="s">
        <v>18156</v>
      </c>
      <c r="D749" s="119" t="s">
        <v>18157</v>
      </c>
      <c r="E749" s="46"/>
      <c r="F749" s="118" t="s">
        <v>3441</v>
      </c>
      <c r="G749" s="126" t="str">
        <f t="shared" si="51"/>
        <v>MEP-C20P-1</v>
      </c>
      <c r="H749" s="122">
        <v>1</v>
      </c>
      <c r="I749" s="129">
        <v>1</v>
      </c>
      <c r="J749" s="128" t="s">
        <v>286</v>
      </c>
      <c r="K749" s="120"/>
      <c r="L749" s="120"/>
      <c r="P749" s="120"/>
      <c r="T749" s="120"/>
    </row>
    <row r="750" spans="2:20" s="18" customFormat="1" ht="12.75" hidden="1" customHeight="1" outlineLevel="3">
      <c r="B750" s="118" t="s">
        <v>17343</v>
      </c>
      <c r="C750" s="307" t="s">
        <v>18158</v>
      </c>
      <c r="D750" s="119" t="s">
        <v>18159</v>
      </c>
      <c r="E750" s="46"/>
      <c r="F750" s="118" t="s">
        <v>3441</v>
      </c>
      <c r="G750" s="126" t="str">
        <f t="shared" si="51"/>
        <v>MEP-C20P-1</v>
      </c>
      <c r="H750" s="122">
        <v>1</v>
      </c>
      <c r="I750" s="129">
        <v>1</v>
      </c>
      <c r="J750" s="128" t="s">
        <v>286</v>
      </c>
      <c r="K750" s="120"/>
      <c r="L750" s="120"/>
      <c r="P750" s="120"/>
      <c r="T750" s="120"/>
    </row>
    <row r="751" spans="2:20" s="18" customFormat="1" ht="12.75" hidden="1" customHeight="1" outlineLevel="3">
      <c r="B751" s="118" t="s">
        <v>17343</v>
      </c>
      <c r="C751" s="307" t="s">
        <v>18160</v>
      </c>
      <c r="D751" s="119" t="s">
        <v>18161</v>
      </c>
      <c r="E751" s="46"/>
      <c r="F751" s="118" t="s">
        <v>3441</v>
      </c>
      <c r="G751" s="126" t="str">
        <f t="shared" si="51"/>
        <v>MEP-C20P-1</v>
      </c>
      <c r="H751" s="122">
        <v>1</v>
      </c>
      <c r="I751" s="129">
        <v>1</v>
      </c>
      <c r="J751" s="128" t="s">
        <v>286</v>
      </c>
      <c r="K751" s="120"/>
      <c r="L751" s="120"/>
      <c r="P751" s="120"/>
      <c r="T751" s="120"/>
    </row>
    <row r="752" spans="2:20" s="18" customFormat="1" ht="12.75" hidden="1" customHeight="1" outlineLevel="3">
      <c r="B752" s="118" t="s">
        <v>17343</v>
      </c>
      <c r="C752" s="307" t="s">
        <v>18162</v>
      </c>
      <c r="D752" s="119" t="s">
        <v>18163</v>
      </c>
      <c r="E752" s="46"/>
      <c r="F752" s="118" t="s">
        <v>3441</v>
      </c>
      <c r="G752" s="126" t="str">
        <f t="shared" si="51"/>
        <v>MEP-C20P-1</v>
      </c>
      <c r="H752" s="122">
        <v>1</v>
      </c>
      <c r="I752" s="129">
        <v>1</v>
      </c>
      <c r="J752" s="128" t="s">
        <v>286</v>
      </c>
      <c r="K752" s="120"/>
      <c r="L752" s="120"/>
      <c r="P752" s="120"/>
      <c r="T752" s="120"/>
    </row>
    <row r="753" spans="2:20" s="18" customFormat="1" ht="12.75" hidden="1" customHeight="1" outlineLevel="3">
      <c r="B753" s="118" t="s">
        <v>17343</v>
      </c>
      <c r="C753" s="307" t="s">
        <v>18164</v>
      </c>
      <c r="D753" s="119" t="s">
        <v>18165</v>
      </c>
      <c r="E753" s="46"/>
      <c r="F753" s="118" t="s">
        <v>3441</v>
      </c>
      <c r="G753" s="126" t="str">
        <f t="shared" si="51"/>
        <v>MEP-C20P-1</v>
      </c>
      <c r="H753" s="122">
        <v>1</v>
      </c>
      <c r="I753" s="129">
        <v>1</v>
      </c>
      <c r="J753" s="128" t="s">
        <v>286</v>
      </c>
      <c r="K753" s="120"/>
      <c r="L753" s="120"/>
      <c r="P753" s="120"/>
      <c r="T753" s="120"/>
    </row>
    <row r="754" spans="2:20" s="18" customFormat="1" ht="12.75" hidden="1" customHeight="1" outlineLevel="3">
      <c r="B754" s="118" t="s">
        <v>17343</v>
      </c>
      <c r="C754" s="307" t="s">
        <v>18166</v>
      </c>
      <c r="D754" s="119" t="s">
        <v>18167</v>
      </c>
      <c r="E754" s="46"/>
      <c r="F754" s="118" t="s">
        <v>3441</v>
      </c>
      <c r="G754" s="126" t="str">
        <f t="shared" si="51"/>
        <v>MEP-C20P-1</v>
      </c>
      <c r="H754" s="122">
        <v>1</v>
      </c>
      <c r="I754" s="129">
        <v>1</v>
      </c>
      <c r="J754" s="128" t="s">
        <v>286</v>
      </c>
      <c r="K754" s="120"/>
      <c r="L754" s="120"/>
      <c r="P754" s="120"/>
      <c r="T754" s="120"/>
    </row>
    <row r="755" spans="2:20" s="18" customFormat="1" ht="12.75" hidden="1" customHeight="1" outlineLevel="3">
      <c r="B755" s="118" t="s">
        <v>17343</v>
      </c>
      <c r="C755" s="307" t="s">
        <v>18168</v>
      </c>
      <c r="D755" s="119" t="s">
        <v>18169</v>
      </c>
      <c r="E755" s="46"/>
      <c r="F755" s="118" t="s">
        <v>3441</v>
      </c>
      <c r="G755" s="126" t="str">
        <f t="shared" si="51"/>
        <v>MEP-C20P-1</v>
      </c>
      <c r="H755" s="122">
        <v>1</v>
      </c>
      <c r="I755" s="129">
        <v>1</v>
      </c>
      <c r="J755" s="128" t="s">
        <v>286</v>
      </c>
      <c r="K755" s="120"/>
      <c r="L755" s="120"/>
      <c r="M755" s="129"/>
      <c r="N755" s="120"/>
      <c r="O755" s="129"/>
      <c r="P755" s="120"/>
      <c r="Q755" s="129"/>
      <c r="T755" s="120"/>
    </row>
    <row r="756" spans="2:20" s="18" customFormat="1" ht="12.75" hidden="1" customHeight="1" outlineLevel="3">
      <c r="B756" s="118" t="s">
        <v>17343</v>
      </c>
      <c r="C756" s="307" t="s">
        <v>18170</v>
      </c>
      <c r="D756" s="119" t="s">
        <v>18171</v>
      </c>
      <c r="E756" s="46"/>
      <c r="F756" s="118" t="s">
        <v>3441</v>
      </c>
      <c r="G756" s="126" t="str">
        <f>CONCATENATE("MEP-",F756,"-",H756)</f>
        <v>MEP-C20P-1</v>
      </c>
      <c r="H756" s="122">
        <v>1</v>
      </c>
      <c r="I756" s="129">
        <v>1</v>
      </c>
      <c r="J756" s="128" t="s">
        <v>286</v>
      </c>
      <c r="K756" s="120"/>
      <c r="L756" s="120"/>
      <c r="P756" s="120"/>
      <c r="T756" s="120"/>
    </row>
    <row r="757" spans="2:20" s="18" customFormat="1" ht="12.75" hidden="1" customHeight="1" outlineLevel="3">
      <c r="B757" s="118" t="s">
        <v>17343</v>
      </c>
      <c r="C757" s="307" t="s">
        <v>18172</v>
      </c>
      <c r="D757" s="119" t="s">
        <v>18173</v>
      </c>
      <c r="E757" s="46"/>
      <c r="F757" s="118" t="s">
        <v>3441</v>
      </c>
      <c r="G757" s="126" t="str">
        <f t="shared" ref="G757" si="52">CONCATENATE("MEP-",F757,"-",H757)</f>
        <v>MEP-C20P-1</v>
      </c>
      <c r="H757" s="122">
        <v>1</v>
      </c>
      <c r="I757" s="129">
        <v>1</v>
      </c>
      <c r="J757" s="128" t="s">
        <v>286</v>
      </c>
      <c r="K757" s="120"/>
      <c r="L757" s="120"/>
      <c r="P757" s="120"/>
      <c r="T757" s="120"/>
    </row>
    <row r="758" spans="2:20" s="18" customFormat="1" ht="12.75" hidden="1" customHeight="1" outlineLevel="2">
      <c r="B758" s="118"/>
      <c r="C758" s="307"/>
      <c r="D758" s="124"/>
      <c r="E758" s="46"/>
      <c r="F758" s="46"/>
      <c r="G758" s="46"/>
      <c r="H758" s="122"/>
      <c r="J758" s="120"/>
      <c r="K758" s="120"/>
      <c r="L758" s="129"/>
      <c r="M758" s="129"/>
      <c r="N758" s="120"/>
      <c r="O758" s="129"/>
      <c r="P758" s="129"/>
      <c r="Q758" s="129"/>
      <c r="T758" s="129"/>
    </row>
    <row r="759" spans="2:20" s="18" customFormat="1" ht="12.75" hidden="1" customHeight="1" outlineLevel="2">
      <c r="B759" s="121" t="s">
        <v>17978</v>
      </c>
      <c r="C759" s="307"/>
      <c r="D759" s="124"/>
      <c r="E759" s="46"/>
      <c r="F759" s="46"/>
      <c r="G759" s="46"/>
      <c r="H759" s="122"/>
      <c r="J759" s="120"/>
      <c r="K759" s="120"/>
      <c r="L759" s="129"/>
      <c r="M759" s="129"/>
      <c r="N759" s="120"/>
      <c r="O759" s="129"/>
      <c r="P759" s="129"/>
      <c r="Q759" s="129"/>
      <c r="T759" s="129"/>
    </row>
    <row r="760" spans="2:20" s="18" customFormat="1" ht="12.75" hidden="1" customHeight="1" outlineLevel="3">
      <c r="B760" s="118" t="s">
        <v>17371</v>
      </c>
      <c r="C760" s="307"/>
      <c r="D760" s="119" t="s">
        <v>18015</v>
      </c>
      <c r="E760" s="46"/>
      <c r="F760" s="118" t="s">
        <v>3441</v>
      </c>
      <c r="G760" s="126" t="str">
        <f>CONCATENATE("MEP-",F760,"-",H760)</f>
        <v>MEP-C20P-1</v>
      </c>
      <c r="H760" s="122">
        <v>1</v>
      </c>
      <c r="I760" s="129">
        <v>1</v>
      </c>
      <c r="J760" s="128" t="s">
        <v>286</v>
      </c>
      <c r="K760" s="120"/>
      <c r="L760" s="120"/>
      <c r="M760" s="129"/>
      <c r="N760" s="120"/>
      <c r="O760" s="129"/>
      <c r="P760" s="120"/>
      <c r="Q760" s="129"/>
      <c r="T760" s="120"/>
    </row>
    <row r="761" spans="2:20" s="18" customFormat="1" ht="12.75" hidden="1" customHeight="1" outlineLevel="3">
      <c r="B761" s="118" t="s">
        <v>17371</v>
      </c>
      <c r="C761" s="307"/>
      <c r="D761" s="119" t="s">
        <v>18016</v>
      </c>
      <c r="E761" s="46"/>
      <c r="F761" s="118" t="s">
        <v>3441</v>
      </c>
      <c r="G761" s="126" t="str">
        <f>CONCATENATE("MEP-",F761,"-",H761)</f>
        <v>MEP-C20P-1</v>
      </c>
      <c r="H761" s="122">
        <v>1</v>
      </c>
      <c r="I761" s="129">
        <v>1</v>
      </c>
      <c r="J761" s="128" t="s">
        <v>286</v>
      </c>
      <c r="K761" s="120"/>
      <c r="L761" s="120"/>
      <c r="M761" s="129"/>
      <c r="N761" s="120"/>
      <c r="O761" s="129"/>
      <c r="P761" s="120"/>
      <c r="Q761" s="129"/>
      <c r="T761" s="120"/>
    </row>
    <row r="762" spans="2:20" s="18" customFormat="1" ht="12.75" hidden="1" customHeight="1" outlineLevel="3">
      <c r="B762" s="118" t="s">
        <v>17371</v>
      </c>
      <c r="C762" s="307"/>
      <c r="D762" s="119" t="s">
        <v>18017</v>
      </c>
      <c r="E762" s="46"/>
      <c r="F762" s="118" t="s">
        <v>3441</v>
      </c>
      <c r="G762" s="126" t="str">
        <f>CONCATENATE("MEP-",F762,"-",H762)</f>
        <v>MEP-C20P-1</v>
      </c>
      <c r="H762" s="122">
        <v>1</v>
      </c>
      <c r="I762" s="129">
        <v>1</v>
      </c>
      <c r="J762" s="128" t="s">
        <v>286</v>
      </c>
      <c r="K762" s="120"/>
      <c r="L762" s="120"/>
      <c r="M762" s="129"/>
      <c r="N762" s="120"/>
      <c r="O762" s="129"/>
      <c r="P762" s="120"/>
      <c r="Q762" s="129"/>
      <c r="T762" s="120"/>
    </row>
    <row r="763" spans="2:20" s="18" customFormat="1" ht="12.75" hidden="1" customHeight="1" outlineLevel="2">
      <c r="B763" s="118"/>
      <c r="C763" s="307"/>
      <c r="D763" s="124"/>
      <c r="E763" s="46"/>
      <c r="F763" s="46"/>
      <c r="G763" s="46"/>
      <c r="H763" s="122"/>
      <c r="J763" s="120"/>
      <c r="K763" s="120"/>
      <c r="L763" s="129"/>
      <c r="M763" s="129"/>
      <c r="N763" s="120"/>
      <c r="O763" s="129"/>
      <c r="P763" s="129"/>
      <c r="Q763" s="129"/>
      <c r="T763" s="129"/>
    </row>
    <row r="764" spans="2:20" s="18" customFormat="1" ht="12.75" hidden="1" customHeight="1" outlineLevel="2">
      <c r="B764" s="121" t="s">
        <v>17438</v>
      </c>
      <c r="C764" s="307"/>
      <c r="D764" s="124"/>
      <c r="E764" s="46"/>
      <c r="F764" s="46"/>
      <c r="G764" s="46"/>
      <c r="H764" s="122"/>
      <c r="J764" s="120"/>
      <c r="K764" s="120"/>
      <c r="L764" s="129"/>
      <c r="M764" s="129"/>
      <c r="N764" s="120"/>
      <c r="O764" s="129"/>
      <c r="P764" s="129"/>
      <c r="Q764" s="129"/>
      <c r="T764" s="129"/>
    </row>
    <row r="765" spans="2:20" s="18" customFormat="1" ht="12.75" hidden="1" customHeight="1" outlineLevel="3">
      <c r="B765" s="118" t="s">
        <v>17438</v>
      </c>
      <c r="C765" s="307"/>
      <c r="D765" s="119" t="s">
        <v>18174</v>
      </c>
      <c r="E765" s="46"/>
      <c r="F765" s="118" t="s">
        <v>3441</v>
      </c>
      <c r="G765" s="126" t="str">
        <f>CONCATENATE("MEP-",F765,"-",H765)</f>
        <v>MEP-C20P-1</v>
      </c>
      <c r="H765" s="122">
        <v>1</v>
      </c>
      <c r="I765" s="129">
        <v>1</v>
      </c>
      <c r="J765" s="128" t="s">
        <v>286</v>
      </c>
      <c r="K765" s="120"/>
      <c r="L765" s="120"/>
      <c r="M765" s="129"/>
      <c r="N765" s="120"/>
      <c r="O765" s="129"/>
      <c r="P765" s="120"/>
      <c r="Q765" s="129"/>
      <c r="T765" s="120"/>
    </row>
    <row r="766" spans="2:20" s="18" customFormat="1" ht="12.75" hidden="1" customHeight="1" outlineLevel="2">
      <c r="B766" s="118"/>
      <c r="C766" s="307"/>
      <c r="D766" s="124"/>
      <c r="E766" s="46"/>
      <c r="F766" s="46"/>
      <c r="G766" s="46"/>
      <c r="H766" s="122"/>
      <c r="J766" s="120"/>
      <c r="K766" s="120"/>
      <c r="L766" s="129"/>
      <c r="M766" s="129"/>
      <c r="N766" s="120"/>
      <c r="O766" s="129"/>
      <c r="P766" s="129"/>
      <c r="Q766" s="129"/>
      <c r="T766" s="129"/>
    </row>
    <row r="767" spans="2:20" s="18" customFormat="1" ht="12.75" hidden="1" customHeight="1" outlineLevel="2">
      <c r="B767" s="121" t="s">
        <v>18019</v>
      </c>
      <c r="C767" s="307"/>
      <c r="D767" s="124"/>
      <c r="E767" s="46"/>
      <c r="F767" s="46"/>
      <c r="G767" s="46"/>
      <c r="H767" s="122"/>
      <c r="J767" s="120"/>
      <c r="K767" s="120"/>
      <c r="L767" s="129"/>
      <c r="M767" s="129"/>
      <c r="N767" s="120"/>
      <c r="O767" s="129"/>
      <c r="P767" s="129"/>
      <c r="Q767" s="129"/>
      <c r="T767" s="129"/>
    </row>
    <row r="768" spans="2:20" ht="12.75" hidden="1" customHeight="1" outlineLevel="3">
      <c r="B768" s="118" t="s">
        <v>17405</v>
      </c>
      <c r="C768" s="307"/>
      <c r="D768" s="124" t="s">
        <v>18020</v>
      </c>
      <c r="E768" s="125"/>
      <c r="F768" s="118" t="s">
        <v>3441</v>
      </c>
      <c r="G768" s="126" t="str">
        <f t="shared" ref="G768:G776" si="53">CONCATENATE("MEP-",F768,"-",H768)</f>
        <v>MEP-C20P-1</v>
      </c>
      <c r="H768" s="122">
        <v>1</v>
      </c>
      <c r="I768" s="129">
        <v>1</v>
      </c>
      <c r="J768" s="128" t="s">
        <v>286</v>
      </c>
      <c r="L768" s="120"/>
      <c r="M768" s="129"/>
      <c r="O768" s="129"/>
      <c r="P768" s="120"/>
      <c r="Q768" s="129"/>
      <c r="T768" s="120"/>
    </row>
    <row r="769" spans="2:20" ht="12.75" hidden="1" customHeight="1" outlineLevel="3">
      <c r="B769" s="118" t="s">
        <v>17405</v>
      </c>
      <c r="C769" s="307"/>
      <c r="D769" s="124" t="s">
        <v>18021</v>
      </c>
      <c r="E769" s="125"/>
      <c r="F769" s="118" t="s">
        <v>3441</v>
      </c>
      <c r="G769" s="126" t="str">
        <f t="shared" si="53"/>
        <v>MEP-C20P-1</v>
      </c>
      <c r="H769" s="122">
        <v>1</v>
      </c>
      <c r="I769" s="129">
        <v>1</v>
      </c>
      <c r="J769" s="128" t="s">
        <v>286</v>
      </c>
      <c r="L769" s="120"/>
      <c r="M769" s="129"/>
      <c r="O769" s="129"/>
      <c r="P769" s="120"/>
      <c r="Q769" s="129"/>
      <c r="T769" s="120"/>
    </row>
    <row r="770" spans="2:20" ht="12.75" hidden="1" customHeight="1" outlineLevel="3">
      <c r="B770" s="118" t="s">
        <v>17405</v>
      </c>
      <c r="C770" s="307"/>
      <c r="D770" s="124" t="s">
        <v>18022</v>
      </c>
      <c r="E770" s="125"/>
      <c r="F770" s="118" t="s">
        <v>3441</v>
      </c>
      <c r="G770" s="126" t="str">
        <f t="shared" si="53"/>
        <v>MEP-C20P-1</v>
      </c>
      <c r="H770" s="122">
        <v>1</v>
      </c>
      <c r="I770" s="129">
        <v>1</v>
      </c>
      <c r="J770" s="128" t="s">
        <v>286</v>
      </c>
      <c r="L770" s="120"/>
      <c r="M770" s="129"/>
      <c r="O770" s="129"/>
      <c r="P770" s="120"/>
      <c r="Q770" s="129"/>
      <c r="T770" s="120"/>
    </row>
    <row r="771" spans="2:20" ht="12.75" hidden="1" customHeight="1" outlineLevel="3">
      <c r="B771" s="118" t="s">
        <v>17405</v>
      </c>
      <c r="C771" s="307"/>
      <c r="D771" s="124" t="s">
        <v>18023</v>
      </c>
      <c r="E771" s="125"/>
      <c r="F771" s="118" t="s">
        <v>3441</v>
      </c>
      <c r="G771" s="126" t="str">
        <f t="shared" si="53"/>
        <v>MEP-C20P-1</v>
      </c>
      <c r="H771" s="122">
        <v>1</v>
      </c>
      <c r="I771" s="129">
        <v>1</v>
      </c>
      <c r="J771" s="128" t="s">
        <v>286</v>
      </c>
      <c r="L771" s="120"/>
      <c r="M771" s="129"/>
      <c r="O771" s="129"/>
      <c r="P771" s="120"/>
      <c r="Q771" s="129"/>
      <c r="T771" s="120"/>
    </row>
    <row r="772" spans="2:20" ht="12.75" hidden="1" customHeight="1" outlineLevel="3">
      <c r="B772" s="118" t="s">
        <v>17405</v>
      </c>
      <c r="C772" s="307"/>
      <c r="D772" s="124" t="s">
        <v>18024</v>
      </c>
      <c r="E772" s="125"/>
      <c r="F772" s="118" t="s">
        <v>3441</v>
      </c>
      <c r="G772" s="126" t="str">
        <f t="shared" si="53"/>
        <v>MEP-C20P-1</v>
      </c>
      <c r="H772" s="122">
        <v>1</v>
      </c>
      <c r="I772" s="129">
        <v>1</v>
      </c>
      <c r="J772" s="128" t="s">
        <v>286</v>
      </c>
      <c r="L772" s="120"/>
      <c r="M772" s="129"/>
      <c r="O772" s="129"/>
      <c r="P772" s="120"/>
      <c r="Q772" s="129"/>
      <c r="T772" s="120"/>
    </row>
    <row r="773" spans="2:20" ht="12.75" hidden="1" customHeight="1" outlineLevel="3">
      <c r="B773" s="118" t="s">
        <v>17405</v>
      </c>
      <c r="C773" s="307"/>
      <c r="D773" s="124" t="s">
        <v>18025</v>
      </c>
      <c r="E773" s="125"/>
      <c r="F773" s="118" t="s">
        <v>3441</v>
      </c>
      <c r="G773" s="126" t="str">
        <f t="shared" si="53"/>
        <v>MEP-C20P-1</v>
      </c>
      <c r="H773" s="122">
        <v>1</v>
      </c>
      <c r="I773" s="129">
        <v>1</v>
      </c>
      <c r="J773" s="128" t="s">
        <v>286</v>
      </c>
      <c r="L773" s="120"/>
      <c r="P773" s="120"/>
      <c r="T773" s="120"/>
    </row>
    <row r="774" spans="2:20" ht="12.75" hidden="1" customHeight="1" outlineLevel="3">
      <c r="B774" s="118" t="s">
        <v>17405</v>
      </c>
      <c r="C774" s="307"/>
      <c r="D774" s="124" t="s">
        <v>18026</v>
      </c>
      <c r="E774" s="125"/>
      <c r="F774" s="118" t="s">
        <v>3441</v>
      </c>
      <c r="G774" s="126" t="str">
        <f t="shared" si="53"/>
        <v>MEP-C20P-1</v>
      </c>
      <c r="H774" s="122">
        <v>1</v>
      </c>
      <c r="I774" s="129">
        <v>1</v>
      </c>
      <c r="J774" s="128" t="s">
        <v>286</v>
      </c>
      <c r="L774" s="120"/>
      <c r="P774" s="120"/>
      <c r="T774" s="120"/>
    </row>
    <row r="775" spans="2:20" ht="12.75" hidden="1" customHeight="1" outlineLevel="3">
      <c r="B775" s="118" t="s">
        <v>17405</v>
      </c>
      <c r="C775" s="307"/>
      <c r="D775" s="124" t="s">
        <v>18027</v>
      </c>
      <c r="E775" s="125"/>
      <c r="F775" s="118" t="s">
        <v>3441</v>
      </c>
      <c r="G775" s="126" t="str">
        <f t="shared" si="53"/>
        <v>MEP-C20P-1</v>
      </c>
      <c r="H775" s="122">
        <v>1</v>
      </c>
      <c r="I775" s="129">
        <v>1</v>
      </c>
      <c r="J775" s="128" t="s">
        <v>286</v>
      </c>
      <c r="L775" s="120"/>
      <c r="P775" s="120"/>
      <c r="T775" s="120"/>
    </row>
    <row r="776" spans="2:20" ht="12.75" hidden="1" customHeight="1" outlineLevel="3">
      <c r="B776" s="118" t="s">
        <v>17405</v>
      </c>
      <c r="C776" s="307"/>
      <c r="D776" s="124" t="s">
        <v>18028</v>
      </c>
      <c r="E776" s="125"/>
      <c r="F776" s="118" t="s">
        <v>3441</v>
      </c>
      <c r="G776" s="126" t="str">
        <f t="shared" si="53"/>
        <v>MEP-C20P-1</v>
      </c>
      <c r="H776" s="122">
        <v>1</v>
      </c>
      <c r="I776" s="129">
        <v>1</v>
      </c>
      <c r="J776" s="128" t="s">
        <v>286</v>
      </c>
      <c r="L776" s="120"/>
      <c r="P776" s="120"/>
      <c r="T776" s="120"/>
    </row>
    <row r="777" spans="2:20" s="18" customFormat="1" ht="12.75" hidden="1" customHeight="1" outlineLevel="2">
      <c r="B777" s="118"/>
      <c r="C777" s="307"/>
      <c r="D777" s="124"/>
      <c r="E777" s="46"/>
      <c r="F777" s="46"/>
      <c r="G777" s="46"/>
      <c r="H777" s="122"/>
      <c r="J777" s="120"/>
      <c r="K777" s="120"/>
      <c r="L777" s="129"/>
      <c r="P777" s="129"/>
      <c r="T777" s="129"/>
    </row>
    <row r="778" spans="2:20" s="18" customFormat="1" ht="12.75" hidden="1" customHeight="1" outlineLevel="2">
      <c r="B778" s="121" t="s">
        <v>17994</v>
      </c>
      <c r="C778" s="307"/>
      <c r="D778" s="124"/>
      <c r="E778" s="46"/>
      <c r="F778" s="46"/>
      <c r="G778" s="46"/>
      <c r="H778" s="122"/>
      <c r="J778" s="120"/>
      <c r="K778" s="120"/>
      <c r="L778" s="129"/>
      <c r="P778" s="129"/>
      <c r="T778" s="129"/>
    </row>
    <row r="779" spans="2:20" ht="12.75" hidden="1" customHeight="1" outlineLevel="3">
      <c r="B779" s="118" t="s">
        <v>18029</v>
      </c>
      <c r="C779" s="307"/>
      <c r="D779" s="124" t="s">
        <v>18030</v>
      </c>
      <c r="E779" s="125"/>
      <c r="F779" s="118" t="s">
        <v>3441</v>
      </c>
      <c r="G779" s="126" t="str">
        <f>CONCATENATE("MEP-",F779,"-",H779)</f>
        <v>MEP-C20P-1</v>
      </c>
      <c r="H779" s="122">
        <v>1</v>
      </c>
      <c r="I779" s="129">
        <v>1</v>
      </c>
      <c r="J779" s="128" t="s">
        <v>286</v>
      </c>
      <c r="L779" s="120"/>
      <c r="P779" s="120"/>
      <c r="T779" s="120"/>
    </row>
    <row r="780" spans="2:20" ht="12.75" hidden="1" customHeight="1" outlineLevel="3">
      <c r="B780" s="118" t="s">
        <v>18029</v>
      </c>
      <c r="C780" s="307"/>
      <c r="D780" s="124" t="s">
        <v>18031</v>
      </c>
      <c r="E780" s="125"/>
      <c r="F780" s="118" t="s">
        <v>3441</v>
      </c>
      <c r="G780" s="126" t="str">
        <f>CONCATENATE("MEP-",F780,"-",H780)</f>
        <v>MEP-C20P-1</v>
      </c>
      <c r="H780" s="122">
        <v>1</v>
      </c>
      <c r="I780" s="129">
        <v>1</v>
      </c>
      <c r="J780" s="128" t="s">
        <v>286</v>
      </c>
      <c r="L780" s="120"/>
      <c r="P780" s="120"/>
      <c r="T780" s="120"/>
    </row>
    <row r="781" spans="2:20" ht="3" hidden="1" customHeight="1" outlineLevel="1">
      <c r="B781" s="118"/>
      <c r="C781" s="307"/>
      <c r="D781" s="124"/>
      <c r="E781" s="125"/>
      <c r="F781" s="118"/>
      <c r="G781" s="132"/>
      <c r="H781" s="127"/>
      <c r="I781" s="16"/>
      <c r="L781" s="129"/>
    </row>
    <row r="782" spans="2:20" s="18" customFormat="1" ht="12.75" hidden="1" customHeight="1" outlineLevel="1">
      <c r="B782" s="135" t="s">
        <v>18175</v>
      </c>
      <c r="C782" s="307"/>
      <c r="D782" s="124"/>
      <c r="E782" s="46"/>
      <c r="F782" s="46"/>
      <c r="G782" s="46"/>
      <c r="H782" s="122"/>
      <c r="J782" s="120"/>
      <c r="K782" s="120"/>
      <c r="L782" s="129"/>
    </row>
    <row r="783" spans="2:20" s="18" customFormat="1" ht="12.75" hidden="1" customHeight="1" outlineLevel="2">
      <c r="B783" s="135"/>
      <c r="C783" s="307"/>
      <c r="D783" s="124"/>
      <c r="E783" s="46"/>
      <c r="F783" s="46"/>
      <c r="G783" s="46"/>
      <c r="H783" s="122"/>
      <c r="J783" s="120"/>
      <c r="K783" s="120"/>
      <c r="L783" s="129"/>
    </row>
    <row r="784" spans="2:20" s="18" customFormat="1" ht="12.75" hidden="1" customHeight="1" outlineLevel="2">
      <c r="B784" s="121" t="s">
        <v>17968</v>
      </c>
      <c r="C784" s="307"/>
      <c r="D784" s="124"/>
      <c r="E784" s="46"/>
      <c r="F784" s="46"/>
      <c r="G784" s="46"/>
      <c r="H784" s="122"/>
      <c r="J784" s="120"/>
      <c r="K784" s="120"/>
      <c r="L784" s="129"/>
    </row>
    <row r="785" spans="2:20" s="18" customFormat="1" ht="12.75" hidden="1" customHeight="1" outlineLevel="3">
      <c r="B785" s="134" t="s">
        <v>18010</v>
      </c>
      <c r="C785" s="307"/>
      <c r="D785" s="124"/>
      <c r="E785" s="46"/>
      <c r="F785" s="46"/>
      <c r="G785" s="46"/>
      <c r="H785" s="122"/>
      <c r="J785" s="120"/>
      <c r="K785" s="120"/>
      <c r="L785" s="129"/>
    </row>
    <row r="786" spans="2:20" s="18" customFormat="1" ht="12.75" hidden="1" customHeight="1" outlineLevel="3">
      <c r="B786" s="118" t="s">
        <v>17343</v>
      </c>
      <c r="C786" s="307"/>
      <c r="D786" s="124" t="s">
        <v>18033</v>
      </c>
      <c r="E786" s="46"/>
      <c r="F786" s="118" t="s">
        <v>3955</v>
      </c>
      <c r="G786" s="126" t="str">
        <f>CONCATENATE("MEP-",F786,"-",H786)</f>
        <v>MEP-L30P-1</v>
      </c>
      <c r="H786" s="122">
        <v>1</v>
      </c>
      <c r="I786" s="129">
        <v>1</v>
      </c>
      <c r="J786" s="128" t="s">
        <v>286</v>
      </c>
      <c r="K786" s="120"/>
      <c r="L786" s="120"/>
      <c r="P786" s="120"/>
      <c r="T786" s="120"/>
    </row>
    <row r="787" spans="2:20" s="18" customFormat="1" ht="12.75" hidden="1" customHeight="1" outlineLevel="3">
      <c r="B787" s="118" t="s">
        <v>17343</v>
      </c>
      <c r="C787" s="307"/>
      <c r="D787" s="124" t="s">
        <v>18034</v>
      </c>
      <c r="E787" s="46"/>
      <c r="F787" s="118" t="s">
        <v>3955</v>
      </c>
      <c r="G787" s="126" t="str">
        <f t="shared" ref="G787:G794" si="54">CONCATENATE("MEP-",F787,"-",H787)</f>
        <v>MEP-L30P-1</v>
      </c>
      <c r="H787" s="122">
        <v>1</v>
      </c>
      <c r="I787" s="129">
        <v>1</v>
      </c>
      <c r="J787" s="128" t="s">
        <v>286</v>
      </c>
      <c r="K787" s="120"/>
      <c r="L787" s="120"/>
      <c r="P787" s="120"/>
      <c r="T787" s="120"/>
    </row>
    <row r="788" spans="2:20" s="18" customFormat="1" ht="12.75" hidden="1" customHeight="1" outlineLevel="3">
      <c r="B788" s="118" t="s">
        <v>17343</v>
      </c>
      <c r="C788" s="307"/>
      <c r="D788" s="124" t="s">
        <v>18035</v>
      </c>
      <c r="E788" s="46"/>
      <c r="F788" s="118" t="s">
        <v>3955</v>
      </c>
      <c r="G788" s="126" t="str">
        <f t="shared" si="54"/>
        <v>MEP-L30P-1</v>
      </c>
      <c r="H788" s="122">
        <v>1</v>
      </c>
      <c r="I788" s="129">
        <v>1</v>
      </c>
      <c r="J788" s="128" t="s">
        <v>286</v>
      </c>
      <c r="K788" s="120"/>
      <c r="L788" s="120"/>
      <c r="P788" s="120"/>
      <c r="T788" s="120"/>
    </row>
    <row r="789" spans="2:20" s="18" customFormat="1" ht="12.75" hidden="1" customHeight="1" outlineLevel="3">
      <c r="B789" s="118" t="s">
        <v>17343</v>
      </c>
      <c r="C789" s="307"/>
      <c r="D789" s="124" t="s">
        <v>18036</v>
      </c>
      <c r="E789" s="46"/>
      <c r="F789" s="118" t="s">
        <v>3955</v>
      </c>
      <c r="G789" s="126" t="str">
        <f t="shared" si="54"/>
        <v>MEP-L30P-1</v>
      </c>
      <c r="H789" s="122">
        <v>1</v>
      </c>
      <c r="I789" s="129">
        <v>1</v>
      </c>
      <c r="J789" s="128" t="s">
        <v>286</v>
      </c>
      <c r="K789" s="120"/>
      <c r="L789" s="120"/>
      <c r="P789" s="120"/>
      <c r="T789" s="120"/>
    </row>
    <row r="790" spans="2:20" s="18" customFormat="1" ht="12.75" hidden="1" customHeight="1" outlineLevel="3">
      <c r="B790" s="118" t="s">
        <v>17343</v>
      </c>
      <c r="C790" s="307"/>
      <c r="D790" s="124" t="s">
        <v>18037</v>
      </c>
      <c r="E790" s="46"/>
      <c r="F790" s="118" t="s">
        <v>3955</v>
      </c>
      <c r="G790" s="126" t="str">
        <f t="shared" si="54"/>
        <v>MEP-L30P-1</v>
      </c>
      <c r="H790" s="122">
        <v>1</v>
      </c>
      <c r="I790" s="129">
        <v>1</v>
      </c>
      <c r="J790" s="128" t="s">
        <v>286</v>
      </c>
      <c r="K790" s="120"/>
      <c r="L790" s="120"/>
      <c r="P790" s="120"/>
      <c r="T790" s="120"/>
    </row>
    <row r="791" spans="2:20" s="18" customFormat="1" ht="12.75" hidden="1" customHeight="1" outlineLevel="3">
      <c r="B791" s="118" t="s">
        <v>17343</v>
      </c>
      <c r="C791" s="307"/>
      <c r="D791" s="124" t="s">
        <v>18038</v>
      </c>
      <c r="E791" s="46"/>
      <c r="F791" s="118" t="s">
        <v>3955</v>
      </c>
      <c r="G791" s="126" t="str">
        <f t="shared" si="54"/>
        <v>MEP-L30P-1</v>
      </c>
      <c r="H791" s="122">
        <v>1</v>
      </c>
      <c r="I791" s="129">
        <v>1</v>
      </c>
      <c r="J791" s="128" t="s">
        <v>286</v>
      </c>
      <c r="K791" s="120"/>
      <c r="L791" s="120"/>
      <c r="P791" s="120"/>
      <c r="T791" s="120"/>
    </row>
    <row r="792" spans="2:20" s="18" customFormat="1" ht="12.75" hidden="1" customHeight="1" outlineLevel="3">
      <c r="B792" s="118" t="s">
        <v>17343</v>
      </c>
      <c r="C792" s="307"/>
      <c r="D792" s="124" t="s">
        <v>18039</v>
      </c>
      <c r="E792" s="46"/>
      <c r="F792" s="118" t="s">
        <v>3955</v>
      </c>
      <c r="G792" s="126" t="str">
        <f t="shared" si="54"/>
        <v>MEP-L30P-1</v>
      </c>
      <c r="H792" s="122">
        <v>1</v>
      </c>
      <c r="I792" s="129">
        <v>1</v>
      </c>
      <c r="J792" s="128" t="s">
        <v>286</v>
      </c>
      <c r="K792" s="120"/>
      <c r="L792" s="120"/>
      <c r="P792" s="120"/>
      <c r="T792" s="120"/>
    </row>
    <row r="793" spans="2:20" s="18" customFormat="1" ht="12.75" hidden="1" customHeight="1" outlineLevel="3">
      <c r="B793" s="118" t="s">
        <v>17343</v>
      </c>
      <c r="C793" s="307"/>
      <c r="D793" s="124" t="s">
        <v>18040</v>
      </c>
      <c r="E793" s="46"/>
      <c r="F793" s="118" t="s">
        <v>3955</v>
      </c>
      <c r="G793" s="126" t="str">
        <f t="shared" si="54"/>
        <v>MEP-L30P-1</v>
      </c>
      <c r="H793" s="122">
        <v>1</v>
      </c>
      <c r="I793" s="129">
        <v>1</v>
      </c>
      <c r="J793" s="128" t="s">
        <v>286</v>
      </c>
      <c r="K793" s="120"/>
      <c r="L793" s="120"/>
      <c r="P793" s="120"/>
      <c r="T793" s="120"/>
    </row>
    <row r="794" spans="2:20" s="18" customFormat="1" ht="12.75" hidden="1" customHeight="1" outlineLevel="3">
      <c r="B794" s="118" t="s">
        <v>17343</v>
      </c>
      <c r="C794" s="307"/>
      <c r="D794" s="124" t="s">
        <v>18041</v>
      </c>
      <c r="E794" s="46"/>
      <c r="F794" s="118" t="s">
        <v>3955</v>
      </c>
      <c r="G794" s="126" t="str">
        <f t="shared" si="54"/>
        <v>MEP-L30P-1</v>
      </c>
      <c r="H794" s="122">
        <v>1</v>
      </c>
      <c r="I794" s="129">
        <v>1</v>
      </c>
      <c r="J794" s="128" t="s">
        <v>286</v>
      </c>
      <c r="K794" s="120"/>
      <c r="L794" s="120"/>
      <c r="P794" s="120"/>
      <c r="T794" s="120"/>
    </row>
    <row r="795" spans="2:20" s="18" customFormat="1" ht="12.75" hidden="1" customHeight="1" outlineLevel="2">
      <c r="B795" s="118"/>
      <c r="C795" s="307"/>
      <c r="D795" s="124"/>
      <c r="E795" s="46"/>
      <c r="F795" s="46"/>
      <c r="G795" s="46"/>
      <c r="H795" s="122"/>
      <c r="J795" s="120"/>
      <c r="K795" s="120"/>
      <c r="L795" s="129"/>
      <c r="P795" s="129"/>
      <c r="T795" s="129"/>
    </row>
    <row r="796" spans="2:20" s="18" customFormat="1" ht="12.75" hidden="1" customHeight="1" outlineLevel="2">
      <c r="B796" s="121" t="s">
        <v>17978</v>
      </c>
      <c r="C796" s="307"/>
      <c r="D796" s="124"/>
      <c r="E796" s="46"/>
      <c r="F796" s="46"/>
      <c r="G796" s="46"/>
      <c r="H796" s="122"/>
      <c r="J796" s="120"/>
      <c r="K796" s="120"/>
      <c r="L796" s="129"/>
      <c r="P796" s="129"/>
      <c r="T796" s="129"/>
    </row>
    <row r="797" spans="2:20" s="18" customFormat="1" ht="12.75" hidden="1" customHeight="1" outlineLevel="3">
      <c r="B797" s="118" t="s">
        <v>17371</v>
      </c>
      <c r="C797" s="307"/>
      <c r="D797" s="124" t="s">
        <v>18042</v>
      </c>
      <c r="E797" s="46"/>
      <c r="F797" s="118" t="s">
        <v>3955</v>
      </c>
      <c r="G797" s="126" t="str">
        <f>CONCATENATE("MEP-",F797,"-",H797)</f>
        <v>MEP-L30P-1</v>
      </c>
      <c r="H797" s="122">
        <v>1</v>
      </c>
      <c r="I797" s="129">
        <v>1</v>
      </c>
      <c r="J797" s="128" t="s">
        <v>286</v>
      </c>
      <c r="K797" s="120"/>
      <c r="L797" s="120"/>
      <c r="P797" s="120"/>
      <c r="T797" s="120"/>
    </row>
    <row r="798" spans="2:20" s="18" customFormat="1" ht="12.75" hidden="1" customHeight="1" outlineLevel="2">
      <c r="B798" s="118"/>
      <c r="C798" s="307"/>
      <c r="D798" s="124"/>
      <c r="E798" s="46"/>
      <c r="F798" s="46"/>
      <c r="G798" s="46"/>
      <c r="H798" s="122"/>
      <c r="J798" s="120"/>
      <c r="K798" s="120"/>
      <c r="L798" s="129"/>
      <c r="P798" s="129"/>
      <c r="T798" s="129"/>
    </row>
    <row r="799" spans="2:20" s="18" customFormat="1" ht="12.75" hidden="1" customHeight="1" outlineLevel="2">
      <c r="B799" s="121" t="s">
        <v>17438</v>
      </c>
      <c r="C799" s="307"/>
      <c r="D799" s="124"/>
      <c r="E799" s="46"/>
      <c r="F799" s="46"/>
      <c r="G799" s="46"/>
      <c r="H799" s="122"/>
      <c r="J799" s="120"/>
      <c r="K799" s="120"/>
      <c r="L799" s="129"/>
      <c r="P799" s="129"/>
      <c r="T799" s="129"/>
    </row>
    <row r="800" spans="2:20" s="18" customFormat="1" ht="12.75" hidden="1" customHeight="1" outlineLevel="3">
      <c r="B800" s="118" t="s">
        <v>17438</v>
      </c>
      <c r="C800" s="307"/>
      <c r="D800" s="124" t="s">
        <v>18043</v>
      </c>
      <c r="E800" s="46"/>
      <c r="F800" s="118" t="s">
        <v>3955</v>
      </c>
      <c r="G800" s="126" t="str">
        <f>CONCATENATE("MEP-",F800,"-",H800)</f>
        <v>MEP-L30P-1</v>
      </c>
      <c r="H800" s="122">
        <v>1</v>
      </c>
      <c r="I800" s="129">
        <v>1</v>
      </c>
      <c r="J800" s="128" t="s">
        <v>286</v>
      </c>
      <c r="K800" s="120"/>
      <c r="L800" s="120"/>
      <c r="P800" s="120"/>
      <c r="T800" s="120"/>
    </row>
    <row r="801" spans="2:20" s="18" customFormat="1" ht="12.75" hidden="1" customHeight="1" outlineLevel="3">
      <c r="B801" s="118" t="s">
        <v>17438</v>
      </c>
      <c r="C801" s="307"/>
      <c r="D801" s="124" t="s">
        <v>18044</v>
      </c>
      <c r="E801" s="46"/>
      <c r="F801" s="118" t="s">
        <v>3955</v>
      </c>
      <c r="G801" s="126" t="str">
        <f>CONCATENATE("MEP-",F801,"-",H801)</f>
        <v>MEP-L30P-1</v>
      </c>
      <c r="H801" s="122">
        <v>1</v>
      </c>
      <c r="I801" s="129">
        <v>1</v>
      </c>
      <c r="J801" s="128" t="s">
        <v>286</v>
      </c>
      <c r="K801" s="120"/>
      <c r="L801" s="120"/>
      <c r="P801" s="120"/>
      <c r="T801" s="120"/>
    </row>
    <row r="802" spans="2:20" s="18" customFormat="1" ht="12.75" hidden="1" customHeight="1" outlineLevel="2">
      <c r="B802" s="118"/>
      <c r="C802" s="307"/>
      <c r="D802" s="124"/>
      <c r="E802" s="46"/>
      <c r="F802" s="46"/>
      <c r="G802" s="46"/>
      <c r="H802" s="122"/>
      <c r="J802" s="120"/>
      <c r="K802" s="120"/>
      <c r="L802" s="129"/>
      <c r="P802" s="129"/>
      <c r="T802" s="129"/>
    </row>
    <row r="803" spans="2:20" s="18" customFormat="1" ht="12.75" hidden="1" customHeight="1" outlineLevel="2">
      <c r="B803" s="121" t="s">
        <v>17992</v>
      </c>
      <c r="C803" s="307"/>
      <c r="D803" s="124"/>
      <c r="E803" s="46"/>
      <c r="F803" s="46"/>
      <c r="G803" s="46"/>
      <c r="H803" s="122"/>
      <c r="J803" s="120"/>
      <c r="K803" s="120"/>
      <c r="L803" s="129"/>
      <c r="P803" s="129"/>
      <c r="T803" s="129"/>
    </row>
    <row r="804" spans="2:20" s="18" customFormat="1" ht="12.75" hidden="1" customHeight="1" outlineLevel="3">
      <c r="B804" s="118" t="s">
        <v>17405</v>
      </c>
      <c r="C804" s="307"/>
      <c r="D804" s="124" t="s">
        <v>18045</v>
      </c>
      <c r="E804" s="46"/>
      <c r="F804" s="118" t="s">
        <v>3955</v>
      </c>
      <c r="G804" s="126" t="str">
        <f t="shared" ref="G804:G814" si="55">CONCATENATE("MEP-",F804,"-",H804)</f>
        <v>MEP-L30P-1</v>
      </c>
      <c r="H804" s="122">
        <v>1</v>
      </c>
      <c r="I804" s="129">
        <v>1</v>
      </c>
      <c r="J804" s="128" t="s">
        <v>286</v>
      </c>
      <c r="K804" s="120"/>
      <c r="L804" s="120"/>
      <c r="P804" s="120"/>
      <c r="T804" s="120"/>
    </row>
    <row r="805" spans="2:20" s="18" customFormat="1" ht="12.75" hidden="1" customHeight="1" outlineLevel="3">
      <c r="B805" s="118" t="s">
        <v>17405</v>
      </c>
      <c r="C805" s="307"/>
      <c r="D805" s="124" t="s">
        <v>18046</v>
      </c>
      <c r="E805" s="46"/>
      <c r="F805" s="118" t="s">
        <v>3955</v>
      </c>
      <c r="G805" s="126" t="str">
        <f t="shared" si="55"/>
        <v>MEP-L30P-1</v>
      </c>
      <c r="H805" s="122">
        <v>1</v>
      </c>
      <c r="I805" s="129">
        <v>1</v>
      </c>
      <c r="J805" s="128" t="s">
        <v>286</v>
      </c>
      <c r="K805" s="120"/>
      <c r="L805" s="120"/>
      <c r="P805" s="120"/>
      <c r="T805" s="120"/>
    </row>
    <row r="806" spans="2:20" s="18" customFormat="1" ht="12.75" hidden="1" customHeight="1" outlineLevel="3">
      <c r="B806" s="118" t="s">
        <v>17405</v>
      </c>
      <c r="C806" s="307"/>
      <c r="D806" s="124" t="s">
        <v>18047</v>
      </c>
      <c r="E806" s="46"/>
      <c r="F806" s="118" t="s">
        <v>3955</v>
      </c>
      <c r="G806" s="126" t="str">
        <f t="shared" si="55"/>
        <v>MEP-L30P-1</v>
      </c>
      <c r="H806" s="122">
        <v>1</v>
      </c>
      <c r="I806" s="129">
        <v>1</v>
      </c>
      <c r="J806" s="128" t="s">
        <v>286</v>
      </c>
      <c r="K806" s="120"/>
      <c r="L806" s="120"/>
      <c r="P806" s="120"/>
      <c r="T806" s="120"/>
    </row>
    <row r="807" spans="2:20" s="18" customFormat="1" ht="12.75" hidden="1" customHeight="1" outlineLevel="3">
      <c r="B807" s="118" t="s">
        <v>17405</v>
      </c>
      <c r="C807" s="307"/>
      <c r="D807" s="124" t="s">
        <v>18048</v>
      </c>
      <c r="E807" s="46"/>
      <c r="F807" s="118" t="s">
        <v>3955</v>
      </c>
      <c r="G807" s="126" t="str">
        <f t="shared" si="55"/>
        <v>MEP-L30P-1</v>
      </c>
      <c r="H807" s="122">
        <v>1</v>
      </c>
      <c r="I807" s="129">
        <v>1</v>
      </c>
      <c r="J807" s="128" t="s">
        <v>286</v>
      </c>
      <c r="K807" s="120"/>
      <c r="L807" s="120"/>
      <c r="P807" s="120"/>
      <c r="T807" s="120"/>
    </row>
    <row r="808" spans="2:20" s="18" customFormat="1" ht="12.75" hidden="1" customHeight="1" outlineLevel="3">
      <c r="B808" s="118" t="s">
        <v>17405</v>
      </c>
      <c r="C808" s="307"/>
      <c r="D808" s="124" t="s">
        <v>18049</v>
      </c>
      <c r="E808" s="46"/>
      <c r="F808" s="118" t="s">
        <v>3955</v>
      </c>
      <c r="G808" s="126" t="str">
        <f t="shared" si="55"/>
        <v>MEP-L30P-1</v>
      </c>
      <c r="H808" s="122">
        <v>1</v>
      </c>
      <c r="I808" s="129">
        <v>1</v>
      </c>
      <c r="J808" s="128" t="s">
        <v>286</v>
      </c>
      <c r="K808" s="120"/>
      <c r="L808" s="120"/>
      <c r="P808" s="120"/>
      <c r="T808" s="120"/>
    </row>
    <row r="809" spans="2:20" s="18" customFormat="1" ht="12.75" hidden="1" customHeight="1" outlineLevel="3">
      <c r="B809" s="118" t="s">
        <v>17405</v>
      </c>
      <c r="C809" s="307"/>
      <c r="D809" s="124" t="s">
        <v>18050</v>
      </c>
      <c r="E809" s="46"/>
      <c r="F809" s="118" t="s">
        <v>3955</v>
      </c>
      <c r="G809" s="126" t="str">
        <f t="shared" si="55"/>
        <v>MEP-L30P-1</v>
      </c>
      <c r="H809" s="122">
        <v>1</v>
      </c>
      <c r="I809" s="129">
        <v>1</v>
      </c>
      <c r="J809" s="128" t="s">
        <v>286</v>
      </c>
      <c r="K809" s="120"/>
      <c r="L809" s="120"/>
      <c r="P809" s="120"/>
      <c r="T809" s="120"/>
    </row>
    <row r="810" spans="2:20" s="18" customFormat="1" ht="12.75" hidden="1" customHeight="1" outlineLevel="3">
      <c r="B810" s="118" t="s">
        <v>17405</v>
      </c>
      <c r="C810" s="307"/>
      <c r="D810" s="124" t="s">
        <v>18051</v>
      </c>
      <c r="E810" s="46"/>
      <c r="F810" s="118" t="s">
        <v>3955</v>
      </c>
      <c r="G810" s="126" t="str">
        <f t="shared" si="55"/>
        <v>MEP-L30P-1</v>
      </c>
      <c r="H810" s="122">
        <v>1</v>
      </c>
      <c r="I810" s="129">
        <v>1</v>
      </c>
      <c r="J810" s="128" t="s">
        <v>286</v>
      </c>
      <c r="K810" s="120"/>
      <c r="L810" s="120"/>
      <c r="P810" s="120"/>
      <c r="T810" s="120"/>
    </row>
    <row r="811" spans="2:20" s="18" customFormat="1" ht="12.75" hidden="1" customHeight="1" outlineLevel="3">
      <c r="B811" s="118" t="s">
        <v>17405</v>
      </c>
      <c r="C811" s="307"/>
      <c r="D811" s="124" t="s">
        <v>18052</v>
      </c>
      <c r="E811" s="46"/>
      <c r="F811" s="118" t="s">
        <v>3955</v>
      </c>
      <c r="G811" s="126" t="str">
        <f t="shared" si="55"/>
        <v>MEP-L30P-1</v>
      </c>
      <c r="H811" s="122">
        <v>1</v>
      </c>
      <c r="I811" s="129">
        <v>1</v>
      </c>
      <c r="J811" s="128" t="s">
        <v>286</v>
      </c>
      <c r="K811" s="120"/>
      <c r="L811" s="120"/>
      <c r="P811" s="120"/>
      <c r="T811" s="120"/>
    </row>
    <row r="812" spans="2:20" s="18" customFormat="1" ht="12.75" hidden="1" customHeight="1" outlineLevel="3">
      <c r="B812" s="118" t="s">
        <v>17405</v>
      </c>
      <c r="C812" s="307"/>
      <c r="D812" s="124" t="s">
        <v>18053</v>
      </c>
      <c r="E812" s="46"/>
      <c r="F812" s="118" t="s">
        <v>3955</v>
      </c>
      <c r="G812" s="126" t="str">
        <f t="shared" si="55"/>
        <v>MEP-L30P-1</v>
      </c>
      <c r="H812" s="122">
        <v>1</v>
      </c>
      <c r="I812" s="129">
        <v>1</v>
      </c>
      <c r="J812" s="128" t="s">
        <v>286</v>
      </c>
      <c r="K812" s="120"/>
      <c r="L812" s="120"/>
      <c r="P812" s="120"/>
      <c r="T812" s="120"/>
    </row>
    <row r="813" spans="2:20" s="18" customFormat="1" ht="12.75" hidden="1" customHeight="1" outlineLevel="3">
      <c r="B813" s="118" t="s">
        <v>17405</v>
      </c>
      <c r="C813" s="307"/>
      <c r="D813" s="124" t="s">
        <v>18054</v>
      </c>
      <c r="E813" s="46"/>
      <c r="F813" s="118" t="s">
        <v>3955</v>
      </c>
      <c r="G813" s="126" t="str">
        <f t="shared" si="55"/>
        <v>MEP-L30P-1</v>
      </c>
      <c r="H813" s="122">
        <v>1</v>
      </c>
      <c r="I813" s="129">
        <v>1</v>
      </c>
      <c r="J813" s="128" t="s">
        <v>286</v>
      </c>
      <c r="K813" s="120"/>
      <c r="L813" s="120"/>
      <c r="P813" s="120"/>
      <c r="T813" s="120"/>
    </row>
    <row r="814" spans="2:20" s="18" customFormat="1" ht="12.75" hidden="1" customHeight="1" outlineLevel="3">
      <c r="B814" s="118" t="s">
        <v>17405</v>
      </c>
      <c r="C814" s="307"/>
      <c r="D814" s="124" t="s">
        <v>18055</v>
      </c>
      <c r="E814" s="46"/>
      <c r="F814" s="118" t="s">
        <v>3955</v>
      </c>
      <c r="G814" s="126" t="str">
        <f t="shared" si="55"/>
        <v>MEP-L30P-1</v>
      </c>
      <c r="H814" s="122">
        <v>1</v>
      </c>
      <c r="I814" s="129">
        <v>1</v>
      </c>
      <c r="J814" s="128" t="s">
        <v>286</v>
      </c>
      <c r="K814" s="120"/>
      <c r="L814" s="120"/>
      <c r="P814" s="120"/>
      <c r="T814" s="120"/>
    </row>
    <row r="815" spans="2:20" s="18" customFormat="1" ht="3" hidden="1" customHeight="1" outlineLevel="1">
      <c r="B815" s="118"/>
      <c r="C815" s="307"/>
      <c r="D815" s="124"/>
      <c r="E815" s="46"/>
      <c r="F815" s="46"/>
      <c r="G815" s="46"/>
      <c r="H815" s="122"/>
      <c r="J815" s="120"/>
      <c r="K815" s="120"/>
      <c r="L815" s="129"/>
    </row>
    <row r="816" spans="2:20" s="18" customFormat="1" ht="12.75" hidden="1" customHeight="1" outlineLevel="1">
      <c r="B816" s="135" t="s">
        <v>18176</v>
      </c>
      <c r="C816" s="307"/>
      <c r="D816" s="124"/>
      <c r="E816" s="46"/>
      <c r="F816" s="46"/>
      <c r="G816" s="46"/>
      <c r="H816" s="122"/>
      <c r="J816" s="120"/>
      <c r="K816" s="120"/>
      <c r="L816" s="129"/>
    </row>
    <row r="817" spans="2:20" s="18" customFormat="1" ht="12.75" hidden="1" customHeight="1" outlineLevel="2">
      <c r="B817" s="118"/>
      <c r="C817" s="307"/>
      <c r="D817" s="124"/>
      <c r="E817" s="46"/>
      <c r="F817" s="46"/>
      <c r="G817" s="46"/>
      <c r="H817" s="122"/>
      <c r="J817" s="120"/>
      <c r="K817" s="120"/>
      <c r="L817" s="129"/>
    </row>
    <row r="818" spans="2:20" s="18" customFormat="1" ht="12.75" hidden="1" customHeight="1" outlineLevel="2">
      <c r="B818" s="121" t="s">
        <v>17968</v>
      </c>
      <c r="C818" s="307"/>
      <c r="D818" s="124"/>
      <c r="E818" s="46"/>
      <c r="F818" s="46"/>
      <c r="G818" s="46"/>
      <c r="H818" s="122"/>
      <c r="J818" s="120"/>
      <c r="K818" s="120"/>
      <c r="L818" s="129"/>
    </row>
    <row r="819" spans="2:20" s="18" customFormat="1" ht="12.75" hidden="1" customHeight="1" outlineLevel="3">
      <c r="B819" s="134" t="s">
        <v>18010</v>
      </c>
      <c r="C819" s="307"/>
      <c r="D819" s="124"/>
      <c r="E819" s="46"/>
      <c r="F819" s="46"/>
      <c r="G819" s="46"/>
      <c r="H819" s="122"/>
      <c r="J819" s="120"/>
      <c r="K819" s="120"/>
      <c r="L819" s="129"/>
    </row>
    <row r="820" spans="2:20" s="18" customFormat="1" ht="12.75" hidden="1" customHeight="1" outlineLevel="3">
      <c r="B820" s="118" t="s">
        <v>17343</v>
      </c>
      <c r="C820" s="307"/>
      <c r="D820" s="124" t="s">
        <v>18057</v>
      </c>
      <c r="E820" s="46"/>
      <c r="F820" s="118" t="s">
        <v>4255</v>
      </c>
      <c r="G820" s="126" t="str">
        <f>CONCATENATE("MEP-",F820,"-",H820)</f>
        <v>MEP-L45P-1</v>
      </c>
      <c r="H820" s="122">
        <v>1</v>
      </c>
      <c r="I820" s="129">
        <v>1</v>
      </c>
      <c r="J820" s="128" t="s">
        <v>286</v>
      </c>
      <c r="K820" s="120"/>
      <c r="L820" s="120"/>
      <c r="P820" s="120"/>
      <c r="T820" s="120"/>
    </row>
    <row r="821" spans="2:20" s="18" customFormat="1" ht="12.75" hidden="1" customHeight="1" outlineLevel="3">
      <c r="B821" s="118" t="s">
        <v>17343</v>
      </c>
      <c r="C821" s="307"/>
      <c r="D821" s="124" t="s">
        <v>18058</v>
      </c>
      <c r="E821" s="46"/>
      <c r="F821" s="118" t="s">
        <v>4255</v>
      </c>
      <c r="G821" s="126" t="str">
        <f t="shared" ref="G821:G829" si="56">CONCATENATE("MEP-",F821,"-",H821)</f>
        <v>MEP-L45P-1</v>
      </c>
      <c r="H821" s="122">
        <v>1</v>
      </c>
      <c r="I821" s="129">
        <v>1</v>
      </c>
      <c r="J821" s="128" t="s">
        <v>286</v>
      </c>
      <c r="K821" s="120"/>
      <c r="L821" s="120"/>
      <c r="P821" s="120"/>
      <c r="T821" s="120"/>
    </row>
    <row r="822" spans="2:20" s="18" customFormat="1" ht="12.75" hidden="1" customHeight="1" outlineLevel="3">
      <c r="B822" s="118" t="s">
        <v>17343</v>
      </c>
      <c r="C822" s="307"/>
      <c r="D822" s="124" t="s">
        <v>18059</v>
      </c>
      <c r="E822" s="46"/>
      <c r="F822" s="118" t="s">
        <v>4255</v>
      </c>
      <c r="G822" s="126" t="str">
        <f t="shared" si="56"/>
        <v>MEP-L45P-1</v>
      </c>
      <c r="H822" s="122">
        <v>1</v>
      </c>
      <c r="I822" s="129">
        <v>1</v>
      </c>
      <c r="J822" s="128" t="s">
        <v>286</v>
      </c>
      <c r="K822" s="120"/>
      <c r="L822" s="120"/>
      <c r="P822" s="120"/>
      <c r="T822" s="120"/>
    </row>
    <row r="823" spans="2:20" s="18" customFormat="1" ht="12.75" hidden="1" customHeight="1" outlineLevel="3">
      <c r="B823" s="118" t="s">
        <v>17343</v>
      </c>
      <c r="C823" s="307"/>
      <c r="D823" s="124" t="s">
        <v>18060</v>
      </c>
      <c r="E823" s="46"/>
      <c r="F823" s="118" t="s">
        <v>4255</v>
      </c>
      <c r="G823" s="126" t="str">
        <f t="shared" si="56"/>
        <v>MEP-L45P-1</v>
      </c>
      <c r="H823" s="122">
        <v>1</v>
      </c>
      <c r="I823" s="129">
        <v>1</v>
      </c>
      <c r="J823" s="128" t="s">
        <v>286</v>
      </c>
      <c r="K823" s="120"/>
      <c r="L823" s="120"/>
      <c r="P823" s="120"/>
      <c r="T823" s="120"/>
    </row>
    <row r="824" spans="2:20" s="18" customFormat="1" ht="12.75" hidden="1" customHeight="1" outlineLevel="3">
      <c r="B824" s="118" t="s">
        <v>17343</v>
      </c>
      <c r="C824" s="307"/>
      <c r="D824" s="124" t="s">
        <v>18061</v>
      </c>
      <c r="E824" s="46"/>
      <c r="F824" s="118" t="s">
        <v>4255</v>
      </c>
      <c r="G824" s="126" t="str">
        <f t="shared" si="56"/>
        <v>MEP-L45P-1</v>
      </c>
      <c r="H824" s="122">
        <v>1</v>
      </c>
      <c r="I824" s="129">
        <v>1</v>
      </c>
      <c r="J824" s="128" t="s">
        <v>286</v>
      </c>
      <c r="K824" s="120"/>
      <c r="L824" s="120"/>
      <c r="P824" s="120"/>
      <c r="T824" s="120"/>
    </row>
    <row r="825" spans="2:20" s="18" customFormat="1" ht="12.75" hidden="1" customHeight="1" outlineLevel="3">
      <c r="B825" s="118" t="s">
        <v>17343</v>
      </c>
      <c r="C825" s="307"/>
      <c r="D825" s="124" t="s">
        <v>18062</v>
      </c>
      <c r="E825" s="46"/>
      <c r="F825" s="118" t="s">
        <v>4255</v>
      </c>
      <c r="G825" s="126" t="str">
        <f t="shared" si="56"/>
        <v>MEP-L45P-1</v>
      </c>
      <c r="H825" s="122">
        <v>1</v>
      </c>
      <c r="I825" s="129">
        <v>1</v>
      </c>
      <c r="J825" s="128" t="s">
        <v>286</v>
      </c>
      <c r="K825" s="120"/>
      <c r="L825" s="120"/>
      <c r="P825" s="120"/>
      <c r="T825" s="120"/>
    </row>
    <row r="826" spans="2:20" s="18" customFormat="1" ht="12.75" hidden="1" customHeight="1" outlineLevel="3">
      <c r="B826" s="118" t="s">
        <v>17343</v>
      </c>
      <c r="C826" s="307"/>
      <c r="D826" s="124" t="s">
        <v>18063</v>
      </c>
      <c r="E826" s="46"/>
      <c r="F826" s="118" t="s">
        <v>4255</v>
      </c>
      <c r="G826" s="126" t="str">
        <f t="shared" si="56"/>
        <v>MEP-L45P-1</v>
      </c>
      <c r="H826" s="122">
        <v>1</v>
      </c>
      <c r="I826" s="129">
        <v>1</v>
      </c>
      <c r="J826" s="128" t="s">
        <v>286</v>
      </c>
      <c r="K826" s="120"/>
      <c r="L826" s="120"/>
      <c r="P826" s="120"/>
      <c r="T826" s="120"/>
    </row>
    <row r="827" spans="2:20" s="18" customFormat="1" ht="12.75" hidden="1" customHeight="1" outlineLevel="3">
      <c r="B827" s="118" t="s">
        <v>17343</v>
      </c>
      <c r="C827" s="307"/>
      <c r="D827" s="124" t="s">
        <v>18064</v>
      </c>
      <c r="E827" s="46"/>
      <c r="F827" s="118" t="s">
        <v>4255</v>
      </c>
      <c r="G827" s="126" t="str">
        <f t="shared" si="56"/>
        <v>MEP-L45P-1</v>
      </c>
      <c r="H827" s="122">
        <v>1</v>
      </c>
      <c r="I827" s="129">
        <v>1</v>
      </c>
      <c r="J827" s="128" t="s">
        <v>286</v>
      </c>
      <c r="K827" s="120"/>
      <c r="L827" s="120"/>
      <c r="P827" s="120"/>
      <c r="T827" s="120"/>
    </row>
    <row r="828" spans="2:20" s="18" customFormat="1" ht="12.75" hidden="1" customHeight="1" outlineLevel="3">
      <c r="B828" s="118" t="s">
        <v>17343</v>
      </c>
      <c r="C828" s="307"/>
      <c r="D828" s="124" t="s">
        <v>18065</v>
      </c>
      <c r="E828" s="46"/>
      <c r="F828" s="118" t="s">
        <v>4255</v>
      </c>
      <c r="G828" s="126" t="str">
        <f t="shared" si="56"/>
        <v>MEP-L45P-1</v>
      </c>
      <c r="H828" s="122">
        <v>1</v>
      </c>
      <c r="I828" s="129">
        <v>1</v>
      </c>
      <c r="J828" s="128" t="s">
        <v>286</v>
      </c>
      <c r="K828" s="120"/>
      <c r="L828" s="120"/>
      <c r="P828" s="120"/>
      <c r="T828" s="120"/>
    </row>
    <row r="829" spans="2:20" s="18" customFormat="1" ht="12.75" hidden="1" customHeight="1" outlineLevel="3">
      <c r="B829" s="118" t="s">
        <v>17343</v>
      </c>
      <c r="C829" s="307"/>
      <c r="D829" s="124" t="s">
        <v>18066</v>
      </c>
      <c r="E829" s="46"/>
      <c r="F829" s="118" t="s">
        <v>4255</v>
      </c>
      <c r="G829" s="126" t="str">
        <f t="shared" si="56"/>
        <v>MEP-L45P-1</v>
      </c>
      <c r="H829" s="122">
        <v>1</v>
      </c>
      <c r="I829" s="129">
        <v>1</v>
      </c>
      <c r="J829" s="128" t="s">
        <v>286</v>
      </c>
      <c r="K829" s="120"/>
      <c r="L829" s="120"/>
      <c r="P829" s="120"/>
      <c r="T829" s="120"/>
    </row>
    <row r="830" spans="2:20" s="18" customFormat="1" ht="12.75" hidden="1" customHeight="1" outlineLevel="2">
      <c r="B830" s="118"/>
      <c r="C830" s="307"/>
      <c r="D830" s="124"/>
      <c r="E830" s="46"/>
      <c r="F830" s="118"/>
      <c r="G830" s="126"/>
      <c r="H830" s="122"/>
      <c r="J830" s="120"/>
      <c r="K830" s="120"/>
      <c r="L830" s="120"/>
      <c r="P830" s="120"/>
      <c r="T830" s="120"/>
    </row>
    <row r="831" spans="2:20" s="18" customFormat="1" ht="12.75" hidden="1" customHeight="1" outlineLevel="2">
      <c r="B831" s="121" t="s">
        <v>17978</v>
      </c>
      <c r="C831" s="307"/>
      <c r="D831" s="124"/>
      <c r="E831" s="46"/>
      <c r="F831" s="46"/>
      <c r="G831" s="46"/>
      <c r="H831" s="122"/>
      <c r="J831" s="120"/>
      <c r="K831" s="120"/>
      <c r="L831" s="120"/>
      <c r="P831" s="120"/>
      <c r="T831" s="120"/>
    </row>
    <row r="832" spans="2:20" s="18" customFormat="1" ht="12.75" hidden="1" customHeight="1" outlineLevel="3">
      <c r="B832" s="118" t="s">
        <v>17371</v>
      </c>
      <c r="C832" s="307"/>
      <c r="D832" s="124" t="s">
        <v>18067</v>
      </c>
      <c r="E832" s="46"/>
      <c r="F832" s="118" t="s">
        <v>4255</v>
      </c>
      <c r="G832" s="126" t="str">
        <f>CONCATENATE("MEP-",F832,"-",H832)</f>
        <v>MEP-L45P-1</v>
      </c>
      <c r="H832" s="122">
        <v>1</v>
      </c>
      <c r="I832" s="129">
        <v>1</v>
      </c>
      <c r="J832" s="128" t="s">
        <v>286</v>
      </c>
      <c r="K832" s="120"/>
      <c r="L832" s="120"/>
      <c r="P832" s="120"/>
      <c r="T832" s="120"/>
    </row>
    <row r="833" spans="2:20" s="18" customFormat="1" ht="12.75" hidden="1" customHeight="1" outlineLevel="3">
      <c r="B833" s="118" t="s">
        <v>17371</v>
      </c>
      <c r="C833" s="307"/>
      <c r="D833" s="124" t="s">
        <v>18068</v>
      </c>
      <c r="E833" s="46"/>
      <c r="F833" s="118" t="s">
        <v>4255</v>
      </c>
      <c r="G833" s="126" t="str">
        <f>CONCATENATE("MEP-",F833,"-",H833)</f>
        <v>MEP-L45P-1</v>
      </c>
      <c r="H833" s="122">
        <v>1</v>
      </c>
      <c r="I833" s="129">
        <v>1</v>
      </c>
      <c r="J833" s="128" t="s">
        <v>286</v>
      </c>
      <c r="K833" s="120"/>
      <c r="L833" s="120"/>
      <c r="P833" s="120"/>
      <c r="T833" s="120"/>
    </row>
    <row r="834" spans="2:20" s="18" customFormat="1" ht="12.75" hidden="1" customHeight="1" outlineLevel="3">
      <c r="B834" s="118" t="s">
        <v>17371</v>
      </c>
      <c r="C834" s="307"/>
      <c r="D834" s="124" t="s">
        <v>18069</v>
      </c>
      <c r="E834" s="46"/>
      <c r="F834" s="118" t="s">
        <v>4255</v>
      </c>
      <c r="G834" s="126" t="str">
        <f>CONCATENATE("MEP-",F834,"-",H834)</f>
        <v>MEP-L45P-1</v>
      </c>
      <c r="H834" s="122">
        <v>1</v>
      </c>
      <c r="I834" s="129">
        <v>1</v>
      </c>
      <c r="J834" s="128" t="s">
        <v>286</v>
      </c>
      <c r="K834" s="120"/>
      <c r="L834" s="120"/>
      <c r="P834" s="120"/>
      <c r="T834" s="120"/>
    </row>
    <row r="835" spans="2:20" s="18" customFormat="1" ht="12.75" hidden="1" customHeight="1" outlineLevel="3">
      <c r="B835" s="118" t="s">
        <v>17371</v>
      </c>
      <c r="C835" s="307"/>
      <c r="D835" s="124" t="s">
        <v>18070</v>
      </c>
      <c r="E835" s="46"/>
      <c r="F835" s="118" t="s">
        <v>4255</v>
      </c>
      <c r="G835" s="126" t="str">
        <f>CONCATENATE("MEP-",F835,"-",H835)</f>
        <v>MEP-L45P-1</v>
      </c>
      <c r="H835" s="122">
        <v>1</v>
      </c>
      <c r="I835" s="129">
        <v>1</v>
      </c>
      <c r="J835" s="128" t="s">
        <v>286</v>
      </c>
      <c r="K835" s="120"/>
      <c r="L835" s="120"/>
      <c r="P835" s="120"/>
      <c r="T835" s="120"/>
    </row>
    <row r="836" spans="2:20" s="18" customFormat="1" ht="12.75" hidden="1" customHeight="1" outlineLevel="3">
      <c r="B836" s="118" t="s">
        <v>17371</v>
      </c>
      <c r="C836" s="307"/>
      <c r="D836" s="124" t="s">
        <v>18071</v>
      </c>
      <c r="E836" s="46"/>
      <c r="F836" s="118" t="s">
        <v>4255</v>
      </c>
      <c r="G836" s="126" t="str">
        <f>CONCATENATE("MEP-",F836,"-",H836)</f>
        <v>MEP-L45P-1</v>
      </c>
      <c r="H836" s="122">
        <v>1</v>
      </c>
      <c r="I836" s="129">
        <v>1</v>
      </c>
      <c r="J836" s="128" t="s">
        <v>286</v>
      </c>
      <c r="K836" s="120"/>
      <c r="L836" s="120"/>
      <c r="P836" s="120"/>
      <c r="T836" s="120"/>
    </row>
    <row r="837" spans="2:20" s="18" customFormat="1" ht="12.75" hidden="1" customHeight="1" outlineLevel="2">
      <c r="C837" s="292"/>
    </row>
    <row r="838" spans="2:20" s="18" customFormat="1" ht="12.75" hidden="1" customHeight="1" outlineLevel="2">
      <c r="B838" s="121" t="s">
        <v>17438</v>
      </c>
      <c r="C838" s="307"/>
      <c r="D838" s="124"/>
      <c r="E838" s="46"/>
      <c r="F838" s="46"/>
      <c r="G838" s="46"/>
      <c r="H838" s="122"/>
      <c r="J838" s="120"/>
      <c r="K838" s="120"/>
      <c r="L838" s="120"/>
      <c r="P838" s="120"/>
      <c r="T838" s="120"/>
    </row>
    <row r="839" spans="2:20" s="18" customFormat="1" ht="12.75" hidden="1" customHeight="1" outlineLevel="3">
      <c r="B839" s="118" t="s">
        <v>17438</v>
      </c>
      <c r="C839" s="307"/>
      <c r="D839" s="124" t="s">
        <v>18072</v>
      </c>
      <c r="E839" s="46"/>
      <c r="F839" s="118" t="s">
        <v>4255</v>
      </c>
      <c r="G839" s="126" t="str">
        <f t="shared" ref="G839:G844" si="57">CONCATENATE("MEP-",F839,"-",H839)</f>
        <v>MEP-L45P-1</v>
      </c>
      <c r="H839" s="122">
        <v>1</v>
      </c>
      <c r="I839" s="129">
        <v>1</v>
      </c>
      <c r="J839" s="128" t="s">
        <v>286</v>
      </c>
      <c r="K839" s="120"/>
      <c r="L839" s="120"/>
      <c r="P839" s="120"/>
      <c r="T839" s="120"/>
    </row>
    <row r="840" spans="2:20" s="18" customFormat="1" ht="12.75" hidden="1" customHeight="1" outlineLevel="3">
      <c r="B840" s="118" t="s">
        <v>17438</v>
      </c>
      <c r="C840" s="307"/>
      <c r="D840" s="124" t="s">
        <v>18073</v>
      </c>
      <c r="E840" s="46"/>
      <c r="F840" s="118" t="s">
        <v>4255</v>
      </c>
      <c r="G840" s="126" t="str">
        <f t="shared" si="57"/>
        <v>MEP-L45P-1</v>
      </c>
      <c r="H840" s="122">
        <v>1</v>
      </c>
      <c r="I840" s="129">
        <v>1</v>
      </c>
      <c r="J840" s="128" t="s">
        <v>286</v>
      </c>
      <c r="K840" s="120"/>
      <c r="L840" s="120"/>
      <c r="P840" s="120"/>
      <c r="T840" s="120"/>
    </row>
    <row r="841" spans="2:20" s="18" customFormat="1" ht="12.75" hidden="1" customHeight="1" outlineLevel="3">
      <c r="B841" s="118" t="s">
        <v>17438</v>
      </c>
      <c r="C841" s="307"/>
      <c r="D841" s="124" t="s">
        <v>18074</v>
      </c>
      <c r="E841" s="46"/>
      <c r="F841" s="118" t="s">
        <v>4255</v>
      </c>
      <c r="G841" s="126" t="str">
        <f t="shared" si="57"/>
        <v>MEP-L45P-1</v>
      </c>
      <c r="H841" s="122">
        <v>1</v>
      </c>
      <c r="I841" s="129">
        <v>1</v>
      </c>
      <c r="J841" s="128" t="s">
        <v>286</v>
      </c>
      <c r="K841" s="120"/>
      <c r="L841" s="120"/>
      <c r="P841" s="120"/>
      <c r="T841" s="120"/>
    </row>
    <row r="842" spans="2:20" s="18" customFormat="1" ht="12.75" hidden="1" customHeight="1" outlineLevel="3">
      <c r="B842" s="118" t="s">
        <v>17438</v>
      </c>
      <c r="C842" s="307"/>
      <c r="D842" s="124" t="s">
        <v>18075</v>
      </c>
      <c r="E842" s="46"/>
      <c r="F842" s="118" t="s">
        <v>4255</v>
      </c>
      <c r="G842" s="126" t="str">
        <f t="shared" si="57"/>
        <v>MEP-L45P-1</v>
      </c>
      <c r="H842" s="122">
        <v>1</v>
      </c>
      <c r="I842" s="129">
        <v>1</v>
      </c>
      <c r="J842" s="128" t="s">
        <v>286</v>
      </c>
      <c r="K842" s="120"/>
      <c r="L842" s="120"/>
      <c r="P842" s="120"/>
      <c r="T842" s="120"/>
    </row>
    <row r="843" spans="2:20" s="18" customFormat="1" ht="12.75" hidden="1" customHeight="1" outlineLevel="3">
      <c r="B843" s="118" t="s">
        <v>17438</v>
      </c>
      <c r="C843" s="307"/>
      <c r="D843" s="124" t="s">
        <v>18076</v>
      </c>
      <c r="E843" s="46"/>
      <c r="F843" s="118" t="s">
        <v>4255</v>
      </c>
      <c r="G843" s="126" t="str">
        <f t="shared" si="57"/>
        <v>MEP-L45P-1</v>
      </c>
      <c r="H843" s="122">
        <v>1</v>
      </c>
      <c r="I843" s="129">
        <v>1</v>
      </c>
      <c r="J843" s="128" t="s">
        <v>286</v>
      </c>
      <c r="K843" s="120"/>
      <c r="L843" s="120"/>
      <c r="P843" s="120"/>
      <c r="T843" s="120"/>
    </row>
    <row r="844" spans="2:20" s="18" customFormat="1" ht="12.75" hidden="1" customHeight="1" outlineLevel="3">
      <c r="B844" s="118" t="s">
        <v>17438</v>
      </c>
      <c r="C844" s="307"/>
      <c r="D844" s="124" t="s">
        <v>18077</v>
      </c>
      <c r="E844" s="46"/>
      <c r="F844" s="118" t="s">
        <v>4255</v>
      </c>
      <c r="G844" s="126" t="str">
        <f t="shared" si="57"/>
        <v>MEP-L45P-1</v>
      </c>
      <c r="H844" s="122">
        <v>1</v>
      </c>
      <c r="I844" s="129">
        <v>1</v>
      </c>
      <c r="J844" s="128" t="s">
        <v>286</v>
      </c>
      <c r="K844" s="120"/>
      <c r="L844" s="120"/>
      <c r="P844" s="120"/>
      <c r="T844" s="120"/>
    </row>
    <row r="845" spans="2:20" s="18" customFormat="1" ht="12.75" hidden="1" customHeight="1" outlineLevel="2">
      <c r="B845" s="118"/>
      <c r="C845" s="307"/>
      <c r="D845" s="124"/>
      <c r="E845" s="46"/>
      <c r="F845" s="118"/>
      <c r="G845" s="126"/>
      <c r="H845" s="122"/>
      <c r="J845" s="120"/>
      <c r="K845" s="120"/>
    </row>
    <row r="846" spans="2:20" s="18" customFormat="1" ht="12.75" hidden="1" customHeight="1" outlineLevel="2">
      <c r="B846" s="121" t="s">
        <v>17992</v>
      </c>
      <c r="C846" s="307"/>
      <c r="D846" s="124"/>
      <c r="E846" s="46"/>
      <c r="F846" s="46"/>
      <c r="G846" s="46"/>
      <c r="H846" s="122"/>
      <c r="J846" s="120"/>
      <c r="K846" s="120"/>
    </row>
    <row r="847" spans="2:20" s="18" customFormat="1" ht="12.75" hidden="1" customHeight="1" outlineLevel="3">
      <c r="B847" s="118" t="s">
        <v>17405</v>
      </c>
      <c r="C847" s="307"/>
      <c r="D847" s="124" t="s">
        <v>18078</v>
      </c>
      <c r="E847" s="46"/>
      <c r="F847" s="118" t="s">
        <v>4255</v>
      </c>
      <c r="G847" s="126" t="str">
        <f t="shared" ref="G847:G874" si="58">CONCATENATE("MEP-",F847,"-",H847)</f>
        <v>MEP-L45P-1</v>
      </c>
      <c r="H847" s="122">
        <v>1</v>
      </c>
      <c r="I847" s="129">
        <v>1</v>
      </c>
      <c r="J847" s="128" t="s">
        <v>286</v>
      </c>
      <c r="K847" s="120"/>
      <c r="L847" s="120"/>
      <c r="P847" s="120"/>
      <c r="T847" s="120"/>
    </row>
    <row r="848" spans="2:20" s="18" customFormat="1" ht="12.75" hidden="1" customHeight="1" outlineLevel="3">
      <c r="B848" s="118" t="s">
        <v>17405</v>
      </c>
      <c r="C848" s="307"/>
      <c r="D848" s="124" t="s">
        <v>18079</v>
      </c>
      <c r="E848" s="46"/>
      <c r="F848" s="118" t="s">
        <v>4255</v>
      </c>
      <c r="G848" s="126" t="str">
        <f t="shared" si="58"/>
        <v>MEP-L45P-1</v>
      </c>
      <c r="H848" s="122">
        <v>1</v>
      </c>
      <c r="I848" s="129">
        <v>1</v>
      </c>
      <c r="J848" s="128" t="s">
        <v>286</v>
      </c>
      <c r="K848" s="120"/>
      <c r="L848" s="120"/>
      <c r="P848" s="120"/>
      <c r="T848" s="120"/>
    </row>
    <row r="849" spans="2:20" s="18" customFormat="1" ht="12.75" hidden="1" customHeight="1" outlineLevel="3">
      <c r="B849" s="118" t="s">
        <v>17405</v>
      </c>
      <c r="C849" s="307"/>
      <c r="D849" s="124" t="s">
        <v>18080</v>
      </c>
      <c r="E849" s="46"/>
      <c r="F849" s="118" t="s">
        <v>4255</v>
      </c>
      <c r="G849" s="126" t="str">
        <f t="shared" si="58"/>
        <v>MEP-L45P-1</v>
      </c>
      <c r="H849" s="122">
        <v>1</v>
      </c>
      <c r="I849" s="129">
        <v>1</v>
      </c>
      <c r="J849" s="128" t="s">
        <v>286</v>
      </c>
      <c r="K849" s="120"/>
      <c r="L849" s="120"/>
      <c r="P849" s="120"/>
      <c r="T849" s="120"/>
    </row>
    <row r="850" spans="2:20" s="18" customFormat="1" ht="12.75" hidden="1" customHeight="1" outlineLevel="3">
      <c r="B850" s="118" t="s">
        <v>17405</v>
      </c>
      <c r="C850" s="307"/>
      <c r="D850" s="124" t="s">
        <v>18081</v>
      </c>
      <c r="E850" s="46"/>
      <c r="F850" s="118" t="s">
        <v>4255</v>
      </c>
      <c r="G850" s="126" t="str">
        <f t="shared" si="58"/>
        <v>MEP-L45P-1</v>
      </c>
      <c r="H850" s="122">
        <v>1</v>
      </c>
      <c r="I850" s="129">
        <v>1</v>
      </c>
      <c r="J850" s="128" t="s">
        <v>286</v>
      </c>
      <c r="K850" s="120"/>
      <c r="L850" s="120"/>
      <c r="P850" s="120"/>
      <c r="T850" s="120"/>
    </row>
    <row r="851" spans="2:20" s="18" customFormat="1" ht="12.75" hidden="1" customHeight="1" outlineLevel="3">
      <c r="B851" s="118" t="s">
        <v>17405</v>
      </c>
      <c r="C851" s="307"/>
      <c r="D851" s="124" t="s">
        <v>18082</v>
      </c>
      <c r="E851" s="46"/>
      <c r="F851" s="118" t="s">
        <v>4255</v>
      </c>
      <c r="G851" s="126" t="str">
        <f t="shared" si="58"/>
        <v>MEP-L45P-1</v>
      </c>
      <c r="H851" s="122">
        <v>1</v>
      </c>
      <c r="I851" s="129">
        <v>1</v>
      </c>
      <c r="J851" s="128" t="s">
        <v>286</v>
      </c>
      <c r="K851" s="120"/>
      <c r="L851" s="120"/>
      <c r="P851" s="120"/>
      <c r="T851" s="120"/>
    </row>
    <row r="852" spans="2:20" s="18" customFormat="1" ht="12.75" hidden="1" customHeight="1" outlineLevel="3">
      <c r="B852" s="118" t="s">
        <v>17405</v>
      </c>
      <c r="C852" s="307"/>
      <c r="D852" s="124" t="s">
        <v>18083</v>
      </c>
      <c r="E852" s="46"/>
      <c r="F852" s="118" t="s">
        <v>4255</v>
      </c>
      <c r="G852" s="126" t="str">
        <f t="shared" si="58"/>
        <v>MEP-L45P-1</v>
      </c>
      <c r="H852" s="122">
        <v>1</v>
      </c>
      <c r="I852" s="129">
        <v>1</v>
      </c>
      <c r="J852" s="128" t="s">
        <v>286</v>
      </c>
      <c r="K852" s="120"/>
      <c r="L852" s="120"/>
      <c r="P852" s="120"/>
      <c r="T852" s="120"/>
    </row>
    <row r="853" spans="2:20" s="18" customFormat="1" ht="12.75" hidden="1" customHeight="1" outlineLevel="3">
      <c r="B853" s="118" t="s">
        <v>17405</v>
      </c>
      <c r="C853" s="307"/>
      <c r="D853" s="124" t="s">
        <v>18084</v>
      </c>
      <c r="E853" s="46"/>
      <c r="F853" s="118" t="s">
        <v>4255</v>
      </c>
      <c r="G853" s="126" t="str">
        <f t="shared" si="58"/>
        <v>MEP-L45P-1</v>
      </c>
      <c r="H853" s="122">
        <v>1</v>
      </c>
      <c r="I853" s="129">
        <v>1</v>
      </c>
      <c r="J853" s="128" t="s">
        <v>286</v>
      </c>
      <c r="K853" s="120"/>
      <c r="L853" s="120"/>
      <c r="P853" s="120"/>
      <c r="T853" s="120"/>
    </row>
    <row r="854" spans="2:20" s="18" customFormat="1" ht="12.75" hidden="1" customHeight="1" outlineLevel="3">
      <c r="B854" s="118" t="s">
        <v>17405</v>
      </c>
      <c r="C854" s="307"/>
      <c r="D854" s="124" t="s">
        <v>18085</v>
      </c>
      <c r="E854" s="46"/>
      <c r="F854" s="118" t="s">
        <v>4255</v>
      </c>
      <c r="G854" s="126" t="str">
        <f t="shared" si="58"/>
        <v>MEP-L45P-1</v>
      </c>
      <c r="H854" s="122">
        <v>1</v>
      </c>
      <c r="I854" s="129">
        <v>1</v>
      </c>
      <c r="J854" s="128" t="s">
        <v>286</v>
      </c>
      <c r="K854" s="120"/>
      <c r="L854" s="120"/>
      <c r="P854" s="120"/>
      <c r="T854" s="120"/>
    </row>
    <row r="855" spans="2:20" s="18" customFormat="1" ht="12.75" hidden="1" customHeight="1" outlineLevel="3">
      <c r="B855" s="118" t="s">
        <v>17405</v>
      </c>
      <c r="C855" s="307"/>
      <c r="D855" s="124" t="s">
        <v>18086</v>
      </c>
      <c r="E855" s="46"/>
      <c r="F855" s="118" t="s">
        <v>4255</v>
      </c>
      <c r="G855" s="126" t="str">
        <f t="shared" si="58"/>
        <v>MEP-L45P-1</v>
      </c>
      <c r="H855" s="122">
        <v>1</v>
      </c>
      <c r="I855" s="129">
        <v>1</v>
      </c>
      <c r="J855" s="128" t="s">
        <v>286</v>
      </c>
      <c r="K855" s="120"/>
      <c r="L855" s="120"/>
      <c r="P855" s="120"/>
      <c r="T855" s="120"/>
    </row>
    <row r="856" spans="2:20" s="18" customFormat="1" ht="12.75" hidden="1" customHeight="1" outlineLevel="3">
      <c r="B856" s="118" t="s">
        <v>17405</v>
      </c>
      <c r="C856" s="307"/>
      <c r="D856" s="124" t="s">
        <v>18087</v>
      </c>
      <c r="E856" s="46"/>
      <c r="F856" s="118" t="s">
        <v>4255</v>
      </c>
      <c r="G856" s="126" t="str">
        <f t="shared" si="58"/>
        <v>MEP-L45P-1</v>
      </c>
      <c r="H856" s="122">
        <v>1</v>
      </c>
      <c r="I856" s="129">
        <v>1</v>
      </c>
      <c r="J856" s="128" t="s">
        <v>286</v>
      </c>
      <c r="K856" s="120"/>
      <c r="L856" s="120"/>
      <c r="P856" s="120"/>
      <c r="T856" s="120"/>
    </row>
    <row r="857" spans="2:20" s="18" customFormat="1" ht="12.75" hidden="1" customHeight="1" outlineLevel="3">
      <c r="B857" s="118" t="s">
        <v>17405</v>
      </c>
      <c r="C857" s="307"/>
      <c r="D857" s="124" t="s">
        <v>18088</v>
      </c>
      <c r="E857" s="46"/>
      <c r="F857" s="118" t="s">
        <v>4255</v>
      </c>
      <c r="G857" s="126" t="str">
        <f t="shared" si="58"/>
        <v>MEP-L45P-1</v>
      </c>
      <c r="H857" s="122">
        <v>1</v>
      </c>
      <c r="I857" s="129">
        <v>1</v>
      </c>
      <c r="J857" s="128" t="s">
        <v>286</v>
      </c>
      <c r="K857" s="120"/>
      <c r="L857" s="120"/>
      <c r="P857" s="120"/>
      <c r="T857" s="120"/>
    </row>
    <row r="858" spans="2:20" s="18" customFormat="1" ht="12.75" hidden="1" customHeight="1" outlineLevel="3">
      <c r="B858" s="118" t="s">
        <v>17405</v>
      </c>
      <c r="C858" s="307"/>
      <c r="D858" s="124" t="s">
        <v>18089</v>
      </c>
      <c r="E858" s="46"/>
      <c r="F858" s="118" t="s">
        <v>4255</v>
      </c>
      <c r="G858" s="126" t="str">
        <f t="shared" si="58"/>
        <v>MEP-L45P-1</v>
      </c>
      <c r="H858" s="122">
        <v>1</v>
      </c>
      <c r="I858" s="129">
        <v>1</v>
      </c>
      <c r="J858" s="128" t="s">
        <v>286</v>
      </c>
      <c r="K858" s="120"/>
      <c r="L858" s="120"/>
      <c r="P858" s="120"/>
      <c r="T858" s="120"/>
    </row>
    <row r="859" spans="2:20" s="18" customFormat="1" ht="12.75" hidden="1" customHeight="1" outlineLevel="3">
      <c r="B859" s="118" t="s">
        <v>17405</v>
      </c>
      <c r="C859" s="307"/>
      <c r="D859" s="124" t="s">
        <v>18090</v>
      </c>
      <c r="E859" s="46"/>
      <c r="F859" s="118" t="s">
        <v>4255</v>
      </c>
      <c r="G859" s="126" t="str">
        <f t="shared" si="58"/>
        <v>MEP-L45P-1</v>
      </c>
      <c r="H859" s="122">
        <v>1</v>
      </c>
      <c r="I859" s="129">
        <v>1</v>
      </c>
      <c r="J859" s="128" t="s">
        <v>286</v>
      </c>
      <c r="K859" s="120"/>
      <c r="L859" s="120"/>
      <c r="P859" s="120"/>
      <c r="T859" s="120"/>
    </row>
    <row r="860" spans="2:20" s="18" customFormat="1" ht="12.75" hidden="1" customHeight="1" outlineLevel="3">
      <c r="B860" s="118" t="s">
        <v>17405</v>
      </c>
      <c r="C860" s="307"/>
      <c r="D860" s="124" t="s">
        <v>18091</v>
      </c>
      <c r="E860" s="46"/>
      <c r="F860" s="118" t="s">
        <v>4255</v>
      </c>
      <c r="G860" s="126" t="str">
        <f t="shared" si="58"/>
        <v>MEP-L45P-1</v>
      </c>
      <c r="H860" s="122">
        <v>1</v>
      </c>
      <c r="I860" s="129">
        <v>1</v>
      </c>
      <c r="J860" s="128" t="s">
        <v>286</v>
      </c>
      <c r="K860" s="120"/>
      <c r="L860" s="120"/>
      <c r="P860" s="120"/>
      <c r="T860" s="120"/>
    </row>
    <row r="861" spans="2:20" s="18" customFormat="1" ht="12.75" hidden="1" customHeight="1" outlineLevel="3">
      <c r="B861" s="118" t="s">
        <v>17405</v>
      </c>
      <c r="C861" s="307"/>
      <c r="D861" s="124" t="s">
        <v>18092</v>
      </c>
      <c r="E861" s="46"/>
      <c r="F861" s="118" t="s">
        <v>4255</v>
      </c>
      <c r="G861" s="126" t="str">
        <f t="shared" si="58"/>
        <v>MEP-L45P-1</v>
      </c>
      <c r="H861" s="122">
        <v>1</v>
      </c>
      <c r="I861" s="129">
        <v>1</v>
      </c>
      <c r="J861" s="128" t="s">
        <v>286</v>
      </c>
      <c r="K861" s="120"/>
      <c r="L861" s="120"/>
      <c r="P861" s="120"/>
      <c r="T861" s="120"/>
    </row>
    <row r="862" spans="2:20" s="18" customFormat="1" ht="12.75" hidden="1" customHeight="1" outlineLevel="3">
      <c r="B862" s="118" t="s">
        <v>17405</v>
      </c>
      <c r="C862" s="307"/>
      <c r="D862" s="124" t="s">
        <v>18093</v>
      </c>
      <c r="E862" s="46"/>
      <c r="F862" s="118" t="s">
        <v>4255</v>
      </c>
      <c r="G862" s="126" t="str">
        <f t="shared" si="58"/>
        <v>MEP-L45P-1</v>
      </c>
      <c r="H862" s="122">
        <v>1</v>
      </c>
      <c r="I862" s="129">
        <v>1</v>
      </c>
      <c r="J862" s="128" t="s">
        <v>286</v>
      </c>
      <c r="K862" s="120"/>
      <c r="L862" s="120"/>
      <c r="P862" s="120"/>
      <c r="T862" s="120"/>
    </row>
    <row r="863" spans="2:20" s="18" customFormat="1" ht="12.75" hidden="1" customHeight="1" outlineLevel="3">
      <c r="B863" s="118" t="s">
        <v>17405</v>
      </c>
      <c r="C863" s="307"/>
      <c r="D863" s="124" t="s">
        <v>18094</v>
      </c>
      <c r="E863" s="46"/>
      <c r="F863" s="118" t="s">
        <v>4255</v>
      </c>
      <c r="G863" s="126" t="str">
        <f t="shared" si="58"/>
        <v>MEP-L45P-1</v>
      </c>
      <c r="H863" s="122">
        <v>1</v>
      </c>
      <c r="I863" s="129">
        <v>1</v>
      </c>
      <c r="J863" s="128" t="s">
        <v>286</v>
      </c>
      <c r="K863" s="120"/>
      <c r="L863" s="120"/>
      <c r="P863" s="120"/>
      <c r="T863" s="120"/>
    </row>
    <row r="864" spans="2:20" s="18" customFormat="1" ht="12.75" hidden="1" customHeight="1" outlineLevel="3">
      <c r="B864" s="118" t="s">
        <v>17405</v>
      </c>
      <c r="C864" s="307"/>
      <c r="D864" s="124" t="s">
        <v>18095</v>
      </c>
      <c r="E864" s="46"/>
      <c r="F864" s="118" t="s">
        <v>4255</v>
      </c>
      <c r="G864" s="126" t="str">
        <f t="shared" si="58"/>
        <v>MEP-L45P-1</v>
      </c>
      <c r="H864" s="122">
        <v>1</v>
      </c>
      <c r="I864" s="129">
        <v>1</v>
      </c>
      <c r="J864" s="128" t="s">
        <v>286</v>
      </c>
      <c r="K864" s="120"/>
      <c r="L864" s="120"/>
      <c r="P864" s="120"/>
      <c r="T864" s="120"/>
    </row>
    <row r="865" spans="1:20" s="18" customFormat="1" ht="12.75" hidden="1" customHeight="1" outlineLevel="3">
      <c r="B865" s="118" t="s">
        <v>17405</v>
      </c>
      <c r="C865" s="307"/>
      <c r="D865" s="124" t="s">
        <v>18096</v>
      </c>
      <c r="E865" s="46"/>
      <c r="F865" s="118" t="s">
        <v>4255</v>
      </c>
      <c r="G865" s="126" t="str">
        <f t="shared" si="58"/>
        <v>MEP-L45P-1</v>
      </c>
      <c r="H865" s="122">
        <v>1</v>
      </c>
      <c r="I865" s="129">
        <v>1</v>
      </c>
      <c r="J865" s="128" t="s">
        <v>286</v>
      </c>
      <c r="K865" s="120"/>
      <c r="L865" s="120"/>
      <c r="P865" s="120"/>
      <c r="T865" s="120"/>
    </row>
    <row r="866" spans="1:20" s="18" customFormat="1" ht="12.75" hidden="1" customHeight="1" outlineLevel="3">
      <c r="B866" s="118" t="s">
        <v>17405</v>
      </c>
      <c r="C866" s="307"/>
      <c r="D866" s="124" t="s">
        <v>18097</v>
      </c>
      <c r="E866" s="46"/>
      <c r="F866" s="118" t="s">
        <v>4255</v>
      </c>
      <c r="G866" s="126" t="str">
        <f t="shared" si="58"/>
        <v>MEP-L45P-1</v>
      </c>
      <c r="H866" s="122">
        <v>1</v>
      </c>
      <c r="I866" s="129">
        <v>1</v>
      </c>
      <c r="J866" s="128" t="s">
        <v>286</v>
      </c>
      <c r="K866" s="120"/>
      <c r="L866" s="120"/>
      <c r="P866" s="120"/>
      <c r="T866" s="120"/>
    </row>
    <row r="867" spans="1:20" s="18" customFormat="1" ht="12.75" hidden="1" customHeight="1" outlineLevel="3">
      <c r="B867" s="118" t="s">
        <v>17405</v>
      </c>
      <c r="C867" s="307"/>
      <c r="D867" s="124" t="s">
        <v>18098</v>
      </c>
      <c r="E867" s="46"/>
      <c r="F867" s="118" t="s">
        <v>4255</v>
      </c>
      <c r="G867" s="126" t="str">
        <f t="shared" si="58"/>
        <v>MEP-L45P-1</v>
      </c>
      <c r="H867" s="122">
        <v>1</v>
      </c>
      <c r="I867" s="129">
        <v>1</v>
      </c>
      <c r="J867" s="128" t="s">
        <v>286</v>
      </c>
      <c r="K867" s="120"/>
      <c r="L867" s="120"/>
      <c r="P867" s="120"/>
      <c r="T867" s="120"/>
    </row>
    <row r="868" spans="1:20" s="18" customFormat="1" ht="12.75" hidden="1" customHeight="1" outlineLevel="3">
      <c r="B868" s="118" t="s">
        <v>17405</v>
      </c>
      <c r="C868" s="307"/>
      <c r="D868" s="124" t="s">
        <v>18099</v>
      </c>
      <c r="E868" s="46"/>
      <c r="F868" s="118" t="s">
        <v>4255</v>
      </c>
      <c r="G868" s="126" t="str">
        <f t="shared" si="58"/>
        <v>MEP-L45P-1</v>
      </c>
      <c r="H868" s="122">
        <v>1</v>
      </c>
      <c r="I868" s="129">
        <v>1</v>
      </c>
      <c r="J868" s="128" t="s">
        <v>286</v>
      </c>
      <c r="K868" s="120"/>
      <c r="L868" s="120"/>
      <c r="P868" s="120"/>
      <c r="T868" s="120"/>
    </row>
    <row r="869" spans="1:20" s="18" customFormat="1" ht="12.75" hidden="1" customHeight="1" outlineLevel="3">
      <c r="A869" s="110"/>
      <c r="B869" s="118" t="s">
        <v>17405</v>
      </c>
      <c r="C869" s="307"/>
      <c r="D869" s="124" t="s">
        <v>18100</v>
      </c>
      <c r="E869" s="46"/>
      <c r="F869" s="118" t="s">
        <v>4255</v>
      </c>
      <c r="G869" s="126" t="str">
        <f t="shared" si="58"/>
        <v>MEP-L45P-1</v>
      </c>
      <c r="H869" s="122">
        <v>1</v>
      </c>
      <c r="I869" s="129">
        <v>1</v>
      </c>
      <c r="J869" s="128" t="s">
        <v>286</v>
      </c>
      <c r="K869" s="120"/>
      <c r="L869" s="120"/>
      <c r="P869" s="120"/>
      <c r="T869" s="120"/>
    </row>
    <row r="870" spans="1:20" s="18" customFormat="1" ht="12.75" hidden="1" customHeight="1" outlineLevel="3">
      <c r="A870" s="110"/>
      <c r="B870" s="118" t="s">
        <v>17405</v>
      </c>
      <c r="C870" s="307"/>
      <c r="D870" s="124" t="s">
        <v>18101</v>
      </c>
      <c r="E870" s="46"/>
      <c r="F870" s="118" t="s">
        <v>4255</v>
      </c>
      <c r="G870" s="126" t="str">
        <f t="shared" si="58"/>
        <v>MEP-L45P-1</v>
      </c>
      <c r="H870" s="122">
        <v>1</v>
      </c>
      <c r="I870" s="129">
        <v>1</v>
      </c>
      <c r="J870" s="128" t="s">
        <v>286</v>
      </c>
      <c r="K870" s="120"/>
      <c r="L870" s="120"/>
      <c r="P870" s="120"/>
      <c r="T870" s="120"/>
    </row>
    <row r="871" spans="1:20" s="18" customFormat="1" ht="12.75" hidden="1" customHeight="1" outlineLevel="3">
      <c r="A871" s="110"/>
      <c r="B871" s="118" t="s">
        <v>17405</v>
      </c>
      <c r="C871" s="307"/>
      <c r="D871" s="124" t="s">
        <v>18102</v>
      </c>
      <c r="E871" s="46"/>
      <c r="F871" s="118" t="s">
        <v>4255</v>
      </c>
      <c r="G871" s="126" t="str">
        <f t="shared" si="58"/>
        <v>MEP-L45P-1</v>
      </c>
      <c r="H871" s="122">
        <v>1</v>
      </c>
      <c r="I871" s="129">
        <v>1</v>
      </c>
      <c r="J871" s="128" t="s">
        <v>286</v>
      </c>
      <c r="K871" s="120"/>
      <c r="L871" s="120"/>
      <c r="P871" s="120"/>
      <c r="T871" s="120"/>
    </row>
    <row r="872" spans="1:20" s="18" customFormat="1" ht="12.75" hidden="1" customHeight="1" outlineLevel="3">
      <c r="A872" s="110"/>
      <c r="B872" s="118" t="s">
        <v>17405</v>
      </c>
      <c r="C872" s="307"/>
      <c r="D872" s="124" t="s">
        <v>18103</v>
      </c>
      <c r="E872" s="46"/>
      <c r="F872" s="118" t="s">
        <v>4255</v>
      </c>
      <c r="G872" s="126" t="str">
        <f t="shared" si="58"/>
        <v>MEP-L45P-1</v>
      </c>
      <c r="H872" s="122">
        <v>1</v>
      </c>
      <c r="I872" s="129">
        <v>1</v>
      </c>
      <c r="J872" s="128" t="s">
        <v>286</v>
      </c>
      <c r="K872" s="120"/>
      <c r="L872" s="120"/>
      <c r="P872" s="120"/>
      <c r="T872" s="120"/>
    </row>
    <row r="873" spans="1:20" s="18" customFormat="1" ht="12.75" hidden="1" customHeight="1" outlineLevel="3">
      <c r="A873" s="110"/>
      <c r="B873" s="118" t="s">
        <v>17405</v>
      </c>
      <c r="C873" s="307"/>
      <c r="D873" s="124" t="s">
        <v>18104</v>
      </c>
      <c r="E873" s="46"/>
      <c r="F873" s="118" t="s">
        <v>4255</v>
      </c>
      <c r="G873" s="126" t="str">
        <f t="shared" si="58"/>
        <v>MEP-L45P-1</v>
      </c>
      <c r="H873" s="122">
        <v>1</v>
      </c>
      <c r="I873" s="129">
        <v>1</v>
      </c>
      <c r="J873" s="128" t="s">
        <v>286</v>
      </c>
      <c r="K873" s="120"/>
      <c r="L873" s="120"/>
      <c r="P873" s="120"/>
      <c r="T873" s="120"/>
    </row>
    <row r="874" spans="1:20" s="18" customFormat="1" ht="12.75" hidden="1" customHeight="1" outlineLevel="3">
      <c r="A874" s="110"/>
      <c r="B874" s="118" t="s">
        <v>17405</v>
      </c>
      <c r="C874" s="307"/>
      <c r="D874" s="124" t="s">
        <v>18105</v>
      </c>
      <c r="E874" s="46"/>
      <c r="F874" s="118" t="s">
        <v>4255</v>
      </c>
      <c r="G874" s="126" t="str">
        <f t="shared" si="58"/>
        <v>MEP-L45P-1</v>
      </c>
      <c r="H874" s="122">
        <v>1</v>
      </c>
      <c r="I874" s="129">
        <v>1</v>
      </c>
      <c r="J874" s="128" t="s">
        <v>286</v>
      </c>
      <c r="K874" s="120"/>
      <c r="L874" s="120"/>
      <c r="P874" s="120"/>
      <c r="T874" s="120"/>
    </row>
    <row r="875" spans="1:20" s="18" customFormat="1" ht="3" customHeight="1">
      <c r="A875" s="110"/>
      <c r="B875" s="118"/>
      <c r="C875" s="307"/>
      <c r="D875" s="124"/>
      <c r="E875" s="46"/>
      <c r="F875" s="118"/>
      <c r="G875" s="126"/>
      <c r="H875" s="122"/>
      <c r="J875" s="120"/>
      <c r="K875" s="120"/>
      <c r="L875" s="120"/>
    </row>
    <row r="876" spans="1:20" s="18" customFormat="1" ht="12.75" customHeight="1">
      <c r="A876" s="110" t="s">
        <v>27</v>
      </c>
      <c r="B876" s="118"/>
      <c r="C876" s="307"/>
      <c r="D876" s="124"/>
      <c r="E876" s="46"/>
      <c r="F876" s="41" t="s">
        <v>261</v>
      </c>
      <c r="G876" s="41" t="s">
        <v>262</v>
      </c>
      <c r="H876" s="42" t="s">
        <v>263</v>
      </c>
      <c r="I876" s="120"/>
      <c r="J876" s="120"/>
      <c r="K876" s="62"/>
      <c r="L876" s="62"/>
    </row>
    <row r="877" spans="1:20" s="18" customFormat="1" ht="12.75" customHeight="1" outlineLevel="1">
      <c r="B877" s="118"/>
      <c r="C877" s="307"/>
      <c r="D877" s="124"/>
      <c r="E877" s="125"/>
      <c r="F877" s="17"/>
      <c r="G877" s="132"/>
      <c r="H877" s="127"/>
      <c r="I877" s="128"/>
      <c r="J877" s="128"/>
      <c r="K877" s="128"/>
      <c r="L877" s="129"/>
    </row>
    <row r="878" spans="1:20" s="18" customFormat="1" ht="12.75" customHeight="1" outlineLevel="1">
      <c r="B878" s="118"/>
      <c r="C878" s="307" t="s">
        <v>18177</v>
      </c>
      <c r="D878" s="124" t="s">
        <v>6008</v>
      </c>
      <c r="E878" s="125"/>
      <c r="F878" s="118" t="s">
        <v>4396</v>
      </c>
      <c r="G878" s="126" t="str">
        <f>CONCATENATE("MEP-",F878,"-",H878)</f>
        <v>MEP-SDV-1</v>
      </c>
      <c r="H878" s="127">
        <v>1</v>
      </c>
      <c r="I878" s="128">
        <v>1</v>
      </c>
      <c r="J878" s="128" t="s">
        <v>286</v>
      </c>
      <c r="K878" s="128"/>
      <c r="L878" s="129"/>
    </row>
    <row r="879" spans="1:20" s="18" customFormat="1" ht="12.75" customHeight="1" outlineLevel="1">
      <c r="B879" s="118"/>
      <c r="C879" s="307" t="s">
        <v>18178</v>
      </c>
      <c r="D879" s="124" t="s">
        <v>18179</v>
      </c>
      <c r="E879" s="125"/>
      <c r="F879" s="118" t="s">
        <v>4396</v>
      </c>
      <c r="G879" s="126" t="str">
        <f t="shared" ref="G879:G932" si="59">CONCATENATE("MEP-",F879,"-",H879)</f>
        <v>MEP-SDV-1</v>
      </c>
      <c r="H879" s="127">
        <v>1</v>
      </c>
      <c r="I879" s="128">
        <v>1</v>
      </c>
      <c r="J879" s="128" t="s">
        <v>286</v>
      </c>
      <c r="K879" s="128"/>
      <c r="L879" s="129"/>
    </row>
    <row r="880" spans="1:20" s="18" customFormat="1" ht="12.75" customHeight="1" outlineLevel="1">
      <c r="B880" s="118"/>
      <c r="C880" s="307" t="s">
        <v>18180</v>
      </c>
      <c r="D880" s="124" t="s">
        <v>18181</v>
      </c>
      <c r="E880" s="125"/>
      <c r="F880" s="118" t="s">
        <v>4396</v>
      </c>
      <c r="G880" s="126" t="str">
        <f t="shared" si="59"/>
        <v>MEP-SDV-1</v>
      </c>
      <c r="H880" s="127">
        <v>1</v>
      </c>
      <c r="I880" s="128">
        <v>1</v>
      </c>
      <c r="J880" s="128" t="s">
        <v>286</v>
      </c>
      <c r="K880" s="128"/>
      <c r="L880" s="129"/>
    </row>
    <row r="881" spans="2:12" s="18" customFormat="1" ht="12.75" customHeight="1" outlineLevel="1">
      <c r="B881" s="118"/>
      <c r="C881" s="307" t="s">
        <v>18182</v>
      </c>
      <c r="D881" s="124" t="s">
        <v>18183</v>
      </c>
      <c r="E881" s="125"/>
      <c r="F881" s="118" t="s">
        <v>4396</v>
      </c>
      <c r="G881" s="126" t="str">
        <f t="shared" si="59"/>
        <v>MEP-SDV-1</v>
      </c>
      <c r="H881" s="127">
        <v>1</v>
      </c>
      <c r="I881" s="128">
        <v>1</v>
      </c>
      <c r="J881" s="128" t="s">
        <v>286</v>
      </c>
      <c r="K881" s="128"/>
      <c r="L881" s="129"/>
    </row>
    <row r="882" spans="2:12" s="18" customFormat="1" ht="12.75" customHeight="1" outlineLevel="1">
      <c r="B882" s="118"/>
      <c r="C882" s="307" t="s">
        <v>18184</v>
      </c>
      <c r="D882" s="124" t="s">
        <v>18179</v>
      </c>
      <c r="E882" s="125"/>
      <c r="F882" s="118" t="s">
        <v>4396</v>
      </c>
      <c r="G882" s="126" t="str">
        <f t="shared" si="59"/>
        <v>MEP-SDV-1</v>
      </c>
      <c r="H882" s="127">
        <v>1</v>
      </c>
      <c r="I882" s="128">
        <v>1</v>
      </c>
      <c r="J882" s="128" t="s">
        <v>310</v>
      </c>
      <c r="K882" s="128"/>
      <c r="L882" s="129"/>
    </row>
    <row r="883" spans="2:12" s="18" customFormat="1" ht="12.75" customHeight="1" outlineLevel="1">
      <c r="B883" s="118"/>
      <c r="C883" s="307" t="s">
        <v>18185</v>
      </c>
      <c r="D883" s="124" t="s">
        <v>4414</v>
      </c>
      <c r="E883" s="125"/>
      <c r="F883" s="118" t="s">
        <v>4396</v>
      </c>
      <c r="G883" s="126" t="str">
        <f t="shared" si="59"/>
        <v>MEP-SDV-1</v>
      </c>
      <c r="H883" s="127">
        <v>1</v>
      </c>
      <c r="I883" s="128">
        <v>1</v>
      </c>
      <c r="J883" s="128" t="s">
        <v>307</v>
      </c>
      <c r="K883" s="128"/>
      <c r="L883" s="129"/>
    </row>
    <row r="884" spans="2:12" s="18" customFormat="1" ht="12.75" customHeight="1" outlineLevel="1">
      <c r="B884" s="118"/>
      <c r="C884" s="307" t="s">
        <v>18186</v>
      </c>
      <c r="D884" s="124" t="s">
        <v>18187</v>
      </c>
      <c r="E884" s="125"/>
      <c r="F884" s="118" t="s">
        <v>4396</v>
      </c>
      <c r="G884" s="126" t="str">
        <f t="shared" si="59"/>
        <v>MEP-SDV-1</v>
      </c>
      <c r="H884" s="127">
        <v>1</v>
      </c>
      <c r="I884" s="128">
        <v>1</v>
      </c>
      <c r="J884" s="128" t="s">
        <v>307</v>
      </c>
      <c r="K884" s="128"/>
      <c r="L884" s="129"/>
    </row>
    <row r="885" spans="2:12" s="18" customFormat="1" ht="12.75" customHeight="1" outlineLevel="1">
      <c r="B885" s="118"/>
      <c r="C885" s="307" t="s">
        <v>18188</v>
      </c>
      <c r="D885" s="124" t="s">
        <v>18189</v>
      </c>
      <c r="E885" s="125"/>
      <c r="F885" s="118" t="s">
        <v>4396</v>
      </c>
      <c r="G885" s="126" t="str">
        <f t="shared" si="59"/>
        <v>MEP-SDV-1</v>
      </c>
      <c r="H885" s="127">
        <v>1</v>
      </c>
      <c r="I885" s="128">
        <v>1</v>
      </c>
      <c r="J885" s="128" t="s">
        <v>310</v>
      </c>
      <c r="K885" s="128"/>
      <c r="L885" s="129"/>
    </row>
    <row r="886" spans="2:12" s="18" customFormat="1" ht="12.75" customHeight="1" outlineLevel="1">
      <c r="B886" s="118"/>
      <c r="C886" s="307" t="s">
        <v>18190</v>
      </c>
      <c r="D886" s="124" t="s">
        <v>18191</v>
      </c>
      <c r="E886" s="125"/>
      <c r="F886" s="118" t="s">
        <v>4396</v>
      </c>
      <c r="G886" s="126" t="str">
        <f t="shared" si="59"/>
        <v>MEP-SDV-1</v>
      </c>
      <c r="H886" s="127">
        <v>1</v>
      </c>
      <c r="I886" s="128">
        <v>1</v>
      </c>
      <c r="J886" s="128" t="s">
        <v>310</v>
      </c>
      <c r="K886" s="128"/>
      <c r="L886" s="129"/>
    </row>
    <row r="887" spans="2:12" s="18" customFormat="1" ht="12.75" customHeight="1" outlineLevel="1">
      <c r="B887" s="118"/>
      <c r="C887" s="307" t="s">
        <v>18192</v>
      </c>
      <c r="D887" s="124" t="s">
        <v>18193</v>
      </c>
      <c r="E887" s="125"/>
      <c r="F887" s="118" t="s">
        <v>4396</v>
      </c>
      <c r="G887" s="126" t="str">
        <f t="shared" si="59"/>
        <v>MEP-SDV-1</v>
      </c>
      <c r="H887" s="127">
        <v>1</v>
      </c>
      <c r="I887" s="128">
        <v>1</v>
      </c>
      <c r="J887" s="128" t="s">
        <v>286</v>
      </c>
      <c r="K887" s="128"/>
      <c r="L887" s="129"/>
    </row>
    <row r="888" spans="2:12" s="18" customFormat="1" ht="12.75" customHeight="1" outlineLevel="1">
      <c r="B888" s="118"/>
      <c r="C888" s="307" t="s">
        <v>18194</v>
      </c>
      <c r="D888" s="124" t="s">
        <v>18195</v>
      </c>
      <c r="E888" s="125"/>
      <c r="F888" s="118" t="s">
        <v>4396</v>
      </c>
      <c r="G888" s="126" t="str">
        <f t="shared" si="59"/>
        <v>MEP-SDV-1</v>
      </c>
      <c r="H888" s="127">
        <v>1</v>
      </c>
      <c r="I888" s="128">
        <v>1</v>
      </c>
      <c r="J888" s="128" t="s">
        <v>310</v>
      </c>
      <c r="K888" s="128"/>
      <c r="L888" s="129"/>
    </row>
    <row r="889" spans="2:12" s="18" customFormat="1" ht="12.75" customHeight="1" outlineLevel="1">
      <c r="B889" s="118"/>
      <c r="C889" s="307" t="s">
        <v>18196</v>
      </c>
      <c r="D889" s="124" t="s">
        <v>18197</v>
      </c>
      <c r="E889" s="125"/>
      <c r="F889" s="118" t="s">
        <v>4396</v>
      </c>
      <c r="G889" s="126" t="str">
        <f t="shared" si="59"/>
        <v>MEP-SDV-1</v>
      </c>
      <c r="H889" s="127">
        <v>1</v>
      </c>
      <c r="I889" s="128">
        <v>1</v>
      </c>
      <c r="J889" s="128" t="s">
        <v>310</v>
      </c>
      <c r="K889" s="128"/>
      <c r="L889" s="129"/>
    </row>
    <row r="890" spans="2:12" s="18" customFormat="1" ht="12.75" customHeight="1" outlineLevel="1">
      <c r="B890" s="118"/>
      <c r="C890" s="307" t="s">
        <v>18198</v>
      </c>
      <c r="D890" s="124" t="s">
        <v>18199</v>
      </c>
      <c r="E890" s="125"/>
      <c r="F890" s="118" t="s">
        <v>4396</v>
      </c>
      <c r="G890" s="126" t="str">
        <f t="shared" si="59"/>
        <v>MEP-SDV-1</v>
      </c>
      <c r="H890" s="127">
        <v>1</v>
      </c>
      <c r="I890" s="128">
        <v>1</v>
      </c>
      <c r="J890" s="128" t="s">
        <v>310</v>
      </c>
      <c r="K890" s="128"/>
      <c r="L890" s="129"/>
    </row>
    <row r="891" spans="2:12" s="18" customFormat="1" ht="12.75" customHeight="1" outlineLevel="1">
      <c r="B891" s="118"/>
      <c r="C891" s="307" t="s">
        <v>18200</v>
      </c>
      <c r="D891" s="124" t="s">
        <v>18201</v>
      </c>
      <c r="E891" s="125"/>
      <c r="F891" s="118" t="s">
        <v>4396</v>
      </c>
      <c r="G891" s="126" t="str">
        <f t="shared" si="59"/>
        <v>MEP-SDV-1</v>
      </c>
      <c r="H891" s="127">
        <v>1</v>
      </c>
      <c r="I891" s="128">
        <v>1</v>
      </c>
      <c r="J891" s="128" t="s">
        <v>310</v>
      </c>
      <c r="K891" s="128"/>
      <c r="L891" s="129"/>
    </row>
    <row r="892" spans="2:12" s="18" customFormat="1" ht="12.75" customHeight="1" outlineLevel="1">
      <c r="B892" s="118"/>
      <c r="C892" s="307" t="s">
        <v>18202</v>
      </c>
      <c r="D892" s="124" t="s">
        <v>18203</v>
      </c>
      <c r="E892" s="125"/>
      <c r="F892" s="118" t="s">
        <v>4396</v>
      </c>
      <c r="G892" s="126" t="str">
        <f t="shared" si="59"/>
        <v>MEP-SDV-1</v>
      </c>
      <c r="H892" s="127">
        <v>1</v>
      </c>
      <c r="I892" s="128">
        <v>1</v>
      </c>
      <c r="J892" s="128" t="s">
        <v>310</v>
      </c>
      <c r="K892" s="128"/>
      <c r="L892" s="129"/>
    </row>
    <row r="893" spans="2:12" s="18" customFormat="1" ht="12.75" customHeight="1" outlineLevel="1">
      <c r="B893" s="118"/>
      <c r="C893" s="307" t="s">
        <v>18204</v>
      </c>
      <c r="D893" s="124" t="s">
        <v>18205</v>
      </c>
      <c r="E893" s="125"/>
      <c r="F893" s="118" t="s">
        <v>4396</v>
      </c>
      <c r="G893" s="126" t="str">
        <f t="shared" si="59"/>
        <v>MEP-SDV-1</v>
      </c>
      <c r="H893" s="127">
        <v>1</v>
      </c>
      <c r="I893" s="128">
        <v>1</v>
      </c>
      <c r="J893" s="128" t="s">
        <v>310</v>
      </c>
      <c r="K893" s="128"/>
      <c r="L893" s="129"/>
    </row>
    <row r="894" spans="2:12" s="18" customFormat="1" ht="12.75" customHeight="1" outlineLevel="1">
      <c r="B894" s="118"/>
      <c r="C894" s="307" t="s">
        <v>18206</v>
      </c>
      <c r="D894" s="124" t="s">
        <v>18207</v>
      </c>
      <c r="E894" s="125"/>
      <c r="F894" s="118" t="s">
        <v>4396</v>
      </c>
      <c r="G894" s="126" t="str">
        <f t="shared" si="59"/>
        <v>MEP-SDV-1</v>
      </c>
      <c r="H894" s="127">
        <v>1</v>
      </c>
      <c r="I894" s="128">
        <v>1</v>
      </c>
      <c r="J894" s="128" t="s">
        <v>310</v>
      </c>
      <c r="K894" s="128"/>
      <c r="L894" s="129"/>
    </row>
    <row r="895" spans="2:12" s="18" customFormat="1" ht="12.75" customHeight="1" outlineLevel="1">
      <c r="B895" s="118"/>
      <c r="C895" s="307" t="s">
        <v>18208</v>
      </c>
      <c r="D895" s="124" t="s">
        <v>18209</v>
      </c>
      <c r="E895" s="125"/>
      <c r="F895" s="118" t="s">
        <v>4396</v>
      </c>
      <c r="G895" s="126" t="str">
        <f t="shared" si="59"/>
        <v>MEP-SDV-1</v>
      </c>
      <c r="H895" s="127">
        <v>1</v>
      </c>
      <c r="I895" s="128">
        <v>1</v>
      </c>
      <c r="J895" s="128" t="s">
        <v>310</v>
      </c>
      <c r="K895" s="128"/>
      <c r="L895" s="129"/>
    </row>
    <row r="896" spans="2:12" s="18" customFormat="1" ht="12.75" customHeight="1" outlineLevel="1">
      <c r="B896" s="118"/>
      <c r="C896" s="307" t="s">
        <v>18210</v>
      </c>
      <c r="D896" s="124" t="s">
        <v>18211</v>
      </c>
      <c r="E896" s="125"/>
      <c r="F896" s="118" t="s">
        <v>4396</v>
      </c>
      <c r="G896" s="126" t="str">
        <f t="shared" si="59"/>
        <v>MEP-SDV-1</v>
      </c>
      <c r="H896" s="127">
        <v>1</v>
      </c>
      <c r="I896" s="128">
        <v>1</v>
      </c>
      <c r="J896" s="128" t="s">
        <v>310</v>
      </c>
      <c r="K896" s="128"/>
      <c r="L896" s="129"/>
    </row>
    <row r="897" spans="2:12" s="18" customFormat="1" ht="12.75" customHeight="1" outlineLevel="1">
      <c r="B897" s="118"/>
      <c r="C897" s="307" t="s">
        <v>18212</v>
      </c>
      <c r="D897" s="124" t="s">
        <v>18213</v>
      </c>
      <c r="E897" s="125"/>
      <c r="F897" s="118" t="s">
        <v>4396</v>
      </c>
      <c r="G897" s="126" t="str">
        <f t="shared" si="59"/>
        <v>MEP-SDV-1</v>
      </c>
      <c r="H897" s="127">
        <v>1</v>
      </c>
      <c r="I897" s="128">
        <v>1</v>
      </c>
      <c r="J897" s="128" t="s">
        <v>307</v>
      </c>
      <c r="K897" s="128"/>
      <c r="L897" s="129"/>
    </row>
    <row r="898" spans="2:12" s="18" customFormat="1" ht="12.75" customHeight="1" outlineLevel="1">
      <c r="B898" s="118"/>
      <c r="C898" s="307" t="s">
        <v>18214</v>
      </c>
      <c r="D898" s="124" t="s">
        <v>18215</v>
      </c>
      <c r="E898" s="125"/>
      <c r="F898" s="118" t="s">
        <v>4396</v>
      </c>
      <c r="G898" s="126" t="str">
        <f t="shared" si="59"/>
        <v>MEP-SDV-1</v>
      </c>
      <c r="H898" s="127">
        <v>1</v>
      </c>
      <c r="I898" s="128">
        <v>1</v>
      </c>
      <c r="J898" s="128" t="s">
        <v>310</v>
      </c>
      <c r="K898" s="128"/>
      <c r="L898" s="129"/>
    </row>
    <row r="899" spans="2:12" s="18" customFormat="1" ht="12.75" customHeight="1" outlineLevel="1">
      <c r="B899" s="118"/>
      <c r="C899" s="307" t="s">
        <v>18216</v>
      </c>
      <c r="D899" s="124" t="s">
        <v>18217</v>
      </c>
      <c r="E899" s="125"/>
      <c r="F899" s="118" t="s">
        <v>4396</v>
      </c>
      <c r="G899" s="126" t="str">
        <f t="shared" si="59"/>
        <v>MEP-SDV-1</v>
      </c>
      <c r="H899" s="127">
        <v>1</v>
      </c>
      <c r="I899" s="128">
        <v>1</v>
      </c>
      <c r="J899" s="128" t="s">
        <v>307</v>
      </c>
      <c r="K899" s="128"/>
      <c r="L899" s="129"/>
    </row>
    <row r="900" spans="2:12" s="18" customFormat="1" ht="12.75" customHeight="1" outlineLevel="1">
      <c r="B900" s="118"/>
      <c r="C900" s="307" t="s">
        <v>18218</v>
      </c>
      <c r="D900" s="124" t="s">
        <v>18219</v>
      </c>
      <c r="E900" s="125"/>
      <c r="F900" s="118" t="s">
        <v>4396</v>
      </c>
      <c r="G900" s="126" t="str">
        <f t="shared" si="59"/>
        <v>MEP-SDV-1</v>
      </c>
      <c r="H900" s="127">
        <v>1</v>
      </c>
      <c r="I900" s="128">
        <v>1</v>
      </c>
      <c r="J900" s="128" t="s">
        <v>310</v>
      </c>
      <c r="K900" s="128"/>
      <c r="L900" s="129"/>
    </row>
    <row r="901" spans="2:12" s="18" customFormat="1" ht="12.75" customHeight="1" outlineLevel="1">
      <c r="B901" s="118"/>
      <c r="C901" s="307" t="s">
        <v>18220</v>
      </c>
      <c r="D901" s="124" t="s">
        <v>18221</v>
      </c>
      <c r="E901" s="125"/>
      <c r="F901" s="118" t="s">
        <v>4396</v>
      </c>
      <c r="G901" s="126" t="str">
        <f t="shared" si="59"/>
        <v>MEP-SDV-1</v>
      </c>
      <c r="H901" s="127">
        <v>1</v>
      </c>
      <c r="I901" s="128">
        <v>1</v>
      </c>
      <c r="J901" s="128" t="s">
        <v>310</v>
      </c>
      <c r="K901" s="128"/>
      <c r="L901" s="129"/>
    </row>
    <row r="902" spans="2:12" s="18" customFormat="1" ht="12.75" customHeight="1" outlineLevel="1">
      <c r="B902" s="118"/>
      <c r="C902" s="307" t="s">
        <v>18222</v>
      </c>
      <c r="D902" s="124" t="s">
        <v>18223</v>
      </c>
      <c r="E902" s="125"/>
      <c r="F902" s="118" t="s">
        <v>4396</v>
      </c>
      <c r="G902" s="126" t="str">
        <f t="shared" si="59"/>
        <v>MEP-SDV-1</v>
      </c>
      <c r="H902" s="127">
        <v>1</v>
      </c>
      <c r="I902" s="128">
        <v>1</v>
      </c>
      <c r="J902" s="128" t="s">
        <v>743</v>
      </c>
      <c r="K902" s="128"/>
      <c r="L902" s="129"/>
    </row>
    <row r="903" spans="2:12" s="18" customFormat="1" ht="12.75" customHeight="1" outlineLevel="1">
      <c r="B903" s="118"/>
      <c r="C903" s="307" t="s">
        <v>18224</v>
      </c>
      <c r="D903" s="124" t="s">
        <v>18225</v>
      </c>
      <c r="E903" s="125"/>
      <c r="F903" s="118" t="s">
        <v>4396</v>
      </c>
      <c r="G903" s="126" t="str">
        <f t="shared" si="59"/>
        <v>MEP-SDV-1</v>
      </c>
      <c r="H903" s="127">
        <v>1</v>
      </c>
      <c r="I903" s="128">
        <v>1</v>
      </c>
      <c r="J903" s="128" t="s">
        <v>286</v>
      </c>
      <c r="K903" s="128"/>
      <c r="L903" s="129"/>
    </row>
    <row r="904" spans="2:12" s="18" customFormat="1" ht="12.75" customHeight="1" outlineLevel="1">
      <c r="B904" s="118"/>
      <c r="C904" s="307" t="s">
        <v>18226</v>
      </c>
      <c r="D904" s="124" t="s">
        <v>18227</v>
      </c>
      <c r="E904" s="125"/>
      <c r="F904" s="118" t="s">
        <v>4396</v>
      </c>
      <c r="G904" s="126" t="str">
        <f t="shared" si="59"/>
        <v>MEP-SDV-1</v>
      </c>
      <c r="H904" s="127">
        <v>1</v>
      </c>
      <c r="I904" s="128">
        <v>1</v>
      </c>
      <c r="J904" s="128" t="s">
        <v>286</v>
      </c>
      <c r="K904" s="128"/>
      <c r="L904" s="129"/>
    </row>
    <row r="905" spans="2:12" s="18" customFormat="1" ht="12.75" customHeight="1" outlineLevel="1">
      <c r="B905" s="118"/>
      <c r="C905" s="307" t="s">
        <v>18228</v>
      </c>
      <c r="D905" s="124" t="s">
        <v>18229</v>
      </c>
      <c r="E905" s="125"/>
      <c r="F905" s="118" t="s">
        <v>4396</v>
      </c>
      <c r="G905" s="126" t="str">
        <f t="shared" si="59"/>
        <v>MEP-SDV-1</v>
      </c>
      <c r="H905" s="127">
        <v>1</v>
      </c>
      <c r="I905" s="128">
        <v>1</v>
      </c>
      <c r="J905" s="128" t="s">
        <v>286</v>
      </c>
      <c r="K905" s="128"/>
      <c r="L905" s="129"/>
    </row>
    <row r="906" spans="2:12" s="18" customFormat="1" ht="12.75" customHeight="1" outlineLevel="1">
      <c r="B906" s="118"/>
      <c r="C906" s="307" t="s">
        <v>18230</v>
      </c>
      <c r="D906" s="124" t="s">
        <v>18231</v>
      </c>
      <c r="E906" s="125"/>
      <c r="F906" s="118" t="s">
        <v>4396</v>
      </c>
      <c r="G906" s="126" t="str">
        <f t="shared" si="59"/>
        <v>MEP-SDV-1</v>
      </c>
      <c r="H906" s="127">
        <v>1</v>
      </c>
      <c r="I906" s="128">
        <v>1</v>
      </c>
      <c r="J906" s="128" t="s">
        <v>286</v>
      </c>
      <c r="K906" s="128"/>
      <c r="L906" s="129"/>
    </row>
    <row r="907" spans="2:12" s="18" customFormat="1" ht="12.75" customHeight="1" outlineLevel="1">
      <c r="B907" s="118"/>
      <c r="C907" s="307" t="s">
        <v>18232</v>
      </c>
      <c r="D907" s="124" t="s">
        <v>18233</v>
      </c>
      <c r="E907" s="125"/>
      <c r="F907" s="118" t="s">
        <v>4396</v>
      </c>
      <c r="G907" s="126" t="str">
        <f t="shared" si="59"/>
        <v>MEP-SDV-1</v>
      </c>
      <c r="H907" s="127">
        <v>1</v>
      </c>
      <c r="I907" s="128">
        <v>1</v>
      </c>
      <c r="J907" s="128" t="s">
        <v>286</v>
      </c>
      <c r="K907" s="128"/>
      <c r="L907" s="129"/>
    </row>
    <row r="908" spans="2:12" s="18" customFormat="1" ht="12.75" customHeight="1" outlineLevel="1">
      <c r="B908" s="118"/>
      <c r="C908" s="307" t="s">
        <v>18234</v>
      </c>
      <c r="D908" s="124" t="s">
        <v>18235</v>
      </c>
      <c r="E908" s="125"/>
      <c r="F908" s="118" t="s">
        <v>4396</v>
      </c>
      <c r="G908" s="126" t="str">
        <f t="shared" si="59"/>
        <v>MEP-SDV-1</v>
      </c>
      <c r="H908" s="127">
        <v>1</v>
      </c>
      <c r="I908" s="128">
        <v>1</v>
      </c>
      <c r="J908" s="128" t="s">
        <v>286</v>
      </c>
      <c r="K908" s="128"/>
      <c r="L908" s="129"/>
    </row>
    <row r="909" spans="2:12" s="18" customFormat="1" ht="12.75" customHeight="1" outlineLevel="1">
      <c r="B909" s="118"/>
      <c r="C909" s="307" t="s">
        <v>18236</v>
      </c>
      <c r="D909" s="124" t="s">
        <v>18237</v>
      </c>
      <c r="E909" s="125"/>
      <c r="F909" s="118" t="s">
        <v>4396</v>
      </c>
      <c r="G909" s="126" t="str">
        <f t="shared" si="59"/>
        <v>MEP-SDV-1</v>
      </c>
      <c r="H909" s="127">
        <v>1</v>
      </c>
      <c r="I909" s="128">
        <v>1</v>
      </c>
      <c r="J909" s="128" t="s">
        <v>286</v>
      </c>
      <c r="K909" s="128"/>
      <c r="L909" s="129"/>
    </row>
    <row r="910" spans="2:12" s="18" customFormat="1" ht="12.75" customHeight="1" outlineLevel="1">
      <c r="B910" s="118"/>
      <c r="C910" s="307" t="s">
        <v>18238</v>
      </c>
      <c r="D910" s="124" t="s">
        <v>18239</v>
      </c>
      <c r="E910" s="125"/>
      <c r="F910" s="118" t="s">
        <v>4396</v>
      </c>
      <c r="G910" s="126" t="str">
        <f t="shared" si="59"/>
        <v>MEP-SDV-1</v>
      </c>
      <c r="H910" s="127">
        <v>1</v>
      </c>
      <c r="I910" s="128">
        <v>1</v>
      </c>
      <c r="J910" s="128" t="s">
        <v>286</v>
      </c>
      <c r="K910" s="128"/>
      <c r="L910" s="129"/>
    </row>
    <row r="911" spans="2:12" s="18" customFormat="1" ht="12.75" customHeight="1" outlineLevel="1">
      <c r="B911" s="118"/>
      <c r="C911" s="307" t="s">
        <v>18240</v>
      </c>
      <c r="D911" s="124" t="s">
        <v>18241</v>
      </c>
      <c r="E911" s="125"/>
      <c r="F911" s="118" t="s">
        <v>4396</v>
      </c>
      <c r="G911" s="126" t="str">
        <f t="shared" si="59"/>
        <v>MEP-SDV-1</v>
      </c>
      <c r="H911" s="127">
        <v>1</v>
      </c>
      <c r="I911" s="128">
        <v>1</v>
      </c>
      <c r="J911" s="128" t="s">
        <v>286</v>
      </c>
      <c r="K911" s="128"/>
      <c r="L911" s="129"/>
    </row>
    <row r="912" spans="2:12" s="18" customFormat="1" ht="12.75" customHeight="1" outlineLevel="1">
      <c r="B912" s="118"/>
      <c r="C912" s="307" t="s">
        <v>18242</v>
      </c>
      <c r="D912" s="124" t="s">
        <v>18243</v>
      </c>
      <c r="E912" s="125"/>
      <c r="F912" s="118" t="s">
        <v>4396</v>
      </c>
      <c r="G912" s="126" t="str">
        <f t="shared" si="59"/>
        <v>MEP-SDV-1</v>
      </c>
      <c r="H912" s="127">
        <v>1</v>
      </c>
      <c r="I912" s="128">
        <v>1</v>
      </c>
      <c r="J912" s="128" t="s">
        <v>286</v>
      </c>
      <c r="K912" s="128"/>
      <c r="L912" s="129"/>
    </row>
    <row r="913" spans="2:17" s="18" customFormat="1" ht="12.75" customHeight="1" outlineLevel="1">
      <c r="B913" s="118"/>
      <c r="C913" s="307" t="s">
        <v>18244</v>
      </c>
      <c r="D913" s="124" t="s">
        <v>18245</v>
      </c>
      <c r="E913" s="125"/>
      <c r="F913" s="118" t="s">
        <v>4396</v>
      </c>
      <c r="G913" s="126" t="str">
        <f t="shared" si="59"/>
        <v>MEP-SDV-1</v>
      </c>
      <c r="H913" s="127">
        <v>1</v>
      </c>
      <c r="I913" s="128">
        <v>1</v>
      </c>
      <c r="J913" s="128" t="s">
        <v>286</v>
      </c>
      <c r="K913" s="128"/>
      <c r="L913" s="129"/>
    </row>
    <row r="914" spans="2:17" s="18" customFormat="1" ht="12.75" customHeight="1" outlineLevel="1">
      <c r="B914" s="118"/>
      <c r="C914" s="307" t="s">
        <v>18246</v>
      </c>
      <c r="D914" s="124" t="s">
        <v>18247</v>
      </c>
      <c r="E914" s="125"/>
      <c r="F914" s="118" t="s">
        <v>4396</v>
      </c>
      <c r="G914" s="126" t="str">
        <f t="shared" si="59"/>
        <v>MEP-SDV-1</v>
      </c>
      <c r="H914" s="127">
        <v>1</v>
      </c>
      <c r="I914" s="128">
        <v>1</v>
      </c>
      <c r="J914" s="128" t="s">
        <v>286</v>
      </c>
      <c r="K914" s="128"/>
      <c r="L914" s="129"/>
    </row>
    <row r="915" spans="2:17" s="18" customFormat="1" ht="12.75" customHeight="1" outlineLevel="1">
      <c r="B915" s="118"/>
      <c r="C915" s="307" t="s">
        <v>18248</v>
      </c>
      <c r="D915" s="124" t="s">
        <v>18249</v>
      </c>
      <c r="E915" s="125"/>
      <c r="F915" s="118" t="s">
        <v>4396</v>
      </c>
      <c r="G915" s="126" t="str">
        <f t="shared" si="59"/>
        <v>MEP-SDV-1</v>
      </c>
      <c r="H915" s="127">
        <v>1</v>
      </c>
      <c r="I915" s="128">
        <v>1</v>
      </c>
      <c r="J915" s="128" t="s">
        <v>286</v>
      </c>
      <c r="K915" s="128"/>
      <c r="L915" s="129"/>
    </row>
    <row r="916" spans="2:17" s="18" customFormat="1" ht="12.75" customHeight="1" outlineLevel="1">
      <c r="B916" s="118"/>
      <c r="C916" s="307" t="s">
        <v>18250</v>
      </c>
      <c r="D916" s="124" t="s">
        <v>18251</v>
      </c>
      <c r="E916" s="125"/>
      <c r="F916" s="118" t="s">
        <v>4396</v>
      </c>
      <c r="G916" s="126" t="str">
        <f t="shared" si="59"/>
        <v>MEP-SDV-1</v>
      </c>
      <c r="H916" s="127">
        <v>1</v>
      </c>
      <c r="I916" s="128">
        <v>1</v>
      </c>
      <c r="J916" s="128" t="s">
        <v>286</v>
      </c>
      <c r="K916" s="128"/>
      <c r="L916" s="129"/>
    </row>
    <row r="917" spans="2:17" s="18" customFormat="1" ht="12.75" customHeight="1" outlineLevel="1">
      <c r="B917" s="118"/>
      <c r="C917" s="307" t="s">
        <v>18252</v>
      </c>
      <c r="D917" s="124" t="s">
        <v>18253</v>
      </c>
      <c r="E917" s="125"/>
      <c r="F917" s="118" t="s">
        <v>4396</v>
      </c>
      <c r="G917" s="126" t="str">
        <f t="shared" si="59"/>
        <v>MEP-SDV-1</v>
      </c>
      <c r="H917" s="127">
        <v>1</v>
      </c>
      <c r="I917" s="128">
        <v>1</v>
      </c>
      <c r="J917" s="128" t="s">
        <v>286</v>
      </c>
      <c r="K917" s="128"/>
      <c r="L917" s="129"/>
    </row>
    <row r="918" spans="2:17" s="18" customFormat="1" ht="12.75" customHeight="1" outlineLevel="1">
      <c r="B918" s="118"/>
      <c r="C918" s="307" t="s">
        <v>18254</v>
      </c>
      <c r="D918" s="124" t="s">
        <v>18255</v>
      </c>
      <c r="E918" s="125"/>
      <c r="F918" s="118" t="s">
        <v>4396</v>
      </c>
      <c r="G918" s="126" t="str">
        <f t="shared" si="59"/>
        <v>MEP-SDV-1</v>
      </c>
      <c r="H918" s="127">
        <v>1</v>
      </c>
      <c r="I918" s="128">
        <v>1</v>
      </c>
      <c r="J918" s="128" t="s">
        <v>286</v>
      </c>
      <c r="K918" s="128"/>
      <c r="L918" s="129"/>
    </row>
    <row r="919" spans="2:17" s="18" customFormat="1" ht="12.75" customHeight="1" outlineLevel="1">
      <c r="B919" s="118"/>
      <c r="C919" s="307" t="s">
        <v>18256</v>
      </c>
      <c r="D919" s="124" t="s">
        <v>18257</v>
      </c>
      <c r="E919" s="125"/>
      <c r="F919" s="118" t="s">
        <v>4396</v>
      </c>
      <c r="G919" s="126" t="str">
        <f t="shared" si="59"/>
        <v>MEP-SDV-1</v>
      </c>
      <c r="H919" s="127">
        <v>1</v>
      </c>
      <c r="I919" s="128">
        <v>1</v>
      </c>
      <c r="J919" s="128" t="s">
        <v>286</v>
      </c>
      <c r="K919" s="128"/>
      <c r="L919" s="129"/>
    </row>
    <row r="920" spans="2:17" s="18" customFormat="1" ht="12.75" customHeight="1" outlineLevel="1">
      <c r="B920" s="118"/>
      <c r="C920" s="307" t="s">
        <v>18258</v>
      </c>
      <c r="D920" s="124" t="s">
        <v>18259</v>
      </c>
      <c r="E920" s="125"/>
      <c r="F920" s="118" t="s">
        <v>4396</v>
      </c>
      <c r="G920" s="126" t="str">
        <f t="shared" si="59"/>
        <v>MEP-SDV-1</v>
      </c>
      <c r="H920" s="127">
        <v>1</v>
      </c>
      <c r="I920" s="128">
        <v>1</v>
      </c>
      <c r="J920" s="128" t="s">
        <v>286</v>
      </c>
      <c r="K920" s="128"/>
      <c r="L920" s="129"/>
    </row>
    <row r="921" spans="2:17" s="18" customFormat="1" ht="12.75" customHeight="1" outlineLevel="1">
      <c r="B921" s="118"/>
      <c r="C921" s="307" t="s">
        <v>18260</v>
      </c>
      <c r="D921" s="124" t="s">
        <v>18259</v>
      </c>
      <c r="E921" s="125"/>
      <c r="F921" s="118" t="s">
        <v>4396</v>
      </c>
      <c r="G921" s="126" t="str">
        <f t="shared" si="59"/>
        <v>MEP-SDV-1</v>
      </c>
      <c r="H921" s="127">
        <v>1</v>
      </c>
      <c r="I921" s="128">
        <v>1</v>
      </c>
      <c r="J921" s="128" t="s">
        <v>286</v>
      </c>
      <c r="K921" s="128"/>
      <c r="L921" s="129"/>
    </row>
    <row r="922" spans="2:17" s="18" customFormat="1" ht="12.75" customHeight="1" outlineLevel="1">
      <c r="B922" s="118"/>
      <c r="C922" s="307" t="s">
        <v>18261</v>
      </c>
      <c r="D922" s="124" t="s">
        <v>18262</v>
      </c>
      <c r="E922" s="125"/>
      <c r="F922" s="118" t="s">
        <v>4396</v>
      </c>
      <c r="G922" s="126" t="str">
        <f t="shared" si="59"/>
        <v>MEP-SDV-1</v>
      </c>
      <c r="H922" s="127">
        <v>1</v>
      </c>
      <c r="I922" s="128">
        <v>1</v>
      </c>
      <c r="J922" s="128" t="s">
        <v>286</v>
      </c>
      <c r="K922" s="128"/>
      <c r="L922" s="129"/>
    </row>
    <row r="923" spans="2:17" s="18" customFormat="1" ht="12.75" customHeight="1" outlineLevel="1">
      <c r="B923" s="118"/>
      <c r="C923" s="307" t="s">
        <v>18263</v>
      </c>
      <c r="D923" s="124" t="s">
        <v>18259</v>
      </c>
      <c r="E923" s="125"/>
      <c r="F923" s="118" t="s">
        <v>4396</v>
      </c>
      <c r="G923" s="126" t="str">
        <f t="shared" si="59"/>
        <v>MEP-SDV-1</v>
      </c>
      <c r="H923" s="127">
        <v>1</v>
      </c>
      <c r="I923" s="128">
        <v>1</v>
      </c>
      <c r="J923" s="128" t="s">
        <v>286</v>
      </c>
      <c r="K923" s="128"/>
      <c r="L923" s="129"/>
    </row>
    <row r="924" spans="2:17" s="18" customFormat="1" ht="12.75" customHeight="1" outlineLevel="1">
      <c r="B924" s="118"/>
      <c r="C924" s="307" t="s">
        <v>18178</v>
      </c>
      <c r="D924" s="124" t="s">
        <v>18264</v>
      </c>
      <c r="E924" s="125"/>
      <c r="F924" s="118" t="s">
        <v>4396</v>
      </c>
      <c r="G924" s="126" t="str">
        <f t="shared" si="59"/>
        <v>MEP-SDV-3</v>
      </c>
      <c r="H924" s="127">
        <v>3</v>
      </c>
      <c r="I924" s="128">
        <v>1</v>
      </c>
      <c r="J924" s="128" t="s">
        <v>286</v>
      </c>
      <c r="K924" s="128"/>
      <c r="L924" s="129"/>
    </row>
    <row r="925" spans="2:17" s="18" customFormat="1" ht="12.75" customHeight="1" outlineLevel="1">
      <c r="B925" s="118"/>
      <c r="C925" s="307" t="s">
        <v>18180</v>
      </c>
      <c r="D925" s="124" t="s">
        <v>18181</v>
      </c>
      <c r="E925" s="125"/>
      <c r="F925" s="118" t="s">
        <v>4396</v>
      </c>
      <c r="G925" s="126" t="str">
        <f t="shared" si="59"/>
        <v>MEP-SDV-3</v>
      </c>
      <c r="H925" s="127">
        <v>3</v>
      </c>
      <c r="I925" s="128"/>
      <c r="J925" s="128" t="s">
        <v>310</v>
      </c>
      <c r="K925" s="129">
        <v>1</v>
      </c>
      <c r="L925" s="129">
        <v>1</v>
      </c>
      <c r="P925" s="129">
        <v>1</v>
      </c>
      <c r="Q925" s="129">
        <v>1</v>
      </c>
    </row>
    <row r="926" spans="2:17" s="18" customFormat="1" ht="12.75" customHeight="1" outlineLevel="1">
      <c r="B926" s="118"/>
      <c r="C926" s="307" t="s">
        <v>18182</v>
      </c>
      <c r="D926" s="124" t="s">
        <v>18183</v>
      </c>
      <c r="E926" s="125"/>
      <c r="F926" s="118" t="s">
        <v>4396</v>
      </c>
      <c r="G926" s="126" t="str">
        <f t="shared" si="59"/>
        <v>MEP-SDV-3</v>
      </c>
      <c r="H926" s="127">
        <v>3</v>
      </c>
      <c r="I926" s="128">
        <v>1</v>
      </c>
      <c r="J926" s="128" t="s">
        <v>286</v>
      </c>
      <c r="K926" s="128"/>
      <c r="L926" s="129"/>
    </row>
    <row r="927" spans="2:17" s="18" customFormat="1" ht="12.75" customHeight="1" outlineLevel="1">
      <c r="B927" s="118"/>
      <c r="C927" s="307" t="s">
        <v>18184</v>
      </c>
      <c r="D927" s="124" t="s">
        <v>18265</v>
      </c>
      <c r="E927" s="125"/>
      <c r="F927" s="118" t="s">
        <v>4396</v>
      </c>
      <c r="G927" s="126" t="str">
        <f t="shared" si="59"/>
        <v>MEP-SDV-3</v>
      </c>
      <c r="H927" s="127">
        <v>3</v>
      </c>
      <c r="I927" s="128">
        <v>1</v>
      </c>
      <c r="J927" s="128" t="s">
        <v>286</v>
      </c>
      <c r="K927" s="128"/>
      <c r="L927" s="129"/>
    </row>
    <row r="928" spans="2:17" s="18" customFormat="1" ht="12.75" customHeight="1" outlineLevel="1">
      <c r="B928" s="118"/>
      <c r="C928" s="307" t="s">
        <v>18266</v>
      </c>
      <c r="D928" s="124" t="s">
        <v>18267</v>
      </c>
      <c r="E928" s="125"/>
      <c r="F928" s="118" t="s">
        <v>4396</v>
      </c>
      <c r="G928" s="126" t="str">
        <f t="shared" si="59"/>
        <v>MEP-SDV-3</v>
      </c>
      <c r="H928" s="127">
        <v>3</v>
      </c>
      <c r="I928" s="128">
        <v>1</v>
      </c>
      <c r="J928" s="128" t="s">
        <v>286</v>
      </c>
      <c r="K928" s="128"/>
      <c r="L928" s="129"/>
    </row>
    <row r="929" spans="2:18" s="18" customFormat="1" ht="12.75" customHeight="1" outlineLevel="1">
      <c r="B929" s="118"/>
      <c r="C929" s="307" t="s">
        <v>18268</v>
      </c>
      <c r="D929" s="124" t="s">
        <v>18269</v>
      </c>
      <c r="E929" s="125"/>
      <c r="F929" s="118" t="s">
        <v>4396</v>
      </c>
      <c r="G929" s="126" t="str">
        <f t="shared" si="59"/>
        <v>MEP-SDV-3</v>
      </c>
      <c r="H929" s="127">
        <v>3</v>
      </c>
      <c r="I929" s="128">
        <v>1</v>
      </c>
      <c r="J929" s="128" t="s">
        <v>286</v>
      </c>
      <c r="K929" s="128"/>
      <c r="L929" s="129"/>
    </row>
    <row r="930" spans="2:18" s="18" customFormat="1" ht="12.75" customHeight="1" outlineLevel="1">
      <c r="B930" s="118"/>
      <c r="C930" s="307" t="s">
        <v>18270</v>
      </c>
      <c r="D930" s="124" t="s">
        <v>18271</v>
      </c>
      <c r="E930" s="125"/>
      <c r="F930" s="118" t="s">
        <v>4396</v>
      </c>
      <c r="G930" s="126" t="str">
        <f t="shared" si="59"/>
        <v>MEP-SDV-3</v>
      </c>
      <c r="H930" s="127">
        <v>3</v>
      </c>
      <c r="I930" s="128">
        <v>1</v>
      </c>
      <c r="J930" s="128" t="s">
        <v>286</v>
      </c>
      <c r="K930" s="128"/>
      <c r="L930" s="129"/>
    </row>
    <row r="931" spans="2:18" s="18" customFormat="1" ht="12.75" customHeight="1" outlineLevel="1">
      <c r="B931" s="118"/>
      <c r="C931" s="307" t="s">
        <v>18272</v>
      </c>
      <c r="D931" s="124" t="s">
        <v>18273</v>
      </c>
      <c r="E931" s="125"/>
      <c r="F931" s="118" t="s">
        <v>4396</v>
      </c>
      <c r="G931" s="126" t="str">
        <f t="shared" si="59"/>
        <v>MEP-SDV-3</v>
      </c>
      <c r="H931" s="127">
        <v>3</v>
      </c>
      <c r="I931" s="128">
        <v>1</v>
      </c>
      <c r="J931" s="128" t="s">
        <v>310</v>
      </c>
      <c r="K931" s="128"/>
      <c r="L931" s="129"/>
    </row>
    <row r="932" spans="2:18" ht="12.75" customHeight="1" outlineLevel="1">
      <c r="B932" s="118"/>
      <c r="C932" s="307" t="s">
        <v>18274</v>
      </c>
      <c r="D932" s="124" t="s">
        <v>18275</v>
      </c>
      <c r="E932" s="136"/>
      <c r="F932" s="118" t="s">
        <v>4396</v>
      </c>
      <c r="G932" s="126" t="str">
        <f t="shared" si="59"/>
        <v>MEP-SDV-3</v>
      </c>
      <c r="H932" s="127">
        <v>3</v>
      </c>
      <c r="J932" s="128" t="s">
        <v>286</v>
      </c>
      <c r="K932" s="129">
        <v>1</v>
      </c>
      <c r="L932" s="129">
        <v>1</v>
      </c>
      <c r="P932" s="129">
        <v>1</v>
      </c>
      <c r="Q932" s="129"/>
      <c r="R932" s="129">
        <v>1</v>
      </c>
    </row>
    <row r="933" spans="2:18" s="18" customFormat="1" ht="12.75" customHeight="1" outlineLevel="1">
      <c r="B933" s="118"/>
      <c r="C933" s="307" t="s">
        <v>18276</v>
      </c>
      <c r="D933" s="124" t="s">
        <v>18277</v>
      </c>
      <c r="E933" s="125"/>
      <c r="F933" s="118" t="s">
        <v>4396</v>
      </c>
      <c r="G933" s="126" t="str">
        <f>CONCATENATE("MEP-",F933,"-",H933)</f>
        <v>MEP-SDV-3</v>
      </c>
      <c r="H933" s="127">
        <v>3</v>
      </c>
      <c r="I933" s="128">
        <v>1</v>
      </c>
      <c r="J933" s="128" t="s">
        <v>286</v>
      </c>
      <c r="K933" s="128"/>
      <c r="L933" s="129"/>
    </row>
    <row r="934" spans="2:18" s="18" customFormat="1" ht="12.75" customHeight="1" outlineLevel="1">
      <c r="B934" s="118"/>
      <c r="C934" s="307" t="s">
        <v>18278</v>
      </c>
      <c r="D934" s="124" t="s">
        <v>18279</v>
      </c>
      <c r="E934" s="125"/>
      <c r="F934" s="118" t="s">
        <v>4396</v>
      </c>
      <c r="G934" s="126" t="str">
        <f t="shared" ref="G934:G969" si="60">CONCATENATE("MEP-",F934,"-",H934)</f>
        <v>MEP-SDV-3</v>
      </c>
      <c r="H934" s="127">
        <v>3</v>
      </c>
      <c r="I934" s="128">
        <v>1</v>
      </c>
      <c r="J934" s="128" t="s">
        <v>286</v>
      </c>
      <c r="K934" s="128"/>
      <c r="L934" s="129"/>
    </row>
    <row r="935" spans="2:18" s="18" customFormat="1" ht="12.75" customHeight="1" outlineLevel="1">
      <c r="B935" s="118"/>
      <c r="C935" s="307" t="s">
        <v>18280</v>
      </c>
      <c r="D935" s="124" t="s">
        <v>18281</v>
      </c>
      <c r="E935" s="125"/>
      <c r="F935" s="118" t="s">
        <v>4396</v>
      </c>
      <c r="G935" s="126" t="str">
        <f t="shared" si="60"/>
        <v>MEP-SDV-3</v>
      </c>
      <c r="H935" s="127">
        <v>3</v>
      </c>
      <c r="I935" s="128">
        <v>1</v>
      </c>
      <c r="J935" s="128" t="s">
        <v>286</v>
      </c>
      <c r="K935" s="128"/>
      <c r="L935" s="129"/>
    </row>
    <row r="936" spans="2:18" s="18" customFormat="1" ht="12.75" customHeight="1" outlineLevel="1">
      <c r="B936" s="118"/>
      <c r="C936" s="307" t="s">
        <v>18282</v>
      </c>
      <c r="D936" s="124" t="s">
        <v>18283</v>
      </c>
      <c r="E936" s="125"/>
      <c r="F936" s="118" t="s">
        <v>4396</v>
      </c>
      <c r="G936" s="126" t="str">
        <f t="shared" si="60"/>
        <v>MEP-SDV-3</v>
      </c>
      <c r="H936" s="127">
        <v>3</v>
      </c>
      <c r="I936" s="128">
        <v>1</v>
      </c>
      <c r="J936" s="128" t="s">
        <v>286</v>
      </c>
      <c r="K936" s="128"/>
      <c r="L936" s="129"/>
    </row>
    <row r="937" spans="2:18" s="18" customFormat="1" ht="12.75" customHeight="1" outlineLevel="1">
      <c r="B937" s="118"/>
      <c r="C937" s="307" t="s">
        <v>18284</v>
      </c>
      <c r="D937" s="124" t="s">
        <v>18285</v>
      </c>
      <c r="E937" s="125"/>
      <c r="F937" s="118" t="s">
        <v>4396</v>
      </c>
      <c r="G937" s="126" t="str">
        <f t="shared" si="60"/>
        <v>MEP-SDV-3</v>
      </c>
      <c r="H937" s="127">
        <v>3</v>
      </c>
      <c r="I937" s="128">
        <v>1</v>
      </c>
      <c r="J937" s="128" t="s">
        <v>286</v>
      </c>
      <c r="K937" s="128"/>
      <c r="L937" s="129"/>
    </row>
    <row r="938" spans="2:18" s="18" customFormat="1" ht="12.75" customHeight="1" outlineLevel="1">
      <c r="B938" s="118"/>
      <c r="C938" s="307" t="s">
        <v>18286</v>
      </c>
      <c r="D938" s="124" t="s">
        <v>18287</v>
      </c>
      <c r="E938" s="125"/>
      <c r="F938" s="118" t="s">
        <v>4396</v>
      </c>
      <c r="G938" s="126" t="str">
        <f t="shared" si="60"/>
        <v>MEP-SDV-3</v>
      </c>
      <c r="H938" s="127">
        <v>3</v>
      </c>
      <c r="I938" s="128">
        <v>1</v>
      </c>
      <c r="J938" s="128" t="s">
        <v>286</v>
      </c>
      <c r="K938" s="128"/>
      <c r="L938" s="129"/>
    </row>
    <row r="939" spans="2:18" s="18" customFormat="1" ht="12.75" customHeight="1" outlineLevel="1">
      <c r="B939" s="118"/>
      <c r="C939" s="307" t="s">
        <v>17702</v>
      </c>
      <c r="D939" s="124" t="s">
        <v>17703</v>
      </c>
      <c r="E939" s="125"/>
      <c r="F939" s="118" t="s">
        <v>4396</v>
      </c>
      <c r="G939" s="126" t="str">
        <f t="shared" si="60"/>
        <v>MEP-SDV-3</v>
      </c>
      <c r="H939" s="127">
        <v>3</v>
      </c>
      <c r="I939" s="128">
        <v>1</v>
      </c>
      <c r="J939" s="128" t="s">
        <v>310</v>
      </c>
      <c r="K939" s="128"/>
      <c r="L939" s="129"/>
    </row>
    <row r="940" spans="2:18" s="18" customFormat="1" ht="12.75" customHeight="1" outlineLevel="1">
      <c r="B940" s="118"/>
      <c r="C940" s="307" t="s">
        <v>17704</v>
      </c>
      <c r="D940" s="124" t="s">
        <v>17705</v>
      </c>
      <c r="E940" s="125"/>
      <c r="F940" s="118" t="s">
        <v>4396</v>
      </c>
      <c r="G940" s="126" t="str">
        <f t="shared" si="60"/>
        <v>MEP-SDV-3</v>
      </c>
      <c r="H940" s="127">
        <v>3</v>
      </c>
      <c r="I940" s="128">
        <v>1</v>
      </c>
      <c r="J940" s="128" t="s">
        <v>310</v>
      </c>
      <c r="K940" s="128"/>
      <c r="L940" s="129"/>
    </row>
    <row r="941" spans="2:18" s="18" customFormat="1" ht="12.75" customHeight="1" outlineLevel="1">
      <c r="B941" s="118"/>
      <c r="C941" s="307" t="s">
        <v>17706</v>
      </c>
      <c r="D941" s="124" t="s">
        <v>17707</v>
      </c>
      <c r="E941" s="125"/>
      <c r="F941" s="118" t="s">
        <v>4396</v>
      </c>
      <c r="G941" s="126" t="str">
        <f t="shared" si="60"/>
        <v>MEP-SDV-3</v>
      </c>
      <c r="H941" s="127">
        <v>3</v>
      </c>
      <c r="I941" s="128">
        <v>1</v>
      </c>
      <c r="J941" s="128" t="s">
        <v>310</v>
      </c>
      <c r="K941" s="128"/>
      <c r="L941" s="129"/>
    </row>
    <row r="942" spans="2:18" s="18" customFormat="1" ht="12.75" customHeight="1" outlineLevel="1">
      <c r="B942" s="118"/>
      <c r="C942" s="307" t="s">
        <v>17708</v>
      </c>
      <c r="D942" s="124" t="s">
        <v>17709</v>
      </c>
      <c r="E942" s="125"/>
      <c r="F942" s="118" t="s">
        <v>4396</v>
      </c>
      <c r="G942" s="126" t="str">
        <f t="shared" si="60"/>
        <v>MEP-SDV-3</v>
      </c>
      <c r="H942" s="127">
        <v>3</v>
      </c>
      <c r="I942" s="128">
        <v>1</v>
      </c>
      <c r="J942" s="128" t="s">
        <v>310</v>
      </c>
      <c r="K942" s="128"/>
      <c r="L942" s="129"/>
    </row>
    <row r="943" spans="2:18" s="18" customFormat="1" ht="12.75" customHeight="1" outlineLevel="1">
      <c r="B943" s="118"/>
      <c r="C943" s="307" t="s">
        <v>17710</v>
      </c>
      <c r="D943" s="124" t="s">
        <v>17711</v>
      </c>
      <c r="E943" s="125"/>
      <c r="F943" s="118" t="s">
        <v>4396</v>
      </c>
      <c r="G943" s="126" t="str">
        <f t="shared" si="60"/>
        <v>MEP-SDV-3</v>
      </c>
      <c r="H943" s="127">
        <v>3</v>
      </c>
      <c r="I943" s="128">
        <v>1</v>
      </c>
      <c r="J943" s="128" t="s">
        <v>310</v>
      </c>
      <c r="K943" s="128"/>
      <c r="L943" s="129"/>
    </row>
    <row r="944" spans="2:18" s="18" customFormat="1" ht="12.75" customHeight="1" outlineLevel="1">
      <c r="B944" s="118"/>
      <c r="C944" s="307" t="s">
        <v>18288</v>
      </c>
      <c r="D944" s="124" t="s">
        <v>18289</v>
      </c>
      <c r="E944" s="125"/>
      <c r="F944" s="118" t="s">
        <v>4396</v>
      </c>
      <c r="G944" s="126" t="str">
        <f t="shared" si="60"/>
        <v>MEP-SDV-3</v>
      </c>
      <c r="H944" s="127">
        <v>3</v>
      </c>
      <c r="I944" s="128">
        <v>1</v>
      </c>
      <c r="J944" s="128" t="s">
        <v>286</v>
      </c>
      <c r="K944" s="128"/>
      <c r="L944" s="129"/>
    </row>
    <row r="945" spans="2:18" s="18" customFormat="1" ht="12.75" customHeight="1" outlineLevel="1">
      <c r="B945" s="118"/>
      <c r="C945" s="307" t="s">
        <v>18290</v>
      </c>
      <c r="D945" s="124" t="s">
        <v>18291</v>
      </c>
      <c r="E945" s="125"/>
      <c r="F945" s="118" t="s">
        <v>4396</v>
      </c>
      <c r="G945" s="126" t="str">
        <f t="shared" si="60"/>
        <v>MEP-SDV-3</v>
      </c>
      <c r="H945" s="127">
        <v>3</v>
      </c>
      <c r="I945" s="128">
        <v>1</v>
      </c>
      <c r="J945" s="128" t="s">
        <v>286</v>
      </c>
      <c r="K945" s="128"/>
      <c r="L945" s="129"/>
    </row>
    <row r="946" spans="2:18" s="18" customFormat="1" ht="12.75" customHeight="1" outlineLevel="1">
      <c r="B946" s="118"/>
      <c r="C946" s="307" t="s">
        <v>18292</v>
      </c>
      <c r="D946" s="124" t="s">
        <v>18293</v>
      </c>
      <c r="E946" s="125"/>
      <c r="F946" s="118" t="s">
        <v>4396</v>
      </c>
      <c r="G946" s="126" t="str">
        <f t="shared" si="60"/>
        <v>MEP-SDV-3</v>
      </c>
      <c r="H946" s="127">
        <v>3</v>
      </c>
      <c r="I946" s="128">
        <v>1</v>
      </c>
      <c r="J946" s="128" t="s">
        <v>310</v>
      </c>
      <c r="K946" s="128"/>
      <c r="L946" s="129"/>
    </row>
    <row r="947" spans="2:18" s="18" customFormat="1" ht="12.75" customHeight="1" outlineLevel="1">
      <c r="B947" s="118"/>
      <c r="C947" s="307" t="s">
        <v>18294</v>
      </c>
      <c r="D947" s="124" t="s">
        <v>18295</v>
      </c>
      <c r="E947" s="125"/>
      <c r="F947" s="118" t="s">
        <v>4396</v>
      </c>
      <c r="G947" s="126" t="str">
        <f t="shared" si="60"/>
        <v>MEP-SDV-3</v>
      </c>
      <c r="H947" s="127">
        <v>3</v>
      </c>
      <c r="I947" s="128">
        <v>1</v>
      </c>
      <c r="J947" s="128" t="s">
        <v>286</v>
      </c>
      <c r="K947" s="128"/>
      <c r="L947" s="129"/>
    </row>
    <row r="948" spans="2:18" s="18" customFormat="1" ht="12.75" customHeight="1" outlineLevel="1">
      <c r="B948" s="118"/>
      <c r="C948" s="307" t="s">
        <v>18296</v>
      </c>
      <c r="D948" s="124" t="s">
        <v>18297</v>
      </c>
      <c r="E948" s="125"/>
      <c r="F948" s="118" t="s">
        <v>4396</v>
      </c>
      <c r="G948" s="126" t="str">
        <f t="shared" si="60"/>
        <v>MEP-SDV-3</v>
      </c>
      <c r="H948" s="127">
        <v>3</v>
      </c>
      <c r="I948" s="128">
        <v>1</v>
      </c>
      <c r="J948" s="128" t="s">
        <v>286</v>
      </c>
      <c r="K948" s="128"/>
      <c r="L948" s="129"/>
    </row>
    <row r="949" spans="2:18" s="18" customFormat="1" ht="12.75" customHeight="1" outlineLevel="1">
      <c r="B949" s="118"/>
      <c r="C949" s="307" t="s">
        <v>18298</v>
      </c>
      <c r="D949" s="124" t="s">
        <v>18299</v>
      </c>
      <c r="E949" s="125"/>
      <c r="F949" s="118" t="s">
        <v>4396</v>
      </c>
      <c r="G949" s="126" t="str">
        <f t="shared" si="60"/>
        <v>MEP-SDV-3</v>
      </c>
      <c r="H949" s="127">
        <v>3</v>
      </c>
      <c r="I949" s="128">
        <v>1</v>
      </c>
      <c r="J949" s="128" t="s">
        <v>286</v>
      </c>
      <c r="K949" s="128"/>
      <c r="L949" s="129"/>
    </row>
    <row r="950" spans="2:18" s="18" customFormat="1" ht="12.75" customHeight="1" outlineLevel="1">
      <c r="B950" s="118"/>
      <c r="C950" s="307" t="s">
        <v>18222</v>
      </c>
      <c r="D950" s="124" t="s">
        <v>18300</v>
      </c>
      <c r="E950" s="125"/>
      <c r="F950" s="118" t="s">
        <v>4396</v>
      </c>
      <c r="G950" s="126" t="str">
        <f t="shared" si="60"/>
        <v>MEP-SDV-3</v>
      </c>
      <c r="H950" s="127">
        <v>3</v>
      </c>
      <c r="I950" s="128">
        <v>1</v>
      </c>
      <c r="J950" s="128" t="s">
        <v>310</v>
      </c>
      <c r="K950" s="128"/>
      <c r="L950" s="129"/>
    </row>
    <row r="951" spans="2:18" s="18" customFormat="1" ht="12.75" customHeight="1" outlineLevel="1">
      <c r="B951" s="118"/>
      <c r="C951" s="307" t="s">
        <v>18301</v>
      </c>
      <c r="D951" s="124" t="s">
        <v>18302</v>
      </c>
      <c r="E951" s="125"/>
      <c r="F951" s="118" t="s">
        <v>4396</v>
      </c>
      <c r="G951" s="126" t="str">
        <f t="shared" si="60"/>
        <v>MEP-SDV-3</v>
      </c>
      <c r="H951" s="127">
        <v>3</v>
      </c>
      <c r="I951" s="128">
        <v>1</v>
      </c>
      <c r="J951" s="128" t="s">
        <v>286</v>
      </c>
      <c r="K951" s="128"/>
      <c r="L951" s="129"/>
    </row>
    <row r="952" spans="2:18" s="18" customFormat="1" ht="12.75" customHeight="1" outlineLevel="1">
      <c r="B952" s="118"/>
      <c r="C952" s="307" t="s">
        <v>18303</v>
      </c>
      <c r="D952" s="124" t="s">
        <v>18304</v>
      </c>
      <c r="E952" s="125"/>
      <c r="F952" s="118" t="s">
        <v>4396</v>
      </c>
      <c r="G952" s="126" t="str">
        <f t="shared" si="60"/>
        <v>MEP-SDV-3</v>
      </c>
      <c r="H952" s="127">
        <v>3</v>
      </c>
      <c r="I952" s="128">
        <v>1</v>
      </c>
      <c r="J952" s="128" t="s">
        <v>310</v>
      </c>
      <c r="K952" s="128"/>
      <c r="L952" s="129"/>
    </row>
    <row r="953" spans="2:18" s="18" customFormat="1" ht="12.75" customHeight="1" outlineLevel="1">
      <c r="B953" s="118"/>
      <c r="C953" s="307" t="s">
        <v>18305</v>
      </c>
      <c r="D953" s="124" t="s">
        <v>18306</v>
      </c>
      <c r="E953" s="125"/>
      <c r="F953" s="118" t="s">
        <v>4396</v>
      </c>
      <c r="G953" s="126" t="str">
        <f t="shared" si="60"/>
        <v>MEP-SDV-3</v>
      </c>
      <c r="H953" s="127">
        <v>3</v>
      </c>
      <c r="I953" s="128"/>
      <c r="J953" s="128" t="s">
        <v>286</v>
      </c>
      <c r="K953" s="128">
        <v>1</v>
      </c>
      <c r="L953" s="129">
        <v>1</v>
      </c>
      <c r="P953" s="18">
        <v>1</v>
      </c>
      <c r="R953" s="18">
        <v>1</v>
      </c>
    </row>
    <row r="954" spans="2:18" s="18" customFormat="1" ht="12.75" customHeight="1" outlineLevel="1">
      <c r="B954" s="118"/>
      <c r="C954" s="307" t="s">
        <v>18307</v>
      </c>
      <c r="D954" s="124" t="s">
        <v>18306</v>
      </c>
      <c r="E954" s="125"/>
      <c r="F954" s="118" t="s">
        <v>4396</v>
      </c>
      <c r="G954" s="126" t="str">
        <f t="shared" si="60"/>
        <v>MEP-SDV-3</v>
      </c>
      <c r="H954" s="127">
        <v>3</v>
      </c>
      <c r="I954" s="128">
        <v>1</v>
      </c>
      <c r="J954" s="128" t="s">
        <v>286</v>
      </c>
      <c r="K954" s="128"/>
      <c r="L954" s="129"/>
    </row>
    <row r="955" spans="2:18" s="18" customFormat="1" ht="12.75" customHeight="1" outlineLevel="1">
      <c r="B955" s="118"/>
      <c r="C955" s="307" t="s">
        <v>18308</v>
      </c>
      <c r="D955" s="124" t="s">
        <v>18306</v>
      </c>
      <c r="E955" s="125"/>
      <c r="F955" s="118" t="s">
        <v>4396</v>
      </c>
      <c r="G955" s="126" t="str">
        <f t="shared" si="60"/>
        <v>MEP-SDV-3</v>
      </c>
      <c r="H955" s="127">
        <v>3</v>
      </c>
      <c r="I955" s="128">
        <v>1</v>
      </c>
      <c r="J955" s="128" t="s">
        <v>286</v>
      </c>
      <c r="K955" s="128"/>
      <c r="L955" s="129"/>
    </row>
    <row r="956" spans="2:18" s="18" customFormat="1" ht="12.75" customHeight="1" outlineLevel="1">
      <c r="B956" s="118"/>
      <c r="C956" s="307" t="s">
        <v>18309</v>
      </c>
      <c r="D956" s="124" t="s">
        <v>18306</v>
      </c>
      <c r="E956" s="125"/>
      <c r="F956" s="118" t="s">
        <v>4396</v>
      </c>
      <c r="G956" s="126" t="str">
        <f t="shared" si="60"/>
        <v>MEP-SDV-3</v>
      </c>
      <c r="H956" s="127">
        <v>3</v>
      </c>
      <c r="I956" s="128">
        <v>1</v>
      </c>
      <c r="J956" s="128" t="s">
        <v>286</v>
      </c>
      <c r="K956" s="128"/>
      <c r="L956" s="129"/>
    </row>
    <row r="957" spans="2:18" s="18" customFormat="1" ht="12.75" customHeight="1" outlineLevel="1">
      <c r="B957" s="118"/>
      <c r="C957" s="307" t="s">
        <v>18310</v>
      </c>
      <c r="D957" s="124" t="s">
        <v>18311</v>
      </c>
      <c r="E957" s="125"/>
      <c r="F957" s="118" t="s">
        <v>4396</v>
      </c>
      <c r="G957" s="126" t="str">
        <f t="shared" si="60"/>
        <v>MEP-SDV-3</v>
      </c>
      <c r="H957" s="127">
        <v>3</v>
      </c>
      <c r="I957" s="128">
        <v>1</v>
      </c>
      <c r="J957" s="128" t="s">
        <v>286</v>
      </c>
      <c r="K957" s="128"/>
      <c r="L957" s="129"/>
    </row>
    <row r="958" spans="2:18" s="18" customFormat="1" ht="12.75" customHeight="1" outlineLevel="1">
      <c r="B958" s="118"/>
      <c r="C958" s="307" t="s">
        <v>18312</v>
      </c>
      <c r="D958" s="124" t="s">
        <v>18313</v>
      </c>
      <c r="E958" s="125"/>
      <c r="F958" s="118" t="s">
        <v>4396</v>
      </c>
      <c r="G958" s="126" t="str">
        <f t="shared" si="60"/>
        <v>MEP-SDV-3</v>
      </c>
      <c r="H958" s="127">
        <v>3</v>
      </c>
      <c r="I958" s="128"/>
      <c r="J958" s="128" t="s">
        <v>286</v>
      </c>
      <c r="K958" s="128">
        <v>1</v>
      </c>
      <c r="L958" s="129">
        <v>1</v>
      </c>
      <c r="P958" s="18">
        <v>1</v>
      </c>
      <c r="Q958" s="18">
        <v>1</v>
      </c>
    </row>
    <row r="959" spans="2:18" s="18" customFormat="1" ht="12.75" customHeight="1" outlineLevel="1">
      <c r="B959" s="118"/>
      <c r="C959" s="307" t="s">
        <v>18314</v>
      </c>
      <c r="D959" s="124" t="s">
        <v>18315</v>
      </c>
      <c r="E959" s="125"/>
      <c r="F959" s="118" t="s">
        <v>4396</v>
      </c>
      <c r="G959" s="126" t="str">
        <f t="shared" si="60"/>
        <v>MEP-SDV-3</v>
      </c>
      <c r="H959" s="127">
        <v>3</v>
      </c>
      <c r="I959" s="128">
        <v>1</v>
      </c>
      <c r="J959" s="128" t="s">
        <v>310</v>
      </c>
      <c r="K959" s="128"/>
      <c r="L959" s="129"/>
    </row>
    <row r="960" spans="2:18" s="18" customFormat="1" ht="12.75" customHeight="1" outlineLevel="1">
      <c r="B960" s="118"/>
      <c r="C960" s="307" t="s">
        <v>18316</v>
      </c>
      <c r="D960" s="124" t="s">
        <v>18317</v>
      </c>
      <c r="E960" s="125"/>
      <c r="F960" s="118" t="s">
        <v>4396</v>
      </c>
      <c r="G960" s="126" t="str">
        <f t="shared" si="60"/>
        <v>MEP-SDV-3</v>
      </c>
      <c r="H960" s="127">
        <v>3</v>
      </c>
      <c r="I960" s="128">
        <v>1</v>
      </c>
      <c r="J960" s="128" t="s">
        <v>286</v>
      </c>
      <c r="K960" s="128"/>
      <c r="L960" s="129"/>
    </row>
    <row r="961" spans="1:12" s="18" customFormat="1" ht="12.75" customHeight="1" outlineLevel="1">
      <c r="B961" s="118"/>
      <c r="C961" s="307" t="s">
        <v>18318</v>
      </c>
      <c r="D961" s="124" t="s">
        <v>18319</v>
      </c>
      <c r="E961" s="125"/>
      <c r="F961" s="118" t="s">
        <v>4396</v>
      </c>
      <c r="G961" s="126" t="str">
        <f t="shared" si="60"/>
        <v>MEP-SDV-3</v>
      </c>
      <c r="H961" s="127">
        <v>3</v>
      </c>
      <c r="I961" s="128">
        <v>1</v>
      </c>
      <c r="J961" s="128" t="s">
        <v>286</v>
      </c>
      <c r="K961" s="128"/>
      <c r="L961" s="129"/>
    </row>
    <row r="962" spans="1:12" s="18" customFormat="1" ht="12.75" customHeight="1" outlineLevel="1">
      <c r="B962" s="118"/>
      <c r="C962" s="307" t="s">
        <v>18320</v>
      </c>
      <c r="D962" s="124" t="s">
        <v>18321</v>
      </c>
      <c r="E962" s="125"/>
      <c r="F962" s="118" t="s">
        <v>4396</v>
      </c>
      <c r="G962" s="126" t="str">
        <f t="shared" si="60"/>
        <v>MEP-SDV-3</v>
      </c>
      <c r="H962" s="127">
        <v>3</v>
      </c>
      <c r="I962" s="128">
        <v>1</v>
      </c>
      <c r="J962" s="128" t="s">
        <v>310</v>
      </c>
      <c r="K962" s="128"/>
      <c r="L962" s="129"/>
    </row>
    <row r="963" spans="1:12" s="18" customFormat="1" ht="12.75" customHeight="1" outlineLevel="1">
      <c r="B963" s="118"/>
      <c r="C963" s="307" t="s">
        <v>18322</v>
      </c>
      <c r="D963" s="124" t="s">
        <v>18323</v>
      </c>
      <c r="E963" s="125"/>
      <c r="F963" s="118" t="s">
        <v>4396</v>
      </c>
      <c r="G963" s="126" t="str">
        <f t="shared" si="60"/>
        <v>MEP-SDV-3</v>
      </c>
      <c r="H963" s="127">
        <v>3</v>
      </c>
      <c r="I963" s="128">
        <v>1</v>
      </c>
      <c r="J963" s="128" t="s">
        <v>286</v>
      </c>
      <c r="K963" s="128"/>
      <c r="L963" s="129"/>
    </row>
    <row r="964" spans="1:12" s="18" customFormat="1" ht="12.75" customHeight="1" outlineLevel="1">
      <c r="B964" s="118"/>
      <c r="C964" s="307" t="s">
        <v>18324</v>
      </c>
      <c r="D964" s="124" t="s">
        <v>18325</v>
      </c>
      <c r="E964" s="125"/>
      <c r="F964" s="118" t="s">
        <v>4396</v>
      </c>
      <c r="G964" s="126" t="str">
        <f t="shared" si="60"/>
        <v>MEP-SDV-3</v>
      </c>
      <c r="H964" s="127">
        <v>3</v>
      </c>
      <c r="I964" s="128">
        <v>1</v>
      </c>
      <c r="J964" s="128" t="s">
        <v>286</v>
      </c>
      <c r="K964" s="128"/>
      <c r="L964" s="129"/>
    </row>
    <row r="965" spans="1:12" s="18" customFormat="1" ht="12.75" customHeight="1" outlineLevel="1">
      <c r="B965" s="118"/>
      <c r="C965" s="307" t="s">
        <v>18326</v>
      </c>
      <c r="D965" s="124" t="s">
        <v>18327</v>
      </c>
      <c r="E965" s="125"/>
      <c r="F965" s="118" t="s">
        <v>4396</v>
      </c>
      <c r="G965" s="126" t="str">
        <f t="shared" si="60"/>
        <v>MEP-SDV-3</v>
      </c>
      <c r="H965" s="127">
        <v>3</v>
      </c>
      <c r="I965" s="128">
        <v>1</v>
      </c>
      <c r="J965" s="128" t="s">
        <v>286</v>
      </c>
      <c r="K965" s="128"/>
      <c r="L965" s="129"/>
    </row>
    <row r="966" spans="1:12" s="18" customFormat="1" ht="12.75" customHeight="1" outlineLevel="1">
      <c r="B966" s="118"/>
      <c r="C966" s="307" t="s">
        <v>18328</v>
      </c>
      <c r="D966" s="124" t="s">
        <v>18329</v>
      </c>
      <c r="E966" s="125"/>
      <c r="F966" s="118" t="s">
        <v>4396</v>
      </c>
      <c r="G966" s="126" t="str">
        <f t="shared" si="60"/>
        <v>MEP-SDV-3</v>
      </c>
      <c r="H966" s="127">
        <v>3</v>
      </c>
      <c r="I966" s="128">
        <v>1</v>
      </c>
      <c r="J966" s="128" t="s">
        <v>286</v>
      </c>
      <c r="K966" s="128"/>
      <c r="L966" s="129"/>
    </row>
    <row r="967" spans="1:12" s="18" customFormat="1" ht="12.75" customHeight="1" outlineLevel="1">
      <c r="B967" s="118"/>
      <c r="C967" s="307" t="s">
        <v>18330</v>
      </c>
      <c r="D967" s="124" t="s">
        <v>18331</v>
      </c>
      <c r="E967" s="125"/>
      <c r="F967" s="118" t="s">
        <v>4396</v>
      </c>
      <c r="G967" s="126" t="str">
        <f t="shared" si="60"/>
        <v>MEP-SDV-3</v>
      </c>
      <c r="H967" s="127">
        <v>3</v>
      </c>
      <c r="I967" s="128">
        <v>1</v>
      </c>
      <c r="J967" s="128" t="s">
        <v>286</v>
      </c>
      <c r="K967" s="128"/>
      <c r="L967" s="129"/>
    </row>
    <row r="968" spans="1:12" s="18" customFormat="1" ht="12.75" customHeight="1" outlineLevel="1">
      <c r="B968" s="118"/>
      <c r="C968" s="307" t="s">
        <v>18332</v>
      </c>
      <c r="D968" s="124" t="s">
        <v>18333</v>
      </c>
      <c r="E968" s="125"/>
      <c r="F968" s="118" t="s">
        <v>4396</v>
      </c>
      <c r="G968" s="126" t="str">
        <f t="shared" si="60"/>
        <v>MEP-SDV-3</v>
      </c>
      <c r="H968" s="127">
        <v>3</v>
      </c>
      <c r="I968" s="128">
        <v>1</v>
      </c>
      <c r="J968" s="128" t="s">
        <v>286</v>
      </c>
      <c r="K968" s="128"/>
      <c r="L968" s="129"/>
    </row>
    <row r="969" spans="1:12" s="18" customFormat="1" ht="12.75" customHeight="1" outlineLevel="1">
      <c r="B969" s="118"/>
      <c r="C969" s="307" t="s">
        <v>18334</v>
      </c>
      <c r="D969" s="124" t="s">
        <v>18335</v>
      </c>
      <c r="E969" s="125"/>
      <c r="F969" s="118" t="s">
        <v>4396</v>
      </c>
      <c r="G969" s="126" t="str">
        <f t="shared" si="60"/>
        <v>MEP-SDV-3</v>
      </c>
      <c r="H969" s="127">
        <v>3</v>
      </c>
      <c r="I969" s="128">
        <v>1</v>
      </c>
      <c r="J969" s="128" t="s">
        <v>286</v>
      </c>
      <c r="K969" s="128"/>
      <c r="L969" s="129"/>
    </row>
    <row r="970" spans="1:12" s="18" customFormat="1" ht="12.75" customHeight="1" outlineLevel="1">
      <c r="B970" s="121" t="s">
        <v>18336</v>
      </c>
      <c r="C970" s="307"/>
      <c r="D970" s="124" t="s">
        <v>18336</v>
      </c>
      <c r="E970" s="125"/>
      <c r="F970" s="118" t="s">
        <v>4396</v>
      </c>
      <c r="G970" s="126" t="str">
        <f t="shared" ref="G970:G971" si="61">CONCATENATE("MEP-",F970,"-",H970)</f>
        <v>MEP-SDV-3</v>
      </c>
      <c r="H970" s="127">
        <v>3</v>
      </c>
      <c r="I970" s="128"/>
      <c r="J970" s="128"/>
      <c r="K970" s="128">
        <v>1</v>
      </c>
      <c r="L970" s="129">
        <v>1</v>
      </c>
    </row>
    <row r="971" spans="1:12" s="18" customFormat="1" ht="12.75" customHeight="1" outlineLevel="1">
      <c r="B971" s="118" t="s">
        <v>17343</v>
      </c>
      <c r="C971" s="307">
        <v>9001</v>
      </c>
      <c r="D971" s="124" t="s">
        <v>18337</v>
      </c>
      <c r="E971" s="125"/>
      <c r="F971" s="118" t="s">
        <v>4396</v>
      </c>
      <c r="G971" s="126" t="str">
        <f t="shared" si="61"/>
        <v>MEP-SDV-NA</v>
      </c>
      <c r="H971" s="127" t="s">
        <v>18338</v>
      </c>
      <c r="I971" s="128"/>
      <c r="J971" s="128"/>
      <c r="K971" s="129"/>
      <c r="L971" s="129"/>
    </row>
    <row r="972" spans="1:12" ht="3" customHeight="1"/>
    <row r="973" spans="1:12" s="18" customFormat="1" ht="12.75" customHeight="1" collapsed="1">
      <c r="A973" s="110" t="s">
        <v>29</v>
      </c>
      <c r="B973" s="118"/>
      <c r="C973" s="307"/>
      <c r="D973" s="124"/>
      <c r="E973" s="46"/>
      <c r="F973" s="41" t="s">
        <v>261</v>
      </c>
      <c r="G973" s="41" t="s">
        <v>262</v>
      </c>
      <c r="H973" s="42" t="s">
        <v>263</v>
      </c>
      <c r="I973" s="120"/>
    </row>
    <row r="974" spans="1:12" s="18" customFormat="1" ht="12.75" hidden="1" customHeight="1" outlineLevel="1">
      <c r="A974" s="135" t="s">
        <v>4625</v>
      </c>
      <c r="C974" s="307"/>
      <c r="D974" s="124"/>
      <c r="E974" s="125"/>
      <c r="F974" s="17"/>
      <c r="G974" s="132"/>
      <c r="H974" s="127"/>
      <c r="I974" s="128"/>
    </row>
    <row r="975" spans="1:12" s="18" customFormat="1" ht="12.75" hidden="1" customHeight="1" outlineLevel="2">
      <c r="A975" s="135"/>
      <c r="C975" s="307" t="s">
        <v>18339</v>
      </c>
      <c r="D975" s="124" t="s">
        <v>18340</v>
      </c>
      <c r="E975" s="125"/>
      <c r="F975" s="118" t="s">
        <v>4628</v>
      </c>
      <c r="G975" s="126" t="str">
        <f t="shared" ref="G975" si="62">CONCATENATE("MEP-",F975,"-",H975)</f>
        <v>MEP-AMN-1</v>
      </c>
      <c r="H975" s="127">
        <v>1</v>
      </c>
      <c r="I975" s="128">
        <v>1</v>
      </c>
      <c r="J975" s="297" t="s">
        <v>286</v>
      </c>
    </row>
    <row r="976" spans="1:12" s="18" customFormat="1" ht="12.75" hidden="1" customHeight="1" outlineLevel="2">
      <c r="A976" s="135"/>
      <c r="C976" s="307" t="s">
        <v>18341</v>
      </c>
      <c r="D976" s="124" t="s">
        <v>18342</v>
      </c>
      <c r="E976" s="125"/>
      <c r="F976" s="118" t="s">
        <v>4628</v>
      </c>
      <c r="G976" s="126" t="str">
        <f t="shared" ref="G976:G1010" si="63">CONCATENATE("MEP-",F976,"-",H976)</f>
        <v>MEP-AMN-2</v>
      </c>
      <c r="H976" s="127">
        <v>2</v>
      </c>
      <c r="I976" s="128">
        <v>1</v>
      </c>
      <c r="J976" s="297" t="s">
        <v>286</v>
      </c>
    </row>
    <row r="977" spans="1:10" s="18" customFormat="1" ht="12.75" hidden="1" customHeight="1" outlineLevel="2">
      <c r="A977" s="135"/>
      <c r="C977" s="307" t="s">
        <v>18343</v>
      </c>
      <c r="D977" s="124" t="s">
        <v>18344</v>
      </c>
      <c r="E977" s="125"/>
      <c r="F977" s="118" t="s">
        <v>4628</v>
      </c>
      <c r="G977" s="126" t="str">
        <f t="shared" si="63"/>
        <v>MEP-AMN-2</v>
      </c>
      <c r="H977" s="127">
        <v>2</v>
      </c>
      <c r="I977" s="128">
        <v>1</v>
      </c>
      <c r="J977" s="297" t="s">
        <v>286</v>
      </c>
    </row>
    <row r="978" spans="1:10" s="18" customFormat="1" ht="12.75" hidden="1" customHeight="1" outlineLevel="2">
      <c r="A978" s="135"/>
      <c r="C978" s="307" t="s">
        <v>18345</v>
      </c>
      <c r="D978" s="124" t="s">
        <v>18346</v>
      </c>
      <c r="E978" s="125"/>
      <c r="F978" s="118" t="s">
        <v>4628</v>
      </c>
      <c r="G978" s="126" t="str">
        <f t="shared" si="63"/>
        <v>MEP-AMN-1</v>
      </c>
      <c r="H978" s="127">
        <v>1</v>
      </c>
      <c r="I978" s="128">
        <v>1</v>
      </c>
      <c r="J978" s="297" t="s">
        <v>286</v>
      </c>
    </row>
    <row r="979" spans="1:10" s="18" customFormat="1" ht="12.75" hidden="1" customHeight="1" outlineLevel="2">
      <c r="A979" s="135"/>
      <c r="C979" s="307" t="s">
        <v>18347</v>
      </c>
      <c r="D979" s="124" t="s">
        <v>18348</v>
      </c>
      <c r="E979" s="125"/>
      <c r="F979" s="118" t="s">
        <v>4628</v>
      </c>
      <c r="G979" s="126" t="str">
        <f t="shared" si="63"/>
        <v>MEP-AMN-1</v>
      </c>
      <c r="H979" s="127">
        <v>1</v>
      </c>
      <c r="I979" s="128">
        <v>1</v>
      </c>
      <c r="J979" s="297" t="s">
        <v>286</v>
      </c>
    </row>
    <row r="980" spans="1:10" s="18" customFormat="1" ht="12.75" hidden="1" customHeight="1" outlineLevel="2">
      <c r="A980" s="135"/>
      <c r="C980" s="307" t="s">
        <v>18349</v>
      </c>
      <c r="D980" s="124" t="s">
        <v>18350</v>
      </c>
      <c r="E980" s="125"/>
      <c r="F980" s="118" t="s">
        <v>4628</v>
      </c>
      <c r="G980" s="126" t="str">
        <f t="shared" si="63"/>
        <v>MEP-AMN-1</v>
      </c>
      <c r="H980" s="127">
        <v>1</v>
      </c>
      <c r="I980" s="128">
        <v>1</v>
      </c>
      <c r="J980" s="297" t="s">
        <v>286</v>
      </c>
    </row>
    <row r="981" spans="1:10" s="18" customFormat="1" ht="12.75" hidden="1" customHeight="1" outlineLevel="2">
      <c r="A981" s="135"/>
      <c r="C981" s="307" t="s">
        <v>18351</v>
      </c>
      <c r="D981" s="124" t="s">
        <v>18352</v>
      </c>
      <c r="E981" s="125"/>
      <c r="F981" s="118" t="s">
        <v>4628</v>
      </c>
      <c r="G981" s="126" t="str">
        <f t="shared" si="63"/>
        <v>MEP-AMN-2</v>
      </c>
      <c r="H981" s="127">
        <v>2</v>
      </c>
      <c r="I981" s="128">
        <v>1</v>
      </c>
      <c r="J981" s="297" t="s">
        <v>286</v>
      </c>
    </row>
    <row r="982" spans="1:10" s="18" customFormat="1" ht="12.75" hidden="1" customHeight="1" outlineLevel="2">
      <c r="A982" s="135"/>
      <c r="C982" s="307" t="s">
        <v>18353</v>
      </c>
      <c r="D982" s="124" t="s">
        <v>18354</v>
      </c>
      <c r="E982" s="125"/>
      <c r="F982" s="118" t="s">
        <v>4628</v>
      </c>
      <c r="G982" s="126" t="str">
        <f t="shared" si="63"/>
        <v>MEP-AMN-2</v>
      </c>
      <c r="H982" s="127">
        <v>2</v>
      </c>
      <c r="I982" s="128">
        <v>1</v>
      </c>
      <c r="J982" s="297" t="s">
        <v>286</v>
      </c>
    </row>
    <row r="983" spans="1:10" s="18" customFormat="1" ht="12.75" hidden="1" customHeight="1" outlineLevel="2">
      <c r="A983" s="135"/>
      <c r="C983" s="307" t="s">
        <v>18355</v>
      </c>
      <c r="D983" s="124" t="s">
        <v>18356</v>
      </c>
      <c r="E983" s="125"/>
      <c r="F983" s="118" t="s">
        <v>4628</v>
      </c>
      <c r="G983" s="126" t="str">
        <f t="shared" si="63"/>
        <v>MEP-AMN-1</v>
      </c>
      <c r="H983" s="127">
        <v>1</v>
      </c>
      <c r="I983" s="128">
        <v>1</v>
      </c>
      <c r="J983" s="297" t="s">
        <v>310</v>
      </c>
    </row>
    <row r="984" spans="1:10" s="18" customFormat="1" ht="12.75" hidden="1" customHeight="1" outlineLevel="2">
      <c r="A984" s="135"/>
      <c r="C984" s="307" t="s">
        <v>18357</v>
      </c>
      <c r="D984" s="124" t="s">
        <v>18358</v>
      </c>
      <c r="E984" s="125"/>
      <c r="F984" s="118" t="s">
        <v>4628</v>
      </c>
      <c r="G984" s="126" t="str">
        <f t="shared" si="63"/>
        <v>MEP-AMN-2</v>
      </c>
      <c r="H984" s="127">
        <v>2</v>
      </c>
      <c r="I984" s="128">
        <v>1</v>
      </c>
      <c r="J984" s="297" t="s">
        <v>310</v>
      </c>
    </row>
    <row r="985" spans="1:10" s="18" customFormat="1" ht="12.75" hidden="1" customHeight="1" outlineLevel="2">
      <c r="A985" s="135"/>
      <c r="C985" s="307" t="s">
        <v>18359</v>
      </c>
      <c r="D985" s="124" t="s">
        <v>18360</v>
      </c>
      <c r="E985" s="125"/>
      <c r="F985" s="118" t="s">
        <v>4628</v>
      </c>
      <c r="G985" s="126" t="str">
        <f t="shared" si="63"/>
        <v>MEP-AMN-2</v>
      </c>
      <c r="H985" s="127">
        <v>2</v>
      </c>
      <c r="I985" s="128">
        <v>1</v>
      </c>
      <c r="J985" s="297" t="s">
        <v>286</v>
      </c>
    </row>
    <row r="986" spans="1:10" s="18" customFormat="1" ht="12.75" hidden="1" customHeight="1" outlineLevel="2">
      <c r="A986" s="135"/>
      <c r="C986" s="307" t="s">
        <v>18361</v>
      </c>
      <c r="D986" s="124" t="s">
        <v>18362</v>
      </c>
      <c r="E986" s="125"/>
      <c r="F986" s="118" t="s">
        <v>4628</v>
      </c>
      <c r="G986" s="126" t="str">
        <f t="shared" si="63"/>
        <v>MEP-AMN-1</v>
      </c>
      <c r="H986" s="127">
        <v>1</v>
      </c>
      <c r="I986" s="128">
        <v>1</v>
      </c>
      <c r="J986" s="297" t="s">
        <v>325</v>
      </c>
    </row>
    <row r="987" spans="1:10" s="18" customFormat="1" ht="12.75" hidden="1" customHeight="1" outlineLevel="2">
      <c r="A987" s="135"/>
      <c r="C987" s="307" t="s">
        <v>18363</v>
      </c>
      <c r="D987" s="124" t="s">
        <v>18364</v>
      </c>
      <c r="E987" s="125"/>
      <c r="F987" s="118" t="s">
        <v>4628</v>
      </c>
      <c r="G987" s="126" t="str">
        <f t="shared" si="63"/>
        <v>MEP-AMN-2</v>
      </c>
      <c r="H987" s="127">
        <v>2</v>
      </c>
      <c r="I987" s="128">
        <v>1</v>
      </c>
      <c r="J987" s="297" t="s">
        <v>325</v>
      </c>
    </row>
    <row r="988" spans="1:10" s="18" customFormat="1" ht="12.75" hidden="1" customHeight="1" outlineLevel="2">
      <c r="A988" s="135"/>
      <c r="C988" s="307" t="s">
        <v>18365</v>
      </c>
      <c r="D988" s="124" t="s">
        <v>18340</v>
      </c>
      <c r="E988" s="125"/>
      <c r="F988" s="118" t="s">
        <v>4628</v>
      </c>
      <c r="G988" s="126" t="str">
        <f t="shared" si="63"/>
        <v>MEP-AMN-1</v>
      </c>
      <c r="H988" s="127">
        <v>1</v>
      </c>
      <c r="I988" s="128">
        <v>1</v>
      </c>
      <c r="J988" s="297" t="s">
        <v>286</v>
      </c>
    </row>
    <row r="989" spans="1:10" s="18" customFormat="1" ht="12.75" hidden="1" customHeight="1" outlineLevel="2">
      <c r="A989" s="135"/>
      <c r="C989" s="307" t="s">
        <v>18366</v>
      </c>
      <c r="D989" s="124" t="s">
        <v>18367</v>
      </c>
      <c r="E989" s="125"/>
      <c r="F989" s="118" t="s">
        <v>4628</v>
      </c>
      <c r="G989" s="126" t="str">
        <f t="shared" si="63"/>
        <v>MEP-AMN-1</v>
      </c>
      <c r="H989" s="127">
        <v>1</v>
      </c>
      <c r="I989" s="128">
        <v>1</v>
      </c>
      <c r="J989" s="297" t="s">
        <v>286</v>
      </c>
    </row>
    <row r="990" spans="1:10" s="18" customFormat="1" ht="12.75" hidden="1" customHeight="1" outlineLevel="2">
      <c r="A990" s="135"/>
      <c r="C990" s="307" t="s">
        <v>18368</v>
      </c>
      <c r="D990" s="124" t="s">
        <v>18369</v>
      </c>
      <c r="E990" s="125"/>
      <c r="F990" s="118" t="s">
        <v>4628</v>
      </c>
      <c r="G990" s="126" t="str">
        <f t="shared" si="63"/>
        <v>MEP-AMN-1</v>
      </c>
      <c r="H990" s="127">
        <v>1</v>
      </c>
      <c r="I990" s="128">
        <v>1</v>
      </c>
      <c r="J990" s="297" t="s">
        <v>286</v>
      </c>
    </row>
    <row r="991" spans="1:10" s="18" customFormat="1" ht="12.75" hidden="1" customHeight="1" outlineLevel="2">
      <c r="A991" s="135"/>
      <c r="C991" s="307" t="s">
        <v>18370</v>
      </c>
      <c r="D991" s="124" t="s">
        <v>18371</v>
      </c>
      <c r="E991" s="125"/>
      <c r="F991" s="118" t="s">
        <v>4628</v>
      </c>
      <c r="G991" s="126" t="str">
        <f t="shared" si="63"/>
        <v>MEP-AMN-1</v>
      </c>
      <c r="H991" s="127">
        <v>1</v>
      </c>
      <c r="I991" s="128">
        <v>1</v>
      </c>
      <c r="J991" s="297" t="s">
        <v>286</v>
      </c>
    </row>
    <row r="992" spans="1:10" s="18" customFormat="1" ht="12.75" hidden="1" customHeight="1" outlineLevel="2">
      <c r="A992" s="135"/>
      <c r="C992" s="307" t="s">
        <v>18339</v>
      </c>
      <c r="D992" s="124" t="s">
        <v>18372</v>
      </c>
      <c r="E992" s="125"/>
      <c r="F992" s="118" t="s">
        <v>4628</v>
      </c>
      <c r="G992" s="126" t="str">
        <f t="shared" si="63"/>
        <v>MEP-AMN-1</v>
      </c>
      <c r="H992" s="127">
        <v>1</v>
      </c>
      <c r="I992" s="128">
        <v>1</v>
      </c>
      <c r="J992" s="297" t="s">
        <v>6148</v>
      </c>
    </row>
    <row r="993" spans="1:19" s="18" customFormat="1" ht="12.75" hidden="1" customHeight="1" outlineLevel="2">
      <c r="A993" s="135"/>
      <c r="C993" s="307" t="s">
        <v>18373</v>
      </c>
      <c r="D993" s="124" t="s">
        <v>18374</v>
      </c>
      <c r="E993" s="125"/>
      <c r="F993" s="118" t="s">
        <v>4628</v>
      </c>
      <c r="G993" s="126" t="str">
        <f t="shared" si="63"/>
        <v>MEP-AMN-1</v>
      </c>
      <c r="H993" s="127">
        <v>1</v>
      </c>
      <c r="I993" s="128">
        <v>1</v>
      </c>
      <c r="J993" s="297" t="s">
        <v>310</v>
      </c>
    </row>
    <row r="994" spans="1:19" s="18" customFormat="1" ht="12.75" hidden="1" customHeight="1" outlineLevel="2">
      <c r="A994" s="135"/>
      <c r="C994" s="307" t="s">
        <v>18375</v>
      </c>
      <c r="D994" s="124" t="s">
        <v>18376</v>
      </c>
      <c r="E994" s="125"/>
      <c r="F994" s="118" t="s">
        <v>4628</v>
      </c>
      <c r="G994" s="126" t="str">
        <f t="shared" si="63"/>
        <v>MEP-AMN-1</v>
      </c>
      <c r="H994" s="127">
        <v>1</v>
      </c>
      <c r="I994" s="128">
        <v>1</v>
      </c>
      <c r="J994" s="297" t="s">
        <v>310</v>
      </c>
    </row>
    <row r="995" spans="1:19" s="18" customFormat="1" ht="12.75" hidden="1" customHeight="1" outlineLevel="2">
      <c r="A995" s="135"/>
      <c r="C995" s="307" t="s">
        <v>18377</v>
      </c>
      <c r="D995" s="124" t="s">
        <v>18378</v>
      </c>
      <c r="E995" s="125"/>
      <c r="F995" s="118" t="s">
        <v>4628</v>
      </c>
      <c r="G995" s="126" t="str">
        <f t="shared" si="63"/>
        <v>MEP-AMN-1</v>
      </c>
      <c r="H995" s="127">
        <v>1</v>
      </c>
      <c r="I995" s="128">
        <v>1</v>
      </c>
      <c r="J995" s="297" t="s">
        <v>286</v>
      </c>
    </row>
    <row r="996" spans="1:19" s="18" customFormat="1" ht="12.75" hidden="1" customHeight="1" outlineLevel="2">
      <c r="A996" s="135"/>
      <c r="C996" s="307" t="s">
        <v>18379</v>
      </c>
      <c r="D996" s="124" t="s">
        <v>18380</v>
      </c>
      <c r="E996" s="125"/>
      <c r="F996" s="118" t="s">
        <v>4628</v>
      </c>
      <c r="G996" s="126" t="str">
        <f t="shared" si="63"/>
        <v>MEP-AMN-2</v>
      </c>
      <c r="H996" s="127">
        <v>2</v>
      </c>
      <c r="I996" s="128">
        <v>1</v>
      </c>
      <c r="J996" s="297" t="s">
        <v>286</v>
      </c>
    </row>
    <row r="997" spans="1:19" s="18" customFormat="1" ht="12.75" hidden="1" customHeight="1" outlineLevel="2">
      <c r="A997" s="135"/>
      <c r="C997" s="307" t="s">
        <v>18381</v>
      </c>
      <c r="D997" s="124" t="s">
        <v>18380</v>
      </c>
      <c r="E997" s="125"/>
      <c r="F997" s="118" t="s">
        <v>4628</v>
      </c>
      <c r="G997" s="126" t="str">
        <f t="shared" si="63"/>
        <v>MEP-AMN-1</v>
      </c>
      <c r="H997" s="127">
        <v>1</v>
      </c>
      <c r="I997" s="128">
        <v>1</v>
      </c>
      <c r="J997" s="297" t="s">
        <v>286</v>
      </c>
    </row>
    <row r="998" spans="1:19" s="18" customFormat="1" ht="12.75" hidden="1" customHeight="1" outlineLevel="2">
      <c r="A998" s="135"/>
      <c r="C998" s="307" t="s">
        <v>18382</v>
      </c>
      <c r="D998" s="124" t="s">
        <v>18383</v>
      </c>
      <c r="E998" s="125"/>
      <c r="F998" s="118" t="s">
        <v>4628</v>
      </c>
      <c r="G998" s="126" t="str">
        <f t="shared" si="63"/>
        <v>MEP-AMN-1</v>
      </c>
      <c r="H998" s="127">
        <v>1</v>
      </c>
      <c r="I998" s="128">
        <v>1</v>
      </c>
      <c r="J998" s="297" t="s">
        <v>286</v>
      </c>
    </row>
    <row r="999" spans="1:19" s="18" customFormat="1" ht="12.75" hidden="1" customHeight="1" outlineLevel="2">
      <c r="A999" s="135"/>
      <c r="C999" s="307" t="s">
        <v>18384</v>
      </c>
      <c r="D999" s="124" t="s">
        <v>18385</v>
      </c>
      <c r="E999" s="125"/>
      <c r="F999" s="118" t="s">
        <v>4628</v>
      </c>
      <c r="G999" s="126" t="str">
        <f t="shared" si="63"/>
        <v>MEP-AMN-1</v>
      </c>
      <c r="H999" s="127">
        <v>1</v>
      </c>
      <c r="I999" s="128">
        <v>1</v>
      </c>
      <c r="J999" s="297" t="s">
        <v>310</v>
      </c>
    </row>
    <row r="1000" spans="1:19" s="18" customFormat="1" ht="12.75" hidden="1" customHeight="1" outlineLevel="2">
      <c r="A1000" s="135"/>
      <c r="C1000" s="307" t="s">
        <v>18386</v>
      </c>
      <c r="D1000" s="124" t="s">
        <v>18387</v>
      </c>
      <c r="E1000" s="125"/>
      <c r="F1000" s="118" t="s">
        <v>4628</v>
      </c>
      <c r="G1000" s="126" t="str">
        <f t="shared" si="63"/>
        <v>MEP-AMN-1</v>
      </c>
      <c r="H1000" s="127">
        <v>1</v>
      </c>
      <c r="I1000" s="128">
        <v>1</v>
      </c>
      <c r="J1000" s="297" t="s">
        <v>286</v>
      </c>
    </row>
    <row r="1001" spans="1:19" s="18" customFormat="1" ht="12.75" hidden="1" customHeight="1" outlineLevel="2">
      <c r="A1001" s="135"/>
      <c r="C1001" s="307" t="s">
        <v>18388</v>
      </c>
      <c r="D1001" s="124" t="s">
        <v>18389</v>
      </c>
      <c r="E1001" s="125"/>
      <c r="F1001" s="118" t="s">
        <v>4628</v>
      </c>
      <c r="G1001" s="126" t="str">
        <f t="shared" ref="G1001:G1004" si="64">CONCATENATE("MEP-",F1001,"-",H1001)</f>
        <v>MEP-AMN-3</v>
      </c>
      <c r="H1001" s="127">
        <v>3</v>
      </c>
      <c r="I1001" s="128">
        <v>1</v>
      </c>
      <c r="J1001" s="297" t="s">
        <v>310</v>
      </c>
    </row>
    <row r="1002" spans="1:19" s="18" customFormat="1" ht="12.75" hidden="1" customHeight="1" outlineLevel="2">
      <c r="A1002" s="135"/>
      <c r="C1002" s="307" t="s">
        <v>18390</v>
      </c>
      <c r="D1002" s="124" t="s">
        <v>18391</v>
      </c>
      <c r="E1002" s="125"/>
      <c r="F1002" s="118" t="s">
        <v>4628</v>
      </c>
      <c r="G1002" s="126" t="str">
        <f t="shared" si="64"/>
        <v>MEP-AMN-3</v>
      </c>
      <c r="H1002" s="127">
        <v>3</v>
      </c>
      <c r="I1002" s="128">
        <v>1</v>
      </c>
      <c r="J1002" s="297" t="s">
        <v>310</v>
      </c>
    </row>
    <row r="1003" spans="1:19" s="18" customFormat="1" ht="12.75" hidden="1" customHeight="1" outlineLevel="2">
      <c r="A1003" s="135"/>
      <c r="C1003" s="307" t="s">
        <v>18377</v>
      </c>
      <c r="D1003" s="124" t="s">
        <v>18378</v>
      </c>
      <c r="E1003" s="125"/>
      <c r="F1003" s="118" t="s">
        <v>4628</v>
      </c>
      <c r="G1003" s="126" t="str">
        <f t="shared" si="64"/>
        <v>MEP-AMN-3</v>
      </c>
      <c r="H1003" s="127">
        <v>3</v>
      </c>
      <c r="I1003" s="128">
        <v>1</v>
      </c>
      <c r="J1003" s="297" t="s">
        <v>286</v>
      </c>
    </row>
    <row r="1004" spans="1:19" ht="12.75" hidden="1" customHeight="1" outlineLevel="1">
      <c r="B1004" s="121"/>
      <c r="D1004" s="319" t="s">
        <v>18392</v>
      </c>
      <c r="F1004" s="118" t="s">
        <v>4396</v>
      </c>
      <c r="G1004" s="126" t="str">
        <f t="shared" si="64"/>
        <v>MEP-SDV-3</v>
      </c>
      <c r="H1004" s="127">
        <v>3</v>
      </c>
      <c r="K1004" s="129">
        <v>1</v>
      </c>
      <c r="L1004" s="129">
        <v>1</v>
      </c>
      <c r="M1004" s="16"/>
      <c r="P1004" s="129">
        <v>1</v>
      </c>
      <c r="Q1004" s="129"/>
      <c r="S1004" s="129">
        <v>1</v>
      </c>
    </row>
    <row r="1005" spans="1:19" s="18" customFormat="1" ht="12.75" hidden="1" customHeight="1" outlineLevel="2">
      <c r="A1005" s="135"/>
      <c r="C1005" s="307" t="s">
        <v>18393</v>
      </c>
      <c r="D1005" s="124" t="s">
        <v>18394</v>
      </c>
      <c r="E1005" s="125"/>
      <c r="F1005" s="118" t="s">
        <v>4628</v>
      </c>
      <c r="G1005" s="126" t="str">
        <f t="shared" ref="G1005:G1007" si="65">CONCATENATE("MEP-",F1005,"-",H1005)</f>
        <v>MEP-AMN-1</v>
      </c>
      <c r="H1005" s="127">
        <v>1</v>
      </c>
      <c r="I1005" s="128">
        <v>1</v>
      </c>
      <c r="J1005" s="297" t="s">
        <v>286</v>
      </c>
    </row>
    <row r="1006" spans="1:19" s="18" customFormat="1" ht="12.75" hidden="1" customHeight="1" outlineLevel="2">
      <c r="A1006" s="135"/>
      <c r="C1006" s="307" t="s">
        <v>18395</v>
      </c>
      <c r="D1006" s="124" t="s">
        <v>18396</v>
      </c>
      <c r="E1006" s="125"/>
      <c r="F1006" s="118" t="s">
        <v>4628</v>
      </c>
      <c r="G1006" s="126" t="str">
        <f t="shared" si="65"/>
        <v>MEP-AMN-1</v>
      </c>
      <c r="H1006" s="127">
        <v>1</v>
      </c>
      <c r="I1006" s="128">
        <v>1</v>
      </c>
      <c r="J1006" s="297" t="s">
        <v>310</v>
      </c>
    </row>
    <row r="1007" spans="1:19" s="18" customFormat="1" ht="12.75" hidden="1" customHeight="1" outlineLevel="2">
      <c r="A1007" s="135"/>
      <c r="C1007" s="307" t="s">
        <v>18397</v>
      </c>
      <c r="D1007" s="124" t="s">
        <v>18398</v>
      </c>
      <c r="E1007" s="125"/>
      <c r="F1007" s="118" t="s">
        <v>4628</v>
      </c>
      <c r="G1007" s="126" t="str">
        <f t="shared" si="65"/>
        <v>MEP-AMN-1</v>
      </c>
      <c r="H1007" s="127">
        <v>1</v>
      </c>
      <c r="I1007" s="128">
        <v>1</v>
      </c>
      <c r="J1007" s="297" t="s">
        <v>286</v>
      </c>
    </row>
    <row r="1008" spans="1:19" s="18" customFormat="1" ht="12.75" hidden="1" customHeight="1" outlineLevel="2">
      <c r="A1008" s="135"/>
      <c r="C1008" s="307" t="s">
        <v>18399</v>
      </c>
      <c r="D1008" s="124" t="s">
        <v>18400</v>
      </c>
      <c r="E1008" s="125"/>
      <c r="F1008" s="118" t="s">
        <v>4628</v>
      </c>
      <c r="G1008" s="126" t="str">
        <f t="shared" si="63"/>
        <v>MEP-AMN-3</v>
      </c>
      <c r="H1008" s="127">
        <v>3</v>
      </c>
      <c r="I1008" s="128">
        <v>1</v>
      </c>
      <c r="J1008" s="297" t="s">
        <v>286</v>
      </c>
    </row>
    <row r="1009" spans="1:16383" s="18" customFormat="1" ht="12.75" hidden="1" customHeight="1" outlineLevel="2">
      <c r="A1009" s="135"/>
      <c r="C1009" s="307" t="s">
        <v>18401</v>
      </c>
      <c r="D1009" s="124" t="s">
        <v>18402</v>
      </c>
      <c r="E1009" s="125"/>
      <c r="F1009" s="118" t="s">
        <v>4628</v>
      </c>
      <c r="G1009" s="126" t="str">
        <f t="shared" si="63"/>
        <v>MEP-AMN-3</v>
      </c>
      <c r="H1009" s="127">
        <v>3</v>
      </c>
      <c r="I1009" s="128">
        <v>1</v>
      </c>
      <c r="J1009" s="297" t="s">
        <v>310</v>
      </c>
    </row>
    <row r="1010" spans="1:16383" s="18" customFormat="1" ht="12.75" hidden="1" customHeight="1" outlineLevel="2">
      <c r="A1010" s="135"/>
      <c r="C1010" s="307" t="s">
        <v>18403</v>
      </c>
      <c r="D1010" s="124" t="s">
        <v>18404</v>
      </c>
      <c r="E1010" s="125"/>
      <c r="F1010" s="118" t="s">
        <v>4628</v>
      </c>
      <c r="G1010" s="126" t="str">
        <f t="shared" si="63"/>
        <v>MEP-AMN-3</v>
      </c>
      <c r="H1010" s="127">
        <v>3</v>
      </c>
      <c r="I1010" s="128">
        <v>1</v>
      </c>
      <c r="J1010" s="297" t="s">
        <v>286</v>
      </c>
    </row>
    <row r="1011" spans="1:16383" ht="12.75" hidden="1" customHeight="1" outlineLevel="1">
      <c r="B1011" s="121"/>
      <c r="D1011" s="295" t="s">
        <v>18392</v>
      </c>
      <c r="F1011" s="118" t="s">
        <v>4396</v>
      </c>
      <c r="G1011" s="126" t="str">
        <f t="shared" ref="G1011" si="66">CONCATENATE("MEP-",F1011,"-",H1011)</f>
        <v>MEP-SDV-3</v>
      </c>
      <c r="H1011" s="127">
        <v>3</v>
      </c>
      <c r="K1011" s="129">
        <v>1</v>
      </c>
      <c r="L1011" s="129">
        <v>1</v>
      </c>
      <c r="M1011" s="16"/>
      <c r="P1011" s="129">
        <v>1</v>
      </c>
      <c r="Q1011" s="129"/>
      <c r="S1011" s="129">
        <v>1</v>
      </c>
    </row>
    <row r="1012" spans="1:16383" ht="12.75" hidden="1" customHeight="1" outlineLevel="1">
      <c r="B1012" s="118"/>
      <c r="C1012" s="307"/>
      <c r="D1012" s="123" t="s">
        <v>18405</v>
      </c>
      <c r="F1012" s="118" t="s">
        <v>4628</v>
      </c>
      <c r="G1012" s="126" t="str">
        <f>CONCATENATE("MEP-",F1012,"-",H1012)</f>
        <v>MEP-AMN-3</v>
      </c>
      <c r="H1012" s="127">
        <v>3</v>
      </c>
      <c r="K1012" s="129">
        <v>1</v>
      </c>
      <c r="L1012" s="120">
        <v>1</v>
      </c>
    </row>
    <row r="1013" spans="1:16383" ht="12.75" hidden="1" customHeight="1" outlineLevel="1">
      <c r="B1013" s="121" t="s">
        <v>219</v>
      </c>
      <c r="D1013" s="61"/>
      <c r="F1013" s="118" t="s">
        <v>4628</v>
      </c>
      <c r="G1013" s="126" t="str">
        <f>CONCATENATE("MEP-",F1013,"-",H1013)</f>
        <v>MEP-AMN-5</v>
      </c>
      <c r="H1013" s="127">
        <v>5</v>
      </c>
      <c r="K1013" s="129">
        <v>1</v>
      </c>
      <c r="L1013" s="120">
        <v>1</v>
      </c>
      <c r="M1013" s="16"/>
    </row>
    <row r="1014" spans="1:16383" ht="12.75" hidden="1" customHeight="1" outlineLevel="1">
      <c r="B1014" s="121"/>
      <c r="D1014" s="295"/>
      <c r="F1014" s="118"/>
      <c r="G1014" s="126"/>
      <c r="H1014" s="127"/>
      <c r="K1014" s="129"/>
      <c r="L1014" s="120"/>
      <c r="M1014" s="16"/>
    </row>
    <row r="1015" spans="1:16383" ht="3" customHeight="1">
      <c r="L1015" s="129"/>
      <c r="M1015" s="129"/>
      <c r="N1015" s="129"/>
      <c r="O1015" s="129"/>
      <c r="Q1015" s="129"/>
      <c r="R1015" s="129"/>
      <c r="S1015" s="129"/>
      <c r="T1015" s="129"/>
    </row>
    <row r="1017" spans="1:16383" ht="1.35" customHeight="1">
      <c r="A1017" s="16" t="s">
        <v>4867</v>
      </c>
      <c r="B1017" s="16" t="s">
        <v>4867</v>
      </c>
      <c r="C1017" s="123" t="s">
        <v>4867</v>
      </c>
      <c r="D1017" s="16" t="s">
        <v>4867</v>
      </c>
      <c r="E1017" s="16" t="s">
        <v>4867</v>
      </c>
      <c r="F1017" s="16" t="s">
        <v>4867</v>
      </c>
      <c r="G1017" s="16" t="s">
        <v>4867</v>
      </c>
      <c r="H1017" s="16" t="s">
        <v>4867</v>
      </c>
      <c r="I1017" s="16" t="s">
        <v>4867</v>
      </c>
      <c r="J1017" s="16" t="s">
        <v>4867</v>
      </c>
      <c r="K1017" s="16" t="s">
        <v>4867</v>
      </c>
      <c r="L1017" s="16" t="s">
        <v>4867</v>
      </c>
      <c r="M1017" s="16" t="s">
        <v>4867</v>
      </c>
      <c r="N1017" s="16" t="s">
        <v>4867</v>
      </c>
      <c r="O1017" s="16" t="s">
        <v>4867</v>
      </c>
      <c r="P1017" s="16" t="s">
        <v>4867</v>
      </c>
      <c r="Q1017" s="16" t="s">
        <v>4867</v>
      </c>
      <c r="R1017" s="16" t="s">
        <v>4867</v>
      </c>
      <c r="S1017" s="16" t="s">
        <v>4867</v>
      </c>
      <c r="T1017" s="16" t="s">
        <v>4867</v>
      </c>
      <c r="U1017" s="16" t="s">
        <v>4867</v>
      </c>
      <c r="X1017" s="16" t="s">
        <v>4867</v>
      </c>
      <c r="Y1017" s="16" t="s">
        <v>4867</v>
      </c>
      <c r="Z1017" s="16" t="s">
        <v>4867</v>
      </c>
      <c r="AA1017" s="16" t="s">
        <v>4867</v>
      </c>
      <c r="AB1017" s="16" t="s">
        <v>4867</v>
      </c>
      <c r="AC1017" s="16" t="s">
        <v>4867</v>
      </c>
      <c r="AD1017" s="16" t="s">
        <v>4867</v>
      </c>
      <c r="AE1017" s="16" t="s">
        <v>4867</v>
      </c>
      <c r="AF1017" s="16" t="s">
        <v>4867</v>
      </c>
      <c r="AG1017" s="16" t="s">
        <v>4867</v>
      </c>
      <c r="AH1017" s="16" t="s">
        <v>4867</v>
      </c>
      <c r="AI1017" s="16" t="s">
        <v>4867</v>
      </c>
      <c r="AJ1017" s="16" t="s">
        <v>4867</v>
      </c>
      <c r="AK1017" s="16" t="s">
        <v>4867</v>
      </c>
      <c r="AL1017" s="16" t="s">
        <v>4867</v>
      </c>
      <c r="AM1017" s="16" t="s">
        <v>4867</v>
      </c>
      <c r="AN1017" s="16" t="s">
        <v>4867</v>
      </c>
      <c r="AO1017" s="16" t="s">
        <v>4867</v>
      </c>
      <c r="AP1017" s="16" t="s">
        <v>4867</v>
      </c>
      <c r="AQ1017" s="16" t="s">
        <v>4867</v>
      </c>
      <c r="AR1017" s="16" t="s">
        <v>4867</v>
      </c>
      <c r="AS1017" s="16" t="s">
        <v>4867</v>
      </c>
      <c r="AT1017" s="16" t="s">
        <v>4867</v>
      </c>
      <c r="AU1017" s="16" t="s">
        <v>4867</v>
      </c>
      <c r="AV1017" s="16" t="s">
        <v>4867</v>
      </c>
      <c r="AW1017" s="16" t="s">
        <v>4867</v>
      </c>
      <c r="AX1017" s="16" t="s">
        <v>4867</v>
      </c>
      <c r="AY1017" s="16" t="s">
        <v>4867</v>
      </c>
      <c r="AZ1017" s="16" t="s">
        <v>4867</v>
      </c>
      <c r="BA1017" s="16" t="s">
        <v>4867</v>
      </c>
      <c r="BB1017" s="16" t="s">
        <v>4867</v>
      </c>
      <c r="BC1017" s="16" t="s">
        <v>4867</v>
      </c>
      <c r="BD1017" s="16" t="s">
        <v>4867</v>
      </c>
      <c r="BE1017" s="16" t="s">
        <v>4867</v>
      </c>
      <c r="BF1017" s="16" t="s">
        <v>4867</v>
      </c>
      <c r="BG1017" s="16" t="s">
        <v>4867</v>
      </c>
      <c r="BH1017" s="16" t="s">
        <v>4867</v>
      </c>
      <c r="BI1017" s="16" t="s">
        <v>4867</v>
      </c>
      <c r="BJ1017" s="16" t="s">
        <v>4867</v>
      </c>
      <c r="BK1017" s="16" t="s">
        <v>4867</v>
      </c>
      <c r="BL1017" s="16" t="s">
        <v>4867</v>
      </c>
      <c r="BM1017" s="16" t="s">
        <v>4867</v>
      </c>
      <c r="BN1017" s="16" t="s">
        <v>4867</v>
      </c>
      <c r="BO1017" s="16" t="s">
        <v>4867</v>
      </c>
      <c r="BP1017" s="16" t="s">
        <v>4867</v>
      </c>
      <c r="BQ1017" s="16" t="s">
        <v>4867</v>
      </c>
      <c r="BR1017" s="16" t="s">
        <v>4867</v>
      </c>
      <c r="BS1017" s="16" t="s">
        <v>4867</v>
      </c>
      <c r="BT1017" s="16" t="s">
        <v>4867</v>
      </c>
      <c r="BU1017" s="16" t="s">
        <v>4867</v>
      </c>
      <c r="BV1017" s="16" t="s">
        <v>4867</v>
      </c>
      <c r="BW1017" s="16" t="s">
        <v>4867</v>
      </c>
      <c r="BX1017" s="16" t="s">
        <v>4867</v>
      </c>
      <c r="BY1017" s="16" t="s">
        <v>4867</v>
      </c>
      <c r="BZ1017" s="16" t="s">
        <v>4867</v>
      </c>
      <c r="CA1017" s="16" t="s">
        <v>4867</v>
      </c>
      <c r="CB1017" s="16" t="s">
        <v>4867</v>
      </c>
      <c r="CC1017" s="16" t="s">
        <v>4867</v>
      </c>
      <c r="CD1017" s="16" t="s">
        <v>4867</v>
      </c>
      <c r="CE1017" s="16" t="s">
        <v>4867</v>
      </c>
      <c r="CF1017" s="16" t="s">
        <v>4867</v>
      </c>
      <c r="CG1017" s="16" t="s">
        <v>4867</v>
      </c>
      <c r="CH1017" s="16" t="s">
        <v>4867</v>
      </c>
      <c r="CI1017" s="16" t="s">
        <v>4867</v>
      </c>
      <c r="CJ1017" s="16" t="s">
        <v>4867</v>
      </c>
      <c r="CK1017" s="16" t="s">
        <v>4867</v>
      </c>
      <c r="CL1017" s="16" t="s">
        <v>4867</v>
      </c>
      <c r="CM1017" s="16" t="s">
        <v>4867</v>
      </c>
      <c r="CN1017" s="16" t="s">
        <v>4867</v>
      </c>
      <c r="CO1017" s="16" t="s">
        <v>4867</v>
      </c>
      <c r="CP1017" s="16" t="s">
        <v>4867</v>
      </c>
      <c r="CQ1017" s="16" t="s">
        <v>4867</v>
      </c>
      <c r="CR1017" s="16" t="s">
        <v>4867</v>
      </c>
      <c r="CS1017" s="16" t="s">
        <v>4867</v>
      </c>
      <c r="CT1017" s="16" t="s">
        <v>4867</v>
      </c>
      <c r="CU1017" s="16" t="s">
        <v>4867</v>
      </c>
      <c r="CV1017" s="16" t="s">
        <v>4867</v>
      </c>
      <c r="CW1017" s="16" t="s">
        <v>4867</v>
      </c>
      <c r="CX1017" s="16" t="s">
        <v>4867</v>
      </c>
      <c r="CY1017" s="16" t="s">
        <v>4867</v>
      </c>
      <c r="CZ1017" s="16" t="s">
        <v>4867</v>
      </c>
      <c r="DA1017" s="16" t="s">
        <v>4867</v>
      </c>
      <c r="DB1017" s="16" t="s">
        <v>4867</v>
      </c>
      <c r="DC1017" s="16" t="s">
        <v>4867</v>
      </c>
      <c r="DD1017" s="16" t="s">
        <v>4867</v>
      </c>
      <c r="DE1017" s="16" t="s">
        <v>4867</v>
      </c>
      <c r="DF1017" s="16" t="s">
        <v>4867</v>
      </c>
      <c r="DG1017" s="16" t="s">
        <v>4867</v>
      </c>
      <c r="DH1017" s="16" t="s">
        <v>4867</v>
      </c>
      <c r="DI1017" s="16" t="s">
        <v>4867</v>
      </c>
      <c r="DJ1017" s="16" t="s">
        <v>4867</v>
      </c>
      <c r="DK1017" s="16" t="s">
        <v>4867</v>
      </c>
      <c r="DL1017" s="16" t="s">
        <v>4867</v>
      </c>
      <c r="DM1017" s="16" t="s">
        <v>4867</v>
      </c>
      <c r="DN1017" s="16" t="s">
        <v>4867</v>
      </c>
      <c r="DO1017" s="16" t="s">
        <v>4867</v>
      </c>
      <c r="DP1017" s="16" t="s">
        <v>4867</v>
      </c>
      <c r="DQ1017" s="16" t="s">
        <v>4867</v>
      </c>
      <c r="DR1017" s="16" t="s">
        <v>4867</v>
      </c>
      <c r="DS1017" s="16" t="s">
        <v>4867</v>
      </c>
      <c r="DT1017" s="16" t="s">
        <v>4867</v>
      </c>
      <c r="DU1017" s="16" t="s">
        <v>4867</v>
      </c>
      <c r="DV1017" s="16" t="s">
        <v>4867</v>
      </c>
      <c r="DW1017" s="16" t="s">
        <v>4867</v>
      </c>
      <c r="DX1017" s="16" t="s">
        <v>4867</v>
      </c>
      <c r="DY1017" s="16" t="s">
        <v>4867</v>
      </c>
      <c r="DZ1017" s="16" t="s">
        <v>4867</v>
      </c>
      <c r="EA1017" s="16" t="s">
        <v>4867</v>
      </c>
      <c r="EB1017" s="16" t="s">
        <v>4867</v>
      </c>
      <c r="EC1017" s="16" t="s">
        <v>4867</v>
      </c>
      <c r="ED1017" s="16" t="s">
        <v>4867</v>
      </c>
      <c r="EE1017" s="16" t="s">
        <v>4867</v>
      </c>
      <c r="EF1017" s="16" t="s">
        <v>4867</v>
      </c>
      <c r="EG1017" s="16" t="s">
        <v>4867</v>
      </c>
      <c r="EH1017" s="16" t="s">
        <v>4867</v>
      </c>
      <c r="EI1017" s="16" t="s">
        <v>4867</v>
      </c>
      <c r="EJ1017" s="16" t="s">
        <v>4867</v>
      </c>
      <c r="EK1017" s="16" t="s">
        <v>4867</v>
      </c>
      <c r="EL1017" s="16" t="s">
        <v>4867</v>
      </c>
      <c r="EM1017" s="16" t="s">
        <v>4867</v>
      </c>
      <c r="EN1017" s="16" t="s">
        <v>4867</v>
      </c>
      <c r="EO1017" s="16" t="s">
        <v>4867</v>
      </c>
      <c r="EP1017" s="16" t="s">
        <v>4867</v>
      </c>
      <c r="EQ1017" s="16" t="s">
        <v>4867</v>
      </c>
      <c r="ER1017" s="16" t="s">
        <v>4867</v>
      </c>
      <c r="ES1017" s="16" t="s">
        <v>4867</v>
      </c>
      <c r="ET1017" s="16" t="s">
        <v>4867</v>
      </c>
      <c r="EU1017" s="16" t="s">
        <v>4867</v>
      </c>
      <c r="EV1017" s="16" t="s">
        <v>4867</v>
      </c>
      <c r="EW1017" s="16" t="s">
        <v>4867</v>
      </c>
      <c r="EX1017" s="16" t="s">
        <v>4867</v>
      </c>
      <c r="EY1017" s="16" t="s">
        <v>4867</v>
      </c>
      <c r="EZ1017" s="16" t="s">
        <v>4867</v>
      </c>
      <c r="FA1017" s="16" t="s">
        <v>4867</v>
      </c>
      <c r="FB1017" s="16" t="s">
        <v>4867</v>
      </c>
      <c r="FC1017" s="16" t="s">
        <v>4867</v>
      </c>
      <c r="FD1017" s="16" t="s">
        <v>4867</v>
      </c>
      <c r="FE1017" s="16" t="s">
        <v>4867</v>
      </c>
      <c r="FF1017" s="16" t="s">
        <v>4867</v>
      </c>
      <c r="FG1017" s="16" t="s">
        <v>4867</v>
      </c>
      <c r="FH1017" s="16" t="s">
        <v>4867</v>
      </c>
      <c r="FI1017" s="16" t="s">
        <v>4867</v>
      </c>
      <c r="FJ1017" s="16" t="s">
        <v>4867</v>
      </c>
      <c r="FK1017" s="16" t="s">
        <v>4867</v>
      </c>
      <c r="FL1017" s="16" t="s">
        <v>4867</v>
      </c>
      <c r="FM1017" s="16" t="s">
        <v>4867</v>
      </c>
      <c r="FN1017" s="16" t="s">
        <v>4867</v>
      </c>
      <c r="FO1017" s="16" t="s">
        <v>4867</v>
      </c>
      <c r="FP1017" s="16" t="s">
        <v>4867</v>
      </c>
      <c r="FQ1017" s="16" t="s">
        <v>4867</v>
      </c>
      <c r="FR1017" s="16" t="s">
        <v>4867</v>
      </c>
      <c r="FS1017" s="16" t="s">
        <v>4867</v>
      </c>
      <c r="FT1017" s="16" t="s">
        <v>4867</v>
      </c>
      <c r="FU1017" s="16" t="s">
        <v>4867</v>
      </c>
      <c r="FV1017" s="16" t="s">
        <v>4867</v>
      </c>
      <c r="FW1017" s="16" t="s">
        <v>4867</v>
      </c>
      <c r="FX1017" s="16" t="s">
        <v>4867</v>
      </c>
      <c r="FY1017" s="16" t="s">
        <v>4867</v>
      </c>
      <c r="FZ1017" s="16" t="s">
        <v>4867</v>
      </c>
      <c r="GA1017" s="16" t="s">
        <v>4867</v>
      </c>
      <c r="GB1017" s="16" t="s">
        <v>4867</v>
      </c>
      <c r="GC1017" s="16" t="s">
        <v>4867</v>
      </c>
      <c r="GD1017" s="16" t="s">
        <v>4867</v>
      </c>
      <c r="GE1017" s="16" t="s">
        <v>4867</v>
      </c>
      <c r="GF1017" s="16" t="s">
        <v>4867</v>
      </c>
      <c r="GG1017" s="16" t="s">
        <v>4867</v>
      </c>
      <c r="GH1017" s="16" t="s">
        <v>4867</v>
      </c>
      <c r="GI1017" s="16" t="s">
        <v>4867</v>
      </c>
      <c r="GJ1017" s="16" t="s">
        <v>4867</v>
      </c>
      <c r="GK1017" s="16" t="s">
        <v>4867</v>
      </c>
      <c r="GL1017" s="16" t="s">
        <v>4867</v>
      </c>
      <c r="GM1017" s="16" t="s">
        <v>4867</v>
      </c>
      <c r="GN1017" s="16" t="s">
        <v>4867</v>
      </c>
      <c r="GO1017" s="16" t="s">
        <v>4867</v>
      </c>
      <c r="GP1017" s="16" t="s">
        <v>4867</v>
      </c>
      <c r="GQ1017" s="16" t="s">
        <v>4867</v>
      </c>
      <c r="GR1017" s="16" t="s">
        <v>4867</v>
      </c>
      <c r="GS1017" s="16" t="s">
        <v>4867</v>
      </c>
      <c r="GT1017" s="16" t="s">
        <v>4867</v>
      </c>
      <c r="GU1017" s="16" t="s">
        <v>4867</v>
      </c>
      <c r="GV1017" s="16" t="s">
        <v>4867</v>
      </c>
      <c r="GW1017" s="16" t="s">
        <v>4867</v>
      </c>
      <c r="GX1017" s="16" t="s">
        <v>4867</v>
      </c>
      <c r="GY1017" s="16" t="s">
        <v>4867</v>
      </c>
      <c r="GZ1017" s="16" t="s">
        <v>4867</v>
      </c>
      <c r="HA1017" s="16" t="s">
        <v>4867</v>
      </c>
      <c r="HB1017" s="16" t="s">
        <v>4867</v>
      </c>
      <c r="HC1017" s="16" t="s">
        <v>4867</v>
      </c>
      <c r="HD1017" s="16" t="s">
        <v>4867</v>
      </c>
      <c r="HE1017" s="16" t="s">
        <v>4867</v>
      </c>
      <c r="HF1017" s="16" t="s">
        <v>4867</v>
      </c>
      <c r="HG1017" s="16" t="s">
        <v>4867</v>
      </c>
      <c r="HH1017" s="16" t="s">
        <v>4867</v>
      </c>
      <c r="HI1017" s="16" t="s">
        <v>4867</v>
      </c>
      <c r="HJ1017" s="16" t="s">
        <v>4867</v>
      </c>
      <c r="HK1017" s="16" t="s">
        <v>4867</v>
      </c>
      <c r="HL1017" s="16" t="s">
        <v>4867</v>
      </c>
      <c r="HM1017" s="16" t="s">
        <v>4867</v>
      </c>
      <c r="HN1017" s="16" t="s">
        <v>4867</v>
      </c>
      <c r="HO1017" s="16" t="s">
        <v>4867</v>
      </c>
      <c r="HP1017" s="16" t="s">
        <v>4867</v>
      </c>
      <c r="HQ1017" s="16" t="s">
        <v>4867</v>
      </c>
      <c r="HR1017" s="16" t="s">
        <v>4867</v>
      </c>
      <c r="HS1017" s="16" t="s">
        <v>4867</v>
      </c>
      <c r="HT1017" s="16" t="s">
        <v>4867</v>
      </c>
      <c r="HU1017" s="16" t="s">
        <v>4867</v>
      </c>
      <c r="HV1017" s="16" t="s">
        <v>4867</v>
      </c>
      <c r="HW1017" s="16" t="s">
        <v>4867</v>
      </c>
      <c r="HX1017" s="16" t="s">
        <v>4867</v>
      </c>
      <c r="HY1017" s="16" t="s">
        <v>4867</v>
      </c>
      <c r="HZ1017" s="16" t="s">
        <v>4867</v>
      </c>
      <c r="IA1017" s="16" t="s">
        <v>4867</v>
      </c>
      <c r="IB1017" s="16" t="s">
        <v>4867</v>
      </c>
      <c r="IC1017" s="16" t="s">
        <v>4867</v>
      </c>
      <c r="ID1017" s="16" t="s">
        <v>4867</v>
      </c>
      <c r="IE1017" s="16" t="s">
        <v>4867</v>
      </c>
      <c r="IF1017" s="16" t="s">
        <v>4867</v>
      </c>
      <c r="IG1017" s="16" t="s">
        <v>4867</v>
      </c>
      <c r="IH1017" s="16" t="s">
        <v>4867</v>
      </c>
      <c r="II1017" s="16" t="s">
        <v>4867</v>
      </c>
      <c r="IJ1017" s="16" t="s">
        <v>4867</v>
      </c>
      <c r="IK1017" s="16" t="s">
        <v>4867</v>
      </c>
      <c r="IL1017" s="16" t="s">
        <v>4867</v>
      </c>
      <c r="IM1017" s="16" t="s">
        <v>4867</v>
      </c>
      <c r="IN1017" s="16" t="s">
        <v>4867</v>
      </c>
      <c r="IO1017" s="16" t="s">
        <v>4867</v>
      </c>
      <c r="IP1017" s="16" t="s">
        <v>4867</v>
      </c>
      <c r="IQ1017" s="16" t="s">
        <v>4867</v>
      </c>
      <c r="IR1017" s="16" t="s">
        <v>4867</v>
      </c>
      <c r="IS1017" s="16" t="s">
        <v>4867</v>
      </c>
      <c r="IT1017" s="16" t="s">
        <v>4867</v>
      </c>
      <c r="IU1017" s="16" t="s">
        <v>4867</v>
      </c>
      <c r="IV1017" s="16" t="s">
        <v>4867</v>
      </c>
      <c r="IW1017" s="16" t="s">
        <v>4867</v>
      </c>
      <c r="IX1017" s="16" t="s">
        <v>4867</v>
      </c>
      <c r="IY1017" s="16" t="s">
        <v>4867</v>
      </c>
      <c r="IZ1017" s="16" t="s">
        <v>4867</v>
      </c>
      <c r="JA1017" s="16" t="s">
        <v>4867</v>
      </c>
      <c r="JB1017" s="16" t="s">
        <v>4867</v>
      </c>
      <c r="JC1017" s="16" t="s">
        <v>4867</v>
      </c>
      <c r="JD1017" s="16" t="s">
        <v>4867</v>
      </c>
      <c r="JE1017" s="16" t="s">
        <v>4867</v>
      </c>
      <c r="JF1017" s="16" t="s">
        <v>4867</v>
      </c>
      <c r="JG1017" s="16" t="s">
        <v>4867</v>
      </c>
      <c r="JH1017" s="16" t="s">
        <v>4867</v>
      </c>
      <c r="JI1017" s="16" t="s">
        <v>4867</v>
      </c>
      <c r="JJ1017" s="16" t="s">
        <v>4867</v>
      </c>
      <c r="JK1017" s="16" t="s">
        <v>4867</v>
      </c>
      <c r="JL1017" s="16" t="s">
        <v>4867</v>
      </c>
      <c r="JM1017" s="16" t="s">
        <v>4867</v>
      </c>
      <c r="JN1017" s="16" t="s">
        <v>4867</v>
      </c>
      <c r="JO1017" s="16" t="s">
        <v>4867</v>
      </c>
      <c r="JP1017" s="16" t="s">
        <v>4867</v>
      </c>
      <c r="JQ1017" s="16" t="s">
        <v>4867</v>
      </c>
      <c r="JR1017" s="16" t="s">
        <v>4867</v>
      </c>
      <c r="JS1017" s="16" t="s">
        <v>4867</v>
      </c>
      <c r="JT1017" s="16" t="s">
        <v>4867</v>
      </c>
      <c r="JU1017" s="16" t="s">
        <v>4867</v>
      </c>
      <c r="JV1017" s="16" t="s">
        <v>4867</v>
      </c>
      <c r="JW1017" s="16" t="s">
        <v>4867</v>
      </c>
      <c r="JX1017" s="16" t="s">
        <v>4867</v>
      </c>
      <c r="JY1017" s="16" t="s">
        <v>4867</v>
      </c>
      <c r="JZ1017" s="16" t="s">
        <v>4867</v>
      </c>
      <c r="KA1017" s="16" t="s">
        <v>4867</v>
      </c>
      <c r="KB1017" s="16" t="s">
        <v>4867</v>
      </c>
      <c r="KC1017" s="16" t="s">
        <v>4867</v>
      </c>
      <c r="KD1017" s="16" t="s">
        <v>4867</v>
      </c>
      <c r="KE1017" s="16" t="s">
        <v>4867</v>
      </c>
      <c r="KF1017" s="16" t="s">
        <v>4867</v>
      </c>
      <c r="KG1017" s="16" t="s">
        <v>4867</v>
      </c>
      <c r="KH1017" s="16" t="s">
        <v>4867</v>
      </c>
      <c r="KI1017" s="16" t="s">
        <v>4867</v>
      </c>
      <c r="KJ1017" s="16" t="s">
        <v>4867</v>
      </c>
      <c r="KK1017" s="16" t="s">
        <v>4867</v>
      </c>
      <c r="KL1017" s="16" t="s">
        <v>4867</v>
      </c>
      <c r="KM1017" s="16" t="s">
        <v>4867</v>
      </c>
      <c r="KN1017" s="16" t="s">
        <v>4867</v>
      </c>
      <c r="KO1017" s="16" t="s">
        <v>4867</v>
      </c>
      <c r="KP1017" s="16" t="s">
        <v>4867</v>
      </c>
      <c r="KQ1017" s="16" t="s">
        <v>4867</v>
      </c>
      <c r="KR1017" s="16" t="s">
        <v>4867</v>
      </c>
      <c r="KS1017" s="16" t="s">
        <v>4867</v>
      </c>
      <c r="KT1017" s="16" t="s">
        <v>4867</v>
      </c>
      <c r="KU1017" s="16" t="s">
        <v>4867</v>
      </c>
      <c r="KV1017" s="16" t="s">
        <v>4867</v>
      </c>
      <c r="KW1017" s="16" t="s">
        <v>4867</v>
      </c>
      <c r="KX1017" s="16" t="s">
        <v>4867</v>
      </c>
      <c r="KY1017" s="16" t="s">
        <v>4867</v>
      </c>
      <c r="KZ1017" s="16" t="s">
        <v>4867</v>
      </c>
      <c r="LA1017" s="16" t="s">
        <v>4867</v>
      </c>
      <c r="LB1017" s="16" t="s">
        <v>4867</v>
      </c>
      <c r="LC1017" s="16" t="s">
        <v>4867</v>
      </c>
      <c r="LD1017" s="16" t="s">
        <v>4867</v>
      </c>
      <c r="LE1017" s="16" t="s">
        <v>4867</v>
      </c>
      <c r="LF1017" s="16" t="s">
        <v>4867</v>
      </c>
      <c r="LG1017" s="16" t="s">
        <v>4867</v>
      </c>
      <c r="LH1017" s="16" t="s">
        <v>4867</v>
      </c>
      <c r="LI1017" s="16" t="s">
        <v>4867</v>
      </c>
      <c r="LJ1017" s="16" t="s">
        <v>4867</v>
      </c>
      <c r="LK1017" s="16" t="s">
        <v>4867</v>
      </c>
      <c r="LL1017" s="16" t="s">
        <v>4867</v>
      </c>
      <c r="LM1017" s="16" t="s">
        <v>4867</v>
      </c>
      <c r="LN1017" s="16" t="s">
        <v>4867</v>
      </c>
      <c r="LO1017" s="16" t="s">
        <v>4867</v>
      </c>
      <c r="LP1017" s="16" t="s">
        <v>4867</v>
      </c>
      <c r="LQ1017" s="16" t="s">
        <v>4867</v>
      </c>
      <c r="LR1017" s="16" t="s">
        <v>4867</v>
      </c>
      <c r="LS1017" s="16" t="s">
        <v>4867</v>
      </c>
      <c r="LT1017" s="16" t="s">
        <v>4867</v>
      </c>
      <c r="LU1017" s="16" t="s">
        <v>4867</v>
      </c>
      <c r="LV1017" s="16" t="s">
        <v>4867</v>
      </c>
      <c r="LW1017" s="16" t="s">
        <v>4867</v>
      </c>
      <c r="LX1017" s="16" t="s">
        <v>4867</v>
      </c>
      <c r="LY1017" s="16" t="s">
        <v>4867</v>
      </c>
      <c r="LZ1017" s="16" t="s">
        <v>4867</v>
      </c>
      <c r="MA1017" s="16" t="s">
        <v>4867</v>
      </c>
      <c r="MB1017" s="16" t="s">
        <v>4867</v>
      </c>
      <c r="MC1017" s="16" t="s">
        <v>4867</v>
      </c>
      <c r="MD1017" s="16" t="s">
        <v>4867</v>
      </c>
      <c r="ME1017" s="16" t="s">
        <v>4867</v>
      </c>
      <c r="MF1017" s="16" t="s">
        <v>4867</v>
      </c>
      <c r="MG1017" s="16" t="s">
        <v>4867</v>
      </c>
      <c r="MH1017" s="16" t="s">
        <v>4867</v>
      </c>
      <c r="MI1017" s="16" t="s">
        <v>4867</v>
      </c>
      <c r="MJ1017" s="16" t="s">
        <v>4867</v>
      </c>
      <c r="MK1017" s="16" t="s">
        <v>4867</v>
      </c>
      <c r="ML1017" s="16" t="s">
        <v>4867</v>
      </c>
      <c r="MM1017" s="16" t="s">
        <v>4867</v>
      </c>
      <c r="MN1017" s="16" t="s">
        <v>4867</v>
      </c>
      <c r="MO1017" s="16" t="s">
        <v>4867</v>
      </c>
      <c r="MP1017" s="16" t="s">
        <v>4867</v>
      </c>
      <c r="MQ1017" s="16" t="s">
        <v>4867</v>
      </c>
      <c r="MR1017" s="16" t="s">
        <v>4867</v>
      </c>
      <c r="MS1017" s="16" t="s">
        <v>4867</v>
      </c>
      <c r="MT1017" s="16" t="s">
        <v>4867</v>
      </c>
      <c r="MU1017" s="16" t="s">
        <v>4867</v>
      </c>
      <c r="MV1017" s="16" t="s">
        <v>4867</v>
      </c>
      <c r="MW1017" s="16" t="s">
        <v>4867</v>
      </c>
      <c r="MX1017" s="16" t="s">
        <v>4867</v>
      </c>
      <c r="MY1017" s="16" t="s">
        <v>4867</v>
      </c>
      <c r="MZ1017" s="16" t="s">
        <v>4867</v>
      </c>
      <c r="NA1017" s="16" t="s">
        <v>4867</v>
      </c>
      <c r="NB1017" s="16" t="s">
        <v>4867</v>
      </c>
      <c r="NC1017" s="16" t="s">
        <v>4867</v>
      </c>
      <c r="ND1017" s="16" t="s">
        <v>4867</v>
      </c>
      <c r="NE1017" s="16" t="s">
        <v>4867</v>
      </c>
      <c r="NF1017" s="16" t="s">
        <v>4867</v>
      </c>
      <c r="NG1017" s="16" t="s">
        <v>4867</v>
      </c>
      <c r="NH1017" s="16" t="s">
        <v>4867</v>
      </c>
      <c r="NI1017" s="16" t="s">
        <v>4867</v>
      </c>
      <c r="NJ1017" s="16" t="s">
        <v>4867</v>
      </c>
      <c r="NK1017" s="16" t="s">
        <v>4867</v>
      </c>
      <c r="NL1017" s="16" t="s">
        <v>4867</v>
      </c>
      <c r="NM1017" s="16" t="s">
        <v>4867</v>
      </c>
      <c r="NN1017" s="16" t="s">
        <v>4867</v>
      </c>
      <c r="NO1017" s="16" t="s">
        <v>4867</v>
      </c>
      <c r="NP1017" s="16" t="s">
        <v>4867</v>
      </c>
      <c r="NQ1017" s="16" t="s">
        <v>4867</v>
      </c>
      <c r="NR1017" s="16" t="s">
        <v>4867</v>
      </c>
      <c r="NS1017" s="16" t="s">
        <v>4867</v>
      </c>
      <c r="NT1017" s="16" t="s">
        <v>4867</v>
      </c>
      <c r="NU1017" s="16" t="s">
        <v>4867</v>
      </c>
      <c r="NV1017" s="16" t="s">
        <v>4867</v>
      </c>
      <c r="NW1017" s="16" t="s">
        <v>4867</v>
      </c>
      <c r="NX1017" s="16" t="s">
        <v>4867</v>
      </c>
      <c r="NY1017" s="16" t="s">
        <v>4867</v>
      </c>
      <c r="NZ1017" s="16" t="s">
        <v>4867</v>
      </c>
      <c r="OA1017" s="16" t="s">
        <v>4867</v>
      </c>
      <c r="OB1017" s="16" t="s">
        <v>4867</v>
      </c>
      <c r="OC1017" s="16" t="s">
        <v>4867</v>
      </c>
      <c r="OD1017" s="16" t="s">
        <v>4867</v>
      </c>
      <c r="OE1017" s="16" t="s">
        <v>4867</v>
      </c>
      <c r="OF1017" s="16" t="s">
        <v>4867</v>
      </c>
      <c r="OG1017" s="16" t="s">
        <v>4867</v>
      </c>
      <c r="OH1017" s="16" t="s">
        <v>4867</v>
      </c>
      <c r="OI1017" s="16" t="s">
        <v>4867</v>
      </c>
      <c r="OJ1017" s="16" t="s">
        <v>4867</v>
      </c>
      <c r="OK1017" s="16" t="s">
        <v>4867</v>
      </c>
      <c r="OL1017" s="16" t="s">
        <v>4867</v>
      </c>
      <c r="OM1017" s="16" t="s">
        <v>4867</v>
      </c>
      <c r="ON1017" s="16" t="s">
        <v>4867</v>
      </c>
      <c r="OO1017" s="16" t="s">
        <v>4867</v>
      </c>
      <c r="OP1017" s="16" t="s">
        <v>4867</v>
      </c>
      <c r="OQ1017" s="16" t="s">
        <v>4867</v>
      </c>
      <c r="OR1017" s="16" t="s">
        <v>4867</v>
      </c>
      <c r="OS1017" s="16" t="s">
        <v>4867</v>
      </c>
      <c r="OT1017" s="16" t="s">
        <v>4867</v>
      </c>
      <c r="OU1017" s="16" t="s">
        <v>4867</v>
      </c>
      <c r="OV1017" s="16" t="s">
        <v>4867</v>
      </c>
      <c r="OW1017" s="16" t="s">
        <v>4867</v>
      </c>
      <c r="OX1017" s="16" t="s">
        <v>4867</v>
      </c>
      <c r="OY1017" s="16" t="s">
        <v>4867</v>
      </c>
      <c r="OZ1017" s="16" t="s">
        <v>4867</v>
      </c>
      <c r="PA1017" s="16" t="s">
        <v>4867</v>
      </c>
      <c r="PB1017" s="16" t="s">
        <v>4867</v>
      </c>
      <c r="PC1017" s="16" t="s">
        <v>4867</v>
      </c>
      <c r="PD1017" s="16" t="s">
        <v>4867</v>
      </c>
      <c r="PE1017" s="16" t="s">
        <v>4867</v>
      </c>
      <c r="PF1017" s="16" t="s">
        <v>4867</v>
      </c>
      <c r="PG1017" s="16" t="s">
        <v>4867</v>
      </c>
      <c r="PH1017" s="16" t="s">
        <v>4867</v>
      </c>
      <c r="PI1017" s="16" t="s">
        <v>4867</v>
      </c>
      <c r="PJ1017" s="16" t="s">
        <v>4867</v>
      </c>
      <c r="PK1017" s="16" t="s">
        <v>4867</v>
      </c>
      <c r="PL1017" s="16" t="s">
        <v>4867</v>
      </c>
      <c r="PM1017" s="16" t="s">
        <v>4867</v>
      </c>
      <c r="PN1017" s="16" t="s">
        <v>4867</v>
      </c>
      <c r="PO1017" s="16" t="s">
        <v>4867</v>
      </c>
      <c r="PP1017" s="16" t="s">
        <v>4867</v>
      </c>
      <c r="PQ1017" s="16" t="s">
        <v>4867</v>
      </c>
      <c r="PR1017" s="16" t="s">
        <v>4867</v>
      </c>
      <c r="PS1017" s="16" t="s">
        <v>4867</v>
      </c>
      <c r="PT1017" s="16" t="s">
        <v>4867</v>
      </c>
      <c r="PU1017" s="16" t="s">
        <v>4867</v>
      </c>
      <c r="PV1017" s="16" t="s">
        <v>4867</v>
      </c>
      <c r="PW1017" s="16" t="s">
        <v>4867</v>
      </c>
      <c r="PX1017" s="16" t="s">
        <v>4867</v>
      </c>
      <c r="PY1017" s="16" t="s">
        <v>4867</v>
      </c>
      <c r="PZ1017" s="16" t="s">
        <v>4867</v>
      </c>
      <c r="QA1017" s="16" t="s">
        <v>4867</v>
      </c>
      <c r="QB1017" s="16" t="s">
        <v>4867</v>
      </c>
      <c r="QC1017" s="16" t="s">
        <v>4867</v>
      </c>
      <c r="QD1017" s="16" t="s">
        <v>4867</v>
      </c>
      <c r="QE1017" s="16" t="s">
        <v>4867</v>
      </c>
      <c r="QF1017" s="16" t="s">
        <v>4867</v>
      </c>
      <c r="QG1017" s="16" t="s">
        <v>4867</v>
      </c>
      <c r="QH1017" s="16" t="s">
        <v>4867</v>
      </c>
      <c r="QI1017" s="16" t="s">
        <v>4867</v>
      </c>
      <c r="QJ1017" s="16" t="s">
        <v>4867</v>
      </c>
      <c r="QK1017" s="16" t="s">
        <v>4867</v>
      </c>
      <c r="QL1017" s="16" t="s">
        <v>4867</v>
      </c>
      <c r="QM1017" s="16" t="s">
        <v>4867</v>
      </c>
      <c r="QN1017" s="16" t="s">
        <v>4867</v>
      </c>
      <c r="QO1017" s="16" t="s">
        <v>4867</v>
      </c>
      <c r="QP1017" s="16" t="s">
        <v>4867</v>
      </c>
      <c r="QQ1017" s="16" t="s">
        <v>4867</v>
      </c>
      <c r="QR1017" s="16" t="s">
        <v>4867</v>
      </c>
      <c r="QS1017" s="16" t="s">
        <v>4867</v>
      </c>
      <c r="QT1017" s="16" t="s">
        <v>4867</v>
      </c>
      <c r="QU1017" s="16" t="s">
        <v>4867</v>
      </c>
      <c r="QV1017" s="16" t="s">
        <v>4867</v>
      </c>
      <c r="QW1017" s="16" t="s">
        <v>4867</v>
      </c>
      <c r="QX1017" s="16" t="s">
        <v>4867</v>
      </c>
      <c r="QY1017" s="16" t="s">
        <v>4867</v>
      </c>
      <c r="QZ1017" s="16" t="s">
        <v>4867</v>
      </c>
      <c r="RA1017" s="16" t="s">
        <v>4867</v>
      </c>
      <c r="RB1017" s="16" t="s">
        <v>4867</v>
      </c>
      <c r="RC1017" s="16" t="s">
        <v>4867</v>
      </c>
      <c r="RD1017" s="16" t="s">
        <v>4867</v>
      </c>
      <c r="RE1017" s="16" t="s">
        <v>4867</v>
      </c>
      <c r="RF1017" s="16" t="s">
        <v>4867</v>
      </c>
      <c r="RG1017" s="16" t="s">
        <v>4867</v>
      </c>
      <c r="RH1017" s="16" t="s">
        <v>4867</v>
      </c>
      <c r="RI1017" s="16" t="s">
        <v>4867</v>
      </c>
      <c r="RJ1017" s="16" t="s">
        <v>4867</v>
      </c>
      <c r="RK1017" s="16" t="s">
        <v>4867</v>
      </c>
      <c r="RL1017" s="16" t="s">
        <v>4867</v>
      </c>
      <c r="RM1017" s="16" t="s">
        <v>4867</v>
      </c>
      <c r="RN1017" s="16" t="s">
        <v>4867</v>
      </c>
      <c r="RO1017" s="16" t="s">
        <v>4867</v>
      </c>
      <c r="RP1017" s="16" t="s">
        <v>4867</v>
      </c>
      <c r="RQ1017" s="16" t="s">
        <v>4867</v>
      </c>
      <c r="RR1017" s="16" t="s">
        <v>4867</v>
      </c>
      <c r="RS1017" s="16" t="s">
        <v>4867</v>
      </c>
      <c r="RT1017" s="16" t="s">
        <v>4867</v>
      </c>
      <c r="RU1017" s="16" t="s">
        <v>4867</v>
      </c>
      <c r="RV1017" s="16" t="s">
        <v>4867</v>
      </c>
      <c r="RW1017" s="16" t="s">
        <v>4867</v>
      </c>
      <c r="RX1017" s="16" t="s">
        <v>4867</v>
      </c>
      <c r="RY1017" s="16" t="s">
        <v>4867</v>
      </c>
      <c r="RZ1017" s="16" t="s">
        <v>4867</v>
      </c>
      <c r="SA1017" s="16" t="s">
        <v>4867</v>
      </c>
      <c r="SB1017" s="16" t="s">
        <v>4867</v>
      </c>
      <c r="SC1017" s="16" t="s">
        <v>4867</v>
      </c>
      <c r="SD1017" s="16" t="s">
        <v>4867</v>
      </c>
      <c r="SE1017" s="16" t="s">
        <v>4867</v>
      </c>
      <c r="SF1017" s="16" t="s">
        <v>4867</v>
      </c>
      <c r="SG1017" s="16" t="s">
        <v>4867</v>
      </c>
      <c r="SH1017" s="16" t="s">
        <v>4867</v>
      </c>
      <c r="SI1017" s="16" t="s">
        <v>4867</v>
      </c>
      <c r="SJ1017" s="16" t="s">
        <v>4867</v>
      </c>
      <c r="SK1017" s="16" t="s">
        <v>4867</v>
      </c>
      <c r="SL1017" s="16" t="s">
        <v>4867</v>
      </c>
      <c r="SM1017" s="16" t="s">
        <v>4867</v>
      </c>
      <c r="SN1017" s="16" t="s">
        <v>4867</v>
      </c>
      <c r="SO1017" s="16" t="s">
        <v>4867</v>
      </c>
      <c r="SP1017" s="16" t="s">
        <v>4867</v>
      </c>
      <c r="SQ1017" s="16" t="s">
        <v>4867</v>
      </c>
      <c r="SR1017" s="16" t="s">
        <v>4867</v>
      </c>
      <c r="SS1017" s="16" t="s">
        <v>4867</v>
      </c>
      <c r="ST1017" s="16" t="s">
        <v>4867</v>
      </c>
      <c r="SU1017" s="16" t="s">
        <v>4867</v>
      </c>
      <c r="SV1017" s="16" t="s">
        <v>4867</v>
      </c>
      <c r="SW1017" s="16" t="s">
        <v>4867</v>
      </c>
      <c r="SX1017" s="16" t="s">
        <v>4867</v>
      </c>
      <c r="SY1017" s="16" t="s">
        <v>4867</v>
      </c>
      <c r="SZ1017" s="16" t="s">
        <v>4867</v>
      </c>
      <c r="TA1017" s="16" t="s">
        <v>4867</v>
      </c>
      <c r="TB1017" s="16" t="s">
        <v>4867</v>
      </c>
      <c r="TC1017" s="16" t="s">
        <v>4867</v>
      </c>
      <c r="TD1017" s="16" t="s">
        <v>4867</v>
      </c>
      <c r="TE1017" s="16" t="s">
        <v>4867</v>
      </c>
      <c r="TF1017" s="16" t="s">
        <v>4867</v>
      </c>
      <c r="TG1017" s="16" t="s">
        <v>4867</v>
      </c>
      <c r="TH1017" s="16" t="s">
        <v>4867</v>
      </c>
      <c r="TI1017" s="16" t="s">
        <v>4867</v>
      </c>
      <c r="TJ1017" s="16" t="s">
        <v>4867</v>
      </c>
      <c r="TK1017" s="16" t="s">
        <v>4867</v>
      </c>
      <c r="TL1017" s="16" t="s">
        <v>4867</v>
      </c>
      <c r="TM1017" s="16" t="s">
        <v>4867</v>
      </c>
      <c r="TN1017" s="16" t="s">
        <v>4867</v>
      </c>
      <c r="TO1017" s="16" t="s">
        <v>4867</v>
      </c>
      <c r="TP1017" s="16" t="s">
        <v>4867</v>
      </c>
      <c r="TQ1017" s="16" t="s">
        <v>4867</v>
      </c>
      <c r="TR1017" s="16" t="s">
        <v>4867</v>
      </c>
      <c r="TS1017" s="16" t="s">
        <v>4867</v>
      </c>
      <c r="TT1017" s="16" t="s">
        <v>4867</v>
      </c>
      <c r="TU1017" s="16" t="s">
        <v>4867</v>
      </c>
      <c r="TV1017" s="16" t="s">
        <v>4867</v>
      </c>
      <c r="TW1017" s="16" t="s">
        <v>4867</v>
      </c>
      <c r="TX1017" s="16" t="s">
        <v>4867</v>
      </c>
      <c r="TY1017" s="16" t="s">
        <v>4867</v>
      </c>
      <c r="TZ1017" s="16" t="s">
        <v>4867</v>
      </c>
      <c r="UA1017" s="16" t="s">
        <v>4867</v>
      </c>
      <c r="UB1017" s="16" t="s">
        <v>4867</v>
      </c>
      <c r="UC1017" s="16" t="s">
        <v>4867</v>
      </c>
      <c r="UD1017" s="16" t="s">
        <v>4867</v>
      </c>
      <c r="UE1017" s="16" t="s">
        <v>4867</v>
      </c>
      <c r="UF1017" s="16" t="s">
        <v>4867</v>
      </c>
      <c r="UG1017" s="16" t="s">
        <v>4867</v>
      </c>
      <c r="UH1017" s="16" t="s">
        <v>4867</v>
      </c>
      <c r="UI1017" s="16" t="s">
        <v>4867</v>
      </c>
      <c r="UJ1017" s="16" t="s">
        <v>4867</v>
      </c>
      <c r="UK1017" s="16" t="s">
        <v>4867</v>
      </c>
      <c r="UL1017" s="16" t="s">
        <v>4867</v>
      </c>
      <c r="UM1017" s="16" t="s">
        <v>4867</v>
      </c>
      <c r="UN1017" s="16" t="s">
        <v>4867</v>
      </c>
      <c r="UO1017" s="16" t="s">
        <v>4867</v>
      </c>
      <c r="UP1017" s="16" t="s">
        <v>4867</v>
      </c>
      <c r="UQ1017" s="16" t="s">
        <v>4867</v>
      </c>
      <c r="UR1017" s="16" t="s">
        <v>4867</v>
      </c>
      <c r="US1017" s="16" t="s">
        <v>4867</v>
      </c>
      <c r="UT1017" s="16" t="s">
        <v>4867</v>
      </c>
      <c r="UU1017" s="16" t="s">
        <v>4867</v>
      </c>
      <c r="UV1017" s="16" t="s">
        <v>4867</v>
      </c>
      <c r="UW1017" s="16" t="s">
        <v>4867</v>
      </c>
      <c r="UX1017" s="16" t="s">
        <v>4867</v>
      </c>
      <c r="UY1017" s="16" t="s">
        <v>4867</v>
      </c>
      <c r="UZ1017" s="16" t="s">
        <v>4867</v>
      </c>
      <c r="VA1017" s="16" t="s">
        <v>4867</v>
      </c>
      <c r="VB1017" s="16" t="s">
        <v>4867</v>
      </c>
      <c r="VC1017" s="16" t="s">
        <v>4867</v>
      </c>
      <c r="VD1017" s="16" t="s">
        <v>4867</v>
      </c>
      <c r="VE1017" s="16" t="s">
        <v>4867</v>
      </c>
      <c r="VF1017" s="16" t="s">
        <v>4867</v>
      </c>
      <c r="VG1017" s="16" t="s">
        <v>4867</v>
      </c>
      <c r="VH1017" s="16" t="s">
        <v>4867</v>
      </c>
      <c r="VI1017" s="16" t="s">
        <v>4867</v>
      </c>
      <c r="VJ1017" s="16" t="s">
        <v>4867</v>
      </c>
      <c r="VK1017" s="16" t="s">
        <v>4867</v>
      </c>
      <c r="VL1017" s="16" t="s">
        <v>4867</v>
      </c>
      <c r="VM1017" s="16" t="s">
        <v>4867</v>
      </c>
      <c r="VN1017" s="16" t="s">
        <v>4867</v>
      </c>
      <c r="VO1017" s="16" t="s">
        <v>4867</v>
      </c>
      <c r="VP1017" s="16" t="s">
        <v>4867</v>
      </c>
      <c r="VQ1017" s="16" t="s">
        <v>4867</v>
      </c>
      <c r="VR1017" s="16" t="s">
        <v>4867</v>
      </c>
      <c r="VS1017" s="16" t="s">
        <v>4867</v>
      </c>
      <c r="VT1017" s="16" t="s">
        <v>4867</v>
      </c>
      <c r="VU1017" s="16" t="s">
        <v>4867</v>
      </c>
      <c r="VV1017" s="16" t="s">
        <v>4867</v>
      </c>
      <c r="VW1017" s="16" t="s">
        <v>4867</v>
      </c>
      <c r="VX1017" s="16" t="s">
        <v>4867</v>
      </c>
      <c r="VY1017" s="16" t="s">
        <v>4867</v>
      </c>
      <c r="VZ1017" s="16" t="s">
        <v>4867</v>
      </c>
      <c r="WA1017" s="16" t="s">
        <v>4867</v>
      </c>
      <c r="WB1017" s="16" t="s">
        <v>4867</v>
      </c>
      <c r="WC1017" s="16" t="s">
        <v>4867</v>
      </c>
      <c r="WD1017" s="16" t="s">
        <v>4867</v>
      </c>
      <c r="WE1017" s="16" t="s">
        <v>4867</v>
      </c>
      <c r="WF1017" s="16" t="s">
        <v>4867</v>
      </c>
      <c r="WG1017" s="16" t="s">
        <v>4867</v>
      </c>
      <c r="WH1017" s="16" t="s">
        <v>4867</v>
      </c>
      <c r="WI1017" s="16" t="s">
        <v>4867</v>
      </c>
      <c r="WJ1017" s="16" t="s">
        <v>4867</v>
      </c>
      <c r="WK1017" s="16" t="s">
        <v>4867</v>
      </c>
      <c r="WL1017" s="16" t="s">
        <v>4867</v>
      </c>
      <c r="WM1017" s="16" t="s">
        <v>4867</v>
      </c>
      <c r="WN1017" s="16" t="s">
        <v>4867</v>
      </c>
      <c r="WO1017" s="16" t="s">
        <v>4867</v>
      </c>
      <c r="WP1017" s="16" t="s">
        <v>4867</v>
      </c>
      <c r="WQ1017" s="16" t="s">
        <v>4867</v>
      </c>
      <c r="WR1017" s="16" t="s">
        <v>4867</v>
      </c>
      <c r="WS1017" s="16" t="s">
        <v>4867</v>
      </c>
      <c r="WT1017" s="16" t="s">
        <v>4867</v>
      </c>
      <c r="WU1017" s="16" t="s">
        <v>4867</v>
      </c>
      <c r="WV1017" s="16" t="s">
        <v>4867</v>
      </c>
      <c r="WW1017" s="16" t="s">
        <v>4867</v>
      </c>
      <c r="WX1017" s="16" t="s">
        <v>4867</v>
      </c>
      <c r="WY1017" s="16" t="s">
        <v>4867</v>
      </c>
      <c r="WZ1017" s="16" t="s">
        <v>4867</v>
      </c>
      <c r="XA1017" s="16" t="s">
        <v>4867</v>
      </c>
      <c r="XB1017" s="16" t="s">
        <v>4867</v>
      </c>
      <c r="XC1017" s="16" t="s">
        <v>4867</v>
      </c>
      <c r="XD1017" s="16" t="s">
        <v>4867</v>
      </c>
      <c r="XE1017" s="16" t="s">
        <v>4867</v>
      </c>
      <c r="XF1017" s="16" t="s">
        <v>4867</v>
      </c>
      <c r="XG1017" s="16" t="s">
        <v>4867</v>
      </c>
      <c r="XH1017" s="16" t="s">
        <v>4867</v>
      </c>
      <c r="XI1017" s="16" t="s">
        <v>4867</v>
      </c>
      <c r="XJ1017" s="16" t="s">
        <v>4867</v>
      </c>
      <c r="XK1017" s="16" t="s">
        <v>4867</v>
      </c>
      <c r="XL1017" s="16" t="s">
        <v>4867</v>
      </c>
      <c r="XM1017" s="16" t="s">
        <v>4867</v>
      </c>
      <c r="XN1017" s="16" t="s">
        <v>4867</v>
      </c>
      <c r="XO1017" s="16" t="s">
        <v>4867</v>
      </c>
      <c r="XP1017" s="16" t="s">
        <v>4867</v>
      </c>
      <c r="XQ1017" s="16" t="s">
        <v>4867</v>
      </c>
      <c r="XR1017" s="16" t="s">
        <v>4867</v>
      </c>
      <c r="XS1017" s="16" t="s">
        <v>4867</v>
      </c>
      <c r="XT1017" s="16" t="s">
        <v>4867</v>
      </c>
      <c r="XU1017" s="16" t="s">
        <v>4867</v>
      </c>
      <c r="XV1017" s="16" t="s">
        <v>4867</v>
      </c>
      <c r="XW1017" s="16" t="s">
        <v>4867</v>
      </c>
      <c r="XX1017" s="16" t="s">
        <v>4867</v>
      </c>
      <c r="XY1017" s="16" t="s">
        <v>4867</v>
      </c>
      <c r="XZ1017" s="16" t="s">
        <v>4867</v>
      </c>
      <c r="YA1017" s="16" t="s">
        <v>4867</v>
      </c>
      <c r="YB1017" s="16" t="s">
        <v>4867</v>
      </c>
      <c r="YC1017" s="16" t="s">
        <v>4867</v>
      </c>
      <c r="YD1017" s="16" t="s">
        <v>4867</v>
      </c>
      <c r="YE1017" s="16" t="s">
        <v>4867</v>
      </c>
      <c r="YF1017" s="16" t="s">
        <v>4867</v>
      </c>
      <c r="YG1017" s="16" t="s">
        <v>4867</v>
      </c>
      <c r="YH1017" s="16" t="s">
        <v>4867</v>
      </c>
      <c r="YI1017" s="16" t="s">
        <v>4867</v>
      </c>
      <c r="YJ1017" s="16" t="s">
        <v>4867</v>
      </c>
      <c r="YK1017" s="16" t="s">
        <v>4867</v>
      </c>
      <c r="YL1017" s="16" t="s">
        <v>4867</v>
      </c>
      <c r="YM1017" s="16" t="s">
        <v>4867</v>
      </c>
      <c r="YN1017" s="16" t="s">
        <v>4867</v>
      </c>
      <c r="YO1017" s="16" t="s">
        <v>4867</v>
      </c>
      <c r="YP1017" s="16" t="s">
        <v>4867</v>
      </c>
      <c r="YQ1017" s="16" t="s">
        <v>4867</v>
      </c>
      <c r="YR1017" s="16" t="s">
        <v>4867</v>
      </c>
      <c r="YS1017" s="16" t="s">
        <v>4867</v>
      </c>
      <c r="YT1017" s="16" t="s">
        <v>4867</v>
      </c>
      <c r="YU1017" s="16" t="s">
        <v>4867</v>
      </c>
      <c r="YV1017" s="16" t="s">
        <v>4867</v>
      </c>
      <c r="YW1017" s="16" t="s">
        <v>4867</v>
      </c>
      <c r="YX1017" s="16" t="s">
        <v>4867</v>
      </c>
      <c r="YY1017" s="16" t="s">
        <v>4867</v>
      </c>
      <c r="YZ1017" s="16" t="s">
        <v>4867</v>
      </c>
      <c r="ZA1017" s="16" t="s">
        <v>4867</v>
      </c>
      <c r="ZB1017" s="16" t="s">
        <v>4867</v>
      </c>
      <c r="ZC1017" s="16" t="s">
        <v>4867</v>
      </c>
      <c r="ZD1017" s="16" t="s">
        <v>4867</v>
      </c>
      <c r="ZE1017" s="16" t="s">
        <v>4867</v>
      </c>
      <c r="ZF1017" s="16" t="s">
        <v>4867</v>
      </c>
      <c r="ZG1017" s="16" t="s">
        <v>4867</v>
      </c>
      <c r="ZH1017" s="16" t="s">
        <v>4867</v>
      </c>
      <c r="ZI1017" s="16" t="s">
        <v>4867</v>
      </c>
      <c r="ZJ1017" s="16" t="s">
        <v>4867</v>
      </c>
      <c r="ZK1017" s="16" t="s">
        <v>4867</v>
      </c>
      <c r="ZL1017" s="16" t="s">
        <v>4867</v>
      </c>
      <c r="ZM1017" s="16" t="s">
        <v>4867</v>
      </c>
      <c r="ZN1017" s="16" t="s">
        <v>4867</v>
      </c>
      <c r="ZO1017" s="16" t="s">
        <v>4867</v>
      </c>
      <c r="ZP1017" s="16" t="s">
        <v>4867</v>
      </c>
      <c r="ZQ1017" s="16" t="s">
        <v>4867</v>
      </c>
      <c r="ZR1017" s="16" t="s">
        <v>4867</v>
      </c>
      <c r="ZS1017" s="16" t="s">
        <v>4867</v>
      </c>
      <c r="ZT1017" s="16" t="s">
        <v>4867</v>
      </c>
      <c r="ZU1017" s="16" t="s">
        <v>4867</v>
      </c>
      <c r="ZV1017" s="16" t="s">
        <v>4867</v>
      </c>
      <c r="ZW1017" s="16" t="s">
        <v>4867</v>
      </c>
      <c r="ZX1017" s="16" t="s">
        <v>4867</v>
      </c>
      <c r="ZY1017" s="16" t="s">
        <v>4867</v>
      </c>
      <c r="ZZ1017" s="16" t="s">
        <v>4867</v>
      </c>
      <c r="AAA1017" s="16" t="s">
        <v>4867</v>
      </c>
      <c r="AAB1017" s="16" t="s">
        <v>4867</v>
      </c>
      <c r="AAC1017" s="16" t="s">
        <v>4867</v>
      </c>
      <c r="AAD1017" s="16" t="s">
        <v>4867</v>
      </c>
      <c r="AAE1017" s="16" t="s">
        <v>4867</v>
      </c>
      <c r="AAF1017" s="16" t="s">
        <v>4867</v>
      </c>
      <c r="AAG1017" s="16" t="s">
        <v>4867</v>
      </c>
      <c r="AAH1017" s="16" t="s">
        <v>4867</v>
      </c>
      <c r="AAI1017" s="16" t="s">
        <v>4867</v>
      </c>
      <c r="AAJ1017" s="16" t="s">
        <v>4867</v>
      </c>
      <c r="AAK1017" s="16" t="s">
        <v>4867</v>
      </c>
      <c r="AAL1017" s="16" t="s">
        <v>4867</v>
      </c>
      <c r="AAM1017" s="16" t="s">
        <v>4867</v>
      </c>
      <c r="AAN1017" s="16" t="s">
        <v>4867</v>
      </c>
      <c r="AAO1017" s="16" t="s">
        <v>4867</v>
      </c>
      <c r="AAP1017" s="16" t="s">
        <v>4867</v>
      </c>
      <c r="AAQ1017" s="16" t="s">
        <v>4867</v>
      </c>
      <c r="AAR1017" s="16" t="s">
        <v>4867</v>
      </c>
      <c r="AAS1017" s="16" t="s">
        <v>4867</v>
      </c>
      <c r="AAT1017" s="16" t="s">
        <v>4867</v>
      </c>
      <c r="AAU1017" s="16" t="s">
        <v>4867</v>
      </c>
      <c r="AAV1017" s="16" t="s">
        <v>4867</v>
      </c>
      <c r="AAW1017" s="16" t="s">
        <v>4867</v>
      </c>
      <c r="AAX1017" s="16" t="s">
        <v>4867</v>
      </c>
      <c r="AAY1017" s="16" t="s">
        <v>4867</v>
      </c>
      <c r="AAZ1017" s="16" t="s">
        <v>4867</v>
      </c>
      <c r="ABA1017" s="16" t="s">
        <v>4867</v>
      </c>
      <c r="ABB1017" s="16" t="s">
        <v>4867</v>
      </c>
      <c r="ABC1017" s="16" t="s">
        <v>4867</v>
      </c>
      <c r="ABD1017" s="16" t="s">
        <v>4867</v>
      </c>
      <c r="ABE1017" s="16" t="s">
        <v>4867</v>
      </c>
      <c r="ABF1017" s="16" t="s">
        <v>4867</v>
      </c>
      <c r="ABG1017" s="16" t="s">
        <v>4867</v>
      </c>
      <c r="ABH1017" s="16" t="s">
        <v>4867</v>
      </c>
      <c r="ABI1017" s="16" t="s">
        <v>4867</v>
      </c>
      <c r="ABJ1017" s="16" t="s">
        <v>4867</v>
      </c>
      <c r="ABK1017" s="16" t="s">
        <v>4867</v>
      </c>
      <c r="ABL1017" s="16" t="s">
        <v>4867</v>
      </c>
      <c r="ABM1017" s="16" t="s">
        <v>4867</v>
      </c>
      <c r="ABN1017" s="16" t="s">
        <v>4867</v>
      </c>
      <c r="ABO1017" s="16" t="s">
        <v>4867</v>
      </c>
      <c r="ABP1017" s="16" t="s">
        <v>4867</v>
      </c>
      <c r="ABQ1017" s="16" t="s">
        <v>4867</v>
      </c>
      <c r="ABR1017" s="16" t="s">
        <v>4867</v>
      </c>
      <c r="ABS1017" s="16" t="s">
        <v>4867</v>
      </c>
      <c r="ABT1017" s="16" t="s">
        <v>4867</v>
      </c>
      <c r="ABU1017" s="16" t="s">
        <v>4867</v>
      </c>
      <c r="ABV1017" s="16" t="s">
        <v>4867</v>
      </c>
      <c r="ABW1017" s="16" t="s">
        <v>4867</v>
      </c>
      <c r="ABX1017" s="16" t="s">
        <v>4867</v>
      </c>
      <c r="ABY1017" s="16" t="s">
        <v>4867</v>
      </c>
      <c r="ABZ1017" s="16" t="s">
        <v>4867</v>
      </c>
      <c r="ACA1017" s="16" t="s">
        <v>4867</v>
      </c>
      <c r="ACB1017" s="16" t="s">
        <v>4867</v>
      </c>
      <c r="ACC1017" s="16" t="s">
        <v>4867</v>
      </c>
      <c r="ACD1017" s="16" t="s">
        <v>4867</v>
      </c>
      <c r="ACE1017" s="16" t="s">
        <v>4867</v>
      </c>
      <c r="ACF1017" s="16" t="s">
        <v>4867</v>
      </c>
      <c r="ACG1017" s="16" t="s">
        <v>4867</v>
      </c>
      <c r="ACH1017" s="16" t="s">
        <v>4867</v>
      </c>
      <c r="ACI1017" s="16" t="s">
        <v>4867</v>
      </c>
      <c r="ACJ1017" s="16" t="s">
        <v>4867</v>
      </c>
      <c r="ACK1017" s="16" t="s">
        <v>4867</v>
      </c>
      <c r="ACL1017" s="16" t="s">
        <v>4867</v>
      </c>
      <c r="ACM1017" s="16" t="s">
        <v>4867</v>
      </c>
      <c r="ACN1017" s="16" t="s">
        <v>4867</v>
      </c>
      <c r="ACO1017" s="16" t="s">
        <v>4867</v>
      </c>
      <c r="ACP1017" s="16" t="s">
        <v>4867</v>
      </c>
      <c r="ACQ1017" s="16" t="s">
        <v>4867</v>
      </c>
      <c r="ACR1017" s="16" t="s">
        <v>4867</v>
      </c>
      <c r="ACS1017" s="16" t="s">
        <v>4867</v>
      </c>
      <c r="ACT1017" s="16" t="s">
        <v>4867</v>
      </c>
      <c r="ACU1017" s="16" t="s">
        <v>4867</v>
      </c>
      <c r="ACV1017" s="16" t="s">
        <v>4867</v>
      </c>
      <c r="ACW1017" s="16" t="s">
        <v>4867</v>
      </c>
      <c r="ACX1017" s="16" t="s">
        <v>4867</v>
      </c>
      <c r="ACY1017" s="16" t="s">
        <v>4867</v>
      </c>
      <c r="ACZ1017" s="16" t="s">
        <v>4867</v>
      </c>
      <c r="ADA1017" s="16" t="s">
        <v>4867</v>
      </c>
      <c r="ADB1017" s="16" t="s">
        <v>4867</v>
      </c>
      <c r="ADC1017" s="16" t="s">
        <v>4867</v>
      </c>
      <c r="ADD1017" s="16" t="s">
        <v>4867</v>
      </c>
      <c r="ADE1017" s="16" t="s">
        <v>4867</v>
      </c>
      <c r="ADF1017" s="16" t="s">
        <v>4867</v>
      </c>
      <c r="ADG1017" s="16" t="s">
        <v>4867</v>
      </c>
      <c r="ADH1017" s="16" t="s">
        <v>4867</v>
      </c>
      <c r="ADI1017" s="16" t="s">
        <v>4867</v>
      </c>
      <c r="ADJ1017" s="16" t="s">
        <v>4867</v>
      </c>
      <c r="ADK1017" s="16" t="s">
        <v>4867</v>
      </c>
      <c r="ADL1017" s="16" t="s">
        <v>4867</v>
      </c>
      <c r="ADM1017" s="16" t="s">
        <v>4867</v>
      </c>
      <c r="ADN1017" s="16" t="s">
        <v>4867</v>
      </c>
      <c r="ADO1017" s="16" t="s">
        <v>4867</v>
      </c>
      <c r="ADP1017" s="16" t="s">
        <v>4867</v>
      </c>
      <c r="ADQ1017" s="16" t="s">
        <v>4867</v>
      </c>
      <c r="ADR1017" s="16" t="s">
        <v>4867</v>
      </c>
      <c r="ADS1017" s="16" t="s">
        <v>4867</v>
      </c>
      <c r="ADT1017" s="16" t="s">
        <v>4867</v>
      </c>
      <c r="ADU1017" s="16" t="s">
        <v>4867</v>
      </c>
      <c r="ADV1017" s="16" t="s">
        <v>4867</v>
      </c>
      <c r="ADW1017" s="16" t="s">
        <v>4867</v>
      </c>
      <c r="ADX1017" s="16" t="s">
        <v>4867</v>
      </c>
      <c r="ADY1017" s="16" t="s">
        <v>4867</v>
      </c>
      <c r="ADZ1017" s="16" t="s">
        <v>4867</v>
      </c>
      <c r="AEA1017" s="16" t="s">
        <v>4867</v>
      </c>
      <c r="AEB1017" s="16" t="s">
        <v>4867</v>
      </c>
      <c r="AEC1017" s="16" t="s">
        <v>4867</v>
      </c>
      <c r="AED1017" s="16" t="s">
        <v>4867</v>
      </c>
      <c r="AEE1017" s="16" t="s">
        <v>4867</v>
      </c>
      <c r="AEF1017" s="16" t="s">
        <v>4867</v>
      </c>
      <c r="AEG1017" s="16" t="s">
        <v>4867</v>
      </c>
      <c r="AEH1017" s="16" t="s">
        <v>4867</v>
      </c>
      <c r="AEI1017" s="16" t="s">
        <v>4867</v>
      </c>
      <c r="AEJ1017" s="16" t="s">
        <v>4867</v>
      </c>
      <c r="AEK1017" s="16" t="s">
        <v>4867</v>
      </c>
      <c r="AEL1017" s="16" t="s">
        <v>4867</v>
      </c>
      <c r="AEM1017" s="16" t="s">
        <v>4867</v>
      </c>
      <c r="AEN1017" s="16" t="s">
        <v>4867</v>
      </c>
      <c r="AEO1017" s="16" t="s">
        <v>4867</v>
      </c>
      <c r="AEP1017" s="16" t="s">
        <v>4867</v>
      </c>
      <c r="AEQ1017" s="16" t="s">
        <v>4867</v>
      </c>
      <c r="AER1017" s="16" t="s">
        <v>4867</v>
      </c>
      <c r="AES1017" s="16" t="s">
        <v>4867</v>
      </c>
      <c r="AET1017" s="16" t="s">
        <v>4867</v>
      </c>
      <c r="AEU1017" s="16" t="s">
        <v>4867</v>
      </c>
      <c r="AEV1017" s="16" t="s">
        <v>4867</v>
      </c>
      <c r="AEW1017" s="16" t="s">
        <v>4867</v>
      </c>
      <c r="AEX1017" s="16" t="s">
        <v>4867</v>
      </c>
      <c r="AEY1017" s="16" t="s">
        <v>4867</v>
      </c>
      <c r="AEZ1017" s="16" t="s">
        <v>4867</v>
      </c>
      <c r="AFA1017" s="16" t="s">
        <v>4867</v>
      </c>
      <c r="AFB1017" s="16" t="s">
        <v>4867</v>
      </c>
      <c r="AFC1017" s="16" t="s">
        <v>4867</v>
      </c>
      <c r="AFD1017" s="16" t="s">
        <v>4867</v>
      </c>
      <c r="AFE1017" s="16" t="s">
        <v>4867</v>
      </c>
      <c r="AFF1017" s="16" t="s">
        <v>4867</v>
      </c>
      <c r="AFG1017" s="16" t="s">
        <v>4867</v>
      </c>
      <c r="AFH1017" s="16" t="s">
        <v>4867</v>
      </c>
      <c r="AFI1017" s="16" t="s">
        <v>4867</v>
      </c>
      <c r="AFJ1017" s="16" t="s">
        <v>4867</v>
      </c>
      <c r="AFK1017" s="16" t="s">
        <v>4867</v>
      </c>
      <c r="AFL1017" s="16" t="s">
        <v>4867</v>
      </c>
      <c r="AFM1017" s="16" t="s">
        <v>4867</v>
      </c>
      <c r="AFN1017" s="16" t="s">
        <v>4867</v>
      </c>
      <c r="AFO1017" s="16" t="s">
        <v>4867</v>
      </c>
      <c r="AFP1017" s="16" t="s">
        <v>4867</v>
      </c>
      <c r="AFQ1017" s="16" t="s">
        <v>4867</v>
      </c>
      <c r="AFR1017" s="16" t="s">
        <v>4867</v>
      </c>
      <c r="AFS1017" s="16" t="s">
        <v>4867</v>
      </c>
      <c r="AFT1017" s="16" t="s">
        <v>4867</v>
      </c>
      <c r="AFU1017" s="16" t="s">
        <v>4867</v>
      </c>
      <c r="AFV1017" s="16" t="s">
        <v>4867</v>
      </c>
      <c r="AFW1017" s="16" t="s">
        <v>4867</v>
      </c>
      <c r="AFX1017" s="16" t="s">
        <v>4867</v>
      </c>
      <c r="AFY1017" s="16" t="s">
        <v>4867</v>
      </c>
      <c r="AFZ1017" s="16" t="s">
        <v>4867</v>
      </c>
      <c r="AGA1017" s="16" t="s">
        <v>4867</v>
      </c>
      <c r="AGB1017" s="16" t="s">
        <v>4867</v>
      </c>
      <c r="AGC1017" s="16" t="s">
        <v>4867</v>
      </c>
      <c r="AGD1017" s="16" t="s">
        <v>4867</v>
      </c>
      <c r="AGE1017" s="16" t="s">
        <v>4867</v>
      </c>
      <c r="AGF1017" s="16" t="s">
        <v>4867</v>
      </c>
      <c r="AGG1017" s="16" t="s">
        <v>4867</v>
      </c>
      <c r="AGH1017" s="16" t="s">
        <v>4867</v>
      </c>
      <c r="AGI1017" s="16" t="s">
        <v>4867</v>
      </c>
      <c r="AGJ1017" s="16" t="s">
        <v>4867</v>
      </c>
      <c r="AGK1017" s="16" t="s">
        <v>4867</v>
      </c>
      <c r="AGL1017" s="16" t="s">
        <v>4867</v>
      </c>
      <c r="AGM1017" s="16" t="s">
        <v>4867</v>
      </c>
      <c r="AGN1017" s="16" t="s">
        <v>4867</v>
      </c>
      <c r="AGO1017" s="16" t="s">
        <v>4867</v>
      </c>
      <c r="AGP1017" s="16" t="s">
        <v>4867</v>
      </c>
      <c r="AGQ1017" s="16" t="s">
        <v>4867</v>
      </c>
      <c r="AGR1017" s="16" t="s">
        <v>4867</v>
      </c>
      <c r="AGS1017" s="16" t="s">
        <v>4867</v>
      </c>
      <c r="AGT1017" s="16" t="s">
        <v>4867</v>
      </c>
      <c r="AGU1017" s="16" t="s">
        <v>4867</v>
      </c>
      <c r="AGV1017" s="16" t="s">
        <v>4867</v>
      </c>
      <c r="AGW1017" s="16" t="s">
        <v>4867</v>
      </c>
      <c r="AGX1017" s="16" t="s">
        <v>4867</v>
      </c>
      <c r="AGY1017" s="16" t="s">
        <v>4867</v>
      </c>
      <c r="AGZ1017" s="16" t="s">
        <v>4867</v>
      </c>
      <c r="AHA1017" s="16" t="s">
        <v>4867</v>
      </c>
      <c r="AHB1017" s="16" t="s">
        <v>4867</v>
      </c>
      <c r="AHC1017" s="16" t="s">
        <v>4867</v>
      </c>
      <c r="AHD1017" s="16" t="s">
        <v>4867</v>
      </c>
      <c r="AHE1017" s="16" t="s">
        <v>4867</v>
      </c>
      <c r="AHF1017" s="16" t="s">
        <v>4867</v>
      </c>
      <c r="AHG1017" s="16" t="s">
        <v>4867</v>
      </c>
      <c r="AHH1017" s="16" t="s">
        <v>4867</v>
      </c>
      <c r="AHI1017" s="16" t="s">
        <v>4867</v>
      </c>
      <c r="AHJ1017" s="16" t="s">
        <v>4867</v>
      </c>
      <c r="AHK1017" s="16" t="s">
        <v>4867</v>
      </c>
      <c r="AHL1017" s="16" t="s">
        <v>4867</v>
      </c>
      <c r="AHM1017" s="16" t="s">
        <v>4867</v>
      </c>
      <c r="AHN1017" s="16" t="s">
        <v>4867</v>
      </c>
      <c r="AHO1017" s="16" t="s">
        <v>4867</v>
      </c>
      <c r="AHP1017" s="16" t="s">
        <v>4867</v>
      </c>
      <c r="AHQ1017" s="16" t="s">
        <v>4867</v>
      </c>
      <c r="AHR1017" s="16" t="s">
        <v>4867</v>
      </c>
      <c r="AHS1017" s="16" t="s">
        <v>4867</v>
      </c>
      <c r="AHT1017" s="16" t="s">
        <v>4867</v>
      </c>
      <c r="AHU1017" s="16" t="s">
        <v>4867</v>
      </c>
      <c r="AHV1017" s="16" t="s">
        <v>4867</v>
      </c>
      <c r="AHW1017" s="16" t="s">
        <v>4867</v>
      </c>
      <c r="AHX1017" s="16" t="s">
        <v>4867</v>
      </c>
      <c r="AHY1017" s="16" t="s">
        <v>4867</v>
      </c>
      <c r="AHZ1017" s="16" t="s">
        <v>4867</v>
      </c>
      <c r="AIA1017" s="16" t="s">
        <v>4867</v>
      </c>
      <c r="AIB1017" s="16" t="s">
        <v>4867</v>
      </c>
      <c r="AIC1017" s="16" t="s">
        <v>4867</v>
      </c>
      <c r="AID1017" s="16" t="s">
        <v>4867</v>
      </c>
      <c r="AIE1017" s="16" t="s">
        <v>4867</v>
      </c>
      <c r="AIF1017" s="16" t="s">
        <v>4867</v>
      </c>
      <c r="AIG1017" s="16" t="s">
        <v>4867</v>
      </c>
      <c r="AIH1017" s="16" t="s">
        <v>4867</v>
      </c>
      <c r="AII1017" s="16" t="s">
        <v>4867</v>
      </c>
      <c r="AIJ1017" s="16" t="s">
        <v>4867</v>
      </c>
      <c r="AIK1017" s="16" t="s">
        <v>4867</v>
      </c>
      <c r="AIL1017" s="16" t="s">
        <v>4867</v>
      </c>
      <c r="AIM1017" s="16" t="s">
        <v>4867</v>
      </c>
      <c r="AIN1017" s="16" t="s">
        <v>4867</v>
      </c>
      <c r="AIO1017" s="16" t="s">
        <v>4867</v>
      </c>
      <c r="AIP1017" s="16" t="s">
        <v>4867</v>
      </c>
      <c r="AIQ1017" s="16" t="s">
        <v>4867</v>
      </c>
      <c r="AIR1017" s="16" t="s">
        <v>4867</v>
      </c>
      <c r="AIS1017" s="16" t="s">
        <v>4867</v>
      </c>
      <c r="AIT1017" s="16" t="s">
        <v>4867</v>
      </c>
      <c r="AIU1017" s="16" t="s">
        <v>4867</v>
      </c>
      <c r="AIV1017" s="16" t="s">
        <v>4867</v>
      </c>
      <c r="AIW1017" s="16" t="s">
        <v>4867</v>
      </c>
      <c r="AIX1017" s="16" t="s">
        <v>4867</v>
      </c>
      <c r="AIY1017" s="16" t="s">
        <v>4867</v>
      </c>
      <c r="AIZ1017" s="16" t="s">
        <v>4867</v>
      </c>
      <c r="AJA1017" s="16" t="s">
        <v>4867</v>
      </c>
      <c r="AJB1017" s="16" t="s">
        <v>4867</v>
      </c>
      <c r="AJC1017" s="16" t="s">
        <v>4867</v>
      </c>
      <c r="AJD1017" s="16" t="s">
        <v>4867</v>
      </c>
      <c r="AJE1017" s="16" t="s">
        <v>4867</v>
      </c>
      <c r="AJF1017" s="16" t="s">
        <v>4867</v>
      </c>
      <c r="AJG1017" s="16" t="s">
        <v>4867</v>
      </c>
      <c r="AJH1017" s="16" t="s">
        <v>4867</v>
      </c>
      <c r="AJI1017" s="16" t="s">
        <v>4867</v>
      </c>
      <c r="AJJ1017" s="16" t="s">
        <v>4867</v>
      </c>
      <c r="AJK1017" s="16" t="s">
        <v>4867</v>
      </c>
      <c r="AJL1017" s="16" t="s">
        <v>4867</v>
      </c>
      <c r="AJM1017" s="16" t="s">
        <v>4867</v>
      </c>
      <c r="AJN1017" s="16" t="s">
        <v>4867</v>
      </c>
      <c r="AJO1017" s="16" t="s">
        <v>4867</v>
      </c>
      <c r="AJP1017" s="16" t="s">
        <v>4867</v>
      </c>
      <c r="AJQ1017" s="16" t="s">
        <v>4867</v>
      </c>
      <c r="AJR1017" s="16" t="s">
        <v>4867</v>
      </c>
      <c r="AJS1017" s="16" t="s">
        <v>4867</v>
      </c>
      <c r="AJT1017" s="16" t="s">
        <v>4867</v>
      </c>
      <c r="AJU1017" s="16" t="s">
        <v>4867</v>
      </c>
      <c r="AJV1017" s="16" t="s">
        <v>4867</v>
      </c>
      <c r="AJW1017" s="16" t="s">
        <v>4867</v>
      </c>
      <c r="AJX1017" s="16" t="s">
        <v>4867</v>
      </c>
      <c r="AJY1017" s="16" t="s">
        <v>4867</v>
      </c>
      <c r="AJZ1017" s="16" t="s">
        <v>4867</v>
      </c>
      <c r="AKA1017" s="16" t="s">
        <v>4867</v>
      </c>
      <c r="AKB1017" s="16" t="s">
        <v>4867</v>
      </c>
      <c r="AKC1017" s="16" t="s">
        <v>4867</v>
      </c>
      <c r="AKD1017" s="16" t="s">
        <v>4867</v>
      </c>
      <c r="AKE1017" s="16" t="s">
        <v>4867</v>
      </c>
      <c r="AKF1017" s="16" t="s">
        <v>4867</v>
      </c>
      <c r="AKG1017" s="16" t="s">
        <v>4867</v>
      </c>
      <c r="AKH1017" s="16" t="s">
        <v>4867</v>
      </c>
      <c r="AKI1017" s="16" t="s">
        <v>4867</v>
      </c>
      <c r="AKJ1017" s="16" t="s">
        <v>4867</v>
      </c>
      <c r="AKK1017" s="16" t="s">
        <v>4867</v>
      </c>
      <c r="AKL1017" s="16" t="s">
        <v>4867</v>
      </c>
      <c r="AKM1017" s="16" t="s">
        <v>4867</v>
      </c>
      <c r="AKN1017" s="16" t="s">
        <v>4867</v>
      </c>
      <c r="AKO1017" s="16" t="s">
        <v>4867</v>
      </c>
      <c r="AKP1017" s="16" t="s">
        <v>4867</v>
      </c>
      <c r="AKQ1017" s="16" t="s">
        <v>4867</v>
      </c>
      <c r="AKR1017" s="16" t="s">
        <v>4867</v>
      </c>
      <c r="AKS1017" s="16" t="s">
        <v>4867</v>
      </c>
      <c r="AKT1017" s="16" t="s">
        <v>4867</v>
      </c>
      <c r="AKU1017" s="16" t="s">
        <v>4867</v>
      </c>
      <c r="AKV1017" s="16" t="s">
        <v>4867</v>
      </c>
      <c r="AKW1017" s="16" t="s">
        <v>4867</v>
      </c>
      <c r="AKX1017" s="16" t="s">
        <v>4867</v>
      </c>
      <c r="AKY1017" s="16" t="s">
        <v>4867</v>
      </c>
      <c r="AKZ1017" s="16" t="s">
        <v>4867</v>
      </c>
      <c r="ALA1017" s="16" t="s">
        <v>4867</v>
      </c>
      <c r="ALB1017" s="16" t="s">
        <v>4867</v>
      </c>
      <c r="ALC1017" s="16" t="s">
        <v>4867</v>
      </c>
      <c r="ALD1017" s="16" t="s">
        <v>4867</v>
      </c>
      <c r="ALE1017" s="16" t="s">
        <v>4867</v>
      </c>
      <c r="ALF1017" s="16" t="s">
        <v>4867</v>
      </c>
      <c r="ALG1017" s="16" t="s">
        <v>4867</v>
      </c>
      <c r="ALH1017" s="16" t="s">
        <v>4867</v>
      </c>
      <c r="ALI1017" s="16" t="s">
        <v>4867</v>
      </c>
      <c r="ALJ1017" s="16" t="s">
        <v>4867</v>
      </c>
      <c r="ALK1017" s="16" t="s">
        <v>4867</v>
      </c>
      <c r="ALL1017" s="16" t="s">
        <v>4867</v>
      </c>
      <c r="ALM1017" s="16" t="s">
        <v>4867</v>
      </c>
      <c r="ALN1017" s="16" t="s">
        <v>4867</v>
      </c>
      <c r="ALO1017" s="16" t="s">
        <v>4867</v>
      </c>
      <c r="ALP1017" s="16" t="s">
        <v>4867</v>
      </c>
      <c r="ALQ1017" s="16" t="s">
        <v>4867</v>
      </c>
      <c r="ALR1017" s="16" t="s">
        <v>4867</v>
      </c>
      <c r="ALS1017" s="16" t="s">
        <v>4867</v>
      </c>
      <c r="ALT1017" s="16" t="s">
        <v>4867</v>
      </c>
      <c r="ALU1017" s="16" t="s">
        <v>4867</v>
      </c>
      <c r="ALV1017" s="16" t="s">
        <v>4867</v>
      </c>
      <c r="ALW1017" s="16" t="s">
        <v>4867</v>
      </c>
      <c r="ALX1017" s="16" t="s">
        <v>4867</v>
      </c>
      <c r="ALY1017" s="16" t="s">
        <v>4867</v>
      </c>
      <c r="ALZ1017" s="16" t="s">
        <v>4867</v>
      </c>
      <c r="AMA1017" s="16" t="s">
        <v>4867</v>
      </c>
      <c r="AMB1017" s="16" t="s">
        <v>4867</v>
      </c>
      <c r="AMC1017" s="16" t="s">
        <v>4867</v>
      </c>
      <c r="AMD1017" s="16" t="s">
        <v>4867</v>
      </c>
      <c r="AME1017" s="16" t="s">
        <v>4867</v>
      </c>
      <c r="AMF1017" s="16" t="s">
        <v>4867</v>
      </c>
      <c r="AMG1017" s="16" t="s">
        <v>4867</v>
      </c>
      <c r="AMH1017" s="16" t="s">
        <v>4867</v>
      </c>
      <c r="AMI1017" s="16" t="s">
        <v>4867</v>
      </c>
      <c r="AMJ1017" s="16" t="s">
        <v>4867</v>
      </c>
      <c r="AMK1017" s="16" t="s">
        <v>4867</v>
      </c>
      <c r="AML1017" s="16" t="s">
        <v>4867</v>
      </c>
      <c r="AMM1017" s="16" t="s">
        <v>4867</v>
      </c>
      <c r="AMN1017" s="16" t="s">
        <v>4867</v>
      </c>
      <c r="AMO1017" s="16" t="s">
        <v>4867</v>
      </c>
      <c r="AMP1017" s="16" t="s">
        <v>4867</v>
      </c>
      <c r="AMQ1017" s="16" t="s">
        <v>4867</v>
      </c>
      <c r="AMR1017" s="16" t="s">
        <v>4867</v>
      </c>
      <c r="AMS1017" s="16" t="s">
        <v>4867</v>
      </c>
      <c r="AMT1017" s="16" t="s">
        <v>4867</v>
      </c>
      <c r="AMU1017" s="16" t="s">
        <v>4867</v>
      </c>
      <c r="AMV1017" s="16" t="s">
        <v>4867</v>
      </c>
      <c r="AMW1017" s="16" t="s">
        <v>4867</v>
      </c>
      <c r="AMX1017" s="16" t="s">
        <v>4867</v>
      </c>
      <c r="AMY1017" s="16" t="s">
        <v>4867</v>
      </c>
      <c r="AMZ1017" s="16" t="s">
        <v>4867</v>
      </c>
      <c r="ANA1017" s="16" t="s">
        <v>4867</v>
      </c>
      <c r="ANB1017" s="16" t="s">
        <v>4867</v>
      </c>
      <c r="ANC1017" s="16" t="s">
        <v>4867</v>
      </c>
      <c r="AND1017" s="16" t="s">
        <v>4867</v>
      </c>
      <c r="ANE1017" s="16" t="s">
        <v>4867</v>
      </c>
      <c r="ANF1017" s="16" t="s">
        <v>4867</v>
      </c>
      <c r="ANG1017" s="16" t="s">
        <v>4867</v>
      </c>
      <c r="ANH1017" s="16" t="s">
        <v>4867</v>
      </c>
      <c r="ANI1017" s="16" t="s">
        <v>4867</v>
      </c>
      <c r="ANJ1017" s="16" t="s">
        <v>4867</v>
      </c>
      <c r="ANK1017" s="16" t="s">
        <v>4867</v>
      </c>
      <c r="ANL1017" s="16" t="s">
        <v>4867</v>
      </c>
      <c r="ANM1017" s="16" t="s">
        <v>4867</v>
      </c>
      <c r="ANN1017" s="16" t="s">
        <v>4867</v>
      </c>
      <c r="ANO1017" s="16" t="s">
        <v>4867</v>
      </c>
      <c r="ANP1017" s="16" t="s">
        <v>4867</v>
      </c>
      <c r="ANQ1017" s="16" t="s">
        <v>4867</v>
      </c>
      <c r="ANR1017" s="16" t="s">
        <v>4867</v>
      </c>
      <c r="ANS1017" s="16" t="s">
        <v>4867</v>
      </c>
      <c r="ANT1017" s="16" t="s">
        <v>4867</v>
      </c>
      <c r="ANU1017" s="16" t="s">
        <v>4867</v>
      </c>
      <c r="ANV1017" s="16" t="s">
        <v>4867</v>
      </c>
      <c r="ANW1017" s="16" t="s">
        <v>4867</v>
      </c>
      <c r="ANX1017" s="16" t="s">
        <v>4867</v>
      </c>
      <c r="ANY1017" s="16" t="s">
        <v>4867</v>
      </c>
      <c r="ANZ1017" s="16" t="s">
        <v>4867</v>
      </c>
      <c r="AOA1017" s="16" t="s">
        <v>4867</v>
      </c>
      <c r="AOB1017" s="16" t="s">
        <v>4867</v>
      </c>
      <c r="AOC1017" s="16" t="s">
        <v>4867</v>
      </c>
      <c r="AOD1017" s="16" t="s">
        <v>4867</v>
      </c>
      <c r="AOE1017" s="16" t="s">
        <v>4867</v>
      </c>
      <c r="AOF1017" s="16" t="s">
        <v>4867</v>
      </c>
      <c r="AOG1017" s="16" t="s">
        <v>4867</v>
      </c>
      <c r="AOH1017" s="16" t="s">
        <v>4867</v>
      </c>
      <c r="AOI1017" s="16" t="s">
        <v>4867</v>
      </c>
      <c r="AOJ1017" s="16" t="s">
        <v>4867</v>
      </c>
      <c r="AOK1017" s="16" t="s">
        <v>4867</v>
      </c>
      <c r="AOL1017" s="16" t="s">
        <v>4867</v>
      </c>
      <c r="AOM1017" s="16" t="s">
        <v>4867</v>
      </c>
      <c r="AON1017" s="16" t="s">
        <v>4867</v>
      </c>
      <c r="AOO1017" s="16" t="s">
        <v>4867</v>
      </c>
      <c r="AOP1017" s="16" t="s">
        <v>4867</v>
      </c>
      <c r="AOQ1017" s="16" t="s">
        <v>4867</v>
      </c>
      <c r="AOR1017" s="16" t="s">
        <v>4867</v>
      </c>
      <c r="AOS1017" s="16" t="s">
        <v>4867</v>
      </c>
      <c r="AOT1017" s="16" t="s">
        <v>4867</v>
      </c>
      <c r="AOU1017" s="16" t="s">
        <v>4867</v>
      </c>
      <c r="AOV1017" s="16" t="s">
        <v>4867</v>
      </c>
      <c r="AOW1017" s="16" t="s">
        <v>4867</v>
      </c>
      <c r="AOX1017" s="16" t="s">
        <v>4867</v>
      </c>
      <c r="AOY1017" s="16" t="s">
        <v>4867</v>
      </c>
      <c r="AOZ1017" s="16" t="s">
        <v>4867</v>
      </c>
      <c r="APA1017" s="16" t="s">
        <v>4867</v>
      </c>
      <c r="APB1017" s="16" t="s">
        <v>4867</v>
      </c>
      <c r="APC1017" s="16" t="s">
        <v>4867</v>
      </c>
      <c r="APD1017" s="16" t="s">
        <v>4867</v>
      </c>
      <c r="APE1017" s="16" t="s">
        <v>4867</v>
      </c>
      <c r="APF1017" s="16" t="s">
        <v>4867</v>
      </c>
      <c r="APG1017" s="16" t="s">
        <v>4867</v>
      </c>
      <c r="APH1017" s="16" t="s">
        <v>4867</v>
      </c>
      <c r="API1017" s="16" t="s">
        <v>4867</v>
      </c>
      <c r="APJ1017" s="16" t="s">
        <v>4867</v>
      </c>
      <c r="APK1017" s="16" t="s">
        <v>4867</v>
      </c>
      <c r="APL1017" s="16" t="s">
        <v>4867</v>
      </c>
      <c r="APM1017" s="16" t="s">
        <v>4867</v>
      </c>
      <c r="APN1017" s="16" t="s">
        <v>4867</v>
      </c>
      <c r="APO1017" s="16" t="s">
        <v>4867</v>
      </c>
      <c r="APP1017" s="16" t="s">
        <v>4867</v>
      </c>
      <c r="APQ1017" s="16" t="s">
        <v>4867</v>
      </c>
      <c r="APR1017" s="16" t="s">
        <v>4867</v>
      </c>
      <c r="APS1017" s="16" t="s">
        <v>4867</v>
      </c>
      <c r="APT1017" s="16" t="s">
        <v>4867</v>
      </c>
      <c r="APU1017" s="16" t="s">
        <v>4867</v>
      </c>
      <c r="APV1017" s="16" t="s">
        <v>4867</v>
      </c>
      <c r="APW1017" s="16" t="s">
        <v>4867</v>
      </c>
      <c r="APX1017" s="16" t="s">
        <v>4867</v>
      </c>
      <c r="APY1017" s="16" t="s">
        <v>4867</v>
      </c>
      <c r="APZ1017" s="16" t="s">
        <v>4867</v>
      </c>
      <c r="AQA1017" s="16" t="s">
        <v>4867</v>
      </c>
      <c r="AQB1017" s="16" t="s">
        <v>4867</v>
      </c>
      <c r="AQC1017" s="16" t="s">
        <v>4867</v>
      </c>
      <c r="AQD1017" s="16" t="s">
        <v>4867</v>
      </c>
      <c r="AQE1017" s="16" t="s">
        <v>4867</v>
      </c>
      <c r="AQF1017" s="16" t="s">
        <v>4867</v>
      </c>
      <c r="AQG1017" s="16" t="s">
        <v>4867</v>
      </c>
      <c r="AQH1017" s="16" t="s">
        <v>4867</v>
      </c>
      <c r="AQI1017" s="16" t="s">
        <v>4867</v>
      </c>
      <c r="AQJ1017" s="16" t="s">
        <v>4867</v>
      </c>
      <c r="AQK1017" s="16" t="s">
        <v>4867</v>
      </c>
      <c r="AQL1017" s="16" t="s">
        <v>4867</v>
      </c>
      <c r="AQM1017" s="16" t="s">
        <v>4867</v>
      </c>
      <c r="AQN1017" s="16" t="s">
        <v>4867</v>
      </c>
      <c r="AQO1017" s="16" t="s">
        <v>4867</v>
      </c>
      <c r="AQP1017" s="16" t="s">
        <v>4867</v>
      </c>
      <c r="AQQ1017" s="16" t="s">
        <v>4867</v>
      </c>
      <c r="AQR1017" s="16" t="s">
        <v>4867</v>
      </c>
      <c r="AQS1017" s="16" t="s">
        <v>4867</v>
      </c>
      <c r="AQT1017" s="16" t="s">
        <v>4867</v>
      </c>
      <c r="AQU1017" s="16" t="s">
        <v>4867</v>
      </c>
      <c r="AQV1017" s="16" t="s">
        <v>4867</v>
      </c>
      <c r="AQW1017" s="16" t="s">
        <v>4867</v>
      </c>
      <c r="AQX1017" s="16" t="s">
        <v>4867</v>
      </c>
      <c r="AQY1017" s="16" t="s">
        <v>4867</v>
      </c>
      <c r="AQZ1017" s="16" t="s">
        <v>4867</v>
      </c>
      <c r="ARA1017" s="16" t="s">
        <v>4867</v>
      </c>
      <c r="ARB1017" s="16" t="s">
        <v>4867</v>
      </c>
      <c r="ARC1017" s="16" t="s">
        <v>4867</v>
      </c>
      <c r="ARD1017" s="16" t="s">
        <v>4867</v>
      </c>
      <c r="ARE1017" s="16" t="s">
        <v>4867</v>
      </c>
      <c r="ARF1017" s="16" t="s">
        <v>4867</v>
      </c>
      <c r="ARG1017" s="16" t="s">
        <v>4867</v>
      </c>
      <c r="ARH1017" s="16" t="s">
        <v>4867</v>
      </c>
      <c r="ARI1017" s="16" t="s">
        <v>4867</v>
      </c>
      <c r="ARJ1017" s="16" t="s">
        <v>4867</v>
      </c>
      <c r="ARK1017" s="16" t="s">
        <v>4867</v>
      </c>
      <c r="ARL1017" s="16" t="s">
        <v>4867</v>
      </c>
      <c r="ARM1017" s="16" t="s">
        <v>4867</v>
      </c>
      <c r="ARN1017" s="16" t="s">
        <v>4867</v>
      </c>
      <c r="ARO1017" s="16" t="s">
        <v>4867</v>
      </c>
      <c r="ARP1017" s="16" t="s">
        <v>4867</v>
      </c>
      <c r="ARQ1017" s="16" t="s">
        <v>4867</v>
      </c>
      <c r="ARR1017" s="16" t="s">
        <v>4867</v>
      </c>
      <c r="ARS1017" s="16" t="s">
        <v>4867</v>
      </c>
      <c r="ART1017" s="16" t="s">
        <v>4867</v>
      </c>
      <c r="ARU1017" s="16" t="s">
        <v>4867</v>
      </c>
      <c r="ARV1017" s="16" t="s">
        <v>4867</v>
      </c>
      <c r="ARW1017" s="16" t="s">
        <v>4867</v>
      </c>
      <c r="ARX1017" s="16" t="s">
        <v>4867</v>
      </c>
      <c r="ARY1017" s="16" t="s">
        <v>4867</v>
      </c>
      <c r="ARZ1017" s="16" t="s">
        <v>4867</v>
      </c>
      <c r="ASA1017" s="16" t="s">
        <v>4867</v>
      </c>
      <c r="ASB1017" s="16" t="s">
        <v>4867</v>
      </c>
      <c r="ASC1017" s="16" t="s">
        <v>4867</v>
      </c>
      <c r="ASD1017" s="16" t="s">
        <v>4867</v>
      </c>
      <c r="ASE1017" s="16" t="s">
        <v>4867</v>
      </c>
      <c r="ASF1017" s="16" t="s">
        <v>4867</v>
      </c>
      <c r="ASG1017" s="16" t="s">
        <v>4867</v>
      </c>
      <c r="ASH1017" s="16" t="s">
        <v>4867</v>
      </c>
      <c r="ASI1017" s="16" t="s">
        <v>4867</v>
      </c>
      <c r="ASJ1017" s="16" t="s">
        <v>4867</v>
      </c>
      <c r="ASK1017" s="16" t="s">
        <v>4867</v>
      </c>
      <c r="ASL1017" s="16" t="s">
        <v>4867</v>
      </c>
      <c r="ASM1017" s="16" t="s">
        <v>4867</v>
      </c>
      <c r="ASN1017" s="16" t="s">
        <v>4867</v>
      </c>
      <c r="ASO1017" s="16" t="s">
        <v>4867</v>
      </c>
      <c r="ASP1017" s="16" t="s">
        <v>4867</v>
      </c>
      <c r="ASQ1017" s="16" t="s">
        <v>4867</v>
      </c>
      <c r="ASR1017" s="16" t="s">
        <v>4867</v>
      </c>
      <c r="ASS1017" s="16" t="s">
        <v>4867</v>
      </c>
      <c r="AST1017" s="16" t="s">
        <v>4867</v>
      </c>
      <c r="ASU1017" s="16" t="s">
        <v>4867</v>
      </c>
      <c r="ASV1017" s="16" t="s">
        <v>4867</v>
      </c>
      <c r="ASW1017" s="16" t="s">
        <v>4867</v>
      </c>
      <c r="ASX1017" s="16" t="s">
        <v>4867</v>
      </c>
      <c r="ASY1017" s="16" t="s">
        <v>4867</v>
      </c>
      <c r="ASZ1017" s="16" t="s">
        <v>4867</v>
      </c>
      <c r="ATA1017" s="16" t="s">
        <v>4867</v>
      </c>
      <c r="ATB1017" s="16" t="s">
        <v>4867</v>
      </c>
      <c r="ATC1017" s="16" t="s">
        <v>4867</v>
      </c>
      <c r="ATD1017" s="16" t="s">
        <v>4867</v>
      </c>
      <c r="ATE1017" s="16" t="s">
        <v>4867</v>
      </c>
      <c r="ATF1017" s="16" t="s">
        <v>4867</v>
      </c>
      <c r="ATG1017" s="16" t="s">
        <v>4867</v>
      </c>
      <c r="ATH1017" s="16" t="s">
        <v>4867</v>
      </c>
      <c r="ATI1017" s="16" t="s">
        <v>4867</v>
      </c>
      <c r="ATJ1017" s="16" t="s">
        <v>4867</v>
      </c>
      <c r="ATK1017" s="16" t="s">
        <v>4867</v>
      </c>
      <c r="ATL1017" s="16" t="s">
        <v>4867</v>
      </c>
      <c r="ATM1017" s="16" t="s">
        <v>4867</v>
      </c>
      <c r="ATN1017" s="16" t="s">
        <v>4867</v>
      </c>
      <c r="ATO1017" s="16" t="s">
        <v>4867</v>
      </c>
      <c r="ATP1017" s="16" t="s">
        <v>4867</v>
      </c>
      <c r="ATQ1017" s="16" t="s">
        <v>4867</v>
      </c>
      <c r="ATR1017" s="16" t="s">
        <v>4867</v>
      </c>
      <c r="ATS1017" s="16" t="s">
        <v>4867</v>
      </c>
      <c r="ATT1017" s="16" t="s">
        <v>4867</v>
      </c>
      <c r="ATU1017" s="16" t="s">
        <v>4867</v>
      </c>
      <c r="ATV1017" s="16" t="s">
        <v>4867</v>
      </c>
      <c r="ATW1017" s="16" t="s">
        <v>4867</v>
      </c>
      <c r="ATX1017" s="16" t="s">
        <v>4867</v>
      </c>
      <c r="ATY1017" s="16" t="s">
        <v>4867</v>
      </c>
      <c r="ATZ1017" s="16" t="s">
        <v>4867</v>
      </c>
      <c r="AUA1017" s="16" t="s">
        <v>4867</v>
      </c>
      <c r="AUB1017" s="16" t="s">
        <v>4867</v>
      </c>
      <c r="AUC1017" s="16" t="s">
        <v>4867</v>
      </c>
      <c r="AUD1017" s="16" t="s">
        <v>4867</v>
      </c>
      <c r="AUE1017" s="16" t="s">
        <v>4867</v>
      </c>
      <c r="AUF1017" s="16" t="s">
        <v>4867</v>
      </c>
      <c r="AUG1017" s="16" t="s">
        <v>4867</v>
      </c>
      <c r="AUH1017" s="16" t="s">
        <v>4867</v>
      </c>
      <c r="AUI1017" s="16" t="s">
        <v>4867</v>
      </c>
      <c r="AUJ1017" s="16" t="s">
        <v>4867</v>
      </c>
      <c r="AUK1017" s="16" t="s">
        <v>4867</v>
      </c>
      <c r="AUL1017" s="16" t="s">
        <v>4867</v>
      </c>
      <c r="AUM1017" s="16" t="s">
        <v>4867</v>
      </c>
      <c r="AUN1017" s="16" t="s">
        <v>4867</v>
      </c>
      <c r="AUO1017" s="16" t="s">
        <v>4867</v>
      </c>
      <c r="AUP1017" s="16" t="s">
        <v>4867</v>
      </c>
      <c r="AUQ1017" s="16" t="s">
        <v>4867</v>
      </c>
      <c r="AUR1017" s="16" t="s">
        <v>4867</v>
      </c>
      <c r="AUS1017" s="16" t="s">
        <v>4867</v>
      </c>
      <c r="AUT1017" s="16" t="s">
        <v>4867</v>
      </c>
      <c r="AUU1017" s="16" t="s">
        <v>4867</v>
      </c>
      <c r="AUV1017" s="16" t="s">
        <v>4867</v>
      </c>
      <c r="AUW1017" s="16" t="s">
        <v>4867</v>
      </c>
      <c r="AUX1017" s="16" t="s">
        <v>4867</v>
      </c>
      <c r="AUY1017" s="16" t="s">
        <v>4867</v>
      </c>
      <c r="AUZ1017" s="16" t="s">
        <v>4867</v>
      </c>
      <c r="AVA1017" s="16" t="s">
        <v>4867</v>
      </c>
      <c r="AVB1017" s="16" t="s">
        <v>4867</v>
      </c>
      <c r="AVC1017" s="16" t="s">
        <v>4867</v>
      </c>
      <c r="AVD1017" s="16" t="s">
        <v>4867</v>
      </c>
      <c r="AVE1017" s="16" t="s">
        <v>4867</v>
      </c>
      <c r="AVF1017" s="16" t="s">
        <v>4867</v>
      </c>
      <c r="AVG1017" s="16" t="s">
        <v>4867</v>
      </c>
      <c r="AVH1017" s="16" t="s">
        <v>4867</v>
      </c>
      <c r="AVI1017" s="16" t="s">
        <v>4867</v>
      </c>
      <c r="AVJ1017" s="16" t="s">
        <v>4867</v>
      </c>
      <c r="AVK1017" s="16" t="s">
        <v>4867</v>
      </c>
      <c r="AVL1017" s="16" t="s">
        <v>4867</v>
      </c>
      <c r="AVM1017" s="16" t="s">
        <v>4867</v>
      </c>
      <c r="AVN1017" s="16" t="s">
        <v>4867</v>
      </c>
      <c r="AVO1017" s="16" t="s">
        <v>4867</v>
      </c>
      <c r="AVP1017" s="16" t="s">
        <v>4867</v>
      </c>
      <c r="AVQ1017" s="16" t="s">
        <v>4867</v>
      </c>
      <c r="AVR1017" s="16" t="s">
        <v>4867</v>
      </c>
      <c r="AVS1017" s="16" t="s">
        <v>4867</v>
      </c>
      <c r="AVT1017" s="16" t="s">
        <v>4867</v>
      </c>
      <c r="AVU1017" s="16" t="s">
        <v>4867</v>
      </c>
      <c r="AVV1017" s="16" t="s">
        <v>4867</v>
      </c>
      <c r="AVW1017" s="16" t="s">
        <v>4867</v>
      </c>
      <c r="AVX1017" s="16" t="s">
        <v>4867</v>
      </c>
      <c r="AVY1017" s="16" t="s">
        <v>4867</v>
      </c>
      <c r="AVZ1017" s="16" t="s">
        <v>4867</v>
      </c>
      <c r="AWA1017" s="16" t="s">
        <v>4867</v>
      </c>
      <c r="AWB1017" s="16" t="s">
        <v>4867</v>
      </c>
      <c r="AWC1017" s="16" t="s">
        <v>4867</v>
      </c>
      <c r="AWD1017" s="16" t="s">
        <v>4867</v>
      </c>
      <c r="AWE1017" s="16" t="s">
        <v>4867</v>
      </c>
      <c r="AWF1017" s="16" t="s">
        <v>4867</v>
      </c>
      <c r="AWG1017" s="16" t="s">
        <v>4867</v>
      </c>
      <c r="AWH1017" s="16" t="s">
        <v>4867</v>
      </c>
      <c r="AWI1017" s="16" t="s">
        <v>4867</v>
      </c>
      <c r="AWJ1017" s="16" t="s">
        <v>4867</v>
      </c>
      <c r="AWK1017" s="16" t="s">
        <v>4867</v>
      </c>
      <c r="AWL1017" s="16" t="s">
        <v>4867</v>
      </c>
      <c r="AWM1017" s="16" t="s">
        <v>4867</v>
      </c>
      <c r="AWN1017" s="16" t="s">
        <v>4867</v>
      </c>
      <c r="AWO1017" s="16" t="s">
        <v>4867</v>
      </c>
      <c r="AWP1017" s="16" t="s">
        <v>4867</v>
      </c>
      <c r="AWQ1017" s="16" t="s">
        <v>4867</v>
      </c>
      <c r="AWR1017" s="16" t="s">
        <v>4867</v>
      </c>
      <c r="AWS1017" s="16" t="s">
        <v>4867</v>
      </c>
      <c r="AWT1017" s="16" t="s">
        <v>4867</v>
      </c>
      <c r="AWU1017" s="16" t="s">
        <v>4867</v>
      </c>
      <c r="AWV1017" s="16" t="s">
        <v>4867</v>
      </c>
      <c r="AWW1017" s="16" t="s">
        <v>4867</v>
      </c>
      <c r="AWX1017" s="16" t="s">
        <v>4867</v>
      </c>
      <c r="AWY1017" s="16" t="s">
        <v>4867</v>
      </c>
      <c r="AWZ1017" s="16" t="s">
        <v>4867</v>
      </c>
      <c r="AXA1017" s="16" t="s">
        <v>4867</v>
      </c>
      <c r="AXB1017" s="16" t="s">
        <v>4867</v>
      </c>
      <c r="AXC1017" s="16" t="s">
        <v>4867</v>
      </c>
      <c r="AXD1017" s="16" t="s">
        <v>4867</v>
      </c>
      <c r="AXE1017" s="16" t="s">
        <v>4867</v>
      </c>
      <c r="AXF1017" s="16" t="s">
        <v>4867</v>
      </c>
      <c r="AXG1017" s="16" t="s">
        <v>4867</v>
      </c>
      <c r="AXH1017" s="16" t="s">
        <v>4867</v>
      </c>
      <c r="AXI1017" s="16" t="s">
        <v>4867</v>
      </c>
      <c r="AXJ1017" s="16" t="s">
        <v>4867</v>
      </c>
      <c r="AXK1017" s="16" t="s">
        <v>4867</v>
      </c>
      <c r="AXL1017" s="16" t="s">
        <v>4867</v>
      </c>
      <c r="AXM1017" s="16" t="s">
        <v>4867</v>
      </c>
      <c r="AXN1017" s="16" t="s">
        <v>4867</v>
      </c>
      <c r="AXO1017" s="16" t="s">
        <v>4867</v>
      </c>
      <c r="AXP1017" s="16" t="s">
        <v>4867</v>
      </c>
      <c r="AXQ1017" s="16" t="s">
        <v>4867</v>
      </c>
      <c r="AXR1017" s="16" t="s">
        <v>4867</v>
      </c>
      <c r="AXS1017" s="16" t="s">
        <v>4867</v>
      </c>
      <c r="AXT1017" s="16" t="s">
        <v>4867</v>
      </c>
      <c r="AXU1017" s="16" t="s">
        <v>4867</v>
      </c>
      <c r="AXV1017" s="16" t="s">
        <v>4867</v>
      </c>
      <c r="AXW1017" s="16" t="s">
        <v>4867</v>
      </c>
      <c r="AXX1017" s="16" t="s">
        <v>4867</v>
      </c>
      <c r="AXY1017" s="16" t="s">
        <v>4867</v>
      </c>
      <c r="AXZ1017" s="16" t="s">
        <v>4867</v>
      </c>
      <c r="AYA1017" s="16" t="s">
        <v>4867</v>
      </c>
      <c r="AYB1017" s="16" t="s">
        <v>4867</v>
      </c>
      <c r="AYC1017" s="16" t="s">
        <v>4867</v>
      </c>
      <c r="AYD1017" s="16" t="s">
        <v>4867</v>
      </c>
      <c r="AYE1017" s="16" t="s">
        <v>4867</v>
      </c>
      <c r="AYF1017" s="16" t="s">
        <v>4867</v>
      </c>
      <c r="AYG1017" s="16" t="s">
        <v>4867</v>
      </c>
      <c r="AYH1017" s="16" t="s">
        <v>4867</v>
      </c>
      <c r="AYI1017" s="16" t="s">
        <v>4867</v>
      </c>
      <c r="AYJ1017" s="16" t="s">
        <v>4867</v>
      </c>
      <c r="AYK1017" s="16" t="s">
        <v>4867</v>
      </c>
      <c r="AYL1017" s="16" t="s">
        <v>4867</v>
      </c>
      <c r="AYM1017" s="16" t="s">
        <v>4867</v>
      </c>
      <c r="AYN1017" s="16" t="s">
        <v>4867</v>
      </c>
      <c r="AYO1017" s="16" t="s">
        <v>4867</v>
      </c>
      <c r="AYP1017" s="16" t="s">
        <v>4867</v>
      </c>
      <c r="AYQ1017" s="16" t="s">
        <v>4867</v>
      </c>
      <c r="AYR1017" s="16" t="s">
        <v>4867</v>
      </c>
      <c r="AYS1017" s="16" t="s">
        <v>4867</v>
      </c>
      <c r="AYT1017" s="16" t="s">
        <v>4867</v>
      </c>
      <c r="AYU1017" s="16" t="s">
        <v>4867</v>
      </c>
      <c r="AYV1017" s="16" t="s">
        <v>4867</v>
      </c>
      <c r="AYW1017" s="16" t="s">
        <v>4867</v>
      </c>
      <c r="AYX1017" s="16" t="s">
        <v>4867</v>
      </c>
      <c r="AYY1017" s="16" t="s">
        <v>4867</v>
      </c>
      <c r="AYZ1017" s="16" t="s">
        <v>4867</v>
      </c>
      <c r="AZA1017" s="16" t="s">
        <v>4867</v>
      </c>
      <c r="AZB1017" s="16" t="s">
        <v>4867</v>
      </c>
      <c r="AZC1017" s="16" t="s">
        <v>4867</v>
      </c>
      <c r="AZD1017" s="16" t="s">
        <v>4867</v>
      </c>
      <c r="AZE1017" s="16" t="s">
        <v>4867</v>
      </c>
      <c r="AZF1017" s="16" t="s">
        <v>4867</v>
      </c>
      <c r="AZG1017" s="16" t="s">
        <v>4867</v>
      </c>
      <c r="AZH1017" s="16" t="s">
        <v>4867</v>
      </c>
      <c r="AZI1017" s="16" t="s">
        <v>4867</v>
      </c>
      <c r="AZJ1017" s="16" t="s">
        <v>4867</v>
      </c>
      <c r="AZK1017" s="16" t="s">
        <v>4867</v>
      </c>
      <c r="AZL1017" s="16" t="s">
        <v>4867</v>
      </c>
      <c r="AZM1017" s="16" t="s">
        <v>4867</v>
      </c>
      <c r="AZN1017" s="16" t="s">
        <v>4867</v>
      </c>
      <c r="AZO1017" s="16" t="s">
        <v>4867</v>
      </c>
      <c r="AZP1017" s="16" t="s">
        <v>4867</v>
      </c>
      <c r="AZQ1017" s="16" t="s">
        <v>4867</v>
      </c>
      <c r="AZR1017" s="16" t="s">
        <v>4867</v>
      </c>
      <c r="AZS1017" s="16" t="s">
        <v>4867</v>
      </c>
      <c r="AZT1017" s="16" t="s">
        <v>4867</v>
      </c>
      <c r="AZU1017" s="16" t="s">
        <v>4867</v>
      </c>
      <c r="AZV1017" s="16" t="s">
        <v>4867</v>
      </c>
      <c r="AZW1017" s="16" t="s">
        <v>4867</v>
      </c>
      <c r="AZX1017" s="16" t="s">
        <v>4867</v>
      </c>
      <c r="AZY1017" s="16" t="s">
        <v>4867</v>
      </c>
      <c r="AZZ1017" s="16" t="s">
        <v>4867</v>
      </c>
      <c r="BAA1017" s="16" t="s">
        <v>4867</v>
      </c>
      <c r="BAB1017" s="16" t="s">
        <v>4867</v>
      </c>
      <c r="BAC1017" s="16" t="s">
        <v>4867</v>
      </c>
      <c r="BAD1017" s="16" t="s">
        <v>4867</v>
      </c>
      <c r="BAE1017" s="16" t="s">
        <v>4867</v>
      </c>
      <c r="BAF1017" s="16" t="s">
        <v>4867</v>
      </c>
      <c r="BAG1017" s="16" t="s">
        <v>4867</v>
      </c>
      <c r="BAH1017" s="16" t="s">
        <v>4867</v>
      </c>
      <c r="BAI1017" s="16" t="s">
        <v>4867</v>
      </c>
      <c r="BAJ1017" s="16" t="s">
        <v>4867</v>
      </c>
      <c r="BAK1017" s="16" t="s">
        <v>4867</v>
      </c>
      <c r="BAL1017" s="16" t="s">
        <v>4867</v>
      </c>
      <c r="BAM1017" s="16" t="s">
        <v>4867</v>
      </c>
      <c r="BAN1017" s="16" t="s">
        <v>4867</v>
      </c>
      <c r="BAO1017" s="16" t="s">
        <v>4867</v>
      </c>
      <c r="BAP1017" s="16" t="s">
        <v>4867</v>
      </c>
      <c r="BAQ1017" s="16" t="s">
        <v>4867</v>
      </c>
      <c r="BAR1017" s="16" t="s">
        <v>4867</v>
      </c>
      <c r="BAS1017" s="16" t="s">
        <v>4867</v>
      </c>
      <c r="BAT1017" s="16" t="s">
        <v>4867</v>
      </c>
      <c r="BAU1017" s="16" t="s">
        <v>4867</v>
      </c>
      <c r="BAV1017" s="16" t="s">
        <v>4867</v>
      </c>
      <c r="BAW1017" s="16" t="s">
        <v>4867</v>
      </c>
      <c r="BAX1017" s="16" t="s">
        <v>4867</v>
      </c>
      <c r="BAY1017" s="16" t="s">
        <v>4867</v>
      </c>
      <c r="BAZ1017" s="16" t="s">
        <v>4867</v>
      </c>
      <c r="BBA1017" s="16" t="s">
        <v>4867</v>
      </c>
      <c r="BBB1017" s="16" t="s">
        <v>4867</v>
      </c>
      <c r="BBC1017" s="16" t="s">
        <v>4867</v>
      </c>
      <c r="BBD1017" s="16" t="s">
        <v>4867</v>
      </c>
      <c r="BBE1017" s="16" t="s">
        <v>4867</v>
      </c>
      <c r="BBF1017" s="16" t="s">
        <v>4867</v>
      </c>
      <c r="BBG1017" s="16" t="s">
        <v>4867</v>
      </c>
      <c r="BBH1017" s="16" t="s">
        <v>4867</v>
      </c>
      <c r="BBI1017" s="16" t="s">
        <v>4867</v>
      </c>
      <c r="BBJ1017" s="16" t="s">
        <v>4867</v>
      </c>
      <c r="BBK1017" s="16" t="s">
        <v>4867</v>
      </c>
      <c r="BBL1017" s="16" t="s">
        <v>4867</v>
      </c>
      <c r="BBM1017" s="16" t="s">
        <v>4867</v>
      </c>
      <c r="BBN1017" s="16" t="s">
        <v>4867</v>
      </c>
      <c r="BBO1017" s="16" t="s">
        <v>4867</v>
      </c>
      <c r="BBP1017" s="16" t="s">
        <v>4867</v>
      </c>
      <c r="BBQ1017" s="16" t="s">
        <v>4867</v>
      </c>
      <c r="BBR1017" s="16" t="s">
        <v>4867</v>
      </c>
      <c r="BBS1017" s="16" t="s">
        <v>4867</v>
      </c>
      <c r="BBT1017" s="16" t="s">
        <v>4867</v>
      </c>
      <c r="BBU1017" s="16" t="s">
        <v>4867</v>
      </c>
      <c r="BBV1017" s="16" t="s">
        <v>4867</v>
      </c>
      <c r="BBW1017" s="16" t="s">
        <v>4867</v>
      </c>
      <c r="BBX1017" s="16" t="s">
        <v>4867</v>
      </c>
      <c r="BBY1017" s="16" t="s">
        <v>4867</v>
      </c>
      <c r="BBZ1017" s="16" t="s">
        <v>4867</v>
      </c>
      <c r="BCA1017" s="16" t="s">
        <v>4867</v>
      </c>
      <c r="BCB1017" s="16" t="s">
        <v>4867</v>
      </c>
      <c r="BCC1017" s="16" t="s">
        <v>4867</v>
      </c>
      <c r="BCD1017" s="16" t="s">
        <v>4867</v>
      </c>
      <c r="BCE1017" s="16" t="s">
        <v>4867</v>
      </c>
      <c r="BCF1017" s="16" t="s">
        <v>4867</v>
      </c>
      <c r="BCG1017" s="16" t="s">
        <v>4867</v>
      </c>
      <c r="BCH1017" s="16" t="s">
        <v>4867</v>
      </c>
      <c r="BCI1017" s="16" t="s">
        <v>4867</v>
      </c>
      <c r="BCJ1017" s="16" t="s">
        <v>4867</v>
      </c>
      <c r="BCK1017" s="16" t="s">
        <v>4867</v>
      </c>
      <c r="BCL1017" s="16" t="s">
        <v>4867</v>
      </c>
      <c r="BCM1017" s="16" t="s">
        <v>4867</v>
      </c>
      <c r="BCN1017" s="16" t="s">
        <v>4867</v>
      </c>
      <c r="BCO1017" s="16" t="s">
        <v>4867</v>
      </c>
      <c r="BCP1017" s="16" t="s">
        <v>4867</v>
      </c>
      <c r="BCQ1017" s="16" t="s">
        <v>4867</v>
      </c>
      <c r="BCR1017" s="16" t="s">
        <v>4867</v>
      </c>
      <c r="BCS1017" s="16" t="s">
        <v>4867</v>
      </c>
      <c r="BCT1017" s="16" t="s">
        <v>4867</v>
      </c>
      <c r="BCU1017" s="16" t="s">
        <v>4867</v>
      </c>
      <c r="BCV1017" s="16" t="s">
        <v>4867</v>
      </c>
      <c r="BCW1017" s="16" t="s">
        <v>4867</v>
      </c>
      <c r="BCX1017" s="16" t="s">
        <v>4867</v>
      </c>
      <c r="BCY1017" s="16" t="s">
        <v>4867</v>
      </c>
      <c r="BCZ1017" s="16" t="s">
        <v>4867</v>
      </c>
      <c r="BDA1017" s="16" t="s">
        <v>4867</v>
      </c>
      <c r="BDB1017" s="16" t="s">
        <v>4867</v>
      </c>
      <c r="BDC1017" s="16" t="s">
        <v>4867</v>
      </c>
      <c r="BDD1017" s="16" t="s">
        <v>4867</v>
      </c>
      <c r="BDE1017" s="16" t="s">
        <v>4867</v>
      </c>
      <c r="BDF1017" s="16" t="s">
        <v>4867</v>
      </c>
      <c r="BDG1017" s="16" t="s">
        <v>4867</v>
      </c>
      <c r="BDH1017" s="16" t="s">
        <v>4867</v>
      </c>
      <c r="BDI1017" s="16" t="s">
        <v>4867</v>
      </c>
      <c r="BDJ1017" s="16" t="s">
        <v>4867</v>
      </c>
      <c r="BDK1017" s="16" t="s">
        <v>4867</v>
      </c>
      <c r="BDL1017" s="16" t="s">
        <v>4867</v>
      </c>
      <c r="BDM1017" s="16" t="s">
        <v>4867</v>
      </c>
      <c r="BDN1017" s="16" t="s">
        <v>4867</v>
      </c>
      <c r="BDO1017" s="16" t="s">
        <v>4867</v>
      </c>
      <c r="BDP1017" s="16" t="s">
        <v>4867</v>
      </c>
      <c r="BDQ1017" s="16" t="s">
        <v>4867</v>
      </c>
      <c r="BDR1017" s="16" t="s">
        <v>4867</v>
      </c>
      <c r="BDS1017" s="16" t="s">
        <v>4867</v>
      </c>
      <c r="BDT1017" s="16" t="s">
        <v>4867</v>
      </c>
      <c r="BDU1017" s="16" t="s">
        <v>4867</v>
      </c>
      <c r="BDV1017" s="16" t="s">
        <v>4867</v>
      </c>
      <c r="BDW1017" s="16" t="s">
        <v>4867</v>
      </c>
      <c r="BDX1017" s="16" t="s">
        <v>4867</v>
      </c>
      <c r="BDY1017" s="16" t="s">
        <v>4867</v>
      </c>
      <c r="BDZ1017" s="16" t="s">
        <v>4867</v>
      </c>
      <c r="BEA1017" s="16" t="s">
        <v>4867</v>
      </c>
      <c r="BEB1017" s="16" t="s">
        <v>4867</v>
      </c>
      <c r="BEC1017" s="16" t="s">
        <v>4867</v>
      </c>
      <c r="BED1017" s="16" t="s">
        <v>4867</v>
      </c>
      <c r="BEE1017" s="16" t="s">
        <v>4867</v>
      </c>
      <c r="BEF1017" s="16" t="s">
        <v>4867</v>
      </c>
      <c r="BEG1017" s="16" t="s">
        <v>4867</v>
      </c>
      <c r="BEH1017" s="16" t="s">
        <v>4867</v>
      </c>
      <c r="BEI1017" s="16" t="s">
        <v>4867</v>
      </c>
      <c r="BEJ1017" s="16" t="s">
        <v>4867</v>
      </c>
      <c r="BEK1017" s="16" t="s">
        <v>4867</v>
      </c>
      <c r="BEL1017" s="16" t="s">
        <v>4867</v>
      </c>
      <c r="BEM1017" s="16" t="s">
        <v>4867</v>
      </c>
      <c r="BEN1017" s="16" t="s">
        <v>4867</v>
      </c>
      <c r="BEO1017" s="16" t="s">
        <v>4867</v>
      </c>
      <c r="BEP1017" s="16" t="s">
        <v>4867</v>
      </c>
      <c r="BEQ1017" s="16" t="s">
        <v>4867</v>
      </c>
      <c r="BER1017" s="16" t="s">
        <v>4867</v>
      </c>
      <c r="BES1017" s="16" t="s">
        <v>4867</v>
      </c>
      <c r="BET1017" s="16" t="s">
        <v>4867</v>
      </c>
      <c r="BEU1017" s="16" t="s">
        <v>4867</v>
      </c>
      <c r="BEV1017" s="16" t="s">
        <v>4867</v>
      </c>
      <c r="BEW1017" s="16" t="s">
        <v>4867</v>
      </c>
      <c r="BEX1017" s="16" t="s">
        <v>4867</v>
      </c>
      <c r="BEY1017" s="16" t="s">
        <v>4867</v>
      </c>
      <c r="BEZ1017" s="16" t="s">
        <v>4867</v>
      </c>
      <c r="BFA1017" s="16" t="s">
        <v>4867</v>
      </c>
      <c r="BFB1017" s="16" t="s">
        <v>4867</v>
      </c>
      <c r="BFC1017" s="16" t="s">
        <v>4867</v>
      </c>
      <c r="BFD1017" s="16" t="s">
        <v>4867</v>
      </c>
      <c r="BFE1017" s="16" t="s">
        <v>4867</v>
      </c>
      <c r="BFF1017" s="16" t="s">
        <v>4867</v>
      </c>
      <c r="BFG1017" s="16" t="s">
        <v>4867</v>
      </c>
      <c r="BFH1017" s="16" t="s">
        <v>4867</v>
      </c>
      <c r="BFI1017" s="16" t="s">
        <v>4867</v>
      </c>
      <c r="BFJ1017" s="16" t="s">
        <v>4867</v>
      </c>
      <c r="BFK1017" s="16" t="s">
        <v>4867</v>
      </c>
      <c r="BFL1017" s="16" t="s">
        <v>4867</v>
      </c>
      <c r="BFM1017" s="16" t="s">
        <v>4867</v>
      </c>
      <c r="BFN1017" s="16" t="s">
        <v>4867</v>
      </c>
      <c r="BFO1017" s="16" t="s">
        <v>4867</v>
      </c>
      <c r="BFP1017" s="16" t="s">
        <v>4867</v>
      </c>
      <c r="BFQ1017" s="16" t="s">
        <v>4867</v>
      </c>
      <c r="BFR1017" s="16" t="s">
        <v>4867</v>
      </c>
      <c r="BFS1017" s="16" t="s">
        <v>4867</v>
      </c>
      <c r="BFT1017" s="16" t="s">
        <v>4867</v>
      </c>
      <c r="BFU1017" s="16" t="s">
        <v>4867</v>
      </c>
      <c r="BFV1017" s="16" t="s">
        <v>4867</v>
      </c>
      <c r="BFW1017" s="16" t="s">
        <v>4867</v>
      </c>
      <c r="BFX1017" s="16" t="s">
        <v>4867</v>
      </c>
      <c r="BFY1017" s="16" t="s">
        <v>4867</v>
      </c>
      <c r="BFZ1017" s="16" t="s">
        <v>4867</v>
      </c>
      <c r="BGA1017" s="16" t="s">
        <v>4867</v>
      </c>
      <c r="BGB1017" s="16" t="s">
        <v>4867</v>
      </c>
      <c r="BGC1017" s="16" t="s">
        <v>4867</v>
      </c>
      <c r="BGD1017" s="16" t="s">
        <v>4867</v>
      </c>
      <c r="BGE1017" s="16" t="s">
        <v>4867</v>
      </c>
      <c r="BGF1017" s="16" t="s">
        <v>4867</v>
      </c>
      <c r="BGG1017" s="16" t="s">
        <v>4867</v>
      </c>
      <c r="BGH1017" s="16" t="s">
        <v>4867</v>
      </c>
      <c r="BGI1017" s="16" t="s">
        <v>4867</v>
      </c>
      <c r="BGJ1017" s="16" t="s">
        <v>4867</v>
      </c>
      <c r="BGK1017" s="16" t="s">
        <v>4867</v>
      </c>
      <c r="BGL1017" s="16" t="s">
        <v>4867</v>
      </c>
      <c r="BGM1017" s="16" t="s">
        <v>4867</v>
      </c>
      <c r="BGN1017" s="16" t="s">
        <v>4867</v>
      </c>
      <c r="BGO1017" s="16" t="s">
        <v>4867</v>
      </c>
      <c r="BGP1017" s="16" t="s">
        <v>4867</v>
      </c>
      <c r="BGQ1017" s="16" t="s">
        <v>4867</v>
      </c>
      <c r="BGR1017" s="16" t="s">
        <v>4867</v>
      </c>
      <c r="BGS1017" s="16" t="s">
        <v>4867</v>
      </c>
      <c r="BGT1017" s="16" t="s">
        <v>4867</v>
      </c>
      <c r="BGU1017" s="16" t="s">
        <v>4867</v>
      </c>
      <c r="BGV1017" s="16" t="s">
        <v>4867</v>
      </c>
      <c r="BGW1017" s="16" t="s">
        <v>4867</v>
      </c>
      <c r="BGX1017" s="16" t="s">
        <v>4867</v>
      </c>
      <c r="BGY1017" s="16" t="s">
        <v>4867</v>
      </c>
      <c r="BGZ1017" s="16" t="s">
        <v>4867</v>
      </c>
      <c r="BHA1017" s="16" t="s">
        <v>4867</v>
      </c>
      <c r="BHB1017" s="16" t="s">
        <v>4867</v>
      </c>
      <c r="BHC1017" s="16" t="s">
        <v>4867</v>
      </c>
      <c r="BHD1017" s="16" t="s">
        <v>4867</v>
      </c>
      <c r="BHE1017" s="16" t="s">
        <v>4867</v>
      </c>
      <c r="BHF1017" s="16" t="s">
        <v>4867</v>
      </c>
      <c r="BHG1017" s="16" t="s">
        <v>4867</v>
      </c>
      <c r="BHH1017" s="16" t="s">
        <v>4867</v>
      </c>
      <c r="BHI1017" s="16" t="s">
        <v>4867</v>
      </c>
      <c r="BHJ1017" s="16" t="s">
        <v>4867</v>
      </c>
      <c r="BHK1017" s="16" t="s">
        <v>4867</v>
      </c>
      <c r="BHL1017" s="16" t="s">
        <v>4867</v>
      </c>
      <c r="BHM1017" s="16" t="s">
        <v>4867</v>
      </c>
      <c r="BHN1017" s="16" t="s">
        <v>4867</v>
      </c>
      <c r="BHO1017" s="16" t="s">
        <v>4867</v>
      </c>
      <c r="BHP1017" s="16" t="s">
        <v>4867</v>
      </c>
      <c r="BHQ1017" s="16" t="s">
        <v>4867</v>
      </c>
      <c r="BHR1017" s="16" t="s">
        <v>4867</v>
      </c>
      <c r="BHS1017" s="16" t="s">
        <v>4867</v>
      </c>
      <c r="BHT1017" s="16" t="s">
        <v>4867</v>
      </c>
      <c r="BHU1017" s="16" t="s">
        <v>4867</v>
      </c>
      <c r="BHV1017" s="16" t="s">
        <v>4867</v>
      </c>
      <c r="BHW1017" s="16" t="s">
        <v>4867</v>
      </c>
      <c r="BHX1017" s="16" t="s">
        <v>4867</v>
      </c>
      <c r="BHY1017" s="16" t="s">
        <v>4867</v>
      </c>
      <c r="BHZ1017" s="16" t="s">
        <v>4867</v>
      </c>
      <c r="BIA1017" s="16" t="s">
        <v>4867</v>
      </c>
      <c r="BIB1017" s="16" t="s">
        <v>4867</v>
      </c>
      <c r="BIC1017" s="16" t="s">
        <v>4867</v>
      </c>
      <c r="BID1017" s="16" t="s">
        <v>4867</v>
      </c>
      <c r="BIE1017" s="16" t="s">
        <v>4867</v>
      </c>
      <c r="BIF1017" s="16" t="s">
        <v>4867</v>
      </c>
      <c r="BIG1017" s="16" t="s">
        <v>4867</v>
      </c>
      <c r="BIH1017" s="16" t="s">
        <v>4867</v>
      </c>
      <c r="BII1017" s="16" t="s">
        <v>4867</v>
      </c>
      <c r="BIJ1017" s="16" t="s">
        <v>4867</v>
      </c>
      <c r="BIK1017" s="16" t="s">
        <v>4867</v>
      </c>
      <c r="BIL1017" s="16" t="s">
        <v>4867</v>
      </c>
      <c r="BIM1017" s="16" t="s">
        <v>4867</v>
      </c>
      <c r="BIN1017" s="16" t="s">
        <v>4867</v>
      </c>
      <c r="BIO1017" s="16" t="s">
        <v>4867</v>
      </c>
      <c r="BIP1017" s="16" t="s">
        <v>4867</v>
      </c>
      <c r="BIQ1017" s="16" t="s">
        <v>4867</v>
      </c>
      <c r="BIR1017" s="16" t="s">
        <v>4867</v>
      </c>
      <c r="BIS1017" s="16" t="s">
        <v>4867</v>
      </c>
      <c r="BIT1017" s="16" t="s">
        <v>4867</v>
      </c>
      <c r="BIU1017" s="16" t="s">
        <v>4867</v>
      </c>
      <c r="BIV1017" s="16" t="s">
        <v>4867</v>
      </c>
      <c r="BIW1017" s="16" t="s">
        <v>4867</v>
      </c>
      <c r="BIX1017" s="16" t="s">
        <v>4867</v>
      </c>
      <c r="BIY1017" s="16" t="s">
        <v>4867</v>
      </c>
      <c r="BIZ1017" s="16" t="s">
        <v>4867</v>
      </c>
      <c r="BJA1017" s="16" t="s">
        <v>4867</v>
      </c>
      <c r="BJB1017" s="16" t="s">
        <v>4867</v>
      </c>
      <c r="BJC1017" s="16" t="s">
        <v>4867</v>
      </c>
      <c r="BJD1017" s="16" t="s">
        <v>4867</v>
      </c>
      <c r="BJE1017" s="16" t="s">
        <v>4867</v>
      </c>
      <c r="BJF1017" s="16" t="s">
        <v>4867</v>
      </c>
      <c r="BJG1017" s="16" t="s">
        <v>4867</v>
      </c>
      <c r="BJH1017" s="16" t="s">
        <v>4867</v>
      </c>
      <c r="BJI1017" s="16" t="s">
        <v>4867</v>
      </c>
      <c r="BJJ1017" s="16" t="s">
        <v>4867</v>
      </c>
      <c r="BJK1017" s="16" t="s">
        <v>4867</v>
      </c>
      <c r="BJL1017" s="16" t="s">
        <v>4867</v>
      </c>
      <c r="BJM1017" s="16" t="s">
        <v>4867</v>
      </c>
      <c r="BJN1017" s="16" t="s">
        <v>4867</v>
      </c>
      <c r="BJO1017" s="16" t="s">
        <v>4867</v>
      </c>
      <c r="BJP1017" s="16" t="s">
        <v>4867</v>
      </c>
      <c r="BJQ1017" s="16" t="s">
        <v>4867</v>
      </c>
      <c r="BJR1017" s="16" t="s">
        <v>4867</v>
      </c>
      <c r="BJS1017" s="16" t="s">
        <v>4867</v>
      </c>
      <c r="BJT1017" s="16" t="s">
        <v>4867</v>
      </c>
      <c r="BJU1017" s="16" t="s">
        <v>4867</v>
      </c>
      <c r="BJV1017" s="16" t="s">
        <v>4867</v>
      </c>
      <c r="BJW1017" s="16" t="s">
        <v>4867</v>
      </c>
      <c r="BJX1017" s="16" t="s">
        <v>4867</v>
      </c>
      <c r="BJY1017" s="16" t="s">
        <v>4867</v>
      </c>
      <c r="BJZ1017" s="16" t="s">
        <v>4867</v>
      </c>
      <c r="BKA1017" s="16" t="s">
        <v>4867</v>
      </c>
      <c r="BKB1017" s="16" t="s">
        <v>4867</v>
      </c>
      <c r="BKC1017" s="16" t="s">
        <v>4867</v>
      </c>
      <c r="BKD1017" s="16" t="s">
        <v>4867</v>
      </c>
      <c r="BKE1017" s="16" t="s">
        <v>4867</v>
      </c>
      <c r="BKF1017" s="16" t="s">
        <v>4867</v>
      </c>
      <c r="BKG1017" s="16" t="s">
        <v>4867</v>
      </c>
      <c r="BKH1017" s="16" t="s">
        <v>4867</v>
      </c>
      <c r="BKI1017" s="16" t="s">
        <v>4867</v>
      </c>
      <c r="BKJ1017" s="16" t="s">
        <v>4867</v>
      </c>
      <c r="BKK1017" s="16" t="s">
        <v>4867</v>
      </c>
      <c r="BKL1017" s="16" t="s">
        <v>4867</v>
      </c>
      <c r="BKM1017" s="16" t="s">
        <v>4867</v>
      </c>
      <c r="BKN1017" s="16" t="s">
        <v>4867</v>
      </c>
      <c r="BKO1017" s="16" t="s">
        <v>4867</v>
      </c>
      <c r="BKP1017" s="16" t="s">
        <v>4867</v>
      </c>
      <c r="BKQ1017" s="16" t="s">
        <v>4867</v>
      </c>
      <c r="BKR1017" s="16" t="s">
        <v>4867</v>
      </c>
      <c r="BKS1017" s="16" t="s">
        <v>4867</v>
      </c>
      <c r="BKT1017" s="16" t="s">
        <v>4867</v>
      </c>
      <c r="BKU1017" s="16" t="s">
        <v>4867</v>
      </c>
      <c r="BKV1017" s="16" t="s">
        <v>4867</v>
      </c>
      <c r="BKW1017" s="16" t="s">
        <v>4867</v>
      </c>
      <c r="BKX1017" s="16" t="s">
        <v>4867</v>
      </c>
      <c r="BKY1017" s="16" t="s">
        <v>4867</v>
      </c>
      <c r="BKZ1017" s="16" t="s">
        <v>4867</v>
      </c>
      <c r="BLA1017" s="16" t="s">
        <v>4867</v>
      </c>
      <c r="BLB1017" s="16" t="s">
        <v>4867</v>
      </c>
      <c r="BLC1017" s="16" t="s">
        <v>4867</v>
      </c>
      <c r="BLD1017" s="16" t="s">
        <v>4867</v>
      </c>
      <c r="BLE1017" s="16" t="s">
        <v>4867</v>
      </c>
      <c r="BLF1017" s="16" t="s">
        <v>4867</v>
      </c>
      <c r="BLG1017" s="16" t="s">
        <v>4867</v>
      </c>
      <c r="BLH1017" s="16" t="s">
        <v>4867</v>
      </c>
      <c r="BLI1017" s="16" t="s">
        <v>4867</v>
      </c>
      <c r="BLJ1017" s="16" t="s">
        <v>4867</v>
      </c>
      <c r="BLK1017" s="16" t="s">
        <v>4867</v>
      </c>
      <c r="BLL1017" s="16" t="s">
        <v>4867</v>
      </c>
      <c r="BLM1017" s="16" t="s">
        <v>4867</v>
      </c>
      <c r="BLN1017" s="16" t="s">
        <v>4867</v>
      </c>
      <c r="BLO1017" s="16" t="s">
        <v>4867</v>
      </c>
      <c r="BLP1017" s="16" t="s">
        <v>4867</v>
      </c>
      <c r="BLQ1017" s="16" t="s">
        <v>4867</v>
      </c>
      <c r="BLR1017" s="16" t="s">
        <v>4867</v>
      </c>
      <c r="BLS1017" s="16" t="s">
        <v>4867</v>
      </c>
      <c r="BLT1017" s="16" t="s">
        <v>4867</v>
      </c>
      <c r="BLU1017" s="16" t="s">
        <v>4867</v>
      </c>
      <c r="BLV1017" s="16" t="s">
        <v>4867</v>
      </c>
      <c r="BLW1017" s="16" t="s">
        <v>4867</v>
      </c>
      <c r="BLX1017" s="16" t="s">
        <v>4867</v>
      </c>
      <c r="BLY1017" s="16" t="s">
        <v>4867</v>
      </c>
      <c r="BLZ1017" s="16" t="s">
        <v>4867</v>
      </c>
      <c r="BMA1017" s="16" t="s">
        <v>4867</v>
      </c>
      <c r="BMB1017" s="16" t="s">
        <v>4867</v>
      </c>
      <c r="BMC1017" s="16" t="s">
        <v>4867</v>
      </c>
      <c r="BMD1017" s="16" t="s">
        <v>4867</v>
      </c>
      <c r="BME1017" s="16" t="s">
        <v>4867</v>
      </c>
      <c r="BMF1017" s="16" t="s">
        <v>4867</v>
      </c>
      <c r="BMG1017" s="16" t="s">
        <v>4867</v>
      </c>
      <c r="BMH1017" s="16" t="s">
        <v>4867</v>
      </c>
      <c r="BMI1017" s="16" t="s">
        <v>4867</v>
      </c>
      <c r="BMJ1017" s="16" t="s">
        <v>4867</v>
      </c>
      <c r="BMK1017" s="16" t="s">
        <v>4867</v>
      </c>
      <c r="BML1017" s="16" t="s">
        <v>4867</v>
      </c>
      <c r="BMM1017" s="16" t="s">
        <v>4867</v>
      </c>
      <c r="BMN1017" s="16" t="s">
        <v>4867</v>
      </c>
      <c r="BMO1017" s="16" t="s">
        <v>4867</v>
      </c>
      <c r="BMP1017" s="16" t="s">
        <v>4867</v>
      </c>
      <c r="BMQ1017" s="16" t="s">
        <v>4867</v>
      </c>
      <c r="BMR1017" s="16" t="s">
        <v>4867</v>
      </c>
      <c r="BMS1017" s="16" t="s">
        <v>4867</v>
      </c>
      <c r="BMT1017" s="16" t="s">
        <v>4867</v>
      </c>
      <c r="BMU1017" s="16" t="s">
        <v>4867</v>
      </c>
      <c r="BMV1017" s="16" t="s">
        <v>4867</v>
      </c>
      <c r="BMW1017" s="16" t="s">
        <v>4867</v>
      </c>
      <c r="BMX1017" s="16" t="s">
        <v>4867</v>
      </c>
      <c r="BMY1017" s="16" t="s">
        <v>4867</v>
      </c>
      <c r="BMZ1017" s="16" t="s">
        <v>4867</v>
      </c>
      <c r="BNA1017" s="16" t="s">
        <v>4867</v>
      </c>
      <c r="BNB1017" s="16" t="s">
        <v>4867</v>
      </c>
      <c r="BNC1017" s="16" t="s">
        <v>4867</v>
      </c>
      <c r="BND1017" s="16" t="s">
        <v>4867</v>
      </c>
      <c r="BNE1017" s="16" t="s">
        <v>4867</v>
      </c>
      <c r="BNF1017" s="16" t="s">
        <v>4867</v>
      </c>
      <c r="BNG1017" s="16" t="s">
        <v>4867</v>
      </c>
      <c r="BNH1017" s="16" t="s">
        <v>4867</v>
      </c>
      <c r="BNI1017" s="16" t="s">
        <v>4867</v>
      </c>
      <c r="BNJ1017" s="16" t="s">
        <v>4867</v>
      </c>
      <c r="BNK1017" s="16" t="s">
        <v>4867</v>
      </c>
      <c r="BNL1017" s="16" t="s">
        <v>4867</v>
      </c>
      <c r="BNM1017" s="16" t="s">
        <v>4867</v>
      </c>
      <c r="BNN1017" s="16" t="s">
        <v>4867</v>
      </c>
      <c r="BNO1017" s="16" t="s">
        <v>4867</v>
      </c>
      <c r="BNP1017" s="16" t="s">
        <v>4867</v>
      </c>
      <c r="BNQ1017" s="16" t="s">
        <v>4867</v>
      </c>
      <c r="BNR1017" s="16" t="s">
        <v>4867</v>
      </c>
      <c r="BNS1017" s="16" t="s">
        <v>4867</v>
      </c>
      <c r="BNT1017" s="16" t="s">
        <v>4867</v>
      </c>
      <c r="BNU1017" s="16" t="s">
        <v>4867</v>
      </c>
      <c r="BNV1017" s="16" t="s">
        <v>4867</v>
      </c>
      <c r="BNW1017" s="16" t="s">
        <v>4867</v>
      </c>
      <c r="BNX1017" s="16" t="s">
        <v>4867</v>
      </c>
      <c r="BNY1017" s="16" t="s">
        <v>4867</v>
      </c>
      <c r="BNZ1017" s="16" t="s">
        <v>4867</v>
      </c>
      <c r="BOA1017" s="16" t="s">
        <v>4867</v>
      </c>
      <c r="BOB1017" s="16" t="s">
        <v>4867</v>
      </c>
      <c r="BOC1017" s="16" t="s">
        <v>4867</v>
      </c>
      <c r="BOD1017" s="16" t="s">
        <v>4867</v>
      </c>
      <c r="BOE1017" s="16" t="s">
        <v>4867</v>
      </c>
      <c r="BOF1017" s="16" t="s">
        <v>4867</v>
      </c>
      <c r="BOG1017" s="16" t="s">
        <v>4867</v>
      </c>
      <c r="BOH1017" s="16" t="s">
        <v>4867</v>
      </c>
      <c r="BOI1017" s="16" t="s">
        <v>4867</v>
      </c>
      <c r="BOJ1017" s="16" t="s">
        <v>4867</v>
      </c>
      <c r="BOK1017" s="16" t="s">
        <v>4867</v>
      </c>
      <c r="BOL1017" s="16" t="s">
        <v>4867</v>
      </c>
      <c r="BOM1017" s="16" t="s">
        <v>4867</v>
      </c>
      <c r="BON1017" s="16" t="s">
        <v>4867</v>
      </c>
      <c r="BOO1017" s="16" t="s">
        <v>4867</v>
      </c>
      <c r="BOP1017" s="16" t="s">
        <v>4867</v>
      </c>
      <c r="BOQ1017" s="16" t="s">
        <v>4867</v>
      </c>
      <c r="BOR1017" s="16" t="s">
        <v>4867</v>
      </c>
      <c r="BOS1017" s="16" t="s">
        <v>4867</v>
      </c>
      <c r="BOT1017" s="16" t="s">
        <v>4867</v>
      </c>
      <c r="BOU1017" s="16" t="s">
        <v>4867</v>
      </c>
      <c r="BOV1017" s="16" t="s">
        <v>4867</v>
      </c>
      <c r="BOW1017" s="16" t="s">
        <v>4867</v>
      </c>
      <c r="BOX1017" s="16" t="s">
        <v>4867</v>
      </c>
      <c r="BOY1017" s="16" t="s">
        <v>4867</v>
      </c>
      <c r="BOZ1017" s="16" t="s">
        <v>4867</v>
      </c>
      <c r="BPA1017" s="16" t="s">
        <v>4867</v>
      </c>
      <c r="BPB1017" s="16" t="s">
        <v>4867</v>
      </c>
      <c r="BPC1017" s="16" t="s">
        <v>4867</v>
      </c>
      <c r="BPD1017" s="16" t="s">
        <v>4867</v>
      </c>
      <c r="BPE1017" s="16" t="s">
        <v>4867</v>
      </c>
      <c r="BPF1017" s="16" t="s">
        <v>4867</v>
      </c>
      <c r="BPG1017" s="16" t="s">
        <v>4867</v>
      </c>
      <c r="BPH1017" s="16" t="s">
        <v>4867</v>
      </c>
      <c r="BPI1017" s="16" t="s">
        <v>4867</v>
      </c>
      <c r="BPJ1017" s="16" t="s">
        <v>4867</v>
      </c>
      <c r="BPK1017" s="16" t="s">
        <v>4867</v>
      </c>
      <c r="BPL1017" s="16" t="s">
        <v>4867</v>
      </c>
      <c r="BPM1017" s="16" t="s">
        <v>4867</v>
      </c>
      <c r="BPN1017" s="16" t="s">
        <v>4867</v>
      </c>
      <c r="BPO1017" s="16" t="s">
        <v>4867</v>
      </c>
      <c r="BPP1017" s="16" t="s">
        <v>4867</v>
      </c>
      <c r="BPQ1017" s="16" t="s">
        <v>4867</v>
      </c>
      <c r="BPR1017" s="16" t="s">
        <v>4867</v>
      </c>
      <c r="BPS1017" s="16" t="s">
        <v>4867</v>
      </c>
      <c r="BPT1017" s="16" t="s">
        <v>4867</v>
      </c>
      <c r="BPU1017" s="16" t="s">
        <v>4867</v>
      </c>
      <c r="BPV1017" s="16" t="s">
        <v>4867</v>
      </c>
      <c r="BPW1017" s="16" t="s">
        <v>4867</v>
      </c>
      <c r="BPX1017" s="16" t="s">
        <v>4867</v>
      </c>
      <c r="BPY1017" s="16" t="s">
        <v>4867</v>
      </c>
      <c r="BPZ1017" s="16" t="s">
        <v>4867</v>
      </c>
      <c r="BQA1017" s="16" t="s">
        <v>4867</v>
      </c>
      <c r="BQB1017" s="16" t="s">
        <v>4867</v>
      </c>
      <c r="BQC1017" s="16" t="s">
        <v>4867</v>
      </c>
      <c r="BQD1017" s="16" t="s">
        <v>4867</v>
      </c>
      <c r="BQE1017" s="16" t="s">
        <v>4867</v>
      </c>
      <c r="BQF1017" s="16" t="s">
        <v>4867</v>
      </c>
      <c r="BQG1017" s="16" t="s">
        <v>4867</v>
      </c>
      <c r="BQH1017" s="16" t="s">
        <v>4867</v>
      </c>
      <c r="BQI1017" s="16" t="s">
        <v>4867</v>
      </c>
      <c r="BQJ1017" s="16" t="s">
        <v>4867</v>
      </c>
      <c r="BQK1017" s="16" t="s">
        <v>4867</v>
      </c>
      <c r="BQL1017" s="16" t="s">
        <v>4867</v>
      </c>
      <c r="BQM1017" s="16" t="s">
        <v>4867</v>
      </c>
      <c r="BQN1017" s="16" t="s">
        <v>4867</v>
      </c>
      <c r="BQO1017" s="16" t="s">
        <v>4867</v>
      </c>
      <c r="BQP1017" s="16" t="s">
        <v>4867</v>
      </c>
      <c r="BQQ1017" s="16" t="s">
        <v>4867</v>
      </c>
      <c r="BQR1017" s="16" t="s">
        <v>4867</v>
      </c>
      <c r="BQS1017" s="16" t="s">
        <v>4867</v>
      </c>
      <c r="BQT1017" s="16" t="s">
        <v>4867</v>
      </c>
      <c r="BQU1017" s="16" t="s">
        <v>4867</v>
      </c>
      <c r="BQV1017" s="16" t="s">
        <v>4867</v>
      </c>
      <c r="BQW1017" s="16" t="s">
        <v>4867</v>
      </c>
      <c r="BQX1017" s="16" t="s">
        <v>4867</v>
      </c>
      <c r="BQY1017" s="16" t="s">
        <v>4867</v>
      </c>
      <c r="BQZ1017" s="16" t="s">
        <v>4867</v>
      </c>
      <c r="BRA1017" s="16" t="s">
        <v>4867</v>
      </c>
      <c r="BRB1017" s="16" t="s">
        <v>4867</v>
      </c>
      <c r="BRC1017" s="16" t="s">
        <v>4867</v>
      </c>
      <c r="BRD1017" s="16" t="s">
        <v>4867</v>
      </c>
      <c r="BRE1017" s="16" t="s">
        <v>4867</v>
      </c>
      <c r="BRF1017" s="16" t="s">
        <v>4867</v>
      </c>
      <c r="BRG1017" s="16" t="s">
        <v>4867</v>
      </c>
      <c r="BRH1017" s="16" t="s">
        <v>4867</v>
      </c>
      <c r="BRI1017" s="16" t="s">
        <v>4867</v>
      </c>
      <c r="BRJ1017" s="16" t="s">
        <v>4867</v>
      </c>
      <c r="BRK1017" s="16" t="s">
        <v>4867</v>
      </c>
      <c r="BRL1017" s="16" t="s">
        <v>4867</v>
      </c>
      <c r="BRM1017" s="16" t="s">
        <v>4867</v>
      </c>
      <c r="BRN1017" s="16" t="s">
        <v>4867</v>
      </c>
      <c r="BRO1017" s="16" t="s">
        <v>4867</v>
      </c>
      <c r="BRP1017" s="16" t="s">
        <v>4867</v>
      </c>
      <c r="BRQ1017" s="16" t="s">
        <v>4867</v>
      </c>
      <c r="BRR1017" s="16" t="s">
        <v>4867</v>
      </c>
      <c r="BRS1017" s="16" t="s">
        <v>4867</v>
      </c>
      <c r="BRT1017" s="16" t="s">
        <v>4867</v>
      </c>
      <c r="BRU1017" s="16" t="s">
        <v>4867</v>
      </c>
      <c r="BRV1017" s="16" t="s">
        <v>4867</v>
      </c>
      <c r="BRW1017" s="16" t="s">
        <v>4867</v>
      </c>
      <c r="BRX1017" s="16" t="s">
        <v>4867</v>
      </c>
      <c r="BRY1017" s="16" t="s">
        <v>4867</v>
      </c>
      <c r="BRZ1017" s="16" t="s">
        <v>4867</v>
      </c>
      <c r="BSA1017" s="16" t="s">
        <v>4867</v>
      </c>
      <c r="BSB1017" s="16" t="s">
        <v>4867</v>
      </c>
      <c r="BSC1017" s="16" t="s">
        <v>4867</v>
      </c>
      <c r="BSD1017" s="16" t="s">
        <v>4867</v>
      </c>
      <c r="BSE1017" s="16" t="s">
        <v>4867</v>
      </c>
      <c r="BSF1017" s="16" t="s">
        <v>4867</v>
      </c>
      <c r="BSG1017" s="16" t="s">
        <v>4867</v>
      </c>
      <c r="BSH1017" s="16" t="s">
        <v>4867</v>
      </c>
      <c r="BSI1017" s="16" t="s">
        <v>4867</v>
      </c>
      <c r="BSJ1017" s="16" t="s">
        <v>4867</v>
      </c>
      <c r="BSK1017" s="16" t="s">
        <v>4867</v>
      </c>
      <c r="BSL1017" s="16" t="s">
        <v>4867</v>
      </c>
      <c r="BSM1017" s="16" t="s">
        <v>4867</v>
      </c>
      <c r="BSN1017" s="16" t="s">
        <v>4867</v>
      </c>
      <c r="BSO1017" s="16" t="s">
        <v>4867</v>
      </c>
      <c r="BSP1017" s="16" t="s">
        <v>4867</v>
      </c>
      <c r="BSQ1017" s="16" t="s">
        <v>4867</v>
      </c>
      <c r="BSR1017" s="16" t="s">
        <v>4867</v>
      </c>
      <c r="BSS1017" s="16" t="s">
        <v>4867</v>
      </c>
      <c r="BST1017" s="16" t="s">
        <v>4867</v>
      </c>
      <c r="BSU1017" s="16" t="s">
        <v>4867</v>
      </c>
      <c r="BSV1017" s="16" t="s">
        <v>4867</v>
      </c>
      <c r="BSW1017" s="16" t="s">
        <v>4867</v>
      </c>
      <c r="BSX1017" s="16" t="s">
        <v>4867</v>
      </c>
      <c r="BSY1017" s="16" t="s">
        <v>4867</v>
      </c>
      <c r="BSZ1017" s="16" t="s">
        <v>4867</v>
      </c>
      <c r="BTA1017" s="16" t="s">
        <v>4867</v>
      </c>
      <c r="BTB1017" s="16" t="s">
        <v>4867</v>
      </c>
      <c r="BTC1017" s="16" t="s">
        <v>4867</v>
      </c>
      <c r="BTD1017" s="16" t="s">
        <v>4867</v>
      </c>
      <c r="BTE1017" s="16" t="s">
        <v>4867</v>
      </c>
      <c r="BTF1017" s="16" t="s">
        <v>4867</v>
      </c>
      <c r="BTG1017" s="16" t="s">
        <v>4867</v>
      </c>
      <c r="BTH1017" s="16" t="s">
        <v>4867</v>
      </c>
      <c r="BTI1017" s="16" t="s">
        <v>4867</v>
      </c>
      <c r="BTJ1017" s="16" t="s">
        <v>4867</v>
      </c>
      <c r="BTK1017" s="16" t="s">
        <v>4867</v>
      </c>
      <c r="BTL1017" s="16" t="s">
        <v>4867</v>
      </c>
      <c r="BTM1017" s="16" t="s">
        <v>4867</v>
      </c>
      <c r="BTN1017" s="16" t="s">
        <v>4867</v>
      </c>
      <c r="BTO1017" s="16" t="s">
        <v>4867</v>
      </c>
      <c r="BTP1017" s="16" t="s">
        <v>4867</v>
      </c>
      <c r="BTQ1017" s="16" t="s">
        <v>4867</v>
      </c>
      <c r="BTR1017" s="16" t="s">
        <v>4867</v>
      </c>
      <c r="BTS1017" s="16" t="s">
        <v>4867</v>
      </c>
      <c r="BTT1017" s="16" t="s">
        <v>4867</v>
      </c>
      <c r="BTU1017" s="16" t="s">
        <v>4867</v>
      </c>
      <c r="BTV1017" s="16" t="s">
        <v>4867</v>
      </c>
      <c r="BTW1017" s="16" t="s">
        <v>4867</v>
      </c>
      <c r="BTX1017" s="16" t="s">
        <v>4867</v>
      </c>
      <c r="BTY1017" s="16" t="s">
        <v>4867</v>
      </c>
      <c r="BTZ1017" s="16" t="s">
        <v>4867</v>
      </c>
      <c r="BUA1017" s="16" t="s">
        <v>4867</v>
      </c>
      <c r="BUB1017" s="16" t="s">
        <v>4867</v>
      </c>
      <c r="BUC1017" s="16" t="s">
        <v>4867</v>
      </c>
      <c r="BUD1017" s="16" t="s">
        <v>4867</v>
      </c>
      <c r="BUE1017" s="16" t="s">
        <v>4867</v>
      </c>
      <c r="BUF1017" s="16" t="s">
        <v>4867</v>
      </c>
      <c r="BUG1017" s="16" t="s">
        <v>4867</v>
      </c>
      <c r="BUH1017" s="16" t="s">
        <v>4867</v>
      </c>
      <c r="BUI1017" s="16" t="s">
        <v>4867</v>
      </c>
      <c r="BUJ1017" s="16" t="s">
        <v>4867</v>
      </c>
      <c r="BUK1017" s="16" t="s">
        <v>4867</v>
      </c>
      <c r="BUL1017" s="16" t="s">
        <v>4867</v>
      </c>
      <c r="BUM1017" s="16" t="s">
        <v>4867</v>
      </c>
      <c r="BUN1017" s="16" t="s">
        <v>4867</v>
      </c>
      <c r="BUO1017" s="16" t="s">
        <v>4867</v>
      </c>
      <c r="BUP1017" s="16" t="s">
        <v>4867</v>
      </c>
      <c r="BUQ1017" s="16" t="s">
        <v>4867</v>
      </c>
      <c r="BUR1017" s="16" t="s">
        <v>4867</v>
      </c>
      <c r="BUS1017" s="16" t="s">
        <v>4867</v>
      </c>
      <c r="BUT1017" s="16" t="s">
        <v>4867</v>
      </c>
      <c r="BUU1017" s="16" t="s">
        <v>4867</v>
      </c>
      <c r="BUV1017" s="16" t="s">
        <v>4867</v>
      </c>
      <c r="BUW1017" s="16" t="s">
        <v>4867</v>
      </c>
      <c r="BUX1017" s="16" t="s">
        <v>4867</v>
      </c>
      <c r="BUY1017" s="16" t="s">
        <v>4867</v>
      </c>
      <c r="BUZ1017" s="16" t="s">
        <v>4867</v>
      </c>
      <c r="BVA1017" s="16" t="s">
        <v>4867</v>
      </c>
      <c r="BVB1017" s="16" t="s">
        <v>4867</v>
      </c>
      <c r="BVC1017" s="16" t="s">
        <v>4867</v>
      </c>
      <c r="BVD1017" s="16" t="s">
        <v>4867</v>
      </c>
      <c r="BVE1017" s="16" t="s">
        <v>4867</v>
      </c>
      <c r="BVF1017" s="16" t="s">
        <v>4867</v>
      </c>
      <c r="BVG1017" s="16" t="s">
        <v>4867</v>
      </c>
      <c r="BVH1017" s="16" t="s">
        <v>4867</v>
      </c>
      <c r="BVI1017" s="16" t="s">
        <v>4867</v>
      </c>
      <c r="BVJ1017" s="16" t="s">
        <v>4867</v>
      </c>
      <c r="BVK1017" s="16" t="s">
        <v>4867</v>
      </c>
      <c r="BVL1017" s="16" t="s">
        <v>4867</v>
      </c>
      <c r="BVM1017" s="16" t="s">
        <v>4867</v>
      </c>
      <c r="BVN1017" s="16" t="s">
        <v>4867</v>
      </c>
      <c r="BVO1017" s="16" t="s">
        <v>4867</v>
      </c>
      <c r="BVP1017" s="16" t="s">
        <v>4867</v>
      </c>
      <c r="BVQ1017" s="16" t="s">
        <v>4867</v>
      </c>
      <c r="BVR1017" s="16" t="s">
        <v>4867</v>
      </c>
      <c r="BVS1017" s="16" t="s">
        <v>4867</v>
      </c>
      <c r="BVT1017" s="16" t="s">
        <v>4867</v>
      </c>
      <c r="BVU1017" s="16" t="s">
        <v>4867</v>
      </c>
      <c r="BVV1017" s="16" t="s">
        <v>4867</v>
      </c>
      <c r="BVW1017" s="16" t="s">
        <v>4867</v>
      </c>
      <c r="BVX1017" s="16" t="s">
        <v>4867</v>
      </c>
      <c r="BVY1017" s="16" t="s">
        <v>4867</v>
      </c>
      <c r="BVZ1017" s="16" t="s">
        <v>4867</v>
      </c>
      <c r="BWA1017" s="16" t="s">
        <v>4867</v>
      </c>
      <c r="BWB1017" s="16" t="s">
        <v>4867</v>
      </c>
      <c r="BWC1017" s="16" t="s">
        <v>4867</v>
      </c>
      <c r="BWD1017" s="16" t="s">
        <v>4867</v>
      </c>
      <c r="BWE1017" s="16" t="s">
        <v>4867</v>
      </c>
      <c r="BWF1017" s="16" t="s">
        <v>4867</v>
      </c>
      <c r="BWG1017" s="16" t="s">
        <v>4867</v>
      </c>
      <c r="BWH1017" s="16" t="s">
        <v>4867</v>
      </c>
      <c r="BWI1017" s="16" t="s">
        <v>4867</v>
      </c>
      <c r="BWJ1017" s="16" t="s">
        <v>4867</v>
      </c>
      <c r="BWK1017" s="16" t="s">
        <v>4867</v>
      </c>
      <c r="BWL1017" s="16" t="s">
        <v>4867</v>
      </c>
      <c r="BWM1017" s="16" t="s">
        <v>4867</v>
      </c>
      <c r="BWN1017" s="16" t="s">
        <v>4867</v>
      </c>
      <c r="BWO1017" s="16" t="s">
        <v>4867</v>
      </c>
      <c r="BWP1017" s="16" t="s">
        <v>4867</v>
      </c>
      <c r="BWQ1017" s="16" t="s">
        <v>4867</v>
      </c>
      <c r="BWR1017" s="16" t="s">
        <v>4867</v>
      </c>
      <c r="BWS1017" s="16" t="s">
        <v>4867</v>
      </c>
      <c r="BWT1017" s="16" t="s">
        <v>4867</v>
      </c>
      <c r="BWU1017" s="16" t="s">
        <v>4867</v>
      </c>
      <c r="BWV1017" s="16" t="s">
        <v>4867</v>
      </c>
      <c r="BWW1017" s="16" t="s">
        <v>4867</v>
      </c>
      <c r="BWX1017" s="16" t="s">
        <v>4867</v>
      </c>
      <c r="BWY1017" s="16" t="s">
        <v>4867</v>
      </c>
      <c r="BWZ1017" s="16" t="s">
        <v>4867</v>
      </c>
      <c r="BXA1017" s="16" t="s">
        <v>4867</v>
      </c>
      <c r="BXB1017" s="16" t="s">
        <v>4867</v>
      </c>
      <c r="BXC1017" s="16" t="s">
        <v>4867</v>
      </c>
      <c r="BXD1017" s="16" t="s">
        <v>4867</v>
      </c>
      <c r="BXE1017" s="16" t="s">
        <v>4867</v>
      </c>
      <c r="BXF1017" s="16" t="s">
        <v>4867</v>
      </c>
      <c r="BXG1017" s="16" t="s">
        <v>4867</v>
      </c>
      <c r="BXH1017" s="16" t="s">
        <v>4867</v>
      </c>
      <c r="BXI1017" s="16" t="s">
        <v>4867</v>
      </c>
      <c r="BXJ1017" s="16" t="s">
        <v>4867</v>
      </c>
      <c r="BXK1017" s="16" t="s">
        <v>4867</v>
      </c>
      <c r="BXL1017" s="16" t="s">
        <v>4867</v>
      </c>
      <c r="BXM1017" s="16" t="s">
        <v>4867</v>
      </c>
      <c r="BXN1017" s="16" t="s">
        <v>4867</v>
      </c>
      <c r="BXO1017" s="16" t="s">
        <v>4867</v>
      </c>
      <c r="BXP1017" s="16" t="s">
        <v>4867</v>
      </c>
      <c r="BXQ1017" s="16" t="s">
        <v>4867</v>
      </c>
      <c r="BXR1017" s="16" t="s">
        <v>4867</v>
      </c>
      <c r="BXS1017" s="16" t="s">
        <v>4867</v>
      </c>
      <c r="BXT1017" s="16" t="s">
        <v>4867</v>
      </c>
      <c r="BXU1017" s="16" t="s">
        <v>4867</v>
      </c>
      <c r="BXV1017" s="16" t="s">
        <v>4867</v>
      </c>
      <c r="BXW1017" s="16" t="s">
        <v>4867</v>
      </c>
      <c r="BXX1017" s="16" t="s">
        <v>4867</v>
      </c>
      <c r="BXY1017" s="16" t="s">
        <v>4867</v>
      </c>
      <c r="BXZ1017" s="16" t="s">
        <v>4867</v>
      </c>
      <c r="BYA1017" s="16" t="s">
        <v>4867</v>
      </c>
      <c r="BYB1017" s="16" t="s">
        <v>4867</v>
      </c>
      <c r="BYC1017" s="16" t="s">
        <v>4867</v>
      </c>
      <c r="BYD1017" s="16" t="s">
        <v>4867</v>
      </c>
      <c r="BYE1017" s="16" t="s">
        <v>4867</v>
      </c>
      <c r="BYF1017" s="16" t="s">
        <v>4867</v>
      </c>
      <c r="BYG1017" s="16" t="s">
        <v>4867</v>
      </c>
      <c r="BYH1017" s="16" t="s">
        <v>4867</v>
      </c>
      <c r="BYI1017" s="16" t="s">
        <v>4867</v>
      </c>
      <c r="BYJ1017" s="16" t="s">
        <v>4867</v>
      </c>
      <c r="BYK1017" s="16" t="s">
        <v>4867</v>
      </c>
      <c r="BYL1017" s="16" t="s">
        <v>4867</v>
      </c>
      <c r="BYM1017" s="16" t="s">
        <v>4867</v>
      </c>
      <c r="BYN1017" s="16" t="s">
        <v>4867</v>
      </c>
      <c r="BYO1017" s="16" t="s">
        <v>4867</v>
      </c>
      <c r="BYP1017" s="16" t="s">
        <v>4867</v>
      </c>
      <c r="BYQ1017" s="16" t="s">
        <v>4867</v>
      </c>
      <c r="BYR1017" s="16" t="s">
        <v>4867</v>
      </c>
      <c r="BYS1017" s="16" t="s">
        <v>4867</v>
      </c>
      <c r="BYT1017" s="16" t="s">
        <v>4867</v>
      </c>
      <c r="BYU1017" s="16" t="s">
        <v>4867</v>
      </c>
      <c r="BYV1017" s="16" t="s">
        <v>4867</v>
      </c>
      <c r="BYW1017" s="16" t="s">
        <v>4867</v>
      </c>
      <c r="BYX1017" s="16" t="s">
        <v>4867</v>
      </c>
      <c r="BYY1017" s="16" t="s">
        <v>4867</v>
      </c>
      <c r="BYZ1017" s="16" t="s">
        <v>4867</v>
      </c>
      <c r="BZA1017" s="16" t="s">
        <v>4867</v>
      </c>
      <c r="BZB1017" s="16" t="s">
        <v>4867</v>
      </c>
      <c r="BZC1017" s="16" t="s">
        <v>4867</v>
      </c>
      <c r="BZD1017" s="16" t="s">
        <v>4867</v>
      </c>
      <c r="BZE1017" s="16" t="s">
        <v>4867</v>
      </c>
      <c r="BZF1017" s="16" t="s">
        <v>4867</v>
      </c>
      <c r="BZG1017" s="16" t="s">
        <v>4867</v>
      </c>
      <c r="BZH1017" s="16" t="s">
        <v>4867</v>
      </c>
      <c r="BZI1017" s="16" t="s">
        <v>4867</v>
      </c>
      <c r="BZJ1017" s="16" t="s">
        <v>4867</v>
      </c>
      <c r="BZK1017" s="16" t="s">
        <v>4867</v>
      </c>
      <c r="BZL1017" s="16" t="s">
        <v>4867</v>
      </c>
      <c r="BZM1017" s="16" t="s">
        <v>4867</v>
      </c>
      <c r="BZN1017" s="16" t="s">
        <v>4867</v>
      </c>
      <c r="BZO1017" s="16" t="s">
        <v>4867</v>
      </c>
      <c r="BZP1017" s="16" t="s">
        <v>4867</v>
      </c>
      <c r="BZQ1017" s="16" t="s">
        <v>4867</v>
      </c>
      <c r="BZR1017" s="16" t="s">
        <v>4867</v>
      </c>
      <c r="BZS1017" s="16" t="s">
        <v>4867</v>
      </c>
      <c r="BZT1017" s="16" t="s">
        <v>4867</v>
      </c>
      <c r="BZU1017" s="16" t="s">
        <v>4867</v>
      </c>
      <c r="BZV1017" s="16" t="s">
        <v>4867</v>
      </c>
      <c r="BZW1017" s="16" t="s">
        <v>4867</v>
      </c>
      <c r="BZX1017" s="16" t="s">
        <v>4867</v>
      </c>
      <c r="BZY1017" s="16" t="s">
        <v>4867</v>
      </c>
      <c r="BZZ1017" s="16" t="s">
        <v>4867</v>
      </c>
      <c r="CAA1017" s="16" t="s">
        <v>4867</v>
      </c>
      <c r="CAB1017" s="16" t="s">
        <v>4867</v>
      </c>
      <c r="CAC1017" s="16" t="s">
        <v>4867</v>
      </c>
      <c r="CAD1017" s="16" t="s">
        <v>4867</v>
      </c>
      <c r="CAE1017" s="16" t="s">
        <v>4867</v>
      </c>
      <c r="CAF1017" s="16" t="s">
        <v>4867</v>
      </c>
      <c r="CAG1017" s="16" t="s">
        <v>4867</v>
      </c>
      <c r="CAH1017" s="16" t="s">
        <v>4867</v>
      </c>
      <c r="CAI1017" s="16" t="s">
        <v>4867</v>
      </c>
      <c r="CAJ1017" s="16" t="s">
        <v>4867</v>
      </c>
      <c r="CAK1017" s="16" t="s">
        <v>4867</v>
      </c>
      <c r="CAL1017" s="16" t="s">
        <v>4867</v>
      </c>
      <c r="CAM1017" s="16" t="s">
        <v>4867</v>
      </c>
      <c r="CAN1017" s="16" t="s">
        <v>4867</v>
      </c>
      <c r="CAO1017" s="16" t="s">
        <v>4867</v>
      </c>
      <c r="CAP1017" s="16" t="s">
        <v>4867</v>
      </c>
      <c r="CAQ1017" s="16" t="s">
        <v>4867</v>
      </c>
      <c r="CAR1017" s="16" t="s">
        <v>4867</v>
      </c>
      <c r="CAS1017" s="16" t="s">
        <v>4867</v>
      </c>
      <c r="CAT1017" s="16" t="s">
        <v>4867</v>
      </c>
      <c r="CAU1017" s="16" t="s">
        <v>4867</v>
      </c>
      <c r="CAV1017" s="16" t="s">
        <v>4867</v>
      </c>
      <c r="CAW1017" s="16" t="s">
        <v>4867</v>
      </c>
      <c r="CAX1017" s="16" t="s">
        <v>4867</v>
      </c>
      <c r="CAY1017" s="16" t="s">
        <v>4867</v>
      </c>
      <c r="CAZ1017" s="16" t="s">
        <v>4867</v>
      </c>
      <c r="CBA1017" s="16" t="s">
        <v>4867</v>
      </c>
      <c r="CBB1017" s="16" t="s">
        <v>4867</v>
      </c>
      <c r="CBC1017" s="16" t="s">
        <v>4867</v>
      </c>
      <c r="CBD1017" s="16" t="s">
        <v>4867</v>
      </c>
      <c r="CBE1017" s="16" t="s">
        <v>4867</v>
      </c>
      <c r="CBF1017" s="16" t="s">
        <v>4867</v>
      </c>
      <c r="CBG1017" s="16" t="s">
        <v>4867</v>
      </c>
      <c r="CBH1017" s="16" t="s">
        <v>4867</v>
      </c>
      <c r="CBI1017" s="16" t="s">
        <v>4867</v>
      </c>
      <c r="CBJ1017" s="16" t="s">
        <v>4867</v>
      </c>
      <c r="CBK1017" s="16" t="s">
        <v>4867</v>
      </c>
      <c r="CBL1017" s="16" t="s">
        <v>4867</v>
      </c>
      <c r="CBM1017" s="16" t="s">
        <v>4867</v>
      </c>
      <c r="CBN1017" s="16" t="s">
        <v>4867</v>
      </c>
      <c r="CBO1017" s="16" t="s">
        <v>4867</v>
      </c>
      <c r="CBP1017" s="16" t="s">
        <v>4867</v>
      </c>
      <c r="CBQ1017" s="16" t="s">
        <v>4867</v>
      </c>
      <c r="CBR1017" s="16" t="s">
        <v>4867</v>
      </c>
      <c r="CBS1017" s="16" t="s">
        <v>4867</v>
      </c>
      <c r="CBT1017" s="16" t="s">
        <v>4867</v>
      </c>
      <c r="CBU1017" s="16" t="s">
        <v>4867</v>
      </c>
      <c r="CBV1017" s="16" t="s">
        <v>4867</v>
      </c>
      <c r="CBW1017" s="16" t="s">
        <v>4867</v>
      </c>
      <c r="CBX1017" s="16" t="s">
        <v>4867</v>
      </c>
      <c r="CBY1017" s="16" t="s">
        <v>4867</v>
      </c>
      <c r="CBZ1017" s="16" t="s">
        <v>4867</v>
      </c>
      <c r="CCA1017" s="16" t="s">
        <v>4867</v>
      </c>
      <c r="CCB1017" s="16" t="s">
        <v>4867</v>
      </c>
      <c r="CCC1017" s="16" t="s">
        <v>4867</v>
      </c>
      <c r="CCD1017" s="16" t="s">
        <v>4867</v>
      </c>
      <c r="CCE1017" s="16" t="s">
        <v>4867</v>
      </c>
      <c r="CCF1017" s="16" t="s">
        <v>4867</v>
      </c>
      <c r="CCG1017" s="16" t="s">
        <v>4867</v>
      </c>
      <c r="CCH1017" s="16" t="s">
        <v>4867</v>
      </c>
      <c r="CCI1017" s="16" t="s">
        <v>4867</v>
      </c>
      <c r="CCJ1017" s="16" t="s">
        <v>4867</v>
      </c>
      <c r="CCK1017" s="16" t="s">
        <v>4867</v>
      </c>
      <c r="CCL1017" s="16" t="s">
        <v>4867</v>
      </c>
      <c r="CCM1017" s="16" t="s">
        <v>4867</v>
      </c>
      <c r="CCN1017" s="16" t="s">
        <v>4867</v>
      </c>
      <c r="CCO1017" s="16" t="s">
        <v>4867</v>
      </c>
      <c r="CCP1017" s="16" t="s">
        <v>4867</v>
      </c>
      <c r="CCQ1017" s="16" t="s">
        <v>4867</v>
      </c>
      <c r="CCR1017" s="16" t="s">
        <v>4867</v>
      </c>
      <c r="CCS1017" s="16" t="s">
        <v>4867</v>
      </c>
      <c r="CCT1017" s="16" t="s">
        <v>4867</v>
      </c>
      <c r="CCU1017" s="16" t="s">
        <v>4867</v>
      </c>
      <c r="CCV1017" s="16" t="s">
        <v>4867</v>
      </c>
      <c r="CCW1017" s="16" t="s">
        <v>4867</v>
      </c>
      <c r="CCX1017" s="16" t="s">
        <v>4867</v>
      </c>
      <c r="CCY1017" s="16" t="s">
        <v>4867</v>
      </c>
      <c r="CCZ1017" s="16" t="s">
        <v>4867</v>
      </c>
      <c r="CDA1017" s="16" t="s">
        <v>4867</v>
      </c>
      <c r="CDB1017" s="16" t="s">
        <v>4867</v>
      </c>
      <c r="CDC1017" s="16" t="s">
        <v>4867</v>
      </c>
      <c r="CDD1017" s="16" t="s">
        <v>4867</v>
      </c>
      <c r="CDE1017" s="16" t="s">
        <v>4867</v>
      </c>
      <c r="CDF1017" s="16" t="s">
        <v>4867</v>
      </c>
      <c r="CDG1017" s="16" t="s">
        <v>4867</v>
      </c>
      <c r="CDH1017" s="16" t="s">
        <v>4867</v>
      </c>
      <c r="CDI1017" s="16" t="s">
        <v>4867</v>
      </c>
      <c r="CDJ1017" s="16" t="s">
        <v>4867</v>
      </c>
      <c r="CDK1017" s="16" t="s">
        <v>4867</v>
      </c>
      <c r="CDL1017" s="16" t="s">
        <v>4867</v>
      </c>
      <c r="CDM1017" s="16" t="s">
        <v>4867</v>
      </c>
      <c r="CDN1017" s="16" t="s">
        <v>4867</v>
      </c>
      <c r="CDO1017" s="16" t="s">
        <v>4867</v>
      </c>
      <c r="CDP1017" s="16" t="s">
        <v>4867</v>
      </c>
      <c r="CDQ1017" s="16" t="s">
        <v>4867</v>
      </c>
      <c r="CDR1017" s="16" t="s">
        <v>4867</v>
      </c>
      <c r="CDS1017" s="16" t="s">
        <v>4867</v>
      </c>
      <c r="CDT1017" s="16" t="s">
        <v>4867</v>
      </c>
      <c r="CDU1017" s="16" t="s">
        <v>4867</v>
      </c>
      <c r="CDV1017" s="16" t="s">
        <v>4867</v>
      </c>
      <c r="CDW1017" s="16" t="s">
        <v>4867</v>
      </c>
      <c r="CDX1017" s="16" t="s">
        <v>4867</v>
      </c>
      <c r="CDY1017" s="16" t="s">
        <v>4867</v>
      </c>
      <c r="CDZ1017" s="16" t="s">
        <v>4867</v>
      </c>
      <c r="CEA1017" s="16" t="s">
        <v>4867</v>
      </c>
      <c r="CEB1017" s="16" t="s">
        <v>4867</v>
      </c>
      <c r="CEC1017" s="16" t="s">
        <v>4867</v>
      </c>
      <c r="CED1017" s="16" t="s">
        <v>4867</v>
      </c>
      <c r="CEE1017" s="16" t="s">
        <v>4867</v>
      </c>
      <c r="CEF1017" s="16" t="s">
        <v>4867</v>
      </c>
      <c r="CEG1017" s="16" t="s">
        <v>4867</v>
      </c>
      <c r="CEH1017" s="16" t="s">
        <v>4867</v>
      </c>
      <c r="CEI1017" s="16" t="s">
        <v>4867</v>
      </c>
      <c r="CEJ1017" s="16" t="s">
        <v>4867</v>
      </c>
      <c r="CEK1017" s="16" t="s">
        <v>4867</v>
      </c>
      <c r="CEL1017" s="16" t="s">
        <v>4867</v>
      </c>
      <c r="CEM1017" s="16" t="s">
        <v>4867</v>
      </c>
      <c r="CEN1017" s="16" t="s">
        <v>4867</v>
      </c>
      <c r="CEO1017" s="16" t="s">
        <v>4867</v>
      </c>
      <c r="CEP1017" s="16" t="s">
        <v>4867</v>
      </c>
      <c r="CEQ1017" s="16" t="s">
        <v>4867</v>
      </c>
      <c r="CER1017" s="16" t="s">
        <v>4867</v>
      </c>
      <c r="CES1017" s="16" t="s">
        <v>4867</v>
      </c>
      <c r="CET1017" s="16" t="s">
        <v>4867</v>
      </c>
      <c r="CEU1017" s="16" t="s">
        <v>4867</v>
      </c>
      <c r="CEV1017" s="16" t="s">
        <v>4867</v>
      </c>
      <c r="CEW1017" s="16" t="s">
        <v>4867</v>
      </c>
      <c r="CEX1017" s="16" t="s">
        <v>4867</v>
      </c>
      <c r="CEY1017" s="16" t="s">
        <v>4867</v>
      </c>
      <c r="CEZ1017" s="16" t="s">
        <v>4867</v>
      </c>
      <c r="CFA1017" s="16" t="s">
        <v>4867</v>
      </c>
      <c r="CFB1017" s="16" t="s">
        <v>4867</v>
      </c>
      <c r="CFC1017" s="16" t="s">
        <v>4867</v>
      </c>
      <c r="CFD1017" s="16" t="s">
        <v>4867</v>
      </c>
      <c r="CFE1017" s="16" t="s">
        <v>4867</v>
      </c>
      <c r="CFF1017" s="16" t="s">
        <v>4867</v>
      </c>
      <c r="CFG1017" s="16" t="s">
        <v>4867</v>
      </c>
      <c r="CFH1017" s="16" t="s">
        <v>4867</v>
      </c>
      <c r="CFI1017" s="16" t="s">
        <v>4867</v>
      </c>
      <c r="CFJ1017" s="16" t="s">
        <v>4867</v>
      </c>
      <c r="CFK1017" s="16" t="s">
        <v>4867</v>
      </c>
      <c r="CFL1017" s="16" t="s">
        <v>4867</v>
      </c>
      <c r="CFM1017" s="16" t="s">
        <v>4867</v>
      </c>
      <c r="CFN1017" s="16" t="s">
        <v>4867</v>
      </c>
      <c r="CFO1017" s="16" t="s">
        <v>4867</v>
      </c>
      <c r="CFP1017" s="16" t="s">
        <v>4867</v>
      </c>
      <c r="CFQ1017" s="16" t="s">
        <v>4867</v>
      </c>
      <c r="CFR1017" s="16" t="s">
        <v>4867</v>
      </c>
      <c r="CFS1017" s="16" t="s">
        <v>4867</v>
      </c>
      <c r="CFT1017" s="16" t="s">
        <v>4867</v>
      </c>
      <c r="CFU1017" s="16" t="s">
        <v>4867</v>
      </c>
      <c r="CFV1017" s="16" t="s">
        <v>4867</v>
      </c>
      <c r="CFW1017" s="16" t="s">
        <v>4867</v>
      </c>
      <c r="CFX1017" s="16" t="s">
        <v>4867</v>
      </c>
      <c r="CFY1017" s="16" t="s">
        <v>4867</v>
      </c>
      <c r="CFZ1017" s="16" t="s">
        <v>4867</v>
      </c>
      <c r="CGA1017" s="16" t="s">
        <v>4867</v>
      </c>
      <c r="CGB1017" s="16" t="s">
        <v>4867</v>
      </c>
      <c r="CGC1017" s="16" t="s">
        <v>4867</v>
      </c>
      <c r="CGD1017" s="16" t="s">
        <v>4867</v>
      </c>
      <c r="CGE1017" s="16" t="s">
        <v>4867</v>
      </c>
      <c r="CGF1017" s="16" t="s">
        <v>4867</v>
      </c>
      <c r="CGG1017" s="16" t="s">
        <v>4867</v>
      </c>
      <c r="CGH1017" s="16" t="s">
        <v>4867</v>
      </c>
      <c r="CGI1017" s="16" t="s">
        <v>4867</v>
      </c>
      <c r="CGJ1017" s="16" t="s">
        <v>4867</v>
      </c>
      <c r="CGK1017" s="16" t="s">
        <v>4867</v>
      </c>
      <c r="CGL1017" s="16" t="s">
        <v>4867</v>
      </c>
      <c r="CGM1017" s="16" t="s">
        <v>4867</v>
      </c>
      <c r="CGN1017" s="16" t="s">
        <v>4867</v>
      </c>
      <c r="CGO1017" s="16" t="s">
        <v>4867</v>
      </c>
      <c r="CGP1017" s="16" t="s">
        <v>4867</v>
      </c>
      <c r="CGQ1017" s="16" t="s">
        <v>4867</v>
      </c>
      <c r="CGR1017" s="16" t="s">
        <v>4867</v>
      </c>
      <c r="CGS1017" s="16" t="s">
        <v>4867</v>
      </c>
      <c r="CGT1017" s="16" t="s">
        <v>4867</v>
      </c>
      <c r="CGU1017" s="16" t="s">
        <v>4867</v>
      </c>
      <c r="CGV1017" s="16" t="s">
        <v>4867</v>
      </c>
      <c r="CGW1017" s="16" t="s">
        <v>4867</v>
      </c>
      <c r="CGX1017" s="16" t="s">
        <v>4867</v>
      </c>
      <c r="CGY1017" s="16" t="s">
        <v>4867</v>
      </c>
      <c r="CGZ1017" s="16" t="s">
        <v>4867</v>
      </c>
      <c r="CHA1017" s="16" t="s">
        <v>4867</v>
      </c>
      <c r="CHB1017" s="16" t="s">
        <v>4867</v>
      </c>
      <c r="CHC1017" s="16" t="s">
        <v>4867</v>
      </c>
      <c r="CHD1017" s="16" t="s">
        <v>4867</v>
      </c>
      <c r="CHE1017" s="16" t="s">
        <v>4867</v>
      </c>
      <c r="CHF1017" s="16" t="s">
        <v>4867</v>
      </c>
      <c r="CHG1017" s="16" t="s">
        <v>4867</v>
      </c>
      <c r="CHH1017" s="16" t="s">
        <v>4867</v>
      </c>
      <c r="CHI1017" s="16" t="s">
        <v>4867</v>
      </c>
      <c r="CHJ1017" s="16" t="s">
        <v>4867</v>
      </c>
      <c r="CHK1017" s="16" t="s">
        <v>4867</v>
      </c>
      <c r="CHL1017" s="16" t="s">
        <v>4867</v>
      </c>
      <c r="CHM1017" s="16" t="s">
        <v>4867</v>
      </c>
      <c r="CHN1017" s="16" t="s">
        <v>4867</v>
      </c>
      <c r="CHO1017" s="16" t="s">
        <v>4867</v>
      </c>
      <c r="CHP1017" s="16" t="s">
        <v>4867</v>
      </c>
      <c r="CHQ1017" s="16" t="s">
        <v>4867</v>
      </c>
      <c r="CHR1017" s="16" t="s">
        <v>4867</v>
      </c>
      <c r="CHS1017" s="16" t="s">
        <v>4867</v>
      </c>
      <c r="CHT1017" s="16" t="s">
        <v>4867</v>
      </c>
      <c r="CHU1017" s="16" t="s">
        <v>4867</v>
      </c>
      <c r="CHV1017" s="16" t="s">
        <v>4867</v>
      </c>
      <c r="CHW1017" s="16" t="s">
        <v>4867</v>
      </c>
      <c r="CHX1017" s="16" t="s">
        <v>4867</v>
      </c>
      <c r="CHY1017" s="16" t="s">
        <v>4867</v>
      </c>
      <c r="CHZ1017" s="16" t="s">
        <v>4867</v>
      </c>
      <c r="CIA1017" s="16" t="s">
        <v>4867</v>
      </c>
      <c r="CIB1017" s="16" t="s">
        <v>4867</v>
      </c>
      <c r="CIC1017" s="16" t="s">
        <v>4867</v>
      </c>
      <c r="CID1017" s="16" t="s">
        <v>4867</v>
      </c>
      <c r="CIE1017" s="16" t="s">
        <v>4867</v>
      </c>
      <c r="CIF1017" s="16" t="s">
        <v>4867</v>
      </c>
      <c r="CIG1017" s="16" t="s">
        <v>4867</v>
      </c>
      <c r="CIH1017" s="16" t="s">
        <v>4867</v>
      </c>
      <c r="CII1017" s="16" t="s">
        <v>4867</v>
      </c>
      <c r="CIJ1017" s="16" t="s">
        <v>4867</v>
      </c>
      <c r="CIK1017" s="16" t="s">
        <v>4867</v>
      </c>
      <c r="CIL1017" s="16" t="s">
        <v>4867</v>
      </c>
      <c r="CIM1017" s="16" t="s">
        <v>4867</v>
      </c>
      <c r="CIN1017" s="16" t="s">
        <v>4867</v>
      </c>
      <c r="CIO1017" s="16" t="s">
        <v>4867</v>
      </c>
      <c r="CIP1017" s="16" t="s">
        <v>4867</v>
      </c>
      <c r="CIQ1017" s="16" t="s">
        <v>4867</v>
      </c>
      <c r="CIR1017" s="16" t="s">
        <v>4867</v>
      </c>
      <c r="CIS1017" s="16" t="s">
        <v>4867</v>
      </c>
      <c r="CIT1017" s="16" t="s">
        <v>4867</v>
      </c>
      <c r="CIU1017" s="16" t="s">
        <v>4867</v>
      </c>
      <c r="CIV1017" s="16" t="s">
        <v>4867</v>
      </c>
      <c r="CIW1017" s="16" t="s">
        <v>4867</v>
      </c>
      <c r="CIX1017" s="16" t="s">
        <v>4867</v>
      </c>
      <c r="CIY1017" s="16" t="s">
        <v>4867</v>
      </c>
      <c r="CIZ1017" s="16" t="s">
        <v>4867</v>
      </c>
      <c r="CJA1017" s="16" t="s">
        <v>4867</v>
      </c>
      <c r="CJB1017" s="16" t="s">
        <v>4867</v>
      </c>
      <c r="CJC1017" s="16" t="s">
        <v>4867</v>
      </c>
      <c r="CJD1017" s="16" t="s">
        <v>4867</v>
      </c>
      <c r="CJE1017" s="16" t="s">
        <v>4867</v>
      </c>
      <c r="CJF1017" s="16" t="s">
        <v>4867</v>
      </c>
      <c r="CJG1017" s="16" t="s">
        <v>4867</v>
      </c>
      <c r="CJH1017" s="16" t="s">
        <v>4867</v>
      </c>
      <c r="CJI1017" s="16" t="s">
        <v>4867</v>
      </c>
      <c r="CJJ1017" s="16" t="s">
        <v>4867</v>
      </c>
      <c r="CJK1017" s="16" t="s">
        <v>4867</v>
      </c>
      <c r="CJL1017" s="16" t="s">
        <v>4867</v>
      </c>
      <c r="CJM1017" s="16" t="s">
        <v>4867</v>
      </c>
      <c r="CJN1017" s="16" t="s">
        <v>4867</v>
      </c>
      <c r="CJO1017" s="16" t="s">
        <v>4867</v>
      </c>
      <c r="CJP1017" s="16" t="s">
        <v>4867</v>
      </c>
      <c r="CJQ1017" s="16" t="s">
        <v>4867</v>
      </c>
      <c r="CJR1017" s="16" t="s">
        <v>4867</v>
      </c>
      <c r="CJS1017" s="16" t="s">
        <v>4867</v>
      </c>
      <c r="CJT1017" s="16" t="s">
        <v>4867</v>
      </c>
      <c r="CJU1017" s="16" t="s">
        <v>4867</v>
      </c>
      <c r="CJV1017" s="16" t="s">
        <v>4867</v>
      </c>
      <c r="CJW1017" s="16" t="s">
        <v>4867</v>
      </c>
      <c r="CJX1017" s="16" t="s">
        <v>4867</v>
      </c>
      <c r="CJY1017" s="16" t="s">
        <v>4867</v>
      </c>
      <c r="CJZ1017" s="16" t="s">
        <v>4867</v>
      </c>
      <c r="CKA1017" s="16" t="s">
        <v>4867</v>
      </c>
      <c r="CKB1017" s="16" t="s">
        <v>4867</v>
      </c>
      <c r="CKC1017" s="16" t="s">
        <v>4867</v>
      </c>
      <c r="CKD1017" s="16" t="s">
        <v>4867</v>
      </c>
      <c r="CKE1017" s="16" t="s">
        <v>4867</v>
      </c>
      <c r="CKF1017" s="16" t="s">
        <v>4867</v>
      </c>
      <c r="CKG1017" s="16" t="s">
        <v>4867</v>
      </c>
      <c r="CKH1017" s="16" t="s">
        <v>4867</v>
      </c>
      <c r="CKI1017" s="16" t="s">
        <v>4867</v>
      </c>
      <c r="CKJ1017" s="16" t="s">
        <v>4867</v>
      </c>
      <c r="CKK1017" s="16" t="s">
        <v>4867</v>
      </c>
      <c r="CKL1017" s="16" t="s">
        <v>4867</v>
      </c>
      <c r="CKM1017" s="16" t="s">
        <v>4867</v>
      </c>
      <c r="CKN1017" s="16" t="s">
        <v>4867</v>
      </c>
      <c r="CKO1017" s="16" t="s">
        <v>4867</v>
      </c>
      <c r="CKP1017" s="16" t="s">
        <v>4867</v>
      </c>
      <c r="CKQ1017" s="16" t="s">
        <v>4867</v>
      </c>
      <c r="CKR1017" s="16" t="s">
        <v>4867</v>
      </c>
      <c r="CKS1017" s="16" t="s">
        <v>4867</v>
      </c>
      <c r="CKT1017" s="16" t="s">
        <v>4867</v>
      </c>
      <c r="CKU1017" s="16" t="s">
        <v>4867</v>
      </c>
      <c r="CKV1017" s="16" t="s">
        <v>4867</v>
      </c>
      <c r="CKW1017" s="16" t="s">
        <v>4867</v>
      </c>
      <c r="CKX1017" s="16" t="s">
        <v>4867</v>
      </c>
      <c r="CKY1017" s="16" t="s">
        <v>4867</v>
      </c>
      <c r="CKZ1017" s="16" t="s">
        <v>4867</v>
      </c>
      <c r="CLA1017" s="16" t="s">
        <v>4867</v>
      </c>
      <c r="CLB1017" s="16" t="s">
        <v>4867</v>
      </c>
      <c r="CLC1017" s="16" t="s">
        <v>4867</v>
      </c>
      <c r="CLD1017" s="16" t="s">
        <v>4867</v>
      </c>
      <c r="CLE1017" s="16" t="s">
        <v>4867</v>
      </c>
      <c r="CLF1017" s="16" t="s">
        <v>4867</v>
      </c>
      <c r="CLG1017" s="16" t="s">
        <v>4867</v>
      </c>
      <c r="CLH1017" s="16" t="s">
        <v>4867</v>
      </c>
      <c r="CLI1017" s="16" t="s">
        <v>4867</v>
      </c>
      <c r="CLJ1017" s="16" t="s">
        <v>4867</v>
      </c>
      <c r="CLK1017" s="16" t="s">
        <v>4867</v>
      </c>
      <c r="CLL1017" s="16" t="s">
        <v>4867</v>
      </c>
      <c r="CLM1017" s="16" t="s">
        <v>4867</v>
      </c>
      <c r="CLN1017" s="16" t="s">
        <v>4867</v>
      </c>
      <c r="CLO1017" s="16" t="s">
        <v>4867</v>
      </c>
      <c r="CLP1017" s="16" t="s">
        <v>4867</v>
      </c>
      <c r="CLQ1017" s="16" t="s">
        <v>4867</v>
      </c>
      <c r="CLR1017" s="16" t="s">
        <v>4867</v>
      </c>
      <c r="CLS1017" s="16" t="s">
        <v>4867</v>
      </c>
      <c r="CLT1017" s="16" t="s">
        <v>4867</v>
      </c>
      <c r="CLU1017" s="16" t="s">
        <v>4867</v>
      </c>
      <c r="CLV1017" s="16" t="s">
        <v>4867</v>
      </c>
      <c r="CLW1017" s="16" t="s">
        <v>4867</v>
      </c>
      <c r="CLX1017" s="16" t="s">
        <v>4867</v>
      </c>
      <c r="CLY1017" s="16" t="s">
        <v>4867</v>
      </c>
      <c r="CLZ1017" s="16" t="s">
        <v>4867</v>
      </c>
      <c r="CMA1017" s="16" t="s">
        <v>4867</v>
      </c>
      <c r="CMB1017" s="16" t="s">
        <v>4867</v>
      </c>
      <c r="CMC1017" s="16" t="s">
        <v>4867</v>
      </c>
      <c r="CMD1017" s="16" t="s">
        <v>4867</v>
      </c>
      <c r="CME1017" s="16" t="s">
        <v>4867</v>
      </c>
      <c r="CMF1017" s="16" t="s">
        <v>4867</v>
      </c>
      <c r="CMG1017" s="16" t="s">
        <v>4867</v>
      </c>
      <c r="CMH1017" s="16" t="s">
        <v>4867</v>
      </c>
      <c r="CMI1017" s="16" t="s">
        <v>4867</v>
      </c>
      <c r="CMJ1017" s="16" t="s">
        <v>4867</v>
      </c>
      <c r="CMK1017" s="16" t="s">
        <v>4867</v>
      </c>
      <c r="CML1017" s="16" t="s">
        <v>4867</v>
      </c>
      <c r="CMM1017" s="16" t="s">
        <v>4867</v>
      </c>
      <c r="CMN1017" s="16" t="s">
        <v>4867</v>
      </c>
      <c r="CMO1017" s="16" t="s">
        <v>4867</v>
      </c>
      <c r="CMP1017" s="16" t="s">
        <v>4867</v>
      </c>
      <c r="CMQ1017" s="16" t="s">
        <v>4867</v>
      </c>
      <c r="CMR1017" s="16" t="s">
        <v>4867</v>
      </c>
      <c r="CMS1017" s="16" t="s">
        <v>4867</v>
      </c>
      <c r="CMT1017" s="16" t="s">
        <v>4867</v>
      </c>
      <c r="CMU1017" s="16" t="s">
        <v>4867</v>
      </c>
      <c r="CMV1017" s="16" t="s">
        <v>4867</v>
      </c>
      <c r="CMW1017" s="16" t="s">
        <v>4867</v>
      </c>
      <c r="CMX1017" s="16" t="s">
        <v>4867</v>
      </c>
      <c r="CMY1017" s="16" t="s">
        <v>4867</v>
      </c>
      <c r="CMZ1017" s="16" t="s">
        <v>4867</v>
      </c>
      <c r="CNA1017" s="16" t="s">
        <v>4867</v>
      </c>
      <c r="CNB1017" s="16" t="s">
        <v>4867</v>
      </c>
      <c r="CNC1017" s="16" t="s">
        <v>4867</v>
      </c>
      <c r="CND1017" s="16" t="s">
        <v>4867</v>
      </c>
      <c r="CNE1017" s="16" t="s">
        <v>4867</v>
      </c>
      <c r="CNF1017" s="16" t="s">
        <v>4867</v>
      </c>
      <c r="CNG1017" s="16" t="s">
        <v>4867</v>
      </c>
      <c r="CNH1017" s="16" t="s">
        <v>4867</v>
      </c>
      <c r="CNI1017" s="16" t="s">
        <v>4867</v>
      </c>
      <c r="CNJ1017" s="16" t="s">
        <v>4867</v>
      </c>
      <c r="CNK1017" s="16" t="s">
        <v>4867</v>
      </c>
      <c r="CNL1017" s="16" t="s">
        <v>4867</v>
      </c>
      <c r="CNM1017" s="16" t="s">
        <v>4867</v>
      </c>
      <c r="CNN1017" s="16" t="s">
        <v>4867</v>
      </c>
      <c r="CNO1017" s="16" t="s">
        <v>4867</v>
      </c>
      <c r="CNP1017" s="16" t="s">
        <v>4867</v>
      </c>
      <c r="CNQ1017" s="16" t="s">
        <v>4867</v>
      </c>
      <c r="CNR1017" s="16" t="s">
        <v>4867</v>
      </c>
      <c r="CNS1017" s="16" t="s">
        <v>4867</v>
      </c>
      <c r="CNT1017" s="16" t="s">
        <v>4867</v>
      </c>
      <c r="CNU1017" s="16" t="s">
        <v>4867</v>
      </c>
      <c r="CNV1017" s="16" t="s">
        <v>4867</v>
      </c>
      <c r="CNW1017" s="16" t="s">
        <v>4867</v>
      </c>
      <c r="CNX1017" s="16" t="s">
        <v>4867</v>
      </c>
      <c r="CNY1017" s="16" t="s">
        <v>4867</v>
      </c>
      <c r="CNZ1017" s="16" t="s">
        <v>4867</v>
      </c>
      <c r="COA1017" s="16" t="s">
        <v>4867</v>
      </c>
      <c r="COB1017" s="16" t="s">
        <v>4867</v>
      </c>
      <c r="COC1017" s="16" t="s">
        <v>4867</v>
      </c>
      <c r="COD1017" s="16" t="s">
        <v>4867</v>
      </c>
      <c r="COE1017" s="16" t="s">
        <v>4867</v>
      </c>
      <c r="COF1017" s="16" t="s">
        <v>4867</v>
      </c>
      <c r="COG1017" s="16" t="s">
        <v>4867</v>
      </c>
      <c r="COH1017" s="16" t="s">
        <v>4867</v>
      </c>
      <c r="COI1017" s="16" t="s">
        <v>4867</v>
      </c>
      <c r="COJ1017" s="16" t="s">
        <v>4867</v>
      </c>
      <c r="COK1017" s="16" t="s">
        <v>4867</v>
      </c>
      <c r="COL1017" s="16" t="s">
        <v>4867</v>
      </c>
      <c r="COM1017" s="16" t="s">
        <v>4867</v>
      </c>
      <c r="CON1017" s="16" t="s">
        <v>4867</v>
      </c>
      <c r="COO1017" s="16" t="s">
        <v>4867</v>
      </c>
      <c r="COP1017" s="16" t="s">
        <v>4867</v>
      </c>
      <c r="COQ1017" s="16" t="s">
        <v>4867</v>
      </c>
      <c r="COR1017" s="16" t="s">
        <v>4867</v>
      </c>
      <c r="COS1017" s="16" t="s">
        <v>4867</v>
      </c>
      <c r="COT1017" s="16" t="s">
        <v>4867</v>
      </c>
      <c r="COU1017" s="16" t="s">
        <v>4867</v>
      </c>
      <c r="COV1017" s="16" t="s">
        <v>4867</v>
      </c>
      <c r="COW1017" s="16" t="s">
        <v>4867</v>
      </c>
      <c r="COX1017" s="16" t="s">
        <v>4867</v>
      </c>
      <c r="COY1017" s="16" t="s">
        <v>4867</v>
      </c>
      <c r="COZ1017" s="16" t="s">
        <v>4867</v>
      </c>
      <c r="CPA1017" s="16" t="s">
        <v>4867</v>
      </c>
      <c r="CPB1017" s="16" t="s">
        <v>4867</v>
      </c>
      <c r="CPC1017" s="16" t="s">
        <v>4867</v>
      </c>
      <c r="CPD1017" s="16" t="s">
        <v>4867</v>
      </c>
      <c r="CPE1017" s="16" t="s">
        <v>4867</v>
      </c>
      <c r="CPF1017" s="16" t="s">
        <v>4867</v>
      </c>
      <c r="CPG1017" s="16" t="s">
        <v>4867</v>
      </c>
      <c r="CPH1017" s="16" t="s">
        <v>4867</v>
      </c>
      <c r="CPI1017" s="16" t="s">
        <v>4867</v>
      </c>
      <c r="CPJ1017" s="16" t="s">
        <v>4867</v>
      </c>
      <c r="CPK1017" s="16" t="s">
        <v>4867</v>
      </c>
      <c r="CPL1017" s="16" t="s">
        <v>4867</v>
      </c>
      <c r="CPM1017" s="16" t="s">
        <v>4867</v>
      </c>
      <c r="CPN1017" s="16" t="s">
        <v>4867</v>
      </c>
      <c r="CPO1017" s="16" t="s">
        <v>4867</v>
      </c>
      <c r="CPP1017" s="16" t="s">
        <v>4867</v>
      </c>
      <c r="CPQ1017" s="16" t="s">
        <v>4867</v>
      </c>
      <c r="CPR1017" s="16" t="s">
        <v>4867</v>
      </c>
      <c r="CPS1017" s="16" t="s">
        <v>4867</v>
      </c>
      <c r="CPT1017" s="16" t="s">
        <v>4867</v>
      </c>
      <c r="CPU1017" s="16" t="s">
        <v>4867</v>
      </c>
      <c r="CPV1017" s="16" t="s">
        <v>4867</v>
      </c>
      <c r="CPW1017" s="16" t="s">
        <v>4867</v>
      </c>
      <c r="CPX1017" s="16" t="s">
        <v>4867</v>
      </c>
      <c r="CPY1017" s="16" t="s">
        <v>4867</v>
      </c>
      <c r="CPZ1017" s="16" t="s">
        <v>4867</v>
      </c>
      <c r="CQA1017" s="16" t="s">
        <v>4867</v>
      </c>
      <c r="CQB1017" s="16" t="s">
        <v>4867</v>
      </c>
      <c r="CQC1017" s="16" t="s">
        <v>4867</v>
      </c>
      <c r="CQD1017" s="16" t="s">
        <v>4867</v>
      </c>
      <c r="CQE1017" s="16" t="s">
        <v>4867</v>
      </c>
      <c r="CQF1017" s="16" t="s">
        <v>4867</v>
      </c>
      <c r="CQG1017" s="16" t="s">
        <v>4867</v>
      </c>
      <c r="CQH1017" s="16" t="s">
        <v>4867</v>
      </c>
      <c r="CQI1017" s="16" t="s">
        <v>4867</v>
      </c>
      <c r="CQJ1017" s="16" t="s">
        <v>4867</v>
      </c>
      <c r="CQK1017" s="16" t="s">
        <v>4867</v>
      </c>
      <c r="CQL1017" s="16" t="s">
        <v>4867</v>
      </c>
      <c r="CQM1017" s="16" t="s">
        <v>4867</v>
      </c>
      <c r="CQN1017" s="16" t="s">
        <v>4867</v>
      </c>
      <c r="CQO1017" s="16" t="s">
        <v>4867</v>
      </c>
      <c r="CQP1017" s="16" t="s">
        <v>4867</v>
      </c>
      <c r="CQQ1017" s="16" t="s">
        <v>4867</v>
      </c>
      <c r="CQR1017" s="16" t="s">
        <v>4867</v>
      </c>
      <c r="CQS1017" s="16" t="s">
        <v>4867</v>
      </c>
      <c r="CQT1017" s="16" t="s">
        <v>4867</v>
      </c>
      <c r="CQU1017" s="16" t="s">
        <v>4867</v>
      </c>
      <c r="CQV1017" s="16" t="s">
        <v>4867</v>
      </c>
      <c r="CQW1017" s="16" t="s">
        <v>4867</v>
      </c>
      <c r="CQX1017" s="16" t="s">
        <v>4867</v>
      </c>
      <c r="CQY1017" s="16" t="s">
        <v>4867</v>
      </c>
      <c r="CQZ1017" s="16" t="s">
        <v>4867</v>
      </c>
      <c r="CRA1017" s="16" t="s">
        <v>4867</v>
      </c>
      <c r="CRB1017" s="16" t="s">
        <v>4867</v>
      </c>
      <c r="CRC1017" s="16" t="s">
        <v>4867</v>
      </c>
      <c r="CRD1017" s="16" t="s">
        <v>4867</v>
      </c>
      <c r="CRE1017" s="16" t="s">
        <v>4867</v>
      </c>
      <c r="CRF1017" s="16" t="s">
        <v>4867</v>
      </c>
      <c r="CRG1017" s="16" t="s">
        <v>4867</v>
      </c>
      <c r="CRH1017" s="16" t="s">
        <v>4867</v>
      </c>
      <c r="CRI1017" s="16" t="s">
        <v>4867</v>
      </c>
      <c r="CRJ1017" s="16" t="s">
        <v>4867</v>
      </c>
      <c r="CRK1017" s="16" t="s">
        <v>4867</v>
      </c>
      <c r="CRL1017" s="16" t="s">
        <v>4867</v>
      </c>
      <c r="CRM1017" s="16" t="s">
        <v>4867</v>
      </c>
      <c r="CRN1017" s="16" t="s">
        <v>4867</v>
      </c>
      <c r="CRO1017" s="16" t="s">
        <v>4867</v>
      </c>
      <c r="CRP1017" s="16" t="s">
        <v>4867</v>
      </c>
      <c r="CRQ1017" s="16" t="s">
        <v>4867</v>
      </c>
      <c r="CRR1017" s="16" t="s">
        <v>4867</v>
      </c>
      <c r="CRS1017" s="16" t="s">
        <v>4867</v>
      </c>
      <c r="CRT1017" s="16" t="s">
        <v>4867</v>
      </c>
      <c r="CRU1017" s="16" t="s">
        <v>4867</v>
      </c>
      <c r="CRV1017" s="16" t="s">
        <v>4867</v>
      </c>
      <c r="CRW1017" s="16" t="s">
        <v>4867</v>
      </c>
      <c r="CRX1017" s="16" t="s">
        <v>4867</v>
      </c>
      <c r="CRY1017" s="16" t="s">
        <v>4867</v>
      </c>
      <c r="CRZ1017" s="16" t="s">
        <v>4867</v>
      </c>
      <c r="CSA1017" s="16" t="s">
        <v>4867</v>
      </c>
      <c r="CSB1017" s="16" t="s">
        <v>4867</v>
      </c>
      <c r="CSC1017" s="16" t="s">
        <v>4867</v>
      </c>
      <c r="CSD1017" s="16" t="s">
        <v>4867</v>
      </c>
      <c r="CSE1017" s="16" t="s">
        <v>4867</v>
      </c>
      <c r="CSF1017" s="16" t="s">
        <v>4867</v>
      </c>
      <c r="CSG1017" s="16" t="s">
        <v>4867</v>
      </c>
      <c r="CSH1017" s="16" t="s">
        <v>4867</v>
      </c>
      <c r="CSI1017" s="16" t="s">
        <v>4867</v>
      </c>
      <c r="CSJ1017" s="16" t="s">
        <v>4867</v>
      </c>
      <c r="CSK1017" s="16" t="s">
        <v>4867</v>
      </c>
      <c r="CSL1017" s="16" t="s">
        <v>4867</v>
      </c>
      <c r="CSM1017" s="16" t="s">
        <v>4867</v>
      </c>
      <c r="CSN1017" s="16" t="s">
        <v>4867</v>
      </c>
      <c r="CSO1017" s="16" t="s">
        <v>4867</v>
      </c>
      <c r="CSP1017" s="16" t="s">
        <v>4867</v>
      </c>
      <c r="CSQ1017" s="16" t="s">
        <v>4867</v>
      </c>
      <c r="CSR1017" s="16" t="s">
        <v>4867</v>
      </c>
      <c r="CSS1017" s="16" t="s">
        <v>4867</v>
      </c>
      <c r="CST1017" s="16" t="s">
        <v>4867</v>
      </c>
      <c r="CSU1017" s="16" t="s">
        <v>4867</v>
      </c>
      <c r="CSV1017" s="16" t="s">
        <v>4867</v>
      </c>
      <c r="CSW1017" s="16" t="s">
        <v>4867</v>
      </c>
      <c r="CSX1017" s="16" t="s">
        <v>4867</v>
      </c>
      <c r="CSY1017" s="16" t="s">
        <v>4867</v>
      </c>
      <c r="CSZ1017" s="16" t="s">
        <v>4867</v>
      </c>
      <c r="CTA1017" s="16" t="s">
        <v>4867</v>
      </c>
      <c r="CTB1017" s="16" t="s">
        <v>4867</v>
      </c>
      <c r="CTC1017" s="16" t="s">
        <v>4867</v>
      </c>
      <c r="CTD1017" s="16" t="s">
        <v>4867</v>
      </c>
      <c r="CTE1017" s="16" t="s">
        <v>4867</v>
      </c>
      <c r="CTF1017" s="16" t="s">
        <v>4867</v>
      </c>
      <c r="CTG1017" s="16" t="s">
        <v>4867</v>
      </c>
      <c r="CTH1017" s="16" t="s">
        <v>4867</v>
      </c>
      <c r="CTI1017" s="16" t="s">
        <v>4867</v>
      </c>
      <c r="CTJ1017" s="16" t="s">
        <v>4867</v>
      </c>
      <c r="CTK1017" s="16" t="s">
        <v>4867</v>
      </c>
      <c r="CTL1017" s="16" t="s">
        <v>4867</v>
      </c>
      <c r="CTM1017" s="16" t="s">
        <v>4867</v>
      </c>
      <c r="CTN1017" s="16" t="s">
        <v>4867</v>
      </c>
      <c r="CTO1017" s="16" t="s">
        <v>4867</v>
      </c>
      <c r="CTP1017" s="16" t="s">
        <v>4867</v>
      </c>
      <c r="CTQ1017" s="16" t="s">
        <v>4867</v>
      </c>
      <c r="CTR1017" s="16" t="s">
        <v>4867</v>
      </c>
      <c r="CTS1017" s="16" t="s">
        <v>4867</v>
      </c>
      <c r="CTT1017" s="16" t="s">
        <v>4867</v>
      </c>
      <c r="CTU1017" s="16" t="s">
        <v>4867</v>
      </c>
      <c r="CTV1017" s="16" t="s">
        <v>4867</v>
      </c>
      <c r="CTW1017" s="16" t="s">
        <v>4867</v>
      </c>
      <c r="CTX1017" s="16" t="s">
        <v>4867</v>
      </c>
      <c r="CTY1017" s="16" t="s">
        <v>4867</v>
      </c>
      <c r="CTZ1017" s="16" t="s">
        <v>4867</v>
      </c>
      <c r="CUA1017" s="16" t="s">
        <v>4867</v>
      </c>
      <c r="CUB1017" s="16" t="s">
        <v>4867</v>
      </c>
      <c r="CUC1017" s="16" t="s">
        <v>4867</v>
      </c>
      <c r="CUD1017" s="16" t="s">
        <v>4867</v>
      </c>
      <c r="CUE1017" s="16" t="s">
        <v>4867</v>
      </c>
      <c r="CUF1017" s="16" t="s">
        <v>4867</v>
      </c>
      <c r="CUG1017" s="16" t="s">
        <v>4867</v>
      </c>
      <c r="CUH1017" s="16" t="s">
        <v>4867</v>
      </c>
      <c r="CUI1017" s="16" t="s">
        <v>4867</v>
      </c>
      <c r="CUJ1017" s="16" t="s">
        <v>4867</v>
      </c>
      <c r="CUK1017" s="16" t="s">
        <v>4867</v>
      </c>
      <c r="CUL1017" s="16" t="s">
        <v>4867</v>
      </c>
      <c r="CUM1017" s="16" t="s">
        <v>4867</v>
      </c>
      <c r="CUN1017" s="16" t="s">
        <v>4867</v>
      </c>
      <c r="CUO1017" s="16" t="s">
        <v>4867</v>
      </c>
      <c r="CUP1017" s="16" t="s">
        <v>4867</v>
      </c>
      <c r="CUQ1017" s="16" t="s">
        <v>4867</v>
      </c>
      <c r="CUR1017" s="16" t="s">
        <v>4867</v>
      </c>
      <c r="CUS1017" s="16" t="s">
        <v>4867</v>
      </c>
      <c r="CUT1017" s="16" t="s">
        <v>4867</v>
      </c>
      <c r="CUU1017" s="16" t="s">
        <v>4867</v>
      </c>
      <c r="CUV1017" s="16" t="s">
        <v>4867</v>
      </c>
      <c r="CUW1017" s="16" t="s">
        <v>4867</v>
      </c>
      <c r="CUX1017" s="16" t="s">
        <v>4867</v>
      </c>
      <c r="CUY1017" s="16" t="s">
        <v>4867</v>
      </c>
      <c r="CUZ1017" s="16" t="s">
        <v>4867</v>
      </c>
      <c r="CVA1017" s="16" t="s">
        <v>4867</v>
      </c>
      <c r="CVB1017" s="16" t="s">
        <v>4867</v>
      </c>
      <c r="CVC1017" s="16" t="s">
        <v>4867</v>
      </c>
      <c r="CVD1017" s="16" t="s">
        <v>4867</v>
      </c>
      <c r="CVE1017" s="16" t="s">
        <v>4867</v>
      </c>
      <c r="CVF1017" s="16" t="s">
        <v>4867</v>
      </c>
      <c r="CVG1017" s="16" t="s">
        <v>4867</v>
      </c>
      <c r="CVH1017" s="16" t="s">
        <v>4867</v>
      </c>
      <c r="CVI1017" s="16" t="s">
        <v>4867</v>
      </c>
      <c r="CVJ1017" s="16" t="s">
        <v>4867</v>
      </c>
      <c r="CVK1017" s="16" t="s">
        <v>4867</v>
      </c>
      <c r="CVL1017" s="16" t="s">
        <v>4867</v>
      </c>
      <c r="CVM1017" s="16" t="s">
        <v>4867</v>
      </c>
      <c r="CVN1017" s="16" t="s">
        <v>4867</v>
      </c>
      <c r="CVO1017" s="16" t="s">
        <v>4867</v>
      </c>
      <c r="CVP1017" s="16" t="s">
        <v>4867</v>
      </c>
      <c r="CVQ1017" s="16" t="s">
        <v>4867</v>
      </c>
      <c r="CVR1017" s="16" t="s">
        <v>4867</v>
      </c>
      <c r="CVS1017" s="16" t="s">
        <v>4867</v>
      </c>
      <c r="CVT1017" s="16" t="s">
        <v>4867</v>
      </c>
      <c r="CVU1017" s="16" t="s">
        <v>4867</v>
      </c>
      <c r="CVV1017" s="16" t="s">
        <v>4867</v>
      </c>
      <c r="CVW1017" s="16" t="s">
        <v>4867</v>
      </c>
      <c r="CVX1017" s="16" t="s">
        <v>4867</v>
      </c>
      <c r="CVY1017" s="16" t="s">
        <v>4867</v>
      </c>
      <c r="CVZ1017" s="16" t="s">
        <v>4867</v>
      </c>
      <c r="CWA1017" s="16" t="s">
        <v>4867</v>
      </c>
      <c r="CWB1017" s="16" t="s">
        <v>4867</v>
      </c>
      <c r="CWC1017" s="16" t="s">
        <v>4867</v>
      </c>
      <c r="CWD1017" s="16" t="s">
        <v>4867</v>
      </c>
      <c r="CWE1017" s="16" t="s">
        <v>4867</v>
      </c>
      <c r="CWF1017" s="16" t="s">
        <v>4867</v>
      </c>
      <c r="CWG1017" s="16" t="s">
        <v>4867</v>
      </c>
      <c r="CWH1017" s="16" t="s">
        <v>4867</v>
      </c>
      <c r="CWI1017" s="16" t="s">
        <v>4867</v>
      </c>
      <c r="CWJ1017" s="16" t="s">
        <v>4867</v>
      </c>
      <c r="CWK1017" s="16" t="s">
        <v>4867</v>
      </c>
      <c r="CWL1017" s="16" t="s">
        <v>4867</v>
      </c>
      <c r="CWM1017" s="16" t="s">
        <v>4867</v>
      </c>
      <c r="CWN1017" s="16" t="s">
        <v>4867</v>
      </c>
      <c r="CWO1017" s="16" t="s">
        <v>4867</v>
      </c>
      <c r="CWP1017" s="16" t="s">
        <v>4867</v>
      </c>
      <c r="CWQ1017" s="16" t="s">
        <v>4867</v>
      </c>
      <c r="CWR1017" s="16" t="s">
        <v>4867</v>
      </c>
      <c r="CWS1017" s="16" t="s">
        <v>4867</v>
      </c>
      <c r="CWT1017" s="16" t="s">
        <v>4867</v>
      </c>
      <c r="CWU1017" s="16" t="s">
        <v>4867</v>
      </c>
      <c r="CWV1017" s="16" t="s">
        <v>4867</v>
      </c>
      <c r="CWW1017" s="16" t="s">
        <v>4867</v>
      </c>
      <c r="CWX1017" s="16" t="s">
        <v>4867</v>
      </c>
      <c r="CWY1017" s="16" t="s">
        <v>4867</v>
      </c>
      <c r="CWZ1017" s="16" t="s">
        <v>4867</v>
      </c>
      <c r="CXA1017" s="16" t="s">
        <v>4867</v>
      </c>
      <c r="CXB1017" s="16" t="s">
        <v>4867</v>
      </c>
      <c r="CXC1017" s="16" t="s">
        <v>4867</v>
      </c>
      <c r="CXD1017" s="16" t="s">
        <v>4867</v>
      </c>
      <c r="CXE1017" s="16" t="s">
        <v>4867</v>
      </c>
      <c r="CXF1017" s="16" t="s">
        <v>4867</v>
      </c>
      <c r="CXG1017" s="16" t="s">
        <v>4867</v>
      </c>
      <c r="CXH1017" s="16" t="s">
        <v>4867</v>
      </c>
      <c r="CXI1017" s="16" t="s">
        <v>4867</v>
      </c>
      <c r="CXJ1017" s="16" t="s">
        <v>4867</v>
      </c>
      <c r="CXK1017" s="16" t="s">
        <v>4867</v>
      </c>
      <c r="CXL1017" s="16" t="s">
        <v>4867</v>
      </c>
      <c r="CXM1017" s="16" t="s">
        <v>4867</v>
      </c>
      <c r="CXN1017" s="16" t="s">
        <v>4867</v>
      </c>
      <c r="CXO1017" s="16" t="s">
        <v>4867</v>
      </c>
      <c r="CXP1017" s="16" t="s">
        <v>4867</v>
      </c>
      <c r="CXQ1017" s="16" t="s">
        <v>4867</v>
      </c>
      <c r="CXR1017" s="16" t="s">
        <v>4867</v>
      </c>
      <c r="CXS1017" s="16" t="s">
        <v>4867</v>
      </c>
      <c r="CXT1017" s="16" t="s">
        <v>4867</v>
      </c>
      <c r="CXU1017" s="16" t="s">
        <v>4867</v>
      </c>
      <c r="CXV1017" s="16" t="s">
        <v>4867</v>
      </c>
      <c r="CXW1017" s="16" t="s">
        <v>4867</v>
      </c>
      <c r="CXX1017" s="16" t="s">
        <v>4867</v>
      </c>
      <c r="CXY1017" s="16" t="s">
        <v>4867</v>
      </c>
      <c r="CXZ1017" s="16" t="s">
        <v>4867</v>
      </c>
      <c r="CYA1017" s="16" t="s">
        <v>4867</v>
      </c>
      <c r="CYB1017" s="16" t="s">
        <v>4867</v>
      </c>
      <c r="CYC1017" s="16" t="s">
        <v>4867</v>
      </c>
      <c r="CYD1017" s="16" t="s">
        <v>4867</v>
      </c>
      <c r="CYE1017" s="16" t="s">
        <v>4867</v>
      </c>
      <c r="CYF1017" s="16" t="s">
        <v>4867</v>
      </c>
      <c r="CYG1017" s="16" t="s">
        <v>4867</v>
      </c>
      <c r="CYH1017" s="16" t="s">
        <v>4867</v>
      </c>
      <c r="CYI1017" s="16" t="s">
        <v>4867</v>
      </c>
      <c r="CYJ1017" s="16" t="s">
        <v>4867</v>
      </c>
      <c r="CYK1017" s="16" t="s">
        <v>4867</v>
      </c>
      <c r="CYL1017" s="16" t="s">
        <v>4867</v>
      </c>
      <c r="CYM1017" s="16" t="s">
        <v>4867</v>
      </c>
      <c r="CYN1017" s="16" t="s">
        <v>4867</v>
      </c>
      <c r="CYO1017" s="16" t="s">
        <v>4867</v>
      </c>
      <c r="CYP1017" s="16" t="s">
        <v>4867</v>
      </c>
      <c r="CYQ1017" s="16" t="s">
        <v>4867</v>
      </c>
      <c r="CYR1017" s="16" t="s">
        <v>4867</v>
      </c>
      <c r="CYS1017" s="16" t="s">
        <v>4867</v>
      </c>
      <c r="CYT1017" s="16" t="s">
        <v>4867</v>
      </c>
      <c r="CYU1017" s="16" t="s">
        <v>4867</v>
      </c>
      <c r="CYV1017" s="16" t="s">
        <v>4867</v>
      </c>
      <c r="CYW1017" s="16" t="s">
        <v>4867</v>
      </c>
      <c r="CYX1017" s="16" t="s">
        <v>4867</v>
      </c>
      <c r="CYY1017" s="16" t="s">
        <v>4867</v>
      </c>
      <c r="CYZ1017" s="16" t="s">
        <v>4867</v>
      </c>
      <c r="CZA1017" s="16" t="s">
        <v>4867</v>
      </c>
      <c r="CZB1017" s="16" t="s">
        <v>4867</v>
      </c>
      <c r="CZC1017" s="16" t="s">
        <v>4867</v>
      </c>
      <c r="CZD1017" s="16" t="s">
        <v>4867</v>
      </c>
      <c r="CZE1017" s="16" t="s">
        <v>4867</v>
      </c>
      <c r="CZF1017" s="16" t="s">
        <v>4867</v>
      </c>
      <c r="CZG1017" s="16" t="s">
        <v>4867</v>
      </c>
      <c r="CZH1017" s="16" t="s">
        <v>4867</v>
      </c>
      <c r="CZI1017" s="16" t="s">
        <v>4867</v>
      </c>
      <c r="CZJ1017" s="16" t="s">
        <v>4867</v>
      </c>
      <c r="CZK1017" s="16" t="s">
        <v>4867</v>
      </c>
      <c r="CZL1017" s="16" t="s">
        <v>4867</v>
      </c>
      <c r="CZM1017" s="16" t="s">
        <v>4867</v>
      </c>
      <c r="CZN1017" s="16" t="s">
        <v>4867</v>
      </c>
      <c r="CZO1017" s="16" t="s">
        <v>4867</v>
      </c>
      <c r="CZP1017" s="16" t="s">
        <v>4867</v>
      </c>
      <c r="CZQ1017" s="16" t="s">
        <v>4867</v>
      </c>
      <c r="CZR1017" s="16" t="s">
        <v>4867</v>
      </c>
      <c r="CZS1017" s="16" t="s">
        <v>4867</v>
      </c>
      <c r="CZT1017" s="16" t="s">
        <v>4867</v>
      </c>
      <c r="CZU1017" s="16" t="s">
        <v>4867</v>
      </c>
      <c r="CZV1017" s="16" t="s">
        <v>4867</v>
      </c>
      <c r="CZW1017" s="16" t="s">
        <v>4867</v>
      </c>
      <c r="CZX1017" s="16" t="s">
        <v>4867</v>
      </c>
      <c r="CZY1017" s="16" t="s">
        <v>4867</v>
      </c>
      <c r="CZZ1017" s="16" t="s">
        <v>4867</v>
      </c>
      <c r="DAA1017" s="16" t="s">
        <v>4867</v>
      </c>
      <c r="DAB1017" s="16" t="s">
        <v>4867</v>
      </c>
      <c r="DAC1017" s="16" t="s">
        <v>4867</v>
      </c>
      <c r="DAD1017" s="16" t="s">
        <v>4867</v>
      </c>
      <c r="DAE1017" s="16" t="s">
        <v>4867</v>
      </c>
      <c r="DAF1017" s="16" t="s">
        <v>4867</v>
      </c>
      <c r="DAG1017" s="16" t="s">
        <v>4867</v>
      </c>
      <c r="DAH1017" s="16" t="s">
        <v>4867</v>
      </c>
      <c r="DAI1017" s="16" t="s">
        <v>4867</v>
      </c>
      <c r="DAJ1017" s="16" t="s">
        <v>4867</v>
      </c>
      <c r="DAK1017" s="16" t="s">
        <v>4867</v>
      </c>
      <c r="DAL1017" s="16" t="s">
        <v>4867</v>
      </c>
      <c r="DAM1017" s="16" t="s">
        <v>4867</v>
      </c>
      <c r="DAN1017" s="16" t="s">
        <v>4867</v>
      </c>
      <c r="DAO1017" s="16" t="s">
        <v>4867</v>
      </c>
      <c r="DAP1017" s="16" t="s">
        <v>4867</v>
      </c>
      <c r="DAQ1017" s="16" t="s">
        <v>4867</v>
      </c>
      <c r="DAR1017" s="16" t="s">
        <v>4867</v>
      </c>
      <c r="DAS1017" s="16" t="s">
        <v>4867</v>
      </c>
      <c r="DAT1017" s="16" t="s">
        <v>4867</v>
      </c>
      <c r="DAU1017" s="16" t="s">
        <v>4867</v>
      </c>
      <c r="DAV1017" s="16" t="s">
        <v>4867</v>
      </c>
      <c r="DAW1017" s="16" t="s">
        <v>4867</v>
      </c>
      <c r="DAX1017" s="16" t="s">
        <v>4867</v>
      </c>
      <c r="DAY1017" s="16" t="s">
        <v>4867</v>
      </c>
      <c r="DAZ1017" s="16" t="s">
        <v>4867</v>
      </c>
      <c r="DBA1017" s="16" t="s">
        <v>4867</v>
      </c>
      <c r="DBB1017" s="16" t="s">
        <v>4867</v>
      </c>
      <c r="DBC1017" s="16" t="s">
        <v>4867</v>
      </c>
      <c r="DBD1017" s="16" t="s">
        <v>4867</v>
      </c>
      <c r="DBE1017" s="16" t="s">
        <v>4867</v>
      </c>
      <c r="DBF1017" s="16" t="s">
        <v>4867</v>
      </c>
      <c r="DBG1017" s="16" t="s">
        <v>4867</v>
      </c>
      <c r="DBH1017" s="16" t="s">
        <v>4867</v>
      </c>
      <c r="DBI1017" s="16" t="s">
        <v>4867</v>
      </c>
      <c r="DBJ1017" s="16" t="s">
        <v>4867</v>
      </c>
      <c r="DBK1017" s="16" t="s">
        <v>4867</v>
      </c>
      <c r="DBL1017" s="16" t="s">
        <v>4867</v>
      </c>
      <c r="DBM1017" s="16" t="s">
        <v>4867</v>
      </c>
      <c r="DBN1017" s="16" t="s">
        <v>4867</v>
      </c>
      <c r="DBO1017" s="16" t="s">
        <v>4867</v>
      </c>
      <c r="DBP1017" s="16" t="s">
        <v>4867</v>
      </c>
      <c r="DBQ1017" s="16" t="s">
        <v>4867</v>
      </c>
      <c r="DBR1017" s="16" t="s">
        <v>4867</v>
      </c>
      <c r="DBS1017" s="16" t="s">
        <v>4867</v>
      </c>
      <c r="DBT1017" s="16" t="s">
        <v>4867</v>
      </c>
      <c r="DBU1017" s="16" t="s">
        <v>4867</v>
      </c>
      <c r="DBV1017" s="16" t="s">
        <v>4867</v>
      </c>
      <c r="DBW1017" s="16" t="s">
        <v>4867</v>
      </c>
      <c r="DBX1017" s="16" t="s">
        <v>4867</v>
      </c>
      <c r="DBY1017" s="16" t="s">
        <v>4867</v>
      </c>
      <c r="DBZ1017" s="16" t="s">
        <v>4867</v>
      </c>
      <c r="DCA1017" s="16" t="s">
        <v>4867</v>
      </c>
      <c r="DCB1017" s="16" t="s">
        <v>4867</v>
      </c>
      <c r="DCC1017" s="16" t="s">
        <v>4867</v>
      </c>
      <c r="DCD1017" s="16" t="s">
        <v>4867</v>
      </c>
      <c r="DCE1017" s="16" t="s">
        <v>4867</v>
      </c>
      <c r="DCF1017" s="16" t="s">
        <v>4867</v>
      </c>
      <c r="DCG1017" s="16" t="s">
        <v>4867</v>
      </c>
      <c r="DCH1017" s="16" t="s">
        <v>4867</v>
      </c>
      <c r="DCI1017" s="16" t="s">
        <v>4867</v>
      </c>
      <c r="DCJ1017" s="16" t="s">
        <v>4867</v>
      </c>
      <c r="DCK1017" s="16" t="s">
        <v>4867</v>
      </c>
      <c r="DCL1017" s="16" t="s">
        <v>4867</v>
      </c>
      <c r="DCM1017" s="16" t="s">
        <v>4867</v>
      </c>
      <c r="DCN1017" s="16" t="s">
        <v>4867</v>
      </c>
      <c r="DCO1017" s="16" t="s">
        <v>4867</v>
      </c>
      <c r="DCP1017" s="16" t="s">
        <v>4867</v>
      </c>
      <c r="DCQ1017" s="16" t="s">
        <v>4867</v>
      </c>
      <c r="DCR1017" s="16" t="s">
        <v>4867</v>
      </c>
      <c r="DCS1017" s="16" t="s">
        <v>4867</v>
      </c>
      <c r="DCT1017" s="16" t="s">
        <v>4867</v>
      </c>
      <c r="DCU1017" s="16" t="s">
        <v>4867</v>
      </c>
      <c r="DCV1017" s="16" t="s">
        <v>4867</v>
      </c>
      <c r="DCW1017" s="16" t="s">
        <v>4867</v>
      </c>
      <c r="DCX1017" s="16" t="s">
        <v>4867</v>
      </c>
      <c r="DCY1017" s="16" t="s">
        <v>4867</v>
      </c>
      <c r="DCZ1017" s="16" t="s">
        <v>4867</v>
      </c>
      <c r="DDA1017" s="16" t="s">
        <v>4867</v>
      </c>
      <c r="DDB1017" s="16" t="s">
        <v>4867</v>
      </c>
      <c r="DDC1017" s="16" t="s">
        <v>4867</v>
      </c>
      <c r="DDD1017" s="16" t="s">
        <v>4867</v>
      </c>
      <c r="DDE1017" s="16" t="s">
        <v>4867</v>
      </c>
      <c r="DDF1017" s="16" t="s">
        <v>4867</v>
      </c>
      <c r="DDG1017" s="16" t="s">
        <v>4867</v>
      </c>
      <c r="DDH1017" s="16" t="s">
        <v>4867</v>
      </c>
      <c r="DDI1017" s="16" t="s">
        <v>4867</v>
      </c>
      <c r="DDJ1017" s="16" t="s">
        <v>4867</v>
      </c>
      <c r="DDK1017" s="16" t="s">
        <v>4867</v>
      </c>
      <c r="DDL1017" s="16" t="s">
        <v>4867</v>
      </c>
      <c r="DDM1017" s="16" t="s">
        <v>4867</v>
      </c>
      <c r="DDN1017" s="16" t="s">
        <v>4867</v>
      </c>
      <c r="DDO1017" s="16" t="s">
        <v>4867</v>
      </c>
      <c r="DDP1017" s="16" t="s">
        <v>4867</v>
      </c>
      <c r="DDQ1017" s="16" t="s">
        <v>4867</v>
      </c>
      <c r="DDR1017" s="16" t="s">
        <v>4867</v>
      </c>
      <c r="DDS1017" s="16" t="s">
        <v>4867</v>
      </c>
      <c r="DDT1017" s="16" t="s">
        <v>4867</v>
      </c>
      <c r="DDU1017" s="16" t="s">
        <v>4867</v>
      </c>
      <c r="DDV1017" s="16" t="s">
        <v>4867</v>
      </c>
      <c r="DDW1017" s="16" t="s">
        <v>4867</v>
      </c>
      <c r="DDX1017" s="16" t="s">
        <v>4867</v>
      </c>
      <c r="DDY1017" s="16" t="s">
        <v>4867</v>
      </c>
      <c r="DDZ1017" s="16" t="s">
        <v>4867</v>
      </c>
      <c r="DEA1017" s="16" t="s">
        <v>4867</v>
      </c>
      <c r="DEB1017" s="16" t="s">
        <v>4867</v>
      </c>
      <c r="DEC1017" s="16" t="s">
        <v>4867</v>
      </c>
      <c r="DED1017" s="16" t="s">
        <v>4867</v>
      </c>
      <c r="DEE1017" s="16" t="s">
        <v>4867</v>
      </c>
      <c r="DEF1017" s="16" t="s">
        <v>4867</v>
      </c>
      <c r="DEG1017" s="16" t="s">
        <v>4867</v>
      </c>
      <c r="DEH1017" s="16" t="s">
        <v>4867</v>
      </c>
      <c r="DEI1017" s="16" t="s">
        <v>4867</v>
      </c>
      <c r="DEJ1017" s="16" t="s">
        <v>4867</v>
      </c>
      <c r="DEK1017" s="16" t="s">
        <v>4867</v>
      </c>
      <c r="DEL1017" s="16" t="s">
        <v>4867</v>
      </c>
      <c r="DEM1017" s="16" t="s">
        <v>4867</v>
      </c>
      <c r="DEN1017" s="16" t="s">
        <v>4867</v>
      </c>
      <c r="DEO1017" s="16" t="s">
        <v>4867</v>
      </c>
      <c r="DEP1017" s="16" t="s">
        <v>4867</v>
      </c>
      <c r="DEQ1017" s="16" t="s">
        <v>4867</v>
      </c>
      <c r="DER1017" s="16" t="s">
        <v>4867</v>
      </c>
      <c r="DES1017" s="16" t="s">
        <v>4867</v>
      </c>
      <c r="DET1017" s="16" t="s">
        <v>4867</v>
      </c>
      <c r="DEU1017" s="16" t="s">
        <v>4867</v>
      </c>
      <c r="DEV1017" s="16" t="s">
        <v>4867</v>
      </c>
      <c r="DEW1017" s="16" t="s">
        <v>4867</v>
      </c>
      <c r="DEX1017" s="16" t="s">
        <v>4867</v>
      </c>
      <c r="DEY1017" s="16" t="s">
        <v>4867</v>
      </c>
      <c r="DEZ1017" s="16" t="s">
        <v>4867</v>
      </c>
      <c r="DFA1017" s="16" t="s">
        <v>4867</v>
      </c>
      <c r="DFB1017" s="16" t="s">
        <v>4867</v>
      </c>
      <c r="DFC1017" s="16" t="s">
        <v>4867</v>
      </c>
      <c r="DFD1017" s="16" t="s">
        <v>4867</v>
      </c>
      <c r="DFE1017" s="16" t="s">
        <v>4867</v>
      </c>
      <c r="DFF1017" s="16" t="s">
        <v>4867</v>
      </c>
      <c r="DFG1017" s="16" t="s">
        <v>4867</v>
      </c>
      <c r="DFH1017" s="16" t="s">
        <v>4867</v>
      </c>
      <c r="DFI1017" s="16" t="s">
        <v>4867</v>
      </c>
      <c r="DFJ1017" s="16" t="s">
        <v>4867</v>
      </c>
      <c r="DFK1017" s="16" t="s">
        <v>4867</v>
      </c>
      <c r="DFL1017" s="16" t="s">
        <v>4867</v>
      </c>
      <c r="DFM1017" s="16" t="s">
        <v>4867</v>
      </c>
      <c r="DFN1017" s="16" t="s">
        <v>4867</v>
      </c>
      <c r="DFO1017" s="16" t="s">
        <v>4867</v>
      </c>
      <c r="DFP1017" s="16" t="s">
        <v>4867</v>
      </c>
      <c r="DFQ1017" s="16" t="s">
        <v>4867</v>
      </c>
      <c r="DFR1017" s="16" t="s">
        <v>4867</v>
      </c>
      <c r="DFS1017" s="16" t="s">
        <v>4867</v>
      </c>
      <c r="DFT1017" s="16" t="s">
        <v>4867</v>
      </c>
      <c r="DFU1017" s="16" t="s">
        <v>4867</v>
      </c>
      <c r="DFV1017" s="16" t="s">
        <v>4867</v>
      </c>
      <c r="DFW1017" s="16" t="s">
        <v>4867</v>
      </c>
      <c r="DFX1017" s="16" t="s">
        <v>4867</v>
      </c>
      <c r="DFY1017" s="16" t="s">
        <v>4867</v>
      </c>
      <c r="DFZ1017" s="16" t="s">
        <v>4867</v>
      </c>
      <c r="DGA1017" s="16" t="s">
        <v>4867</v>
      </c>
      <c r="DGB1017" s="16" t="s">
        <v>4867</v>
      </c>
      <c r="DGC1017" s="16" t="s">
        <v>4867</v>
      </c>
      <c r="DGD1017" s="16" t="s">
        <v>4867</v>
      </c>
      <c r="DGE1017" s="16" t="s">
        <v>4867</v>
      </c>
      <c r="DGF1017" s="16" t="s">
        <v>4867</v>
      </c>
      <c r="DGG1017" s="16" t="s">
        <v>4867</v>
      </c>
      <c r="DGH1017" s="16" t="s">
        <v>4867</v>
      </c>
      <c r="DGI1017" s="16" t="s">
        <v>4867</v>
      </c>
      <c r="DGJ1017" s="16" t="s">
        <v>4867</v>
      </c>
      <c r="DGK1017" s="16" t="s">
        <v>4867</v>
      </c>
      <c r="DGL1017" s="16" t="s">
        <v>4867</v>
      </c>
      <c r="DGM1017" s="16" t="s">
        <v>4867</v>
      </c>
      <c r="DGN1017" s="16" t="s">
        <v>4867</v>
      </c>
      <c r="DGO1017" s="16" t="s">
        <v>4867</v>
      </c>
      <c r="DGP1017" s="16" t="s">
        <v>4867</v>
      </c>
      <c r="DGQ1017" s="16" t="s">
        <v>4867</v>
      </c>
      <c r="DGR1017" s="16" t="s">
        <v>4867</v>
      </c>
      <c r="DGS1017" s="16" t="s">
        <v>4867</v>
      </c>
      <c r="DGT1017" s="16" t="s">
        <v>4867</v>
      </c>
      <c r="DGU1017" s="16" t="s">
        <v>4867</v>
      </c>
      <c r="DGV1017" s="16" t="s">
        <v>4867</v>
      </c>
      <c r="DGW1017" s="16" t="s">
        <v>4867</v>
      </c>
      <c r="DGX1017" s="16" t="s">
        <v>4867</v>
      </c>
      <c r="DGY1017" s="16" t="s">
        <v>4867</v>
      </c>
      <c r="DGZ1017" s="16" t="s">
        <v>4867</v>
      </c>
      <c r="DHA1017" s="16" t="s">
        <v>4867</v>
      </c>
      <c r="DHB1017" s="16" t="s">
        <v>4867</v>
      </c>
      <c r="DHC1017" s="16" t="s">
        <v>4867</v>
      </c>
      <c r="DHD1017" s="16" t="s">
        <v>4867</v>
      </c>
      <c r="DHE1017" s="16" t="s">
        <v>4867</v>
      </c>
      <c r="DHF1017" s="16" t="s">
        <v>4867</v>
      </c>
      <c r="DHG1017" s="16" t="s">
        <v>4867</v>
      </c>
      <c r="DHH1017" s="16" t="s">
        <v>4867</v>
      </c>
      <c r="DHI1017" s="16" t="s">
        <v>4867</v>
      </c>
      <c r="DHJ1017" s="16" t="s">
        <v>4867</v>
      </c>
      <c r="DHK1017" s="16" t="s">
        <v>4867</v>
      </c>
      <c r="DHL1017" s="16" t="s">
        <v>4867</v>
      </c>
      <c r="DHM1017" s="16" t="s">
        <v>4867</v>
      </c>
      <c r="DHN1017" s="16" t="s">
        <v>4867</v>
      </c>
      <c r="DHO1017" s="16" t="s">
        <v>4867</v>
      </c>
      <c r="DHP1017" s="16" t="s">
        <v>4867</v>
      </c>
      <c r="DHQ1017" s="16" t="s">
        <v>4867</v>
      </c>
      <c r="DHR1017" s="16" t="s">
        <v>4867</v>
      </c>
      <c r="DHS1017" s="16" t="s">
        <v>4867</v>
      </c>
      <c r="DHT1017" s="16" t="s">
        <v>4867</v>
      </c>
      <c r="DHU1017" s="16" t="s">
        <v>4867</v>
      </c>
      <c r="DHV1017" s="16" t="s">
        <v>4867</v>
      </c>
      <c r="DHW1017" s="16" t="s">
        <v>4867</v>
      </c>
      <c r="DHX1017" s="16" t="s">
        <v>4867</v>
      </c>
      <c r="DHY1017" s="16" t="s">
        <v>4867</v>
      </c>
      <c r="DHZ1017" s="16" t="s">
        <v>4867</v>
      </c>
      <c r="DIA1017" s="16" t="s">
        <v>4867</v>
      </c>
      <c r="DIB1017" s="16" t="s">
        <v>4867</v>
      </c>
      <c r="DIC1017" s="16" t="s">
        <v>4867</v>
      </c>
      <c r="DID1017" s="16" t="s">
        <v>4867</v>
      </c>
      <c r="DIE1017" s="16" t="s">
        <v>4867</v>
      </c>
      <c r="DIF1017" s="16" t="s">
        <v>4867</v>
      </c>
      <c r="DIG1017" s="16" t="s">
        <v>4867</v>
      </c>
      <c r="DIH1017" s="16" t="s">
        <v>4867</v>
      </c>
      <c r="DII1017" s="16" t="s">
        <v>4867</v>
      </c>
      <c r="DIJ1017" s="16" t="s">
        <v>4867</v>
      </c>
      <c r="DIK1017" s="16" t="s">
        <v>4867</v>
      </c>
      <c r="DIL1017" s="16" t="s">
        <v>4867</v>
      </c>
      <c r="DIM1017" s="16" t="s">
        <v>4867</v>
      </c>
      <c r="DIN1017" s="16" t="s">
        <v>4867</v>
      </c>
      <c r="DIO1017" s="16" t="s">
        <v>4867</v>
      </c>
      <c r="DIP1017" s="16" t="s">
        <v>4867</v>
      </c>
      <c r="DIQ1017" s="16" t="s">
        <v>4867</v>
      </c>
      <c r="DIR1017" s="16" t="s">
        <v>4867</v>
      </c>
      <c r="DIS1017" s="16" t="s">
        <v>4867</v>
      </c>
      <c r="DIT1017" s="16" t="s">
        <v>4867</v>
      </c>
      <c r="DIU1017" s="16" t="s">
        <v>4867</v>
      </c>
      <c r="DIV1017" s="16" t="s">
        <v>4867</v>
      </c>
      <c r="DIW1017" s="16" t="s">
        <v>4867</v>
      </c>
      <c r="DIX1017" s="16" t="s">
        <v>4867</v>
      </c>
      <c r="DIY1017" s="16" t="s">
        <v>4867</v>
      </c>
      <c r="DIZ1017" s="16" t="s">
        <v>4867</v>
      </c>
      <c r="DJA1017" s="16" t="s">
        <v>4867</v>
      </c>
      <c r="DJB1017" s="16" t="s">
        <v>4867</v>
      </c>
      <c r="DJC1017" s="16" t="s">
        <v>4867</v>
      </c>
      <c r="DJD1017" s="16" t="s">
        <v>4867</v>
      </c>
      <c r="DJE1017" s="16" t="s">
        <v>4867</v>
      </c>
      <c r="DJF1017" s="16" t="s">
        <v>4867</v>
      </c>
      <c r="DJG1017" s="16" t="s">
        <v>4867</v>
      </c>
      <c r="DJH1017" s="16" t="s">
        <v>4867</v>
      </c>
      <c r="DJI1017" s="16" t="s">
        <v>4867</v>
      </c>
      <c r="DJJ1017" s="16" t="s">
        <v>4867</v>
      </c>
      <c r="DJK1017" s="16" t="s">
        <v>4867</v>
      </c>
      <c r="DJL1017" s="16" t="s">
        <v>4867</v>
      </c>
      <c r="DJM1017" s="16" t="s">
        <v>4867</v>
      </c>
      <c r="DJN1017" s="16" t="s">
        <v>4867</v>
      </c>
      <c r="DJO1017" s="16" t="s">
        <v>4867</v>
      </c>
      <c r="DJP1017" s="16" t="s">
        <v>4867</v>
      </c>
      <c r="DJQ1017" s="16" t="s">
        <v>4867</v>
      </c>
      <c r="DJR1017" s="16" t="s">
        <v>4867</v>
      </c>
      <c r="DJS1017" s="16" t="s">
        <v>4867</v>
      </c>
      <c r="DJT1017" s="16" t="s">
        <v>4867</v>
      </c>
      <c r="DJU1017" s="16" t="s">
        <v>4867</v>
      </c>
      <c r="DJV1017" s="16" t="s">
        <v>4867</v>
      </c>
      <c r="DJW1017" s="16" t="s">
        <v>4867</v>
      </c>
      <c r="DJX1017" s="16" t="s">
        <v>4867</v>
      </c>
      <c r="DJY1017" s="16" t="s">
        <v>4867</v>
      </c>
      <c r="DJZ1017" s="16" t="s">
        <v>4867</v>
      </c>
      <c r="DKA1017" s="16" t="s">
        <v>4867</v>
      </c>
      <c r="DKB1017" s="16" t="s">
        <v>4867</v>
      </c>
      <c r="DKC1017" s="16" t="s">
        <v>4867</v>
      </c>
      <c r="DKD1017" s="16" t="s">
        <v>4867</v>
      </c>
      <c r="DKE1017" s="16" t="s">
        <v>4867</v>
      </c>
      <c r="DKF1017" s="16" t="s">
        <v>4867</v>
      </c>
      <c r="DKG1017" s="16" t="s">
        <v>4867</v>
      </c>
      <c r="DKH1017" s="16" t="s">
        <v>4867</v>
      </c>
      <c r="DKI1017" s="16" t="s">
        <v>4867</v>
      </c>
      <c r="DKJ1017" s="16" t="s">
        <v>4867</v>
      </c>
      <c r="DKK1017" s="16" t="s">
        <v>4867</v>
      </c>
      <c r="DKL1017" s="16" t="s">
        <v>4867</v>
      </c>
      <c r="DKM1017" s="16" t="s">
        <v>4867</v>
      </c>
      <c r="DKN1017" s="16" t="s">
        <v>4867</v>
      </c>
      <c r="DKO1017" s="16" t="s">
        <v>4867</v>
      </c>
      <c r="DKP1017" s="16" t="s">
        <v>4867</v>
      </c>
      <c r="DKQ1017" s="16" t="s">
        <v>4867</v>
      </c>
      <c r="DKR1017" s="16" t="s">
        <v>4867</v>
      </c>
      <c r="DKS1017" s="16" t="s">
        <v>4867</v>
      </c>
      <c r="DKT1017" s="16" t="s">
        <v>4867</v>
      </c>
      <c r="DKU1017" s="16" t="s">
        <v>4867</v>
      </c>
      <c r="DKV1017" s="16" t="s">
        <v>4867</v>
      </c>
      <c r="DKW1017" s="16" t="s">
        <v>4867</v>
      </c>
      <c r="DKX1017" s="16" t="s">
        <v>4867</v>
      </c>
      <c r="DKY1017" s="16" t="s">
        <v>4867</v>
      </c>
      <c r="DKZ1017" s="16" t="s">
        <v>4867</v>
      </c>
      <c r="DLA1017" s="16" t="s">
        <v>4867</v>
      </c>
      <c r="DLB1017" s="16" t="s">
        <v>4867</v>
      </c>
      <c r="DLC1017" s="16" t="s">
        <v>4867</v>
      </c>
      <c r="DLD1017" s="16" t="s">
        <v>4867</v>
      </c>
      <c r="DLE1017" s="16" t="s">
        <v>4867</v>
      </c>
      <c r="DLF1017" s="16" t="s">
        <v>4867</v>
      </c>
      <c r="DLG1017" s="16" t="s">
        <v>4867</v>
      </c>
      <c r="DLH1017" s="16" t="s">
        <v>4867</v>
      </c>
      <c r="DLI1017" s="16" t="s">
        <v>4867</v>
      </c>
      <c r="DLJ1017" s="16" t="s">
        <v>4867</v>
      </c>
      <c r="DLK1017" s="16" t="s">
        <v>4867</v>
      </c>
      <c r="DLL1017" s="16" t="s">
        <v>4867</v>
      </c>
      <c r="DLM1017" s="16" t="s">
        <v>4867</v>
      </c>
      <c r="DLN1017" s="16" t="s">
        <v>4867</v>
      </c>
      <c r="DLO1017" s="16" t="s">
        <v>4867</v>
      </c>
      <c r="DLP1017" s="16" t="s">
        <v>4867</v>
      </c>
      <c r="DLQ1017" s="16" t="s">
        <v>4867</v>
      </c>
      <c r="DLR1017" s="16" t="s">
        <v>4867</v>
      </c>
      <c r="DLS1017" s="16" t="s">
        <v>4867</v>
      </c>
      <c r="DLT1017" s="16" t="s">
        <v>4867</v>
      </c>
      <c r="DLU1017" s="16" t="s">
        <v>4867</v>
      </c>
      <c r="DLV1017" s="16" t="s">
        <v>4867</v>
      </c>
      <c r="DLW1017" s="16" t="s">
        <v>4867</v>
      </c>
      <c r="DLX1017" s="16" t="s">
        <v>4867</v>
      </c>
      <c r="DLY1017" s="16" t="s">
        <v>4867</v>
      </c>
      <c r="DLZ1017" s="16" t="s">
        <v>4867</v>
      </c>
      <c r="DMA1017" s="16" t="s">
        <v>4867</v>
      </c>
      <c r="DMB1017" s="16" t="s">
        <v>4867</v>
      </c>
      <c r="DMC1017" s="16" t="s">
        <v>4867</v>
      </c>
      <c r="DMD1017" s="16" t="s">
        <v>4867</v>
      </c>
      <c r="DME1017" s="16" t="s">
        <v>4867</v>
      </c>
      <c r="DMF1017" s="16" t="s">
        <v>4867</v>
      </c>
      <c r="DMG1017" s="16" t="s">
        <v>4867</v>
      </c>
      <c r="DMH1017" s="16" t="s">
        <v>4867</v>
      </c>
      <c r="DMI1017" s="16" t="s">
        <v>4867</v>
      </c>
      <c r="DMJ1017" s="16" t="s">
        <v>4867</v>
      </c>
      <c r="DMK1017" s="16" t="s">
        <v>4867</v>
      </c>
      <c r="DML1017" s="16" t="s">
        <v>4867</v>
      </c>
      <c r="DMM1017" s="16" t="s">
        <v>4867</v>
      </c>
      <c r="DMN1017" s="16" t="s">
        <v>4867</v>
      </c>
      <c r="DMO1017" s="16" t="s">
        <v>4867</v>
      </c>
      <c r="DMP1017" s="16" t="s">
        <v>4867</v>
      </c>
      <c r="DMQ1017" s="16" t="s">
        <v>4867</v>
      </c>
      <c r="DMR1017" s="16" t="s">
        <v>4867</v>
      </c>
      <c r="DMS1017" s="16" t="s">
        <v>4867</v>
      </c>
      <c r="DMT1017" s="16" t="s">
        <v>4867</v>
      </c>
      <c r="DMU1017" s="16" t="s">
        <v>4867</v>
      </c>
      <c r="DMV1017" s="16" t="s">
        <v>4867</v>
      </c>
      <c r="DMW1017" s="16" t="s">
        <v>4867</v>
      </c>
      <c r="DMX1017" s="16" t="s">
        <v>4867</v>
      </c>
      <c r="DMY1017" s="16" t="s">
        <v>4867</v>
      </c>
      <c r="DMZ1017" s="16" t="s">
        <v>4867</v>
      </c>
      <c r="DNA1017" s="16" t="s">
        <v>4867</v>
      </c>
      <c r="DNB1017" s="16" t="s">
        <v>4867</v>
      </c>
      <c r="DNC1017" s="16" t="s">
        <v>4867</v>
      </c>
      <c r="DND1017" s="16" t="s">
        <v>4867</v>
      </c>
      <c r="DNE1017" s="16" t="s">
        <v>4867</v>
      </c>
      <c r="DNF1017" s="16" t="s">
        <v>4867</v>
      </c>
      <c r="DNG1017" s="16" t="s">
        <v>4867</v>
      </c>
      <c r="DNH1017" s="16" t="s">
        <v>4867</v>
      </c>
      <c r="DNI1017" s="16" t="s">
        <v>4867</v>
      </c>
      <c r="DNJ1017" s="16" t="s">
        <v>4867</v>
      </c>
      <c r="DNK1017" s="16" t="s">
        <v>4867</v>
      </c>
      <c r="DNL1017" s="16" t="s">
        <v>4867</v>
      </c>
      <c r="DNM1017" s="16" t="s">
        <v>4867</v>
      </c>
      <c r="DNN1017" s="16" t="s">
        <v>4867</v>
      </c>
      <c r="DNO1017" s="16" t="s">
        <v>4867</v>
      </c>
      <c r="DNP1017" s="16" t="s">
        <v>4867</v>
      </c>
      <c r="DNQ1017" s="16" t="s">
        <v>4867</v>
      </c>
      <c r="DNR1017" s="16" t="s">
        <v>4867</v>
      </c>
      <c r="DNS1017" s="16" t="s">
        <v>4867</v>
      </c>
      <c r="DNT1017" s="16" t="s">
        <v>4867</v>
      </c>
      <c r="DNU1017" s="16" t="s">
        <v>4867</v>
      </c>
      <c r="DNV1017" s="16" t="s">
        <v>4867</v>
      </c>
      <c r="DNW1017" s="16" t="s">
        <v>4867</v>
      </c>
      <c r="DNX1017" s="16" t="s">
        <v>4867</v>
      </c>
      <c r="DNY1017" s="16" t="s">
        <v>4867</v>
      </c>
      <c r="DNZ1017" s="16" t="s">
        <v>4867</v>
      </c>
      <c r="DOA1017" s="16" t="s">
        <v>4867</v>
      </c>
      <c r="DOB1017" s="16" t="s">
        <v>4867</v>
      </c>
      <c r="DOC1017" s="16" t="s">
        <v>4867</v>
      </c>
      <c r="DOD1017" s="16" t="s">
        <v>4867</v>
      </c>
      <c r="DOE1017" s="16" t="s">
        <v>4867</v>
      </c>
      <c r="DOF1017" s="16" t="s">
        <v>4867</v>
      </c>
      <c r="DOG1017" s="16" t="s">
        <v>4867</v>
      </c>
      <c r="DOH1017" s="16" t="s">
        <v>4867</v>
      </c>
      <c r="DOI1017" s="16" t="s">
        <v>4867</v>
      </c>
      <c r="DOJ1017" s="16" t="s">
        <v>4867</v>
      </c>
      <c r="DOK1017" s="16" t="s">
        <v>4867</v>
      </c>
      <c r="DOL1017" s="16" t="s">
        <v>4867</v>
      </c>
      <c r="DOM1017" s="16" t="s">
        <v>4867</v>
      </c>
      <c r="DON1017" s="16" t="s">
        <v>4867</v>
      </c>
      <c r="DOO1017" s="16" t="s">
        <v>4867</v>
      </c>
      <c r="DOP1017" s="16" t="s">
        <v>4867</v>
      </c>
      <c r="DOQ1017" s="16" t="s">
        <v>4867</v>
      </c>
      <c r="DOR1017" s="16" t="s">
        <v>4867</v>
      </c>
      <c r="DOS1017" s="16" t="s">
        <v>4867</v>
      </c>
      <c r="DOT1017" s="16" t="s">
        <v>4867</v>
      </c>
      <c r="DOU1017" s="16" t="s">
        <v>4867</v>
      </c>
      <c r="DOV1017" s="16" t="s">
        <v>4867</v>
      </c>
      <c r="DOW1017" s="16" t="s">
        <v>4867</v>
      </c>
      <c r="DOX1017" s="16" t="s">
        <v>4867</v>
      </c>
      <c r="DOY1017" s="16" t="s">
        <v>4867</v>
      </c>
      <c r="DOZ1017" s="16" t="s">
        <v>4867</v>
      </c>
      <c r="DPA1017" s="16" t="s">
        <v>4867</v>
      </c>
      <c r="DPB1017" s="16" t="s">
        <v>4867</v>
      </c>
      <c r="DPC1017" s="16" t="s">
        <v>4867</v>
      </c>
      <c r="DPD1017" s="16" t="s">
        <v>4867</v>
      </c>
      <c r="DPE1017" s="16" t="s">
        <v>4867</v>
      </c>
      <c r="DPF1017" s="16" t="s">
        <v>4867</v>
      </c>
      <c r="DPG1017" s="16" t="s">
        <v>4867</v>
      </c>
      <c r="DPH1017" s="16" t="s">
        <v>4867</v>
      </c>
      <c r="DPI1017" s="16" t="s">
        <v>4867</v>
      </c>
      <c r="DPJ1017" s="16" t="s">
        <v>4867</v>
      </c>
      <c r="DPK1017" s="16" t="s">
        <v>4867</v>
      </c>
      <c r="DPL1017" s="16" t="s">
        <v>4867</v>
      </c>
      <c r="DPM1017" s="16" t="s">
        <v>4867</v>
      </c>
      <c r="DPN1017" s="16" t="s">
        <v>4867</v>
      </c>
      <c r="DPO1017" s="16" t="s">
        <v>4867</v>
      </c>
      <c r="DPP1017" s="16" t="s">
        <v>4867</v>
      </c>
      <c r="DPQ1017" s="16" t="s">
        <v>4867</v>
      </c>
      <c r="DPR1017" s="16" t="s">
        <v>4867</v>
      </c>
      <c r="DPS1017" s="16" t="s">
        <v>4867</v>
      </c>
      <c r="DPT1017" s="16" t="s">
        <v>4867</v>
      </c>
      <c r="DPU1017" s="16" t="s">
        <v>4867</v>
      </c>
      <c r="DPV1017" s="16" t="s">
        <v>4867</v>
      </c>
      <c r="DPW1017" s="16" t="s">
        <v>4867</v>
      </c>
      <c r="DPX1017" s="16" t="s">
        <v>4867</v>
      </c>
      <c r="DPY1017" s="16" t="s">
        <v>4867</v>
      </c>
      <c r="DPZ1017" s="16" t="s">
        <v>4867</v>
      </c>
      <c r="DQA1017" s="16" t="s">
        <v>4867</v>
      </c>
      <c r="DQB1017" s="16" t="s">
        <v>4867</v>
      </c>
      <c r="DQC1017" s="16" t="s">
        <v>4867</v>
      </c>
      <c r="DQD1017" s="16" t="s">
        <v>4867</v>
      </c>
      <c r="DQE1017" s="16" t="s">
        <v>4867</v>
      </c>
      <c r="DQF1017" s="16" t="s">
        <v>4867</v>
      </c>
      <c r="DQG1017" s="16" t="s">
        <v>4867</v>
      </c>
      <c r="DQH1017" s="16" t="s">
        <v>4867</v>
      </c>
      <c r="DQI1017" s="16" t="s">
        <v>4867</v>
      </c>
      <c r="DQJ1017" s="16" t="s">
        <v>4867</v>
      </c>
      <c r="DQK1017" s="16" t="s">
        <v>4867</v>
      </c>
      <c r="DQL1017" s="16" t="s">
        <v>4867</v>
      </c>
      <c r="DQM1017" s="16" t="s">
        <v>4867</v>
      </c>
      <c r="DQN1017" s="16" t="s">
        <v>4867</v>
      </c>
      <c r="DQO1017" s="16" t="s">
        <v>4867</v>
      </c>
      <c r="DQP1017" s="16" t="s">
        <v>4867</v>
      </c>
      <c r="DQQ1017" s="16" t="s">
        <v>4867</v>
      </c>
      <c r="DQR1017" s="16" t="s">
        <v>4867</v>
      </c>
      <c r="DQS1017" s="16" t="s">
        <v>4867</v>
      </c>
      <c r="DQT1017" s="16" t="s">
        <v>4867</v>
      </c>
      <c r="DQU1017" s="16" t="s">
        <v>4867</v>
      </c>
      <c r="DQV1017" s="16" t="s">
        <v>4867</v>
      </c>
      <c r="DQW1017" s="16" t="s">
        <v>4867</v>
      </c>
      <c r="DQX1017" s="16" t="s">
        <v>4867</v>
      </c>
      <c r="DQY1017" s="16" t="s">
        <v>4867</v>
      </c>
      <c r="DQZ1017" s="16" t="s">
        <v>4867</v>
      </c>
      <c r="DRA1017" s="16" t="s">
        <v>4867</v>
      </c>
      <c r="DRB1017" s="16" t="s">
        <v>4867</v>
      </c>
      <c r="DRC1017" s="16" t="s">
        <v>4867</v>
      </c>
      <c r="DRD1017" s="16" t="s">
        <v>4867</v>
      </c>
      <c r="DRE1017" s="16" t="s">
        <v>4867</v>
      </c>
      <c r="DRF1017" s="16" t="s">
        <v>4867</v>
      </c>
      <c r="DRG1017" s="16" t="s">
        <v>4867</v>
      </c>
      <c r="DRH1017" s="16" t="s">
        <v>4867</v>
      </c>
      <c r="DRI1017" s="16" t="s">
        <v>4867</v>
      </c>
      <c r="DRJ1017" s="16" t="s">
        <v>4867</v>
      </c>
      <c r="DRK1017" s="16" t="s">
        <v>4867</v>
      </c>
      <c r="DRL1017" s="16" t="s">
        <v>4867</v>
      </c>
      <c r="DRM1017" s="16" t="s">
        <v>4867</v>
      </c>
      <c r="DRN1017" s="16" t="s">
        <v>4867</v>
      </c>
      <c r="DRO1017" s="16" t="s">
        <v>4867</v>
      </c>
      <c r="DRP1017" s="16" t="s">
        <v>4867</v>
      </c>
      <c r="DRQ1017" s="16" t="s">
        <v>4867</v>
      </c>
      <c r="DRR1017" s="16" t="s">
        <v>4867</v>
      </c>
      <c r="DRS1017" s="16" t="s">
        <v>4867</v>
      </c>
      <c r="DRT1017" s="16" t="s">
        <v>4867</v>
      </c>
      <c r="DRU1017" s="16" t="s">
        <v>4867</v>
      </c>
      <c r="DRV1017" s="16" t="s">
        <v>4867</v>
      </c>
      <c r="DRW1017" s="16" t="s">
        <v>4867</v>
      </c>
      <c r="DRX1017" s="16" t="s">
        <v>4867</v>
      </c>
      <c r="DRY1017" s="16" t="s">
        <v>4867</v>
      </c>
      <c r="DRZ1017" s="16" t="s">
        <v>4867</v>
      </c>
      <c r="DSA1017" s="16" t="s">
        <v>4867</v>
      </c>
      <c r="DSB1017" s="16" t="s">
        <v>4867</v>
      </c>
      <c r="DSC1017" s="16" t="s">
        <v>4867</v>
      </c>
      <c r="DSD1017" s="16" t="s">
        <v>4867</v>
      </c>
      <c r="DSE1017" s="16" t="s">
        <v>4867</v>
      </c>
      <c r="DSF1017" s="16" t="s">
        <v>4867</v>
      </c>
      <c r="DSG1017" s="16" t="s">
        <v>4867</v>
      </c>
      <c r="DSH1017" s="16" t="s">
        <v>4867</v>
      </c>
      <c r="DSI1017" s="16" t="s">
        <v>4867</v>
      </c>
      <c r="DSJ1017" s="16" t="s">
        <v>4867</v>
      </c>
      <c r="DSK1017" s="16" t="s">
        <v>4867</v>
      </c>
      <c r="DSL1017" s="16" t="s">
        <v>4867</v>
      </c>
      <c r="DSM1017" s="16" t="s">
        <v>4867</v>
      </c>
      <c r="DSN1017" s="16" t="s">
        <v>4867</v>
      </c>
      <c r="DSO1017" s="16" t="s">
        <v>4867</v>
      </c>
      <c r="DSP1017" s="16" t="s">
        <v>4867</v>
      </c>
      <c r="DSQ1017" s="16" t="s">
        <v>4867</v>
      </c>
      <c r="DSR1017" s="16" t="s">
        <v>4867</v>
      </c>
      <c r="DSS1017" s="16" t="s">
        <v>4867</v>
      </c>
      <c r="DST1017" s="16" t="s">
        <v>4867</v>
      </c>
      <c r="DSU1017" s="16" t="s">
        <v>4867</v>
      </c>
      <c r="DSV1017" s="16" t="s">
        <v>4867</v>
      </c>
      <c r="DSW1017" s="16" t="s">
        <v>4867</v>
      </c>
      <c r="DSX1017" s="16" t="s">
        <v>4867</v>
      </c>
      <c r="DSY1017" s="16" t="s">
        <v>4867</v>
      </c>
      <c r="DSZ1017" s="16" t="s">
        <v>4867</v>
      </c>
      <c r="DTA1017" s="16" t="s">
        <v>4867</v>
      </c>
      <c r="DTB1017" s="16" t="s">
        <v>4867</v>
      </c>
      <c r="DTC1017" s="16" t="s">
        <v>4867</v>
      </c>
      <c r="DTD1017" s="16" t="s">
        <v>4867</v>
      </c>
      <c r="DTE1017" s="16" t="s">
        <v>4867</v>
      </c>
      <c r="DTF1017" s="16" t="s">
        <v>4867</v>
      </c>
      <c r="DTG1017" s="16" t="s">
        <v>4867</v>
      </c>
      <c r="DTH1017" s="16" t="s">
        <v>4867</v>
      </c>
      <c r="DTI1017" s="16" t="s">
        <v>4867</v>
      </c>
      <c r="DTJ1017" s="16" t="s">
        <v>4867</v>
      </c>
      <c r="DTK1017" s="16" t="s">
        <v>4867</v>
      </c>
      <c r="DTL1017" s="16" t="s">
        <v>4867</v>
      </c>
      <c r="DTM1017" s="16" t="s">
        <v>4867</v>
      </c>
      <c r="DTN1017" s="16" t="s">
        <v>4867</v>
      </c>
      <c r="DTO1017" s="16" t="s">
        <v>4867</v>
      </c>
      <c r="DTP1017" s="16" t="s">
        <v>4867</v>
      </c>
      <c r="DTQ1017" s="16" t="s">
        <v>4867</v>
      </c>
      <c r="DTR1017" s="16" t="s">
        <v>4867</v>
      </c>
      <c r="DTS1017" s="16" t="s">
        <v>4867</v>
      </c>
      <c r="DTT1017" s="16" t="s">
        <v>4867</v>
      </c>
      <c r="DTU1017" s="16" t="s">
        <v>4867</v>
      </c>
      <c r="DTV1017" s="16" t="s">
        <v>4867</v>
      </c>
      <c r="DTW1017" s="16" t="s">
        <v>4867</v>
      </c>
      <c r="DTX1017" s="16" t="s">
        <v>4867</v>
      </c>
      <c r="DTY1017" s="16" t="s">
        <v>4867</v>
      </c>
      <c r="DTZ1017" s="16" t="s">
        <v>4867</v>
      </c>
      <c r="DUA1017" s="16" t="s">
        <v>4867</v>
      </c>
      <c r="DUB1017" s="16" t="s">
        <v>4867</v>
      </c>
      <c r="DUC1017" s="16" t="s">
        <v>4867</v>
      </c>
      <c r="DUD1017" s="16" t="s">
        <v>4867</v>
      </c>
      <c r="DUE1017" s="16" t="s">
        <v>4867</v>
      </c>
      <c r="DUF1017" s="16" t="s">
        <v>4867</v>
      </c>
      <c r="DUG1017" s="16" t="s">
        <v>4867</v>
      </c>
      <c r="DUH1017" s="16" t="s">
        <v>4867</v>
      </c>
      <c r="DUI1017" s="16" t="s">
        <v>4867</v>
      </c>
      <c r="DUJ1017" s="16" t="s">
        <v>4867</v>
      </c>
      <c r="DUK1017" s="16" t="s">
        <v>4867</v>
      </c>
      <c r="DUL1017" s="16" t="s">
        <v>4867</v>
      </c>
      <c r="DUM1017" s="16" t="s">
        <v>4867</v>
      </c>
      <c r="DUN1017" s="16" t="s">
        <v>4867</v>
      </c>
      <c r="DUO1017" s="16" t="s">
        <v>4867</v>
      </c>
      <c r="DUP1017" s="16" t="s">
        <v>4867</v>
      </c>
      <c r="DUQ1017" s="16" t="s">
        <v>4867</v>
      </c>
      <c r="DUR1017" s="16" t="s">
        <v>4867</v>
      </c>
      <c r="DUS1017" s="16" t="s">
        <v>4867</v>
      </c>
      <c r="DUT1017" s="16" t="s">
        <v>4867</v>
      </c>
      <c r="DUU1017" s="16" t="s">
        <v>4867</v>
      </c>
      <c r="DUV1017" s="16" t="s">
        <v>4867</v>
      </c>
      <c r="DUW1017" s="16" t="s">
        <v>4867</v>
      </c>
      <c r="DUX1017" s="16" t="s">
        <v>4867</v>
      </c>
      <c r="DUY1017" s="16" t="s">
        <v>4867</v>
      </c>
      <c r="DUZ1017" s="16" t="s">
        <v>4867</v>
      </c>
      <c r="DVA1017" s="16" t="s">
        <v>4867</v>
      </c>
      <c r="DVB1017" s="16" t="s">
        <v>4867</v>
      </c>
      <c r="DVC1017" s="16" t="s">
        <v>4867</v>
      </c>
      <c r="DVD1017" s="16" t="s">
        <v>4867</v>
      </c>
      <c r="DVE1017" s="16" t="s">
        <v>4867</v>
      </c>
      <c r="DVF1017" s="16" t="s">
        <v>4867</v>
      </c>
      <c r="DVG1017" s="16" t="s">
        <v>4867</v>
      </c>
      <c r="DVH1017" s="16" t="s">
        <v>4867</v>
      </c>
      <c r="DVI1017" s="16" t="s">
        <v>4867</v>
      </c>
      <c r="DVJ1017" s="16" t="s">
        <v>4867</v>
      </c>
      <c r="DVK1017" s="16" t="s">
        <v>4867</v>
      </c>
      <c r="DVL1017" s="16" t="s">
        <v>4867</v>
      </c>
      <c r="DVM1017" s="16" t="s">
        <v>4867</v>
      </c>
      <c r="DVN1017" s="16" t="s">
        <v>4867</v>
      </c>
      <c r="DVO1017" s="16" t="s">
        <v>4867</v>
      </c>
      <c r="DVP1017" s="16" t="s">
        <v>4867</v>
      </c>
      <c r="DVQ1017" s="16" t="s">
        <v>4867</v>
      </c>
      <c r="DVR1017" s="16" t="s">
        <v>4867</v>
      </c>
      <c r="DVS1017" s="16" t="s">
        <v>4867</v>
      </c>
      <c r="DVT1017" s="16" t="s">
        <v>4867</v>
      </c>
      <c r="DVU1017" s="16" t="s">
        <v>4867</v>
      </c>
      <c r="DVV1017" s="16" t="s">
        <v>4867</v>
      </c>
      <c r="DVW1017" s="16" t="s">
        <v>4867</v>
      </c>
      <c r="DVX1017" s="16" t="s">
        <v>4867</v>
      </c>
      <c r="DVY1017" s="16" t="s">
        <v>4867</v>
      </c>
      <c r="DVZ1017" s="16" t="s">
        <v>4867</v>
      </c>
      <c r="DWA1017" s="16" t="s">
        <v>4867</v>
      </c>
      <c r="DWB1017" s="16" t="s">
        <v>4867</v>
      </c>
      <c r="DWC1017" s="16" t="s">
        <v>4867</v>
      </c>
      <c r="DWD1017" s="16" t="s">
        <v>4867</v>
      </c>
      <c r="DWE1017" s="16" t="s">
        <v>4867</v>
      </c>
      <c r="DWF1017" s="16" t="s">
        <v>4867</v>
      </c>
      <c r="DWG1017" s="16" t="s">
        <v>4867</v>
      </c>
      <c r="DWH1017" s="16" t="s">
        <v>4867</v>
      </c>
      <c r="DWI1017" s="16" t="s">
        <v>4867</v>
      </c>
      <c r="DWJ1017" s="16" t="s">
        <v>4867</v>
      </c>
      <c r="DWK1017" s="16" t="s">
        <v>4867</v>
      </c>
      <c r="DWL1017" s="16" t="s">
        <v>4867</v>
      </c>
      <c r="DWM1017" s="16" t="s">
        <v>4867</v>
      </c>
      <c r="DWN1017" s="16" t="s">
        <v>4867</v>
      </c>
      <c r="DWO1017" s="16" t="s">
        <v>4867</v>
      </c>
      <c r="DWP1017" s="16" t="s">
        <v>4867</v>
      </c>
      <c r="DWQ1017" s="16" t="s">
        <v>4867</v>
      </c>
      <c r="DWR1017" s="16" t="s">
        <v>4867</v>
      </c>
      <c r="DWS1017" s="16" t="s">
        <v>4867</v>
      </c>
      <c r="DWT1017" s="16" t="s">
        <v>4867</v>
      </c>
      <c r="DWU1017" s="16" t="s">
        <v>4867</v>
      </c>
      <c r="DWV1017" s="16" t="s">
        <v>4867</v>
      </c>
      <c r="DWW1017" s="16" t="s">
        <v>4867</v>
      </c>
      <c r="DWX1017" s="16" t="s">
        <v>4867</v>
      </c>
      <c r="DWY1017" s="16" t="s">
        <v>4867</v>
      </c>
      <c r="DWZ1017" s="16" t="s">
        <v>4867</v>
      </c>
      <c r="DXA1017" s="16" t="s">
        <v>4867</v>
      </c>
      <c r="DXB1017" s="16" t="s">
        <v>4867</v>
      </c>
      <c r="DXC1017" s="16" t="s">
        <v>4867</v>
      </c>
      <c r="DXD1017" s="16" t="s">
        <v>4867</v>
      </c>
      <c r="DXE1017" s="16" t="s">
        <v>4867</v>
      </c>
      <c r="DXF1017" s="16" t="s">
        <v>4867</v>
      </c>
      <c r="DXG1017" s="16" t="s">
        <v>4867</v>
      </c>
      <c r="DXH1017" s="16" t="s">
        <v>4867</v>
      </c>
      <c r="DXI1017" s="16" t="s">
        <v>4867</v>
      </c>
      <c r="DXJ1017" s="16" t="s">
        <v>4867</v>
      </c>
      <c r="DXK1017" s="16" t="s">
        <v>4867</v>
      </c>
      <c r="DXL1017" s="16" t="s">
        <v>4867</v>
      </c>
      <c r="DXM1017" s="16" t="s">
        <v>4867</v>
      </c>
      <c r="DXN1017" s="16" t="s">
        <v>4867</v>
      </c>
      <c r="DXO1017" s="16" t="s">
        <v>4867</v>
      </c>
      <c r="DXP1017" s="16" t="s">
        <v>4867</v>
      </c>
      <c r="DXQ1017" s="16" t="s">
        <v>4867</v>
      </c>
      <c r="DXR1017" s="16" t="s">
        <v>4867</v>
      </c>
      <c r="DXS1017" s="16" t="s">
        <v>4867</v>
      </c>
      <c r="DXT1017" s="16" t="s">
        <v>4867</v>
      </c>
      <c r="DXU1017" s="16" t="s">
        <v>4867</v>
      </c>
      <c r="DXV1017" s="16" t="s">
        <v>4867</v>
      </c>
      <c r="DXW1017" s="16" t="s">
        <v>4867</v>
      </c>
      <c r="DXX1017" s="16" t="s">
        <v>4867</v>
      </c>
      <c r="DXY1017" s="16" t="s">
        <v>4867</v>
      </c>
      <c r="DXZ1017" s="16" t="s">
        <v>4867</v>
      </c>
      <c r="DYA1017" s="16" t="s">
        <v>4867</v>
      </c>
      <c r="DYB1017" s="16" t="s">
        <v>4867</v>
      </c>
      <c r="DYC1017" s="16" t="s">
        <v>4867</v>
      </c>
      <c r="DYD1017" s="16" t="s">
        <v>4867</v>
      </c>
      <c r="DYE1017" s="16" t="s">
        <v>4867</v>
      </c>
      <c r="DYF1017" s="16" t="s">
        <v>4867</v>
      </c>
      <c r="DYG1017" s="16" t="s">
        <v>4867</v>
      </c>
      <c r="DYH1017" s="16" t="s">
        <v>4867</v>
      </c>
      <c r="DYI1017" s="16" t="s">
        <v>4867</v>
      </c>
      <c r="DYJ1017" s="16" t="s">
        <v>4867</v>
      </c>
      <c r="DYK1017" s="16" t="s">
        <v>4867</v>
      </c>
      <c r="DYL1017" s="16" t="s">
        <v>4867</v>
      </c>
      <c r="DYM1017" s="16" t="s">
        <v>4867</v>
      </c>
      <c r="DYN1017" s="16" t="s">
        <v>4867</v>
      </c>
      <c r="DYO1017" s="16" t="s">
        <v>4867</v>
      </c>
      <c r="DYP1017" s="16" t="s">
        <v>4867</v>
      </c>
      <c r="DYQ1017" s="16" t="s">
        <v>4867</v>
      </c>
      <c r="DYR1017" s="16" t="s">
        <v>4867</v>
      </c>
      <c r="DYS1017" s="16" t="s">
        <v>4867</v>
      </c>
      <c r="DYT1017" s="16" t="s">
        <v>4867</v>
      </c>
      <c r="DYU1017" s="16" t="s">
        <v>4867</v>
      </c>
      <c r="DYV1017" s="16" t="s">
        <v>4867</v>
      </c>
      <c r="DYW1017" s="16" t="s">
        <v>4867</v>
      </c>
      <c r="DYX1017" s="16" t="s">
        <v>4867</v>
      </c>
      <c r="DYY1017" s="16" t="s">
        <v>4867</v>
      </c>
      <c r="DYZ1017" s="16" t="s">
        <v>4867</v>
      </c>
      <c r="DZA1017" s="16" t="s">
        <v>4867</v>
      </c>
      <c r="DZB1017" s="16" t="s">
        <v>4867</v>
      </c>
      <c r="DZC1017" s="16" t="s">
        <v>4867</v>
      </c>
      <c r="DZD1017" s="16" t="s">
        <v>4867</v>
      </c>
      <c r="DZE1017" s="16" t="s">
        <v>4867</v>
      </c>
      <c r="DZF1017" s="16" t="s">
        <v>4867</v>
      </c>
      <c r="DZG1017" s="16" t="s">
        <v>4867</v>
      </c>
      <c r="DZH1017" s="16" t="s">
        <v>4867</v>
      </c>
      <c r="DZI1017" s="16" t="s">
        <v>4867</v>
      </c>
      <c r="DZJ1017" s="16" t="s">
        <v>4867</v>
      </c>
      <c r="DZK1017" s="16" t="s">
        <v>4867</v>
      </c>
      <c r="DZL1017" s="16" t="s">
        <v>4867</v>
      </c>
      <c r="DZM1017" s="16" t="s">
        <v>4867</v>
      </c>
      <c r="DZN1017" s="16" t="s">
        <v>4867</v>
      </c>
      <c r="DZO1017" s="16" t="s">
        <v>4867</v>
      </c>
      <c r="DZP1017" s="16" t="s">
        <v>4867</v>
      </c>
      <c r="DZQ1017" s="16" t="s">
        <v>4867</v>
      </c>
      <c r="DZR1017" s="16" t="s">
        <v>4867</v>
      </c>
      <c r="DZS1017" s="16" t="s">
        <v>4867</v>
      </c>
      <c r="DZT1017" s="16" t="s">
        <v>4867</v>
      </c>
      <c r="DZU1017" s="16" t="s">
        <v>4867</v>
      </c>
      <c r="DZV1017" s="16" t="s">
        <v>4867</v>
      </c>
      <c r="DZW1017" s="16" t="s">
        <v>4867</v>
      </c>
      <c r="DZX1017" s="16" t="s">
        <v>4867</v>
      </c>
      <c r="DZY1017" s="16" t="s">
        <v>4867</v>
      </c>
      <c r="DZZ1017" s="16" t="s">
        <v>4867</v>
      </c>
      <c r="EAA1017" s="16" t="s">
        <v>4867</v>
      </c>
      <c r="EAB1017" s="16" t="s">
        <v>4867</v>
      </c>
      <c r="EAC1017" s="16" t="s">
        <v>4867</v>
      </c>
      <c r="EAD1017" s="16" t="s">
        <v>4867</v>
      </c>
      <c r="EAE1017" s="16" t="s">
        <v>4867</v>
      </c>
      <c r="EAF1017" s="16" t="s">
        <v>4867</v>
      </c>
      <c r="EAG1017" s="16" t="s">
        <v>4867</v>
      </c>
      <c r="EAH1017" s="16" t="s">
        <v>4867</v>
      </c>
      <c r="EAI1017" s="16" t="s">
        <v>4867</v>
      </c>
      <c r="EAJ1017" s="16" t="s">
        <v>4867</v>
      </c>
      <c r="EAK1017" s="16" t="s">
        <v>4867</v>
      </c>
      <c r="EAL1017" s="16" t="s">
        <v>4867</v>
      </c>
      <c r="EAM1017" s="16" t="s">
        <v>4867</v>
      </c>
      <c r="EAN1017" s="16" t="s">
        <v>4867</v>
      </c>
      <c r="EAO1017" s="16" t="s">
        <v>4867</v>
      </c>
      <c r="EAP1017" s="16" t="s">
        <v>4867</v>
      </c>
      <c r="EAQ1017" s="16" t="s">
        <v>4867</v>
      </c>
      <c r="EAR1017" s="16" t="s">
        <v>4867</v>
      </c>
      <c r="EAS1017" s="16" t="s">
        <v>4867</v>
      </c>
      <c r="EAT1017" s="16" t="s">
        <v>4867</v>
      </c>
      <c r="EAU1017" s="16" t="s">
        <v>4867</v>
      </c>
      <c r="EAV1017" s="16" t="s">
        <v>4867</v>
      </c>
      <c r="EAW1017" s="16" t="s">
        <v>4867</v>
      </c>
      <c r="EAX1017" s="16" t="s">
        <v>4867</v>
      </c>
      <c r="EAY1017" s="16" t="s">
        <v>4867</v>
      </c>
      <c r="EAZ1017" s="16" t="s">
        <v>4867</v>
      </c>
      <c r="EBA1017" s="16" t="s">
        <v>4867</v>
      </c>
      <c r="EBB1017" s="16" t="s">
        <v>4867</v>
      </c>
      <c r="EBC1017" s="16" t="s">
        <v>4867</v>
      </c>
      <c r="EBD1017" s="16" t="s">
        <v>4867</v>
      </c>
      <c r="EBE1017" s="16" t="s">
        <v>4867</v>
      </c>
      <c r="EBF1017" s="16" t="s">
        <v>4867</v>
      </c>
      <c r="EBG1017" s="16" t="s">
        <v>4867</v>
      </c>
      <c r="EBH1017" s="16" t="s">
        <v>4867</v>
      </c>
      <c r="EBI1017" s="16" t="s">
        <v>4867</v>
      </c>
      <c r="EBJ1017" s="16" t="s">
        <v>4867</v>
      </c>
      <c r="EBK1017" s="16" t="s">
        <v>4867</v>
      </c>
      <c r="EBL1017" s="16" t="s">
        <v>4867</v>
      </c>
      <c r="EBM1017" s="16" t="s">
        <v>4867</v>
      </c>
      <c r="EBN1017" s="16" t="s">
        <v>4867</v>
      </c>
      <c r="EBO1017" s="16" t="s">
        <v>4867</v>
      </c>
      <c r="EBP1017" s="16" t="s">
        <v>4867</v>
      </c>
      <c r="EBQ1017" s="16" t="s">
        <v>4867</v>
      </c>
      <c r="EBR1017" s="16" t="s">
        <v>4867</v>
      </c>
      <c r="EBS1017" s="16" t="s">
        <v>4867</v>
      </c>
      <c r="EBT1017" s="16" t="s">
        <v>4867</v>
      </c>
      <c r="EBU1017" s="16" t="s">
        <v>4867</v>
      </c>
      <c r="EBV1017" s="16" t="s">
        <v>4867</v>
      </c>
      <c r="EBW1017" s="16" t="s">
        <v>4867</v>
      </c>
      <c r="EBX1017" s="16" t="s">
        <v>4867</v>
      </c>
      <c r="EBY1017" s="16" t="s">
        <v>4867</v>
      </c>
      <c r="EBZ1017" s="16" t="s">
        <v>4867</v>
      </c>
      <c r="ECA1017" s="16" t="s">
        <v>4867</v>
      </c>
      <c r="ECB1017" s="16" t="s">
        <v>4867</v>
      </c>
      <c r="ECC1017" s="16" t="s">
        <v>4867</v>
      </c>
      <c r="ECD1017" s="16" t="s">
        <v>4867</v>
      </c>
      <c r="ECE1017" s="16" t="s">
        <v>4867</v>
      </c>
      <c r="ECF1017" s="16" t="s">
        <v>4867</v>
      </c>
      <c r="ECG1017" s="16" t="s">
        <v>4867</v>
      </c>
      <c r="ECH1017" s="16" t="s">
        <v>4867</v>
      </c>
      <c r="ECI1017" s="16" t="s">
        <v>4867</v>
      </c>
      <c r="ECJ1017" s="16" t="s">
        <v>4867</v>
      </c>
      <c r="ECK1017" s="16" t="s">
        <v>4867</v>
      </c>
      <c r="ECL1017" s="16" t="s">
        <v>4867</v>
      </c>
      <c r="ECM1017" s="16" t="s">
        <v>4867</v>
      </c>
      <c r="ECN1017" s="16" t="s">
        <v>4867</v>
      </c>
      <c r="ECO1017" s="16" t="s">
        <v>4867</v>
      </c>
      <c r="ECP1017" s="16" t="s">
        <v>4867</v>
      </c>
      <c r="ECQ1017" s="16" t="s">
        <v>4867</v>
      </c>
      <c r="ECR1017" s="16" t="s">
        <v>4867</v>
      </c>
      <c r="ECS1017" s="16" t="s">
        <v>4867</v>
      </c>
      <c r="ECT1017" s="16" t="s">
        <v>4867</v>
      </c>
      <c r="ECU1017" s="16" t="s">
        <v>4867</v>
      </c>
      <c r="ECV1017" s="16" t="s">
        <v>4867</v>
      </c>
      <c r="ECW1017" s="16" t="s">
        <v>4867</v>
      </c>
      <c r="ECX1017" s="16" t="s">
        <v>4867</v>
      </c>
      <c r="ECY1017" s="16" t="s">
        <v>4867</v>
      </c>
      <c r="ECZ1017" s="16" t="s">
        <v>4867</v>
      </c>
      <c r="EDA1017" s="16" t="s">
        <v>4867</v>
      </c>
      <c r="EDB1017" s="16" t="s">
        <v>4867</v>
      </c>
      <c r="EDC1017" s="16" t="s">
        <v>4867</v>
      </c>
      <c r="EDD1017" s="16" t="s">
        <v>4867</v>
      </c>
      <c r="EDE1017" s="16" t="s">
        <v>4867</v>
      </c>
      <c r="EDF1017" s="16" t="s">
        <v>4867</v>
      </c>
      <c r="EDG1017" s="16" t="s">
        <v>4867</v>
      </c>
      <c r="EDH1017" s="16" t="s">
        <v>4867</v>
      </c>
      <c r="EDI1017" s="16" t="s">
        <v>4867</v>
      </c>
      <c r="EDJ1017" s="16" t="s">
        <v>4867</v>
      </c>
      <c r="EDK1017" s="16" t="s">
        <v>4867</v>
      </c>
      <c r="EDL1017" s="16" t="s">
        <v>4867</v>
      </c>
      <c r="EDM1017" s="16" t="s">
        <v>4867</v>
      </c>
      <c r="EDN1017" s="16" t="s">
        <v>4867</v>
      </c>
      <c r="EDO1017" s="16" t="s">
        <v>4867</v>
      </c>
      <c r="EDP1017" s="16" t="s">
        <v>4867</v>
      </c>
      <c r="EDQ1017" s="16" t="s">
        <v>4867</v>
      </c>
      <c r="EDR1017" s="16" t="s">
        <v>4867</v>
      </c>
      <c r="EDS1017" s="16" t="s">
        <v>4867</v>
      </c>
      <c r="EDT1017" s="16" t="s">
        <v>4867</v>
      </c>
      <c r="EDU1017" s="16" t="s">
        <v>4867</v>
      </c>
      <c r="EDV1017" s="16" t="s">
        <v>4867</v>
      </c>
      <c r="EDW1017" s="16" t="s">
        <v>4867</v>
      </c>
      <c r="EDX1017" s="16" t="s">
        <v>4867</v>
      </c>
      <c r="EDY1017" s="16" t="s">
        <v>4867</v>
      </c>
      <c r="EDZ1017" s="16" t="s">
        <v>4867</v>
      </c>
      <c r="EEA1017" s="16" t="s">
        <v>4867</v>
      </c>
      <c r="EEB1017" s="16" t="s">
        <v>4867</v>
      </c>
      <c r="EEC1017" s="16" t="s">
        <v>4867</v>
      </c>
      <c r="EED1017" s="16" t="s">
        <v>4867</v>
      </c>
      <c r="EEE1017" s="16" t="s">
        <v>4867</v>
      </c>
      <c r="EEF1017" s="16" t="s">
        <v>4867</v>
      </c>
      <c r="EEG1017" s="16" t="s">
        <v>4867</v>
      </c>
      <c r="EEH1017" s="16" t="s">
        <v>4867</v>
      </c>
      <c r="EEI1017" s="16" t="s">
        <v>4867</v>
      </c>
      <c r="EEJ1017" s="16" t="s">
        <v>4867</v>
      </c>
      <c r="EEK1017" s="16" t="s">
        <v>4867</v>
      </c>
      <c r="EEL1017" s="16" t="s">
        <v>4867</v>
      </c>
      <c r="EEM1017" s="16" t="s">
        <v>4867</v>
      </c>
      <c r="EEN1017" s="16" t="s">
        <v>4867</v>
      </c>
      <c r="EEO1017" s="16" t="s">
        <v>4867</v>
      </c>
      <c r="EEP1017" s="16" t="s">
        <v>4867</v>
      </c>
      <c r="EEQ1017" s="16" t="s">
        <v>4867</v>
      </c>
      <c r="EER1017" s="16" t="s">
        <v>4867</v>
      </c>
      <c r="EES1017" s="16" t="s">
        <v>4867</v>
      </c>
      <c r="EET1017" s="16" t="s">
        <v>4867</v>
      </c>
      <c r="EEU1017" s="16" t="s">
        <v>4867</v>
      </c>
      <c r="EEV1017" s="16" t="s">
        <v>4867</v>
      </c>
      <c r="EEW1017" s="16" t="s">
        <v>4867</v>
      </c>
      <c r="EEX1017" s="16" t="s">
        <v>4867</v>
      </c>
      <c r="EEY1017" s="16" t="s">
        <v>4867</v>
      </c>
      <c r="EEZ1017" s="16" t="s">
        <v>4867</v>
      </c>
      <c r="EFA1017" s="16" t="s">
        <v>4867</v>
      </c>
      <c r="EFB1017" s="16" t="s">
        <v>4867</v>
      </c>
      <c r="EFC1017" s="16" t="s">
        <v>4867</v>
      </c>
      <c r="EFD1017" s="16" t="s">
        <v>4867</v>
      </c>
      <c r="EFE1017" s="16" t="s">
        <v>4867</v>
      </c>
      <c r="EFF1017" s="16" t="s">
        <v>4867</v>
      </c>
      <c r="EFG1017" s="16" t="s">
        <v>4867</v>
      </c>
      <c r="EFH1017" s="16" t="s">
        <v>4867</v>
      </c>
      <c r="EFI1017" s="16" t="s">
        <v>4867</v>
      </c>
      <c r="EFJ1017" s="16" t="s">
        <v>4867</v>
      </c>
      <c r="EFK1017" s="16" t="s">
        <v>4867</v>
      </c>
      <c r="EFL1017" s="16" t="s">
        <v>4867</v>
      </c>
      <c r="EFM1017" s="16" t="s">
        <v>4867</v>
      </c>
      <c r="EFN1017" s="16" t="s">
        <v>4867</v>
      </c>
      <c r="EFO1017" s="16" t="s">
        <v>4867</v>
      </c>
      <c r="EFP1017" s="16" t="s">
        <v>4867</v>
      </c>
      <c r="EFQ1017" s="16" t="s">
        <v>4867</v>
      </c>
      <c r="EFR1017" s="16" t="s">
        <v>4867</v>
      </c>
      <c r="EFS1017" s="16" t="s">
        <v>4867</v>
      </c>
      <c r="EFT1017" s="16" t="s">
        <v>4867</v>
      </c>
      <c r="EFU1017" s="16" t="s">
        <v>4867</v>
      </c>
      <c r="EFV1017" s="16" t="s">
        <v>4867</v>
      </c>
      <c r="EFW1017" s="16" t="s">
        <v>4867</v>
      </c>
      <c r="EFX1017" s="16" t="s">
        <v>4867</v>
      </c>
      <c r="EFY1017" s="16" t="s">
        <v>4867</v>
      </c>
      <c r="EFZ1017" s="16" t="s">
        <v>4867</v>
      </c>
      <c r="EGA1017" s="16" t="s">
        <v>4867</v>
      </c>
      <c r="EGB1017" s="16" t="s">
        <v>4867</v>
      </c>
      <c r="EGC1017" s="16" t="s">
        <v>4867</v>
      </c>
      <c r="EGD1017" s="16" t="s">
        <v>4867</v>
      </c>
      <c r="EGE1017" s="16" t="s">
        <v>4867</v>
      </c>
      <c r="EGF1017" s="16" t="s">
        <v>4867</v>
      </c>
      <c r="EGG1017" s="16" t="s">
        <v>4867</v>
      </c>
      <c r="EGH1017" s="16" t="s">
        <v>4867</v>
      </c>
      <c r="EGI1017" s="16" t="s">
        <v>4867</v>
      </c>
      <c r="EGJ1017" s="16" t="s">
        <v>4867</v>
      </c>
      <c r="EGK1017" s="16" t="s">
        <v>4867</v>
      </c>
      <c r="EGL1017" s="16" t="s">
        <v>4867</v>
      </c>
      <c r="EGM1017" s="16" t="s">
        <v>4867</v>
      </c>
      <c r="EGN1017" s="16" t="s">
        <v>4867</v>
      </c>
      <c r="EGO1017" s="16" t="s">
        <v>4867</v>
      </c>
      <c r="EGP1017" s="16" t="s">
        <v>4867</v>
      </c>
      <c r="EGQ1017" s="16" t="s">
        <v>4867</v>
      </c>
      <c r="EGR1017" s="16" t="s">
        <v>4867</v>
      </c>
      <c r="EGS1017" s="16" t="s">
        <v>4867</v>
      </c>
      <c r="EGT1017" s="16" t="s">
        <v>4867</v>
      </c>
      <c r="EGU1017" s="16" t="s">
        <v>4867</v>
      </c>
      <c r="EGV1017" s="16" t="s">
        <v>4867</v>
      </c>
      <c r="EGW1017" s="16" t="s">
        <v>4867</v>
      </c>
      <c r="EGX1017" s="16" t="s">
        <v>4867</v>
      </c>
      <c r="EGY1017" s="16" t="s">
        <v>4867</v>
      </c>
      <c r="EGZ1017" s="16" t="s">
        <v>4867</v>
      </c>
      <c r="EHA1017" s="16" t="s">
        <v>4867</v>
      </c>
      <c r="EHB1017" s="16" t="s">
        <v>4867</v>
      </c>
      <c r="EHC1017" s="16" t="s">
        <v>4867</v>
      </c>
      <c r="EHD1017" s="16" t="s">
        <v>4867</v>
      </c>
      <c r="EHE1017" s="16" t="s">
        <v>4867</v>
      </c>
      <c r="EHF1017" s="16" t="s">
        <v>4867</v>
      </c>
      <c r="EHG1017" s="16" t="s">
        <v>4867</v>
      </c>
      <c r="EHH1017" s="16" t="s">
        <v>4867</v>
      </c>
      <c r="EHI1017" s="16" t="s">
        <v>4867</v>
      </c>
      <c r="EHJ1017" s="16" t="s">
        <v>4867</v>
      </c>
      <c r="EHK1017" s="16" t="s">
        <v>4867</v>
      </c>
      <c r="EHL1017" s="16" t="s">
        <v>4867</v>
      </c>
      <c r="EHM1017" s="16" t="s">
        <v>4867</v>
      </c>
      <c r="EHN1017" s="16" t="s">
        <v>4867</v>
      </c>
      <c r="EHO1017" s="16" t="s">
        <v>4867</v>
      </c>
      <c r="EHP1017" s="16" t="s">
        <v>4867</v>
      </c>
      <c r="EHQ1017" s="16" t="s">
        <v>4867</v>
      </c>
      <c r="EHR1017" s="16" t="s">
        <v>4867</v>
      </c>
      <c r="EHS1017" s="16" t="s">
        <v>4867</v>
      </c>
      <c r="EHT1017" s="16" t="s">
        <v>4867</v>
      </c>
      <c r="EHU1017" s="16" t="s">
        <v>4867</v>
      </c>
      <c r="EHV1017" s="16" t="s">
        <v>4867</v>
      </c>
      <c r="EHW1017" s="16" t="s">
        <v>4867</v>
      </c>
      <c r="EHX1017" s="16" t="s">
        <v>4867</v>
      </c>
      <c r="EHY1017" s="16" t="s">
        <v>4867</v>
      </c>
      <c r="EHZ1017" s="16" t="s">
        <v>4867</v>
      </c>
      <c r="EIA1017" s="16" t="s">
        <v>4867</v>
      </c>
      <c r="EIB1017" s="16" t="s">
        <v>4867</v>
      </c>
      <c r="EIC1017" s="16" t="s">
        <v>4867</v>
      </c>
      <c r="EID1017" s="16" t="s">
        <v>4867</v>
      </c>
      <c r="EIE1017" s="16" t="s">
        <v>4867</v>
      </c>
      <c r="EIF1017" s="16" t="s">
        <v>4867</v>
      </c>
      <c r="EIG1017" s="16" t="s">
        <v>4867</v>
      </c>
      <c r="EIH1017" s="16" t="s">
        <v>4867</v>
      </c>
      <c r="EII1017" s="16" t="s">
        <v>4867</v>
      </c>
      <c r="EIJ1017" s="16" t="s">
        <v>4867</v>
      </c>
      <c r="EIK1017" s="16" t="s">
        <v>4867</v>
      </c>
      <c r="EIL1017" s="16" t="s">
        <v>4867</v>
      </c>
      <c r="EIM1017" s="16" t="s">
        <v>4867</v>
      </c>
      <c r="EIN1017" s="16" t="s">
        <v>4867</v>
      </c>
      <c r="EIO1017" s="16" t="s">
        <v>4867</v>
      </c>
      <c r="EIP1017" s="16" t="s">
        <v>4867</v>
      </c>
      <c r="EIQ1017" s="16" t="s">
        <v>4867</v>
      </c>
      <c r="EIR1017" s="16" t="s">
        <v>4867</v>
      </c>
      <c r="EIS1017" s="16" t="s">
        <v>4867</v>
      </c>
      <c r="EIT1017" s="16" t="s">
        <v>4867</v>
      </c>
      <c r="EIU1017" s="16" t="s">
        <v>4867</v>
      </c>
      <c r="EIV1017" s="16" t="s">
        <v>4867</v>
      </c>
      <c r="EIW1017" s="16" t="s">
        <v>4867</v>
      </c>
      <c r="EIX1017" s="16" t="s">
        <v>4867</v>
      </c>
      <c r="EIY1017" s="16" t="s">
        <v>4867</v>
      </c>
      <c r="EIZ1017" s="16" t="s">
        <v>4867</v>
      </c>
      <c r="EJA1017" s="16" t="s">
        <v>4867</v>
      </c>
      <c r="EJB1017" s="16" t="s">
        <v>4867</v>
      </c>
      <c r="EJC1017" s="16" t="s">
        <v>4867</v>
      </c>
      <c r="EJD1017" s="16" t="s">
        <v>4867</v>
      </c>
      <c r="EJE1017" s="16" t="s">
        <v>4867</v>
      </c>
      <c r="EJF1017" s="16" t="s">
        <v>4867</v>
      </c>
      <c r="EJG1017" s="16" t="s">
        <v>4867</v>
      </c>
      <c r="EJH1017" s="16" t="s">
        <v>4867</v>
      </c>
      <c r="EJI1017" s="16" t="s">
        <v>4867</v>
      </c>
      <c r="EJJ1017" s="16" t="s">
        <v>4867</v>
      </c>
      <c r="EJK1017" s="16" t="s">
        <v>4867</v>
      </c>
      <c r="EJL1017" s="16" t="s">
        <v>4867</v>
      </c>
      <c r="EJM1017" s="16" t="s">
        <v>4867</v>
      </c>
      <c r="EJN1017" s="16" t="s">
        <v>4867</v>
      </c>
      <c r="EJO1017" s="16" t="s">
        <v>4867</v>
      </c>
      <c r="EJP1017" s="16" t="s">
        <v>4867</v>
      </c>
      <c r="EJQ1017" s="16" t="s">
        <v>4867</v>
      </c>
      <c r="EJR1017" s="16" t="s">
        <v>4867</v>
      </c>
      <c r="EJS1017" s="16" t="s">
        <v>4867</v>
      </c>
      <c r="EJT1017" s="16" t="s">
        <v>4867</v>
      </c>
      <c r="EJU1017" s="16" t="s">
        <v>4867</v>
      </c>
      <c r="EJV1017" s="16" t="s">
        <v>4867</v>
      </c>
      <c r="EJW1017" s="16" t="s">
        <v>4867</v>
      </c>
      <c r="EJX1017" s="16" t="s">
        <v>4867</v>
      </c>
      <c r="EJY1017" s="16" t="s">
        <v>4867</v>
      </c>
      <c r="EJZ1017" s="16" t="s">
        <v>4867</v>
      </c>
      <c r="EKA1017" s="16" t="s">
        <v>4867</v>
      </c>
      <c r="EKB1017" s="16" t="s">
        <v>4867</v>
      </c>
      <c r="EKC1017" s="16" t="s">
        <v>4867</v>
      </c>
      <c r="EKD1017" s="16" t="s">
        <v>4867</v>
      </c>
      <c r="EKE1017" s="16" t="s">
        <v>4867</v>
      </c>
      <c r="EKF1017" s="16" t="s">
        <v>4867</v>
      </c>
      <c r="EKG1017" s="16" t="s">
        <v>4867</v>
      </c>
      <c r="EKH1017" s="16" t="s">
        <v>4867</v>
      </c>
      <c r="EKI1017" s="16" t="s">
        <v>4867</v>
      </c>
      <c r="EKJ1017" s="16" t="s">
        <v>4867</v>
      </c>
      <c r="EKK1017" s="16" t="s">
        <v>4867</v>
      </c>
      <c r="EKL1017" s="16" t="s">
        <v>4867</v>
      </c>
      <c r="EKM1017" s="16" t="s">
        <v>4867</v>
      </c>
      <c r="EKN1017" s="16" t="s">
        <v>4867</v>
      </c>
      <c r="EKO1017" s="16" t="s">
        <v>4867</v>
      </c>
      <c r="EKP1017" s="16" t="s">
        <v>4867</v>
      </c>
      <c r="EKQ1017" s="16" t="s">
        <v>4867</v>
      </c>
      <c r="EKR1017" s="16" t="s">
        <v>4867</v>
      </c>
      <c r="EKS1017" s="16" t="s">
        <v>4867</v>
      </c>
      <c r="EKT1017" s="16" t="s">
        <v>4867</v>
      </c>
      <c r="EKU1017" s="16" t="s">
        <v>4867</v>
      </c>
      <c r="EKV1017" s="16" t="s">
        <v>4867</v>
      </c>
      <c r="EKW1017" s="16" t="s">
        <v>4867</v>
      </c>
      <c r="EKX1017" s="16" t="s">
        <v>4867</v>
      </c>
      <c r="EKY1017" s="16" t="s">
        <v>4867</v>
      </c>
      <c r="EKZ1017" s="16" t="s">
        <v>4867</v>
      </c>
      <c r="ELA1017" s="16" t="s">
        <v>4867</v>
      </c>
      <c r="ELB1017" s="16" t="s">
        <v>4867</v>
      </c>
      <c r="ELC1017" s="16" t="s">
        <v>4867</v>
      </c>
      <c r="ELD1017" s="16" t="s">
        <v>4867</v>
      </c>
      <c r="ELE1017" s="16" t="s">
        <v>4867</v>
      </c>
      <c r="ELF1017" s="16" t="s">
        <v>4867</v>
      </c>
      <c r="ELG1017" s="16" t="s">
        <v>4867</v>
      </c>
      <c r="ELH1017" s="16" t="s">
        <v>4867</v>
      </c>
      <c r="ELI1017" s="16" t="s">
        <v>4867</v>
      </c>
      <c r="ELJ1017" s="16" t="s">
        <v>4867</v>
      </c>
      <c r="ELK1017" s="16" t="s">
        <v>4867</v>
      </c>
      <c r="ELL1017" s="16" t="s">
        <v>4867</v>
      </c>
      <c r="ELM1017" s="16" t="s">
        <v>4867</v>
      </c>
      <c r="ELN1017" s="16" t="s">
        <v>4867</v>
      </c>
      <c r="ELO1017" s="16" t="s">
        <v>4867</v>
      </c>
      <c r="ELP1017" s="16" t="s">
        <v>4867</v>
      </c>
      <c r="ELQ1017" s="16" t="s">
        <v>4867</v>
      </c>
      <c r="ELR1017" s="16" t="s">
        <v>4867</v>
      </c>
      <c r="ELS1017" s="16" t="s">
        <v>4867</v>
      </c>
      <c r="ELT1017" s="16" t="s">
        <v>4867</v>
      </c>
      <c r="ELU1017" s="16" t="s">
        <v>4867</v>
      </c>
      <c r="ELV1017" s="16" t="s">
        <v>4867</v>
      </c>
      <c r="ELW1017" s="16" t="s">
        <v>4867</v>
      </c>
      <c r="ELX1017" s="16" t="s">
        <v>4867</v>
      </c>
      <c r="ELY1017" s="16" t="s">
        <v>4867</v>
      </c>
      <c r="ELZ1017" s="16" t="s">
        <v>4867</v>
      </c>
      <c r="EMA1017" s="16" t="s">
        <v>4867</v>
      </c>
      <c r="EMB1017" s="16" t="s">
        <v>4867</v>
      </c>
      <c r="EMC1017" s="16" t="s">
        <v>4867</v>
      </c>
      <c r="EMD1017" s="16" t="s">
        <v>4867</v>
      </c>
      <c r="EME1017" s="16" t="s">
        <v>4867</v>
      </c>
      <c r="EMF1017" s="16" t="s">
        <v>4867</v>
      </c>
      <c r="EMG1017" s="16" t="s">
        <v>4867</v>
      </c>
      <c r="EMH1017" s="16" t="s">
        <v>4867</v>
      </c>
      <c r="EMI1017" s="16" t="s">
        <v>4867</v>
      </c>
      <c r="EMJ1017" s="16" t="s">
        <v>4867</v>
      </c>
      <c r="EMK1017" s="16" t="s">
        <v>4867</v>
      </c>
      <c r="EML1017" s="16" t="s">
        <v>4867</v>
      </c>
      <c r="EMM1017" s="16" t="s">
        <v>4867</v>
      </c>
      <c r="EMN1017" s="16" t="s">
        <v>4867</v>
      </c>
      <c r="EMO1017" s="16" t="s">
        <v>4867</v>
      </c>
      <c r="EMP1017" s="16" t="s">
        <v>4867</v>
      </c>
      <c r="EMQ1017" s="16" t="s">
        <v>4867</v>
      </c>
      <c r="EMR1017" s="16" t="s">
        <v>4867</v>
      </c>
      <c r="EMS1017" s="16" t="s">
        <v>4867</v>
      </c>
      <c r="EMT1017" s="16" t="s">
        <v>4867</v>
      </c>
      <c r="EMU1017" s="16" t="s">
        <v>4867</v>
      </c>
      <c r="EMV1017" s="16" t="s">
        <v>4867</v>
      </c>
      <c r="EMW1017" s="16" t="s">
        <v>4867</v>
      </c>
      <c r="EMX1017" s="16" t="s">
        <v>4867</v>
      </c>
      <c r="EMY1017" s="16" t="s">
        <v>4867</v>
      </c>
      <c r="EMZ1017" s="16" t="s">
        <v>4867</v>
      </c>
      <c r="ENA1017" s="16" t="s">
        <v>4867</v>
      </c>
      <c r="ENB1017" s="16" t="s">
        <v>4867</v>
      </c>
      <c r="ENC1017" s="16" t="s">
        <v>4867</v>
      </c>
      <c r="END1017" s="16" t="s">
        <v>4867</v>
      </c>
      <c r="ENE1017" s="16" t="s">
        <v>4867</v>
      </c>
      <c r="ENF1017" s="16" t="s">
        <v>4867</v>
      </c>
      <c r="ENG1017" s="16" t="s">
        <v>4867</v>
      </c>
      <c r="ENH1017" s="16" t="s">
        <v>4867</v>
      </c>
      <c r="ENI1017" s="16" t="s">
        <v>4867</v>
      </c>
      <c r="ENJ1017" s="16" t="s">
        <v>4867</v>
      </c>
      <c r="ENK1017" s="16" t="s">
        <v>4867</v>
      </c>
      <c r="ENL1017" s="16" t="s">
        <v>4867</v>
      </c>
      <c r="ENM1017" s="16" t="s">
        <v>4867</v>
      </c>
      <c r="ENN1017" s="16" t="s">
        <v>4867</v>
      </c>
      <c r="ENO1017" s="16" t="s">
        <v>4867</v>
      </c>
      <c r="ENP1017" s="16" t="s">
        <v>4867</v>
      </c>
      <c r="ENQ1017" s="16" t="s">
        <v>4867</v>
      </c>
      <c r="ENR1017" s="16" t="s">
        <v>4867</v>
      </c>
      <c r="ENS1017" s="16" t="s">
        <v>4867</v>
      </c>
      <c r="ENT1017" s="16" t="s">
        <v>4867</v>
      </c>
      <c r="ENU1017" s="16" t="s">
        <v>4867</v>
      </c>
      <c r="ENV1017" s="16" t="s">
        <v>4867</v>
      </c>
      <c r="ENW1017" s="16" t="s">
        <v>4867</v>
      </c>
      <c r="ENX1017" s="16" t="s">
        <v>4867</v>
      </c>
      <c r="ENY1017" s="16" t="s">
        <v>4867</v>
      </c>
      <c r="ENZ1017" s="16" t="s">
        <v>4867</v>
      </c>
      <c r="EOA1017" s="16" t="s">
        <v>4867</v>
      </c>
      <c r="EOB1017" s="16" t="s">
        <v>4867</v>
      </c>
      <c r="EOC1017" s="16" t="s">
        <v>4867</v>
      </c>
      <c r="EOD1017" s="16" t="s">
        <v>4867</v>
      </c>
      <c r="EOE1017" s="16" t="s">
        <v>4867</v>
      </c>
      <c r="EOF1017" s="16" t="s">
        <v>4867</v>
      </c>
      <c r="EOG1017" s="16" t="s">
        <v>4867</v>
      </c>
      <c r="EOH1017" s="16" t="s">
        <v>4867</v>
      </c>
      <c r="EOI1017" s="16" t="s">
        <v>4867</v>
      </c>
      <c r="EOJ1017" s="16" t="s">
        <v>4867</v>
      </c>
      <c r="EOK1017" s="16" t="s">
        <v>4867</v>
      </c>
      <c r="EOL1017" s="16" t="s">
        <v>4867</v>
      </c>
      <c r="EOM1017" s="16" t="s">
        <v>4867</v>
      </c>
      <c r="EON1017" s="16" t="s">
        <v>4867</v>
      </c>
      <c r="EOO1017" s="16" t="s">
        <v>4867</v>
      </c>
      <c r="EOP1017" s="16" t="s">
        <v>4867</v>
      </c>
      <c r="EOQ1017" s="16" t="s">
        <v>4867</v>
      </c>
      <c r="EOR1017" s="16" t="s">
        <v>4867</v>
      </c>
      <c r="EOS1017" s="16" t="s">
        <v>4867</v>
      </c>
      <c r="EOT1017" s="16" t="s">
        <v>4867</v>
      </c>
      <c r="EOU1017" s="16" t="s">
        <v>4867</v>
      </c>
      <c r="EOV1017" s="16" t="s">
        <v>4867</v>
      </c>
      <c r="EOW1017" s="16" t="s">
        <v>4867</v>
      </c>
      <c r="EOX1017" s="16" t="s">
        <v>4867</v>
      </c>
      <c r="EOY1017" s="16" t="s">
        <v>4867</v>
      </c>
      <c r="EOZ1017" s="16" t="s">
        <v>4867</v>
      </c>
      <c r="EPA1017" s="16" t="s">
        <v>4867</v>
      </c>
      <c r="EPB1017" s="16" t="s">
        <v>4867</v>
      </c>
      <c r="EPC1017" s="16" t="s">
        <v>4867</v>
      </c>
      <c r="EPD1017" s="16" t="s">
        <v>4867</v>
      </c>
      <c r="EPE1017" s="16" t="s">
        <v>4867</v>
      </c>
      <c r="EPF1017" s="16" t="s">
        <v>4867</v>
      </c>
      <c r="EPG1017" s="16" t="s">
        <v>4867</v>
      </c>
      <c r="EPH1017" s="16" t="s">
        <v>4867</v>
      </c>
      <c r="EPI1017" s="16" t="s">
        <v>4867</v>
      </c>
      <c r="EPJ1017" s="16" t="s">
        <v>4867</v>
      </c>
      <c r="EPK1017" s="16" t="s">
        <v>4867</v>
      </c>
      <c r="EPL1017" s="16" t="s">
        <v>4867</v>
      </c>
      <c r="EPM1017" s="16" t="s">
        <v>4867</v>
      </c>
      <c r="EPN1017" s="16" t="s">
        <v>4867</v>
      </c>
      <c r="EPO1017" s="16" t="s">
        <v>4867</v>
      </c>
      <c r="EPP1017" s="16" t="s">
        <v>4867</v>
      </c>
      <c r="EPQ1017" s="16" t="s">
        <v>4867</v>
      </c>
      <c r="EPR1017" s="16" t="s">
        <v>4867</v>
      </c>
      <c r="EPS1017" s="16" t="s">
        <v>4867</v>
      </c>
      <c r="EPT1017" s="16" t="s">
        <v>4867</v>
      </c>
      <c r="EPU1017" s="16" t="s">
        <v>4867</v>
      </c>
      <c r="EPV1017" s="16" t="s">
        <v>4867</v>
      </c>
      <c r="EPW1017" s="16" t="s">
        <v>4867</v>
      </c>
      <c r="EPX1017" s="16" t="s">
        <v>4867</v>
      </c>
      <c r="EPY1017" s="16" t="s">
        <v>4867</v>
      </c>
      <c r="EPZ1017" s="16" t="s">
        <v>4867</v>
      </c>
      <c r="EQA1017" s="16" t="s">
        <v>4867</v>
      </c>
      <c r="EQB1017" s="16" t="s">
        <v>4867</v>
      </c>
      <c r="EQC1017" s="16" t="s">
        <v>4867</v>
      </c>
      <c r="EQD1017" s="16" t="s">
        <v>4867</v>
      </c>
      <c r="EQE1017" s="16" t="s">
        <v>4867</v>
      </c>
      <c r="EQF1017" s="16" t="s">
        <v>4867</v>
      </c>
      <c r="EQG1017" s="16" t="s">
        <v>4867</v>
      </c>
      <c r="EQH1017" s="16" t="s">
        <v>4867</v>
      </c>
      <c r="EQI1017" s="16" t="s">
        <v>4867</v>
      </c>
      <c r="EQJ1017" s="16" t="s">
        <v>4867</v>
      </c>
      <c r="EQK1017" s="16" t="s">
        <v>4867</v>
      </c>
      <c r="EQL1017" s="16" t="s">
        <v>4867</v>
      </c>
      <c r="EQM1017" s="16" t="s">
        <v>4867</v>
      </c>
      <c r="EQN1017" s="16" t="s">
        <v>4867</v>
      </c>
      <c r="EQO1017" s="16" t="s">
        <v>4867</v>
      </c>
      <c r="EQP1017" s="16" t="s">
        <v>4867</v>
      </c>
      <c r="EQQ1017" s="16" t="s">
        <v>4867</v>
      </c>
      <c r="EQR1017" s="16" t="s">
        <v>4867</v>
      </c>
      <c r="EQS1017" s="16" t="s">
        <v>4867</v>
      </c>
      <c r="EQT1017" s="16" t="s">
        <v>4867</v>
      </c>
      <c r="EQU1017" s="16" t="s">
        <v>4867</v>
      </c>
      <c r="EQV1017" s="16" t="s">
        <v>4867</v>
      </c>
      <c r="EQW1017" s="16" t="s">
        <v>4867</v>
      </c>
      <c r="EQX1017" s="16" t="s">
        <v>4867</v>
      </c>
      <c r="EQY1017" s="16" t="s">
        <v>4867</v>
      </c>
      <c r="EQZ1017" s="16" t="s">
        <v>4867</v>
      </c>
      <c r="ERA1017" s="16" t="s">
        <v>4867</v>
      </c>
      <c r="ERB1017" s="16" t="s">
        <v>4867</v>
      </c>
      <c r="ERC1017" s="16" t="s">
        <v>4867</v>
      </c>
      <c r="ERD1017" s="16" t="s">
        <v>4867</v>
      </c>
      <c r="ERE1017" s="16" t="s">
        <v>4867</v>
      </c>
      <c r="ERF1017" s="16" t="s">
        <v>4867</v>
      </c>
      <c r="ERG1017" s="16" t="s">
        <v>4867</v>
      </c>
      <c r="ERH1017" s="16" t="s">
        <v>4867</v>
      </c>
      <c r="ERI1017" s="16" t="s">
        <v>4867</v>
      </c>
      <c r="ERJ1017" s="16" t="s">
        <v>4867</v>
      </c>
      <c r="ERK1017" s="16" t="s">
        <v>4867</v>
      </c>
      <c r="ERL1017" s="16" t="s">
        <v>4867</v>
      </c>
      <c r="ERM1017" s="16" t="s">
        <v>4867</v>
      </c>
      <c r="ERN1017" s="16" t="s">
        <v>4867</v>
      </c>
      <c r="ERO1017" s="16" t="s">
        <v>4867</v>
      </c>
      <c r="ERP1017" s="16" t="s">
        <v>4867</v>
      </c>
      <c r="ERQ1017" s="16" t="s">
        <v>4867</v>
      </c>
      <c r="ERR1017" s="16" t="s">
        <v>4867</v>
      </c>
      <c r="ERS1017" s="16" t="s">
        <v>4867</v>
      </c>
      <c r="ERT1017" s="16" t="s">
        <v>4867</v>
      </c>
      <c r="ERU1017" s="16" t="s">
        <v>4867</v>
      </c>
      <c r="ERV1017" s="16" t="s">
        <v>4867</v>
      </c>
      <c r="ERW1017" s="16" t="s">
        <v>4867</v>
      </c>
      <c r="ERX1017" s="16" t="s">
        <v>4867</v>
      </c>
      <c r="ERY1017" s="16" t="s">
        <v>4867</v>
      </c>
      <c r="ERZ1017" s="16" t="s">
        <v>4867</v>
      </c>
      <c r="ESA1017" s="16" t="s">
        <v>4867</v>
      </c>
      <c r="ESB1017" s="16" t="s">
        <v>4867</v>
      </c>
      <c r="ESC1017" s="16" t="s">
        <v>4867</v>
      </c>
      <c r="ESD1017" s="16" t="s">
        <v>4867</v>
      </c>
      <c r="ESE1017" s="16" t="s">
        <v>4867</v>
      </c>
      <c r="ESF1017" s="16" t="s">
        <v>4867</v>
      </c>
      <c r="ESG1017" s="16" t="s">
        <v>4867</v>
      </c>
      <c r="ESH1017" s="16" t="s">
        <v>4867</v>
      </c>
      <c r="ESI1017" s="16" t="s">
        <v>4867</v>
      </c>
      <c r="ESJ1017" s="16" t="s">
        <v>4867</v>
      </c>
      <c r="ESK1017" s="16" t="s">
        <v>4867</v>
      </c>
      <c r="ESL1017" s="16" t="s">
        <v>4867</v>
      </c>
      <c r="ESM1017" s="16" t="s">
        <v>4867</v>
      </c>
      <c r="ESN1017" s="16" t="s">
        <v>4867</v>
      </c>
      <c r="ESO1017" s="16" t="s">
        <v>4867</v>
      </c>
      <c r="ESP1017" s="16" t="s">
        <v>4867</v>
      </c>
      <c r="ESQ1017" s="16" t="s">
        <v>4867</v>
      </c>
      <c r="ESR1017" s="16" t="s">
        <v>4867</v>
      </c>
      <c r="ESS1017" s="16" t="s">
        <v>4867</v>
      </c>
      <c r="EST1017" s="16" t="s">
        <v>4867</v>
      </c>
      <c r="ESU1017" s="16" t="s">
        <v>4867</v>
      </c>
      <c r="ESV1017" s="16" t="s">
        <v>4867</v>
      </c>
      <c r="ESW1017" s="16" t="s">
        <v>4867</v>
      </c>
      <c r="ESX1017" s="16" t="s">
        <v>4867</v>
      </c>
      <c r="ESY1017" s="16" t="s">
        <v>4867</v>
      </c>
      <c r="ESZ1017" s="16" t="s">
        <v>4867</v>
      </c>
      <c r="ETA1017" s="16" t="s">
        <v>4867</v>
      </c>
      <c r="ETB1017" s="16" t="s">
        <v>4867</v>
      </c>
      <c r="ETC1017" s="16" t="s">
        <v>4867</v>
      </c>
      <c r="ETD1017" s="16" t="s">
        <v>4867</v>
      </c>
      <c r="ETE1017" s="16" t="s">
        <v>4867</v>
      </c>
      <c r="ETF1017" s="16" t="s">
        <v>4867</v>
      </c>
      <c r="ETG1017" s="16" t="s">
        <v>4867</v>
      </c>
      <c r="ETH1017" s="16" t="s">
        <v>4867</v>
      </c>
      <c r="ETI1017" s="16" t="s">
        <v>4867</v>
      </c>
      <c r="ETJ1017" s="16" t="s">
        <v>4867</v>
      </c>
      <c r="ETK1017" s="16" t="s">
        <v>4867</v>
      </c>
      <c r="ETL1017" s="16" t="s">
        <v>4867</v>
      </c>
      <c r="ETM1017" s="16" t="s">
        <v>4867</v>
      </c>
      <c r="ETN1017" s="16" t="s">
        <v>4867</v>
      </c>
      <c r="ETO1017" s="16" t="s">
        <v>4867</v>
      </c>
      <c r="ETP1017" s="16" t="s">
        <v>4867</v>
      </c>
      <c r="ETQ1017" s="16" t="s">
        <v>4867</v>
      </c>
      <c r="ETR1017" s="16" t="s">
        <v>4867</v>
      </c>
      <c r="ETS1017" s="16" t="s">
        <v>4867</v>
      </c>
      <c r="ETT1017" s="16" t="s">
        <v>4867</v>
      </c>
      <c r="ETU1017" s="16" t="s">
        <v>4867</v>
      </c>
      <c r="ETV1017" s="16" t="s">
        <v>4867</v>
      </c>
      <c r="ETW1017" s="16" t="s">
        <v>4867</v>
      </c>
      <c r="ETX1017" s="16" t="s">
        <v>4867</v>
      </c>
      <c r="ETY1017" s="16" t="s">
        <v>4867</v>
      </c>
      <c r="ETZ1017" s="16" t="s">
        <v>4867</v>
      </c>
      <c r="EUA1017" s="16" t="s">
        <v>4867</v>
      </c>
      <c r="EUB1017" s="16" t="s">
        <v>4867</v>
      </c>
      <c r="EUC1017" s="16" t="s">
        <v>4867</v>
      </c>
      <c r="EUD1017" s="16" t="s">
        <v>4867</v>
      </c>
      <c r="EUE1017" s="16" t="s">
        <v>4867</v>
      </c>
      <c r="EUF1017" s="16" t="s">
        <v>4867</v>
      </c>
      <c r="EUG1017" s="16" t="s">
        <v>4867</v>
      </c>
      <c r="EUH1017" s="16" t="s">
        <v>4867</v>
      </c>
      <c r="EUI1017" s="16" t="s">
        <v>4867</v>
      </c>
      <c r="EUJ1017" s="16" t="s">
        <v>4867</v>
      </c>
      <c r="EUK1017" s="16" t="s">
        <v>4867</v>
      </c>
      <c r="EUL1017" s="16" t="s">
        <v>4867</v>
      </c>
      <c r="EUM1017" s="16" t="s">
        <v>4867</v>
      </c>
      <c r="EUN1017" s="16" t="s">
        <v>4867</v>
      </c>
      <c r="EUO1017" s="16" t="s">
        <v>4867</v>
      </c>
      <c r="EUP1017" s="16" t="s">
        <v>4867</v>
      </c>
      <c r="EUQ1017" s="16" t="s">
        <v>4867</v>
      </c>
      <c r="EUR1017" s="16" t="s">
        <v>4867</v>
      </c>
      <c r="EUS1017" s="16" t="s">
        <v>4867</v>
      </c>
      <c r="EUT1017" s="16" t="s">
        <v>4867</v>
      </c>
      <c r="EUU1017" s="16" t="s">
        <v>4867</v>
      </c>
      <c r="EUV1017" s="16" t="s">
        <v>4867</v>
      </c>
      <c r="EUW1017" s="16" t="s">
        <v>4867</v>
      </c>
      <c r="EUX1017" s="16" t="s">
        <v>4867</v>
      </c>
      <c r="EUY1017" s="16" t="s">
        <v>4867</v>
      </c>
      <c r="EUZ1017" s="16" t="s">
        <v>4867</v>
      </c>
      <c r="EVA1017" s="16" t="s">
        <v>4867</v>
      </c>
      <c r="EVB1017" s="16" t="s">
        <v>4867</v>
      </c>
      <c r="EVC1017" s="16" t="s">
        <v>4867</v>
      </c>
      <c r="EVD1017" s="16" t="s">
        <v>4867</v>
      </c>
      <c r="EVE1017" s="16" t="s">
        <v>4867</v>
      </c>
      <c r="EVF1017" s="16" t="s">
        <v>4867</v>
      </c>
      <c r="EVG1017" s="16" t="s">
        <v>4867</v>
      </c>
      <c r="EVH1017" s="16" t="s">
        <v>4867</v>
      </c>
      <c r="EVI1017" s="16" t="s">
        <v>4867</v>
      </c>
      <c r="EVJ1017" s="16" t="s">
        <v>4867</v>
      </c>
      <c r="EVK1017" s="16" t="s">
        <v>4867</v>
      </c>
      <c r="EVL1017" s="16" t="s">
        <v>4867</v>
      </c>
      <c r="EVM1017" s="16" t="s">
        <v>4867</v>
      </c>
      <c r="EVN1017" s="16" t="s">
        <v>4867</v>
      </c>
      <c r="EVO1017" s="16" t="s">
        <v>4867</v>
      </c>
      <c r="EVP1017" s="16" t="s">
        <v>4867</v>
      </c>
      <c r="EVQ1017" s="16" t="s">
        <v>4867</v>
      </c>
      <c r="EVR1017" s="16" t="s">
        <v>4867</v>
      </c>
      <c r="EVS1017" s="16" t="s">
        <v>4867</v>
      </c>
      <c r="EVT1017" s="16" t="s">
        <v>4867</v>
      </c>
      <c r="EVU1017" s="16" t="s">
        <v>4867</v>
      </c>
      <c r="EVV1017" s="16" t="s">
        <v>4867</v>
      </c>
      <c r="EVW1017" s="16" t="s">
        <v>4867</v>
      </c>
      <c r="EVX1017" s="16" t="s">
        <v>4867</v>
      </c>
      <c r="EVY1017" s="16" t="s">
        <v>4867</v>
      </c>
      <c r="EVZ1017" s="16" t="s">
        <v>4867</v>
      </c>
      <c r="EWA1017" s="16" t="s">
        <v>4867</v>
      </c>
      <c r="EWB1017" s="16" t="s">
        <v>4867</v>
      </c>
      <c r="EWC1017" s="16" t="s">
        <v>4867</v>
      </c>
      <c r="EWD1017" s="16" t="s">
        <v>4867</v>
      </c>
      <c r="EWE1017" s="16" t="s">
        <v>4867</v>
      </c>
      <c r="EWF1017" s="16" t="s">
        <v>4867</v>
      </c>
      <c r="EWG1017" s="16" t="s">
        <v>4867</v>
      </c>
      <c r="EWH1017" s="16" t="s">
        <v>4867</v>
      </c>
      <c r="EWI1017" s="16" t="s">
        <v>4867</v>
      </c>
      <c r="EWJ1017" s="16" t="s">
        <v>4867</v>
      </c>
      <c r="EWK1017" s="16" t="s">
        <v>4867</v>
      </c>
      <c r="EWL1017" s="16" t="s">
        <v>4867</v>
      </c>
      <c r="EWM1017" s="16" t="s">
        <v>4867</v>
      </c>
      <c r="EWN1017" s="16" t="s">
        <v>4867</v>
      </c>
      <c r="EWO1017" s="16" t="s">
        <v>4867</v>
      </c>
      <c r="EWP1017" s="16" t="s">
        <v>4867</v>
      </c>
      <c r="EWQ1017" s="16" t="s">
        <v>4867</v>
      </c>
      <c r="EWR1017" s="16" t="s">
        <v>4867</v>
      </c>
      <c r="EWS1017" s="16" t="s">
        <v>4867</v>
      </c>
      <c r="EWT1017" s="16" t="s">
        <v>4867</v>
      </c>
      <c r="EWU1017" s="16" t="s">
        <v>4867</v>
      </c>
      <c r="EWV1017" s="16" t="s">
        <v>4867</v>
      </c>
      <c r="EWW1017" s="16" t="s">
        <v>4867</v>
      </c>
      <c r="EWX1017" s="16" t="s">
        <v>4867</v>
      </c>
      <c r="EWY1017" s="16" t="s">
        <v>4867</v>
      </c>
      <c r="EWZ1017" s="16" t="s">
        <v>4867</v>
      </c>
      <c r="EXA1017" s="16" t="s">
        <v>4867</v>
      </c>
      <c r="EXB1017" s="16" t="s">
        <v>4867</v>
      </c>
      <c r="EXC1017" s="16" t="s">
        <v>4867</v>
      </c>
      <c r="EXD1017" s="16" t="s">
        <v>4867</v>
      </c>
      <c r="EXE1017" s="16" t="s">
        <v>4867</v>
      </c>
      <c r="EXF1017" s="16" t="s">
        <v>4867</v>
      </c>
      <c r="EXG1017" s="16" t="s">
        <v>4867</v>
      </c>
      <c r="EXH1017" s="16" t="s">
        <v>4867</v>
      </c>
      <c r="EXI1017" s="16" t="s">
        <v>4867</v>
      </c>
      <c r="EXJ1017" s="16" t="s">
        <v>4867</v>
      </c>
      <c r="EXK1017" s="16" t="s">
        <v>4867</v>
      </c>
      <c r="EXL1017" s="16" t="s">
        <v>4867</v>
      </c>
      <c r="EXM1017" s="16" t="s">
        <v>4867</v>
      </c>
      <c r="EXN1017" s="16" t="s">
        <v>4867</v>
      </c>
      <c r="EXO1017" s="16" t="s">
        <v>4867</v>
      </c>
      <c r="EXP1017" s="16" t="s">
        <v>4867</v>
      </c>
      <c r="EXQ1017" s="16" t="s">
        <v>4867</v>
      </c>
      <c r="EXR1017" s="16" t="s">
        <v>4867</v>
      </c>
      <c r="EXS1017" s="16" t="s">
        <v>4867</v>
      </c>
      <c r="EXT1017" s="16" t="s">
        <v>4867</v>
      </c>
      <c r="EXU1017" s="16" t="s">
        <v>4867</v>
      </c>
      <c r="EXV1017" s="16" t="s">
        <v>4867</v>
      </c>
      <c r="EXW1017" s="16" t="s">
        <v>4867</v>
      </c>
      <c r="EXX1017" s="16" t="s">
        <v>4867</v>
      </c>
      <c r="EXY1017" s="16" t="s">
        <v>4867</v>
      </c>
      <c r="EXZ1017" s="16" t="s">
        <v>4867</v>
      </c>
      <c r="EYA1017" s="16" t="s">
        <v>4867</v>
      </c>
      <c r="EYB1017" s="16" t="s">
        <v>4867</v>
      </c>
      <c r="EYC1017" s="16" t="s">
        <v>4867</v>
      </c>
      <c r="EYD1017" s="16" t="s">
        <v>4867</v>
      </c>
      <c r="EYE1017" s="16" t="s">
        <v>4867</v>
      </c>
      <c r="EYF1017" s="16" t="s">
        <v>4867</v>
      </c>
      <c r="EYG1017" s="16" t="s">
        <v>4867</v>
      </c>
      <c r="EYH1017" s="16" t="s">
        <v>4867</v>
      </c>
      <c r="EYI1017" s="16" t="s">
        <v>4867</v>
      </c>
      <c r="EYJ1017" s="16" t="s">
        <v>4867</v>
      </c>
      <c r="EYK1017" s="16" t="s">
        <v>4867</v>
      </c>
      <c r="EYL1017" s="16" t="s">
        <v>4867</v>
      </c>
      <c r="EYM1017" s="16" t="s">
        <v>4867</v>
      </c>
      <c r="EYN1017" s="16" t="s">
        <v>4867</v>
      </c>
      <c r="EYO1017" s="16" t="s">
        <v>4867</v>
      </c>
      <c r="EYP1017" s="16" t="s">
        <v>4867</v>
      </c>
      <c r="EYQ1017" s="16" t="s">
        <v>4867</v>
      </c>
      <c r="EYR1017" s="16" t="s">
        <v>4867</v>
      </c>
      <c r="EYS1017" s="16" t="s">
        <v>4867</v>
      </c>
      <c r="EYT1017" s="16" t="s">
        <v>4867</v>
      </c>
      <c r="EYU1017" s="16" t="s">
        <v>4867</v>
      </c>
      <c r="EYV1017" s="16" t="s">
        <v>4867</v>
      </c>
      <c r="EYW1017" s="16" t="s">
        <v>4867</v>
      </c>
      <c r="EYX1017" s="16" t="s">
        <v>4867</v>
      </c>
      <c r="EYY1017" s="16" t="s">
        <v>4867</v>
      </c>
      <c r="EYZ1017" s="16" t="s">
        <v>4867</v>
      </c>
      <c r="EZA1017" s="16" t="s">
        <v>4867</v>
      </c>
      <c r="EZB1017" s="16" t="s">
        <v>4867</v>
      </c>
      <c r="EZC1017" s="16" t="s">
        <v>4867</v>
      </c>
      <c r="EZD1017" s="16" t="s">
        <v>4867</v>
      </c>
      <c r="EZE1017" s="16" t="s">
        <v>4867</v>
      </c>
      <c r="EZF1017" s="16" t="s">
        <v>4867</v>
      </c>
      <c r="EZG1017" s="16" t="s">
        <v>4867</v>
      </c>
      <c r="EZH1017" s="16" t="s">
        <v>4867</v>
      </c>
      <c r="EZI1017" s="16" t="s">
        <v>4867</v>
      </c>
      <c r="EZJ1017" s="16" t="s">
        <v>4867</v>
      </c>
      <c r="EZK1017" s="16" t="s">
        <v>4867</v>
      </c>
      <c r="EZL1017" s="16" t="s">
        <v>4867</v>
      </c>
      <c r="EZM1017" s="16" t="s">
        <v>4867</v>
      </c>
      <c r="EZN1017" s="16" t="s">
        <v>4867</v>
      </c>
      <c r="EZO1017" s="16" t="s">
        <v>4867</v>
      </c>
      <c r="EZP1017" s="16" t="s">
        <v>4867</v>
      </c>
      <c r="EZQ1017" s="16" t="s">
        <v>4867</v>
      </c>
      <c r="EZR1017" s="16" t="s">
        <v>4867</v>
      </c>
      <c r="EZS1017" s="16" t="s">
        <v>4867</v>
      </c>
      <c r="EZT1017" s="16" t="s">
        <v>4867</v>
      </c>
      <c r="EZU1017" s="16" t="s">
        <v>4867</v>
      </c>
      <c r="EZV1017" s="16" t="s">
        <v>4867</v>
      </c>
      <c r="EZW1017" s="16" t="s">
        <v>4867</v>
      </c>
      <c r="EZX1017" s="16" t="s">
        <v>4867</v>
      </c>
      <c r="EZY1017" s="16" t="s">
        <v>4867</v>
      </c>
      <c r="EZZ1017" s="16" t="s">
        <v>4867</v>
      </c>
      <c r="FAA1017" s="16" t="s">
        <v>4867</v>
      </c>
      <c r="FAB1017" s="16" t="s">
        <v>4867</v>
      </c>
      <c r="FAC1017" s="16" t="s">
        <v>4867</v>
      </c>
      <c r="FAD1017" s="16" t="s">
        <v>4867</v>
      </c>
      <c r="FAE1017" s="16" t="s">
        <v>4867</v>
      </c>
      <c r="FAF1017" s="16" t="s">
        <v>4867</v>
      </c>
      <c r="FAG1017" s="16" t="s">
        <v>4867</v>
      </c>
      <c r="FAH1017" s="16" t="s">
        <v>4867</v>
      </c>
      <c r="FAI1017" s="16" t="s">
        <v>4867</v>
      </c>
      <c r="FAJ1017" s="16" t="s">
        <v>4867</v>
      </c>
      <c r="FAK1017" s="16" t="s">
        <v>4867</v>
      </c>
      <c r="FAL1017" s="16" t="s">
        <v>4867</v>
      </c>
      <c r="FAM1017" s="16" t="s">
        <v>4867</v>
      </c>
      <c r="FAN1017" s="16" t="s">
        <v>4867</v>
      </c>
      <c r="FAO1017" s="16" t="s">
        <v>4867</v>
      </c>
      <c r="FAP1017" s="16" t="s">
        <v>4867</v>
      </c>
      <c r="FAQ1017" s="16" t="s">
        <v>4867</v>
      </c>
      <c r="FAR1017" s="16" t="s">
        <v>4867</v>
      </c>
      <c r="FAS1017" s="16" t="s">
        <v>4867</v>
      </c>
      <c r="FAT1017" s="16" t="s">
        <v>4867</v>
      </c>
      <c r="FAU1017" s="16" t="s">
        <v>4867</v>
      </c>
      <c r="FAV1017" s="16" t="s">
        <v>4867</v>
      </c>
      <c r="FAW1017" s="16" t="s">
        <v>4867</v>
      </c>
      <c r="FAX1017" s="16" t="s">
        <v>4867</v>
      </c>
      <c r="FAY1017" s="16" t="s">
        <v>4867</v>
      </c>
      <c r="FAZ1017" s="16" t="s">
        <v>4867</v>
      </c>
      <c r="FBA1017" s="16" t="s">
        <v>4867</v>
      </c>
      <c r="FBB1017" s="16" t="s">
        <v>4867</v>
      </c>
      <c r="FBC1017" s="16" t="s">
        <v>4867</v>
      </c>
      <c r="FBD1017" s="16" t="s">
        <v>4867</v>
      </c>
      <c r="FBE1017" s="16" t="s">
        <v>4867</v>
      </c>
      <c r="FBF1017" s="16" t="s">
        <v>4867</v>
      </c>
      <c r="FBG1017" s="16" t="s">
        <v>4867</v>
      </c>
      <c r="FBH1017" s="16" t="s">
        <v>4867</v>
      </c>
      <c r="FBI1017" s="16" t="s">
        <v>4867</v>
      </c>
      <c r="FBJ1017" s="16" t="s">
        <v>4867</v>
      </c>
      <c r="FBK1017" s="16" t="s">
        <v>4867</v>
      </c>
      <c r="FBL1017" s="16" t="s">
        <v>4867</v>
      </c>
      <c r="FBM1017" s="16" t="s">
        <v>4867</v>
      </c>
      <c r="FBN1017" s="16" t="s">
        <v>4867</v>
      </c>
      <c r="FBO1017" s="16" t="s">
        <v>4867</v>
      </c>
      <c r="FBP1017" s="16" t="s">
        <v>4867</v>
      </c>
      <c r="FBQ1017" s="16" t="s">
        <v>4867</v>
      </c>
      <c r="FBR1017" s="16" t="s">
        <v>4867</v>
      </c>
      <c r="FBS1017" s="16" t="s">
        <v>4867</v>
      </c>
      <c r="FBT1017" s="16" t="s">
        <v>4867</v>
      </c>
      <c r="FBU1017" s="16" t="s">
        <v>4867</v>
      </c>
      <c r="FBV1017" s="16" t="s">
        <v>4867</v>
      </c>
      <c r="FBW1017" s="16" t="s">
        <v>4867</v>
      </c>
      <c r="FBX1017" s="16" t="s">
        <v>4867</v>
      </c>
      <c r="FBY1017" s="16" t="s">
        <v>4867</v>
      </c>
      <c r="FBZ1017" s="16" t="s">
        <v>4867</v>
      </c>
      <c r="FCA1017" s="16" t="s">
        <v>4867</v>
      </c>
      <c r="FCB1017" s="16" t="s">
        <v>4867</v>
      </c>
      <c r="FCC1017" s="16" t="s">
        <v>4867</v>
      </c>
      <c r="FCD1017" s="16" t="s">
        <v>4867</v>
      </c>
      <c r="FCE1017" s="16" t="s">
        <v>4867</v>
      </c>
      <c r="FCF1017" s="16" t="s">
        <v>4867</v>
      </c>
      <c r="FCG1017" s="16" t="s">
        <v>4867</v>
      </c>
      <c r="FCH1017" s="16" t="s">
        <v>4867</v>
      </c>
      <c r="FCI1017" s="16" t="s">
        <v>4867</v>
      </c>
      <c r="FCJ1017" s="16" t="s">
        <v>4867</v>
      </c>
      <c r="FCK1017" s="16" t="s">
        <v>4867</v>
      </c>
      <c r="FCL1017" s="16" t="s">
        <v>4867</v>
      </c>
      <c r="FCM1017" s="16" t="s">
        <v>4867</v>
      </c>
      <c r="FCN1017" s="16" t="s">
        <v>4867</v>
      </c>
      <c r="FCO1017" s="16" t="s">
        <v>4867</v>
      </c>
      <c r="FCP1017" s="16" t="s">
        <v>4867</v>
      </c>
      <c r="FCQ1017" s="16" t="s">
        <v>4867</v>
      </c>
      <c r="FCR1017" s="16" t="s">
        <v>4867</v>
      </c>
      <c r="FCS1017" s="16" t="s">
        <v>4867</v>
      </c>
      <c r="FCT1017" s="16" t="s">
        <v>4867</v>
      </c>
      <c r="FCU1017" s="16" t="s">
        <v>4867</v>
      </c>
      <c r="FCV1017" s="16" t="s">
        <v>4867</v>
      </c>
      <c r="FCW1017" s="16" t="s">
        <v>4867</v>
      </c>
      <c r="FCX1017" s="16" t="s">
        <v>4867</v>
      </c>
      <c r="FCY1017" s="16" t="s">
        <v>4867</v>
      </c>
      <c r="FCZ1017" s="16" t="s">
        <v>4867</v>
      </c>
      <c r="FDA1017" s="16" t="s">
        <v>4867</v>
      </c>
      <c r="FDB1017" s="16" t="s">
        <v>4867</v>
      </c>
      <c r="FDC1017" s="16" t="s">
        <v>4867</v>
      </c>
      <c r="FDD1017" s="16" t="s">
        <v>4867</v>
      </c>
      <c r="FDE1017" s="16" t="s">
        <v>4867</v>
      </c>
      <c r="FDF1017" s="16" t="s">
        <v>4867</v>
      </c>
      <c r="FDG1017" s="16" t="s">
        <v>4867</v>
      </c>
      <c r="FDH1017" s="16" t="s">
        <v>4867</v>
      </c>
      <c r="FDI1017" s="16" t="s">
        <v>4867</v>
      </c>
      <c r="FDJ1017" s="16" t="s">
        <v>4867</v>
      </c>
      <c r="FDK1017" s="16" t="s">
        <v>4867</v>
      </c>
      <c r="FDL1017" s="16" t="s">
        <v>4867</v>
      </c>
      <c r="FDM1017" s="16" t="s">
        <v>4867</v>
      </c>
      <c r="FDN1017" s="16" t="s">
        <v>4867</v>
      </c>
      <c r="FDO1017" s="16" t="s">
        <v>4867</v>
      </c>
      <c r="FDP1017" s="16" t="s">
        <v>4867</v>
      </c>
      <c r="FDQ1017" s="16" t="s">
        <v>4867</v>
      </c>
      <c r="FDR1017" s="16" t="s">
        <v>4867</v>
      </c>
      <c r="FDS1017" s="16" t="s">
        <v>4867</v>
      </c>
      <c r="FDT1017" s="16" t="s">
        <v>4867</v>
      </c>
      <c r="FDU1017" s="16" t="s">
        <v>4867</v>
      </c>
      <c r="FDV1017" s="16" t="s">
        <v>4867</v>
      </c>
      <c r="FDW1017" s="16" t="s">
        <v>4867</v>
      </c>
      <c r="FDX1017" s="16" t="s">
        <v>4867</v>
      </c>
      <c r="FDY1017" s="16" t="s">
        <v>4867</v>
      </c>
      <c r="FDZ1017" s="16" t="s">
        <v>4867</v>
      </c>
      <c r="FEA1017" s="16" t="s">
        <v>4867</v>
      </c>
      <c r="FEB1017" s="16" t="s">
        <v>4867</v>
      </c>
      <c r="FEC1017" s="16" t="s">
        <v>4867</v>
      </c>
      <c r="FED1017" s="16" t="s">
        <v>4867</v>
      </c>
      <c r="FEE1017" s="16" t="s">
        <v>4867</v>
      </c>
      <c r="FEF1017" s="16" t="s">
        <v>4867</v>
      </c>
      <c r="FEG1017" s="16" t="s">
        <v>4867</v>
      </c>
      <c r="FEH1017" s="16" t="s">
        <v>4867</v>
      </c>
      <c r="FEI1017" s="16" t="s">
        <v>4867</v>
      </c>
      <c r="FEJ1017" s="16" t="s">
        <v>4867</v>
      </c>
      <c r="FEK1017" s="16" t="s">
        <v>4867</v>
      </c>
      <c r="FEL1017" s="16" t="s">
        <v>4867</v>
      </c>
      <c r="FEM1017" s="16" t="s">
        <v>4867</v>
      </c>
      <c r="FEN1017" s="16" t="s">
        <v>4867</v>
      </c>
      <c r="FEO1017" s="16" t="s">
        <v>4867</v>
      </c>
      <c r="FEP1017" s="16" t="s">
        <v>4867</v>
      </c>
      <c r="FEQ1017" s="16" t="s">
        <v>4867</v>
      </c>
      <c r="FER1017" s="16" t="s">
        <v>4867</v>
      </c>
      <c r="FES1017" s="16" t="s">
        <v>4867</v>
      </c>
      <c r="FET1017" s="16" t="s">
        <v>4867</v>
      </c>
      <c r="FEU1017" s="16" t="s">
        <v>4867</v>
      </c>
      <c r="FEV1017" s="16" t="s">
        <v>4867</v>
      </c>
      <c r="FEW1017" s="16" t="s">
        <v>4867</v>
      </c>
      <c r="FEX1017" s="16" t="s">
        <v>4867</v>
      </c>
      <c r="FEY1017" s="16" t="s">
        <v>4867</v>
      </c>
      <c r="FEZ1017" s="16" t="s">
        <v>4867</v>
      </c>
      <c r="FFA1017" s="16" t="s">
        <v>4867</v>
      </c>
      <c r="FFB1017" s="16" t="s">
        <v>4867</v>
      </c>
      <c r="FFC1017" s="16" t="s">
        <v>4867</v>
      </c>
      <c r="FFD1017" s="16" t="s">
        <v>4867</v>
      </c>
      <c r="FFE1017" s="16" t="s">
        <v>4867</v>
      </c>
      <c r="FFF1017" s="16" t="s">
        <v>4867</v>
      </c>
      <c r="FFG1017" s="16" t="s">
        <v>4867</v>
      </c>
      <c r="FFH1017" s="16" t="s">
        <v>4867</v>
      </c>
      <c r="FFI1017" s="16" t="s">
        <v>4867</v>
      </c>
      <c r="FFJ1017" s="16" t="s">
        <v>4867</v>
      </c>
      <c r="FFK1017" s="16" t="s">
        <v>4867</v>
      </c>
      <c r="FFL1017" s="16" t="s">
        <v>4867</v>
      </c>
      <c r="FFM1017" s="16" t="s">
        <v>4867</v>
      </c>
      <c r="FFN1017" s="16" t="s">
        <v>4867</v>
      </c>
      <c r="FFO1017" s="16" t="s">
        <v>4867</v>
      </c>
      <c r="FFP1017" s="16" t="s">
        <v>4867</v>
      </c>
      <c r="FFQ1017" s="16" t="s">
        <v>4867</v>
      </c>
      <c r="FFR1017" s="16" t="s">
        <v>4867</v>
      </c>
      <c r="FFS1017" s="16" t="s">
        <v>4867</v>
      </c>
      <c r="FFT1017" s="16" t="s">
        <v>4867</v>
      </c>
      <c r="FFU1017" s="16" t="s">
        <v>4867</v>
      </c>
      <c r="FFV1017" s="16" t="s">
        <v>4867</v>
      </c>
      <c r="FFW1017" s="16" t="s">
        <v>4867</v>
      </c>
      <c r="FFX1017" s="16" t="s">
        <v>4867</v>
      </c>
      <c r="FFY1017" s="16" t="s">
        <v>4867</v>
      </c>
      <c r="FFZ1017" s="16" t="s">
        <v>4867</v>
      </c>
      <c r="FGA1017" s="16" t="s">
        <v>4867</v>
      </c>
      <c r="FGB1017" s="16" t="s">
        <v>4867</v>
      </c>
      <c r="FGC1017" s="16" t="s">
        <v>4867</v>
      </c>
      <c r="FGD1017" s="16" t="s">
        <v>4867</v>
      </c>
      <c r="FGE1017" s="16" t="s">
        <v>4867</v>
      </c>
      <c r="FGF1017" s="16" t="s">
        <v>4867</v>
      </c>
      <c r="FGG1017" s="16" t="s">
        <v>4867</v>
      </c>
      <c r="FGH1017" s="16" t="s">
        <v>4867</v>
      </c>
      <c r="FGI1017" s="16" t="s">
        <v>4867</v>
      </c>
      <c r="FGJ1017" s="16" t="s">
        <v>4867</v>
      </c>
      <c r="FGK1017" s="16" t="s">
        <v>4867</v>
      </c>
      <c r="FGL1017" s="16" t="s">
        <v>4867</v>
      </c>
      <c r="FGM1017" s="16" t="s">
        <v>4867</v>
      </c>
      <c r="FGN1017" s="16" t="s">
        <v>4867</v>
      </c>
      <c r="FGO1017" s="16" t="s">
        <v>4867</v>
      </c>
      <c r="FGP1017" s="16" t="s">
        <v>4867</v>
      </c>
      <c r="FGQ1017" s="16" t="s">
        <v>4867</v>
      </c>
      <c r="FGR1017" s="16" t="s">
        <v>4867</v>
      </c>
      <c r="FGS1017" s="16" t="s">
        <v>4867</v>
      </c>
      <c r="FGT1017" s="16" t="s">
        <v>4867</v>
      </c>
      <c r="FGU1017" s="16" t="s">
        <v>4867</v>
      </c>
      <c r="FGV1017" s="16" t="s">
        <v>4867</v>
      </c>
      <c r="FGW1017" s="16" t="s">
        <v>4867</v>
      </c>
      <c r="FGX1017" s="16" t="s">
        <v>4867</v>
      </c>
      <c r="FGY1017" s="16" t="s">
        <v>4867</v>
      </c>
      <c r="FGZ1017" s="16" t="s">
        <v>4867</v>
      </c>
      <c r="FHA1017" s="16" t="s">
        <v>4867</v>
      </c>
      <c r="FHB1017" s="16" t="s">
        <v>4867</v>
      </c>
      <c r="FHC1017" s="16" t="s">
        <v>4867</v>
      </c>
      <c r="FHD1017" s="16" t="s">
        <v>4867</v>
      </c>
      <c r="FHE1017" s="16" t="s">
        <v>4867</v>
      </c>
      <c r="FHF1017" s="16" t="s">
        <v>4867</v>
      </c>
      <c r="FHG1017" s="16" t="s">
        <v>4867</v>
      </c>
      <c r="FHH1017" s="16" t="s">
        <v>4867</v>
      </c>
      <c r="FHI1017" s="16" t="s">
        <v>4867</v>
      </c>
      <c r="FHJ1017" s="16" t="s">
        <v>4867</v>
      </c>
      <c r="FHK1017" s="16" t="s">
        <v>4867</v>
      </c>
      <c r="FHL1017" s="16" t="s">
        <v>4867</v>
      </c>
      <c r="FHM1017" s="16" t="s">
        <v>4867</v>
      </c>
      <c r="FHN1017" s="16" t="s">
        <v>4867</v>
      </c>
      <c r="FHO1017" s="16" t="s">
        <v>4867</v>
      </c>
      <c r="FHP1017" s="16" t="s">
        <v>4867</v>
      </c>
      <c r="FHQ1017" s="16" t="s">
        <v>4867</v>
      </c>
      <c r="FHR1017" s="16" t="s">
        <v>4867</v>
      </c>
      <c r="FHS1017" s="16" t="s">
        <v>4867</v>
      </c>
      <c r="FHT1017" s="16" t="s">
        <v>4867</v>
      </c>
      <c r="FHU1017" s="16" t="s">
        <v>4867</v>
      </c>
      <c r="FHV1017" s="16" t="s">
        <v>4867</v>
      </c>
      <c r="FHW1017" s="16" t="s">
        <v>4867</v>
      </c>
      <c r="FHX1017" s="16" t="s">
        <v>4867</v>
      </c>
      <c r="FHY1017" s="16" t="s">
        <v>4867</v>
      </c>
      <c r="FHZ1017" s="16" t="s">
        <v>4867</v>
      </c>
      <c r="FIA1017" s="16" t="s">
        <v>4867</v>
      </c>
      <c r="FIB1017" s="16" t="s">
        <v>4867</v>
      </c>
      <c r="FIC1017" s="16" t="s">
        <v>4867</v>
      </c>
      <c r="FID1017" s="16" t="s">
        <v>4867</v>
      </c>
      <c r="FIE1017" s="16" t="s">
        <v>4867</v>
      </c>
      <c r="FIF1017" s="16" t="s">
        <v>4867</v>
      </c>
      <c r="FIG1017" s="16" t="s">
        <v>4867</v>
      </c>
      <c r="FIH1017" s="16" t="s">
        <v>4867</v>
      </c>
      <c r="FII1017" s="16" t="s">
        <v>4867</v>
      </c>
      <c r="FIJ1017" s="16" t="s">
        <v>4867</v>
      </c>
      <c r="FIK1017" s="16" t="s">
        <v>4867</v>
      </c>
      <c r="FIL1017" s="16" t="s">
        <v>4867</v>
      </c>
      <c r="FIM1017" s="16" t="s">
        <v>4867</v>
      </c>
      <c r="FIN1017" s="16" t="s">
        <v>4867</v>
      </c>
      <c r="FIO1017" s="16" t="s">
        <v>4867</v>
      </c>
      <c r="FIP1017" s="16" t="s">
        <v>4867</v>
      </c>
      <c r="FIQ1017" s="16" t="s">
        <v>4867</v>
      </c>
      <c r="FIR1017" s="16" t="s">
        <v>4867</v>
      </c>
      <c r="FIS1017" s="16" t="s">
        <v>4867</v>
      </c>
      <c r="FIT1017" s="16" t="s">
        <v>4867</v>
      </c>
      <c r="FIU1017" s="16" t="s">
        <v>4867</v>
      </c>
      <c r="FIV1017" s="16" t="s">
        <v>4867</v>
      </c>
      <c r="FIW1017" s="16" t="s">
        <v>4867</v>
      </c>
      <c r="FIX1017" s="16" t="s">
        <v>4867</v>
      </c>
      <c r="FIY1017" s="16" t="s">
        <v>4867</v>
      </c>
      <c r="FIZ1017" s="16" t="s">
        <v>4867</v>
      </c>
      <c r="FJA1017" s="16" t="s">
        <v>4867</v>
      </c>
      <c r="FJB1017" s="16" t="s">
        <v>4867</v>
      </c>
      <c r="FJC1017" s="16" t="s">
        <v>4867</v>
      </c>
      <c r="FJD1017" s="16" t="s">
        <v>4867</v>
      </c>
      <c r="FJE1017" s="16" t="s">
        <v>4867</v>
      </c>
      <c r="FJF1017" s="16" t="s">
        <v>4867</v>
      </c>
      <c r="FJG1017" s="16" t="s">
        <v>4867</v>
      </c>
      <c r="FJH1017" s="16" t="s">
        <v>4867</v>
      </c>
      <c r="FJI1017" s="16" t="s">
        <v>4867</v>
      </c>
      <c r="FJJ1017" s="16" t="s">
        <v>4867</v>
      </c>
      <c r="FJK1017" s="16" t="s">
        <v>4867</v>
      </c>
      <c r="FJL1017" s="16" t="s">
        <v>4867</v>
      </c>
      <c r="FJM1017" s="16" t="s">
        <v>4867</v>
      </c>
      <c r="FJN1017" s="16" t="s">
        <v>4867</v>
      </c>
      <c r="FJO1017" s="16" t="s">
        <v>4867</v>
      </c>
      <c r="FJP1017" s="16" t="s">
        <v>4867</v>
      </c>
      <c r="FJQ1017" s="16" t="s">
        <v>4867</v>
      </c>
      <c r="FJR1017" s="16" t="s">
        <v>4867</v>
      </c>
      <c r="FJS1017" s="16" t="s">
        <v>4867</v>
      </c>
      <c r="FJT1017" s="16" t="s">
        <v>4867</v>
      </c>
      <c r="FJU1017" s="16" t="s">
        <v>4867</v>
      </c>
      <c r="FJV1017" s="16" t="s">
        <v>4867</v>
      </c>
      <c r="FJW1017" s="16" t="s">
        <v>4867</v>
      </c>
      <c r="FJX1017" s="16" t="s">
        <v>4867</v>
      </c>
      <c r="FJY1017" s="16" t="s">
        <v>4867</v>
      </c>
      <c r="FJZ1017" s="16" t="s">
        <v>4867</v>
      </c>
      <c r="FKA1017" s="16" t="s">
        <v>4867</v>
      </c>
      <c r="FKB1017" s="16" t="s">
        <v>4867</v>
      </c>
      <c r="FKC1017" s="16" t="s">
        <v>4867</v>
      </c>
      <c r="FKD1017" s="16" t="s">
        <v>4867</v>
      </c>
      <c r="FKE1017" s="16" t="s">
        <v>4867</v>
      </c>
      <c r="FKF1017" s="16" t="s">
        <v>4867</v>
      </c>
      <c r="FKG1017" s="16" t="s">
        <v>4867</v>
      </c>
      <c r="FKH1017" s="16" t="s">
        <v>4867</v>
      </c>
      <c r="FKI1017" s="16" t="s">
        <v>4867</v>
      </c>
      <c r="FKJ1017" s="16" t="s">
        <v>4867</v>
      </c>
      <c r="FKK1017" s="16" t="s">
        <v>4867</v>
      </c>
      <c r="FKL1017" s="16" t="s">
        <v>4867</v>
      </c>
      <c r="FKM1017" s="16" t="s">
        <v>4867</v>
      </c>
      <c r="FKN1017" s="16" t="s">
        <v>4867</v>
      </c>
      <c r="FKO1017" s="16" t="s">
        <v>4867</v>
      </c>
      <c r="FKP1017" s="16" t="s">
        <v>4867</v>
      </c>
      <c r="FKQ1017" s="16" t="s">
        <v>4867</v>
      </c>
      <c r="FKR1017" s="16" t="s">
        <v>4867</v>
      </c>
      <c r="FKS1017" s="16" t="s">
        <v>4867</v>
      </c>
      <c r="FKT1017" s="16" t="s">
        <v>4867</v>
      </c>
      <c r="FKU1017" s="16" t="s">
        <v>4867</v>
      </c>
      <c r="FKV1017" s="16" t="s">
        <v>4867</v>
      </c>
      <c r="FKW1017" s="16" t="s">
        <v>4867</v>
      </c>
      <c r="FKX1017" s="16" t="s">
        <v>4867</v>
      </c>
      <c r="FKY1017" s="16" t="s">
        <v>4867</v>
      </c>
      <c r="FKZ1017" s="16" t="s">
        <v>4867</v>
      </c>
      <c r="FLA1017" s="16" t="s">
        <v>4867</v>
      </c>
      <c r="FLB1017" s="16" t="s">
        <v>4867</v>
      </c>
      <c r="FLC1017" s="16" t="s">
        <v>4867</v>
      </c>
      <c r="FLD1017" s="16" t="s">
        <v>4867</v>
      </c>
      <c r="FLE1017" s="16" t="s">
        <v>4867</v>
      </c>
      <c r="FLF1017" s="16" t="s">
        <v>4867</v>
      </c>
      <c r="FLG1017" s="16" t="s">
        <v>4867</v>
      </c>
      <c r="FLH1017" s="16" t="s">
        <v>4867</v>
      </c>
      <c r="FLI1017" s="16" t="s">
        <v>4867</v>
      </c>
      <c r="FLJ1017" s="16" t="s">
        <v>4867</v>
      </c>
      <c r="FLK1017" s="16" t="s">
        <v>4867</v>
      </c>
      <c r="FLL1017" s="16" t="s">
        <v>4867</v>
      </c>
      <c r="FLM1017" s="16" t="s">
        <v>4867</v>
      </c>
      <c r="FLN1017" s="16" t="s">
        <v>4867</v>
      </c>
      <c r="FLO1017" s="16" t="s">
        <v>4867</v>
      </c>
      <c r="FLP1017" s="16" t="s">
        <v>4867</v>
      </c>
      <c r="FLQ1017" s="16" t="s">
        <v>4867</v>
      </c>
      <c r="FLR1017" s="16" t="s">
        <v>4867</v>
      </c>
      <c r="FLS1017" s="16" t="s">
        <v>4867</v>
      </c>
      <c r="FLT1017" s="16" t="s">
        <v>4867</v>
      </c>
      <c r="FLU1017" s="16" t="s">
        <v>4867</v>
      </c>
      <c r="FLV1017" s="16" t="s">
        <v>4867</v>
      </c>
      <c r="FLW1017" s="16" t="s">
        <v>4867</v>
      </c>
      <c r="FLX1017" s="16" t="s">
        <v>4867</v>
      </c>
      <c r="FLY1017" s="16" t="s">
        <v>4867</v>
      </c>
      <c r="FLZ1017" s="16" t="s">
        <v>4867</v>
      </c>
      <c r="FMA1017" s="16" t="s">
        <v>4867</v>
      </c>
      <c r="FMB1017" s="16" t="s">
        <v>4867</v>
      </c>
      <c r="FMC1017" s="16" t="s">
        <v>4867</v>
      </c>
      <c r="FMD1017" s="16" t="s">
        <v>4867</v>
      </c>
      <c r="FME1017" s="16" t="s">
        <v>4867</v>
      </c>
      <c r="FMF1017" s="16" t="s">
        <v>4867</v>
      </c>
      <c r="FMG1017" s="16" t="s">
        <v>4867</v>
      </c>
      <c r="FMH1017" s="16" t="s">
        <v>4867</v>
      </c>
      <c r="FMI1017" s="16" t="s">
        <v>4867</v>
      </c>
      <c r="FMJ1017" s="16" t="s">
        <v>4867</v>
      </c>
      <c r="FMK1017" s="16" t="s">
        <v>4867</v>
      </c>
      <c r="FML1017" s="16" t="s">
        <v>4867</v>
      </c>
      <c r="FMM1017" s="16" t="s">
        <v>4867</v>
      </c>
      <c r="FMN1017" s="16" t="s">
        <v>4867</v>
      </c>
      <c r="FMO1017" s="16" t="s">
        <v>4867</v>
      </c>
      <c r="FMP1017" s="16" t="s">
        <v>4867</v>
      </c>
      <c r="FMQ1017" s="16" t="s">
        <v>4867</v>
      </c>
      <c r="FMR1017" s="16" t="s">
        <v>4867</v>
      </c>
      <c r="FMS1017" s="16" t="s">
        <v>4867</v>
      </c>
      <c r="FMT1017" s="16" t="s">
        <v>4867</v>
      </c>
      <c r="FMU1017" s="16" t="s">
        <v>4867</v>
      </c>
      <c r="FMV1017" s="16" t="s">
        <v>4867</v>
      </c>
      <c r="FMW1017" s="16" t="s">
        <v>4867</v>
      </c>
      <c r="FMX1017" s="16" t="s">
        <v>4867</v>
      </c>
      <c r="FMY1017" s="16" t="s">
        <v>4867</v>
      </c>
      <c r="FMZ1017" s="16" t="s">
        <v>4867</v>
      </c>
      <c r="FNA1017" s="16" t="s">
        <v>4867</v>
      </c>
      <c r="FNB1017" s="16" t="s">
        <v>4867</v>
      </c>
      <c r="FNC1017" s="16" t="s">
        <v>4867</v>
      </c>
      <c r="FND1017" s="16" t="s">
        <v>4867</v>
      </c>
      <c r="FNE1017" s="16" t="s">
        <v>4867</v>
      </c>
      <c r="FNF1017" s="16" t="s">
        <v>4867</v>
      </c>
      <c r="FNG1017" s="16" t="s">
        <v>4867</v>
      </c>
      <c r="FNH1017" s="16" t="s">
        <v>4867</v>
      </c>
      <c r="FNI1017" s="16" t="s">
        <v>4867</v>
      </c>
      <c r="FNJ1017" s="16" t="s">
        <v>4867</v>
      </c>
      <c r="FNK1017" s="16" t="s">
        <v>4867</v>
      </c>
      <c r="FNL1017" s="16" t="s">
        <v>4867</v>
      </c>
      <c r="FNM1017" s="16" t="s">
        <v>4867</v>
      </c>
      <c r="FNN1017" s="16" t="s">
        <v>4867</v>
      </c>
      <c r="FNO1017" s="16" t="s">
        <v>4867</v>
      </c>
      <c r="FNP1017" s="16" t="s">
        <v>4867</v>
      </c>
      <c r="FNQ1017" s="16" t="s">
        <v>4867</v>
      </c>
      <c r="FNR1017" s="16" t="s">
        <v>4867</v>
      </c>
      <c r="FNS1017" s="16" t="s">
        <v>4867</v>
      </c>
      <c r="FNT1017" s="16" t="s">
        <v>4867</v>
      </c>
      <c r="FNU1017" s="16" t="s">
        <v>4867</v>
      </c>
      <c r="FNV1017" s="16" t="s">
        <v>4867</v>
      </c>
      <c r="FNW1017" s="16" t="s">
        <v>4867</v>
      </c>
      <c r="FNX1017" s="16" t="s">
        <v>4867</v>
      </c>
      <c r="FNY1017" s="16" t="s">
        <v>4867</v>
      </c>
      <c r="FNZ1017" s="16" t="s">
        <v>4867</v>
      </c>
      <c r="FOA1017" s="16" t="s">
        <v>4867</v>
      </c>
      <c r="FOB1017" s="16" t="s">
        <v>4867</v>
      </c>
      <c r="FOC1017" s="16" t="s">
        <v>4867</v>
      </c>
      <c r="FOD1017" s="16" t="s">
        <v>4867</v>
      </c>
      <c r="FOE1017" s="16" t="s">
        <v>4867</v>
      </c>
      <c r="FOF1017" s="16" t="s">
        <v>4867</v>
      </c>
      <c r="FOG1017" s="16" t="s">
        <v>4867</v>
      </c>
      <c r="FOH1017" s="16" t="s">
        <v>4867</v>
      </c>
      <c r="FOI1017" s="16" t="s">
        <v>4867</v>
      </c>
      <c r="FOJ1017" s="16" t="s">
        <v>4867</v>
      </c>
      <c r="FOK1017" s="16" t="s">
        <v>4867</v>
      </c>
      <c r="FOL1017" s="16" t="s">
        <v>4867</v>
      </c>
      <c r="FOM1017" s="16" t="s">
        <v>4867</v>
      </c>
      <c r="FON1017" s="16" t="s">
        <v>4867</v>
      </c>
      <c r="FOO1017" s="16" t="s">
        <v>4867</v>
      </c>
      <c r="FOP1017" s="16" t="s">
        <v>4867</v>
      </c>
      <c r="FOQ1017" s="16" t="s">
        <v>4867</v>
      </c>
      <c r="FOR1017" s="16" t="s">
        <v>4867</v>
      </c>
      <c r="FOS1017" s="16" t="s">
        <v>4867</v>
      </c>
      <c r="FOT1017" s="16" t="s">
        <v>4867</v>
      </c>
      <c r="FOU1017" s="16" t="s">
        <v>4867</v>
      </c>
      <c r="FOV1017" s="16" t="s">
        <v>4867</v>
      </c>
      <c r="FOW1017" s="16" t="s">
        <v>4867</v>
      </c>
      <c r="FOX1017" s="16" t="s">
        <v>4867</v>
      </c>
      <c r="FOY1017" s="16" t="s">
        <v>4867</v>
      </c>
      <c r="FOZ1017" s="16" t="s">
        <v>4867</v>
      </c>
      <c r="FPA1017" s="16" t="s">
        <v>4867</v>
      </c>
      <c r="FPB1017" s="16" t="s">
        <v>4867</v>
      </c>
      <c r="FPC1017" s="16" t="s">
        <v>4867</v>
      </c>
      <c r="FPD1017" s="16" t="s">
        <v>4867</v>
      </c>
      <c r="FPE1017" s="16" t="s">
        <v>4867</v>
      </c>
      <c r="FPF1017" s="16" t="s">
        <v>4867</v>
      </c>
      <c r="FPG1017" s="16" t="s">
        <v>4867</v>
      </c>
      <c r="FPH1017" s="16" t="s">
        <v>4867</v>
      </c>
      <c r="FPI1017" s="16" t="s">
        <v>4867</v>
      </c>
      <c r="FPJ1017" s="16" t="s">
        <v>4867</v>
      </c>
      <c r="FPK1017" s="16" t="s">
        <v>4867</v>
      </c>
      <c r="FPL1017" s="16" t="s">
        <v>4867</v>
      </c>
      <c r="FPM1017" s="16" t="s">
        <v>4867</v>
      </c>
      <c r="FPN1017" s="16" t="s">
        <v>4867</v>
      </c>
      <c r="FPO1017" s="16" t="s">
        <v>4867</v>
      </c>
      <c r="FPP1017" s="16" t="s">
        <v>4867</v>
      </c>
      <c r="FPQ1017" s="16" t="s">
        <v>4867</v>
      </c>
      <c r="FPR1017" s="16" t="s">
        <v>4867</v>
      </c>
      <c r="FPS1017" s="16" t="s">
        <v>4867</v>
      </c>
      <c r="FPT1017" s="16" t="s">
        <v>4867</v>
      </c>
      <c r="FPU1017" s="16" t="s">
        <v>4867</v>
      </c>
      <c r="FPV1017" s="16" t="s">
        <v>4867</v>
      </c>
      <c r="FPW1017" s="16" t="s">
        <v>4867</v>
      </c>
      <c r="FPX1017" s="16" t="s">
        <v>4867</v>
      </c>
      <c r="FPY1017" s="16" t="s">
        <v>4867</v>
      </c>
      <c r="FPZ1017" s="16" t="s">
        <v>4867</v>
      </c>
      <c r="FQA1017" s="16" t="s">
        <v>4867</v>
      </c>
      <c r="FQB1017" s="16" t="s">
        <v>4867</v>
      </c>
      <c r="FQC1017" s="16" t="s">
        <v>4867</v>
      </c>
      <c r="FQD1017" s="16" t="s">
        <v>4867</v>
      </c>
      <c r="FQE1017" s="16" t="s">
        <v>4867</v>
      </c>
      <c r="FQF1017" s="16" t="s">
        <v>4867</v>
      </c>
      <c r="FQG1017" s="16" t="s">
        <v>4867</v>
      </c>
      <c r="FQH1017" s="16" t="s">
        <v>4867</v>
      </c>
      <c r="FQI1017" s="16" t="s">
        <v>4867</v>
      </c>
      <c r="FQJ1017" s="16" t="s">
        <v>4867</v>
      </c>
      <c r="FQK1017" s="16" t="s">
        <v>4867</v>
      </c>
      <c r="FQL1017" s="16" t="s">
        <v>4867</v>
      </c>
      <c r="FQM1017" s="16" t="s">
        <v>4867</v>
      </c>
      <c r="FQN1017" s="16" t="s">
        <v>4867</v>
      </c>
      <c r="FQO1017" s="16" t="s">
        <v>4867</v>
      </c>
      <c r="FQP1017" s="16" t="s">
        <v>4867</v>
      </c>
      <c r="FQQ1017" s="16" t="s">
        <v>4867</v>
      </c>
      <c r="FQR1017" s="16" t="s">
        <v>4867</v>
      </c>
      <c r="FQS1017" s="16" t="s">
        <v>4867</v>
      </c>
      <c r="FQT1017" s="16" t="s">
        <v>4867</v>
      </c>
      <c r="FQU1017" s="16" t="s">
        <v>4867</v>
      </c>
      <c r="FQV1017" s="16" t="s">
        <v>4867</v>
      </c>
      <c r="FQW1017" s="16" t="s">
        <v>4867</v>
      </c>
      <c r="FQX1017" s="16" t="s">
        <v>4867</v>
      </c>
      <c r="FQY1017" s="16" t="s">
        <v>4867</v>
      </c>
      <c r="FQZ1017" s="16" t="s">
        <v>4867</v>
      </c>
      <c r="FRA1017" s="16" t="s">
        <v>4867</v>
      </c>
      <c r="FRB1017" s="16" t="s">
        <v>4867</v>
      </c>
      <c r="FRC1017" s="16" t="s">
        <v>4867</v>
      </c>
      <c r="FRD1017" s="16" t="s">
        <v>4867</v>
      </c>
      <c r="FRE1017" s="16" t="s">
        <v>4867</v>
      </c>
      <c r="FRF1017" s="16" t="s">
        <v>4867</v>
      </c>
      <c r="FRG1017" s="16" t="s">
        <v>4867</v>
      </c>
      <c r="FRH1017" s="16" t="s">
        <v>4867</v>
      </c>
      <c r="FRI1017" s="16" t="s">
        <v>4867</v>
      </c>
      <c r="FRJ1017" s="16" t="s">
        <v>4867</v>
      </c>
      <c r="FRK1017" s="16" t="s">
        <v>4867</v>
      </c>
      <c r="FRL1017" s="16" t="s">
        <v>4867</v>
      </c>
      <c r="FRM1017" s="16" t="s">
        <v>4867</v>
      </c>
      <c r="FRN1017" s="16" t="s">
        <v>4867</v>
      </c>
      <c r="FRO1017" s="16" t="s">
        <v>4867</v>
      </c>
      <c r="FRP1017" s="16" t="s">
        <v>4867</v>
      </c>
      <c r="FRQ1017" s="16" t="s">
        <v>4867</v>
      </c>
      <c r="FRR1017" s="16" t="s">
        <v>4867</v>
      </c>
      <c r="FRS1017" s="16" t="s">
        <v>4867</v>
      </c>
      <c r="FRT1017" s="16" t="s">
        <v>4867</v>
      </c>
      <c r="FRU1017" s="16" t="s">
        <v>4867</v>
      </c>
      <c r="FRV1017" s="16" t="s">
        <v>4867</v>
      </c>
      <c r="FRW1017" s="16" t="s">
        <v>4867</v>
      </c>
      <c r="FRX1017" s="16" t="s">
        <v>4867</v>
      </c>
      <c r="FRY1017" s="16" t="s">
        <v>4867</v>
      </c>
      <c r="FRZ1017" s="16" t="s">
        <v>4867</v>
      </c>
      <c r="FSA1017" s="16" t="s">
        <v>4867</v>
      </c>
      <c r="FSB1017" s="16" t="s">
        <v>4867</v>
      </c>
      <c r="FSC1017" s="16" t="s">
        <v>4867</v>
      </c>
      <c r="FSD1017" s="16" t="s">
        <v>4867</v>
      </c>
      <c r="FSE1017" s="16" t="s">
        <v>4867</v>
      </c>
      <c r="FSF1017" s="16" t="s">
        <v>4867</v>
      </c>
      <c r="FSG1017" s="16" t="s">
        <v>4867</v>
      </c>
      <c r="FSH1017" s="16" t="s">
        <v>4867</v>
      </c>
      <c r="FSI1017" s="16" t="s">
        <v>4867</v>
      </c>
      <c r="FSJ1017" s="16" t="s">
        <v>4867</v>
      </c>
      <c r="FSK1017" s="16" t="s">
        <v>4867</v>
      </c>
      <c r="FSL1017" s="16" t="s">
        <v>4867</v>
      </c>
      <c r="FSM1017" s="16" t="s">
        <v>4867</v>
      </c>
      <c r="FSN1017" s="16" t="s">
        <v>4867</v>
      </c>
      <c r="FSO1017" s="16" t="s">
        <v>4867</v>
      </c>
      <c r="FSP1017" s="16" t="s">
        <v>4867</v>
      </c>
      <c r="FSQ1017" s="16" t="s">
        <v>4867</v>
      </c>
      <c r="FSR1017" s="16" t="s">
        <v>4867</v>
      </c>
      <c r="FSS1017" s="16" t="s">
        <v>4867</v>
      </c>
      <c r="FST1017" s="16" t="s">
        <v>4867</v>
      </c>
      <c r="FSU1017" s="16" t="s">
        <v>4867</v>
      </c>
      <c r="FSV1017" s="16" t="s">
        <v>4867</v>
      </c>
      <c r="FSW1017" s="16" t="s">
        <v>4867</v>
      </c>
      <c r="FSX1017" s="16" t="s">
        <v>4867</v>
      </c>
      <c r="FSY1017" s="16" t="s">
        <v>4867</v>
      </c>
      <c r="FSZ1017" s="16" t="s">
        <v>4867</v>
      </c>
      <c r="FTA1017" s="16" t="s">
        <v>4867</v>
      </c>
      <c r="FTB1017" s="16" t="s">
        <v>4867</v>
      </c>
      <c r="FTC1017" s="16" t="s">
        <v>4867</v>
      </c>
      <c r="FTD1017" s="16" t="s">
        <v>4867</v>
      </c>
      <c r="FTE1017" s="16" t="s">
        <v>4867</v>
      </c>
      <c r="FTF1017" s="16" t="s">
        <v>4867</v>
      </c>
      <c r="FTG1017" s="16" t="s">
        <v>4867</v>
      </c>
      <c r="FTH1017" s="16" t="s">
        <v>4867</v>
      </c>
      <c r="FTI1017" s="16" t="s">
        <v>4867</v>
      </c>
      <c r="FTJ1017" s="16" t="s">
        <v>4867</v>
      </c>
      <c r="FTK1017" s="16" t="s">
        <v>4867</v>
      </c>
      <c r="FTL1017" s="16" t="s">
        <v>4867</v>
      </c>
      <c r="FTM1017" s="16" t="s">
        <v>4867</v>
      </c>
      <c r="FTN1017" s="16" t="s">
        <v>4867</v>
      </c>
      <c r="FTO1017" s="16" t="s">
        <v>4867</v>
      </c>
      <c r="FTP1017" s="16" t="s">
        <v>4867</v>
      </c>
      <c r="FTQ1017" s="16" t="s">
        <v>4867</v>
      </c>
      <c r="FTR1017" s="16" t="s">
        <v>4867</v>
      </c>
      <c r="FTS1017" s="16" t="s">
        <v>4867</v>
      </c>
      <c r="FTT1017" s="16" t="s">
        <v>4867</v>
      </c>
      <c r="FTU1017" s="16" t="s">
        <v>4867</v>
      </c>
      <c r="FTV1017" s="16" t="s">
        <v>4867</v>
      </c>
      <c r="FTW1017" s="16" t="s">
        <v>4867</v>
      </c>
      <c r="FTX1017" s="16" t="s">
        <v>4867</v>
      </c>
      <c r="FTY1017" s="16" t="s">
        <v>4867</v>
      </c>
      <c r="FTZ1017" s="16" t="s">
        <v>4867</v>
      </c>
      <c r="FUA1017" s="16" t="s">
        <v>4867</v>
      </c>
      <c r="FUB1017" s="16" t="s">
        <v>4867</v>
      </c>
      <c r="FUC1017" s="16" t="s">
        <v>4867</v>
      </c>
      <c r="FUD1017" s="16" t="s">
        <v>4867</v>
      </c>
      <c r="FUE1017" s="16" t="s">
        <v>4867</v>
      </c>
      <c r="FUF1017" s="16" t="s">
        <v>4867</v>
      </c>
      <c r="FUG1017" s="16" t="s">
        <v>4867</v>
      </c>
      <c r="FUH1017" s="16" t="s">
        <v>4867</v>
      </c>
      <c r="FUI1017" s="16" t="s">
        <v>4867</v>
      </c>
      <c r="FUJ1017" s="16" t="s">
        <v>4867</v>
      </c>
      <c r="FUK1017" s="16" t="s">
        <v>4867</v>
      </c>
      <c r="FUL1017" s="16" t="s">
        <v>4867</v>
      </c>
      <c r="FUM1017" s="16" t="s">
        <v>4867</v>
      </c>
      <c r="FUN1017" s="16" t="s">
        <v>4867</v>
      </c>
      <c r="FUO1017" s="16" t="s">
        <v>4867</v>
      </c>
      <c r="FUP1017" s="16" t="s">
        <v>4867</v>
      </c>
      <c r="FUQ1017" s="16" t="s">
        <v>4867</v>
      </c>
      <c r="FUR1017" s="16" t="s">
        <v>4867</v>
      </c>
      <c r="FUS1017" s="16" t="s">
        <v>4867</v>
      </c>
      <c r="FUT1017" s="16" t="s">
        <v>4867</v>
      </c>
      <c r="FUU1017" s="16" t="s">
        <v>4867</v>
      </c>
      <c r="FUV1017" s="16" t="s">
        <v>4867</v>
      </c>
      <c r="FUW1017" s="16" t="s">
        <v>4867</v>
      </c>
      <c r="FUX1017" s="16" t="s">
        <v>4867</v>
      </c>
      <c r="FUY1017" s="16" t="s">
        <v>4867</v>
      </c>
      <c r="FUZ1017" s="16" t="s">
        <v>4867</v>
      </c>
      <c r="FVA1017" s="16" t="s">
        <v>4867</v>
      </c>
      <c r="FVB1017" s="16" t="s">
        <v>4867</v>
      </c>
      <c r="FVC1017" s="16" t="s">
        <v>4867</v>
      </c>
      <c r="FVD1017" s="16" t="s">
        <v>4867</v>
      </c>
      <c r="FVE1017" s="16" t="s">
        <v>4867</v>
      </c>
      <c r="FVF1017" s="16" t="s">
        <v>4867</v>
      </c>
      <c r="FVG1017" s="16" t="s">
        <v>4867</v>
      </c>
      <c r="FVH1017" s="16" t="s">
        <v>4867</v>
      </c>
      <c r="FVI1017" s="16" t="s">
        <v>4867</v>
      </c>
      <c r="FVJ1017" s="16" t="s">
        <v>4867</v>
      </c>
      <c r="FVK1017" s="16" t="s">
        <v>4867</v>
      </c>
      <c r="FVL1017" s="16" t="s">
        <v>4867</v>
      </c>
      <c r="FVM1017" s="16" t="s">
        <v>4867</v>
      </c>
      <c r="FVN1017" s="16" t="s">
        <v>4867</v>
      </c>
      <c r="FVO1017" s="16" t="s">
        <v>4867</v>
      </c>
      <c r="FVP1017" s="16" t="s">
        <v>4867</v>
      </c>
      <c r="FVQ1017" s="16" t="s">
        <v>4867</v>
      </c>
      <c r="FVR1017" s="16" t="s">
        <v>4867</v>
      </c>
      <c r="FVS1017" s="16" t="s">
        <v>4867</v>
      </c>
      <c r="FVT1017" s="16" t="s">
        <v>4867</v>
      </c>
      <c r="FVU1017" s="16" t="s">
        <v>4867</v>
      </c>
      <c r="FVV1017" s="16" t="s">
        <v>4867</v>
      </c>
      <c r="FVW1017" s="16" t="s">
        <v>4867</v>
      </c>
      <c r="FVX1017" s="16" t="s">
        <v>4867</v>
      </c>
      <c r="FVY1017" s="16" t="s">
        <v>4867</v>
      </c>
      <c r="FVZ1017" s="16" t="s">
        <v>4867</v>
      </c>
      <c r="FWA1017" s="16" t="s">
        <v>4867</v>
      </c>
      <c r="FWB1017" s="16" t="s">
        <v>4867</v>
      </c>
      <c r="FWC1017" s="16" t="s">
        <v>4867</v>
      </c>
      <c r="FWD1017" s="16" t="s">
        <v>4867</v>
      </c>
      <c r="FWE1017" s="16" t="s">
        <v>4867</v>
      </c>
      <c r="FWF1017" s="16" t="s">
        <v>4867</v>
      </c>
      <c r="FWG1017" s="16" t="s">
        <v>4867</v>
      </c>
      <c r="FWH1017" s="16" t="s">
        <v>4867</v>
      </c>
      <c r="FWI1017" s="16" t="s">
        <v>4867</v>
      </c>
      <c r="FWJ1017" s="16" t="s">
        <v>4867</v>
      </c>
      <c r="FWK1017" s="16" t="s">
        <v>4867</v>
      </c>
      <c r="FWL1017" s="16" t="s">
        <v>4867</v>
      </c>
      <c r="FWM1017" s="16" t="s">
        <v>4867</v>
      </c>
      <c r="FWN1017" s="16" t="s">
        <v>4867</v>
      </c>
      <c r="FWO1017" s="16" t="s">
        <v>4867</v>
      </c>
      <c r="FWP1017" s="16" t="s">
        <v>4867</v>
      </c>
      <c r="FWQ1017" s="16" t="s">
        <v>4867</v>
      </c>
      <c r="FWR1017" s="16" t="s">
        <v>4867</v>
      </c>
      <c r="FWS1017" s="16" t="s">
        <v>4867</v>
      </c>
      <c r="FWT1017" s="16" t="s">
        <v>4867</v>
      </c>
      <c r="FWU1017" s="16" t="s">
        <v>4867</v>
      </c>
      <c r="FWV1017" s="16" t="s">
        <v>4867</v>
      </c>
      <c r="FWW1017" s="16" t="s">
        <v>4867</v>
      </c>
      <c r="FWX1017" s="16" t="s">
        <v>4867</v>
      </c>
      <c r="FWY1017" s="16" t="s">
        <v>4867</v>
      </c>
      <c r="FWZ1017" s="16" t="s">
        <v>4867</v>
      </c>
      <c r="FXA1017" s="16" t="s">
        <v>4867</v>
      </c>
      <c r="FXB1017" s="16" t="s">
        <v>4867</v>
      </c>
      <c r="FXC1017" s="16" t="s">
        <v>4867</v>
      </c>
      <c r="FXD1017" s="16" t="s">
        <v>4867</v>
      </c>
      <c r="FXE1017" s="16" t="s">
        <v>4867</v>
      </c>
      <c r="FXF1017" s="16" t="s">
        <v>4867</v>
      </c>
      <c r="FXG1017" s="16" t="s">
        <v>4867</v>
      </c>
      <c r="FXH1017" s="16" t="s">
        <v>4867</v>
      </c>
      <c r="FXI1017" s="16" t="s">
        <v>4867</v>
      </c>
      <c r="FXJ1017" s="16" t="s">
        <v>4867</v>
      </c>
      <c r="FXK1017" s="16" t="s">
        <v>4867</v>
      </c>
      <c r="FXL1017" s="16" t="s">
        <v>4867</v>
      </c>
      <c r="FXM1017" s="16" t="s">
        <v>4867</v>
      </c>
      <c r="FXN1017" s="16" t="s">
        <v>4867</v>
      </c>
      <c r="FXO1017" s="16" t="s">
        <v>4867</v>
      </c>
      <c r="FXP1017" s="16" t="s">
        <v>4867</v>
      </c>
      <c r="FXQ1017" s="16" t="s">
        <v>4867</v>
      </c>
      <c r="FXR1017" s="16" t="s">
        <v>4867</v>
      </c>
      <c r="FXS1017" s="16" t="s">
        <v>4867</v>
      </c>
      <c r="FXT1017" s="16" t="s">
        <v>4867</v>
      </c>
      <c r="FXU1017" s="16" t="s">
        <v>4867</v>
      </c>
      <c r="FXV1017" s="16" t="s">
        <v>4867</v>
      </c>
      <c r="FXW1017" s="16" t="s">
        <v>4867</v>
      </c>
      <c r="FXX1017" s="16" t="s">
        <v>4867</v>
      </c>
      <c r="FXY1017" s="16" t="s">
        <v>4867</v>
      </c>
      <c r="FXZ1017" s="16" t="s">
        <v>4867</v>
      </c>
      <c r="FYA1017" s="16" t="s">
        <v>4867</v>
      </c>
      <c r="FYB1017" s="16" t="s">
        <v>4867</v>
      </c>
      <c r="FYC1017" s="16" t="s">
        <v>4867</v>
      </c>
      <c r="FYD1017" s="16" t="s">
        <v>4867</v>
      </c>
      <c r="FYE1017" s="16" t="s">
        <v>4867</v>
      </c>
      <c r="FYF1017" s="16" t="s">
        <v>4867</v>
      </c>
      <c r="FYG1017" s="16" t="s">
        <v>4867</v>
      </c>
      <c r="FYH1017" s="16" t="s">
        <v>4867</v>
      </c>
      <c r="FYI1017" s="16" t="s">
        <v>4867</v>
      </c>
      <c r="FYJ1017" s="16" t="s">
        <v>4867</v>
      </c>
      <c r="FYK1017" s="16" t="s">
        <v>4867</v>
      </c>
      <c r="FYL1017" s="16" t="s">
        <v>4867</v>
      </c>
      <c r="FYM1017" s="16" t="s">
        <v>4867</v>
      </c>
      <c r="FYN1017" s="16" t="s">
        <v>4867</v>
      </c>
      <c r="FYO1017" s="16" t="s">
        <v>4867</v>
      </c>
      <c r="FYP1017" s="16" t="s">
        <v>4867</v>
      </c>
      <c r="FYQ1017" s="16" t="s">
        <v>4867</v>
      </c>
      <c r="FYR1017" s="16" t="s">
        <v>4867</v>
      </c>
      <c r="FYS1017" s="16" t="s">
        <v>4867</v>
      </c>
      <c r="FYT1017" s="16" t="s">
        <v>4867</v>
      </c>
      <c r="FYU1017" s="16" t="s">
        <v>4867</v>
      </c>
      <c r="FYV1017" s="16" t="s">
        <v>4867</v>
      </c>
      <c r="FYW1017" s="16" t="s">
        <v>4867</v>
      </c>
      <c r="FYX1017" s="16" t="s">
        <v>4867</v>
      </c>
      <c r="FYY1017" s="16" t="s">
        <v>4867</v>
      </c>
      <c r="FYZ1017" s="16" t="s">
        <v>4867</v>
      </c>
      <c r="FZA1017" s="16" t="s">
        <v>4867</v>
      </c>
      <c r="FZB1017" s="16" t="s">
        <v>4867</v>
      </c>
      <c r="FZC1017" s="16" t="s">
        <v>4867</v>
      </c>
      <c r="FZD1017" s="16" t="s">
        <v>4867</v>
      </c>
      <c r="FZE1017" s="16" t="s">
        <v>4867</v>
      </c>
      <c r="FZF1017" s="16" t="s">
        <v>4867</v>
      </c>
      <c r="FZG1017" s="16" t="s">
        <v>4867</v>
      </c>
      <c r="FZH1017" s="16" t="s">
        <v>4867</v>
      </c>
      <c r="FZI1017" s="16" t="s">
        <v>4867</v>
      </c>
      <c r="FZJ1017" s="16" t="s">
        <v>4867</v>
      </c>
      <c r="FZK1017" s="16" t="s">
        <v>4867</v>
      </c>
      <c r="FZL1017" s="16" t="s">
        <v>4867</v>
      </c>
      <c r="FZM1017" s="16" t="s">
        <v>4867</v>
      </c>
      <c r="FZN1017" s="16" t="s">
        <v>4867</v>
      </c>
      <c r="FZO1017" s="16" t="s">
        <v>4867</v>
      </c>
      <c r="FZP1017" s="16" t="s">
        <v>4867</v>
      </c>
      <c r="FZQ1017" s="16" t="s">
        <v>4867</v>
      </c>
      <c r="FZR1017" s="16" t="s">
        <v>4867</v>
      </c>
      <c r="FZS1017" s="16" t="s">
        <v>4867</v>
      </c>
      <c r="FZT1017" s="16" t="s">
        <v>4867</v>
      </c>
      <c r="FZU1017" s="16" t="s">
        <v>4867</v>
      </c>
      <c r="FZV1017" s="16" t="s">
        <v>4867</v>
      </c>
      <c r="FZW1017" s="16" t="s">
        <v>4867</v>
      </c>
      <c r="FZX1017" s="16" t="s">
        <v>4867</v>
      </c>
      <c r="FZY1017" s="16" t="s">
        <v>4867</v>
      </c>
      <c r="FZZ1017" s="16" t="s">
        <v>4867</v>
      </c>
      <c r="GAA1017" s="16" t="s">
        <v>4867</v>
      </c>
      <c r="GAB1017" s="16" t="s">
        <v>4867</v>
      </c>
      <c r="GAC1017" s="16" t="s">
        <v>4867</v>
      </c>
      <c r="GAD1017" s="16" t="s">
        <v>4867</v>
      </c>
      <c r="GAE1017" s="16" t="s">
        <v>4867</v>
      </c>
      <c r="GAF1017" s="16" t="s">
        <v>4867</v>
      </c>
      <c r="GAG1017" s="16" t="s">
        <v>4867</v>
      </c>
      <c r="GAH1017" s="16" t="s">
        <v>4867</v>
      </c>
      <c r="GAI1017" s="16" t="s">
        <v>4867</v>
      </c>
      <c r="GAJ1017" s="16" t="s">
        <v>4867</v>
      </c>
      <c r="GAK1017" s="16" t="s">
        <v>4867</v>
      </c>
      <c r="GAL1017" s="16" t="s">
        <v>4867</v>
      </c>
      <c r="GAM1017" s="16" t="s">
        <v>4867</v>
      </c>
      <c r="GAN1017" s="16" t="s">
        <v>4867</v>
      </c>
      <c r="GAO1017" s="16" t="s">
        <v>4867</v>
      </c>
      <c r="GAP1017" s="16" t="s">
        <v>4867</v>
      </c>
      <c r="GAQ1017" s="16" t="s">
        <v>4867</v>
      </c>
      <c r="GAR1017" s="16" t="s">
        <v>4867</v>
      </c>
      <c r="GAS1017" s="16" t="s">
        <v>4867</v>
      </c>
      <c r="GAT1017" s="16" t="s">
        <v>4867</v>
      </c>
      <c r="GAU1017" s="16" t="s">
        <v>4867</v>
      </c>
      <c r="GAV1017" s="16" t="s">
        <v>4867</v>
      </c>
      <c r="GAW1017" s="16" t="s">
        <v>4867</v>
      </c>
      <c r="GAX1017" s="16" t="s">
        <v>4867</v>
      </c>
      <c r="GAY1017" s="16" t="s">
        <v>4867</v>
      </c>
      <c r="GAZ1017" s="16" t="s">
        <v>4867</v>
      </c>
      <c r="GBA1017" s="16" t="s">
        <v>4867</v>
      </c>
      <c r="GBB1017" s="16" t="s">
        <v>4867</v>
      </c>
      <c r="GBC1017" s="16" t="s">
        <v>4867</v>
      </c>
      <c r="GBD1017" s="16" t="s">
        <v>4867</v>
      </c>
      <c r="GBE1017" s="16" t="s">
        <v>4867</v>
      </c>
      <c r="GBF1017" s="16" t="s">
        <v>4867</v>
      </c>
      <c r="GBG1017" s="16" t="s">
        <v>4867</v>
      </c>
      <c r="GBH1017" s="16" t="s">
        <v>4867</v>
      </c>
      <c r="GBI1017" s="16" t="s">
        <v>4867</v>
      </c>
      <c r="GBJ1017" s="16" t="s">
        <v>4867</v>
      </c>
      <c r="GBK1017" s="16" t="s">
        <v>4867</v>
      </c>
      <c r="GBL1017" s="16" t="s">
        <v>4867</v>
      </c>
      <c r="GBM1017" s="16" t="s">
        <v>4867</v>
      </c>
      <c r="GBN1017" s="16" t="s">
        <v>4867</v>
      </c>
      <c r="GBO1017" s="16" t="s">
        <v>4867</v>
      </c>
      <c r="GBP1017" s="16" t="s">
        <v>4867</v>
      </c>
      <c r="GBQ1017" s="16" t="s">
        <v>4867</v>
      </c>
      <c r="GBR1017" s="16" t="s">
        <v>4867</v>
      </c>
      <c r="GBS1017" s="16" t="s">
        <v>4867</v>
      </c>
      <c r="GBT1017" s="16" t="s">
        <v>4867</v>
      </c>
      <c r="GBU1017" s="16" t="s">
        <v>4867</v>
      </c>
      <c r="GBV1017" s="16" t="s">
        <v>4867</v>
      </c>
      <c r="GBW1017" s="16" t="s">
        <v>4867</v>
      </c>
      <c r="GBX1017" s="16" t="s">
        <v>4867</v>
      </c>
      <c r="GBY1017" s="16" t="s">
        <v>4867</v>
      </c>
      <c r="GBZ1017" s="16" t="s">
        <v>4867</v>
      </c>
      <c r="GCA1017" s="16" t="s">
        <v>4867</v>
      </c>
      <c r="GCB1017" s="16" t="s">
        <v>4867</v>
      </c>
      <c r="GCC1017" s="16" t="s">
        <v>4867</v>
      </c>
      <c r="GCD1017" s="16" t="s">
        <v>4867</v>
      </c>
      <c r="GCE1017" s="16" t="s">
        <v>4867</v>
      </c>
      <c r="GCF1017" s="16" t="s">
        <v>4867</v>
      </c>
      <c r="GCG1017" s="16" t="s">
        <v>4867</v>
      </c>
      <c r="GCH1017" s="16" t="s">
        <v>4867</v>
      </c>
      <c r="GCI1017" s="16" t="s">
        <v>4867</v>
      </c>
      <c r="GCJ1017" s="16" t="s">
        <v>4867</v>
      </c>
      <c r="GCK1017" s="16" t="s">
        <v>4867</v>
      </c>
      <c r="GCL1017" s="16" t="s">
        <v>4867</v>
      </c>
      <c r="GCM1017" s="16" t="s">
        <v>4867</v>
      </c>
      <c r="GCN1017" s="16" t="s">
        <v>4867</v>
      </c>
      <c r="GCO1017" s="16" t="s">
        <v>4867</v>
      </c>
      <c r="GCP1017" s="16" t="s">
        <v>4867</v>
      </c>
      <c r="GCQ1017" s="16" t="s">
        <v>4867</v>
      </c>
      <c r="GCR1017" s="16" t="s">
        <v>4867</v>
      </c>
      <c r="GCS1017" s="16" t="s">
        <v>4867</v>
      </c>
      <c r="GCT1017" s="16" t="s">
        <v>4867</v>
      </c>
      <c r="GCU1017" s="16" t="s">
        <v>4867</v>
      </c>
      <c r="GCV1017" s="16" t="s">
        <v>4867</v>
      </c>
      <c r="GCW1017" s="16" t="s">
        <v>4867</v>
      </c>
      <c r="GCX1017" s="16" t="s">
        <v>4867</v>
      </c>
      <c r="GCY1017" s="16" t="s">
        <v>4867</v>
      </c>
      <c r="GCZ1017" s="16" t="s">
        <v>4867</v>
      </c>
      <c r="GDA1017" s="16" t="s">
        <v>4867</v>
      </c>
      <c r="GDB1017" s="16" t="s">
        <v>4867</v>
      </c>
      <c r="GDC1017" s="16" t="s">
        <v>4867</v>
      </c>
      <c r="GDD1017" s="16" t="s">
        <v>4867</v>
      </c>
      <c r="GDE1017" s="16" t="s">
        <v>4867</v>
      </c>
      <c r="GDF1017" s="16" t="s">
        <v>4867</v>
      </c>
      <c r="GDG1017" s="16" t="s">
        <v>4867</v>
      </c>
      <c r="GDH1017" s="16" t="s">
        <v>4867</v>
      </c>
      <c r="GDI1017" s="16" t="s">
        <v>4867</v>
      </c>
      <c r="GDJ1017" s="16" t="s">
        <v>4867</v>
      </c>
      <c r="GDK1017" s="16" t="s">
        <v>4867</v>
      </c>
      <c r="GDL1017" s="16" t="s">
        <v>4867</v>
      </c>
      <c r="GDM1017" s="16" t="s">
        <v>4867</v>
      </c>
      <c r="GDN1017" s="16" t="s">
        <v>4867</v>
      </c>
      <c r="GDO1017" s="16" t="s">
        <v>4867</v>
      </c>
      <c r="GDP1017" s="16" t="s">
        <v>4867</v>
      </c>
      <c r="GDQ1017" s="16" t="s">
        <v>4867</v>
      </c>
      <c r="GDR1017" s="16" t="s">
        <v>4867</v>
      </c>
      <c r="GDS1017" s="16" t="s">
        <v>4867</v>
      </c>
      <c r="GDT1017" s="16" t="s">
        <v>4867</v>
      </c>
      <c r="GDU1017" s="16" t="s">
        <v>4867</v>
      </c>
      <c r="GDV1017" s="16" t="s">
        <v>4867</v>
      </c>
      <c r="GDW1017" s="16" t="s">
        <v>4867</v>
      </c>
      <c r="GDX1017" s="16" t="s">
        <v>4867</v>
      </c>
      <c r="GDY1017" s="16" t="s">
        <v>4867</v>
      </c>
      <c r="GDZ1017" s="16" t="s">
        <v>4867</v>
      </c>
      <c r="GEA1017" s="16" t="s">
        <v>4867</v>
      </c>
      <c r="GEB1017" s="16" t="s">
        <v>4867</v>
      </c>
      <c r="GEC1017" s="16" t="s">
        <v>4867</v>
      </c>
      <c r="GED1017" s="16" t="s">
        <v>4867</v>
      </c>
      <c r="GEE1017" s="16" t="s">
        <v>4867</v>
      </c>
      <c r="GEF1017" s="16" t="s">
        <v>4867</v>
      </c>
      <c r="GEG1017" s="16" t="s">
        <v>4867</v>
      </c>
      <c r="GEH1017" s="16" t="s">
        <v>4867</v>
      </c>
      <c r="GEI1017" s="16" t="s">
        <v>4867</v>
      </c>
      <c r="GEJ1017" s="16" t="s">
        <v>4867</v>
      </c>
      <c r="GEK1017" s="16" t="s">
        <v>4867</v>
      </c>
      <c r="GEL1017" s="16" t="s">
        <v>4867</v>
      </c>
      <c r="GEM1017" s="16" t="s">
        <v>4867</v>
      </c>
      <c r="GEN1017" s="16" t="s">
        <v>4867</v>
      </c>
      <c r="GEO1017" s="16" t="s">
        <v>4867</v>
      </c>
      <c r="GEP1017" s="16" t="s">
        <v>4867</v>
      </c>
      <c r="GEQ1017" s="16" t="s">
        <v>4867</v>
      </c>
      <c r="GER1017" s="16" t="s">
        <v>4867</v>
      </c>
      <c r="GES1017" s="16" t="s">
        <v>4867</v>
      </c>
      <c r="GET1017" s="16" t="s">
        <v>4867</v>
      </c>
      <c r="GEU1017" s="16" t="s">
        <v>4867</v>
      </c>
      <c r="GEV1017" s="16" t="s">
        <v>4867</v>
      </c>
      <c r="GEW1017" s="16" t="s">
        <v>4867</v>
      </c>
      <c r="GEX1017" s="16" t="s">
        <v>4867</v>
      </c>
      <c r="GEY1017" s="16" t="s">
        <v>4867</v>
      </c>
      <c r="GEZ1017" s="16" t="s">
        <v>4867</v>
      </c>
      <c r="GFA1017" s="16" t="s">
        <v>4867</v>
      </c>
      <c r="GFB1017" s="16" t="s">
        <v>4867</v>
      </c>
      <c r="GFC1017" s="16" t="s">
        <v>4867</v>
      </c>
      <c r="GFD1017" s="16" t="s">
        <v>4867</v>
      </c>
      <c r="GFE1017" s="16" t="s">
        <v>4867</v>
      </c>
      <c r="GFF1017" s="16" t="s">
        <v>4867</v>
      </c>
      <c r="GFG1017" s="16" t="s">
        <v>4867</v>
      </c>
      <c r="GFH1017" s="16" t="s">
        <v>4867</v>
      </c>
      <c r="GFI1017" s="16" t="s">
        <v>4867</v>
      </c>
      <c r="GFJ1017" s="16" t="s">
        <v>4867</v>
      </c>
      <c r="GFK1017" s="16" t="s">
        <v>4867</v>
      </c>
      <c r="GFL1017" s="16" t="s">
        <v>4867</v>
      </c>
      <c r="GFM1017" s="16" t="s">
        <v>4867</v>
      </c>
      <c r="GFN1017" s="16" t="s">
        <v>4867</v>
      </c>
      <c r="GFO1017" s="16" t="s">
        <v>4867</v>
      </c>
      <c r="GFP1017" s="16" t="s">
        <v>4867</v>
      </c>
      <c r="GFQ1017" s="16" t="s">
        <v>4867</v>
      </c>
      <c r="GFR1017" s="16" t="s">
        <v>4867</v>
      </c>
      <c r="GFS1017" s="16" t="s">
        <v>4867</v>
      </c>
      <c r="GFT1017" s="16" t="s">
        <v>4867</v>
      </c>
      <c r="GFU1017" s="16" t="s">
        <v>4867</v>
      </c>
      <c r="GFV1017" s="16" t="s">
        <v>4867</v>
      </c>
      <c r="GFW1017" s="16" t="s">
        <v>4867</v>
      </c>
      <c r="GFX1017" s="16" t="s">
        <v>4867</v>
      </c>
      <c r="GFY1017" s="16" t="s">
        <v>4867</v>
      </c>
      <c r="GFZ1017" s="16" t="s">
        <v>4867</v>
      </c>
      <c r="GGA1017" s="16" t="s">
        <v>4867</v>
      </c>
      <c r="GGB1017" s="16" t="s">
        <v>4867</v>
      </c>
      <c r="GGC1017" s="16" t="s">
        <v>4867</v>
      </c>
      <c r="GGD1017" s="16" t="s">
        <v>4867</v>
      </c>
      <c r="GGE1017" s="16" t="s">
        <v>4867</v>
      </c>
      <c r="GGF1017" s="16" t="s">
        <v>4867</v>
      </c>
      <c r="GGG1017" s="16" t="s">
        <v>4867</v>
      </c>
      <c r="GGH1017" s="16" t="s">
        <v>4867</v>
      </c>
      <c r="GGI1017" s="16" t="s">
        <v>4867</v>
      </c>
      <c r="GGJ1017" s="16" t="s">
        <v>4867</v>
      </c>
      <c r="GGK1017" s="16" t="s">
        <v>4867</v>
      </c>
      <c r="GGL1017" s="16" t="s">
        <v>4867</v>
      </c>
      <c r="GGM1017" s="16" t="s">
        <v>4867</v>
      </c>
      <c r="GGN1017" s="16" t="s">
        <v>4867</v>
      </c>
      <c r="GGO1017" s="16" t="s">
        <v>4867</v>
      </c>
      <c r="GGP1017" s="16" t="s">
        <v>4867</v>
      </c>
      <c r="GGQ1017" s="16" t="s">
        <v>4867</v>
      </c>
      <c r="GGR1017" s="16" t="s">
        <v>4867</v>
      </c>
      <c r="GGS1017" s="16" t="s">
        <v>4867</v>
      </c>
      <c r="GGT1017" s="16" t="s">
        <v>4867</v>
      </c>
      <c r="GGU1017" s="16" t="s">
        <v>4867</v>
      </c>
      <c r="GGV1017" s="16" t="s">
        <v>4867</v>
      </c>
      <c r="GGW1017" s="16" t="s">
        <v>4867</v>
      </c>
      <c r="GGX1017" s="16" t="s">
        <v>4867</v>
      </c>
      <c r="GGY1017" s="16" t="s">
        <v>4867</v>
      </c>
      <c r="GGZ1017" s="16" t="s">
        <v>4867</v>
      </c>
      <c r="GHA1017" s="16" t="s">
        <v>4867</v>
      </c>
      <c r="GHB1017" s="16" t="s">
        <v>4867</v>
      </c>
      <c r="GHC1017" s="16" t="s">
        <v>4867</v>
      </c>
      <c r="GHD1017" s="16" t="s">
        <v>4867</v>
      </c>
      <c r="GHE1017" s="16" t="s">
        <v>4867</v>
      </c>
      <c r="GHF1017" s="16" t="s">
        <v>4867</v>
      </c>
      <c r="GHG1017" s="16" t="s">
        <v>4867</v>
      </c>
      <c r="GHH1017" s="16" t="s">
        <v>4867</v>
      </c>
      <c r="GHI1017" s="16" t="s">
        <v>4867</v>
      </c>
      <c r="GHJ1017" s="16" t="s">
        <v>4867</v>
      </c>
      <c r="GHK1017" s="16" t="s">
        <v>4867</v>
      </c>
      <c r="GHL1017" s="16" t="s">
        <v>4867</v>
      </c>
      <c r="GHM1017" s="16" t="s">
        <v>4867</v>
      </c>
      <c r="GHN1017" s="16" t="s">
        <v>4867</v>
      </c>
      <c r="GHO1017" s="16" t="s">
        <v>4867</v>
      </c>
      <c r="GHP1017" s="16" t="s">
        <v>4867</v>
      </c>
      <c r="GHQ1017" s="16" t="s">
        <v>4867</v>
      </c>
      <c r="GHR1017" s="16" t="s">
        <v>4867</v>
      </c>
      <c r="GHS1017" s="16" t="s">
        <v>4867</v>
      </c>
      <c r="GHT1017" s="16" t="s">
        <v>4867</v>
      </c>
      <c r="GHU1017" s="16" t="s">
        <v>4867</v>
      </c>
      <c r="GHV1017" s="16" t="s">
        <v>4867</v>
      </c>
      <c r="GHW1017" s="16" t="s">
        <v>4867</v>
      </c>
      <c r="GHX1017" s="16" t="s">
        <v>4867</v>
      </c>
      <c r="GHY1017" s="16" t="s">
        <v>4867</v>
      </c>
      <c r="GHZ1017" s="16" t="s">
        <v>4867</v>
      </c>
      <c r="GIA1017" s="16" t="s">
        <v>4867</v>
      </c>
      <c r="GIB1017" s="16" t="s">
        <v>4867</v>
      </c>
      <c r="GIC1017" s="16" t="s">
        <v>4867</v>
      </c>
      <c r="GID1017" s="16" t="s">
        <v>4867</v>
      </c>
      <c r="GIE1017" s="16" t="s">
        <v>4867</v>
      </c>
      <c r="GIF1017" s="16" t="s">
        <v>4867</v>
      </c>
      <c r="GIG1017" s="16" t="s">
        <v>4867</v>
      </c>
      <c r="GIH1017" s="16" t="s">
        <v>4867</v>
      </c>
      <c r="GII1017" s="16" t="s">
        <v>4867</v>
      </c>
      <c r="GIJ1017" s="16" t="s">
        <v>4867</v>
      </c>
      <c r="GIK1017" s="16" t="s">
        <v>4867</v>
      </c>
      <c r="GIL1017" s="16" t="s">
        <v>4867</v>
      </c>
      <c r="GIM1017" s="16" t="s">
        <v>4867</v>
      </c>
      <c r="GIN1017" s="16" t="s">
        <v>4867</v>
      </c>
      <c r="GIO1017" s="16" t="s">
        <v>4867</v>
      </c>
      <c r="GIP1017" s="16" t="s">
        <v>4867</v>
      </c>
      <c r="GIQ1017" s="16" t="s">
        <v>4867</v>
      </c>
      <c r="GIR1017" s="16" t="s">
        <v>4867</v>
      </c>
      <c r="GIS1017" s="16" t="s">
        <v>4867</v>
      </c>
      <c r="GIT1017" s="16" t="s">
        <v>4867</v>
      </c>
      <c r="GIU1017" s="16" t="s">
        <v>4867</v>
      </c>
      <c r="GIV1017" s="16" t="s">
        <v>4867</v>
      </c>
      <c r="GIW1017" s="16" t="s">
        <v>4867</v>
      </c>
      <c r="GIX1017" s="16" t="s">
        <v>4867</v>
      </c>
      <c r="GIY1017" s="16" t="s">
        <v>4867</v>
      </c>
      <c r="GIZ1017" s="16" t="s">
        <v>4867</v>
      </c>
      <c r="GJA1017" s="16" t="s">
        <v>4867</v>
      </c>
      <c r="GJB1017" s="16" t="s">
        <v>4867</v>
      </c>
      <c r="GJC1017" s="16" t="s">
        <v>4867</v>
      </c>
      <c r="GJD1017" s="16" t="s">
        <v>4867</v>
      </c>
      <c r="GJE1017" s="16" t="s">
        <v>4867</v>
      </c>
      <c r="GJF1017" s="16" t="s">
        <v>4867</v>
      </c>
      <c r="GJG1017" s="16" t="s">
        <v>4867</v>
      </c>
      <c r="GJH1017" s="16" t="s">
        <v>4867</v>
      </c>
      <c r="GJI1017" s="16" t="s">
        <v>4867</v>
      </c>
      <c r="GJJ1017" s="16" t="s">
        <v>4867</v>
      </c>
      <c r="GJK1017" s="16" t="s">
        <v>4867</v>
      </c>
      <c r="GJL1017" s="16" t="s">
        <v>4867</v>
      </c>
      <c r="GJM1017" s="16" t="s">
        <v>4867</v>
      </c>
      <c r="GJN1017" s="16" t="s">
        <v>4867</v>
      </c>
      <c r="GJO1017" s="16" t="s">
        <v>4867</v>
      </c>
      <c r="GJP1017" s="16" t="s">
        <v>4867</v>
      </c>
      <c r="GJQ1017" s="16" t="s">
        <v>4867</v>
      </c>
      <c r="GJR1017" s="16" t="s">
        <v>4867</v>
      </c>
      <c r="GJS1017" s="16" t="s">
        <v>4867</v>
      </c>
      <c r="GJT1017" s="16" t="s">
        <v>4867</v>
      </c>
      <c r="GJU1017" s="16" t="s">
        <v>4867</v>
      </c>
      <c r="GJV1017" s="16" t="s">
        <v>4867</v>
      </c>
      <c r="GJW1017" s="16" t="s">
        <v>4867</v>
      </c>
      <c r="GJX1017" s="16" t="s">
        <v>4867</v>
      </c>
      <c r="GJY1017" s="16" t="s">
        <v>4867</v>
      </c>
      <c r="GJZ1017" s="16" t="s">
        <v>4867</v>
      </c>
      <c r="GKA1017" s="16" t="s">
        <v>4867</v>
      </c>
      <c r="GKB1017" s="16" t="s">
        <v>4867</v>
      </c>
      <c r="GKC1017" s="16" t="s">
        <v>4867</v>
      </c>
      <c r="GKD1017" s="16" t="s">
        <v>4867</v>
      </c>
      <c r="GKE1017" s="16" t="s">
        <v>4867</v>
      </c>
      <c r="GKF1017" s="16" t="s">
        <v>4867</v>
      </c>
      <c r="GKG1017" s="16" t="s">
        <v>4867</v>
      </c>
      <c r="GKH1017" s="16" t="s">
        <v>4867</v>
      </c>
      <c r="GKI1017" s="16" t="s">
        <v>4867</v>
      </c>
      <c r="GKJ1017" s="16" t="s">
        <v>4867</v>
      </c>
      <c r="GKK1017" s="16" t="s">
        <v>4867</v>
      </c>
      <c r="GKL1017" s="16" t="s">
        <v>4867</v>
      </c>
      <c r="GKM1017" s="16" t="s">
        <v>4867</v>
      </c>
      <c r="GKN1017" s="16" t="s">
        <v>4867</v>
      </c>
      <c r="GKO1017" s="16" t="s">
        <v>4867</v>
      </c>
      <c r="GKP1017" s="16" t="s">
        <v>4867</v>
      </c>
      <c r="GKQ1017" s="16" t="s">
        <v>4867</v>
      </c>
      <c r="GKR1017" s="16" t="s">
        <v>4867</v>
      </c>
      <c r="GKS1017" s="16" t="s">
        <v>4867</v>
      </c>
      <c r="GKT1017" s="16" t="s">
        <v>4867</v>
      </c>
      <c r="GKU1017" s="16" t="s">
        <v>4867</v>
      </c>
      <c r="GKV1017" s="16" t="s">
        <v>4867</v>
      </c>
      <c r="GKW1017" s="16" t="s">
        <v>4867</v>
      </c>
      <c r="GKX1017" s="16" t="s">
        <v>4867</v>
      </c>
      <c r="GKY1017" s="16" t="s">
        <v>4867</v>
      </c>
      <c r="GKZ1017" s="16" t="s">
        <v>4867</v>
      </c>
      <c r="GLA1017" s="16" t="s">
        <v>4867</v>
      </c>
      <c r="GLB1017" s="16" t="s">
        <v>4867</v>
      </c>
      <c r="GLC1017" s="16" t="s">
        <v>4867</v>
      </c>
      <c r="GLD1017" s="16" t="s">
        <v>4867</v>
      </c>
      <c r="GLE1017" s="16" t="s">
        <v>4867</v>
      </c>
      <c r="GLF1017" s="16" t="s">
        <v>4867</v>
      </c>
      <c r="GLG1017" s="16" t="s">
        <v>4867</v>
      </c>
      <c r="GLH1017" s="16" t="s">
        <v>4867</v>
      </c>
      <c r="GLI1017" s="16" t="s">
        <v>4867</v>
      </c>
      <c r="GLJ1017" s="16" t="s">
        <v>4867</v>
      </c>
      <c r="GLK1017" s="16" t="s">
        <v>4867</v>
      </c>
      <c r="GLL1017" s="16" t="s">
        <v>4867</v>
      </c>
      <c r="GLM1017" s="16" t="s">
        <v>4867</v>
      </c>
      <c r="GLN1017" s="16" t="s">
        <v>4867</v>
      </c>
      <c r="GLO1017" s="16" t="s">
        <v>4867</v>
      </c>
      <c r="GLP1017" s="16" t="s">
        <v>4867</v>
      </c>
      <c r="GLQ1017" s="16" t="s">
        <v>4867</v>
      </c>
      <c r="GLR1017" s="16" t="s">
        <v>4867</v>
      </c>
      <c r="GLS1017" s="16" t="s">
        <v>4867</v>
      </c>
      <c r="GLT1017" s="16" t="s">
        <v>4867</v>
      </c>
      <c r="GLU1017" s="16" t="s">
        <v>4867</v>
      </c>
      <c r="GLV1017" s="16" t="s">
        <v>4867</v>
      </c>
      <c r="GLW1017" s="16" t="s">
        <v>4867</v>
      </c>
      <c r="GLX1017" s="16" t="s">
        <v>4867</v>
      </c>
      <c r="GLY1017" s="16" t="s">
        <v>4867</v>
      </c>
      <c r="GLZ1017" s="16" t="s">
        <v>4867</v>
      </c>
      <c r="GMA1017" s="16" t="s">
        <v>4867</v>
      </c>
      <c r="GMB1017" s="16" t="s">
        <v>4867</v>
      </c>
      <c r="GMC1017" s="16" t="s">
        <v>4867</v>
      </c>
      <c r="GMD1017" s="16" t="s">
        <v>4867</v>
      </c>
      <c r="GME1017" s="16" t="s">
        <v>4867</v>
      </c>
      <c r="GMF1017" s="16" t="s">
        <v>4867</v>
      </c>
      <c r="GMG1017" s="16" t="s">
        <v>4867</v>
      </c>
      <c r="GMH1017" s="16" t="s">
        <v>4867</v>
      </c>
      <c r="GMI1017" s="16" t="s">
        <v>4867</v>
      </c>
      <c r="GMJ1017" s="16" t="s">
        <v>4867</v>
      </c>
      <c r="GMK1017" s="16" t="s">
        <v>4867</v>
      </c>
      <c r="GML1017" s="16" t="s">
        <v>4867</v>
      </c>
      <c r="GMM1017" s="16" t="s">
        <v>4867</v>
      </c>
      <c r="GMN1017" s="16" t="s">
        <v>4867</v>
      </c>
      <c r="GMO1017" s="16" t="s">
        <v>4867</v>
      </c>
      <c r="GMP1017" s="16" t="s">
        <v>4867</v>
      </c>
      <c r="GMQ1017" s="16" t="s">
        <v>4867</v>
      </c>
      <c r="GMR1017" s="16" t="s">
        <v>4867</v>
      </c>
      <c r="GMS1017" s="16" t="s">
        <v>4867</v>
      </c>
      <c r="GMT1017" s="16" t="s">
        <v>4867</v>
      </c>
      <c r="GMU1017" s="16" t="s">
        <v>4867</v>
      </c>
      <c r="GMV1017" s="16" t="s">
        <v>4867</v>
      </c>
      <c r="GMW1017" s="16" t="s">
        <v>4867</v>
      </c>
      <c r="GMX1017" s="16" t="s">
        <v>4867</v>
      </c>
      <c r="GMY1017" s="16" t="s">
        <v>4867</v>
      </c>
      <c r="GMZ1017" s="16" t="s">
        <v>4867</v>
      </c>
      <c r="GNA1017" s="16" t="s">
        <v>4867</v>
      </c>
      <c r="GNB1017" s="16" t="s">
        <v>4867</v>
      </c>
      <c r="GNC1017" s="16" t="s">
        <v>4867</v>
      </c>
      <c r="GND1017" s="16" t="s">
        <v>4867</v>
      </c>
      <c r="GNE1017" s="16" t="s">
        <v>4867</v>
      </c>
      <c r="GNF1017" s="16" t="s">
        <v>4867</v>
      </c>
      <c r="GNG1017" s="16" t="s">
        <v>4867</v>
      </c>
      <c r="GNH1017" s="16" t="s">
        <v>4867</v>
      </c>
      <c r="GNI1017" s="16" t="s">
        <v>4867</v>
      </c>
      <c r="GNJ1017" s="16" t="s">
        <v>4867</v>
      </c>
      <c r="GNK1017" s="16" t="s">
        <v>4867</v>
      </c>
      <c r="GNL1017" s="16" t="s">
        <v>4867</v>
      </c>
      <c r="GNM1017" s="16" t="s">
        <v>4867</v>
      </c>
      <c r="GNN1017" s="16" t="s">
        <v>4867</v>
      </c>
      <c r="GNO1017" s="16" t="s">
        <v>4867</v>
      </c>
      <c r="GNP1017" s="16" t="s">
        <v>4867</v>
      </c>
      <c r="GNQ1017" s="16" t="s">
        <v>4867</v>
      </c>
      <c r="GNR1017" s="16" t="s">
        <v>4867</v>
      </c>
      <c r="GNS1017" s="16" t="s">
        <v>4867</v>
      </c>
      <c r="GNT1017" s="16" t="s">
        <v>4867</v>
      </c>
      <c r="GNU1017" s="16" t="s">
        <v>4867</v>
      </c>
      <c r="GNV1017" s="16" t="s">
        <v>4867</v>
      </c>
      <c r="GNW1017" s="16" t="s">
        <v>4867</v>
      </c>
      <c r="GNX1017" s="16" t="s">
        <v>4867</v>
      </c>
      <c r="GNY1017" s="16" t="s">
        <v>4867</v>
      </c>
      <c r="GNZ1017" s="16" t="s">
        <v>4867</v>
      </c>
      <c r="GOA1017" s="16" t="s">
        <v>4867</v>
      </c>
      <c r="GOB1017" s="16" t="s">
        <v>4867</v>
      </c>
      <c r="GOC1017" s="16" t="s">
        <v>4867</v>
      </c>
      <c r="GOD1017" s="16" t="s">
        <v>4867</v>
      </c>
      <c r="GOE1017" s="16" t="s">
        <v>4867</v>
      </c>
      <c r="GOF1017" s="16" t="s">
        <v>4867</v>
      </c>
      <c r="GOG1017" s="16" t="s">
        <v>4867</v>
      </c>
      <c r="GOH1017" s="16" t="s">
        <v>4867</v>
      </c>
      <c r="GOI1017" s="16" t="s">
        <v>4867</v>
      </c>
      <c r="GOJ1017" s="16" t="s">
        <v>4867</v>
      </c>
      <c r="GOK1017" s="16" t="s">
        <v>4867</v>
      </c>
      <c r="GOL1017" s="16" t="s">
        <v>4867</v>
      </c>
      <c r="GOM1017" s="16" t="s">
        <v>4867</v>
      </c>
      <c r="GON1017" s="16" t="s">
        <v>4867</v>
      </c>
      <c r="GOO1017" s="16" t="s">
        <v>4867</v>
      </c>
      <c r="GOP1017" s="16" t="s">
        <v>4867</v>
      </c>
      <c r="GOQ1017" s="16" t="s">
        <v>4867</v>
      </c>
      <c r="GOR1017" s="16" t="s">
        <v>4867</v>
      </c>
      <c r="GOS1017" s="16" t="s">
        <v>4867</v>
      </c>
      <c r="GOT1017" s="16" t="s">
        <v>4867</v>
      </c>
      <c r="GOU1017" s="16" t="s">
        <v>4867</v>
      </c>
      <c r="GOV1017" s="16" t="s">
        <v>4867</v>
      </c>
      <c r="GOW1017" s="16" t="s">
        <v>4867</v>
      </c>
      <c r="GOX1017" s="16" t="s">
        <v>4867</v>
      </c>
      <c r="GOY1017" s="16" t="s">
        <v>4867</v>
      </c>
      <c r="GOZ1017" s="16" t="s">
        <v>4867</v>
      </c>
      <c r="GPA1017" s="16" t="s">
        <v>4867</v>
      </c>
      <c r="GPB1017" s="16" t="s">
        <v>4867</v>
      </c>
      <c r="GPC1017" s="16" t="s">
        <v>4867</v>
      </c>
      <c r="GPD1017" s="16" t="s">
        <v>4867</v>
      </c>
      <c r="GPE1017" s="16" t="s">
        <v>4867</v>
      </c>
      <c r="GPF1017" s="16" t="s">
        <v>4867</v>
      </c>
      <c r="GPG1017" s="16" t="s">
        <v>4867</v>
      </c>
      <c r="GPH1017" s="16" t="s">
        <v>4867</v>
      </c>
      <c r="GPI1017" s="16" t="s">
        <v>4867</v>
      </c>
      <c r="GPJ1017" s="16" t="s">
        <v>4867</v>
      </c>
      <c r="GPK1017" s="16" t="s">
        <v>4867</v>
      </c>
      <c r="GPL1017" s="16" t="s">
        <v>4867</v>
      </c>
      <c r="GPM1017" s="16" t="s">
        <v>4867</v>
      </c>
      <c r="GPN1017" s="16" t="s">
        <v>4867</v>
      </c>
      <c r="GPO1017" s="16" t="s">
        <v>4867</v>
      </c>
      <c r="GPP1017" s="16" t="s">
        <v>4867</v>
      </c>
      <c r="GPQ1017" s="16" t="s">
        <v>4867</v>
      </c>
      <c r="GPR1017" s="16" t="s">
        <v>4867</v>
      </c>
      <c r="GPS1017" s="16" t="s">
        <v>4867</v>
      </c>
      <c r="GPT1017" s="16" t="s">
        <v>4867</v>
      </c>
      <c r="GPU1017" s="16" t="s">
        <v>4867</v>
      </c>
      <c r="GPV1017" s="16" t="s">
        <v>4867</v>
      </c>
      <c r="GPW1017" s="16" t="s">
        <v>4867</v>
      </c>
      <c r="GPX1017" s="16" t="s">
        <v>4867</v>
      </c>
      <c r="GPY1017" s="16" t="s">
        <v>4867</v>
      </c>
      <c r="GPZ1017" s="16" t="s">
        <v>4867</v>
      </c>
      <c r="GQA1017" s="16" t="s">
        <v>4867</v>
      </c>
      <c r="GQB1017" s="16" t="s">
        <v>4867</v>
      </c>
      <c r="GQC1017" s="16" t="s">
        <v>4867</v>
      </c>
      <c r="GQD1017" s="16" t="s">
        <v>4867</v>
      </c>
      <c r="GQE1017" s="16" t="s">
        <v>4867</v>
      </c>
      <c r="GQF1017" s="16" t="s">
        <v>4867</v>
      </c>
      <c r="GQG1017" s="16" t="s">
        <v>4867</v>
      </c>
      <c r="GQH1017" s="16" t="s">
        <v>4867</v>
      </c>
      <c r="GQI1017" s="16" t="s">
        <v>4867</v>
      </c>
      <c r="GQJ1017" s="16" t="s">
        <v>4867</v>
      </c>
      <c r="GQK1017" s="16" t="s">
        <v>4867</v>
      </c>
      <c r="GQL1017" s="16" t="s">
        <v>4867</v>
      </c>
      <c r="GQM1017" s="16" t="s">
        <v>4867</v>
      </c>
      <c r="GQN1017" s="16" t="s">
        <v>4867</v>
      </c>
      <c r="GQO1017" s="16" t="s">
        <v>4867</v>
      </c>
      <c r="GQP1017" s="16" t="s">
        <v>4867</v>
      </c>
      <c r="GQQ1017" s="16" t="s">
        <v>4867</v>
      </c>
      <c r="GQR1017" s="16" t="s">
        <v>4867</v>
      </c>
      <c r="GQS1017" s="16" t="s">
        <v>4867</v>
      </c>
      <c r="GQT1017" s="16" t="s">
        <v>4867</v>
      </c>
      <c r="GQU1017" s="16" t="s">
        <v>4867</v>
      </c>
      <c r="GQV1017" s="16" t="s">
        <v>4867</v>
      </c>
      <c r="GQW1017" s="16" t="s">
        <v>4867</v>
      </c>
      <c r="GQX1017" s="16" t="s">
        <v>4867</v>
      </c>
      <c r="GQY1017" s="16" t="s">
        <v>4867</v>
      </c>
      <c r="GQZ1017" s="16" t="s">
        <v>4867</v>
      </c>
      <c r="GRA1017" s="16" t="s">
        <v>4867</v>
      </c>
      <c r="GRB1017" s="16" t="s">
        <v>4867</v>
      </c>
      <c r="GRC1017" s="16" t="s">
        <v>4867</v>
      </c>
      <c r="GRD1017" s="16" t="s">
        <v>4867</v>
      </c>
      <c r="GRE1017" s="16" t="s">
        <v>4867</v>
      </c>
      <c r="GRF1017" s="16" t="s">
        <v>4867</v>
      </c>
      <c r="GRG1017" s="16" t="s">
        <v>4867</v>
      </c>
      <c r="GRH1017" s="16" t="s">
        <v>4867</v>
      </c>
      <c r="GRI1017" s="16" t="s">
        <v>4867</v>
      </c>
      <c r="GRJ1017" s="16" t="s">
        <v>4867</v>
      </c>
      <c r="GRK1017" s="16" t="s">
        <v>4867</v>
      </c>
      <c r="GRL1017" s="16" t="s">
        <v>4867</v>
      </c>
      <c r="GRM1017" s="16" t="s">
        <v>4867</v>
      </c>
      <c r="GRN1017" s="16" t="s">
        <v>4867</v>
      </c>
      <c r="GRO1017" s="16" t="s">
        <v>4867</v>
      </c>
      <c r="GRP1017" s="16" t="s">
        <v>4867</v>
      </c>
      <c r="GRQ1017" s="16" t="s">
        <v>4867</v>
      </c>
      <c r="GRR1017" s="16" t="s">
        <v>4867</v>
      </c>
      <c r="GRS1017" s="16" t="s">
        <v>4867</v>
      </c>
      <c r="GRT1017" s="16" t="s">
        <v>4867</v>
      </c>
      <c r="GRU1017" s="16" t="s">
        <v>4867</v>
      </c>
      <c r="GRV1017" s="16" t="s">
        <v>4867</v>
      </c>
      <c r="GRW1017" s="16" t="s">
        <v>4867</v>
      </c>
      <c r="GRX1017" s="16" t="s">
        <v>4867</v>
      </c>
      <c r="GRY1017" s="16" t="s">
        <v>4867</v>
      </c>
      <c r="GRZ1017" s="16" t="s">
        <v>4867</v>
      </c>
      <c r="GSA1017" s="16" t="s">
        <v>4867</v>
      </c>
      <c r="GSB1017" s="16" t="s">
        <v>4867</v>
      </c>
      <c r="GSC1017" s="16" t="s">
        <v>4867</v>
      </c>
      <c r="GSD1017" s="16" t="s">
        <v>4867</v>
      </c>
      <c r="GSE1017" s="16" t="s">
        <v>4867</v>
      </c>
      <c r="GSF1017" s="16" t="s">
        <v>4867</v>
      </c>
      <c r="GSG1017" s="16" t="s">
        <v>4867</v>
      </c>
      <c r="GSH1017" s="16" t="s">
        <v>4867</v>
      </c>
      <c r="GSI1017" s="16" t="s">
        <v>4867</v>
      </c>
      <c r="GSJ1017" s="16" t="s">
        <v>4867</v>
      </c>
      <c r="GSK1017" s="16" t="s">
        <v>4867</v>
      </c>
      <c r="GSL1017" s="16" t="s">
        <v>4867</v>
      </c>
      <c r="GSM1017" s="16" t="s">
        <v>4867</v>
      </c>
      <c r="GSN1017" s="16" t="s">
        <v>4867</v>
      </c>
      <c r="GSO1017" s="16" t="s">
        <v>4867</v>
      </c>
      <c r="GSP1017" s="16" t="s">
        <v>4867</v>
      </c>
      <c r="GSQ1017" s="16" t="s">
        <v>4867</v>
      </c>
      <c r="GSR1017" s="16" t="s">
        <v>4867</v>
      </c>
      <c r="GSS1017" s="16" t="s">
        <v>4867</v>
      </c>
      <c r="GST1017" s="16" t="s">
        <v>4867</v>
      </c>
      <c r="GSU1017" s="16" t="s">
        <v>4867</v>
      </c>
      <c r="GSV1017" s="16" t="s">
        <v>4867</v>
      </c>
      <c r="GSW1017" s="16" t="s">
        <v>4867</v>
      </c>
      <c r="GSX1017" s="16" t="s">
        <v>4867</v>
      </c>
      <c r="GSY1017" s="16" t="s">
        <v>4867</v>
      </c>
      <c r="GSZ1017" s="16" t="s">
        <v>4867</v>
      </c>
      <c r="GTA1017" s="16" t="s">
        <v>4867</v>
      </c>
      <c r="GTB1017" s="16" t="s">
        <v>4867</v>
      </c>
      <c r="GTC1017" s="16" t="s">
        <v>4867</v>
      </c>
      <c r="GTD1017" s="16" t="s">
        <v>4867</v>
      </c>
      <c r="GTE1017" s="16" t="s">
        <v>4867</v>
      </c>
      <c r="GTF1017" s="16" t="s">
        <v>4867</v>
      </c>
      <c r="GTG1017" s="16" t="s">
        <v>4867</v>
      </c>
      <c r="GTH1017" s="16" t="s">
        <v>4867</v>
      </c>
      <c r="GTI1017" s="16" t="s">
        <v>4867</v>
      </c>
      <c r="GTJ1017" s="16" t="s">
        <v>4867</v>
      </c>
      <c r="GTK1017" s="16" t="s">
        <v>4867</v>
      </c>
      <c r="GTL1017" s="16" t="s">
        <v>4867</v>
      </c>
      <c r="GTM1017" s="16" t="s">
        <v>4867</v>
      </c>
      <c r="GTN1017" s="16" t="s">
        <v>4867</v>
      </c>
      <c r="GTO1017" s="16" t="s">
        <v>4867</v>
      </c>
      <c r="GTP1017" s="16" t="s">
        <v>4867</v>
      </c>
      <c r="GTQ1017" s="16" t="s">
        <v>4867</v>
      </c>
      <c r="GTR1017" s="16" t="s">
        <v>4867</v>
      </c>
      <c r="GTS1017" s="16" t="s">
        <v>4867</v>
      </c>
      <c r="GTT1017" s="16" t="s">
        <v>4867</v>
      </c>
      <c r="GTU1017" s="16" t="s">
        <v>4867</v>
      </c>
      <c r="GTV1017" s="16" t="s">
        <v>4867</v>
      </c>
      <c r="GTW1017" s="16" t="s">
        <v>4867</v>
      </c>
      <c r="GTX1017" s="16" t="s">
        <v>4867</v>
      </c>
      <c r="GTY1017" s="16" t="s">
        <v>4867</v>
      </c>
      <c r="GTZ1017" s="16" t="s">
        <v>4867</v>
      </c>
      <c r="GUA1017" s="16" t="s">
        <v>4867</v>
      </c>
      <c r="GUB1017" s="16" t="s">
        <v>4867</v>
      </c>
      <c r="GUC1017" s="16" t="s">
        <v>4867</v>
      </c>
      <c r="GUD1017" s="16" t="s">
        <v>4867</v>
      </c>
      <c r="GUE1017" s="16" t="s">
        <v>4867</v>
      </c>
      <c r="GUF1017" s="16" t="s">
        <v>4867</v>
      </c>
      <c r="GUG1017" s="16" t="s">
        <v>4867</v>
      </c>
      <c r="GUH1017" s="16" t="s">
        <v>4867</v>
      </c>
      <c r="GUI1017" s="16" t="s">
        <v>4867</v>
      </c>
      <c r="GUJ1017" s="16" t="s">
        <v>4867</v>
      </c>
      <c r="GUK1017" s="16" t="s">
        <v>4867</v>
      </c>
      <c r="GUL1017" s="16" t="s">
        <v>4867</v>
      </c>
      <c r="GUM1017" s="16" t="s">
        <v>4867</v>
      </c>
      <c r="GUN1017" s="16" t="s">
        <v>4867</v>
      </c>
      <c r="GUO1017" s="16" t="s">
        <v>4867</v>
      </c>
      <c r="GUP1017" s="16" t="s">
        <v>4867</v>
      </c>
      <c r="GUQ1017" s="16" t="s">
        <v>4867</v>
      </c>
      <c r="GUR1017" s="16" t="s">
        <v>4867</v>
      </c>
      <c r="GUS1017" s="16" t="s">
        <v>4867</v>
      </c>
      <c r="GUT1017" s="16" t="s">
        <v>4867</v>
      </c>
      <c r="GUU1017" s="16" t="s">
        <v>4867</v>
      </c>
      <c r="GUV1017" s="16" t="s">
        <v>4867</v>
      </c>
      <c r="GUW1017" s="16" t="s">
        <v>4867</v>
      </c>
      <c r="GUX1017" s="16" t="s">
        <v>4867</v>
      </c>
      <c r="GUY1017" s="16" t="s">
        <v>4867</v>
      </c>
      <c r="GUZ1017" s="16" t="s">
        <v>4867</v>
      </c>
      <c r="GVA1017" s="16" t="s">
        <v>4867</v>
      </c>
      <c r="GVB1017" s="16" t="s">
        <v>4867</v>
      </c>
      <c r="GVC1017" s="16" t="s">
        <v>4867</v>
      </c>
      <c r="GVD1017" s="16" t="s">
        <v>4867</v>
      </c>
      <c r="GVE1017" s="16" t="s">
        <v>4867</v>
      </c>
      <c r="GVF1017" s="16" t="s">
        <v>4867</v>
      </c>
      <c r="GVG1017" s="16" t="s">
        <v>4867</v>
      </c>
      <c r="GVH1017" s="16" t="s">
        <v>4867</v>
      </c>
      <c r="GVI1017" s="16" t="s">
        <v>4867</v>
      </c>
      <c r="GVJ1017" s="16" t="s">
        <v>4867</v>
      </c>
      <c r="GVK1017" s="16" t="s">
        <v>4867</v>
      </c>
      <c r="GVL1017" s="16" t="s">
        <v>4867</v>
      </c>
      <c r="GVM1017" s="16" t="s">
        <v>4867</v>
      </c>
      <c r="GVN1017" s="16" t="s">
        <v>4867</v>
      </c>
      <c r="GVO1017" s="16" t="s">
        <v>4867</v>
      </c>
      <c r="GVP1017" s="16" t="s">
        <v>4867</v>
      </c>
      <c r="GVQ1017" s="16" t="s">
        <v>4867</v>
      </c>
      <c r="GVR1017" s="16" t="s">
        <v>4867</v>
      </c>
      <c r="GVS1017" s="16" t="s">
        <v>4867</v>
      </c>
      <c r="GVT1017" s="16" t="s">
        <v>4867</v>
      </c>
      <c r="GVU1017" s="16" t="s">
        <v>4867</v>
      </c>
      <c r="GVV1017" s="16" t="s">
        <v>4867</v>
      </c>
      <c r="GVW1017" s="16" t="s">
        <v>4867</v>
      </c>
      <c r="GVX1017" s="16" t="s">
        <v>4867</v>
      </c>
      <c r="GVY1017" s="16" t="s">
        <v>4867</v>
      </c>
      <c r="GVZ1017" s="16" t="s">
        <v>4867</v>
      </c>
      <c r="GWA1017" s="16" t="s">
        <v>4867</v>
      </c>
      <c r="GWB1017" s="16" t="s">
        <v>4867</v>
      </c>
      <c r="GWC1017" s="16" t="s">
        <v>4867</v>
      </c>
      <c r="GWD1017" s="16" t="s">
        <v>4867</v>
      </c>
      <c r="GWE1017" s="16" t="s">
        <v>4867</v>
      </c>
      <c r="GWF1017" s="16" t="s">
        <v>4867</v>
      </c>
      <c r="GWG1017" s="16" t="s">
        <v>4867</v>
      </c>
      <c r="GWH1017" s="16" t="s">
        <v>4867</v>
      </c>
      <c r="GWI1017" s="16" t="s">
        <v>4867</v>
      </c>
      <c r="GWJ1017" s="16" t="s">
        <v>4867</v>
      </c>
      <c r="GWK1017" s="16" t="s">
        <v>4867</v>
      </c>
      <c r="GWL1017" s="16" t="s">
        <v>4867</v>
      </c>
      <c r="GWM1017" s="16" t="s">
        <v>4867</v>
      </c>
      <c r="GWN1017" s="16" t="s">
        <v>4867</v>
      </c>
      <c r="GWO1017" s="16" t="s">
        <v>4867</v>
      </c>
      <c r="GWP1017" s="16" t="s">
        <v>4867</v>
      </c>
      <c r="GWQ1017" s="16" t="s">
        <v>4867</v>
      </c>
      <c r="GWR1017" s="16" t="s">
        <v>4867</v>
      </c>
      <c r="GWS1017" s="16" t="s">
        <v>4867</v>
      </c>
      <c r="GWT1017" s="16" t="s">
        <v>4867</v>
      </c>
      <c r="GWU1017" s="16" t="s">
        <v>4867</v>
      </c>
      <c r="GWV1017" s="16" t="s">
        <v>4867</v>
      </c>
      <c r="GWW1017" s="16" t="s">
        <v>4867</v>
      </c>
      <c r="GWX1017" s="16" t="s">
        <v>4867</v>
      </c>
      <c r="GWY1017" s="16" t="s">
        <v>4867</v>
      </c>
      <c r="GWZ1017" s="16" t="s">
        <v>4867</v>
      </c>
      <c r="GXA1017" s="16" t="s">
        <v>4867</v>
      </c>
      <c r="GXB1017" s="16" t="s">
        <v>4867</v>
      </c>
      <c r="GXC1017" s="16" t="s">
        <v>4867</v>
      </c>
      <c r="GXD1017" s="16" t="s">
        <v>4867</v>
      </c>
      <c r="GXE1017" s="16" t="s">
        <v>4867</v>
      </c>
      <c r="GXF1017" s="16" t="s">
        <v>4867</v>
      </c>
      <c r="GXG1017" s="16" t="s">
        <v>4867</v>
      </c>
      <c r="GXH1017" s="16" t="s">
        <v>4867</v>
      </c>
      <c r="GXI1017" s="16" t="s">
        <v>4867</v>
      </c>
      <c r="GXJ1017" s="16" t="s">
        <v>4867</v>
      </c>
      <c r="GXK1017" s="16" t="s">
        <v>4867</v>
      </c>
      <c r="GXL1017" s="16" t="s">
        <v>4867</v>
      </c>
      <c r="GXM1017" s="16" t="s">
        <v>4867</v>
      </c>
      <c r="GXN1017" s="16" t="s">
        <v>4867</v>
      </c>
      <c r="GXO1017" s="16" t="s">
        <v>4867</v>
      </c>
      <c r="GXP1017" s="16" t="s">
        <v>4867</v>
      </c>
      <c r="GXQ1017" s="16" t="s">
        <v>4867</v>
      </c>
      <c r="GXR1017" s="16" t="s">
        <v>4867</v>
      </c>
      <c r="GXS1017" s="16" t="s">
        <v>4867</v>
      </c>
      <c r="GXT1017" s="16" t="s">
        <v>4867</v>
      </c>
      <c r="GXU1017" s="16" t="s">
        <v>4867</v>
      </c>
      <c r="GXV1017" s="16" t="s">
        <v>4867</v>
      </c>
      <c r="GXW1017" s="16" t="s">
        <v>4867</v>
      </c>
      <c r="GXX1017" s="16" t="s">
        <v>4867</v>
      </c>
      <c r="GXY1017" s="16" t="s">
        <v>4867</v>
      </c>
      <c r="GXZ1017" s="16" t="s">
        <v>4867</v>
      </c>
      <c r="GYA1017" s="16" t="s">
        <v>4867</v>
      </c>
      <c r="GYB1017" s="16" t="s">
        <v>4867</v>
      </c>
      <c r="GYC1017" s="16" t="s">
        <v>4867</v>
      </c>
      <c r="GYD1017" s="16" t="s">
        <v>4867</v>
      </c>
      <c r="GYE1017" s="16" t="s">
        <v>4867</v>
      </c>
      <c r="GYF1017" s="16" t="s">
        <v>4867</v>
      </c>
      <c r="GYG1017" s="16" t="s">
        <v>4867</v>
      </c>
      <c r="GYH1017" s="16" t="s">
        <v>4867</v>
      </c>
      <c r="GYI1017" s="16" t="s">
        <v>4867</v>
      </c>
      <c r="GYJ1017" s="16" t="s">
        <v>4867</v>
      </c>
      <c r="GYK1017" s="16" t="s">
        <v>4867</v>
      </c>
      <c r="GYL1017" s="16" t="s">
        <v>4867</v>
      </c>
      <c r="GYM1017" s="16" t="s">
        <v>4867</v>
      </c>
      <c r="GYN1017" s="16" t="s">
        <v>4867</v>
      </c>
      <c r="GYO1017" s="16" t="s">
        <v>4867</v>
      </c>
      <c r="GYP1017" s="16" t="s">
        <v>4867</v>
      </c>
      <c r="GYQ1017" s="16" t="s">
        <v>4867</v>
      </c>
      <c r="GYR1017" s="16" t="s">
        <v>4867</v>
      </c>
      <c r="GYS1017" s="16" t="s">
        <v>4867</v>
      </c>
      <c r="GYT1017" s="16" t="s">
        <v>4867</v>
      </c>
      <c r="GYU1017" s="16" t="s">
        <v>4867</v>
      </c>
      <c r="GYV1017" s="16" t="s">
        <v>4867</v>
      </c>
      <c r="GYW1017" s="16" t="s">
        <v>4867</v>
      </c>
      <c r="GYX1017" s="16" t="s">
        <v>4867</v>
      </c>
      <c r="GYY1017" s="16" t="s">
        <v>4867</v>
      </c>
      <c r="GYZ1017" s="16" t="s">
        <v>4867</v>
      </c>
      <c r="GZA1017" s="16" t="s">
        <v>4867</v>
      </c>
      <c r="GZB1017" s="16" t="s">
        <v>4867</v>
      </c>
      <c r="GZC1017" s="16" t="s">
        <v>4867</v>
      </c>
      <c r="GZD1017" s="16" t="s">
        <v>4867</v>
      </c>
      <c r="GZE1017" s="16" t="s">
        <v>4867</v>
      </c>
      <c r="GZF1017" s="16" t="s">
        <v>4867</v>
      </c>
      <c r="GZG1017" s="16" t="s">
        <v>4867</v>
      </c>
      <c r="GZH1017" s="16" t="s">
        <v>4867</v>
      </c>
      <c r="GZI1017" s="16" t="s">
        <v>4867</v>
      </c>
      <c r="GZJ1017" s="16" t="s">
        <v>4867</v>
      </c>
      <c r="GZK1017" s="16" t="s">
        <v>4867</v>
      </c>
      <c r="GZL1017" s="16" t="s">
        <v>4867</v>
      </c>
      <c r="GZM1017" s="16" t="s">
        <v>4867</v>
      </c>
      <c r="GZN1017" s="16" t="s">
        <v>4867</v>
      </c>
      <c r="GZO1017" s="16" t="s">
        <v>4867</v>
      </c>
      <c r="GZP1017" s="16" t="s">
        <v>4867</v>
      </c>
      <c r="GZQ1017" s="16" t="s">
        <v>4867</v>
      </c>
      <c r="GZR1017" s="16" t="s">
        <v>4867</v>
      </c>
      <c r="GZS1017" s="16" t="s">
        <v>4867</v>
      </c>
      <c r="GZT1017" s="16" t="s">
        <v>4867</v>
      </c>
      <c r="GZU1017" s="16" t="s">
        <v>4867</v>
      </c>
      <c r="GZV1017" s="16" t="s">
        <v>4867</v>
      </c>
      <c r="GZW1017" s="16" t="s">
        <v>4867</v>
      </c>
      <c r="GZX1017" s="16" t="s">
        <v>4867</v>
      </c>
      <c r="GZY1017" s="16" t="s">
        <v>4867</v>
      </c>
      <c r="GZZ1017" s="16" t="s">
        <v>4867</v>
      </c>
      <c r="HAA1017" s="16" t="s">
        <v>4867</v>
      </c>
      <c r="HAB1017" s="16" t="s">
        <v>4867</v>
      </c>
      <c r="HAC1017" s="16" t="s">
        <v>4867</v>
      </c>
      <c r="HAD1017" s="16" t="s">
        <v>4867</v>
      </c>
      <c r="HAE1017" s="16" t="s">
        <v>4867</v>
      </c>
      <c r="HAF1017" s="16" t="s">
        <v>4867</v>
      </c>
      <c r="HAG1017" s="16" t="s">
        <v>4867</v>
      </c>
      <c r="HAH1017" s="16" t="s">
        <v>4867</v>
      </c>
      <c r="HAI1017" s="16" t="s">
        <v>4867</v>
      </c>
      <c r="HAJ1017" s="16" t="s">
        <v>4867</v>
      </c>
      <c r="HAK1017" s="16" t="s">
        <v>4867</v>
      </c>
      <c r="HAL1017" s="16" t="s">
        <v>4867</v>
      </c>
      <c r="HAM1017" s="16" t="s">
        <v>4867</v>
      </c>
      <c r="HAN1017" s="16" t="s">
        <v>4867</v>
      </c>
      <c r="HAO1017" s="16" t="s">
        <v>4867</v>
      </c>
      <c r="HAP1017" s="16" t="s">
        <v>4867</v>
      </c>
      <c r="HAQ1017" s="16" t="s">
        <v>4867</v>
      </c>
      <c r="HAR1017" s="16" t="s">
        <v>4867</v>
      </c>
      <c r="HAS1017" s="16" t="s">
        <v>4867</v>
      </c>
      <c r="HAT1017" s="16" t="s">
        <v>4867</v>
      </c>
      <c r="HAU1017" s="16" t="s">
        <v>4867</v>
      </c>
      <c r="HAV1017" s="16" t="s">
        <v>4867</v>
      </c>
      <c r="HAW1017" s="16" t="s">
        <v>4867</v>
      </c>
      <c r="HAX1017" s="16" t="s">
        <v>4867</v>
      </c>
      <c r="HAY1017" s="16" t="s">
        <v>4867</v>
      </c>
      <c r="HAZ1017" s="16" t="s">
        <v>4867</v>
      </c>
      <c r="HBA1017" s="16" t="s">
        <v>4867</v>
      </c>
      <c r="HBB1017" s="16" t="s">
        <v>4867</v>
      </c>
      <c r="HBC1017" s="16" t="s">
        <v>4867</v>
      </c>
      <c r="HBD1017" s="16" t="s">
        <v>4867</v>
      </c>
      <c r="HBE1017" s="16" t="s">
        <v>4867</v>
      </c>
      <c r="HBF1017" s="16" t="s">
        <v>4867</v>
      </c>
      <c r="HBG1017" s="16" t="s">
        <v>4867</v>
      </c>
      <c r="HBH1017" s="16" t="s">
        <v>4867</v>
      </c>
      <c r="HBI1017" s="16" t="s">
        <v>4867</v>
      </c>
      <c r="HBJ1017" s="16" t="s">
        <v>4867</v>
      </c>
      <c r="HBK1017" s="16" t="s">
        <v>4867</v>
      </c>
      <c r="HBL1017" s="16" t="s">
        <v>4867</v>
      </c>
      <c r="HBM1017" s="16" t="s">
        <v>4867</v>
      </c>
      <c r="HBN1017" s="16" t="s">
        <v>4867</v>
      </c>
      <c r="HBO1017" s="16" t="s">
        <v>4867</v>
      </c>
      <c r="HBP1017" s="16" t="s">
        <v>4867</v>
      </c>
      <c r="HBQ1017" s="16" t="s">
        <v>4867</v>
      </c>
      <c r="HBR1017" s="16" t="s">
        <v>4867</v>
      </c>
      <c r="HBS1017" s="16" t="s">
        <v>4867</v>
      </c>
      <c r="HBT1017" s="16" t="s">
        <v>4867</v>
      </c>
      <c r="HBU1017" s="16" t="s">
        <v>4867</v>
      </c>
      <c r="HBV1017" s="16" t="s">
        <v>4867</v>
      </c>
      <c r="HBW1017" s="16" t="s">
        <v>4867</v>
      </c>
      <c r="HBX1017" s="16" t="s">
        <v>4867</v>
      </c>
      <c r="HBY1017" s="16" t="s">
        <v>4867</v>
      </c>
      <c r="HBZ1017" s="16" t="s">
        <v>4867</v>
      </c>
      <c r="HCA1017" s="16" t="s">
        <v>4867</v>
      </c>
      <c r="HCB1017" s="16" t="s">
        <v>4867</v>
      </c>
      <c r="HCC1017" s="16" t="s">
        <v>4867</v>
      </c>
      <c r="HCD1017" s="16" t="s">
        <v>4867</v>
      </c>
      <c r="HCE1017" s="16" t="s">
        <v>4867</v>
      </c>
      <c r="HCF1017" s="16" t="s">
        <v>4867</v>
      </c>
      <c r="HCG1017" s="16" t="s">
        <v>4867</v>
      </c>
      <c r="HCH1017" s="16" t="s">
        <v>4867</v>
      </c>
      <c r="HCI1017" s="16" t="s">
        <v>4867</v>
      </c>
      <c r="HCJ1017" s="16" t="s">
        <v>4867</v>
      </c>
      <c r="HCK1017" s="16" t="s">
        <v>4867</v>
      </c>
      <c r="HCL1017" s="16" t="s">
        <v>4867</v>
      </c>
      <c r="HCM1017" s="16" t="s">
        <v>4867</v>
      </c>
      <c r="HCN1017" s="16" t="s">
        <v>4867</v>
      </c>
      <c r="HCO1017" s="16" t="s">
        <v>4867</v>
      </c>
      <c r="HCP1017" s="16" t="s">
        <v>4867</v>
      </c>
      <c r="HCQ1017" s="16" t="s">
        <v>4867</v>
      </c>
      <c r="HCR1017" s="16" t="s">
        <v>4867</v>
      </c>
      <c r="HCS1017" s="16" t="s">
        <v>4867</v>
      </c>
      <c r="HCT1017" s="16" t="s">
        <v>4867</v>
      </c>
      <c r="HCU1017" s="16" t="s">
        <v>4867</v>
      </c>
      <c r="HCV1017" s="16" t="s">
        <v>4867</v>
      </c>
      <c r="HCW1017" s="16" t="s">
        <v>4867</v>
      </c>
      <c r="HCX1017" s="16" t="s">
        <v>4867</v>
      </c>
      <c r="HCY1017" s="16" t="s">
        <v>4867</v>
      </c>
      <c r="HCZ1017" s="16" t="s">
        <v>4867</v>
      </c>
      <c r="HDA1017" s="16" t="s">
        <v>4867</v>
      </c>
      <c r="HDB1017" s="16" t="s">
        <v>4867</v>
      </c>
      <c r="HDC1017" s="16" t="s">
        <v>4867</v>
      </c>
      <c r="HDD1017" s="16" t="s">
        <v>4867</v>
      </c>
      <c r="HDE1017" s="16" t="s">
        <v>4867</v>
      </c>
      <c r="HDF1017" s="16" t="s">
        <v>4867</v>
      </c>
      <c r="HDG1017" s="16" t="s">
        <v>4867</v>
      </c>
      <c r="HDH1017" s="16" t="s">
        <v>4867</v>
      </c>
      <c r="HDI1017" s="16" t="s">
        <v>4867</v>
      </c>
      <c r="HDJ1017" s="16" t="s">
        <v>4867</v>
      </c>
      <c r="HDK1017" s="16" t="s">
        <v>4867</v>
      </c>
      <c r="HDL1017" s="16" t="s">
        <v>4867</v>
      </c>
      <c r="HDM1017" s="16" t="s">
        <v>4867</v>
      </c>
      <c r="HDN1017" s="16" t="s">
        <v>4867</v>
      </c>
      <c r="HDO1017" s="16" t="s">
        <v>4867</v>
      </c>
      <c r="HDP1017" s="16" t="s">
        <v>4867</v>
      </c>
      <c r="HDQ1017" s="16" t="s">
        <v>4867</v>
      </c>
      <c r="HDR1017" s="16" t="s">
        <v>4867</v>
      </c>
      <c r="HDS1017" s="16" t="s">
        <v>4867</v>
      </c>
      <c r="HDT1017" s="16" t="s">
        <v>4867</v>
      </c>
      <c r="HDU1017" s="16" t="s">
        <v>4867</v>
      </c>
      <c r="HDV1017" s="16" t="s">
        <v>4867</v>
      </c>
      <c r="HDW1017" s="16" t="s">
        <v>4867</v>
      </c>
      <c r="HDX1017" s="16" t="s">
        <v>4867</v>
      </c>
      <c r="HDY1017" s="16" t="s">
        <v>4867</v>
      </c>
      <c r="HDZ1017" s="16" t="s">
        <v>4867</v>
      </c>
      <c r="HEA1017" s="16" t="s">
        <v>4867</v>
      </c>
      <c r="HEB1017" s="16" t="s">
        <v>4867</v>
      </c>
      <c r="HEC1017" s="16" t="s">
        <v>4867</v>
      </c>
      <c r="HED1017" s="16" t="s">
        <v>4867</v>
      </c>
      <c r="HEE1017" s="16" t="s">
        <v>4867</v>
      </c>
      <c r="HEF1017" s="16" t="s">
        <v>4867</v>
      </c>
      <c r="HEG1017" s="16" t="s">
        <v>4867</v>
      </c>
      <c r="HEH1017" s="16" t="s">
        <v>4867</v>
      </c>
      <c r="HEI1017" s="16" t="s">
        <v>4867</v>
      </c>
      <c r="HEJ1017" s="16" t="s">
        <v>4867</v>
      </c>
      <c r="HEK1017" s="16" t="s">
        <v>4867</v>
      </c>
      <c r="HEL1017" s="16" t="s">
        <v>4867</v>
      </c>
      <c r="HEM1017" s="16" t="s">
        <v>4867</v>
      </c>
      <c r="HEN1017" s="16" t="s">
        <v>4867</v>
      </c>
      <c r="HEO1017" s="16" t="s">
        <v>4867</v>
      </c>
      <c r="HEP1017" s="16" t="s">
        <v>4867</v>
      </c>
      <c r="HEQ1017" s="16" t="s">
        <v>4867</v>
      </c>
      <c r="HER1017" s="16" t="s">
        <v>4867</v>
      </c>
      <c r="HES1017" s="16" t="s">
        <v>4867</v>
      </c>
      <c r="HET1017" s="16" t="s">
        <v>4867</v>
      </c>
      <c r="HEU1017" s="16" t="s">
        <v>4867</v>
      </c>
      <c r="HEV1017" s="16" t="s">
        <v>4867</v>
      </c>
      <c r="HEW1017" s="16" t="s">
        <v>4867</v>
      </c>
      <c r="HEX1017" s="16" t="s">
        <v>4867</v>
      </c>
      <c r="HEY1017" s="16" t="s">
        <v>4867</v>
      </c>
      <c r="HEZ1017" s="16" t="s">
        <v>4867</v>
      </c>
      <c r="HFA1017" s="16" t="s">
        <v>4867</v>
      </c>
      <c r="HFB1017" s="16" t="s">
        <v>4867</v>
      </c>
      <c r="HFC1017" s="16" t="s">
        <v>4867</v>
      </c>
      <c r="HFD1017" s="16" t="s">
        <v>4867</v>
      </c>
      <c r="HFE1017" s="16" t="s">
        <v>4867</v>
      </c>
      <c r="HFF1017" s="16" t="s">
        <v>4867</v>
      </c>
      <c r="HFG1017" s="16" t="s">
        <v>4867</v>
      </c>
      <c r="HFH1017" s="16" t="s">
        <v>4867</v>
      </c>
      <c r="HFI1017" s="16" t="s">
        <v>4867</v>
      </c>
      <c r="HFJ1017" s="16" t="s">
        <v>4867</v>
      </c>
      <c r="HFK1017" s="16" t="s">
        <v>4867</v>
      </c>
      <c r="HFL1017" s="16" t="s">
        <v>4867</v>
      </c>
      <c r="HFM1017" s="16" t="s">
        <v>4867</v>
      </c>
      <c r="HFN1017" s="16" t="s">
        <v>4867</v>
      </c>
      <c r="HFO1017" s="16" t="s">
        <v>4867</v>
      </c>
      <c r="HFP1017" s="16" t="s">
        <v>4867</v>
      </c>
      <c r="HFQ1017" s="16" t="s">
        <v>4867</v>
      </c>
      <c r="HFR1017" s="16" t="s">
        <v>4867</v>
      </c>
      <c r="HFS1017" s="16" t="s">
        <v>4867</v>
      </c>
      <c r="HFT1017" s="16" t="s">
        <v>4867</v>
      </c>
      <c r="HFU1017" s="16" t="s">
        <v>4867</v>
      </c>
      <c r="HFV1017" s="16" t="s">
        <v>4867</v>
      </c>
      <c r="HFW1017" s="16" t="s">
        <v>4867</v>
      </c>
      <c r="HFX1017" s="16" t="s">
        <v>4867</v>
      </c>
      <c r="HFY1017" s="16" t="s">
        <v>4867</v>
      </c>
      <c r="HFZ1017" s="16" t="s">
        <v>4867</v>
      </c>
      <c r="HGA1017" s="16" t="s">
        <v>4867</v>
      </c>
      <c r="HGB1017" s="16" t="s">
        <v>4867</v>
      </c>
      <c r="HGC1017" s="16" t="s">
        <v>4867</v>
      </c>
      <c r="HGD1017" s="16" t="s">
        <v>4867</v>
      </c>
      <c r="HGE1017" s="16" t="s">
        <v>4867</v>
      </c>
      <c r="HGF1017" s="16" t="s">
        <v>4867</v>
      </c>
      <c r="HGG1017" s="16" t="s">
        <v>4867</v>
      </c>
      <c r="HGH1017" s="16" t="s">
        <v>4867</v>
      </c>
      <c r="HGI1017" s="16" t="s">
        <v>4867</v>
      </c>
      <c r="HGJ1017" s="16" t="s">
        <v>4867</v>
      </c>
      <c r="HGK1017" s="16" t="s">
        <v>4867</v>
      </c>
      <c r="HGL1017" s="16" t="s">
        <v>4867</v>
      </c>
      <c r="HGM1017" s="16" t="s">
        <v>4867</v>
      </c>
      <c r="HGN1017" s="16" t="s">
        <v>4867</v>
      </c>
      <c r="HGO1017" s="16" t="s">
        <v>4867</v>
      </c>
      <c r="HGP1017" s="16" t="s">
        <v>4867</v>
      </c>
      <c r="HGQ1017" s="16" t="s">
        <v>4867</v>
      </c>
      <c r="HGR1017" s="16" t="s">
        <v>4867</v>
      </c>
      <c r="HGS1017" s="16" t="s">
        <v>4867</v>
      </c>
      <c r="HGT1017" s="16" t="s">
        <v>4867</v>
      </c>
      <c r="HGU1017" s="16" t="s">
        <v>4867</v>
      </c>
      <c r="HGV1017" s="16" t="s">
        <v>4867</v>
      </c>
      <c r="HGW1017" s="16" t="s">
        <v>4867</v>
      </c>
      <c r="HGX1017" s="16" t="s">
        <v>4867</v>
      </c>
      <c r="HGY1017" s="16" t="s">
        <v>4867</v>
      </c>
      <c r="HGZ1017" s="16" t="s">
        <v>4867</v>
      </c>
      <c r="HHA1017" s="16" t="s">
        <v>4867</v>
      </c>
      <c r="HHB1017" s="16" t="s">
        <v>4867</v>
      </c>
      <c r="HHC1017" s="16" t="s">
        <v>4867</v>
      </c>
      <c r="HHD1017" s="16" t="s">
        <v>4867</v>
      </c>
      <c r="HHE1017" s="16" t="s">
        <v>4867</v>
      </c>
      <c r="HHF1017" s="16" t="s">
        <v>4867</v>
      </c>
      <c r="HHG1017" s="16" t="s">
        <v>4867</v>
      </c>
      <c r="HHH1017" s="16" t="s">
        <v>4867</v>
      </c>
      <c r="HHI1017" s="16" t="s">
        <v>4867</v>
      </c>
      <c r="HHJ1017" s="16" t="s">
        <v>4867</v>
      </c>
      <c r="HHK1017" s="16" t="s">
        <v>4867</v>
      </c>
      <c r="HHL1017" s="16" t="s">
        <v>4867</v>
      </c>
      <c r="HHM1017" s="16" t="s">
        <v>4867</v>
      </c>
      <c r="HHN1017" s="16" t="s">
        <v>4867</v>
      </c>
      <c r="HHO1017" s="16" t="s">
        <v>4867</v>
      </c>
      <c r="HHP1017" s="16" t="s">
        <v>4867</v>
      </c>
      <c r="HHQ1017" s="16" t="s">
        <v>4867</v>
      </c>
      <c r="HHR1017" s="16" t="s">
        <v>4867</v>
      </c>
      <c r="HHS1017" s="16" t="s">
        <v>4867</v>
      </c>
      <c r="HHT1017" s="16" t="s">
        <v>4867</v>
      </c>
      <c r="HHU1017" s="16" t="s">
        <v>4867</v>
      </c>
      <c r="HHV1017" s="16" t="s">
        <v>4867</v>
      </c>
      <c r="HHW1017" s="16" t="s">
        <v>4867</v>
      </c>
      <c r="HHX1017" s="16" t="s">
        <v>4867</v>
      </c>
      <c r="HHY1017" s="16" t="s">
        <v>4867</v>
      </c>
      <c r="HHZ1017" s="16" t="s">
        <v>4867</v>
      </c>
      <c r="HIA1017" s="16" t="s">
        <v>4867</v>
      </c>
      <c r="HIB1017" s="16" t="s">
        <v>4867</v>
      </c>
      <c r="HIC1017" s="16" t="s">
        <v>4867</v>
      </c>
      <c r="HID1017" s="16" t="s">
        <v>4867</v>
      </c>
      <c r="HIE1017" s="16" t="s">
        <v>4867</v>
      </c>
      <c r="HIF1017" s="16" t="s">
        <v>4867</v>
      </c>
      <c r="HIG1017" s="16" t="s">
        <v>4867</v>
      </c>
      <c r="HIH1017" s="16" t="s">
        <v>4867</v>
      </c>
      <c r="HII1017" s="16" t="s">
        <v>4867</v>
      </c>
      <c r="HIJ1017" s="16" t="s">
        <v>4867</v>
      </c>
      <c r="HIK1017" s="16" t="s">
        <v>4867</v>
      </c>
      <c r="HIL1017" s="16" t="s">
        <v>4867</v>
      </c>
      <c r="HIM1017" s="16" t="s">
        <v>4867</v>
      </c>
      <c r="HIN1017" s="16" t="s">
        <v>4867</v>
      </c>
      <c r="HIO1017" s="16" t="s">
        <v>4867</v>
      </c>
      <c r="HIP1017" s="16" t="s">
        <v>4867</v>
      </c>
      <c r="HIQ1017" s="16" t="s">
        <v>4867</v>
      </c>
      <c r="HIR1017" s="16" t="s">
        <v>4867</v>
      </c>
      <c r="HIS1017" s="16" t="s">
        <v>4867</v>
      </c>
      <c r="HIT1017" s="16" t="s">
        <v>4867</v>
      </c>
      <c r="HIU1017" s="16" t="s">
        <v>4867</v>
      </c>
      <c r="HIV1017" s="16" t="s">
        <v>4867</v>
      </c>
      <c r="HIW1017" s="16" t="s">
        <v>4867</v>
      </c>
      <c r="HIX1017" s="16" t="s">
        <v>4867</v>
      </c>
      <c r="HIY1017" s="16" t="s">
        <v>4867</v>
      </c>
      <c r="HIZ1017" s="16" t="s">
        <v>4867</v>
      </c>
      <c r="HJA1017" s="16" t="s">
        <v>4867</v>
      </c>
      <c r="HJB1017" s="16" t="s">
        <v>4867</v>
      </c>
      <c r="HJC1017" s="16" t="s">
        <v>4867</v>
      </c>
      <c r="HJD1017" s="16" t="s">
        <v>4867</v>
      </c>
      <c r="HJE1017" s="16" t="s">
        <v>4867</v>
      </c>
      <c r="HJF1017" s="16" t="s">
        <v>4867</v>
      </c>
      <c r="HJG1017" s="16" t="s">
        <v>4867</v>
      </c>
      <c r="HJH1017" s="16" t="s">
        <v>4867</v>
      </c>
      <c r="HJI1017" s="16" t="s">
        <v>4867</v>
      </c>
      <c r="HJJ1017" s="16" t="s">
        <v>4867</v>
      </c>
      <c r="HJK1017" s="16" t="s">
        <v>4867</v>
      </c>
      <c r="HJL1017" s="16" t="s">
        <v>4867</v>
      </c>
      <c r="HJM1017" s="16" t="s">
        <v>4867</v>
      </c>
      <c r="HJN1017" s="16" t="s">
        <v>4867</v>
      </c>
      <c r="HJO1017" s="16" t="s">
        <v>4867</v>
      </c>
      <c r="HJP1017" s="16" t="s">
        <v>4867</v>
      </c>
      <c r="HJQ1017" s="16" t="s">
        <v>4867</v>
      </c>
      <c r="HJR1017" s="16" t="s">
        <v>4867</v>
      </c>
      <c r="HJS1017" s="16" t="s">
        <v>4867</v>
      </c>
      <c r="HJT1017" s="16" t="s">
        <v>4867</v>
      </c>
      <c r="HJU1017" s="16" t="s">
        <v>4867</v>
      </c>
      <c r="HJV1017" s="16" t="s">
        <v>4867</v>
      </c>
      <c r="HJW1017" s="16" t="s">
        <v>4867</v>
      </c>
      <c r="HJX1017" s="16" t="s">
        <v>4867</v>
      </c>
      <c r="HJY1017" s="16" t="s">
        <v>4867</v>
      </c>
      <c r="HJZ1017" s="16" t="s">
        <v>4867</v>
      </c>
      <c r="HKA1017" s="16" t="s">
        <v>4867</v>
      </c>
      <c r="HKB1017" s="16" t="s">
        <v>4867</v>
      </c>
      <c r="HKC1017" s="16" t="s">
        <v>4867</v>
      </c>
      <c r="HKD1017" s="16" t="s">
        <v>4867</v>
      </c>
      <c r="HKE1017" s="16" t="s">
        <v>4867</v>
      </c>
      <c r="HKF1017" s="16" t="s">
        <v>4867</v>
      </c>
      <c r="HKG1017" s="16" t="s">
        <v>4867</v>
      </c>
      <c r="HKH1017" s="16" t="s">
        <v>4867</v>
      </c>
      <c r="HKI1017" s="16" t="s">
        <v>4867</v>
      </c>
      <c r="HKJ1017" s="16" t="s">
        <v>4867</v>
      </c>
      <c r="HKK1017" s="16" t="s">
        <v>4867</v>
      </c>
      <c r="HKL1017" s="16" t="s">
        <v>4867</v>
      </c>
      <c r="HKM1017" s="16" t="s">
        <v>4867</v>
      </c>
      <c r="HKN1017" s="16" t="s">
        <v>4867</v>
      </c>
      <c r="HKO1017" s="16" t="s">
        <v>4867</v>
      </c>
      <c r="HKP1017" s="16" t="s">
        <v>4867</v>
      </c>
      <c r="HKQ1017" s="16" t="s">
        <v>4867</v>
      </c>
      <c r="HKR1017" s="16" t="s">
        <v>4867</v>
      </c>
      <c r="HKS1017" s="16" t="s">
        <v>4867</v>
      </c>
      <c r="HKT1017" s="16" t="s">
        <v>4867</v>
      </c>
      <c r="HKU1017" s="16" t="s">
        <v>4867</v>
      </c>
      <c r="HKV1017" s="16" t="s">
        <v>4867</v>
      </c>
      <c r="HKW1017" s="16" t="s">
        <v>4867</v>
      </c>
      <c r="HKX1017" s="16" t="s">
        <v>4867</v>
      </c>
      <c r="HKY1017" s="16" t="s">
        <v>4867</v>
      </c>
      <c r="HKZ1017" s="16" t="s">
        <v>4867</v>
      </c>
      <c r="HLA1017" s="16" t="s">
        <v>4867</v>
      </c>
      <c r="HLB1017" s="16" t="s">
        <v>4867</v>
      </c>
      <c r="HLC1017" s="16" t="s">
        <v>4867</v>
      </c>
      <c r="HLD1017" s="16" t="s">
        <v>4867</v>
      </c>
      <c r="HLE1017" s="16" t="s">
        <v>4867</v>
      </c>
      <c r="HLF1017" s="16" t="s">
        <v>4867</v>
      </c>
      <c r="HLG1017" s="16" t="s">
        <v>4867</v>
      </c>
      <c r="HLH1017" s="16" t="s">
        <v>4867</v>
      </c>
      <c r="HLI1017" s="16" t="s">
        <v>4867</v>
      </c>
      <c r="HLJ1017" s="16" t="s">
        <v>4867</v>
      </c>
      <c r="HLK1017" s="16" t="s">
        <v>4867</v>
      </c>
      <c r="HLL1017" s="16" t="s">
        <v>4867</v>
      </c>
      <c r="HLM1017" s="16" t="s">
        <v>4867</v>
      </c>
      <c r="HLN1017" s="16" t="s">
        <v>4867</v>
      </c>
      <c r="HLO1017" s="16" t="s">
        <v>4867</v>
      </c>
      <c r="HLP1017" s="16" t="s">
        <v>4867</v>
      </c>
      <c r="HLQ1017" s="16" t="s">
        <v>4867</v>
      </c>
      <c r="HLR1017" s="16" t="s">
        <v>4867</v>
      </c>
      <c r="HLS1017" s="16" t="s">
        <v>4867</v>
      </c>
      <c r="HLT1017" s="16" t="s">
        <v>4867</v>
      </c>
      <c r="HLU1017" s="16" t="s">
        <v>4867</v>
      </c>
      <c r="HLV1017" s="16" t="s">
        <v>4867</v>
      </c>
      <c r="HLW1017" s="16" t="s">
        <v>4867</v>
      </c>
      <c r="HLX1017" s="16" t="s">
        <v>4867</v>
      </c>
      <c r="HLY1017" s="16" t="s">
        <v>4867</v>
      </c>
      <c r="HLZ1017" s="16" t="s">
        <v>4867</v>
      </c>
      <c r="HMA1017" s="16" t="s">
        <v>4867</v>
      </c>
      <c r="HMB1017" s="16" t="s">
        <v>4867</v>
      </c>
      <c r="HMC1017" s="16" t="s">
        <v>4867</v>
      </c>
      <c r="HMD1017" s="16" t="s">
        <v>4867</v>
      </c>
      <c r="HME1017" s="16" t="s">
        <v>4867</v>
      </c>
      <c r="HMF1017" s="16" t="s">
        <v>4867</v>
      </c>
      <c r="HMG1017" s="16" t="s">
        <v>4867</v>
      </c>
      <c r="HMH1017" s="16" t="s">
        <v>4867</v>
      </c>
      <c r="HMI1017" s="16" t="s">
        <v>4867</v>
      </c>
      <c r="HMJ1017" s="16" t="s">
        <v>4867</v>
      </c>
      <c r="HMK1017" s="16" t="s">
        <v>4867</v>
      </c>
      <c r="HML1017" s="16" t="s">
        <v>4867</v>
      </c>
      <c r="HMM1017" s="16" t="s">
        <v>4867</v>
      </c>
      <c r="HMN1017" s="16" t="s">
        <v>4867</v>
      </c>
      <c r="HMO1017" s="16" t="s">
        <v>4867</v>
      </c>
      <c r="HMP1017" s="16" t="s">
        <v>4867</v>
      </c>
      <c r="HMQ1017" s="16" t="s">
        <v>4867</v>
      </c>
      <c r="HMR1017" s="16" t="s">
        <v>4867</v>
      </c>
      <c r="HMS1017" s="16" t="s">
        <v>4867</v>
      </c>
      <c r="HMT1017" s="16" t="s">
        <v>4867</v>
      </c>
      <c r="HMU1017" s="16" t="s">
        <v>4867</v>
      </c>
      <c r="HMV1017" s="16" t="s">
        <v>4867</v>
      </c>
      <c r="HMW1017" s="16" t="s">
        <v>4867</v>
      </c>
      <c r="HMX1017" s="16" t="s">
        <v>4867</v>
      </c>
      <c r="HMY1017" s="16" t="s">
        <v>4867</v>
      </c>
      <c r="HMZ1017" s="16" t="s">
        <v>4867</v>
      </c>
      <c r="HNA1017" s="16" t="s">
        <v>4867</v>
      </c>
      <c r="HNB1017" s="16" t="s">
        <v>4867</v>
      </c>
      <c r="HNC1017" s="16" t="s">
        <v>4867</v>
      </c>
      <c r="HND1017" s="16" t="s">
        <v>4867</v>
      </c>
      <c r="HNE1017" s="16" t="s">
        <v>4867</v>
      </c>
      <c r="HNF1017" s="16" t="s">
        <v>4867</v>
      </c>
      <c r="HNG1017" s="16" t="s">
        <v>4867</v>
      </c>
      <c r="HNH1017" s="16" t="s">
        <v>4867</v>
      </c>
      <c r="HNI1017" s="16" t="s">
        <v>4867</v>
      </c>
      <c r="HNJ1017" s="16" t="s">
        <v>4867</v>
      </c>
      <c r="HNK1017" s="16" t="s">
        <v>4867</v>
      </c>
      <c r="HNL1017" s="16" t="s">
        <v>4867</v>
      </c>
      <c r="HNM1017" s="16" t="s">
        <v>4867</v>
      </c>
      <c r="HNN1017" s="16" t="s">
        <v>4867</v>
      </c>
      <c r="HNO1017" s="16" t="s">
        <v>4867</v>
      </c>
      <c r="HNP1017" s="16" t="s">
        <v>4867</v>
      </c>
      <c r="HNQ1017" s="16" t="s">
        <v>4867</v>
      </c>
      <c r="HNR1017" s="16" t="s">
        <v>4867</v>
      </c>
      <c r="HNS1017" s="16" t="s">
        <v>4867</v>
      </c>
      <c r="HNT1017" s="16" t="s">
        <v>4867</v>
      </c>
      <c r="HNU1017" s="16" t="s">
        <v>4867</v>
      </c>
      <c r="HNV1017" s="16" t="s">
        <v>4867</v>
      </c>
      <c r="HNW1017" s="16" t="s">
        <v>4867</v>
      </c>
      <c r="HNX1017" s="16" t="s">
        <v>4867</v>
      </c>
      <c r="HNY1017" s="16" t="s">
        <v>4867</v>
      </c>
      <c r="HNZ1017" s="16" t="s">
        <v>4867</v>
      </c>
      <c r="HOA1017" s="16" t="s">
        <v>4867</v>
      </c>
      <c r="HOB1017" s="16" t="s">
        <v>4867</v>
      </c>
      <c r="HOC1017" s="16" t="s">
        <v>4867</v>
      </c>
      <c r="HOD1017" s="16" t="s">
        <v>4867</v>
      </c>
      <c r="HOE1017" s="16" t="s">
        <v>4867</v>
      </c>
      <c r="HOF1017" s="16" t="s">
        <v>4867</v>
      </c>
      <c r="HOG1017" s="16" t="s">
        <v>4867</v>
      </c>
      <c r="HOH1017" s="16" t="s">
        <v>4867</v>
      </c>
      <c r="HOI1017" s="16" t="s">
        <v>4867</v>
      </c>
      <c r="HOJ1017" s="16" t="s">
        <v>4867</v>
      </c>
      <c r="HOK1017" s="16" t="s">
        <v>4867</v>
      </c>
      <c r="HOL1017" s="16" t="s">
        <v>4867</v>
      </c>
      <c r="HOM1017" s="16" t="s">
        <v>4867</v>
      </c>
      <c r="HON1017" s="16" t="s">
        <v>4867</v>
      </c>
      <c r="HOO1017" s="16" t="s">
        <v>4867</v>
      </c>
      <c r="HOP1017" s="16" t="s">
        <v>4867</v>
      </c>
      <c r="HOQ1017" s="16" t="s">
        <v>4867</v>
      </c>
      <c r="HOR1017" s="16" t="s">
        <v>4867</v>
      </c>
      <c r="HOS1017" s="16" t="s">
        <v>4867</v>
      </c>
      <c r="HOT1017" s="16" t="s">
        <v>4867</v>
      </c>
      <c r="HOU1017" s="16" t="s">
        <v>4867</v>
      </c>
      <c r="HOV1017" s="16" t="s">
        <v>4867</v>
      </c>
      <c r="HOW1017" s="16" t="s">
        <v>4867</v>
      </c>
      <c r="HOX1017" s="16" t="s">
        <v>4867</v>
      </c>
      <c r="HOY1017" s="16" t="s">
        <v>4867</v>
      </c>
      <c r="HOZ1017" s="16" t="s">
        <v>4867</v>
      </c>
      <c r="HPA1017" s="16" t="s">
        <v>4867</v>
      </c>
      <c r="HPB1017" s="16" t="s">
        <v>4867</v>
      </c>
      <c r="HPC1017" s="16" t="s">
        <v>4867</v>
      </c>
      <c r="HPD1017" s="16" t="s">
        <v>4867</v>
      </c>
      <c r="HPE1017" s="16" t="s">
        <v>4867</v>
      </c>
      <c r="HPF1017" s="16" t="s">
        <v>4867</v>
      </c>
      <c r="HPG1017" s="16" t="s">
        <v>4867</v>
      </c>
      <c r="HPH1017" s="16" t="s">
        <v>4867</v>
      </c>
      <c r="HPI1017" s="16" t="s">
        <v>4867</v>
      </c>
      <c r="HPJ1017" s="16" t="s">
        <v>4867</v>
      </c>
      <c r="HPK1017" s="16" t="s">
        <v>4867</v>
      </c>
      <c r="HPL1017" s="16" t="s">
        <v>4867</v>
      </c>
      <c r="HPM1017" s="16" t="s">
        <v>4867</v>
      </c>
      <c r="HPN1017" s="16" t="s">
        <v>4867</v>
      </c>
      <c r="HPO1017" s="16" t="s">
        <v>4867</v>
      </c>
      <c r="HPP1017" s="16" t="s">
        <v>4867</v>
      </c>
      <c r="HPQ1017" s="16" t="s">
        <v>4867</v>
      </c>
      <c r="HPR1017" s="16" t="s">
        <v>4867</v>
      </c>
      <c r="HPS1017" s="16" t="s">
        <v>4867</v>
      </c>
      <c r="HPT1017" s="16" t="s">
        <v>4867</v>
      </c>
      <c r="HPU1017" s="16" t="s">
        <v>4867</v>
      </c>
      <c r="HPV1017" s="16" t="s">
        <v>4867</v>
      </c>
      <c r="HPW1017" s="16" t="s">
        <v>4867</v>
      </c>
      <c r="HPX1017" s="16" t="s">
        <v>4867</v>
      </c>
      <c r="HPY1017" s="16" t="s">
        <v>4867</v>
      </c>
      <c r="HPZ1017" s="16" t="s">
        <v>4867</v>
      </c>
      <c r="HQA1017" s="16" t="s">
        <v>4867</v>
      </c>
      <c r="HQB1017" s="16" t="s">
        <v>4867</v>
      </c>
      <c r="HQC1017" s="16" t="s">
        <v>4867</v>
      </c>
      <c r="HQD1017" s="16" t="s">
        <v>4867</v>
      </c>
      <c r="HQE1017" s="16" t="s">
        <v>4867</v>
      </c>
      <c r="HQF1017" s="16" t="s">
        <v>4867</v>
      </c>
      <c r="HQG1017" s="16" t="s">
        <v>4867</v>
      </c>
      <c r="HQH1017" s="16" t="s">
        <v>4867</v>
      </c>
      <c r="HQI1017" s="16" t="s">
        <v>4867</v>
      </c>
      <c r="HQJ1017" s="16" t="s">
        <v>4867</v>
      </c>
      <c r="HQK1017" s="16" t="s">
        <v>4867</v>
      </c>
      <c r="HQL1017" s="16" t="s">
        <v>4867</v>
      </c>
      <c r="HQM1017" s="16" t="s">
        <v>4867</v>
      </c>
      <c r="HQN1017" s="16" t="s">
        <v>4867</v>
      </c>
      <c r="HQO1017" s="16" t="s">
        <v>4867</v>
      </c>
      <c r="HQP1017" s="16" t="s">
        <v>4867</v>
      </c>
      <c r="HQQ1017" s="16" t="s">
        <v>4867</v>
      </c>
      <c r="HQR1017" s="16" t="s">
        <v>4867</v>
      </c>
      <c r="HQS1017" s="16" t="s">
        <v>4867</v>
      </c>
      <c r="HQT1017" s="16" t="s">
        <v>4867</v>
      </c>
      <c r="HQU1017" s="16" t="s">
        <v>4867</v>
      </c>
      <c r="HQV1017" s="16" t="s">
        <v>4867</v>
      </c>
      <c r="HQW1017" s="16" t="s">
        <v>4867</v>
      </c>
      <c r="HQX1017" s="16" t="s">
        <v>4867</v>
      </c>
      <c r="HQY1017" s="16" t="s">
        <v>4867</v>
      </c>
      <c r="HQZ1017" s="16" t="s">
        <v>4867</v>
      </c>
      <c r="HRA1017" s="16" t="s">
        <v>4867</v>
      </c>
      <c r="HRB1017" s="16" t="s">
        <v>4867</v>
      </c>
      <c r="HRC1017" s="16" t="s">
        <v>4867</v>
      </c>
      <c r="HRD1017" s="16" t="s">
        <v>4867</v>
      </c>
      <c r="HRE1017" s="16" t="s">
        <v>4867</v>
      </c>
      <c r="HRF1017" s="16" t="s">
        <v>4867</v>
      </c>
      <c r="HRG1017" s="16" t="s">
        <v>4867</v>
      </c>
      <c r="HRH1017" s="16" t="s">
        <v>4867</v>
      </c>
      <c r="HRI1017" s="16" t="s">
        <v>4867</v>
      </c>
      <c r="HRJ1017" s="16" t="s">
        <v>4867</v>
      </c>
      <c r="HRK1017" s="16" t="s">
        <v>4867</v>
      </c>
      <c r="HRL1017" s="16" t="s">
        <v>4867</v>
      </c>
      <c r="HRM1017" s="16" t="s">
        <v>4867</v>
      </c>
      <c r="HRN1017" s="16" t="s">
        <v>4867</v>
      </c>
      <c r="HRO1017" s="16" t="s">
        <v>4867</v>
      </c>
      <c r="HRP1017" s="16" t="s">
        <v>4867</v>
      </c>
      <c r="HRQ1017" s="16" t="s">
        <v>4867</v>
      </c>
      <c r="HRR1017" s="16" t="s">
        <v>4867</v>
      </c>
      <c r="HRS1017" s="16" t="s">
        <v>4867</v>
      </c>
      <c r="HRT1017" s="16" t="s">
        <v>4867</v>
      </c>
      <c r="HRU1017" s="16" t="s">
        <v>4867</v>
      </c>
      <c r="HRV1017" s="16" t="s">
        <v>4867</v>
      </c>
      <c r="HRW1017" s="16" t="s">
        <v>4867</v>
      </c>
      <c r="HRX1017" s="16" t="s">
        <v>4867</v>
      </c>
      <c r="HRY1017" s="16" t="s">
        <v>4867</v>
      </c>
      <c r="HRZ1017" s="16" t="s">
        <v>4867</v>
      </c>
      <c r="HSA1017" s="16" t="s">
        <v>4867</v>
      </c>
      <c r="HSB1017" s="16" t="s">
        <v>4867</v>
      </c>
      <c r="HSC1017" s="16" t="s">
        <v>4867</v>
      </c>
      <c r="HSD1017" s="16" t="s">
        <v>4867</v>
      </c>
      <c r="HSE1017" s="16" t="s">
        <v>4867</v>
      </c>
      <c r="HSF1017" s="16" t="s">
        <v>4867</v>
      </c>
      <c r="HSG1017" s="16" t="s">
        <v>4867</v>
      </c>
      <c r="HSH1017" s="16" t="s">
        <v>4867</v>
      </c>
      <c r="HSI1017" s="16" t="s">
        <v>4867</v>
      </c>
      <c r="HSJ1017" s="16" t="s">
        <v>4867</v>
      </c>
      <c r="HSK1017" s="16" t="s">
        <v>4867</v>
      </c>
      <c r="HSL1017" s="16" t="s">
        <v>4867</v>
      </c>
      <c r="HSM1017" s="16" t="s">
        <v>4867</v>
      </c>
      <c r="HSN1017" s="16" t="s">
        <v>4867</v>
      </c>
      <c r="HSO1017" s="16" t="s">
        <v>4867</v>
      </c>
      <c r="HSP1017" s="16" t="s">
        <v>4867</v>
      </c>
      <c r="HSQ1017" s="16" t="s">
        <v>4867</v>
      </c>
      <c r="HSR1017" s="16" t="s">
        <v>4867</v>
      </c>
      <c r="HSS1017" s="16" t="s">
        <v>4867</v>
      </c>
      <c r="HST1017" s="16" t="s">
        <v>4867</v>
      </c>
      <c r="HSU1017" s="16" t="s">
        <v>4867</v>
      </c>
      <c r="HSV1017" s="16" t="s">
        <v>4867</v>
      </c>
      <c r="HSW1017" s="16" t="s">
        <v>4867</v>
      </c>
      <c r="HSX1017" s="16" t="s">
        <v>4867</v>
      </c>
      <c r="HSY1017" s="16" t="s">
        <v>4867</v>
      </c>
      <c r="HSZ1017" s="16" t="s">
        <v>4867</v>
      </c>
      <c r="HTA1017" s="16" t="s">
        <v>4867</v>
      </c>
      <c r="HTB1017" s="16" t="s">
        <v>4867</v>
      </c>
      <c r="HTC1017" s="16" t="s">
        <v>4867</v>
      </c>
      <c r="HTD1017" s="16" t="s">
        <v>4867</v>
      </c>
      <c r="HTE1017" s="16" t="s">
        <v>4867</v>
      </c>
      <c r="HTF1017" s="16" t="s">
        <v>4867</v>
      </c>
      <c r="HTG1017" s="16" t="s">
        <v>4867</v>
      </c>
      <c r="HTH1017" s="16" t="s">
        <v>4867</v>
      </c>
      <c r="HTI1017" s="16" t="s">
        <v>4867</v>
      </c>
      <c r="HTJ1017" s="16" t="s">
        <v>4867</v>
      </c>
      <c r="HTK1017" s="16" t="s">
        <v>4867</v>
      </c>
      <c r="HTL1017" s="16" t="s">
        <v>4867</v>
      </c>
      <c r="HTM1017" s="16" t="s">
        <v>4867</v>
      </c>
      <c r="HTN1017" s="16" t="s">
        <v>4867</v>
      </c>
      <c r="HTO1017" s="16" t="s">
        <v>4867</v>
      </c>
      <c r="HTP1017" s="16" t="s">
        <v>4867</v>
      </c>
      <c r="HTQ1017" s="16" t="s">
        <v>4867</v>
      </c>
      <c r="HTR1017" s="16" t="s">
        <v>4867</v>
      </c>
      <c r="HTS1017" s="16" t="s">
        <v>4867</v>
      </c>
      <c r="HTT1017" s="16" t="s">
        <v>4867</v>
      </c>
      <c r="HTU1017" s="16" t="s">
        <v>4867</v>
      </c>
      <c r="HTV1017" s="16" t="s">
        <v>4867</v>
      </c>
      <c r="HTW1017" s="16" t="s">
        <v>4867</v>
      </c>
      <c r="HTX1017" s="16" t="s">
        <v>4867</v>
      </c>
      <c r="HTY1017" s="16" t="s">
        <v>4867</v>
      </c>
      <c r="HTZ1017" s="16" t="s">
        <v>4867</v>
      </c>
      <c r="HUA1017" s="16" t="s">
        <v>4867</v>
      </c>
      <c r="HUB1017" s="16" t="s">
        <v>4867</v>
      </c>
      <c r="HUC1017" s="16" t="s">
        <v>4867</v>
      </c>
      <c r="HUD1017" s="16" t="s">
        <v>4867</v>
      </c>
      <c r="HUE1017" s="16" t="s">
        <v>4867</v>
      </c>
      <c r="HUF1017" s="16" t="s">
        <v>4867</v>
      </c>
      <c r="HUG1017" s="16" t="s">
        <v>4867</v>
      </c>
      <c r="HUH1017" s="16" t="s">
        <v>4867</v>
      </c>
      <c r="HUI1017" s="16" t="s">
        <v>4867</v>
      </c>
      <c r="HUJ1017" s="16" t="s">
        <v>4867</v>
      </c>
      <c r="HUK1017" s="16" t="s">
        <v>4867</v>
      </c>
      <c r="HUL1017" s="16" t="s">
        <v>4867</v>
      </c>
      <c r="HUM1017" s="16" t="s">
        <v>4867</v>
      </c>
      <c r="HUN1017" s="16" t="s">
        <v>4867</v>
      </c>
      <c r="HUO1017" s="16" t="s">
        <v>4867</v>
      </c>
      <c r="HUP1017" s="16" t="s">
        <v>4867</v>
      </c>
      <c r="HUQ1017" s="16" t="s">
        <v>4867</v>
      </c>
      <c r="HUR1017" s="16" t="s">
        <v>4867</v>
      </c>
      <c r="HUS1017" s="16" t="s">
        <v>4867</v>
      </c>
      <c r="HUT1017" s="16" t="s">
        <v>4867</v>
      </c>
      <c r="HUU1017" s="16" t="s">
        <v>4867</v>
      </c>
      <c r="HUV1017" s="16" t="s">
        <v>4867</v>
      </c>
      <c r="HUW1017" s="16" t="s">
        <v>4867</v>
      </c>
      <c r="HUX1017" s="16" t="s">
        <v>4867</v>
      </c>
      <c r="HUY1017" s="16" t="s">
        <v>4867</v>
      </c>
      <c r="HUZ1017" s="16" t="s">
        <v>4867</v>
      </c>
      <c r="HVA1017" s="16" t="s">
        <v>4867</v>
      </c>
      <c r="HVB1017" s="16" t="s">
        <v>4867</v>
      </c>
      <c r="HVC1017" s="16" t="s">
        <v>4867</v>
      </c>
      <c r="HVD1017" s="16" t="s">
        <v>4867</v>
      </c>
      <c r="HVE1017" s="16" t="s">
        <v>4867</v>
      </c>
      <c r="HVF1017" s="16" t="s">
        <v>4867</v>
      </c>
      <c r="HVG1017" s="16" t="s">
        <v>4867</v>
      </c>
      <c r="HVH1017" s="16" t="s">
        <v>4867</v>
      </c>
      <c r="HVI1017" s="16" t="s">
        <v>4867</v>
      </c>
      <c r="HVJ1017" s="16" t="s">
        <v>4867</v>
      </c>
      <c r="HVK1017" s="16" t="s">
        <v>4867</v>
      </c>
      <c r="HVL1017" s="16" t="s">
        <v>4867</v>
      </c>
      <c r="HVM1017" s="16" t="s">
        <v>4867</v>
      </c>
      <c r="HVN1017" s="16" t="s">
        <v>4867</v>
      </c>
      <c r="HVO1017" s="16" t="s">
        <v>4867</v>
      </c>
      <c r="HVP1017" s="16" t="s">
        <v>4867</v>
      </c>
      <c r="HVQ1017" s="16" t="s">
        <v>4867</v>
      </c>
      <c r="HVR1017" s="16" t="s">
        <v>4867</v>
      </c>
      <c r="HVS1017" s="16" t="s">
        <v>4867</v>
      </c>
      <c r="HVT1017" s="16" t="s">
        <v>4867</v>
      </c>
      <c r="HVU1017" s="16" t="s">
        <v>4867</v>
      </c>
      <c r="HVV1017" s="16" t="s">
        <v>4867</v>
      </c>
      <c r="HVW1017" s="16" t="s">
        <v>4867</v>
      </c>
      <c r="HVX1017" s="16" t="s">
        <v>4867</v>
      </c>
      <c r="HVY1017" s="16" t="s">
        <v>4867</v>
      </c>
      <c r="HVZ1017" s="16" t="s">
        <v>4867</v>
      </c>
      <c r="HWA1017" s="16" t="s">
        <v>4867</v>
      </c>
      <c r="HWB1017" s="16" t="s">
        <v>4867</v>
      </c>
      <c r="HWC1017" s="16" t="s">
        <v>4867</v>
      </c>
      <c r="HWD1017" s="16" t="s">
        <v>4867</v>
      </c>
      <c r="HWE1017" s="16" t="s">
        <v>4867</v>
      </c>
      <c r="HWF1017" s="16" t="s">
        <v>4867</v>
      </c>
      <c r="HWG1017" s="16" t="s">
        <v>4867</v>
      </c>
      <c r="HWH1017" s="16" t="s">
        <v>4867</v>
      </c>
      <c r="HWI1017" s="16" t="s">
        <v>4867</v>
      </c>
      <c r="HWJ1017" s="16" t="s">
        <v>4867</v>
      </c>
      <c r="HWK1017" s="16" t="s">
        <v>4867</v>
      </c>
      <c r="HWL1017" s="16" t="s">
        <v>4867</v>
      </c>
      <c r="HWM1017" s="16" t="s">
        <v>4867</v>
      </c>
      <c r="HWN1017" s="16" t="s">
        <v>4867</v>
      </c>
      <c r="HWO1017" s="16" t="s">
        <v>4867</v>
      </c>
      <c r="HWP1017" s="16" t="s">
        <v>4867</v>
      </c>
      <c r="HWQ1017" s="16" t="s">
        <v>4867</v>
      </c>
      <c r="HWR1017" s="16" t="s">
        <v>4867</v>
      </c>
      <c r="HWS1017" s="16" t="s">
        <v>4867</v>
      </c>
      <c r="HWT1017" s="16" t="s">
        <v>4867</v>
      </c>
      <c r="HWU1017" s="16" t="s">
        <v>4867</v>
      </c>
      <c r="HWV1017" s="16" t="s">
        <v>4867</v>
      </c>
      <c r="HWW1017" s="16" t="s">
        <v>4867</v>
      </c>
      <c r="HWX1017" s="16" t="s">
        <v>4867</v>
      </c>
      <c r="HWY1017" s="16" t="s">
        <v>4867</v>
      </c>
      <c r="HWZ1017" s="16" t="s">
        <v>4867</v>
      </c>
      <c r="HXA1017" s="16" t="s">
        <v>4867</v>
      </c>
      <c r="HXB1017" s="16" t="s">
        <v>4867</v>
      </c>
      <c r="HXC1017" s="16" t="s">
        <v>4867</v>
      </c>
      <c r="HXD1017" s="16" t="s">
        <v>4867</v>
      </c>
      <c r="HXE1017" s="16" t="s">
        <v>4867</v>
      </c>
      <c r="HXF1017" s="16" t="s">
        <v>4867</v>
      </c>
      <c r="HXG1017" s="16" t="s">
        <v>4867</v>
      </c>
      <c r="HXH1017" s="16" t="s">
        <v>4867</v>
      </c>
      <c r="HXI1017" s="16" t="s">
        <v>4867</v>
      </c>
      <c r="HXJ1017" s="16" t="s">
        <v>4867</v>
      </c>
      <c r="HXK1017" s="16" t="s">
        <v>4867</v>
      </c>
      <c r="HXL1017" s="16" t="s">
        <v>4867</v>
      </c>
      <c r="HXM1017" s="16" t="s">
        <v>4867</v>
      </c>
      <c r="HXN1017" s="16" t="s">
        <v>4867</v>
      </c>
      <c r="HXO1017" s="16" t="s">
        <v>4867</v>
      </c>
      <c r="HXP1017" s="16" t="s">
        <v>4867</v>
      </c>
      <c r="HXQ1017" s="16" t="s">
        <v>4867</v>
      </c>
      <c r="HXR1017" s="16" t="s">
        <v>4867</v>
      </c>
      <c r="HXS1017" s="16" t="s">
        <v>4867</v>
      </c>
      <c r="HXT1017" s="16" t="s">
        <v>4867</v>
      </c>
      <c r="HXU1017" s="16" t="s">
        <v>4867</v>
      </c>
      <c r="HXV1017" s="16" t="s">
        <v>4867</v>
      </c>
      <c r="HXW1017" s="16" t="s">
        <v>4867</v>
      </c>
      <c r="HXX1017" s="16" t="s">
        <v>4867</v>
      </c>
      <c r="HXY1017" s="16" t="s">
        <v>4867</v>
      </c>
      <c r="HXZ1017" s="16" t="s">
        <v>4867</v>
      </c>
      <c r="HYA1017" s="16" t="s">
        <v>4867</v>
      </c>
      <c r="HYB1017" s="16" t="s">
        <v>4867</v>
      </c>
      <c r="HYC1017" s="16" t="s">
        <v>4867</v>
      </c>
      <c r="HYD1017" s="16" t="s">
        <v>4867</v>
      </c>
      <c r="HYE1017" s="16" t="s">
        <v>4867</v>
      </c>
      <c r="HYF1017" s="16" t="s">
        <v>4867</v>
      </c>
      <c r="HYG1017" s="16" t="s">
        <v>4867</v>
      </c>
      <c r="HYH1017" s="16" t="s">
        <v>4867</v>
      </c>
      <c r="HYI1017" s="16" t="s">
        <v>4867</v>
      </c>
      <c r="HYJ1017" s="16" t="s">
        <v>4867</v>
      </c>
      <c r="HYK1017" s="16" t="s">
        <v>4867</v>
      </c>
      <c r="HYL1017" s="16" t="s">
        <v>4867</v>
      </c>
      <c r="HYM1017" s="16" t="s">
        <v>4867</v>
      </c>
      <c r="HYN1017" s="16" t="s">
        <v>4867</v>
      </c>
      <c r="HYO1017" s="16" t="s">
        <v>4867</v>
      </c>
      <c r="HYP1017" s="16" t="s">
        <v>4867</v>
      </c>
      <c r="HYQ1017" s="16" t="s">
        <v>4867</v>
      </c>
      <c r="HYR1017" s="16" t="s">
        <v>4867</v>
      </c>
      <c r="HYS1017" s="16" t="s">
        <v>4867</v>
      </c>
      <c r="HYT1017" s="16" t="s">
        <v>4867</v>
      </c>
      <c r="HYU1017" s="16" t="s">
        <v>4867</v>
      </c>
      <c r="HYV1017" s="16" t="s">
        <v>4867</v>
      </c>
      <c r="HYW1017" s="16" t="s">
        <v>4867</v>
      </c>
      <c r="HYX1017" s="16" t="s">
        <v>4867</v>
      </c>
      <c r="HYY1017" s="16" t="s">
        <v>4867</v>
      </c>
      <c r="HYZ1017" s="16" t="s">
        <v>4867</v>
      </c>
      <c r="HZA1017" s="16" t="s">
        <v>4867</v>
      </c>
      <c r="HZB1017" s="16" t="s">
        <v>4867</v>
      </c>
      <c r="HZC1017" s="16" t="s">
        <v>4867</v>
      </c>
      <c r="HZD1017" s="16" t="s">
        <v>4867</v>
      </c>
      <c r="HZE1017" s="16" t="s">
        <v>4867</v>
      </c>
      <c r="HZF1017" s="16" t="s">
        <v>4867</v>
      </c>
      <c r="HZG1017" s="16" t="s">
        <v>4867</v>
      </c>
      <c r="HZH1017" s="16" t="s">
        <v>4867</v>
      </c>
      <c r="HZI1017" s="16" t="s">
        <v>4867</v>
      </c>
      <c r="HZJ1017" s="16" t="s">
        <v>4867</v>
      </c>
      <c r="HZK1017" s="16" t="s">
        <v>4867</v>
      </c>
      <c r="HZL1017" s="16" t="s">
        <v>4867</v>
      </c>
      <c r="HZM1017" s="16" t="s">
        <v>4867</v>
      </c>
      <c r="HZN1017" s="16" t="s">
        <v>4867</v>
      </c>
      <c r="HZO1017" s="16" t="s">
        <v>4867</v>
      </c>
      <c r="HZP1017" s="16" t="s">
        <v>4867</v>
      </c>
      <c r="HZQ1017" s="16" t="s">
        <v>4867</v>
      </c>
      <c r="HZR1017" s="16" t="s">
        <v>4867</v>
      </c>
      <c r="HZS1017" s="16" t="s">
        <v>4867</v>
      </c>
      <c r="HZT1017" s="16" t="s">
        <v>4867</v>
      </c>
      <c r="HZU1017" s="16" t="s">
        <v>4867</v>
      </c>
      <c r="HZV1017" s="16" t="s">
        <v>4867</v>
      </c>
      <c r="HZW1017" s="16" t="s">
        <v>4867</v>
      </c>
      <c r="HZX1017" s="16" t="s">
        <v>4867</v>
      </c>
      <c r="HZY1017" s="16" t="s">
        <v>4867</v>
      </c>
      <c r="HZZ1017" s="16" t="s">
        <v>4867</v>
      </c>
      <c r="IAA1017" s="16" t="s">
        <v>4867</v>
      </c>
      <c r="IAB1017" s="16" t="s">
        <v>4867</v>
      </c>
      <c r="IAC1017" s="16" t="s">
        <v>4867</v>
      </c>
      <c r="IAD1017" s="16" t="s">
        <v>4867</v>
      </c>
      <c r="IAE1017" s="16" t="s">
        <v>4867</v>
      </c>
      <c r="IAF1017" s="16" t="s">
        <v>4867</v>
      </c>
      <c r="IAG1017" s="16" t="s">
        <v>4867</v>
      </c>
      <c r="IAH1017" s="16" t="s">
        <v>4867</v>
      </c>
      <c r="IAI1017" s="16" t="s">
        <v>4867</v>
      </c>
      <c r="IAJ1017" s="16" t="s">
        <v>4867</v>
      </c>
      <c r="IAK1017" s="16" t="s">
        <v>4867</v>
      </c>
      <c r="IAL1017" s="16" t="s">
        <v>4867</v>
      </c>
      <c r="IAM1017" s="16" t="s">
        <v>4867</v>
      </c>
      <c r="IAN1017" s="16" t="s">
        <v>4867</v>
      </c>
      <c r="IAO1017" s="16" t="s">
        <v>4867</v>
      </c>
      <c r="IAP1017" s="16" t="s">
        <v>4867</v>
      </c>
      <c r="IAQ1017" s="16" t="s">
        <v>4867</v>
      </c>
      <c r="IAR1017" s="16" t="s">
        <v>4867</v>
      </c>
      <c r="IAS1017" s="16" t="s">
        <v>4867</v>
      </c>
      <c r="IAT1017" s="16" t="s">
        <v>4867</v>
      </c>
      <c r="IAU1017" s="16" t="s">
        <v>4867</v>
      </c>
      <c r="IAV1017" s="16" t="s">
        <v>4867</v>
      </c>
      <c r="IAW1017" s="16" t="s">
        <v>4867</v>
      </c>
      <c r="IAX1017" s="16" t="s">
        <v>4867</v>
      </c>
      <c r="IAY1017" s="16" t="s">
        <v>4867</v>
      </c>
      <c r="IAZ1017" s="16" t="s">
        <v>4867</v>
      </c>
      <c r="IBA1017" s="16" t="s">
        <v>4867</v>
      </c>
      <c r="IBB1017" s="16" t="s">
        <v>4867</v>
      </c>
      <c r="IBC1017" s="16" t="s">
        <v>4867</v>
      </c>
      <c r="IBD1017" s="16" t="s">
        <v>4867</v>
      </c>
      <c r="IBE1017" s="16" t="s">
        <v>4867</v>
      </c>
      <c r="IBF1017" s="16" t="s">
        <v>4867</v>
      </c>
      <c r="IBG1017" s="16" t="s">
        <v>4867</v>
      </c>
      <c r="IBH1017" s="16" t="s">
        <v>4867</v>
      </c>
      <c r="IBI1017" s="16" t="s">
        <v>4867</v>
      </c>
      <c r="IBJ1017" s="16" t="s">
        <v>4867</v>
      </c>
      <c r="IBK1017" s="16" t="s">
        <v>4867</v>
      </c>
      <c r="IBL1017" s="16" t="s">
        <v>4867</v>
      </c>
      <c r="IBM1017" s="16" t="s">
        <v>4867</v>
      </c>
      <c r="IBN1017" s="16" t="s">
        <v>4867</v>
      </c>
      <c r="IBO1017" s="16" t="s">
        <v>4867</v>
      </c>
      <c r="IBP1017" s="16" t="s">
        <v>4867</v>
      </c>
      <c r="IBQ1017" s="16" t="s">
        <v>4867</v>
      </c>
      <c r="IBR1017" s="16" t="s">
        <v>4867</v>
      </c>
      <c r="IBS1017" s="16" t="s">
        <v>4867</v>
      </c>
      <c r="IBT1017" s="16" t="s">
        <v>4867</v>
      </c>
      <c r="IBU1017" s="16" t="s">
        <v>4867</v>
      </c>
      <c r="IBV1017" s="16" t="s">
        <v>4867</v>
      </c>
      <c r="IBW1017" s="16" t="s">
        <v>4867</v>
      </c>
      <c r="IBX1017" s="16" t="s">
        <v>4867</v>
      </c>
      <c r="IBY1017" s="16" t="s">
        <v>4867</v>
      </c>
      <c r="IBZ1017" s="16" t="s">
        <v>4867</v>
      </c>
      <c r="ICA1017" s="16" t="s">
        <v>4867</v>
      </c>
      <c r="ICB1017" s="16" t="s">
        <v>4867</v>
      </c>
      <c r="ICC1017" s="16" t="s">
        <v>4867</v>
      </c>
      <c r="ICD1017" s="16" t="s">
        <v>4867</v>
      </c>
      <c r="ICE1017" s="16" t="s">
        <v>4867</v>
      </c>
      <c r="ICF1017" s="16" t="s">
        <v>4867</v>
      </c>
      <c r="ICG1017" s="16" t="s">
        <v>4867</v>
      </c>
      <c r="ICH1017" s="16" t="s">
        <v>4867</v>
      </c>
      <c r="ICI1017" s="16" t="s">
        <v>4867</v>
      </c>
      <c r="ICJ1017" s="16" t="s">
        <v>4867</v>
      </c>
      <c r="ICK1017" s="16" t="s">
        <v>4867</v>
      </c>
      <c r="ICL1017" s="16" t="s">
        <v>4867</v>
      </c>
      <c r="ICM1017" s="16" t="s">
        <v>4867</v>
      </c>
      <c r="ICN1017" s="16" t="s">
        <v>4867</v>
      </c>
      <c r="ICO1017" s="16" t="s">
        <v>4867</v>
      </c>
      <c r="ICP1017" s="16" t="s">
        <v>4867</v>
      </c>
      <c r="ICQ1017" s="16" t="s">
        <v>4867</v>
      </c>
      <c r="ICR1017" s="16" t="s">
        <v>4867</v>
      </c>
      <c r="ICS1017" s="16" t="s">
        <v>4867</v>
      </c>
      <c r="ICT1017" s="16" t="s">
        <v>4867</v>
      </c>
      <c r="ICU1017" s="16" t="s">
        <v>4867</v>
      </c>
      <c r="ICV1017" s="16" t="s">
        <v>4867</v>
      </c>
      <c r="ICW1017" s="16" t="s">
        <v>4867</v>
      </c>
      <c r="ICX1017" s="16" t="s">
        <v>4867</v>
      </c>
      <c r="ICY1017" s="16" t="s">
        <v>4867</v>
      </c>
      <c r="ICZ1017" s="16" t="s">
        <v>4867</v>
      </c>
      <c r="IDA1017" s="16" t="s">
        <v>4867</v>
      </c>
      <c r="IDB1017" s="16" t="s">
        <v>4867</v>
      </c>
      <c r="IDC1017" s="16" t="s">
        <v>4867</v>
      </c>
      <c r="IDD1017" s="16" t="s">
        <v>4867</v>
      </c>
      <c r="IDE1017" s="16" t="s">
        <v>4867</v>
      </c>
      <c r="IDF1017" s="16" t="s">
        <v>4867</v>
      </c>
      <c r="IDG1017" s="16" t="s">
        <v>4867</v>
      </c>
      <c r="IDH1017" s="16" t="s">
        <v>4867</v>
      </c>
      <c r="IDI1017" s="16" t="s">
        <v>4867</v>
      </c>
      <c r="IDJ1017" s="16" t="s">
        <v>4867</v>
      </c>
      <c r="IDK1017" s="16" t="s">
        <v>4867</v>
      </c>
      <c r="IDL1017" s="16" t="s">
        <v>4867</v>
      </c>
      <c r="IDM1017" s="16" t="s">
        <v>4867</v>
      </c>
      <c r="IDN1017" s="16" t="s">
        <v>4867</v>
      </c>
      <c r="IDO1017" s="16" t="s">
        <v>4867</v>
      </c>
      <c r="IDP1017" s="16" t="s">
        <v>4867</v>
      </c>
      <c r="IDQ1017" s="16" t="s">
        <v>4867</v>
      </c>
      <c r="IDR1017" s="16" t="s">
        <v>4867</v>
      </c>
      <c r="IDS1017" s="16" t="s">
        <v>4867</v>
      </c>
      <c r="IDT1017" s="16" t="s">
        <v>4867</v>
      </c>
      <c r="IDU1017" s="16" t="s">
        <v>4867</v>
      </c>
      <c r="IDV1017" s="16" t="s">
        <v>4867</v>
      </c>
      <c r="IDW1017" s="16" t="s">
        <v>4867</v>
      </c>
      <c r="IDX1017" s="16" t="s">
        <v>4867</v>
      </c>
      <c r="IDY1017" s="16" t="s">
        <v>4867</v>
      </c>
      <c r="IDZ1017" s="16" t="s">
        <v>4867</v>
      </c>
      <c r="IEA1017" s="16" t="s">
        <v>4867</v>
      </c>
      <c r="IEB1017" s="16" t="s">
        <v>4867</v>
      </c>
      <c r="IEC1017" s="16" t="s">
        <v>4867</v>
      </c>
      <c r="IED1017" s="16" t="s">
        <v>4867</v>
      </c>
      <c r="IEE1017" s="16" t="s">
        <v>4867</v>
      </c>
      <c r="IEF1017" s="16" t="s">
        <v>4867</v>
      </c>
      <c r="IEG1017" s="16" t="s">
        <v>4867</v>
      </c>
      <c r="IEH1017" s="16" t="s">
        <v>4867</v>
      </c>
      <c r="IEI1017" s="16" t="s">
        <v>4867</v>
      </c>
      <c r="IEJ1017" s="16" t="s">
        <v>4867</v>
      </c>
      <c r="IEK1017" s="16" t="s">
        <v>4867</v>
      </c>
      <c r="IEL1017" s="16" t="s">
        <v>4867</v>
      </c>
      <c r="IEM1017" s="16" t="s">
        <v>4867</v>
      </c>
      <c r="IEN1017" s="16" t="s">
        <v>4867</v>
      </c>
      <c r="IEO1017" s="16" t="s">
        <v>4867</v>
      </c>
      <c r="IEP1017" s="16" t="s">
        <v>4867</v>
      </c>
      <c r="IEQ1017" s="16" t="s">
        <v>4867</v>
      </c>
      <c r="IER1017" s="16" t="s">
        <v>4867</v>
      </c>
      <c r="IES1017" s="16" t="s">
        <v>4867</v>
      </c>
      <c r="IET1017" s="16" t="s">
        <v>4867</v>
      </c>
      <c r="IEU1017" s="16" t="s">
        <v>4867</v>
      </c>
      <c r="IEV1017" s="16" t="s">
        <v>4867</v>
      </c>
      <c r="IEW1017" s="16" t="s">
        <v>4867</v>
      </c>
      <c r="IEX1017" s="16" t="s">
        <v>4867</v>
      </c>
      <c r="IEY1017" s="16" t="s">
        <v>4867</v>
      </c>
      <c r="IEZ1017" s="16" t="s">
        <v>4867</v>
      </c>
      <c r="IFA1017" s="16" t="s">
        <v>4867</v>
      </c>
      <c r="IFB1017" s="16" t="s">
        <v>4867</v>
      </c>
      <c r="IFC1017" s="16" t="s">
        <v>4867</v>
      </c>
      <c r="IFD1017" s="16" t="s">
        <v>4867</v>
      </c>
      <c r="IFE1017" s="16" t="s">
        <v>4867</v>
      </c>
      <c r="IFF1017" s="16" t="s">
        <v>4867</v>
      </c>
      <c r="IFG1017" s="16" t="s">
        <v>4867</v>
      </c>
      <c r="IFH1017" s="16" t="s">
        <v>4867</v>
      </c>
      <c r="IFI1017" s="16" t="s">
        <v>4867</v>
      </c>
      <c r="IFJ1017" s="16" t="s">
        <v>4867</v>
      </c>
      <c r="IFK1017" s="16" t="s">
        <v>4867</v>
      </c>
      <c r="IFL1017" s="16" t="s">
        <v>4867</v>
      </c>
      <c r="IFM1017" s="16" t="s">
        <v>4867</v>
      </c>
      <c r="IFN1017" s="16" t="s">
        <v>4867</v>
      </c>
      <c r="IFO1017" s="16" t="s">
        <v>4867</v>
      </c>
      <c r="IFP1017" s="16" t="s">
        <v>4867</v>
      </c>
      <c r="IFQ1017" s="16" t="s">
        <v>4867</v>
      </c>
      <c r="IFR1017" s="16" t="s">
        <v>4867</v>
      </c>
      <c r="IFS1017" s="16" t="s">
        <v>4867</v>
      </c>
      <c r="IFT1017" s="16" t="s">
        <v>4867</v>
      </c>
      <c r="IFU1017" s="16" t="s">
        <v>4867</v>
      </c>
      <c r="IFV1017" s="16" t="s">
        <v>4867</v>
      </c>
      <c r="IFW1017" s="16" t="s">
        <v>4867</v>
      </c>
      <c r="IFX1017" s="16" t="s">
        <v>4867</v>
      </c>
      <c r="IFY1017" s="16" t="s">
        <v>4867</v>
      </c>
      <c r="IFZ1017" s="16" t="s">
        <v>4867</v>
      </c>
      <c r="IGA1017" s="16" t="s">
        <v>4867</v>
      </c>
      <c r="IGB1017" s="16" t="s">
        <v>4867</v>
      </c>
      <c r="IGC1017" s="16" t="s">
        <v>4867</v>
      </c>
      <c r="IGD1017" s="16" t="s">
        <v>4867</v>
      </c>
      <c r="IGE1017" s="16" t="s">
        <v>4867</v>
      </c>
      <c r="IGF1017" s="16" t="s">
        <v>4867</v>
      </c>
      <c r="IGG1017" s="16" t="s">
        <v>4867</v>
      </c>
      <c r="IGH1017" s="16" t="s">
        <v>4867</v>
      </c>
      <c r="IGI1017" s="16" t="s">
        <v>4867</v>
      </c>
      <c r="IGJ1017" s="16" t="s">
        <v>4867</v>
      </c>
      <c r="IGK1017" s="16" t="s">
        <v>4867</v>
      </c>
      <c r="IGL1017" s="16" t="s">
        <v>4867</v>
      </c>
      <c r="IGM1017" s="16" t="s">
        <v>4867</v>
      </c>
      <c r="IGN1017" s="16" t="s">
        <v>4867</v>
      </c>
      <c r="IGO1017" s="16" t="s">
        <v>4867</v>
      </c>
      <c r="IGP1017" s="16" t="s">
        <v>4867</v>
      </c>
      <c r="IGQ1017" s="16" t="s">
        <v>4867</v>
      </c>
      <c r="IGR1017" s="16" t="s">
        <v>4867</v>
      </c>
      <c r="IGS1017" s="16" t="s">
        <v>4867</v>
      </c>
      <c r="IGT1017" s="16" t="s">
        <v>4867</v>
      </c>
      <c r="IGU1017" s="16" t="s">
        <v>4867</v>
      </c>
      <c r="IGV1017" s="16" t="s">
        <v>4867</v>
      </c>
      <c r="IGW1017" s="16" t="s">
        <v>4867</v>
      </c>
      <c r="IGX1017" s="16" t="s">
        <v>4867</v>
      </c>
      <c r="IGY1017" s="16" t="s">
        <v>4867</v>
      </c>
      <c r="IGZ1017" s="16" t="s">
        <v>4867</v>
      </c>
      <c r="IHA1017" s="16" t="s">
        <v>4867</v>
      </c>
      <c r="IHB1017" s="16" t="s">
        <v>4867</v>
      </c>
      <c r="IHC1017" s="16" t="s">
        <v>4867</v>
      </c>
      <c r="IHD1017" s="16" t="s">
        <v>4867</v>
      </c>
      <c r="IHE1017" s="16" t="s">
        <v>4867</v>
      </c>
      <c r="IHF1017" s="16" t="s">
        <v>4867</v>
      </c>
      <c r="IHG1017" s="16" t="s">
        <v>4867</v>
      </c>
      <c r="IHH1017" s="16" t="s">
        <v>4867</v>
      </c>
      <c r="IHI1017" s="16" t="s">
        <v>4867</v>
      </c>
      <c r="IHJ1017" s="16" t="s">
        <v>4867</v>
      </c>
      <c r="IHK1017" s="16" t="s">
        <v>4867</v>
      </c>
      <c r="IHL1017" s="16" t="s">
        <v>4867</v>
      </c>
      <c r="IHM1017" s="16" t="s">
        <v>4867</v>
      </c>
      <c r="IHN1017" s="16" t="s">
        <v>4867</v>
      </c>
      <c r="IHO1017" s="16" t="s">
        <v>4867</v>
      </c>
      <c r="IHP1017" s="16" t="s">
        <v>4867</v>
      </c>
      <c r="IHQ1017" s="16" t="s">
        <v>4867</v>
      </c>
      <c r="IHR1017" s="16" t="s">
        <v>4867</v>
      </c>
      <c r="IHS1017" s="16" t="s">
        <v>4867</v>
      </c>
      <c r="IHT1017" s="16" t="s">
        <v>4867</v>
      </c>
      <c r="IHU1017" s="16" t="s">
        <v>4867</v>
      </c>
      <c r="IHV1017" s="16" t="s">
        <v>4867</v>
      </c>
      <c r="IHW1017" s="16" t="s">
        <v>4867</v>
      </c>
      <c r="IHX1017" s="16" t="s">
        <v>4867</v>
      </c>
      <c r="IHY1017" s="16" t="s">
        <v>4867</v>
      </c>
      <c r="IHZ1017" s="16" t="s">
        <v>4867</v>
      </c>
      <c r="IIA1017" s="16" t="s">
        <v>4867</v>
      </c>
      <c r="IIB1017" s="16" t="s">
        <v>4867</v>
      </c>
      <c r="IIC1017" s="16" t="s">
        <v>4867</v>
      </c>
      <c r="IID1017" s="16" t="s">
        <v>4867</v>
      </c>
      <c r="IIE1017" s="16" t="s">
        <v>4867</v>
      </c>
      <c r="IIF1017" s="16" t="s">
        <v>4867</v>
      </c>
      <c r="IIG1017" s="16" t="s">
        <v>4867</v>
      </c>
      <c r="IIH1017" s="16" t="s">
        <v>4867</v>
      </c>
      <c r="III1017" s="16" t="s">
        <v>4867</v>
      </c>
      <c r="IIJ1017" s="16" t="s">
        <v>4867</v>
      </c>
      <c r="IIK1017" s="16" t="s">
        <v>4867</v>
      </c>
      <c r="IIL1017" s="16" t="s">
        <v>4867</v>
      </c>
      <c r="IIM1017" s="16" t="s">
        <v>4867</v>
      </c>
      <c r="IIN1017" s="16" t="s">
        <v>4867</v>
      </c>
      <c r="IIO1017" s="16" t="s">
        <v>4867</v>
      </c>
      <c r="IIP1017" s="16" t="s">
        <v>4867</v>
      </c>
      <c r="IIQ1017" s="16" t="s">
        <v>4867</v>
      </c>
      <c r="IIR1017" s="16" t="s">
        <v>4867</v>
      </c>
      <c r="IIS1017" s="16" t="s">
        <v>4867</v>
      </c>
      <c r="IIT1017" s="16" t="s">
        <v>4867</v>
      </c>
      <c r="IIU1017" s="16" t="s">
        <v>4867</v>
      </c>
      <c r="IIV1017" s="16" t="s">
        <v>4867</v>
      </c>
      <c r="IIW1017" s="16" t="s">
        <v>4867</v>
      </c>
      <c r="IIX1017" s="16" t="s">
        <v>4867</v>
      </c>
      <c r="IIY1017" s="16" t="s">
        <v>4867</v>
      </c>
      <c r="IIZ1017" s="16" t="s">
        <v>4867</v>
      </c>
      <c r="IJA1017" s="16" t="s">
        <v>4867</v>
      </c>
      <c r="IJB1017" s="16" t="s">
        <v>4867</v>
      </c>
      <c r="IJC1017" s="16" t="s">
        <v>4867</v>
      </c>
      <c r="IJD1017" s="16" t="s">
        <v>4867</v>
      </c>
      <c r="IJE1017" s="16" t="s">
        <v>4867</v>
      </c>
      <c r="IJF1017" s="16" t="s">
        <v>4867</v>
      </c>
      <c r="IJG1017" s="16" t="s">
        <v>4867</v>
      </c>
      <c r="IJH1017" s="16" t="s">
        <v>4867</v>
      </c>
      <c r="IJI1017" s="16" t="s">
        <v>4867</v>
      </c>
      <c r="IJJ1017" s="16" t="s">
        <v>4867</v>
      </c>
      <c r="IJK1017" s="16" t="s">
        <v>4867</v>
      </c>
      <c r="IJL1017" s="16" t="s">
        <v>4867</v>
      </c>
      <c r="IJM1017" s="16" t="s">
        <v>4867</v>
      </c>
      <c r="IJN1017" s="16" t="s">
        <v>4867</v>
      </c>
      <c r="IJO1017" s="16" t="s">
        <v>4867</v>
      </c>
      <c r="IJP1017" s="16" t="s">
        <v>4867</v>
      </c>
      <c r="IJQ1017" s="16" t="s">
        <v>4867</v>
      </c>
      <c r="IJR1017" s="16" t="s">
        <v>4867</v>
      </c>
      <c r="IJS1017" s="16" t="s">
        <v>4867</v>
      </c>
      <c r="IJT1017" s="16" t="s">
        <v>4867</v>
      </c>
      <c r="IJU1017" s="16" t="s">
        <v>4867</v>
      </c>
      <c r="IJV1017" s="16" t="s">
        <v>4867</v>
      </c>
      <c r="IJW1017" s="16" t="s">
        <v>4867</v>
      </c>
      <c r="IJX1017" s="16" t="s">
        <v>4867</v>
      </c>
      <c r="IJY1017" s="16" t="s">
        <v>4867</v>
      </c>
      <c r="IJZ1017" s="16" t="s">
        <v>4867</v>
      </c>
      <c r="IKA1017" s="16" t="s">
        <v>4867</v>
      </c>
      <c r="IKB1017" s="16" t="s">
        <v>4867</v>
      </c>
      <c r="IKC1017" s="16" t="s">
        <v>4867</v>
      </c>
      <c r="IKD1017" s="16" t="s">
        <v>4867</v>
      </c>
      <c r="IKE1017" s="16" t="s">
        <v>4867</v>
      </c>
      <c r="IKF1017" s="16" t="s">
        <v>4867</v>
      </c>
      <c r="IKG1017" s="16" t="s">
        <v>4867</v>
      </c>
      <c r="IKH1017" s="16" t="s">
        <v>4867</v>
      </c>
      <c r="IKI1017" s="16" t="s">
        <v>4867</v>
      </c>
      <c r="IKJ1017" s="16" t="s">
        <v>4867</v>
      </c>
      <c r="IKK1017" s="16" t="s">
        <v>4867</v>
      </c>
      <c r="IKL1017" s="16" t="s">
        <v>4867</v>
      </c>
      <c r="IKM1017" s="16" t="s">
        <v>4867</v>
      </c>
      <c r="IKN1017" s="16" t="s">
        <v>4867</v>
      </c>
      <c r="IKO1017" s="16" t="s">
        <v>4867</v>
      </c>
      <c r="IKP1017" s="16" t="s">
        <v>4867</v>
      </c>
      <c r="IKQ1017" s="16" t="s">
        <v>4867</v>
      </c>
      <c r="IKR1017" s="16" t="s">
        <v>4867</v>
      </c>
      <c r="IKS1017" s="16" t="s">
        <v>4867</v>
      </c>
      <c r="IKT1017" s="16" t="s">
        <v>4867</v>
      </c>
      <c r="IKU1017" s="16" t="s">
        <v>4867</v>
      </c>
      <c r="IKV1017" s="16" t="s">
        <v>4867</v>
      </c>
      <c r="IKW1017" s="16" t="s">
        <v>4867</v>
      </c>
      <c r="IKX1017" s="16" t="s">
        <v>4867</v>
      </c>
      <c r="IKY1017" s="16" t="s">
        <v>4867</v>
      </c>
      <c r="IKZ1017" s="16" t="s">
        <v>4867</v>
      </c>
      <c r="ILA1017" s="16" t="s">
        <v>4867</v>
      </c>
      <c r="ILB1017" s="16" t="s">
        <v>4867</v>
      </c>
      <c r="ILC1017" s="16" t="s">
        <v>4867</v>
      </c>
      <c r="ILD1017" s="16" t="s">
        <v>4867</v>
      </c>
      <c r="ILE1017" s="16" t="s">
        <v>4867</v>
      </c>
      <c r="ILF1017" s="16" t="s">
        <v>4867</v>
      </c>
      <c r="ILG1017" s="16" t="s">
        <v>4867</v>
      </c>
      <c r="ILH1017" s="16" t="s">
        <v>4867</v>
      </c>
      <c r="ILI1017" s="16" t="s">
        <v>4867</v>
      </c>
      <c r="ILJ1017" s="16" t="s">
        <v>4867</v>
      </c>
      <c r="ILK1017" s="16" t="s">
        <v>4867</v>
      </c>
      <c r="ILL1017" s="16" t="s">
        <v>4867</v>
      </c>
      <c r="ILM1017" s="16" t="s">
        <v>4867</v>
      </c>
      <c r="ILN1017" s="16" t="s">
        <v>4867</v>
      </c>
      <c r="ILO1017" s="16" t="s">
        <v>4867</v>
      </c>
      <c r="ILP1017" s="16" t="s">
        <v>4867</v>
      </c>
      <c r="ILQ1017" s="16" t="s">
        <v>4867</v>
      </c>
      <c r="ILR1017" s="16" t="s">
        <v>4867</v>
      </c>
      <c r="ILS1017" s="16" t="s">
        <v>4867</v>
      </c>
      <c r="ILT1017" s="16" t="s">
        <v>4867</v>
      </c>
      <c r="ILU1017" s="16" t="s">
        <v>4867</v>
      </c>
      <c r="ILV1017" s="16" t="s">
        <v>4867</v>
      </c>
      <c r="ILW1017" s="16" t="s">
        <v>4867</v>
      </c>
      <c r="ILX1017" s="16" t="s">
        <v>4867</v>
      </c>
      <c r="ILY1017" s="16" t="s">
        <v>4867</v>
      </c>
      <c r="ILZ1017" s="16" t="s">
        <v>4867</v>
      </c>
      <c r="IMA1017" s="16" t="s">
        <v>4867</v>
      </c>
      <c r="IMB1017" s="16" t="s">
        <v>4867</v>
      </c>
      <c r="IMC1017" s="16" t="s">
        <v>4867</v>
      </c>
      <c r="IMD1017" s="16" t="s">
        <v>4867</v>
      </c>
      <c r="IME1017" s="16" t="s">
        <v>4867</v>
      </c>
      <c r="IMF1017" s="16" t="s">
        <v>4867</v>
      </c>
      <c r="IMG1017" s="16" t="s">
        <v>4867</v>
      </c>
      <c r="IMH1017" s="16" t="s">
        <v>4867</v>
      </c>
      <c r="IMI1017" s="16" t="s">
        <v>4867</v>
      </c>
      <c r="IMJ1017" s="16" t="s">
        <v>4867</v>
      </c>
      <c r="IMK1017" s="16" t="s">
        <v>4867</v>
      </c>
      <c r="IML1017" s="16" t="s">
        <v>4867</v>
      </c>
      <c r="IMM1017" s="16" t="s">
        <v>4867</v>
      </c>
      <c r="IMN1017" s="16" t="s">
        <v>4867</v>
      </c>
      <c r="IMO1017" s="16" t="s">
        <v>4867</v>
      </c>
      <c r="IMP1017" s="16" t="s">
        <v>4867</v>
      </c>
      <c r="IMQ1017" s="16" t="s">
        <v>4867</v>
      </c>
      <c r="IMR1017" s="16" t="s">
        <v>4867</v>
      </c>
      <c r="IMS1017" s="16" t="s">
        <v>4867</v>
      </c>
      <c r="IMT1017" s="16" t="s">
        <v>4867</v>
      </c>
      <c r="IMU1017" s="16" t="s">
        <v>4867</v>
      </c>
      <c r="IMV1017" s="16" t="s">
        <v>4867</v>
      </c>
      <c r="IMW1017" s="16" t="s">
        <v>4867</v>
      </c>
      <c r="IMX1017" s="16" t="s">
        <v>4867</v>
      </c>
      <c r="IMY1017" s="16" t="s">
        <v>4867</v>
      </c>
      <c r="IMZ1017" s="16" t="s">
        <v>4867</v>
      </c>
      <c r="INA1017" s="16" t="s">
        <v>4867</v>
      </c>
      <c r="INB1017" s="16" t="s">
        <v>4867</v>
      </c>
      <c r="INC1017" s="16" t="s">
        <v>4867</v>
      </c>
      <c r="IND1017" s="16" t="s">
        <v>4867</v>
      </c>
      <c r="INE1017" s="16" t="s">
        <v>4867</v>
      </c>
      <c r="INF1017" s="16" t="s">
        <v>4867</v>
      </c>
      <c r="ING1017" s="16" t="s">
        <v>4867</v>
      </c>
      <c r="INH1017" s="16" t="s">
        <v>4867</v>
      </c>
      <c r="INI1017" s="16" t="s">
        <v>4867</v>
      </c>
      <c r="INJ1017" s="16" t="s">
        <v>4867</v>
      </c>
      <c r="INK1017" s="16" t="s">
        <v>4867</v>
      </c>
      <c r="INL1017" s="16" t="s">
        <v>4867</v>
      </c>
      <c r="INM1017" s="16" t="s">
        <v>4867</v>
      </c>
      <c r="INN1017" s="16" t="s">
        <v>4867</v>
      </c>
      <c r="INO1017" s="16" t="s">
        <v>4867</v>
      </c>
      <c r="INP1017" s="16" t="s">
        <v>4867</v>
      </c>
      <c r="INQ1017" s="16" t="s">
        <v>4867</v>
      </c>
      <c r="INR1017" s="16" t="s">
        <v>4867</v>
      </c>
      <c r="INS1017" s="16" t="s">
        <v>4867</v>
      </c>
      <c r="INT1017" s="16" t="s">
        <v>4867</v>
      </c>
      <c r="INU1017" s="16" t="s">
        <v>4867</v>
      </c>
      <c r="INV1017" s="16" t="s">
        <v>4867</v>
      </c>
      <c r="INW1017" s="16" t="s">
        <v>4867</v>
      </c>
      <c r="INX1017" s="16" t="s">
        <v>4867</v>
      </c>
      <c r="INY1017" s="16" t="s">
        <v>4867</v>
      </c>
      <c r="INZ1017" s="16" t="s">
        <v>4867</v>
      </c>
      <c r="IOA1017" s="16" t="s">
        <v>4867</v>
      </c>
      <c r="IOB1017" s="16" t="s">
        <v>4867</v>
      </c>
      <c r="IOC1017" s="16" t="s">
        <v>4867</v>
      </c>
      <c r="IOD1017" s="16" t="s">
        <v>4867</v>
      </c>
      <c r="IOE1017" s="16" t="s">
        <v>4867</v>
      </c>
      <c r="IOF1017" s="16" t="s">
        <v>4867</v>
      </c>
      <c r="IOG1017" s="16" t="s">
        <v>4867</v>
      </c>
      <c r="IOH1017" s="16" t="s">
        <v>4867</v>
      </c>
      <c r="IOI1017" s="16" t="s">
        <v>4867</v>
      </c>
      <c r="IOJ1017" s="16" t="s">
        <v>4867</v>
      </c>
      <c r="IOK1017" s="16" t="s">
        <v>4867</v>
      </c>
      <c r="IOL1017" s="16" t="s">
        <v>4867</v>
      </c>
      <c r="IOM1017" s="16" t="s">
        <v>4867</v>
      </c>
      <c r="ION1017" s="16" t="s">
        <v>4867</v>
      </c>
      <c r="IOO1017" s="16" t="s">
        <v>4867</v>
      </c>
      <c r="IOP1017" s="16" t="s">
        <v>4867</v>
      </c>
      <c r="IOQ1017" s="16" t="s">
        <v>4867</v>
      </c>
      <c r="IOR1017" s="16" t="s">
        <v>4867</v>
      </c>
      <c r="IOS1017" s="16" t="s">
        <v>4867</v>
      </c>
      <c r="IOT1017" s="16" t="s">
        <v>4867</v>
      </c>
      <c r="IOU1017" s="16" t="s">
        <v>4867</v>
      </c>
      <c r="IOV1017" s="16" t="s">
        <v>4867</v>
      </c>
      <c r="IOW1017" s="16" t="s">
        <v>4867</v>
      </c>
      <c r="IOX1017" s="16" t="s">
        <v>4867</v>
      </c>
      <c r="IOY1017" s="16" t="s">
        <v>4867</v>
      </c>
      <c r="IOZ1017" s="16" t="s">
        <v>4867</v>
      </c>
      <c r="IPA1017" s="16" t="s">
        <v>4867</v>
      </c>
      <c r="IPB1017" s="16" t="s">
        <v>4867</v>
      </c>
      <c r="IPC1017" s="16" t="s">
        <v>4867</v>
      </c>
      <c r="IPD1017" s="16" t="s">
        <v>4867</v>
      </c>
      <c r="IPE1017" s="16" t="s">
        <v>4867</v>
      </c>
      <c r="IPF1017" s="16" t="s">
        <v>4867</v>
      </c>
      <c r="IPG1017" s="16" t="s">
        <v>4867</v>
      </c>
      <c r="IPH1017" s="16" t="s">
        <v>4867</v>
      </c>
      <c r="IPI1017" s="16" t="s">
        <v>4867</v>
      </c>
      <c r="IPJ1017" s="16" t="s">
        <v>4867</v>
      </c>
      <c r="IPK1017" s="16" t="s">
        <v>4867</v>
      </c>
      <c r="IPL1017" s="16" t="s">
        <v>4867</v>
      </c>
      <c r="IPM1017" s="16" t="s">
        <v>4867</v>
      </c>
      <c r="IPN1017" s="16" t="s">
        <v>4867</v>
      </c>
      <c r="IPO1017" s="16" t="s">
        <v>4867</v>
      </c>
      <c r="IPP1017" s="16" t="s">
        <v>4867</v>
      </c>
      <c r="IPQ1017" s="16" t="s">
        <v>4867</v>
      </c>
      <c r="IPR1017" s="16" t="s">
        <v>4867</v>
      </c>
      <c r="IPS1017" s="16" t="s">
        <v>4867</v>
      </c>
      <c r="IPT1017" s="16" t="s">
        <v>4867</v>
      </c>
      <c r="IPU1017" s="16" t="s">
        <v>4867</v>
      </c>
      <c r="IPV1017" s="16" t="s">
        <v>4867</v>
      </c>
      <c r="IPW1017" s="16" t="s">
        <v>4867</v>
      </c>
      <c r="IPX1017" s="16" t="s">
        <v>4867</v>
      </c>
      <c r="IPY1017" s="16" t="s">
        <v>4867</v>
      </c>
      <c r="IPZ1017" s="16" t="s">
        <v>4867</v>
      </c>
      <c r="IQA1017" s="16" t="s">
        <v>4867</v>
      </c>
      <c r="IQB1017" s="16" t="s">
        <v>4867</v>
      </c>
      <c r="IQC1017" s="16" t="s">
        <v>4867</v>
      </c>
      <c r="IQD1017" s="16" t="s">
        <v>4867</v>
      </c>
      <c r="IQE1017" s="16" t="s">
        <v>4867</v>
      </c>
      <c r="IQF1017" s="16" t="s">
        <v>4867</v>
      </c>
      <c r="IQG1017" s="16" t="s">
        <v>4867</v>
      </c>
      <c r="IQH1017" s="16" t="s">
        <v>4867</v>
      </c>
      <c r="IQI1017" s="16" t="s">
        <v>4867</v>
      </c>
      <c r="IQJ1017" s="16" t="s">
        <v>4867</v>
      </c>
      <c r="IQK1017" s="16" t="s">
        <v>4867</v>
      </c>
      <c r="IQL1017" s="16" t="s">
        <v>4867</v>
      </c>
      <c r="IQM1017" s="16" t="s">
        <v>4867</v>
      </c>
      <c r="IQN1017" s="16" t="s">
        <v>4867</v>
      </c>
      <c r="IQO1017" s="16" t="s">
        <v>4867</v>
      </c>
      <c r="IQP1017" s="16" t="s">
        <v>4867</v>
      </c>
      <c r="IQQ1017" s="16" t="s">
        <v>4867</v>
      </c>
      <c r="IQR1017" s="16" t="s">
        <v>4867</v>
      </c>
      <c r="IQS1017" s="16" t="s">
        <v>4867</v>
      </c>
      <c r="IQT1017" s="16" t="s">
        <v>4867</v>
      </c>
      <c r="IQU1017" s="16" t="s">
        <v>4867</v>
      </c>
      <c r="IQV1017" s="16" t="s">
        <v>4867</v>
      </c>
      <c r="IQW1017" s="16" t="s">
        <v>4867</v>
      </c>
      <c r="IQX1017" s="16" t="s">
        <v>4867</v>
      </c>
      <c r="IQY1017" s="16" t="s">
        <v>4867</v>
      </c>
      <c r="IQZ1017" s="16" t="s">
        <v>4867</v>
      </c>
      <c r="IRA1017" s="16" t="s">
        <v>4867</v>
      </c>
      <c r="IRB1017" s="16" t="s">
        <v>4867</v>
      </c>
      <c r="IRC1017" s="16" t="s">
        <v>4867</v>
      </c>
      <c r="IRD1017" s="16" t="s">
        <v>4867</v>
      </c>
      <c r="IRE1017" s="16" t="s">
        <v>4867</v>
      </c>
      <c r="IRF1017" s="16" t="s">
        <v>4867</v>
      </c>
      <c r="IRG1017" s="16" t="s">
        <v>4867</v>
      </c>
      <c r="IRH1017" s="16" t="s">
        <v>4867</v>
      </c>
      <c r="IRI1017" s="16" t="s">
        <v>4867</v>
      </c>
      <c r="IRJ1017" s="16" t="s">
        <v>4867</v>
      </c>
      <c r="IRK1017" s="16" t="s">
        <v>4867</v>
      </c>
      <c r="IRL1017" s="16" t="s">
        <v>4867</v>
      </c>
      <c r="IRM1017" s="16" t="s">
        <v>4867</v>
      </c>
      <c r="IRN1017" s="16" t="s">
        <v>4867</v>
      </c>
      <c r="IRO1017" s="16" t="s">
        <v>4867</v>
      </c>
      <c r="IRP1017" s="16" t="s">
        <v>4867</v>
      </c>
      <c r="IRQ1017" s="16" t="s">
        <v>4867</v>
      </c>
      <c r="IRR1017" s="16" t="s">
        <v>4867</v>
      </c>
      <c r="IRS1017" s="16" t="s">
        <v>4867</v>
      </c>
      <c r="IRT1017" s="16" t="s">
        <v>4867</v>
      </c>
      <c r="IRU1017" s="16" t="s">
        <v>4867</v>
      </c>
      <c r="IRV1017" s="16" t="s">
        <v>4867</v>
      </c>
      <c r="IRW1017" s="16" t="s">
        <v>4867</v>
      </c>
      <c r="IRX1017" s="16" t="s">
        <v>4867</v>
      </c>
      <c r="IRY1017" s="16" t="s">
        <v>4867</v>
      </c>
      <c r="IRZ1017" s="16" t="s">
        <v>4867</v>
      </c>
      <c r="ISA1017" s="16" t="s">
        <v>4867</v>
      </c>
      <c r="ISB1017" s="16" t="s">
        <v>4867</v>
      </c>
      <c r="ISC1017" s="16" t="s">
        <v>4867</v>
      </c>
      <c r="ISD1017" s="16" t="s">
        <v>4867</v>
      </c>
      <c r="ISE1017" s="16" t="s">
        <v>4867</v>
      </c>
      <c r="ISF1017" s="16" t="s">
        <v>4867</v>
      </c>
      <c r="ISG1017" s="16" t="s">
        <v>4867</v>
      </c>
      <c r="ISH1017" s="16" t="s">
        <v>4867</v>
      </c>
      <c r="ISI1017" s="16" t="s">
        <v>4867</v>
      </c>
      <c r="ISJ1017" s="16" t="s">
        <v>4867</v>
      </c>
      <c r="ISK1017" s="16" t="s">
        <v>4867</v>
      </c>
      <c r="ISL1017" s="16" t="s">
        <v>4867</v>
      </c>
      <c r="ISM1017" s="16" t="s">
        <v>4867</v>
      </c>
      <c r="ISN1017" s="16" t="s">
        <v>4867</v>
      </c>
      <c r="ISO1017" s="16" t="s">
        <v>4867</v>
      </c>
      <c r="ISP1017" s="16" t="s">
        <v>4867</v>
      </c>
      <c r="ISQ1017" s="16" t="s">
        <v>4867</v>
      </c>
      <c r="ISR1017" s="16" t="s">
        <v>4867</v>
      </c>
      <c r="ISS1017" s="16" t="s">
        <v>4867</v>
      </c>
      <c r="IST1017" s="16" t="s">
        <v>4867</v>
      </c>
      <c r="ISU1017" s="16" t="s">
        <v>4867</v>
      </c>
      <c r="ISV1017" s="16" t="s">
        <v>4867</v>
      </c>
      <c r="ISW1017" s="16" t="s">
        <v>4867</v>
      </c>
      <c r="ISX1017" s="16" t="s">
        <v>4867</v>
      </c>
      <c r="ISY1017" s="16" t="s">
        <v>4867</v>
      </c>
      <c r="ISZ1017" s="16" t="s">
        <v>4867</v>
      </c>
      <c r="ITA1017" s="16" t="s">
        <v>4867</v>
      </c>
      <c r="ITB1017" s="16" t="s">
        <v>4867</v>
      </c>
      <c r="ITC1017" s="16" t="s">
        <v>4867</v>
      </c>
      <c r="ITD1017" s="16" t="s">
        <v>4867</v>
      </c>
      <c r="ITE1017" s="16" t="s">
        <v>4867</v>
      </c>
      <c r="ITF1017" s="16" t="s">
        <v>4867</v>
      </c>
      <c r="ITG1017" s="16" t="s">
        <v>4867</v>
      </c>
      <c r="ITH1017" s="16" t="s">
        <v>4867</v>
      </c>
      <c r="ITI1017" s="16" t="s">
        <v>4867</v>
      </c>
      <c r="ITJ1017" s="16" t="s">
        <v>4867</v>
      </c>
      <c r="ITK1017" s="16" t="s">
        <v>4867</v>
      </c>
      <c r="ITL1017" s="16" t="s">
        <v>4867</v>
      </c>
      <c r="ITM1017" s="16" t="s">
        <v>4867</v>
      </c>
      <c r="ITN1017" s="16" t="s">
        <v>4867</v>
      </c>
      <c r="ITO1017" s="16" t="s">
        <v>4867</v>
      </c>
      <c r="ITP1017" s="16" t="s">
        <v>4867</v>
      </c>
      <c r="ITQ1017" s="16" t="s">
        <v>4867</v>
      </c>
      <c r="ITR1017" s="16" t="s">
        <v>4867</v>
      </c>
      <c r="ITS1017" s="16" t="s">
        <v>4867</v>
      </c>
      <c r="ITT1017" s="16" t="s">
        <v>4867</v>
      </c>
      <c r="ITU1017" s="16" t="s">
        <v>4867</v>
      </c>
      <c r="ITV1017" s="16" t="s">
        <v>4867</v>
      </c>
      <c r="ITW1017" s="16" t="s">
        <v>4867</v>
      </c>
      <c r="ITX1017" s="16" t="s">
        <v>4867</v>
      </c>
      <c r="ITY1017" s="16" t="s">
        <v>4867</v>
      </c>
      <c r="ITZ1017" s="16" t="s">
        <v>4867</v>
      </c>
      <c r="IUA1017" s="16" t="s">
        <v>4867</v>
      </c>
      <c r="IUB1017" s="16" t="s">
        <v>4867</v>
      </c>
      <c r="IUC1017" s="16" t="s">
        <v>4867</v>
      </c>
      <c r="IUD1017" s="16" t="s">
        <v>4867</v>
      </c>
      <c r="IUE1017" s="16" t="s">
        <v>4867</v>
      </c>
      <c r="IUF1017" s="16" t="s">
        <v>4867</v>
      </c>
      <c r="IUG1017" s="16" t="s">
        <v>4867</v>
      </c>
      <c r="IUH1017" s="16" t="s">
        <v>4867</v>
      </c>
      <c r="IUI1017" s="16" t="s">
        <v>4867</v>
      </c>
      <c r="IUJ1017" s="16" t="s">
        <v>4867</v>
      </c>
      <c r="IUK1017" s="16" t="s">
        <v>4867</v>
      </c>
      <c r="IUL1017" s="16" t="s">
        <v>4867</v>
      </c>
      <c r="IUM1017" s="16" t="s">
        <v>4867</v>
      </c>
      <c r="IUN1017" s="16" t="s">
        <v>4867</v>
      </c>
      <c r="IUO1017" s="16" t="s">
        <v>4867</v>
      </c>
      <c r="IUP1017" s="16" t="s">
        <v>4867</v>
      </c>
      <c r="IUQ1017" s="16" t="s">
        <v>4867</v>
      </c>
      <c r="IUR1017" s="16" t="s">
        <v>4867</v>
      </c>
      <c r="IUS1017" s="16" t="s">
        <v>4867</v>
      </c>
      <c r="IUT1017" s="16" t="s">
        <v>4867</v>
      </c>
      <c r="IUU1017" s="16" t="s">
        <v>4867</v>
      </c>
      <c r="IUV1017" s="16" t="s">
        <v>4867</v>
      </c>
      <c r="IUW1017" s="16" t="s">
        <v>4867</v>
      </c>
      <c r="IUX1017" s="16" t="s">
        <v>4867</v>
      </c>
      <c r="IUY1017" s="16" t="s">
        <v>4867</v>
      </c>
      <c r="IUZ1017" s="16" t="s">
        <v>4867</v>
      </c>
      <c r="IVA1017" s="16" t="s">
        <v>4867</v>
      </c>
      <c r="IVB1017" s="16" t="s">
        <v>4867</v>
      </c>
      <c r="IVC1017" s="16" t="s">
        <v>4867</v>
      </c>
      <c r="IVD1017" s="16" t="s">
        <v>4867</v>
      </c>
      <c r="IVE1017" s="16" t="s">
        <v>4867</v>
      </c>
      <c r="IVF1017" s="16" t="s">
        <v>4867</v>
      </c>
      <c r="IVG1017" s="16" t="s">
        <v>4867</v>
      </c>
      <c r="IVH1017" s="16" t="s">
        <v>4867</v>
      </c>
      <c r="IVI1017" s="16" t="s">
        <v>4867</v>
      </c>
      <c r="IVJ1017" s="16" t="s">
        <v>4867</v>
      </c>
      <c r="IVK1017" s="16" t="s">
        <v>4867</v>
      </c>
      <c r="IVL1017" s="16" t="s">
        <v>4867</v>
      </c>
      <c r="IVM1017" s="16" t="s">
        <v>4867</v>
      </c>
      <c r="IVN1017" s="16" t="s">
        <v>4867</v>
      </c>
      <c r="IVO1017" s="16" t="s">
        <v>4867</v>
      </c>
      <c r="IVP1017" s="16" t="s">
        <v>4867</v>
      </c>
      <c r="IVQ1017" s="16" t="s">
        <v>4867</v>
      </c>
      <c r="IVR1017" s="16" t="s">
        <v>4867</v>
      </c>
      <c r="IVS1017" s="16" t="s">
        <v>4867</v>
      </c>
      <c r="IVT1017" s="16" t="s">
        <v>4867</v>
      </c>
      <c r="IVU1017" s="16" t="s">
        <v>4867</v>
      </c>
      <c r="IVV1017" s="16" t="s">
        <v>4867</v>
      </c>
      <c r="IVW1017" s="16" t="s">
        <v>4867</v>
      </c>
      <c r="IVX1017" s="16" t="s">
        <v>4867</v>
      </c>
      <c r="IVY1017" s="16" t="s">
        <v>4867</v>
      </c>
      <c r="IVZ1017" s="16" t="s">
        <v>4867</v>
      </c>
      <c r="IWA1017" s="16" t="s">
        <v>4867</v>
      </c>
      <c r="IWB1017" s="16" t="s">
        <v>4867</v>
      </c>
      <c r="IWC1017" s="16" t="s">
        <v>4867</v>
      </c>
      <c r="IWD1017" s="16" t="s">
        <v>4867</v>
      </c>
      <c r="IWE1017" s="16" t="s">
        <v>4867</v>
      </c>
      <c r="IWF1017" s="16" t="s">
        <v>4867</v>
      </c>
      <c r="IWG1017" s="16" t="s">
        <v>4867</v>
      </c>
      <c r="IWH1017" s="16" t="s">
        <v>4867</v>
      </c>
      <c r="IWI1017" s="16" t="s">
        <v>4867</v>
      </c>
      <c r="IWJ1017" s="16" t="s">
        <v>4867</v>
      </c>
      <c r="IWK1017" s="16" t="s">
        <v>4867</v>
      </c>
      <c r="IWL1017" s="16" t="s">
        <v>4867</v>
      </c>
      <c r="IWM1017" s="16" t="s">
        <v>4867</v>
      </c>
      <c r="IWN1017" s="16" t="s">
        <v>4867</v>
      </c>
      <c r="IWO1017" s="16" t="s">
        <v>4867</v>
      </c>
      <c r="IWP1017" s="16" t="s">
        <v>4867</v>
      </c>
      <c r="IWQ1017" s="16" t="s">
        <v>4867</v>
      </c>
      <c r="IWR1017" s="16" t="s">
        <v>4867</v>
      </c>
      <c r="IWS1017" s="16" t="s">
        <v>4867</v>
      </c>
      <c r="IWT1017" s="16" t="s">
        <v>4867</v>
      </c>
      <c r="IWU1017" s="16" t="s">
        <v>4867</v>
      </c>
      <c r="IWV1017" s="16" t="s">
        <v>4867</v>
      </c>
      <c r="IWW1017" s="16" t="s">
        <v>4867</v>
      </c>
      <c r="IWX1017" s="16" t="s">
        <v>4867</v>
      </c>
      <c r="IWY1017" s="16" t="s">
        <v>4867</v>
      </c>
      <c r="IWZ1017" s="16" t="s">
        <v>4867</v>
      </c>
      <c r="IXA1017" s="16" t="s">
        <v>4867</v>
      </c>
      <c r="IXB1017" s="16" t="s">
        <v>4867</v>
      </c>
      <c r="IXC1017" s="16" t="s">
        <v>4867</v>
      </c>
      <c r="IXD1017" s="16" t="s">
        <v>4867</v>
      </c>
      <c r="IXE1017" s="16" t="s">
        <v>4867</v>
      </c>
      <c r="IXF1017" s="16" t="s">
        <v>4867</v>
      </c>
      <c r="IXG1017" s="16" t="s">
        <v>4867</v>
      </c>
      <c r="IXH1017" s="16" t="s">
        <v>4867</v>
      </c>
      <c r="IXI1017" s="16" t="s">
        <v>4867</v>
      </c>
      <c r="IXJ1017" s="16" t="s">
        <v>4867</v>
      </c>
      <c r="IXK1017" s="16" t="s">
        <v>4867</v>
      </c>
      <c r="IXL1017" s="16" t="s">
        <v>4867</v>
      </c>
      <c r="IXM1017" s="16" t="s">
        <v>4867</v>
      </c>
      <c r="IXN1017" s="16" t="s">
        <v>4867</v>
      </c>
      <c r="IXO1017" s="16" t="s">
        <v>4867</v>
      </c>
      <c r="IXP1017" s="16" t="s">
        <v>4867</v>
      </c>
      <c r="IXQ1017" s="16" t="s">
        <v>4867</v>
      </c>
      <c r="IXR1017" s="16" t="s">
        <v>4867</v>
      </c>
      <c r="IXS1017" s="16" t="s">
        <v>4867</v>
      </c>
      <c r="IXT1017" s="16" t="s">
        <v>4867</v>
      </c>
      <c r="IXU1017" s="16" t="s">
        <v>4867</v>
      </c>
      <c r="IXV1017" s="16" t="s">
        <v>4867</v>
      </c>
      <c r="IXW1017" s="16" t="s">
        <v>4867</v>
      </c>
      <c r="IXX1017" s="16" t="s">
        <v>4867</v>
      </c>
      <c r="IXY1017" s="16" t="s">
        <v>4867</v>
      </c>
      <c r="IXZ1017" s="16" t="s">
        <v>4867</v>
      </c>
      <c r="IYA1017" s="16" t="s">
        <v>4867</v>
      </c>
      <c r="IYB1017" s="16" t="s">
        <v>4867</v>
      </c>
      <c r="IYC1017" s="16" t="s">
        <v>4867</v>
      </c>
      <c r="IYD1017" s="16" t="s">
        <v>4867</v>
      </c>
      <c r="IYE1017" s="16" t="s">
        <v>4867</v>
      </c>
      <c r="IYF1017" s="16" t="s">
        <v>4867</v>
      </c>
      <c r="IYG1017" s="16" t="s">
        <v>4867</v>
      </c>
      <c r="IYH1017" s="16" t="s">
        <v>4867</v>
      </c>
      <c r="IYI1017" s="16" t="s">
        <v>4867</v>
      </c>
      <c r="IYJ1017" s="16" t="s">
        <v>4867</v>
      </c>
      <c r="IYK1017" s="16" t="s">
        <v>4867</v>
      </c>
      <c r="IYL1017" s="16" t="s">
        <v>4867</v>
      </c>
      <c r="IYM1017" s="16" t="s">
        <v>4867</v>
      </c>
      <c r="IYN1017" s="16" t="s">
        <v>4867</v>
      </c>
      <c r="IYO1017" s="16" t="s">
        <v>4867</v>
      </c>
      <c r="IYP1017" s="16" t="s">
        <v>4867</v>
      </c>
      <c r="IYQ1017" s="16" t="s">
        <v>4867</v>
      </c>
      <c r="IYR1017" s="16" t="s">
        <v>4867</v>
      </c>
      <c r="IYS1017" s="16" t="s">
        <v>4867</v>
      </c>
      <c r="IYT1017" s="16" t="s">
        <v>4867</v>
      </c>
      <c r="IYU1017" s="16" t="s">
        <v>4867</v>
      </c>
      <c r="IYV1017" s="16" t="s">
        <v>4867</v>
      </c>
      <c r="IYW1017" s="16" t="s">
        <v>4867</v>
      </c>
      <c r="IYX1017" s="16" t="s">
        <v>4867</v>
      </c>
      <c r="IYY1017" s="16" t="s">
        <v>4867</v>
      </c>
      <c r="IYZ1017" s="16" t="s">
        <v>4867</v>
      </c>
      <c r="IZA1017" s="16" t="s">
        <v>4867</v>
      </c>
      <c r="IZB1017" s="16" t="s">
        <v>4867</v>
      </c>
      <c r="IZC1017" s="16" t="s">
        <v>4867</v>
      </c>
      <c r="IZD1017" s="16" t="s">
        <v>4867</v>
      </c>
      <c r="IZE1017" s="16" t="s">
        <v>4867</v>
      </c>
      <c r="IZF1017" s="16" t="s">
        <v>4867</v>
      </c>
      <c r="IZG1017" s="16" t="s">
        <v>4867</v>
      </c>
      <c r="IZH1017" s="16" t="s">
        <v>4867</v>
      </c>
      <c r="IZI1017" s="16" t="s">
        <v>4867</v>
      </c>
      <c r="IZJ1017" s="16" t="s">
        <v>4867</v>
      </c>
      <c r="IZK1017" s="16" t="s">
        <v>4867</v>
      </c>
      <c r="IZL1017" s="16" t="s">
        <v>4867</v>
      </c>
      <c r="IZM1017" s="16" t="s">
        <v>4867</v>
      </c>
      <c r="IZN1017" s="16" t="s">
        <v>4867</v>
      </c>
      <c r="IZO1017" s="16" t="s">
        <v>4867</v>
      </c>
      <c r="IZP1017" s="16" t="s">
        <v>4867</v>
      </c>
      <c r="IZQ1017" s="16" t="s">
        <v>4867</v>
      </c>
      <c r="IZR1017" s="16" t="s">
        <v>4867</v>
      </c>
      <c r="IZS1017" s="16" t="s">
        <v>4867</v>
      </c>
      <c r="IZT1017" s="16" t="s">
        <v>4867</v>
      </c>
      <c r="IZU1017" s="16" t="s">
        <v>4867</v>
      </c>
      <c r="IZV1017" s="16" t="s">
        <v>4867</v>
      </c>
      <c r="IZW1017" s="16" t="s">
        <v>4867</v>
      </c>
      <c r="IZX1017" s="16" t="s">
        <v>4867</v>
      </c>
      <c r="IZY1017" s="16" t="s">
        <v>4867</v>
      </c>
      <c r="IZZ1017" s="16" t="s">
        <v>4867</v>
      </c>
      <c r="JAA1017" s="16" t="s">
        <v>4867</v>
      </c>
      <c r="JAB1017" s="16" t="s">
        <v>4867</v>
      </c>
      <c r="JAC1017" s="16" t="s">
        <v>4867</v>
      </c>
      <c r="JAD1017" s="16" t="s">
        <v>4867</v>
      </c>
      <c r="JAE1017" s="16" t="s">
        <v>4867</v>
      </c>
      <c r="JAF1017" s="16" t="s">
        <v>4867</v>
      </c>
      <c r="JAG1017" s="16" t="s">
        <v>4867</v>
      </c>
      <c r="JAH1017" s="16" t="s">
        <v>4867</v>
      </c>
      <c r="JAI1017" s="16" t="s">
        <v>4867</v>
      </c>
      <c r="JAJ1017" s="16" t="s">
        <v>4867</v>
      </c>
      <c r="JAK1017" s="16" t="s">
        <v>4867</v>
      </c>
      <c r="JAL1017" s="16" t="s">
        <v>4867</v>
      </c>
      <c r="JAM1017" s="16" t="s">
        <v>4867</v>
      </c>
      <c r="JAN1017" s="16" t="s">
        <v>4867</v>
      </c>
      <c r="JAO1017" s="16" t="s">
        <v>4867</v>
      </c>
      <c r="JAP1017" s="16" t="s">
        <v>4867</v>
      </c>
      <c r="JAQ1017" s="16" t="s">
        <v>4867</v>
      </c>
      <c r="JAR1017" s="16" t="s">
        <v>4867</v>
      </c>
      <c r="JAS1017" s="16" t="s">
        <v>4867</v>
      </c>
      <c r="JAT1017" s="16" t="s">
        <v>4867</v>
      </c>
      <c r="JAU1017" s="16" t="s">
        <v>4867</v>
      </c>
      <c r="JAV1017" s="16" t="s">
        <v>4867</v>
      </c>
      <c r="JAW1017" s="16" t="s">
        <v>4867</v>
      </c>
      <c r="JAX1017" s="16" t="s">
        <v>4867</v>
      </c>
      <c r="JAY1017" s="16" t="s">
        <v>4867</v>
      </c>
      <c r="JAZ1017" s="16" t="s">
        <v>4867</v>
      </c>
      <c r="JBA1017" s="16" t="s">
        <v>4867</v>
      </c>
      <c r="JBB1017" s="16" t="s">
        <v>4867</v>
      </c>
      <c r="JBC1017" s="16" t="s">
        <v>4867</v>
      </c>
      <c r="JBD1017" s="16" t="s">
        <v>4867</v>
      </c>
      <c r="JBE1017" s="16" t="s">
        <v>4867</v>
      </c>
      <c r="JBF1017" s="16" t="s">
        <v>4867</v>
      </c>
      <c r="JBG1017" s="16" t="s">
        <v>4867</v>
      </c>
      <c r="JBH1017" s="16" t="s">
        <v>4867</v>
      </c>
      <c r="JBI1017" s="16" t="s">
        <v>4867</v>
      </c>
      <c r="JBJ1017" s="16" t="s">
        <v>4867</v>
      </c>
      <c r="JBK1017" s="16" t="s">
        <v>4867</v>
      </c>
      <c r="JBL1017" s="16" t="s">
        <v>4867</v>
      </c>
      <c r="JBM1017" s="16" t="s">
        <v>4867</v>
      </c>
      <c r="JBN1017" s="16" t="s">
        <v>4867</v>
      </c>
      <c r="JBO1017" s="16" t="s">
        <v>4867</v>
      </c>
      <c r="JBP1017" s="16" t="s">
        <v>4867</v>
      </c>
      <c r="JBQ1017" s="16" t="s">
        <v>4867</v>
      </c>
      <c r="JBR1017" s="16" t="s">
        <v>4867</v>
      </c>
      <c r="JBS1017" s="16" t="s">
        <v>4867</v>
      </c>
      <c r="JBT1017" s="16" t="s">
        <v>4867</v>
      </c>
      <c r="JBU1017" s="16" t="s">
        <v>4867</v>
      </c>
      <c r="JBV1017" s="16" t="s">
        <v>4867</v>
      </c>
      <c r="JBW1017" s="16" t="s">
        <v>4867</v>
      </c>
      <c r="JBX1017" s="16" t="s">
        <v>4867</v>
      </c>
      <c r="JBY1017" s="16" t="s">
        <v>4867</v>
      </c>
      <c r="JBZ1017" s="16" t="s">
        <v>4867</v>
      </c>
      <c r="JCA1017" s="16" t="s">
        <v>4867</v>
      </c>
      <c r="JCB1017" s="16" t="s">
        <v>4867</v>
      </c>
      <c r="JCC1017" s="16" t="s">
        <v>4867</v>
      </c>
      <c r="JCD1017" s="16" t="s">
        <v>4867</v>
      </c>
      <c r="JCE1017" s="16" t="s">
        <v>4867</v>
      </c>
      <c r="JCF1017" s="16" t="s">
        <v>4867</v>
      </c>
      <c r="JCG1017" s="16" t="s">
        <v>4867</v>
      </c>
      <c r="JCH1017" s="16" t="s">
        <v>4867</v>
      </c>
      <c r="JCI1017" s="16" t="s">
        <v>4867</v>
      </c>
      <c r="JCJ1017" s="16" t="s">
        <v>4867</v>
      </c>
      <c r="JCK1017" s="16" t="s">
        <v>4867</v>
      </c>
      <c r="JCL1017" s="16" t="s">
        <v>4867</v>
      </c>
      <c r="JCM1017" s="16" t="s">
        <v>4867</v>
      </c>
      <c r="JCN1017" s="16" t="s">
        <v>4867</v>
      </c>
      <c r="JCO1017" s="16" t="s">
        <v>4867</v>
      </c>
      <c r="JCP1017" s="16" t="s">
        <v>4867</v>
      </c>
      <c r="JCQ1017" s="16" t="s">
        <v>4867</v>
      </c>
      <c r="JCR1017" s="16" t="s">
        <v>4867</v>
      </c>
      <c r="JCS1017" s="16" t="s">
        <v>4867</v>
      </c>
      <c r="JCT1017" s="16" t="s">
        <v>4867</v>
      </c>
      <c r="JCU1017" s="16" t="s">
        <v>4867</v>
      </c>
      <c r="JCV1017" s="16" t="s">
        <v>4867</v>
      </c>
      <c r="JCW1017" s="16" t="s">
        <v>4867</v>
      </c>
      <c r="JCX1017" s="16" t="s">
        <v>4867</v>
      </c>
      <c r="JCY1017" s="16" t="s">
        <v>4867</v>
      </c>
      <c r="JCZ1017" s="16" t="s">
        <v>4867</v>
      </c>
      <c r="JDA1017" s="16" t="s">
        <v>4867</v>
      </c>
      <c r="JDB1017" s="16" t="s">
        <v>4867</v>
      </c>
      <c r="JDC1017" s="16" t="s">
        <v>4867</v>
      </c>
      <c r="JDD1017" s="16" t="s">
        <v>4867</v>
      </c>
      <c r="JDE1017" s="16" t="s">
        <v>4867</v>
      </c>
      <c r="JDF1017" s="16" t="s">
        <v>4867</v>
      </c>
      <c r="JDG1017" s="16" t="s">
        <v>4867</v>
      </c>
      <c r="JDH1017" s="16" t="s">
        <v>4867</v>
      </c>
      <c r="JDI1017" s="16" t="s">
        <v>4867</v>
      </c>
      <c r="JDJ1017" s="16" t="s">
        <v>4867</v>
      </c>
      <c r="JDK1017" s="16" t="s">
        <v>4867</v>
      </c>
      <c r="JDL1017" s="16" t="s">
        <v>4867</v>
      </c>
      <c r="JDM1017" s="16" t="s">
        <v>4867</v>
      </c>
      <c r="JDN1017" s="16" t="s">
        <v>4867</v>
      </c>
      <c r="JDO1017" s="16" t="s">
        <v>4867</v>
      </c>
      <c r="JDP1017" s="16" t="s">
        <v>4867</v>
      </c>
      <c r="JDQ1017" s="16" t="s">
        <v>4867</v>
      </c>
      <c r="JDR1017" s="16" t="s">
        <v>4867</v>
      </c>
      <c r="JDS1017" s="16" t="s">
        <v>4867</v>
      </c>
      <c r="JDT1017" s="16" t="s">
        <v>4867</v>
      </c>
      <c r="JDU1017" s="16" t="s">
        <v>4867</v>
      </c>
      <c r="JDV1017" s="16" t="s">
        <v>4867</v>
      </c>
      <c r="JDW1017" s="16" t="s">
        <v>4867</v>
      </c>
      <c r="JDX1017" s="16" t="s">
        <v>4867</v>
      </c>
      <c r="JDY1017" s="16" t="s">
        <v>4867</v>
      </c>
      <c r="JDZ1017" s="16" t="s">
        <v>4867</v>
      </c>
      <c r="JEA1017" s="16" t="s">
        <v>4867</v>
      </c>
      <c r="JEB1017" s="16" t="s">
        <v>4867</v>
      </c>
      <c r="JEC1017" s="16" t="s">
        <v>4867</v>
      </c>
      <c r="JED1017" s="16" t="s">
        <v>4867</v>
      </c>
      <c r="JEE1017" s="16" t="s">
        <v>4867</v>
      </c>
      <c r="JEF1017" s="16" t="s">
        <v>4867</v>
      </c>
      <c r="JEG1017" s="16" t="s">
        <v>4867</v>
      </c>
      <c r="JEH1017" s="16" t="s">
        <v>4867</v>
      </c>
      <c r="JEI1017" s="16" t="s">
        <v>4867</v>
      </c>
      <c r="JEJ1017" s="16" t="s">
        <v>4867</v>
      </c>
      <c r="JEK1017" s="16" t="s">
        <v>4867</v>
      </c>
      <c r="JEL1017" s="16" t="s">
        <v>4867</v>
      </c>
      <c r="JEM1017" s="16" t="s">
        <v>4867</v>
      </c>
      <c r="JEN1017" s="16" t="s">
        <v>4867</v>
      </c>
      <c r="JEO1017" s="16" t="s">
        <v>4867</v>
      </c>
      <c r="JEP1017" s="16" t="s">
        <v>4867</v>
      </c>
      <c r="JEQ1017" s="16" t="s">
        <v>4867</v>
      </c>
      <c r="JER1017" s="16" t="s">
        <v>4867</v>
      </c>
      <c r="JES1017" s="16" t="s">
        <v>4867</v>
      </c>
      <c r="JET1017" s="16" t="s">
        <v>4867</v>
      </c>
      <c r="JEU1017" s="16" t="s">
        <v>4867</v>
      </c>
      <c r="JEV1017" s="16" t="s">
        <v>4867</v>
      </c>
      <c r="JEW1017" s="16" t="s">
        <v>4867</v>
      </c>
      <c r="JEX1017" s="16" t="s">
        <v>4867</v>
      </c>
      <c r="JEY1017" s="16" t="s">
        <v>4867</v>
      </c>
      <c r="JEZ1017" s="16" t="s">
        <v>4867</v>
      </c>
      <c r="JFA1017" s="16" t="s">
        <v>4867</v>
      </c>
      <c r="JFB1017" s="16" t="s">
        <v>4867</v>
      </c>
      <c r="JFC1017" s="16" t="s">
        <v>4867</v>
      </c>
      <c r="JFD1017" s="16" t="s">
        <v>4867</v>
      </c>
      <c r="JFE1017" s="16" t="s">
        <v>4867</v>
      </c>
      <c r="JFF1017" s="16" t="s">
        <v>4867</v>
      </c>
      <c r="JFG1017" s="16" t="s">
        <v>4867</v>
      </c>
      <c r="JFH1017" s="16" t="s">
        <v>4867</v>
      </c>
      <c r="JFI1017" s="16" t="s">
        <v>4867</v>
      </c>
      <c r="JFJ1017" s="16" t="s">
        <v>4867</v>
      </c>
      <c r="JFK1017" s="16" t="s">
        <v>4867</v>
      </c>
      <c r="JFL1017" s="16" t="s">
        <v>4867</v>
      </c>
      <c r="JFM1017" s="16" t="s">
        <v>4867</v>
      </c>
      <c r="JFN1017" s="16" t="s">
        <v>4867</v>
      </c>
      <c r="JFO1017" s="16" t="s">
        <v>4867</v>
      </c>
      <c r="JFP1017" s="16" t="s">
        <v>4867</v>
      </c>
      <c r="JFQ1017" s="16" t="s">
        <v>4867</v>
      </c>
      <c r="JFR1017" s="16" t="s">
        <v>4867</v>
      </c>
      <c r="JFS1017" s="16" t="s">
        <v>4867</v>
      </c>
      <c r="JFT1017" s="16" t="s">
        <v>4867</v>
      </c>
      <c r="JFU1017" s="16" t="s">
        <v>4867</v>
      </c>
      <c r="JFV1017" s="16" t="s">
        <v>4867</v>
      </c>
      <c r="JFW1017" s="16" t="s">
        <v>4867</v>
      </c>
      <c r="JFX1017" s="16" t="s">
        <v>4867</v>
      </c>
      <c r="JFY1017" s="16" t="s">
        <v>4867</v>
      </c>
      <c r="JFZ1017" s="16" t="s">
        <v>4867</v>
      </c>
      <c r="JGA1017" s="16" t="s">
        <v>4867</v>
      </c>
      <c r="JGB1017" s="16" t="s">
        <v>4867</v>
      </c>
      <c r="JGC1017" s="16" t="s">
        <v>4867</v>
      </c>
      <c r="JGD1017" s="16" t="s">
        <v>4867</v>
      </c>
      <c r="JGE1017" s="16" t="s">
        <v>4867</v>
      </c>
      <c r="JGF1017" s="16" t="s">
        <v>4867</v>
      </c>
      <c r="JGG1017" s="16" t="s">
        <v>4867</v>
      </c>
      <c r="JGH1017" s="16" t="s">
        <v>4867</v>
      </c>
      <c r="JGI1017" s="16" t="s">
        <v>4867</v>
      </c>
      <c r="JGJ1017" s="16" t="s">
        <v>4867</v>
      </c>
      <c r="JGK1017" s="16" t="s">
        <v>4867</v>
      </c>
      <c r="JGL1017" s="16" t="s">
        <v>4867</v>
      </c>
      <c r="JGM1017" s="16" t="s">
        <v>4867</v>
      </c>
      <c r="JGN1017" s="16" t="s">
        <v>4867</v>
      </c>
      <c r="JGO1017" s="16" t="s">
        <v>4867</v>
      </c>
      <c r="JGP1017" s="16" t="s">
        <v>4867</v>
      </c>
      <c r="JGQ1017" s="16" t="s">
        <v>4867</v>
      </c>
      <c r="JGR1017" s="16" t="s">
        <v>4867</v>
      </c>
      <c r="JGS1017" s="16" t="s">
        <v>4867</v>
      </c>
      <c r="JGT1017" s="16" t="s">
        <v>4867</v>
      </c>
      <c r="JGU1017" s="16" t="s">
        <v>4867</v>
      </c>
      <c r="JGV1017" s="16" t="s">
        <v>4867</v>
      </c>
      <c r="JGW1017" s="16" t="s">
        <v>4867</v>
      </c>
      <c r="JGX1017" s="16" t="s">
        <v>4867</v>
      </c>
      <c r="JGY1017" s="16" t="s">
        <v>4867</v>
      </c>
      <c r="JGZ1017" s="16" t="s">
        <v>4867</v>
      </c>
      <c r="JHA1017" s="16" t="s">
        <v>4867</v>
      </c>
      <c r="JHB1017" s="16" t="s">
        <v>4867</v>
      </c>
      <c r="JHC1017" s="16" t="s">
        <v>4867</v>
      </c>
      <c r="JHD1017" s="16" t="s">
        <v>4867</v>
      </c>
      <c r="JHE1017" s="16" t="s">
        <v>4867</v>
      </c>
      <c r="JHF1017" s="16" t="s">
        <v>4867</v>
      </c>
      <c r="JHG1017" s="16" t="s">
        <v>4867</v>
      </c>
      <c r="JHH1017" s="16" t="s">
        <v>4867</v>
      </c>
      <c r="JHI1017" s="16" t="s">
        <v>4867</v>
      </c>
      <c r="JHJ1017" s="16" t="s">
        <v>4867</v>
      </c>
      <c r="JHK1017" s="16" t="s">
        <v>4867</v>
      </c>
      <c r="JHL1017" s="16" t="s">
        <v>4867</v>
      </c>
      <c r="JHM1017" s="16" t="s">
        <v>4867</v>
      </c>
      <c r="JHN1017" s="16" t="s">
        <v>4867</v>
      </c>
      <c r="JHO1017" s="16" t="s">
        <v>4867</v>
      </c>
      <c r="JHP1017" s="16" t="s">
        <v>4867</v>
      </c>
      <c r="JHQ1017" s="16" t="s">
        <v>4867</v>
      </c>
      <c r="JHR1017" s="16" t="s">
        <v>4867</v>
      </c>
      <c r="JHS1017" s="16" t="s">
        <v>4867</v>
      </c>
      <c r="JHT1017" s="16" t="s">
        <v>4867</v>
      </c>
      <c r="JHU1017" s="16" t="s">
        <v>4867</v>
      </c>
      <c r="JHV1017" s="16" t="s">
        <v>4867</v>
      </c>
      <c r="JHW1017" s="16" t="s">
        <v>4867</v>
      </c>
      <c r="JHX1017" s="16" t="s">
        <v>4867</v>
      </c>
      <c r="JHY1017" s="16" t="s">
        <v>4867</v>
      </c>
      <c r="JHZ1017" s="16" t="s">
        <v>4867</v>
      </c>
      <c r="JIA1017" s="16" t="s">
        <v>4867</v>
      </c>
      <c r="JIB1017" s="16" t="s">
        <v>4867</v>
      </c>
      <c r="JIC1017" s="16" t="s">
        <v>4867</v>
      </c>
      <c r="JID1017" s="16" t="s">
        <v>4867</v>
      </c>
      <c r="JIE1017" s="16" t="s">
        <v>4867</v>
      </c>
      <c r="JIF1017" s="16" t="s">
        <v>4867</v>
      </c>
      <c r="JIG1017" s="16" t="s">
        <v>4867</v>
      </c>
      <c r="JIH1017" s="16" t="s">
        <v>4867</v>
      </c>
      <c r="JII1017" s="16" t="s">
        <v>4867</v>
      </c>
      <c r="JIJ1017" s="16" t="s">
        <v>4867</v>
      </c>
      <c r="JIK1017" s="16" t="s">
        <v>4867</v>
      </c>
      <c r="JIL1017" s="16" t="s">
        <v>4867</v>
      </c>
      <c r="JIM1017" s="16" t="s">
        <v>4867</v>
      </c>
      <c r="JIN1017" s="16" t="s">
        <v>4867</v>
      </c>
      <c r="JIO1017" s="16" t="s">
        <v>4867</v>
      </c>
      <c r="JIP1017" s="16" t="s">
        <v>4867</v>
      </c>
      <c r="JIQ1017" s="16" t="s">
        <v>4867</v>
      </c>
      <c r="JIR1017" s="16" t="s">
        <v>4867</v>
      </c>
      <c r="JIS1017" s="16" t="s">
        <v>4867</v>
      </c>
      <c r="JIT1017" s="16" t="s">
        <v>4867</v>
      </c>
      <c r="JIU1017" s="16" t="s">
        <v>4867</v>
      </c>
      <c r="JIV1017" s="16" t="s">
        <v>4867</v>
      </c>
      <c r="JIW1017" s="16" t="s">
        <v>4867</v>
      </c>
      <c r="JIX1017" s="16" t="s">
        <v>4867</v>
      </c>
      <c r="JIY1017" s="16" t="s">
        <v>4867</v>
      </c>
      <c r="JIZ1017" s="16" t="s">
        <v>4867</v>
      </c>
      <c r="JJA1017" s="16" t="s">
        <v>4867</v>
      </c>
      <c r="JJB1017" s="16" t="s">
        <v>4867</v>
      </c>
      <c r="JJC1017" s="16" t="s">
        <v>4867</v>
      </c>
      <c r="JJD1017" s="16" t="s">
        <v>4867</v>
      </c>
      <c r="JJE1017" s="16" t="s">
        <v>4867</v>
      </c>
      <c r="JJF1017" s="16" t="s">
        <v>4867</v>
      </c>
      <c r="JJG1017" s="16" t="s">
        <v>4867</v>
      </c>
      <c r="JJH1017" s="16" t="s">
        <v>4867</v>
      </c>
      <c r="JJI1017" s="16" t="s">
        <v>4867</v>
      </c>
      <c r="JJJ1017" s="16" t="s">
        <v>4867</v>
      </c>
      <c r="JJK1017" s="16" t="s">
        <v>4867</v>
      </c>
      <c r="JJL1017" s="16" t="s">
        <v>4867</v>
      </c>
      <c r="JJM1017" s="16" t="s">
        <v>4867</v>
      </c>
      <c r="JJN1017" s="16" t="s">
        <v>4867</v>
      </c>
      <c r="JJO1017" s="16" t="s">
        <v>4867</v>
      </c>
      <c r="JJP1017" s="16" t="s">
        <v>4867</v>
      </c>
      <c r="JJQ1017" s="16" t="s">
        <v>4867</v>
      </c>
      <c r="JJR1017" s="16" t="s">
        <v>4867</v>
      </c>
      <c r="JJS1017" s="16" t="s">
        <v>4867</v>
      </c>
      <c r="JJT1017" s="16" t="s">
        <v>4867</v>
      </c>
      <c r="JJU1017" s="16" t="s">
        <v>4867</v>
      </c>
      <c r="JJV1017" s="16" t="s">
        <v>4867</v>
      </c>
      <c r="JJW1017" s="16" t="s">
        <v>4867</v>
      </c>
      <c r="JJX1017" s="16" t="s">
        <v>4867</v>
      </c>
      <c r="JJY1017" s="16" t="s">
        <v>4867</v>
      </c>
      <c r="JJZ1017" s="16" t="s">
        <v>4867</v>
      </c>
      <c r="JKA1017" s="16" t="s">
        <v>4867</v>
      </c>
      <c r="JKB1017" s="16" t="s">
        <v>4867</v>
      </c>
      <c r="JKC1017" s="16" t="s">
        <v>4867</v>
      </c>
      <c r="JKD1017" s="16" t="s">
        <v>4867</v>
      </c>
      <c r="JKE1017" s="16" t="s">
        <v>4867</v>
      </c>
      <c r="JKF1017" s="16" t="s">
        <v>4867</v>
      </c>
      <c r="JKG1017" s="16" t="s">
        <v>4867</v>
      </c>
      <c r="JKH1017" s="16" t="s">
        <v>4867</v>
      </c>
      <c r="JKI1017" s="16" t="s">
        <v>4867</v>
      </c>
      <c r="JKJ1017" s="16" t="s">
        <v>4867</v>
      </c>
      <c r="JKK1017" s="16" t="s">
        <v>4867</v>
      </c>
      <c r="JKL1017" s="16" t="s">
        <v>4867</v>
      </c>
      <c r="JKM1017" s="16" t="s">
        <v>4867</v>
      </c>
      <c r="JKN1017" s="16" t="s">
        <v>4867</v>
      </c>
      <c r="JKO1017" s="16" t="s">
        <v>4867</v>
      </c>
      <c r="JKP1017" s="16" t="s">
        <v>4867</v>
      </c>
      <c r="JKQ1017" s="16" t="s">
        <v>4867</v>
      </c>
      <c r="JKR1017" s="16" t="s">
        <v>4867</v>
      </c>
      <c r="JKS1017" s="16" t="s">
        <v>4867</v>
      </c>
      <c r="JKT1017" s="16" t="s">
        <v>4867</v>
      </c>
      <c r="JKU1017" s="16" t="s">
        <v>4867</v>
      </c>
      <c r="JKV1017" s="16" t="s">
        <v>4867</v>
      </c>
      <c r="JKW1017" s="16" t="s">
        <v>4867</v>
      </c>
      <c r="JKX1017" s="16" t="s">
        <v>4867</v>
      </c>
      <c r="JKY1017" s="16" t="s">
        <v>4867</v>
      </c>
      <c r="JKZ1017" s="16" t="s">
        <v>4867</v>
      </c>
      <c r="JLA1017" s="16" t="s">
        <v>4867</v>
      </c>
      <c r="JLB1017" s="16" t="s">
        <v>4867</v>
      </c>
      <c r="JLC1017" s="16" t="s">
        <v>4867</v>
      </c>
      <c r="JLD1017" s="16" t="s">
        <v>4867</v>
      </c>
      <c r="JLE1017" s="16" t="s">
        <v>4867</v>
      </c>
      <c r="JLF1017" s="16" t="s">
        <v>4867</v>
      </c>
      <c r="JLG1017" s="16" t="s">
        <v>4867</v>
      </c>
      <c r="JLH1017" s="16" t="s">
        <v>4867</v>
      </c>
      <c r="JLI1017" s="16" t="s">
        <v>4867</v>
      </c>
      <c r="JLJ1017" s="16" t="s">
        <v>4867</v>
      </c>
      <c r="JLK1017" s="16" t="s">
        <v>4867</v>
      </c>
      <c r="JLL1017" s="16" t="s">
        <v>4867</v>
      </c>
      <c r="JLM1017" s="16" t="s">
        <v>4867</v>
      </c>
      <c r="JLN1017" s="16" t="s">
        <v>4867</v>
      </c>
      <c r="JLO1017" s="16" t="s">
        <v>4867</v>
      </c>
      <c r="JLP1017" s="16" t="s">
        <v>4867</v>
      </c>
      <c r="JLQ1017" s="16" t="s">
        <v>4867</v>
      </c>
      <c r="JLR1017" s="16" t="s">
        <v>4867</v>
      </c>
      <c r="JLS1017" s="16" t="s">
        <v>4867</v>
      </c>
      <c r="JLT1017" s="16" t="s">
        <v>4867</v>
      </c>
      <c r="JLU1017" s="16" t="s">
        <v>4867</v>
      </c>
      <c r="JLV1017" s="16" t="s">
        <v>4867</v>
      </c>
      <c r="JLW1017" s="16" t="s">
        <v>4867</v>
      </c>
      <c r="JLX1017" s="16" t="s">
        <v>4867</v>
      </c>
      <c r="JLY1017" s="16" t="s">
        <v>4867</v>
      </c>
      <c r="JLZ1017" s="16" t="s">
        <v>4867</v>
      </c>
      <c r="JMA1017" s="16" t="s">
        <v>4867</v>
      </c>
      <c r="JMB1017" s="16" t="s">
        <v>4867</v>
      </c>
      <c r="JMC1017" s="16" t="s">
        <v>4867</v>
      </c>
      <c r="JMD1017" s="16" t="s">
        <v>4867</v>
      </c>
      <c r="JME1017" s="16" t="s">
        <v>4867</v>
      </c>
      <c r="JMF1017" s="16" t="s">
        <v>4867</v>
      </c>
      <c r="JMG1017" s="16" t="s">
        <v>4867</v>
      </c>
      <c r="JMH1017" s="16" t="s">
        <v>4867</v>
      </c>
      <c r="JMI1017" s="16" t="s">
        <v>4867</v>
      </c>
      <c r="JMJ1017" s="16" t="s">
        <v>4867</v>
      </c>
      <c r="JMK1017" s="16" t="s">
        <v>4867</v>
      </c>
      <c r="JML1017" s="16" t="s">
        <v>4867</v>
      </c>
      <c r="JMM1017" s="16" t="s">
        <v>4867</v>
      </c>
      <c r="JMN1017" s="16" t="s">
        <v>4867</v>
      </c>
      <c r="JMO1017" s="16" t="s">
        <v>4867</v>
      </c>
      <c r="JMP1017" s="16" t="s">
        <v>4867</v>
      </c>
      <c r="JMQ1017" s="16" t="s">
        <v>4867</v>
      </c>
      <c r="JMR1017" s="16" t="s">
        <v>4867</v>
      </c>
      <c r="JMS1017" s="16" t="s">
        <v>4867</v>
      </c>
      <c r="JMT1017" s="16" t="s">
        <v>4867</v>
      </c>
      <c r="JMU1017" s="16" t="s">
        <v>4867</v>
      </c>
      <c r="JMV1017" s="16" t="s">
        <v>4867</v>
      </c>
      <c r="JMW1017" s="16" t="s">
        <v>4867</v>
      </c>
      <c r="JMX1017" s="16" t="s">
        <v>4867</v>
      </c>
      <c r="JMY1017" s="16" t="s">
        <v>4867</v>
      </c>
      <c r="JMZ1017" s="16" t="s">
        <v>4867</v>
      </c>
      <c r="JNA1017" s="16" t="s">
        <v>4867</v>
      </c>
      <c r="JNB1017" s="16" t="s">
        <v>4867</v>
      </c>
      <c r="JNC1017" s="16" t="s">
        <v>4867</v>
      </c>
      <c r="JND1017" s="16" t="s">
        <v>4867</v>
      </c>
      <c r="JNE1017" s="16" t="s">
        <v>4867</v>
      </c>
      <c r="JNF1017" s="16" t="s">
        <v>4867</v>
      </c>
      <c r="JNG1017" s="16" t="s">
        <v>4867</v>
      </c>
      <c r="JNH1017" s="16" t="s">
        <v>4867</v>
      </c>
      <c r="JNI1017" s="16" t="s">
        <v>4867</v>
      </c>
      <c r="JNJ1017" s="16" t="s">
        <v>4867</v>
      </c>
      <c r="JNK1017" s="16" t="s">
        <v>4867</v>
      </c>
      <c r="JNL1017" s="16" t="s">
        <v>4867</v>
      </c>
      <c r="JNM1017" s="16" t="s">
        <v>4867</v>
      </c>
      <c r="JNN1017" s="16" t="s">
        <v>4867</v>
      </c>
      <c r="JNO1017" s="16" t="s">
        <v>4867</v>
      </c>
      <c r="JNP1017" s="16" t="s">
        <v>4867</v>
      </c>
      <c r="JNQ1017" s="16" t="s">
        <v>4867</v>
      </c>
      <c r="JNR1017" s="16" t="s">
        <v>4867</v>
      </c>
      <c r="JNS1017" s="16" t="s">
        <v>4867</v>
      </c>
      <c r="JNT1017" s="16" t="s">
        <v>4867</v>
      </c>
      <c r="JNU1017" s="16" t="s">
        <v>4867</v>
      </c>
      <c r="JNV1017" s="16" t="s">
        <v>4867</v>
      </c>
      <c r="JNW1017" s="16" t="s">
        <v>4867</v>
      </c>
      <c r="JNX1017" s="16" t="s">
        <v>4867</v>
      </c>
      <c r="JNY1017" s="16" t="s">
        <v>4867</v>
      </c>
      <c r="JNZ1017" s="16" t="s">
        <v>4867</v>
      </c>
      <c r="JOA1017" s="16" t="s">
        <v>4867</v>
      </c>
      <c r="JOB1017" s="16" t="s">
        <v>4867</v>
      </c>
      <c r="JOC1017" s="16" t="s">
        <v>4867</v>
      </c>
      <c r="JOD1017" s="16" t="s">
        <v>4867</v>
      </c>
      <c r="JOE1017" s="16" t="s">
        <v>4867</v>
      </c>
      <c r="JOF1017" s="16" t="s">
        <v>4867</v>
      </c>
      <c r="JOG1017" s="16" t="s">
        <v>4867</v>
      </c>
      <c r="JOH1017" s="16" t="s">
        <v>4867</v>
      </c>
      <c r="JOI1017" s="16" t="s">
        <v>4867</v>
      </c>
      <c r="JOJ1017" s="16" t="s">
        <v>4867</v>
      </c>
      <c r="JOK1017" s="16" t="s">
        <v>4867</v>
      </c>
      <c r="JOL1017" s="16" t="s">
        <v>4867</v>
      </c>
      <c r="JOM1017" s="16" t="s">
        <v>4867</v>
      </c>
      <c r="JON1017" s="16" t="s">
        <v>4867</v>
      </c>
      <c r="JOO1017" s="16" t="s">
        <v>4867</v>
      </c>
      <c r="JOP1017" s="16" t="s">
        <v>4867</v>
      </c>
      <c r="JOQ1017" s="16" t="s">
        <v>4867</v>
      </c>
      <c r="JOR1017" s="16" t="s">
        <v>4867</v>
      </c>
      <c r="JOS1017" s="16" t="s">
        <v>4867</v>
      </c>
      <c r="JOT1017" s="16" t="s">
        <v>4867</v>
      </c>
      <c r="JOU1017" s="16" t="s">
        <v>4867</v>
      </c>
      <c r="JOV1017" s="16" t="s">
        <v>4867</v>
      </c>
      <c r="JOW1017" s="16" t="s">
        <v>4867</v>
      </c>
      <c r="JOX1017" s="16" t="s">
        <v>4867</v>
      </c>
      <c r="JOY1017" s="16" t="s">
        <v>4867</v>
      </c>
      <c r="JOZ1017" s="16" t="s">
        <v>4867</v>
      </c>
      <c r="JPA1017" s="16" t="s">
        <v>4867</v>
      </c>
      <c r="JPB1017" s="16" t="s">
        <v>4867</v>
      </c>
      <c r="JPC1017" s="16" t="s">
        <v>4867</v>
      </c>
      <c r="JPD1017" s="16" t="s">
        <v>4867</v>
      </c>
      <c r="JPE1017" s="16" t="s">
        <v>4867</v>
      </c>
      <c r="JPF1017" s="16" t="s">
        <v>4867</v>
      </c>
      <c r="JPG1017" s="16" t="s">
        <v>4867</v>
      </c>
      <c r="JPH1017" s="16" t="s">
        <v>4867</v>
      </c>
      <c r="JPI1017" s="16" t="s">
        <v>4867</v>
      </c>
      <c r="JPJ1017" s="16" t="s">
        <v>4867</v>
      </c>
      <c r="JPK1017" s="16" t="s">
        <v>4867</v>
      </c>
      <c r="JPL1017" s="16" t="s">
        <v>4867</v>
      </c>
      <c r="JPM1017" s="16" t="s">
        <v>4867</v>
      </c>
      <c r="JPN1017" s="16" t="s">
        <v>4867</v>
      </c>
      <c r="JPO1017" s="16" t="s">
        <v>4867</v>
      </c>
      <c r="JPP1017" s="16" t="s">
        <v>4867</v>
      </c>
      <c r="JPQ1017" s="16" t="s">
        <v>4867</v>
      </c>
      <c r="JPR1017" s="16" t="s">
        <v>4867</v>
      </c>
      <c r="JPS1017" s="16" t="s">
        <v>4867</v>
      </c>
      <c r="JPT1017" s="16" t="s">
        <v>4867</v>
      </c>
      <c r="JPU1017" s="16" t="s">
        <v>4867</v>
      </c>
      <c r="JPV1017" s="16" t="s">
        <v>4867</v>
      </c>
      <c r="JPW1017" s="16" t="s">
        <v>4867</v>
      </c>
      <c r="JPX1017" s="16" t="s">
        <v>4867</v>
      </c>
      <c r="JPY1017" s="16" t="s">
        <v>4867</v>
      </c>
      <c r="JPZ1017" s="16" t="s">
        <v>4867</v>
      </c>
      <c r="JQA1017" s="16" t="s">
        <v>4867</v>
      </c>
      <c r="JQB1017" s="16" t="s">
        <v>4867</v>
      </c>
      <c r="JQC1017" s="16" t="s">
        <v>4867</v>
      </c>
      <c r="JQD1017" s="16" t="s">
        <v>4867</v>
      </c>
      <c r="JQE1017" s="16" t="s">
        <v>4867</v>
      </c>
      <c r="JQF1017" s="16" t="s">
        <v>4867</v>
      </c>
      <c r="JQG1017" s="16" t="s">
        <v>4867</v>
      </c>
      <c r="JQH1017" s="16" t="s">
        <v>4867</v>
      </c>
      <c r="JQI1017" s="16" t="s">
        <v>4867</v>
      </c>
      <c r="JQJ1017" s="16" t="s">
        <v>4867</v>
      </c>
      <c r="JQK1017" s="16" t="s">
        <v>4867</v>
      </c>
      <c r="JQL1017" s="16" t="s">
        <v>4867</v>
      </c>
      <c r="JQM1017" s="16" t="s">
        <v>4867</v>
      </c>
      <c r="JQN1017" s="16" t="s">
        <v>4867</v>
      </c>
      <c r="JQO1017" s="16" t="s">
        <v>4867</v>
      </c>
      <c r="JQP1017" s="16" t="s">
        <v>4867</v>
      </c>
      <c r="JQQ1017" s="16" t="s">
        <v>4867</v>
      </c>
      <c r="JQR1017" s="16" t="s">
        <v>4867</v>
      </c>
      <c r="JQS1017" s="16" t="s">
        <v>4867</v>
      </c>
      <c r="JQT1017" s="16" t="s">
        <v>4867</v>
      </c>
      <c r="JQU1017" s="16" t="s">
        <v>4867</v>
      </c>
      <c r="JQV1017" s="16" t="s">
        <v>4867</v>
      </c>
      <c r="JQW1017" s="16" t="s">
        <v>4867</v>
      </c>
      <c r="JQX1017" s="16" t="s">
        <v>4867</v>
      </c>
      <c r="JQY1017" s="16" t="s">
        <v>4867</v>
      </c>
      <c r="JQZ1017" s="16" t="s">
        <v>4867</v>
      </c>
      <c r="JRA1017" s="16" t="s">
        <v>4867</v>
      </c>
      <c r="JRB1017" s="16" t="s">
        <v>4867</v>
      </c>
      <c r="JRC1017" s="16" t="s">
        <v>4867</v>
      </c>
      <c r="JRD1017" s="16" t="s">
        <v>4867</v>
      </c>
      <c r="JRE1017" s="16" t="s">
        <v>4867</v>
      </c>
      <c r="JRF1017" s="16" t="s">
        <v>4867</v>
      </c>
      <c r="JRG1017" s="16" t="s">
        <v>4867</v>
      </c>
      <c r="JRH1017" s="16" t="s">
        <v>4867</v>
      </c>
      <c r="JRI1017" s="16" t="s">
        <v>4867</v>
      </c>
      <c r="JRJ1017" s="16" t="s">
        <v>4867</v>
      </c>
      <c r="JRK1017" s="16" t="s">
        <v>4867</v>
      </c>
      <c r="JRL1017" s="16" t="s">
        <v>4867</v>
      </c>
      <c r="JRM1017" s="16" t="s">
        <v>4867</v>
      </c>
      <c r="JRN1017" s="16" t="s">
        <v>4867</v>
      </c>
      <c r="JRO1017" s="16" t="s">
        <v>4867</v>
      </c>
      <c r="JRP1017" s="16" t="s">
        <v>4867</v>
      </c>
      <c r="JRQ1017" s="16" t="s">
        <v>4867</v>
      </c>
      <c r="JRR1017" s="16" t="s">
        <v>4867</v>
      </c>
      <c r="JRS1017" s="16" t="s">
        <v>4867</v>
      </c>
      <c r="JRT1017" s="16" t="s">
        <v>4867</v>
      </c>
      <c r="JRU1017" s="16" t="s">
        <v>4867</v>
      </c>
      <c r="JRV1017" s="16" t="s">
        <v>4867</v>
      </c>
      <c r="JRW1017" s="16" t="s">
        <v>4867</v>
      </c>
      <c r="JRX1017" s="16" t="s">
        <v>4867</v>
      </c>
      <c r="JRY1017" s="16" t="s">
        <v>4867</v>
      </c>
      <c r="JRZ1017" s="16" t="s">
        <v>4867</v>
      </c>
      <c r="JSA1017" s="16" t="s">
        <v>4867</v>
      </c>
      <c r="JSB1017" s="16" t="s">
        <v>4867</v>
      </c>
      <c r="JSC1017" s="16" t="s">
        <v>4867</v>
      </c>
      <c r="JSD1017" s="16" t="s">
        <v>4867</v>
      </c>
      <c r="JSE1017" s="16" t="s">
        <v>4867</v>
      </c>
      <c r="JSF1017" s="16" t="s">
        <v>4867</v>
      </c>
      <c r="JSG1017" s="16" t="s">
        <v>4867</v>
      </c>
      <c r="JSH1017" s="16" t="s">
        <v>4867</v>
      </c>
      <c r="JSI1017" s="16" t="s">
        <v>4867</v>
      </c>
      <c r="JSJ1017" s="16" t="s">
        <v>4867</v>
      </c>
      <c r="JSK1017" s="16" t="s">
        <v>4867</v>
      </c>
      <c r="JSL1017" s="16" t="s">
        <v>4867</v>
      </c>
      <c r="JSM1017" s="16" t="s">
        <v>4867</v>
      </c>
      <c r="JSN1017" s="16" t="s">
        <v>4867</v>
      </c>
      <c r="JSO1017" s="16" t="s">
        <v>4867</v>
      </c>
      <c r="JSP1017" s="16" t="s">
        <v>4867</v>
      </c>
      <c r="JSQ1017" s="16" t="s">
        <v>4867</v>
      </c>
      <c r="JSR1017" s="16" t="s">
        <v>4867</v>
      </c>
      <c r="JSS1017" s="16" t="s">
        <v>4867</v>
      </c>
      <c r="JST1017" s="16" t="s">
        <v>4867</v>
      </c>
      <c r="JSU1017" s="16" t="s">
        <v>4867</v>
      </c>
      <c r="JSV1017" s="16" t="s">
        <v>4867</v>
      </c>
      <c r="JSW1017" s="16" t="s">
        <v>4867</v>
      </c>
      <c r="JSX1017" s="16" t="s">
        <v>4867</v>
      </c>
      <c r="JSY1017" s="16" t="s">
        <v>4867</v>
      </c>
      <c r="JSZ1017" s="16" t="s">
        <v>4867</v>
      </c>
      <c r="JTA1017" s="16" t="s">
        <v>4867</v>
      </c>
      <c r="JTB1017" s="16" t="s">
        <v>4867</v>
      </c>
      <c r="JTC1017" s="16" t="s">
        <v>4867</v>
      </c>
      <c r="JTD1017" s="16" t="s">
        <v>4867</v>
      </c>
      <c r="JTE1017" s="16" t="s">
        <v>4867</v>
      </c>
      <c r="JTF1017" s="16" t="s">
        <v>4867</v>
      </c>
      <c r="JTG1017" s="16" t="s">
        <v>4867</v>
      </c>
      <c r="JTH1017" s="16" t="s">
        <v>4867</v>
      </c>
      <c r="JTI1017" s="16" t="s">
        <v>4867</v>
      </c>
      <c r="JTJ1017" s="16" t="s">
        <v>4867</v>
      </c>
      <c r="JTK1017" s="16" t="s">
        <v>4867</v>
      </c>
      <c r="JTL1017" s="16" t="s">
        <v>4867</v>
      </c>
      <c r="JTM1017" s="16" t="s">
        <v>4867</v>
      </c>
      <c r="JTN1017" s="16" t="s">
        <v>4867</v>
      </c>
      <c r="JTO1017" s="16" t="s">
        <v>4867</v>
      </c>
      <c r="JTP1017" s="16" t="s">
        <v>4867</v>
      </c>
      <c r="JTQ1017" s="16" t="s">
        <v>4867</v>
      </c>
      <c r="JTR1017" s="16" t="s">
        <v>4867</v>
      </c>
      <c r="JTS1017" s="16" t="s">
        <v>4867</v>
      </c>
      <c r="JTT1017" s="16" t="s">
        <v>4867</v>
      </c>
      <c r="JTU1017" s="16" t="s">
        <v>4867</v>
      </c>
      <c r="JTV1017" s="16" t="s">
        <v>4867</v>
      </c>
      <c r="JTW1017" s="16" t="s">
        <v>4867</v>
      </c>
      <c r="JTX1017" s="16" t="s">
        <v>4867</v>
      </c>
      <c r="JTY1017" s="16" t="s">
        <v>4867</v>
      </c>
      <c r="JTZ1017" s="16" t="s">
        <v>4867</v>
      </c>
      <c r="JUA1017" s="16" t="s">
        <v>4867</v>
      </c>
      <c r="JUB1017" s="16" t="s">
        <v>4867</v>
      </c>
      <c r="JUC1017" s="16" t="s">
        <v>4867</v>
      </c>
      <c r="JUD1017" s="16" t="s">
        <v>4867</v>
      </c>
      <c r="JUE1017" s="16" t="s">
        <v>4867</v>
      </c>
      <c r="JUF1017" s="16" t="s">
        <v>4867</v>
      </c>
      <c r="JUG1017" s="16" t="s">
        <v>4867</v>
      </c>
      <c r="JUH1017" s="16" t="s">
        <v>4867</v>
      </c>
      <c r="JUI1017" s="16" t="s">
        <v>4867</v>
      </c>
      <c r="JUJ1017" s="16" t="s">
        <v>4867</v>
      </c>
      <c r="JUK1017" s="16" t="s">
        <v>4867</v>
      </c>
      <c r="JUL1017" s="16" t="s">
        <v>4867</v>
      </c>
      <c r="JUM1017" s="16" t="s">
        <v>4867</v>
      </c>
      <c r="JUN1017" s="16" t="s">
        <v>4867</v>
      </c>
      <c r="JUO1017" s="16" t="s">
        <v>4867</v>
      </c>
      <c r="JUP1017" s="16" t="s">
        <v>4867</v>
      </c>
      <c r="JUQ1017" s="16" t="s">
        <v>4867</v>
      </c>
      <c r="JUR1017" s="16" t="s">
        <v>4867</v>
      </c>
      <c r="JUS1017" s="16" t="s">
        <v>4867</v>
      </c>
      <c r="JUT1017" s="16" t="s">
        <v>4867</v>
      </c>
      <c r="JUU1017" s="16" t="s">
        <v>4867</v>
      </c>
      <c r="JUV1017" s="16" t="s">
        <v>4867</v>
      </c>
      <c r="JUW1017" s="16" t="s">
        <v>4867</v>
      </c>
      <c r="JUX1017" s="16" t="s">
        <v>4867</v>
      </c>
      <c r="JUY1017" s="16" t="s">
        <v>4867</v>
      </c>
      <c r="JUZ1017" s="16" t="s">
        <v>4867</v>
      </c>
      <c r="JVA1017" s="16" t="s">
        <v>4867</v>
      </c>
      <c r="JVB1017" s="16" t="s">
        <v>4867</v>
      </c>
      <c r="JVC1017" s="16" t="s">
        <v>4867</v>
      </c>
      <c r="JVD1017" s="16" t="s">
        <v>4867</v>
      </c>
      <c r="JVE1017" s="16" t="s">
        <v>4867</v>
      </c>
      <c r="JVF1017" s="16" t="s">
        <v>4867</v>
      </c>
      <c r="JVG1017" s="16" t="s">
        <v>4867</v>
      </c>
      <c r="JVH1017" s="16" t="s">
        <v>4867</v>
      </c>
      <c r="JVI1017" s="16" t="s">
        <v>4867</v>
      </c>
      <c r="JVJ1017" s="16" t="s">
        <v>4867</v>
      </c>
      <c r="JVK1017" s="16" t="s">
        <v>4867</v>
      </c>
      <c r="JVL1017" s="16" t="s">
        <v>4867</v>
      </c>
      <c r="JVM1017" s="16" t="s">
        <v>4867</v>
      </c>
      <c r="JVN1017" s="16" t="s">
        <v>4867</v>
      </c>
      <c r="JVO1017" s="16" t="s">
        <v>4867</v>
      </c>
      <c r="JVP1017" s="16" t="s">
        <v>4867</v>
      </c>
      <c r="JVQ1017" s="16" t="s">
        <v>4867</v>
      </c>
      <c r="JVR1017" s="16" t="s">
        <v>4867</v>
      </c>
      <c r="JVS1017" s="16" t="s">
        <v>4867</v>
      </c>
      <c r="JVT1017" s="16" t="s">
        <v>4867</v>
      </c>
      <c r="JVU1017" s="16" t="s">
        <v>4867</v>
      </c>
      <c r="JVV1017" s="16" t="s">
        <v>4867</v>
      </c>
      <c r="JVW1017" s="16" t="s">
        <v>4867</v>
      </c>
      <c r="JVX1017" s="16" t="s">
        <v>4867</v>
      </c>
      <c r="JVY1017" s="16" t="s">
        <v>4867</v>
      </c>
      <c r="JVZ1017" s="16" t="s">
        <v>4867</v>
      </c>
      <c r="JWA1017" s="16" t="s">
        <v>4867</v>
      </c>
      <c r="JWB1017" s="16" t="s">
        <v>4867</v>
      </c>
      <c r="JWC1017" s="16" t="s">
        <v>4867</v>
      </c>
      <c r="JWD1017" s="16" t="s">
        <v>4867</v>
      </c>
      <c r="JWE1017" s="16" t="s">
        <v>4867</v>
      </c>
      <c r="JWF1017" s="16" t="s">
        <v>4867</v>
      </c>
      <c r="JWG1017" s="16" t="s">
        <v>4867</v>
      </c>
      <c r="JWH1017" s="16" t="s">
        <v>4867</v>
      </c>
      <c r="JWI1017" s="16" t="s">
        <v>4867</v>
      </c>
      <c r="JWJ1017" s="16" t="s">
        <v>4867</v>
      </c>
      <c r="JWK1017" s="16" t="s">
        <v>4867</v>
      </c>
      <c r="JWL1017" s="16" t="s">
        <v>4867</v>
      </c>
      <c r="JWM1017" s="16" t="s">
        <v>4867</v>
      </c>
      <c r="JWN1017" s="16" t="s">
        <v>4867</v>
      </c>
      <c r="JWO1017" s="16" t="s">
        <v>4867</v>
      </c>
      <c r="JWP1017" s="16" t="s">
        <v>4867</v>
      </c>
      <c r="JWQ1017" s="16" t="s">
        <v>4867</v>
      </c>
      <c r="JWR1017" s="16" t="s">
        <v>4867</v>
      </c>
      <c r="JWS1017" s="16" t="s">
        <v>4867</v>
      </c>
      <c r="JWT1017" s="16" t="s">
        <v>4867</v>
      </c>
      <c r="JWU1017" s="16" t="s">
        <v>4867</v>
      </c>
      <c r="JWV1017" s="16" t="s">
        <v>4867</v>
      </c>
      <c r="JWW1017" s="16" t="s">
        <v>4867</v>
      </c>
      <c r="JWX1017" s="16" t="s">
        <v>4867</v>
      </c>
      <c r="JWY1017" s="16" t="s">
        <v>4867</v>
      </c>
      <c r="JWZ1017" s="16" t="s">
        <v>4867</v>
      </c>
      <c r="JXA1017" s="16" t="s">
        <v>4867</v>
      </c>
      <c r="JXB1017" s="16" t="s">
        <v>4867</v>
      </c>
      <c r="JXC1017" s="16" t="s">
        <v>4867</v>
      </c>
      <c r="JXD1017" s="16" t="s">
        <v>4867</v>
      </c>
      <c r="JXE1017" s="16" t="s">
        <v>4867</v>
      </c>
      <c r="JXF1017" s="16" t="s">
        <v>4867</v>
      </c>
      <c r="JXG1017" s="16" t="s">
        <v>4867</v>
      </c>
      <c r="JXH1017" s="16" t="s">
        <v>4867</v>
      </c>
      <c r="JXI1017" s="16" t="s">
        <v>4867</v>
      </c>
      <c r="JXJ1017" s="16" t="s">
        <v>4867</v>
      </c>
      <c r="JXK1017" s="16" t="s">
        <v>4867</v>
      </c>
      <c r="JXL1017" s="16" t="s">
        <v>4867</v>
      </c>
      <c r="JXM1017" s="16" t="s">
        <v>4867</v>
      </c>
      <c r="JXN1017" s="16" t="s">
        <v>4867</v>
      </c>
      <c r="JXO1017" s="16" t="s">
        <v>4867</v>
      </c>
      <c r="JXP1017" s="16" t="s">
        <v>4867</v>
      </c>
      <c r="JXQ1017" s="16" t="s">
        <v>4867</v>
      </c>
      <c r="JXR1017" s="16" t="s">
        <v>4867</v>
      </c>
      <c r="JXS1017" s="16" t="s">
        <v>4867</v>
      </c>
      <c r="JXT1017" s="16" t="s">
        <v>4867</v>
      </c>
      <c r="JXU1017" s="16" t="s">
        <v>4867</v>
      </c>
      <c r="JXV1017" s="16" t="s">
        <v>4867</v>
      </c>
      <c r="JXW1017" s="16" t="s">
        <v>4867</v>
      </c>
      <c r="JXX1017" s="16" t="s">
        <v>4867</v>
      </c>
      <c r="JXY1017" s="16" t="s">
        <v>4867</v>
      </c>
      <c r="JXZ1017" s="16" t="s">
        <v>4867</v>
      </c>
      <c r="JYA1017" s="16" t="s">
        <v>4867</v>
      </c>
      <c r="JYB1017" s="16" t="s">
        <v>4867</v>
      </c>
      <c r="JYC1017" s="16" t="s">
        <v>4867</v>
      </c>
      <c r="JYD1017" s="16" t="s">
        <v>4867</v>
      </c>
      <c r="JYE1017" s="16" t="s">
        <v>4867</v>
      </c>
      <c r="JYF1017" s="16" t="s">
        <v>4867</v>
      </c>
      <c r="JYG1017" s="16" t="s">
        <v>4867</v>
      </c>
      <c r="JYH1017" s="16" t="s">
        <v>4867</v>
      </c>
      <c r="JYI1017" s="16" t="s">
        <v>4867</v>
      </c>
      <c r="JYJ1017" s="16" t="s">
        <v>4867</v>
      </c>
      <c r="JYK1017" s="16" t="s">
        <v>4867</v>
      </c>
      <c r="JYL1017" s="16" t="s">
        <v>4867</v>
      </c>
      <c r="JYM1017" s="16" t="s">
        <v>4867</v>
      </c>
      <c r="JYN1017" s="16" t="s">
        <v>4867</v>
      </c>
      <c r="JYO1017" s="16" t="s">
        <v>4867</v>
      </c>
      <c r="JYP1017" s="16" t="s">
        <v>4867</v>
      </c>
      <c r="JYQ1017" s="16" t="s">
        <v>4867</v>
      </c>
      <c r="JYR1017" s="16" t="s">
        <v>4867</v>
      </c>
      <c r="JYS1017" s="16" t="s">
        <v>4867</v>
      </c>
      <c r="JYT1017" s="16" t="s">
        <v>4867</v>
      </c>
      <c r="JYU1017" s="16" t="s">
        <v>4867</v>
      </c>
      <c r="JYV1017" s="16" t="s">
        <v>4867</v>
      </c>
      <c r="JYW1017" s="16" t="s">
        <v>4867</v>
      </c>
      <c r="JYX1017" s="16" t="s">
        <v>4867</v>
      </c>
      <c r="JYY1017" s="16" t="s">
        <v>4867</v>
      </c>
      <c r="JYZ1017" s="16" t="s">
        <v>4867</v>
      </c>
      <c r="JZA1017" s="16" t="s">
        <v>4867</v>
      </c>
      <c r="JZB1017" s="16" t="s">
        <v>4867</v>
      </c>
      <c r="JZC1017" s="16" t="s">
        <v>4867</v>
      </c>
      <c r="JZD1017" s="16" t="s">
        <v>4867</v>
      </c>
      <c r="JZE1017" s="16" t="s">
        <v>4867</v>
      </c>
      <c r="JZF1017" s="16" t="s">
        <v>4867</v>
      </c>
      <c r="JZG1017" s="16" t="s">
        <v>4867</v>
      </c>
      <c r="JZH1017" s="16" t="s">
        <v>4867</v>
      </c>
      <c r="JZI1017" s="16" t="s">
        <v>4867</v>
      </c>
      <c r="JZJ1017" s="16" t="s">
        <v>4867</v>
      </c>
      <c r="JZK1017" s="16" t="s">
        <v>4867</v>
      </c>
      <c r="JZL1017" s="16" t="s">
        <v>4867</v>
      </c>
      <c r="JZM1017" s="16" t="s">
        <v>4867</v>
      </c>
      <c r="JZN1017" s="16" t="s">
        <v>4867</v>
      </c>
      <c r="JZO1017" s="16" t="s">
        <v>4867</v>
      </c>
      <c r="JZP1017" s="16" t="s">
        <v>4867</v>
      </c>
      <c r="JZQ1017" s="16" t="s">
        <v>4867</v>
      </c>
      <c r="JZR1017" s="16" t="s">
        <v>4867</v>
      </c>
      <c r="JZS1017" s="16" t="s">
        <v>4867</v>
      </c>
      <c r="JZT1017" s="16" t="s">
        <v>4867</v>
      </c>
      <c r="JZU1017" s="16" t="s">
        <v>4867</v>
      </c>
      <c r="JZV1017" s="16" t="s">
        <v>4867</v>
      </c>
      <c r="JZW1017" s="16" t="s">
        <v>4867</v>
      </c>
      <c r="JZX1017" s="16" t="s">
        <v>4867</v>
      </c>
      <c r="JZY1017" s="16" t="s">
        <v>4867</v>
      </c>
      <c r="JZZ1017" s="16" t="s">
        <v>4867</v>
      </c>
      <c r="KAA1017" s="16" t="s">
        <v>4867</v>
      </c>
      <c r="KAB1017" s="16" t="s">
        <v>4867</v>
      </c>
      <c r="KAC1017" s="16" t="s">
        <v>4867</v>
      </c>
      <c r="KAD1017" s="16" t="s">
        <v>4867</v>
      </c>
      <c r="KAE1017" s="16" t="s">
        <v>4867</v>
      </c>
      <c r="KAF1017" s="16" t="s">
        <v>4867</v>
      </c>
      <c r="KAG1017" s="16" t="s">
        <v>4867</v>
      </c>
      <c r="KAH1017" s="16" t="s">
        <v>4867</v>
      </c>
      <c r="KAI1017" s="16" t="s">
        <v>4867</v>
      </c>
      <c r="KAJ1017" s="16" t="s">
        <v>4867</v>
      </c>
      <c r="KAK1017" s="16" t="s">
        <v>4867</v>
      </c>
      <c r="KAL1017" s="16" t="s">
        <v>4867</v>
      </c>
      <c r="KAM1017" s="16" t="s">
        <v>4867</v>
      </c>
      <c r="KAN1017" s="16" t="s">
        <v>4867</v>
      </c>
      <c r="KAO1017" s="16" t="s">
        <v>4867</v>
      </c>
      <c r="KAP1017" s="16" t="s">
        <v>4867</v>
      </c>
      <c r="KAQ1017" s="16" t="s">
        <v>4867</v>
      </c>
      <c r="KAR1017" s="16" t="s">
        <v>4867</v>
      </c>
      <c r="KAS1017" s="16" t="s">
        <v>4867</v>
      </c>
      <c r="KAT1017" s="16" t="s">
        <v>4867</v>
      </c>
      <c r="KAU1017" s="16" t="s">
        <v>4867</v>
      </c>
      <c r="KAV1017" s="16" t="s">
        <v>4867</v>
      </c>
      <c r="KAW1017" s="16" t="s">
        <v>4867</v>
      </c>
      <c r="KAX1017" s="16" t="s">
        <v>4867</v>
      </c>
      <c r="KAY1017" s="16" t="s">
        <v>4867</v>
      </c>
      <c r="KAZ1017" s="16" t="s">
        <v>4867</v>
      </c>
      <c r="KBA1017" s="16" t="s">
        <v>4867</v>
      </c>
      <c r="KBB1017" s="16" t="s">
        <v>4867</v>
      </c>
      <c r="KBC1017" s="16" t="s">
        <v>4867</v>
      </c>
      <c r="KBD1017" s="16" t="s">
        <v>4867</v>
      </c>
      <c r="KBE1017" s="16" t="s">
        <v>4867</v>
      </c>
      <c r="KBF1017" s="16" t="s">
        <v>4867</v>
      </c>
      <c r="KBG1017" s="16" t="s">
        <v>4867</v>
      </c>
      <c r="KBH1017" s="16" t="s">
        <v>4867</v>
      </c>
      <c r="KBI1017" s="16" t="s">
        <v>4867</v>
      </c>
      <c r="KBJ1017" s="16" t="s">
        <v>4867</v>
      </c>
      <c r="KBK1017" s="16" t="s">
        <v>4867</v>
      </c>
      <c r="KBL1017" s="16" t="s">
        <v>4867</v>
      </c>
      <c r="KBM1017" s="16" t="s">
        <v>4867</v>
      </c>
      <c r="KBN1017" s="16" t="s">
        <v>4867</v>
      </c>
      <c r="KBO1017" s="16" t="s">
        <v>4867</v>
      </c>
      <c r="KBP1017" s="16" t="s">
        <v>4867</v>
      </c>
      <c r="KBQ1017" s="16" t="s">
        <v>4867</v>
      </c>
      <c r="KBR1017" s="16" t="s">
        <v>4867</v>
      </c>
      <c r="KBS1017" s="16" t="s">
        <v>4867</v>
      </c>
      <c r="KBT1017" s="16" t="s">
        <v>4867</v>
      </c>
      <c r="KBU1017" s="16" t="s">
        <v>4867</v>
      </c>
      <c r="KBV1017" s="16" t="s">
        <v>4867</v>
      </c>
      <c r="KBW1017" s="16" t="s">
        <v>4867</v>
      </c>
      <c r="KBX1017" s="16" t="s">
        <v>4867</v>
      </c>
      <c r="KBY1017" s="16" t="s">
        <v>4867</v>
      </c>
      <c r="KBZ1017" s="16" t="s">
        <v>4867</v>
      </c>
      <c r="KCA1017" s="16" t="s">
        <v>4867</v>
      </c>
      <c r="KCB1017" s="16" t="s">
        <v>4867</v>
      </c>
      <c r="KCC1017" s="16" t="s">
        <v>4867</v>
      </c>
      <c r="KCD1017" s="16" t="s">
        <v>4867</v>
      </c>
      <c r="KCE1017" s="16" t="s">
        <v>4867</v>
      </c>
      <c r="KCF1017" s="16" t="s">
        <v>4867</v>
      </c>
      <c r="KCG1017" s="16" t="s">
        <v>4867</v>
      </c>
      <c r="KCH1017" s="16" t="s">
        <v>4867</v>
      </c>
      <c r="KCI1017" s="16" t="s">
        <v>4867</v>
      </c>
      <c r="KCJ1017" s="16" t="s">
        <v>4867</v>
      </c>
      <c r="KCK1017" s="16" t="s">
        <v>4867</v>
      </c>
      <c r="KCL1017" s="16" t="s">
        <v>4867</v>
      </c>
      <c r="KCM1017" s="16" t="s">
        <v>4867</v>
      </c>
      <c r="KCN1017" s="16" t="s">
        <v>4867</v>
      </c>
      <c r="KCO1017" s="16" t="s">
        <v>4867</v>
      </c>
      <c r="KCP1017" s="16" t="s">
        <v>4867</v>
      </c>
      <c r="KCQ1017" s="16" t="s">
        <v>4867</v>
      </c>
      <c r="KCR1017" s="16" t="s">
        <v>4867</v>
      </c>
      <c r="KCS1017" s="16" t="s">
        <v>4867</v>
      </c>
      <c r="KCT1017" s="16" t="s">
        <v>4867</v>
      </c>
      <c r="KCU1017" s="16" t="s">
        <v>4867</v>
      </c>
      <c r="KCV1017" s="16" t="s">
        <v>4867</v>
      </c>
      <c r="KCW1017" s="16" t="s">
        <v>4867</v>
      </c>
      <c r="KCX1017" s="16" t="s">
        <v>4867</v>
      </c>
      <c r="KCY1017" s="16" t="s">
        <v>4867</v>
      </c>
      <c r="KCZ1017" s="16" t="s">
        <v>4867</v>
      </c>
      <c r="KDA1017" s="16" t="s">
        <v>4867</v>
      </c>
      <c r="KDB1017" s="16" t="s">
        <v>4867</v>
      </c>
      <c r="KDC1017" s="16" t="s">
        <v>4867</v>
      </c>
      <c r="KDD1017" s="16" t="s">
        <v>4867</v>
      </c>
      <c r="KDE1017" s="16" t="s">
        <v>4867</v>
      </c>
      <c r="KDF1017" s="16" t="s">
        <v>4867</v>
      </c>
      <c r="KDG1017" s="16" t="s">
        <v>4867</v>
      </c>
      <c r="KDH1017" s="16" t="s">
        <v>4867</v>
      </c>
      <c r="KDI1017" s="16" t="s">
        <v>4867</v>
      </c>
      <c r="KDJ1017" s="16" t="s">
        <v>4867</v>
      </c>
      <c r="KDK1017" s="16" t="s">
        <v>4867</v>
      </c>
      <c r="KDL1017" s="16" t="s">
        <v>4867</v>
      </c>
      <c r="KDM1017" s="16" t="s">
        <v>4867</v>
      </c>
      <c r="KDN1017" s="16" t="s">
        <v>4867</v>
      </c>
      <c r="KDO1017" s="16" t="s">
        <v>4867</v>
      </c>
      <c r="KDP1017" s="16" t="s">
        <v>4867</v>
      </c>
      <c r="KDQ1017" s="16" t="s">
        <v>4867</v>
      </c>
      <c r="KDR1017" s="16" t="s">
        <v>4867</v>
      </c>
      <c r="KDS1017" s="16" t="s">
        <v>4867</v>
      </c>
      <c r="KDT1017" s="16" t="s">
        <v>4867</v>
      </c>
      <c r="KDU1017" s="16" t="s">
        <v>4867</v>
      </c>
      <c r="KDV1017" s="16" t="s">
        <v>4867</v>
      </c>
      <c r="KDW1017" s="16" t="s">
        <v>4867</v>
      </c>
      <c r="KDX1017" s="16" t="s">
        <v>4867</v>
      </c>
      <c r="KDY1017" s="16" t="s">
        <v>4867</v>
      </c>
      <c r="KDZ1017" s="16" t="s">
        <v>4867</v>
      </c>
      <c r="KEA1017" s="16" t="s">
        <v>4867</v>
      </c>
      <c r="KEB1017" s="16" t="s">
        <v>4867</v>
      </c>
      <c r="KEC1017" s="16" t="s">
        <v>4867</v>
      </c>
      <c r="KED1017" s="16" t="s">
        <v>4867</v>
      </c>
      <c r="KEE1017" s="16" t="s">
        <v>4867</v>
      </c>
      <c r="KEF1017" s="16" t="s">
        <v>4867</v>
      </c>
      <c r="KEG1017" s="16" t="s">
        <v>4867</v>
      </c>
      <c r="KEH1017" s="16" t="s">
        <v>4867</v>
      </c>
      <c r="KEI1017" s="16" t="s">
        <v>4867</v>
      </c>
      <c r="KEJ1017" s="16" t="s">
        <v>4867</v>
      </c>
      <c r="KEK1017" s="16" t="s">
        <v>4867</v>
      </c>
      <c r="KEL1017" s="16" t="s">
        <v>4867</v>
      </c>
      <c r="KEM1017" s="16" t="s">
        <v>4867</v>
      </c>
      <c r="KEN1017" s="16" t="s">
        <v>4867</v>
      </c>
      <c r="KEO1017" s="16" t="s">
        <v>4867</v>
      </c>
      <c r="KEP1017" s="16" t="s">
        <v>4867</v>
      </c>
      <c r="KEQ1017" s="16" t="s">
        <v>4867</v>
      </c>
      <c r="KER1017" s="16" t="s">
        <v>4867</v>
      </c>
      <c r="KES1017" s="16" t="s">
        <v>4867</v>
      </c>
      <c r="KET1017" s="16" t="s">
        <v>4867</v>
      </c>
      <c r="KEU1017" s="16" t="s">
        <v>4867</v>
      </c>
      <c r="KEV1017" s="16" t="s">
        <v>4867</v>
      </c>
      <c r="KEW1017" s="16" t="s">
        <v>4867</v>
      </c>
      <c r="KEX1017" s="16" t="s">
        <v>4867</v>
      </c>
      <c r="KEY1017" s="16" t="s">
        <v>4867</v>
      </c>
      <c r="KEZ1017" s="16" t="s">
        <v>4867</v>
      </c>
      <c r="KFA1017" s="16" t="s">
        <v>4867</v>
      </c>
      <c r="KFB1017" s="16" t="s">
        <v>4867</v>
      </c>
      <c r="KFC1017" s="16" t="s">
        <v>4867</v>
      </c>
      <c r="KFD1017" s="16" t="s">
        <v>4867</v>
      </c>
      <c r="KFE1017" s="16" t="s">
        <v>4867</v>
      </c>
      <c r="KFF1017" s="16" t="s">
        <v>4867</v>
      </c>
      <c r="KFG1017" s="16" t="s">
        <v>4867</v>
      </c>
      <c r="KFH1017" s="16" t="s">
        <v>4867</v>
      </c>
      <c r="KFI1017" s="16" t="s">
        <v>4867</v>
      </c>
      <c r="KFJ1017" s="16" t="s">
        <v>4867</v>
      </c>
      <c r="KFK1017" s="16" t="s">
        <v>4867</v>
      </c>
      <c r="KFL1017" s="16" t="s">
        <v>4867</v>
      </c>
      <c r="KFM1017" s="16" t="s">
        <v>4867</v>
      </c>
      <c r="KFN1017" s="16" t="s">
        <v>4867</v>
      </c>
      <c r="KFO1017" s="16" t="s">
        <v>4867</v>
      </c>
      <c r="KFP1017" s="16" t="s">
        <v>4867</v>
      </c>
      <c r="KFQ1017" s="16" t="s">
        <v>4867</v>
      </c>
      <c r="KFR1017" s="16" t="s">
        <v>4867</v>
      </c>
      <c r="KFS1017" s="16" t="s">
        <v>4867</v>
      </c>
      <c r="KFT1017" s="16" t="s">
        <v>4867</v>
      </c>
      <c r="KFU1017" s="16" t="s">
        <v>4867</v>
      </c>
      <c r="KFV1017" s="16" t="s">
        <v>4867</v>
      </c>
      <c r="KFW1017" s="16" t="s">
        <v>4867</v>
      </c>
      <c r="KFX1017" s="16" t="s">
        <v>4867</v>
      </c>
      <c r="KFY1017" s="16" t="s">
        <v>4867</v>
      </c>
      <c r="KFZ1017" s="16" t="s">
        <v>4867</v>
      </c>
      <c r="KGA1017" s="16" t="s">
        <v>4867</v>
      </c>
      <c r="KGB1017" s="16" t="s">
        <v>4867</v>
      </c>
      <c r="KGC1017" s="16" t="s">
        <v>4867</v>
      </c>
      <c r="KGD1017" s="16" t="s">
        <v>4867</v>
      </c>
      <c r="KGE1017" s="16" t="s">
        <v>4867</v>
      </c>
      <c r="KGF1017" s="16" t="s">
        <v>4867</v>
      </c>
      <c r="KGG1017" s="16" t="s">
        <v>4867</v>
      </c>
      <c r="KGH1017" s="16" t="s">
        <v>4867</v>
      </c>
      <c r="KGI1017" s="16" t="s">
        <v>4867</v>
      </c>
      <c r="KGJ1017" s="16" t="s">
        <v>4867</v>
      </c>
      <c r="KGK1017" s="16" t="s">
        <v>4867</v>
      </c>
      <c r="KGL1017" s="16" t="s">
        <v>4867</v>
      </c>
      <c r="KGM1017" s="16" t="s">
        <v>4867</v>
      </c>
      <c r="KGN1017" s="16" t="s">
        <v>4867</v>
      </c>
      <c r="KGO1017" s="16" t="s">
        <v>4867</v>
      </c>
      <c r="KGP1017" s="16" t="s">
        <v>4867</v>
      </c>
      <c r="KGQ1017" s="16" t="s">
        <v>4867</v>
      </c>
      <c r="KGR1017" s="16" t="s">
        <v>4867</v>
      </c>
      <c r="KGS1017" s="16" t="s">
        <v>4867</v>
      </c>
      <c r="KGT1017" s="16" t="s">
        <v>4867</v>
      </c>
      <c r="KGU1017" s="16" t="s">
        <v>4867</v>
      </c>
      <c r="KGV1017" s="16" t="s">
        <v>4867</v>
      </c>
      <c r="KGW1017" s="16" t="s">
        <v>4867</v>
      </c>
      <c r="KGX1017" s="16" t="s">
        <v>4867</v>
      </c>
      <c r="KGY1017" s="16" t="s">
        <v>4867</v>
      </c>
      <c r="KGZ1017" s="16" t="s">
        <v>4867</v>
      </c>
      <c r="KHA1017" s="16" t="s">
        <v>4867</v>
      </c>
      <c r="KHB1017" s="16" t="s">
        <v>4867</v>
      </c>
      <c r="KHC1017" s="16" t="s">
        <v>4867</v>
      </c>
      <c r="KHD1017" s="16" t="s">
        <v>4867</v>
      </c>
      <c r="KHE1017" s="16" t="s">
        <v>4867</v>
      </c>
      <c r="KHF1017" s="16" t="s">
        <v>4867</v>
      </c>
      <c r="KHG1017" s="16" t="s">
        <v>4867</v>
      </c>
      <c r="KHH1017" s="16" t="s">
        <v>4867</v>
      </c>
      <c r="KHI1017" s="16" t="s">
        <v>4867</v>
      </c>
      <c r="KHJ1017" s="16" t="s">
        <v>4867</v>
      </c>
      <c r="KHK1017" s="16" t="s">
        <v>4867</v>
      </c>
      <c r="KHL1017" s="16" t="s">
        <v>4867</v>
      </c>
      <c r="KHM1017" s="16" t="s">
        <v>4867</v>
      </c>
      <c r="KHN1017" s="16" t="s">
        <v>4867</v>
      </c>
      <c r="KHO1017" s="16" t="s">
        <v>4867</v>
      </c>
      <c r="KHP1017" s="16" t="s">
        <v>4867</v>
      </c>
      <c r="KHQ1017" s="16" t="s">
        <v>4867</v>
      </c>
      <c r="KHR1017" s="16" t="s">
        <v>4867</v>
      </c>
      <c r="KHS1017" s="16" t="s">
        <v>4867</v>
      </c>
      <c r="KHT1017" s="16" t="s">
        <v>4867</v>
      </c>
      <c r="KHU1017" s="16" t="s">
        <v>4867</v>
      </c>
      <c r="KHV1017" s="16" t="s">
        <v>4867</v>
      </c>
      <c r="KHW1017" s="16" t="s">
        <v>4867</v>
      </c>
      <c r="KHX1017" s="16" t="s">
        <v>4867</v>
      </c>
      <c r="KHY1017" s="16" t="s">
        <v>4867</v>
      </c>
      <c r="KHZ1017" s="16" t="s">
        <v>4867</v>
      </c>
      <c r="KIA1017" s="16" t="s">
        <v>4867</v>
      </c>
      <c r="KIB1017" s="16" t="s">
        <v>4867</v>
      </c>
      <c r="KIC1017" s="16" t="s">
        <v>4867</v>
      </c>
      <c r="KID1017" s="16" t="s">
        <v>4867</v>
      </c>
      <c r="KIE1017" s="16" t="s">
        <v>4867</v>
      </c>
      <c r="KIF1017" s="16" t="s">
        <v>4867</v>
      </c>
      <c r="KIG1017" s="16" t="s">
        <v>4867</v>
      </c>
      <c r="KIH1017" s="16" t="s">
        <v>4867</v>
      </c>
      <c r="KII1017" s="16" t="s">
        <v>4867</v>
      </c>
      <c r="KIJ1017" s="16" t="s">
        <v>4867</v>
      </c>
      <c r="KIK1017" s="16" t="s">
        <v>4867</v>
      </c>
      <c r="KIL1017" s="16" t="s">
        <v>4867</v>
      </c>
      <c r="KIM1017" s="16" t="s">
        <v>4867</v>
      </c>
      <c r="KIN1017" s="16" t="s">
        <v>4867</v>
      </c>
      <c r="KIO1017" s="16" t="s">
        <v>4867</v>
      </c>
      <c r="KIP1017" s="16" t="s">
        <v>4867</v>
      </c>
      <c r="KIQ1017" s="16" t="s">
        <v>4867</v>
      </c>
      <c r="KIR1017" s="16" t="s">
        <v>4867</v>
      </c>
      <c r="KIS1017" s="16" t="s">
        <v>4867</v>
      </c>
      <c r="KIT1017" s="16" t="s">
        <v>4867</v>
      </c>
      <c r="KIU1017" s="16" t="s">
        <v>4867</v>
      </c>
      <c r="KIV1017" s="16" t="s">
        <v>4867</v>
      </c>
      <c r="KIW1017" s="16" t="s">
        <v>4867</v>
      </c>
      <c r="KIX1017" s="16" t="s">
        <v>4867</v>
      </c>
      <c r="KIY1017" s="16" t="s">
        <v>4867</v>
      </c>
      <c r="KIZ1017" s="16" t="s">
        <v>4867</v>
      </c>
      <c r="KJA1017" s="16" t="s">
        <v>4867</v>
      </c>
      <c r="KJB1017" s="16" t="s">
        <v>4867</v>
      </c>
      <c r="KJC1017" s="16" t="s">
        <v>4867</v>
      </c>
      <c r="KJD1017" s="16" t="s">
        <v>4867</v>
      </c>
      <c r="KJE1017" s="16" t="s">
        <v>4867</v>
      </c>
      <c r="KJF1017" s="16" t="s">
        <v>4867</v>
      </c>
      <c r="KJG1017" s="16" t="s">
        <v>4867</v>
      </c>
      <c r="KJH1017" s="16" t="s">
        <v>4867</v>
      </c>
      <c r="KJI1017" s="16" t="s">
        <v>4867</v>
      </c>
      <c r="KJJ1017" s="16" t="s">
        <v>4867</v>
      </c>
      <c r="KJK1017" s="16" t="s">
        <v>4867</v>
      </c>
      <c r="KJL1017" s="16" t="s">
        <v>4867</v>
      </c>
      <c r="KJM1017" s="16" t="s">
        <v>4867</v>
      </c>
      <c r="KJN1017" s="16" t="s">
        <v>4867</v>
      </c>
      <c r="KJO1017" s="16" t="s">
        <v>4867</v>
      </c>
      <c r="KJP1017" s="16" t="s">
        <v>4867</v>
      </c>
      <c r="KJQ1017" s="16" t="s">
        <v>4867</v>
      </c>
      <c r="KJR1017" s="16" t="s">
        <v>4867</v>
      </c>
      <c r="KJS1017" s="16" t="s">
        <v>4867</v>
      </c>
      <c r="KJT1017" s="16" t="s">
        <v>4867</v>
      </c>
      <c r="KJU1017" s="16" t="s">
        <v>4867</v>
      </c>
      <c r="KJV1017" s="16" t="s">
        <v>4867</v>
      </c>
      <c r="KJW1017" s="16" t="s">
        <v>4867</v>
      </c>
      <c r="KJX1017" s="16" t="s">
        <v>4867</v>
      </c>
      <c r="KJY1017" s="16" t="s">
        <v>4867</v>
      </c>
      <c r="KJZ1017" s="16" t="s">
        <v>4867</v>
      </c>
      <c r="KKA1017" s="16" t="s">
        <v>4867</v>
      </c>
      <c r="KKB1017" s="16" t="s">
        <v>4867</v>
      </c>
      <c r="KKC1017" s="16" t="s">
        <v>4867</v>
      </c>
      <c r="KKD1017" s="16" t="s">
        <v>4867</v>
      </c>
      <c r="KKE1017" s="16" t="s">
        <v>4867</v>
      </c>
      <c r="KKF1017" s="16" t="s">
        <v>4867</v>
      </c>
      <c r="KKG1017" s="16" t="s">
        <v>4867</v>
      </c>
      <c r="KKH1017" s="16" t="s">
        <v>4867</v>
      </c>
      <c r="KKI1017" s="16" t="s">
        <v>4867</v>
      </c>
      <c r="KKJ1017" s="16" t="s">
        <v>4867</v>
      </c>
      <c r="KKK1017" s="16" t="s">
        <v>4867</v>
      </c>
      <c r="KKL1017" s="16" t="s">
        <v>4867</v>
      </c>
      <c r="KKM1017" s="16" t="s">
        <v>4867</v>
      </c>
      <c r="KKN1017" s="16" t="s">
        <v>4867</v>
      </c>
      <c r="KKO1017" s="16" t="s">
        <v>4867</v>
      </c>
      <c r="KKP1017" s="16" t="s">
        <v>4867</v>
      </c>
      <c r="KKQ1017" s="16" t="s">
        <v>4867</v>
      </c>
      <c r="KKR1017" s="16" t="s">
        <v>4867</v>
      </c>
      <c r="KKS1017" s="16" t="s">
        <v>4867</v>
      </c>
      <c r="KKT1017" s="16" t="s">
        <v>4867</v>
      </c>
      <c r="KKU1017" s="16" t="s">
        <v>4867</v>
      </c>
      <c r="KKV1017" s="16" t="s">
        <v>4867</v>
      </c>
      <c r="KKW1017" s="16" t="s">
        <v>4867</v>
      </c>
      <c r="KKX1017" s="16" t="s">
        <v>4867</v>
      </c>
      <c r="KKY1017" s="16" t="s">
        <v>4867</v>
      </c>
      <c r="KKZ1017" s="16" t="s">
        <v>4867</v>
      </c>
      <c r="KLA1017" s="16" t="s">
        <v>4867</v>
      </c>
      <c r="KLB1017" s="16" t="s">
        <v>4867</v>
      </c>
      <c r="KLC1017" s="16" t="s">
        <v>4867</v>
      </c>
      <c r="KLD1017" s="16" t="s">
        <v>4867</v>
      </c>
      <c r="KLE1017" s="16" t="s">
        <v>4867</v>
      </c>
      <c r="KLF1017" s="16" t="s">
        <v>4867</v>
      </c>
      <c r="KLG1017" s="16" t="s">
        <v>4867</v>
      </c>
      <c r="KLH1017" s="16" t="s">
        <v>4867</v>
      </c>
      <c r="KLI1017" s="16" t="s">
        <v>4867</v>
      </c>
      <c r="KLJ1017" s="16" t="s">
        <v>4867</v>
      </c>
      <c r="KLK1017" s="16" t="s">
        <v>4867</v>
      </c>
      <c r="KLL1017" s="16" t="s">
        <v>4867</v>
      </c>
      <c r="KLM1017" s="16" t="s">
        <v>4867</v>
      </c>
      <c r="KLN1017" s="16" t="s">
        <v>4867</v>
      </c>
      <c r="KLO1017" s="16" t="s">
        <v>4867</v>
      </c>
      <c r="KLP1017" s="16" t="s">
        <v>4867</v>
      </c>
      <c r="KLQ1017" s="16" t="s">
        <v>4867</v>
      </c>
      <c r="KLR1017" s="16" t="s">
        <v>4867</v>
      </c>
      <c r="KLS1017" s="16" t="s">
        <v>4867</v>
      </c>
      <c r="KLT1017" s="16" t="s">
        <v>4867</v>
      </c>
      <c r="KLU1017" s="16" t="s">
        <v>4867</v>
      </c>
      <c r="KLV1017" s="16" t="s">
        <v>4867</v>
      </c>
      <c r="KLW1017" s="16" t="s">
        <v>4867</v>
      </c>
      <c r="KLX1017" s="16" t="s">
        <v>4867</v>
      </c>
      <c r="KLY1017" s="16" t="s">
        <v>4867</v>
      </c>
      <c r="KLZ1017" s="16" t="s">
        <v>4867</v>
      </c>
      <c r="KMA1017" s="16" t="s">
        <v>4867</v>
      </c>
      <c r="KMB1017" s="16" t="s">
        <v>4867</v>
      </c>
      <c r="KMC1017" s="16" t="s">
        <v>4867</v>
      </c>
      <c r="KMD1017" s="16" t="s">
        <v>4867</v>
      </c>
      <c r="KME1017" s="16" t="s">
        <v>4867</v>
      </c>
      <c r="KMF1017" s="16" t="s">
        <v>4867</v>
      </c>
      <c r="KMG1017" s="16" t="s">
        <v>4867</v>
      </c>
      <c r="KMH1017" s="16" t="s">
        <v>4867</v>
      </c>
      <c r="KMI1017" s="16" t="s">
        <v>4867</v>
      </c>
      <c r="KMJ1017" s="16" t="s">
        <v>4867</v>
      </c>
      <c r="KMK1017" s="16" t="s">
        <v>4867</v>
      </c>
      <c r="KML1017" s="16" t="s">
        <v>4867</v>
      </c>
      <c r="KMM1017" s="16" t="s">
        <v>4867</v>
      </c>
      <c r="KMN1017" s="16" t="s">
        <v>4867</v>
      </c>
      <c r="KMO1017" s="16" t="s">
        <v>4867</v>
      </c>
      <c r="KMP1017" s="16" t="s">
        <v>4867</v>
      </c>
      <c r="KMQ1017" s="16" t="s">
        <v>4867</v>
      </c>
      <c r="KMR1017" s="16" t="s">
        <v>4867</v>
      </c>
      <c r="KMS1017" s="16" t="s">
        <v>4867</v>
      </c>
      <c r="KMT1017" s="16" t="s">
        <v>4867</v>
      </c>
      <c r="KMU1017" s="16" t="s">
        <v>4867</v>
      </c>
      <c r="KMV1017" s="16" t="s">
        <v>4867</v>
      </c>
      <c r="KMW1017" s="16" t="s">
        <v>4867</v>
      </c>
      <c r="KMX1017" s="16" t="s">
        <v>4867</v>
      </c>
      <c r="KMY1017" s="16" t="s">
        <v>4867</v>
      </c>
      <c r="KMZ1017" s="16" t="s">
        <v>4867</v>
      </c>
      <c r="KNA1017" s="16" t="s">
        <v>4867</v>
      </c>
      <c r="KNB1017" s="16" t="s">
        <v>4867</v>
      </c>
      <c r="KNC1017" s="16" t="s">
        <v>4867</v>
      </c>
      <c r="KND1017" s="16" t="s">
        <v>4867</v>
      </c>
      <c r="KNE1017" s="16" t="s">
        <v>4867</v>
      </c>
      <c r="KNF1017" s="16" t="s">
        <v>4867</v>
      </c>
      <c r="KNG1017" s="16" t="s">
        <v>4867</v>
      </c>
      <c r="KNH1017" s="16" t="s">
        <v>4867</v>
      </c>
      <c r="KNI1017" s="16" t="s">
        <v>4867</v>
      </c>
      <c r="KNJ1017" s="16" t="s">
        <v>4867</v>
      </c>
      <c r="KNK1017" s="16" t="s">
        <v>4867</v>
      </c>
      <c r="KNL1017" s="16" t="s">
        <v>4867</v>
      </c>
      <c r="KNM1017" s="16" t="s">
        <v>4867</v>
      </c>
      <c r="KNN1017" s="16" t="s">
        <v>4867</v>
      </c>
      <c r="KNO1017" s="16" t="s">
        <v>4867</v>
      </c>
      <c r="KNP1017" s="16" t="s">
        <v>4867</v>
      </c>
      <c r="KNQ1017" s="16" t="s">
        <v>4867</v>
      </c>
      <c r="KNR1017" s="16" t="s">
        <v>4867</v>
      </c>
      <c r="KNS1017" s="16" t="s">
        <v>4867</v>
      </c>
      <c r="KNT1017" s="16" t="s">
        <v>4867</v>
      </c>
      <c r="KNU1017" s="16" t="s">
        <v>4867</v>
      </c>
      <c r="KNV1017" s="16" t="s">
        <v>4867</v>
      </c>
      <c r="KNW1017" s="16" t="s">
        <v>4867</v>
      </c>
      <c r="KNX1017" s="16" t="s">
        <v>4867</v>
      </c>
      <c r="KNY1017" s="16" t="s">
        <v>4867</v>
      </c>
      <c r="KNZ1017" s="16" t="s">
        <v>4867</v>
      </c>
      <c r="KOA1017" s="16" t="s">
        <v>4867</v>
      </c>
      <c r="KOB1017" s="16" t="s">
        <v>4867</v>
      </c>
      <c r="KOC1017" s="16" t="s">
        <v>4867</v>
      </c>
      <c r="KOD1017" s="16" t="s">
        <v>4867</v>
      </c>
      <c r="KOE1017" s="16" t="s">
        <v>4867</v>
      </c>
      <c r="KOF1017" s="16" t="s">
        <v>4867</v>
      </c>
      <c r="KOG1017" s="16" t="s">
        <v>4867</v>
      </c>
      <c r="KOH1017" s="16" t="s">
        <v>4867</v>
      </c>
      <c r="KOI1017" s="16" t="s">
        <v>4867</v>
      </c>
      <c r="KOJ1017" s="16" t="s">
        <v>4867</v>
      </c>
      <c r="KOK1017" s="16" t="s">
        <v>4867</v>
      </c>
      <c r="KOL1017" s="16" t="s">
        <v>4867</v>
      </c>
      <c r="KOM1017" s="16" t="s">
        <v>4867</v>
      </c>
      <c r="KON1017" s="16" t="s">
        <v>4867</v>
      </c>
      <c r="KOO1017" s="16" t="s">
        <v>4867</v>
      </c>
      <c r="KOP1017" s="16" t="s">
        <v>4867</v>
      </c>
      <c r="KOQ1017" s="16" t="s">
        <v>4867</v>
      </c>
      <c r="KOR1017" s="16" t="s">
        <v>4867</v>
      </c>
      <c r="KOS1017" s="16" t="s">
        <v>4867</v>
      </c>
      <c r="KOT1017" s="16" t="s">
        <v>4867</v>
      </c>
      <c r="KOU1017" s="16" t="s">
        <v>4867</v>
      </c>
      <c r="KOV1017" s="16" t="s">
        <v>4867</v>
      </c>
      <c r="KOW1017" s="16" t="s">
        <v>4867</v>
      </c>
      <c r="KOX1017" s="16" t="s">
        <v>4867</v>
      </c>
      <c r="KOY1017" s="16" t="s">
        <v>4867</v>
      </c>
      <c r="KOZ1017" s="16" t="s">
        <v>4867</v>
      </c>
      <c r="KPA1017" s="16" t="s">
        <v>4867</v>
      </c>
      <c r="KPB1017" s="16" t="s">
        <v>4867</v>
      </c>
      <c r="KPC1017" s="16" t="s">
        <v>4867</v>
      </c>
      <c r="KPD1017" s="16" t="s">
        <v>4867</v>
      </c>
      <c r="KPE1017" s="16" t="s">
        <v>4867</v>
      </c>
      <c r="KPF1017" s="16" t="s">
        <v>4867</v>
      </c>
      <c r="KPG1017" s="16" t="s">
        <v>4867</v>
      </c>
      <c r="KPH1017" s="16" t="s">
        <v>4867</v>
      </c>
      <c r="KPI1017" s="16" t="s">
        <v>4867</v>
      </c>
      <c r="KPJ1017" s="16" t="s">
        <v>4867</v>
      </c>
      <c r="KPK1017" s="16" t="s">
        <v>4867</v>
      </c>
      <c r="KPL1017" s="16" t="s">
        <v>4867</v>
      </c>
      <c r="KPM1017" s="16" t="s">
        <v>4867</v>
      </c>
      <c r="KPN1017" s="16" t="s">
        <v>4867</v>
      </c>
      <c r="KPO1017" s="16" t="s">
        <v>4867</v>
      </c>
      <c r="KPP1017" s="16" t="s">
        <v>4867</v>
      </c>
      <c r="KPQ1017" s="16" t="s">
        <v>4867</v>
      </c>
      <c r="KPR1017" s="16" t="s">
        <v>4867</v>
      </c>
      <c r="KPS1017" s="16" t="s">
        <v>4867</v>
      </c>
      <c r="KPT1017" s="16" t="s">
        <v>4867</v>
      </c>
      <c r="KPU1017" s="16" t="s">
        <v>4867</v>
      </c>
      <c r="KPV1017" s="16" t="s">
        <v>4867</v>
      </c>
      <c r="KPW1017" s="16" t="s">
        <v>4867</v>
      </c>
      <c r="KPX1017" s="16" t="s">
        <v>4867</v>
      </c>
      <c r="KPY1017" s="16" t="s">
        <v>4867</v>
      </c>
      <c r="KPZ1017" s="16" t="s">
        <v>4867</v>
      </c>
      <c r="KQA1017" s="16" t="s">
        <v>4867</v>
      </c>
      <c r="KQB1017" s="16" t="s">
        <v>4867</v>
      </c>
      <c r="KQC1017" s="16" t="s">
        <v>4867</v>
      </c>
      <c r="KQD1017" s="16" t="s">
        <v>4867</v>
      </c>
      <c r="KQE1017" s="16" t="s">
        <v>4867</v>
      </c>
      <c r="KQF1017" s="16" t="s">
        <v>4867</v>
      </c>
      <c r="KQG1017" s="16" t="s">
        <v>4867</v>
      </c>
      <c r="KQH1017" s="16" t="s">
        <v>4867</v>
      </c>
      <c r="KQI1017" s="16" t="s">
        <v>4867</v>
      </c>
      <c r="KQJ1017" s="16" t="s">
        <v>4867</v>
      </c>
      <c r="KQK1017" s="16" t="s">
        <v>4867</v>
      </c>
      <c r="KQL1017" s="16" t="s">
        <v>4867</v>
      </c>
      <c r="KQM1017" s="16" t="s">
        <v>4867</v>
      </c>
      <c r="KQN1017" s="16" t="s">
        <v>4867</v>
      </c>
      <c r="KQO1017" s="16" t="s">
        <v>4867</v>
      </c>
      <c r="KQP1017" s="16" t="s">
        <v>4867</v>
      </c>
      <c r="KQQ1017" s="16" t="s">
        <v>4867</v>
      </c>
      <c r="KQR1017" s="16" t="s">
        <v>4867</v>
      </c>
      <c r="KQS1017" s="16" t="s">
        <v>4867</v>
      </c>
      <c r="KQT1017" s="16" t="s">
        <v>4867</v>
      </c>
      <c r="KQU1017" s="16" t="s">
        <v>4867</v>
      </c>
      <c r="KQV1017" s="16" t="s">
        <v>4867</v>
      </c>
      <c r="KQW1017" s="16" t="s">
        <v>4867</v>
      </c>
      <c r="KQX1017" s="16" t="s">
        <v>4867</v>
      </c>
      <c r="KQY1017" s="16" t="s">
        <v>4867</v>
      </c>
      <c r="KQZ1017" s="16" t="s">
        <v>4867</v>
      </c>
      <c r="KRA1017" s="16" t="s">
        <v>4867</v>
      </c>
      <c r="KRB1017" s="16" t="s">
        <v>4867</v>
      </c>
      <c r="KRC1017" s="16" t="s">
        <v>4867</v>
      </c>
      <c r="KRD1017" s="16" t="s">
        <v>4867</v>
      </c>
      <c r="KRE1017" s="16" t="s">
        <v>4867</v>
      </c>
      <c r="KRF1017" s="16" t="s">
        <v>4867</v>
      </c>
      <c r="KRG1017" s="16" t="s">
        <v>4867</v>
      </c>
      <c r="KRH1017" s="16" t="s">
        <v>4867</v>
      </c>
      <c r="KRI1017" s="16" t="s">
        <v>4867</v>
      </c>
      <c r="KRJ1017" s="16" t="s">
        <v>4867</v>
      </c>
      <c r="KRK1017" s="16" t="s">
        <v>4867</v>
      </c>
      <c r="KRL1017" s="16" t="s">
        <v>4867</v>
      </c>
      <c r="KRM1017" s="16" t="s">
        <v>4867</v>
      </c>
      <c r="KRN1017" s="16" t="s">
        <v>4867</v>
      </c>
      <c r="KRO1017" s="16" t="s">
        <v>4867</v>
      </c>
      <c r="KRP1017" s="16" t="s">
        <v>4867</v>
      </c>
      <c r="KRQ1017" s="16" t="s">
        <v>4867</v>
      </c>
      <c r="KRR1017" s="16" t="s">
        <v>4867</v>
      </c>
      <c r="KRS1017" s="16" t="s">
        <v>4867</v>
      </c>
      <c r="KRT1017" s="16" t="s">
        <v>4867</v>
      </c>
      <c r="KRU1017" s="16" t="s">
        <v>4867</v>
      </c>
      <c r="KRV1017" s="16" t="s">
        <v>4867</v>
      </c>
      <c r="KRW1017" s="16" t="s">
        <v>4867</v>
      </c>
      <c r="KRX1017" s="16" t="s">
        <v>4867</v>
      </c>
      <c r="KRY1017" s="16" t="s">
        <v>4867</v>
      </c>
      <c r="KRZ1017" s="16" t="s">
        <v>4867</v>
      </c>
      <c r="KSA1017" s="16" t="s">
        <v>4867</v>
      </c>
      <c r="KSB1017" s="16" t="s">
        <v>4867</v>
      </c>
      <c r="KSC1017" s="16" t="s">
        <v>4867</v>
      </c>
      <c r="KSD1017" s="16" t="s">
        <v>4867</v>
      </c>
      <c r="KSE1017" s="16" t="s">
        <v>4867</v>
      </c>
      <c r="KSF1017" s="16" t="s">
        <v>4867</v>
      </c>
      <c r="KSG1017" s="16" t="s">
        <v>4867</v>
      </c>
      <c r="KSH1017" s="16" t="s">
        <v>4867</v>
      </c>
      <c r="KSI1017" s="16" t="s">
        <v>4867</v>
      </c>
      <c r="KSJ1017" s="16" t="s">
        <v>4867</v>
      </c>
      <c r="KSK1017" s="16" t="s">
        <v>4867</v>
      </c>
      <c r="KSL1017" s="16" t="s">
        <v>4867</v>
      </c>
      <c r="KSM1017" s="16" t="s">
        <v>4867</v>
      </c>
      <c r="KSN1017" s="16" t="s">
        <v>4867</v>
      </c>
      <c r="KSO1017" s="16" t="s">
        <v>4867</v>
      </c>
      <c r="KSP1017" s="16" t="s">
        <v>4867</v>
      </c>
      <c r="KSQ1017" s="16" t="s">
        <v>4867</v>
      </c>
      <c r="KSR1017" s="16" t="s">
        <v>4867</v>
      </c>
      <c r="KSS1017" s="16" t="s">
        <v>4867</v>
      </c>
      <c r="KST1017" s="16" t="s">
        <v>4867</v>
      </c>
      <c r="KSU1017" s="16" t="s">
        <v>4867</v>
      </c>
      <c r="KSV1017" s="16" t="s">
        <v>4867</v>
      </c>
      <c r="KSW1017" s="16" t="s">
        <v>4867</v>
      </c>
      <c r="KSX1017" s="16" t="s">
        <v>4867</v>
      </c>
      <c r="KSY1017" s="16" t="s">
        <v>4867</v>
      </c>
      <c r="KSZ1017" s="16" t="s">
        <v>4867</v>
      </c>
      <c r="KTA1017" s="16" t="s">
        <v>4867</v>
      </c>
      <c r="KTB1017" s="16" t="s">
        <v>4867</v>
      </c>
      <c r="KTC1017" s="16" t="s">
        <v>4867</v>
      </c>
      <c r="KTD1017" s="16" t="s">
        <v>4867</v>
      </c>
      <c r="KTE1017" s="16" t="s">
        <v>4867</v>
      </c>
      <c r="KTF1017" s="16" t="s">
        <v>4867</v>
      </c>
      <c r="KTG1017" s="16" t="s">
        <v>4867</v>
      </c>
      <c r="KTH1017" s="16" t="s">
        <v>4867</v>
      </c>
      <c r="KTI1017" s="16" t="s">
        <v>4867</v>
      </c>
      <c r="KTJ1017" s="16" t="s">
        <v>4867</v>
      </c>
      <c r="KTK1017" s="16" t="s">
        <v>4867</v>
      </c>
      <c r="KTL1017" s="16" t="s">
        <v>4867</v>
      </c>
      <c r="KTM1017" s="16" t="s">
        <v>4867</v>
      </c>
      <c r="KTN1017" s="16" t="s">
        <v>4867</v>
      </c>
      <c r="KTO1017" s="16" t="s">
        <v>4867</v>
      </c>
      <c r="KTP1017" s="16" t="s">
        <v>4867</v>
      </c>
      <c r="KTQ1017" s="16" t="s">
        <v>4867</v>
      </c>
      <c r="KTR1017" s="16" t="s">
        <v>4867</v>
      </c>
      <c r="KTS1017" s="16" t="s">
        <v>4867</v>
      </c>
      <c r="KTT1017" s="16" t="s">
        <v>4867</v>
      </c>
      <c r="KTU1017" s="16" t="s">
        <v>4867</v>
      </c>
      <c r="KTV1017" s="16" t="s">
        <v>4867</v>
      </c>
      <c r="KTW1017" s="16" t="s">
        <v>4867</v>
      </c>
      <c r="KTX1017" s="16" t="s">
        <v>4867</v>
      </c>
      <c r="KTY1017" s="16" t="s">
        <v>4867</v>
      </c>
      <c r="KTZ1017" s="16" t="s">
        <v>4867</v>
      </c>
      <c r="KUA1017" s="16" t="s">
        <v>4867</v>
      </c>
      <c r="KUB1017" s="16" t="s">
        <v>4867</v>
      </c>
      <c r="KUC1017" s="16" t="s">
        <v>4867</v>
      </c>
      <c r="KUD1017" s="16" t="s">
        <v>4867</v>
      </c>
      <c r="KUE1017" s="16" t="s">
        <v>4867</v>
      </c>
      <c r="KUF1017" s="16" t="s">
        <v>4867</v>
      </c>
      <c r="KUG1017" s="16" t="s">
        <v>4867</v>
      </c>
      <c r="KUH1017" s="16" t="s">
        <v>4867</v>
      </c>
      <c r="KUI1017" s="16" t="s">
        <v>4867</v>
      </c>
      <c r="KUJ1017" s="16" t="s">
        <v>4867</v>
      </c>
      <c r="KUK1017" s="16" t="s">
        <v>4867</v>
      </c>
      <c r="KUL1017" s="16" t="s">
        <v>4867</v>
      </c>
      <c r="KUM1017" s="16" t="s">
        <v>4867</v>
      </c>
      <c r="KUN1017" s="16" t="s">
        <v>4867</v>
      </c>
      <c r="KUO1017" s="16" t="s">
        <v>4867</v>
      </c>
      <c r="KUP1017" s="16" t="s">
        <v>4867</v>
      </c>
      <c r="KUQ1017" s="16" t="s">
        <v>4867</v>
      </c>
      <c r="KUR1017" s="16" t="s">
        <v>4867</v>
      </c>
      <c r="KUS1017" s="16" t="s">
        <v>4867</v>
      </c>
      <c r="KUT1017" s="16" t="s">
        <v>4867</v>
      </c>
      <c r="KUU1017" s="16" t="s">
        <v>4867</v>
      </c>
      <c r="KUV1017" s="16" t="s">
        <v>4867</v>
      </c>
      <c r="KUW1017" s="16" t="s">
        <v>4867</v>
      </c>
      <c r="KUX1017" s="16" t="s">
        <v>4867</v>
      </c>
      <c r="KUY1017" s="16" t="s">
        <v>4867</v>
      </c>
      <c r="KUZ1017" s="16" t="s">
        <v>4867</v>
      </c>
      <c r="KVA1017" s="16" t="s">
        <v>4867</v>
      </c>
      <c r="KVB1017" s="16" t="s">
        <v>4867</v>
      </c>
      <c r="KVC1017" s="16" t="s">
        <v>4867</v>
      </c>
      <c r="KVD1017" s="16" t="s">
        <v>4867</v>
      </c>
      <c r="KVE1017" s="16" t="s">
        <v>4867</v>
      </c>
      <c r="KVF1017" s="16" t="s">
        <v>4867</v>
      </c>
      <c r="KVG1017" s="16" t="s">
        <v>4867</v>
      </c>
      <c r="KVH1017" s="16" t="s">
        <v>4867</v>
      </c>
      <c r="KVI1017" s="16" t="s">
        <v>4867</v>
      </c>
      <c r="KVJ1017" s="16" t="s">
        <v>4867</v>
      </c>
      <c r="KVK1017" s="16" t="s">
        <v>4867</v>
      </c>
      <c r="KVL1017" s="16" t="s">
        <v>4867</v>
      </c>
      <c r="KVM1017" s="16" t="s">
        <v>4867</v>
      </c>
      <c r="KVN1017" s="16" t="s">
        <v>4867</v>
      </c>
      <c r="KVO1017" s="16" t="s">
        <v>4867</v>
      </c>
      <c r="KVP1017" s="16" t="s">
        <v>4867</v>
      </c>
      <c r="KVQ1017" s="16" t="s">
        <v>4867</v>
      </c>
      <c r="KVR1017" s="16" t="s">
        <v>4867</v>
      </c>
      <c r="KVS1017" s="16" t="s">
        <v>4867</v>
      </c>
      <c r="KVT1017" s="16" t="s">
        <v>4867</v>
      </c>
      <c r="KVU1017" s="16" t="s">
        <v>4867</v>
      </c>
      <c r="KVV1017" s="16" t="s">
        <v>4867</v>
      </c>
      <c r="KVW1017" s="16" t="s">
        <v>4867</v>
      </c>
      <c r="KVX1017" s="16" t="s">
        <v>4867</v>
      </c>
      <c r="KVY1017" s="16" t="s">
        <v>4867</v>
      </c>
      <c r="KVZ1017" s="16" t="s">
        <v>4867</v>
      </c>
      <c r="KWA1017" s="16" t="s">
        <v>4867</v>
      </c>
      <c r="KWB1017" s="16" t="s">
        <v>4867</v>
      </c>
      <c r="KWC1017" s="16" t="s">
        <v>4867</v>
      </c>
      <c r="KWD1017" s="16" t="s">
        <v>4867</v>
      </c>
      <c r="KWE1017" s="16" t="s">
        <v>4867</v>
      </c>
      <c r="KWF1017" s="16" t="s">
        <v>4867</v>
      </c>
      <c r="KWG1017" s="16" t="s">
        <v>4867</v>
      </c>
      <c r="KWH1017" s="16" t="s">
        <v>4867</v>
      </c>
      <c r="KWI1017" s="16" t="s">
        <v>4867</v>
      </c>
      <c r="KWJ1017" s="16" t="s">
        <v>4867</v>
      </c>
      <c r="KWK1017" s="16" t="s">
        <v>4867</v>
      </c>
      <c r="KWL1017" s="16" t="s">
        <v>4867</v>
      </c>
      <c r="KWM1017" s="16" t="s">
        <v>4867</v>
      </c>
      <c r="KWN1017" s="16" t="s">
        <v>4867</v>
      </c>
      <c r="KWO1017" s="16" t="s">
        <v>4867</v>
      </c>
      <c r="KWP1017" s="16" t="s">
        <v>4867</v>
      </c>
      <c r="KWQ1017" s="16" t="s">
        <v>4867</v>
      </c>
      <c r="KWR1017" s="16" t="s">
        <v>4867</v>
      </c>
      <c r="KWS1017" s="16" t="s">
        <v>4867</v>
      </c>
      <c r="KWT1017" s="16" t="s">
        <v>4867</v>
      </c>
      <c r="KWU1017" s="16" t="s">
        <v>4867</v>
      </c>
      <c r="KWV1017" s="16" t="s">
        <v>4867</v>
      </c>
      <c r="KWW1017" s="16" t="s">
        <v>4867</v>
      </c>
      <c r="KWX1017" s="16" t="s">
        <v>4867</v>
      </c>
      <c r="KWY1017" s="16" t="s">
        <v>4867</v>
      </c>
      <c r="KWZ1017" s="16" t="s">
        <v>4867</v>
      </c>
      <c r="KXA1017" s="16" t="s">
        <v>4867</v>
      </c>
      <c r="KXB1017" s="16" t="s">
        <v>4867</v>
      </c>
      <c r="KXC1017" s="16" t="s">
        <v>4867</v>
      </c>
      <c r="KXD1017" s="16" t="s">
        <v>4867</v>
      </c>
      <c r="KXE1017" s="16" t="s">
        <v>4867</v>
      </c>
      <c r="KXF1017" s="16" t="s">
        <v>4867</v>
      </c>
      <c r="KXG1017" s="16" t="s">
        <v>4867</v>
      </c>
      <c r="KXH1017" s="16" t="s">
        <v>4867</v>
      </c>
      <c r="KXI1017" s="16" t="s">
        <v>4867</v>
      </c>
      <c r="KXJ1017" s="16" t="s">
        <v>4867</v>
      </c>
      <c r="KXK1017" s="16" t="s">
        <v>4867</v>
      </c>
      <c r="KXL1017" s="16" t="s">
        <v>4867</v>
      </c>
      <c r="KXM1017" s="16" t="s">
        <v>4867</v>
      </c>
      <c r="KXN1017" s="16" t="s">
        <v>4867</v>
      </c>
      <c r="KXO1017" s="16" t="s">
        <v>4867</v>
      </c>
      <c r="KXP1017" s="16" t="s">
        <v>4867</v>
      </c>
      <c r="KXQ1017" s="16" t="s">
        <v>4867</v>
      </c>
      <c r="KXR1017" s="16" t="s">
        <v>4867</v>
      </c>
      <c r="KXS1017" s="16" t="s">
        <v>4867</v>
      </c>
      <c r="KXT1017" s="16" t="s">
        <v>4867</v>
      </c>
      <c r="KXU1017" s="16" t="s">
        <v>4867</v>
      </c>
      <c r="KXV1017" s="16" t="s">
        <v>4867</v>
      </c>
      <c r="KXW1017" s="16" t="s">
        <v>4867</v>
      </c>
      <c r="KXX1017" s="16" t="s">
        <v>4867</v>
      </c>
      <c r="KXY1017" s="16" t="s">
        <v>4867</v>
      </c>
      <c r="KXZ1017" s="16" t="s">
        <v>4867</v>
      </c>
      <c r="KYA1017" s="16" t="s">
        <v>4867</v>
      </c>
      <c r="KYB1017" s="16" t="s">
        <v>4867</v>
      </c>
      <c r="KYC1017" s="16" t="s">
        <v>4867</v>
      </c>
      <c r="KYD1017" s="16" t="s">
        <v>4867</v>
      </c>
      <c r="KYE1017" s="16" t="s">
        <v>4867</v>
      </c>
      <c r="KYF1017" s="16" t="s">
        <v>4867</v>
      </c>
      <c r="KYG1017" s="16" t="s">
        <v>4867</v>
      </c>
      <c r="KYH1017" s="16" t="s">
        <v>4867</v>
      </c>
      <c r="KYI1017" s="16" t="s">
        <v>4867</v>
      </c>
      <c r="KYJ1017" s="16" t="s">
        <v>4867</v>
      </c>
      <c r="KYK1017" s="16" t="s">
        <v>4867</v>
      </c>
      <c r="KYL1017" s="16" t="s">
        <v>4867</v>
      </c>
      <c r="KYM1017" s="16" t="s">
        <v>4867</v>
      </c>
      <c r="KYN1017" s="16" t="s">
        <v>4867</v>
      </c>
      <c r="KYO1017" s="16" t="s">
        <v>4867</v>
      </c>
      <c r="KYP1017" s="16" t="s">
        <v>4867</v>
      </c>
      <c r="KYQ1017" s="16" t="s">
        <v>4867</v>
      </c>
      <c r="KYR1017" s="16" t="s">
        <v>4867</v>
      </c>
      <c r="KYS1017" s="16" t="s">
        <v>4867</v>
      </c>
      <c r="KYT1017" s="16" t="s">
        <v>4867</v>
      </c>
      <c r="KYU1017" s="16" t="s">
        <v>4867</v>
      </c>
      <c r="KYV1017" s="16" t="s">
        <v>4867</v>
      </c>
      <c r="KYW1017" s="16" t="s">
        <v>4867</v>
      </c>
      <c r="KYX1017" s="16" t="s">
        <v>4867</v>
      </c>
      <c r="KYY1017" s="16" t="s">
        <v>4867</v>
      </c>
      <c r="KYZ1017" s="16" t="s">
        <v>4867</v>
      </c>
      <c r="KZA1017" s="16" t="s">
        <v>4867</v>
      </c>
      <c r="KZB1017" s="16" t="s">
        <v>4867</v>
      </c>
      <c r="KZC1017" s="16" t="s">
        <v>4867</v>
      </c>
      <c r="KZD1017" s="16" t="s">
        <v>4867</v>
      </c>
      <c r="KZE1017" s="16" t="s">
        <v>4867</v>
      </c>
      <c r="KZF1017" s="16" t="s">
        <v>4867</v>
      </c>
      <c r="KZG1017" s="16" t="s">
        <v>4867</v>
      </c>
      <c r="KZH1017" s="16" t="s">
        <v>4867</v>
      </c>
      <c r="KZI1017" s="16" t="s">
        <v>4867</v>
      </c>
      <c r="KZJ1017" s="16" t="s">
        <v>4867</v>
      </c>
      <c r="KZK1017" s="16" t="s">
        <v>4867</v>
      </c>
      <c r="KZL1017" s="16" t="s">
        <v>4867</v>
      </c>
      <c r="KZM1017" s="16" t="s">
        <v>4867</v>
      </c>
      <c r="KZN1017" s="16" t="s">
        <v>4867</v>
      </c>
      <c r="KZO1017" s="16" t="s">
        <v>4867</v>
      </c>
      <c r="KZP1017" s="16" t="s">
        <v>4867</v>
      </c>
      <c r="KZQ1017" s="16" t="s">
        <v>4867</v>
      </c>
      <c r="KZR1017" s="16" t="s">
        <v>4867</v>
      </c>
      <c r="KZS1017" s="16" t="s">
        <v>4867</v>
      </c>
      <c r="KZT1017" s="16" t="s">
        <v>4867</v>
      </c>
      <c r="KZU1017" s="16" t="s">
        <v>4867</v>
      </c>
      <c r="KZV1017" s="16" t="s">
        <v>4867</v>
      </c>
      <c r="KZW1017" s="16" t="s">
        <v>4867</v>
      </c>
      <c r="KZX1017" s="16" t="s">
        <v>4867</v>
      </c>
      <c r="KZY1017" s="16" t="s">
        <v>4867</v>
      </c>
      <c r="KZZ1017" s="16" t="s">
        <v>4867</v>
      </c>
      <c r="LAA1017" s="16" t="s">
        <v>4867</v>
      </c>
      <c r="LAB1017" s="16" t="s">
        <v>4867</v>
      </c>
      <c r="LAC1017" s="16" t="s">
        <v>4867</v>
      </c>
      <c r="LAD1017" s="16" t="s">
        <v>4867</v>
      </c>
      <c r="LAE1017" s="16" t="s">
        <v>4867</v>
      </c>
      <c r="LAF1017" s="16" t="s">
        <v>4867</v>
      </c>
      <c r="LAG1017" s="16" t="s">
        <v>4867</v>
      </c>
      <c r="LAH1017" s="16" t="s">
        <v>4867</v>
      </c>
      <c r="LAI1017" s="16" t="s">
        <v>4867</v>
      </c>
      <c r="LAJ1017" s="16" t="s">
        <v>4867</v>
      </c>
      <c r="LAK1017" s="16" t="s">
        <v>4867</v>
      </c>
      <c r="LAL1017" s="16" t="s">
        <v>4867</v>
      </c>
      <c r="LAM1017" s="16" t="s">
        <v>4867</v>
      </c>
      <c r="LAN1017" s="16" t="s">
        <v>4867</v>
      </c>
      <c r="LAO1017" s="16" t="s">
        <v>4867</v>
      </c>
      <c r="LAP1017" s="16" t="s">
        <v>4867</v>
      </c>
      <c r="LAQ1017" s="16" t="s">
        <v>4867</v>
      </c>
      <c r="LAR1017" s="16" t="s">
        <v>4867</v>
      </c>
      <c r="LAS1017" s="16" t="s">
        <v>4867</v>
      </c>
      <c r="LAT1017" s="16" t="s">
        <v>4867</v>
      </c>
      <c r="LAU1017" s="16" t="s">
        <v>4867</v>
      </c>
      <c r="LAV1017" s="16" t="s">
        <v>4867</v>
      </c>
      <c r="LAW1017" s="16" t="s">
        <v>4867</v>
      </c>
      <c r="LAX1017" s="16" t="s">
        <v>4867</v>
      </c>
      <c r="LAY1017" s="16" t="s">
        <v>4867</v>
      </c>
      <c r="LAZ1017" s="16" t="s">
        <v>4867</v>
      </c>
      <c r="LBA1017" s="16" t="s">
        <v>4867</v>
      </c>
      <c r="LBB1017" s="16" t="s">
        <v>4867</v>
      </c>
      <c r="LBC1017" s="16" t="s">
        <v>4867</v>
      </c>
      <c r="LBD1017" s="16" t="s">
        <v>4867</v>
      </c>
      <c r="LBE1017" s="16" t="s">
        <v>4867</v>
      </c>
      <c r="LBF1017" s="16" t="s">
        <v>4867</v>
      </c>
      <c r="LBG1017" s="16" t="s">
        <v>4867</v>
      </c>
      <c r="LBH1017" s="16" t="s">
        <v>4867</v>
      </c>
      <c r="LBI1017" s="16" t="s">
        <v>4867</v>
      </c>
      <c r="LBJ1017" s="16" t="s">
        <v>4867</v>
      </c>
      <c r="LBK1017" s="16" t="s">
        <v>4867</v>
      </c>
      <c r="LBL1017" s="16" t="s">
        <v>4867</v>
      </c>
      <c r="LBM1017" s="16" t="s">
        <v>4867</v>
      </c>
      <c r="LBN1017" s="16" t="s">
        <v>4867</v>
      </c>
      <c r="LBO1017" s="16" t="s">
        <v>4867</v>
      </c>
      <c r="LBP1017" s="16" t="s">
        <v>4867</v>
      </c>
      <c r="LBQ1017" s="16" t="s">
        <v>4867</v>
      </c>
      <c r="LBR1017" s="16" t="s">
        <v>4867</v>
      </c>
      <c r="LBS1017" s="16" t="s">
        <v>4867</v>
      </c>
      <c r="LBT1017" s="16" t="s">
        <v>4867</v>
      </c>
      <c r="LBU1017" s="16" t="s">
        <v>4867</v>
      </c>
      <c r="LBV1017" s="16" t="s">
        <v>4867</v>
      </c>
      <c r="LBW1017" s="16" t="s">
        <v>4867</v>
      </c>
      <c r="LBX1017" s="16" t="s">
        <v>4867</v>
      </c>
      <c r="LBY1017" s="16" t="s">
        <v>4867</v>
      </c>
      <c r="LBZ1017" s="16" t="s">
        <v>4867</v>
      </c>
      <c r="LCA1017" s="16" t="s">
        <v>4867</v>
      </c>
      <c r="LCB1017" s="16" t="s">
        <v>4867</v>
      </c>
      <c r="LCC1017" s="16" t="s">
        <v>4867</v>
      </c>
      <c r="LCD1017" s="16" t="s">
        <v>4867</v>
      </c>
      <c r="LCE1017" s="16" t="s">
        <v>4867</v>
      </c>
      <c r="LCF1017" s="16" t="s">
        <v>4867</v>
      </c>
      <c r="LCG1017" s="16" t="s">
        <v>4867</v>
      </c>
      <c r="LCH1017" s="16" t="s">
        <v>4867</v>
      </c>
      <c r="LCI1017" s="16" t="s">
        <v>4867</v>
      </c>
      <c r="LCJ1017" s="16" t="s">
        <v>4867</v>
      </c>
      <c r="LCK1017" s="16" t="s">
        <v>4867</v>
      </c>
      <c r="LCL1017" s="16" t="s">
        <v>4867</v>
      </c>
      <c r="LCM1017" s="16" t="s">
        <v>4867</v>
      </c>
      <c r="LCN1017" s="16" t="s">
        <v>4867</v>
      </c>
      <c r="LCO1017" s="16" t="s">
        <v>4867</v>
      </c>
      <c r="LCP1017" s="16" t="s">
        <v>4867</v>
      </c>
      <c r="LCQ1017" s="16" t="s">
        <v>4867</v>
      </c>
      <c r="LCR1017" s="16" t="s">
        <v>4867</v>
      </c>
      <c r="LCS1017" s="16" t="s">
        <v>4867</v>
      </c>
      <c r="LCT1017" s="16" t="s">
        <v>4867</v>
      </c>
      <c r="LCU1017" s="16" t="s">
        <v>4867</v>
      </c>
      <c r="LCV1017" s="16" t="s">
        <v>4867</v>
      </c>
      <c r="LCW1017" s="16" t="s">
        <v>4867</v>
      </c>
      <c r="LCX1017" s="16" t="s">
        <v>4867</v>
      </c>
      <c r="LCY1017" s="16" t="s">
        <v>4867</v>
      </c>
      <c r="LCZ1017" s="16" t="s">
        <v>4867</v>
      </c>
      <c r="LDA1017" s="16" t="s">
        <v>4867</v>
      </c>
      <c r="LDB1017" s="16" t="s">
        <v>4867</v>
      </c>
      <c r="LDC1017" s="16" t="s">
        <v>4867</v>
      </c>
      <c r="LDD1017" s="16" t="s">
        <v>4867</v>
      </c>
      <c r="LDE1017" s="16" t="s">
        <v>4867</v>
      </c>
      <c r="LDF1017" s="16" t="s">
        <v>4867</v>
      </c>
      <c r="LDG1017" s="16" t="s">
        <v>4867</v>
      </c>
      <c r="LDH1017" s="16" t="s">
        <v>4867</v>
      </c>
      <c r="LDI1017" s="16" t="s">
        <v>4867</v>
      </c>
      <c r="LDJ1017" s="16" t="s">
        <v>4867</v>
      </c>
      <c r="LDK1017" s="16" t="s">
        <v>4867</v>
      </c>
      <c r="LDL1017" s="16" t="s">
        <v>4867</v>
      </c>
      <c r="LDM1017" s="16" t="s">
        <v>4867</v>
      </c>
      <c r="LDN1017" s="16" t="s">
        <v>4867</v>
      </c>
      <c r="LDO1017" s="16" t="s">
        <v>4867</v>
      </c>
      <c r="LDP1017" s="16" t="s">
        <v>4867</v>
      </c>
      <c r="LDQ1017" s="16" t="s">
        <v>4867</v>
      </c>
      <c r="LDR1017" s="16" t="s">
        <v>4867</v>
      </c>
      <c r="LDS1017" s="16" t="s">
        <v>4867</v>
      </c>
      <c r="LDT1017" s="16" t="s">
        <v>4867</v>
      </c>
      <c r="LDU1017" s="16" t="s">
        <v>4867</v>
      </c>
      <c r="LDV1017" s="16" t="s">
        <v>4867</v>
      </c>
      <c r="LDW1017" s="16" t="s">
        <v>4867</v>
      </c>
      <c r="LDX1017" s="16" t="s">
        <v>4867</v>
      </c>
      <c r="LDY1017" s="16" t="s">
        <v>4867</v>
      </c>
      <c r="LDZ1017" s="16" t="s">
        <v>4867</v>
      </c>
      <c r="LEA1017" s="16" t="s">
        <v>4867</v>
      </c>
      <c r="LEB1017" s="16" t="s">
        <v>4867</v>
      </c>
      <c r="LEC1017" s="16" t="s">
        <v>4867</v>
      </c>
      <c r="LED1017" s="16" t="s">
        <v>4867</v>
      </c>
      <c r="LEE1017" s="16" t="s">
        <v>4867</v>
      </c>
      <c r="LEF1017" s="16" t="s">
        <v>4867</v>
      </c>
      <c r="LEG1017" s="16" t="s">
        <v>4867</v>
      </c>
      <c r="LEH1017" s="16" t="s">
        <v>4867</v>
      </c>
      <c r="LEI1017" s="16" t="s">
        <v>4867</v>
      </c>
      <c r="LEJ1017" s="16" t="s">
        <v>4867</v>
      </c>
      <c r="LEK1017" s="16" t="s">
        <v>4867</v>
      </c>
      <c r="LEL1017" s="16" t="s">
        <v>4867</v>
      </c>
      <c r="LEM1017" s="16" t="s">
        <v>4867</v>
      </c>
      <c r="LEN1017" s="16" t="s">
        <v>4867</v>
      </c>
      <c r="LEO1017" s="16" t="s">
        <v>4867</v>
      </c>
      <c r="LEP1017" s="16" t="s">
        <v>4867</v>
      </c>
      <c r="LEQ1017" s="16" t="s">
        <v>4867</v>
      </c>
      <c r="LER1017" s="16" t="s">
        <v>4867</v>
      </c>
      <c r="LES1017" s="16" t="s">
        <v>4867</v>
      </c>
      <c r="LET1017" s="16" t="s">
        <v>4867</v>
      </c>
      <c r="LEU1017" s="16" t="s">
        <v>4867</v>
      </c>
      <c r="LEV1017" s="16" t="s">
        <v>4867</v>
      </c>
      <c r="LEW1017" s="16" t="s">
        <v>4867</v>
      </c>
      <c r="LEX1017" s="16" t="s">
        <v>4867</v>
      </c>
      <c r="LEY1017" s="16" t="s">
        <v>4867</v>
      </c>
      <c r="LEZ1017" s="16" t="s">
        <v>4867</v>
      </c>
      <c r="LFA1017" s="16" t="s">
        <v>4867</v>
      </c>
      <c r="LFB1017" s="16" t="s">
        <v>4867</v>
      </c>
      <c r="LFC1017" s="16" t="s">
        <v>4867</v>
      </c>
      <c r="LFD1017" s="16" t="s">
        <v>4867</v>
      </c>
      <c r="LFE1017" s="16" t="s">
        <v>4867</v>
      </c>
      <c r="LFF1017" s="16" t="s">
        <v>4867</v>
      </c>
      <c r="LFG1017" s="16" t="s">
        <v>4867</v>
      </c>
      <c r="LFH1017" s="16" t="s">
        <v>4867</v>
      </c>
      <c r="LFI1017" s="16" t="s">
        <v>4867</v>
      </c>
      <c r="LFJ1017" s="16" t="s">
        <v>4867</v>
      </c>
      <c r="LFK1017" s="16" t="s">
        <v>4867</v>
      </c>
      <c r="LFL1017" s="16" t="s">
        <v>4867</v>
      </c>
      <c r="LFM1017" s="16" t="s">
        <v>4867</v>
      </c>
      <c r="LFN1017" s="16" t="s">
        <v>4867</v>
      </c>
      <c r="LFO1017" s="16" t="s">
        <v>4867</v>
      </c>
      <c r="LFP1017" s="16" t="s">
        <v>4867</v>
      </c>
      <c r="LFQ1017" s="16" t="s">
        <v>4867</v>
      </c>
      <c r="LFR1017" s="16" t="s">
        <v>4867</v>
      </c>
      <c r="LFS1017" s="16" t="s">
        <v>4867</v>
      </c>
      <c r="LFT1017" s="16" t="s">
        <v>4867</v>
      </c>
      <c r="LFU1017" s="16" t="s">
        <v>4867</v>
      </c>
      <c r="LFV1017" s="16" t="s">
        <v>4867</v>
      </c>
      <c r="LFW1017" s="16" t="s">
        <v>4867</v>
      </c>
      <c r="LFX1017" s="16" t="s">
        <v>4867</v>
      </c>
      <c r="LFY1017" s="16" t="s">
        <v>4867</v>
      </c>
      <c r="LFZ1017" s="16" t="s">
        <v>4867</v>
      </c>
      <c r="LGA1017" s="16" t="s">
        <v>4867</v>
      </c>
      <c r="LGB1017" s="16" t="s">
        <v>4867</v>
      </c>
      <c r="LGC1017" s="16" t="s">
        <v>4867</v>
      </c>
      <c r="LGD1017" s="16" t="s">
        <v>4867</v>
      </c>
      <c r="LGE1017" s="16" t="s">
        <v>4867</v>
      </c>
      <c r="LGF1017" s="16" t="s">
        <v>4867</v>
      </c>
      <c r="LGG1017" s="16" t="s">
        <v>4867</v>
      </c>
      <c r="LGH1017" s="16" t="s">
        <v>4867</v>
      </c>
      <c r="LGI1017" s="16" t="s">
        <v>4867</v>
      </c>
      <c r="LGJ1017" s="16" t="s">
        <v>4867</v>
      </c>
      <c r="LGK1017" s="16" t="s">
        <v>4867</v>
      </c>
      <c r="LGL1017" s="16" t="s">
        <v>4867</v>
      </c>
      <c r="LGM1017" s="16" t="s">
        <v>4867</v>
      </c>
      <c r="LGN1017" s="16" t="s">
        <v>4867</v>
      </c>
      <c r="LGO1017" s="16" t="s">
        <v>4867</v>
      </c>
      <c r="LGP1017" s="16" t="s">
        <v>4867</v>
      </c>
      <c r="LGQ1017" s="16" t="s">
        <v>4867</v>
      </c>
      <c r="LGR1017" s="16" t="s">
        <v>4867</v>
      </c>
      <c r="LGS1017" s="16" t="s">
        <v>4867</v>
      </c>
      <c r="LGT1017" s="16" t="s">
        <v>4867</v>
      </c>
      <c r="LGU1017" s="16" t="s">
        <v>4867</v>
      </c>
      <c r="LGV1017" s="16" t="s">
        <v>4867</v>
      </c>
      <c r="LGW1017" s="16" t="s">
        <v>4867</v>
      </c>
      <c r="LGX1017" s="16" t="s">
        <v>4867</v>
      </c>
      <c r="LGY1017" s="16" t="s">
        <v>4867</v>
      </c>
      <c r="LGZ1017" s="16" t="s">
        <v>4867</v>
      </c>
      <c r="LHA1017" s="16" t="s">
        <v>4867</v>
      </c>
      <c r="LHB1017" s="16" t="s">
        <v>4867</v>
      </c>
      <c r="LHC1017" s="16" t="s">
        <v>4867</v>
      </c>
      <c r="LHD1017" s="16" t="s">
        <v>4867</v>
      </c>
      <c r="LHE1017" s="16" t="s">
        <v>4867</v>
      </c>
      <c r="LHF1017" s="16" t="s">
        <v>4867</v>
      </c>
      <c r="LHG1017" s="16" t="s">
        <v>4867</v>
      </c>
      <c r="LHH1017" s="16" t="s">
        <v>4867</v>
      </c>
      <c r="LHI1017" s="16" t="s">
        <v>4867</v>
      </c>
      <c r="LHJ1017" s="16" t="s">
        <v>4867</v>
      </c>
      <c r="LHK1017" s="16" t="s">
        <v>4867</v>
      </c>
      <c r="LHL1017" s="16" t="s">
        <v>4867</v>
      </c>
      <c r="LHM1017" s="16" t="s">
        <v>4867</v>
      </c>
      <c r="LHN1017" s="16" t="s">
        <v>4867</v>
      </c>
      <c r="LHO1017" s="16" t="s">
        <v>4867</v>
      </c>
      <c r="LHP1017" s="16" t="s">
        <v>4867</v>
      </c>
      <c r="LHQ1017" s="16" t="s">
        <v>4867</v>
      </c>
      <c r="LHR1017" s="16" t="s">
        <v>4867</v>
      </c>
      <c r="LHS1017" s="16" t="s">
        <v>4867</v>
      </c>
      <c r="LHT1017" s="16" t="s">
        <v>4867</v>
      </c>
      <c r="LHU1017" s="16" t="s">
        <v>4867</v>
      </c>
      <c r="LHV1017" s="16" t="s">
        <v>4867</v>
      </c>
      <c r="LHW1017" s="16" t="s">
        <v>4867</v>
      </c>
      <c r="LHX1017" s="16" t="s">
        <v>4867</v>
      </c>
      <c r="LHY1017" s="16" t="s">
        <v>4867</v>
      </c>
      <c r="LHZ1017" s="16" t="s">
        <v>4867</v>
      </c>
      <c r="LIA1017" s="16" t="s">
        <v>4867</v>
      </c>
      <c r="LIB1017" s="16" t="s">
        <v>4867</v>
      </c>
      <c r="LIC1017" s="16" t="s">
        <v>4867</v>
      </c>
      <c r="LID1017" s="16" t="s">
        <v>4867</v>
      </c>
      <c r="LIE1017" s="16" t="s">
        <v>4867</v>
      </c>
      <c r="LIF1017" s="16" t="s">
        <v>4867</v>
      </c>
      <c r="LIG1017" s="16" t="s">
        <v>4867</v>
      </c>
      <c r="LIH1017" s="16" t="s">
        <v>4867</v>
      </c>
      <c r="LII1017" s="16" t="s">
        <v>4867</v>
      </c>
      <c r="LIJ1017" s="16" t="s">
        <v>4867</v>
      </c>
      <c r="LIK1017" s="16" t="s">
        <v>4867</v>
      </c>
      <c r="LIL1017" s="16" t="s">
        <v>4867</v>
      </c>
      <c r="LIM1017" s="16" t="s">
        <v>4867</v>
      </c>
      <c r="LIN1017" s="16" t="s">
        <v>4867</v>
      </c>
      <c r="LIO1017" s="16" t="s">
        <v>4867</v>
      </c>
      <c r="LIP1017" s="16" t="s">
        <v>4867</v>
      </c>
      <c r="LIQ1017" s="16" t="s">
        <v>4867</v>
      </c>
      <c r="LIR1017" s="16" t="s">
        <v>4867</v>
      </c>
      <c r="LIS1017" s="16" t="s">
        <v>4867</v>
      </c>
      <c r="LIT1017" s="16" t="s">
        <v>4867</v>
      </c>
      <c r="LIU1017" s="16" t="s">
        <v>4867</v>
      </c>
      <c r="LIV1017" s="16" t="s">
        <v>4867</v>
      </c>
      <c r="LIW1017" s="16" t="s">
        <v>4867</v>
      </c>
      <c r="LIX1017" s="16" t="s">
        <v>4867</v>
      </c>
      <c r="LIY1017" s="16" t="s">
        <v>4867</v>
      </c>
      <c r="LIZ1017" s="16" t="s">
        <v>4867</v>
      </c>
      <c r="LJA1017" s="16" t="s">
        <v>4867</v>
      </c>
      <c r="LJB1017" s="16" t="s">
        <v>4867</v>
      </c>
      <c r="LJC1017" s="16" t="s">
        <v>4867</v>
      </c>
      <c r="LJD1017" s="16" t="s">
        <v>4867</v>
      </c>
      <c r="LJE1017" s="16" t="s">
        <v>4867</v>
      </c>
      <c r="LJF1017" s="16" t="s">
        <v>4867</v>
      </c>
      <c r="LJG1017" s="16" t="s">
        <v>4867</v>
      </c>
      <c r="LJH1017" s="16" t="s">
        <v>4867</v>
      </c>
      <c r="LJI1017" s="16" t="s">
        <v>4867</v>
      </c>
      <c r="LJJ1017" s="16" t="s">
        <v>4867</v>
      </c>
      <c r="LJK1017" s="16" t="s">
        <v>4867</v>
      </c>
      <c r="LJL1017" s="16" t="s">
        <v>4867</v>
      </c>
      <c r="LJM1017" s="16" t="s">
        <v>4867</v>
      </c>
      <c r="LJN1017" s="16" t="s">
        <v>4867</v>
      </c>
      <c r="LJO1017" s="16" t="s">
        <v>4867</v>
      </c>
      <c r="LJP1017" s="16" t="s">
        <v>4867</v>
      </c>
      <c r="LJQ1017" s="16" t="s">
        <v>4867</v>
      </c>
      <c r="LJR1017" s="16" t="s">
        <v>4867</v>
      </c>
      <c r="LJS1017" s="16" t="s">
        <v>4867</v>
      </c>
      <c r="LJT1017" s="16" t="s">
        <v>4867</v>
      </c>
      <c r="LJU1017" s="16" t="s">
        <v>4867</v>
      </c>
      <c r="LJV1017" s="16" t="s">
        <v>4867</v>
      </c>
      <c r="LJW1017" s="16" t="s">
        <v>4867</v>
      </c>
      <c r="LJX1017" s="16" t="s">
        <v>4867</v>
      </c>
      <c r="LJY1017" s="16" t="s">
        <v>4867</v>
      </c>
      <c r="LJZ1017" s="16" t="s">
        <v>4867</v>
      </c>
      <c r="LKA1017" s="16" t="s">
        <v>4867</v>
      </c>
      <c r="LKB1017" s="16" t="s">
        <v>4867</v>
      </c>
      <c r="LKC1017" s="16" t="s">
        <v>4867</v>
      </c>
      <c r="LKD1017" s="16" t="s">
        <v>4867</v>
      </c>
      <c r="LKE1017" s="16" t="s">
        <v>4867</v>
      </c>
      <c r="LKF1017" s="16" t="s">
        <v>4867</v>
      </c>
      <c r="LKG1017" s="16" t="s">
        <v>4867</v>
      </c>
      <c r="LKH1017" s="16" t="s">
        <v>4867</v>
      </c>
      <c r="LKI1017" s="16" t="s">
        <v>4867</v>
      </c>
      <c r="LKJ1017" s="16" t="s">
        <v>4867</v>
      </c>
      <c r="LKK1017" s="16" t="s">
        <v>4867</v>
      </c>
      <c r="LKL1017" s="16" t="s">
        <v>4867</v>
      </c>
      <c r="LKM1017" s="16" t="s">
        <v>4867</v>
      </c>
      <c r="LKN1017" s="16" t="s">
        <v>4867</v>
      </c>
      <c r="LKO1017" s="16" t="s">
        <v>4867</v>
      </c>
      <c r="LKP1017" s="16" t="s">
        <v>4867</v>
      </c>
      <c r="LKQ1017" s="16" t="s">
        <v>4867</v>
      </c>
      <c r="LKR1017" s="16" t="s">
        <v>4867</v>
      </c>
      <c r="LKS1017" s="16" t="s">
        <v>4867</v>
      </c>
      <c r="LKT1017" s="16" t="s">
        <v>4867</v>
      </c>
      <c r="LKU1017" s="16" t="s">
        <v>4867</v>
      </c>
      <c r="LKV1017" s="16" t="s">
        <v>4867</v>
      </c>
      <c r="LKW1017" s="16" t="s">
        <v>4867</v>
      </c>
      <c r="LKX1017" s="16" t="s">
        <v>4867</v>
      </c>
      <c r="LKY1017" s="16" t="s">
        <v>4867</v>
      </c>
      <c r="LKZ1017" s="16" t="s">
        <v>4867</v>
      </c>
      <c r="LLA1017" s="16" t="s">
        <v>4867</v>
      </c>
      <c r="LLB1017" s="16" t="s">
        <v>4867</v>
      </c>
      <c r="LLC1017" s="16" t="s">
        <v>4867</v>
      </c>
      <c r="LLD1017" s="16" t="s">
        <v>4867</v>
      </c>
      <c r="LLE1017" s="16" t="s">
        <v>4867</v>
      </c>
      <c r="LLF1017" s="16" t="s">
        <v>4867</v>
      </c>
      <c r="LLG1017" s="16" t="s">
        <v>4867</v>
      </c>
      <c r="LLH1017" s="16" t="s">
        <v>4867</v>
      </c>
      <c r="LLI1017" s="16" t="s">
        <v>4867</v>
      </c>
      <c r="LLJ1017" s="16" t="s">
        <v>4867</v>
      </c>
      <c r="LLK1017" s="16" t="s">
        <v>4867</v>
      </c>
      <c r="LLL1017" s="16" t="s">
        <v>4867</v>
      </c>
      <c r="LLM1017" s="16" t="s">
        <v>4867</v>
      </c>
      <c r="LLN1017" s="16" t="s">
        <v>4867</v>
      </c>
      <c r="LLO1017" s="16" t="s">
        <v>4867</v>
      </c>
      <c r="LLP1017" s="16" t="s">
        <v>4867</v>
      </c>
      <c r="LLQ1017" s="16" t="s">
        <v>4867</v>
      </c>
      <c r="LLR1017" s="16" t="s">
        <v>4867</v>
      </c>
      <c r="LLS1017" s="16" t="s">
        <v>4867</v>
      </c>
      <c r="LLT1017" s="16" t="s">
        <v>4867</v>
      </c>
      <c r="LLU1017" s="16" t="s">
        <v>4867</v>
      </c>
      <c r="LLV1017" s="16" t="s">
        <v>4867</v>
      </c>
      <c r="LLW1017" s="16" t="s">
        <v>4867</v>
      </c>
      <c r="LLX1017" s="16" t="s">
        <v>4867</v>
      </c>
      <c r="LLY1017" s="16" t="s">
        <v>4867</v>
      </c>
      <c r="LLZ1017" s="16" t="s">
        <v>4867</v>
      </c>
      <c r="LMA1017" s="16" t="s">
        <v>4867</v>
      </c>
      <c r="LMB1017" s="16" t="s">
        <v>4867</v>
      </c>
      <c r="LMC1017" s="16" t="s">
        <v>4867</v>
      </c>
      <c r="LMD1017" s="16" t="s">
        <v>4867</v>
      </c>
      <c r="LME1017" s="16" t="s">
        <v>4867</v>
      </c>
      <c r="LMF1017" s="16" t="s">
        <v>4867</v>
      </c>
      <c r="LMG1017" s="16" t="s">
        <v>4867</v>
      </c>
      <c r="LMH1017" s="16" t="s">
        <v>4867</v>
      </c>
      <c r="LMI1017" s="16" t="s">
        <v>4867</v>
      </c>
      <c r="LMJ1017" s="16" t="s">
        <v>4867</v>
      </c>
      <c r="LMK1017" s="16" t="s">
        <v>4867</v>
      </c>
      <c r="LML1017" s="16" t="s">
        <v>4867</v>
      </c>
      <c r="LMM1017" s="16" t="s">
        <v>4867</v>
      </c>
      <c r="LMN1017" s="16" t="s">
        <v>4867</v>
      </c>
      <c r="LMO1017" s="16" t="s">
        <v>4867</v>
      </c>
      <c r="LMP1017" s="16" t="s">
        <v>4867</v>
      </c>
      <c r="LMQ1017" s="16" t="s">
        <v>4867</v>
      </c>
      <c r="LMR1017" s="16" t="s">
        <v>4867</v>
      </c>
      <c r="LMS1017" s="16" t="s">
        <v>4867</v>
      </c>
      <c r="LMT1017" s="16" t="s">
        <v>4867</v>
      </c>
      <c r="LMU1017" s="16" t="s">
        <v>4867</v>
      </c>
      <c r="LMV1017" s="16" t="s">
        <v>4867</v>
      </c>
      <c r="LMW1017" s="16" t="s">
        <v>4867</v>
      </c>
      <c r="LMX1017" s="16" t="s">
        <v>4867</v>
      </c>
      <c r="LMY1017" s="16" t="s">
        <v>4867</v>
      </c>
      <c r="LMZ1017" s="16" t="s">
        <v>4867</v>
      </c>
      <c r="LNA1017" s="16" t="s">
        <v>4867</v>
      </c>
      <c r="LNB1017" s="16" t="s">
        <v>4867</v>
      </c>
      <c r="LNC1017" s="16" t="s">
        <v>4867</v>
      </c>
      <c r="LND1017" s="16" t="s">
        <v>4867</v>
      </c>
      <c r="LNE1017" s="16" t="s">
        <v>4867</v>
      </c>
      <c r="LNF1017" s="16" t="s">
        <v>4867</v>
      </c>
      <c r="LNG1017" s="16" t="s">
        <v>4867</v>
      </c>
      <c r="LNH1017" s="16" t="s">
        <v>4867</v>
      </c>
      <c r="LNI1017" s="16" t="s">
        <v>4867</v>
      </c>
      <c r="LNJ1017" s="16" t="s">
        <v>4867</v>
      </c>
      <c r="LNK1017" s="16" t="s">
        <v>4867</v>
      </c>
      <c r="LNL1017" s="16" t="s">
        <v>4867</v>
      </c>
      <c r="LNM1017" s="16" t="s">
        <v>4867</v>
      </c>
      <c r="LNN1017" s="16" t="s">
        <v>4867</v>
      </c>
      <c r="LNO1017" s="16" t="s">
        <v>4867</v>
      </c>
      <c r="LNP1017" s="16" t="s">
        <v>4867</v>
      </c>
      <c r="LNQ1017" s="16" t="s">
        <v>4867</v>
      </c>
      <c r="LNR1017" s="16" t="s">
        <v>4867</v>
      </c>
      <c r="LNS1017" s="16" t="s">
        <v>4867</v>
      </c>
      <c r="LNT1017" s="16" t="s">
        <v>4867</v>
      </c>
      <c r="LNU1017" s="16" t="s">
        <v>4867</v>
      </c>
      <c r="LNV1017" s="16" t="s">
        <v>4867</v>
      </c>
      <c r="LNW1017" s="16" t="s">
        <v>4867</v>
      </c>
      <c r="LNX1017" s="16" t="s">
        <v>4867</v>
      </c>
      <c r="LNY1017" s="16" t="s">
        <v>4867</v>
      </c>
      <c r="LNZ1017" s="16" t="s">
        <v>4867</v>
      </c>
      <c r="LOA1017" s="16" t="s">
        <v>4867</v>
      </c>
      <c r="LOB1017" s="16" t="s">
        <v>4867</v>
      </c>
      <c r="LOC1017" s="16" t="s">
        <v>4867</v>
      </c>
      <c r="LOD1017" s="16" t="s">
        <v>4867</v>
      </c>
      <c r="LOE1017" s="16" t="s">
        <v>4867</v>
      </c>
      <c r="LOF1017" s="16" t="s">
        <v>4867</v>
      </c>
      <c r="LOG1017" s="16" t="s">
        <v>4867</v>
      </c>
      <c r="LOH1017" s="16" t="s">
        <v>4867</v>
      </c>
      <c r="LOI1017" s="16" t="s">
        <v>4867</v>
      </c>
      <c r="LOJ1017" s="16" t="s">
        <v>4867</v>
      </c>
      <c r="LOK1017" s="16" t="s">
        <v>4867</v>
      </c>
      <c r="LOL1017" s="16" t="s">
        <v>4867</v>
      </c>
      <c r="LOM1017" s="16" t="s">
        <v>4867</v>
      </c>
      <c r="LON1017" s="16" t="s">
        <v>4867</v>
      </c>
      <c r="LOO1017" s="16" t="s">
        <v>4867</v>
      </c>
      <c r="LOP1017" s="16" t="s">
        <v>4867</v>
      </c>
      <c r="LOQ1017" s="16" t="s">
        <v>4867</v>
      </c>
      <c r="LOR1017" s="16" t="s">
        <v>4867</v>
      </c>
      <c r="LOS1017" s="16" t="s">
        <v>4867</v>
      </c>
      <c r="LOT1017" s="16" t="s">
        <v>4867</v>
      </c>
      <c r="LOU1017" s="16" t="s">
        <v>4867</v>
      </c>
      <c r="LOV1017" s="16" t="s">
        <v>4867</v>
      </c>
      <c r="LOW1017" s="16" t="s">
        <v>4867</v>
      </c>
      <c r="LOX1017" s="16" t="s">
        <v>4867</v>
      </c>
      <c r="LOY1017" s="16" t="s">
        <v>4867</v>
      </c>
      <c r="LOZ1017" s="16" t="s">
        <v>4867</v>
      </c>
      <c r="LPA1017" s="16" t="s">
        <v>4867</v>
      </c>
      <c r="LPB1017" s="16" t="s">
        <v>4867</v>
      </c>
      <c r="LPC1017" s="16" t="s">
        <v>4867</v>
      </c>
      <c r="LPD1017" s="16" t="s">
        <v>4867</v>
      </c>
      <c r="LPE1017" s="16" t="s">
        <v>4867</v>
      </c>
      <c r="LPF1017" s="16" t="s">
        <v>4867</v>
      </c>
      <c r="LPG1017" s="16" t="s">
        <v>4867</v>
      </c>
      <c r="LPH1017" s="16" t="s">
        <v>4867</v>
      </c>
      <c r="LPI1017" s="16" t="s">
        <v>4867</v>
      </c>
      <c r="LPJ1017" s="16" t="s">
        <v>4867</v>
      </c>
      <c r="LPK1017" s="16" t="s">
        <v>4867</v>
      </c>
      <c r="LPL1017" s="16" t="s">
        <v>4867</v>
      </c>
      <c r="LPM1017" s="16" t="s">
        <v>4867</v>
      </c>
      <c r="LPN1017" s="16" t="s">
        <v>4867</v>
      </c>
      <c r="LPO1017" s="16" t="s">
        <v>4867</v>
      </c>
      <c r="LPP1017" s="16" t="s">
        <v>4867</v>
      </c>
      <c r="LPQ1017" s="16" t="s">
        <v>4867</v>
      </c>
      <c r="LPR1017" s="16" t="s">
        <v>4867</v>
      </c>
      <c r="LPS1017" s="16" t="s">
        <v>4867</v>
      </c>
      <c r="LPT1017" s="16" t="s">
        <v>4867</v>
      </c>
      <c r="LPU1017" s="16" t="s">
        <v>4867</v>
      </c>
      <c r="LPV1017" s="16" t="s">
        <v>4867</v>
      </c>
      <c r="LPW1017" s="16" t="s">
        <v>4867</v>
      </c>
      <c r="LPX1017" s="16" t="s">
        <v>4867</v>
      </c>
      <c r="LPY1017" s="16" t="s">
        <v>4867</v>
      </c>
      <c r="LPZ1017" s="16" t="s">
        <v>4867</v>
      </c>
      <c r="LQA1017" s="16" t="s">
        <v>4867</v>
      </c>
      <c r="LQB1017" s="16" t="s">
        <v>4867</v>
      </c>
      <c r="LQC1017" s="16" t="s">
        <v>4867</v>
      </c>
      <c r="LQD1017" s="16" t="s">
        <v>4867</v>
      </c>
      <c r="LQE1017" s="16" t="s">
        <v>4867</v>
      </c>
      <c r="LQF1017" s="16" t="s">
        <v>4867</v>
      </c>
      <c r="LQG1017" s="16" t="s">
        <v>4867</v>
      </c>
      <c r="LQH1017" s="16" t="s">
        <v>4867</v>
      </c>
      <c r="LQI1017" s="16" t="s">
        <v>4867</v>
      </c>
      <c r="LQJ1017" s="16" t="s">
        <v>4867</v>
      </c>
      <c r="LQK1017" s="16" t="s">
        <v>4867</v>
      </c>
      <c r="LQL1017" s="16" t="s">
        <v>4867</v>
      </c>
      <c r="LQM1017" s="16" t="s">
        <v>4867</v>
      </c>
      <c r="LQN1017" s="16" t="s">
        <v>4867</v>
      </c>
      <c r="LQO1017" s="16" t="s">
        <v>4867</v>
      </c>
      <c r="LQP1017" s="16" t="s">
        <v>4867</v>
      </c>
      <c r="LQQ1017" s="16" t="s">
        <v>4867</v>
      </c>
      <c r="LQR1017" s="16" t="s">
        <v>4867</v>
      </c>
      <c r="LQS1017" s="16" t="s">
        <v>4867</v>
      </c>
      <c r="LQT1017" s="16" t="s">
        <v>4867</v>
      </c>
      <c r="LQU1017" s="16" t="s">
        <v>4867</v>
      </c>
      <c r="LQV1017" s="16" t="s">
        <v>4867</v>
      </c>
      <c r="LQW1017" s="16" t="s">
        <v>4867</v>
      </c>
      <c r="LQX1017" s="16" t="s">
        <v>4867</v>
      </c>
      <c r="LQY1017" s="16" t="s">
        <v>4867</v>
      </c>
      <c r="LQZ1017" s="16" t="s">
        <v>4867</v>
      </c>
      <c r="LRA1017" s="16" t="s">
        <v>4867</v>
      </c>
      <c r="LRB1017" s="16" t="s">
        <v>4867</v>
      </c>
      <c r="LRC1017" s="16" t="s">
        <v>4867</v>
      </c>
      <c r="LRD1017" s="16" t="s">
        <v>4867</v>
      </c>
      <c r="LRE1017" s="16" t="s">
        <v>4867</v>
      </c>
      <c r="LRF1017" s="16" t="s">
        <v>4867</v>
      </c>
      <c r="LRG1017" s="16" t="s">
        <v>4867</v>
      </c>
      <c r="LRH1017" s="16" t="s">
        <v>4867</v>
      </c>
      <c r="LRI1017" s="16" t="s">
        <v>4867</v>
      </c>
      <c r="LRJ1017" s="16" t="s">
        <v>4867</v>
      </c>
      <c r="LRK1017" s="16" t="s">
        <v>4867</v>
      </c>
      <c r="LRL1017" s="16" t="s">
        <v>4867</v>
      </c>
      <c r="LRM1017" s="16" t="s">
        <v>4867</v>
      </c>
      <c r="LRN1017" s="16" t="s">
        <v>4867</v>
      </c>
      <c r="LRO1017" s="16" t="s">
        <v>4867</v>
      </c>
      <c r="LRP1017" s="16" t="s">
        <v>4867</v>
      </c>
      <c r="LRQ1017" s="16" t="s">
        <v>4867</v>
      </c>
      <c r="LRR1017" s="16" t="s">
        <v>4867</v>
      </c>
      <c r="LRS1017" s="16" t="s">
        <v>4867</v>
      </c>
      <c r="LRT1017" s="16" t="s">
        <v>4867</v>
      </c>
      <c r="LRU1017" s="16" t="s">
        <v>4867</v>
      </c>
      <c r="LRV1017" s="16" t="s">
        <v>4867</v>
      </c>
      <c r="LRW1017" s="16" t="s">
        <v>4867</v>
      </c>
      <c r="LRX1017" s="16" t="s">
        <v>4867</v>
      </c>
      <c r="LRY1017" s="16" t="s">
        <v>4867</v>
      </c>
      <c r="LRZ1017" s="16" t="s">
        <v>4867</v>
      </c>
      <c r="LSA1017" s="16" t="s">
        <v>4867</v>
      </c>
      <c r="LSB1017" s="16" t="s">
        <v>4867</v>
      </c>
      <c r="LSC1017" s="16" t="s">
        <v>4867</v>
      </c>
      <c r="LSD1017" s="16" t="s">
        <v>4867</v>
      </c>
      <c r="LSE1017" s="16" t="s">
        <v>4867</v>
      </c>
      <c r="LSF1017" s="16" t="s">
        <v>4867</v>
      </c>
      <c r="LSG1017" s="16" t="s">
        <v>4867</v>
      </c>
      <c r="LSH1017" s="16" t="s">
        <v>4867</v>
      </c>
      <c r="LSI1017" s="16" t="s">
        <v>4867</v>
      </c>
      <c r="LSJ1017" s="16" t="s">
        <v>4867</v>
      </c>
      <c r="LSK1017" s="16" t="s">
        <v>4867</v>
      </c>
      <c r="LSL1017" s="16" t="s">
        <v>4867</v>
      </c>
      <c r="LSM1017" s="16" t="s">
        <v>4867</v>
      </c>
      <c r="LSN1017" s="16" t="s">
        <v>4867</v>
      </c>
      <c r="LSO1017" s="16" t="s">
        <v>4867</v>
      </c>
      <c r="LSP1017" s="16" t="s">
        <v>4867</v>
      </c>
      <c r="LSQ1017" s="16" t="s">
        <v>4867</v>
      </c>
      <c r="LSR1017" s="16" t="s">
        <v>4867</v>
      </c>
      <c r="LSS1017" s="16" t="s">
        <v>4867</v>
      </c>
      <c r="LST1017" s="16" t="s">
        <v>4867</v>
      </c>
      <c r="LSU1017" s="16" t="s">
        <v>4867</v>
      </c>
      <c r="LSV1017" s="16" t="s">
        <v>4867</v>
      </c>
      <c r="LSW1017" s="16" t="s">
        <v>4867</v>
      </c>
      <c r="LSX1017" s="16" t="s">
        <v>4867</v>
      </c>
      <c r="LSY1017" s="16" t="s">
        <v>4867</v>
      </c>
      <c r="LSZ1017" s="16" t="s">
        <v>4867</v>
      </c>
      <c r="LTA1017" s="16" t="s">
        <v>4867</v>
      </c>
      <c r="LTB1017" s="16" t="s">
        <v>4867</v>
      </c>
      <c r="LTC1017" s="16" t="s">
        <v>4867</v>
      </c>
      <c r="LTD1017" s="16" t="s">
        <v>4867</v>
      </c>
      <c r="LTE1017" s="16" t="s">
        <v>4867</v>
      </c>
      <c r="LTF1017" s="16" t="s">
        <v>4867</v>
      </c>
      <c r="LTG1017" s="16" t="s">
        <v>4867</v>
      </c>
      <c r="LTH1017" s="16" t="s">
        <v>4867</v>
      </c>
      <c r="LTI1017" s="16" t="s">
        <v>4867</v>
      </c>
      <c r="LTJ1017" s="16" t="s">
        <v>4867</v>
      </c>
      <c r="LTK1017" s="16" t="s">
        <v>4867</v>
      </c>
      <c r="LTL1017" s="16" t="s">
        <v>4867</v>
      </c>
      <c r="LTM1017" s="16" t="s">
        <v>4867</v>
      </c>
      <c r="LTN1017" s="16" t="s">
        <v>4867</v>
      </c>
      <c r="LTO1017" s="16" t="s">
        <v>4867</v>
      </c>
      <c r="LTP1017" s="16" t="s">
        <v>4867</v>
      </c>
      <c r="LTQ1017" s="16" t="s">
        <v>4867</v>
      </c>
      <c r="LTR1017" s="16" t="s">
        <v>4867</v>
      </c>
      <c r="LTS1017" s="16" t="s">
        <v>4867</v>
      </c>
      <c r="LTT1017" s="16" t="s">
        <v>4867</v>
      </c>
      <c r="LTU1017" s="16" t="s">
        <v>4867</v>
      </c>
      <c r="LTV1017" s="16" t="s">
        <v>4867</v>
      </c>
      <c r="LTW1017" s="16" t="s">
        <v>4867</v>
      </c>
      <c r="LTX1017" s="16" t="s">
        <v>4867</v>
      </c>
      <c r="LTY1017" s="16" t="s">
        <v>4867</v>
      </c>
      <c r="LTZ1017" s="16" t="s">
        <v>4867</v>
      </c>
      <c r="LUA1017" s="16" t="s">
        <v>4867</v>
      </c>
      <c r="LUB1017" s="16" t="s">
        <v>4867</v>
      </c>
      <c r="LUC1017" s="16" t="s">
        <v>4867</v>
      </c>
      <c r="LUD1017" s="16" t="s">
        <v>4867</v>
      </c>
      <c r="LUE1017" s="16" t="s">
        <v>4867</v>
      </c>
      <c r="LUF1017" s="16" t="s">
        <v>4867</v>
      </c>
      <c r="LUG1017" s="16" t="s">
        <v>4867</v>
      </c>
      <c r="LUH1017" s="16" t="s">
        <v>4867</v>
      </c>
      <c r="LUI1017" s="16" t="s">
        <v>4867</v>
      </c>
      <c r="LUJ1017" s="16" t="s">
        <v>4867</v>
      </c>
      <c r="LUK1017" s="16" t="s">
        <v>4867</v>
      </c>
      <c r="LUL1017" s="16" t="s">
        <v>4867</v>
      </c>
      <c r="LUM1017" s="16" t="s">
        <v>4867</v>
      </c>
      <c r="LUN1017" s="16" t="s">
        <v>4867</v>
      </c>
      <c r="LUO1017" s="16" t="s">
        <v>4867</v>
      </c>
      <c r="LUP1017" s="16" t="s">
        <v>4867</v>
      </c>
      <c r="LUQ1017" s="16" t="s">
        <v>4867</v>
      </c>
      <c r="LUR1017" s="16" t="s">
        <v>4867</v>
      </c>
      <c r="LUS1017" s="16" t="s">
        <v>4867</v>
      </c>
      <c r="LUT1017" s="16" t="s">
        <v>4867</v>
      </c>
      <c r="LUU1017" s="16" t="s">
        <v>4867</v>
      </c>
      <c r="LUV1017" s="16" t="s">
        <v>4867</v>
      </c>
      <c r="LUW1017" s="16" t="s">
        <v>4867</v>
      </c>
      <c r="LUX1017" s="16" t="s">
        <v>4867</v>
      </c>
      <c r="LUY1017" s="16" t="s">
        <v>4867</v>
      </c>
      <c r="LUZ1017" s="16" t="s">
        <v>4867</v>
      </c>
      <c r="LVA1017" s="16" t="s">
        <v>4867</v>
      </c>
      <c r="LVB1017" s="16" t="s">
        <v>4867</v>
      </c>
      <c r="LVC1017" s="16" t="s">
        <v>4867</v>
      </c>
      <c r="LVD1017" s="16" t="s">
        <v>4867</v>
      </c>
      <c r="LVE1017" s="16" t="s">
        <v>4867</v>
      </c>
      <c r="LVF1017" s="16" t="s">
        <v>4867</v>
      </c>
      <c r="LVG1017" s="16" t="s">
        <v>4867</v>
      </c>
      <c r="LVH1017" s="16" t="s">
        <v>4867</v>
      </c>
      <c r="LVI1017" s="16" t="s">
        <v>4867</v>
      </c>
      <c r="LVJ1017" s="16" t="s">
        <v>4867</v>
      </c>
      <c r="LVK1017" s="16" t="s">
        <v>4867</v>
      </c>
      <c r="LVL1017" s="16" t="s">
        <v>4867</v>
      </c>
      <c r="LVM1017" s="16" t="s">
        <v>4867</v>
      </c>
      <c r="LVN1017" s="16" t="s">
        <v>4867</v>
      </c>
      <c r="LVO1017" s="16" t="s">
        <v>4867</v>
      </c>
      <c r="LVP1017" s="16" t="s">
        <v>4867</v>
      </c>
      <c r="LVQ1017" s="16" t="s">
        <v>4867</v>
      </c>
      <c r="LVR1017" s="16" t="s">
        <v>4867</v>
      </c>
      <c r="LVS1017" s="16" t="s">
        <v>4867</v>
      </c>
      <c r="LVT1017" s="16" t="s">
        <v>4867</v>
      </c>
      <c r="LVU1017" s="16" t="s">
        <v>4867</v>
      </c>
      <c r="LVV1017" s="16" t="s">
        <v>4867</v>
      </c>
      <c r="LVW1017" s="16" t="s">
        <v>4867</v>
      </c>
      <c r="LVX1017" s="16" t="s">
        <v>4867</v>
      </c>
      <c r="LVY1017" s="16" t="s">
        <v>4867</v>
      </c>
      <c r="LVZ1017" s="16" t="s">
        <v>4867</v>
      </c>
      <c r="LWA1017" s="16" t="s">
        <v>4867</v>
      </c>
      <c r="LWB1017" s="16" t="s">
        <v>4867</v>
      </c>
      <c r="LWC1017" s="16" t="s">
        <v>4867</v>
      </c>
      <c r="LWD1017" s="16" t="s">
        <v>4867</v>
      </c>
      <c r="LWE1017" s="16" t="s">
        <v>4867</v>
      </c>
      <c r="LWF1017" s="16" t="s">
        <v>4867</v>
      </c>
      <c r="LWG1017" s="16" t="s">
        <v>4867</v>
      </c>
      <c r="LWH1017" s="16" t="s">
        <v>4867</v>
      </c>
      <c r="LWI1017" s="16" t="s">
        <v>4867</v>
      </c>
      <c r="LWJ1017" s="16" t="s">
        <v>4867</v>
      </c>
      <c r="LWK1017" s="16" t="s">
        <v>4867</v>
      </c>
      <c r="LWL1017" s="16" t="s">
        <v>4867</v>
      </c>
      <c r="LWM1017" s="16" t="s">
        <v>4867</v>
      </c>
      <c r="LWN1017" s="16" t="s">
        <v>4867</v>
      </c>
      <c r="LWO1017" s="16" t="s">
        <v>4867</v>
      </c>
      <c r="LWP1017" s="16" t="s">
        <v>4867</v>
      </c>
      <c r="LWQ1017" s="16" t="s">
        <v>4867</v>
      </c>
      <c r="LWR1017" s="16" t="s">
        <v>4867</v>
      </c>
      <c r="LWS1017" s="16" t="s">
        <v>4867</v>
      </c>
      <c r="LWT1017" s="16" t="s">
        <v>4867</v>
      </c>
      <c r="LWU1017" s="16" t="s">
        <v>4867</v>
      </c>
      <c r="LWV1017" s="16" t="s">
        <v>4867</v>
      </c>
      <c r="LWW1017" s="16" t="s">
        <v>4867</v>
      </c>
      <c r="LWX1017" s="16" t="s">
        <v>4867</v>
      </c>
      <c r="LWY1017" s="16" t="s">
        <v>4867</v>
      </c>
      <c r="LWZ1017" s="16" t="s">
        <v>4867</v>
      </c>
      <c r="LXA1017" s="16" t="s">
        <v>4867</v>
      </c>
      <c r="LXB1017" s="16" t="s">
        <v>4867</v>
      </c>
      <c r="LXC1017" s="16" t="s">
        <v>4867</v>
      </c>
      <c r="LXD1017" s="16" t="s">
        <v>4867</v>
      </c>
      <c r="LXE1017" s="16" t="s">
        <v>4867</v>
      </c>
      <c r="LXF1017" s="16" t="s">
        <v>4867</v>
      </c>
      <c r="LXG1017" s="16" t="s">
        <v>4867</v>
      </c>
      <c r="LXH1017" s="16" t="s">
        <v>4867</v>
      </c>
      <c r="LXI1017" s="16" t="s">
        <v>4867</v>
      </c>
      <c r="LXJ1017" s="16" t="s">
        <v>4867</v>
      </c>
      <c r="LXK1017" s="16" t="s">
        <v>4867</v>
      </c>
      <c r="LXL1017" s="16" t="s">
        <v>4867</v>
      </c>
      <c r="LXM1017" s="16" t="s">
        <v>4867</v>
      </c>
      <c r="LXN1017" s="16" t="s">
        <v>4867</v>
      </c>
      <c r="LXO1017" s="16" t="s">
        <v>4867</v>
      </c>
      <c r="LXP1017" s="16" t="s">
        <v>4867</v>
      </c>
      <c r="LXQ1017" s="16" t="s">
        <v>4867</v>
      </c>
      <c r="LXR1017" s="16" t="s">
        <v>4867</v>
      </c>
      <c r="LXS1017" s="16" t="s">
        <v>4867</v>
      </c>
      <c r="LXT1017" s="16" t="s">
        <v>4867</v>
      </c>
      <c r="LXU1017" s="16" t="s">
        <v>4867</v>
      </c>
      <c r="LXV1017" s="16" t="s">
        <v>4867</v>
      </c>
      <c r="LXW1017" s="16" t="s">
        <v>4867</v>
      </c>
      <c r="LXX1017" s="16" t="s">
        <v>4867</v>
      </c>
      <c r="LXY1017" s="16" t="s">
        <v>4867</v>
      </c>
      <c r="LXZ1017" s="16" t="s">
        <v>4867</v>
      </c>
      <c r="LYA1017" s="16" t="s">
        <v>4867</v>
      </c>
      <c r="LYB1017" s="16" t="s">
        <v>4867</v>
      </c>
      <c r="LYC1017" s="16" t="s">
        <v>4867</v>
      </c>
      <c r="LYD1017" s="16" t="s">
        <v>4867</v>
      </c>
      <c r="LYE1017" s="16" t="s">
        <v>4867</v>
      </c>
      <c r="LYF1017" s="16" t="s">
        <v>4867</v>
      </c>
      <c r="LYG1017" s="16" t="s">
        <v>4867</v>
      </c>
      <c r="LYH1017" s="16" t="s">
        <v>4867</v>
      </c>
      <c r="LYI1017" s="16" t="s">
        <v>4867</v>
      </c>
      <c r="LYJ1017" s="16" t="s">
        <v>4867</v>
      </c>
      <c r="LYK1017" s="16" t="s">
        <v>4867</v>
      </c>
      <c r="LYL1017" s="16" t="s">
        <v>4867</v>
      </c>
      <c r="LYM1017" s="16" t="s">
        <v>4867</v>
      </c>
      <c r="LYN1017" s="16" t="s">
        <v>4867</v>
      </c>
      <c r="LYO1017" s="16" t="s">
        <v>4867</v>
      </c>
      <c r="LYP1017" s="16" t="s">
        <v>4867</v>
      </c>
      <c r="LYQ1017" s="16" t="s">
        <v>4867</v>
      </c>
      <c r="LYR1017" s="16" t="s">
        <v>4867</v>
      </c>
      <c r="LYS1017" s="16" t="s">
        <v>4867</v>
      </c>
      <c r="LYT1017" s="16" t="s">
        <v>4867</v>
      </c>
      <c r="LYU1017" s="16" t="s">
        <v>4867</v>
      </c>
      <c r="LYV1017" s="16" t="s">
        <v>4867</v>
      </c>
      <c r="LYW1017" s="16" t="s">
        <v>4867</v>
      </c>
      <c r="LYX1017" s="16" t="s">
        <v>4867</v>
      </c>
      <c r="LYY1017" s="16" t="s">
        <v>4867</v>
      </c>
      <c r="LYZ1017" s="16" t="s">
        <v>4867</v>
      </c>
      <c r="LZA1017" s="16" t="s">
        <v>4867</v>
      </c>
      <c r="LZB1017" s="16" t="s">
        <v>4867</v>
      </c>
      <c r="LZC1017" s="16" t="s">
        <v>4867</v>
      </c>
      <c r="LZD1017" s="16" t="s">
        <v>4867</v>
      </c>
      <c r="LZE1017" s="16" t="s">
        <v>4867</v>
      </c>
      <c r="LZF1017" s="16" t="s">
        <v>4867</v>
      </c>
      <c r="LZG1017" s="16" t="s">
        <v>4867</v>
      </c>
      <c r="LZH1017" s="16" t="s">
        <v>4867</v>
      </c>
      <c r="LZI1017" s="16" t="s">
        <v>4867</v>
      </c>
      <c r="LZJ1017" s="16" t="s">
        <v>4867</v>
      </c>
      <c r="LZK1017" s="16" t="s">
        <v>4867</v>
      </c>
      <c r="LZL1017" s="16" t="s">
        <v>4867</v>
      </c>
      <c r="LZM1017" s="16" t="s">
        <v>4867</v>
      </c>
      <c r="LZN1017" s="16" t="s">
        <v>4867</v>
      </c>
      <c r="LZO1017" s="16" t="s">
        <v>4867</v>
      </c>
      <c r="LZP1017" s="16" t="s">
        <v>4867</v>
      </c>
      <c r="LZQ1017" s="16" t="s">
        <v>4867</v>
      </c>
      <c r="LZR1017" s="16" t="s">
        <v>4867</v>
      </c>
      <c r="LZS1017" s="16" t="s">
        <v>4867</v>
      </c>
      <c r="LZT1017" s="16" t="s">
        <v>4867</v>
      </c>
      <c r="LZU1017" s="16" t="s">
        <v>4867</v>
      </c>
      <c r="LZV1017" s="16" t="s">
        <v>4867</v>
      </c>
      <c r="LZW1017" s="16" t="s">
        <v>4867</v>
      </c>
      <c r="LZX1017" s="16" t="s">
        <v>4867</v>
      </c>
      <c r="LZY1017" s="16" t="s">
        <v>4867</v>
      </c>
      <c r="LZZ1017" s="16" t="s">
        <v>4867</v>
      </c>
      <c r="MAA1017" s="16" t="s">
        <v>4867</v>
      </c>
      <c r="MAB1017" s="16" t="s">
        <v>4867</v>
      </c>
      <c r="MAC1017" s="16" t="s">
        <v>4867</v>
      </c>
      <c r="MAD1017" s="16" t="s">
        <v>4867</v>
      </c>
      <c r="MAE1017" s="16" t="s">
        <v>4867</v>
      </c>
      <c r="MAF1017" s="16" t="s">
        <v>4867</v>
      </c>
      <c r="MAG1017" s="16" t="s">
        <v>4867</v>
      </c>
      <c r="MAH1017" s="16" t="s">
        <v>4867</v>
      </c>
      <c r="MAI1017" s="16" t="s">
        <v>4867</v>
      </c>
      <c r="MAJ1017" s="16" t="s">
        <v>4867</v>
      </c>
      <c r="MAK1017" s="16" t="s">
        <v>4867</v>
      </c>
      <c r="MAL1017" s="16" t="s">
        <v>4867</v>
      </c>
      <c r="MAM1017" s="16" t="s">
        <v>4867</v>
      </c>
      <c r="MAN1017" s="16" t="s">
        <v>4867</v>
      </c>
      <c r="MAO1017" s="16" t="s">
        <v>4867</v>
      </c>
      <c r="MAP1017" s="16" t="s">
        <v>4867</v>
      </c>
      <c r="MAQ1017" s="16" t="s">
        <v>4867</v>
      </c>
      <c r="MAR1017" s="16" t="s">
        <v>4867</v>
      </c>
      <c r="MAS1017" s="16" t="s">
        <v>4867</v>
      </c>
      <c r="MAT1017" s="16" t="s">
        <v>4867</v>
      </c>
      <c r="MAU1017" s="16" t="s">
        <v>4867</v>
      </c>
      <c r="MAV1017" s="16" t="s">
        <v>4867</v>
      </c>
      <c r="MAW1017" s="16" t="s">
        <v>4867</v>
      </c>
      <c r="MAX1017" s="16" t="s">
        <v>4867</v>
      </c>
      <c r="MAY1017" s="16" t="s">
        <v>4867</v>
      </c>
      <c r="MAZ1017" s="16" t="s">
        <v>4867</v>
      </c>
      <c r="MBA1017" s="16" t="s">
        <v>4867</v>
      </c>
      <c r="MBB1017" s="16" t="s">
        <v>4867</v>
      </c>
      <c r="MBC1017" s="16" t="s">
        <v>4867</v>
      </c>
      <c r="MBD1017" s="16" t="s">
        <v>4867</v>
      </c>
      <c r="MBE1017" s="16" t="s">
        <v>4867</v>
      </c>
      <c r="MBF1017" s="16" t="s">
        <v>4867</v>
      </c>
      <c r="MBG1017" s="16" t="s">
        <v>4867</v>
      </c>
      <c r="MBH1017" s="16" t="s">
        <v>4867</v>
      </c>
      <c r="MBI1017" s="16" t="s">
        <v>4867</v>
      </c>
      <c r="MBJ1017" s="16" t="s">
        <v>4867</v>
      </c>
      <c r="MBK1017" s="16" t="s">
        <v>4867</v>
      </c>
      <c r="MBL1017" s="16" t="s">
        <v>4867</v>
      </c>
      <c r="MBM1017" s="16" t="s">
        <v>4867</v>
      </c>
      <c r="MBN1017" s="16" t="s">
        <v>4867</v>
      </c>
      <c r="MBO1017" s="16" t="s">
        <v>4867</v>
      </c>
      <c r="MBP1017" s="16" t="s">
        <v>4867</v>
      </c>
      <c r="MBQ1017" s="16" t="s">
        <v>4867</v>
      </c>
      <c r="MBR1017" s="16" t="s">
        <v>4867</v>
      </c>
      <c r="MBS1017" s="16" t="s">
        <v>4867</v>
      </c>
      <c r="MBT1017" s="16" t="s">
        <v>4867</v>
      </c>
      <c r="MBU1017" s="16" t="s">
        <v>4867</v>
      </c>
      <c r="MBV1017" s="16" t="s">
        <v>4867</v>
      </c>
      <c r="MBW1017" s="16" t="s">
        <v>4867</v>
      </c>
      <c r="MBX1017" s="16" t="s">
        <v>4867</v>
      </c>
      <c r="MBY1017" s="16" t="s">
        <v>4867</v>
      </c>
      <c r="MBZ1017" s="16" t="s">
        <v>4867</v>
      </c>
      <c r="MCA1017" s="16" t="s">
        <v>4867</v>
      </c>
      <c r="MCB1017" s="16" t="s">
        <v>4867</v>
      </c>
      <c r="MCC1017" s="16" t="s">
        <v>4867</v>
      </c>
      <c r="MCD1017" s="16" t="s">
        <v>4867</v>
      </c>
      <c r="MCE1017" s="16" t="s">
        <v>4867</v>
      </c>
      <c r="MCF1017" s="16" t="s">
        <v>4867</v>
      </c>
      <c r="MCG1017" s="16" t="s">
        <v>4867</v>
      </c>
      <c r="MCH1017" s="16" t="s">
        <v>4867</v>
      </c>
      <c r="MCI1017" s="16" t="s">
        <v>4867</v>
      </c>
      <c r="MCJ1017" s="16" t="s">
        <v>4867</v>
      </c>
      <c r="MCK1017" s="16" t="s">
        <v>4867</v>
      </c>
      <c r="MCL1017" s="16" t="s">
        <v>4867</v>
      </c>
      <c r="MCM1017" s="16" t="s">
        <v>4867</v>
      </c>
      <c r="MCN1017" s="16" t="s">
        <v>4867</v>
      </c>
      <c r="MCO1017" s="16" t="s">
        <v>4867</v>
      </c>
      <c r="MCP1017" s="16" t="s">
        <v>4867</v>
      </c>
      <c r="MCQ1017" s="16" t="s">
        <v>4867</v>
      </c>
      <c r="MCR1017" s="16" t="s">
        <v>4867</v>
      </c>
      <c r="MCS1017" s="16" t="s">
        <v>4867</v>
      </c>
      <c r="MCT1017" s="16" t="s">
        <v>4867</v>
      </c>
      <c r="MCU1017" s="16" t="s">
        <v>4867</v>
      </c>
      <c r="MCV1017" s="16" t="s">
        <v>4867</v>
      </c>
      <c r="MCW1017" s="16" t="s">
        <v>4867</v>
      </c>
      <c r="MCX1017" s="16" t="s">
        <v>4867</v>
      </c>
      <c r="MCY1017" s="16" t="s">
        <v>4867</v>
      </c>
      <c r="MCZ1017" s="16" t="s">
        <v>4867</v>
      </c>
      <c r="MDA1017" s="16" t="s">
        <v>4867</v>
      </c>
      <c r="MDB1017" s="16" t="s">
        <v>4867</v>
      </c>
      <c r="MDC1017" s="16" t="s">
        <v>4867</v>
      </c>
      <c r="MDD1017" s="16" t="s">
        <v>4867</v>
      </c>
      <c r="MDE1017" s="16" t="s">
        <v>4867</v>
      </c>
      <c r="MDF1017" s="16" t="s">
        <v>4867</v>
      </c>
      <c r="MDG1017" s="16" t="s">
        <v>4867</v>
      </c>
      <c r="MDH1017" s="16" t="s">
        <v>4867</v>
      </c>
      <c r="MDI1017" s="16" t="s">
        <v>4867</v>
      </c>
      <c r="MDJ1017" s="16" t="s">
        <v>4867</v>
      </c>
      <c r="MDK1017" s="16" t="s">
        <v>4867</v>
      </c>
      <c r="MDL1017" s="16" t="s">
        <v>4867</v>
      </c>
      <c r="MDM1017" s="16" t="s">
        <v>4867</v>
      </c>
      <c r="MDN1017" s="16" t="s">
        <v>4867</v>
      </c>
      <c r="MDO1017" s="16" t="s">
        <v>4867</v>
      </c>
      <c r="MDP1017" s="16" t="s">
        <v>4867</v>
      </c>
      <c r="MDQ1017" s="16" t="s">
        <v>4867</v>
      </c>
      <c r="MDR1017" s="16" t="s">
        <v>4867</v>
      </c>
      <c r="MDS1017" s="16" t="s">
        <v>4867</v>
      </c>
      <c r="MDT1017" s="16" t="s">
        <v>4867</v>
      </c>
      <c r="MDU1017" s="16" t="s">
        <v>4867</v>
      </c>
      <c r="MDV1017" s="16" t="s">
        <v>4867</v>
      </c>
      <c r="MDW1017" s="16" t="s">
        <v>4867</v>
      </c>
      <c r="MDX1017" s="16" t="s">
        <v>4867</v>
      </c>
      <c r="MDY1017" s="16" t="s">
        <v>4867</v>
      </c>
      <c r="MDZ1017" s="16" t="s">
        <v>4867</v>
      </c>
      <c r="MEA1017" s="16" t="s">
        <v>4867</v>
      </c>
      <c r="MEB1017" s="16" t="s">
        <v>4867</v>
      </c>
      <c r="MEC1017" s="16" t="s">
        <v>4867</v>
      </c>
      <c r="MED1017" s="16" t="s">
        <v>4867</v>
      </c>
      <c r="MEE1017" s="16" t="s">
        <v>4867</v>
      </c>
      <c r="MEF1017" s="16" t="s">
        <v>4867</v>
      </c>
      <c r="MEG1017" s="16" t="s">
        <v>4867</v>
      </c>
      <c r="MEH1017" s="16" t="s">
        <v>4867</v>
      </c>
      <c r="MEI1017" s="16" t="s">
        <v>4867</v>
      </c>
      <c r="MEJ1017" s="16" t="s">
        <v>4867</v>
      </c>
      <c r="MEK1017" s="16" t="s">
        <v>4867</v>
      </c>
      <c r="MEL1017" s="16" t="s">
        <v>4867</v>
      </c>
      <c r="MEM1017" s="16" t="s">
        <v>4867</v>
      </c>
      <c r="MEN1017" s="16" t="s">
        <v>4867</v>
      </c>
      <c r="MEO1017" s="16" t="s">
        <v>4867</v>
      </c>
      <c r="MEP1017" s="16" t="s">
        <v>4867</v>
      </c>
      <c r="MEQ1017" s="16" t="s">
        <v>4867</v>
      </c>
      <c r="MER1017" s="16" t="s">
        <v>4867</v>
      </c>
      <c r="MES1017" s="16" t="s">
        <v>4867</v>
      </c>
      <c r="MET1017" s="16" t="s">
        <v>4867</v>
      </c>
      <c r="MEU1017" s="16" t="s">
        <v>4867</v>
      </c>
      <c r="MEV1017" s="16" t="s">
        <v>4867</v>
      </c>
      <c r="MEW1017" s="16" t="s">
        <v>4867</v>
      </c>
      <c r="MEX1017" s="16" t="s">
        <v>4867</v>
      </c>
      <c r="MEY1017" s="16" t="s">
        <v>4867</v>
      </c>
      <c r="MEZ1017" s="16" t="s">
        <v>4867</v>
      </c>
      <c r="MFA1017" s="16" t="s">
        <v>4867</v>
      </c>
      <c r="MFB1017" s="16" t="s">
        <v>4867</v>
      </c>
      <c r="MFC1017" s="16" t="s">
        <v>4867</v>
      </c>
      <c r="MFD1017" s="16" t="s">
        <v>4867</v>
      </c>
      <c r="MFE1017" s="16" t="s">
        <v>4867</v>
      </c>
      <c r="MFF1017" s="16" t="s">
        <v>4867</v>
      </c>
      <c r="MFG1017" s="16" t="s">
        <v>4867</v>
      </c>
      <c r="MFH1017" s="16" t="s">
        <v>4867</v>
      </c>
      <c r="MFI1017" s="16" t="s">
        <v>4867</v>
      </c>
      <c r="MFJ1017" s="16" t="s">
        <v>4867</v>
      </c>
      <c r="MFK1017" s="16" t="s">
        <v>4867</v>
      </c>
      <c r="MFL1017" s="16" t="s">
        <v>4867</v>
      </c>
      <c r="MFM1017" s="16" t="s">
        <v>4867</v>
      </c>
      <c r="MFN1017" s="16" t="s">
        <v>4867</v>
      </c>
      <c r="MFO1017" s="16" t="s">
        <v>4867</v>
      </c>
      <c r="MFP1017" s="16" t="s">
        <v>4867</v>
      </c>
      <c r="MFQ1017" s="16" t="s">
        <v>4867</v>
      </c>
      <c r="MFR1017" s="16" t="s">
        <v>4867</v>
      </c>
      <c r="MFS1017" s="16" t="s">
        <v>4867</v>
      </c>
      <c r="MFT1017" s="16" t="s">
        <v>4867</v>
      </c>
      <c r="MFU1017" s="16" t="s">
        <v>4867</v>
      </c>
      <c r="MFV1017" s="16" t="s">
        <v>4867</v>
      </c>
      <c r="MFW1017" s="16" t="s">
        <v>4867</v>
      </c>
      <c r="MFX1017" s="16" t="s">
        <v>4867</v>
      </c>
      <c r="MFY1017" s="16" t="s">
        <v>4867</v>
      </c>
      <c r="MFZ1017" s="16" t="s">
        <v>4867</v>
      </c>
      <c r="MGA1017" s="16" t="s">
        <v>4867</v>
      </c>
      <c r="MGB1017" s="16" t="s">
        <v>4867</v>
      </c>
      <c r="MGC1017" s="16" t="s">
        <v>4867</v>
      </c>
      <c r="MGD1017" s="16" t="s">
        <v>4867</v>
      </c>
      <c r="MGE1017" s="16" t="s">
        <v>4867</v>
      </c>
      <c r="MGF1017" s="16" t="s">
        <v>4867</v>
      </c>
      <c r="MGG1017" s="16" t="s">
        <v>4867</v>
      </c>
      <c r="MGH1017" s="16" t="s">
        <v>4867</v>
      </c>
      <c r="MGI1017" s="16" t="s">
        <v>4867</v>
      </c>
      <c r="MGJ1017" s="16" t="s">
        <v>4867</v>
      </c>
      <c r="MGK1017" s="16" t="s">
        <v>4867</v>
      </c>
      <c r="MGL1017" s="16" t="s">
        <v>4867</v>
      </c>
      <c r="MGM1017" s="16" t="s">
        <v>4867</v>
      </c>
      <c r="MGN1017" s="16" t="s">
        <v>4867</v>
      </c>
      <c r="MGO1017" s="16" t="s">
        <v>4867</v>
      </c>
      <c r="MGP1017" s="16" t="s">
        <v>4867</v>
      </c>
      <c r="MGQ1017" s="16" t="s">
        <v>4867</v>
      </c>
      <c r="MGR1017" s="16" t="s">
        <v>4867</v>
      </c>
      <c r="MGS1017" s="16" t="s">
        <v>4867</v>
      </c>
      <c r="MGT1017" s="16" t="s">
        <v>4867</v>
      </c>
      <c r="MGU1017" s="16" t="s">
        <v>4867</v>
      </c>
      <c r="MGV1017" s="16" t="s">
        <v>4867</v>
      </c>
      <c r="MGW1017" s="16" t="s">
        <v>4867</v>
      </c>
      <c r="MGX1017" s="16" t="s">
        <v>4867</v>
      </c>
      <c r="MGY1017" s="16" t="s">
        <v>4867</v>
      </c>
      <c r="MGZ1017" s="16" t="s">
        <v>4867</v>
      </c>
      <c r="MHA1017" s="16" t="s">
        <v>4867</v>
      </c>
      <c r="MHB1017" s="16" t="s">
        <v>4867</v>
      </c>
      <c r="MHC1017" s="16" t="s">
        <v>4867</v>
      </c>
      <c r="MHD1017" s="16" t="s">
        <v>4867</v>
      </c>
      <c r="MHE1017" s="16" t="s">
        <v>4867</v>
      </c>
      <c r="MHF1017" s="16" t="s">
        <v>4867</v>
      </c>
      <c r="MHG1017" s="16" t="s">
        <v>4867</v>
      </c>
      <c r="MHH1017" s="16" t="s">
        <v>4867</v>
      </c>
      <c r="MHI1017" s="16" t="s">
        <v>4867</v>
      </c>
      <c r="MHJ1017" s="16" t="s">
        <v>4867</v>
      </c>
      <c r="MHK1017" s="16" t="s">
        <v>4867</v>
      </c>
      <c r="MHL1017" s="16" t="s">
        <v>4867</v>
      </c>
      <c r="MHM1017" s="16" t="s">
        <v>4867</v>
      </c>
      <c r="MHN1017" s="16" t="s">
        <v>4867</v>
      </c>
      <c r="MHO1017" s="16" t="s">
        <v>4867</v>
      </c>
      <c r="MHP1017" s="16" t="s">
        <v>4867</v>
      </c>
      <c r="MHQ1017" s="16" t="s">
        <v>4867</v>
      </c>
      <c r="MHR1017" s="16" t="s">
        <v>4867</v>
      </c>
      <c r="MHS1017" s="16" t="s">
        <v>4867</v>
      </c>
      <c r="MHT1017" s="16" t="s">
        <v>4867</v>
      </c>
      <c r="MHU1017" s="16" t="s">
        <v>4867</v>
      </c>
      <c r="MHV1017" s="16" t="s">
        <v>4867</v>
      </c>
      <c r="MHW1017" s="16" t="s">
        <v>4867</v>
      </c>
      <c r="MHX1017" s="16" t="s">
        <v>4867</v>
      </c>
      <c r="MHY1017" s="16" t="s">
        <v>4867</v>
      </c>
      <c r="MHZ1017" s="16" t="s">
        <v>4867</v>
      </c>
      <c r="MIA1017" s="16" t="s">
        <v>4867</v>
      </c>
      <c r="MIB1017" s="16" t="s">
        <v>4867</v>
      </c>
      <c r="MIC1017" s="16" t="s">
        <v>4867</v>
      </c>
      <c r="MID1017" s="16" t="s">
        <v>4867</v>
      </c>
      <c r="MIE1017" s="16" t="s">
        <v>4867</v>
      </c>
      <c r="MIF1017" s="16" t="s">
        <v>4867</v>
      </c>
      <c r="MIG1017" s="16" t="s">
        <v>4867</v>
      </c>
      <c r="MIH1017" s="16" t="s">
        <v>4867</v>
      </c>
      <c r="MII1017" s="16" t="s">
        <v>4867</v>
      </c>
      <c r="MIJ1017" s="16" t="s">
        <v>4867</v>
      </c>
      <c r="MIK1017" s="16" t="s">
        <v>4867</v>
      </c>
      <c r="MIL1017" s="16" t="s">
        <v>4867</v>
      </c>
      <c r="MIM1017" s="16" t="s">
        <v>4867</v>
      </c>
      <c r="MIN1017" s="16" t="s">
        <v>4867</v>
      </c>
      <c r="MIO1017" s="16" t="s">
        <v>4867</v>
      </c>
      <c r="MIP1017" s="16" t="s">
        <v>4867</v>
      </c>
      <c r="MIQ1017" s="16" t="s">
        <v>4867</v>
      </c>
      <c r="MIR1017" s="16" t="s">
        <v>4867</v>
      </c>
      <c r="MIS1017" s="16" t="s">
        <v>4867</v>
      </c>
      <c r="MIT1017" s="16" t="s">
        <v>4867</v>
      </c>
      <c r="MIU1017" s="16" t="s">
        <v>4867</v>
      </c>
      <c r="MIV1017" s="16" t="s">
        <v>4867</v>
      </c>
      <c r="MIW1017" s="16" t="s">
        <v>4867</v>
      </c>
      <c r="MIX1017" s="16" t="s">
        <v>4867</v>
      </c>
      <c r="MIY1017" s="16" t="s">
        <v>4867</v>
      </c>
      <c r="MIZ1017" s="16" t="s">
        <v>4867</v>
      </c>
      <c r="MJA1017" s="16" t="s">
        <v>4867</v>
      </c>
      <c r="MJB1017" s="16" t="s">
        <v>4867</v>
      </c>
      <c r="MJC1017" s="16" t="s">
        <v>4867</v>
      </c>
      <c r="MJD1017" s="16" t="s">
        <v>4867</v>
      </c>
      <c r="MJE1017" s="16" t="s">
        <v>4867</v>
      </c>
      <c r="MJF1017" s="16" t="s">
        <v>4867</v>
      </c>
      <c r="MJG1017" s="16" t="s">
        <v>4867</v>
      </c>
      <c r="MJH1017" s="16" t="s">
        <v>4867</v>
      </c>
      <c r="MJI1017" s="16" t="s">
        <v>4867</v>
      </c>
      <c r="MJJ1017" s="16" t="s">
        <v>4867</v>
      </c>
      <c r="MJK1017" s="16" t="s">
        <v>4867</v>
      </c>
      <c r="MJL1017" s="16" t="s">
        <v>4867</v>
      </c>
      <c r="MJM1017" s="16" t="s">
        <v>4867</v>
      </c>
      <c r="MJN1017" s="16" t="s">
        <v>4867</v>
      </c>
      <c r="MJO1017" s="16" t="s">
        <v>4867</v>
      </c>
      <c r="MJP1017" s="16" t="s">
        <v>4867</v>
      </c>
      <c r="MJQ1017" s="16" t="s">
        <v>4867</v>
      </c>
      <c r="MJR1017" s="16" t="s">
        <v>4867</v>
      </c>
      <c r="MJS1017" s="16" t="s">
        <v>4867</v>
      </c>
      <c r="MJT1017" s="16" t="s">
        <v>4867</v>
      </c>
      <c r="MJU1017" s="16" t="s">
        <v>4867</v>
      </c>
      <c r="MJV1017" s="16" t="s">
        <v>4867</v>
      </c>
      <c r="MJW1017" s="16" t="s">
        <v>4867</v>
      </c>
      <c r="MJX1017" s="16" t="s">
        <v>4867</v>
      </c>
      <c r="MJY1017" s="16" t="s">
        <v>4867</v>
      </c>
      <c r="MJZ1017" s="16" t="s">
        <v>4867</v>
      </c>
      <c r="MKA1017" s="16" t="s">
        <v>4867</v>
      </c>
      <c r="MKB1017" s="16" t="s">
        <v>4867</v>
      </c>
      <c r="MKC1017" s="16" t="s">
        <v>4867</v>
      </c>
      <c r="MKD1017" s="16" t="s">
        <v>4867</v>
      </c>
      <c r="MKE1017" s="16" t="s">
        <v>4867</v>
      </c>
      <c r="MKF1017" s="16" t="s">
        <v>4867</v>
      </c>
      <c r="MKG1017" s="16" t="s">
        <v>4867</v>
      </c>
      <c r="MKH1017" s="16" t="s">
        <v>4867</v>
      </c>
      <c r="MKI1017" s="16" t="s">
        <v>4867</v>
      </c>
      <c r="MKJ1017" s="16" t="s">
        <v>4867</v>
      </c>
      <c r="MKK1017" s="16" t="s">
        <v>4867</v>
      </c>
      <c r="MKL1017" s="16" t="s">
        <v>4867</v>
      </c>
      <c r="MKM1017" s="16" t="s">
        <v>4867</v>
      </c>
      <c r="MKN1017" s="16" t="s">
        <v>4867</v>
      </c>
      <c r="MKO1017" s="16" t="s">
        <v>4867</v>
      </c>
      <c r="MKP1017" s="16" t="s">
        <v>4867</v>
      </c>
      <c r="MKQ1017" s="16" t="s">
        <v>4867</v>
      </c>
      <c r="MKR1017" s="16" t="s">
        <v>4867</v>
      </c>
      <c r="MKS1017" s="16" t="s">
        <v>4867</v>
      </c>
      <c r="MKT1017" s="16" t="s">
        <v>4867</v>
      </c>
      <c r="MKU1017" s="16" t="s">
        <v>4867</v>
      </c>
      <c r="MKV1017" s="16" t="s">
        <v>4867</v>
      </c>
      <c r="MKW1017" s="16" t="s">
        <v>4867</v>
      </c>
      <c r="MKX1017" s="16" t="s">
        <v>4867</v>
      </c>
      <c r="MKY1017" s="16" t="s">
        <v>4867</v>
      </c>
      <c r="MKZ1017" s="16" t="s">
        <v>4867</v>
      </c>
      <c r="MLA1017" s="16" t="s">
        <v>4867</v>
      </c>
      <c r="MLB1017" s="16" t="s">
        <v>4867</v>
      </c>
      <c r="MLC1017" s="16" t="s">
        <v>4867</v>
      </c>
      <c r="MLD1017" s="16" t="s">
        <v>4867</v>
      </c>
      <c r="MLE1017" s="16" t="s">
        <v>4867</v>
      </c>
      <c r="MLF1017" s="16" t="s">
        <v>4867</v>
      </c>
      <c r="MLG1017" s="16" t="s">
        <v>4867</v>
      </c>
      <c r="MLH1017" s="16" t="s">
        <v>4867</v>
      </c>
      <c r="MLI1017" s="16" t="s">
        <v>4867</v>
      </c>
      <c r="MLJ1017" s="16" t="s">
        <v>4867</v>
      </c>
      <c r="MLK1017" s="16" t="s">
        <v>4867</v>
      </c>
      <c r="MLL1017" s="16" t="s">
        <v>4867</v>
      </c>
      <c r="MLM1017" s="16" t="s">
        <v>4867</v>
      </c>
      <c r="MLN1017" s="16" t="s">
        <v>4867</v>
      </c>
      <c r="MLO1017" s="16" t="s">
        <v>4867</v>
      </c>
      <c r="MLP1017" s="16" t="s">
        <v>4867</v>
      </c>
      <c r="MLQ1017" s="16" t="s">
        <v>4867</v>
      </c>
      <c r="MLR1017" s="16" t="s">
        <v>4867</v>
      </c>
      <c r="MLS1017" s="16" t="s">
        <v>4867</v>
      </c>
      <c r="MLT1017" s="16" t="s">
        <v>4867</v>
      </c>
      <c r="MLU1017" s="16" t="s">
        <v>4867</v>
      </c>
      <c r="MLV1017" s="16" t="s">
        <v>4867</v>
      </c>
      <c r="MLW1017" s="16" t="s">
        <v>4867</v>
      </c>
      <c r="MLX1017" s="16" t="s">
        <v>4867</v>
      </c>
      <c r="MLY1017" s="16" t="s">
        <v>4867</v>
      </c>
      <c r="MLZ1017" s="16" t="s">
        <v>4867</v>
      </c>
      <c r="MMA1017" s="16" t="s">
        <v>4867</v>
      </c>
      <c r="MMB1017" s="16" t="s">
        <v>4867</v>
      </c>
      <c r="MMC1017" s="16" t="s">
        <v>4867</v>
      </c>
      <c r="MMD1017" s="16" t="s">
        <v>4867</v>
      </c>
      <c r="MME1017" s="16" t="s">
        <v>4867</v>
      </c>
      <c r="MMF1017" s="16" t="s">
        <v>4867</v>
      </c>
      <c r="MMG1017" s="16" t="s">
        <v>4867</v>
      </c>
      <c r="MMH1017" s="16" t="s">
        <v>4867</v>
      </c>
      <c r="MMI1017" s="16" t="s">
        <v>4867</v>
      </c>
      <c r="MMJ1017" s="16" t="s">
        <v>4867</v>
      </c>
      <c r="MMK1017" s="16" t="s">
        <v>4867</v>
      </c>
      <c r="MML1017" s="16" t="s">
        <v>4867</v>
      </c>
      <c r="MMM1017" s="16" t="s">
        <v>4867</v>
      </c>
      <c r="MMN1017" s="16" t="s">
        <v>4867</v>
      </c>
      <c r="MMO1017" s="16" t="s">
        <v>4867</v>
      </c>
      <c r="MMP1017" s="16" t="s">
        <v>4867</v>
      </c>
      <c r="MMQ1017" s="16" t="s">
        <v>4867</v>
      </c>
      <c r="MMR1017" s="16" t="s">
        <v>4867</v>
      </c>
      <c r="MMS1017" s="16" t="s">
        <v>4867</v>
      </c>
      <c r="MMT1017" s="16" t="s">
        <v>4867</v>
      </c>
      <c r="MMU1017" s="16" t="s">
        <v>4867</v>
      </c>
      <c r="MMV1017" s="16" t="s">
        <v>4867</v>
      </c>
      <c r="MMW1017" s="16" t="s">
        <v>4867</v>
      </c>
      <c r="MMX1017" s="16" t="s">
        <v>4867</v>
      </c>
      <c r="MMY1017" s="16" t="s">
        <v>4867</v>
      </c>
      <c r="MMZ1017" s="16" t="s">
        <v>4867</v>
      </c>
      <c r="MNA1017" s="16" t="s">
        <v>4867</v>
      </c>
      <c r="MNB1017" s="16" t="s">
        <v>4867</v>
      </c>
      <c r="MNC1017" s="16" t="s">
        <v>4867</v>
      </c>
      <c r="MND1017" s="16" t="s">
        <v>4867</v>
      </c>
      <c r="MNE1017" s="16" t="s">
        <v>4867</v>
      </c>
      <c r="MNF1017" s="16" t="s">
        <v>4867</v>
      </c>
      <c r="MNG1017" s="16" t="s">
        <v>4867</v>
      </c>
      <c r="MNH1017" s="16" t="s">
        <v>4867</v>
      </c>
      <c r="MNI1017" s="16" t="s">
        <v>4867</v>
      </c>
      <c r="MNJ1017" s="16" t="s">
        <v>4867</v>
      </c>
      <c r="MNK1017" s="16" t="s">
        <v>4867</v>
      </c>
      <c r="MNL1017" s="16" t="s">
        <v>4867</v>
      </c>
      <c r="MNM1017" s="16" t="s">
        <v>4867</v>
      </c>
      <c r="MNN1017" s="16" t="s">
        <v>4867</v>
      </c>
      <c r="MNO1017" s="16" t="s">
        <v>4867</v>
      </c>
      <c r="MNP1017" s="16" t="s">
        <v>4867</v>
      </c>
      <c r="MNQ1017" s="16" t="s">
        <v>4867</v>
      </c>
      <c r="MNR1017" s="16" t="s">
        <v>4867</v>
      </c>
      <c r="MNS1017" s="16" t="s">
        <v>4867</v>
      </c>
      <c r="MNT1017" s="16" t="s">
        <v>4867</v>
      </c>
      <c r="MNU1017" s="16" t="s">
        <v>4867</v>
      </c>
      <c r="MNV1017" s="16" t="s">
        <v>4867</v>
      </c>
      <c r="MNW1017" s="16" t="s">
        <v>4867</v>
      </c>
      <c r="MNX1017" s="16" t="s">
        <v>4867</v>
      </c>
      <c r="MNY1017" s="16" t="s">
        <v>4867</v>
      </c>
      <c r="MNZ1017" s="16" t="s">
        <v>4867</v>
      </c>
      <c r="MOA1017" s="16" t="s">
        <v>4867</v>
      </c>
      <c r="MOB1017" s="16" t="s">
        <v>4867</v>
      </c>
      <c r="MOC1017" s="16" t="s">
        <v>4867</v>
      </c>
      <c r="MOD1017" s="16" t="s">
        <v>4867</v>
      </c>
      <c r="MOE1017" s="16" t="s">
        <v>4867</v>
      </c>
      <c r="MOF1017" s="16" t="s">
        <v>4867</v>
      </c>
      <c r="MOG1017" s="16" t="s">
        <v>4867</v>
      </c>
      <c r="MOH1017" s="16" t="s">
        <v>4867</v>
      </c>
      <c r="MOI1017" s="16" t="s">
        <v>4867</v>
      </c>
      <c r="MOJ1017" s="16" t="s">
        <v>4867</v>
      </c>
      <c r="MOK1017" s="16" t="s">
        <v>4867</v>
      </c>
      <c r="MOL1017" s="16" t="s">
        <v>4867</v>
      </c>
      <c r="MOM1017" s="16" t="s">
        <v>4867</v>
      </c>
      <c r="MON1017" s="16" t="s">
        <v>4867</v>
      </c>
      <c r="MOO1017" s="16" t="s">
        <v>4867</v>
      </c>
      <c r="MOP1017" s="16" t="s">
        <v>4867</v>
      </c>
      <c r="MOQ1017" s="16" t="s">
        <v>4867</v>
      </c>
      <c r="MOR1017" s="16" t="s">
        <v>4867</v>
      </c>
      <c r="MOS1017" s="16" t="s">
        <v>4867</v>
      </c>
      <c r="MOT1017" s="16" t="s">
        <v>4867</v>
      </c>
      <c r="MOU1017" s="16" t="s">
        <v>4867</v>
      </c>
      <c r="MOV1017" s="16" t="s">
        <v>4867</v>
      </c>
      <c r="MOW1017" s="16" t="s">
        <v>4867</v>
      </c>
      <c r="MOX1017" s="16" t="s">
        <v>4867</v>
      </c>
      <c r="MOY1017" s="16" t="s">
        <v>4867</v>
      </c>
      <c r="MOZ1017" s="16" t="s">
        <v>4867</v>
      </c>
      <c r="MPA1017" s="16" t="s">
        <v>4867</v>
      </c>
      <c r="MPB1017" s="16" t="s">
        <v>4867</v>
      </c>
      <c r="MPC1017" s="16" t="s">
        <v>4867</v>
      </c>
      <c r="MPD1017" s="16" t="s">
        <v>4867</v>
      </c>
      <c r="MPE1017" s="16" t="s">
        <v>4867</v>
      </c>
      <c r="MPF1017" s="16" t="s">
        <v>4867</v>
      </c>
      <c r="MPG1017" s="16" t="s">
        <v>4867</v>
      </c>
      <c r="MPH1017" s="16" t="s">
        <v>4867</v>
      </c>
      <c r="MPI1017" s="16" t="s">
        <v>4867</v>
      </c>
      <c r="MPJ1017" s="16" t="s">
        <v>4867</v>
      </c>
      <c r="MPK1017" s="16" t="s">
        <v>4867</v>
      </c>
      <c r="MPL1017" s="16" t="s">
        <v>4867</v>
      </c>
      <c r="MPM1017" s="16" t="s">
        <v>4867</v>
      </c>
      <c r="MPN1017" s="16" t="s">
        <v>4867</v>
      </c>
      <c r="MPO1017" s="16" t="s">
        <v>4867</v>
      </c>
      <c r="MPP1017" s="16" t="s">
        <v>4867</v>
      </c>
      <c r="MPQ1017" s="16" t="s">
        <v>4867</v>
      </c>
      <c r="MPR1017" s="16" t="s">
        <v>4867</v>
      </c>
      <c r="MPS1017" s="16" t="s">
        <v>4867</v>
      </c>
      <c r="MPT1017" s="16" t="s">
        <v>4867</v>
      </c>
      <c r="MPU1017" s="16" t="s">
        <v>4867</v>
      </c>
      <c r="MPV1017" s="16" t="s">
        <v>4867</v>
      </c>
      <c r="MPW1017" s="16" t="s">
        <v>4867</v>
      </c>
      <c r="MPX1017" s="16" t="s">
        <v>4867</v>
      </c>
      <c r="MPY1017" s="16" t="s">
        <v>4867</v>
      </c>
      <c r="MPZ1017" s="16" t="s">
        <v>4867</v>
      </c>
      <c r="MQA1017" s="16" t="s">
        <v>4867</v>
      </c>
      <c r="MQB1017" s="16" t="s">
        <v>4867</v>
      </c>
      <c r="MQC1017" s="16" t="s">
        <v>4867</v>
      </c>
      <c r="MQD1017" s="16" t="s">
        <v>4867</v>
      </c>
      <c r="MQE1017" s="16" t="s">
        <v>4867</v>
      </c>
      <c r="MQF1017" s="16" t="s">
        <v>4867</v>
      </c>
      <c r="MQG1017" s="16" t="s">
        <v>4867</v>
      </c>
      <c r="MQH1017" s="16" t="s">
        <v>4867</v>
      </c>
      <c r="MQI1017" s="16" t="s">
        <v>4867</v>
      </c>
      <c r="MQJ1017" s="16" t="s">
        <v>4867</v>
      </c>
      <c r="MQK1017" s="16" t="s">
        <v>4867</v>
      </c>
      <c r="MQL1017" s="16" t="s">
        <v>4867</v>
      </c>
      <c r="MQM1017" s="16" t="s">
        <v>4867</v>
      </c>
      <c r="MQN1017" s="16" t="s">
        <v>4867</v>
      </c>
      <c r="MQO1017" s="16" t="s">
        <v>4867</v>
      </c>
      <c r="MQP1017" s="16" t="s">
        <v>4867</v>
      </c>
      <c r="MQQ1017" s="16" t="s">
        <v>4867</v>
      </c>
      <c r="MQR1017" s="16" t="s">
        <v>4867</v>
      </c>
      <c r="MQS1017" s="16" t="s">
        <v>4867</v>
      </c>
      <c r="MQT1017" s="16" t="s">
        <v>4867</v>
      </c>
      <c r="MQU1017" s="16" t="s">
        <v>4867</v>
      </c>
      <c r="MQV1017" s="16" t="s">
        <v>4867</v>
      </c>
      <c r="MQW1017" s="16" t="s">
        <v>4867</v>
      </c>
      <c r="MQX1017" s="16" t="s">
        <v>4867</v>
      </c>
      <c r="MQY1017" s="16" t="s">
        <v>4867</v>
      </c>
      <c r="MQZ1017" s="16" t="s">
        <v>4867</v>
      </c>
      <c r="MRA1017" s="16" t="s">
        <v>4867</v>
      </c>
      <c r="MRB1017" s="16" t="s">
        <v>4867</v>
      </c>
      <c r="MRC1017" s="16" t="s">
        <v>4867</v>
      </c>
      <c r="MRD1017" s="16" t="s">
        <v>4867</v>
      </c>
      <c r="MRE1017" s="16" t="s">
        <v>4867</v>
      </c>
      <c r="MRF1017" s="16" t="s">
        <v>4867</v>
      </c>
      <c r="MRG1017" s="16" t="s">
        <v>4867</v>
      </c>
      <c r="MRH1017" s="16" t="s">
        <v>4867</v>
      </c>
      <c r="MRI1017" s="16" t="s">
        <v>4867</v>
      </c>
      <c r="MRJ1017" s="16" t="s">
        <v>4867</v>
      </c>
      <c r="MRK1017" s="16" t="s">
        <v>4867</v>
      </c>
      <c r="MRL1017" s="16" t="s">
        <v>4867</v>
      </c>
      <c r="MRM1017" s="16" t="s">
        <v>4867</v>
      </c>
      <c r="MRN1017" s="16" t="s">
        <v>4867</v>
      </c>
      <c r="MRO1017" s="16" t="s">
        <v>4867</v>
      </c>
      <c r="MRP1017" s="16" t="s">
        <v>4867</v>
      </c>
      <c r="MRQ1017" s="16" t="s">
        <v>4867</v>
      </c>
      <c r="MRR1017" s="16" t="s">
        <v>4867</v>
      </c>
      <c r="MRS1017" s="16" t="s">
        <v>4867</v>
      </c>
      <c r="MRT1017" s="16" t="s">
        <v>4867</v>
      </c>
      <c r="MRU1017" s="16" t="s">
        <v>4867</v>
      </c>
      <c r="MRV1017" s="16" t="s">
        <v>4867</v>
      </c>
      <c r="MRW1017" s="16" t="s">
        <v>4867</v>
      </c>
      <c r="MRX1017" s="16" t="s">
        <v>4867</v>
      </c>
      <c r="MRY1017" s="16" t="s">
        <v>4867</v>
      </c>
      <c r="MRZ1017" s="16" t="s">
        <v>4867</v>
      </c>
      <c r="MSA1017" s="16" t="s">
        <v>4867</v>
      </c>
      <c r="MSB1017" s="16" t="s">
        <v>4867</v>
      </c>
      <c r="MSC1017" s="16" t="s">
        <v>4867</v>
      </c>
      <c r="MSD1017" s="16" t="s">
        <v>4867</v>
      </c>
      <c r="MSE1017" s="16" t="s">
        <v>4867</v>
      </c>
      <c r="MSF1017" s="16" t="s">
        <v>4867</v>
      </c>
      <c r="MSG1017" s="16" t="s">
        <v>4867</v>
      </c>
      <c r="MSH1017" s="16" t="s">
        <v>4867</v>
      </c>
      <c r="MSI1017" s="16" t="s">
        <v>4867</v>
      </c>
      <c r="MSJ1017" s="16" t="s">
        <v>4867</v>
      </c>
      <c r="MSK1017" s="16" t="s">
        <v>4867</v>
      </c>
      <c r="MSL1017" s="16" t="s">
        <v>4867</v>
      </c>
      <c r="MSM1017" s="16" t="s">
        <v>4867</v>
      </c>
      <c r="MSN1017" s="16" t="s">
        <v>4867</v>
      </c>
      <c r="MSO1017" s="16" t="s">
        <v>4867</v>
      </c>
      <c r="MSP1017" s="16" t="s">
        <v>4867</v>
      </c>
      <c r="MSQ1017" s="16" t="s">
        <v>4867</v>
      </c>
      <c r="MSR1017" s="16" t="s">
        <v>4867</v>
      </c>
      <c r="MSS1017" s="16" t="s">
        <v>4867</v>
      </c>
      <c r="MST1017" s="16" t="s">
        <v>4867</v>
      </c>
      <c r="MSU1017" s="16" t="s">
        <v>4867</v>
      </c>
      <c r="MSV1017" s="16" t="s">
        <v>4867</v>
      </c>
      <c r="MSW1017" s="16" t="s">
        <v>4867</v>
      </c>
      <c r="MSX1017" s="16" t="s">
        <v>4867</v>
      </c>
      <c r="MSY1017" s="16" t="s">
        <v>4867</v>
      </c>
      <c r="MSZ1017" s="16" t="s">
        <v>4867</v>
      </c>
      <c r="MTA1017" s="16" t="s">
        <v>4867</v>
      </c>
      <c r="MTB1017" s="16" t="s">
        <v>4867</v>
      </c>
      <c r="MTC1017" s="16" t="s">
        <v>4867</v>
      </c>
      <c r="MTD1017" s="16" t="s">
        <v>4867</v>
      </c>
      <c r="MTE1017" s="16" t="s">
        <v>4867</v>
      </c>
      <c r="MTF1017" s="16" t="s">
        <v>4867</v>
      </c>
      <c r="MTG1017" s="16" t="s">
        <v>4867</v>
      </c>
      <c r="MTH1017" s="16" t="s">
        <v>4867</v>
      </c>
      <c r="MTI1017" s="16" t="s">
        <v>4867</v>
      </c>
      <c r="MTJ1017" s="16" t="s">
        <v>4867</v>
      </c>
      <c r="MTK1017" s="16" t="s">
        <v>4867</v>
      </c>
      <c r="MTL1017" s="16" t="s">
        <v>4867</v>
      </c>
      <c r="MTM1017" s="16" t="s">
        <v>4867</v>
      </c>
      <c r="MTN1017" s="16" t="s">
        <v>4867</v>
      </c>
      <c r="MTO1017" s="16" t="s">
        <v>4867</v>
      </c>
      <c r="MTP1017" s="16" t="s">
        <v>4867</v>
      </c>
      <c r="MTQ1017" s="16" t="s">
        <v>4867</v>
      </c>
      <c r="MTR1017" s="16" t="s">
        <v>4867</v>
      </c>
      <c r="MTS1017" s="16" t="s">
        <v>4867</v>
      </c>
      <c r="MTT1017" s="16" t="s">
        <v>4867</v>
      </c>
      <c r="MTU1017" s="16" t="s">
        <v>4867</v>
      </c>
      <c r="MTV1017" s="16" t="s">
        <v>4867</v>
      </c>
      <c r="MTW1017" s="16" t="s">
        <v>4867</v>
      </c>
      <c r="MTX1017" s="16" t="s">
        <v>4867</v>
      </c>
      <c r="MTY1017" s="16" t="s">
        <v>4867</v>
      </c>
      <c r="MTZ1017" s="16" t="s">
        <v>4867</v>
      </c>
      <c r="MUA1017" s="16" t="s">
        <v>4867</v>
      </c>
      <c r="MUB1017" s="16" t="s">
        <v>4867</v>
      </c>
      <c r="MUC1017" s="16" t="s">
        <v>4867</v>
      </c>
      <c r="MUD1017" s="16" t="s">
        <v>4867</v>
      </c>
      <c r="MUE1017" s="16" t="s">
        <v>4867</v>
      </c>
      <c r="MUF1017" s="16" t="s">
        <v>4867</v>
      </c>
      <c r="MUG1017" s="16" t="s">
        <v>4867</v>
      </c>
      <c r="MUH1017" s="16" t="s">
        <v>4867</v>
      </c>
      <c r="MUI1017" s="16" t="s">
        <v>4867</v>
      </c>
      <c r="MUJ1017" s="16" t="s">
        <v>4867</v>
      </c>
      <c r="MUK1017" s="16" t="s">
        <v>4867</v>
      </c>
      <c r="MUL1017" s="16" t="s">
        <v>4867</v>
      </c>
      <c r="MUM1017" s="16" t="s">
        <v>4867</v>
      </c>
      <c r="MUN1017" s="16" t="s">
        <v>4867</v>
      </c>
      <c r="MUO1017" s="16" t="s">
        <v>4867</v>
      </c>
      <c r="MUP1017" s="16" t="s">
        <v>4867</v>
      </c>
      <c r="MUQ1017" s="16" t="s">
        <v>4867</v>
      </c>
      <c r="MUR1017" s="16" t="s">
        <v>4867</v>
      </c>
      <c r="MUS1017" s="16" t="s">
        <v>4867</v>
      </c>
      <c r="MUT1017" s="16" t="s">
        <v>4867</v>
      </c>
      <c r="MUU1017" s="16" t="s">
        <v>4867</v>
      </c>
      <c r="MUV1017" s="16" t="s">
        <v>4867</v>
      </c>
      <c r="MUW1017" s="16" t="s">
        <v>4867</v>
      </c>
      <c r="MUX1017" s="16" t="s">
        <v>4867</v>
      </c>
      <c r="MUY1017" s="16" t="s">
        <v>4867</v>
      </c>
      <c r="MUZ1017" s="16" t="s">
        <v>4867</v>
      </c>
      <c r="MVA1017" s="16" t="s">
        <v>4867</v>
      </c>
      <c r="MVB1017" s="16" t="s">
        <v>4867</v>
      </c>
      <c r="MVC1017" s="16" t="s">
        <v>4867</v>
      </c>
      <c r="MVD1017" s="16" t="s">
        <v>4867</v>
      </c>
      <c r="MVE1017" s="16" t="s">
        <v>4867</v>
      </c>
      <c r="MVF1017" s="16" t="s">
        <v>4867</v>
      </c>
      <c r="MVG1017" s="16" t="s">
        <v>4867</v>
      </c>
      <c r="MVH1017" s="16" t="s">
        <v>4867</v>
      </c>
      <c r="MVI1017" s="16" t="s">
        <v>4867</v>
      </c>
      <c r="MVJ1017" s="16" t="s">
        <v>4867</v>
      </c>
      <c r="MVK1017" s="16" t="s">
        <v>4867</v>
      </c>
      <c r="MVL1017" s="16" t="s">
        <v>4867</v>
      </c>
      <c r="MVM1017" s="16" t="s">
        <v>4867</v>
      </c>
      <c r="MVN1017" s="16" t="s">
        <v>4867</v>
      </c>
      <c r="MVO1017" s="16" t="s">
        <v>4867</v>
      </c>
      <c r="MVP1017" s="16" t="s">
        <v>4867</v>
      </c>
      <c r="MVQ1017" s="16" t="s">
        <v>4867</v>
      </c>
      <c r="MVR1017" s="16" t="s">
        <v>4867</v>
      </c>
      <c r="MVS1017" s="16" t="s">
        <v>4867</v>
      </c>
      <c r="MVT1017" s="16" t="s">
        <v>4867</v>
      </c>
      <c r="MVU1017" s="16" t="s">
        <v>4867</v>
      </c>
      <c r="MVV1017" s="16" t="s">
        <v>4867</v>
      </c>
      <c r="MVW1017" s="16" t="s">
        <v>4867</v>
      </c>
      <c r="MVX1017" s="16" t="s">
        <v>4867</v>
      </c>
      <c r="MVY1017" s="16" t="s">
        <v>4867</v>
      </c>
      <c r="MVZ1017" s="16" t="s">
        <v>4867</v>
      </c>
      <c r="MWA1017" s="16" t="s">
        <v>4867</v>
      </c>
      <c r="MWB1017" s="16" t="s">
        <v>4867</v>
      </c>
      <c r="MWC1017" s="16" t="s">
        <v>4867</v>
      </c>
      <c r="MWD1017" s="16" t="s">
        <v>4867</v>
      </c>
      <c r="MWE1017" s="16" t="s">
        <v>4867</v>
      </c>
      <c r="MWF1017" s="16" t="s">
        <v>4867</v>
      </c>
      <c r="MWG1017" s="16" t="s">
        <v>4867</v>
      </c>
      <c r="MWH1017" s="16" t="s">
        <v>4867</v>
      </c>
      <c r="MWI1017" s="16" t="s">
        <v>4867</v>
      </c>
      <c r="MWJ1017" s="16" t="s">
        <v>4867</v>
      </c>
      <c r="MWK1017" s="16" t="s">
        <v>4867</v>
      </c>
      <c r="MWL1017" s="16" t="s">
        <v>4867</v>
      </c>
      <c r="MWM1017" s="16" t="s">
        <v>4867</v>
      </c>
      <c r="MWN1017" s="16" t="s">
        <v>4867</v>
      </c>
      <c r="MWO1017" s="16" t="s">
        <v>4867</v>
      </c>
      <c r="MWP1017" s="16" t="s">
        <v>4867</v>
      </c>
      <c r="MWQ1017" s="16" t="s">
        <v>4867</v>
      </c>
      <c r="MWR1017" s="16" t="s">
        <v>4867</v>
      </c>
      <c r="MWS1017" s="16" t="s">
        <v>4867</v>
      </c>
      <c r="MWT1017" s="16" t="s">
        <v>4867</v>
      </c>
      <c r="MWU1017" s="16" t="s">
        <v>4867</v>
      </c>
      <c r="MWV1017" s="16" t="s">
        <v>4867</v>
      </c>
      <c r="MWW1017" s="16" t="s">
        <v>4867</v>
      </c>
      <c r="MWX1017" s="16" t="s">
        <v>4867</v>
      </c>
      <c r="MWY1017" s="16" t="s">
        <v>4867</v>
      </c>
      <c r="MWZ1017" s="16" t="s">
        <v>4867</v>
      </c>
      <c r="MXA1017" s="16" t="s">
        <v>4867</v>
      </c>
      <c r="MXB1017" s="16" t="s">
        <v>4867</v>
      </c>
      <c r="MXC1017" s="16" t="s">
        <v>4867</v>
      </c>
      <c r="MXD1017" s="16" t="s">
        <v>4867</v>
      </c>
      <c r="MXE1017" s="16" t="s">
        <v>4867</v>
      </c>
      <c r="MXF1017" s="16" t="s">
        <v>4867</v>
      </c>
      <c r="MXG1017" s="16" t="s">
        <v>4867</v>
      </c>
      <c r="MXH1017" s="16" t="s">
        <v>4867</v>
      </c>
      <c r="MXI1017" s="16" t="s">
        <v>4867</v>
      </c>
      <c r="MXJ1017" s="16" t="s">
        <v>4867</v>
      </c>
      <c r="MXK1017" s="16" t="s">
        <v>4867</v>
      </c>
      <c r="MXL1017" s="16" t="s">
        <v>4867</v>
      </c>
      <c r="MXM1017" s="16" t="s">
        <v>4867</v>
      </c>
      <c r="MXN1017" s="16" t="s">
        <v>4867</v>
      </c>
      <c r="MXO1017" s="16" t="s">
        <v>4867</v>
      </c>
      <c r="MXP1017" s="16" t="s">
        <v>4867</v>
      </c>
      <c r="MXQ1017" s="16" t="s">
        <v>4867</v>
      </c>
      <c r="MXR1017" s="16" t="s">
        <v>4867</v>
      </c>
      <c r="MXS1017" s="16" t="s">
        <v>4867</v>
      </c>
      <c r="MXT1017" s="16" t="s">
        <v>4867</v>
      </c>
      <c r="MXU1017" s="16" t="s">
        <v>4867</v>
      </c>
      <c r="MXV1017" s="16" t="s">
        <v>4867</v>
      </c>
      <c r="MXW1017" s="16" t="s">
        <v>4867</v>
      </c>
      <c r="MXX1017" s="16" t="s">
        <v>4867</v>
      </c>
      <c r="MXY1017" s="16" t="s">
        <v>4867</v>
      </c>
      <c r="MXZ1017" s="16" t="s">
        <v>4867</v>
      </c>
      <c r="MYA1017" s="16" t="s">
        <v>4867</v>
      </c>
      <c r="MYB1017" s="16" t="s">
        <v>4867</v>
      </c>
      <c r="MYC1017" s="16" t="s">
        <v>4867</v>
      </c>
      <c r="MYD1017" s="16" t="s">
        <v>4867</v>
      </c>
      <c r="MYE1017" s="16" t="s">
        <v>4867</v>
      </c>
      <c r="MYF1017" s="16" t="s">
        <v>4867</v>
      </c>
      <c r="MYG1017" s="16" t="s">
        <v>4867</v>
      </c>
      <c r="MYH1017" s="16" t="s">
        <v>4867</v>
      </c>
      <c r="MYI1017" s="16" t="s">
        <v>4867</v>
      </c>
      <c r="MYJ1017" s="16" t="s">
        <v>4867</v>
      </c>
      <c r="MYK1017" s="16" t="s">
        <v>4867</v>
      </c>
      <c r="MYL1017" s="16" t="s">
        <v>4867</v>
      </c>
      <c r="MYM1017" s="16" t="s">
        <v>4867</v>
      </c>
      <c r="MYN1017" s="16" t="s">
        <v>4867</v>
      </c>
      <c r="MYO1017" s="16" t="s">
        <v>4867</v>
      </c>
      <c r="MYP1017" s="16" t="s">
        <v>4867</v>
      </c>
      <c r="MYQ1017" s="16" t="s">
        <v>4867</v>
      </c>
      <c r="MYR1017" s="16" t="s">
        <v>4867</v>
      </c>
      <c r="MYS1017" s="16" t="s">
        <v>4867</v>
      </c>
      <c r="MYT1017" s="16" t="s">
        <v>4867</v>
      </c>
      <c r="MYU1017" s="16" t="s">
        <v>4867</v>
      </c>
      <c r="MYV1017" s="16" t="s">
        <v>4867</v>
      </c>
      <c r="MYW1017" s="16" t="s">
        <v>4867</v>
      </c>
      <c r="MYX1017" s="16" t="s">
        <v>4867</v>
      </c>
      <c r="MYY1017" s="16" t="s">
        <v>4867</v>
      </c>
      <c r="MYZ1017" s="16" t="s">
        <v>4867</v>
      </c>
      <c r="MZA1017" s="16" t="s">
        <v>4867</v>
      </c>
      <c r="MZB1017" s="16" t="s">
        <v>4867</v>
      </c>
      <c r="MZC1017" s="16" t="s">
        <v>4867</v>
      </c>
      <c r="MZD1017" s="16" t="s">
        <v>4867</v>
      </c>
      <c r="MZE1017" s="16" t="s">
        <v>4867</v>
      </c>
      <c r="MZF1017" s="16" t="s">
        <v>4867</v>
      </c>
      <c r="MZG1017" s="16" t="s">
        <v>4867</v>
      </c>
      <c r="MZH1017" s="16" t="s">
        <v>4867</v>
      </c>
      <c r="MZI1017" s="16" t="s">
        <v>4867</v>
      </c>
      <c r="MZJ1017" s="16" t="s">
        <v>4867</v>
      </c>
      <c r="MZK1017" s="16" t="s">
        <v>4867</v>
      </c>
      <c r="MZL1017" s="16" t="s">
        <v>4867</v>
      </c>
      <c r="MZM1017" s="16" t="s">
        <v>4867</v>
      </c>
      <c r="MZN1017" s="16" t="s">
        <v>4867</v>
      </c>
      <c r="MZO1017" s="16" t="s">
        <v>4867</v>
      </c>
      <c r="MZP1017" s="16" t="s">
        <v>4867</v>
      </c>
      <c r="MZQ1017" s="16" t="s">
        <v>4867</v>
      </c>
      <c r="MZR1017" s="16" t="s">
        <v>4867</v>
      </c>
      <c r="MZS1017" s="16" t="s">
        <v>4867</v>
      </c>
      <c r="MZT1017" s="16" t="s">
        <v>4867</v>
      </c>
      <c r="MZU1017" s="16" t="s">
        <v>4867</v>
      </c>
      <c r="MZV1017" s="16" t="s">
        <v>4867</v>
      </c>
      <c r="MZW1017" s="16" t="s">
        <v>4867</v>
      </c>
      <c r="MZX1017" s="16" t="s">
        <v>4867</v>
      </c>
      <c r="MZY1017" s="16" t="s">
        <v>4867</v>
      </c>
      <c r="MZZ1017" s="16" t="s">
        <v>4867</v>
      </c>
      <c r="NAA1017" s="16" t="s">
        <v>4867</v>
      </c>
      <c r="NAB1017" s="16" t="s">
        <v>4867</v>
      </c>
      <c r="NAC1017" s="16" t="s">
        <v>4867</v>
      </c>
      <c r="NAD1017" s="16" t="s">
        <v>4867</v>
      </c>
      <c r="NAE1017" s="16" t="s">
        <v>4867</v>
      </c>
      <c r="NAF1017" s="16" t="s">
        <v>4867</v>
      </c>
      <c r="NAG1017" s="16" t="s">
        <v>4867</v>
      </c>
      <c r="NAH1017" s="16" t="s">
        <v>4867</v>
      </c>
      <c r="NAI1017" s="16" t="s">
        <v>4867</v>
      </c>
      <c r="NAJ1017" s="16" t="s">
        <v>4867</v>
      </c>
      <c r="NAK1017" s="16" t="s">
        <v>4867</v>
      </c>
      <c r="NAL1017" s="16" t="s">
        <v>4867</v>
      </c>
      <c r="NAM1017" s="16" t="s">
        <v>4867</v>
      </c>
      <c r="NAN1017" s="16" t="s">
        <v>4867</v>
      </c>
      <c r="NAO1017" s="16" t="s">
        <v>4867</v>
      </c>
      <c r="NAP1017" s="16" t="s">
        <v>4867</v>
      </c>
      <c r="NAQ1017" s="16" t="s">
        <v>4867</v>
      </c>
      <c r="NAR1017" s="16" t="s">
        <v>4867</v>
      </c>
      <c r="NAS1017" s="16" t="s">
        <v>4867</v>
      </c>
      <c r="NAT1017" s="16" t="s">
        <v>4867</v>
      </c>
      <c r="NAU1017" s="16" t="s">
        <v>4867</v>
      </c>
      <c r="NAV1017" s="16" t="s">
        <v>4867</v>
      </c>
      <c r="NAW1017" s="16" t="s">
        <v>4867</v>
      </c>
      <c r="NAX1017" s="16" t="s">
        <v>4867</v>
      </c>
      <c r="NAY1017" s="16" t="s">
        <v>4867</v>
      </c>
      <c r="NAZ1017" s="16" t="s">
        <v>4867</v>
      </c>
      <c r="NBA1017" s="16" t="s">
        <v>4867</v>
      </c>
      <c r="NBB1017" s="16" t="s">
        <v>4867</v>
      </c>
      <c r="NBC1017" s="16" t="s">
        <v>4867</v>
      </c>
      <c r="NBD1017" s="16" t="s">
        <v>4867</v>
      </c>
      <c r="NBE1017" s="16" t="s">
        <v>4867</v>
      </c>
      <c r="NBF1017" s="16" t="s">
        <v>4867</v>
      </c>
      <c r="NBG1017" s="16" t="s">
        <v>4867</v>
      </c>
      <c r="NBH1017" s="16" t="s">
        <v>4867</v>
      </c>
      <c r="NBI1017" s="16" t="s">
        <v>4867</v>
      </c>
      <c r="NBJ1017" s="16" t="s">
        <v>4867</v>
      </c>
      <c r="NBK1017" s="16" t="s">
        <v>4867</v>
      </c>
      <c r="NBL1017" s="16" t="s">
        <v>4867</v>
      </c>
      <c r="NBM1017" s="16" t="s">
        <v>4867</v>
      </c>
      <c r="NBN1017" s="16" t="s">
        <v>4867</v>
      </c>
      <c r="NBO1017" s="16" t="s">
        <v>4867</v>
      </c>
      <c r="NBP1017" s="16" t="s">
        <v>4867</v>
      </c>
      <c r="NBQ1017" s="16" t="s">
        <v>4867</v>
      </c>
      <c r="NBR1017" s="16" t="s">
        <v>4867</v>
      </c>
      <c r="NBS1017" s="16" t="s">
        <v>4867</v>
      </c>
      <c r="NBT1017" s="16" t="s">
        <v>4867</v>
      </c>
      <c r="NBU1017" s="16" t="s">
        <v>4867</v>
      </c>
      <c r="NBV1017" s="16" t="s">
        <v>4867</v>
      </c>
      <c r="NBW1017" s="16" t="s">
        <v>4867</v>
      </c>
      <c r="NBX1017" s="16" t="s">
        <v>4867</v>
      </c>
      <c r="NBY1017" s="16" t="s">
        <v>4867</v>
      </c>
      <c r="NBZ1017" s="16" t="s">
        <v>4867</v>
      </c>
      <c r="NCA1017" s="16" t="s">
        <v>4867</v>
      </c>
      <c r="NCB1017" s="16" t="s">
        <v>4867</v>
      </c>
      <c r="NCC1017" s="16" t="s">
        <v>4867</v>
      </c>
      <c r="NCD1017" s="16" t="s">
        <v>4867</v>
      </c>
      <c r="NCE1017" s="16" t="s">
        <v>4867</v>
      </c>
      <c r="NCF1017" s="16" t="s">
        <v>4867</v>
      </c>
      <c r="NCG1017" s="16" t="s">
        <v>4867</v>
      </c>
      <c r="NCH1017" s="16" t="s">
        <v>4867</v>
      </c>
      <c r="NCI1017" s="16" t="s">
        <v>4867</v>
      </c>
      <c r="NCJ1017" s="16" t="s">
        <v>4867</v>
      </c>
      <c r="NCK1017" s="16" t="s">
        <v>4867</v>
      </c>
      <c r="NCL1017" s="16" t="s">
        <v>4867</v>
      </c>
      <c r="NCM1017" s="16" t="s">
        <v>4867</v>
      </c>
      <c r="NCN1017" s="16" t="s">
        <v>4867</v>
      </c>
      <c r="NCO1017" s="16" t="s">
        <v>4867</v>
      </c>
      <c r="NCP1017" s="16" t="s">
        <v>4867</v>
      </c>
      <c r="NCQ1017" s="16" t="s">
        <v>4867</v>
      </c>
      <c r="NCR1017" s="16" t="s">
        <v>4867</v>
      </c>
      <c r="NCS1017" s="16" t="s">
        <v>4867</v>
      </c>
      <c r="NCT1017" s="16" t="s">
        <v>4867</v>
      </c>
      <c r="NCU1017" s="16" t="s">
        <v>4867</v>
      </c>
      <c r="NCV1017" s="16" t="s">
        <v>4867</v>
      </c>
      <c r="NCW1017" s="16" t="s">
        <v>4867</v>
      </c>
      <c r="NCX1017" s="16" t="s">
        <v>4867</v>
      </c>
      <c r="NCY1017" s="16" t="s">
        <v>4867</v>
      </c>
      <c r="NCZ1017" s="16" t="s">
        <v>4867</v>
      </c>
      <c r="NDA1017" s="16" t="s">
        <v>4867</v>
      </c>
      <c r="NDB1017" s="16" t="s">
        <v>4867</v>
      </c>
      <c r="NDC1017" s="16" t="s">
        <v>4867</v>
      </c>
      <c r="NDD1017" s="16" t="s">
        <v>4867</v>
      </c>
      <c r="NDE1017" s="16" t="s">
        <v>4867</v>
      </c>
      <c r="NDF1017" s="16" t="s">
        <v>4867</v>
      </c>
      <c r="NDG1017" s="16" t="s">
        <v>4867</v>
      </c>
      <c r="NDH1017" s="16" t="s">
        <v>4867</v>
      </c>
      <c r="NDI1017" s="16" t="s">
        <v>4867</v>
      </c>
      <c r="NDJ1017" s="16" t="s">
        <v>4867</v>
      </c>
      <c r="NDK1017" s="16" t="s">
        <v>4867</v>
      </c>
      <c r="NDL1017" s="16" t="s">
        <v>4867</v>
      </c>
      <c r="NDM1017" s="16" t="s">
        <v>4867</v>
      </c>
      <c r="NDN1017" s="16" t="s">
        <v>4867</v>
      </c>
      <c r="NDO1017" s="16" t="s">
        <v>4867</v>
      </c>
      <c r="NDP1017" s="16" t="s">
        <v>4867</v>
      </c>
      <c r="NDQ1017" s="16" t="s">
        <v>4867</v>
      </c>
      <c r="NDR1017" s="16" t="s">
        <v>4867</v>
      </c>
      <c r="NDS1017" s="16" t="s">
        <v>4867</v>
      </c>
      <c r="NDT1017" s="16" t="s">
        <v>4867</v>
      </c>
      <c r="NDU1017" s="16" t="s">
        <v>4867</v>
      </c>
      <c r="NDV1017" s="16" t="s">
        <v>4867</v>
      </c>
      <c r="NDW1017" s="16" t="s">
        <v>4867</v>
      </c>
      <c r="NDX1017" s="16" t="s">
        <v>4867</v>
      </c>
      <c r="NDY1017" s="16" t="s">
        <v>4867</v>
      </c>
      <c r="NDZ1017" s="16" t="s">
        <v>4867</v>
      </c>
      <c r="NEA1017" s="16" t="s">
        <v>4867</v>
      </c>
      <c r="NEB1017" s="16" t="s">
        <v>4867</v>
      </c>
      <c r="NEC1017" s="16" t="s">
        <v>4867</v>
      </c>
      <c r="NED1017" s="16" t="s">
        <v>4867</v>
      </c>
      <c r="NEE1017" s="16" t="s">
        <v>4867</v>
      </c>
      <c r="NEF1017" s="16" t="s">
        <v>4867</v>
      </c>
      <c r="NEG1017" s="16" t="s">
        <v>4867</v>
      </c>
      <c r="NEH1017" s="16" t="s">
        <v>4867</v>
      </c>
      <c r="NEI1017" s="16" t="s">
        <v>4867</v>
      </c>
      <c r="NEJ1017" s="16" t="s">
        <v>4867</v>
      </c>
      <c r="NEK1017" s="16" t="s">
        <v>4867</v>
      </c>
      <c r="NEL1017" s="16" t="s">
        <v>4867</v>
      </c>
      <c r="NEM1017" s="16" t="s">
        <v>4867</v>
      </c>
      <c r="NEN1017" s="16" t="s">
        <v>4867</v>
      </c>
      <c r="NEO1017" s="16" t="s">
        <v>4867</v>
      </c>
      <c r="NEP1017" s="16" t="s">
        <v>4867</v>
      </c>
      <c r="NEQ1017" s="16" t="s">
        <v>4867</v>
      </c>
      <c r="NER1017" s="16" t="s">
        <v>4867</v>
      </c>
      <c r="NES1017" s="16" t="s">
        <v>4867</v>
      </c>
      <c r="NET1017" s="16" t="s">
        <v>4867</v>
      </c>
      <c r="NEU1017" s="16" t="s">
        <v>4867</v>
      </c>
      <c r="NEV1017" s="16" t="s">
        <v>4867</v>
      </c>
      <c r="NEW1017" s="16" t="s">
        <v>4867</v>
      </c>
      <c r="NEX1017" s="16" t="s">
        <v>4867</v>
      </c>
      <c r="NEY1017" s="16" t="s">
        <v>4867</v>
      </c>
      <c r="NEZ1017" s="16" t="s">
        <v>4867</v>
      </c>
      <c r="NFA1017" s="16" t="s">
        <v>4867</v>
      </c>
      <c r="NFB1017" s="16" t="s">
        <v>4867</v>
      </c>
      <c r="NFC1017" s="16" t="s">
        <v>4867</v>
      </c>
      <c r="NFD1017" s="16" t="s">
        <v>4867</v>
      </c>
      <c r="NFE1017" s="16" t="s">
        <v>4867</v>
      </c>
      <c r="NFF1017" s="16" t="s">
        <v>4867</v>
      </c>
      <c r="NFG1017" s="16" t="s">
        <v>4867</v>
      </c>
      <c r="NFH1017" s="16" t="s">
        <v>4867</v>
      </c>
      <c r="NFI1017" s="16" t="s">
        <v>4867</v>
      </c>
      <c r="NFJ1017" s="16" t="s">
        <v>4867</v>
      </c>
      <c r="NFK1017" s="16" t="s">
        <v>4867</v>
      </c>
      <c r="NFL1017" s="16" t="s">
        <v>4867</v>
      </c>
      <c r="NFM1017" s="16" t="s">
        <v>4867</v>
      </c>
      <c r="NFN1017" s="16" t="s">
        <v>4867</v>
      </c>
      <c r="NFO1017" s="16" t="s">
        <v>4867</v>
      </c>
      <c r="NFP1017" s="16" t="s">
        <v>4867</v>
      </c>
      <c r="NFQ1017" s="16" t="s">
        <v>4867</v>
      </c>
      <c r="NFR1017" s="16" t="s">
        <v>4867</v>
      </c>
      <c r="NFS1017" s="16" t="s">
        <v>4867</v>
      </c>
      <c r="NFT1017" s="16" t="s">
        <v>4867</v>
      </c>
      <c r="NFU1017" s="16" t="s">
        <v>4867</v>
      </c>
      <c r="NFV1017" s="16" t="s">
        <v>4867</v>
      </c>
      <c r="NFW1017" s="16" t="s">
        <v>4867</v>
      </c>
      <c r="NFX1017" s="16" t="s">
        <v>4867</v>
      </c>
      <c r="NFY1017" s="16" t="s">
        <v>4867</v>
      </c>
      <c r="NFZ1017" s="16" t="s">
        <v>4867</v>
      </c>
      <c r="NGA1017" s="16" t="s">
        <v>4867</v>
      </c>
      <c r="NGB1017" s="16" t="s">
        <v>4867</v>
      </c>
      <c r="NGC1017" s="16" t="s">
        <v>4867</v>
      </c>
      <c r="NGD1017" s="16" t="s">
        <v>4867</v>
      </c>
      <c r="NGE1017" s="16" t="s">
        <v>4867</v>
      </c>
      <c r="NGF1017" s="16" t="s">
        <v>4867</v>
      </c>
      <c r="NGG1017" s="16" t="s">
        <v>4867</v>
      </c>
      <c r="NGH1017" s="16" t="s">
        <v>4867</v>
      </c>
      <c r="NGI1017" s="16" t="s">
        <v>4867</v>
      </c>
      <c r="NGJ1017" s="16" t="s">
        <v>4867</v>
      </c>
      <c r="NGK1017" s="16" t="s">
        <v>4867</v>
      </c>
      <c r="NGL1017" s="16" t="s">
        <v>4867</v>
      </c>
      <c r="NGM1017" s="16" t="s">
        <v>4867</v>
      </c>
      <c r="NGN1017" s="16" t="s">
        <v>4867</v>
      </c>
      <c r="NGO1017" s="16" t="s">
        <v>4867</v>
      </c>
      <c r="NGP1017" s="16" t="s">
        <v>4867</v>
      </c>
      <c r="NGQ1017" s="16" t="s">
        <v>4867</v>
      </c>
      <c r="NGR1017" s="16" t="s">
        <v>4867</v>
      </c>
      <c r="NGS1017" s="16" t="s">
        <v>4867</v>
      </c>
      <c r="NGT1017" s="16" t="s">
        <v>4867</v>
      </c>
      <c r="NGU1017" s="16" t="s">
        <v>4867</v>
      </c>
      <c r="NGV1017" s="16" t="s">
        <v>4867</v>
      </c>
      <c r="NGW1017" s="16" t="s">
        <v>4867</v>
      </c>
      <c r="NGX1017" s="16" t="s">
        <v>4867</v>
      </c>
      <c r="NGY1017" s="16" t="s">
        <v>4867</v>
      </c>
      <c r="NGZ1017" s="16" t="s">
        <v>4867</v>
      </c>
      <c r="NHA1017" s="16" t="s">
        <v>4867</v>
      </c>
      <c r="NHB1017" s="16" t="s">
        <v>4867</v>
      </c>
      <c r="NHC1017" s="16" t="s">
        <v>4867</v>
      </c>
      <c r="NHD1017" s="16" t="s">
        <v>4867</v>
      </c>
      <c r="NHE1017" s="16" t="s">
        <v>4867</v>
      </c>
      <c r="NHF1017" s="16" t="s">
        <v>4867</v>
      </c>
      <c r="NHG1017" s="16" t="s">
        <v>4867</v>
      </c>
      <c r="NHH1017" s="16" t="s">
        <v>4867</v>
      </c>
      <c r="NHI1017" s="16" t="s">
        <v>4867</v>
      </c>
      <c r="NHJ1017" s="16" t="s">
        <v>4867</v>
      </c>
      <c r="NHK1017" s="16" t="s">
        <v>4867</v>
      </c>
      <c r="NHL1017" s="16" t="s">
        <v>4867</v>
      </c>
      <c r="NHM1017" s="16" t="s">
        <v>4867</v>
      </c>
      <c r="NHN1017" s="16" t="s">
        <v>4867</v>
      </c>
      <c r="NHO1017" s="16" t="s">
        <v>4867</v>
      </c>
      <c r="NHP1017" s="16" t="s">
        <v>4867</v>
      </c>
      <c r="NHQ1017" s="16" t="s">
        <v>4867</v>
      </c>
      <c r="NHR1017" s="16" t="s">
        <v>4867</v>
      </c>
      <c r="NHS1017" s="16" t="s">
        <v>4867</v>
      </c>
      <c r="NHT1017" s="16" t="s">
        <v>4867</v>
      </c>
      <c r="NHU1017" s="16" t="s">
        <v>4867</v>
      </c>
      <c r="NHV1017" s="16" t="s">
        <v>4867</v>
      </c>
      <c r="NHW1017" s="16" t="s">
        <v>4867</v>
      </c>
      <c r="NHX1017" s="16" t="s">
        <v>4867</v>
      </c>
      <c r="NHY1017" s="16" t="s">
        <v>4867</v>
      </c>
      <c r="NHZ1017" s="16" t="s">
        <v>4867</v>
      </c>
      <c r="NIA1017" s="16" t="s">
        <v>4867</v>
      </c>
      <c r="NIB1017" s="16" t="s">
        <v>4867</v>
      </c>
      <c r="NIC1017" s="16" t="s">
        <v>4867</v>
      </c>
      <c r="NID1017" s="16" t="s">
        <v>4867</v>
      </c>
      <c r="NIE1017" s="16" t="s">
        <v>4867</v>
      </c>
      <c r="NIF1017" s="16" t="s">
        <v>4867</v>
      </c>
      <c r="NIG1017" s="16" t="s">
        <v>4867</v>
      </c>
      <c r="NIH1017" s="16" t="s">
        <v>4867</v>
      </c>
      <c r="NII1017" s="16" t="s">
        <v>4867</v>
      </c>
      <c r="NIJ1017" s="16" t="s">
        <v>4867</v>
      </c>
      <c r="NIK1017" s="16" t="s">
        <v>4867</v>
      </c>
      <c r="NIL1017" s="16" t="s">
        <v>4867</v>
      </c>
      <c r="NIM1017" s="16" t="s">
        <v>4867</v>
      </c>
      <c r="NIN1017" s="16" t="s">
        <v>4867</v>
      </c>
      <c r="NIO1017" s="16" t="s">
        <v>4867</v>
      </c>
      <c r="NIP1017" s="16" t="s">
        <v>4867</v>
      </c>
      <c r="NIQ1017" s="16" t="s">
        <v>4867</v>
      </c>
      <c r="NIR1017" s="16" t="s">
        <v>4867</v>
      </c>
      <c r="NIS1017" s="16" t="s">
        <v>4867</v>
      </c>
      <c r="NIT1017" s="16" t="s">
        <v>4867</v>
      </c>
      <c r="NIU1017" s="16" t="s">
        <v>4867</v>
      </c>
      <c r="NIV1017" s="16" t="s">
        <v>4867</v>
      </c>
      <c r="NIW1017" s="16" t="s">
        <v>4867</v>
      </c>
      <c r="NIX1017" s="16" t="s">
        <v>4867</v>
      </c>
      <c r="NIY1017" s="16" t="s">
        <v>4867</v>
      </c>
      <c r="NIZ1017" s="16" t="s">
        <v>4867</v>
      </c>
      <c r="NJA1017" s="16" t="s">
        <v>4867</v>
      </c>
      <c r="NJB1017" s="16" t="s">
        <v>4867</v>
      </c>
      <c r="NJC1017" s="16" t="s">
        <v>4867</v>
      </c>
      <c r="NJD1017" s="16" t="s">
        <v>4867</v>
      </c>
      <c r="NJE1017" s="16" t="s">
        <v>4867</v>
      </c>
      <c r="NJF1017" s="16" t="s">
        <v>4867</v>
      </c>
      <c r="NJG1017" s="16" t="s">
        <v>4867</v>
      </c>
      <c r="NJH1017" s="16" t="s">
        <v>4867</v>
      </c>
      <c r="NJI1017" s="16" t="s">
        <v>4867</v>
      </c>
      <c r="NJJ1017" s="16" t="s">
        <v>4867</v>
      </c>
      <c r="NJK1017" s="16" t="s">
        <v>4867</v>
      </c>
      <c r="NJL1017" s="16" t="s">
        <v>4867</v>
      </c>
      <c r="NJM1017" s="16" t="s">
        <v>4867</v>
      </c>
      <c r="NJN1017" s="16" t="s">
        <v>4867</v>
      </c>
      <c r="NJO1017" s="16" t="s">
        <v>4867</v>
      </c>
      <c r="NJP1017" s="16" t="s">
        <v>4867</v>
      </c>
      <c r="NJQ1017" s="16" t="s">
        <v>4867</v>
      </c>
      <c r="NJR1017" s="16" t="s">
        <v>4867</v>
      </c>
      <c r="NJS1017" s="16" t="s">
        <v>4867</v>
      </c>
      <c r="NJT1017" s="16" t="s">
        <v>4867</v>
      </c>
      <c r="NJU1017" s="16" t="s">
        <v>4867</v>
      </c>
      <c r="NJV1017" s="16" t="s">
        <v>4867</v>
      </c>
      <c r="NJW1017" s="16" t="s">
        <v>4867</v>
      </c>
      <c r="NJX1017" s="16" t="s">
        <v>4867</v>
      </c>
      <c r="NJY1017" s="16" t="s">
        <v>4867</v>
      </c>
      <c r="NJZ1017" s="16" t="s">
        <v>4867</v>
      </c>
      <c r="NKA1017" s="16" t="s">
        <v>4867</v>
      </c>
      <c r="NKB1017" s="16" t="s">
        <v>4867</v>
      </c>
      <c r="NKC1017" s="16" t="s">
        <v>4867</v>
      </c>
      <c r="NKD1017" s="16" t="s">
        <v>4867</v>
      </c>
      <c r="NKE1017" s="16" t="s">
        <v>4867</v>
      </c>
      <c r="NKF1017" s="16" t="s">
        <v>4867</v>
      </c>
      <c r="NKG1017" s="16" t="s">
        <v>4867</v>
      </c>
      <c r="NKH1017" s="16" t="s">
        <v>4867</v>
      </c>
      <c r="NKI1017" s="16" t="s">
        <v>4867</v>
      </c>
      <c r="NKJ1017" s="16" t="s">
        <v>4867</v>
      </c>
      <c r="NKK1017" s="16" t="s">
        <v>4867</v>
      </c>
      <c r="NKL1017" s="16" t="s">
        <v>4867</v>
      </c>
      <c r="NKM1017" s="16" t="s">
        <v>4867</v>
      </c>
      <c r="NKN1017" s="16" t="s">
        <v>4867</v>
      </c>
      <c r="NKO1017" s="16" t="s">
        <v>4867</v>
      </c>
      <c r="NKP1017" s="16" t="s">
        <v>4867</v>
      </c>
      <c r="NKQ1017" s="16" t="s">
        <v>4867</v>
      </c>
      <c r="NKR1017" s="16" t="s">
        <v>4867</v>
      </c>
      <c r="NKS1017" s="16" t="s">
        <v>4867</v>
      </c>
      <c r="NKT1017" s="16" t="s">
        <v>4867</v>
      </c>
      <c r="NKU1017" s="16" t="s">
        <v>4867</v>
      </c>
      <c r="NKV1017" s="16" t="s">
        <v>4867</v>
      </c>
      <c r="NKW1017" s="16" t="s">
        <v>4867</v>
      </c>
      <c r="NKX1017" s="16" t="s">
        <v>4867</v>
      </c>
      <c r="NKY1017" s="16" t="s">
        <v>4867</v>
      </c>
      <c r="NKZ1017" s="16" t="s">
        <v>4867</v>
      </c>
      <c r="NLA1017" s="16" t="s">
        <v>4867</v>
      </c>
      <c r="NLB1017" s="16" t="s">
        <v>4867</v>
      </c>
      <c r="NLC1017" s="16" t="s">
        <v>4867</v>
      </c>
      <c r="NLD1017" s="16" t="s">
        <v>4867</v>
      </c>
      <c r="NLE1017" s="16" t="s">
        <v>4867</v>
      </c>
      <c r="NLF1017" s="16" t="s">
        <v>4867</v>
      </c>
      <c r="NLG1017" s="16" t="s">
        <v>4867</v>
      </c>
      <c r="NLH1017" s="16" t="s">
        <v>4867</v>
      </c>
      <c r="NLI1017" s="16" t="s">
        <v>4867</v>
      </c>
      <c r="NLJ1017" s="16" t="s">
        <v>4867</v>
      </c>
      <c r="NLK1017" s="16" t="s">
        <v>4867</v>
      </c>
      <c r="NLL1017" s="16" t="s">
        <v>4867</v>
      </c>
      <c r="NLM1017" s="16" t="s">
        <v>4867</v>
      </c>
      <c r="NLN1017" s="16" t="s">
        <v>4867</v>
      </c>
      <c r="NLO1017" s="16" t="s">
        <v>4867</v>
      </c>
      <c r="NLP1017" s="16" t="s">
        <v>4867</v>
      </c>
      <c r="NLQ1017" s="16" t="s">
        <v>4867</v>
      </c>
      <c r="NLR1017" s="16" t="s">
        <v>4867</v>
      </c>
      <c r="NLS1017" s="16" t="s">
        <v>4867</v>
      </c>
      <c r="NLT1017" s="16" t="s">
        <v>4867</v>
      </c>
      <c r="NLU1017" s="16" t="s">
        <v>4867</v>
      </c>
      <c r="NLV1017" s="16" t="s">
        <v>4867</v>
      </c>
      <c r="NLW1017" s="16" t="s">
        <v>4867</v>
      </c>
      <c r="NLX1017" s="16" t="s">
        <v>4867</v>
      </c>
      <c r="NLY1017" s="16" t="s">
        <v>4867</v>
      </c>
      <c r="NLZ1017" s="16" t="s">
        <v>4867</v>
      </c>
      <c r="NMA1017" s="16" t="s">
        <v>4867</v>
      </c>
      <c r="NMB1017" s="16" t="s">
        <v>4867</v>
      </c>
      <c r="NMC1017" s="16" t="s">
        <v>4867</v>
      </c>
      <c r="NMD1017" s="16" t="s">
        <v>4867</v>
      </c>
      <c r="NME1017" s="16" t="s">
        <v>4867</v>
      </c>
      <c r="NMF1017" s="16" t="s">
        <v>4867</v>
      </c>
      <c r="NMG1017" s="16" t="s">
        <v>4867</v>
      </c>
      <c r="NMH1017" s="16" t="s">
        <v>4867</v>
      </c>
      <c r="NMI1017" s="16" t="s">
        <v>4867</v>
      </c>
      <c r="NMJ1017" s="16" t="s">
        <v>4867</v>
      </c>
      <c r="NMK1017" s="16" t="s">
        <v>4867</v>
      </c>
      <c r="NML1017" s="16" t="s">
        <v>4867</v>
      </c>
      <c r="NMM1017" s="16" t="s">
        <v>4867</v>
      </c>
      <c r="NMN1017" s="16" t="s">
        <v>4867</v>
      </c>
      <c r="NMO1017" s="16" t="s">
        <v>4867</v>
      </c>
      <c r="NMP1017" s="16" t="s">
        <v>4867</v>
      </c>
      <c r="NMQ1017" s="16" t="s">
        <v>4867</v>
      </c>
      <c r="NMR1017" s="16" t="s">
        <v>4867</v>
      </c>
      <c r="NMS1017" s="16" t="s">
        <v>4867</v>
      </c>
      <c r="NMT1017" s="16" t="s">
        <v>4867</v>
      </c>
      <c r="NMU1017" s="16" t="s">
        <v>4867</v>
      </c>
      <c r="NMV1017" s="16" t="s">
        <v>4867</v>
      </c>
      <c r="NMW1017" s="16" t="s">
        <v>4867</v>
      </c>
      <c r="NMX1017" s="16" t="s">
        <v>4867</v>
      </c>
      <c r="NMY1017" s="16" t="s">
        <v>4867</v>
      </c>
      <c r="NMZ1017" s="16" t="s">
        <v>4867</v>
      </c>
      <c r="NNA1017" s="16" t="s">
        <v>4867</v>
      </c>
      <c r="NNB1017" s="16" t="s">
        <v>4867</v>
      </c>
      <c r="NNC1017" s="16" t="s">
        <v>4867</v>
      </c>
      <c r="NND1017" s="16" t="s">
        <v>4867</v>
      </c>
      <c r="NNE1017" s="16" t="s">
        <v>4867</v>
      </c>
      <c r="NNF1017" s="16" t="s">
        <v>4867</v>
      </c>
      <c r="NNG1017" s="16" t="s">
        <v>4867</v>
      </c>
      <c r="NNH1017" s="16" t="s">
        <v>4867</v>
      </c>
      <c r="NNI1017" s="16" t="s">
        <v>4867</v>
      </c>
      <c r="NNJ1017" s="16" t="s">
        <v>4867</v>
      </c>
      <c r="NNK1017" s="16" t="s">
        <v>4867</v>
      </c>
      <c r="NNL1017" s="16" t="s">
        <v>4867</v>
      </c>
      <c r="NNM1017" s="16" t="s">
        <v>4867</v>
      </c>
      <c r="NNN1017" s="16" t="s">
        <v>4867</v>
      </c>
      <c r="NNO1017" s="16" t="s">
        <v>4867</v>
      </c>
      <c r="NNP1017" s="16" t="s">
        <v>4867</v>
      </c>
      <c r="NNQ1017" s="16" t="s">
        <v>4867</v>
      </c>
      <c r="NNR1017" s="16" t="s">
        <v>4867</v>
      </c>
      <c r="NNS1017" s="16" t="s">
        <v>4867</v>
      </c>
      <c r="NNT1017" s="16" t="s">
        <v>4867</v>
      </c>
      <c r="NNU1017" s="16" t="s">
        <v>4867</v>
      </c>
      <c r="NNV1017" s="16" t="s">
        <v>4867</v>
      </c>
      <c r="NNW1017" s="16" t="s">
        <v>4867</v>
      </c>
      <c r="NNX1017" s="16" t="s">
        <v>4867</v>
      </c>
      <c r="NNY1017" s="16" t="s">
        <v>4867</v>
      </c>
      <c r="NNZ1017" s="16" t="s">
        <v>4867</v>
      </c>
      <c r="NOA1017" s="16" t="s">
        <v>4867</v>
      </c>
      <c r="NOB1017" s="16" t="s">
        <v>4867</v>
      </c>
      <c r="NOC1017" s="16" t="s">
        <v>4867</v>
      </c>
      <c r="NOD1017" s="16" t="s">
        <v>4867</v>
      </c>
      <c r="NOE1017" s="16" t="s">
        <v>4867</v>
      </c>
      <c r="NOF1017" s="16" t="s">
        <v>4867</v>
      </c>
      <c r="NOG1017" s="16" t="s">
        <v>4867</v>
      </c>
      <c r="NOH1017" s="16" t="s">
        <v>4867</v>
      </c>
      <c r="NOI1017" s="16" t="s">
        <v>4867</v>
      </c>
      <c r="NOJ1017" s="16" t="s">
        <v>4867</v>
      </c>
      <c r="NOK1017" s="16" t="s">
        <v>4867</v>
      </c>
      <c r="NOL1017" s="16" t="s">
        <v>4867</v>
      </c>
      <c r="NOM1017" s="16" t="s">
        <v>4867</v>
      </c>
      <c r="NON1017" s="16" t="s">
        <v>4867</v>
      </c>
      <c r="NOO1017" s="16" t="s">
        <v>4867</v>
      </c>
      <c r="NOP1017" s="16" t="s">
        <v>4867</v>
      </c>
      <c r="NOQ1017" s="16" t="s">
        <v>4867</v>
      </c>
      <c r="NOR1017" s="16" t="s">
        <v>4867</v>
      </c>
      <c r="NOS1017" s="16" t="s">
        <v>4867</v>
      </c>
      <c r="NOT1017" s="16" t="s">
        <v>4867</v>
      </c>
      <c r="NOU1017" s="16" t="s">
        <v>4867</v>
      </c>
      <c r="NOV1017" s="16" t="s">
        <v>4867</v>
      </c>
      <c r="NOW1017" s="16" t="s">
        <v>4867</v>
      </c>
      <c r="NOX1017" s="16" t="s">
        <v>4867</v>
      </c>
      <c r="NOY1017" s="16" t="s">
        <v>4867</v>
      </c>
      <c r="NOZ1017" s="16" t="s">
        <v>4867</v>
      </c>
      <c r="NPA1017" s="16" t="s">
        <v>4867</v>
      </c>
      <c r="NPB1017" s="16" t="s">
        <v>4867</v>
      </c>
      <c r="NPC1017" s="16" t="s">
        <v>4867</v>
      </c>
      <c r="NPD1017" s="16" t="s">
        <v>4867</v>
      </c>
      <c r="NPE1017" s="16" t="s">
        <v>4867</v>
      </c>
      <c r="NPF1017" s="16" t="s">
        <v>4867</v>
      </c>
      <c r="NPG1017" s="16" t="s">
        <v>4867</v>
      </c>
      <c r="NPH1017" s="16" t="s">
        <v>4867</v>
      </c>
      <c r="NPI1017" s="16" t="s">
        <v>4867</v>
      </c>
      <c r="NPJ1017" s="16" t="s">
        <v>4867</v>
      </c>
      <c r="NPK1017" s="16" t="s">
        <v>4867</v>
      </c>
      <c r="NPL1017" s="16" t="s">
        <v>4867</v>
      </c>
      <c r="NPM1017" s="16" t="s">
        <v>4867</v>
      </c>
      <c r="NPN1017" s="16" t="s">
        <v>4867</v>
      </c>
      <c r="NPO1017" s="16" t="s">
        <v>4867</v>
      </c>
      <c r="NPP1017" s="16" t="s">
        <v>4867</v>
      </c>
      <c r="NPQ1017" s="16" t="s">
        <v>4867</v>
      </c>
      <c r="NPR1017" s="16" t="s">
        <v>4867</v>
      </c>
      <c r="NPS1017" s="16" t="s">
        <v>4867</v>
      </c>
      <c r="NPT1017" s="16" t="s">
        <v>4867</v>
      </c>
      <c r="NPU1017" s="16" t="s">
        <v>4867</v>
      </c>
      <c r="NPV1017" s="16" t="s">
        <v>4867</v>
      </c>
      <c r="NPW1017" s="16" t="s">
        <v>4867</v>
      </c>
      <c r="NPX1017" s="16" t="s">
        <v>4867</v>
      </c>
      <c r="NPY1017" s="16" t="s">
        <v>4867</v>
      </c>
      <c r="NPZ1017" s="16" t="s">
        <v>4867</v>
      </c>
      <c r="NQA1017" s="16" t="s">
        <v>4867</v>
      </c>
      <c r="NQB1017" s="16" t="s">
        <v>4867</v>
      </c>
      <c r="NQC1017" s="16" t="s">
        <v>4867</v>
      </c>
      <c r="NQD1017" s="16" t="s">
        <v>4867</v>
      </c>
      <c r="NQE1017" s="16" t="s">
        <v>4867</v>
      </c>
      <c r="NQF1017" s="16" t="s">
        <v>4867</v>
      </c>
      <c r="NQG1017" s="16" t="s">
        <v>4867</v>
      </c>
      <c r="NQH1017" s="16" t="s">
        <v>4867</v>
      </c>
      <c r="NQI1017" s="16" t="s">
        <v>4867</v>
      </c>
      <c r="NQJ1017" s="16" t="s">
        <v>4867</v>
      </c>
      <c r="NQK1017" s="16" t="s">
        <v>4867</v>
      </c>
      <c r="NQL1017" s="16" t="s">
        <v>4867</v>
      </c>
      <c r="NQM1017" s="16" t="s">
        <v>4867</v>
      </c>
      <c r="NQN1017" s="16" t="s">
        <v>4867</v>
      </c>
      <c r="NQO1017" s="16" t="s">
        <v>4867</v>
      </c>
      <c r="NQP1017" s="16" t="s">
        <v>4867</v>
      </c>
      <c r="NQQ1017" s="16" t="s">
        <v>4867</v>
      </c>
      <c r="NQR1017" s="16" t="s">
        <v>4867</v>
      </c>
      <c r="NQS1017" s="16" t="s">
        <v>4867</v>
      </c>
      <c r="NQT1017" s="16" t="s">
        <v>4867</v>
      </c>
      <c r="NQU1017" s="16" t="s">
        <v>4867</v>
      </c>
      <c r="NQV1017" s="16" t="s">
        <v>4867</v>
      </c>
      <c r="NQW1017" s="16" t="s">
        <v>4867</v>
      </c>
      <c r="NQX1017" s="16" t="s">
        <v>4867</v>
      </c>
      <c r="NQY1017" s="16" t="s">
        <v>4867</v>
      </c>
      <c r="NQZ1017" s="16" t="s">
        <v>4867</v>
      </c>
      <c r="NRA1017" s="16" t="s">
        <v>4867</v>
      </c>
      <c r="NRB1017" s="16" t="s">
        <v>4867</v>
      </c>
      <c r="NRC1017" s="16" t="s">
        <v>4867</v>
      </c>
      <c r="NRD1017" s="16" t="s">
        <v>4867</v>
      </c>
      <c r="NRE1017" s="16" t="s">
        <v>4867</v>
      </c>
      <c r="NRF1017" s="16" t="s">
        <v>4867</v>
      </c>
      <c r="NRG1017" s="16" t="s">
        <v>4867</v>
      </c>
      <c r="NRH1017" s="16" t="s">
        <v>4867</v>
      </c>
      <c r="NRI1017" s="16" t="s">
        <v>4867</v>
      </c>
      <c r="NRJ1017" s="16" t="s">
        <v>4867</v>
      </c>
      <c r="NRK1017" s="16" t="s">
        <v>4867</v>
      </c>
      <c r="NRL1017" s="16" t="s">
        <v>4867</v>
      </c>
      <c r="NRM1017" s="16" t="s">
        <v>4867</v>
      </c>
      <c r="NRN1017" s="16" t="s">
        <v>4867</v>
      </c>
      <c r="NRO1017" s="16" t="s">
        <v>4867</v>
      </c>
      <c r="NRP1017" s="16" t="s">
        <v>4867</v>
      </c>
      <c r="NRQ1017" s="16" t="s">
        <v>4867</v>
      </c>
      <c r="NRR1017" s="16" t="s">
        <v>4867</v>
      </c>
      <c r="NRS1017" s="16" t="s">
        <v>4867</v>
      </c>
      <c r="NRT1017" s="16" t="s">
        <v>4867</v>
      </c>
      <c r="NRU1017" s="16" t="s">
        <v>4867</v>
      </c>
      <c r="NRV1017" s="16" t="s">
        <v>4867</v>
      </c>
      <c r="NRW1017" s="16" t="s">
        <v>4867</v>
      </c>
      <c r="NRX1017" s="16" t="s">
        <v>4867</v>
      </c>
      <c r="NRY1017" s="16" t="s">
        <v>4867</v>
      </c>
      <c r="NRZ1017" s="16" t="s">
        <v>4867</v>
      </c>
      <c r="NSA1017" s="16" t="s">
        <v>4867</v>
      </c>
      <c r="NSB1017" s="16" t="s">
        <v>4867</v>
      </c>
      <c r="NSC1017" s="16" t="s">
        <v>4867</v>
      </c>
      <c r="NSD1017" s="16" t="s">
        <v>4867</v>
      </c>
      <c r="NSE1017" s="16" t="s">
        <v>4867</v>
      </c>
      <c r="NSF1017" s="16" t="s">
        <v>4867</v>
      </c>
      <c r="NSG1017" s="16" t="s">
        <v>4867</v>
      </c>
      <c r="NSH1017" s="16" t="s">
        <v>4867</v>
      </c>
      <c r="NSI1017" s="16" t="s">
        <v>4867</v>
      </c>
      <c r="NSJ1017" s="16" t="s">
        <v>4867</v>
      </c>
      <c r="NSK1017" s="16" t="s">
        <v>4867</v>
      </c>
      <c r="NSL1017" s="16" t="s">
        <v>4867</v>
      </c>
      <c r="NSM1017" s="16" t="s">
        <v>4867</v>
      </c>
      <c r="NSN1017" s="16" t="s">
        <v>4867</v>
      </c>
      <c r="NSO1017" s="16" t="s">
        <v>4867</v>
      </c>
      <c r="NSP1017" s="16" t="s">
        <v>4867</v>
      </c>
      <c r="NSQ1017" s="16" t="s">
        <v>4867</v>
      </c>
      <c r="NSR1017" s="16" t="s">
        <v>4867</v>
      </c>
      <c r="NSS1017" s="16" t="s">
        <v>4867</v>
      </c>
      <c r="NST1017" s="16" t="s">
        <v>4867</v>
      </c>
      <c r="NSU1017" s="16" t="s">
        <v>4867</v>
      </c>
      <c r="NSV1017" s="16" t="s">
        <v>4867</v>
      </c>
      <c r="NSW1017" s="16" t="s">
        <v>4867</v>
      </c>
      <c r="NSX1017" s="16" t="s">
        <v>4867</v>
      </c>
      <c r="NSY1017" s="16" t="s">
        <v>4867</v>
      </c>
      <c r="NSZ1017" s="16" t="s">
        <v>4867</v>
      </c>
      <c r="NTA1017" s="16" t="s">
        <v>4867</v>
      </c>
      <c r="NTB1017" s="16" t="s">
        <v>4867</v>
      </c>
      <c r="NTC1017" s="16" t="s">
        <v>4867</v>
      </c>
      <c r="NTD1017" s="16" t="s">
        <v>4867</v>
      </c>
      <c r="NTE1017" s="16" t="s">
        <v>4867</v>
      </c>
      <c r="NTF1017" s="16" t="s">
        <v>4867</v>
      </c>
      <c r="NTG1017" s="16" t="s">
        <v>4867</v>
      </c>
      <c r="NTH1017" s="16" t="s">
        <v>4867</v>
      </c>
      <c r="NTI1017" s="16" t="s">
        <v>4867</v>
      </c>
      <c r="NTJ1017" s="16" t="s">
        <v>4867</v>
      </c>
      <c r="NTK1017" s="16" t="s">
        <v>4867</v>
      </c>
      <c r="NTL1017" s="16" t="s">
        <v>4867</v>
      </c>
      <c r="NTM1017" s="16" t="s">
        <v>4867</v>
      </c>
      <c r="NTN1017" s="16" t="s">
        <v>4867</v>
      </c>
      <c r="NTO1017" s="16" t="s">
        <v>4867</v>
      </c>
      <c r="NTP1017" s="16" t="s">
        <v>4867</v>
      </c>
      <c r="NTQ1017" s="16" t="s">
        <v>4867</v>
      </c>
      <c r="NTR1017" s="16" t="s">
        <v>4867</v>
      </c>
      <c r="NTS1017" s="16" t="s">
        <v>4867</v>
      </c>
      <c r="NTT1017" s="16" t="s">
        <v>4867</v>
      </c>
      <c r="NTU1017" s="16" t="s">
        <v>4867</v>
      </c>
      <c r="NTV1017" s="16" t="s">
        <v>4867</v>
      </c>
      <c r="NTW1017" s="16" t="s">
        <v>4867</v>
      </c>
      <c r="NTX1017" s="16" t="s">
        <v>4867</v>
      </c>
      <c r="NTY1017" s="16" t="s">
        <v>4867</v>
      </c>
      <c r="NTZ1017" s="16" t="s">
        <v>4867</v>
      </c>
      <c r="NUA1017" s="16" t="s">
        <v>4867</v>
      </c>
      <c r="NUB1017" s="16" t="s">
        <v>4867</v>
      </c>
      <c r="NUC1017" s="16" t="s">
        <v>4867</v>
      </c>
      <c r="NUD1017" s="16" t="s">
        <v>4867</v>
      </c>
      <c r="NUE1017" s="16" t="s">
        <v>4867</v>
      </c>
      <c r="NUF1017" s="16" t="s">
        <v>4867</v>
      </c>
      <c r="NUG1017" s="16" t="s">
        <v>4867</v>
      </c>
      <c r="NUH1017" s="16" t="s">
        <v>4867</v>
      </c>
      <c r="NUI1017" s="16" t="s">
        <v>4867</v>
      </c>
      <c r="NUJ1017" s="16" t="s">
        <v>4867</v>
      </c>
      <c r="NUK1017" s="16" t="s">
        <v>4867</v>
      </c>
      <c r="NUL1017" s="16" t="s">
        <v>4867</v>
      </c>
      <c r="NUM1017" s="16" t="s">
        <v>4867</v>
      </c>
      <c r="NUN1017" s="16" t="s">
        <v>4867</v>
      </c>
      <c r="NUO1017" s="16" t="s">
        <v>4867</v>
      </c>
      <c r="NUP1017" s="16" t="s">
        <v>4867</v>
      </c>
      <c r="NUQ1017" s="16" t="s">
        <v>4867</v>
      </c>
      <c r="NUR1017" s="16" t="s">
        <v>4867</v>
      </c>
      <c r="NUS1017" s="16" t="s">
        <v>4867</v>
      </c>
      <c r="NUT1017" s="16" t="s">
        <v>4867</v>
      </c>
      <c r="NUU1017" s="16" t="s">
        <v>4867</v>
      </c>
      <c r="NUV1017" s="16" t="s">
        <v>4867</v>
      </c>
      <c r="NUW1017" s="16" t="s">
        <v>4867</v>
      </c>
      <c r="NUX1017" s="16" t="s">
        <v>4867</v>
      </c>
      <c r="NUY1017" s="16" t="s">
        <v>4867</v>
      </c>
      <c r="NUZ1017" s="16" t="s">
        <v>4867</v>
      </c>
      <c r="NVA1017" s="16" t="s">
        <v>4867</v>
      </c>
      <c r="NVB1017" s="16" t="s">
        <v>4867</v>
      </c>
      <c r="NVC1017" s="16" t="s">
        <v>4867</v>
      </c>
      <c r="NVD1017" s="16" t="s">
        <v>4867</v>
      </c>
      <c r="NVE1017" s="16" t="s">
        <v>4867</v>
      </c>
      <c r="NVF1017" s="16" t="s">
        <v>4867</v>
      </c>
      <c r="NVG1017" s="16" t="s">
        <v>4867</v>
      </c>
      <c r="NVH1017" s="16" t="s">
        <v>4867</v>
      </c>
      <c r="NVI1017" s="16" t="s">
        <v>4867</v>
      </c>
      <c r="NVJ1017" s="16" t="s">
        <v>4867</v>
      </c>
      <c r="NVK1017" s="16" t="s">
        <v>4867</v>
      </c>
      <c r="NVL1017" s="16" t="s">
        <v>4867</v>
      </c>
      <c r="NVM1017" s="16" t="s">
        <v>4867</v>
      </c>
      <c r="NVN1017" s="16" t="s">
        <v>4867</v>
      </c>
      <c r="NVO1017" s="16" t="s">
        <v>4867</v>
      </c>
      <c r="NVP1017" s="16" t="s">
        <v>4867</v>
      </c>
      <c r="NVQ1017" s="16" t="s">
        <v>4867</v>
      </c>
      <c r="NVR1017" s="16" t="s">
        <v>4867</v>
      </c>
      <c r="NVS1017" s="16" t="s">
        <v>4867</v>
      </c>
      <c r="NVT1017" s="16" t="s">
        <v>4867</v>
      </c>
      <c r="NVU1017" s="16" t="s">
        <v>4867</v>
      </c>
      <c r="NVV1017" s="16" t="s">
        <v>4867</v>
      </c>
      <c r="NVW1017" s="16" t="s">
        <v>4867</v>
      </c>
      <c r="NVX1017" s="16" t="s">
        <v>4867</v>
      </c>
      <c r="NVY1017" s="16" t="s">
        <v>4867</v>
      </c>
      <c r="NVZ1017" s="16" t="s">
        <v>4867</v>
      </c>
      <c r="NWA1017" s="16" t="s">
        <v>4867</v>
      </c>
      <c r="NWB1017" s="16" t="s">
        <v>4867</v>
      </c>
      <c r="NWC1017" s="16" t="s">
        <v>4867</v>
      </c>
      <c r="NWD1017" s="16" t="s">
        <v>4867</v>
      </c>
      <c r="NWE1017" s="16" t="s">
        <v>4867</v>
      </c>
      <c r="NWF1017" s="16" t="s">
        <v>4867</v>
      </c>
      <c r="NWG1017" s="16" t="s">
        <v>4867</v>
      </c>
      <c r="NWH1017" s="16" t="s">
        <v>4867</v>
      </c>
      <c r="NWI1017" s="16" t="s">
        <v>4867</v>
      </c>
      <c r="NWJ1017" s="16" t="s">
        <v>4867</v>
      </c>
      <c r="NWK1017" s="16" t="s">
        <v>4867</v>
      </c>
      <c r="NWL1017" s="16" t="s">
        <v>4867</v>
      </c>
      <c r="NWM1017" s="16" t="s">
        <v>4867</v>
      </c>
      <c r="NWN1017" s="16" t="s">
        <v>4867</v>
      </c>
      <c r="NWO1017" s="16" t="s">
        <v>4867</v>
      </c>
      <c r="NWP1017" s="16" t="s">
        <v>4867</v>
      </c>
      <c r="NWQ1017" s="16" t="s">
        <v>4867</v>
      </c>
      <c r="NWR1017" s="16" t="s">
        <v>4867</v>
      </c>
      <c r="NWS1017" s="16" t="s">
        <v>4867</v>
      </c>
      <c r="NWT1017" s="16" t="s">
        <v>4867</v>
      </c>
      <c r="NWU1017" s="16" t="s">
        <v>4867</v>
      </c>
      <c r="NWV1017" s="16" t="s">
        <v>4867</v>
      </c>
      <c r="NWW1017" s="16" t="s">
        <v>4867</v>
      </c>
      <c r="NWX1017" s="16" t="s">
        <v>4867</v>
      </c>
      <c r="NWY1017" s="16" t="s">
        <v>4867</v>
      </c>
      <c r="NWZ1017" s="16" t="s">
        <v>4867</v>
      </c>
      <c r="NXA1017" s="16" t="s">
        <v>4867</v>
      </c>
      <c r="NXB1017" s="16" t="s">
        <v>4867</v>
      </c>
      <c r="NXC1017" s="16" t="s">
        <v>4867</v>
      </c>
      <c r="NXD1017" s="16" t="s">
        <v>4867</v>
      </c>
      <c r="NXE1017" s="16" t="s">
        <v>4867</v>
      </c>
      <c r="NXF1017" s="16" t="s">
        <v>4867</v>
      </c>
      <c r="NXG1017" s="16" t="s">
        <v>4867</v>
      </c>
      <c r="NXH1017" s="16" t="s">
        <v>4867</v>
      </c>
      <c r="NXI1017" s="16" t="s">
        <v>4867</v>
      </c>
      <c r="NXJ1017" s="16" t="s">
        <v>4867</v>
      </c>
      <c r="NXK1017" s="16" t="s">
        <v>4867</v>
      </c>
      <c r="NXL1017" s="16" t="s">
        <v>4867</v>
      </c>
      <c r="NXM1017" s="16" t="s">
        <v>4867</v>
      </c>
      <c r="NXN1017" s="16" t="s">
        <v>4867</v>
      </c>
      <c r="NXO1017" s="16" t="s">
        <v>4867</v>
      </c>
      <c r="NXP1017" s="16" t="s">
        <v>4867</v>
      </c>
      <c r="NXQ1017" s="16" t="s">
        <v>4867</v>
      </c>
      <c r="NXR1017" s="16" t="s">
        <v>4867</v>
      </c>
      <c r="NXS1017" s="16" t="s">
        <v>4867</v>
      </c>
      <c r="NXT1017" s="16" t="s">
        <v>4867</v>
      </c>
      <c r="NXU1017" s="16" t="s">
        <v>4867</v>
      </c>
      <c r="NXV1017" s="16" t="s">
        <v>4867</v>
      </c>
      <c r="NXW1017" s="16" t="s">
        <v>4867</v>
      </c>
      <c r="NXX1017" s="16" t="s">
        <v>4867</v>
      </c>
      <c r="NXY1017" s="16" t="s">
        <v>4867</v>
      </c>
      <c r="NXZ1017" s="16" t="s">
        <v>4867</v>
      </c>
      <c r="NYA1017" s="16" t="s">
        <v>4867</v>
      </c>
      <c r="NYB1017" s="16" t="s">
        <v>4867</v>
      </c>
      <c r="NYC1017" s="16" t="s">
        <v>4867</v>
      </c>
      <c r="NYD1017" s="16" t="s">
        <v>4867</v>
      </c>
      <c r="NYE1017" s="16" t="s">
        <v>4867</v>
      </c>
      <c r="NYF1017" s="16" t="s">
        <v>4867</v>
      </c>
      <c r="NYG1017" s="16" t="s">
        <v>4867</v>
      </c>
      <c r="NYH1017" s="16" t="s">
        <v>4867</v>
      </c>
      <c r="NYI1017" s="16" t="s">
        <v>4867</v>
      </c>
      <c r="NYJ1017" s="16" t="s">
        <v>4867</v>
      </c>
      <c r="NYK1017" s="16" t="s">
        <v>4867</v>
      </c>
      <c r="NYL1017" s="16" t="s">
        <v>4867</v>
      </c>
      <c r="NYM1017" s="16" t="s">
        <v>4867</v>
      </c>
      <c r="NYN1017" s="16" t="s">
        <v>4867</v>
      </c>
      <c r="NYO1017" s="16" t="s">
        <v>4867</v>
      </c>
      <c r="NYP1017" s="16" t="s">
        <v>4867</v>
      </c>
      <c r="NYQ1017" s="16" t="s">
        <v>4867</v>
      </c>
      <c r="NYR1017" s="16" t="s">
        <v>4867</v>
      </c>
      <c r="NYS1017" s="16" t="s">
        <v>4867</v>
      </c>
      <c r="NYT1017" s="16" t="s">
        <v>4867</v>
      </c>
      <c r="NYU1017" s="16" t="s">
        <v>4867</v>
      </c>
      <c r="NYV1017" s="16" t="s">
        <v>4867</v>
      </c>
      <c r="NYW1017" s="16" t="s">
        <v>4867</v>
      </c>
      <c r="NYX1017" s="16" t="s">
        <v>4867</v>
      </c>
      <c r="NYY1017" s="16" t="s">
        <v>4867</v>
      </c>
      <c r="NYZ1017" s="16" t="s">
        <v>4867</v>
      </c>
      <c r="NZA1017" s="16" t="s">
        <v>4867</v>
      </c>
      <c r="NZB1017" s="16" t="s">
        <v>4867</v>
      </c>
      <c r="NZC1017" s="16" t="s">
        <v>4867</v>
      </c>
      <c r="NZD1017" s="16" t="s">
        <v>4867</v>
      </c>
      <c r="NZE1017" s="16" t="s">
        <v>4867</v>
      </c>
      <c r="NZF1017" s="16" t="s">
        <v>4867</v>
      </c>
      <c r="NZG1017" s="16" t="s">
        <v>4867</v>
      </c>
      <c r="NZH1017" s="16" t="s">
        <v>4867</v>
      </c>
      <c r="NZI1017" s="16" t="s">
        <v>4867</v>
      </c>
      <c r="NZJ1017" s="16" t="s">
        <v>4867</v>
      </c>
      <c r="NZK1017" s="16" t="s">
        <v>4867</v>
      </c>
      <c r="NZL1017" s="16" t="s">
        <v>4867</v>
      </c>
      <c r="NZM1017" s="16" t="s">
        <v>4867</v>
      </c>
      <c r="NZN1017" s="16" t="s">
        <v>4867</v>
      </c>
      <c r="NZO1017" s="16" t="s">
        <v>4867</v>
      </c>
      <c r="NZP1017" s="16" t="s">
        <v>4867</v>
      </c>
      <c r="NZQ1017" s="16" t="s">
        <v>4867</v>
      </c>
      <c r="NZR1017" s="16" t="s">
        <v>4867</v>
      </c>
      <c r="NZS1017" s="16" t="s">
        <v>4867</v>
      </c>
      <c r="NZT1017" s="16" t="s">
        <v>4867</v>
      </c>
      <c r="NZU1017" s="16" t="s">
        <v>4867</v>
      </c>
      <c r="NZV1017" s="16" t="s">
        <v>4867</v>
      </c>
      <c r="NZW1017" s="16" t="s">
        <v>4867</v>
      </c>
      <c r="NZX1017" s="16" t="s">
        <v>4867</v>
      </c>
      <c r="NZY1017" s="16" t="s">
        <v>4867</v>
      </c>
      <c r="NZZ1017" s="16" t="s">
        <v>4867</v>
      </c>
      <c r="OAA1017" s="16" t="s">
        <v>4867</v>
      </c>
      <c r="OAB1017" s="16" t="s">
        <v>4867</v>
      </c>
      <c r="OAC1017" s="16" t="s">
        <v>4867</v>
      </c>
      <c r="OAD1017" s="16" t="s">
        <v>4867</v>
      </c>
      <c r="OAE1017" s="16" t="s">
        <v>4867</v>
      </c>
      <c r="OAF1017" s="16" t="s">
        <v>4867</v>
      </c>
      <c r="OAG1017" s="16" t="s">
        <v>4867</v>
      </c>
      <c r="OAH1017" s="16" t="s">
        <v>4867</v>
      </c>
      <c r="OAI1017" s="16" t="s">
        <v>4867</v>
      </c>
      <c r="OAJ1017" s="16" t="s">
        <v>4867</v>
      </c>
      <c r="OAK1017" s="16" t="s">
        <v>4867</v>
      </c>
      <c r="OAL1017" s="16" t="s">
        <v>4867</v>
      </c>
      <c r="OAM1017" s="16" t="s">
        <v>4867</v>
      </c>
      <c r="OAN1017" s="16" t="s">
        <v>4867</v>
      </c>
      <c r="OAO1017" s="16" t="s">
        <v>4867</v>
      </c>
      <c r="OAP1017" s="16" t="s">
        <v>4867</v>
      </c>
      <c r="OAQ1017" s="16" t="s">
        <v>4867</v>
      </c>
      <c r="OAR1017" s="16" t="s">
        <v>4867</v>
      </c>
      <c r="OAS1017" s="16" t="s">
        <v>4867</v>
      </c>
      <c r="OAT1017" s="16" t="s">
        <v>4867</v>
      </c>
      <c r="OAU1017" s="16" t="s">
        <v>4867</v>
      </c>
      <c r="OAV1017" s="16" t="s">
        <v>4867</v>
      </c>
      <c r="OAW1017" s="16" t="s">
        <v>4867</v>
      </c>
      <c r="OAX1017" s="16" t="s">
        <v>4867</v>
      </c>
      <c r="OAY1017" s="16" t="s">
        <v>4867</v>
      </c>
      <c r="OAZ1017" s="16" t="s">
        <v>4867</v>
      </c>
      <c r="OBA1017" s="16" t="s">
        <v>4867</v>
      </c>
      <c r="OBB1017" s="16" t="s">
        <v>4867</v>
      </c>
      <c r="OBC1017" s="16" t="s">
        <v>4867</v>
      </c>
      <c r="OBD1017" s="16" t="s">
        <v>4867</v>
      </c>
      <c r="OBE1017" s="16" t="s">
        <v>4867</v>
      </c>
      <c r="OBF1017" s="16" t="s">
        <v>4867</v>
      </c>
      <c r="OBG1017" s="16" t="s">
        <v>4867</v>
      </c>
      <c r="OBH1017" s="16" t="s">
        <v>4867</v>
      </c>
      <c r="OBI1017" s="16" t="s">
        <v>4867</v>
      </c>
      <c r="OBJ1017" s="16" t="s">
        <v>4867</v>
      </c>
      <c r="OBK1017" s="16" t="s">
        <v>4867</v>
      </c>
      <c r="OBL1017" s="16" t="s">
        <v>4867</v>
      </c>
      <c r="OBM1017" s="16" t="s">
        <v>4867</v>
      </c>
      <c r="OBN1017" s="16" t="s">
        <v>4867</v>
      </c>
      <c r="OBO1017" s="16" t="s">
        <v>4867</v>
      </c>
      <c r="OBP1017" s="16" t="s">
        <v>4867</v>
      </c>
      <c r="OBQ1017" s="16" t="s">
        <v>4867</v>
      </c>
      <c r="OBR1017" s="16" t="s">
        <v>4867</v>
      </c>
      <c r="OBS1017" s="16" t="s">
        <v>4867</v>
      </c>
      <c r="OBT1017" s="16" t="s">
        <v>4867</v>
      </c>
      <c r="OBU1017" s="16" t="s">
        <v>4867</v>
      </c>
      <c r="OBV1017" s="16" t="s">
        <v>4867</v>
      </c>
      <c r="OBW1017" s="16" t="s">
        <v>4867</v>
      </c>
      <c r="OBX1017" s="16" t="s">
        <v>4867</v>
      </c>
      <c r="OBY1017" s="16" t="s">
        <v>4867</v>
      </c>
      <c r="OBZ1017" s="16" t="s">
        <v>4867</v>
      </c>
      <c r="OCA1017" s="16" t="s">
        <v>4867</v>
      </c>
      <c r="OCB1017" s="16" t="s">
        <v>4867</v>
      </c>
      <c r="OCC1017" s="16" t="s">
        <v>4867</v>
      </c>
      <c r="OCD1017" s="16" t="s">
        <v>4867</v>
      </c>
      <c r="OCE1017" s="16" t="s">
        <v>4867</v>
      </c>
      <c r="OCF1017" s="16" t="s">
        <v>4867</v>
      </c>
      <c r="OCG1017" s="16" t="s">
        <v>4867</v>
      </c>
      <c r="OCH1017" s="16" t="s">
        <v>4867</v>
      </c>
      <c r="OCI1017" s="16" t="s">
        <v>4867</v>
      </c>
      <c r="OCJ1017" s="16" t="s">
        <v>4867</v>
      </c>
      <c r="OCK1017" s="16" t="s">
        <v>4867</v>
      </c>
      <c r="OCL1017" s="16" t="s">
        <v>4867</v>
      </c>
      <c r="OCM1017" s="16" t="s">
        <v>4867</v>
      </c>
      <c r="OCN1017" s="16" t="s">
        <v>4867</v>
      </c>
      <c r="OCO1017" s="16" t="s">
        <v>4867</v>
      </c>
      <c r="OCP1017" s="16" t="s">
        <v>4867</v>
      </c>
      <c r="OCQ1017" s="16" t="s">
        <v>4867</v>
      </c>
      <c r="OCR1017" s="16" t="s">
        <v>4867</v>
      </c>
      <c r="OCS1017" s="16" t="s">
        <v>4867</v>
      </c>
      <c r="OCT1017" s="16" t="s">
        <v>4867</v>
      </c>
      <c r="OCU1017" s="16" t="s">
        <v>4867</v>
      </c>
      <c r="OCV1017" s="16" t="s">
        <v>4867</v>
      </c>
      <c r="OCW1017" s="16" t="s">
        <v>4867</v>
      </c>
      <c r="OCX1017" s="16" t="s">
        <v>4867</v>
      </c>
      <c r="OCY1017" s="16" t="s">
        <v>4867</v>
      </c>
      <c r="OCZ1017" s="16" t="s">
        <v>4867</v>
      </c>
      <c r="ODA1017" s="16" t="s">
        <v>4867</v>
      </c>
      <c r="ODB1017" s="16" t="s">
        <v>4867</v>
      </c>
      <c r="ODC1017" s="16" t="s">
        <v>4867</v>
      </c>
      <c r="ODD1017" s="16" t="s">
        <v>4867</v>
      </c>
      <c r="ODE1017" s="16" t="s">
        <v>4867</v>
      </c>
      <c r="ODF1017" s="16" t="s">
        <v>4867</v>
      </c>
      <c r="ODG1017" s="16" t="s">
        <v>4867</v>
      </c>
      <c r="ODH1017" s="16" t="s">
        <v>4867</v>
      </c>
      <c r="ODI1017" s="16" t="s">
        <v>4867</v>
      </c>
      <c r="ODJ1017" s="16" t="s">
        <v>4867</v>
      </c>
      <c r="ODK1017" s="16" t="s">
        <v>4867</v>
      </c>
      <c r="ODL1017" s="16" t="s">
        <v>4867</v>
      </c>
      <c r="ODM1017" s="16" t="s">
        <v>4867</v>
      </c>
      <c r="ODN1017" s="16" t="s">
        <v>4867</v>
      </c>
      <c r="ODO1017" s="16" t="s">
        <v>4867</v>
      </c>
      <c r="ODP1017" s="16" t="s">
        <v>4867</v>
      </c>
      <c r="ODQ1017" s="16" t="s">
        <v>4867</v>
      </c>
      <c r="ODR1017" s="16" t="s">
        <v>4867</v>
      </c>
      <c r="ODS1017" s="16" t="s">
        <v>4867</v>
      </c>
      <c r="ODT1017" s="16" t="s">
        <v>4867</v>
      </c>
      <c r="ODU1017" s="16" t="s">
        <v>4867</v>
      </c>
      <c r="ODV1017" s="16" t="s">
        <v>4867</v>
      </c>
      <c r="ODW1017" s="16" t="s">
        <v>4867</v>
      </c>
      <c r="ODX1017" s="16" t="s">
        <v>4867</v>
      </c>
      <c r="ODY1017" s="16" t="s">
        <v>4867</v>
      </c>
      <c r="ODZ1017" s="16" t="s">
        <v>4867</v>
      </c>
      <c r="OEA1017" s="16" t="s">
        <v>4867</v>
      </c>
      <c r="OEB1017" s="16" t="s">
        <v>4867</v>
      </c>
      <c r="OEC1017" s="16" t="s">
        <v>4867</v>
      </c>
      <c r="OED1017" s="16" t="s">
        <v>4867</v>
      </c>
      <c r="OEE1017" s="16" t="s">
        <v>4867</v>
      </c>
      <c r="OEF1017" s="16" t="s">
        <v>4867</v>
      </c>
      <c r="OEG1017" s="16" t="s">
        <v>4867</v>
      </c>
      <c r="OEH1017" s="16" t="s">
        <v>4867</v>
      </c>
      <c r="OEI1017" s="16" t="s">
        <v>4867</v>
      </c>
      <c r="OEJ1017" s="16" t="s">
        <v>4867</v>
      </c>
      <c r="OEK1017" s="16" t="s">
        <v>4867</v>
      </c>
      <c r="OEL1017" s="16" t="s">
        <v>4867</v>
      </c>
      <c r="OEM1017" s="16" t="s">
        <v>4867</v>
      </c>
      <c r="OEN1017" s="16" t="s">
        <v>4867</v>
      </c>
      <c r="OEO1017" s="16" t="s">
        <v>4867</v>
      </c>
      <c r="OEP1017" s="16" t="s">
        <v>4867</v>
      </c>
      <c r="OEQ1017" s="16" t="s">
        <v>4867</v>
      </c>
      <c r="OER1017" s="16" t="s">
        <v>4867</v>
      </c>
      <c r="OES1017" s="16" t="s">
        <v>4867</v>
      </c>
      <c r="OET1017" s="16" t="s">
        <v>4867</v>
      </c>
      <c r="OEU1017" s="16" t="s">
        <v>4867</v>
      </c>
      <c r="OEV1017" s="16" t="s">
        <v>4867</v>
      </c>
      <c r="OEW1017" s="16" t="s">
        <v>4867</v>
      </c>
      <c r="OEX1017" s="16" t="s">
        <v>4867</v>
      </c>
      <c r="OEY1017" s="16" t="s">
        <v>4867</v>
      </c>
      <c r="OEZ1017" s="16" t="s">
        <v>4867</v>
      </c>
      <c r="OFA1017" s="16" t="s">
        <v>4867</v>
      </c>
      <c r="OFB1017" s="16" t="s">
        <v>4867</v>
      </c>
      <c r="OFC1017" s="16" t="s">
        <v>4867</v>
      </c>
      <c r="OFD1017" s="16" t="s">
        <v>4867</v>
      </c>
      <c r="OFE1017" s="16" t="s">
        <v>4867</v>
      </c>
      <c r="OFF1017" s="16" t="s">
        <v>4867</v>
      </c>
      <c r="OFG1017" s="16" t="s">
        <v>4867</v>
      </c>
      <c r="OFH1017" s="16" t="s">
        <v>4867</v>
      </c>
      <c r="OFI1017" s="16" t="s">
        <v>4867</v>
      </c>
      <c r="OFJ1017" s="16" t="s">
        <v>4867</v>
      </c>
      <c r="OFK1017" s="16" t="s">
        <v>4867</v>
      </c>
      <c r="OFL1017" s="16" t="s">
        <v>4867</v>
      </c>
      <c r="OFM1017" s="16" t="s">
        <v>4867</v>
      </c>
      <c r="OFN1017" s="16" t="s">
        <v>4867</v>
      </c>
      <c r="OFO1017" s="16" t="s">
        <v>4867</v>
      </c>
      <c r="OFP1017" s="16" t="s">
        <v>4867</v>
      </c>
      <c r="OFQ1017" s="16" t="s">
        <v>4867</v>
      </c>
      <c r="OFR1017" s="16" t="s">
        <v>4867</v>
      </c>
      <c r="OFS1017" s="16" t="s">
        <v>4867</v>
      </c>
      <c r="OFT1017" s="16" t="s">
        <v>4867</v>
      </c>
      <c r="OFU1017" s="16" t="s">
        <v>4867</v>
      </c>
      <c r="OFV1017" s="16" t="s">
        <v>4867</v>
      </c>
      <c r="OFW1017" s="16" t="s">
        <v>4867</v>
      </c>
      <c r="OFX1017" s="16" t="s">
        <v>4867</v>
      </c>
      <c r="OFY1017" s="16" t="s">
        <v>4867</v>
      </c>
      <c r="OFZ1017" s="16" t="s">
        <v>4867</v>
      </c>
      <c r="OGA1017" s="16" t="s">
        <v>4867</v>
      </c>
      <c r="OGB1017" s="16" t="s">
        <v>4867</v>
      </c>
      <c r="OGC1017" s="16" t="s">
        <v>4867</v>
      </c>
      <c r="OGD1017" s="16" t="s">
        <v>4867</v>
      </c>
      <c r="OGE1017" s="16" t="s">
        <v>4867</v>
      </c>
      <c r="OGF1017" s="16" t="s">
        <v>4867</v>
      </c>
      <c r="OGG1017" s="16" t="s">
        <v>4867</v>
      </c>
      <c r="OGH1017" s="16" t="s">
        <v>4867</v>
      </c>
      <c r="OGI1017" s="16" t="s">
        <v>4867</v>
      </c>
      <c r="OGJ1017" s="16" t="s">
        <v>4867</v>
      </c>
      <c r="OGK1017" s="16" t="s">
        <v>4867</v>
      </c>
      <c r="OGL1017" s="16" t="s">
        <v>4867</v>
      </c>
      <c r="OGM1017" s="16" t="s">
        <v>4867</v>
      </c>
      <c r="OGN1017" s="16" t="s">
        <v>4867</v>
      </c>
      <c r="OGO1017" s="16" t="s">
        <v>4867</v>
      </c>
      <c r="OGP1017" s="16" t="s">
        <v>4867</v>
      </c>
      <c r="OGQ1017" s="16" t="s">
        <v>4867</v>
      </c>
      <c r="OGR1017" s="16" t="s">
        <v>4867</v>
      </c>
      <c r="OGS1017" s="16" t="s">
        <v>4867</v>
      </c>
      <c r="OGT1017" s="16" t="s">
        <v>4867</v>
      </c>
      <c r="OGU1017" s="16" t="s">
        <v>4867</v>
      </c>
      <c r="OGV1017" s="16" t="s">
        <v>4867</v>
      </c>
      <c r="OGW1017" s="16" t="s">
        <v>4867</v>
      </c>
      <c r="OGX1017" s="16" t="s">
        <v>4867</v>
      </c>
      <c r="OGY1017" s="16" t="s">
        <v>4867</v>
      </c>
      <c r="OGZ1017" s="16" t="s">
        <v>4867</v>
      </c>
      <c r="OHA1017" s="16" t="s">
        <v>4867</v>
      </c>
      <c r="OHB1017" s="16" t="s">
        <v>4867</v>
      </c>
      <c r="OHC1017" s="16" t="s">
        <v>4867</v>
      </c>
      <c r="OHD1017" s="16" t="s">
        <v>4867</v>
      </c>
      <c r="OHE1017" s="16" t="s">
        <v>4867</v>
      </c>
      <c r="OHF1017" s="16" t="s">
        <v>4867</v>
      </c>
      <c r="OHG1017" s="16" t="s">
        <v>4867</v>
      </c>
      <c r="OHH1017" s="16" t="s">
        <v>4867</v>
      </c>
      <c r="OHI1017" s="16" t="s">
        <v>4867</v>
      </c>
      <c r="OHJ1017" s="16" t="s">
        <v>4867</v>
      </c>
      <c r="OHK1017" s="16" t="s">
        <v>4867</v>
      </c>
      <c r="OHL1017" s="16" t="s">
        <v>4867</v>
      </c>
      <c r="OHM1017" s="16" t="s">
        <v>4867</v>
      </c>
      <c r="OHN1017" s="16" t="s">
        <v>4867</v>
      </c>
      <c r="OHO1017" s="16" t="s">
        <v>4867</v>
      </c>
      <c r="OHP1017" s="16" t="s">
        <v>4867</v>
      </c>
      <c r="OHQ1017" s="16" t="s">
        <v>4867</v>
      </c>
      <c r="OHR1017" s="16" t="s">
        <v>4867</v>
      </c>
      <c r="OHS1017" s="16" t="s">
        <v>4867</v>
      </c>
      <c r="OHT1017" s="16" t="s">
        <v>4867</v>
      </c>
      <c r="OHU1017" s="16" t="s">
        <v>4867</v>
      </c>
      <c r="OHV1017" s="16" t="s">
        <v>4867</v>
      </c>
      <c r="OHW1017" s="16" t="s">
        <v>4867</v>
      </c>
      <c r="OHX1017" s="16" t="s">
        <v>4867</v>
      </c>
      <c r="OHY1017" s="16" t="s">
        <v>4867</v>
      </c>
      <c r="OHZ1017" s="16" t="s">
        <v>4867</v>
      </c>
      <c r="OIA1017" s="16" t="s">
        <v>4867</v>
      </c>
      <c r="OIB1017" s="16" t="s">
        <v>4867</v>
      </c>
      <c r="OIC1017" s="16" t="s">
        <v>4867</v>
      </c>
      <c r="OID1017" s="16" t="s">
        <v>4867</v>
      </c>
      <c r="OIE1017" s="16" t="s">
        <v>4867</v>
      </c>
      <c r="OIF1017" s="16" t="s">
        <v>4867</v>
      </c>
      <c r="OIG1017" s="16" t="s">
        <v>4867</v>
      </c>
      <c r="OIH1017" s="16" t="s">
        <v>4867</v>
      </c>
      <c r="OII1017" s="16" t="s">
        <v>4867</v>
      </c>
      <c r="OIJ1017" s="16" t="s">
        <v>4867</v>
      </c>
      <c r="OIK1017" s="16" t="s">
        <v>4867</v>
      </c>
      <c r="OIL1017" s="16" t="s">
        <v>4867</v>
      </c>
      <c r="OIM1017" s="16" t="s">
        <v>4867</v>
      </c>
      <c r="OIN1017" s="16" t="s">
        <v>4867</v>
      </c>
      <c r="OIO1017" s="16" t="s">
        <v>4867</v>
      </c>
      <c r="OIP1017" s="16" t="s">
        <v>4867</v>
      </c>
      <c r="OIQ1017" s="16" t="s">
        <v>4867</v>
      </c>
      <c r="OIR1017" s="16" t="s">
        <v>4867</v>
      </c>
      <c r="OIS1017" s="16" t="s">
        <v>4867</v>
      </c>
      <c r="OIT1017" s="16" t="s">
        <v>4867</v>
      </c>
      <c r="OIU1017" s="16" t="s">
        <v>4867</v>
      </c>
      <c r="OIV1017" s="16" t="s">
        <v>4867</v>
      </c>
      <c r="OIW1017" s="16" t="s">
        <v>4867</v>
      </c>
      <c r="OIX1017" s="16" t="s">
        <v>4867</v>
      </c>
      <c r="OIY1017" s="16" t="s">
        <v>4867</v>
      </c>
      <c r="OIZ1017" s="16" t="s">
        <v>4867</v>
      </c>
      <c r="OJA1017" s="16" t="s">
        <v>4867</v>
      </c>
      <c r="OJB1017" s="16" t="s">
        <v>4867</v>
      </c>
      <c r="OJC1017" s="16" t="s">
        <v>4867</v>
      </c>
      <c r="OJD1017" s="16" t="s">
        <v>4867</v>
      </c>
      <c r="OJE1017" s="16" t="s">
        <v>4867</v>
      </c>
      <c r="OJF1017" s="16" t="s">
        <v>4867</v>
      </c>
      <c r="OJG1017" s="16" t="s">
        <v>4867</v>
      </c>
      <c r="OJH1017" s="16" t="s">
        <v>4867</v>
      </c>
      <c r="OJI1017" s="16" t="s">
        <v>4867</v>
      </c>
      <c r="OJJ1017" s="16" t="s">
        <v>4867</v>
      </c>
      <c r="OJK1017" s="16" t="s">
        <v>4867</v>
      </c>
      <c r="OJL1017" s="16" t="s">
        <v>4867</v>
      </c>
      <c r="OJM1017" s="16" t="s">
        <v>4867</v>
      </c>
      <c r="OJN1017" s="16" t="s">
        <v>4867</v>
      </c>
      <c r="OJO1017" s="16" t="s">
        <v>4867</v>
      </c>
      <c r="OJP1017" s="16" t="s">
        <v>4867</v>
      </c>
      <c r="OJQ1017" s="16" t="s">
        <v>4867</v>
      </c>
      <c r="OJR1017" s="16" t="s">
        <v>4867</v>
      </c>
      <c r="OJS1017" s="16" t="s">
        <v>4867</v>
      </c>
      <c r="OJT1017" s="16" t="s">
        <v>4867</v>
      </c>
      <c r="OJU1017" s="16" t="s">
        <v>4867</v>
      </c>
      <c r="OJV1017" s="16" t="s">
        <v>4867</v>
      </c>
      <c r="OJW1017" s="16" t="s">
        <v>4867</v>
      </c>
      <c r="OJX1017" s="16" t="s">
        <v>4867</v>
      </c>
      <c r="OJY1017" s="16" t="s">
        <v>4867</v>
      </c>
      <c r="OJZ1017" s="16" t="s">
        <v>4867</v>
      </c>
      <c r="OKA1017" s="16" t="s">
        <v>4867</v>
      </c>
      <c r="OKB1017" s="16" t="s">
        <v>4867</v>
      </c>
      <c r="OKC1017" s="16" t="s">
        <v>4867</v>
      </c>
      <c r="OKD1017" s="16" t="s">
        <v>4867</v>
      </c>
      <c r="OKE1017" s="16" t="s">
        <v>4867</v>
      </c>
      <c r="OKF1017" s="16" t="s">
        <v>4867</v>
      </c>
      <c r="OKG1017" s="16" t="s">
        <v>4867</v>
      </c>
      <c r="OKH1017" s="16" t="s">
        <v>4867</v>
      </c>
      <c r="OKI1017" s="16" t="s">
        <v>4867</v>
      </c>
      <c r="OKJ1017" s="16" t="s">
        <v>4867</v>
      </c>
      <c r="OKK1017" s="16" t="s">
        <v>4867</v>
      </c>
      <c r="OKL1017" s="16" t="s">
        <v>4867</v>
      </c>
      <c r="OKM1017" s="16" t="s">
        <v>4867</v>
      </c>
      <c r="OKN1017" s="16" t="s">
        <v>4867</v>
      </c>
      <c r="OKO1017" s="16" t="s">
        <v>4867</v>
      </c>
      <c r="OKP1017" s="16" t="s">
        <v>4867</v>
      </c>
      <c r="OKQ1017" s="16" t="s">
        <v>4867</v>
      </c>
      <c r="OKR1017" s="16" t="s">
        <v>4867</v>
      </c>
      <c r="OKS1017" s="16" t="s">
        <v>4867</v>
      </c>
      <c r="OKT1017" s="16" t="s">
        <v>4867</v>
      </c>
      <c r="OKU1017" s="16" t="s">
        <v>4867</v>
      </c>
      <c r="OKV1017" s="16" t="s">
        <v>4867</v>
      </c>
      <c r="OKW1017" s="16" t="s">
        <v>4867</v>
      </c>
      <c r="OKX1017" s="16" t="s">
        <v>4867</v>
      </c>
      <c r="OKY1017" s="16" t="s">
        <v>4867</v>
      </c>
      <c r="OKZ1017" s="16" t="s">
        <v>4867</v>
      </c>
      <c r="OLA1017" s="16" t="s">
        <v>4867</v>
      </c>
      <c r="OLB1017" s="16" t="s">
        <v>4867</v>
      </c>
      <c r="OLC1017" s="16" t="s">
        <v>4867</v>
      </c>
      <c r="OLD1017" s="16" t="s">
        <v>4867</v>
      </c>
      <c r="OLE1017" s="16" t="s">
        <v>4867</v>
      </c>
      <c r="OLF1017" s="16" t="s">
        <v>4867</v>
      </c>
      <c r="OLG1017" s="16" t="s">
        <v>4867</v>
      </c>
      <c r="OLH1017" s="16" t="s">
        <v>4867</v>
      </c>
      <c r="OLI1017" s="16" t="s">
        <v>4867</v>
      </c>
      <c r="OLJ1017" s="16" t="s">
        <v>4867</v>
      </c>
      <c r="OLK1017" s="16" t="s">
        <v>4867</v>
      </c>
      <c r="OLL1017" s="16" t="s">
        <v>4867</v>
      </c>
      <c r="OLM1017" s="16" t="s">
        <v>4867</v>
      </c>
      <c r="OLN1017" s="16" t="s">
        <v>4867</v>
      </c>
      <c r="OLO1017" s="16" t="s">
        <v>4867</v>
      </c>
      <c r="OLP1017" s="16" t="s">
        <v>4867</v>
      </c>
      <c r="OLQ1017" s="16" t="s">
        <v>4867</v>
      </c>
      <c r="OLR1017" s="16" t="s">
        <v>4867</v>
      </c>
      <c r="OLS1017" s="16" t="s">
        <v>4867</v>
      </c>
      <c r="OLT1017" s="16" t="s">
        <v>4867</v>
      </c>
      <c r="OLU1017" s="16" t="s">
        <v>4867</v>
      </c>
      <c r="OLV1017" s="16" t="s">
        <v>4867</v>
      </c>
      <c r="OLW1017" s="16" t="s">
        <v>4867</v>
      </c>
      <c r="OLX1017" s="16" t="s">
        <v>4867</v>
      </c>
      <c r="OLY1017" s="16" t="s">
        <v>4867</v>
      </c>
      <c r="OLZ1017" s="16" t="s">
        <v>4867</v>
      </c>
      <c r="OMA1017" s="16" t="s">
        <v>4867</v>
      </c>
      <c r="OMB1017" s="16" t="s">
        <v>4867</v>
      </c>
      <c r="OMC1017" s="16" t="s">
        <v>4867</v>
      </c>
      <c r="OMD1017" s="16" t="s">
        <v>4867</v>
      </c>
      <c r="OME1017" s="16" t="s">
        <v>4867</v>
      </c>
      <c r="OMF1017" s="16" t="s">
        <v>4867</v>
      </c>
      <c r="OMG1017" s="16" t="s">
        <v>4867</v>
      </c>
      <c r="OMH1017" s="16" t="s">
        <v>4867</v>
      </c>
      <c r="OMI1017" s="16" t="s">
        <v>4867</v>
      </c>
      <c r="OMJ1017" s="16" t="s">
        <v>4867</v>
      </c>
      <c r="OMK1017" s="16" t="s">
        <v>4867</v>
      </c>
      <c r="OML1017" s="16" t="s">
        <v>4867</v>
      </c>
      <c r="OMM1017" s="16" t="s">
        <v>4867</v>
      </c>
      <c r="OMN1017" s="16" t="s">
        <v>4867</v>
      </c>
      <c r="OMO1017" s="16" t="s">
        <v>4867</v>
      </c>
      <c r="OMP1017" s="16" t="s">
        <v>4867</v>
      </c>
      <c r="OMQ1017" s="16" t="s">
        <v>4867</v>
      </c>
      <c r="OMR1017" s="16" t="s">
        <v>4867</v>
      </c>
      <c r="OMS1017" s="16" t="s">
        <v>4867</v>
      </c>
      <c r="OMT1017" s="16" t="s">
        <v>4867</v>
      </c>
      <c r="OMU1017" s="16" t="s">
        <v>4867</v>
      </c>
      <c r="OMV1017" s="16" t="s">
        <v>4867</v>
      </c>
      <c r="OMW1017" s="16" t="s">
        <v>4867</v>
      </c>
      <c r="OMX1017" s="16" t="s">
        <v>4867</v>
      </c>
      <c r="OMY1017" s="16" t="s">
        <v>4867</v>
      </c>
      <c r="OMZ1017" s="16" t="s">
        <v>4867</v>
      </c>
      <c r="ONA1017" s="16" t="s">
        <v>4867</v>
      </c>
      <c r="ONB1017" s="16" t="s">
        <v>4867</v>
      </c>
      <c r="ONC1017" s="16" t="s">
        <v>4867</v>
      </c>
      <c r="OND1017" s="16" t="s">
        <v>4867</v>
      </c>
      <c r="ONE1017" s="16" t="s">
        <v>4867</v>
      </c>
      <c r="ONF1017" s="16" t="s">
        <v>4867</v>
      </c>
      <c r="ONG1017" s="16" t="s">
        <v>4867</v>
      </c>
      <c r="ONH1017" s="16" t="s">
        <v>4867</v>
      </c>
      <c r="ONI1017" s="16" t="s">
        <v>4867</v>
      </c>
      <c r="ONJ1017" s="16" t="s">
        <v>4867</v>
      </c>
      <c r="ONK1017" s="16" t="s">
        <v>4867</v>
      </c>
      <c r="ONL1017" s="16" t="s">
        <v>4867</v>
      </c>
      <c r="ONM1017" s="16" t="s">
        <v>4867</v>
      </c>
      <c r="ONN1017" s="16" t="s">
        <v>4867</v>
      </c>
      <c r="ONO1017" s="16" t="s">
        <v>4867</v>
      </c>
      <c r="ONP1017" s="16" t="s">
        <v>4867</v>
      </c>
      <c r="ONQ1017" s="16" t="s">
        <v>4867</v>
      </c>
      <c r="ONR1017" s="16" t="s">
        <v>4867</v>
      </c>
      <c r="ONS1017" s="16" t="s">
        <v>4867</v>
      </c>
      <c r="ONT1017" s="16" t="s">
        <v>4867</v>
      </c>
      <c r="ONU1017" s="16" t="s">
        <v>4867</v>
      </c>
      <c r="ONV1017" s="16" t="s">
        <v>4867</v>
      </c>
      <c r="ONW1017" s="16" t="s">
        <v>4867</v>
      </c>
      <c r="ONX1017" s="16" t="s">
        <v>4867</v>
      </c>
      <c r="ONY1017" s="16" t="s">
        <v>4867</v>
      </c>
      <c r="ONZ1017" s="16" t="s">
        <v>4867</v>
      </c>
      <c r="OOA1017" s="16" t="s">
        <v>4867</v>
      </c>
      <c r="OOB1017" s="16" t="s">
        <v>4867</v>
      </c>
      <c r="OOC1017" s="16" t="s">
        <v>4867</v>
      </c>
      <c r="OOD1017" s="16" t="s">
        <v>4867</v>
      </c>
      <c r="OOE1017" s="16" t="s">
        <v>4867</v>
      </c>
      <c r="OOF1017" s="16" t="s">
        <v>4867</v>
      </c>
      <c r="OOG1017" s="16" t="s">
        <v>4867</v>
      </c>
      <c r="OOH1017" s="16" t="s">
        <v>4867</v>
      </c>
      <c r="OOI1017" s="16" t="s">
        <v>4867</v>
      </c>
      <c r="OOJ1017" s="16" t="s">
        <v>4867</v>
      </c>
      <c r="OOK1017" s="16" t="s">
        <v>4867</v>
      </c>
      <c r="OOL1017" s="16" t="s">
        <v>4867</v>
      </c>
      <c r="OOM1017" s="16" t="s">
        <v>4867</v>
      </c>
      <c r="OON1017" s="16" t="s">
        <v>4867</v>
      </c>
      <c r="OOO1017" s="16" t="s">
        <v>4867</v>
      </c>
      <c r="OOP1017" s="16" t="s">
        <v>4867</v>
      </c>
      <c r="OOQ1017" s="16" t="s">
        <v>4867</v>
      </c>
      <c r="OOR1017" s="16" t="s">
        <v>4867</v>
      </c>
      <c r="OOS1017" s="16" t="s">
        <v>4867</v>
      </c>
      <c r="OOT1017" s="16" t="s">
        <v>4867</v>
      </c>
      <c r="OOU1017" s="16" t="s">
        <v>4867</v>
      </c>
      <c r="OOV1017" s="16" t="s">
        <v>4867</v>
      </c>
      <c r="OOW1017" s="16" t="s">
        <v>4867</v>
      </c>
      <c r="OOX1017" s="16" t="s">
        <v>4867</v>
      </c>
      <c r="OOY1017" s="16" t="s">
        <v>4867</v>
      </c>
      <c r="OOZ1017" s="16" t="s">
        <v>4867</v>
      </c>
      <c r="OPA1017" s="16" t="s">
        <v>4867</v>
      </c>
      <c r="OPB1017" s="16" t="s">
        <v>4867</v>
      </c>
      <c r="OPC1017" s="16" t="s">
        <v>4867</v>
      </c>
      <c r="OPD1017" s="16" t="s">
        <v>4867</v>
      </c>
      <c r="OPE1017" s="16" t="s">
        <v>4867</v>
      </c>
      <c r="OPF1017" s="16" t="s">
        <v>4867</v>
      </c>
      <c r="OPG1017" s="16" t="s">
        <v>4867</v>
      </c>
      <c r="OPH1017" s="16" t="s">
        <v>4867</v>
      </c>
      <c r="OPI1017" s="16" t="s">
        <v>4867</v>
      </c>
      <c r="OPJ1017" s="16" t="s">
        <v>4867</v>
      </c>
      <c r="OPK1017" s="16" t="s">
        <v>4867</v>
      </c>
      <c r="OPL1017" s="16" t="s">
        <v>4867</v>
      </c>
      <c r="OPM1017" s="16" t="s">
        <v>4867</v>
      </c>
      <c r="OPN1017" s="16" t="s">
        <v>4867</v>
      </c>
      <c r="OPO1017" s="16" t="s">
        <v>4867</v>
      </c>
      <c r="OPP1017" s="16" t="s">
        <v>4867</v>
      </c>
      <c r="OPQ1017" s="16" t="s">
        <v>4867</v>
      </c>
      <c r="OPR1017" s="16" t="s">
        <v>4867</v>
      </c>
      <c r="OPS1017" s="16" t="s">
        <v>4867</v>
      </c>
      <c r="OPT1017" s="16" t="s">
        <v>4867</v>
      </c>
      <c r="OPU1017" s="16" t="s">
        <v>4867</v>
      </c>
      <c r="OPV1017" s="16" t="s">
        <v>4867</v>
      </c>
      <c r="OPW1017" s="16" t="s">
        <v>4867</v>
      </c>
      <c r="OPX1017" s="16" t="s">
        <v>4867</v>
      </c>
      <c r="OPY1017" s="16" t="s">
        <v>4867</v>
      </c>
      <c r="OPZ1017" s="16" t="s">
        <v>4867</v>
      </c>
      <c r="OQA1017" s="16" t="s">
        <v>4867</v>
      </c>
      <c r="OQB1017" s="16" t="s">
        <v>4867</v>
      </c>
      <c r="OQC1017" s="16" t="s">
        <v>4867</v>
      </c>
      <c r="OQD1017" s="16" t="s">
        <v>4867</v>
      </c>
      <c r="OQE1017" s="16" t="s">
        <v>4867</v>
      </c>
      <c r="OQF1017" s="16" t="s">
        <v>4867</v>
      </c>
      <c r="OQG1017" s="16" t="s">
        <v>4867</v>
      </c>
      <c r="OQH1017" s="16" t="s">
        <v>4867</v>
      </c>
      <c r="OQI1017" s="16" t="s">
        <v>4867</v>
      </c>
      <c r="OQJ1017" s="16" t="s">
        <v>4867</v>
      </c>
      <c r="OQK1017" s="16" t="s">
        <v>4867</v>
      </c>
      <c r="OQL1017" s="16" t="s">
        <v>4867</v>
      </c>
      <c r="OQM1017" s="16" t="s">
        <v>4867</v>
      </c>
      <c r="OQN1017" s="16" t="s">
        <v>4867</v>
      </c>
      <c r="OQO1017" s="16" t="s">
        <v>4867</v>
      </c>
      <c r="OQP1017" s="16" t="s">
        <v>4867</v>
      </c>
      <c r="OQQ1017" s="16" t="s">
        <v>4867</v>
      </c>
      <c r="OQR1017" s="16" t="s">
        <v>4867</v>
      </c>
      <c r="OQS1017" s="16" t="s">
        <v>4867</v>
      </c>
      <c r="OQT1017" s="16" t="s">
        <v>4867</v>
      </c>
      <c r="OQU1017" s="16" t="s">
        <v>4867</v>
      </c>
      <c r="OQV1017" s="16" t="s">
        <v>4867</v>
      </c>
      <c r="OQW1017" s="16" t="s">
        <v>4867</v>
      </c>
      <c r="OQX1017" s="16" t="s">
        <v>4867</v>
      </c>
      <c r="OQY1017" s="16" t="s">
        <v>4867</v>
      </c>
      <c r="OQZ1017" s="16" t="s">
        <v>4867</v>
      </c>
      <c r="ORA1017" s="16" t="s">
        <v>4867</v>
      </c>
      <c r="ORB1017" s="16" t="s">
        <v>4867</v>
      </c>
      <c r="ORC1017" s="16" t="s">
        <v>4867</v>
      </c>
      <c r="ORD1017" s="16" t="s">
        <v>4867</v>
      </c>
      <c r="ORE1017" s="16" t="s">
        <v>4867</v>
      </c>
      <c r="ORF1017" s="16" t="s">
        <v>4867</v>
      </c>
      <c r="ORG1017" s="16" t="s">
        <v>4867</v>
      </c>
      <c r="ORH1017" s="16" t="s">
        <v>4867</v>
      </c>
      <c r="ORI1017" s="16" t="s">
        <v>4867</v>
      </c>
      <c r="ORJ1017" s="16" t="s">
        <v>4867</v>
      </c>
      <c r="ORK1017" s="16" t="s">
        <v>4867</v>
      </c>
      <c r="ORL1017" s="16" t="s">
        <v>4867</v>
      </c>
      <c r="ORM1017" s="16" t="s">
        <v>4867</v>
      </c>
      <c r="ORN1017" s="16" t="s">
        <v>4867</v>
      </c>
      <c r="ORO1017" s="16" t="s">
        <v>4867</v>
      </c>
      <c r="ORP1017" s="16" t="s">
        <v>4867</v>
      </c>
      <c r="ORQ1017" s="16" t="s">
        <v>4867</v>
      </c>
      <c r="ORR1017" s="16" t="s">
        <v>4867</v>
      </c>
      <c r="ORS1017" s="16" t="s">
        <v>4867</v>
      </c>
      <c r="ORT1017" s="16" t="s">
        <v>4867</v>
      </c>
      <c r="ORU1017" s="16" t="s">
        <v>4867</v>
      </c>
      <c r="ORV1017" s="16" t="s">
        <v>4867</v>
      </c>
      <c r="ORW1017" s="16" t="s">
        <v>4867</v>
      </c>
      <c r="ORX1017" s="16" t="s">
        <v>4867</v>
      </c>
      <c r="ORY1017" s="16" t="s">
        <v>4867</v>
      </c>
      <c r="ORZ1017" s="16" t="s">
        <v>4867</v>
      </c>
      <c r="OSA1017" s="16" t="s">
        <v>4867</v>
      </c>
      <c r="OSB1017" s="16" t="s">
        <v>4867</v>
      </c>
      <c r="OSC1017" s="16" t="s">
        <v>4867</v>
      </c>
      <c r="OSD1017" s="16" t="s">
        <v>4867</v>
      </c>
      <c r="OSE1017" s="16" t="s">
        <v>4867</v>
      </c>
      <c r="OSF1017" s="16" t="s">
        <v>4867</v>
      </c>
      <c r="OSG1017" s="16" t="s">
        <v>4867</v>
      </c>
      <c r="OSH1017" s="16" t="s">
        <v>4867</v>
      </c>
      <c r="OSI1017" s="16" t="s">
        <v>4867</v>
      </c>
      <c r="OSJ1017" s="16" t="s">
        <v>4867</v>
      </c>
      <c r="OSK1017" s="16" t="s">
        <v>4867</v>
      </c>
      <c r="OSL1017" s="16" t="s">
        <v>4867</v>
      </c>
      <c r="OSM1017" s="16" t="s">
        <v>4867</v>
      </c>
      <c r="OSN1017" s="16" t="s">
        <v>4867</v>
      </c>
      <c r="OSO1017" s="16" t="s">
        <v>4867</v>
      </c>
      <c r="OSP1017" s="16" t="s">
        <v>4867</v>
      </c>
      <c r="OSQ1017" s="16" t="s">
        <v>4867</v>
      </c>
      <c r="OSR1017" s="16" t="s">
        <v>4867</v>
      </c>
      <c r="OSS1017" s="16" t="s">
        <v>4867</v>
      </c>
      <c r="OST1017" s="16" t="s">
        <v>4867</v>
      </c>
      <c r="OSU1017" s="16" t="s">
        <v>4867</v>
      </c>
      <c r="OSV1017" s="16" t="s">
        <v>4867</v>
      </c>
      <c r="OSW1017" s="16" t="s">
        <v>4867</v>
      </c>
      <c r="OSX1017" s="16" t="s">
        <v>4867</v>
      </c>
      <c r="OSY1017" s="16" t="s">
        <v>4867</v>
      </c>
      <c r="OSZ1017" s="16" t="s">
        <v>4867</v>
      </c>
      <c r="OTA1017" s="16" t="s">
        <v>4867</v>
      </c>
      <c r="OTB1017" s="16" t="s">
        <v>4867</v>
      </c>
      <c r="OTC1017" s="16" t="s">
        <v>4867</v>
      </c>
      <c r="OTD1017" s="16" t="s">
        <v>4867</v>
      </c>
      <c r="OTE1017" s="16" t="s">
        <v>4867</v>
      </c>
      <c r="OTF1017" s="16" t="s">
        <v>4867</v>
      </c>
      <c r="OTG1017" s="16" t="s">
        <v>4867</v>
      </c>
      <c r="OTH1017" s="16" t="s">
        <v>4867</v>
      </c>
      <c r="OTI1017" s="16" t="s">
        <v>4867</v>
      </c>
      <c r="OTJ1017" s="16" t="s">
        <v>4867</v>
      </c>
      <c r="OTK1017" s="16" t="s">
        <v>4867</v>
      </c>
      <c r="OTL1017" s="16" t="s">
        <v>4867</v>
      </c>
      <c r="OTM1017" s="16" t="s">
        <v>4867</v>
      </c>
      <c r="OTN1017" s="16" t="s">
        <v>4867</v>
      </c>
      <c r="OTO1017" s="16" t="s">
        <v>4867</v>
      </c>
      <c r="OTP1017" s="16" t="s">
        <v>4867</v>
      </c>
      <c r="OTQ1017" s="16" t="s">
        <v>4867</v>
      </c>
      <c r="OTR1017" s="16" t="s">
        <v>4867</v>
      </c>
      <c r="OTS1017" s="16" t="s">
        <v>4867</v>
      </c>
      <c r="OTT1017" s="16" t="s">
        <v>4867</v>
      </c>
      <c r="OTU1017" s="16" t="s">
        <v>4867</v>
      </c>
      <c r="OTV1017" s="16" t="s">
        <v>4867</v>
      </c>
      <c r="OTW1017" s="16" t="s">
        <v>4867</v>
      </c>
      <c r="OTX1017" s="16" t="s">
        <v>4867</v>
      </c>
      <c r="OTY1017" s="16" t="s">
        <v>4867</v>
      </c>
      <c r="OTZ1017" s="16" t="s">
        <v>4867</v>
      </c>
      <c r="OUA1017" s="16" t="s">
        <v>4867</v>
      </c>
      <c r="OUB1017" s="16" t="s">
        <v>4867</v>
      </c>
      <c r="OUC1017" s="16" t="s">
        <v>4867</v>
      </c>
      <c r="OUD1017" s="16" t="s">
        <v>4867</v>
      </c>
      <c r="OUE1017" s="16" t="s">
        <v>4867</v>
      </c>
      <c r="OUF1017" s="16" t="s">
        <v>4867</v>
      </c>
      <c r="OUG1017" s="16" t="s">
        <v>4867</v>
      </c>
      <c r="OUH1017" s="16" t="s">
        <v>4867</v>
      </c>
      <c r="OUI1017" s="16" t="s">
        <v>4867</v>
      </c>
      <c r="OUJ1017" s="16" t="s">
        <v>4867</v>
      </c>
      <c r="OUK1017" s="16" t="s">
        <v>4867</v>
      </c>
      <c r="OUL1017" s="16" t="s">
        <v>4867</v>
      </c>
      <c r="OUM1017" s="16" t="s">
        <v>4867</v>
      </c>
      <c r="OUN1017" s="16" t="s">
        <v>4867</v>
      </c>
      <c r="OUO1017" s="16" t="s">
        <v>4867</v>
      </c>
      <c r="OUP1017" s="16" t="s">
        <v>4867</v>
      </c>
      <c r="OUQ1017" s="16" t="s">
        <v>4867</v>
      </c>
      <c r="OUR1017" s="16" t="s">
        <v>4867</v>
      </c>
      <c r="OUS1017" s="16" t="s">
        <v>4867</v>
      </c>
      <c r="OUT1017" s="16" t="s">
        <v>4867</v>
      </c>
      <c r="OUU1017" s="16" t="s">
        <v>4867</v>
      </c>
      <c r="OUV1017" s="16" t="s">
        <v>4867</v>
      </c>
      <c r="OUW1017" s="16" t="s">
        <v>4867</v>
      </c>
      <c r="OUX1017" s="16" t="s">
        <v>4867</v>
      </c>
      <c r="OUY1017" s="16" t="s">
        <v>4867</v>
      </c>
      <c r="OUZ1017" s="16" t="s">
        <v>4867</v>
      </c>
      <c r="OVA1017" s="16" t="s">
        <v>4867</v>
      </c>
      <c r="OVB1017" s="16" t="s">
        <v>4867</v>
      </c>
      <c r="OVC1017" s="16" t="s">
        <v>4867</v>
      </c>
      <c r="OVD1017" s="16" t="s">
        <v>4867</v>
      </c>
      <c r="OVE1017" s="16" t="s">
        <v>4867</v>
      </c>
      <c r="OVF1017" s="16" t="s">
        <v>4867</v>
      </c>
      <c r="OVG1017" s="16" t="s">
        <v>4867</v>
      </c>
      <c r="OVH1017" s="16" t="s">
        <v>4867</v>
      </c>
      <c r="OVI1017" s="16" t="s">
        <v>4867</v>
      </c>
      <c r="OVJ1017" s="16" t="s">
        <v>4867</v>
      </c>
      <c r="OVK1017" s="16" t="s">
        <v>4867</v>
      </c>
      <c r="OVL1017" s="16" t="s">
        <v>4867</v>
      </c>
      <c r="OVM1017" s="16" t="s">
        <v>4867</v>
      </c>
      <c r="OVN1017" s="16" t="s">
        <v>4867</v>
      </c>
      <c r="OVO1017" s="16" t="s">
        <v>4867</v>
      </c>
      <c r="OVP1017" s="16" t="s">
        <v>4867</v>
      </c>
      <c r="OVQ1017" s="16" t="s">
        <v>4867</v>
      </c>
      <c r="OVR1017" s="16" t="s">
        <v>4867</v>
      </c>
      <c r="OVS1017" s="16" t="s">
        <v>4867</v>
      </c>
      <c r="OVT1017" s="16" t="s">
        <v>4867</v>
      </c>
      <c r="OVU1017" s="16" t="s">
        <v>4867</v>
      </c>
      <c r="OVV1017" s="16" t="s">
        <v>4867</v>
      </c>
      <c r="OVW1017" s="16" t="s">
        <v>4867</v>
      </c>
      <c r="OVX1017" s="16" t="s">
        <v>4867</v>
      </c>
      <c r="OVY1017" s="16" t="s">
        <v>4867</v>
      </c>
      <c r="OVZ1017" s="16" t="s">
        <v>4867</v>
      </c>
      <c r="OWA1017" s="16" t="s">
        <v>4867</v>
      </c>
      <c r="OWB1017" s="16" t="s">
        <v>4867</v>
      </c>
      <c r="OWC1017" s="16" t="s">
        <v>4867</v>
      </c>
      <c r="OWD1017" s="16" t="s">
        <v>4867</v>
      </c>
      <c r="OWE1017" s="16" t="s">
        <v>4867</v>
      </c>
      <c r="OWF1017" s="16" t="s">
        <v>4867</v>
      </c>
      <c r="OWG1017" s="16" t="s">
        <v>4867</v>
      </c>
      <c r="OWH1017" s="16" t="s">
        <v>4867</v>
      </c>
      <c r="OWI1017" s="16" t="s">
        <v>4867</v>
      </c>
      <c r="OWJ1017" s="16" t="s">
        <v>4867</v>
      </c>
      <c r="OWK1017" s="16" t="s">
        <v>4867</v>
      </c>
      <c r="OWL1017" s="16" t="s">
        <v>4867</v>
      </c>
      <c r="OWM1017" s="16" t="s">
        <v>4867</v>
      </c>
      <c r="OWN1017" s="16" t="s">
        <v>4867</v>
      </c>
      <c r="OWO1017" s="16" t="s">
        <v>4867</v>
      </c>
      <c r="OWP1017" s="16" t="s">
        <v>4867</v>
      </c>
      <c r="OWQ1017" s="16" t="s">
        <v>4867</v>
      </c>
      <c r="OWR1017" s="16" t="s">
        <v>4867</v>
      </c>
      <c r="OWS1017" s="16" t="s">
        <v>4867</v>
      </c>
      <c r="OWT1017" s="16" t="s">
        <v>4867</v>
      </c>
      <c r="OWU1017" s="16" t="s">
        <v>4867</v>
      </c>
      <c r="OWV1017" s="16" t="s">
        <v>4867</v>
      </c>
      <c r="OWW1017" s="16" t="s">
        <v>4867</v>
      </c>
      <c r="OWX1017" s="16" t="s">
        <v>4867</v>
      </c>
      <c r="OWY1017" s="16" t="s">
        <v>4867</v>
      </c>
      <c r="OWZ1017" s="16" t="s">
        <v>4867</v>
      </c>
      <c r="OXA1017" s="16" t="s">
        <v>4867</v>
      </c>
      <c r="OXB1017" s="16" t="s">
        <v>4867</v>
      </c>
      <c r="OXC1017" s="16" t="s">
        <v>4867</v>
      </c>
      <c r="OXD1017" s="16" t="s">
        <v>4867</v>
      </c>
      <c r="OXE1017" s="16" t="s">
        <v>4867</v>
      </c>
      <c r="OXF1017" s="16" t="s">
        <v>4867</v>
      </c>
      <c r="OXG1017" s="16" t="s">
        <v>4867</v>
      </c>
      <c r="OXH1017" s="16" t="s">
        <v>4867</v>
      </c>
      <c r="OXI1017" s="16" t="s">
        <v>4867</v>
      </c>
      <c r="OXJ1017" s="16" t="s">
        <v>4867</v>
      </c>
      <c r="OXK1017" s="16" t="s">
        <v>4867</v>
      </c>
      <c r="OXL1017" s="16" t="s">
        <v>4867</v>
      </c>
      <c r="OXM1017" s="16" t="s">
        <v>4867</v>
      </c>
      <c r="OXN1017" s="16" t="s">
        <v>4867</v>
      </c>
      <c r="OXO1017" s="16" t="s">
        <v>4867</v>
      </c>
      <c r="OXP1017" s="16" t="s">
        <v>4867</v>
      </c>
      <c r="OXQ1017" s="16" t="s">
        <v>4867</v>
      </c>
      <c r="OXR1017" s="16" t="s">
        <v>4867</v>
      </c>
      <c r="OXS1017" s="16" t="s">
        <v>4867</v>
      </c>
      <c r="OXT1017" s="16" t="s">
        <v>4867</v>
      </c>
      <c r="OXU1017" s="16" t="s">
        <v>4867</v>
      </c>
      <c r="OXV1017" s="16" t="s">
        <v>4867</v>
      </c>
      <c r="OXW1017" s="16" t="s">
        <v>4867</v>
      </c>
      <c r="OXX1017" s="16" t="s">
        <v>4867</v>
      </c>
      <c r="OXY1017" s="16" t="s">
        <v>4867</v>
      </c>
      <c r="OXZ1017" s="16" t="s">
        <v>4867</v>
      </c>
      <c r="OYA1017" s="16" t="s">
        <v>4867</v>
      </c>
      <c r="OYB1017" s="16" t="s">
        <v>4867</v>
      </c>
      <c r="OYC1017" s="16" t="s">
        <v>4867</v>
      </c>
      <c r="OYD1017" s="16" t="s">
        <v>4867</v>
      </c>
      <c r="OYE1017" s="16" t="s">
        <v>4867</v>
      </c>
      <c r="OYF1017" s="16" t="s">
        <v>4867</v>
      </c>
      <c r="OYG1017" s="16" t="s">
        <v>4867</v>
      </c>
      <c r="OYH1017" s="16" t="s">
        <v>4867</v>
      </c>
      <c r="OYI1017" s="16" t="s">
        <v>4867</v>
      </c>
      <c r="OYJ1017" s="16" t="s">
        <v>4867</v>
      </c>
      <c r="OYK1017" s="16" t="s">
        <v>4867</v>
      </c>
      <c r="OYL1017" s="16" t="s">
        <v>4867</v>
      </c>
      <c r="OYM1017" s="16" t="s">
        <v>4867</v>
      </c>
      <c r="OYN1017" s="16" t="s">
        <v>4867</v>
      </c>
      <c r="OYO1017" s="16" t="s">
        <v>4867</v>
      </c>
      <c r="OYP1017" s="16" t="s">
        <v>4867</v>
      </c>
      <c r="OYQ1017" s="16" t="s">
        <v>4867</v>
      </c>
      <c r="OYR1017" s="16" t="s">
        <v>4867</v>
      </c>
      <c r="OYS1017" s="16" t="s">
        <v>4867</v>
      </c>
      <c r="OYT1017" s="16" t="s">
        <v>4867</v>
      </c>
      <c r="OYU1017" s="16" t="s">
        <v>4867</v>
      </c>
      <c r="OYV1017" s="16" t="s">
        <v>4867</v>
      </c>
      <c r="OYW1017" s="16" t="s">
        <v>4867</v>
      </c>
      <c r="OYX1017" s="16" t="s">
        <v>4867</v>
      </c>
      <c r="OYY1017" s="16" t="s">
        <v>4867</v>
      </c>
      <c r="OYZ1017" s="16" t="s">
        <v>4867</v>
      </c>
      <c r="OZA1017" s="16" t="s">
        <v>4867</v>
      </c>
      <c r="OZB1017" s="16" t="s">
        <v>4867</v>
      </c>
      <c r="OZC1017" s="16" t="s">
        <v>4867</v>
      </c>
      <c r="OZD1017" s="16" t="s">
        <v>4867</v>
      </c>
      <c r="OZE1017" s="16" t="s">
        <v>4867</v>
      </c>
      <c r="OZF1017" s="16" t="s">
        <v>4867</v>
      </c>
      <c r="OZG1017" s="16" t="s">
        <v>4867</v>
      </c>
      <c r="OZH1017" s="16" t="s">
        <v>4867</v>
      </c>
      <c r="OZI1017" s="16" t="s">
        <v>4867</v>
      </c>
      <c r="OZJ1017" s="16" t="s">
        <v>4867</v>
      </c>
      <c r="OZK1017" s="16" t="s">
        <v>4867</v>
      </c>
      <c r="OZL1017" s="16" t="s">
        <v>4867</v>
      </c>
      <c r="OZM1017" s="16" t="s">
        <v>4867</v>
      </c>
      <c r="OZN1017" s="16" t="s">
        <v>4867</v>
      </c>
      <c r="OZO1017" s="16" t="s">
        <v>4867</v>
      </c>
      <c r="OZP1017" s="16" t="s">
        <v>4867</v>
      </c>
      <c r="OZQ1017" s="16" t="s">
        <v>4867</v>
      </c>
      <c r="OZR1017" s="16" t="s">
        <v>4867</v>
      </c>
      <c r="OZS1017" s="16" t="s">
        <v>4867</v>
      </c>
      <c r="OZT1017" s="16" t="s">
        <v>4867</v>
      </c>
      <c r="OZU1017" s="16" t="s">
        <v>4867</v>
      </c>
      <c r="OZV1017" s="16" t="s">
        <v>4867</v>
      </c>
      <c r="OZW1017" s="16" t="s">
        <v>4867</v>
      </c>
      <c r="OZX1017" s="16" t="s">
        <v>4867</v>
      </c>
      <c r="OZY1017" s="16" t="s">
        <v>4867</v>
      </c>
      <c r="OZZ1017" s="16" t="s">
        <v>4867</v>
      </c>
      <c r="PAA1017" s="16" t="s">
        <v>4867</v>
      </c>
      <c r="PAB1017" s="16" t="s">
        <v>4867</v>
      </c>
      <c r="PAC1017" s="16" t="s">
        <v>4867</v>
      </c>
      <c r="PAD1017" s="16" t="s">
        <v>4867</v>
      </c>
      <c r="PAE1017" s="16" t="s">
        <v>4867</v>
      </c>
      <c r="PAF1017" s="16" t="s">
        <v>4867</v>
      </c>
      <c r="PAG1017" s="16" t="s">
        <v>4867</v>
      </c>
      <c r="PAH1017" s="16" t="s">
        <v>4867</v>
      </c>
      <c r="PAI1017" s="16" t="s">
        <v>4867</v>
      </c>
      <c r="PAJ1017" s="16" t="s">
        <v>4867</v>
      </c>
      <c r="PAK1017" s="16" t="s">
        <v>4867</v>
      </c>
      <c r="PAL1017" s="16" t="s">
        <v>4867</v>
      </c>
      <c r="PAM1017" s="16" t="s">
        <v>4867</v>
      </c>
      <c r="PAN1017" s="16" t="s">
        <v>4867</v>
      </c>
      <c r="PAO1017" s="16" t="s">
        <v>4867</v>
      </c>
      <c r="PAP1017" s="16" t="s">
        <v>4867</v>
      </c>
      <c r="PAQ1017" s="16" t="s">
        <v>4867</v>
      </c>
      <c r="PAR1017" s="16" t="s">
        <v>4867</v>
      </c>
      <c r="PAS1017" s="16" t="s">
        <v>4867</v>
      </c>
      <c r="PAT1017" s="16" t="s">
        <v>4867</v>
      </c>
      <c r="PAU1017" s="16" t="s">
        <v>4867</v>
      </c>
      <c r="PAV1017" s="16" t="s">
        <v>4867</v>
      </c>
      <c r="PAW1017" s="16" t="s">
        <v>4867</v>
      </c>
      <c r="PAX1017" s="16" t="s">
        <v>4867</v>
      </c>
      <c r="PAY1017" s="16" t="s">
        <v>4867</v>
      </c>
      <c r="PAZ1017" s="16" t="s">
        <v>4867</v>
      </c>
      <c r="PBA1017" s="16" t="s">
        <v>4867</v>
      </c>
      <c r="PBB1017" s="16" t="s">
        <v>4867</v>
      </c>
      <c r="PBC1017" s="16" t="s">
        <v>4867</v>
      </c>
      <c r="PBD1017" s="16" t="s">
        <v>4867</v>
      </c>
      <c r="PBE1017" s="16" t="s">
        <v>4867</v>
      </c>
      <c r="PBF1017" s="16" t="s">
        <v>4867</v>
      </c>
      <c r="PBG1017" s="16" t="s">
        <v>4867</v>
      </c>
      <c r="PBH1017" s="16" t="s">
        <v>4867</v>
      </c>
      <c r="PBI1017" s="16" t="s">
        <v>4867</v>
      </c>
      <c r="PBJ1017" s="16" t="s">
        <v>4867</v>
      </c>
      <c r="PBK1017" s="16" t="s">
        <v>4867</v>
      </c>
      <c r="PBL1017" s="16" t="s">
        <v>4867</v>
      </c>
      <c r="PBM1017" s="16" t="s">
        <v>4867</v>
      </c>
      <c r="PBN1017" s="16" t="s">
        <v>4867</v>
      </c>
      <c r="PBO1017" s="16" t="s">
        <v>4867</v>
      </c>
      <c r="PBP1017" s="16" t="s">
        <v>4867</v>
      </c>
      <c r="PBQ1017" s="16" t="s">
        <v>4867</v>
      </c>
      <c r="PBR1017" s="16" t="s">
        <v>4867</v>
      </c>
      <c r="PBS1017" s="16" t="s">
        <v>4867</v>
      </c>
      <c r="PBT1017" s="16" t="s">
        <v>4867</v>
      </c>
      <c r="PBU1017" s="16" t="s">
        <v>4867</v>
      </c>
      <c r="PBV1017" s="16" t="s">
        <v>4867</v>
      </c>
      <c r="PBW1017" s="16" t="s">
        <v>4867</v>
      </c>
      <c r="PBX1017" s="16" t="s">
        <v>4867</v>
      </c>
      <c r="PBY1017" s="16" t="s">
        <v>4867</v>
      </c>
      <c r="PBZ1017" s="16" t="s">
        <v>4867</v>
      </c>
      <c r="PCA1017" s="16" t="s">
        <v>4867</v>
      </c>
      <c r="PCB1017" s="16" t="s">
        <v>4867</v>
      </c>
      <c r="PCC1017" s="16" t="s">
        <v>4867</v>
      </c>
      <c r="PCD1017" s="16" t="s">
        <v>4867</v>
      </c>
      <c r="PCE1017" s="16" t="s">
        <v>4867</v>
      </c>
      <c r="PCF1017" s="16" t="s">
        <v>4867</v>
      </c>
      <c r="PCG1017" s="16" t="s">
        <v>4867</v>
      </c>
      <c r="PCH1017" s="16" t="s">
        <v>4867</v>
      </c>
      <c r="PCI1017" s="16" t="s">
        <v>4867</v>
      </c>
      <c r="PCJ1017" s="16" t="s">
        <v>4867</v>
      </c>
      <c r="PCK1017" s="16" t="s">
        <v>4867</v>
      </c>
      <c r="PCL1017" s="16" t="s">
        <v>4867</v>
      </c>
      <c r="PCM1017" s="16" t="s">
        <v>4867</v>
      </c>
      <c r="PCN1017" s="16" t="s">
        <v>4867</v>
      </c>
      <c r="PCO1017" s="16" t="s">
        <v>4867</v>
      </c>
      <c r="PCP1017" s="16" t="s">
        <v>4867</v>
      </c>
      <c r="PCQ1017" s="16" t="s">
        <v>4867</v>
      </c>
      <c r="PCR1017" s="16" t="s">
        <v>4867</v>
      </c>
      <c r="PCS1017" s="16" t="s">
        <v>4867</v>
      </c>
      <c r="PCT1017" s="16" t="s">
        <v>4867</v>
      </c>
      <c r="PCU1017" s="16" t="s">
        <v>4867</v>
      </c>
      <c r="PCV1017" s="16" t="s">
        <v>4867</v>
      </c>
      <c r="PCW1017" s="16" t="s">
        <v>4867</v>
      </c>
      <c r="PCX1017" s="16" t="s">
        <v>4867</v>
      </c>
      <c r="PCY1017" s="16" t="s">
        <v>4867</v>
      </c>
      <c r="PCZ1017" s="16" t="s">
        <v>4867</v>
      </c>
      <c r="PDA1017" s="16" t="s">
        <v>4867</v>
      </c>
      <c r="PDB1017" s="16" t="s">
        <v>4867</v>
      </c>
      <c r="PDC1017" s="16" t="s">
        <v>4867</v>
      </c>
      <c r="PDD1017" s="16" t="s">
        <v>4867</v>
      </c>
      <c r="PDE1017" s="16" t="s">
        <v>4867</v>
      </c>
      <c r="PDF1017" s="16" t="s">
        <v>4867</v>
      </c>
      <c r="PDG1017" s="16" t="s">
        <v>4867</v>
      </c>
      <c r="PDH1017" s="16" t="s">
        <v>4867</v>
      </c>
      <c r="PDI1017" s="16" t="s">
        <v>4867</v>
      </c>
      <c r="PDJ1017" s="16" t="s">
        <v>4867</v>
      </c>
      <c r="PDK1017" s="16" t="s">
        <v>4867</v>
      </c>
      <c r="PDL1017" s="16" t="s">
        <v>4867</v>
      </c>
      <c r="PDM1017" s="16" t="s">
        <v>4867</v>
      </c>
      <c r="PDN1017" s="16" t="s">
        <v>4867</v>
      </c>
      <c r="PDO1017" s="16" t="s">
        <v>4867</v>
      </c>
      <c r="PDP1017" s="16" t="s">
        <v>4867</v>
      </c>
      <c r="PDQ1017" s="16" t="s">
        <v>4867</v>
      </c>
      <c r="PDR1017" s="16" t="s">
        <v>4867</v>
      </c>
      <c r="PDS1017" s="16" t="s">
        <v>4867</v>
      </c>
      <c r="PDT1017" s="16" t="s">
        <v>4867</v>
      </c>
      <c r="PDU1017" s="16" t="s">
        <v>4867</v>
      </c>
      <c r="PDV1017" s="16" t="s">
        <v>4867</v>
      </c>
      <c r="PDW1017" s="16" t="s">
        <v>4867</v>
      </c>
      <c r="PDX1017" s="16" t="s">
        <v>4867</v>
      </c>
      <c r="PDY1017" s="16" t="s">
        <v>4867</v>
      </c>
      <c r="PDZ1017" s="16" t="s">
        <v>4867</v>
      </c>
      <c r="PEA1017" s="16" t="s">
        <v>4867</v>
      </c>
      <c r="PEB1017" s="16" t="s">
        <v>4867</v>
      </c>
      <c r="PEC1017" s="16" t="s">
        <v>4867</v>
      </c>
      <c r="PED1017" s="16" t="s">
        <v>4867</v>
      </c>
      <c r="PEE1017" s="16" t="s">
        <v>4867</v>
      </c>
      <c r="PEF1017" s="16" t="s">
        <v>4867</v>
      </c>
      <c r="PEG1017" s="16" t="s">
        <v>4867</v>
      </c>
      <c r="PEH1017" s="16" t="s">
        <v>4867</v>
      </c>
      <c r="PEI1017" s="16" t="s">
        <v>4867</v>
      </c>
      <c r="PEJ1017" s="16" t="s">
        <v>4867</v>
      </c>
      <c r="PEK1017" s="16" t="s">
        <v>4867</v>
      </c>
      <c r="PEL1017" s="16" t="s">
        <v>4867</v>
      </c>
      <c r="PEM1017" s="16" t="s">
        <v>4867</v>
      </c>
      <c r="PEN1017" s="16" t="s">
        <v>4867</v>
      </c>
      <c r="PEO1017" s="16" t="s">
        <v>4867</v>
      </c>
      <c r="PEP1017" s="16" t="s">
        <v>4867</v>
      </c>
      <c r="PEQ1017" s="16" t="s">
        <v>4867</v>
      </c>
      <c r="PER1017" s="16" t="s">
        <v>4867</v>
      </c>
      <c r="PES1017" s="16" t="s">
        <v>4867</v>
      </c>
      <c r="PET1017" s="16" t="s">
        <v>4867</v>
      </c>
      <c r="PEU1017" s="16" t="s">
        <v>4867</v>
      </c>
      <c r="PEV1017" s="16" t="s">
        <v>4867</v>
      </c>
      <c r="PEW1017" s="16" t="s">
        <v>4867</v>
      </c>
      <c r="PEX1017" s="16" t="s">
        <v>4867</v>
      </c>
      <c r="PEY1017" s="16" t="s">
        <v>4867</v>
      </c>
      <c r="PEZ1017" s="16" t="s">
        <v>4867</v>
      </c>
      <c r="PFA1017" s="16" t="s">
        <v>4867</v>
      </c>
      <c r="PFB1017" s="16" t="s">
        <v>4867</v>
      </c>
      <c r="PFC1017" s="16" t="s">
        <v>4867</v>
      </c>
      <c r="PFD1017" s="16" t="s">
        <v>4867</v>
      </c>
      <c r="PFE1017" s="16" t="s">
        <v>4867</v>
      </c>
      <c r="PFF1017" s="16" t="s">
        <v>4867</v>
      </c>
      <c r="PFG1017" s="16" t="s">
        <v>4867</v>
      </c>
      <c r="PFH1017" s="16" t="s">
        <v>4867</v>
      </c>
      <c r="PFI1017" s="16" t="s">
        <v>4867</v>
      </c>
      <c r="PFJ1017" s="16" t="s">
        <v>4867</v>
      </c>
      <c r="PFK1017" s="16" t="s">
        <v>4867</v>
      </c>
      <c r="PFL1017" s="16" t="s">
        <v>4867</v>
      </c>
      <c r="PFM1017" s="16" t="s">
        <v>4867</v>
      </c>
      <c r="PFN1017" s="16" t="s">
        <v>4867</v>
      </c>
      <c r="PFO1017" s="16" t="s">
        <v>4867</v>
      </c>
      <c r="PFP1017" s="16" t="s">
        <v>4867</v>
      </c>
      <c r="PFQ1017" s="16" t="s">
        <v>4867</v>
      </c>
      <c r="PFR1017" s="16" t="s">
        <v>4867</v>
      </c>
      <c r="PFS1017" s="16" t="s">
        <v>4867</v>
      </c>
      <c r="PFT1017" s="16" t="s">
        <v>4867</v>
      </c>
      <c r="PFU1017" s="16" t="s">
        <v>4867</v>
      </c>
      <c r="PFV1017" s="16" t="s">
        <v>4867</v>
      </c>
      <c r="PFW1017" s="16" t="s">
        <v>4867</v>
      </c>
      <c r="PFX1017" s="16" t="s">
        <v>4867</v>
      </c>
      <c r="PFY1017" s="16" t="s">
        <v>4867</v>
      </c>
      <c r="PFZ1017" s="16" t="s">
        <v>4867</v>
      </c>
      <c r="PGA1017" s="16" t="s">
        <v>4867</v>
      </c>
      <c r="PGB1017" s="16" t="s">
        <v>4867</v>
      </c>
      <c r="PGC1017" s="16" t="s">
        <v>4867</v>
      </c>
      <c r="PGD1017" s="16" t="s">
        <v>4867</v>
      </c>
      <c r="PGE1017" s="16" t="s">
        <v>4867</v>
      </c>
      <c r="PGF1017" s="16" t="s">
        <v>4867</v>
      </c>
      <c r="PGG1017" s="16" t="s">
        <v>4867</v>
      </c>
      <c r="PGH1017" s="16" t="s">
        <v>4867</v>
      </c>
      <c r="PGI1017" s="16" t="s">
        <v>4867</v>
      </c>
      <c r="PGJ1017" s="16" t="s">
        <v>4867</v>
      </c>
      <c r="PGK1017" s="16" t="s">
        <v>4867</v>
      </c>
      <c r="PGL1017" s="16" t="s">
        <v>4867</v>
      </c>
      <c r="PGM1017" s="16" t="s">
        <v>4867</v>
      </c>
      <c r="PGN1017" s="16" t="s">
        <v>4867</v>
      </c>
      <c r="PGO1017" s="16" t="s">
        <v>4867</v>
      </c>
      <c r="PGP1017" s="16" t="s">
        <v>4867</v>
      </c>
      <c r="PGQ1017" s="16" t="s">
        <v>4867</v>
      </c>
      <c r="PGR1017" s="16" t="s">
        <v>4867</v>
      </c>
      <c r="PGS1017" s="16" t="s">
        <v>4867</v>
      </c>
      <c r="PGT1017" s="16" t="s">
        <v>4867</v>
      </c>
      <c r="PGU1017" s="16" t="s">
        <v>4867</v>
      </c>
      <c r="PGV1017" s="16" t="s">
        <v>4867</v>
      </c>
      <c r="PGW1017" s="16" t="s">
        <v>4867</v>
      </c>
      <c r="PGX1017" s="16" t="s">
        <v>4867</v>
      </c>
      <c r="PGY1017" s="16" t="s">
        <v>4867</v>
      </c>
      <c r="PGZ1017" s="16" t="s">
        <v>4867</v>
      </c>
      <c r="PHA1017" s="16" t="s">
        <v>4867</v>
      </c>
      <c r="PHB1017" s="16" t="s">
        <v>4867</v>
      </c>
      <c r="PHC1017" s="16" t="s">
        <v>4867</v>
      </c>
      <c r="PHD1017" s="16" t="s">
        <v>4867</v>
      </c>
      <c r="PHE1017" s="16" t="s">
        <v>4867</v>
      </c>
      <c r="PHF1017" s="16" t="s">
        <v>4867</v>
      </c>
      <c r="PHG1017" s="16" t="s">
        <v>4867</v>
      </c>
      <c r="PHH1017" s="16" t="s">
        <v>4867</v>
      </c>
      <c r="PHI1017" s="16" t="s">
        <v>4867</v>
      </c>
      <c r="PHJ1017" s="16" t="s">
        <v>4867</v>
      </c>
      <c r="PHK1017" s="16" t="s">
        <v>4867</v>
      </c>
      <c r="PHL1017" s="16" t="s">
        <v>4867</v>
      </c>
      <c r="PHM1017" s="16" t="s">
        <v>4867</v>
      </c>
      <c r="PHN1017" s="16" t="s">
        <v>4867</v>
      </c>
      <c r="PHO1017" s="16" t="s">
        <v>4867</v>
      </c>
      <c r="PHP1017" s="16" t="s">
        <v>4867</v>
      </c>
      <c r="PHQ1017" s="16" t="s">
        <v>4867</v>
      </c>
      <c r="PHR1017" s="16" t="s">
        <v>4867</v>
      </c>
      <c r="PHS1017" s="16" t="s">
        <v>4867</v>
      </c>
      <c r="PHT1017" s="16" t="s">
        <v>4867</v>
      </c>
      <c r="PHU1017" s="16" t="s">
        <v>4867</v>
      </c>
      <c r="PHV1017" s="16" t="s">
        <v>4867</v>
      </c>
      <c r="PHW1017" s="16" t="s">
        <v>4867</v>
      </c>
      <c r="PHX1017" s="16" t="s">
        <v>4867</v>
      </c>
      <c r="PHY1017" s="16" t="s">
        <v>4867</v>
      </c>
      <c r="PHZ1017" s="16" t="s">
        <v>4867</v>
      </c>
      <c r="PIA1017" s="16" t="s">
        <v>4867</v>
      </c>
      <c r="PIB1017" s="16" t="s">
        <v>4867</v>
      </c>
      <c r="PIC1017" s="16" t="s">
        <v>4867</v>
      </c>
      <c r="PID1017" s="16" t="s">
        <v>4867</v>
      </c>
      <c r="PIE1017" s="16" t="s">
        <v>4867</v>
      </c>
      <c r="PIF1017" s="16" t="s">
        <v>4867</v>
      </c>
      <c r="PIG1017" s="16" t="s">
        <v>4867</v>
      </c>
      <c r="PIH1017" s="16" t="s">
        <v>4867</v>
      </c>
      <c r="PII1017" s="16" t="s">
        <v>4867</v>
      </c>
      <c r="PIJ1017" s="16" t="s">
        <v>4867</v>
      </c>
      <c r="PIK1017" s="16" t="s">
        <v>4867</v>
      </c>
      <c r="PIL1017" s="16" t="s">
        <v>4867</v>
      </c>
      <c r="PIM1017" s="16" t="s">
        <v>4867</v>
      </c>
      <c r="PIN1017" s="16" t="s">
        <v>4867</v>
      </c>
      <c r="PIO1017" s="16" t="s">
        <v>4867</v>
      </c>
      <c r="PIP1017" s="16" t="s">
        <v>4867</v>
      </c>
      <c r="PIQ1017" s="16" t="s">
        <v>4867</v>
      </c>
      <c r="PIR1017" s="16" t="s">
        <v>4867</v>
      </c>
      <c r="PIS1017" s="16" t="s">
        <v>4867</v>
      </c>
      <c r="PIT1017" s="16" t="s">
        <v>4867</v>
      </c>
      <c r="PIU1017" s="16" t="s">
        <v>4867</v>
      </c>
      <c r="PIV1017" s="16" t="s">
        <v>4867</v>
      </c>
      <c r="PIW1017" s="16" t="s">
        <v>4867</v>
      </c>
      <c r="PIX1017" s="16" t="s">
        <v>4867</v>
      </c>
      <c r="PIY1017" s="16" t="s">
        <v>4867</v>
      </c>
      <c r="PIZ1017" s="16" t="s">
        <v>4867</v>
      </c>
      <c r="PJA1017" s="16" t="s">
        <v>4867</v>
      </c>
      <c r="PJB1017" s="16" t="s">
        <v>4867</v>
      </c>
      <c r="PJC1017" s="16" t="s">
        <v>4867</v>
      </c>
      <c r="PJD1017" s="16" t="s">
        <v>4867</v>
      </c>
      <c r="PJE1017" s="16" t="s">
        <v>4867</v>
      </c>
      <c r="PJF1017" s="16" t="s">
        <v>4867</v>
      </c>
      <c r="PJG1017" s="16" t="s">
        <v>4867</v>
      </c>
      <c r="PJH1017" s="16" t="s">
        <v>4867</v>
      </c>
      <c r="PJI1017" s="16" t="s">
        <v>4867</v>
      </c>
      <c r="PJJ1017" s="16" t="s">
        <v>4867</v>
      </c>
      <c r="PJK1017" s="16" t="s">
        <v>4867</v>
      </c>
      <c r="PJL1017" s="16" t="s">
        <v>4867</v>
      </c>
      <c r="PJM1017" s="16" t="s">
        <v>4867</v>
      </c>
      <c r="PJN1017" s="16" t="s">
        <v>4867</v>
      </c>
      <c r="PJO1017" s="16" t="s">
        <v>4867</v>
      </c>
      <c r="PJP1017" s="16" t="s">
        <v>4867</v>
      </c>
      <c r="PJQ1017" s="16" t="s">
        <v>4867</v>
      </c>
      <c r="PJR1017" s="16" t="s">
        <v>4867</v>
      </c>
      <c r="PJS1017" s="16" t="s">
        <v>4867</v>
      </c>
      <c r="PJT1017" s="16" t="s">
        <v>4867</v>
      </c>
      <c r="PJU1017" s="16" t="s">
        <v>4867</v>
      </c>
      <c r="PJV1017" s="16" t="s">
        <v>4867</v>
      </c>
      <c r="PJW1017" s="16" t="s">
        <v>4867</v>
      </c>
      <c r="PJX1017" s="16" t="s">
        <v>4867</v>
      </c>
      <c r="PJY1017" s="16" t="s">
        <v>4867</v>
      </c>
      <c r="PJZ1017" s="16" t="s">
        <v>4867</v>
      </c>
      <c r="PKA1017" s="16" t="s">
        <v>4867</v>
      </c>
      <c r="PKB1017" s="16" t="s">
        <v>4867</v>
      </c>
      <c r="PKC1017" s="16" t="s">
        <v>4867</v>
      </c>
      <c r="PKD1017" s="16" t="s">
        <v>4867</v>
      </c>
      <c r="PKE1017" s="16" t="s">
        <v>4867</v>
      </c>
      <c r="PKF1017" s="16" t="s">
        <v>4867</v>
      </c>
      <c r="PKG1017" s="16" t="s">
        <v>4867</v>
      </c>
      <c r="PKH1017" s="16" t="s">
        <v>4867</v>
      </c>
      <c r="PKI1017" s="16" t="s">
        <v>4867</v>
      </c>
      <c r="PKJ1017" s="16" t="s">
        <v>4867</v>
      </c>
      <c r="PKK1017" s="16" t="s">
        <v>4867</v>
      </c>
      <c r="PKL1017" s="16" t="s">
        <v>4867</v>
      </c>
      <c r="PKM1017" s="16" t="s">
        <v>4867</v>
      </c>
      <c r="PKN1017" s="16" t="s">
        <v>4867</v>
      </c>
      <c r="PKO1017" s="16" t="s">
        <v>4867</v>
      </c>
      <c r="PKP1017" s="16" t="s">
        <v>4867</v>
      </c>
      <c r="PKQ1017" s="16" t="s">
        <v>4867</v>
      </c>
      <c r="PKR1017" s="16" t="s">
        <v>4867</v>
      </c>
      <c r="PKS1017" s="16" t="s">
        <v>4867</v>
      </c>
      <c r="PKT1017" s="16" t="s">
        <v>4867</v>
      </c>
      <c r="PKU1017" s="16" t="s">
        <v>4867</v>
      </c>
      <c r="PKV1017" s="16" t="s">
        <v>4867</v>
      </c>
      <c r="PKW1017" s="16" t="s">
        <v>4867</v>
      </c>
      <c r="PKX1017" s="16" t="s">
        <v>4867</v>
      </c>
      <c r="PKY1017" s="16" t="s">
        <v>4867</v>
      </c>
      <c r="PKZ1017" s="16" t="s">
        <v>4867</v>
      </c>
      <c r="PLA1017" s="16" t="s">
        <v>4867</v>
      </c>
      <c r="PLB1017" s="16" t="s">
        <v>4867</v>
      </c>
      <c r="PLC1017" s="16" t="s">
        <v>4867</v>
      </c>
      <c r="PLD1017" s="16" t="s">
        <v>4867</v>
      </c>
      <c r="PLE1017" s="16" t="s">
        <v>4867</v>
      </c>
      <c r="PLF1017" s="16" t="s">
        <v>4867</v>
      </c>
      <c r="PLG1017" s="16" t="s">
        <v>4867</v>
      </c>
      <c r="PLH1017" s="16" t="s">
        <v>4867</v>
      </c>
      <c r="PLI1017" s="16" t="s">
        <v>4867</v>
      </c>
      <c r="PLJ1017" s="16" t="s">
        <v>4867</v>
      </c>
      <c r="PLK1017" s="16" t="s">
        <v>4867</v>
      </c>
      <c r="PLL1017" s="16" t="s">
        <v>4867</v>
      </c>
      <c r="PLM1017" s="16" t="s">
        <v>4867</v>
      </c>
      <c r="PLN1017" s="16" t="s">
        <v>4867</v>
      </c>
      <c r="PLO1017" s="16" t="s">
        <v>4867</v>
      </c>
      <c r="PLP1017" s="16" t="s">
        <v>4867</v>
      </c>
      <c r="PLQ1017" s="16" t="s">
        <v>4867</v>
      </c>
      <c r="PLR1017" s="16" t="s">
        <v>4867</v>
      </c>
      <c r="PLS1017" s="16" t="s">
        <v>4867</v>
      </c>
      <c r="PLT1017" s="16" t="s">
        <v>4867</v>
      </c>
      <c r="PLU1017" s="16" t="s">
        <v>4867</v>
      </c>
      <c r="PLV1017" s="16" t="s">
        <v>4867</v>
      </c>
      <c r="PLW1017" s="16" t="s">
        <v>4867</v>
      </c>
      <c r="PLX1017" s="16" t="s">
        <v>4867</v>
      </c>
      <c r="PLY1017" s="16" t="s">
        <v>4867</v>
      </c>
      <c r="PLZ1017" s="16" t="s">
        <v>4867</v>
      </c>
      <c r="PMA1017" s="16" t="s">
        <v>4867</v>
      </c>
      <c r="PMB1017" s="16" t="s">
        <v>4867</v>
      </c>
      <c r="PMC1017" s="16" t="s">
        <v>4867</v>
      </c>
      <c r="PMD1017" s="16" t="s">
        <v>4867</v>
      </c>
      <c r="PME1017" s="16" t="s">
        <v>4867</v>
      </c>
      <c r="PMF1017" s="16" t="s">
        <v>4867</v>
      </c>
      <c r="PMG1017" s="16" t="s">
        <v>4867</v>
      </c>
      <c r="PMH1017" s="16" t="s">
        <v>4867</v>
      </c>
      <c r="PMI1017" s="16" t="s">
        <v>4867</v>
      </c>
      <c r="PMJ1017" s="16" t="s">
        <v>4867</v>
      </c>
      <c r="PMK1017" s="16" t="s">
        <v>4867</v>
      </c>
      <c r="PML1017" s="16" t="s">
        <v>4867</v>
      </c>
      <c r="PMM1017" s="16" t="s">
        <v>4867</v>
      </c>
      <c r="PMN1017" s="16" t="s">
        <v>4867</v>
      </c>
      <c r="PMO1017" s="16" t="s">
        <v>4867</v>
      </c>
      <c r="PMP1017" s="16" t="s">
        <v>4867</v>
      </c>
      <c r="PMQ1017" s="16" t="s">
        <v>4867</v>
      </c>
      <c r="PMR1017" s="16" t="s">
        <v>4867</v>
      </c>
      <c r="PMS1017" s="16" t="s">
        <v>4867</v>
      </c>
      <c r="PMT1017" s="16" t="s">
        <v>4867</v>
      </c>
      <c r="PMU1017" s="16" t="s">
        <v>4867</v>
      </c>
      <c r="PMV1017" s="16" t="s">
        <v>4867</v>
      </c>
      <c r="PMW1017" s="16" t="s">
        <v>4867</v>
      </c>
      <c r="PMX1017" s="16" t="s">
        <v>4867</v>
      </c>
      <c r="PMY1017" s="16" t="s">
        <v>4867</v>
      </c>
      <c r="PMZ1017" s="16" t="s">
        <v>4867</v>
      </c>
      <c r="PNA1017" s="16" t="s">
        <v>4867</v>
      </c>
      <c r="PNB1017" s="16" t="s">
        <v>4867</v>
      </c>
      <c r="PNC1017" s="16" t="s">
        <v>4867</v>
      </c>
      <c r="PND1017" s="16" t="s">
        <v>4867</v>
      </c>
      <c r="PNE1017" s="16" t="s">
        <v>4867</v>
      </c>
      <c r="PNF1017" s="16" t="s">
        <v>4867</v>
      </c>
      <c r="PNG1017" s="16" t="s">
        <v>4867</v>
      </c>
      <c r="PNH1017" s="16" t="s">
        <v>4867</v>
      </c>
      <c r="PNI1017" s="16" t="s">
        <v>4867</v>
      </c>
      <c r="PNJ1017" s="16" t="s">
        <v>4867</v>
      </c>
      <c r="PNK1017" s="16" t="s">
        <v>4867</v>
      </c>
      <c r="PNL1017" s="16" t="s">
        <v>4867</v>
      </c>
      <c r="PNM1017" s="16" t="s">
        <v>4867</v>
      </c>
      <c r="PNN1017" s="16" t="s">
        <v>4867</v>
      </c>
      <c r="PNO1017" s="16" t="s">
        <v>4867</v>
      </c>
      <c r="PNP1017" s="16" t="s">
        <v>4867</v>
      </c>
      <c r="PNQ1017" s="16" t="s">
        <v>4867</v>
      </c>
      <c r="PNR1017" s="16" t="s">
        <v>4867</v>
      </c>
      <c r="PNS1017" s="16" t="s">
        <v>4867</v>
      </c>
      <c r="PNT1017" s="16" t="s">
        <v>4867</v>
      </c>
      <c r="PNU1017" s="16" t="s">
        <v>4867</v>
      </c>
      <c r="PNV1017" s="16" t="s">
        <v>4867</v>
      </c>
      <c r="PNW1017" s="16" t="s">
        <v>4867</v>
      </c>
      <c r="PNX1017" s="16" t="s">
        <v>4867</v>
      </c>
      <c r="PNY1017" s="16" t="s">
        <v>4867</v>
      </c>
      <c r="PNZ1017" s="16" t="s">
        <v>4867</v>
      </c>
      <c r="POA1017" s="16" t="s">
        <v>4867</v>
      </c>
      <c r="POB1017" s="16" t="s">
        <v>4867</v>
      </c>
      <c r="POC1017" s="16" t="s">
        <v>4867</v>
      </c>
      <c r="POD1017" s="16" t="s">
        <v>4867</v>
      </c>
      <c r="POE1017" s="16" t="s">
        <v>4867</v>
      </c>
      <c r="POF1017" s="16" t="s">
        <v>4867</v>
      </c>
      <c r="POG1017" s="16" t="s">
        <v>4867</v>
      </c>
      <c r="POH1017" s="16" t="s">
        <v>4867</v>
      </c>
      <c r="POI1017" s="16" t="s">
        <v>4867</v>
      </c>
      <c r="POJ1017" s="16" t="s">
        <v>4867</v>
      </c>
      <c r="POK1017" s="16" t="s">
        <v>4867</v>
      </c>
      <c r="POL1017" s="16" t="s">
        <v>4867</v>
      </c>
      <c r="POM1017" s="16" t="s">
        <v>4867</v>
      </c>
      <c r="PON1017" s="16" t="s">
        <v>4867</v>
      </c>
      <c r="POO1017" s="16" t="s">
        <v>4867</v>
      </c>
      <c r="POP1017" s="16" t="s">
        <v>4867</v>
      </c>
      <c r="POQ1017" s="16" t="s">
        <v>4867</v>
      </c>
      <c r="POR1017" s="16" t="s">
        <v>4867</v>
      </c>
      <c r="POS1017" s="16" t="s">
        <v>4867</v>
      </c>
      <c r="POT1017" s="16" t="s">
        <v>4867</v>
      </c>
      <c r="POU1017" s="16" t="s">
        <v>4867</v>
      </c>
      <c r="POV1017" s="16" t="s">
        <v>4867</v>
      </c>
      <c r="POW1017" s="16" t="s">
        <v>4867</v>
      </c>
      <c r="POX1017" s="16" t="s">
        <v>4867</v>
      </c>
      <c r="POY1017" s="16" t="s">
        <v>4867</v>
      </c>
      <c r="POZ1017" s="16" t="s">
        <v>4867</v>
      </c>
      <c r="PPA1017" s="16" t="s">
        <v>4867</v>
      </c>
      <c r="PPB1017" s="16" t="s">
        <v>4867</v>
      </c>
      <c r="PPC1017" s="16" t="s">
        <v>4867</v>
      </c>
      <c r="PPD1017" s="16" t="s">
        <v>4867</v>
      </c>
      <c r="PPE1017" s="16" t="s">
        <v>4867</v>
      </c>
      <c r="PPF1017" s="16" t="s">
        <v>4867</v>
      </c>
      <c r="PPG1017" s="16" t="s">
        <v>4867</v>
      </c>
      <c r="PPH1017" s="16" t="s">
        <v>4867</v>
      </c>
      <c r="PPI1017" s="16" t="s">
        <v>4867</v>
      </c>
      <c r="PPJ1017" s="16" t="s">
        <v>4867</v>
      </c>
      <c r="PPK1017" s="16" t="s">
        <v>4867</v>
      </c>
      <c r="PPL1017" s="16" t="s">
        <v>4867</v>
      </c>
      <c r="PPM1017" s="16" t="s">
        <v>4867</v>
      </c>
      <c r="PPN1017" s="16" t="s">
        <v>4867</v>
      </c>
      <c r="PPO1017" s="16" t="s">
        <v>4867</v>
      </c>
      <c r="PPP1017" s="16" t="s">
        <v>4867</v>
      </c>
      <c r="PPQ1017" s="16" t="s">
        <v>4867</v>
      </c>
      <c r="PPR1017" s="16" t="s">
        <v>4867</v>
      </c>
      <c r="PPS1017" s="16" t="s">
        <v>4867</v>
      </c>
      <c r="PPT1017" s="16" t="s">
        <v>4867</v>
      </c>
      <c r="PPU1017" s="16" t="s">
        <v>4867</v>
      </c>
      <c r="PPV1017" s="16" t="s">
        <v>4867</v>
      </c>
      <c r="PPW1017" s="16" t="s">
        <v>4867</v>
      </c>
      <c r="PPX1017" s="16" t="s">
        <v>4867</v>
      </c>
      <c r="PPY1017" s="16" t="s">
        <v>4867</v>
      </c>
      <c r="PPZ1017" s="16" t="s">
        <v>4867</v>
      </c>
      <c r="PQA1017" s="16" t="s">
        <v>4867</v>
      </c>
      <c r="PQB1017" s="16" t="s">
        <v>4867</v>
      </c>
      <c r="PQC1017" s="16" t="s">
        <v>4867</v>
      </c>
      <c r="PQD1017" s="16" t="s">
        <v>4867</v>
      </c>
      <c r="PQE1017" s="16" t="s">
        <v>4867</v>
      </c>
      <c r="PQF1017" s="16" t="s">
        <v>4867</v>
      </c>
      <c r="PQG1017" s="16" t="s">
        <v>4867</v>
      </c>
      <c r="PQH1017" s="16" t="s">
        <v>4867</v>
      </c>
      <c r="PQI1017" s="16" t="s">
        <v>4867</v>
      </c>
      <c r="PQJ1017" s="16" t="s">
        <v>4867</v>
      </c>
      <c r="PQK1017" s="16" t="s">
        <v>4867</v>
      </c>
      <c r="PQL1017" s="16" t="s">
        <v>4867</v>
      </c>
      <c r="PQM1017" s="16" t="s">
        <v>4867</v>
      </c>
      <c r="PQN1017" s="16" t="s">
        <v>4867</v>
      </c>
      <c r="PQO1017" s="16" t="s">
        <v>4867</v>
      </c>
      <c r="PQP1017" s="16" t="s">
        <v>4867</v>
      </c>
      <c r="PQQ1017" s="16" t="s">
        <v>4867</v>
      </c>
      <c r="PQR1017" s="16" t="s">
        <v>4867</v>
      </c>
      <c r="PQS1017" s="16" t="s">
        <v>4867</v>
      </c>
      <c r="PQT1017" s="16" t="s">
        <v>4867</v>
      </c>
      <c r="PQU1017" s="16" t="s">
        <v>4867</v>
      </c>
      <c r="PQV1017" s="16" t="s">
        <v>4867</v>
      </c>
      <c r="PQW1017" s="16" t="s">
        <v>4867</v>
      </c>
      <c r="PQX1017" s="16" t="s">
        <v>4867</v>
      </c>
      <c r="PQY1017" s="16" t="s">
        <v>4867</v>
      </c>
      <c r="PQZ1017" s="16" t="s">
        <v>4867</v>
      </c>
      <c r="PRA1017" s="16" t="s">
        <v>4867</v>
      </c>
      <c r="PRB1017" s="16" t="s">
        <v>4867</v>
      </c>
      <c r="PRC1017" s="16" t="s">
        <v>4867</v>
      </c>
      <c r="PRD1017" s="16" t="s">
        <v>4867</v>
      </c>
      <c r="PRE1017" s="16" t="s">
        <v>4867</v>
      </c>
      <c r="PRF1017" s="16" t="s">
        <v>4867</v>
      </c>
      <c r="PRG1017" s="16" t="s">
        <v>4867</v>
      </c>
      <c r="PRH1017" s="16" t="s">
        <v>4867</v>
      </c>
      <c r="PRI1017" s="16" t="s">
        <v>4867</v>
      </c>
      <c r="PRJ1017" s="16" t="s">
        <v>4867</v>
      </c>
      <c r="PRK1017" s="16" t="s">
        <v>4867</v>
      </c>
      <c r="PRL1017" s="16" t="s">
        <v>4867</v>
      </c>
      <c r="PRM1017" s="16" t="s">
        <v>4867</v>
      </c>
      <c r="PRN1017" s="16" t="s">
        <v>4867</v>
      </c>
      <c r="PRO1017" s="16" t="s">
        <v>4867</v>
      </c>
      <c r="PRP1017" s="16" t="s">
        <v>4867</v>
      </c>
      <c r="PRQ1017" s="16" t="s">
        <v>4867</v>
      </c>
      <c r="PRR1017" s="16" t="s">
        <v>4867</v>
      </c>
      <c r="PRS1017" s="16" t="s">
        <v>4867</v>
      </c>
      <c r="PRT1017" s="16" t="s">
        <v>4867</v>
      </c>
      <c r="PRU1017" s="16" t="s">
        <v>4867</v>
      </c>
      <c r="PRV1017" s="16" t="s">
        <v>4867</v>
      </c>
      <c r="PRW1017" s="16" t="s">
        <v>4867</v>
      </c>
      <c r="PRX1017" s="16" t="s">
        <v>4867</v>
      </c>
      <c r="PRY1017" s="16" t="s">
        <v>4867</v>
      </c>
      <c r="PRZ1017" s="16" t="s">
        <v>4867</v>
      </c>
      <c r="PSA1017" s="16" t="s">
        <v>4867</v>
      </c>
      <c r="PSB1017" s="16" t="s">
        <v>4867</v>
      </c>
      <c r="PSC1017" s="16" t="s">
        <v>4867</v>
      </c>
      <c r="PSD1017" s="16" t="s">
        <v>4867</v>
      </c>
      <c r="PSE1017" s="16" t="s">
        <v>4867</v>
      </c>
      <c r="PSF1017" s="16" t="s">
        <v>4867</v>
      </c>
      <c r="PSG1017" s="16" t="s">
        <v>4867</v>
      </c>
      <c r="PSH1017" s="16" t="s">
        <v>4867</v>
      </c>
      <c r="PSI1017" s="16" t="s">
        <v>4867</v>
      </c>
      <c r="PSJ1017" s="16" t="s">
        <v>4867</v>
      </c>
      <c r="PSK1017" s="16" t="s">
        <v>4867</v>
      </c>
      <c r="PSL1017" s="16" t="s">
        <v>4867</v>
      </c>
      <c r="PSM1017" s="16" t="s">
        <v>4867</v>
      </c>
      <c r="PSN1017" s="16" t="s">
        <v>4867</v>
      </c>
      <c r="PSO1017" s="16" t="s">
        <v>4867</v>
      </c>
      <c r="PSP1017" s="16" t="s">
        <v>4867</v>
      </c>
      <c r="PSQ1017" s="16" t="s">
        <v>4867</v>
      </c>
      <c r="PSR1017" s="16" t="s">
        <v>4867</v>
      </c>
      <c r="PSS1017" s="16" t="s">
        <v>4867</v>
      </c>
      <c r="PST1017" s="16" t="s">
        <v>4867</v>
      </c>
      <c r="PSU1017" s="16" t="s">
        <v>4867</v>
      </c>
      <c r="PSV1017" s="16" t="s">
        <v>4867</v>
      </c>
      <c r="PSW1017" s="16" t="s">
        <v>4867</v>
      </c>
      <c r="PSX1017" s="16" t="s">
        <v>4867</v>
      </c>
      <c r="PSY1017" s="16" t="s">
        <v>4867</v>
      </c>
      <c r="PSZ1017" s="16" t="s">
        <v>4867</v>
      </c>
      <c r="PTA1017" s="16" t="s">
        <v>4867</v>
      </c>
      <c r="PTB1017" s="16" t="s">
        <v>4867</v>
      </c>
      <c r="PTC1017" s="16" t="s">
        <v>4867</v>
      </c>
      <c r="PTD1017" s="16" t="s">
        <v>4867</v>
      </c>
      <c r="PTE1017" s="16" t="s">
        <v>4867</v>
      </c>
      <c r="PTF1017" s="16" t="s">
        <v>4867</v>
      </c>
      <c r="PTG1017" s="16" t="s">
        <v>4867</v>
      </c>
      <c r="PTH1017" s="16" t="s">
        <v>4867</v>
      </c>
      <c r="PTI1017" s="16" t="s">
        <v>4867</v>
      </c>
      <c r="PTJ1017" s="16" t="s">
        <v>4867</v>
      </c>
      <c r="PTK1017" s="16" t="s">
        <v>4867</v>
      </c>
      <c r="PTL1017" s="16" t="s">
        <v>4867</v>
      </c>
      <c r="PTM1017" s="16" t="s">
        <v>4867</v>
      </c>
      <c r="PTN1017" s="16" t="s">
        <v>4867</v>
      </c>
      <c r="PTO1017" s="16" t="s">
        <v>4867</v>
      </c>
      <c r="PTP1017" s="16" t="s">
        <v>4867</v>
      </c>
      <c r="PTQ1017" s="16" t="s">
        <v>4867</v>
      </c>
      <c r="PTR1017" s="16" t="s">
        <v>4867</v>
      </c>
      <c r="PTS1017" s="16" t="s">
        <v>4867</v>
      </c>
      <c r="PTT1017" s="16" t="s">
        <v>4867</v>
      </c>
      <c r="PTU1017" s="16" t="s">
        <v>4867</v>
      </c>
      <c r="PTV1017" s="16" t="s">
        <v>4867</v>
      </c>
      <c r="PTW1017" s="16" t="s">
        <v>4867</v>
      </c>
      <c r="PTX1017" s="16" t="s">
        <v>4867</v>
      </c>
      <c r="PTY1017" s="16" t="s">
        <v>4867</v>
      </c>
      <c r="PTZ1017" s="16" t="s">
        <v>4867</v>
      </c>
      <c r="PUA1017" s="16" t="s">
        <v>4867</v>
      </c>
      <c r="PUB1017" s="16" t="s">
        <v>4867</v>
      </c>
      <c r="PUC1017" s="16" t="s">
        <v>4867</v>
      </c>
      <c r="PUD1017" s="16" t="s">
        <v>4867</v>
      </c>
      <c r="PUE1017" s="16" t="s">
        <v>4867</v>
      </c>
      <c r="PUF1017" s="16" t="s">
        <v>4867</v>
      </c>
      <c r="PUG1017" s="16" t="s">
        <v>4867</v>
      </c>
      <c r="PUH1017" s="16" t="s">
        <v>4867</v>
      </c>
      <c r="PUI1017" s="16" t="s">
        <v>4867</v>
      </c>
      <c r="PUJ1017" s="16" t="s">
        <v>4867</v>
      </c>
      <c r="PUK1017" s="16" t="s">
        <v>4867</v>
      </c>
      <c r="PUL1017" s="16" t="s">
        <v>4867</v>
      </c>
      <c r="PUM1017" s="16" t="s">
        <v>4867</v>
      </c>
      <c r="PUN1017" s="16" t="s">
        <v>4867</v>
      </c>
      <c r="PUO1017" s="16" t="s">
        <v>4867</v>
      </c>
      <c r="PUP1017" s="16" t="s">
        <v>4867</v>
      </c>
      <c r="PUQ1017" s="16" t="s">
        <v>4867</v>
      </c>
      <c r="PUR1017" s="16" t="s">
        <v>4867</v>
      </c>
      <c r="PUS1017" s="16" t="s">
        <v>4867</v>
      </c>
      <c r="PUT1017" s="16" t="s">
        <v>4867</v>
      </c>
      <c r="PUU1017" s="16" t="s">
        <v>4867</v>
      </c>
      <c r="PUV1017" s="16" t="s">
        <v>4867</v>
      </c>
      <c r="PUW1017" s="16" t="s">
        <v>4867</v>
      </c>
      <c r="PUX1017" s="16" t="s">
        <v>4867</v>
      </c>
      <c r="PUY1017" s="16" t="s">
        <v>4867</v>
      </c>
      <c r="PUZ1017" s="16" t="s">
        <v>4867</v>
      </c>
      <c r="PVA1017" s="16" t="s">
        <v>4867</v>
      </c>
      <c r="PVB1017" s="16" t="s">
        <v>4867</v>
      </c>
      <c r="PVC1017" s="16" t="s">
        <v>4867</v>
      </c>
      <c r="PVD1017" s="16" t="s">
        <v>4867</v>
      </c>
      <c r="PVE1017" s="16" t="s">
        <v>4867</v>
      </c>
      <c r="PVF1017" s="16" t="s">
        <v>4867</v>
      </c>
      <c r="PVG1017" s="16" t="s">
        <v>4867</v>
      </c>
      <c r="PVH1017" s="16" t="s">
        <v>4867</v>
      </c>
      <c r="PVI1017" s="16" t="s">
        <v>4867</v>
      </c>
      <c r="PVJ1017" s="16" t="s">
        <v>4867</v>
      </c>
      <c r="PVK1017" s="16" t="s">
        <v>4867</v>
      </c>
      <c r="PVL1017" s="16" t="s">
        <v>4867</v>
      </c>
      <c r="PVM1017" s="16" t="s">
        <v>4867</v>
      </c>
      <c r="PVN1017" s="16" t="s">
        <v>4867</v>
      </c>
      <c r="PVO1017" s="16" t="s">
        <v>4867</v>
      </c>
      <c r="PVP1017" s="16" t="s">
        <v>4867</v>
      </c>
      <c r="PVQ1017" s="16" t="s">
        <v>4867</v>
      </c>
      <c r="PVR1017" s="16" t="s">
        <v>4867</v>
      </c>
      <c r="PVS1017" s="16" t="s">
        <v>4867</v>
      </c>
      <c r="PVT1017" s="16" t="s">
        <v>4867</v>
      </c>
      <c r="PVU1017" s="16" t="s">
        <v>4867</v>
      </c>
      <c r="PVV1017" s="16" t="s">
        <v>4867</v>
      </c>
      <c r="PVW1017" s="16" t="s">
        <v>4867</v>
      </c>
      <c r="PVX1017" s="16" t="s">
        <v>4867</v>
      </c>
      <c r="PVY1017" s="16" t="s">
        <v>4867</v>
      </c>
      <c r="PVZ1017" s="16" t="s">
        <v>4867</v>
      </c>
      <c r="PWA1017" s="16" t="s">
        <v>4867</v>
      </c>
      <c r="PWB1017" s="16" t="s">
        <v>4867</v>
      </c>
      <c r="PWC1017" s="16" t="s">
        <v>4867</v>
      </c>
      <c r="PWD1017" s="16" t="s">
        <v>4867</v>
      </c>
      <c r="PWE1017" s="16" t="s">
        <v>4867</v>
      </c>
      <c r="PWF1017" s="16" t="s">
        <v>4867</v>
      </c>
      <c r="PWG1017" s="16" t="s">
        <v>4867</v>
      </c>
      <c r="PWH1017" s="16" t="s">
        <v>4867</v>
      </c>
      <c r="PWI1017" s="16" t="s">
        <v>4867</v>
      </c>
      <c r="PWJ1017" s="16" t="s">
        <v>4867</v>
      </c>
      <c r="PWK1017" s="16" t="s">
        <v>4867</v>
      </c>
      <c r="PWL1017" s="16" t="s">
        <v>4867</v>
      </c>
      <c r="PWM1017" s="16" t="s">
        <v>4867</v>
      </c>
      <c r="PWN1017" s="16" t="s">
        <v>4867</v>
      </c>
      <c r="PWO1017" s="16" t="s">
        <v>4867</v>
      </c>
      <c r="PWP1017" s="16" t="s">
        <v>4867</v>
      </c>
      <c r="PWQ1017" s="16" t="s">
        <v>4867</v>
      </c>
      <c r="PWR1017" s="16" t="s">
        <v>4867</v>
      </c>
      <c r="PWS1017" s="16" t="s">
        <v>4867</v>
      </c>
      <c r="PWT1017" s="16" t="s">
        <v>4867</v>
      </c>
      <c r="PWU1017" s="16" t="s">
        <v>4867</v>
      </c>
      <c r="PWV1017" s="16" t="s">
        <v>4867</v>
      </c>
      <c r="PWW1017" s="16" t="s">
        <v>4867</v>
      </c>
      <c r="PWX1017" s="16" t="s">
        <v>4867</v>
      </c>
      <c r="PWY1017" s="16" t="s">
        <v>4867</v>
      </c>
      <c r="PWZ1017" s="16" t="s">
        <v>4867</v>
      </c>
      <c r="PXA1017" s="16" t="s">
        <v>4867</v>
      </c>
      <c r="PXB1017" s="16" t="s">
        <v>4867</v>
      </c>
      <c r="PXC1017" s="16" t="s">
        <v>4867</v>
      </c>
      <c r="PXD1017" s="16" t="s">
        <v>4867</v>
      </c>
      <c r="PXE1017" s="16" t="s">
        <v>4867</v>
      </c>
      <c r="PXF1017" s="16" t="s">
        <v>4867</v>
      </c>
      <c r="PXG1017" s="16" t="s">
        <v>4867</v>
      </c>
      <c r="PXH1017" s="16" t="s">
        <v>4867</v>
      </c>
      <c r="PXI1017" s="16" t="s">
        <v>4867</v>
      </c>
      <c r="PXJ1017" s="16" t="s">
        <v>4867</v>
      </c>
      <c r="PXK1017" s="16" t="s">
        <v>4867</v>
      </c>
      <c r="PXL1017" s="16" t="s">
        <v>4867</v>
      </c>
      <c r="PXM1017" s="16" t="s">
        <v>4867</v>
      </c>
      <c r="PXN1017" s="16" t="s">
        <v>4867</v>
      </c>
      <c r="PXO1017" s="16" t="s">
        <v>4867</v>
      </c>
      <c r="PXP1017" s="16" t="s">
        <v>4867</v>
      </c>
      <c r="PXQ1017" s="16" t="s">
        <v>4867</v>
      </c>
      <c r="PXR1017" s="16" t="s">
        <v>4867</v>
      </c>
      <c r="PXS1017" s="16" t="s">
        <v>4867</v>
      </c>
      <c r="PXT1017" s="16" t="s">
        <v>4867</v>
      </c>
      <c r="PXU1017" s="16" t="s">
        <v>4867</v>
      </c>
      <c r="PXV1017" s="16" t="s">
        <v>4867</v>
      </c>
      <c r="PXW1017" s="16" t="s">
        <v>4867</v>
      </c>
      <c r="PXX1017" s="16" t="s">
        <v>4867</v>
      </c>
      <c r="PXY1017" s="16" t="s">
        <v>4867</v>
      </c>
      <c r="PXZ1017" s="16" t="s">
        <v>4867</v>
      </c>
      <c r="PYA1017" s="16" t="s">
        <v>4867</v>
      </c>
      <c r="PYB1017" s="16" t="s">
        <v>4867</v>
      </c>
      <c r="PYC1017" s="16" t="s">
        <v>4867</v>
      </c>
      <c r="PYD1017" s="16" t="s">
        <v>4867</v>
      </c>
      <c r="PYE1017" s="16" t="s">
        <v>4867</v>
      </c>
      <c r="PYF1017" s="16" t="s">
        <v>4867</v>
      </c>
      <c r="PYG1017" s="16" t="s">
        <v>4867</v>
      </c>
      <c r="PYH1017" s="16" t="s">
        <v>4867</v>
      </c>
      <c r="PYI1017" s="16" t="s">
        <v>4867</v>
      </c>
      <c r="PYJ1017" s="16" t="s">
        <v>4867</v>
      </c>
      <c r="PYK1017" s="16" t="s">
        <v>4867</v>
      </c>
      <c r="PYL1017" s="16" t="s">
        <v>4867</v>
      </c>
      <c r="PYM1017" s="16" t="s">
        <v>4867</v>
      </c>
      <c r="PYN1017" s="16" t="s">
        <v>4867</v>
      </c>
      <c r="PYO1017" s="16" t="s">
        <v>4867</v>
      </c>
      <c r="PYP1017" s="16" t="s">
        <v>4867</v>
      </c>
      <c r="PYQ1017" s="16" t="s">
        <v>4867</v>
      </c>
      <c r="PYR1017" s="16" t="s">
        <v>4867</v>
      </c>
      <c r="PYS1017" s="16" t="s">
        <v>4867</v>
      </c>
      <c r="PYT1017" s="16" t="s">
        <v>4867</v>
      </c>
      <c r="PYU1017" s="16" t="s">
        <v>4867</v>
      </c>
      <c r="PYV1017" s="16" t="s">
        <v>4867</v>
      </c>
      <c r="PYW1017" s="16" t="s">
        <v>4867</v>
      </c>
      <c r="PYX1017" s="16" t="s">
        <v>4867</v>
      </c>
      <c r="PYY1017" s="16" t="s">
        <v>4867</v>
      </c>
      <c r="PYZ1017" s="16" t="s">
        <v>4867</v>
      </c>
      <c r="PZA1017" s="16" t="s">
        <v>4867</v>
      </c>
      <c r="PZB1017" s="16" t="s">
        <v>4867</v>
      </c>
      <c r="PZC1017" s="16" t="s">
        <v>4867</v>
      </c>
      <c r="PZD1017" s="16" t="s">
        <v>4867</v>
      </c>
      <c r="PZE1017" s="16" t="s">
        <v>4867</v>
      </c>
      <c r="PZF1017" s="16" t="s">
        <v>4867</v>
      </c>
      <c r="PZG1017" s="16" t="s">
        <v>4867</v>
      </c>
      <c r="PZH1017" s="16" t="s">
        <v>4867</v>
      </c>
      <c r="PZI1017" s="16" t="s">
        <v>4867</v>
      </c>
      <c r="PZJ1017" s="16" t="s">
        <v>4867</v>
      </c>
      <c r="PZK1017" s="16" t="s">
        <v>4867</v>
      </c>
      <c r="PZL1017" s="16" t="s">
        <v>4867</v>
      </c>
      <c r="PZM1017" s="16" t="s">
        <v>4867</v>
      </c>
      <c r="PZN1017" s="16" t="s">
        <v>4867</v>
      </c>
      <c r="PZO1017" s="16" t="s">
        <v>4867</v>
      </c>
      <c r="PZP1017" s="16" t="s">
        <v>4867</v>
      </c>
      <c r="PZQ1017" s="16" t="s">
        <v>4867</v>
      </c>
      <c r="PZR1017" s="16" t="s">
        <v>4867</v>
      </c>
      <c r="PZS1017" s="16" t="s">
        <v>4867</v>
      </c>
      <c r="PZT1017" s="16" t="s">
        <v>4867</v>
      </c>
      <c r="PZU1017" s="16" t="s">
        <v>4867</v>
      </c>
      <c r="PZV1017" s="16" t="s">
        <v>4867</v>
      </c>
      <c r="PZW1017" s="16" t="s">
        <v>4867</v>
      </c>
      <c r="PZX1017" s="16" t="s">
        <v>4867</v>
      </c>
      <c r="PZY1017" s="16" t="s">
        <v>4867</v>
      </c>
      <c r="PZZ1017" s="16" t="s">
        <v>4867</v>
      </c>
      <c r="QAA1017" s="16" t="s">
        <v>4867</v>
      </c>
      <c r="QAB1017" s="16" t="s">
        <v>4867</v>
      </c>
      <c r="QAC1017" s="16" t="s">
        <v>4867</v>
      </c>
      <c r="QAD1017" s="16" t="s">
        <v>4867</v>
      </c>
      <c r="QAE1017" s="16" t="s">
        <v>4867</v>
      </c>
      <c r="QAF1017" s="16" t="s">
        <v>4867</v>
      </c>
      <c r="QAG1017" s="16" t="s">
        <v>4867</v>
      </c>
      <c r="QAH1017" s="16" t="s">
        <v>4867</v>
      </c>
      <c r="QAI1017" s="16" t="s">
        <v>4867</v>
      </c>
      <c r="QAJ1017" s="16" t="s">
        <v>4867</v>
      </c>
      <c r="QAK1017" s="16" t="s">
        <v>4867</v>
      </c>
      <c r="QAL1017" s="16" t="s">
        <v>4867</v>
      </c>
      <c r="QAM1017" s="16" t="s">
        <v>4867</v>
      </c>
      <c r="QAN1017" s="16" t="s">
        <v>4867</v>
      </c>
      <c r="QAO1017" s="16" t="s">
        <v>4867</v>
      </c>
      <c r="QAP1017" s="16" t="s">
        <v>4867</v>
      </c>
      <c r="QAQ1017" s="16" t="s">
        <v>4867</v>
      </c>
      <c r="QAR1017" s="16" t="s">
        <v>4867</v>
      </c>
      <c r="QAS1017" s="16" t="s">
        <v>4867</v>
      </c>
      <c r="QAT1017" s="16" t="s">
        <v>4867</v>
      </c>
      <c r="QAU1017" s="16" t="s">
        <v>4867</v>
      </c>
      <c r="QAV1017" s="16" t="s">
        <v>4867</v>
      </c>
      <c r="QAW1017" s="16" t="s">
        <v>4867</v>
      </c>
      <c r="QAX1017" s="16" t="s">
        <v>4867</v>
      </c>
      <c r="QAY1017" s="16" t="s">
        <v>4867</v>
      </c>
      <c r="QAZ1017" s="16" t="s">
        <v>4867</v>
      </c>
      <c r="QBA1017" s="16" t="s">
        <v>4867</v>
      </c>
      <c r="QBB1017" s="16" t="s">
        <v>4867</v>
      </c>
      <c r="QBC1017" s="16" t="s">
        <v>4867</v>
      </c>
      <c r="QBD1017" s="16" t="s">
        <v>4867</v>
      </c>
      <c r="QBE1017" s="16" t="s">
        <v>4867</v>
      </c>
      <c r="QBF1017" s="16" t="s">
        <v>4867</v>
      </c>
      <c r="QBG1017" s="16" t="s">
        <v>4867</v>
      </c>
      <c r="QBH1017" s="16" t="s">
        <v>4867</v>
      </c>
      <c r="QBI1017" s="16" t="s">
        <v>4867</v>
      </c>
      <c r="QBJ1017" s="16" t="s">
        <v>4867</v>
      </c>
      <c r="QBK1017" s="16" t="s">
        <v>4867</v>
      </c>
      <c r="QBL1017" s="16" t="s">
        <v>4867</v>
      </c>
      <c r="QBM1017" s="16" t="s">
        <v>4867</v>
      </c>
      <c r="QBN1017" s="16" t="s">
        <v>4867</v>
      </c>
      <c r="QBO1017" s="16" t="s">
        <v>4867</v>
      </c>
      <c r="QBP1017" s="16" t="s">
        <v>4867</v>
      </c>
      <c r="QBQ1017" s="16" t="s">
        <v>4867</v>
      </c>
      <c r="QBR1017" s="16" t="s">
        <v>4867</v>
      </c>
      <c r="QBS1017" s="16" t="s">
        <v>4867</v>
      </c>
      <c r="QBT1017" s="16" t="s">
        <v>4867</v>
      </c>
      <c r="QBU1017" s="16" t="s">
        <v>4867</v>
      </c>
      <c r="QBV1017" s="16" t="s">
        <v>4867</v>
      </c>
      <c r="QBW1017" s="16" t="s">
        <v>4867</v>
      </c>
      <c r="QBX1017" s="16" t="s">
        <v>4867</v>
      </c>
      <c r="QBY1017" s="16" t="s">
        <v>4867</v>
      </c>
      <c r="QBZ1017" s="16" t="s">
        <v>4867</v>
      </c>
      <c r="QCA1017" s="16" t="s">
        <v>4867</v>
      </c>
      <c r="QCB1017" s="16" t="s">
        <v>4867</v>
      </c>
      <c r="QCC1017" s="16" t="s">
        <v>4867</v>
      </c>
      <c r="QCD1017" s="16" t="s">
        <v>4867</v>
      </c>
      <c r="QCE1017" s="16" t="s">
        <v>4867</v>
      </c>
      <c r="QCF1017" s="16" t="s">
        <v>4867</v>
      </c>
      <c r="QCG1017" s="16" t="s">
        <v>4867</v>
      </c>
      <c r="QCH1017" s="16" t="s">
        <v>4867</v>
      </c>
      <c r="QCI1017" s="16" t="s">
        <v>4867</v>
      </c>
      <c r="QCJ1017" s="16" t="s">
        <v>4867</v>
      </c>
      <c r="QCK1017" s="16" t="s">
        <v>4867</v>
      </c>
      <c r="QCL1017" s="16" t="s">
        <v>4867</v>
      </c>
      <c r="QCM1017" s="16" t="s">
        <v>4867</v>
      </c>
      <c r="QCN1017" s="16" t="s">
        <v>4867</v>
      </c>
      <c r="QCO1017" s="16" t="s">
        <v>4867</v>
      </c>
      <c r="QCP1017" s="16" t="s">
        <v>4867</v>
      </c>
      <c r="QCQ1017" s="16" t="s">
        <v>4867</v>
      </c>
      <c r="QCR1017" s="16" t="s">
        <v>4867</v>
      </c>
      <c r="QCS1017" s="16" t="s">
        <v>4867</v>
      </c>
      <c r="QCT1017" s="16" t="s">
        <v>4867</v>
      </c>
      <c r="QCU1017" s="16" t="s">
        <v>4867</v>
      </c>
      <c r="QCV1017" s="16" t="s">
        <v>4867</v>
      </c>
      <c r="QCW1017" s="16" t="s">
        <v>4867</v>
      </c>
      <c r="QCX1017" s="16" t="s">
        <v>4867</v>
      </c>
      <c r="QCY1017" s="16" t="s">
        <v>4867</v>
      </c>
      <c r="QCZ1017" s="16" t="s">
        <v>4867</v>
      </c>
      <c r="QDA1017" s="16" t="s">
        <v>4867</v>
      </c>
      <c r="QDB1017" s="16" t="s">
        <v>4867</v>
      </c>
      <c r="QDC1017" s="16" t="s">
        <v>4867</v>
      </c>
      <c r="QDD1017" s="16" t="s">
        <v>4867</v>
      </c>
      <c r="QDE1017" s="16" t="s">
        <v>4867</v>
      </c>
      <c r="QDF1017" s="16" t="s">
        <v>4867</v>
      </c>
      <c r="QDG1017" s="16" t="s">
        <v>4867</v>
      </c>
      <c r="QDH1017" s="16" t="s">
        <v>4867</v>
      </c>
      <c r="QDI1017" s="16" t="s">
        <v>4867</v>
      </c>
      <c r="QDJ1017" s="16" t="s">
        <v>4867</v>
      </c>
      <c r="QDK1017" s="16" t="s">
        <v>4867</v>
      </c>
      <c r="QDL1017" s="16" t="s">
        <v>4867</v>
      </c>
      <c r="QDM1017" s="16" t="s">
        <v>4867</v>
      </c>
      <c r="QDN1017" s="16" t="s">
        <v>4867</v>
      </c>
      <c r="QDO1017" s="16" t="s">
        <v>4867</v>
      </c>
      <c r="QDP1017" s="16" t="s">
        <v>4867</v>
      </c>
      <c r="QDQ1017" s="16" t="s">
        <v>4867</v>
      </c>
      <c r="QDR1017" s="16" t="s">
        <v>4867</v>
      </c>
      <c r="QDS1017" s="16" t="s">
        <v>4867</v>
      </c>
      <c r="QDT1017" s="16" t="s">
        <v>4867</v>
      </c>
      <c r="QDU1017" s="16" t="s">
        <v>4867</v>
      </c>
      <c r="QDV1017" s="16" t="s">
        <v>4867</v>
      </c>
      <c r="QDW1017" s="16" t="s">
        <v>4867</v>
      </c>
      <c r="QDX1017" s="16" t="s">
        <v>4867</v>
      </c>
      <c r="QDY1017" s="16" t="s">
        <v>4867</v>
      </c>
      <c r="QDZ1017" s="16" t="s">
        <v>4867</v>
      </c>
      <c r="QEA1017" s="16" t="s">
        <v>4867</v>
      </c>
      <c r="QEB1017" s="16" t="s">
        <v>4867</v>
      </c>
      <c r="QEC1017" s="16" t="s">
        <v>4867</v>
      </c>
      <c r="QED1017" s="16" t="s">
        <v>4867</v>
      </c>
      <c r="QEE1017" s="16" t="s">
        <v>4867</v>
      </c>
      <c r="QEF1017" s="16" t="s">
        <v>4867</v>
      </c>
      <c r="QEG1017" s="16" t="s">
        <v>4867</v>
      </c>
      <c r="QEH1017" s="16" t="s">
        <v>4867</v>
      </c>
      <c r="QEI1017" s="16" t="s">
        <v>4867</v>
      </c>
      <c r="QEJ1017" s="16" t="s">
        <v>4867</v>
      </c>
      <c r="QEK1017" s="16" t="s">
        <v>4867</v>
      </c>
      <c r="QEL1017" s="16" t="s">
        <v>4867</v>
      </c>
      <c r="QEM1017" s="16" t="s">
        <v>4867</v>
      </c>
      <c r="QEN1017" s="16" t="s">
        <v>4867</v>
      </c>
      <c r="QEO1017" s="16" t="s">
        <v>4867</v>
      </c>
      <c r="QEP1017" s="16" t="s">
        <v>4867</v>
      </c>
      <c r="QEQ1017" s="16" t="s">
        <v>4867</v>
      </c>
      <c r="QER1017" s="16" t="s">
        <v>4867</v>
      </c>
      <c r="QES1017" s="16" t="s">
        <v>4867</v>
      </c>
      <c r="QET1017" s="16" t="s">
        <v>4867</v>
      </c>
      <c r="QEU1017" s="16" t="s">
        <v>4867</v>
      </c>
      <c r="QEV1017" s="16" t="s">
        <v>4867</v>
      </c>
      <c r="QEW1017" s="16" t="s">
        <v>4867</v>
      </c>
      <c r="QEX1017" s="16" t="s">
        <v>4867</v>
      </c>
      <c r="QEY1017" s="16" t="s">
        <v>4867</v>
      </c>
      <c r="QEZ1017" s="16" t="s">
        <v>4867</v>
      </c>
      <c r="QFA1017" s="16" t="s">
        <v>4867</v>
      </c>
      <c r="QFB1017" s="16" t="s">
        <v>4867</v>
      </c>
      <c r="QFC1017" s="16" t="s">
        <v>4867</v>
      </c>
      <c r="QFD1017" s="16" t="s">
        <v>4867</v>
      </c>
      <c r="QFE1017" s="16" t="s">
        <v>4867</v>
      </c>
      <c r="QFF1017" s="16" t="s">
        <v>4867</v>
      </c>
      <c r="QFG1017" s="16" t="s">
        <v>4867</v>
      </c>
      <c r="QFH1017" s="16" t="s">
        <v>4867</v>
      </c>
      <c r="QFI1017" s="16" t="s">
        <v>4867</v>
      </c>
      <c r="QFJ1017" s="16" t="s">
        <v>4867</v>
      </c>
      <c r="QFK1017" s="16" t="s">
        <v>4867</v>
      </c>
      <c r="QFL1017" s="16" t="s">
        <v>4867</v>
      </c>
      <c r="QFM1017" s="16" t="s">
        <v>4867</v>
      </c>
      <c r="QFN1017" s="16" t="s">
        <v>4867</v>
      </c>
      <c r="QFO1017" s="16" t="s">
        <v>4867</v>
      </c>
      <c r="QFP1017" s="16" t="s">
        <v>4867</v>
      </c>
      <c r="QFQ1017" s="16" t="s">
        <v>4867</v>
      </c>
      <c r="QFR1017" s="16" t="s">
        <v>4867</v>
      </c>
      <c r="QFS1017" s="16" t="s">
        <v>4867</v>
      </c>
      <c r="QFT1017" s="16" t="s">
        <v>4867</v>
      </c>
      <c r="QFU1017" s="16" t="s">
        <v>4867</v>
      </c>
      <c r="QFV1017" s="16" t="s">
        <v>4867</v>
      </c>
      <c r="QFW1017" s="16" t="s">
        <v>4867</v>
      </c>
      <c r="QFX1017" s="16" t="s">
        <v>4867</v>
      </c>
      <c r="QFY1017" s="16" t="s">
        <v>4867</v>
      </c>
      <c r="QFZ1017" s="16" t="s">
        <v>4867</v>
      </c>
      <c r="QGA1017" s="16" t="s">
        <v>4867</v>
      </c>
      <c r="QGB1017" s="16" t="s">
        <v>4867</v>
      </c>
      <c r="QGC1017" s="16" t="s">
        <v>4867</v>
      </c>
      <c r="QGD1017" s="16" t="s">
        <v>4867</v>
      </c>
      <c r="QGE1017" s="16" t="s">
        <v>4867</v>
      </c>
      <c r="QGF1017" s="16" t="s">
        <v>4867</v>
      </c>
      <c r="QGG1017" s="16" t="s">
        <v>4867</v>
      </c>
      <c r="QGH1017" s="16" t="s">
        <v>4867</v>
      </c>
      <c r="QGI1017" s="16" t="s">
        <v>4867</v>
      </c>
      <c r="QGJ1017" s="16" t="s">
        <v>4867</v>
      </c>
      <c r="QGK1017" s="16" t="s">
        <v>4867</v>
      </c>
      <c r="QGL1017" s="16" t="s">
        <v>4867</v>
      </c>
      <c r="QGM1017" s="16" t="s">
        <v>4867</v>
      </c>
      <c r="QGN1017" s="16" t="s">
        <v>4867</v>
      </c>
      <c r="QGO1017" s="16" t="s">
        <v>4867</v>
      </c>
      <c r="QGP1017" s="16" t="s">
        <v>4867</v>
      </c>
      <c r="QGQ1017" s="16" t="s">
        <v>4867</v>
      </c>
      <c r="QGR1017" s="16" t="s">
        <v>4867</v>
      </c>
      <c r="QGS1017" s="16" t="s">
        <v>4867</v>
      </c>
      <c r="QGT1017" s="16" t="s">
        <v>4867</v>
      </c>
      <c r="QGU1017" s="16" t="s">
        <v>4867</v>
      </c>
      <c r="QGV1017" s="16" t="s">
        <v>4867</v>
      </c>
      <c r="QGW1017" s="16" t="s">
        <v>4867</v>
      </c>
      <c r="QGX1017" s="16" t="s">
        <v>4867</v>
      </c>
      <c r="QGY1017" s="16" t="s">
        <v>4867</v>
      </c>
      <c r="QGZ1017" s="16" t="s">
        <v>4867</v>
      </c>
      <c r="QHA1017" s="16" t="s">
        <v>4867</v>
      </c>
      <c r="QHB1017" s="16" t="s">
        <v>4867</v>
      </c>
      <c r="QHC1017" s="16" t="s">
        <v>4867</v>
      </c>
      <c r="QHD1017" s="16" t="s">
        <v>4867</v>
      </c>
      <c r="QHE1017" s="16" t="s">
        <v>4867</v>
      </c>
      <c r="QHF1017" s="16" t="s">
        <v>4867</v>
      </c>
      <c r="QHG1017" s="16" t="s">
        <v>4867</v>
      </c>
      <c r="QHH1017" s="16" t="s">
        <v>4867</v>
      </c>
      <c r="QHI1017" s="16" t="s">
        <v>4867</v>
      </c>
      <c r="QHJ1017" s="16" t="s">
        <v>4867</v>
      </c>
      <c r="QHK1017" s="16" t="s">
        <v>4867</v>
      </c>
      <c r="QHL1017" s="16" t="s">
        <v>4867</v>
      </c>
      <c r="QHM1017" s="16" t="s">
        <v>4867</v>
      </c>
      <c r="QHN1017" s="16" t="s">
        <v>4867</v>
      </c>
      <c r="QHO1017" s="16" t="s">
        <v>4867</v>
      </c>
      <c r="QHP1017" s="16" t="s">
        <v>4867</v>
      </c>
      <c r="QHQ1017" s="16" t="s">
        <v>4867</v>
      </c>
      <c r="QHR1017" s="16" t="s">
        <v>4867</v>
      </c>
      <c r="QHS1017" s="16" t="s">
        <v>4867</v>
      </c>
      <c r="QHT1017" s="16" t="s">
        <v>4867</v>
      </c>
      <c r="QHU1017" s="16" t="s">
        <v>4867</v>
      </c>
      <c r="QHV1017" s="16" t="s">
        <v>4867</v>
      </c>
      <c r="QHW1017" s="16" t="s">
        <v>4867</v>
      </c>
      <c r="QHX1017" s="16" t="s">
        <v>4867</v>
      </c>
      <c r="QHY1017" s="16" t="s">
        <v>4867</v>
      </c>
      <c r="QHZ1017" s="16" t="s">
        <v>4867</v>
      </c>
      <c r="QIA1017" s="16" t="s">
        <v>4867</v>
      </c>
      <c r="QIB1017" s="16" t="s">
        <v>4867</v>
      </c>
      <c r="QIC1017" s="16" t="s">
        <v>4867</v>
      </c>
      <c r="QID1017" s="16" t="s">
        <v>4867</v>
      </c>
      <c r="QIE1017" s="16" t="s">
        <v>4867</v>
      </c>
      <c r="QIF1017" s="16" t="s">
        <v>4867</v>
      </c>
      <c r="QIG1017" s="16" t="s">
        <v>4867</v>
      </c>
      <c r="QIH1017" s="16" t="s">
        <v>4867</v>
      </c>
      <c r="QII1017" s="16" t="s">
        <v>4867</v>
      </c>
      <c r="QIJ1017" s="16" t="s">
        <v>4867</v>
      </c>
      <c r="QIK1017" s="16" t="s">
        <v>4867</v>
      </c>
      <c r="QIL1017" s="16" t="s">
        <v>4867</v>
      </c>
      <c r="QIM1017" s="16" t="s">
        <v>4867</v>
      </c>
      <c r="QIN1017" s="16" t="s">
        <v>4867</v>
      </c>
      <c r="QIO1017" s="16" t="s">
        <v>4867</v>
      </c>
      <c r="QIP1017" s="16" t="s">
        <v>4867</v>
      </c>
      <c r="QIQ1017" s="16" t="s">
        <v>4867</v>
      </c>
      <c r="QIR1017" s="16" t="s">
        <v>4867</v>
      </c>
      <c r="QIS1017" s="16" t="s">
        <v>4867</v>
      </c>
      <c r="QIT1017" s="16" t="s">
        <v>4867</v>
      </c>
      <c r="QIU1017" s="16" t="s">
        <v>4867</v>
      </c>
      <c r="QIV1017" s="16" t="s">
        <v>4867</v>
      </c>
      <c r="QIW1017" s="16" t="s">
        <v>4867</v>
      </c>
      <c r="QIX1017" s="16" t="s">
        <v>4867</v>
      </c>
      <c r="QIY1017" s="16" t="s">
        <v>4867</v>
      </c>
      <c r="QIZ1017" s="16" t="s">
        <v>4867</v>
      </c>
      <c r="QJA1017" s="16" t="s">
        <v>4867</v>
      </c>
      <c r="QJB1017" s="16" t="s">
        <v>4867</v>
      </c>
      <c r="QJC1017" s="16" t="s">
        <v>4867</v>
      </c>
      <c r="QJD1017" s="16" t="s">
        <v>4867</v>
      </c>
      <c r="QJE1017" s="16" t="s">
        <v>4867</v>
      </c>
      <c r="QJF1017" s="16" t="s">
        <v>4867</v>
      </c>
      <c r="QJG1017" s="16" t="s">
        <v>4867</v>
      </c>
      <c r="QJH1017" s="16" t="s">
        <v>4867</v>
      </c>
      <c r="QJI1017" s="16" t="s">
        <v>4867</v>
      </c>
      <c r="QJJ1017" s="16" t="s">
        <v>4867</v>
      </c>
      <c r="QJK1017" s="16" t="s">
        <v>4867</v>
      </c>
      <c r="QJL1017" s="16" t="s">
        <v>4867</v>
      </c>
      <c r="QJM1017" s="16" t="s">
        <v>4867</v>
      </c>
      <c r="QJN1017" s="16" t="s">
        <v>4867</v>
      </c>
      <c r="QJO1017" s="16" t="s">
        <v>4867</v>
      </c>
      <c r="QJP1017" s="16" t="s">
        <v>4867</v>
      </c>
      <c r="QJQ1017" s="16" t="s">
        <v>4867</v>
      </c>
      <c r="QJR1017" s="16" t="s">
        <v>4867</v>
      </c>
      <c r="QJS1017" s="16" t="s">
        <v>4867</v>
      </c>
      <c r="QJT1017" s="16" t="s">
        <v>4867</v>
      </c>
      <c r="QJU1017" s="16" t="s">
        <v>4867</v>
      </c>
      <c r="QJV1017" s="16" t="s">
        <v>4867</v>
      </c>
      <c r="QJW1017" s="16" t="s">
        <v>4867</v>
      </c>
      <c r="QJX1017" s="16" t="s">
        <v>4867</v>
      </c>
      <c r="QJY1017" s="16" t="s">
        <v>4867</v>
      </c>
      <c r="QJZ1017" s="16" t="s">
        <v>4867</v>
      </c>
      <c r="QKA1017" s="16" t="s">
        <v>4867</v>
      </c>
      <c r="QKB1017" s="16" t="s">
        <v>4867</v>
      </c>
      <c r="QKC1017" s="16" t="s">
        <v>4867</v>
      </c>
      <c r="QKD1017" s="16" t="s">
        <v>4867</v>
      </c>
      <c r="QKE1017" s="16" t="s">
        <v>4867</v>
      </c>
      <c r="QKF1017" s="16" t="s">
        <v>4867</v>
      </c>
      <c r="QKG1017" s="16" t="s">
        <v>4867</v>
      </c>
      <c r="QKH1017" s="16" t="s">
        <v>4867</v>
      </c>
      <c r="QKI1017" s="16" t="s">
        <v>4867</v>
      </c>
      <c r="QKJ1017" s="16" t="s">
        <v>4867</v>
      </c>
      <c r="QKK1017" s="16" t="s">
        <v>4867</v>
      </c>
      <c r="QKL1017" s="16" t="s">
        <v>4867</v>
      </c>
      <c r="QKM1017" s="16" t="s">
        <v>4867</v>
      </c>
      <c r="QKN1017" s="16" t="s">
        <v>4867</v>
      </c>
      <c r="QKO1017" s="16" t="s">
        <v>4867</v>
      </c>
      <c r="QKP1017" s="16" t="s">
        <v>4867</v>
      </c>
      <c r="QKQ1017" s="16" t="s">
        <v>4867</v>
      </c>
      <c r="QKR1017" s="16" t="s">
        <v>4867</v>
      </c>
      <c r="QKS1017" s="16" t="s">
        <v>4867</v>
      </c>
      <c r="QKT1017" s="16" t="s">
        <v>4867</v>
      </c>
      <c r="QKU1017" s="16" t="s">
        <v>4867</v>
      </c>
      <c r="QKV1017" s="16" t="s">
        <v>4867</v>
      </c>
      <c r="QKW1017" s="16" t="s">
        <v>4867</v>
      </c>
      <c r="QKX1017" s="16" t="s">
        <v>4867</v>
      </c>
      <c r="QKY1017" s="16" t="s">
        <v>4867</v>
      </c>
      <c r="QKZ1017" s="16" t="s">
        <v>4867</v>
      </c>
      <c r="QLA1017" s="16" t="s">
        <v>4867</v>
      </c>
      <c r="QLB1017" s="16" t="s">
        <v>4867</v>
      </c>
      <c r="QLC1017" s="16" t="s">
        <v>4867</v>
      </c>
      <c r="QLD1017" s="16" t="s">
        <v>4867</v>
      </c>
      <c r="QLE1017" s="16" t="s">
        <v>4867</v>
      </c>
      <c r="QLF1017" s="16" t="s">
        <v>4867</v>
      </c>
      <c r="QLG1017" s="16" t="s">
        <v>4867</v>
      </c>
      <c r="QLH1017" s="16" t="s">
        <v>4867</v>
      </c>
      <c r="QLI1017" s="16" t="s">
        <v>4867</v>
      </c>
      <c r="QLJ1017" s="16" t="s">
        <v>4867</v>
      </c>
      <c r="QLK1017" s="16" t="s">
        <v>4867</v>
      </c>
      <c r="QLL1017" s="16" t="s">
        <v>4867</v>
      </c>
      <c r="QLM1017" s="16" t="s">
        <v>4867</v>
      </c>
      <c r="QLN1017" s="16" t="s">
        <v>4867</v>
      </c>
      <c r="QLO1017" s="16" t="s">
        <v>4867</v>
      </c>
      <c r="QLP1017" s="16" t="s">
        <v>4867</v>
      </c>
      <c r="QLQ1017" s="16" t="s">
        <v>4867</v>
      </c>
      <c r="QLR1017" s="16" t="s">
        <v>4867</v>
      </c>
      <c r="QLS1017" s="16" t="s">
        <v>4867</v>
      </c>
      <c r="QLT1017" s="16" t="s">
        <v>4867</v>
      </c>
      <c r="QLU1017" s="16" t="s">
        <v>4867</v>
      </c>
      <c r="QLV1017" s="16" t="s">
        <v>4867</v>
      </c>
      <c r="QLW1017" s="16" t="s">
        <v>4867</v>
      </c>
      <c r="QLX1017" s="16" t="s">
        <v>4867</v>
      </c>
      <c r="QLY1017" s="16" t="s">
        <v>4867</v>
      </c>
      <c r="QLZ1017" s="16" t="s">
        <v>4867</v>
      </c>
      <c r="QMA1017" s="16" t="s">
        <v>4867</v>
      </c>
      <c r="QMB1017" s="16" t="s">
        <v>4867</v>
      </c>
      <c r="QMC1017" s="16" t="s">
        <v>4867</v>
      </c>
      <c r="QMD1017" s="16" t="s">
        <v>4867</v>
      </c>
      <c r="QME1017" s="16" t="s">
        <v>4867</v>
      </c>
      <c r="QMF1017" s="16" t="s">
        <v>4867</v>
      </c>
      <c r="QMG1017" s="16" t="s">
        <v>4867</v>
      </c>
      <c r="QMH1017" s="16" t="s">
        <v>4867</v>
      </c>
      <c r="QMI1017" s="16" t="s">
        <v>4867</v>
      </c>
      <c r="QMJ1017" s="16" t="s">
        <v>4867</v>
      </c>
      <c r="QMK1017" s="16" t="s">
        <v>4867</v>
      </c>
      <c r="QML1017" s="16" t="s">
        <v>4867</v>
      </c>
      <c r="QMM1017" s="16" t="s">
        <v>4867</v>
      </c>
      <c r="QMN1017" s="16" t="s">
        <v>4867</v>
      </c>
      <c r="QMO1017" s="16" t="s">
        <v>4867</v>
      </c>
      <c r="QMP1017" s="16" t="s">
        <v>4867</v>
      </c>
      <c r="QMQ1017" s="16" t="s">
        <v>4867</v>
      </c>
      <c r="QMR1017" s="16" t="s">
        <v>4867</v>
      </c>
      <c r="QMS1017" s="16" t="s">
        <v>4867</v>
      </c>
      <c r="QMT1017" s="16" t="s">
        <v>4867</v>
      </c>
      <c r="QMU1017" s="16" t="s">
        <v>4867</v>
      </c>
      <c r="QMV1017" s="16" t="s">
        <v>4867</v>
      </c>
      <c r="QMW1017" s="16" t="s">
        <v>4867</v>
      </c>
      <c r="QMX1017" s="16" t="s">
        <v>4867</v>
      </c>
      <c r="QMY1017" s="16" t="s">
        <v>4867</v>
      </c>
      <c r="QMZ1017" s="16" t="s">
        <v>4867</v>
      </c>
      <c r="QNA1017" s="16" t="s">
        <v>4867</v>
      </c>
      <c r="QNB1017" s="16" t="s">
        <v>4867</v>
      </c>
      <c r="QNC1017" s="16" t="s">
        <v>4867</v>
      </c>
      <c r="QND1017" s="16" t="s">
        <v>4867</v>
      </c>
      <c r="QNE1017" s="16" t="s">
        <v>4867</v>
      </c>
      <c r="QNF1017" s="16" t="s">
        <v>4867</v>
      </c>
      <c r="QNG1017" s="16" t="s">
        <v>4867</v>
      </c>
      <c r="QNH1017" s="16" t="s">
        <v>4867</v>
      </c>
      <c r="QNI1017" s="16" t="s">
        <v>4867</v>
      </c>
      <c r="QNJ1017" s="16" t="s">
        <v>4867</v>
      </c>
      <c r="QNK1017" s="16" t="s">
        <v>4867</v>
      </c>
      <c r="QNL1017" s="16" t="s">
        <v>4867</v>
      </c>
      <c r="QNM1017" s="16" t="s">
        <v>4867</v>
      </c>
      <c r="QNN1017" s="16" t="s">
        <v>4867</v>
      </c>
      <c r="QNO1017" s="16" t="s">
        <v>4867</v>
      </c>
      <c r="QNP1017" s="16" t="s">
        <v>4867</v>
      </c>
      <c r="QNQ1017" s="16" t="s">
        <v>4867</v>
      </c>
      <c r="QNR1017" s="16" t="s">
        <v>4867</v>
      </c>
      <c r="QNS1017" s="16" t="s">
        <v>4867</v>
      </c>
      <c r="QNT1017" s="16" t="s">
        <v>4867</v>
      </c>
      <c r="QNU1017" s="16" t="s">
        <v>4867</v>
      </c>
      <c r="QNV1017" s="16" t="s">
        <v>4867</v>
      </c>
      <c r="QNW1017" s="16" t="s">
        <v>4867</v>
      </c>
      <c r="QNX1017" s="16" t="s">
        <v>4867</v>
      </c>
      <c r="QNY1017" s="16" t="s">
        <v>4867</v>
      </c>
      <c r="QNZ1017" s="16" t="s">
        <v>4867</v>
      </c>
      <c r="QOA1017" s="16" t="s">
        <v>4867</v>
      </c>
      <c r="QOB1017" s="16" t="s">
        <v>4867</v>
      </c>
      <c r="QOC1017" s="16" t="s">
        <v>4867</v>
      </c>
      <c r="QOD1017" s="16" t="s">
        <v>4867</v>
      </c>
      <c r="QOE1017" s="16" t="s">
        <v>4867</v>
      </c>
      <c r="QOF1017" s="16" t="s">
        <v>4867</v>
      </c>
      <c r="QOG1017" s="16" t="s">
        <v>4867</v>
      </c>
      <c r="QOH1017" s="16" t="s">
        <v>4867</v>
      </c>
      <c r="QOI1017" s="16" t="s">
        <v>4867</v>
      </c>
      <c r="QOJ1017" s="16" t="s">
        <v>4867</v>
      </c>
      <c r="QOK1017" s="16" t="s">
        <v>4867</v>
      </c>
      <c r="QOL1017" s="16" t="s">
        <v>4867</v>
      </c>
      <c r="QOM1017" s="16" t="s">
        <v>4867</v>
      </c>
      <c r="QON1017" s="16" t="s">
        <v>4867</v>
      </c>
      <c r="QOO1017" s="16" t="s">
        <v>4867</v>
      </c>
      <c r="QOP1017" s="16" t="s">
        <v>4867</v>
      </c>
      <c r="QOQ1017" s="16" t="s">
        <v>4867</v>
      </c>
      <c r="QOR1017" s="16" t="s">
        <v>4867</v>
      </c>
      <c r="QOS1017" s="16" t="s">
        <v>4867</v>
      </c>
      <c r="QOT1017" s="16" t="s">
        <v>4867</v>
      </c>
      <c r="QOU1017" s="16" t="s">
        <v>4867</v>
      </c>
      <c r="QOV1017" s="16" t="s">
        <v>4867</v>
      </c>
      <c r="QOW1017" s="16" t="s">
        <v>4867</v>
      </c>
      <c r="QOX1017" s="16" t="s">
        <v>4867</v>
      </c>
      <c r="QOY1017" s="16" t="s">
        <v>4867</v>
      </c>
      <c r="QOZ1017" s="16" t="s">
        <v>4867</v>
      </c>
      <c r="QPA1017" s="16" t="s">
        <v>4867</v>
      </c>
      <c r="QPB1017" s="16" t="s">
        <v>4867</v>
      </c>
      <c r="QPC1017" s="16" t="s">
        <v>4867</v>
      </c>
      <c r="QPD1017" s="16" t="s">
        <v>4867</v>
      </c>
      <c r="QPE1017" s="16" t="s">
        <v>4867</v>
      </c>
      <c r="QPF1017" s="16" t="s">
        <v>4867</v>
      </c>
      <c r="QPG1017" s="16" t="s">
        <v>4867</v>
      </c>
      <c r="QPH1017" s="16" t="s">
        <v>4867</v>
      </c>
      <c r="QPI1017" s="16" t="s">
        <v>4867</v>
      </c>
      <c r="QPJ1017" s="16" t="s">
        <v>4867</v>
      </c>
      <c r="QPK1017" s="16" t="s">
        <v>4867</v>
      </c>
      <c r="QPL1017" s="16" t="s">
        <v>4867</v>
      </c>
      <c r="QPM1017" s="16" t="s">
        <v>4867</v>
      </c>
      <c r="QPN1017" s="16" t="s">
        <v>4867</v>
      </c>
      <c r="QPO1017" s="16" t="s">
        <v>4867</v>
      </c>
      <c r="QPP1017" s="16" t="s">
        <v>4867</v>
      </c>
      <c r="QPQ1017" s="16" t="s">
        <v>4867</v>
      </c>
      <c r="QPR1017" s="16" t="s">
        <v>4867</v>
      </c>
      <c r="QPS1017" s="16" t="s">
        <v>4867</v>
      </c>
      <c r="QPT1017" s="16" t="s">
        <v>4867</v>
      </c>
      <c r="QPU1017" s="16" t="s">
        <v>4867</v>
      </c>
      <c r="QPV1017" s="16" t="s">
        <v>4867</v>
      </c>
      <c r="QPW1017" s="16" t="s">
        <v>4867</v>
      </c>
      <c r="QPX1017" s="16" t="s">
        <v>4867</v>
      </c>
      <c r="QPY1017" s="16" t="s">
        <v>4867</v>
      </c>
      <c r="QPZ1017" s="16" t="s">
        <v>4867</v>
      </c>
      <c r="QQA1017" s="16" t="s">
        <v>4867</v>
      </c>
      <c r="QQB1017" s="16" t="s">
        <v>4867</v>
      </c>
      <c r="QQC1017" s="16" t="s">
        <v>4867</v>
      </c>
      <c r="QQD1017" s="16" t="s">
        <v>4867</v>
      </c>
      <c r="QQE1017" s="16" t="s">
        <v>4867</v>
      </c>
      <c r="QQF1017" s="16" t="s">
        <v>4867</v>
      </c>
      <c r="QQG1017" s="16" t="s">
        <v>4867</v>
      </c>
      <c r="QQH1017" s="16" t="s">
        <v>4867</v>
      </c>
      <c r="QQI1017" s="16" t="s">
        <v>4867</v>
      </c>
      <c r="QQJ1017" s="16" t="s">
        <v>4867</v>
      </c>
      <c r="QQK1017" s="16" t="s">
        <v>4867</v>
      </c>
      <c r="QQL1017" s="16" t="s">
        <v>4867</v>
      </c>
      <c r="QQM1017" s="16" t="s">
        <v>4867</v>
      </c>
      <c r="QQN1017" s="16" t="s">
        <v>4867</v>
      </c>
      <c r="QQO1017" s="16" t="s">
        <v>4867</v>
      </c>
      <c r="QQP1017" s="16" t="s">
        <v>4867</v>
      </c>
      <c r="QQQ1017" s="16" t="s">
        <v>4867</v>
      </c>
      <c r="QQR1017" s="16" t="s">
        <v>4867</v>
      </c>
      <c r="QQS1017" s="16" t="s">
        <v>4867</v>
      </c>
      <c r="QQT1017" s="16" t="s">
        <v>4867</v>
      </c>
      <c r="QQU1017" s="16" t="s">
        <v>4867</v>
      </c>
      <c r="QQV1017" s="16" t="s">
        <v>4867</v>
      </c>
      <c r="QQW1017" s="16" t="s">
        <v>4867</v>
      </c>
      <c r="QQX1017" s="16" t="s">
        <v>4867</v>
      </c>
      <c r="QQY1017" s="16" t="s">
        <v>4867</v>
      </c>
      <c r="QQZ1017" s="16" t="s">
        <v>4867</v>
      </c>
      <c r="QRA1017" s="16" t="s">
        <v>4867</v>
      </c>
      <c r="QRB1017" s="16" t="s">
        <v>4867</v>
      </c>
      <c r="QRC1017" s="16" t="s">
        <v>4867</v>
      </c>
      <c r="QRD1017" s="16" t="s">
        <v>4867</v>
      </c>
      <c r="QRE1017" s="16" t="s">
        <v>4867</v>
      </c>
      <c r="QRF1017" s="16" t="s">
        <v>4867</v>
      </c>
      <c r="QRG1017" s="16" t="s">
        <v>4867</v>
      </c>
      <c r="QRH1017" s="16" t="s">
        <v>4867</v>
      </c>
      <c r="QRI1017" s="16" t="s">
        <v>4867</v>
      </c>
      <c r="QRJ1017" s="16" t="s">
        <v>4867</v>
      </c>
      <c r="QRK1017" s="16" t="s">
        <v>4867</v>
      </c>
      <c r="QRL1017" s="16" t="s">
        <v>4867</v>
      </c>
      <c r="QRM1017" s="16" t="s">
        <v>4867</v>
      </c>
      <c r="QRN1017" s="16" t="s">
        <v>4867</v>
      </c>
      <c r="QRO1017" s="16" t="s">
        <v>4867</v>
      </c>
      <c r="QRP1017" s="16" t="s">
        <v>4867</v>
      </c>
      <c r="QRQ1017" s="16" t="s">
        <v>4867</v>
      </c>
      <c r="QRR1017" s="16" t="s">
        <v>4867</v>
      </c>
      <c r="QRS1017" s="16" t="s">
        <v>4867</v>
      </c>
      <c r="QRT1017" s="16" t="s">
        <v>4867</v>
      </c>
      <c r="QRU1017" s="16" t="s">
        <v>4867</v>
      </c>
      <c r="QRV1017" s="16" t="s">
        <v>4867</v>
      </c>
      <c r="QRW1017" s="16" t="s">
        <v>4867</v>
      </c>
      <c r="QRX1017" s="16" t="s">
        <v>4867</v>
      </c>
      <c r="QRY1017" s="16" t="s">
        <v>4867</v>
      </c>
      <c r="QRZ1017" s="16" t="s">
        <v>4867</v>
      </c>
      <c r="QSA1017" s="16" t="s">
        <v>4867</v>
      </c>
      <c r="QSB1017" s="16" t="s">
        <v>4867</v>
      </c>
      <c r="QSC1017" s="16" t="s">
        <v>4867</v>
      </c>
      <c r="QSD1017" s="16" t="s">
        <v>4867</v>
      </c>
      <c r="QSE1017" s="16" t="s">
        <v>4867</v>
      </c>
      <c r="QSF1017" s="16" t="s">
        <v>4867</v>
      </c>
      <c r="QSG1017" s="16" t="s">
        <v>4867</v>
      </c>
      <c r="QSH1017" s="16" t="s">
        <v>4867</v>
      </c>
      <c r="QSI1017" s="16" t="s">
        <v>4867</v>
      </c>
      <c r="QSJ1017" s="16" t="s">
        <v>4867</v>
      </c>
      <c r="QSK1017" s="16" t="s">
        <v>4867</v>
      </c>
      <c r="QSL1017" s="16" t="s">
        <v>4867</v>
      </c>
      <c r="QSM1017" s="16" t="s">
        <v>4867</v>
      </c>
      <c r="QSN1017" s="16" t="s">
        <v>4867</v>
      </c>
      <c r="QSO1017" s="16" t="s">
        <v>4867</v>
      </c>
      <c r="QSP1017" s="16" t="s">
        <v>4867</v>
      </c>
      <c r="QSQ1017" s="16" t="s">
        <v>4867</v>
      </c>
      <c r="QSR1017" s="16" t="s">
        <v>4867</v>
      </c>
      <c r="QSS1017" s="16" t="s">
        <v>4867</v>
      </c>
      <c r="QST1017" s="16" t="s">
        <v>4867</v>
      </c>
      <c r="QSU1017" s="16" t="s">
        <v>4867</v>
      </c>
      <c r="QSV1017" s="16" t="s">
        <v>4867</v>
      </c>
      <c r="QSW1017" s="16" t="s">
        <v>4867</v>
      </c>
      <c r="QSX1017" s="16" t="s">
        <v>4867</v>
      </c>
      <c r="QSY1017" s="16" t="s">
        <v>4867</v>
      </c>
      <c r="QSZ1017" s="16" t="s">
        <v>4867</v>
      </c>
      <c r="QTA1017" s="16" t="s">
        <v>4867</v>
      </c>
      <c r="QTB1017" s="16" t="s">
        <v>4867</v>
      </c>
      <c r="QTC1017" s="16" t="s">
        <v>4867</v>
      </c>
      <c r="QTD1017" s="16" t="s">
        <v>4867</v>
      </c>
      <c r="QTE1017" s="16" t="s">
        <v>4867</v>
      </c>
      <c r="QTF1017" s="16" t="s">
        <v>4867</v>
      </c>
      <c r="QTG1017" s="16" t="s">
        <v>4867</v>
      </c>
      <c r="QTH1017" s="16" t="s">
        <v>4867</v>
      </c>
      <c r="QTI1017" s="16" t="s">
        <v>4867</v>
      </c>
      <c r="QTJ1017" s="16" t="s">
        <v>4867</v>
      </c>
      <c r="QTK1017" s="16" t="s">
        <v>4867</v>
      </c>
      <c r="QTL1017" s="16" t="s">
        <v>4867</v>
      </c>
      <c r="QTM1017" s="16" t="s">
        <v>4867</v>
      </c>
      <c r="QTN1017" s="16" t="s">
        <v>4867</v>
      </c>
      <c r="QTO1017" s="16" t="s">
        <v>4867</v>
      </c>
      <c r="QTP1017" s="16" t="s">
        <v>4867</v>
      </c>
      <c r="QTQ1017" s="16" t="s">
        <v>4867</v>
      </c>
      <c r="QTR1017" s="16" t="s">
        <v>4867</v>
      </c>
      <c r="QTS1017" s="16" t="s">
        <v>4867</v>
      </c>
      <c r="QTT1017" s="16" t="s">
        <v>4867</v>
      </c>
      <c r="QTU1017" s="16" t="s">
        <v>4867</v>
      </c>
      <c r="QTV1017" s="16" t="s">
        <v>4867</v>
      </c>
      <c r="QTW1017" s="16" t="s">
        <v>4867</v>
      </c>
      <c r="QTX1017" s="16" t="s">
        <v>4867</v>
      </c>
      <c r="QTY1017" s="16" t="s">
        <v>4867</v>
      </c>
      <c r="QTZ1017" s="16" t="s">
        <v>4867</v>
      </c>
      <c r="QUA1017" s="16" t="s">
        <v>4867</v>
      </c>
      <c r="QUB1017" s="16" t="s">
        <v>4867</v>
      </c>
      <c r="QUC1017" s="16" t="s">
        <v>4867</v>
      </c>
      <c r="QUD1017" s="16" t="s">
        <v>4867</v>
      </c>
      <c r="QUE1017" s="16" t="s">
        <v>4867</v>
      </c>
      <c r="QUF1017" s="16" t="s">
        <v>4867</v>
      </c>
      <c r="QUG1017" s="16" t="s">
        <v>4867</v>
      </c>
      <c r="QUH1017" s="16" t="s">
        <v>4867</v>
      </c>
      <c r="QUI1017" s="16" t="s">
        <v>4867</v>
      </c>
      <c r="QUJ1017" s="16" t="s">
        <v>4867</v>
      </c>
      <c r="QUK1017" s="16" t="s">
        <v>4867</v>
      </c>
      <c r="QUL1017" s="16" t="s">
        <v>4867</v>
      </c>
      <c r="QUM1017" s="16" t="s">
        <v>4867</v>
      </c>
      <c r="QUN1017" s="16" t="s">
        <v>4867</v>
      </c>
      <c r="QUO1017" s="16" t="s">
        <v>4867</v>
      </c>
      <c r="QUP1017" s="16" t="s">
        <v>4867</v>
      </c>
      <c r="QUQ1017" s="16" t="s">
        <v>4867</v>
      </c>
      <c r="QUR1017" s="16" t="s">
        <v>4867</v>
      </c>
      <c r="QUS1017" s="16" t="s">
        <v>4867</v>
      </c>
      <c r="QUT1017" s="16" t="s">
        <v>4867</v>
      </c>
      <c r="QUU1017" s="16" t="s">
        <v>4867</v>
      </c>
      <c r="QUV1017" s="16" t="s">
        <v>4867</v>
      </c>
      <c r="QUW1017" s="16" t="s">
        <v>4867</v>
      </c>
      <c r="QUX1017" s="16" t="s">
        <v>4867</v>
      </c>
      <c r="QUY1017" s="16" t="s">
        <v>4867</v>
      </c>
      <c r="QUZ1017" s="16" t="s">
        <v>4867</v>
      </c>
      <c r="QVA1017" s="16" t="s">
        <v>4867</v>
      </c>
      <c r="QVB1017" s="16" t="s">
        <v>4867</v>
      </c>
      <c r="QVC1017" s="16" t="s">
        <v>4867</v>
      </c>
      <c r="QVD1017" s="16" t="s">
        <v>4867</v>
      </c>
      <c r="QVE1017" s="16" t="s">
        <v>4867</v>
      </c>
      <c r="QVF1017" s="16" t="s">
        <v>4867</v>
      </c>
      <c r="QVG1017" s="16" t="s">
        <v>4867</v>
      </c>
      <c r="QVH1017" s="16" t="s">
        <v>4867</v>
      </c>
      <c r="QVI1017" s="16" t="s">
        <v>4867</v>
      </c>
      <c r="QVJ1017" s="16" t="s">
        <v>4867</v>
      </c>
      <c r="QVK1017" s="16" t="s">
        <v>4867</v>
      </c>
      <c r="QVL1017" s="16" t="s">
        <v>4867</v>
      </c>
      <c r="QVM1017" s="16" t="s">
        <v>4867</v>
      </c>
      <c r="QVN1017" s="16" t="s">
        <v>4867</v>
      </c>
      <c r="QVO1017" s="16" t="s">
        <v>4867</v>
      </c>
      <c r="QVP1017" s="16" t="s">
        <v>4867</v>
      </c>
      <c r="QVQ1017" s="16" t="s">
        <v>4867</v>
      </c>
      <c r="QVR1017" s="16" t="s">
        <v>4867</v>
      </c>
      <c r="QVS1017" s="16" t="s">
        <v>4867</v>
      </c>
      <c r="QVT1017" s="16" t="s">
        <v>4867</v>
      </c>
      <c r="QVU1017" s="16" t="s">
        <v>4867</v>
      </c>
      <c r="QVV1017" s="16" t="s">
        <v>4867</v>
      </c>
      <c r="QVW1017" s="16" t="s">
        <v>4867</v>
      </c>
      <c r="QVX1017" s="16" t="s">
        <v>4867</v>
      </c>
      <c r="QVY1017" s="16" t="s">
        <v>4867</v>
      </c>
      <c r="QVZ1017" s="16" t="s">
        <v>4867</v>
      </c>
      <c r="QWA1017" s="16" t="s">
        <v>4867</v>
      </c>
      <c r="QWB1017" s="16" t="s">
        <v>4867</v>
      </c>
      <c r="QWC1017" s="16" t="s">
        <v>4867</v>
      </c>
      <c r="QWD1017" s="16" t="s">
        <v>4867</v>
      </c>
      <c r="QWE1017" s="16" t="s">
        <v>4867</v>
      </c>
      <c r="QWF1017" s="16" t="s">
        <v>4867</v>
      </c>
      <c r="QWG1017" s="16" t="s">
        <v>4867</v>
      </c>
      <c r="QWH1017" s="16" t="s">
        <v>4867</v>
      </c>
      <c r="QWI1017" s="16" t="s">
        <v>4867</v>
      </c>
      <c r="QWJ1017" s="16" t="s">
        <v>4867</v>
      </c>
      <c r="QWK1017" s="16" t="s">
        <v>4867</v>
      </c>
      <c r="QWL1017" s="16" t="s">
        <v>4867</v>
      </c>
      <c r="QWM1017" s="16" t="s">
        <v>4867</v>
      </c>
      <c r="QWN1017" s="16" t="s">
        <v>4867</v>
      </c>
      <c r="QWO1017" s="16" t="s">
        <v>4867</v>
      </c>
      <c r="QWP1017" s="16" t="s">
        <v>4867</v>
      </c>
      <c r="QWQ1017" s="16" t="s">
        <v>4867</v>
      </c>
      <c r="QWR1017" s="16" t="s">
        <v>4867</v>
      </c>
      <c r="QWS1017" s="16" t="s">
        <v>4867</v>
      </c>
      <c r="QWT1017" s="16" t="s">
        <v>4867</v>
      </c>
      <c r="QWU1017" s="16" t="s">
        <v>4867</v>
      </c>
      <c r="QWV1017" s="16" t="s">
        <v>4867</v>
      </c>
      <c r="QWW1017" s="16" t="s">
        <v>4867</v>
      </c>
      <c r="QWX1017" s="16" t="s">
        <v>4867</v>
      </c>
      <c r="QWY1017" s="16" t="s">
        <v>4867</v>
      </c>
      <c r="QWZ1017" s="16" t="s">
        <v>4867</v>
      </c>
      <c r="QXA1017" s="16" t="s">
        <v>4867</v>
      </c>
      <c r="QXB1017" s="16" t="s">
        <v>4867</v>
      </c>
      <c r="QXC1017" s="16" t="s">
        <v>4867</v>
      </c>
      <c r="QXD1017" s="16" t="s">
        <v>4867</v>
      </c>
      <c r="QXE1017" s="16" t="s">
        <v>4867</v>
      </c>
      <c r="QXF1017" s="16" t="s">
        <v>4867</v>
      </c>
      <c r="QXG1017" s="16" t="s">
        <v>4867</v>
      </c>
      <c r="QXH1017" s="16" t="s">
        <v>4867</v>
      </c>
      <c r="QXI1017" s="16" t="s">
        <v>4867</v>
      </c>
      <c r="QXJ1017" s="16" t="s">
        <v>4867</v>
      </c>
      <c r="QXK1017" s="16" t="s">
        <v>4867</v>
      </c>
      <c r="QXL1017" s="16" t="s">
        <v>4867</v>
      </c>
      <c r="QXM1017" s="16" t="s">
        <v>4867</v>
      </c>
      <c r="QXN1017" s="16" t="s">
        <v>4867</v>
      </c>
      <c r="QXO1017" s="16" t="s">
        <v>4867</v>
      </c>
      <c r="QXP1017" s="16" t="s">
        <v>4867</v>
      </c>
      <c r="QXQ1017" s="16" t="s">
        <v>4867</v>
      </c>
      <c r="QXR1017" s="16" t="s">
        <v>4867</v>
      </c>
      <c r="QXS1017" s="16" t="s">
        <v>4867</v>
      </c>
      <c r="QXT1017" s="16" t="s">
        <v>4867</v>
      </c>
      <c r="QXU1017" s="16" t="s">
        <v>4867</v>
      </c>
      <c r="QXV1017" s="16" t="s">
        <v>4867</v>
      </c>
      <c r="QXW1017" s="16" t="s">
        <v>4867</v>
      </c>
      <c r="QXX1017" s="16" t="s">
        <v>4867</v>
      </c>
      <c r="QXY1017" s="16" t="s">
        <v>4867</v>
      </c>
      <c r="QXZ1017" s="16" t="s">
        <v>4867</v>
      </c>
      <c r="QYA1017" s="16" t="s">
        <v>4867</v>
      </c>
      <c r="QYB1017" s="16" t="s">
        <v>4867</v>
      </c>
      <c r="QYC1017" s="16" t="s">
        <v>4867</v>
      </c>
      <c r="QYD1017" s="16" t="s">
        <v>4867</v>
      </c>
      <c r="QYE1017" s="16" t="s">
        <v>4867</v>
      </c>
      <c r="QYF1017" s="16" t="s">
        <v>4867</v>
      </c>
      <c r="QYG1017" s="16" t="s">
        <v>4867</v>
      </c>
      <c r="QYH1017" s="16" t="s">
        <v>4867</v>
      </c>
      <c r="QYI1017" s="16" t="s">
        <v>4867</v>
      </c>
      <c r="QYJ1017" s="16" t="s">
        <v>4867</v>
      </c>
      <c r="QYK1017" s="16" t="s">
        <v>4867</v>
      </c>
      <c r="QYL1017" s="16" t="s">
        <v>4867</v>
      </c>
      <c r="QYM1017" s="16" t="s">
        <v>4867</v>
      </c>
      <c r="QYN1017" s="16" t="s">
        <v>4867</v>
      </c>
      <c r="QYO1017" s="16" t="s">
        <v>4867</v>
      </c>
      <c r="QYP1017" s="16" t="s">
        <v>4867</v>
      </c>
      <c r="QYQ1017" s="16" t="s">
        <v>4867</v>
      </c>
      <c r="QYR1017" s="16" t="s">
        <v>4867</v>
      </c>
      <c r="QYS1017" s="16" t="s">
        <v>4867</v>
      </c>
      <c r="QYT1017" s="16" t="s">
        <v>4867</v>
      </c>
      <c r="QYU1017" s="16" t="s">
        <v>4867</v>
      </c>
      <c r="QYV1017" s="16" t="s">
        <v>4867</v>
      </c>
      <c r="QYW1017" s="16" t="s">
        <v>4867</v>
      </c>
      <c r="QYX1017" s="16" t="s">
        <v>4867</v>
      </c>
      <c r="QYY1017" s="16" t="s">
        <v>4867</v>
      </c>
      <c r="QYZ1017" s="16" t="s">
        <v>4867</v>
      </c>
      <c r="QZA1017" s="16" t="s">
        <v>4867</v>
      </c>
      <c r="QZB1017" s="16" t="s">
        <v>4867</v>
      </c>
      <c r="QZC1017" s="16" t="s">
        <v>4867</v>
      </c>
      <c r="QZD1017" s="16" t="s">
        <v>4867</v>
      </c>
      <c r="QZE1017" s="16" t="s">
        <v>4867</v>
      </c>
      <c r="QZF1017" s="16" t="s">
        <v>4867</v>
      </c>
      <c r="QZG1017" s="16" t="s">
        <v>4867</v>
      </c>
      <c r="QZH1017" s="16" t="s">
        <v>4867</v>
      </c>
      <c r="QZI1017" s="16" t="s">
        <v>4867</v>
      </c>
      <c r="QZJ1017" s="16" t="s">
        <v>4867</v>
      </c>
      <c r="QZK1017" s="16" t="s">
        <v>4867</v>
      </c>
      <c r="QZL1017" s="16" t="s">
        <v>4867</v>
      </c>
      <c r="QZM1017" s="16" t="s">
        <v>4867</v>
      </c>
      <c r="QZN1017" s="16" t="s">
        <v>4867</v>
      </c>
      <c r="QZO1017" s="16" t="s">
        <v>4867</v>
      </c>
      <c r="QZP1017" s="16" t="s">
        <v>4867</v>
      </c>
      <c r="QZQ1017" s="16" t="s">
        <v>4867</v>
      </c>
      <c r="QZR1017" s="16" t="s">
        <v>4867</v>
      </c>
      <c r="QZS1017" s="16" t="s">
        <v>4867</v>
      </c>
      <c r="QZT1017" s="16" t="s">
        <v>4867</v>
      </c>
      <c r="QZU1017" s="16" t="s">
        <v>4867</v>
      </c>
      <c r="QZV1017" s="16" t="s">
        <v>4867</v>
      </c>
      <c r="QZW1017" s="16" t="s">
        <v>4867</v>
      </c>
      <c r="QZX1017" s="16" t="s">
        <v>4867</v>
      </c>
      <c r="QZY1017" s="16" t="s">
        <v>4867</v>
      </c>
      <c r="QZZ1017" s="16" t="s">
        <v>4867</v>
      </c>
      <c r="RAA1017" s="16" t="s">
        <v>4867</v>
      </c>
      <c r="RAB1017" s="16" t="s">
        <v>4867</v>
      </c>
      <c r="RAC1017" s="16" t="s">
        <v>4867</v>
      </c>
      <c r="RAD1017" s="16" t="s">
        <v>4867</v>
      </c>
      <c r="RAE1017" s="16" t="s">
        <v>4867</v>
      </c>
      <c r="RAF1017" s="16" t="s">
        <v>4867</v>
      </c>
      <c r="RAG1017" s="16" t="s">
        <v>4867</v>
      </c>
      <c r="RAH1017" s="16" t="s">
        <v>4867</v>
      </c>
      <c r="RAI1017" s="16" t="s">
        <v>4867</v>
      </c>
      <c r="RAJ1017" s="16" t="s">
        <v>4867</v>
      </c>
      <c r="RAK1017" s="16" t="s">
        <v>4867</v>
      </c>
      <c r="RAL1017" s="16" t="s">
        <v>4867</v>
      </c>
      <c r="RAM1017" s="16" t="s">
        <v>4867</v>
      </c>
      <c r="RAN1017" s="16" t="s">
        <v>4867</v>
      </c>
      <c r="RAO1017" s="16" t="s">
        <v>4867</v>
      </c>
      <c r="RAP1017" s="16" t="s">
        <v>4867</v>
      </c>
      <c r="RAQ1017" s="16" t="s">
        <v>4867</v>
      </c>
      <c r="RAR1017" s="16" t="s">
        <v>4867</v>
      </c>
      <c r="RAS1017" s="16" t="s">
        <v>4867</v>
      </c>
      <c r="RAT1017" s="16" t="s">
        <v>4867</v>
      </c>
      <c r="RAU1017" s="16" t="s">
        <v>4867</v>
      </c>
      <c r="RAV1017" s="16" t="s">
        <v>4867</v>
      </c>
      <c r="RAW1017" s="16" t="s">
        <v>4867</v>
      </c>
      <c r="RAX1017" s="16" t="s">
        <v>4867</v>
      </c>
      <c r="RAY1017" s="16" t="s">
        <v>4867</v>
      </c>
      <c r="RAZ1017" s="16" t="s">
        <v>4867</v>
      </c>
      <c r="RBA1017" s="16" t="s">
        <v>4867</v>
      </c>
      <c r="RBB1017" s="16" t="s">
        <v>4867</v>
      </c>
      <c r="RBC1017" s="16" t="s">
        <v>4867</v>
      </c>
      <c r="RBD1017" s="16" t="s">
        <v>4867</v>
      </c>
      <c r="RBE1017" s="16" t="s">
        <v>4867</v>
      </c>
      <c r="RBF1017" s="16" t="s">
        <v>4867</v>
      </c>
      <c r="RBG1017" s="16" t="s">
        <v>4867</v>
      </c>
      <c r="RBH1017" s="16" t="s">
        <v>4867</v>
      </c>
      <c r="RBI1017" s="16" t="s">
        <v>4867</v>
      </c>
      <c r="RBJ1017" s="16" t="s">
        <v>4867</v>
      </c>
      <c r="RBK1017" s="16" t="s">
        <v>4867</v>
      </c>
      <c r="RBL1017" s="16" t="s">
        <v>4867</v>
      </c>
      <c r="RBM1017" s="16" t="s">
        <v>4867</v>
      </c>
      <c r="RBN1017" s="16" t="s">
        <v>4867</v>
      </c>
      <c r="RBO1017" s="16" t="s">
        <v>4867</v>
      </c>
      <c r="RBP1017" s="16" t="s">
        <v>4867</v>
      </c>
      <c r="RBQ1017" s="16" t="s">
        <v>4867</v>
      </c>
      <c r="RBR1017" s="16" t="s">
        <v>4867</v>
      </c>
      <c r="RBS1017" s="16" t="s">
        <v>4867</v>
      </c>
      <c r="RBT1017" s="16" t="s">
        <v>4867</v>
      </c>
      <c r="RBU1017" s="16" t="s">
        <v>4867</v>
      </c>
      <c r="RBV1017" s="16" t="s">
        <v>4867</v>
      </c>
      <c r="RBW1017" s="16" t="s">
        <v>4867</v>
      </c>
      <c r="RBX1017" s="16" t="s">
        <v>4867</v>
      </c>
      <c r="RBY1017" s="16" t="s">
        <v>4867</v>
      </c>
      <c r="RBZ1017" s="16" t="s">
        <v>4867</v>
      </c>
      <c r="RCA1017" s="16" t="s">
        <v>4867</v>
      </c>
      <c r="RCB1017" s="16" t="s">
        <v>4867</v>
      </c>
      <c r="RCC1017" s="16" t="s">
        <v>4867</v>
      </c>
      <c r="RCD1017" s="16" t="s">
        <v>4867</v>
      </c>
      <c r="RCE1017" s="16" t="s">
        <v>4867</v>
      </c>
      <c r="RCF1017" s="16" t="s">
        <v>4867</v>
      </c>
      <c r="RCG1017" s="16" t="s">
        <v>4867</v>
      </c>
      <c r="RCH1017" s="16" t="s">
        <v>4867</v>
      </c>
      <c r="RCI1017" s="16" t="s">
        <v>4867</v>
      </c>
      <c r="RCJ1017" s="16" t="s">
        <v>4867</v>
      </c>
      <c r="RCK1017" s="16" t="s">
        <v>4867</v>
      </c>
      <c r="RCL1017" s="16" t="s">
        <v>4867</v>
      </c>
      <c r="RCM1017" s="16" t="s">
        <v>4867</v>
      </c>
      <c r="RCN1017" s="16" t="s">
        <v>4867</v>
      </c>
      <c r="RCO1017" s="16" t="s">
        <v>4867</v>
      </c>
      <c r="RCP1017" s="16" t="s">
        <v>4867</v>
      </c>
      <c r="RCQ1017" s="16" t="s">
        <v>4867</v>
      </c>
      <c r="RCR1017" s="16" t="s">
        <v>4867</v>
      </c>
      <c r="RCS1017" s="16" t="s">
        <v>4867</v>
      </c>
      <c r="RCT1017" s="16" t="s">
        <v>4867</v>
      </c>
      <c r="RCU1017" s="16" t="s">
        <v>4867</v>
      </c>
      <c r="RCV1017" s="16" t="s">
        <v>4867</v>
      </c>
      <c r="RCW1017" s="16" t="s">
        <v>4867</v>
      </c>
      <c r="RCX1017" s="16" t="s">
        <v>4867</v>
      </c>
      <c r="RCY1017" s="16" t="s">
        <v>4867</v>
      </c>
      <c r="RCZ1017" s="16" t="s">
        <v>4867</v>
      </c>
      <c r="RDA1017" s="16" t="s">
        <v>4867</v>
      </c>
      <c r="RDB1017" s="16" t="s">
        <v>4867</v>
      </c>
      <c r="RDC1017" s="16" t="s">
        <v>4867</v>
      </c>
      <c r="RDD1017" s="16" t="s">
        <v>4867</v>
      </c>
      <c r="RDE1017" s="16" t="s">
        <v>4867</v>
      </c>
      <c r="RDF1017" s="16" t="s">
        <v>4867</v>
      </c>
      <c r="RDG1017" s="16" t="s">
        <v>4867</v>
      </c>
      <c r="RDH1017" s="16" t="s">
        <v>4867</v>
      </c>
      <c r="RDI1017" s="16" t="s">
        <v>4867</v>
      </c>
      <c r="RDJ1017" s="16" t="s">
        <v>4867</v>
      </c>
      <c r="RDK1017" s="16" t="s">
        <v>4867</v>
      </c>
      <c r="RDL1017" s="16" t="s">
        <v>4867</v>
      </c>
      <c r="RDM1017" s="16" t="s">
        <v>4867</v>
      </c>
      <c r="RDN1017" s="16" t="s">
        <v>4867</v>
      </c>
      <c r="RDO1017" s="16" t="s">
        <v>4867</v>
      </c>
      <c r="RDP1017" s="16" t="s">
        <v>4867</v>
      </c>
      <c r="RDQ1017" s="16" t="s">
        <v>4867</v>
      </c>
      <c r="RDR1017" s="16" t="s">
        <v>4867</v>
      </c>
      <c r="RDS1017" s="16" t="s">
        <v>4867</v>
      </c>
      <c r="RDT1017" s="16" t="s">
        <v>4867</v>
      </c>
      <c r="RDU1017" s="16" t="s">
        <v>4867</v>
      </c>
      <c r="RDV1017" s="16" t="s">
        <v>4867</v>
      </c>
      <c r="RDW1017" s="16" t="s">
        <v>4867</v>
      </c>
      <c r="RDX1017" s="16" t="s">
        <v>4867</v>
      </c>
      <c r="RDY1017" s="16" t="s">
        <v>4867</v>
      </c>
      <c r="RDZ1017" s="16" t="s">
        <v>4867</v>
      </c>
      <c r="REA1017" s="16" t="s">
        <v>4867</v>
      </c>
      <c r="REB1017" s="16" t="s">
        <v>4867</v>
      </c>
      <c r="REC1017" s="16" t="s">
        <v>4867</v>
      </c>
      <c r="RED1017" s="16" t="s">
        <v>4867</v>
      </c>
      <c r="REE1017" s="16" t="s">
        <v>4867</v>
      </c>
      <c r="REF1017" s="16" t="s">
        <v>4867</v>
      </c>
      <c r="REG1017" s="16" t="s">
        <v>4867</v>
      </c>
      <c r="REH1017" s="16" t="s">
        <v>4867</v>
      </c>
      <c r="REI1017" s="16" t="s">
        <v>4867</v>
      </c>
      <c r="REJ1017" s="16" t="s">
        <v>4867</v>
      </c>
      <c r="REK1017" s="16" t="s">
        <v>4867</v>
      </c>
      <c r="REL1017" s="16" t="s">
        <v>4867</v>
      </c>
      <c r="REM1017" s="16" t="s">
        <v>4867</v>
      </c>
      <c r="REN1017" s="16" t="s">
        <v>4867</v>
      </c>
      <c r="REO1017" s="16" t="s">
        <v>4867</v>
      </c>
      <c r="REP1017" s="16" t="s">
        <v>4867</v>
      </c>
      <c r="REQ1017" s="16" t="s">
        <v>4867</v>
      </c>
      <c r="RER1017" s="16" t="s">
        <v>4867</v>
      </c>
      <c r="RES1017" s="16" t="s">
        <v>4867</v>
      </c>
      <c r="RET1017" s="16" t="s">
        <v>4867</v>
      </c>
      <c r="REU1017" s="16" t="s">
        <v>4867</v>
      </c>
      <c r="REV1017" s="16" t="s">
        <v>4867</v>
      </c>
      <c r="REW1017" s="16" t="s">
        <v>4867</v>
      </c>
      <c r="REX1017" s="16" t="s">
        <v>4867</v>
      </c>
      <c r="REY1017" s="16" t="s">
        <v>4867</v>
      </c>
      <c r="REZ1017" s="16" t="s">
        <v>4867</v>
      </c>
      <c r="RFA1017" s="16" t="s">
        <v>4867</v>
      </c>
      <c r="RFB1017" s="16" t="s">
        <v>4867</v>
      </c>
      <c r="RFC1017" s="16" t="s">
        <v>4867</v>
      </c>
      <c r="RFD1017" s="16" t="s">
        <v>4867</v>
      </c>
      <c r="RFE1017" s="16" t="s">
        <v>4867</v>
      </c>
      <c r="RFF1017" s="16" t="s">
        <v>4867</v>
      </c>
      <c r="RFG1017" s="16" t="s">
        <v>4867</v>
      </c>
      <c r="RFH1017" s="16" t="s">
        <v>4867</v>
      </c>
      <c r="RFI1017" s="16" t="s">
        <v>4867</v>
      </c>
      <c r="RFJ1017" s="16" t="s">
        <v>4867</v>
      </c>
      <c r="RFK1017" s="16" t="s">
        <v>4867</v>
      </c>
      <c r="RFL1017" s="16" t="s">
        <v>4867</v>
      </c>
      <c r="RFM1017" s="16" t="s">
        <v>4867</v>
      </c>
      <c r="RFN1017" s="16" t="s">
        <v>4867</v>
      </c>
      <c r="RFO1017" s="16" t="s">
        <v>4867</v>
      </c>
      <c r="RFP1017" s="16" t="s">
        <v>4867</v>
      </c>
      <c r="RFQ1017" s="16" t="s">
        <v>4867</v>
      </c>
      <c r="RFR1017" s="16" t="s">
        <v>4867</v>
      </c>
      <c r="RFS1017" s="16" t="s">
        <v>4867</v>
      </c>
      <c r="RFT1017" s="16" t="s">
        <v>4867</v>
      </c>
      <c r="RFU1017" s="16" t="s">
        <v>4867</v>
      </c>
      <c r="RFV1017" s="16" t="s">
        <v>4867</v>
      </c>
      <c r="RFW1017" s="16" t="s">
        <v>4867</v>
      </c>
      <c r="RFX1017" s="16" t="s">
        <v>4867</v>
      </c>
      <c r="RFY1017" s="16" t="s">
        <v>4867</v>
      </c>
      <c r="RFZ1017" s="16" t="s">
        <v>4867</v>
      </c>
      <c r="RGA1017" s="16" t="s">
        <v>4867</v>
      </c>
      <c r="RGB1017" s="16" t="s">
        <v>4867</v>
      </c>
      <c r="RGC1017" s="16" t="s">
        <v>4867</v>
      </c>
      <c r="RGD1017" s="16" t="s">
        <v>4867</v>
      </c>
      <c r="RGE1017" s="16" t="s">
        <v>4867</v>
      </c>
      <c r="RGF1017" s="16" t="s">
        <v>4867</v>
      </c>
      <c r="RGG1017" s="16" t="s">
        <v>4867</v>
      </c>
      <c r="RGH1017" s="16" t="s">
        <v>4867</v>
      </c>
      <c r="RGI1017" s="16" t="s">
        <v>4867</v>
      </c>
      <c r="RGJ1017" s="16" t="s">
        <v>4867</v>
      </c>
      <c r="RGK1017" s="16" t="s">
        <v>4867</v>
      </c>
      <c r="RGL1017" s="16" t="s">
        <v>4867</v>
      </c>
      <c r="RGM1017" s="16" t="s">
        <v>4867</v>
      </c>
      <c r="RGN1017" s="16" t="s">
        <v>4867</v>
      </c>
      <c r="RGO1017" s="16" t="s">
        <v>4867</v>
      </c>
      <c r="RGP1017" s="16" t="s">
        <v>4867</v>
      </c>
      <c r="RGQ1017" s="16" t="s">
        <v>4867</v>
      </c>
      <c r="RGR1017" s="16" t="s">
        <v>4867</v>
      </c>
      <c r="RGS1017" s="16" t="s">
        <v>4867</v>
      </c>
      <c r="RGT1017" s="16" t="s">
        <v>4867</v>
      </c>
      <c r="RGU1017" s="16" t="s">
        <v>4867</v>
      </c>
      <c r="RGV1017" s="16" t="s">
        <v>4867</v>
      </c>
      <c r="RGW1017" s="16" t="s">
        <v>4867</v>
      </c>
      <c r="RGX1017" s="16" t="s">
        <v>4867</v>
      </c>
      <c r="RGY1017" s="16" t="s">
        <v>4867</v>
      </c>
      <c r="RGZ1017" s="16" t="s">
        <v>4867</v>
      </c>
      <c r="RHA1017" s="16" t="s">
        <v>4867</v>
      </c>
      <c r="RHB1017" s="16" t="s">
        <v>4867</v>
      </c>
      <c r="RHC1017" s="16" t="s">
        <v>4867</v>
      </c>
      <c r="RHD1017" s="16" t="s">
        <v>4867</v>
      </c>
      <c r="RHE1017" s="16" t="s">
        <v>4867</v>
      </c>
      <c r="RHF1017" s="16" t="s">
        <v>4867</v>
      </c>
      <c r="RHG1017" s="16" t="s">
        <v>4867</v>
      </c>
      <c r="RHH1017" s="16" t="s">
        <v>4867</v>
      </c>
      <c r="RHI1017" s="16" t="s">
        <v>4867</v>
      </c>
      <c r="RHJ1017" s="16" t="s">
        <v>4867</v>
      </c>
      <c r="RHK1017" s="16" t="s">
        <v>4867</v>
      </c>
      <c r="RHL1017" s="16" t="s">
        <v>4867</v>
      </c>
      <c r="RHM1017" s="16" t="s">
        <v>4867</v>
      </c>
      <c r="RHN1017" s="16" t="s">
        <v>4867</v>
      </c>
      <c r="RHO1017" s="16" t="s">
        <v>4867</v>
      </c>
      <c r="RHP1017" s="16" t="s">
        <v>4867</v>
      </c>
      <c r="RHQ1017" s="16" t="s">
        <v>4867</v>
      </c>
      <c r="RHR1017" s="16" t="s">
        <v>4867</v>
      </c>
      <c r="RHS1017" s="16" t="s">
        <v>4867</v>
      </c>
      <c r="RHT1017" s="16" t="s">
        <v>4867</v>
      </c>
      <c r="RHU1017" s="16" t="s">
        <v>4867</v>
      </c>
      <c r="RHV1017" s="16" t="s">
        <v>4867</v>
      </c>
      <c r="RHW1017" s="16" t="s">
        <v>4867</v>
      </c>
      <c r="RHX1017" s="16" t="s">
        <v>4867</v>
      </c>
      <c r="RHY1017" s="16" t="s">
        <v>4867</v>
      </c>
      <c r="RHZ1017" s="16" t="s">
        <v>4867</v>
      </c>
      <c r="RIA1017" s="16" t="s">
        <v>4867</v>
      </c>
      <c r="RIB1017" s="16" t="s">
        <v>4867</v>
      </c>
      <c r="RIC1017" s="16" t="s">
        <v>4867</v>
      </c>
      <c r="RID1017" s="16" t="s">
        <v>4867</v>
      </c>
      <c r="RIE1017" s="16" t="s">
        <v>4867</v>
      </c>
      <c r="RIF1017" s="16" t="s">
        <v>4867</v>
      </c>
      <c r="RIG1017" s="16" t="s">
        <v>4867</v>
      </c>
      <c r="RIH1017" s="16" t="s">
        <v>4867</v>
      </c>
      <c r="RII1017" s="16" t="s">
        <v>4867</v>
      </c>
      <c r="RIJ1017" s="16" t="s">
        <v>4867</v>
      </c>
      <c r="RIK1017" s="16" t="s">
        <v>4867</v>
      </c>
      <c r="RIL1017" s="16" t="s">
        <v>4867</v>
      </c>
      <c r="RIM1017" s="16" t="s">
        <v>4867</v>
      </c>
      <c r="RIN1017" s="16" t="s">
        <v>4867</v>
      </c>
      <c r="RIO1017" s="16" t="s">
        <v>4867</v>
      </c>
      <c r="RIP1017" s="16" t="s">
        <v>4867</v>
      </c>
      <c r="RIQ1017" s="16" t="s">
        <v>4867</v>
      </c>
      <c r="RIR1017" s="16" t="s">
        <v>4867</v>
      </c>
      <c r="RIS1017" s="16" t="s">
        <v>4867</v>
      </c>
      <c r="RIT1017" s="16" t="s">
        <v>4867</v>
      </c>
      <c r="RIU1017" s="16" t="s">
        <v>4867</v>
      </c>
      <c r="RIV1017" s="16" t="s">
        <v>4867</v>
      </c>
      <c r="RIW1017" s="16" t="s">
        <v>4867</v>
      </c>
      <c r="RIX1017" s="16" t="s">
        <v>4867</v>
      </c>
      <c r="RIY1017" s="16" t="s">
        <v>4867</v>
      </c>
      <c r="RIZ1017" s="16" t="s">
        <v>4867</v>
      </c>
      <c r="RJA1017" s="16" t="s">
        <v>4867</v>
      </c>
      <c r="RJB1017" s="16" t="s">
        <v>4867</v>
      </c>
      <c r="RJC1017" s="16" t="s">
        <v>4867</v>
      </c>
      <c r="RJD1017" s="16" t="s">
        <v>4867</v>
      </c>
      <c r="RJE1017" s="16" t="s">
        <v>4867</v>
      </c>
      <c r="RJF1017" s="16" t="s">
        <v>4867</v>
      </c>
      <c r="RJG1017" s="16" t="s">
        <v>4867</v>
      </c>
      <c r="RJH1017" s="16" t="s">
        <v>4867</v>
      </c>
      <c r="RJI1017" s="16" t="s">
        <v>4867</v>
      </c>
      <c r="RJJ1017" s="16" t="s">
        <v>4867</v>
      </c>
      <c r="RJK1017" s="16" t="s">
        <v>4867</v>
      </c>
      <c r="RJL1017" s="16" t="s">
        <v>4867</v>
      </c>
      <c r="RJM1017" s="16" t="s">
        <v>4867</v>
      </c>
      <c r="RJN1017" s="16" t="s">
        <v>4867</v>
      </c>
      <c r="RJO1017" s="16" t="s">
        <v>4867</v>
      </c>
      <c r="RJP1017" s="16" t="s">
        <v>4867</v>
      </c>
      <c r="RJQ1017" s="16" t="s">
        <v>4867</v>
      </c>
      <c r="RJR1017" s="16" t="s">
        <v>4867</v>
      </c>
      <c r="RJS1017" s="16" t="s">
        <v>4867</v>
      </c>
      <c r="RJT1017" s="16" t="s">
        <v>4867</v>
      </c>
      <c r="RJU1017" s="16" t="s">
        <v>4867</v>
      </c>
      <c r="RJV1017" s="16" t="s">
        <v>4867</v>
      </c>
      <c r="RJW1017" s="16" t="s">
        <v>4867</v>
      </c>
      <c r="RJX1017" s="16" t="s">
        <v>4867</v>
      </c>
      <c r="RJY1017" s="16" t="s">
        <v>4867</v>
      </c>
      <c r="RJZ1017" s="16" t="s">
        <v>4867</v>
      </c>
      <c r="RKA1017" s="16" t="s">
        <v>4867</v>
      </c>
      <c r="RKB1017" s="16" t="s">
        <v>4867</v>
      </c>
      <c r="RKC1017" s="16" t="s">
        <v>4867</v>
      </c>
      <c r="RKD1017" s="16" t="s">
        <v>4867</v>
      </c>
      <c r="RKE1017" s="16" t="s">
        <v>4867</v>
      </c>
      <c r="RKF1017" s="16" t="s">
        <v>4867</v>
      </c>
      <c r="RKG1017" s="16" t="s">
        <v>4867</v>
      </c>
      <c r="RKH1017" s="16" t="s">
        <v>4867</v>
      </c>
      <c r="RKI1017" s="16" t="s">
        <v>4867</v>
      </c>
      <c r="RKJ1017" s="16" t="s">
        <v>4867</v>
      </c>
      <c r="RKK1017" s="16" t="s">
        <v>4867</v>
      </c>
      <c r="RKL1017" s="16" t="s">
        <v>4867</v>
      </c>
      <c r="RKM1017" s="16" t="s">
        <v>4867</v>
      </c>
      <c r="RKN1017" s="16" t="s">
        <v>4867</v>
      </c>
      <c r="RKO1017" s="16" t="s">
        <v>4867</v>
      </c>
      <c r="RKP1017" s="16" t="s">
        <v>4867</v>
      </c>
      <c r="RKQ1017" s="16" t="s">
        <v>4867</v>
      </c>
      <c r="RKR1017" s="16" t="s">
        <v>4867</v>
      </c>
      <c r="RKS1017" s="16" t="s">
        <v>4867</v>
      </c>
      <c r="RKT1017" s="16" t="s">
        <v>4867</v>
      </c>
      <c r="RKU1017" s="16" t="s">
        <v>4867</v>
      </c>
      <c r="RKV1017" s="16" t="s">
        <v>4867</v>
      </c>
      <c r="RKW1017" s="16" t="s">
        <v>4867</v>
      </c>
      <c r="RKX1017" s="16" t="s">
        <v>4867</v>
      </c>
      <c r="RKY1017" s="16" t="s">
        <v>4867</v>
      </c>
      <c r="RKZ1017" s="16" t="s">
        <v>4867</v>
      </c>
      <c r="RLA1017" s="16" t="s">
        <v>4867</v>
      </c>
      <c r="RLB1017" s="16" t="s">
        <v>4867</v>
      </c>
      <c r="RLC1017" s="16" t="s">
        <v>4867</v>
      </c>
      <c r="RLD1017" s="16" t="s">
        <v>4867</v>
      </c>
      <c r="RLE1017" s="16" t="s">
        <v>4867</v>
      </c>
      <c r="RLF1017" s="16" t="s">
        <v>4867</v>
      </c>
      <c r="RLG1017" s="16" t="s">
        <v>4867</v>
      </c>
      <c r="RLH1017" s="16" t="s">
        <v>4867</v>
      </c>
      <c r="RLI1017" s="16" t="s">
        <v>4867</v>
      </c>
      <c r="RLJ1017" s="16" t="s">
        <v>4867</v>
      </c>
      <c r="RLK1017" s="16" t="s">
        <v>4867</v>
      </c>
      <c r="RLL1017" s="16" t="s">
        <v>4867</v>
      </c>
      <c r="RLM1017" s="16" t="s">
        <v>4867</v>
      </c>
      <c r="RLN1017" s="16" t="s">
        <v>4867</v>
      </c>
      <c r="RLO1017" s="16" t="s">
        <v>4867</v>
      </c>
      <c r="RLP1017" s="16" t="s">
        <v>4867</v>
      </c>
      <c r="RLQ1017" s="16" t="s">
        <v>4867</v>
      </c>
      <c r="RLR1017" s="16" t="s">
        <v>4867</v>
      </c>
      <c r="RLS1017" s="16" t="s">
        <v>4867</v>
      </c>
      <c r="RLT1017" s="16" t="s">
        <v>4867</v>
      </c>
      <c r="RLU1017" s="16" t="s">
        <v>4867</v>
      </c>
      <c r="RLV1017" s="16" t="s">
        <v>4867</v>
      </c>
      <c r="RLW1017" s="16" t="s">
        <v>4867</v>
      </c>
      <c r="RLX1017" s="16" t="s">
        <v>4867</v>
      </c>
      <c r="RLY1017" s="16" t="s">
        <v>4867</v>
      </c>
      <c r="RLZ1017" s="16" t="s">
        <v>4867</v>
      </c>
      <c r="RMA1017" s="16" t="s">
        <v>4867</v>
      </c>
      <c r="RMB1017" s="16" t="s">
        <v>4867</v>
      </c>
      <c r="RMC1017" s="16" t="s">
        <v>4867</v>
      </c>
      <c r="RMD1017" s="16" t="s">
        <v>4867</v>
      </c>
      <c r="RME1017" s="16" t="s">
        <v>4867</v>
      </c>
      <c r="RMF1017" s="16" t="s">
        <v>4867</v>
      </c>
      <c r="RMG1017" s="16" t="s">
        <v>4867</v>
      </c>
      <c r="RMH1017" s="16" t="s">
        <v>4867</v>
      </c>
      <c r="RMI1017" s="16" t="s">
        <v>4867</v>
      </c>
      <c r="RMJ1017" s="16" t="s">
        <v>4867</v>
      </c>
      <c r="RMK1017" s="16" t="s">
        <v>4867</v>
      </c>
      <c r="RML1017" s="16" t="s">
        <v>4867</v>
      </c>
      <c r="RMM1017" s="16" t="s">
        <v>4867</v>
      </c>
      <c r="RMN1017" s="16" t="s">
        <v>4867</v>
      </c>
      <c r="RMO1017" s="16" t="s">
        <v>4867</v>
      </c>
      <c r="RMP1017" s="16" t="s">
        <v>4867</v>
      </c>
      <c r="RMQ1017" s="16" t="s">
        <v>4867</v>
      </c>
      <c r="RMR1017" s="16" t="s">
        <v>4867</v>
      </c>
      <c r="RMS1017" s="16" t="s">
        <v>4867</v>
      </c>
      <c r="RMT1017" s="16" t="s">
        <v>4867</v>
      </c>
      <c r="RMU1017" s="16" t="s">
        <v>4867</v>
      </c>
      <c r="RMV1017" s="16" t="s">
        <v>4867</v>
      </c>
      <c r="RMW1017" s="16" t="s">
        <v>4867</v>
      </c>
      <c r="RMX1017" s="16" t="s">
        <v>4867</v>
      </c>
      <c r="RMY1017" s="16" t="s">
        <v>4867</v>
      </c>
      <c r="RMZ1017" s="16" t="s">
        <v>4867</v>
      </c>
      <c r="RNA1017" s="16" t="s">
        <v>4867</v>
      </c>
      <c r="RNB1017" s="16" t="s">
        <v>4867</v>
      </c>
      <c r="RNC1017" s="16" t="s">
        <v>4867</v>
      </c>
      <c r="RND1017" s="16" t="s">
        <v>4867</v>
      </c>
      <c r="RNE1017" s="16" t="s">
        <v>4867</v>
      </c>
      <c r="RNF1017" s="16" t="s">
        <v>4867</v>
      </c>
      <c r="RNG1017" s="16" t="s">
        <v>4867</v>
      </c>
      <c r="RNH1017" s="16" t="s">
        <v>4867</v>
      </c>
      <c r="RNI1017" s="16" t="s">
        <v>4867</v>
      </c>
      <c r="RNJ1017" s="16" t="s">
        <v>4867</v>
      </c>
      <c r="RNK1017" s="16" t="s">
        <v>4867</v>
      </c>
      <c r="RNL1017" s="16" t="s">
        <v>4867</v>
      </c>
      <c r="RNM1017" s="16" t="s">
        <v>4867</v>
      </c>
      <c r="RNN1017" s="16" t="s">
        <v>4867</v>
      </c>
      <c r="RNO1017" s="16" t="s">
        <v>4867</v>
      </c>
      <c r="RNP1017" s="16" t="s">
        <v>4867</v>
      </c>
      <c r="RNQ1017" s="16" t="s">
        <v>4867</v>
      </c>
      <c r="RNR1017" s="16" t="s">
        <v>4867</v>
      </c>
      <c r="RNS1017" s="16" t="s">
        <v>4867</v>
      </c>
      <c r="RNT1017" s="16" t="s">
        <v>4867</v>
      </c>
      <c r="RNU1017" s="16" t="s">
        <v>4867</v>
      </c>
      <c r="RNV1017" s="16" t="s">
        <v>4867</v>
      </c>
      <c r="RNW1017" s="16" t="s">
        <v>4867</v>
      </c>
      <c r="RNX1017" s="16" t="s">
        <v>4867</v>
      </c>
      <c r="RNY1017" s="16" t="s">
        <v>4867</v>
      </c>
      <c r="RNZ1017" s="16" t="s">
        <v>4867</v>
      </c>
      <c r="ROA1017" s="16" t="s">
        <v>4867</v>
      </c>
      <c r="ROB1017" s="16" t="s">
        <v>4867</v>
      </c>
      <c r="ROC1017" s="16" t="s">
        <v>4867</v>
      </c>
      <c r="ROD1017" s="16" t="s">
        <v>4867</v>
      </c>
      <c r="ROE1017" s="16" t="s">
        <v>4867</v>
      </c>
      <c r="ROF1017" s="16" t="s">
        <v>4867</v>
      </c>
      <c r="ROG1017" s="16" t="s">
        <v>4867</v>
      </c>
      <c r="ROH1017" s="16" t="s">
        <v>4867</v>
      </c>
      <c r="ROI1017" s="16" t="s">
        <v>4867</v>
      </c>
      <c r="ROJ1017" s="16" t="s">
        <v>4867</v>
      </c>
      <c r="ROK1017" s="16" t="s">
        <v>4867</v>
      </c>
      <c r="ROL1017" s="16" t="s">
        <v>4867</v>
      </c>
      <c r="ROM1017" s="16" t="s">
        <v>4867</v>
      </c>
      <c r="RON1017" s="16" t="s">
        <v>4867</v>
      </c>
      <c r="ROO1017" s="16" t="s">
        <v>4867</v>
      </c>
      <c r="ROP1017" s="16" t="s">
        <v>4867</v>
      </c>
      <c r="ROQ1017" s="16" t="s">
        <v>4867</v>
      </c>
      <c r="ROR1017" s="16" t="s">
        <v>4867</v>
      </c>
      <c r="ROS1017" s="16" t="s">
        <v>4867</v>
      </c>
      <c r="ROT1017" s="16" t="s">
        <v>4867</v>
      </c>
      <c r="ROU1017" s="16" t="s">
        <v>4867</v>
      </c>
      <c r="ROV1017" s="16" t="s">
        <v>4867</v>
      </c>
      <c r="ROW1017" s="16" t="s">
        <v>4867</v>
      </c>
      <c r="ROX1017" s="16" t="s">
        <v>4867</v>
      </c>
      <c r="ROY1017" s="16" t="s">
        <v>4867</v>
      </c>
      <c r="ROZ1017" s="16" t="s">
        <v>4867</v>
      </c>
      <c r="RPA1017" s="16" t="s">
        <v>4867</v>
      </c>
      <c r="RPB1017" s="16" t="s">
        <v>4867</v>
      </c>
      <c r="RPC1017" s="16" t="s">
        <v>4867</v>
      </c>
      <c r="RPD1017" s="16" t="s">
        <v>4867</v>
      </c>
      <c r="RPE1017" s="16" t="s">
        <v>4867</v>
      </c>
      <c r="RPF1017" s="16" t="s">
        <v>4867</v>
      </c>
      <c r="RPG1017" s="16" t="s">
        <v>4867</v>
      </c>
      <c r="RPH1017" s="16" t="s">
        <v>4867</v>
      </c>
      <c r="RPI1017" s="16" t="s">
        <v>4867</v>
      </c>
      <c r="RPJ1017" s="16" t="s">
        <v>4867</v>
      </c>
      <c r="RPK1017" s="16" t="s">
        <v>4867</v>
      </c>
      <c r="RPL1017" s="16" t="s">
        <v>4867</v>
      </c>
      <c r="RPM1017" s="16" t="s">
        <v>4867</v>
      </c>
      <c r="RPN1017" s="16" t="s">
        <v>4867</v>
      </c>
      <c r="RPO1017" s="16" t="s">
        <v>4867</v>
      </c>
      <c r="RPP1017" s="16" t="s">
        <v>4867</v>
      </c>
      <c r="RPQ1017" s="16" t="s">
        <v>4867</v>
      </c>
      <c r="RPR1017" s="16" t="s">
        <v>4867</v>
      </c>
      <c r="RPS1017" s="16" t="s">
        <v>4867</v>
      </c>
      <c r="RPT1017" s="16" t="s">
        <v>4867</v>
      </c>
      <c r="RPU1017" s="16" t="s">
        <v>4867</v>
      </c>
      <c r="RPV1017" s="16" t="s">
        <v>4867</v>
      </c>
      <c r="RPW1017" s="16" t="s">
        <v>4867</v>
      </c>
      <c r="RPX1017" s="16" t="s">
        <v>4867</v>
      </c>
      <c r="RPY1017" s="16" t="s">
        <v>4867</v>
      </c>
      <c r="RPZ1017" s="16" t="s">
        <v>4867</v>
      </c>
      <c r="RQA1017" s="16" t="s">
        <v>4867</v>
      </c>
      <c r="RQB1017" s="16" t="s">
        <v>4867</v>
      </c>
      <c r="RQC1017" s="16" t="s">
        <v>4867</v>
      </c>
      <c r="RQD1017" s="16" t="s">
        <v>4867</v>
      </c>
      <c r="RQE1017" s="16" t="s">
        <v>4867</v>
      </c>
      <c r="RQF1017" s="16" t="s">
        <v>4867</v>
      </c>
      <c r="RQG1017" s="16" t="s">
        <v>4867</v>
      </c>
      <c r="RQH1017" s="16" t="s">
        <v>4867</v>
      </c>
      <c r="RQI1017" s="16" t="s">
        <v>4867</v>
      </c>
      <c r="RQJ1017" s="16" t="s">
        <v>4867</v>
      </c>
      <c r="RQK1017" s="16" t="s">
        <v>4867</v>
      </c>
      <c r="RQL1017" s="16" t="s">
        <v>4867</v>
      </c>
      <c r="RQM1017" s="16" t="s">
        <v>4867</v>
      </c>
      <c r="RQN1017" s="16" t="s">
        <v>4867</v>
      </c>
      <c r="RQO1017" s="16" t="s">
        <v>4867</v>
      </c>
      <c r="RQP1017" s="16" t="s">
        <v>4867</v>
      </c>
      <c r="RQQ1017" s="16" t="s">
        <v>4867</v>
      </c>
      <c r="RQR1017" s="16" t="s">
        <v>4867</v>
      </c>
      <c r="RQS1017" s="16" t="s">
        <v>4867</v>
      </c>
      <c r="RQT1017" s="16" t="s">
        <v>4867</v>
      </c>
      <c r="RQU1017" s="16" t="s">
        <v>4867</v>
      </c>
      <c r="RQV1017" s="16" t="s">
        <v>4867</v>
      </c>
      <c r="RQW1017" s="16" t="s">
        <v>4867</v>
      </c>
      <c r="RQX1017" s="16" t="s">
        <v>4867</v>
      </c>
      <c r="RQY1017" s="16" t="s">
        <v>4867</v>
      </c>
      <c r="RQZ1017" s="16" t="s">
        <v>4867</v>
      </c>
      <c r="RRA1017" s="16" t="s">
        <v>4867</v>
      </c>
      <c r="RRB1017" s="16" t="s">
        <v>4867</v>
      </c>
      <c r="RRC1017" s="16" t="s">
        <v>4867</v>
      </c>
      <c r="RRD1017" s="16" t="s">
        <v>4867</v>
      </c>
      <c r="RRE1017" s="16" t="s">
        <v>4867</v>
      </c>
      <c r="RRF1017" s="16" t="s">
        <v>4867</v>
      </c>
      <c r="RRG1017" s="16" t="s">
        <v>4867</v>
      </c>
      <c r="RRH1017" s="16" t="s">
        <v>4867</v>
      </c>
      <c r="RRI1017" s="16" t="s">
        <v>4867</v>
      </c>
      <c r="RRJ1017" s="16" t="s">
        <v>4867</v>
      </c>
      <c r="RRK1017" s="16" t="s">
        <v>4867</v>
      </c>
      <c r="RRL1017" s="16" t="s">
        <v>4867</v>
      </c>
      <c r="RRM1017" s="16" t="s">
        <v>4867</v>
      </c>
      <c r="RRN1017" s="16" t="s">
        <v>4867</v>
      </c>
      <c r="RRO1017" s="16" t="s">
        <v>4867</v>
      </c>
      <c r="RRP1017" s="16" t="s">
        <v>4867</v>
      </c>
      <c r="RRQ1017" s="16" t="s">
        <v>4867</v>
      </c>
      <c r="RRR1017" s="16" t="s">
        <v>4867</v>
      </c>
      <c r="RRS1017" s="16" t="s">
        <v>4867</v>
      </c>
      <c r="RRT1017" s="16" t="s">
        <v>4867</v>
      </c>
      <c r="RRU1017" s="16" t="s">
        <v>4867</v>
      </c>
      <c r="RRV1017" s="16" t="s">
        <v>4867</v>
      </c>
      <c r="RRW1017" s="16" t="s">
        <v>4867</v>
      </c>
      <c r="RRX1017" s="16" t="s">
        <v>4867</v>
      </c>
      <c r="RRY1017" s="16" t="s">
        <v>4867</v>
      </c>
      <c r="RRZ1017" s="16" t="s">
        <v>4867</v>
      </c>
      <c r="RSA1017" s="16" t="s">
        <v>4867</v>
      </c>
      <c r="RSB1017" s="16" t="s">
        <v>4867</v>
      </c>
      <c r="RSC1017" s="16" t="s">
        <v>4867</v>
      </c>
      <c r="RSD1017" s="16" t="s">
        <v>4867</v>
      </c>
      <c r="RSE1017" s="16" t="s">
        <v>4867</v>
      </c>
      <c r="RSF1017" s="16" t="s">
        <v>4867</v>
      </c>
      <c r="RSG1017" s="16" t="s">
        <v>4867</v>
      </c>
      <c r="RSH1017" s="16" t="s">
        <v>4867</v>
      </c>
      <c r="RSI1017" s="16" t="s">
        <v>4867</v>
      </c>
      <c r="RSJ1017" s="16" t="s">
        <v>4867</v>
      </c>
      <c r="RSK1017" s="16" t="s">
        <v>4867</v>
      </c>
      <c r="RSL1017" s="16" t="s">
        <v>4867</v>
      </c>
      <c r="RSM1017" s="16" t="s">
        <v>4867</v>
      </c>
      <c r="RSN1017" s="16" t="s">
        <v>4867</v>
      </c>
      <c r="RSO1017" s="16" t="s">
        <v>4867</v>
      </c>
      <c r="RSP1017" s="16" t="s">
        <v>4867</v>
      </c>
      <c r="RSQ1017" s="16" t="s">
        <v>4867</v>
      </c>
      <c r="RSR1017" s="16" t="s">
        <v>4867</v>
      </c>
      <c r="RSS1017" s="16" t="s">
        <v>4867</v>
      </c>
      <c r="RST1017" s="16" t="s">
        <v>4867</v>
      </c>
      <c r="RSU1017" s="16" t="s">
        <v>4867</v>
      </c>
      <c r="RSV1017" s="16" t="s">
        <v>4867</v>
      </c>
      <c r="RSW1017" s="16" t="s">
        <v>4867</v>
      </c>
      <c r="RSX1017" s="16" t="s">
        <v>4867</v>
      </c>
      <c r="RSY1017" s="16" t="s">
        <v>4867</v>
      </c>
      <c r="RSZ1017" s="16" t="s">
        <v>4867</v>
      </c>
      <c r="RTA1017" s="16" t="s">
        <v>4867</v>
      </c>
      <c r="RTB1017" s="16" t="s">
        <v>4867</v>
      </c>
      <c r="RTC1017" s="16" t="s">
        <v>4867</v>
      </c>
      <c r="RTD1017" s="16" t="s">
        <v>4867</v>
      </c>
      <c r="RTE1017" s="16" t="s">
        <v>4867</v>
      </c>
      <c r="RTF1017" s="16" t="s">
        <v>4867</v>
      </c>
      <c r="RTG1017" s="16" t="s">
        <v>4867</v>
      </c>
      <c r="RTH1017" s="16" t="s">
        <v>4867</v>
      </c>
      <c r="RTI1017" s="16" t="s">
        <v>4867</v>
      </c>
      <c r="RTJ1017" s="16" t="s">
        <v>4867</v>
      </c>
      <c r="RTK1017" s="16" t="s">
        <v>4867</v>
      </c>
      <c r="RTL1017" s="16" t="s">
        <v>4867</v>
      </c>
      <c r="RTM1017" s="16" t="s">
        <v>4867</v>
      </c>
      <c r="RTN1017" s="16" t="s">
        <v>4867</v>
      </c>
      <c r="RTO1017" s="16" t="s">
        <v>4867</v>
      </c>
      <c r="RTP1017" s="16" t="s">
        <v>4867</v>
      </c>
      <c r="RTQ1017" s="16" t="s">
        <v>4867</v>
      </c>
      <c r="RTR1017" s="16" t="s">
        <v>4867</v>
      </c>
      <c r="RTS1017" s="16" t="s">
        <v>4867</v>
      </c>
      <c r="RTT1017" s="16" t="s">
        <v>4867</v>
      </c>
      <c r="RTU1017" s="16" t="s">
        <v>4867</v>
      </c>
      <c r="RTV1017" s="16" t="s">
        <v>4867</v>
      </c>
      <c r="RTW1017" s="16" t="s">
        <v>4867</v>
      </c>
      <c r="RTX1017" s="16" t="s">
        <v>4867</v>
      </c>
      <c r="RTY1017" s="16" t="s">
        <v>4867</v>
      </c>
      <c r="RTZ1017" s="16" t="s">
        <v>4867</v>
      </c>
      <c r="RUA1017" s="16" t="s">
        <v>4867</v>
      </c>
      <c r="RUB1017" s="16" t="s">
        <v>4867</v>
      </c>
      <c r="RUC1017" s="16" t="s">
        <v>4867</v>
      </c>
      <c r="RUD1017" s="16" t="s">
        <v>4867</v>
      </c>
      <c r="RUE1017" s="16" t="s">
        <v>4867</v>
      </c>
      <c r="RUF1017" s="16" t="s">
        <v>4867</v>
      </c>
      <c r="RUG1017" s="16" t="s">
        <v>4867</v>
      </c>
      <c r="RUH1017" s="16" t="s">
        <v>4867</v>
      </c>
      <c r="RUI1017" s="16" t="s">
        <v>4867</v>
      </c>
      <c r="RUJ1017" s="16" t="s">
        <v>4867</v>
      </c>
      <c r="RUK1017" s="16" t="s">
        <v>4867</v>
      </c>
      <c r="RUL1017" s="16" t="s">
        <v>4867</v>
      </c>
      <c r="RUM1017" s="16" t="s">
        <v>4867</v>
      </c>
      <c r="RUN1017" s="16" t="s">
        <v>4867</v>
      </c>
      <c r="RUO1017" s="16" t="s">
        <v>4867</v>
      </c>
      <c r="RUP1017" s="16" t="s">
        <v>4867</v>
      </c>
      <c r="RUQ1017" s="16" t="s">
        <v>4867</v>
      </c>
      <c r="RUR1017" s="16" t="s">
        <v>4867</v>
      </c>
      <c r="RUS1017" s="16" t="s">
        <v>4867</v>
      </c>
      <c r="RUT1017" s="16" t="s">
        <v>4867</v>
      </c>
      <c r="RUU1017" s="16" t="s">
        <v>4867</v>
      </c>
      <c r="RUV1017" s="16" t="s">
        <v>4867</v>
      </c>
      <c r="RUW1017" s="16" t="s">
        <v>4867</v>
      </c>
      <c r="RUX1017" s="16" t="s">
        <v>4867</v>
      </c>
      <c r="RUY1017" s="16" t="s">
        <v>4867</v>
      </c>
      <c r="RUZ1017" s="16" t="s">
        <v>4867</v>
      </c>
      <c r="RVA1017" s="16" t="s">
        <v>4867</v>
      </c>
      <c r="RVB1017" s="16" t="s">
        <v>4867</v>
      </c>
      <c r="RVC1017" s="16" t="s">
        <v>4867</v>
      </c>
      <c r="RVD1017" s="16" t="s">
        <v>4867</v>
      </c>
      <c r="RVE1017" s="16" t="s">
        <v>4867</v>
      </c>
      <c r="RVF1017" s="16" t="s">
        <v>4867</v>
      </c>
      <c r="RVG1017" s="16" t="s">
        <v>4867</v>
      </c>
      <c r="RVH1017" s="16" t="s">
        <v>4867</v>
      </c>
      <c r="RVI1017" s="16" t="s">
        <v>4867</v>
      </c>
      <c r="RVJ1017" s="16" t="s">
        <v>4867</v>
      </c>
      <c r="RVK1017" s="16" t="s">
        <v>4867</v>
      </c>
      <c r="RVL1017" s="16" t="s">
        <v>4867</v>
      </c>
      <c r="RVM1017" s="16" t="s">
        <v>4867</v>
      </c>
      <c r="RVN1017" s="16" t="s">
        <v>4867</v>
      </c>
      <c r="RVO1017" s="16" t="s">
        <v>4867</v>
      </c>
      <c r="RVP1017" s="16" t="s">
        <v>4867</v>
      </c>
      <c r="RVQ1017" s="16" t="s">
        <v>4867</v>
      </c>
      <c r="RVR1017" s="16" t="s">
        <v>4867</v>
      </c>
      <c r="RVS1017" s="16" t="s">
        <v>4867</v>
      </c>
      <c r="RVT1017" s="16" t="s">
        <v>4867</v>
      </c>
      <c r="RVU1017" s="16" t="s">
        <v>4867</v>
      </c>
      <c r="RVV1017" s="16" t="s">
        <v>4867</v>
      </c>
      <c r="RVW1017" s="16" t="s">
        <v>4867</v>
      </c>
      <c r="RVX1017" s="16" t="s">
        <v>4867</v>
      </c>
      <c r="RVY1017" s="16" t="s">
        <v>4867</v>
      </c>
      <c r="RVZ1017" s="16" t="s">
        <v>4867</v>
      </c>
      <c r="RWA1017" s="16" t="s">
        <v>4867</v>
      </c>
      <c r="RWB1017" s="16" t="s">
        <v>4867</v>
      </c>
      <c r="RWC1017" s="16" t="s">
        <v>4867</v>
      </c>
      <c r="RWD1017" s="16" t="s">
        <v>4867</v>
      </c>
      <c r="RWE1017" s="16" t="s">
        <v>4867</v>
      </c>
      <c r="RWF1017" s="16" t="s">
        <v>4867</v>
      </c>
      <c r="RWG1017" s="16" t="s">
        <v>4867</v>
      </c>
      <c r="RWH1017" s="16" t="s">
        <v>4867</v>
      </c>
      <c r="RWI1017" s="16" t="s">
        <v>4867</v>
      </c>
      <c r="RWJ1017" s="16" t="s">
        <v>4867</v>
      </c>
      <c r="RWK1017" s="16" t="s">
        <v>4867</v>
      </c>
      <c r="RWL1017" s="16" t="s">
        <v>4867</v>
      </c>
      <c r="RWM1017" s="16" t="s">
        <v>4867</v>
      </c>
      <c r="RWN1017" s="16" t="s">
        <v>4867</v>
      </c>
      <c r="RWO1017" s="16" t="s">
        <v>4867</v>
      </c>
      <c r="RWP1017" s="16" t="s">
        <v>4867</v>
      </c>
      <c r="RWQ1017" s="16" t="s">
        <v>4867</v>
      </c>
      <c r="RWR1017" s="16" t="s">
        <v>4867</v>
      </c>
      <c r="RWS1017" s="16" t="s">
        <v>4867</v>
      </c>
      <c r="RWT1017" s="16" t="s">
        <v>4867</v>
      </c>
      <c r="RWU1017" s="16" t="s">
        <v>4867</v>
      </c>
      <c r="RWV1017" s="16" t="s">
        <v>4867</v>
      </c>
      <c r="RWW1017" s="16" t="s">
        <v>4867</v>
      </c>
      <c r="RWX1017" s="16" t="s">
        <v>4867</v>
      </c>
      <c r="RWY1017" s="16" t="s">
        <v>4867</v>
      </c>
      <c r="RWZ1017" s="16" t="s">
        <v>4867</v>
      </c>
      <c r="RXA1017" s="16" t="s">
        <v>4867</v>
      </c>
      <c r="RXB1017" s="16" t="s">
        <v>4867</v>
      </c>
      <c r="RXC1017" s="16" t="s">
        <v>4867</v>
      </c>
      <c r="RXD1017" s="16" t="s">
        <v>4867</v>
      </c>
      <c r="RXE1017" s="16" t="s">
        <v>4867</v>
      </c>
      <c r="RXF1017" s="16" t="s">
        <v>4867</v>
      </c>
      <c r="RXG1017" s="16" t="s">
        <v>4867</v>
      </c>
      <c r="RXH1017" s="16" t="s">
        <v>4867</v>
      </c>
      <c r="RXI1017" s="16" t="s">
        <v>4867</v>
      </c>
      <c r="RXJ1017" s="16" t="s">
        <v>4867</v>
      </c>
      <c r="RXK1017" s="16" t="s">
        <v>4867</v>
      </c>
      <c r="RXL1017" s="16" t="s">
        <v>4867</v>
      </c>
      <c r="RXM1017" s="16" t="s">
        <v>4867</v>
      </c>
      <c r="RXN1017" s="16" t="s">
        <v>4867</v>
      </c>
      <c r="RXO1017" s="16" t="s">
        <v>4867</v>
      </c>
      <c r="RXP1017" s="16" t="s">
        <v>4867</v>
      </c>
      <c r="RXQ1017" s="16" t="s">
        <v>4867</v>
      </c>
      <c r="RXR1017" s="16" t="s">
        <v>4867</v>
      </c>
      <c r="RXS1017" s="16" t="s">
        <v>4867</v>
      </c>
      <c r="RXT1017" s="16" t="s">
        <v>4867</v>
      </c>
      <c r="RXU1017" s="16" t="s">
        <v>4867</v>
      </c>
      <c r="RXV1017" s="16" t="s">
        <v>4867</v>
      </c>
      <c r="RXW1017" s="16" t="s">
        <v>4867</v>
      </c>
      <c r="RXX1017" s="16" t="s">
        <v>4867</v>
      </c>
      <c r="RXY1017" s="16" t="s">
        <v>4867</v>
      </c>
      <c r="RXZ1017" s="16" t="s">
        <v>4867</v>
      </c>
      <c r="RYA1017" s="16" t="s">
        <v>4867</v>
      </c>
      <c r="RYB1017" s="16" t="s">
        <v>4867</v>
      </c>
      <c r="RYC1017" s="16" t="s">
        <v>4867</v>
      </c>
      <c r="RYD1017" s="16" t="s">
        <v>4867</v>
      </c>
      <c r="RYE1017" s="16" t="s">
        <v>4867</v>
      </c>
      <c r="RYF1017" s="16" t="s">
        <v>4867</v>
      </c>
      <c r="RYG1017" s="16" t="s">
        <v>4867</v>
      </c>
      <c r="RYH1017" s="16" t="s">
        <v>4867</v>
      </c>
      <c r="RYI1017" s="16" t="s">
        <v>4867</v>
      </c>
      <c r="RYJ1017" s="16" t="s">
        <v>4867</v>
      </c>
      <c r="RYK1017" s="16" t="s">
        <v>4867</v>
      </c>
      <c r="RYL1017" s="16" t="s">
        <v>4867</v>
      </c>
      <c r="RYM1017" s="16" t="s">
        <v>4867</v>
      </c>
      <c r="RYN1017" s="16" t="s">
        <v>4867</v>
      </c>
      <c r="RYO1017" s="16" t="s">
        <v>4867</v>
      </c>
      <c r="RYP1017" s="16" t="s">
        <v>4867</v>
      </c>
      <c r="RYQ1017" s="16" t="s">
        <v>4867</v>
      </c>
      <c r="RYR1017" s="16" t="s">
        <v>4867</v>
      </c>
      <c r="RYS1017" s="16" t="s">
        <v>4867</v>
      </c>
      <c r="RYT1017" s="16" t="s">
        <v>4867</v>
      </c>
      <c r="RYU1017" s="16" t="s">
        <v>4867</v>
      </c>
      <c r="RYV1017" s="16" t="s">
        <v>4867</v>
      </c>
      <c r="RYW1017" s="16" t="s">
        <v>4867</v>
      </c>
      <c r="RYX1017" s="16" t="s">
        <v>4867</v>
      </c>
      <c r="RYY1017" s="16" t="s">
        <v>4867</v>
      </c>
      <c r="RYZ1017" s="16" t="s">
        <v>4867</v>
      </c>
      <c r="RZA1017" s="16" t="s">
        <v>4867</v>
      </c>
      <c r="RZB1017" s="16" t="s">
        <v>4867</v>
      </c>
      <c r="RZC1017" s="16" t="s">
        <v>4867</v>
      </c>
      <c r="RZD1017" s="16" t="s">
        <v>4867</v>
      </c>
      <c r="RZE1017" s="16" t="s">
        <v>4867</v>
      </c>
      <c r="RZF1017" s="16" t="s">
        <v>4867</v>
      </c>
      <c r="RZG1017" s="16" t="s">
        <v>4867</v>
      </c>
      <c r="RZH1017" s="16" t="s">
        <v>4867</v>
      </c>
      <c r="RZI1017" s="16" t="s">
        <v>4867</v>
      </c>
      <c r="RZJ1017" s="16" t="s">
        <v>4867</v>
      </c>
      <c r="RZK1017" s="16" t="s">
        <v>4867</v>
      </c>
      <c r="RZL1017" s="16" t="s">
        <v>4867</v>
      </c>
      <c r="RZM1017" s="16" t="s">
        <v>4867</v>
      </c>
      <c r="RZN1017" s="16" t="s">
        <v>4867</v>
      </c>
      <c r="RZO1017" s="16" t="s">
        <v>4867</v>
      </c>
      <c r="RZP1017" s="16" t="s">
        <v>4867</v>
      </c>
      <c r="RZQ1017" s="16" t="s">
        <v>4867</v>
      </c>
      <c r="RZR1017" s="16" t="s">
        <v>4867</v>
      </c>
      <c r="RZS1017" s="16" t="s">
        <v>4867</v>
      </c>
      <c r="RZT1017" s="16" t="s">
        <v>4867</v>
      </c>
      <c r="RZU1017" s="16" t="s">
        <v>4867</v>
      </c>
      <c r="RZV1017" s="16" t="s">
        <v>4867</v>
      </c>
      <c r="RZW1017" s="16" t="s">
        <v>4867</v>
      </c>
      <c r="RZX1017" s="16" t="s">
        <v>4867</v>
      </c>
      <c r="RZY1017" s="16" t="s">
        <v>4867</v>
      </c>
      <c r="RZZ1017" s="16" t="s">
        <v>4867</v>
      </c>
      <c r="SAA1017" s="16" t="s">
        <v>4867</v>
      </c>
      <c r="SAB1017" s="16" t="s">
        <v>4867</v>
      </c>
      <c r="SAC1017" s="16" t="s">
        <v>4867</v>
      </c>
      <c r="SAD1017" s="16" t="s">
        <v>4867</v>
      </c>
      <c r="SAE1017" s="16" t="s">
        <v>4867</v>
      </c>
      <c r="SAF1017" s="16" t="s">
        <v>4867</v>
      </c>
      <c r="SAG1017" s="16" t="s">
        <v>4867</v>
      </c>
      <c r="SAH1017" s="16" t="s">
        <v>4867</v>
      </c>
      <c r="SAI1017" s="16" t="s">
        <v>4867</v>
      </c>
      <c r="SAJ1017" s="16" t="s">
        <v>4867</v>
      </c>
      <c r="SAK1017" s="16" t="s">
        <v>4867</v>
      </c>
      <c r="SAL1017" s="16" t="s">
        <v>4867</v>
      </c>
      <c r="SAM1017" s="16" t="s">
        <v>4867</v>
      </c>
      <c r="SAN1017" s="16" t="s">
        <v>4867</v>
      </c>
      <c r="SAO1017" s="16" t="s">
        <v>4867</v>
      </c>
      <c r="SAP1017" s="16" t="s">
        <v>4867</v>
      </c>
      <c r="SAQ1017" s="16" t="s">
        <v>4867</v>
      </c>
      <c r="SAR1017" s="16" t="s">
        <v>4867</v>
      </c>
      <c r="SAS1017" s="16" t="s">
        <v>4867</v>
      </c>
      <c r="SAT1017" s="16" t="s">
        <v>4867</v>
      </c>
      <c r="SAU1017" s="16" t="s">
        <v>4867</v>
      </c>
      <c r="SAV1017" s="16" t="s">
        <v>4867</v>
      </c>
      <c r="SAW1017" s="16" t="s">
        <v>4867</v>
      </c>
      <c r="SAX1017" s="16" t="s">
        <v>4867</v>
      </c>
      <c r="SAY1017" s="16" t="s">
        <v>4867</v>
      </c>
      <c r="SAZ1017" s="16" t="s">
        <v>4867</v>
      </c>
      <c r="SBA1017" s="16" t="s">
        <v>4867</v>
      </c>
      <c r="SBB1017" s="16" t="s">
        <v>4867</v>
      </c>
      <c r="SBC1017" s="16" t="s">
        <v>4867</v>
      </c>
      <c r="SBD1017" s="16" t="s">
        <v>4867</v>
      </c>
      <c r="SBE1017" s="16" t="s">
        <v>4867</v>
      </c>
      <c r="SBF1017" s="16" t="s">
        <v>4867</v>
      </c>
      <c r="SBG1017" s="16" t="s">
        <v>4867</v>
      </c>
      <c r="SBH1017" s="16" t="s">
        <v>4867</v>
      </c>
      <c r="SBI1017" s="16" t="s">
        <v>4867</v>
      </c>
      <c r="SBJ1017" s="16" t="s">
        <v>4867</v>
      </c>
      <c r="SBK1017" s="16" t="s">
        <v>4867</v>
      </c>
      <c r="SBL1017" s="16" t="s">
        <v>4867</v>
      </c>
      <c r="SBM1017" s="16" t="s">
        <v>4867</v>
      </c>
      <c r="SBN1017" s="16" t="s">
        <v>4867</v>
      </c>
      <c r="SBO1017" s="16" t="s">
        <v>4867</v>
      </c>
      <c r="SBP1017" s="16" t="s">
        <v>4867</v>
      </c>
      <c r="SBQ1017" s="16" t="s">
        <v>4867</v>
      </c>
      <c r="SBR1017" s="16" t="s">
        <v>4867</v>
      </c>
      <c r="SBS1017" s="16" t="s">
        <v>4867</v>
      </c>
      <c r="SBT1017" s="16" t="s">
        <v>4867</v>
      </c>
      <c r="SBU1017" s="16" t="s">
        <v>4867</v>
      </c>
      <c r="SBV1017" s="16" t="s">
        <v>4867</v>
      </c>
      <c r="SBW1017" s="16" t="s">
        <v>4867</v>
      </c>
      <c r="SBX1017" s="16" t="s">
        <v>4867</v>
      </c>
      <c r="SBY1017" s="16" t="s">
        <v>4867</v>
      </c>
      <c r="SBZ1017" s="16" t="s">
        <v>4867</v>
      </c>
      <c r="SCA1017" s="16" t="s">
        <v>4867</v>
      </c>
      <c r="SCB1017" s="16" t="s">
        <v>4867</v>
      </c>
      <c r="SCC1017" s="16" t="s">
        <v>4867</v>
      </c>
      <c r="SCD1017" s="16" t="s">
        <v>4867</v>
      </c>
      <c r="SCE1017" s="16" t="s">
        <v>4867</v>
      </c>
      <c r="SCF1017" s="16" t="s">
        <v>4867</v>
      </c>
      <c r="SCG1017" s="16" t="s">
        <v>4867</v>
      </c>
      <c r="SCH1017" s="16" t="s">
        <v>4867</v>
      </c>
      <c r="SCI1017" s="16" t="s">
        <v>4867</v>
      </c>
      <c r="SCJ1017" s="16" t="s">
        <v>4867</v>
      </c>
      <c r="SCK1017" s="16" t="s">
        <v>4867</v>
      </c>
      <c r="SCL1017" s="16" t="s">
        <v>4867</v>
      </c>
      <c r="SCM1017" s="16" t="s">
        <v>4867</v>
      </c>
      <c r="SCN1017" s="16" t="s">
        <v>4867</v>
      </c>
      <c r="SCO1017" s="16" t="s">
        <v>4867</v>
      </c>
      <c r="SCP1017" s="16" t="s">
        <v>4867</v>
      </c>
      <c r="SCQ1017" s="16" t="s">
        <v>4867</v>
      </c>
      <c r="SCR1017" s="16" t="s">
        <v>4867</v>
      </c>
      <c r="SCS1017" s="16" t="s">
        <v>4867</v>
      </c>
      <c r="SCT1017" s="16" t="s">
        <v>4867</v>
      </c>
      <c r="SCU1017" s="16" t="s">
        <v>4867</v>
      </c>
      <c r="SCV1017" s="16" t="s">
        <v>4867</v>
      </c>
      <c r="SCW1017" s="16" t="s">
        <v>4867</v>
      </c>
      <c r="SCX1017" s="16" t="s">
        <v>4867</v>
      </c>
      <c r="SCY1017" s="16" t="s">
        <v>4867</v>
      </c>
      <c r="SCZ1017" s="16" t="s">
        <v>4867</v>
      </c>
      <c r="SDA1017" s="16" t="s">
        <v>4867</v>
      </c>
      <c r="SDB1017" s="16" t="s">
        <v>4867</v>
      </c>
      <c r="SDC1017" s="16" t="s">
        <v>4867</v>
      </c>
      <c r="SDD1017" s="16" t="s">
        <v>4867</v>
      </c>
      <c r="SDE1017" s="16" t="s">
        <v>4867</v>
      </c>
      <c r="SDF1017" s="16" t="s">
        <v>4867</v>
      </c>
      <c r="SDG1017" s="16" t="s">
        <v>4867</v>
      </c>
      <c r="SDH1017" s="16" t="s">
        <v>4867</v>
      </c>
      <c r="SDI1017" s="16" t="s">
        <v>4867</v>
      </c>
      <c r="SDJ1017" s="16" t="s">
        <v>4867</v>
      </c>
      <c r="SDK1017" s="16" t="s">
        <v>4867</v>
      </c>
      <c r="SDL1017" s="16" t="s">
        <v>4867</v>
      </c>
      <c r="SDM1017" s="16" t="s">
        <v>4867</v>
      </c>
      <c r="SDN1017" s="16" t="s">
        <v>4867</v>
      </c>
      <c r="SDO1017" s="16" t="s">
        <v>4867</v>
      </c>
      <c r="SDP1017" s="16" t="s">
        <v>4867</v>
      </c>
      <c r="SDQ1017" s="16" t="s">
        <v>4867</v>
      </c>
      <c r="SDR1017" s="16" t="s">
        <v>4867</v>
      </c>
      <c r="SDS1017" s="16" t="s">
        <v>4867</v>
      </c>
      <c r="SDT1017" s="16" t="s">
        <v>4867</v>
      </c>
      <c r="SDU1017" s="16" t="s">
        <v>4867</v>
      </c>
      <c r="SDV1017" s="16" t="s">
        <v>4867</v>
      </c>
      <c r="SDW1017" s="16" t="s">
        <v>4867</v>
      </c>
      <c r="SDX1017" s="16" t="s">
        <v>4867</v>
      </c>
      <c r="SDY1017" s="16" t="s">
        <v>4867</v>
      </c>
      <c r="SDZ1017" s="16" t="s">
        <v>4867</v>
      </c>
      <c r="SEA1017" s="16" t="s">
        <v>4867</v>
      </c>
      <c r="SEB1017" s="16" t="s">
        <v>4867</v>
      </c>
      <c r="SEC1017" s="16" t="s">
        <v>4867</v>
      </c>
      <c r="SED1017" s="16" t="s">
        <v>4867</v>
      </c>
      <c r="SEE1017" s="16" t="s">
        <v>4867</v>
      </c>
      <c r="SEF1017" s="16" t="s">
        <v>4867</v>
      </c>
      <c r="SEG1017" s="16" t="s">
        <v>4867</v>
      </c>
      <c r="SEH1017" s="16" t="s">
        <v>4867</v>
      </c>
      <c r="SEI1017" s="16" t="s">
        <v>4867</v>
      </c>
      <c r="SEJ1017" s="16" t="s">
        <v>4867</v>
      </c>
      <c r="SEK1017" s="16" t="s">
        <v>4867</v>
      </c>
      <c r="SEL1017" s="16" t="s">
        <v>4867</v>
      </c>
      <c r="SEM1017" s="16" t="s">
        <v>4867</v>
      </c>
      <c r="SEN1017" s="16" t="s">
        <v>4867</v>
      </c>
      <c r="SEO1017" s="16" t="s">
        <v>4867</v>
      </c>
      <c r="SEP1017" s="16" t="s">
        <v>4867</v>
      </c>
      <c r="SEQ1017" s="16" t="s">
        <v>4867</v>
      </c>
      <c r="SER1017" s="16" t="s">
        <v>4867</v>
      </c>
      <c r="SES1017" s="16" t="s">
        <v>4867</v>
      </c>
      <c r="SET1017" s="16" t="s">
        <v>4867</v>
      </c>
      <c r="SEU1017" s="16" t="s">
        <v>4867</v>
      </c>
      <c r="SEV1017" s="16" t="s">
        <v>4867</v>
      </c>
      <c r="SEW1017" s="16" t="s">
        <v>4867</v>
      </c>
      <c r="SEX1017" s="16" t="s">
        <v>4867</v>
      </c>
      <c r="SEY1017" s="16" t="s">
        <v>4867</v>
      </c>
      <c r="SEZ1017" s="16" t="s">
        <v>4867</v>
      </c>
      <c r="SFA1017" s="16" t="s">
        <v>4867</v>
      </c>
      <c r="SFB1017" s="16" t="s">
        <v>4867</v>
      </c>
      <c r="SFC1017" s="16" t="s">
        <v>4867</v>
      </c>
      <c r="SFD1017" s="16" t="s">
        <v>4867</v>
      </c>
      <c r="SFE1017" s="16" t="s">
        <v>4867</v>
      </c>
      <c r="SFF1017" s="16" t="s">
        <v>4867</v>
      </c>
      <c r="SFG1017" s="16" t="s">
        <v>4867</v>
      </c>
      <c r="SFH1017" s="16" t="s">
        <v>4867</v>
      </c>
      <c r="SFI1017" s="16" t="s">
        <v>4867</v>
      </c>
      <c r="SFJ1017" s="16" t="s">
        <v>4867</v>
      </c>
      <c r="SFK1017" s="16" t="s">
        <v>4867</v>
      </c>
      <c r="SFL1017" s="16" t="s">
        <v>4867</v>
      </c>
      <c r="SFM1017" s="16" t="s">
        <v>4867</v>
      </c>
      <c r="SFN1017" s="16" t="s">
        <v>4867</v>
      </c>
      <c r="SFO1017" s="16" t="s">
        <v>4867</v>
      </c>
      <c r="SFP1017" s="16" t="s">
        <v>4867</v>
      </c>
      <c r="SFQ1017" s="16" t="s">
        <v>4867</v>
      </c>
      <c r="SFR1017" s="16" t="s">
        <v>4867</v>
      </c>
      <c r="SFS1017" s="16" t="s">
        <v>4867</v>
      </c>
      <c r="SFT1017" s="16" t="s">
        <v>4867</v>
      </c>
      <c r="SFU1017" s="16" t="s">
        <v>4867</v>
      </c>
      <c r="SFV1017" s="16" t="s">
        <v>4867</v>
      </c>
      <c r="SFW1017" s="16" t="s">
        <v>4867</v>
      </c>
      <c r="SFX1017" s="16" t="s">
        <v>4867</v>
      </c>
      <c r="SFY1017" s="16" t="s">
        <v>4867</v>
      </c>
      <c r="SFZ1017" s="16" t="s">
        <v>4867</v>
      </c>
      <c r="SGA1017" s="16" t="s">
        <v>4867</v>
      </c>
      <c r="SGB1017" s="16" t="s">
        <v>4867</v>
      </c>
      <c r="SGC1017" s="16" t="s">
        <v>4867</v>
      </c>
      <c r="SGD1017" s="16" t="s">
        <v>4867</v>
      </c>
      <c r="SGE1017" s="16" t="s">
        <v>4867</v>
      </c>
      <c r="SGF1017" s="16" t="s">
        <v>4867</v>
      </c>
      <c r="SGG1017" s="16" t="s">
        <v>4867</v>
      </c>
      <c r="SGH1017" s="16" t="s">
        <v>4867</v>
      </c>
      <c r="SGI1017" s="16" t="s">
        <v>4867</v>
      </c>
      <c r="SGJ1017" s="16" t="s">
        <v>4867</v>
      </c>
      <c r="SGK1017" s="16" t="s">
        <v>4867</v>
      </c>
      <c r="SGL1017" s="16" t="s">
        <v>4867</v>
      </c>
      <c r="SGM1017" s="16" t="s">
        <v>4867</v>
      </c>
      <c r="SGN1017" s="16" t="s">
        <v>4867</v>
      </c>
      <c r="SGO1017" s="16" t="s">
        <v>4867</v>
      </c>
      <c r="SGP1017" s="16" t="s">
        <v>4867</v>
      </c>
      <c r="SGQ1017" s="16" t="s">
        <v>4867</v>
      </c>
      <c r="SGR1017" s="16" t="s">
        <v>4867</v>
      </c>
      <c r="SGS1017" s="16" t="s">
        <v>4867</v>
      </c>
      <c r="SGT1017" s="16" t="s">
        <v>4867</v>
      </c>
      <c r="SGU1017" s="16" t="s">
        <v>4867</v>
      </c>
      <c r="SGV1017" s="16" t="s">
        <v>4867</v>
      </c>
      <c r="SGW1017" s="16" t="s">
        <v>4867</v>
      </c>
      <c r="SGX1017" s="16" t="s">
        <v>4867</v>
      </c>
      <c r="SGY1017" s="16" t="s">
        <v>4867</v>
      </c>
      <c r="SGZ1017" s="16" t="s">
        <v>4867</v>
      </c>
      <c r="SHA1017" s="16" t="s">
        <v>4867</v>
      </c>
      <c r="SHB1017" s="16" t="s">
        <v>4867</v>
      </c>
      <c r="SHC1017" s="16" t="s">
        <v>4867</v>
      </c>
      <c r="SHD1017" s="16" t="s">
        <v>4867</v>
      </c>
      <c r="SHE1017" s="16" t="s">
        <v>4867</v>
      </c>
      <c r="SHF1017" s="16" t="s">
        <v>4867</v>
      </c>
      <c r="SHG1017" s="16" t="s">
        <v>4867</v>
      </c>
      <c r="SHH1017" s="16" t="s">
        <v>4867</v>
      </c>
      <c r="SHI1017" s="16" t="s">
        <v>4867</v>
      </c>
      <c r="SHJ1017" s="16" t="s">
        <v>4867</v>
      </c>
      <c r="SHK1017" s="16" t="s">
        <v>4867</v>
      </c>
      <c r="SHL1017" s="16" t="s">
        <v>4867</v>
      </c>
      <c r="SHM1017" s="16" t="s">
        <v>4867</v>
      </c>
      <c r="SHN1017" s="16" t="s">
        <v>4867</v>
      </c>
      <c r="SHO1017" s="16" t="s">
        <v>4867</v>
      </c>
      <c r="SHP1017" s="16" t="s">
        <v>4867</v>
      </c>
      <c r="SHQ1017" s="16" t="s">
        <v>4867</v>
      </c>
      <c r="SHR1017" s="16" t="s">
        <v>4867</v>
      </c>
      <c r="SHS1017" s="16" t="s">
        <v>4867</v>
      </c>
      <c r="SHT1017" s="16" t="s">
        <v>4867</v>
      </c>
      <c r="SHU1017" s="16" t="s">
        <v>4867</v>
      </c>
      <c r="SHV1017" s="16" t="s">
        <v>4867</v>
      </c>
      <c r="SHW1017" s="16" t="s">
        <v>4867</v>
      </c>
      <c r="SHX1017" s="16" t="s">
        <v>4867</v>
      </c>
      <c r="SHY1017" s="16" t="s">
        <v>4867</v>
      </c>
      <c r="SHZ1017" s="16" t="s">
        <v>4867</v>
      </c>
      <c r="SIA1017" s="16" t="s">
        <v>4867</v>
      </c>
      <c r="SIB1017" s="16" t="s">
        <v>4867</v>
      </c>
      <c r="SIC1017" s="16" t="s">
        <v>4867</v>
      </c>
      <c r="SID1017" s="16" t="s">
        <v>4867</v>
      </c>
      <c r="SIE1017" s="16" t="s">
        <v>4867</v>
      </c>
      <c r="SIF1017" s="16" t="s">
        <v>4867</v>
      </c>
      <c r="SIG1017" s="16" t="s">
        <v>4867</v>
      </c>
      <c r="SIH1017" s="16" t="s">
        <v>4867</v>
      </c>
      <c r="SII1017" s="16" t="s">
        <v>4867</v>
      </c>
      <c r="SIJ1017" s="16" t="s">
        <v>4867</v>
      </c>
      <c r="SIK1017" s="16" t="s">
        <v>4867</v>
      </c>
      <c r="SIL1017" s="16" t="s">
        <v>4867</v>
      </c>
      <c r="SIM1017" s="16" t="s">
        <v>4867</v>
      </c>
      <c r="SIN1017" s="16" t="s">
        <v>4867</v>
      </c>
      <c r="SIO1017" s="16" t="s">
        <v>4867</v>
      </c>
      <c r="SIP1017" s="16" t="s">
        <v>4867</v>
      </c>
      <c r="SIQ1017" s="16" t="s">
        <v>4867</v>
      </c>
      <c r="SIR1017" s="16" t="s">
        <v>4867</v>
      </c>
      <c r="SIS1017" s="16" t="s">
        <v>4867</v>
      </c>
      <c r="SIT1017" s="16" t="s">
        <v>4867</v>
      </c>
      <c r="SIU1017" s="16" t="s">
        <v>4867</v>
      </c>
      <c r="SIV1017" s="16" t="s">
        <v>4867</v>
      </c>
      <c r="SIW1017" s="16" t="s">
        <v>4867</v>
      </c>
      <c r="SIX1017" s="16" t="s">
        <v>4867</v>
      </c>
      <c r="SIY1017" s="16" t="s">
        <v>4867</v>
      </c>
      <c r="SIZ1017" s="16" t="s">
        <v>4867</v>
      </c>
      <c r="SJA1017" s="16" t="s">
        <v>4867</v>
      </c>
      <c r="SJB1017" s="16" t="s">
        <v>4867</v>
      </c>
      <c r="SJC1017" s="16" t="s">
        <v>4867</v>
      </c>
      <c r="SJD1017" s="16" t="s">
        <v>4867</v>
      </c>
      <c r="SJE1017" s="16" t="s">
        <v>4867</v>
      </c>
      <c r="SJF1017" s="16" t="s">
        <v>4867</v>
      </c>
      <c r="SJG1017" s="16" t="s">
        <v>4867</v>
      </c>
      <c r="SJH1017" s="16" t="s">
        <v>4867</v>
      </c>
      <c r="SJI1017" s="16" t="s">
        <v>4867</v>
      </c>
      <c r="SJJ1017" s="16" t="s">
        <v>4867</v>
      </c>
      <c r="SJK1017" s="16" t="s">
        <v>4867</v>
      </c>
      <c r="SJL1017" s="16" t="s">
        <v>4867</v>
      </c>
      <c r="SJM1017" s="16" t="s">
        <v>4867</v>
      </c>
      <c r="SJN1017" s="16" t="s">
        <v>4867</v>
      </c>
      <c r="SJO1017" s="16" t="s">
        <v>4867</v>
      </c>
      <c r="SJP1017" s="16" t="s">
        <v>4867</v>
      </c>
      <c r="SJQ1017" s="16" t="s">
        <v>4867</v>
      </c>
      <c r="SJR1017" s="16" t="s">
        <v>4867</v>
      </c>
      <c r="SJS1017" s="16" t="s">
        <v>4867</v>
      </c>
      <c r="SJT1017" s="16" t="s">
        <v>4867</v>
      </c>
      <c r="SJU1017" s="16" t="s">
        <v>4867</v>
      </c>
      <c r="SJV1017" s="16" t="s">
        <v>4867</v>
      </c>
      <c r="SJW1017" s="16" t="s">
        <v>4867</v>
      </c>
      <c r="SJX1017" s="16" t="s">
        <v>4867</v>
      </c>
      <c r="SJY1017" s="16" t="s">
        <v>4867</v>
      </c>
      <c r="SJZ1017" s="16" t="s">
        <v>4867</v>
      </c>
      <c r="SKA1017" s="16" t="s">
        <v>4867</v>
      </c>
      <c r="SKB1017" s="16" t="s">
        <v>4867</v>
      </c>
      <c r="SKC1017" s="16" t="s">
        <v>4867</v>
      </c>
      <c r="SKD1017" s="16" t="s">
        <v>4867</v>
      </c>
      <c r="SKE1017" s="16" t="s">
        <v>4867</v>
      </c>
      <c r="SKF1017" s="16" t="s">
        <v>4867</v>
      </c>
      <c r="SKG1017" s="16" t="s">
        <v>4867</v>
      </c>
      <c r="SKH1017" s="16" t="s">
        <v>4867</v>
      </c>
      <c r="SKI1017" s="16" t="s">
        <v>4867</v>
      </c>
      <c r="SKJ1017" s="16" t="s">
        <v>4867</v>
      </c>
      <c r="SKK1017" s="16" t="s">
        <v>4867</v>
      </c>
      <c r="SKL1017" s="16" t="s">
        <v>4867</v>
      </c>
      <c r="SKM1017" s="16" t="s">
        <v>4867</v>
      </c>
      <c r="SKN1017" s="16" t="s">
        <v>4867</v>
      </c>
      <c r="SKO1017" s="16" t="s">
        <v>4867</v>
      </c>
      <c r="SKP1017" s="16" t="s">
        <v>4867</v>
      </c>
      <c r="SKQ1017" s="16" t="s">
        <v>4867</v>
      </c>
      <c r="SKR1017" s="16" t="s">
        <v>4867</v>
      </c>
      <c r="SKS1017" s="16" t="s">
        <v>4867</v>
      </c>
      <c r="SKT1017" s="16" t="s">
        <v>4867</v>
      </c>
      <c r="SKU1017" s="16" t="s">
        <v>4867</v>
      </c>
      <c r="SKV1017" s="16" t="s">
        <v>4867</v>
      </c>
      <c r="SKW1017" s="16" t="s">
        <v>4867</v>
      </c>
      <c r="SKX1017" s="16" t="s">
        <v>4867</v>
      </c>
      <c r="SKY1017" s="16" t="s">
        <v>4867</v>
      </c>
      <c r="SKZ1017" s="16" t="s">
        <v>4867</v>
      </c>
      <c r="SLA1017" s="16" t="s">
        <v>4867</v>
      </c>
      <c r="SLB1017" s="16" t="s">
        <v>4867</v>
      </c>
      <c r="SLC1017" s="16" t="s">
        <v>4867</v>
      </c>
      <c r="SLD1017" s="16" t="s">
        <v>4867</v>
      </c>
      <c r="SLE1017" s="16" t="s">
        <v>4867</v>
      </c>
      <c r="SLF1017" s="16" t="s">
        <v>4867</v>
      </c>
      <c r="SLG1017" s="16" t="s">
        <v>4867</v>
      </c>
      <c r="SLH1017" s="16" t="s">
        <v>4867</v>
      </c>
      <c r="SLI1017" s="16" t="s">
        <v>4867</v>
      </c>
      <c r="SLJ1017" s="16" t="s">
        <v>4867</v>
      </c>
      <c r="SLK1017" s="16" t="s">
        <v>4867</v>
      </c>
      <c r="SLL1017" s="16" t="s">
        <v>4867</v>
      </c>
      <c r="SLM1017" s="16" t="s">
        <v>4867</v>
      </c>
      <c r="SLN1017" s="16" t="s">
        <v>4867</v>
      </c>
      <c r="SLO1017" s="16" t="s">
        <v>4867</v>
      </c>
      <c r="SLP1017" s="16" t="s">
        <v>4867</v>
      </c>
      <c r="SLQ1017" s="16" t="s">
        <v>4867</v>
      </c>
      <c r="SLR1017" s="16" t="s">
        <v>4867</v>
      </c>
      <c r="SLS1017" s="16" t="s">
        <v>4867</v>
      </c>
      <c r="SLT1017" s="16" t="s">
        <v>4867</v>
      </c>
      <c r="SLU1017" s="16" t="s">
        <v>4867</v>
      </c>
      <c r="SLV1017" s="16" t="s">
        <v>4867</v>
      </c>
      <c r="SLW1017" s="16" t="s">
        <v>4867</v>
      </c>
      <c r="SLX1017" s="16" t="s">
        <v>4867</v>
      </c>
      <c r="SLY1017" s="16" t="s">
        <v>4867</v>
      </c>
      <c r="SLZ1017" s="16" t="s">
        <v>4867</v>
      </c>
      <c r="SMA1017" s="16" t="s">
        <v>4867</v>
      </c>
      <c r="SMB1017" s="16" t="s">
        <v>4867</v>
      </c>
      <c r="SMC1017" s="16" t="s">
        <v>4867</v>
      </c>
      <c r="SMD1017" s="16" t="s">
        <v>4867</v>
      </c>
      <c r="SME1017" s="16" t="s">
        <v>4867</v>
      </c>
      <c r="SMF1017" s="16" t="s">
        <v>4867</v>
      </c>
      <c r="SMG1017" s="16" t="s">
        <v>4867</v>
      </c>
      <c r="SMH1017" s="16" t="s">
        <v>4867</v>
      </c>
      <c r="SMI1017" s="16" t="s">
        <v>4867</v>
      </c>
      <c r="SMJ1017" s="16" t="s">
        <v>4867</v>
      </c>
      <c r="SMK1017" s="16" t="s">
        <v>4867</v>
      </c>
      <c r="SML1017" s="16" t="s">
        <v>4867</v>
      </c>
      <c r="SMM1017" s="16" t="s">
        <v>4867</v>
      </c>
      <c r="SMN1017" s="16" t="s">
        <v>4867</v>
      </c>
      <c r="SMO1017" s="16" t="s">
        <v>4867</v>
      </c>
      <c r="SMP1017" s="16" t="s">
        <v>4867</v>
      </c>
      <c r="SMQ1017" s="16" t="s">
        <v>4867</v>
      </c>
      <c r="SMR1017" s="16" t="s">
        <v>4867</v>
      </c>
      <c r="SMS1017" s="16" t="s">
        <v>4867</v>
      </c>
      <c r="SMT1017" s="16" t="s">
        <v>4867</v>
      </c>
      <c r="SMU1017" s="16" t="s">
        <v>4867</v>
      </c>
      <c r="SMV1017" s="16" t="s">
        <v>4867</v>
      </c>
      <c r="SMW1017" s="16" t="s">
        <v>4867</v>
      </c>
      <c r="SMX1017" s="16" t="s">
        <v>4867</v>
      </c>
      <c r="SMY1017" s="16" t="s">
        <v>4867</v>
      </c>
      <c r="SMZ1017" s="16" t="s">
        <v>4867</v>
      </c>
      <c r="SNA1017" s="16" t="s">
        <v>4867</v>
      </c>
      <c r="SNB1017" s="16" t="s">
        <v>4867</v>
      </c>
      <c r="SNC1017" s="16" t="s">
        <v>4867</v>
      </c>
      <c r="SND1017" s="16" t="s">
        <v>4867</v>
      </c>
      <c r="SNE1017" s="16" t="s">
        <v>4867</v>
      </c>
      <c r="SNF1017" s="16" t="s">
        <v>4867</v>
      </c>
      <c r="SNG1017" s="16" t="s">
        <v>4867</v>
      </c>
      <c r="SNH1017" s="16" t="s">
        <v>4867</v>
      </c>
      <c r="SNI1017" s="16" t="s">
        <v>4867</v>
      </c>
      <c r="SNJ1017" s="16" t="s">
        <v>4867</v>
      </c>
      <c r="SNK1017" s="16" t="s">
        <v>4867</v>
      </c>
      <c r="SNL1017" s="16" t="s">
        <v>4867</v>
      </c>
      <c r="SNM1017" s="16" t="s">
        <v>4867</v>
      </c>
      <c r="SNN1017" s="16" t="s">
        <v>4867</v>
      </c>
      <c r="SNO1017" s="16" t="s">
        <v>4867</v>
      </c>
      <c r="SNP1017" s="16" t="s">
        <v>4867</v>
      </c>
      <c r="SNQ1017" s="16" t="s">
        <v>4867</v>
      </c>
      <c r="SNR1017" s="16" t="s">
        <v>4867</v>
      </c>
      <c r="SNS1017" s="16" t="s">
        <v>4867</v>
      </c>
      <c r="SNT1017" s="16" t="s">
        <v>4867</v>
      </c>
      <c r="SNU1017" s="16" t="s">
        <v>4867</v>
      </c>
      <c r="SNV1017" s="16" t="s">
        <v>4867</v>
      </c>
      <c r="SNW1017" s="16" t="s">
        <v>4867</v>
      </c>
      <c r="SNX1017" s="16" t="s">
        <v>4867</v>
      </c>
      <c r="SNY1017" s="16" t="s">
        <v>4867</v>
      </c>
      <c r="SNZ1017" s="16" t="s">
        <v>4867</v>
      </c>
      <c r="SOA1017" s="16" t="s">
        <v>4867</v>
      </c>
      <c r="SOB1017" s="16" t="s">
        <v>4867</v>
      </c>
      <c r="SOC1017" s="16" t="s">
        <v>4867</v>
      </c>
      <c r="SOD1017" s="16" t="s">
        <v>4867</v>
      </c>
      <c r="SOE1017" s="16" t="s">
        <v>4867</v>
      </c>
      <c r="SOF1017" s="16" t="s">
        <v>4867</v>
      </c>
      <c r="SOG1017" s="16" t="s">
        <v>4867</v>
      </c>
      <c r="SOH1017" s="16" t="s">
        <v>4867</v>
      </c>
      <c r="SOI1017" s="16" t="s">
        <v>4867</v>
      </c>
      <c r="SOJ1017" s="16" t="s">
        <v>4867</v>
      </c>
      <c r="SOK1017" s="16" t="s">
        <v>4867</v>
      </c>
      <c r="SOL1017" s="16" t="s">
        <v>4867</v>
      </c>
      <c r="SOM1017" s="16" t="s">
        <v>4867</v>
      </c>
      <c r="SON1017" s="16" t="s">
        <v>4867</v>
      </c>
      <c r="SOO1017" s="16" t="s">
        <v>4867</v>
      </c>
      <c r="SOP1017" s="16" t="s">
        <v>4867</v>
      </c>
      <c r="SOQ1017" s="16" t="s">
        <v>4867</v>
      </c>
      <c r="SOR1017" s="16" t="s">
        <v>4867</v>
      </c>
      <c r="SOS1017" s="16" t="s">
        <v>4867</v>
      </c>
      <c r="SOT1017" s="16" t="s">
        <v>4867</v>
      </c>
      <c r="SOU1017" s="16" t="s">
        <v>4867</v>
      </c>
      <c r="SOV1017" s="16" t="s">
        <v>4867</v>
      </c>
      <c r="SOW1017" s="16" t="s">
        <v>4867</v>
      </c>
      <c r="SOX1017" s="16" t="s">
        <v>4867</v>
      </c>
      <c r="SOY1017" s="16" t="s">
        <v>4867</v>
      </c>
      <c r="SOZ1017" s="16" t="s">
        <v>4867</v>
      </c>
      <c r="SPA1017" s="16" t="s">
        <v>4867</v>
      </c>
      <c r="SPB1017" s="16" t="s">
        <v>4867</v>
      </c>
      <c r="SPC1017" s="16" t="s">
        <v>4867</v>
      </c>
      <c r="SPD1017" s="16" t="s">
        <v>4867</v>
      </c>
      <c r="SPE1017" s="16" t="s">
        <v>4867</v>
      </c>
      <c r="SPF1017" s="16" t="s">
        <v>4867</v>
      </c>
      <c r="SPG1017" s="16" t="s">
        <v>4867</v>
      </c>
      <c r="SPH1017" s="16" t="s">
        <v>4867</v>
      </c>
      <c r="SPI1017" s="16" t="s">
        <v>4867</v>
      </c>
      <c r="SPJ1017" s="16" t="s">
        <v>4867</v>
      </c>
      <c r="SPK1017" s="16" t="s">
        <v>4867</v>
      </c>
      <c r="SPL1017" s="16" t="s">
        <v>4867</v>
      </c>
      <c r="SPM1017" s="16" t="s">
        <v>4867</v>
      </c>
      <c r="SPN1017" s="16" t="s">
        <v>4867</v>
      </c>
      <c r="SPO1017" s="16" t="s">
        <v>4867</v>
      </c>
      <c r="SPP1017" s="16" t="s">
        <v>4867</v>
      </c>
      <c r="SPQ1017" s="16" t="s">
        <v>4867</v>
      </c>
      <c r="SPR1017" s="16" t="s">
        <v>4867</v>
      </c>
      <c r="SPS1017" s="16" t="s">
        <v>4867</v>
      </c>
      <c r="SPT1017" s="16" t="s">
        <v>4867</v>
      </c>
      <c r="SPU1017" s="16" t="s">
        <v>4867</v>
      </c>
      <c r="SPV1017" s="16" t="s">
        <v>4867</v>
      </c>
      <c r="SPW1017" s="16" t="s">
        <v>4867</v>
      </c>
      <c r="SPX1017" s="16" t="s">
        <v>4867</v>
      </c>
      <c r="SPY1017" s="16" t="s">
        <v>4867</v>
      </c>
      <c r="SPZ1017" s="16" t="s">
        <v>4867</v>
      </c>
      <c r="SQA1017" s="16" t="s">
        <v>4867</v>
      </c>
      <c r="SQB1017" s="16" t="s">
        <v>4867</v>
      </c>
      <c r="SQC1017" s="16" t="s">
        <v>4867</v>
      </c>
      <c r="SQD1017" s="16" t="s">
        <v>4867</v>
      </c>
      <c r="SQE1017" s="16" t="s">
        <v>4867</v>
      </c>
      <c r="SQF1017" s="16" t="s">
        <v>4867</v>
      </c>
      <c r="SQG1017" s="16" t="s">
        <v>4867</v>
      </c>
      <c r="SQH1017" s="16" t="s">
        <v>4867</v>
      </c>
      <c r="SQI1017" s="16" t="s">
        <v>4867</v>
      </c>
      <c r="SQJ1017" s="16" t="s">
        <v>4867</v>
      </c>
      <c r="SQK1017" s="16" t="s">
        <v>4867</v>
      </c>
      <c r="SQL1017" s="16" t="s">
        <v>4867</v>
      </c>
      <c r="SQM1017" s="16" t="s">
        <v>4867</v>
      </c>
      <c r="SQN1017" s="16" t="s">
        <v>4867</v>
      </c>
      <c r="SQO1017" s="16" t="s">
        <v>4867</v>
      </c>
      <c r="SQP1017" s="16" t="s">
        <v>4867</v>
      </c>
      <c r="SQQ1017" s="16" t="s">
        <v>4867</v>
      </c>
      <c r="SQR1017" s="16" t="s">
        <v>4867</v>
      </c>
      <c r="SQS1017" s="16" t="s">
        <v>4867</v>
      </c>
      <c r="SQT1017" s="16" t="s">
        <v>4867</v>
      </c>
      <c r="SQU1017" s="16" t="s">
        <v>4867</v>
      </c>
      <c r="SQV1017" s="16" t="s">
        <v>4867</v>
      </c>
      <c r="SQW1017" s="16" t="s">
        <v>4867</v>
      </c>
      <c r="SQX1017" s="16" t="s">
        <v>4867</v>
      </c>
      <c r="SQY1017" s="16" t="s">
        <v>4867</v>
      </c>
      <c r="SQZ1017" s="16" t="s">
        <v>4867</v>
      </c>
      <c r="SRA1017" s="16" t="s">
        <v>4867</v>
      </c>
      <c r="SRB1017" s="16" t="s">
        <v>4867</v>
      </c>
      <c r="SRC1017" s="16" t="s">
        <v>4867</v>
      </c>
      <c r="SRD1017" s="16" t="s">
        <v>4867</v>
      </c>
      <c r="SRE1017" s="16" t="s">
        <v>4867</v>
      </c>
      <c r="SRF1017" s="16" t="s">
        <v>4867</v>
      </c>
      <c r="SRG1017" s="16" t="s">
        <v>4867</v>
      </c>
      <c r="SRH1017" s="16" t="s">
        <v>4867</v>
      </c>
      <c r="SRI1017" s="16" t="s">
        <v>4867</v>
      </c>
      <c r="SRJ1017" s="16" t="s">
        <v>4867</v>
      </c>
      <c r="SRK1017" s="16" t="s">
        <v>4867</v>
      </c>
      <c r="SRL1017" s="16" t="s">
        <v>4867</v>
      </c>
      <c r="SRM1017" s="16" t="s">
        <v>4867</v>
      </c>
      <c r="SRN1017" s="16" t="s">
        <v>4867</v>
      </c>
      <c r="SRO1017" s="16" t="s">
        <v>4867</v>
      </c>
      <c r="SRP1017" s="16" t="s">
        <v>4867</v>
      </c>
      <c r="SRQ1017" s="16" t="s">
        <v>4867</v>
      </c>
      <c r="SRR1017" s="16" t="s">
        <v>4867</v>
      </c>
      <c r="SRS1017" s="16" t="s">
        <v>4867</v>
      </c>
      <c r="SRT1017" s="16" t="s">
        <v>4867</v>
      </c>
      <c r="SRU1017" s="16" t="s">
        <v>4867</v>
      </c>
      <c r="SRV1017" s="16" t="s">
        <v>4867</v>
      </c>
      <c r="SRW1017" s="16" t="s">
        <v>4867</v>
      </c>
      <c r="SRX1017" s="16" t="s">
        <v>4867</v>
      </c>
      <c r="SRY1017" s="16" t="s">
        <v>4867</v>
      </c>
      <c r="SRZ1017" s="16" t="s">
        <v>4867</v>
      </c>
      <c r="SSA1017" s="16" t="s">
        <v>4867</v>
      </c>
      <c r="SSB1017" s="16" t="s">
        <v>4867</v>
      </c>
      <c r="SSC1017" s="16" t="s">
        <v>4867</v>
      </c>
      <c r="SSD1017" s="16" t="s">
        <v>4867</v>
      </c>
      <c r="SSE1017" s="16" t="s">
        <v>4867</v>
      </c>
      <c r="SSF1017" s="16" t="s">
        <v>4867</v>
      </c>
      <c r="SSG1017" s="16" t="s">
        <v>4867</v>
      </c>
      <c r="SSH1017" s="16" t="s">
        <v>4867</v>
      </c>
      <c r="SSI1017" s="16" t="s">
        <v>4867</v>
      </c>
      <c r="SSJ1017" s="16" t="s">
        <v>4867</v>
      </c>
      <c r="SSK1017" s="16" t="s">
        <v>4867</v>
      </c>
      <c r="SSL1017" s="16" t="s">
        <v>4867</v>
      </c>
      <c r="SSM1017" s="16" t="s">
        <v>4867</v>
      </c>
      <c r="SSN1017" s="16" t="s">
        <v>4867</v>
      </c>
      <c r="SSO1017" s="16" t="s">
        <v>4867</v>
      </c>
      <c r="SSP1017" s="16" t="s">
        <v>4867</v>
      </c>
      <c r="SSQ1017" s="16" t="s">
        <v>4867</v>
      </c>
      <c r="SSR1017" s="16" t="s">
        <v>4867</v>
      </c>
      <c r="SSS1017" s="16" t="s">
        <v>4867</v>
      </c>
      <c r="SST1017" s="16" t="s">
        <v>4867</v>
      </c>
      <c r="SSU1017" s="16" t="s">
        <v>4867</v>
      </c>
      <c r="SSV1017" s="16" t="s">
        <v>4867</v>
      </c>
      <c r="SSW1017" s="16" t="s">
        <v>4867</v>
      </c>
      <c r="SSX1017" s="16" t="s">
        <v>4867</v>
      </c>
      <c r="SSY1017" s="16" t="s">
        <v>4867</v>
      </c>
      <c r="SSZ1017" s="16" t="s">
        <v>4867</v>
      </c>
      <c r="STA1017" s="16" t="s">
        <v>4867</v>
      </c>
      <c r="STB1017" s="16" t="s">
        <v>4867</v>
      </c>
      <c r="STC1017" s="16" t="s">
        <v>4867</v>
      </c>
      <c r="STD1017" s="16" t="s">
        <v>4867</v>
      </c>
      <c r="STE1017" s="16" t="s">
        <v>4867</v>
      </c>
      <c r="STF1017" s="16" t="s">
        <v>4867</v>
      </c>
      <c r="STG1017" s="16" t="s">
        <v>4867</v>
      </c>
      <c r="STH1017" s="16" t="s">
        <v>4867</v>
      </c>
      <c r="STI1017" s="16" t="s">
        <v>4867</v>
      </c>
      <c r="STJ1017" s="16" t="s">
        <v>4867</v>
      </c>
      <c r="STK1017" s="16" t="s">
        <v>4867</v>
      </c>
      <c r="STL1017" s="16" t="s">
        <v>4867</v>
      </c>
      <c r="STM1017" s="16" t="s">
        <v>4867</v>
      </c>
      <c r="STN1017" s="16" t="s">
        <v>4867</v>
      </c>
      <c r="STO1017" s="16" t="s">
        <v>4867</v>
      </c>
      <c r="STP1017" s="16" t="s">
        <v>4867</v>
      </c>
      <c r="STQ1017" s="16" t="s">
        <v>4867</v>
      </c>
      <c r="STR1017" s="16" t="s">
        <v>4867</v>
      </c>
      <c r="STS1017" s="16" t="s">
        <v>4867</v>
      </c>
      <c r="STT1017" s="16" t="s">
        <v>4867</v>
      </c>
      <c r="STU1017" s="16" t="s">
        <v>4867</v>
      </c>
      <c r="STV1017" s="16" t="s">
        <v>4867</v>
      </c>
      <c r="STW1017" s="16" t="s">
        <v>4867</v>
      </c>
      <c r="STX1017" s="16" t="s">
        <v>4867</v>
      </c>
      <c r="STY1017" s="16" t="s">
        <v>4867</v>
      </c>
      <c r="STZ1017" s="16" t="s">
        <v>4867</v>
      </c>
      <c r="SUA1017" s="16" t="s">
        <v>4867</v>
      </c>
      <c r="SUB1017" s="16" t="s">
        <v>4867</v>
      </c>
      <c r="SUC1017" s="16" t="s">
        <v>4867</v>
      </c>
      <c r="SUD1017" s="16" t="s">
        <v>4867</v>
      </c>
      <c r="SUE1017" s="16" t="s">
        <v>4867</v>
      </c>
      <c r="SUF1017" s="16" t="s">
        <v>4867</v>
      </c>
      <c r="SUG1017" s="16" t="s">
        <v>4867</v>
      </c>
      <c r="SUH1017" s="16" t="s">
        <v>4867</v>
      </c>
      <c r="SUI1017" s="16" t="s">
        <v>4867</v>
      </c>
      <c r="SUJ1017" s="16" t="s">
        <v>4867</v>
      </c>
      <c r="SUK1017" s="16" t="s">
        <v>4867</v>
      </c>
      <c r="SUL1017" s="16" t="s">
        <v>4867</v>
      </c>
      <c r="SUM1017" s="16" t="s">
        <v>4867</v>
      </c>
      <c r="SUN1017" s="16" t="s">
        <v>4867</v>
      </c>
      <c r="SUO1017" s="16" t="s">
        <v>4867</v>
      </c>
      <c r="SUP1017" s="16" t="s">
        <v>4867</v>
      </c>
      <c r="SUQ1017" s="16" t="s">
        <v>4867</v>
      </c>
      <c r="SUR1017" s="16" t="s">
        <v>4867</v>
      </c>
      <c r="SUS1017" s="16" t="s">
        <v>4867</v>
      </c>
      <c r="SUT1017" s="16" t="s">
        <v>4867</v>
      </c>
      <c r="SUU1017" s="16" t="s">
        <v>4867</v>
      </c>
      <c r="SUV1017" s="16" t="s">
        <v>4867</v>
      </c>
      <c r="SUW1017" s="16" t="s">
        <v>4867</v>
      </c>
      <c r="SUX1017" s="16" t="s">
        <v>4867</v>
      </c>
      <c r="SUY1017" s="16" t="s">
        <v>4867</v>
      </c>
      <c r="SUZ1017" s="16" t="s">
        <v>4867</v>
      </c>
      <c r="SVA1017" s="16" t="s">
        <v>4867</v>
      </c>
      <c r="SVB1017" s="16" t="s">
        <v>4867</v>
      </c>
      <c r="SVC1017" s="16" t="s">
        <v>4867</v>
      </c>
      <c r="SVD1017" s="16" t="s">
        <v>4867</v>
      </c>
      <c r="SVE1017" s="16" t="s">
        <v>4867</v>
      </c>
      <c r="SVF1017" s="16" t="s">
        <v>4867</v>
      </c>
      <c r="SVG1017" s="16" t="s">
        <v>4867</v>
      </c>
      <c r="SVH1017" s="16" t="s">
        <v>4867</v>
      </c>
      <c r="SVI1017" s="16" t="s">
        <v>4867</v>
      </c>
      <c r="SVJ1017" s="16" t="s">
        <v>4867</v>
      </c>
      <c r="SVK1017" s="16" t="s">
        <v>4867</v>
      </c>
      <c r="SVL1017" s="16" t="s">
        <v>4867</v>
      </c>
      <c r="SVM1017" s="16" t="s">
        <v>4867</v>
      </c>
      <c r="SVN1017" s="16" t="s">
        <v>4867</v>
      </c>
      <c r="SVO1017" s="16" t="s">
        <v>4867</v>
      </c>
      <c r="SVP1017" s="16" t="s">
        <v>4867</v>
      </c>
      <c r="SVQ1017" s="16" t="s">
        <v>4867</v>
      </c>
      <c r="SVR1017" s="16" t="s">
        <v>4867</v>
      </c>
      <c r="SVS1017" s="16" t="s">
        <v>4867</v>
      </c>
      <c r="SVT1017" s="16" t="s">
        <v>4867</v>
      </c>
      <c r="SVU1017" s="16" t="s">
        <v>4867</v>
      </c>
      <c r="SVV1017" s="16" t="s">
        <v>4867</v>
      </c>
      <c r="SVW1017" s="16" t="s">
        <v>4867</v>
      </c>
      <c r="SVX1017" s="16" t="s">
        <v>4867</v>
      </c>
      <c r="SVY1017" s="16" t="s">
        <v>4867</v>
      </c>
      <c r="SVZ1017" s="16" t="s">
        <v>4867</v>
      </c>
      <c r="SWA1017" s="16" t="s">
        <v>4867</v>
      </c>
      <c r="SWB1017" s="16" t="s">
        <v>4867</v>
      </c>
      <c r="SWC1017" s="16" t="s">
        <v>4867</v>
      </c>
      <c r="SWD1017" s="16" t="s">
        <v>4867</v>
      </c>
      <c r="SWE1017" s="16" t="s">
        <v>4867</v>
      </c>
      <c r="SWF1017" s="16" t="s">
        <v>4867</v>
      </c>
      <c r="SWG1017" s="16" t="s">
        <v>4867</v>
      </c>
      <c r="SWH1017" s="16" t="s">
        <v>4867</v>
      </c>
      <c r="SWI1017" s="16" t="s">
        <v>4867</v>
      </c>
      <c r="SWJ1017" s="16" t="s">
        <v>4867</v>
      </c>
      <c r="SWK1017" s="16" t="s">
        <v>4867</v>
      </c>
      <c r="SWL1017" s="16" t="s">
        <v>4867</v>
      </c>
      <c r="SWM1017" s="16" t="s">
        <v>4867</v>
      </c>
      <c r="SWN1017" s="16" t="s">
        <v>4867</v>
      </c>
      <c r="SWO1017" s="16" t="s">
        <v>4867</v>
      </c>
      <c r="SWP1017" s="16" t="s">
        <v>4867</v>
      </c>
      <c r="SWQ1017" s="16" t="s">
        <v>4867</v>
      </c>
      <c r="SWR1017" s="16" t="s">
        <v>4867</v>
      </c>
      <c r="SWS1017" s="16" t="s">
        <v>4867</v>
      </c>
      <c r="SWT1017" s="16" t="s">
        <v>4867</v>
      </c>
      <c r="SWU1017" s="16" t="s">
        <v>4867</v>
      </c>
      <c r="SWV1017" s="16" t="s">
        <v>4867</v>
      </c>
      <c r="SWW1017" s="16" t="s">
        <v>4867</v>
      </c>
      <c r="SWX1017" s="16" t="s">
        <v>4867</v>
      </c>
      <c r="SWY1017" s="16" t="s">
        <v>4867</v>
      </c>
      <c r="SWZ1017" s="16" t="s">
        <v>4867</v>
      </c>
      <c r="SXA1017" s="16" t="s">
        <v>4867</v>
      </c>
      <c r="SXB1017" s="16" t="s">
        <v>4867</v>
      </c>
      <c r="SXC1017" s="16" t="s">
        <v>4867</v>
      </c>
      <c r="SXD1017" s="16" t="s">
        <v>4867</v>
      </c>
      <c r="SXE1017" s="16" t="s">
        <v>4867</v>
      </c>
      <c r="SXF1017" s="16" t="s">
        <v>4867</v>
      </c>
      <c r="SXG1017" s="16" t="s">
        <v>4867</v>
      </c>
      <c r="SXH1017" s="16" t="s">
        <v>4867</v>
      </c>
      <c r="SXI1017" s="16" t="s">
        <v>4867</v>
      </c>
      <c r="SXJ1017" s="16" t="s">
        <v>4867</v>
      </c>
      <c r="SXK1017" s="16" t="s">
        <v>4867</v>
      </c>
      <c r="SXL1017" s="16" t="s">
        <v>4867</v>
      </c>
      <c r="SXM1017" s="16" t="s">
        <v>4867</v>
      </c>
      <c r="SXN1017" s="16" t="s">
        <v>4867</v>
      </c>
      <c r="SXO1017" s="16" t="s">
        <v>4867</v>
      </c>
      <c r="SXP1017" s="16" t="s">
        <v>4867</v>
      </c>
      <c r="SXQ1017" s="16" t="s">
        <v>4867</v>
      </c>
      <c r="SXR1017" s="16" t="s">
        <v>4867</v>
      </c>
      <c r="SXS1017" s="16" t="s">
        <v>4867</v>
      </c>
      <c r="SXT1017" s="16" t="s">
        <v>4867</v>
      </c>
      <c r="SXU1017" s="16" t="s">
        <v>4867</v>
      </c>
      <c r="SXV1017" s="16" t="s">
        <v>4867</v>
      </c>
      <c r="SXW1017" s="16" t="s">
        <v>4867</v>
      </c>
      <c r="SXX1017" s="16" t="s">
        <v>4867</v>
      </c>
      <c r="SXY1017" s="16" t="s">
        <v>4867</v>
      </c>
      <c r="SXZ1017" s="16" t="s">
        <v>4867</v>
      </c>
      <c r="SYA1017" s="16" t="s">
        <v>4867</v>
      </c>
      <c r="SYB1017" s="16" t="s">
        <v>4867</v>
      </c>
      <c r="SYC1017" s="16" t="s">
        <v>4867</v>
      </c>
      <c r="SYD1017" s="16" t="s">
        <v>4867</v>
      </c>
      <c r="SYE1017" s="16" t="s">
        <v>4867</v>
      </c>
      <c r="SYF1017" s="16" t="s">
        <v>4867</v>
      </c>
      <c r="SYG1017" s="16" t="s">
        <v>4867</v>
      </c>
      <c r="SYH1017" s="16" t="s">
        <v>4867</v>
      </c>
      <c r="SYI1017" s="16" t="s">
        <v>4867</v>
      </c>
      <c r="SYJ1017" s="16" t="s">
        <v>4867</v>
      </c>
      <c r="SYK1017" s="16" t="s">
        <v>4867</v>
      </c>
      <c r="SYL1017" s="16" t="s">
        <v>4867</v>
      </c>
      <c r="SYM1017" s="16" t="s">
        <v>4867</v>
      </c>
      <c r="SYN1017" s="16" t="s">
        <v>4867</v>
      </c>
      <c r="SYO1017" s="16" t="s">
        <v>4867</v>
      </c>
      <c r="SYP1017" s="16" t="s">
        <v>4867</v>
      </c>
      <c r="SYQ1017" s="16" t="s">
        <v>4867</v>
      </c>
      <c r="SYR1017" s="16" t="s">
        <v>4867</v>
      </c>
      <c r="SYS1017" s="16" t="s">
        <v>4867</v>
      </c>
      <c r="SYT1017" s="16" t="s">
        <v>4867</v>
      </c>
      <c r="SYU1017" s="16" t="s">
        <v>4867</v>
      </c>
      <c r="SYV1017" s="16" t="s">
        <v>4867</v>
      </c>
      <c r="SYW1017" s="16" t="s">
        <v>4867</v>
      </c>
      <c r="SYX1017" s="16" t="s">
        <v>4867</v>
      </c>
      <c r="SYY1017" s="16" t="s">
        <v>4867</v>
      </c>
      <c r="SYZ1017" s="16" t="s">
        <v>4867</v>
      </c>
      <c r="SZA1017" s="16" t="s">
        <v>4867</v>
      </c>
      <c r="SZB1017" s="16" t="s">
        <v>4867</v>
      </c>
      <c r="SZC1017" s="16" t="s">
        <v>4867</v>
      </c>
      <c r="SZD1017" s="16" t="s">
        <v>4867</v>
      </c>
      <c r="SZE1017" s="16" t="s">
        <v>4867</v>
      </c>
      <c r="SZF1017" s="16" t="s">
        <v>4867</v>
      </c>
      <c r="SZG1017" s="16" t="s">
        <v>4867</v>
      </c>
      <c r="SZH1017" s="16" t="s">
        <v>4867</v>
      </c>
      <c r="SZI1017" s="16" t="s">
        <v>4867</v>
      </c>
      <c r="SZJ1017" s="16" t="s">
        <v>4867</v>
      </c>
      <c r="SZK1017" s="16" t="s">
        <v>4867</v>
      </c>
      <c r="SZL1017" s="16" t="s">
        <v>4867</v>
      </c>
      <c r="SZM1017" s="16" t="s">
        <v>4867</v>
      </c>
      <c r="SZN1017" s="16" t="s">
        <v>4867</v>
      </c>
      <c r="SZO1017" s="16" t="s">
        <v>4867</v>
      </c>
      <c r="SZP1017" s="16" t="s">
        <v>4867</v>
      </c>
      <c r="SZQ1017" s="16" t="s">
        <v>4867</v>
      </c>
      <c r="SZR1017" s="16" t="s">
        <v>4867</v>
      </c>
      <c r="SZS1017" s="16" t="s">
        <v>4867</v>
      </c>
      <c r="SZT1017" s="16" t="s">
        <v>4867</v>
      </c>
      <c r="SZU1017" s="16" t="s">
        <v>4867</v>
      </c>
      <c r="SZV1017" s="16" t="s">
        <v>4867</v>
      </c>
      <c r="SZW1017" s="16" t="s">
        <v>4867</v>
      </c>
      <c r="SZX1017" s="16" t="s">
        <v>4867</v>
      </c>
      <c r="SZY1017" s="16" t="s">
        <v>4867</v>
      </c>
      <c r="SZZ1017" s="16" t="s">
        <v>4867</v>
      </c>
      <c r="TAA1017" s="16" t="s">
        <v>4867</v>
      </c>
      <c r="TAB1017" s="16" t="s">
        <v>4867</v>
      </c>
      <c r="TAC1017" s="16" t="s">
        <v>4867</v>
      </c>
      <c r="TAD1017" s="16" t="s">
        <v>4867</v>
      </c>
      <c r="TAE1017" s="16" t="s">
        <v>4867</v>
      </c>
      <c r="TAF1017" s="16" t="s">
        <v>4867</v>
      </c>
      <c r="TAG1017" s="16" t="s">
        <v>4867</v>
      </c>
      <c r="TAH1017" s="16" t="s">
        <v>4867</v>
      </c>
      <c r="TAI1017" s="16" t="s">
        <v>4867</v>
      </c>
      <c r="TAJ1017" s="16" t="s">
        <v>4867</v>
      </c>
      <c r="TAK1017" s="16" t="s">
        <v>4867</v>
      </c>
      <c r="TAL1017" s="16" t="s">
        <v>4867</v>
      </c>
      <c r="TAM1017" s="16" t="s">
        <v>4867</v>
      </c>
      <c r="TAN1017" s="16" t="s">
        <v>4867</v>
      </c>
      <c r="TAO1017" s="16" t="s">
        <v>4867</v>
      </c>
      <c r="TAP1017" s="16" t="s">
        <v>4867</v>
      </c>
      <c r="TAQ1017" s="16" t="s">
        <v>4867</v>
      </c>
      <c r="TAR1017" s="16" t="s">
        <v>4867</v>
      </c>
      <c r="TAS1017" s="16" t="s">
        <v>4867</v>
      </c>
      <c r="TAT1017" s="16" t="s">
        <v>4867</v>
      </c>
      <c r="TAU1017" s="16" t="s">
        <v>4867</v>
      </c>
      <c r="TAV1017" s="16" t="s">
        <v>4867</v>
      </c>
      <c r="TAW1017" s="16" t="s">
        <v>4867</v>
      </c>
      <c r="TAX1017" s="16" t="s">
        <v>4867</v>
      </c>
      <c r="TAY1017" s="16" t="s">
        <v>4867</v>
      </c>
      <c r="TAZ1017" s="16" t="s">
        <v>4867</v>
      </c>
      <c r="TBA1017" s="16" t="s">
        <v>4867</v>
      </c>
      <c r="TBB1017" s="16" t="s">
        <v>4867</v>
      </c>
      <c r="TBC1017" s="16" t="s">
        <v>4867</v>
      </c>
      <c r="TBD1017" s="16" t="s">
        <v>4867</v>
      </c>
      <c r="TBE1017" s="16" t="s">
        <v>4867</v>
      </c>
      <c r="TBF1017" s="16" t="s">
        <v>4867</v>
      </c>
      <c r="TBG1017" s="16" t="s">
        <v>4867</v>
      </c>
      <c r="TBH1017" s="16" t="s">
        <v>4867</v>
      </c>
      <c r="TBI1017" s="16" t="s">
        <v>4867</v>
      </c>
      <c r="TBJ1017" s="16" t="s">
        <v>4867</v>
      </c>
      <c r="TBK1017" s="16" t="s">
        <v>4867</v>
      </c>
      <c r="TBL1017" s="16" t="s">
        <v>4867</v>
      </c>
      <c r="TBM1017" s="16" t="s">
        <v>4867</v>
      </c>
      <c r="TBN1017" s="16" t="s">
        <v>4867</v>
      </c>
      <c r="TBO1017" s="16" t="s">
        <v>4867</v>
      </c>
      <c r="TBP1017" s="16" t="s">
        <v>4867</v>
      </c>
      <c r="TBQ1017" s="16" t="s">
        <v>4867</v>
      </c>
      <c r="TBR1017" s="16" t="s">
        <v>4867</v>
      </c>
      <c r="TBS1017" s="16" t="s">
        <v>4867</v>
      </c>
      <c r="TBT1017" s="16" t="s">
        <v>4867</v>
      </c>
      <c r="TBU1017" s="16" t="s">
        <v>4867</v>
      </c>
      <c r="TBV1017" s="16" t="s">
        <v>4867</v>
      </c>
      <c r="TBW1017" s="16" t="s">
        <v>4867</v>
      </c>
      <c r="TBX1017" s="16" t="s">
        <v>4867</v>
      </c>
      <c r="TBY1017" s="16" t="s">
        <v>4867</v>
      </c>
      <c r="TBZ1017" s="16" t="s">
        <v>4867</v>
      </c>
      <c r="TCA1017" s="16" t="s">
        <v>4867</v>
      </c>
      <c r="TCB1017" s="16" t="s">
        <v>4867</v>
      </c>
      <c r="TCC1017" s="16" t="s">
        <v>4867</v>
      </c>
      <c r="TCD1017" s="16" t="s">
        <v>4867</v>
      </c>
      <c r="TCE1017" s="16" t="s">
        <v>4867</v>
      </c>
      <c r="TCF1017" s="16" t="s">
        <v>4867</v>
      </c>
      <c r="TCG1017" s="16" t="s">
        <v>4867</v>
      </c>
      <c r="TCH1017" s="16" t="s">
        <v>4867</v>
      </c>
      <c r="TCI1017" s="16" t="s">
        <v>4867</v>
      </c>
      <c r="TCJ1017" s="16" t="s">
        <v>4867</v>
      </c>
      <c r="TCK1017" s="16" t="s">
        <v>4867</v>
      </c>
      <c r="TCL1017" s="16" t="s">
        <v>4867</v>
      </c>
      <c r="TCM1017" s="16" t="s">
        <v>4867</v>
      </c>
      <c r="TCN1017" s="16" t="s">
        <v>4867</v>
      </c>
      <c r="TCO1017" s="16" t="s">
        <v>4867</v>
      </c>
      <c r="TCP1017" s="16" t="s">
        <v>4867</v>
      </c>
      <c r="TCQ1017" s="16" t="s">
        <v>4867</v>
      </c>
      <c r="TCR1017" s="16" t="s">
        <v>4867</v>
      </c>
      <c r="TCS1017" s="16" t="s">
        <v>4867</v>
      </c>
      <c r="TCT1017" s="16" t="s">
        <v>4867</v>
      </c>
      <c r="TCU1017" s="16" t="s">
        <v>4867</v>
      </c>
      <c r="TCV1017" s="16" t="s">
        <v>4867</v>
      </c>
      <c r="TCW1017" s="16" t="s">
        <v>4867</v>
      </c>
      <c r="TCX1017" s="16" t="s">
        <v>4867</v>
      </c>
      <c r="TCY1017" s="16" t="s">
        <v>4867</v>
      </c>
      <c r="TCZ1017" s="16" t="s">
        <v>4867</v>
      </c>
      <c r="TDA1017" s="16" t="s">
        <v>4867</v>
      </c>
      <c r="TDB1017" s="16" t="s">
        <v>4867</v>
      </c>
      <c r="TDC1017" s="16" t="s">
        <v>4867</v>
      </c>
      <c r="TDD1017" s="16" t="s">
        <v>4867</v>
      </c>
      <c r="TDE1017" s="16" t="s">
        <v>4867</v>
      </c>
      <c r="TDF1017" s="16" t="s">
        <v>4867</v>
      </c>
      <c r="TDG1017" s="16" t="s">
        <v>4867</v>
      </c>
      <c r="TDH1017" s="16" t="s">
        <v>4867</v>
      </c>
      <c r="TDI1017" s="16" t="s">
        <v>4867</v>
      </c>
      <c r="TDJ1017" s="16" t="s">
        <v>4867</v>
      </c>
      <c r="TDK1017" s="16" t="s">
        <v>4867</v>
      </c>
      <c r="TDL1017" s="16" t="s">
        <v>4867</v>
      </c>
      <c r="TDM1017" s="16" t="s">
        <v>4867</v>
      </c>
      <c r="TDN1017" s="16" t="s">
        <v>4867</v>
      </c>
      <c r="TDO1017" s="16" t="s">
        <v>4867</v>
      </c>
      <c r="TDP1017" s="16" t="s">
        <v>4867</v>
      </c>
      <c r="TDQ1017" s="16" t="s">
        <v>4867</v>
      </c>
      <c r="TDR1017" s="16" t="s">
        <v>4867</v>
      </c>
      <c r="TDS1017" s="16" t="s">
        <v>4867</v>
      </c>
      <c r="TDT1017" s="16" t="s">
        <v>4867</v>
      </c>
      <c r="TDU1017" s="16" t="s">
        <v>4867</v>
      </c>
      <c r="TDV1017" s="16" t="s">
        <v>4867</v>
      </c>
      <c r="TDW1017" s="16" t="s">
        <v>4867</v>
      </c>
      <c r="TDX1017" s="16" t="s">
        <v>4867</v>
      </c>
      <c r="TDY1017" s="16" t="s">
        <v>4867</v>
      </c>
      <c r="TDZ1017" s="16" t="s">
        <v>4867</v>
      </c>
      <c r="TEA1017" s="16" t="s">
        <v>4867</v>
      </c>
      <c r="TEB1017" s="16" t="s">
        <v>4867</v>
      </c>
      <c r="TEC1017" s="16" t="s">
        <v>4867</v>
      </c>
      <c r="TED1017" s="16" t="s">
        <v>4867</v>
      </c>
      <c r="TEE1017" s="16" t="s">
        <v>4867</v>
      </c>
      <c r="TEF1017" s="16" t="s">
        <v>4867</v>
      </c>
      <c r="TEG1017" s="16" t="s">
        <v>4867</v>
      </c>
      <c r="TEH1017" s="16" t="s">
        <v>4867</v>
      </c>
      <c r="TEI1017" s="16" t="s">
        <v>4867</v>
      </c>
      <c r="TEJ1017" s="16" t="s">
        <v>4867</v>
      </c>
      <c r="TEK1017" s="16" t="s">
        <v>4867</v>
      </c>
      <c r="TEL1017" s="16" t="s">
        <v>4867</v>
      </c>
      <c r="TEM1017" s="16" t="s">
        <v>4867</v>
      </c>
      <c r="TEN1017" s="16" t="s">
        <v>4867</v>
      </c>
      <c r="TEO1017" s="16" t="s">
        <v>4867</v>
      </c>
      <c r="TEP1017" s="16" t="s">
        <v>4867</v>
      </c>
      <c r="TEQ1017" s="16" t="s">
        <v>4867</v>
      </c>
      <c r="TER1017" s="16" t="s">
        <v>4867</v>
      </c>
      <c r="TES1017" s="16" t="s">
        <v>4867</v>
      </c>
      <c r="TET1017" s="16" t="s">
        <v>4867</v>
      </c>
      <c r="TEU1017" s="16" t="s">
        <v>4867</v>
      </c>
      <c r="TEV1017" s="16" t="s">
        <v>4867</v>
      </c>
      <c r="TEW1017" s="16" t="s">
        <v>4867</v>
      </c>
      <c r="TEX1017" s="16" t="s">
        <v>4867</v>
      </c>
      <c r="TEY1017" s="16" t="s">
        <v>4867</v>
      </c>
      <c r="TEZ1017" s="16" t="s">
        <v>4867</v>
      </c>
      <c r="TFA1017" s="16" t="s">
        <v>4867</v>
      </c>
      <c r="TFB1017" s="16" t="s">
        <v>4867</v>
      </c>
      <c r="TFC1017" s="16" t="s">
        <v>4867</v>
      </c>
      <c r="TFD1017" s="16" t="s">
        <v>4867</v>
      </c>
      <c r="TFE1017" s="16" t="s">
        <v>4867</v>
      </c>
      <c r="TFF1017" s="16" t="s">
        <v>4867</v>
      </c>
      <c r="TFG1017" s="16" t="s">
        <v>4867</v>
      </c>
      <c r="TFH1017" s="16" t="s">
        <v>4867</v>
      </c>
      <c r="TFI1017" s="16" t="s">
        <v>4867</v>
      </c>
      <c r="TFJ1017" s="16" t="s">
        <v>4867</v>
      </c>
      <c r="TFK1017" s="16" t="s">
        <v>4867</v>
      </c>
      <c r="TFL1017" s="16" t="s">
        <v>4867</v>
      </c>
      <c r="TFM1017" s="16" t="s">
        <v>4867</v>
      </c>
      <c r="TFN1017" s="16" t="s">
        <v>4867</v>
      </c>
      <c r="TFO1017" s="16" t="s">
        <v>4867</v>
      </c>
      <c r="TFP1017" s="16" t="s">
        <v>4867</v>
      </c>
      <c r="TFQ1017" s="16" t="s">
        <v>4867</v>
      </c>
      <c r="TFR1017" s="16" t="s">
        <v>4867</v>
      </c>
      <c r="TFS1017" s="16" t="s">
        <v>4867</v>
      </c>
      <c r="TFT1017" s="16" t="s">
        <v>4867</v>
      </c>
      <c r="TFU1017" s="16" t="s">
        <v>4867</v>
      </c>
      <c r="TFV1017" s="16" t="s">
        <v>4867</v>
      </c>
      <c r="TFW1017" s="16" t="s">
        <v>4867</v>
      </c>
      <c r="TFX1017" s="16" t="s">
        <v>4867</v>
      </c>
      <c r="TFY1017" s="16" t="s">
        <v>4867</v>
      </c>
      <c r="TFZ1017" s="16" t="s">
        <v>4867</v>
      </c>
      <c r="TGA1017" s="16" t="s">
        <v>4867</v>
      </c>
      <c r="TGB1017" s="16" t="s">
        <v>4867</v>
      </c>
      <c r="TGC1017" s="16" t="s">
        <v>4867</v>
      </c>
      <c r="TGD1017" s="16" t="s">
        <v>4867</v>
      </c>
      <c r="TGE1017" s="16" t="s">
        <v>4867</v>
      </c>
      <c r="TGF1017" s="16" t="s">
        <v>4867</v>
      </c>
      <c r="TGG1017" s="16" t="s">
        <v>4867</v>
      </c>
      <c r="TGH1017" s="16" t="s">
        <v>4867</v>
      </c>
      <c r="TGI1017" s="16" t="s">
        <v>4867</v>
      </c>
      <c r="TGJ1017" s="16" t="s">
        <v>4867</v>
      </c>
      <c r="TGK1017" s="16" t="s">
        <v>4867</v>
      </c>
      <c r="TGL1017" s="16" t="s">
        <v>4867</v>
      </c>
      <c r="TGM1017" s="16" t="s">
        <v>4867</v>
      </c>
      <c r="TGN1017" s="16" t="s">
        <v>4867</v>
      </c>
      <c r="TGO1017" s="16" t="s">
        <v>4867</v>
      </c>
      <c r="TGP1017" s="16" t="s">
        <v>4867</v>
      </c>
      <c r="TGQ1017" s="16" t="s">
        <v>4867</v>
      </c>
      <c r="TGR1017" s="16" t="s">
        <v>4867</v>
      </c>
      <c r="TGS1017" s="16" t="s">
        <v>4867</v>
      </c>
      <c r="TGT1017" s="16" t="s">
        <v>4867</v>
      </c>
      <c r="TGU1017" s="16" t="s">
        <v>4867</v>
      </c>
      <c r="TGV1017" s="16" t="s">
        <v>4867</v>
      </c>
      <c r="TGW1017" s="16" t="s">
        <v>4867</v>
      </c>
      <c r="TGX1017" s="16" t="s">
        <v>4867</v>
      </c>
      <c r="TGY1017" s="16" t="s">
        <v>4867</v>
      </c>
      <c r="TGZ1017" s="16" t="s">
        <v>4867</v>
      </c>
      <c r="THA1017" s="16" t="s">
        <v>4867</v>
      </c>
      <c r="THB1017" s="16" t="s">
        <v>4867</v>
      </c>
      <c r="THC1017" s="16" t="s">
        <v>4867</v>
      </c>
      <c r="THD1017" s="16" t="s">
        <v>4867</v>
      </c>
      <c r="THE1017" s="16" t="s">
        <v>4867</v>
      </c>
      <c r="THF1017" s="16" t="s">
        <v>4867</v>
      </c>
      <c r="THG1017" s="16" t="s">
        <v>4867</v>
      </c>
      <c r="THH1017" s="16" t="s">
        <v>4867</v>
      </c>
      <c r="THI1017" s="16" t="s">
        <v>4867</v>
      </c>
      <c r="THJ1017" s="16" t="s">
        <v>4867</v>
      </c>
      <c r="THK1017" s="16" t="s">
        <v>4867</v>
      </c>
      <c r="THL1017" s="16" t="s">
        <v>4867</v>
      </c>
      <c r="THM1017" s="16" t="s">
        <v>4867</v>
      </c>
      <c r="THN1017" s="16" t="s">
        <v>4867</v>
      </c>
      <c r="THO1017" s="16" t="s">
        <v>4867</v>
      </c>
      <c r="THP1017" s="16" t="s">
        <v>4867</v>
      </c>
      <c r="THQ1017" s="16" t="s">
        <v>4867</v>
      </c>
      <c r="THR1017" s="16" t="s">
        <v>4867</v>
      </c>
      <c r="THS1017" s="16" t="s">
        <v>4867</v>
      </c>
      <c r="THT1017" s="16" t="s">
        <v>4867</v>
      </c>
      <c r="THU1017" s="16" t="s">
        <v>4867</v>
      </c>
      <c r="THV1017" s="16" t="s">
        <v>4867</v>
      </c>
      <c r="THW1017" s="16" t="s">
        <v>4867</v>
      </c>
      <c r="THX1017" s="16" t="s">
        <v>4867</v>
      </c>
      <c r="THY1017" s="16" t="s">
        <v>4867</v>
      </c>
      <c r="THZ1017" s="16" t="s">
        <v>4867</v>
      </c>
      <c r="TIA1017" s="16" t="s">
        <v>4867</v>
      </c>
      <c r="TIB1017" s="16" t="s">
        <v>4867</v>
      </c>
      <c r="TIC1017" s="16" t="s">
        <v>4867</v>
      </c>
      <c r="TID1017" s="16" t="s">
        <v>4867</v>
      </c>
      <c r="TIE1017" s="16" t="s">
        <v>4867</v>
      </c>
      <c r="TIF1017" s="16" t="s">
        <v>4867</v>
      </c>
      <c r="TIG1017" s="16" t="s">
        <v>4867</v>
      </c>
      <c r="TIH1017" s="16" t="s">
        <v>4867</v>
      </c>
      <c r="TII1017" s="16" t="s">
        <v>4867</v>
      </c>
      <c r="TIJ1017" s="16" t="s">
        <v>4867</v>
      </c>
      <c r="TIK1017" s="16" t="s">
        <v>4867</v>
      </c>
      <c r="TIL1017" s="16" t="s">
        <v>4867</v>
      </c>
      <c r="TIM1017" s="16" t="s">
        <v>4867</v>
      </c>
      <c r="TIN1017" s="16" t="s">
        <v>4867</v>
      </c>
      <c r="TIO1017" s="16" t="s">
        <v>4867</v>
      </c>
      <c r="TIP1017" s="16" t="s">
        <v>4867</v>
      </c>
      <c r="TIQ1017" s="16" t="s">
        <v>4867</v>
      </c>
      <c r="TIR1017" s="16" t="s">
        <v>4867</v>
      </c>
      <c r="TIS1017" s="16" t="s">
        <v>4867</v>
      </c>
      <c r="TIT1017" s="16" t="s">
        <v>4867</v>
      </c>
      <c r="TIU1017" s="16" t="s">
        <v>4867</v>
      </c>
      <c r="TIV1017" s="16" t="s">
        <v>4867</v>
      </c>
      <c r="TIW1017" s="16" t="s">
        <v>4867</v>
      </c>
      <c r="TIX1017" s="16" t="s">
        <v>4867</v>
      </c>
      <c r="TIY1017" s="16" t="s">
        <v>4867</v>
      </c>
      <c r="TIZ1017" s="16" t="s">
        <v>4867</v>
      </c>
      <c r="TJA1017" s="16" t="s">
        <v>4867</v>
      </c>
      <c r="TJB1017" s="16" t="s">
        <v>4867</v>
      </c>
      <c r="TJC1017" s="16" t="s">
        <v>4867</v>
      </c>
      <c r="TJD1017" s="16" t="s">
        <v>4867</v>
      </c>
      <c r="TJE1017" s="16" t="s">
        <v>4867</v>
      </c>
      <c r="TJF1017" s="16" t="s">
        <v>4867</v>
      </c>
      <c r="TJG1017" s="16" t="s">
        <v>4867</v>
      </c>
      <c r="TJH1017" s="16" t="s">
        <v>4867</v>
      </c>
      <c r="TJI1017" s="16" t="s">
        <v>4867</v>
      </c>
      <c r="TJJ1017" s="16" t="s">
        <v>4867</v>
      </c>
      <c r="TJK1017" s="16" t="s">
        <v>4867</v>
      </c>
      <c r="TJL1017" s="16" t="s">
        <v>4867</v>
      </c>
      <c r="TJM1017" s="16" t="s">
        <v>4867</v>
      </c>
      <c r="TJN1017" s="16" t="s">
        <v>4867</v>
      </c>
      <c r="TJO1017" s="16" t="s">
        <v>4867</v>
      </c>
      <c r="TJP1017" s="16" t="s">
        <v>4867</v>
      </c>
      <c r="TJQ1017" s="16" t="s">
        <v>4867</v>
      </c>
      <c r="TJR1017" s="16" t="s">
        <v>4867</v>
      </c>
      <c r="TJS1017" s="16" t="s">
        <v>4867</v>
      </c>
      <c r="TJT1017" s="16" t="s">
        <v>4867</v>
      </c>
      <c r="TJU1017" s="16" t="s">
        <v>4867</v>
      </c>
      <c r="TJV1017" s="16" t="s">
        <v>4867</v>
      </c>
      <c r="TJW1017" s="16" t="s">
        <v>4867</v>
      </c>
      <c r="TJX1017" s="16" t="s">
        <v>4867</v>
      </c>
      <c r="TJY1017" s="16" t="s">
        <v>4867</v>
      </c>
      <c r="TJZ1017" s="16" t="s">
        <v>4867</v>
      </c>
      <c r="TKA1017" s="16" t="s">
        <v>4867</v>
      </c>
      <c r="TKB1017" s="16" t="s">
        <v>4867</v>
      </c>
      <c r="TKC1017" s="16" t="s">
        <v>4867</v>
      </c>
      <c r="TKD1017" s="16" t="s">
        <v>4867</v>
      </c>
      <c r="TKE1017" s="16" t="s">
        <v>4867</v>
      </c>
      <c r="TKF1017" s="16" t="s">
        <v>4867</v>
      </c>
      <c r="TKG1017" s="16" t="s">
        <v>4867</v>
      </c>
      <c r="TKH1017" s="16" t="s">
        <v>4867</v>
      </c>
      <c r="TKI1017" s="16" t="s">
        <v>4867</v>
      </c>
      <c r="TKJ1017" s="16" t="s">
        <v>4867</v>
      </c>
      <c r="TKK1017" s="16" t="s">
        <v>4867</v>
      </c>
      <c r="TKL1017" s="16" t="s">
        <v>4867</v>
      </c>
      <c r="TKM1017" s="16" t="s">
        <v>4867</v>
      </c>
      <c r="TKN1017" s="16" t="s">
        <v>4867</v>
      </c>
      <c r="TKO1017" s="16" t="s">
        <v>4867</v>
      </c>
      <c r="TKP1017" s="16" t="s">
        <v>4867</v>
      </c>
      <c r="TKQ1017" s="16" t="s">
        <v>4867</v>
      </c>
      <c r="TKR1017" s="16" t="s">
        <v>4867</v>
      </c>
      <c r="TKS1017" s="16" t="s">
        <v>4867</v>
      </c>
      <c r="TKT1017" s="16" t="s">
        <v>4867</v>
      </c>
      <c r="TKU1017" s="16" t="s">
        <v>4867</v>
      </c>
      <c r="TKV1017" s="16" t="s">
        <v>4867</v>
      </c>
      <c r="TKW1017" s="16" t="s">
        <v>4867</v>
      </c>
      <c r="TKX1017" s="16" t="s">
        <v>4867</v>
      </c>
      <c r="TKY1017" s="16" t="s">
        <v>4867</v>
      </c>
      <c r="TKZ1017" s="16" t="s">
        <v>4867</v>
      </c>
      <c r="TLA1017" s="16" t="s">
        <v>4867</v>
      </c>
      <c r="TLB1017" s="16" t="s">
        <v>4867</v>
      </c>
      <c r="TLC1017" s="16" t="s">
        <v>4867</v>
      </c>
      <c r="TLD1017" s="16" t="s">
        <v>4867</v>
      </c>
      <c r="TLE1017" s="16" t="s">
        <v>4867</v>
      </c>
      <c r="TLF1017" s="16" t="s">
        <v>4867</v>
      </c>
      <c r="TLG1017" s="16" t="s">
        <v>4867</v>
      </c>
      <c r="TLH1017" s="16" t="s">
        <v>4867</v>
      </c>
      <c r="TLI1017" s="16" t="s">
        <v>4867</v>
      </c>
      <c r="TLJ1017" s="16" t="s">
        <v>4867</v>
      </c>
      <c r="TLK1017" s="16" t="s">
        <v>4867</v>
      </c>
      <c r="TLL1017" s="16" t="s">
        <v>4867</v>
      </c>
      <c r="TLM1017" s="16" t="s">
        <v>4867</v>
      </c>
      <c r="TLN1017" s="16" t="s">
        <v>4867</v>
      </c>
      <c r="TLO1017" s="16" t="s">
        <v>4867</v>
      </c>
      <c r="TLP1017" s="16" t="s">
        <v>4867</v>
      </c>
      <c r="TLQ1017" s="16" t="s">
        <v>4867</v>
      </c>
      <c r="TLR1017" s="16" t="s">
        <v>4867</v>
      </c>
      <c r="TLS1017" s="16" t="s">
        <v>4867</v>
      </c>
      <c r="TLT1017" s="16" t="s">
        <v>4867</v>
      </c>
      <c r="TLU1017" s="16" t="s">
        <v>4867</v>
      </c>
      <c r="TLV1017" s="16" t="s">
        <v>4867</v>
      </c>
      <c r="TLW1017" s="16" t="s">
        <v>4867</v>
      </c>
      <c r="TLX1017" s="16" t="s">
        <v>4867</v>
      </c>
      <c r="TLY1017" s="16" t="s">
        <v>4867</v>
      </c>
      <c r="TLZ1017" s="16" t="s">
        <v>4867</v>
      </c>
      <c r="TMA1017" s="16" t="s">
        <v>4867</v>
      </c>
      <c r="TMB1017" s="16" t="s">
        <v>4867</v>
      </c>
      <c r="TMC1017" s="16" t="s">
        <v>4867</v>
      </c>
      <c r="TMD1017" s="16" t="s">
        <v>4867</v>
      </c>
      <c r="TME1017" s="16" t="s">
        <v>4867</v>
      </c>
      <c r="TMF1017" s="16" t="s">
        <v>4867</v>
      </c>
      <c r="TMG1017" s="16" t="s">
        <v>4867</v>
      </c>
      <c r="TMH1017" s="16" t="s">
        <v>4867</v>
      </c>
      <c r="TMI1017" s="16" t="s">
        <v>4867</v>
      </c>
      <c r="TMJ1017" s="16" t="s">
        <v>4867</v>
      </c>
      <c r="TMK1017" s="16" t="s">
        <v>4867</v>
      </c>
      <c r="TML1017" s="16" t="s">
        <v>4867</v>
      </c>
      <c r="TMM1017" s="16" t="s">
        <v>4867</v>
      </c>
      <c r="TMN1017" s="16" t="s">
        <v>4867</v>
      </c>
      <c r="TMO1017" s="16" t="s">
        <v>4867</v>
      </c>
      <c r="TMP1017" s="16" t="s">
        <v>4867</v>
      </c>
      <c r="TMQ1017" s="16" t="s">
        <v>4867</v>
      </c>
      <c r="TMR1017" s="16" t="s">
        <v>4867</v>
      </c>
      <c r="TMS1017" s="16" t="s">
        <v>4867</v>
      </c>
      <c r="TMT1017" s="16" t="s">
        <v>4867</v>
      </c>
      <c r="TMU1017" s="16" t="s">
        <v>4867</v>
      </c>
      <c r="TMV1017" s="16" t="s">
        <v>4867</v>
      </c>
      <c r="TMW1017" s="16" t="s">
        <v>4867</v>
      </c>
      <c r="TMX1017" s="16" t="s">
        <v>4867</v>
      </c>
      <c r="TMY1017" s="16" t="s">
        <v>4867</v>
      </c>
      <c r="TMZ1017" s="16" t="s">
        <v>4867</v>
      </c>
      <c r="TNA1017" s="16" t="s">
        <v>4867</v>
      </c>
      <c r="TNB1017" s="16" t="s">
        <v>4867</v>
      </c>
      <c r="TNC1017" s="16" t="s">
        <v>4867</v>
      </c>
      <c r="TND1017" s="16" t="s">
        <v>4867</v>
      </c>
      <c r="TNE1017" s="16" t="s">
        <v>4867</v>
      </c>
      <c r="TNF1017" s="16" t="s">
        <v>4867</v>
      </c>
      <c r="TNG1017" s="16" t="s">
        <v>4867</v>
      </c>
      <c r="TNH1017" s="16" t="s">
        <v>4867</v>
      </c>
      <c r="TNI1017" s="16" t="s">
        <v>4867</v>
      </c>
      <c r="TNJ1017" s="16" t="s">
        <v>4867</v>
      </c>
      <c r="TNK1017" s="16" t="s">
        <v>4867</v>
      </c>
      <c r="TNL1017" s="16" t="s">
        <v>4867</v>
      </c>
      <c r="TNM1017" s="16" t="s">
        <v>4867</v>
      </c>
      <c r="TNN1017" s="16" t="s">
        <v>4867</v>
      </c>
      <c r="TNO1017" s="16" t="s">
        <v>4867</v>
      </c>
      <c r="TNP1017" s="16" t="s">
        <v>4867</v>
      </c>
      <c r="TNQ1017" s="16" t="s">
        <v>4867</v>
      </c>
      <c r="TNR1017" s="16" t="s">
        <v>4867</v>
      </c>
      <c r="TNS1017" s="16" t="s">
        <v>4867</v>
      </c>
      <c r="TNT1017" s="16" t="s">
        <v>4867</v>
      </c>
      <c r="TNU1017" s="16" t="s">
        <v>4867</v>
      </c>
      <c r="TNV1017" s="16" t="s">
        <v>4867</v>
      </c>
      <c r="TNW1017" s="16" t="s">
        <v>4867</v>
      </c>
      <c r="TNX1017" s="16" t="s">
        <v>4867</v>
      </c>
      <c r="TNY1017" s="16" t="s">
        <v>4867</v>
      </c>
      <c r="TNZ1017" s="16" t="s">
        <v>4867</v>
      </c>
      <c r="TOA1017" s="16" t="s">
        <v>4867</v>
      </c>
      <c r="TOB1017" s="16" t="s">
        <v>4867</v>
      </c>
      <c r="TOC1017" s="16" t="s">
        <v>4867</v>
      </c>
      <c r="TOD1017" s="16" t="s">
        <v>4867</v>
      </c>
      <c r="TOE1017" s="16" t="s">
        <v>4867</v>
      </c>
      <c r="TOF1017" s="16" t="s">
        <v>4867</v>
      </c>
      <c r="TOG1017" s="16" t="s">
        <v>4867</v>
      </c>
      <c r="TOH1017" s="16" t="s">
        <v>4867</v>
      </c>
      <c r="TOI1017" s="16" t="s">
        <v>4867</v>
      </c>
      <c r="TOJ1017" s="16" t="s">
        <v>4867</v>
      </c>
      <c r="TOK1017" s="16" t="s">
        <v>4867</v>
      </c>
      <c r="TOL1017" s="16" t="s">
        <v>4867</v>
      </c>
      <c r="TOM1017" s="16" t="s">
        <v>4867</v>
      </c>
      <c r="TON1017" s="16" t="s">
        <v>4867</v>
      </c>
      <c r="TOO1017" s="16" t="s">
        <v>4867</v>
      </c>
      <c r="TOP1017" s="16" t="s">
        <v>4867</v>
      </c>
      <c r="TOQ1017" s="16" t="s">
        <v>4867</v>
      </c>
      <c r="TOR1017" s="16" t="s">
        <v>4867</v>
      </c>
      <c r="TOS1017" s="16" t="s">
        <v>4867</v>
      </c>
      <c r="TOT1017" s="16" t="s">
        <v>4867</v>
      </c>
      <c r="TOU1017" s="16" t="s">
        <v>4867</v>
      </c>
      <c r="TOV1017" s="16" t="s">
        <v>4867</v>
      </c>
      <c r="TOW1017" s="16" t="s">
        <v>4867</v>
      </c>
      <c r="TOX1017" s="16" t="s">
        <v>4867</v>
      </c>
      <c r="TOY1017" s="16" t="s">
        <v>4867</v>
      </c>
      <c r="TOZ1017" s="16" t="s">
        <v>4867</v>
      </c>
      <c r="TPA1017" s="16" t="s">
        <v>4867</v>
      </c>
      <c r="TPB1017" s="16" t="s">
        <v>4867</v>
      </c>
      <c r="TPC1017" s="16" t="s">
        <v>4867</v>
      </c>
      <c r="TPD1017" s="16" t="s">
        <v>4867</v>
      </c>
      <c r="TPE1017" s="16" t="s">
        <v>4867</v>
      </c>
      <c r="TPF1017" s="16" t="s">
        <v>4867</v>
      </c>
      <c r="TPG1017" s="16" t="s">
        <v>4867</v>
      </c>
      <c r="TPH1017" s="16" t="s">
        <v>4867</v>
      </c>
      <c r="TPI1017" s="16" t="s">
        <v>4867</v>
      </c>
      <c r="TPJ1017" s="16" t="s">
        <v>4867</v>
      </c>
      <c r="TPK1017" s="16" t="s">
        <v>4867</v>
      </c>
      <c r="TPL1017" s="16" t="s">
        <v>4867</v>
      </c>
      <c r="TPM1017" s="16" t="s">
        <v>4867</v>
      </c>
      <c r="TPN1017" s="16" t="s">
        <v>4867</v>
      </c>
      <c r="TPO1017" s="16" t="s">
        <v>4867</v>
      </c>
      <c r="TPP1017" s="16" t="s">
        <v>4867</v>
      </c>
      <c r="TPQ1017" s="16" t="s">
        <v>4867</v>
      </c>
      <c r="TPR1017" s="16" t="s">
        <v>4867</v>
      </c>
      <c r="TPS1017" s="16" t="s">
        <v>4867</v>
      </c>
      <c r="TPT1017" s="16" t="s">
        <v>4867</v>
      </c>
      <c r="TPU1017" s="16" t="s">
        <v>4867</v>
      </c>
      <c r="TPV1017" s="16" t="s">
        <v>4867</v>
      </c>
      <c r="TPW1017" s="16" t="s">
        <v>4867</v>
      </c>
      <c r="TPX1017" s="16" t="s">
        <v>4867</v>
      </c>
      <c r="TPY1017" s="16" t="s">
        <v>4867</v>
      </c>
      <c r="TPZ1017" s="16" t="s">
        <v>4867</v>
      </c>
      <c r="TQA1017" s="16" t="s">
        <v>4867</v>
      </c>
      <c r="TQB1017" s="16" t="s">
        <v>4867</v>
      </c>
      <c r="TQC1017" s="16" t="s">
        <v>4867</v>
      </c>
      <c r="TQD1017" s="16" t="s">
        <v>4867</v>
      </c>
      <c r="TQE1017" s="16" t="s">
        <v>4867</v>
      </c>
      <c r="TQF1017" s="16" t="s">
        <v>4867</v>
      </c>
      <c r="TQG1017" s="16" t="s">
        <v>4867</v>
      </c>
      <c r="TQH1017" s="16" t="s">
        <v>4867</v>
      </c>
      <c r="TQI1017" s="16" t="s">
        <v>4867</v>
      </c>
      <c r="TQJ1017" s="16" t="s">
        <v>4867</v>
      </c>
      <c r="TQK1017" s="16" t="s">
        <v>4867</v>
      </c>
      <c r="TQL1017" s="16" t="s">
        <v>4867</v>
      </c>
      <c r="TQM1017" s="16" t="s">
        <v>4867</v>
      </c>
      <c r="TQN1017" s="16" t="s">
        <v>4867</v>
      </c>
      <c r="TQO1017" s="16" t="s">
        <v>4867</v>
      </c>
      <c r="TQP1017" s="16" t="s">
        <v>4867</v>
      </c>
      <c r="TQQ1017" s="16" t="s">
        <v>4867</v>
      </c>
      <c r="TQR1017" s="16" t="s">
        <v>4867</v>
      </c>
      <c r="TQS1017" s="16" t="s">
        <v>4867</v>
      </c>
      <c r="TQT1017" s="16" t="s">
        <v>4867</v>
      </c>
      <c r="TQU1017" s="16" t="s">
        <v>4867</v>
      </c>
      <c r="TQV1017" s="16" t="s">
        <v>4867</v>
      </c>
      <c r="TQW1017" s="16" t="s">
        <v>4867</v>
      </c>
      <c r="TQX1017" s="16" t="s">
        <v>4867</v>
      </c>
      <c r="TQY1017" s="16" t="s">
        <v>4867</v>
      </c>
      <c r="TQZ1017" s="16" t="s">
        <v>4867</v>
      </c>
      <c r="TRA1017" s="16" t="s">
        <v>4867</v>
      </c>
      <c r="TRB1017" s="16" t="s">
        <v>4867</v>
      </c>
      <c r="TRC1017" s="16" t="s">
        <v>4867</v>
      </c>
      <c r="TRD1017" s="16" t="s">
        <v>4867</v>
      </c>
      <c r="TRE1017" s="16" t="s">
        <v>4867</v>
      </c>
      <c r="TRF1017" s="16" t="s">
        <v>4867</v>
      </c>
      <c r="TRG1017" s="16" t="s">
        <v>4867</v>
      </c>
      <c r="TRH1017" s="16" t="s">
        <v>4867</v>
      </c>
      <c r="TRI1017" s="16" t="s">
        <v>4867</v>
      </c>
      <c r="TRJ1017" s="16" t="s">
        <v>4867</v>
      </c>
      <c r="TRK1017" s="16" t="s">
        <v>4867</v>
      </c>
      <c r="TRL1017" s="16" t="s">
        <v>4867</v>
      </c>
      <c r="TRM1017" s="16" t="s">
        <v>4867</v>
      </c>
      <c r="TRN1017" s="16" t="s">
        <v>4867</v>
      </c>
      <c r="TRO1017" s="16" t="s">
        <v>4867</v>
      </c>
      <c r="TRP1017" s="16" t="s">
        <v>4867</v>
      </c>
      <c r="TRQ1017" s="16" t="s">
        <v>4867</v>
      </c>
      <c r="TRR1017" s="16" t="s">
        <v>4867</v>
      </c>
      <c r="TRS1017" s="16" t="s">
        <v>4867</v>
      </c>
      <c r="TRT1017" s="16" t="s">
        <v>4867</v>
      </c>
      <c r="TRU1017" s="16" t="s">
        <v>4867</v>
      </c>
      <c r="TRV1017" s="16" t="s">
        <v>4867</v>
      </c>
      <c r="TRW1017" s="16" t="s">
        <v>4867</v>
      </c>
      <c r="TRX1017" s="16" t="s">
        <v>4867</v>
      </c>
      <c r="TRY1017" s="16" t="s">
        <v>4867</v>
      </c>
      <c r="TRZ1017" s="16" t="s">
        <v>4867</v>
      </c>
      <c r="TSA1017" s="16" t="s">
        <v>4867</v>
      </c>
      <c r="TSB1017" s="16" t="s">
        <v>4867</v>
      </c>
      <c r="TSC1017" s="16" t="s">
        <v>4867</v>
      </c>
      <c r="TSD1017" s="16" t="s">
        <v>4867</v>
      </c>
      <c r="TSE1017" s="16" t="s">
        <v>4867</v>
      </c>
      <c r="TSF1017" s="16" t="s">
        <v>4867</v>
      </c>
      <c r="TSG1017" s="16" t="s">
        <v>4867</v>
      </c>
      <c r="TSH1017" s="16" t="s">
        <v>4867</v>
      </c>
      <c r="TSI1017" s="16" t="s">
        <v>4867</v>
      </c>
      <c r="TSJ1017" s="16" t="s">
        <v>4867</v>
      </c>
      <c r="TSK1017" s="16" t="s">
        <v>4867</v>
      </c>
      <c r="TSL1017" s="16" t="s">
        <v>4867</v>
      </c>
      <c r="TSM1017" s="16" t="s">
        <v>4867</v>
      </c>
      <c r="TSN1017" s="16" t="s">
        <v>4867</v>
      </c>
      <c r="TSO1017" s="16" t="s">
        <v>4867</v>
      </c>
      <c r="TSP1017" s="16" t="s">
        <v>4867</v>
      </c>
      <c r="TSQ1017" s="16" t="s">
        <v>4867</v>
      </c>
      <c r="TSR1017" s="16" t="s">
        <v>4867</v>
      </c>
      <c r="TSS1017" s="16" t="s">
        <v>4867</v>
      </c>
      <c r="TST1017" s="16" t="s">
        <v>4867</v>
      </c>
      <c r="TSU1017" s="16" t="s">
        <v>4867</v>
      </c>
      <c r="TSV1017" s="16" t="s">
        <v>4867</v>
      </c>
      <c r="TSW1017" s="16" t="s">
        <v>4867</v>
      </c>
      <c r="TSX1017" s="16" t="s">
        <v>4867</v>
      </c>
      <c r="TSY1017" s="16" t="s">
        <v>4867</v>
      </c>
      <c r="TSZ1017" s="16" t="s">
        <v>4867</v>
      </c>
      <c r="TTA1017" s="16" t="s">
        <v>4867</v>
      </c>
      <c r="TTB1017" s="16" t="s">
        <v>4867</v>
      </c>
      <c r="TTC1017" s="16" t="s">
        <v>4867</v>
      </c>
      <c r="TTD1017" s="16" t="s">
        <v>4867</v>
      </c>
      <c r="TTE1017" s="16" t="s">
        <v>4867</v>
      </c>
      <c r="TTF1017" s="16" t="s">
        <v>4867</v>
      </c>
      <c r="TTG1017" s="16" t="s">
        <v>4867</v>
      </c>
      <c r="TTH1017" s="16" t="s">
        <v>4867</v>
      </c>
      <c r="TTI1017" s="16" t="s">
        <v>4867</v>
      </c>
      <c r="TTJ1017" s="16" t="s">
        <v>4867</v>
      </c>
      <c r="TTK1017" s="16" t="s">
        <v>4867</v>
      </c>
      <c r="TTL1017" s="16" t="s">
        <v>4867</v>
      </c>
      <c r="TTM1017" s="16" t="s">
        <v>4867</v>
      </c>
      <c r="TTN1017" s="16" t="s">
        <v>4867</v>
      </c>
      <c r="TTO1017" s="16" t="s">
        <v>4867</v>
      </c>
      <c r="TTP1017" s="16" t="s">
        <v>4867</v>
      </c>
      <c r="TTQ1017" s="16" t="s">
        <v>4867</v>
      </c>
      <c r="TTR1017" s="16" t="s">
        <v>4867</v>
      </c>
      <c r="TTS1017" s="16" t="s">
        <v>4867</v>
      </c>
      <c r="TTT1017" s="16" t="s">
        <v>4867</v>
      </c>
      <c r="TTU1017" s="16" t="s">
        <v>4867</v>
      </c>
      <c r="TTV1017" s="16" t="s">
        <v>4867</v>
      </c>
      <c r="TTW1017" s="16" t="s">
        <v>4867</v>
      </c>
      <c r="TTX1017" s="16" t="s">
        <v>4867</v>
      </c>
      <c r="TTY1017" s="16" t="s">
        <v>4867</v>
      </c>
      <c r="TTZ1017" s="16" t="s">
        <v>4867</v>
      </c>
      <c r="TUA1017" s="16" t="s">
        <v>4867</v>
      </c>
      <c r="TUB1017" s="16" t="s">
        <v>4867</v>
      </c>
      <c r="TUC1017" s="16" t="s">
        <v>4867</v>
      </c>
      <c r="TUD1017" s="16" t="s">
        <v>4867</v>
      </c>
      <c r="TUE1017" s="16" t="s">
        <v>4867</v>
      </c>
      <c r="TUF1017" s="16" t="s">
        <v>4867</v>
      </c>
      <c r="TUG1017" s="16" t="s">
        <v>4867</v>
      </c>
      <c r="TUH1017" s="16" t="s">
        <v>4867</v>
      </c>
      <c r="TUI1017" s="16" t="s">
        <v>4867</v>
      </c>
      <c r="TUJ1017" s="16" t="s">
        <v>4867</v>
      </c>
      <c r="TUK1017" s="16" t="s">
        <v>4867</v>
      </c>
      <c r="TUL1017" s="16" t="s">
        <v>4867</v>
      </c>
      <c r="TUM1017" s="16" t="s">
        <v>4867</v>
      </c>
      <c r="TUN1017" s="16" t="s">
        <v>4867</v>
      </c>
      <c r="TUO1017" s="16" t="s">
        <v>4867</v>
      </c>
      <c r="TUP1017" s="16" t="s">
        <v>4867</v>
      </c>
      <c r="TUQ1017" s="16" t="s">
        <v>4867</v>
      </c>
      <c r="TUR1017" s="16" t="s">
        <v>4867</v>
      </c>
      <c r="TUS1017" s="16" t="s">
        <v>4867</v>
      </c>
      <c r="TUT1017" s="16" t="s">
        <v>4867</v>
      </c>
      <c r="TUU1017" s="16" t="s">
        <v>4867</v>
      </c>
      <c r="TUV1017" s="16" t="s">
        <v>4867</v>
      </c>
      <c r="TUW1017" s="16" t="s">
        <v>4867</v>
      </c>
      <c r="TUX1017" s="16" t="s">
        <v>4867</v>
      </c>
      <c r="TUY1017" s="16" t="s">
        <v>4867</v>
      </c>
      <c r="TUZ1017" s="16" t="s">
        <v>4867</v>
      </c>
      <c r="TVA1017" s="16" t="s">
        <v>4867</v>
      </c>
      <c r="TVB1017" s="16" t="s">
        <v>4867</v>
      </c>
      <c r="TVC1017" s="16" t="s">
        <v>4867</v>
      </c>
      <c r="TVD1017" s="16" t="s">
        <v>4867</v>
      </c>
      <c r="TVE1017" s="16" t="s">
        <v>4867</v>
      </c>
      <c r="TVF1017" s="16" t="s">
        <v>4867</v>
      </c>
      <c r="TVG1017" s="16" t="s">
        <v>4867</v>
      </c>
      <c r="TVH1017" s="16" t="s">
        <v>4867</v>
      </c>
      <c r="TVI1017" s="16" t="s">
        <v>4867</v>
      </c>
      <c r="TVJ1017" s="16" t="s">
        <v>4867</v>
      </c>
      <c r="TVK1017" s="16" t="s">
        <v>4867</v>
      </c>
      <c r="TVL1017" s="16" t="s">
        <v>4867</v>
      </c>
      <c r="TVM1017" s="16" t="s">
        <v>4867</v>
      </c>
      <c r="TVN1017" s="16" t="s">
        <v>4867</v>
      </c>
      <c r="TVO1017" s="16" t="s">
        <v>4867</v>
      </c>
      <c r="TVP1017" s="16" t="s">
        <v>4867</v>
      </c>
      <c r="TVQ1017" s="16" t="s">
        <v>4867</v>
      </c>
      <c r="TVR1017" s="16" t="s">
        <v>4867</v>
      </c>
      <c r="TVS1017" s="16" t="s">
        <v>4867</v>
      </c>
      <c r="TVT1017" s="16" t="s">
        <v>4867</v>
      </c>
      <c r="TVU1017" s="16" t="s">
        <v>4867</v>
      </c>
      <c r="TVV1017" s="16" t="s">
        <v>4867</v>
      </c>
      <c r="TVW1017" s="16" t="s">
        <v>4867</v>
      </c>
      <c r="TVX1017" s="16" t="s">
        <v>4867</v>
      </c>
      <c r="TVY1017" s="16" t="s">
        <v>4867</v>
      </c>
      <c r="TVZ1017" s="16" t="s">
        <v>4867</v>
      </c>
      <c r="TWA1017" s="16" t="s">
        <v>4867</v>
      </c>
      <c r="TWB1017" s="16" t="s">
        <v>4867</v>
      </c>
      <c r="TWC1017" s="16" t="s">
        <v>4867</v>
      </c>
      <c r="TWD1017" s="16" t="s">
        <v>4867</v>
      </c>
      <c r="TWE1017" s="16" t="s">
        <v>4867</v>
      </c>
      <c r="TWF1017" s="16" t="s">
        <v>4867</v>
      </c>
      <c r="TWG1017" s="16" t="s">
        <v>4867</v>
      </c>
      <c r="TWH1017" s="16" t="s">
        <v>4867</v>
      </c>
      <c r="TWI1017" s="16" t="s">
        <v>4867</v>
      </c>
      <c r="TWJ1017" s="16" t="s">
        <v>4867</v>
      </c>
      <c r="TWK1017" s="16" t="s">
        <v>4867</v>
      </c>
      <c r="TWL1017" s="16" t="s">
        <v>4867</v>
      </c>
      <c r="TWM1017" s="16" t="s">
        <v>4867</v>
      </c>
      <c r="TWN1017" s="16" t="s">
        <v>4867</v>
      </c>
      <c r="TWO1017" s="16" t="s">
        <v>4867</v>
      </c>
      <c r="TWP1017" s="16" t="s">
        <v>4867</v>
      </c>
      <c r="TWQ1017" s="16" t="s">
        <v>4867</v>
      </c>
      <c r="TWR1017" s="16" t="s">
        <v>4867</v>
      </c>
      <c r="TWS1017" s="16" t="s">
        <v>4867</v>
      </c>
      <c r="TWT1017" s="16" t="s">
        <v>4867</v>
      </c>
      <c r="TWU1017" s="16" t="s">
        <v>4867</v>
      </c>
      <c r="TWV1017" s="16" t="s">
        <v>4867</v>
      </c>
      <c r="TWW1017" s="16" t="s">
        <v>4867</v>
      </c>
      <c r="TWX1017" s="16" t="s">
        <v>4867</v>
      </c>
      <c r="TWY1017" s="16" t="s">
        <v>4867</v>
      </c>
      <c r="TWZ1017" s="16" t="s">
        <v>4867</v>
      </c>
      <c r="TXA1017" s="16" t="s">
        <v>4867</v>
      </c>
      <c r="TXB1017" s="16" t="s">
        <v>4867</v>
      </c>
      <c r="TXC1017" s="16" t="s">
        <v>4867</v>
      </c>
      <c r="TXD1017" s="16" t="s">
        <v>4867</v>
      </c>
      <c r="TXE1017" s="16" t="s">
        <v>4867</v>
      </c>
      <c r="TXF1017" s="16" t="s">
        <v>4867</v>
      </c>
      <c r="TXG1017" s="16" t="s">
        <v>4867</v>
      </c>
      <c r="TXH1017" s="16" t="s">
        <v>4867</v>
      </c>
      <c r="TXI1017" s="16" t="s">
        <v>4867</v>
      </c>
      <c r="TXJ1017" s="16" t="s">
        <v>4867</v>
      </c>
      <c r="TXK1017" s="16" t="s">
        <v>4867</v>
      </c>
      <c r="TXL1017" s="16" t="s">
        <v>4867</v>
      </c>
      <c r="TXM1017" s="16" t="s">
        <v>4867</v>
      </c>
      <c r="TXN1017" s="16" t="s">
        <v>4867</v>
      </c>
      <c r="TXO1017" s="16" t="s">
        <v>4867</v>
      </c>
      <c r="TXP1017" s="16" t="s">
        <v>4867</v>
      </c>
      <c r="TXQ1017" s="16" t="s">
        <v>4867</v>
      </c>
      <c r="TXR1017" s="16" t="s">
        <v>4867</v>
      </c>
      <c r="TXS1017" s="16" t="s">
        <v>4867</v>
      </c>
      <c r="TXT1017" s="16" t="s">
        <v>4867</v>
      </c>
      <c r="TXU1017" s="16" t="s">
        <v>4867</v>
      </c>
      <c r="TXV1017" s="16" t="s">
        <v>4867</v>
      </c>
      <c r="TXW1017" s="16" t="s">
        <v>4867</v>
      </c>
      <c r="TXX1017" s="16" t="s">
        <v>4867</v>
      </c>
      <c r="TXY1017" s="16" t="s">
        <v>4867</v>
      </c>
      <c r="TXZ1017" s="16" t="s">
        <v>4867</v>
      </c>
      <c r="TYA1017" s="16" t="s">
        <v>4867</v>
      </c>
      <c r="TYB1017" s="16" t="s">
        <v>4867</v>
      </c>
      <c r="TYC1017" s="16" t="s">
        <v>4867</v>
      </c>
      <c r="TYD1017" s="16" t="s">
        <v>4867</v>
      </c>
      <c r="TYE1017" s="16" t="s">
        <v>4867</v>
      </c>
      <c r="TYF1017" s="16" t="s">
        <v>4867</v>
      </c>
      <c r="TYG1017" s="16" t="s">
        <v>4867</v>
      </c>
      <c r="TYH1017" s="16" t="s">
        <v>4867</v>
      </c>
      <c r="TYI1017" s="16" t="s">
        <v>4867</v>
      </c>
      <c r="TYJ1017" s="16" t="s">
        <v>4867</v>
      </c>
      <c r="TYK1017" s="16" t="s">
        <v>4867</v>
      </c>
      <c r="TYL1017" s="16" t="s">
        <v>4867</v>
      </c>
      <c r="TYM1017" s="16" t="s">
        <v>4867</v>
      </c>
      <c r="TYN1017" s="16" t="s">
        <v>4867</v>
      </c>
      <c r="TYO1017" s="16" t="s">
        <v>4867</v>
      </c>
      <c r="TYP1017" s="16" t="s">
        <v>4867</v>
      </c>
      <c r="TYQ1017" s="16" t="s">
        <v>4867</v>
      </c>
      <c r="TYR1017" s="16" t="s">
        <v>4867</v>
      </c>
      <c r="TYS1017" s="16" t="s">
        <v>4867</v>
      </c>
      <c r="TYT1017" s="16" t="s">
        <v>4867</v>
      </c>
      <c r="TYU1017" s="16" t="s">
        <v>4867</v>
      </c>
      <c r="TYV1017" s="16" t="s">
        <v>4867</v>
      </c>
      <c r="TYW1017" s="16" t="s">
        <v>4867</v>
      </c>
      <c r="TYX1017" s="16" t="s">
        <v>4867</v>
      </c>
      <c r="TYY1017" s="16" t="s">
        <v>4867</v>
      </c>
      <c r="TYZ1017" s="16" t="s">
        <v>4867</v>
      </c>
      <c r="TZA1017" s="16" t="s">
        <v>4867</v>
      </c>
      <c r="TZB1017" s="16" t="s">
        <v>4867</v>
      </c>
      <c r="TZC1017" s="16" t="s">
        <v>4867</v>
      </c>
      <c r="TZD1017" s="16" t="s">
        <v>4867</v>
      </c>
      <c r="TZE1017" s="16" t="s">
        <v>4867</v>
      </c>
      <c r="TZF1017" s="16" t="s">
        <v>4867</v>
      </c>
      <c r="TZG1017" s="16" t="s">
        <v>4867</v>
      </c>
      <c r="TZH1017" s="16" t="s">
        <v>4867</v>
      </c>
      <c r="TZI1017" s="16" t="s">
        <v>4867</v>
      </c>
      <c r="TZJ1017" s="16" t="s">
        <v>4867</v>
      </c>
      <c r="TZK1017" s="16" t="s">
        <v>4867</v>
      </c>
      <c r="TZL1017" s="16" t="s">
        <v>4867</v>
      </c>
      <c r="TZM1017" s="16" t="s">
        <v>4867</v>
      </c>
      <c r="TZN1017" s="16" t="s">
        <v>4867</v>
      </c>
      <c r="TZO1017" s="16" t="s">
        <v>4867</v>
      </c>
      <c r="TZP1017" s="16" t="s">
        <v>4867</v>
      </c>
      <c r="TZQ1017" s="16" t="s">
        <v>4867</v>
      </c>
      <c r="TZR1017" s="16" t="s">
        <v>4867</v>
      </c>
      <c r="TZS1017" s="16" t="s">
        <v>4867</v>
      </c>
      <c r="TZT1017" s="16" t="s">
        <v>4867</v>
      </c>
      <c r="TZU1017" s="16" t="s">
        <v>4867</v>
      </c>
      <c r="TZV1017" s="16" t="s">
        <v>4867</v>
      </c>
      <c r="TZW1017" s="16" t="s">
        <v>4867</v>
      </c>
      <c r="TZX1017" s="16" t="s">
        <v>4867</v>
      </c>
      <c r="TZY1017" s="16" t="s">
        <v>4867</v>
      </c>
      <c r="TZZ1017" s="16" t="s">
        <v>4867</v>
      </c>
      <c r="UAA1017" s="16" t="s">
        <v>4867</v>
      </c>
      <c r="UAB1017" s="16" t="s">
        <v>4867</v>
      </c>
      <c r="UAC1017" s="16" t="s">
        <v>4867</v>
      </c>
      <c r="UAD1017" s="16" t="s">
        <v>4867</v>
      </c>
      <c r="UAE1017" s="16" t="s">
        <v>4867</v>
      </c>
      <c r="UAF1017" s="16" t="s">
        <v>4867</v>
      </c>
      <c r="UAG1017" s="16" t="s">
        <v>4867</v>
      </c>
      <c r="UAH1017" s="16" t="s">
        <v>4867</v>
      </c>
      <c r="UAI1017" s="16" t="s">
        <v>4867</v>
      </c>
      <c r="UAJ1017" s="16" t="s">
        <v>4867</v>
      </c>
      <c r="UAK1017" s="16" t="s">
        <v>4867</v>
      </c>
      <c r="UAL1017" s="16" t="s">
        <v>4867</v>
      </c>
      <c r="UAM1017" s="16" t="s">
        <v>4867</v>
      </c>
      <c r="UAN1017" s="16" t="s">
        <v>4867</v>
      </c>
      <c r="UAO1017" s="16" t="s">
        <v>4867</v>
      </c>
      <c r="UAP1017" s="16" t="s">
        <v>4867</v>
      </c>
      <c r="UAQ1017" s="16" t="s">
        <v>4867</v>
      </c>
      <c r="UAR1017" s="16" t="s">
        <v>4867</v>
      </c>
      <c r="UAS1017" s="16" t="s">
        <v>4867</v>
      </c>
      <c r="UAT1017" s="16" t="s">
        <v>4867</v>
      </c>
      <c r="UAU1017" s="16" t="s">
        <v>4867</v>
      </c>
      <c r="UAV1017" s="16" t="s">
        <v>4867</v>
      </c>
      <c r="UAW1017" s="16" t="s">
        <v>4867</v>
      </c>
      <c r="UAX1017" s="16" t="s">
        <v>4867</v>
      </c>
      <c r="UAY1017" s="16" t="s">
        <v>4867</v>
      </c>
      <c r="UAZ1017" s="16" t="s">
        <v>4867</v>
      </c>
      <c r="UBA1017" s="16" t="s">
        <v>4867</v>
      </c>
      <c r="UBB1017" s="16" t="s">
        <v>4867</v>
      </c>
      <c r="UBC1017" s="16" t="s">
        <v>4867</v>
      </c>
      <c r="UBD1017" s="16" t="s">
        <v>4867</v>
      </c>
      <c r="UBE1017" s="16" t="s">
        <v>4867</v>
      </c>
      <c r="UBF1017" s="16" t="s">
        <v>4867</v>
      </c>
      <c r="UBG1017" s="16" t="s">
        <v>4867</v>
      </c>
      <c r="UBH1017" s="16" t="s">
        <v>4867</v>
      </c>
      <c r="UBI1017" s="16" t="s">
        <v>4867</v>
      </c>
      <c r="UBJ1017" s="16" t="s">
        <v>4867</v>
      </c>
      <c r="UBK1017" s="16" t="s">
        <v>4867</v>
      </c>
      <c r="UBL1017" s="16" t="s">
        <v>4867</v>
      </c>
      <c r="UBM1017" s="16" t="s">
        <v>4867</v>
      </c>
      <c r="UBN1017" s="16" t="s">
        <v>4867</v>
      </c>
      <c r="UBO1017" s="16" t="s">
        <v>4867</v>
      </c>
      <c r="UBP1017" s="16" t="s">
        <v>4867</v>
      </c>
      <c r="UBQ1017" s="16" t="s">
        <v>4867</v>
      </c>
      <c r="UBR1017" s="16" t="s">
        <v>4867</v>
      </c>
      <c r="UBS1017" s="16" t="s">
        <v>4867</v>
      </c>
      <c r="UBT1017" s="16" t="s">
        <v>4867</v>
      </c>
      <c r="UBU1017" s="16" t="s">
        <v>4867</v>
      </c>
      <c r="UBV1017" s="16" t="s">
        <v>4867</v>
      </c>
      <c r="UBW1017" s="16" t="s">
        <v>4867</v>
      </c>
      <c r="UBX1017" s="16" t="s">
        <v>4867</v>
      </c>
      <c r="UBY1017" s="16" t="s">
        <v>4867</v>
      </c>
      <c r="UBZ1017" s="16" t="s">
        <v>4867</v>
      </c>
      <c r="UCA1017" s="16" t="s">
        <v>4867</v>
      </c>
      <c r="UCB1017" s="16" t="s">
        <v>4867</v>
      </c>
      <c r="UCC1017" s="16" t="s">
        <v>4867</v>
      </c>
      <c r="UCD1017" s="16" t="s">
        <v>4867</v>
      </c>
      <c r="UCE1017" s="16" t="s">
        <v>4867</v>
      </c>
      <c r="UCF1017" s="16" t="s">
        <v>4867</v>
      </c>
      <c r="UCG1017" s="16" t="s">
        <v>4867</v>
      </c>
      <c r="UCH1017" s="16" t="s">
        <v>4867</v>
      </c>
      <c r="UCI1017" s="16" t="s">
        <v>4867</v>
      </c>
      <c r="UCJ1017" s="16" t="s">
        <v>4867</v>
      </c>
      <c r="UCK1017" s="16" t="s">
        <v>4867</v>
      </c>
      <c r="UCL1017" s="16" t="s">
        <v>4867</v>
      </c>
      <c r="UCM1017" s="16" t="s">
        <v>4867</v>
      </c>
      <c r="UCN1017" s="16" t="s">
        <v>4867</v>
      </c>
      <c r="UCO1017" s="16" t="s">
        <v>4867</v>
      </c>
      <c r="UCP1017" s="16" t="s">
        <v>4867</v>
      </c>
      <c r="UCQ1017" s="16" t="s">
        <v>4867</v>
      </c>
      <c r="UCR1017" s="16" t="s">
        <v>4867</v>
      </c>
      <c r="UCS1017" s="16" t="s">
        <v>4867</v>
      </c>
      <c r="UCT1017" s="16" t="s">
        <v>4867</v>
      </c>
      <c r="UCU1017" s="16" t="s">
        <v>4867</v>
      </c>
      <c r="UCV1017" s="16" t="s">
        <v>4867</v>
      </c>
      <c r="UCW1017" s="16" t="s">
        <v>4867</v>
      </c>
      <c r="UCX1017" s="16" t="s">
        <v>4867</v>
      </c>
      <c r="UCY1017" s="16" t="s">
        <v>4867</v>
      </c>
      <c r="UCZ1017" s="16" t="s">
        <v>4867</v>
      </c>
      <c r="UDA1017" s="16" t="s">
        <v>4867</v>
      </c>
      <c r="UDB1017" s="16" t="s">
        <v>4867</v>
      </c>
      <c r="UDC1017" s="16" t="s">
        <v>4867</v>
      </c>
      <c r="UDD1017" s="16" t="s">
        <v>4867</v>
      </c>
      <c r="UDE1017" s="16" t="s">
        <v>4867</v>
      </c>
      <c r="UDF1017" s="16" t="s">
        <v>4867</v>
      </c>
      <c r="UDG1017" s="16" t="s">
        <v>4867</v>
      </c>
      <c r="UDH1017" s="16" t="s">
        <v>4867</v>
      </c>
      <c r="UDI1017" s="16" t="s">
        <v>4867</v>
      </c>
      <c r="UDJ1017" s="16" t="s">
        <v>4867</v>
      </c>
      <c r="UDK1017" s="16" t="s">
        <v>4867</v>
      </c>
      <c r="UDL1017" s="16" t="s">
        <v>4867</v>
      </c>
      <c r="UDM1017" s="16" t="s">
        <v>4867</v>
      </c>
      <c r="UDN1017" s="16" t="s">
        <v>4867</v>
      </c>
      <c r="UDO1017" s="16" t="s">
        <v>4867</v>
      </c>
      <c r="UDP1017" s="16" t="s">
        <v>4867</v>
      </c>
      <c r="UDQ1017" s="16" t="s">
        <v>4867</v>
      </c>
      <c r="UDR1017" s="16" t="s">
        <v>4867</v>
      </c>
      <c r="UDS1017" s="16" t="s">
        <v>4867</v>
      </c>
      <c r="UDT1017" s="16" t="s">
        <v>4867</v>
      </c>
      <c r="UDU1017" s="16" t="s">
        <v>4867</v>
      </c>
      <c r="UDV1017" s="16" t="s">
        <v>4867</v>
      </c>
      <c r="UDW1017" s="16" t="s">
        <v>4867</v>
      </c>
      <c r="UDX1017" s="16" t="s">
        <v>4867</v>
      </c>
      <c r="UDY1017" s="16" t="s">
        <v>4867</v>
      </c>
      <c r="UDZ1017" s="16" t="s">
        <v>4867</v>
      </c>
      <c r="UEA1017" s="16" t="s">
        <v>4867</v>
      </c>
      <c r="UEB1017" s="16" t="s">
        <v>4867</v>
      </c>
      <c r="UEC1017" s="16" t="s">
        <v>4867</v>
      </c>
      <c r="UED1017" s="16" t="s">
        <v>4867</v>
      </c>
      <c r="UEE1017" s="16" t="s">
        <v>4867</v>
      </c>
      <c r="UEF1017" s="16" t="s">
        <v>4867</v>
      </c>
      <c r="UEG1017" s="16" t="s">
        <v>4867</v>
      </c>
      <c r="UEH1017" s="16" t="s">
        <v>4867</v>
      </c>
      <c r="UEI1017" s="16" t="s">
        <v>4867</v>
      </c>
      <c r="UEJ1017" s="16" t="s">
        <v>4867</v>
      </c>
      <c r="UEK1017" s="16" t="s">
        <v>4867</v>
      </c>
      <c r="UEL1017" s="16" t="s">
        <v>4867</v>
      </c>
      <c r="UEM1017" s="16" t="s">
        <v>4867</v>
      </c>
      <c r="UEN1017" s="16" t="s">
        <v>4867</v>
      </c>
      <c r="UEO1017" s="16" t="s">
        <v>4867</v>
      </c>
      <c r="UEP1017" s="16" t="s">
        <v>4867</v>
      </c>
      <c r="UEQ1017" s="16" t="s">
        <v>4867</v>
      </c>
      <c r="UER1017" s="16" t="s">
        <v>4867</v>
      </c>
      <c r="UES1017" s="16" t="s">
        <v>4867</v>
      </c>
      <c r="UET1017" s="16" t="s">
        <v>4867</v>
      </c>
      <c r="UEU1017" s="16" t="s">
        <v>4867</v>
      </c>
      <c r="UEV1017" s="16" t="s">
        <v>4867</v>
      </c>
      <c r="UEW1017" s="16" t="s">
        <v>4867</v>
      </c>
      <c r="UEX1017" s="16" t="s">
        <v>4867</v>
      </c>
      <c r="UEY1017" s="16" t="s">
        <v>4867</v>
      </c>
      <c r="UEZ1017" s="16" t="s">
        <v>4867</v>
      </c>
      <c r="UFA1017" s="16" t="s">
        <v>4867</v>
      </c>
      <c r="UFB1017" s="16" t="s">
        <v>4867</v>
      </c>
      <c r="UFC1017" s="16" t="s">
        <v>4867</v>
      </c>
      <c r="UFD1017" s="16" t="s">
        <v>4867</v>
      </c>
      <c r="UFE1017" s="16" t="s">
        <v>4867</v>
      </c>
      <c r="UFF1017" s="16" t="s">
        <v>4867</v>
      </c>
      <c r="UFG1017" s="16" t="s">
        <v>4867</v>
      </c>
      <c r="UFH1017" s="16" t="s">
        <v>4867</v>
      </c>
      <c r="UFI1017" s="16" t="s">
        <v>4867</v>
      </c>
      <c r="UFJ1017" s="16" t="s">
        <v>4867</v>
      </c>
      <c r="UFK1017" s="16" t="s">
        <v>4867</v>
      </c>
      <c r="UFL1017" s="16" t="s">
        <v>4867</v>
      </c>
      <c r="UFM1017" s="16" t="s">
        <v>4867</v>
      </c>
      <c r="UFN1017" s="16" t="s">
        <v>4867</v>
      </c>
      <c r="UFO1017" s="16" t="s">
        <v>4867</v>
      </c>
      <c r="UFP1017" s="16" t="s">
        <v>4867</v>
      </c>
      <c r="UFQ1017" s="16" t="s">
        <v>4867</v>
      </c>
      <c r="UFR1017" s="16" t="s">
        <v>4867</v>
      </c>
      <c r="UFS1017" s="16" t="s">
        <v>4867</v>
      </c>
      <c r="UFT1017" s="16" t="s">
        <v>4867</v>
      </c>
      <c r="UFU1017" s="16" t="s">
        <v>4867</v>
      </c>
      <c r="UFV1017" s="16" t="s">
        <v>4867</v>
      </c>
      <c r="UFW1017" s="16" t="s">
        <v>4867</v>
      </c>
      <c r="UFX1017" s="16" t="s">
        <v>4867</v>
      </c>
      <c r="UFY1017" s="16" t="s">
        <v>4867</v>
      </c>
      <c r="UFZ1017" s="16" t="s">
        <v>4867</v>
      </c>
      <c r="UGA1017" s="16" t="s">
        <v>4867</v>
      </c>
      <c r="UGB1017" s="16" t="s">
        <v>4867</v>
      </c>
      <c r="UGC1017" s="16" t="s">
        <v>4867</v>
      </c>
      <c r="UGD1017" s="16" t="s">
        <v>4867</v>
      </c>
      <c r="UGE1017" s="16" t="s">
        <v>4867</v>
      </c>
      <c r="UGF1017" s="16" t="s">
        <v>4867</v>
      </c>
      <c r="UGG1017" s="16" t="s">
        <v>4867</v>
      </c>
      <c r="UGH1017" s="16" t="s">
        <v>4867</v>
      </c>
      <c r="UGI1017" s="16" t="s">
        <v>4867</v>
      </c>
      <c r="UGJ1017" s="16" t="s">
        <v>4867</v>
      </c>
      <c r="UGK1017" s="16" t="s">
        <v>4867</v>
      </c>
      <c r="UGL1017" s="16" t="s">
        <v>4867</v>
      </c>
      <c r="UGM1017" s="16" t="s">
        <v>4867</v>
      </c>
      <c r="UGN1017" s="16" t="s">
        <v>4867</v>
      </c>
      <c r="UGO1017" s="16" t="s">
        <v>4867</v>
      </c>
      <c r="UGP1017" s="16" t="s">
        <v>4867</v>
      </c>
      <c r="UGQ1017" s="16" t="s">
        <v>4867</v>
      </c>
      <c r="UGR1017" s="16" t="s">
        <v>4867</v>
      </c>
      <c r="UGS1017" s="16" t="s">
        <v>4867</v>
      </c>
      <c r="UGT1017" s="16" t="s">
        <v>4867</v>
      </c>
      <c r="UGU1017" s="16" t="s">
        <v>4867</v>
      </c>
      <c r="UGV1017" s="16" t="s">
        <v>4867</v>
      </c>
      <c r="UGW1017" s="16" t="s">
        <v>4867</v>
      </c>
      <c r="UGX1017" s="16" t="s">
        <v>4867</v>
      </c>
      <c r="UGY1017" s="16" t="s">
        <v>4867</v>
      </c>
      <c r="UGZ1017" s="16" t="s">
        <v>4867</v>
      </c>
      <c r="UHA1017" s="16" t="s">
        <v>4867</v>
      </c>
      <c r="UHB1017" s="16" t="s">
        <v>4867</v>
      </c>
      <c r="UHC1017" s="16" t="s">
        <v>4867</v>
      </c>
      <c r="UHD1017" s="16" t="s">
        <v>4867</v>
      </c>
      <c r="UHE1017" s="16" t="s">
        <v>4867</v>
      </c>
      <c r="UHF1017" s="16" t="s">
        <v>4867</v>
      </c>
      <c r="UHG1017" s="16" t="s">
        <v>4867</v>
      </c>
      <c r="UHH1017" s="16" t="s">
        <v>4867</v>
      </c>
      <c r="UHI1017" s="16" t="s">
        <v>4867</v>
      </c>
      <c r="UHJ1017" s="16" t="s">
        <v>4867</v>
      </c>
      <c r="UHK1017" s="16" t="s">
        <v>4867</v>
      </c>
      <c r="UHL1017" s="16" t="s">
        <v>4867</v>
      </c>
      <c r="UHM1017" s="16" t="s">
        <v>4867</v>
      </c>
      <c r="UHN1017" s="16" t="s">
        <v>4867</v>
      </c>
      <c r="UHO1017" s="16" t="s">
        <v>4867</v>
      </c>
      <c r="UHP1017" s="16" t="s">
        <v>4867</v>
      </c>
      <c r="UHQ1017" s="16" t="s">
        <v>4867</v>
      </c>
      <c r="UHR1017" s="16" t="s">
        <v>4867</v>
      </c>
      <c r="UHS1017" s="16" t="s">
        <v>4867</v>
      </c>
      <c r="UHT1017" s="16" t="s">
        <v>4867</v>
      </c>
      <c r="UHU1017" s="16" t="s">
        <v>4867</v>
      </c>
      <c r="UHV1017" s="16" t="s">
        <v>4867</v>
      </c>
      <c r="UHW1017" s="16" t="s">
        <v>4867</v>
      </c>
      <c r="UHX1017" s="16" t="s">
        <v>4867</v>
      </c>
      <c r="UHY1017" s="16" t="s">
        <v>4867</v>
      </c>
      <c r="UHZ1017" s="16" t="s">
        <v>4867</v>
      </c>
      <c r="UIA1017" s="16" t="s">
        <v>4867</v>
      </c>
      <c r="UIB1017" s="16" t="s">
        <v>4867</v>
      </c>
      <c r="UIC1017" s="16" t="s">
        <v>4867</v>
      </c>
      <c r="UID1017" s="16" t="s">
        <v>4867</v>
      </c>
      <c r="UIE1017" s="16" t="s">
        <v>4867</v>
      </c>
      <c r="UIF1017" s="16" t="s">
        <v>4867</v>
      </c>
      <c r="UIG1017" s="16" t="s">
        <v>4867</v>
      </c>
      <c r="UIH1017" s="16" t="s">
        <v>4867</v>
      </c>
      <c r="UII1017" s="16" t="s">
        <v>4867</v>
      </c>
      <c r="UIJ1017" s="16" t="s">
        <v>4867</v>
      </c>
      <c r="UIK1017" s="16" t="s">
        <v>4867</v>
      </c>
      <c r="UIL1017" s="16" t="s">
        <v>4867</v>
      </c>
      <c r="UIM1017" s="16" t="s">
        <v>4867</v>
      </c>
      <c r="UIN1017" s="16" t="s">
        <v>4867</v>
      </c>
      <c r="UIO1017" s="16" t="s">
        <v>4867</v>
      </c>
      <c r="UIP1017" s="16" t="s">
        <v>4867</v>
      </c>
      <c r="UIQ1017" s="16" t="s">
        <v>4867</v>
      </c>
      <c r="UIR1017" s="16" t="s">
        <v>4867</v>
      </c>
      <c r="UIS1017" s="16" t="s">
        <v>4867</v>
      </c>
      <c r="UIT1017" s="16" t="s">
        <v>4867</v>
      </c>
      <c r="UIU1017" s="16" t="s">
        <v>4867</v>
      </c>
      <c r="UIV1017" s="16" t="s">
        <v>4867</v>
      </c>
      <c r="UIW1017" s="16" t="s">
        <v>4867</v>
      </c>
      <c r="UIX1017" s="16" t="s">
        <v>4867</v>
      </c>
      <c r="UIY1017" s="16" t="s">
        <v>4867</v>
      </c>
      <c r="UIZ1017" s="16" t="s">
        <v>4867</v>
      </c>
      <c r="UJA1017" s="16" t="s">
        <v>4867</v>
      </c>
      <c r="UJB1017" s="16" t="s">
        <v>4867</v>
      </c>
      <c r="UJC1017" s="16" t="s">
        <v>4867</v>
      </c>
      <c r="UJD1017" s="16" t="s">
        <v>4867</v>
      </c>
      <c r="UJE1017" s="16" t="s">
        <v>4867</v>
      </c>
      <c r="UJF1017" s="16" t="s">
        <v>4867</v>
      </c>
      <c r="UJG1017" s="16" t="s">
        <v>4867</v>
      </c>
      <c r="UJH1017" s="16" t="s">
        <v>4867</v>
      </c>
      <c r="UJI1017" s="16" t="s">
        <v>4867</v>
      </c>
      <c r="UJJ1017" s="16" t="s">
        <v>4867</v>
      </c>
      <c r="UJK1017" s="16" t="s">
        <v>4867</v>
      </c>
      <c r="UJL1017" s="16" t="s">
        <v>4867</v>
      </c>
      <c r="UJM1017" s="16" t="s">
        <v>4867</v>
      </c>
      <c r="UJN1017" s="16" t="s">
        <v>4867</v>
      </c>
      <c r="UJO1017" s="16" t="s">
        <v>4867</v>
      </c>
      <c r="UJP1017" s="16" t="s">
        <v>4867</v>
      </c>
      <c r="UJQ1017" s="16" t="s">
        <v>4867</v>
      </c>
      <c r="UJR1017" s="16" t="s">
        <v>4867</v>
      </c>
      <c r="UJS1017" s="16" t="s">
        <v>4867</v>
      </c>
      <c r="UJT1017" s="16" t="s">
        <v>4867</v>
      </c>
      <c r="UJU1017" s="16" t="s">
        <v>4867</v>
      </c>
      <c r="UJV1017" s="16" t="s">
        <v>4867</v>
      </c>
      <c r="UJW1017" s="16" t="s">
        <v>4867</v>
      </c>
      <c r="UJX1017" s="16" t="s">
        <v>4867</v>
      </c>
      <c r="UJY1017" s="16" t="s">
        <v>4867</v>
      </c>
      <c r="UJZ1017" s="16" t="s">
        <v>4867</v>
      </c>
      <c r="UKA1017" s="16" t="s">
        <v>4867</v>
      </c>
      <c r="UKB1017" s="16" t="s">
        <v>4867</v>
      </c>
      <c r="UKC1017" s="16" t="s">
        <v>4867</v>
      </c>
      <c r="UKD1017" s="16" t="s">
        <v>4867</v>
      </c>
      <c r="UKE1017" s="16" t="s">
        <v>4867</v>
      </c>
      <c r="UKF1017" s="16" t="s">
        <v>4867</v>
      </c>
      <c r="UKG1017" s="16" t="s">
        <v>4867</v>
      </c>
      <c r="UKH1017" s="16" t="s">
        <v>4867</v>
      </c>
      <c r="UKI1017" s="16" t="s">
        <v>4867</v>
      </c>
      <c r="UKJ1017" s="16" t="s">
        <v>4867</v>
      </c>
      <c r="UKK1017" s="16" t="s">
        <v>4867</v>
      </c>
      <c r="UKL1017" s="16" t="s">
        <v>4867</v>
      </c>
      <c r="UKM1017" s="16" t="s">
        <v>4867</v>
      </c>
      <c r="UKN1017" s="16" t="s">
        <v>4867</v>
      </c>
      <c r="UKO1017" s="16" t="s">
        <v>4867</v>
      </c>
      <c r="UKP1017" s="16" t="s">
        <v>4867</v>
      </c>
      <c r="UKQ1017" s="16" t="s">
        <v>4867</v>
      </c>
      <c r="UKR1017" s="16" t="s">
        <v>4867</v>
      </c>
      <c r="UKS1017" s="16" t="s">
        <v>4867</v>
      </c>
      <c r="UKT1017" s="16" t="s">
        <v>4867</v>
      </c>
      <c r="UKU1017" s="16" t="s">
        <v>4867</v>
      </c>
      <c r="UKV1017" s="16" t="s">
        <v>4867</v>
      </c>
      <c r="UKW1017" s="16" t="s">
        <v>4867</v>
      </c>
      <c r="UKX1017" s="16" t="s">
        <v>4867</v>
      </c>
      <c r="UKY1017" s="16" t="s">
        <v>4867</v>
      </c>
      <c r="UKZ1017" s="16" t="s">
        <v>4867</v>
      </c>
      <c r="ULA1017" s="16" t="s">
        <v>4867</v>
      </c>
      <c r="ULB1017" s="16" t="s">
        <v>4867</v>
      </c>
      <c r="ULC1017" s="16" t="s">
        <v>4867</v>
      </c>
      <c r="ULD1017" s="16" t="s">
        <v>4867</v>
      </c>
      <c r="ULE1017" s="16" t="s">
        <v>4867</v>
      </c>
      <c r="ULF1017" s="16" t="s">
        <v>4867</v>
      </c>
      <c r="ULG1017" s="16" t="s">
        <v>4867</v>
      </c>
      <c r="ULH1017" s="16" t="s">
        <v>4867</v>
      </c>
      <c r="ULI1017" s="16" t="s">
        <v>4867</v>
      </c>
      <c r="ULJ1017" s="16" t="s">
        <v>4867</v>
      </c>
      <c r="ULK1017" s="16" t="s">
        <v>4867</v>
      </c>
      <c r="ULL1017" s="16" t="s">
        <v>4867</v>
      </c>
      <c r="ULM1017" s="16" t="s">
        <v>4867</v>
      </c>
      <c r="ULN1017" s="16" t="s">
        <v>4867</v>
      </c>
      <c r="ULO1017" s="16" t="s">
        <v>4867</v>
      </c>
      <c r="ULP1017" s="16" t="s">
        <v>4867</v>
      </c>
      <c r="ULQ1017" s="16" t="s">
        <v>4867</v>
      </c>
      <c r="ULR1017" s="16" t="s">
        <v>4867</v>
      </c>
      <c r="ULS1017" s="16" t="s">
        <v>4867</v>
      </c>
      <c r="ULT1017" s="16" t="s">
        <v>4867</v>
      </c>
      <c r="ULU1017" s="16" t="s">
        <v>4867</v>
      </c>
      <c r="ULV1017" s="16" t="s">
        <v>4867</v>
      </c>
      <c r="ULW1017" s="16" t="s">
        <v>4867</v>
      </c>
      <c r="ULX1017" s="16" t="s">
        <v>4867</v>
      </c>
      <c r="ULY1017" s="16" t="s">
        <v>4867</v>
      </c>
      <c r="ULZ1017" s="16" t="s">
        <v>4867</v>
      </c>
      <c r="UMA1017" s="16" t="s">
        <v>4867</v>
      </c>
      <c r="UMB1017" s="16" t="s">
        <v>4867</v>
      </c>
      <c r="UMC1017" s="16" t="s">
        <v>4867</v>
      </c>
      <c r="UMD1017" s="16" t="s">
        <v>4867</v>
      </c>
      <c r="UME1017" s="16" t="s">
        <v>4867</v>
      </c>
      <c r="UMF1017" s="16" t="s">
        <v>4867</v>
      </c>
      <c r="UMG1017" s="16" t="s">
        <v>4867</v>
      </c>
      <c r="UMH1017" s="16" t="s">
        <v>4867</v>
      </c>
      <c r="UMI1017" s="16" t="s">
        <v>4867</v>
      </c>
      <c r="UMJ1017" s="16" t="s">
        <v>4867</v>
      </c>
      <c r="UMK1017" s="16" t="s">
        <v>4867</v>
      </c>
      <c r="UML1017" s="16" t="s">
        <v>4867</v>
      </c>
      <c r="UMM1017" s="16" t="s">
        <v>4867</v>
      </c>
      <c r="UMN1017" s="16" t="s">
        <v>4867</v>
      </c>
      <c r="UMO1017" s="16" t="s">
        <v>4867</v>
      </c>
      <c r="UMP1017" s="16" t="s">
        <v>4867</v>
      </c>
      <c r="UMQ1017" s="16" t="s">
        <v>4867</v>
      </c>
      <c r="UMR1017" s="16" t="s">
        <v>4867</v>
      </c>
      <c r="UMS1017" s="16" t="s">
        <v>4867</v>
      </c>
      <c r="UMT1017" s="16" t="s">
        <v>4867</v>
      </c>
      <c r="UMU1017" s="16" t="s">
        <v>4867</v>
      </c>
      <c r="UMV1017" s="16" t="s">
        <v>4867</v>
      </c>
      <c r="UMW1017" s="16" t="s">
        <v>4867</v>
      </c>
      <c r="UMX1017" s="16" t="s">
        <v>4867</v>
      </c>
      <c r="UMY1017" s="16" t="s">
        <v>4867</v>
      </c>
      <c r="UMZ1017" s="16" t="s">
        <v>4867</v>
      </c>
      <c r="UNA1017" s="16" t="s">
        <v>4867</v>
      </c>
      <c r="UNB1017" s="16" t="s">
        <v>4867</v>
      </c>
      <c r="UNC1017" s="16" t="s">
        <v>4867</v>
      </c>
      <c r="UND1017" s="16" t="s">
        <v>4867</v>
      </c>
      <c r="UNE1017" s="16" t="s">
        <v>4867</v>
      </c>
      <c r="UNF1017" s="16" t="s">
        <v>4867</v>
      </c>
      <c r="UNG1017" s="16" t="s">
        <v>4867</v>
      </c>
      <c r="UNH1017" s="16" t="s">
        <v>4867</v>
      </c>
      <c r="UNI1017" s="16" t="s">
        <v>4867</v>
      </c>
      <c r="UNJ1017" s="16" t="s">
        <v>4867</v>
      </c>
      <c r="UNK1017" s="16" t="s">
        <v>4867</v>
      </c>
      <c r="UNL1017" s="16" t="s">
        <v>4867</v>
      </c>
      <c r="UNM1017" s="16" t="s">
        <v>4867</v>
      </c>
      <c r="UNN1017" s="16" t="s">
        <v>4867</v>
      </c>
      <c r="UNO1017" s="16" t="s">
        <v>4867</v>
      </c>
      <c r="UNP1017" s="16" t="s">
        <v>4867</v>
      </c>
      <c r="UNQ1017" s="16" t="s">
        <v>4867</v>
      </c>
      <c r="UNR1017" s="16" t="s">
        <v>4867</v>
      </c>
      <c r="UNS1017" s="16" t="s">
        <v>4867</v>
      </c>
      <c r="UNT1017" s="16" t="s">
        <v>4867</v>
      </c>
      <c r="UNU1017" s="16" t="s">
        <v>4867</v>
      </c>
      <c r="UNV1017" s="16" t="s">
        <v>4867</v>
      </c>
      <c r="UNW1017" s="16" t="s">
        <v>4867</v>
      </c>
      <c r="UNX1017" s="16" t="s">
        <v>4867</v>
      </c>
      <c r="UNY1017" s="16" t="s">
        <v>4867</v>
      </c>
      <c r="UNZ1017" s="16" t="s">
        <v>4867</v>
      </c>
      <c r="UOA1017" s="16" t="s">
        <v>4867</v>
      </c>
      <c r="UOB1017" s="16" t="s">
        <v>4867</v>
      </c>
      <c r="UOC1017" s="16" t="s">
        <v>4867</v>
      </c>
      <c r="UOD1017" s="16" t="s">
        <v>4867</v>
      </c>
      <c r="UOE1017" s="16" t="s">
        <v>4867</v>
      </c>
      <c r="UOF1017" s="16" t="s">
        <v>4867</v>
      </c>
      <c r="UOG1017" s="16" t="s">
        <v>4867</v>
      </c>
      <c r="UOH1017" s="16" t="s">
        <v>4867</v>
      </c>
      <c r="UOI1017" s="16" t="s">
        <v>4867</v>
      </c>
      <c r="UOJ1017" s="16" t="s">
        <v>4867</v>
      </c>
      <c r="UOK1017" s="16" t="s">
        <v>4867</v>
      </c>
      <c r="UOL1017" s="16" t="s">
        <v>4867</v>
      </c>
      <c r="UOM1017" s="16" t="s">
        <v>4867</v>
      </c>
      <c r="UON1017" s="16" t="s">
        <v>4867</v>
      </c>
      <c r="UOO1017" s="16" t="s">
        <v>4867</v>
      </c>
      <c r="UOP1017" s="16" t="s">
        <v>4867</v>
      </c>
      <c r="UOQ1017" s="16" t="s">
        <v>4867</v>
      </c>
      <c r="UOR1017" s="16" t="s">
        <v>4867</v>
      </c>
      <c r="UOS1017" s="16" t="s">
        <v>4867</v>
      </c>
      <c r="UOT1017" s="16" t="s">
        <v>4867</v>
      </c>
      <c r="UOU1017" s="16" t="s">
        <v>4867</v>
      </c>
      <c r="UOV1017" s="16" t="s">
        <v>4867</v>
      </c>
      <c r="UOW1017" s="16" t="s">
        <v>4867</v>
      </c>
      <c r="UOX1017" s="16" t="s">
        <v>4867</v>
      </c>
      <c r="UOY1017" s="16" t="s">
        <v>4867</v>
      </c>
      <c r="UOZ1017" s="16" t="s">
        <v>4867</v>
      </c>
      <c r="UPA1017" s="16" t="s">
        <v>4867</v>
      </c>
      <c r="UPB1017" s="16" t="s">
        <v>4867</v>
      </c>
      <c r="UPC1017" s="16" t="s">
        <v>4867</v>
      </c>
      <c r="UPD1017" s="16" t="s">
        <v>4867</v>
      </c>
      <c r="UPE1017" s="16" t="s">
        <v>4867</v>
      </c>
      <c r="UPF1017" s="16" t="s">
        <v>4867</v>
      </c>
      <c r="UPG1017" s="16" t="s">
        <v>4867</v>
      </c>
      <c r="UPH1017" s="16" t="s">
        <v>4867</v>
      </c>
      <c r="UPI1017" s="16" t="s">
        <v>4867</v>
      </c>
      <c r="UPJ1017" s="16" t="s">
        <v>4867</v>
      </c>
      <c r="UPK1017" s="16" t="s">
        <v>4867</v>
      </c>
      <c r="UPL1017" s="16" t="s">
        <v>4867</v>
      </c>
      <c r="UPM1017" s="16" t="s">
        <v>4867</v>
      </c>
      <c r="UPN1017" s="16" t="s">
        <v>4867</v>
      </c>
      <c r="UPO1017" s="16" t="s">
        <v>4867</v>
      </c>
      <c r="UPP1017" s="16" t="s">
        <v>4867</v>
      </c>
      <c r="UPQ1017" s="16" t="s">
        <v>4867</v>
      </c>
      <c r="UPR1017" s="16" t="s">
        <v>4867</v>
      </c>
      <c r="UPS1017" s="16" t="s">
        <v>4867</v>
      </c>
      <c r="UPT1017" s="16" t="s">
        <v>4867</v>
      </c>
      <c r="UPU1017" s="16" t="s">
        <v>4867</v>
      </c>
      <c r="UPV1017" s="16" t="s">
        <v>4867</v>
      </c>
      <c r="UPW1017" s="16" t="s">
        <v>4867</v>
      </c>
      <c r="UPX1017" s="16" t="s">
        <v>4867</v>
      </c>
      <c r="UPY1017" s="16" t="s">
        <v>4867</v>
      </c>
      <c r="UPZ1017" s="16" t="s">
        <v>4867</v>
      </c>
      <c r="UQA1017" s="16" t="s">
        <v>4867</v>
      </c>
      <c r="UQB1017" s="16" t="s">
        <v>4867</v>
      </c>
      <c r="UQC1017" s="16" t="s">
        <v>4867</v>
      </c>
      <c r="UQD1017" s="16" t="s">
        <v>4867</v>
      </c>
      <c r="UQE1017" s="16" t="s">
        <v>4867</v>
      </c>
      <c r="UQF1017" s="16" t="s">
        <v>4867</v>
      </c>
      <c r="UQG1017" s="16" t="s">
        <v>4867</v>
      </c>
      <c r="UQH1017" s="16" t="s">
        <v>4867</v>
      </c>
      <c r="UQI1017" s="16" t="s">
        <v>4867</v>
      </c>
      <c r="UQJ1017" s="16" t="s">
        <v>4867</v>
      </c>
      <c r="UQK1017" s="16" t="s">
        <v>4867</v>
      </c>
      <c r="UQL1017" s="16" t="s">
        <v>4867</v>
      </c>
      <c r="UQM1017" s="16" t="s">
        <v>4867</v>
      </c>
      <c r="UQN1017" s="16" t="s">
        <v>4867</v>
      </c>
      <c r="UQO1017" s="16" t="s">
        <v>4867</v>
      </c>
      <c r="UQP1017" s="16" t="s">
        <v>4867</v>
      </c>
      <c r="UQQ1017" s="16" t="s">
        <v>4867</v>
      </c>
      <c r="UQR1017" s="16" t="s">
        <v>4867</v>
      </c>
      <c r="UQS1017" s="16" t="s">
        <v>4867</v>
      </c>
      <c r="UQT1017" s="16" t="s">
        <v>4867</v>
      </c>
      <c r="UQU1017" s="16" t="s">
        <v>4867</v>
      </c>
      <c r="UQV1017" s="16" t="s">
        <v>4867</v>
      </c>
      <c r="UQW1017" s="16" t="s">
        <v>4867</v>
      </c>
      <c r="UQX1017" s="16" t="s">
        <v>4867</v>
      </c>
      <c r="UQY1017" s="16" t="s">
        <v>4867</v>
      </c>
      <c r="UQZ1017" s="16" t="s">
        <v>4867</v>
      </c>
      <c r="URA1017" s="16" t="s">
        <v>4867</v>
      </c>
      <c r="URB1017" s="16" t="s">
        <v>4867</v>
      </c>
      <c r="URC1017" s="16" t="s">
        <v>4867</v>
      </c>
      <c r="URD1017" s="16" t="s">
        <v>4867</v>
      </c>
      <c r="URE1017" s="16" t="s">
        <v>4867</v>
      </c>
      <c r="URF1017" s="16" t="s">
        <v>4867</v>
      </c>
      <c r="URG1017" s="16" t="s">
        <v>4867</v>
      </c>
      <c r="URH1017" s="16" t="s">
        <v>4867</v>
      </c>
      <c r="URI1017" s="16" t="s">
        <v>4867</v>
      </c>
      <c r="URJ1017" s="16" t="s">
        <v>4867</v>
      </c>
      <c r="URK1017" s="16" t="s">
        <v>4867</v>
      </c>
      <c r="URL1017" s="16" t="s">
        <v>4867</v>
      </c>
      <c r="URM1017" s="16" t="s">
        <v>4867</v>
      </c>
      <c r="URN1017" s="16" t="s">
        <v>4867</v>
      </c>
      <c r="URO1017" s="16" t="s">
        <v>4867</v>
      </c>
      <c r="URP1017" s="16" t="s">
        <v>4867</v>
      </c>
      <c r="URQ1017" s="16" t="s">
        <v>4867</v>
      </c>
      <c r="URR1017" s="16" t="s">
        <v>4867</v>
      </c>
      <c r="URS1017" s="16" t="s">
        <v>4867</v>
      </c>
      <c r="URT1017" s="16" t="s">
        <v>4867</v>
      </c>
      <c r="URU1017" s="16" t="s">
        <v>4867</v>
      </c>
      <c r="URV1017" s="16" t="s">
        <v>4867</v>
      </c>
      <c r="URW1017" s="16" t="s">
        <v>4867</v>
      </c>
      <c r="URX1017" s="16" t="s">
        <v>4867</v>
      </c>
      <c r="URY1017" s="16" t="s">
        <v>4867</v>
      </c>
      <c r="URZ1017" s="16" t="s">
        <v>4867</v>
      </c>
      <c r="USA1017" s="16" t="s">
        <v>4867</v>
      </c>
      <c r="USB1017" s="16" t="s">
        <v>4867</v>
      </c>
      <c r="USC1017" s="16" t="s">
        <v>4867</v>
      </c>
      <c r="USD1017" s="16" t="s">
        <v>4867</v>
      </c>
      <c r="USE1017" s="16" t="s">
        <v>4867</v>
      </c>
      <c r="USF1017" s="16" t="s">
        <v>4867</v>
      </c>
      <c r="USG1017" s="16" t="s">
        <v>4867</v>
      </c>
      <c r="USH1017" s="16" t="s">
        <v>4867</v>
      </c>
      <c r="USI1017" s="16" t="s">
        <v>4867</v>
      </c>
      <c r="USJ1017" s="16" t="s">
        <v>4867</v>
      </c>
      <c r="USK1017" s="16" t="s">
        <v>4867</v>
      </c>
      <c r="USL1017" s="16" t="s">
        <v>4867</v>
      </c>
      <c r="USM1017" s="16" t="s">
        <v>4867</v>
      </c>
      <c r="USN1017" s="16" t="s">
        <v>4867</v>
      </c>
      <c r="USO1017" s="16" t="s">
        <v>4867</v>
      </c>
      <c r="USP1017" s="16" t="s">
        <v>4867</v>
      </c>
      <c r="USQ1017" s="16" t="s">
        <v>4867</v>
      </c>
      <c r="USR1017" s="16" t="s">
        <v>4867</v>
      </c>
      <c r="USS1017" s="16" t="s">
        <v>4867</v>
      </c>
      <c r="UST1017" s="16" t="s">
        <v>4867</v>
      </c>
      <c r="USU1017" s="16" t="s">
        <v>4867</v>
      </c>
      <c r="USV1017" s="16" t="s">
        <v>4867</v>
      </c>
      <c r="USW1017" s="16" t="s">
        <v>4867</v>
      </c>
      <c r="USX1017" s="16" t="s">
        <v>4867</v>
      </c>
      <c r="USY1017" s="16" t="s">
        <v>4867</v>
      </c>
      <c r="USZ1017" s="16" t="s">
        <v>4867</v>
      </c>
      <c r="UTA1017" s="16" t="s">
        <v>4867</v>
      </c>
      <c r="UTB1017" s="16" t="s">
        <v>4867</v>
      </c>
      <c r="UTC1017" s="16" t="s">
        <v>4867</v>
      </c>
      <c r="UTD1017" s="16" t="s">
        <v>4867</v>
      </c>
      <c r="UTE1017" s="16" t="s">
        <v>4867</v>
      </c>
      <c r="UTF1017" s="16" t="s">
        <v>4867</v>
      </c>
      <c r="UTG1017" s="16" t="s">
        <v>4867</v>
      </c>
      <c r="UTH1017" s="16" t="s">
        <v>4867</v>
      </c>
      <c r="UTI1017" s="16" t="s">
        <v>4867</v>
      </c>
      <c r="UTJ1017" s="16" t="s">
        <v>4867</v>
      </c>
      <c r="UTK1017" s="16" t="s">
        <v>4867</v>
      </c>
      <c r="UTL1017" s="16" t="s">
        <v>4867</v>
      </c>
      <c r="UTM1017" s="16" t="s">
        <v>4867</v>
      </c>
      <c r="UTN1017" s="16" t="s">
        <v>4867</v>
      </c>
      <c r="UTO1017" s="16" t="s">
        <v>4867</v>
      </c>
      <c r="UTP1017" s="16" t="s">
        <v>4867</v>
      </c>
      <c r="UTQ1017" s="16" t="s">
        <v>4867</v>
      </c>
      <c r="UTR1017" s="16" t="s">
        <v>4867</v>
      </c>
      <c r="UTS1017" s="16" t="s">
        <v>4867</v>
      </c>
      <c r="UTT1017" s="16" t="s">
        <v>4867</v>
      </c>
      <c r="UTU1017" s="16" t="s">
        <v>4867</v>
      </c>
      <c r="UTV1017" s="16" t="s">
        <v>4867</v>
      </c>
      <c r="UTW1017" s="16" t="s">
        <v>4867</v>
      </c>
      <c r="UTX1017" s="16" t="s">
        <v>4867</v>
      </c>
      <c r="UTY1017" s="16" t="s">
        <v>4867</v>
      </c>
      <c r="UTZ1017" s="16" t="s">
        <v>4867</v>
      </c>
      <c r="UUA1017" s="16" t="s">
        <v>4867</v>
      </c>
      <c r="UUB1017" s="16" t="s">
        <v>4867</v>
      </c>
      <c r="UUC1017" s="16" t="s">
        <v>4867</v>
      </c>
      <c r="UUD1017" s="16" t="s">
        <v>4867</v>
      </c>
      <c r="UUE1017" s="16" t="s">
        <v>4867</v>
      </c>
      <c r="UUF1017" s="16" t="s">
        <v>4867</v>
      </c>
      <c r="UUG1017" s="16" t="s">
        <v>4867</v>
      </c>
      <c r="UUH1017" s="16" t="s">
        <v>4867</v>
      </c>
      <c r="UUI1017" s="16" t="s">
        <v>4867</v>
      </c>
      <c r="UUJ1017" s="16" t="s">
        <v>4867</v>
      </c>
      <c r="UUK1017" s="16" t="s">
        <v>4867</v>
      </c>
      <c r="UUL1017" s="16" t="s">
        <v>4867</v>
      </c>
      <c r="UUM1017" s="16" t="s">
        <v>4867</v>
      </c>
      <c r="UUN1017" s="16" t="s">
        <v>4867</v>
      </c>
      <c r="UUO1017" s="16" t="s">
        <v>4867</v>
      </c>
      <c r="UUP1017" s="16" t="s">
        <v>4867</v>
      </c>
      <c r="UUQ1017" s="16" t="s">
        <v>4867</v>
      </c>
      <c r="UUR1017" s="16" t="s">
        <v>4867</v>
      </c>
      <c r="UUS1017" s="16" t="s">
        <v>4867</v>
      </c>
      <c r="UUT1017" s="16" t="s">
        <v>4867</v>
      </c>
      <c r="UUU1017" s="16" t="s">
        <v>4867</v>
      </c>
      <c r="UUV1017" s="16" t="s">
        <v>4867</v>
      </c>
      <c r="UUW1017" s="16" t="s">
        <v>4867</v>
      </c>
      <c r="UUX1017" s="16" t="s">
        <v>4867</v>
      </c>
      <c r="UUY1017" s="16" t="s">
        <v>4867</v>
      </c>
      <c r="UUZ1017" s="16" t="s">
        <v>4867</v>
      </c>
      <c r="UVA1017" s="16" t="s">
        <v>4867</v>
      </c>
      <c r="UVB1017" s="16" t="s">
        <v>4867</v>
      </c>
      <c r="UVC1017" s="16" t="s">
        <v>4867</v>
      </c>
      <c r="UVD1017" s="16" t="s">
        <v>4867</v>
      </c>
      <c r="UVE1017" s="16" t="s">
        <v>4867</v>
      </c>
      <c r="UVF1017" s="16" t="s">
        <v>4867</v>
      </c>
      <c r="UVG1017" s="16" t="s">
        <v>4867</v>
      </c>
      <c r="UVH1017" s="16" t="s">
        <v>4867</v>
      </c>
      <c r="UVI1017" s="16" t="s">
        <v>4867</v>
      </c>
      <c r="UVJ1017" s="16" t="s">
        <v>4867</v>
      </c>
      <c r="UVK1017" s="16" t="s">
        <v>4867</v>
      </c>
      <c r="UVL1017" s="16" t="s">
        <v>4867</v>
      </c>
      <c r="UVM1017" s="16" t="s">
        <v>4867</v>
      </c>
      <c r="UVN1017" s="16" t="s">
        <v>4867</v>
      </c>
      <c r="UVO1017" s="16" t="s">
        <v>4867</v>
      </c>
      <c r="UVP1017" s="16" t="s">
        <v>4867</v>
      </c>
      <c r="UVQ1017" s="16" t="s">
        <v>4867</v>
      </c>
      <c r="UVR1017" s="16" t="s">
        <v>4867</v>
      </c>
      <c r="UVS1017" s="16" t="s">
        <v>4867</v>
      </c>
      <c r="UVT1017" s="16" t="s">
        <v>4867</v>
      </c>
      <c r="UVU1017" s="16" t="s">
        <v>4867</v>
      </c>
      <c r="UVV1017" s="16" t="s">
        <v>4867</v>
      </c>
      <c r="UVW1017" s="16" t="s">
        <v>4867</v>
      </c>
      <c r="UVX1017" s="16" t="s">
        <v>4867</v>
      </c>
      <c r="UVY1017" s="16" t="s">
        <v>4867</v>
      </c>
      <c r="UVZ1017" s="16" t="s">
        <v>4867</v>
      </c>
      <c r="UWA1017" s="16" t="s">
        <v>4867</v>
      </c>
      <c r="UWB1017" s="16" t="s">
        <v>4867</v>
      </c>
      <c r="UWC1017" s="16" t="s">
        <v>4867</v>
      </c>
      <c r="UWD1017" s="16" t="s">
        <v>4867</v>
      </c>
      <c r="UWE1017" s="16" t="s">
        <v>4867</v>
      </c>
      <c r="UWF1017" s="16" t="s">
        <v>4867</v>
      </c>
      <c r="UWG1017" s="16" t="s">
        <v>4867</v>
      </c>
      <c r="UWH1017" s="16" t="s">
        <v>4867</v>
      </c>
      <c r="UWI1017" s="16" t="s">
        <v>4867</v>
      </c>
      <c r="UWJ1017" s="16" t="s">
        <v>4867</v>
      </c>
      <c r="UWK1017" s="16" t="s">
        <v>4867</v>
      </c>
      <c r="UWL1017" s="16" t="s">
        <v>4867</v>
      </c>
      <c r="UWM1017" s="16" t="s">
        <v>4867</v>
      </c>
      <c r="UWN1017" s="16" t="s">
        <v>4867</v>
      </c>
      <c r="UWO1017" s="16" t="s">
        <v>4867</v>
      </c>
      <c r="UWP1017" s="16" t="s">
        <v>4867</v>
      </c>
      <c r="UWQ1017" s="16" t="s">
        <v>4867</v>
      </c>
      <c r="UWR1017" s="16" t="s">
        <v>4867</v>
      </c>
      <c r="UWS1017" s="16" t="s">
        <v>4867</v>
      </c>
      <c r="UWT1017" s="16" t="s">
        <v>4867</v>
      </c>
      <c r="UWU1017" s="16" t="s">
        <v>4867</v>
      </c>
      <c r="UWV1017" s="16" t="s">
        <v>4867</v>
      </c>
      <c r="UWW1017" s="16" t="s">
        <v>4867</v>
      </c>
      <c r="UWX1017" s="16" t="s">
        <v>4867</v>
      </c>
      <c r="UWY1017" s="16" t="s">
        <v>4867</v>
      </c>
      <c r="UWZ1017" s="16" t="s">
        <v>4867</v>
      </c>
      <c r="UXA1017" s="16" t="s">
        <v>4867</v>
      </c>
      <c r="UXB1017" s="16" t="s">
        <v>4867</v>
      </c>
      <c r="UXC1017" s="16" t="s">
        <v>4867</v>
      </c>
      <c r="UXD1017" s="16" t="s">
        <v>4867</v>
      </c>
      <c r="UXE1017" s="16" t="s">
        <v>4867</v>
      </c>
      <c r="UXF1017" s="16" t="s">
        <v>4867</v>
      </c>
      <c r="UXG1017" s="16" t="s">
        <v>4867</v>
      </c>
      <c r="UXH1017" s="16" t="s">
        <v>4867</v>
      </c>
      <c r="UXI1017" s="16" t="s">
        <v>4867</v>
      </c>
      <c r="UXJ1017" s="16" t="s">
        <v>4867</v>
      </c>
      <c r="UXK1017" s="16" t="s">
        <v>4867</v>
      </c>
      <c r="UXL1017" s="16" t="s">
        <v>4867</v>
      </c>
      <c r="UXM1017" s="16" t="s">
        <v>4867</v>
      </c>
      <c r="UXN1017" s="16" t="s">
        <v>4867</v>
      </c>
      <c r="UXO1017" s="16" t="s">
        <v>4867</v>
      </c>
      <c r="UXP1017" s="16" t="s">
        <v>4867</v>
      </c>
      <c r="UXQ1017" s="16" t="s">
        <v>4867</v>
      </c>
      <c r="UXR1017" s="16" t="s">
        <v>4867</v>
      </c>
      <c r="UXS1017" s="16" t="s">
        <v>4867</v>
      </c>
      <c r="UXT1017" s="16" t="s">
        <v>4867</v>
      </c>
      <c r="UXU1017" s="16" t="s">
        <v>4867</v>
      </c>
      <c r="UXV1017" s="16" t="s">
        <v>4867</v>
      </c>
      <c r="UXW1017" s="16" t="s">
        <v>4867</v>
      </c>
      <c r="UXX1017" s="16" t="s">
        <v>4867</v>
      </c>
      <c r="UXY1017" s="16" t="s">
        <v>4867</v>
      </c>
      <c r="UXZ1017" s="16" t="s">
        <v>4867</v>
      </c>
      <c r="UYA1017" s="16" t="s">
        <v>4867</v>
      </c>
      <c r="UYB1017" s="16" t="s">
        <v>4867</v>
      </c>
      <c r="UYC1017" s="16" t="s">
        <v>4867</v>
      </c>
      <c r="UYD1017" s="16" t="s">
        <v>4867</v>
      </c>
      <c r="UYE1017" s="16" t="s">
        <v>4867</v>
      </c>
      <c r="UYF1017" s="16" t="s">
        <v>4867</v>
      </c>
      <c r="UYG1017" s="16" t="s">
        <v>4867</v>
      </c>
      <c r="UYH1017" s="16" t="s">
        <v>4867</v>
      </c>
      <c r="UYI1017" s="16" t="s">
        <v>4867</v>
      </c>
      <c r="UYJ1017" s="16" t="s">
        <v>4867</v>
      </c>
      <c r="UYK1017" s="16" t="s">
        <v>4867</v>
      </c>
      <c r="UYL1017" s="16" t="s">
        <v>4867</v>
      </c>
      <c r="UYM1017" s="16" t="s">
        <v>4867</v>
      </c>
      <c r="UYN1017" s="16" t="s">
        <v>4867</v>
      </c>
      <c r="UYO1017" s="16" t="s">
        <v>4867</v>
      </c>
      <c r="UYP1017" s="16" t="s">
        <v>4867</v>
      </c>
      <c r="UYQ1017" s="16" t="s">
        <v>4867</v>
      </c>
      <c r="UYR1017" s="16" t="s">
        <v>4867</v>
      </c>
      <c r="UYS1017" s="16" t="s">
        <v>4867</v>
      </c>
      <c r="UYT1017" s="16" t="s">
        <v>4867</v>
      </c>
      <c r="UYU1017" s="16" t="s">
        <v>4867</v>
      </c>
      <c r="UYV1017" s="16" t="s">
        <v>4867</v>
      </c>
      <c r="UYW1017" s="16" t="s">
        <v>4867</v>
      </c>
      <c r="UYX1017" s="16" t="s">
        <v>4867</v>
      </c>
      <c r="UYY1017" s="16" t="s">
        <v>4867</v>
      </c>
      <c r="UYZ1017" s="16" t="s">
        <v>4867</v>
      </c>
      <c r="UZA1017" s="16" t="s">
        <v>4867</v>
      </c>
      <c r="UZB1017" s="16" t="s">
        <v>4867</v>
      </c>
      <c r="UZC1017" s="16" t="s">
        <v>4867</v>
      </c>
      <c r="UZD1017" s="16" t="s">
        <v>4867</v>
      </c>
      <c r="UZE1017" s="16" t="s">
        <v>4867</v>
      </c>
      <c r="UZF1017" s="16" t="s">
        <v>4867</v>
      </c>
      <c r="UZG1017" s="16" t="s">
        <v>4867</v>
      </c>
      <c r="UZH1017" s="16" t="s">
        <v>4867</v>
      </c>
      <c r="UZI1017" s="16" t="s">
        <v>4867</v>
      </c>
      <c r="UZJ1017" s="16" t="s">
        <v>4867</v>
      </c>
      <c r="UZK1017" s="16" t="s">
        <v>4867</v>
      </c>
      <c r="UZL1017" s="16" t="s">
        <v>4867</v>
      </c>
      <c r="UZM1017" s="16" t="s">
        <v>4867</v>
      </c>
      <c r="UZN1017" s="16" t="s">
        <v>4867</v>
      </c>
      <c r="UZO1017" s="16" t="s">
        <v>4867</v>
      </c>
      <c r="UZP1017" s="16" t="s">
        <v>4867</v>
      </c>
      <c r="UZQ1017" s="16" t="s">
        <v>4867</v>
      </c>
      <c r="UZR1017" s="16" t="s">
        <v>4867</v>
      </c>
      <c r="UZS1017" s="16" t="s">
        <v>4867</v>
      </c>
      <c r="UZT1017" s="16" t="s">
        <v>4867</v>
      </c>
      <c r="UZU1017" s="16" t="s">
        <v>4867</v>
      </c>
      <c r="UZV1017" s="16" t="s">
        <v>4867</v>
      </c>
      <c r="UZW1017" s="16" t="s">
        <v>4867</v>
      </c>
      <c r="UZX1017" s="16" t="s">
        <v>4867</v>
      </c>
      <c r="UZY1017" s="16" t="s">
        <v>4867</v>
      </c>
      <c r="UZZ1017" s="16" t="s">
        <v>4867</v>
      </c>
      <c r="VAA1017" s="16" t="s">
        <v>4867</v>
      </c>
      <c r="VAB1017" s="16" t="s">
        <v>4867</v>
      </c>
      <c r="VAC1017" s="16" t="s">
        <v>4867</v>
      </c>
      <c r="VAD1017" s="16" t="s">
        <v>4867</v>
      </c>
      <c r="VAE1017" s="16" t="s">
        <v>4867</v>
      </c>
      <c r="VAF1017" s="16" t="s">
        <v>4867</v>
      </c>
      <c r="VAG1017" s="16" t="s">
        <v>4867</v>
      </c>
      <c r="VAH1017" s="16" t="s">
        <v>4867</v>
      </c>
      <c r="VAI1017" s="16" t="s">
        <v>4867</v>
      </c>
      <c r="VAJ1017" s="16" t="s">
        <v>4867</v>
      </c>
      <c r="VAK1017" s="16" t="s">
        <v>4867</v>
      </c>
      <c r="VAL1017" s="16" t="s">
        <v>4867</v>
      </c>
      <c r="VAM1017" s="16" t="s">
        <v>4867</v>
      </c>
      <c r="VAN1017" s="16" t="s">
        <v>4867</v>
      </c>
      <c r="VAO1017" s="16" t="s">
        <v>4867</v>
      </c>
      <c r="VAP1017" s="16" t="s">
        <v>4867</v>
      </c>
      <c r="VAQ1017" s="16" t="s">
        <v>4867</v>
      </c>
      <c r="VAR1017" s="16" t="s">
        <v>4867</v>
      </c>
      <c r="VAS1017" s="16" t="s">
        <v>4867</v>
      </c>
      <c r="VAT1017" s="16" t="s">
        <v>4867</v>
      </c>
      <c r="VAU1017" s="16" t="s">
        <v>4867</v>
      </c>
      <c r="VAV1017" s="16" t="s">
        <v>4867</v>
      </c>
      <c r="VAW1017" s="16" t="s">
        <v>4867</v>
      </c>
      <c r="VAX1017" s="16" t="s">
        <v>4867</v>
      </c>
      <c r="VAY1017" s="16" t="s">
        <v>4867</v>
      </c>
      <c r="VAZ1017" s="16" t="s">
        <v>4867</v>
      </c>
      <c r="VBA1017" s="16" t="s">
        <v>4867</v>
      </c>
      <c r="VBB1017" s="16" t="s">
        <v>4867</v>
      </c>
      <c r="VBC1017" s="16" t="s">
        <v>4867</v>
      </c>
      <c r="VBD1017" s="16" t="s">
        <v>4867</v>
      </c>
      <c r="VBE1017" s="16" t="s">
        <v>4867</v>
      </c>
      <c r="VBF1017" s="16" t="s">
        <v>4867</v>
      </c>
      <c r="VBG1017" s="16" t="s">
        <v>4867</v>
      </c>
      <c r="VBH1017" s="16" t="s">
        <v>4867</v>
      </c>
      <c r="VBI1017" s="16" t="s">
        <v>4867</v>
      </c>
      <c r="VBJ1017" s="16" t="s">
        <v>4867</v>
      </c>
      <c r="VBK1017" s="16" t="s">
        <v>4867</v>
      </c>
      <c r="VBL1017" s="16" t="s">
        <v>4867</v>
      </c>
      <c r="VBM1017" s="16" t="s">
        <v>4867</v>
      </c>
      <c r="VBN1017" s="16" t="s">
        <v>4867</v>
      </c>
      <c r="VBO1017" s="16" t="s">
        <v>4867</v>
      </c>
      <c r="VBP1017" s="16" t="s">
        <v>4867</v>
      </c>
      <c r="VBQ1017" s="16" t="s">
        <v>4867</v>
      </c>
      <c r="VBR1017" s="16" t="s">
        <v>4867</v>
      </c>
      <c r="VBS1017" s="16" t="s">
        <v>4867</v>
      </c>
      <c r="VBT1017" s="16" t="s">
        <v>4867</v>
      </c>
      <c r="VBU1017" s="16" t="s">
        <v>4867</v>
      </c>
      <c r="VBV1017" s="16" t="s">
        <v>4867</v>
      </c>
      <c r="VBW1017" s="16" t="s">
        <v>4867</v>
      </c>
      <c r="VBX1017" s="16" t="s">
        <v>4867</v>
      </c>
      <c r="VBY1017" s="16" t="s">
        <v>4867</v>
      </c>
      <c r="VBZ1017" s="16" t="s">
        <v>4867</v>
      </c>
      <c r="VCA1017" s="16" t="s">
        <v>4867</v>
      </c>
      <c r="VCB1017" s="16" t="s">
        <v>4867</v>
      </c>
      <c r="VCC1017" s="16" t="s">
        <v>4867</v>
      </c>
      <c r="VCD1017" s="16" t="s">
        <v>4867</v>
      </c>
      <c r="VCE1017" s="16" t="s">
        <v>4867</v>
      </c>
      <c r="VCF1017" s="16" t="s">
        <v>4867</v>
      </c>
      <c r="VCG1017" s="16" t="s">
        <v>4867</v>
      </c>
      <c r="VCH1017" s="16" t="s">
        <v>4867</v>
      </c>
      <c r="VCI1017" s="16" t="s">
        <v>4867</v>
      </c>
      <c r="VCJ1017" s="16" t="s">
        <v>4867</v>
      </c>
      <c r="VCK1017" s="16" t="s">
        <v>4867</v>
      </c>
      <c r="VCL1017" s="16" t="s">
        <v>4867</v>
      </c>
      <c r="VCM1017" s="16" t="s">
        <v>4867</v>
      </c>
      <c r="VCN1017" s="16" t="s">
        <v>4867</v>
      </c>
      <c r="VCO1017" s="16" t="s">
        <v>4867</v>
      </c>
      <c r="VCP1017" s="16" t="s">
        <v>4867</v>
      </c>
      <c r="VCQ1017" s="16" t="s">
        <v>4867</v>
      </c>
      <c r="VCR1017" s="16" t="s">
        <v>4867</v>
      </c>
      <c r="VCS1017" s="16" t="s">
        <v>4867</v>
      </c>
      <c r="VCT1017" s="16" t="s">
        <v>4867</v>
      </c>
      <c r="VCU1017" s="16" t="s">
        <v>4867</v>
      </c>
      <c r="VCV1017" s="16" t="s">
        <v>4867</v>
      </c>
      <c r="VCW1017" s="16" t="s">
        <v>4867</v>
      </c>
      <c r="VCX1017" s="16" t="s">
        <v>4867</v>
      </c>
      <c r="VCY1017" s="16" t="s">
        <v>4867</v>
      </c>
      <c r="VCZ1017" s="16" t="s">
        <v>4867</v>
      </c>
      <c r="VDA1017" s="16" t="s">
        <v>4867</v>
      </c>
      <c r="VDB1017" s="16" t="s">
        <v>4867</v>
      </c>
      <c r="VDC1017" s="16" t="s">
        <v>4867</v>
      </c>
      <c r="VDD1017" s="16" t="s">
        <v>4867</v>
      </c>
      <c r="VDE1017" s="16" t="s">
        <v>4867</v>
      </c>
      <c r="VDF1017" s="16" t="s">
        <v>4867</v>
      </c>
      <c r="VDG1017" s="16" t="s">
        <v>4867</v>
      </c>
      <c r="VDH1017" s="16" t="s">
        <v>4867</v>
      </c>
      <c r="VDI1017" s="16" t="s">
        <v>4867</v>
      </c>
      <c r="VDJ1017" s="16" t="s">
        <v>4867</v>
      </c>
      <c r="VDK1017" s="16" t="s">
        <v>4867</v>
      </c>
      <c r="VDL1017" s="16" t="s">
        <v>4867</v>
      </c>
      <c r="VDM1017" s="16" t="s">
        <v>4867</v>
      </c>
      <c r="VDN1017" s="16" t="s">
        <v>4867</v>
      </c>
      <c r="VDO1017" s="16" t="s">
        <v>4867</v>
      </c>
      <c r="VDP1017" s="16" t="s">
        <v>4867</v>
      </c>
      <c r="VDQ1017" s="16" t="s">
        <v>4867</v>
      </c>
      <c r="VDR1017" s="16" t="s">
        <v>4867</v>
      </c>
      <c r="VDS1017" s="16" t="s">
        <v>4867</v>
      </c>
      <c r="VDT1017" s="16" t="s">
        <v>4867</v>
      </c>
      <c r="VDU1017" s="16" t="s">
        <v>4867</v>
      </c>
      <c r="VDV1017" s="16" t="s">
        <v>4867</v>
      </c>
      <c r="VDW1017" s="16" t="s">
        <v>4867</v>
      </c>
      <c r="VDX1017" s="16" t="s">
        <v>4867</v>
      </c>
      <c r="VDY1017" s="16" t="s">
        <v>4867</v>
      </c>
      <c r="VDZ1017" s="16" t="s">
        <v>4867</v>
      </c>
      <c r="VEA1017" s="16" t="s">
        <v>4867</v>
      </c>
      <c r="VEB1017" s="16" t="s">
        <v>4867</v>
      </c>
      <c r="VEC1017" s="16" t="s">
        <v>4867</v>
      </c>
      <c r="VED1017" s="16" t="s">
        <v>4867</v>
      </c>
      <c r="VEE1017" s="16" t="s">
        <v>4867</v>
      </c>
      <c r="VEF1017" s="16" t="s">
        <v>4867</v>
      </c>
      <c r="VEG1017" s="16" t="s">
        <v>4867</v>
      </c>
      <c r="VEH1017" s="16" t="s">
        <v>4867</v>
      </c>
      <c r="VEI1017" s="16" t="s">
        <v>4867</v>
      </c>
      <c r="VEJ1017" s="16" t="s">
        <v>4867</v>
      </c>
      <c r="VEK1017" s="16" t="s">
        <v>4867</v>
      </c>
      <c r="VEL1017" s="16" t="s">
        <v>4867</v>
      </c>
      <c r="VEM1017" s="16" t="s">
        <v>4867</v>
      </c>
      <c r="VEN1017" s="16" t="s">
        <v>4867</v>
      </c>
      <c r="VEO1017" s="16" t="s">
        <v>4867</v>
      </c>
      <c r="VEP1017" s="16" t="s">
        <v>4867</v>
      </c>
      <c r="VEQ1017" s="16" t="s">
        <v>4867</v>
      </c>
      <c r="VER1017" s="16" t="s">
        <v>4867</v>
      </c>
      <c r="VES1017" s="16" t="s">
        <v>4867</v>
      </c>
      <c r="VET1017" s="16" t="s">
        <v>4867</v>
      </c>
      <c r="VEU1017" s="16" t="s">
        <v>4867</v>
      </c>
      <c r="VEV1017" s="16" t="s">
        <v>4867</v>
      </c>
      <c r="VEW1017" s="16" t="s">
        <v>4867</v>
      </c>
      <c r="VEX1017" s="16" t="s">
        <v>4867</v>
      </c>
      <c r="VEY1017" s="16" t="s">
        <v>4867</v>
      </c>
      <c r="VEZ1017" s="16" t="s">
        <v>4867</v>
      </c>
      <c r="VFA1017" s="16" t="s">
        <v>4867</v>
      </c>
      <c r="VFB1017" s="16" t="s">
        <v>4867</v>
      </c>
      <c r="VFC1017" s="16" t="s">
        <v>4867</v>
      </c>
      <c r="VFD1017" s="16" t="s">
        <v>4867</v>
      </c>
      <c r="VFE1017" s="16" t="s">
        <v>4867</v>
      </c>
      <c r="VFF1017" s="16" t="s">
        <v>4867</v>
      </c>
      <c r="VFG1017" s="16" t="s">
        <v>4867</v>
      </c>
      <c r="VFH1017" s="16" t="s">
        <v>4867</v>
      </c>
      <c r="VFI1017" s="16" t="s">
        <v>4867</v>
      </c>
      <c r="VFJ1017" s="16" t="s">
        <v>4867</v>
      </c>
      <c r="VFK1017" s="16" t="s">
        <v>4867</v>
      </c>
      <c r="VFL1017" s="16" t="s">
        <v>4867</v>
      </c>
      <c r="VFM1017" s="16" t="s">
        <v>4867</v>
      </c>
      <c r="VFN1017" s="16" t="s">
        <v>4867</v>
      </c>
      <c r="VFO1017" s="16" t="s">
        <v>4867</v>
      </c>
      <c r="VFP1017" s="16" t="s">
        <v>4867</v>
      </c>
      <c r="VFQ1017" s="16" t="s">
        <v>4867</v>
      </c>
      <c r="VFR1017" s="16" t="s">
        <v>4867</v>
      </c>
      <c r="VFS1017" s="16" t="s">
        <v>4867</v>
      </c>
      <c r="VFT1017" s="16" t="s">
        <v>4867</v>
      </c>
      <c r="VFU1017" s="16" t="s">
        <v>4867</v>
      </c>
      <c r="VFV1017" s="16" t="s">
        <v>4867</v>
      </c>
      <c r="VFW1017" s="16" t="s">
        <v>4867</v>
      </c>
      <c r="VFX1017" s="16" t="s">
        <v>4867</v>
      </c>
      <c r="VFY1017" s="16" t="s">
        <v>4867</v>
      </c>
      <c r="VFZ1017" s="16" t="s">
        <v>4867</v>
      </c>
      <c r="VGA1017" s="16" t="s">
        <v>4867</v>
      </c>
      <c r="VGB1017" s="16" t="s">
        <v>4867</v>
      </c>
      <c r="VGC1017" s="16" t="s">
        <v>4867</v>
      </c>
      <c r="VGD1017" s="16" t="s">
        <v>4867</v>
      </c>
      <c r="VGE1017" s="16" t="s">
        <v>4867</v>
      </c>
      <c r="VGF1017" s="16" t="s">
        <v>4867</v>
      </c>
      <c r="VGG1017" s="16" t="s">
        <v>4867</v>
      </c>
      <c r="VGH1017" s="16" t="s">
        <v>4867</v>
      </c>
      <c r="VGI1017" s="16" t="s">
        <v>4867</v>
      </c>
      <c r="VGJ1017" s="16" t="s">
        <v>4867</v>
      </c>
      <c r="VGK1017" s="16" t="s">
        <v>4867</v>
      </c>
      <c r="VGL1017" s="16" t="s">
        <v>4867</v>
      </c>
      <c r="VGM1017" s="16" t="s">
        <v>4867</v>
      </c>
      <c r="VGN1017" s="16" t="s">
        <v>4867</v>
      </c>
      <c r="VGO1017" s="16" t="s">
        <v>4867</v>
      </c>
      <c r="VGP1017" s="16" t="s">
        <v>4867</v>
      </c>
      <c r="VGQ1017" s="16" t="s">
        <v>4867</v>
      </c>
      <c r="VGR1017" s="16" t="s">
        <v>4867</v>
      </c>
      <c r="VGS1017" s="16" t="s">
        <v>4867</v>
      </c>
      <c r="VGT1017" s="16" t="s">
        <v>4867</v>
      </c>
      <c r="VGU1017" s="16" t="s">
        <v>4867</v>
      </c>
      <c r="VGV1017" s="16" t="s">
        <v>4867</v>
      </c>
      <c r="VGW1017" s="16" t="s">
        <v>4867</v>
      </c>
      <c r="VGX1017" s="16" t="s">
        <v>4867</v>
      </c>
      <c r="VGY1017" s="16" t="s">
        <v>4867</v>
      </c>
      <c r="VGZ1017" s="16" t="s">
        <v>4867</v>
      </c>
      <c r="VHA1017" s="16" t="s">
        <v>4867</v>
      </c>
      <c r="VHB1017" s="16" t="s">
        <v>4867</v>
      </c>
      <c r="VHC1017" s="16" t="s">
        <v>4867</v>
      </c>
      <c r="VHD1017" s="16" t="s">
        <v>4867</v>
      </c>
      <c r="VHE1017" s="16" t="s">
        <v>4867</v>
      </c>
      <c r="VHF1017" s="16" t="s">
        <v>4867</v>
      </c>
      <c r="VHG1017" s="16" t="s">
        <v>4867</v>
      </c>
      <c r="VHH1017" s="16" t="s">
        <v>4867</v>
      </c>
      <c r="VHI1017" s="16" t="s">
        <v>4867</v>
      </c>
      <c r="VHJ1017" s="16" t="s">
        <v>4867</v>
      </c>
      <c r="VHK1017" s="16" t="s">
        <v>4867</v>
      </c>
      <c r="VHL1017" s="16" t="s">
        <v>4867</v>
      </c>
      <c r="VHM1017" s="16" t="s">
        <v>4867</v>
      </c>
      <c r="VHN1017" s="16" t="s">
        <v>4867</v>
      </c>
      <c r="VHO1017" s="16" t="s">
        <v>4867</v>
      </c>
      <c r="VHP1017" s="16" t="s">
        <v>4867</v>
      </c>
      <c r="VHQ1017" s="16" t="s">
        <v>4867</v>
      </c>
      <c r="VHR1017" s="16" t="s">
        <v>4867</v>
      </c>
      <c r="VHS1017" s="16" t="s">
        <v>4867</v>
      </c>
      <c r="VHT1017" s="16" t="s">
        <v>4867</v>
      </c>
      <c r="VHU1017" s="16" t="s">
        <v>4867</v>
      </c>
      <c r="VHV1017" s="16" t="s">
        <v>4867</v>
      </c>
      <c r="VHW1017" s="16" t="s">
        <v>4867</v>
      </c>
      <c r="VHX1017" s="16" t="s">
        <v>4867</v>
      </c>
      <c r="VHY1017" s="16" t="s">
        <v>4867</v>
      </c>
      <c r="VHZ1017" s="16" t="s">
        <v>4867</v>
      </c>
      <c r="VIA1017" s="16" t="s">
        <v>4867</v>
      </c>
      <c r="VIB1017" s="16" t="s">
        <v>4867</v>
      </c>
      <c r="VIC1017" s="16" t="s">
        <v>4867</v>
      </c>
      <c r="VID1017" s="16" t="s">
        <v>4867</v>
      </c>
      <c r="VIE1017" s="16" t="s">
        <v>4867</v>
      </c>
      <c r="VIF1017" s="16" t="s">
        <v>4867</v>
      </c>
      <c r="VIG1017" s="16" t="s">
        <v>4867</v>
      </c>
      <c r="VIH1017" s="16" t="s">
        <v>4867</v>
      </c>
      <c r="VII1017" s="16" t="s">
        <v>4867</v>
      </c>
      <c r="VIJ1017" s="16" t="s">
        <v>4867</v>
      </c>
      <c r="VIK1017" s="16" t="s">
        <v>4867</v>
      </c>
      <c r="VIL1017" s="16" t="s">
        <v>4867</v>
      </c>
      <c r="VIM1017" s="16" t="s">
        <v>4867</v>
      </c>
      <c r="VIN1017" s="16" t="s">
        <v>4867</v>
      </c>
      <c r="VIO1017" s="16" t="s">
        <v>4867</v>
      </c>
      <c r="VIP1017" s="16" t="s">
        <v>4867</v>
      </c>
      <c r="VIQ1017" s="16" t="s">
        <v>4867</v>
      </c>
      <c r="VIR1017" s="16" t="s">
        <v>4867</v>
      </c>
      <c r="VIS1017" s="16" t="s">
        <v>4867</v>
      </c>
      <c r="VIT1017" s="16" t="s">
        <v>4867</v>
      </c>
      <c r="VIU1017" s="16" t="s">
        <v>4867</v>
      </c>
      <c r="VIV1017" s="16" t="s">
        <v>4867</v>
      </c>
      <c r="VIW1017" s="16" t="s">
        <v>4867</v>
      </c>
      <c r="VIX1017" s="16" t="s">
        <v>4867</v>
      </c>
      <c r="VIY1017" s="16" t="s">
        <v>4867</v>
      </c>
      <c r="VIZ1017" s="16" t="s">
        <v>4867</v>
      </c>
      <c r="VJA1017" s="16" t="s">
        <v>4867</v>
      </c>
      <c r="VJB1017" s="16" t="s">
        <v>4867</v>
      </c>
      <c r="VJC1017" s="16" t="s">
        <v>4867</v>
      </c>
      <c r="VJD1017" s="16" t="s">
        <v>4867</v>
      </c>
      <c r="VJE1017" s="16" t="s">
        <v>4867</v>
      </c>
      <c r="VJF1017" s="16" t="s">
        <v>4867</v>
      </c>
      <c r="VJG1017" s="16" t="s">
        <v>4867</v>
      </c>
      <c r="VJH1017" s="16" t="s">
        <v>4867</v>
      </c>
      <c r="VJI1017" s="16" t="s">
        <v>4867</v>
      </c>
      <c r="VJJ1017" s="16" t="s">
        <v>4867</v>
      </c>
      <c r="VJK1017" s="16" t="s">
        <v>4867</v>
      </c>
      <c r="VJL1017" s="16" t="s">
        <v>4867</v>
      </c>
      <c r="VJM1017" s="16" t="s">
        <v>4867</v>
      </c>
      <c r="VJN1017" s="16" t="s">
        <v>4867</v>
      </c>
      <c r="VJO1017" s="16" t="s">
        <v>4867</v>
      </c>
      <c r="VJP1017" s="16" t="s">
        <v>4867</v>
      </c>
      <c r="VJQ1017" s="16" t="s">
        <v>4867</v>
      </c>
      <c r="VJR1017" s="16" t="s">
        <v>4867</v>
      </c>
      <c r="VJS1017" s="16" t="s">
        <v>4867</v>
      </c>
      <c r="VJT1017" s="16" t="s">
        <v>4867</v>
      </c>
      <c r="VJU1017" s="16" t="s">
        <v>4867</v>
      </c>
      <c r="VJV1017" s="16" t="s">
        <v>4867</v>
      </c>
      <c r="VJW1017" s="16" t="s">
        <v>4867</v>
      </c>
      <c r="VJX1017" s="16" t="s">
        <v>4867</v>
      </c>
      <c r="VJY1017" s="16" t="s">
        <v>4867</v>
      </c>
      <c r="VJZ1017" s="16" t="s">
        <v>4867</v>
      </c>
      <c r="VKA1017" s="16" t="s">
        <v>4867</v>
      </c>
      <c r="VKB1017" s="16" t="s">
        <v>4867</v>
      </c>
      <c r="VKC1017" s="16" t="s">
        <v>4867</v>
      </c>
      <c r="VKD1017" s="16" t="s">
        <v>4867</v>
      </c>
      <c r="VKE1017" s="16" t="s">
        <v>4867</v>
      </c>
      <c r="VKF1017" s="16" t="s">
        <v>4867</v>
      </c>
      <c r="VKG1017" s="16" t="s">
        <v>4867</v>
      </c>
      <c r="VKH1017" s="16" t="s">
        <v>4867</v>
      </c>
      <c r="VKI1017" s="16" t="s">
        <v>4867</v>
      </c>
      <c r="VKJ1017" s="16" t="s">
        <v>4867</v>
      </c>
      <c r="VKK1017" s="16" t="s">
        <v>4867</v>
      </c>
      <c r="VKL1017" s="16" t="s">
        <v>4867</v>
      </c>
      <c r="VKM1017" s="16" t="s">
        <v>4867</v>
      </c>
      <c r="VKN1017" s="16" t="s">
        <v>4867</v>
      </c>
      <c r="VKO1017" s="16" t="s">
        <v>4867</v>
      </c>
      <c r="VKP1017" s="16" t="s">
        <v>4867</v>
      </c>
      <c r="VKQ1017" s="16" t="s">
        <v>4867</v>
      </c>
      <c r="VKR1017" s="16" t="s">
        <v>4867</v>
      </c>
      <c r="VKS1017" s="16" t="s">
        <v>4867</v>
      </c>
      <c r="VKT1017" s="16" t="s">
        <v>4867</v>
      </c>
      <c r="VKU1017" s="16" t="s">
        <v>4867</v>
      </c>
      <c r="VKV1017" s="16" t="s">
        <v>4867</v>
      </c>
      <c r="VKW1017" s="16" t="s">
        <v>4867</v>
      </c>
      <c r="VKX1017" s="16" t="s">
        <v>4867</v>
      </c>
      <c r="VKY1017" s="16" t="s">
        <v>4867</v>
      </c>
      <c r="VKZ1017" s="16" t="s">
        <v>4867</v>
      </c>
      <c r="VLA1017" s="16" t="s">
        <v>4867</v>
      </c>
      <c r="VLB1017" s="16" t="s">
        <v>4867</v>
      </c>
      <c r="VLC1017" s="16" t="s">
        <v>4867</v>
      </c>
      <c r="VLD1017" s="16" t="s">
        <v>4867</v>
      </c>
      <c r="VLE1017" s="16" t="s">
        <v>4867</v>
      </c>
      <c r="VLF1017" s="16" t="s">
        <v>4867</v>
      </c>
      <c r="VLG1017" s="16" t="s">
        <v>4867</v>
      </c>
      <c r="VLH1017" s="16" t="s">
        <v>4867</v>
      </c>
      <c r="VLI1017" s="16" t="s">
        <v>4867</v>
      </c>
      <c r="VLJ1017" s="16" t="s">
        <v>4867</v>
      </c>
      <c r="VLK1017" s="16" t="s">
        <v>4867</v>
      </c>
      <c r="VLL1017" s="16" t="s">
        <v>4867</v>
      </c>
      <c r="VLM1017" s="16" t="s">
        <v>4867</v>
      </c>
      <c r="VLN1017" s="16" t="s">
        <v>4867</v>
      </c>
      <c r="VLO1017" s="16" t="s">
        <v>4867</v>
      </c>
      <c r="VLP1017" s="16" t="s">
        <v>4867</v>
      </c>
      <c r="VLQ1017" s="16" t="s">
        <v>4867</v>
      </c>
      <c r="VLR1017" s="16" t="s">
        <v>4867</v>
      </c>
      <c r="VLS1017" s="16" t="s">
        <v>4867</v>
      </c>
      <c r="VLT1017" s="16" t="s">
        <v>4867</v>
      </c>
      <c r="VLU1017" s="16" t="s">
        <v>4867</v>
      </c>
      <c r="VLV1017" s="16" t="s">
        <v>4867</v>
      </c>
      <c r="VLW1017" s="16" t="s">
        <v>4867</v>
      </c>
      <c r="VLX1017" s="16" t="s">
        <v>4867</v>
      </c>
      <c r="VLY1017" s="16" t="s">
        <v>4867</v>
      </c>
      <c r="VLZ1017" s="16" t="s">
        <v>4867</v>
      </c>
      <c r="VMA1017" s="16" t="s">
        <v>4867</v>
      </c>
      <c r="VMB1017" s="16" t="s">
        <v>4867</v>
      </c>
      <c r="VMC1017" s="16" t="s">
        <v>4867</v>
      </c>
      <c r="VMD1017" s="16" t="s">
        <v>4867</v>
      </c>
      <c r="VME1017" s="16" t="s">
        <v>4867</v>
      </c>
      <c r="VMF1017" s="16" t="s">
        <v>4867</v>
      </c>
      <c r="VMG1017" s="16" t="s">
        <v>4867</v>
      </c>
      <c r="VMH1017" s="16" t="s">
        <v>4867</v>
      </c>
      <c r="VMI1017" s="16" t="s">
        <v>4867</v>
      </c>
      <c r="VMJ1017" s="16" t="s">
        <v>4867</v>
      </c>
      <c r="VMK1017" s="16" t="s">
        <v>4867</v>
      </c>
      <c r="VML1017" s="16" t="s">
        <v>4867</v>
      </c>
      <c r="VMM1017" s="16" t="s">
        <v>4867</v>
      </c>
      <c r="VMN1017" s="16" t="s">
        <v>4867</v>
      </c>
      <c r="VMO1017" s="16" t="s">
        <v>4867</v>
      </c>
      <c r="VMP1017" s="16" t="s">
        <v>4867</v>
      </c>
      <c r="VMQ1017" s="16" t="s">
        <v>4867</v>
      </c>
      <c r="VMR1017" s="16" t="s">
        <v>4867</v>
      </c>
      <c r="VMS1017" s="16" t="s">
        <v>4867</v>
      </c>
      <c r="VMT1017" s="16" t="s">
        <v>4867</v>
      </c>
      <c r="VMU1017" s="16" t="s">
        <v>4867</v>
      </c>
      <c r="VMV1017" s="16" t="s">
        <v>4867</v>
      </c>
      <c r="VMW1017" s="16" t="s">
        <v>4867</v>
      </c>
      <c r="VMX1017" s="16" t="s">
        <v>4867</v>
      </c>
      <c r="VMY1017" s="16" t="s">
        <v>4867</v>
      </c>
      <c r="VMZ1017" s="16" t="s">
        <v>4867</v>
      </c>
      <c r="VNA1017" s="16" t="s">
        <v>4867</v>
      </c>
      <c r="VNB1017" s="16" t="s">
        <v>4867</v>
      </c>
      <c r="VNC1017" s="16" t="s">
        <v>4867</v>
      </c>
      <c r="VND1017" s="16" t="s">
        <v>4867</v>
      </c>
      <c r="VNE1017" s="16" t="s">
        <v>4867</v>
      </c>
      <c r="VNF1017" s="16" t="s">
        <v>4867</v>
      </c>
      <c r="VNG1017" s="16" t="s">
        <v>4867</v>
      </c>
      <c r="VNH1017" s="16" t="s">
        <v>4867</v>
      </c>
      <c r="VNI1017" s="16" t="s">
        <v>4867</v>
      </c>
      <c r="VNJ1017" s="16" t="s">
        <v>4867</v>
      </c>
      <c r="VNK1017" s="16" t="s">
        <v>4867</v>
      </c>
      <c r="VNL1017" s="16" t="s">
        <v>4867</v>
      </c>
      <c r="VNM1017" s="16" t="s">
        <v>4867</v>
      </c>
      <c r="VNN1017" s="16" t="s">
        <v>4867</v>
      </c>
      <c r="VNO1017" s="16" t="s">
        <v>4867</v>
      </c>
      <c r="VNP1017" s="16" t="s">
        <v>4867</v>
      </c>
      <c r="VNQ1017" s="16" t="s">
        <v>4867</v>
      </c>
      <c r="VNR1017" s="16" t="s">
        <v>4867</v>
      </c>
      <c r="VNS1017" s="16" t="s">
        <v>4867</v>
      </c>
      <c r="VNT1017" s="16" t="s">
        <v>4867</v>
      </c>
      <c r="VNU1017" s="16" t="s">
        <v>4867</v>
      </c>
      <c r="VNV1017" s="16" t="s">
        <v>4867</v>
      </c>
      <c r="VNW1017" s="16" t="s">
        <v>4867</v>
      </c>
      <c r="VNX1017" s="16" t="s">
        <v>4867</v>
      </c>
      <c r="VNY1017" s="16" t="s">
        <v>4867</v>
      </c>
      <c r="VNZ1017" s="16" t="s">
        <v>4867</v>
      </c>
      <c r="VOA1017" s="16" t="s">
        <v>4867</v>
      </c>
      <c r="VOB1017" s="16" t="s">
        <v>4867</v>
      </c>
      <c r="VOC1017" s="16" t="s">
        <v>4867</v>
      </c>
      <c r="VOD1017" s="16" t="s">
        <v>4867</v>
      </c>
      <c r="VOE1017" s="16" t="s">
        <v>4867</v>
      </c>
      <c r="VOF1017" s="16" t="s">
        <v>4867</v>
      </c>
      <c r="VOG1017" s="16" t="s">
        <v>4867</v>
      </c>
      <c r="VOH1017" s="16" t="s">
        <v>4867</v>
      </c>
      <c r="VOI1017" s="16" t="s">
        <v>4867</v>
      </c>
      <c r="VOJ1017" s="16" t="s">
        <v>4867</v>
      </c>
      <c r="VOK1017" s="16" t="s">
        <v>4867</v>
      </c>
      <c r="VOL1017" s="16" t="s">
        <v>4867</v>
      </c>
      <c r="VOM1017" s="16" t="s">
        <v>4867</v>
      </c>
      <c r="VON1017" s="16" t="s">
        <v>4867</v>
      </c>
      <c r="VOO1017" s="16" t="s">
        <v>4867</v>
      </c>
      <c r="VOP1017" s="16" t="s">
        <v>4867</v>
      </c>
      <c r="VOQ1017" s="16" t="s">
        <v>4867</v>
      </c>
      <c r="VOR1017" s="16" t="s">
        <v>4867</v>
      </c>
      <c r="VOS1017" s="16" t="s">
        <v>4867</v>
      </c>
      <c r="VOT1017" s="16" t="s">
        <v>4867</v>
      </c>
      <c r="VOU1017" s="16" t="s">
        <v>4867</v>
      </c>
      <c r="VOV1017" s="16" t="s">
        <v>4867</v>
      </c>
      <c r="VOW1017" s="16" t="s">
        <v>4867</v>
      </c>
      <c r="VOX1017" s="16" t="s">
        <v>4867</v>
      </c>
      <c r="VOY1017" s="16" t="s">
        <v>4867</v>
      </c>
      <c r="VOZ1017" s="16" t="s">
        <v>4867</v>
      </c>
      <c r="VPA1017" s="16" t="s">
        <v>4867</v>
      </c>
      <c r="VPB1017" s="16" t="s">
        <v>4867</v>
      </c>
      <c r="VPC1017" s="16" t="s">
        <v>4867</v>
      </c>
      <c r="VPD1017" s="16" t="s">
        <v>4867</v>
      </c>
      <c r="VPE1017" s="16" t="s">
        <v>4867</v>
      </c>
      <c r="VPF1017" s="16" t="s">
        <v>4867</v>
      </c>
      <c r="VPG1017" s="16" t="s">
        <v>4867</v>
      </c>
      <c r="VPH1017" s="16" t="s">
        <v>4867</v>
      </c>
      <c r="VPI1017" s="16" t="s">
        <v>4867</v>
      </c>
      <c r="VPJ1017" s="16" t="s">
        <v>4867</v>
      </c>
      <c r="VPK1017" s="16" t="s">
        <v>4867</v>
      </c>
      <c r="VPL1017" s="16" t="s">
        <v>4867</v>
      </c>
      <c r="VPM1017" s="16" t="s">
        <v>4867</v>
      </c>
      <c r="VPN1017" s="16" t="s">
        <v>4867</v>
      </c>
      <c r="VPO1017" s="16" t="s">
        <v>4867</v>
      </c>
      <c r="VPP1017" s="16" t="s">
        <v>4867</v>
      </c>
      <c r="VPQ1017" s="16" t="s">
        <v>4867</v>
      </c>
      <c r="VPR1017" s="16" t="s">
        <v>4867</v>
      </c>
      <c r="VPS1017" s="16" t="s">
        <v>4867</v>
      </c>
      <c r="VPT1017" s="16" t="s">
        <v>4867</v>
      </c>
      <c r="VPU1017" s="16" t="s">
        <v>4867</v>
      </c>
      <c r="VPV1017" s="16" t="s">
        <v>4867</v>
      </c>
      <c r="VPW1017" s="16" t="s">
        <v>4867</v>
      </c>
      <c r="VPX1017" s="16" t="s">
        <v>4867</v>
      </c>
      <c r="VPY1017" s="16" t="s">
        <v>4867</v>
      </c>
      <c r="VPZ1017" s="16" t="s">
        <v>4867</v>
      </c>
      <c r="VQA1017" s="16" t="s">
        <v>4867</v>
      </c>
      <c r="VQB1017" s="16" t="s">
        <v>4867</v>
      </c>
      <c r="VQC1017" s="16" t="s">
        <v>4867</v>
      </c>
      <c r="VQD1017" s="16" t="s">
        <v>4867</v>
      </c>
      <c r="VQE1017" s="16" t="s">
        <v>4867</v>
      </c>
      <c r="VQF1017" s="16" t="s">
        <v>4867</v>
      </c>
      <c r="VQG1017" s="16" t="s">
        <v>4867</v>
      </c>
      <c r="VQH1017" s="16" t="s">
        <v>4867</v>
      </c>
      <c r="VQI1017" s="16" t="s">
        <v>4867</v>
      </c>
      <c r="VQJ1017" s="16" t="s">
        <v>4867</v>
      </c>
      <c r="VQK1017" s="16" t="s">
        <v>4867</v>
      </c>
      <c r="VQL1017" s="16" t="s">
        <v>4867</v>
      </c>
      <c r="VQM1017" s="16" t="s">
        <v>4867</v>
      </c>
      <c r="VQN1017" s="16" t="s">
        <v>4867</v>
      </c>
      <c r="VQO1017" s="16" t="s">
        <v>4867</v>
      </c>
      <c r="VQP1017" s="16" t="s">
        <v>4867</v>
      </c>
      <c r="VQQ1017" s="16" t="s">
        <v>4867</v>
      </c>
      <c r="VQR1017" s="16" t="s">
        <v>4867</v>
      </c>
      <c r="VQS1017" s="16" t="s">
        <v>4867</v>
      </c>
      <c r="VQT1017" s="16" t="s">
        <v>4867</v>
      </c>
      <c r="VQU1017" s="16" t="s">
        <v>4867</v>
      </c>
      <c r="VQV1017" s="16" t="s">
        <v>4867</v>
      </c>
      <c r="VQW1017" s="16" t="s">
        <v>4867</v>
      </c>
      <c r="VQX1017" s="16" t="s">
        <v>4867</v>
      </c>
      <c r="VQY1017" s="16" t="s">
        <v>4867</v>
      </c>
      <c r="VQZ1017" s="16" t="s">
        <v>4867</v>
      </c>
      <c r="VRA1017" s="16" t="s">
        <v>4867</v>
      </c>
      <c r="VRB1017" s="16" t="s">
        <v>4867</v>
      </c>
      <c r="VRC1017" s="16" t="s">
        <v>4867</v>
      </c>
      <c r="VRD1017" s="16" t="s">
        <v>4867</v>
      </c>
      <c r="VRE1017" s="16" t="s">
        <v>4867</v>
      </c>
      <c r="VRF1017" s="16" t="s">
        <v>4867</v>
      </c>
      <c r="VRG1017" s="16" t="s">
        <v>4867</v>
      </c>
      <c r="VRH1017" s="16" t="s">
        <v>4867</v>
      </c>
      <c r="VRI1017" s="16" t="s">
        <v>4867</v>
      </c>
      <c r="VRJ1017" s="16" t="s">
        <v>4867</v>
      </c>
      <c r="VRK1017" s="16" t="s">
        <v>4867</v>
      </c>
      <c r="VRL1017" s="16" t="s">
        <v>4867</v>
      </c>
      <c r="VRM1017" s="16" t="s">
        <v>4867</v>
      </c>
      <c r="VRN1017" s="16" t="s">
        <v>4867</v>
      </c>
      <c r="VRO1017" s="16" t="s">
        <v>4867</v>
      </c>
      <c r="VRP1017" s="16" t="s">
        <v>4867</v>
      </c>
      <c r="VRQ1017" s="16" t="s">
        <v>4867</v>
      </c>
      <c r="VRR1017" s="16" t="s">
        <v>4867</v>
      </c>
      <c r="VRS1017" s="16" t="s">
        <v>4867</v>
      </c>
      <c r="VRT1017" s="16" t="s">
        <v>4867</v>
      </c>
      <c r="VRU1017" s="16" t="s">
        <v>4867</v>
      </c>
      <c r="VRV1017" s="16" t="s">
        <v>4867</v>
      </c>
      <c r="VRW1017" s="16" t="s">
        <v>4867</v>
      </c>
      <c r="VRX1017" s="16" t="s">
        <v>4867</v>
      </c>
      <c r="VRY1017" s="16" t="s">
        <v>4867</v>
      </c>
      <c r="VRZ1017" s="16" t="s">
        <v>4867</v>
      </c>
      <c r="VSA1017" s="16" t="s">
        <v>4867</v>
      </c>
      <c r="VSB1017" s="16" t="s">
        <v>4867</v>
      </c>
      <c r="VSC1017" s="16" t="s">
        <v>4867</v>
      </c>
      <c r="VSD1017" s="16" t="s">
        <v>4867</v>
      </c>
      <c r="VSE1017" s="16" t="s">
        <v>4867</v>
      </c>
      <c r="VSF1017" s="16" t="s">
        <v>4867</v>
      </c>
      <c r="VSG1017" s="16" t="s">
        <v>4867</v>
      </c>
      <c r="VSH1017" s="16" t="s">
        <v>4867</v>
      </c>
      <c r="VSI1017" s="16" t="s">
        <v>4867</v>
      </c>
      <c r="VSJ1017" s="16" t="s">
        <v>4867</v>
      </c>
      <c r="VSK1017" s="16" t="s">
        <v>4867</v>
      </c>
      <c r="VSL1017" s="16" t="s">
        <v>4867</v>
      </c>
      <c r="VSM1017" s="16" t="s">
        <v>4867</v>
      </c>
      <c r="VSN1017" s="16" t="s">
        <v>4867</v>
      </c>
      <c r="VSO1017" s="16" t="s">
        <v>4867</v>
      </c>
      <c r="VSP1017" s="16" t="s">
        <v>4867</v>
      </c>
      <c r="VSQ1017" s="16" t="s">
        <v>4867</v>
      </c>
      <c r="VSR1017" s="16" t="s">
        <v>4867</v>
      </c>
      <c r="VSS1017" s="16" t="s">
        <v>4867</v>
      </c>
      <c r="VST1017" s="16" t="s">
        <v>4867</v>
      </c>
      <c r="VSU1017" s="16" t="s">
        <v>4867</v>
      </c>
      <c r="VSV1017" s="16" t="s">
        <v>4867</v>
      </c>
      <c r="VSW1017" s="16" t="s">
        <v>4867</v>
      </c>
      <c r="VSX1017" s="16" t="s">
        <v>4867</v>
      </c>
      <c r="VSY1017" s="16" t="s">
        <v>4867</v>
      </c>
      <c r="VSZ1017" s="16" t="s">
        <v>4867</v>
      </c>
      <c r="VTA1017" s="16" t="s">
        <v>4867</v>
      </c>
      <c r="VTB1017" s="16" t="s">
        <v>4867</v>
      </c>
      <c r="VTC1017" s="16" t="s">
        <v>4867</v>
      </c>
      <c r="VTD1017" s="16" t="s">
        <v>4867</v>
      </c>
      <c r="VTE1017" s="16" t="s">
        <v>4867</v>
      </c>
      <c r="VTF1017" s="16" t="s">
        <v>4867</v>
      </c>
      <c r="VTG1017" s="16" t="s">
        <v>4867</v>
      </c>
      <c r="VTH1017" s="16" t="s">
        <v>4867</v>
      </c>
      <c r="VTI1017" s="16" t="s">
        <v>4867</v>
      </c>
      <c r="VTJ1017" s="16" t="s">
        <v>4867</v>
      </c>
      <c r="VTK1017" s="16" t="s">
        <v>4867</v>
      </c>
      <c r="VTL1017" s="16" t="s">
        <v>4867</v>
      </c>
      <c r="VTM1017" s="16" t="s">
        <v>4867</v>
      </c>
      <c r="VTN1017" s="16" t="s">
        <v>4867</v>
      </c>
      <c r="VTO1017" s="16" t="s">
        <v>4867</v>
      </c>
      <c r="VTP1017" s="16" t="s">
        <v>4867</v>
      </c>
      <c r="VTQ1017" s="16" t="s">
        <v>4867</v>
      </c>
      <c r="VTR1017" s="16" t="s">
        <v>4867</v>
      </c>
      <c r="VTS1017" s="16" t="s">
        <v>4867</v>
      </c>
      <c r="VTT1017" s="16" t="s">
        <v>4867</v>
      </c>
      <c r="VTU1017" s="16" t="s">
        <v>4867</v>
      </c>
      <c r="VTV1017" s="16" t="s">
        <v>4867</v>
      </c>
      <c r="VTW1017" s="16" t="s">
        <v>4867</v>
      </c>
      <c r="VTX1017" s="16" t="s">
        <v>4867</v>
      </c>
      <c r="VTY1017" s="16" t="s">
        <v>4867</v>
      </c>
      <c r="VTZ1017" s="16" t="s">
        <v>4867</v>
      </c>
      <c r="VUA1017" s="16" t="s">
        <v>4867</v>
      </c>
      <c r="VUB1017" s="16" t="s">
        <v>4867</v>
      </c>
      <c r="VUC1017" s="16" t="s">
        <v>4867</v>
      </c>
      <c r="VUD1017" s="16" t="s">
        <v>4867</v>
      </c>
      <c r="VUE1017" s="16" t="s">
        <v>4867</v>
      </c>
      <c r="VUF1017" s="16" t="s">
        <v>4867</v>
      </c>
      <c r="VUG1017" s="16" t="s">
        <v>4867</v>
      </c>
      <c r="VUH1017" s="16" t="s">
        <v>4867</v>
      </c>
      <c r="VUI1017" s="16" t="s">
        <v>4867</v>
      </c>
      <c r="VUJ1017" s="16" t="s">
        <v>4867</v>
      </c>
      <c r="VUK1017" s="16" t="s">
        <v>4867</v>
      </c>
      <c r="VUL1017" s="16" t="s">
        <v>4867</v>
      </c>
      <c r="VUM1017" s="16" t="s">
        <v>4867</v>
      </c>
      <c r="VUN1017" s="16" t="s">
        <v>4867</v>
      </c>
      <c r="VUO1017" s="16" t="s">
        <v>4867</v>
      </c>
      <c r="VUP1017" s="16" t="s">
        <v>4867</v>
      </c>
      <c r="VUQ1017" s="16" t="s">
        <v>4867</v>
      </c>
      <c r="VUR1017" s="16" t="s">
        <v>4867</v>
      </c>
      <c r="VUS1017" s="16" t="s">
        <v>4867</v>
      </c>
      <c r="VUT1017" s="16" t="s">
        <v>4867</v>
      </c>
      <c r="VUU1017" s="16" t="s">
        <v>4867</v>
      </c>
      <c r="VUV1017" s="16" t="s">
        <v>4867</v>
      </c>
      <c r="VUW1017" s="16" t="s">
        <v>4867</v>
      </c>
      <c r="VUX1017" s="16" t="s">
        <v>4867</v>
      </c>
      <c r="VUY1017" s="16" t="s">
        <v>4867</v>
      </c>
      <c r="VUZ1017" s="16" t="s">
        <v>4867</v>
      </c>
      <c r="VVA1017" s="16" t="s">
        <v>4867</v>
      </c>
      <c r="VVB1017" s="16" t="s">
        <v>4867</v>
      </c>
      <c r="VVC1017" s="16" t="s">
        <v>4867</v>
      </c>
      <c r="VVD1017" s="16" t="s">
        <v>4867</v>
      </c>
      <c r="VVE1017" s="16" t="s">
        <v>4867</v>
      </c>
      <c r="VVF1017" s="16" t="s">
        <v>4867</v>
      </c>
      <c r="VVG1017" s="16" t="s">
        <v>4867</v>
      </c>
      <c r="VVH1017" s="16" t="s">
        <v>4867</v>
      </c>
      <c r="VVI1017" s="16" t="s">
        <v>4867</v>
      </c>
      <c r="VVJ1017" s="16" t="s">
        <v>4867</v>
      </c>
      <c r="VVK1017" s="16" t="s">
        <v>4867</v>
      </c>
      <c r="VVL1017" s="16" t="s">
        <v>4867</v>
      </c>
      <c r="VVM1017" s="16" t="s">
        <v>4867</v>
      </c>
      <c r="VVN1017" s="16" t="s">
        <v>4867</v>
      </c>
      <c r="VVO1017" s="16" t="s">
        <v>4867</v>
      </c>
      <c r="VVP1017" s="16" t="s">
        <v>4867</v>
      </c>
      <c r="VVQ1017" s="16" t="s">
        <v>4867</v>
      </c>
      <c r="VVR1017" s="16" t="s">
        <v>4867</v>
      </c>
      <c r="VVS1017" s="16" t="s">
        <v>4867</v>
      </c>
      <c r="VVT1017" s="16" t="s">
        <v>4867</v>
      </c>
      <c r="VVU1017" s="16" t="s">
        <v>4867</v>
      </c>
      <c r="VVV1017" s="16" t="s">
        <v>4867</v>
      </c>
      <c r="VVW1017" s="16" t="s">
        <v>4867</v>
      </c>
      <c r="VVX1017" s="16" t="s">
        <v>4867</v>
      </c>
      <c r="VVY1017" s="16" t="s">
        <v>4867</v>
      </c>
      <c r="VVZ1017" s="16" t="s">
        <v>4867</v>
      </c>
      <c r="VWA1017" s="16" t="s">
        <v>4867</v>
      </c>
      <c r="VWB1017" s="16" t="s">
        <v>4867</v>
      </c>
      <c r="VWC1017" s="16" t="s">
        <v>4867</v>
      </c>
      <c r="VWD1017" s="16" t="s">
        <v>4867</v>
      </c>
      <c r="VWE1017" s="16" t="s">
        <v>4867</v>
      </c>
      <c r="VWF1017" s="16" t="s">
        <v>4867</v>
      </c>
      <c r="VWG1017" s="16" t="s">
        <v>4867</v>
      </c>
      <c r="VWH1017" s="16" t="s">
        <v>4867</v>
      </c>
      <c r="VWI1017" s="16" t="s">
        <v>4867</v>
      </c>
      <c r="VWJ1017" s="16" t="s">
        <v>4867</v>
      </c>
      <c r="VWK1017" s="16" t="s">
        <v>4867</v>
      </c>
      <c r="VWL1017" s="16" t="s">
        <v>4867</v>
      </c>
      <c r="VWM1017" s="16" t="s">
        <v>4867</v>
      </c>
      <c r="VWN1017" s="16" t="s">
        <v>4867</v>
      </c>
      <c r="VWO1017" s="16" t="s">
        <v>4867</v>
      </c>
      <c r="VWP1017" s="16" t="s">
        <v>4867</v>
      </c>
      <c r="VWQ1017" s="16" t="s">
        <v>4867</v>
      </c>
      <c r="VWR1017" s="16" t="s">
        <v>4867</v>
      </c>
      <c r="VWS1017" s="16" t="s">
        <v>4867</v>
      </c>
      <c r="VWT1017" s="16" t="s">
        <v>4867</v>
      </c>
      <c r="VWU1017" s="16" t="s">
        <v>4867</v>
      </c>
      <c r="VWV1017" s="16" t="s">
        <v>4867</v>
      </c>
      <c r="VWW1017" s="16" t="s">
        <v>4867</v>
      </c>
      <c r="VWX1017" s="16" t="s">
        <v>4867</v>
      </c>
      <c r="VWY1017" s="16" t="s">
        <v>4867</v>
      </c>
      <c r="VWZ1017" s="16" t="s">
        <v>4867</v>
      </c>
      <c r="VXA1017" s="16" t="s">
        <v>4867</v>
      </c>
      <c r="VXB1017" s="16" t="s">
        <v>4867</v>
      </c>
      <c r="VXC1017" s="16" t="s">
        <v>4867</v>
      </c>
      <c r="VXD1017" s="16" t="s">
        <v>4867</v>
      </c>
      <c r="VXE1017" s="16" t="s">
        <v>4867</v>
      </c>
      <c r="VXF1017" s="16" t="s">
        <v>4867</v>
      </c>
      <c r="VXG1017" s="16" t="s">
        <v>4867</v>
      </c>
      <c r="VXH1017" s="16" t="s">
        <v>4867</v>
      </c>
      <c r="VXI1017" s="16" t="s">
        <v>4867</v>
      </c>
      <c r="VXJ1017" s="16" t="s">
        <v>4867</v>
      </c>
      <c r="VXK1017" s="16" t="s">
        <v>4867</v>
      </c>
      <c r="VXL1017" s="16" t="s">
        <v>4867</v>
      </c>
      <c r="VXM1017" s="16" t="s">
        <v>4867</v>
      </c>
      <c r="VXN1017" s="16" t="s">
        <v>4867</v>
      </c>
      <c r="VXO1017" s="16" t="s">
        <v>4867</v>
      </c>
      <c r="VXP1017" s="16" t="s">
        <v>4867</v>
      </c>
      <c r="VXQ1017" s="16" t="s">
        <v>4867</v>
      </c>
      <c r="VXR1017" s="16" t="s">
        <v>4867</v>
      </c>
      <c r="VXS1017" s="16" t="s">
        <v>4867</v>
      </c>
      <c r="VXT1017" s="16" t="s">
        <v>4867</v>
      </c>
      <c r="VXU1017" s="16" t="s">
        <v>4867</v>
      </c>
      <c r="VXV1017" s="16" t="s">
        <v>4867</v>
      </c>
      <c r="VXW1017" s="16" t="s">
        <v>4867</v>
      </c>
      <c r="VXX1017" s="16" t="s">
        <v>4867</v>
      </c>
      <c r="VXY1017" s="16" t="s">
        <v>4867</v>
      </c>
      <c r="VXZ1017" s="16" t="s">
        <v>4867</v>
      </c>
      <c r="VYA1017" s="16" t="s">
        <v>4867</v>
      </c>
      <c r="VYB1017" s="16" t="s">
        <v>4867</v>
      </c>
      <c r="VYC1017" s="16" t="s">
        <v>4867</v>
      </c>
      <c r="VYD1017" s="16" t="s">
        <v>4867</v>
      </c>
      <c r="VYE1017" s="16" t="s">
        <v>4867</v>
      </c>
      <c r="VYF1017" s="16" t="s">
        <v>4867</v>
      </c>
      <c r="VYG1017" s="16" t="s">
        <v>4867</v>
      </c>
      <c r="VYH1017" s="16" t="s">
        <v>4867</v>
      </c>
      <c r="VYI1017" s="16" t="s">
        <v>4867</v>
      </c>
      <c r="VYJ1017" s="16" t="s">
        <v>4867</v>
      </c>
      <c r="VYK1017" s="16" t="s">
        <v>4867</v>
      </c>
      <c r="VYL1017" s="16" t="s">
        <v>4867</v>
      </c>
      <c r="VYM1017" s="16" t="s">
        <v>4867</v>
      </c>
      <c r="VYN1017" s="16" t="s">
        <v>4867</v>
      </c>
      <c r="VYO1017" s="16" t="s">
        <v>4867</v>
      </c>
      <c r="VYP1017" s="16" t="s">
        <v>4867</v>
      </c>
      <c r="VYQ1017" s="16" t="s">
        <v>4867</v>
      </c>
      <c r="VYR1017" s="16" t="s">
        <v>4867</v>
      </c>
      <c r="VYS1017" s="16" t="s">
        <v>4867</v>
      </c>
      <c r="VYT1017" s="16" t="s">
        <v>4867</v>
      </c>
      <c r="VYU1017" s="16" t="s">
        <v>4867</v>
      </c>
      <c r="VYV1017" s="16" t="s">
        <v>4867</v>
      </c>
      <c r="VYW1017" s="16" t="s">
        <v>4867</v>
      </c>
      <c r="VYX1017" s="16" t="s">
        <v>4867</v>
      </c>
      <c r="VYY1017" s="16" t="s">
        <v>4867</v>
      </c>
      <c r="VYZ1017" s="16" t="s">
        <v>4867</v>
      </c>
      <c r="VZA1017" s="16" t="s">
        <v>4867</v>
      </c>
      <c r="VZB1017" s="16" t="s">
        <v>4867</v>
      </c>
      <c r="VZC1017" s="16" t="s">
        <v>4867</v>
      </c>
      <c r="VZD1017" s="16" t="s">
        <v>4867</v>
      </c>
      <c r="VZE1017" s="16" t="s">
        <v>4867</v>
      </c>
      <c r="VZF1017" s="16" t="s">
        <v>4867</v>
      </c>
      <c r="VZG1017" s="16" t="s">
        <v>4867</v>
      </c>
      <c r="VZH1017" s="16" t="s">
        <v>4867</v>
      </c>
      <c r="VZI1017" s="16" t="s">
        <v>4867</v>
      </c>
      <c r="VZJ1017" s="16" t="s">
        <v>4867</v>
      </c>
      <c r="VZK1017" s="16" t="s">
        <v>4867</v>
      </c>
      <c r="VZL1017" s="16" t="s">
        <v>4867</v>
      </c>
      <c r="VZM1017" s="16" t="s">
        <v>4867</v>
      </c>
      <c r="VZN1017" s="16" t="s">
        <v>4867</v>
      </c>
      <c r="VZO1017" s="16" t="s">
        <v>4867</v>
      </c>
      <c r="VZP1017" s="16" t="s">
        <v>4867</v>
      </c>
      <c r="VZQ1017" s="16" t="s">
        <v>4867</v>
      </c>
      <c r="VZR1017" s="16" t="s">
        <v>4867</v>
      </c>
      <c r="VZS1017" s="16" t="s">
        <v>4867</v>
      </c>
      <c r="VZT1017" s="16" t="s">
        <v>4867</v>
      </c>
      <c r="VZU1017" s="16" t="s">
        <v>4867</v>
      </c>
      <c r="VZV1017" s="16" t="s">
        <v>4867</v>
      </c>
      <c r="VZW1017" s="16" t="s">
        <v>4867</v>
      </c>
      <c r="VZX1017" s="16" t="s">
        <v>4867</v>
      </c>
      <c r="VZY1017" s="16" t="s">
        <v>4867</v>
      </c>
      <c r="VZZ1017" s="16" t="s">
        <v>4867</v>
      </c>
      <c r="WAA1017" s="16" t="s">
        <v>4867</v>
      </c>
      <c r="WAB1017" s="16" t="s">
        <v>4867</v>
      </c>
      <c r="WAC1017" s="16" t="s">
        <v>4867</v>
      </c>
      <c r="WAD1017" s="16" t="s">
        <v>4867</v>
      </c>
      <c r="WAE1017" s="16" t="s">
        <v>4867</v>
      </c>
      <c r="WAF1017" s="16" t="s">
        <v>4867</v>
      </c>
      <c r="WAG1017" s="16" t="s">
        <v>4867</v>
      </c>
      <c r="WAH1017" s="16" t="s">
        <v>4867</v>
      </c>
      <c r="WAI1017" s="16" t="s">
        <v>4867</v>
      </c>
      <c r="WAJ1017" s="16" t="s">
        <v>4867</v>
      </c>
      <c r="WAK1017" s="16" t="s">
        <v>4867</v>
      </c>
      <c r="WAL1017" s="16" t="s">
        <v>4867</v>
      </c>
      <c r="WAM1017" s="16" t="s">
        <v>4867</v>
      </c>
      <c r="WAN1017" s="16" t="s">
        <v>4867</v>
      </c>
      <c r="WAO1017" s="16" t="s">
        <v>4867</v>
      </c>
      <c r="WAP1017" s="16" t="s">
        <v>4867</v>
      </c>
      <c r="WAQ1017" s="16" t="s">
        <v>4867</v>
      </c>
      <c r="WAR1017" s="16" t="s">
        <v>4867</v>
      </c>
      <c r="WAS1017" s="16" t="s">
        <v>4867</v>
      </c>
      <c r="WAT1017" s="16" t="s">
        <v>4867</v>
      </c>
      <c r="WAU1017" s="16" t="s">
        <v>4867</v>
      </c>
      <c r="WAV1017" s="16" t="s">
        <v>4867</v>
      </c>
      <c r="WAW1017" s="16" t="s">
        <v>4867</v>
      </c>
      <c r="WAX1017" s="16" t="s">
        <v>4867</v>
      </c>
      <c r="WAY1017" s="16" t="s">
        <v>4867</v>
      </c>
      <c r="WAZ1017" s="16" t="s">
        <v>4867</v>
      </c>
      <c r="WBA1017" s="16" t="s">
        <v>4867</v>
      </c>
      <c r="WBB1017" s="16" t="s">
        <v>4867</v>
      </c>
      <c r="WBC1017" s="16" t="s">
        <v>4867</v>
      </c>
      <c r="WBD1017" s="16" t="s">
        <v>4867</v>
      </c>
      <c r="WBE1017" s="16" t="s">
        <v>4867</v>
      </c>
      <c r="WBF1017" s="16" t="s">
        <v>4867</v>
      </c>
      <c r="WBG1017" s="16" t="s">
        <v>4867</v>
      </c>
      <c r="WBH1017" s="16" t="s">
        <v>4867</v>
      </c>
      <c r="WBI1017" s="16" t="s">
        <v>4867</v>
      </c>
      <c r="WBJ1017" s="16" t="s">
        <v>4867</v>
      </c>
      <c r="WBK1017" s="16" t="s">
        <v>4867</v>
      </c>
      <c r="WBL1017" s="16" t="s">
        <v>4867</v>
      </c>
      <c r="WBM1017" s="16" t="s">
        <v>4867</v>
      </c>
      <c r="WBN1017" s="16" t="s">
        <v>4867</v>
      </c>
      <c r="WBO1017" s="16" t="s">
        <v>4867</v>
      </c>
      <c r="WBP1017" s="16" t="s">
        <v>4867</v>
      </c>
      <c r="WBQ1017" s="16" t="s">
        <v>4867</v>
      </c>
      <c r="WBR1017" s="16" t="s">
        <v>4867</v>
      </c>
      <c r="WBS1017" s="16" t="s">
        <v>4867</v>
      </c>
      <c r="WBT1017" s="16" t="s">
        <v>4867</v>
      </c>
      <c r="WBU1017" s="16" t="s">
        <v>4867</v>
      </c>
      <c r="WBV1017" s="16" t="s">
        <v>4867</v>
      </c>
      <c r="WBW1017" s="16" t="s">
        <v>4867</v>
      </c>
      <c r="WBX1017" s="16" t="s">
        <v>4867</v>
      </c>
      <c r="WBY1017" s="16" t="s">
        <v>4867</v>
      </c>
      <c r="WBZ1017" s="16" t="s">
        <v>4867</v>
      </c>
      <c r="WCA1017" s="16" t="s">
        <v>4867</v>
      </c>
      <c r="WCB1017" s="16" t="s">
        <v>4867</v>
      </c>
      <c r="WCC1017" s="16" t="s">
        <v>4867</v>
      </c>
      <c r="WCD1017" s="16" t="s">
        <v>4867</v>
      </c>
      <c r="WCE1017" s="16" t="s">
        <v>4867</v>
      </c>
      <c r="WCF1017" s="16" t="s">
        <v>4867</v>
      </c>
      <c r="WCG1017" s="16" t="s">
        <v>4867</v>
      </c>
      <c r="WCH1017" s="16" t="s">
        <v>4867</v>
      </c>
      <c r="WCI1017" s="16" t="s">
        <v>4867</v>
      </c>
      <c r="WCJ1017" s="16" t="s">
        <v>4867</v>
      </c>
      <c r="WCK1017" s="16" t="s">
        <v>4867</v>
      </c>
      <c r="WCL1017" s="16" t="s">
        <v>4867</v>
      </c>
      <c r="WCM1017" s="16" t="s">
        <v>4867</v>
      </c>
      <c r="WCN1017" s="16" t="s">
        <v>4867</v>
      </c>
      <c r="WCO1017" s="16" t="s">
        <v>4867</v>
      </c>
      <c r="WCP1017" s="16" t="s">
        <v>4867</v>
      </c>
      <c r="WCQ1017" s="16" t="s">
        <v>4867</v>
      </c>
      <c r="WCR1017" s="16" t="s">
        <v>4867</v>
      </c>
      <c r="WCS1017" s="16" t="s">
        <v>4867</v>
      </c>
      <c r="WCT1017" s="16" t="s">
        <v>4867</v>
      </c>
      <c r="WCU1017" s="16" t="s">
        <v>4867</v>
      </c>
      <c r="WCV1017" s="16" t="s">
        <v>4867</v>
      </c>
      <c r="WCW1017" s="16" t="s">
        <v>4867</v>
      </c>
      <c r="WCX1017" s="16" t="s">
        <v>4867</v>
      </c>
      <c r="WCY1017" s="16" t="s">
        <v>4867</v>
      </c>
      <c r="WCZ1017" s="16" t="s">
        <v>4867</v>
      </c>
      <c r="WDA1017" s="16" t="s">
        <v>4867</v>
      </c>
      <c r="WDB1017" s="16" t="s">
        <v>4867</v>
      </c>
      <c r="WDC1017" s="16" t="s">
        <v>4867</v>
      </c>
      <c r="WDD1017" s="16" t="s">
        <v>4867</v>
      </c>
      <c r="WDE1017" s="16" t="s">
        <v>4867</v>
      </c>
      <c r="WDF1017" s="16" t="s">
        <v>4867</v>
      </c>
      <c r="WDG1017" s="16" t="s">
        <v>4867</v>
      </c>
      <c r="WDH1017" s="16" t="s">
        <v>4867</v>
      </c>
      <c r="WDI1017" s="16" t="s">
        <v>4867</v>
      </c>
      <c r="WDJ1017" s="16" t="s">
        <v>4867</v>
      </c>
      <c r="WDK1017" s="16" t="s">
        <v>4867</v>
      </c>
      <c r="WDL1017" s="16" t="s">
        <v>4867</v>
      </c>
      <c r="WDM1017" s="16" t="s">
        <v>4867</v>
      </c>
      <c r="WDN1017" s="16" t="s">
        <v>4867</v>
      </c>
      <c r="WDO1017" s="16" t="s">
        <v>4867</v>
      </c>
      <c r="WDP1017" s="16" t="s">
        <v>4867</v>
      </c>
      <c r="WDQ1017" s="16" t="s">
        <v>4867</v>
      </c>
      <c r="WDR1017" s="16" t="s">
        <v>4867</v>
      </c>
      <c r="WDS1017" s="16" t="s">
        <v>4867</v>
      </c>
      <c r="WDT1017" s="16" t="s">
        <v>4867</v>
      </c>
      <c r="WDU1017" s="16" t="s">
        <v>4867</v>
      </c>
      <c r="WDV1017" s="16" t="s">
        <v>4867</v>
      </c>
      <c r="WDW1017" s="16" t="s">
        <v>4867</v>
      </c>
      <c r="WDX1017" s="16" t="s">
        <v>4867</v>
      </c>
      <c r="WDY1017" s="16" t="s">
        <v>4867</v>
      </c>
      <c r="WDZ1017" s="16" t="s">
        <v>4867</v>
      </c>
      <c r="WEA1017" s="16" t="s">
        <v>4867</v>
      </c>
      <c r="WEB1017" s="16" t="s">
        <v>4867</v>
      </c>
      <c r="WEC1017" s="16" t="s">
        <v>4867</v>
      </c>
      <c r="WED1017" s="16" t="s">
        <v>4867</v>
      </c>
      <c r="WEE1017" s="16" t="s">
        <v>4867</v>
      </c>
      <c r="WEF1017" s="16" t="s">
        <v>4867</v>
      </c>
      <c r="WEG1017" s="16" t="s">
        <v>4867</v>
      </c>
      <c r="WEH1017" s="16" t="s">
        <v>4867</v>
      </c>
      <c r="WEI1017" s="16" t="s">
        <v>4867</v>
      </c>
      <c r="WEJ1017" s="16" t="s">
        <v>4867</v>
      </c>
      <c r="WEK1017" s="16" t="s">
        <v>4867</v>
      </c>
      <c r="WEL1017" s="16" t="s">
        <v>4867</v>
      </c>
      <c r="WEM1017" s="16" t="s">
        <v>4867</v>
      </c>
      <c r="WEN1017" s="16" t="s">
        <v>4867</v>
      </c>
      <c r="WEO1017" s="16" t="s">
        <v>4867</v>
      </c>
      <c r="WEP1017" s="16" t="s">
        <v>4867</v>
      </c>
      <c r="WEQ1017" s="16" t="s">
        <v>4867</v>
      </c>
      <c r="WER1017" s="16" t="s">
        <v>4867</v>
      </c>
      <c r="WES1017" s="16" t="s">
        <v>4867</v>
      </c>
      <c r="WET1017" s="16" t="s">
        <v>4867</v>
      </c>
      <c r="WEU1017" s="16" t="s">
        <v>4867</v>
      </c>
      <c r="WEV1017" s="16" t="s">
        <v>4867</v>
      </c>
      <c r="WEW1017" s="16" t="s">
        <v>4867</v>
      </c>
      <c r="WEX1017" s="16" t="s">
        <v>4867</v>
      </c>
      <c r="WEY1017" s="16" t="s">
        <v>4867</v>
      </c>
      <c r="WEZ1017" s="16" t="s">
        <v>4867</v>
      </c>
      <c r="WFA1017" s="16" t="s">
        <v>4867</v>
      </c>
      <c r="WFB1017" s="16" t="s">
        <v>4867</v>
      </c>
      <c r="WFC1017" s="16" t="s">
        <v>4867</v>
      </c>
      <c r="WFD1017" s="16" t="s">
        <v>4867</v>
      </c>
      <c r="WFE1017" s="16" t="s">
        <v>4867</v>
      </c>
      <c r="WFF1017" s="16" t="s">
        <v>4867</v>
      </c>
      <c r="WFG1017" s="16" t="s">
        <v>4867</v>
      </c>
      <c r="WFH1017" s="16" t="s">
        <v>4867</v>
      </c>
      <c r="WFI1017" s="16" t="s">
        <v>4867</v>
      </c>
      <c r="WFJ1017" s="16" t="s">
        <v>4867</v>
      </c>
      <c r="WFK1017" s="16" t="s">
        <v>4867</v>
      </c>
      <c r="WFL1017" s="16" t="s">
        <v>4867</v>
      </c>
      <c r="WFM1017" s="16" t="s">
        <v>4867</v>
      </c>
      <c r="WFN1017" s="16" t="s">
        <v>4867</v>
      </c>
      <c r="WFO1017" s="16" t="s">
        <v>4867</v>
      </c>
      <c r="WFP1017" s="16" t="s">
        <v>4867</v>
      </c>
      <c r="WFQ1017" s="16" t="s">
        <v>4867</v>
      </c>
      <c r="WFR1017" s="16" t="s">
        <v>4867</v>
      </c>
      <c r="WFS1017" s="16" t="s">
        <v>4867</v>
      </c>
      <c r="WFT1017" s="16" t="s">
        <v>4867</v>
      </c>
      <c r="WFU1017" s="16" t="s">
        <v>4867</v>
      </c>
      <c r="WFV1017" s="16" t="s">
        <v>4867</v>
      </c>
      <c r="WFW1017" s="16" t="s">
        <v>4867</v>
      </c>
      <c r="WFX1017" s="16" t="s">
        <v>4867</v>
      </c>
      <c r="WFY1017" s="16" t="s">
        <v>4867</v>
      </c>
      <c r="WFZ1017" s="16" t="s">
        <v>4867</v>
      </c>
      <c r="WGA1017" s="16" t="s">
        <v>4867</v>
      </c>
      <c r="WGB1017" s="16" t="s">
        <v>4867</v>
      </c>
      <c r="WGC1017" s="16" t="s">
        <v>4867</v>
      </c>
      <c r="WGD1017" s="16" t="s">
        <v>4867</v>
      </c>
      <c r="WGE1017" s="16" t="s">
        <v>4867</v>
      </c>
      <c r="WGF1017" s="16" t="s">
        <v>4867</v>
      </c>
      <c r="WGG1017" s="16" t="s">
        <v>4867</v>
      </c>
      <c r="WGH1017" s="16" t="s">
        <v>4867</v>
      </c>
      <c r="WGI1017" s="16" t="s">
        <v>4867</v>
      </c>
      <c r="WGJ1017" s="16" t="s">
        <v>4867</v>
      </c>
      <c r="WGK1017" s="16" t="s">
        <v>4867</v>
      </c>
      <c r="WGL1017" s="16" t="s">
        <v>4867</v>
      </c>
      <c r="WGM1017" s="16" t="s">
        <v>4867</v>
      </c>
      <c r="WGN1017" s="16" t="s">
        <v>4867</v>
      </c>
      <c r="WGO1017" s="16" t="s">
        <v>4867</v>
      </c>
      <c r="WGP1017" s="16" t="s">
        <v>4867</v>
      </c>
      <c r="WGQ1017" s="16" t="s">
        <v>4867</v>
      </c>
      <c r="WGR1017" s="16" t="s">
        <v>4867</v>
      </c>
      <c r="WGS1017" s="16" t="s">
        <v>4867</v>
      </c>
      <c r="WGT1017" s="16" t="s">
        <v>4867</v>
      </c>
      <c r="WGU1017" s="16" t="s">
        <v>4867</v>
      </c>
      <c r="WGV1017" s="16" t="s">
        <v>4867</v>
      </c>
      <c r="WGW1017" s="16" t="s">
        <v>4867</v>
      </c>
      <c r="WGX1017" s="16" t="s">
        <v>4867</v>
      </c>
      <c r="WGY1017" s="16" t="s">
        <v>4867</v>
      </c>
      <c r="WGZ1017" s="16" t="s">
        <v>4867</v>
      </c>
      <c r="WHA1017" s="16" t="s">
        <v>4867</v>
      </c>
      <c r="WHB1017" s="16" t="s">
        <v>4867</v>
      </c>
      <c r="WHC1017" s="16" t="s">
        <v>4867</v>
      </c>
      <c r="WHD1017" s="16" t="s">
        <v>4867</v>
      </c>
      <c r="WHE1017" s="16" t="s">
        <v>4867</v>
      </c>
      <c r="WHF1017" s="16" t="s">
        <v>4867</v>
      </c>
      <c r="WHG1017" s="16" t="s">
        <v>4867</v>
      </c>
      <c r="WHH1017" s="16" t="s">
        <v>4867</v>
      </c>
      <c r="WHI1017" s="16" t="s">
        <v>4867</v>
      </c>
      <c r="WHJ1017" s="16" t="s">
        <v>4867</v>
      </c>
      <c r="WHK1017" s="16" t="s">
        <v>4867</v>
      </c>
      <c r="WHL1017" s="16" t="s">
        <v>4867</v>
      </c>
      <c r="WHM1017" s="16" t="s">
        <v>4867</v>
      </c>
      <c r="WHN1017" s="16" t="s">
        <v>4867</v>
      </c>
      <c r="WHO1017" s="16" t="s">
        <v>4867</v>
      </c>
      <c r="WHP1017" s="16" t="s">
        <v>4867</v>
      </c>
      <c r="WHQ1017" s="16" t="s">
        <v>4867</v>
      </c>
      <c r="WHR1017" s="16" t="s">
        <v>4867</v>
      </c>
      <c r="WHS1017" s="16" t="s">
        <v>4867</v>
      </c>
      <c r="WHT1017" s="16" t="s">
        <v>4867</v>
      </c>
      <c r="WHU1017" s="16" t="s">
        <v>4867</v>
      </c>
      <c r="WHV1017" s="16" t="s">
        <v>4867</v>
      </c>
      <c r="WHW1017" s="16" t="s">
        <v>4867</v>
      </c>
      <c r="WHX1017" s="16" t="s">
        <v>4867</v>
      </c>
      <c r="WHY1017" s="16" t="s">
        <v>4867</v>
      </c>
      <c r="WHZ1017" s="16" t="s">
        <v>4867</v>
      </c>
      <c r="WIA1017" s="16" t="s">
        <v>4867</v>
      </c>
      <c r="WIB1017" s="16" t="s">
        <v>4867</v>
      </c>
      <c r="WIC1017" s="16" t="s">
        <v>4867</v>
      </c>
      <c r="WID1017" s="16" t="s">
        <v>4867</v>
      </c>
      <c r="WIE1017" s="16" t="s">
        <v>4867</v>
      </c>
      <c r="WIF1017" s="16" t="s">
        <v>4867</v>
      </c>
      <c r="WIG1017" s="16" t="s">
        <v>4867</v>
      </c>
      <c r="WIH1017" s="16" t="s">
        <v>4867</v>
      </c>
      <c r="WII1017" s="16" t="s">
        <v>4867</v>
      </c>
      <c r="WIJ1017" s="16" t="s">
        <v>4867</v>
      </c>
      <c r="WIK1017" s="16" t="s">
        <v>4867</v>
      </c>
      <c r="WIL1017" s="16" t="s">
        <v>4867</v>
      </c>
      <c r="WIM1017" s="16" t="s">
        <v>4867</v>
      </c>
      <c r="WIN1017" s="16" t="s">
        <v>4867</v>
      </c>
      <c r="WIO1017" s="16" t="s">
        <v>4867</v>
      </c>
      <c r="WIP1017" s="16" t="s">
        <v>4867</v>
      </c>
      <c r="WIQ1017" s="16" t="s">
        <v>4867</v>
      </c>
      <c r="WIR1017" s="16" t="s">
        <v>4867</v>
      </c>
      <c r="WIS1017" s="16" t="s">
        <v>4867</v>
      </c>
      <c r="WIT1017" s="16" t="s">
        <v>4867</v>
      </c>
      <c r="WIU1017" s="16" t="s">
        <v>4867</v>
      </c>
      <c r="WIV1017" s="16" t="s">
        <v>4867</v>
      </c>
      <c r="WIW1017" s="16" t="s">
        <v>4867</v>
      </c>
      <c r="WIX1017" s="16" t="s">
        <v>4867</v>
      </c>
      <c r="WIY1017" s="16" t="s">
        <v>4867</v>
      </c>
      <c r="WIZ1017" s="16" t="s">
        <v>4867</v>
      </c>
      <c r="WJA1017" s="16" t="s">
        <v>4867</v>
      </c>
      <c r="WJB1017" s="16" t="s">
        <v>4867</v>
      </c>
      <c r="WJC1017" s="16" t="s">
        <v>4867</v>
      </c>
      <c r="WJD1017" s="16" t="s">
        <v>4867</v>
      </c>
      <c r="WJE1017" s="16" t="s">
        <v>4867</v>
      </c>
      <c r="WJF1017" s="16" t="s">
        <v>4867</v>
      </c>
      <c r="WJG1017" s="16" t="s">
        <v>4867</v>
      </c>
      <c r="WJH1017" s="16" t="s">
        <v>4867</v>
      </c>
      <c r="WJI1017" s="16" t="s">
        <v>4867</v>
      </c>
      <c r="WJJ1017" s="16" t="s">
        <v>4867</v>
      </c>
      <c r="WJK1017" s="16" t="s">
        <v>4867</v>
      </c>
      <c r="WJL1017" s="16" t="s">
        <v>4867</v>
      </c>
      <c r="WJM1017" s="16" t="s">
        <v>4867</v>
      </c>
      <c r="WJN1017" s="16" t="s">
        <v>4867</v>
      </c>
      <c r="WJO1017" s="16" t="s">
        <v>4867</v>
      </c>
      <c r="WJP1017" s="16" t="s">
        <v>4867</v>
      </c>
      <c r="WJQ1017" s="16" t="s">
        <v>4867</v>
      </c>
      <c r="WJR1017" s="16" t="s">
        <v>4867</v>
      </c>
      <c r="WJS1017" s="16" t="s">
        <v>4867</v>
      </c>
      <c r="WJT1017" s="16" t="s">
        <v>4867</v>
      </c>
      <c r="WJU1017" s="16" t="s">
        <v>4867</v>
      </c>
      <c r="WJV1017" s="16" t="s">
        <v>4867</v>
      </c>
      <c r="WJW1017" s="16" t="s">
        <v>4867</v>
      </c>
      <c r="WJX1017" s="16" t="s">
        <v>4867</v>
      </c>
      <c r="WJY1017" s="16" t="s">
        <v>4867</v>
      </c>
      <c r="WJZ1017" s="16" t="s">
        <v>4867</v>
      </c>
      <c r="WKA1017" s="16" t="s">
        <v>4867</v>
      </c>
      <c r="WKB1017" s="16" t="s">
        <v>4867</v>
      </c>
      <c r="WKC1017" s="16" t="s">
        <v>4867</v>
      </c>
      <c r="WKD1017" s="16" t="s">
        <v>4867</v>
      </c>
      <c r="WKE1017" s="16" t="s">
        <v>4867</v>
      </c>
      <c r="WKF1017" s="16" t="s">
        <v>4867</v>
      </c>
      <c r="WKG1017" s="16" t="s">
        <v>4867</v>
      </c>
      <c r="WKH1017" s="16" t="s">
        <v>4867</v>
      </c>
      <c r="WKI1017" s="16" t="s">
        <v>4867</v>
      </c>
      <c r="WKJ1017" s="16" t="s">
        <v>4867</v>
      </c>
      <c r="WKK1017" s="16" t="s">
        <v>4867</v>
      </c>
      <c r="WKL1017" s="16" t="s">
        <v>4867</v>
      </c>
      <c r="WKM1017" s="16" t="s">
        <v>4867</v>
      </c>
      <c r="WKN1017" s="16" t="s">
        <v>4867</v>
      </c>
      <c r="WKO1017" s="16" t="s">
        <v>4867</v>
      </c>
      <c r="WKP1017" s="16" t="s">
        <v>4867</v>
      </c>
      <c r="WKQ1017" s="16" t="s">
        <v>4867</v>
      </c>
      <c r="WKR1017" s="16" t="s">
        <v>4867</v>
      </c>
      <c r="WKS1017" s="16" t="s">
        <v>4867</v>
      </c>
      <c r="WKT1017" s="16" t="s">
        <v>4867</v>
      </c>
      <c r="WKU1017" s="16" t="s">
        <v>4867</v>
      </c>
      <c r="WKV1017" s="16" t="s">
        <v>4867</v>
      </c>
      <c r="WKW1017" s="16" t="s">
        <v>4867</v>
      </c>
      <c r="WKX1017" s="16" t="s">
        <v>4867</v>
      </c>
      <c r="WKY1017" s="16" t="s">
        <v>4867</v>
      </c>
      <c r="WKZ1017" s="16" t="s">
        <v>4867</v>
      </c>
      <c r="WLA1017" s="16" t="s">
        <v>4867</v>
      </c>
      <c r="WLB1017" s="16" t="s">
        <v>4867</v>
      </c>
      <c r="WLC1017" s="16" t="s">
        <v>4867</v>
      </c>
      <c r="WLD1017" s="16" t="s">
        <v>4867</v>
      </c>
      <c r="WLE1017" s="16" t="s">
        <v>4867</v>
      </c>
      <c r="WLF1017" s="16" t="s">
        <v>4867</v>
      </c>
      <c r="WLG1017" s="16" t="s">
        <v>4867</v>
      </c>
      <c r="WLH1017" s="16" t="s">
        <v>4867</v>
      </c>
      <c r="WLI1017" s="16" t="s">
        <v>4867</v>
      </c>
      <c r="WLJ1017" s="16" t="s">
        <v>4867</v>
      </c>
      <c r="WLK1017" s="16" t="s">
        <v>4867</v>
      </c>
      <c r="WLL1017" s="16" t="s">
        <v>4867</v>
      </c>
      <c r="WLM1017" s="16" t="s">
        <v>4867</v>
      </c>
      <c r="WLN1017" s="16" t="s">
        <v>4867</v>
      </c>
      <c r="WLO1017" s="16" t="s">
        <v>4867</v>
      </c>
      <c r="WLP1017" s="16" t="s">
        <v>4867</v>
      </c>
      <c r="WLQ1017" s="16" t="s">
        <v>4867</v>
      </c>
      <c r="WLR1017" s="16" t="s">
        <v>4867</v>
      </c>
      <c r="WLS1017" s="16" t="s">
        <v>4867</v>
      </c>
      <c r="WLT1017" s="16" t="s">
        <v>4867</v>
      </c>
      <c r="WLU1017" s="16" t="s">
        <v>4867</v>
      </c>
      <c r="WLV1017" s="16" t="s">
        <v>4867</v>
      </c>
      <c r="WLW1017" s="16" t="s">
        <v>4867</v>
      </c>
      <c r="WLX1017" s="16" t="s">
        <v>4867</v>
      </c>
      <c r="WLY1017" s="16" t="s">
        <v>4867</v>
      </c>
      <c r="WLZ1017" s="16" t="s">
        <v>4867</v>
      </c>
      <c r="WMA1017" s="16" t="s">
        <v>4867</v>
      </c>
      <c r="WMB1017" s="16" t="s">
        <v>4867</v>
      </c>
      <c r="WMC1017" s="16" t="s">
        <v>4867</v>
      </c>
      <c r="WMD1017" s="16" t="s">
        <v>4867</v>
      </c>
      <c r="WME1017" s="16" t="s">
        <v>4867</v>
      </c>
      <c r="WMF1017" s="16" t="s">
        <v>4867</v>
      </c>
      <c r="WMG1017" s="16" t="s">
        <v>4867</v>
      </c>
      <c r="WMH1017" s="16" t="s">
        <v>4867</v>
      </c>
      <c r="WMI1017" s="16" t="s">
        <v>4867</v>
      </c>
      <c r="WMJ1017" s="16" t="s">
        <v>4867</v>
      </c>
      <c r="WMK1017" s="16" t="s">
        <v>4867</v>
      </c>
      <c r="WML1017" s="16" t="s">
        <v>4867</v>
      </c>
      <c r="WMM1017" s="16" t="s">
        <v>4867</v>
      </c>
      <c r="WMN1017" s="16" t="s">
        <v>4867</v>
      </c>
      <c r="WMO1017" s="16" t="s">
        <v>4867</v>
      </c>
      <c r="WMP1017" s="16" t="s">
        <v>4867</v>
      </c>
      <c r="WMQ1017" s="16" t="s">
        <v>4867</v>
      </c>
      <c r="WMR1017" s="16" t="s">
        <v>4867</v>
      </c>
      <c r="WMS1017" s="16" t="s">
        <v>4867</v>
      </c>
      <c r="WMT1017" s="16" t="s">
        <v>4867</v>
      </c>
      <c r="WMU1017" s="16" t="s">
        <v>4867</v>
      </c>
      <c r="WMV1017" s="16" t="s">
        <v>4867</v>
      </c>
      <c r="WMW1017" s="16" t="s">
        <v>4867</v>
      </c>
      <c r="WMX1017" s="16" t="s">
        <v>4867</v>
      </c>
      <c r="WMY1017" s="16" t="s">
        <v>4867</v>
      </c>
      <c r="WMZ1017" s="16" t="s">
        <v>4867</v>
      </c>
      <c r="WNA1017" s="16" t="s">
        <v>4867</v>
      </c>
      <c r="WNB1017" s="16" t="s">
        <v>4867</v>
      </c>
      <c r="WNC1017" s="16" t="s">
        <v>4867</v>
      </c>
      <c r="WND1017" s="16" t="s">
        <v>4867</v>
      </c>
      <c r="WNE1017" s="16" t="s">
        <v>4867</v>
      </c>
      <c r="WNF1017" s="16" t="s">
        <v>4867</v>
      </c>
      <c r="WNG1017" s="16" t="s">
        <v>4867</v>
      </c>
      <c r="WNH1017" s="16" t="s">
        <v>4867</v>
      </c>
      <c r="WNI1017" s="16" t="s">
        <v>4867</v>
      </c>
      <c r="WNJ1017" s="16" t="s">
        <v>4867</v>
      </c>
      <c r="WNK1017" s="16" t="s">
        <v>4867</v>
      </c>
      <c r="WNL1017" s="16" t="s">
        <v>4867</v>
      </c>
      <c r="WNM1017" s="16" t="s">
        <v>4867</v>
      </c>
      <c r="WNN1017" s="16" t="s">
        <v>4867</v>
      </c>
      <c r="WNO1017" s="16" t="s">
        <v>4867</v>
      </c>
      <c r="WNP1017" s="16" t="s">
        <v>4867</v>
      </c>
      <c r="WNQ1017" s="16" t="s">
        <v>4867</v>
      </c>
      <c r="WNR1017" s="16" t="s">
        <v>4867</v>
      </c>
      <c r="WNS1017" s="16" t="s">
        <v>4867</v>
      </c>
      <c r="WNT1017" s="16" t="s">
        <v>4867</v>
      </c>
      <c r="WNU1017" s="16" t="s">
        <v>4867</v>
      </c>
      <c r="WNV1017" s="16" t="s">
        <v>4867</v>
      </c>
      <c r="WNW1017" s="16" t="s">
        <v>4867</v>
      </c>
      <c r="WNX1017" s="16" t="s">
        <v>4867</v>
      </c>
      <c r="WNY1017" s="16" t="s">
        <v>4867</v>
      </c>
      <c r="WNZ1017" s="16" t="s">
        <v>4867</v>
      </c>
      <c r="WOA1017" s="16" t="s">
        <v>4867</v>
      </c>
      <c r="WOB1017" s="16" t="s">
        <v>4867</v>
      </c>
      <c r="WOC1017" s="16" t="s">
        <v>4867</v>
      </c>
      <c r="WOD1017" s="16" t="s">
        <v>4867</v>
      </c>
      <c r="WOE1017" s="16" t="s">
        <v>4867</v>
      </c>
      <c r="WOF1017" s="16" t="s">
        <v>4867</v>
      </c>
      <c r="WOG1017" s="16" t="s">
        <v>4867</v>
      </c>
      <c r="WOH1017" s="16" t="s">
        <v>4867</v>
      </c>
      <c r="WOI1017" s="16" t="s">
        <v>4867</v>
      </c>
      <c r="WOJ1017" s="16" t="s">
        <v>4867</v>
      </c>
      <c r="WOK1017" s="16" t="s">
        <v>4867</v>
      </c>
      <c r="WOL1017" s="16" t="s">
        <v>4867</v>
      </c>
      <c r="WOM1017" s="16" t="s">
        <v>4867</v>
      </c>
      <c r="WON1017" s="16" t="s">
        <v>4867</v>
      </c>
      <c r="WOO1017" s="16" t="s">
        <v>4867</v>
      </c>
      <c r="WOP1017" s="16" t="s">
        <v>4867</v>
      </c>
      <c r="WOQ1017" s="16" t="s">
        <v>4867</v>
      </c>
      <c r="WOR1017" s="16" t="s">
        <v>4867</v>
      </c>
      <c r="WOS1017" s="16" t="s">
        <v>4867</v>
      </c>
      <c r="WOT1017" s="16" t="s">
        <v>4867</v>
      </c>
      <c r="WOU1017" s="16" t="s">
        <v>4867</v>
      </c>
      <c r="WOV1017" s="16" t="s">
        <v>4867</v>
      </c>
      <c r="WOW1017" s="16" t="s">
        <v>4867</v>
      </c>
      <c r="WOX1017" s="16" t="s">
        <v>4867</v>
      </c>
      <c r="WOY1017" s="16" t="s">
        <v>4867</v>
      </c>
      <c r="WOZ1017" s="16" t="s">
        <v>4867</v>
      </c>
      <c r="WPA1017" s="16" t="s">
        <v>4867</v>
      </c>
      <c r="WPB1017" s="16" t="s">
        <v>4867</v>
      </c>
      <c r="WPC1017" s="16" t="s">
        <v>4867</v>
      </c>
      <c r="WPD1017" s="16" t="s">
        <v>4867</v>
      </c>
      <c r="WPE1017" s="16" t="s">
        <v>4867</v>
      </c>
      <c r="WPF1017" s="16" t="s">
        <v>4867</v>
      </c>
      <c r="WPG1017" s="16" t="s">
        <v>4867</v>
      </c>
      <c r="WPH1017" s="16" t="s">
        <v>4867</v>
      </c>
      <c r="WPI1017" s="16" t="s">
        <v>4867</v>
      </c>
      <c r="WPJ1017" s="16" t="s">
        <v>4867</v>
      </c>
      <c r="WPK1017" s="16" t="s">
        <v>4867</v>
      </c>
      <c r="WPL1017" s="16" t="s">
        <v>4867</v>
      </c>
      <c r="WPM1017" s="16" t="s">
        <v>4867</v>
      </c>
      <c r="WPN1017" s="16" t="s">
        <v>4867</v>
      </c>
      <c r="WPO1017" s="16" t="s">
        <v>4867</v>
      </c>
      <c r="WPP1017" s="16" t="s">
        <v>4867</v>
      </c>
      <c r="WPQ1017" s="16" t="s">
        <v>4867</v>
      </c>
      <c r="WPR1017" s="16" t="s">
        <v>4867</v>
      </c>
      <c r="WPS1017" s="16" t="s">
        <v>4867</v>
      </c>
      <c r="WPT1017" s="16" t="s">
        <v>4867</v>
      </c>
      <c r="WPU1017" s="16" t="s">
        <v>4867</v>
      </c>
      <c r="WPV1017" s="16" t="s">
        <v>4867</v>
      </c>
      <c r="WPW1017" s="16" t="s">
        <v>4867</v>
      </c>
      <c r="WPX1017" s="16" t="s">
        <v>4867</v>
      </c>
      <c r="WPY1017" s="16" t="s">
        <v>4867</v>
      </c>
      <c r="WPZ1017" s="16" t="s">
        <v>4867</v>
      </c>
      <c r="WQA1017" s="16" t="s">
        <v>4867</v>
      </c>
      <c r="WQB1017" s="16" t="s">
        <v>4867</v>
      </c>
      <c r="WQC1017" s="16" t="s">
        <v>4867</v>
      </c>
      <c r="WQD1017" s="16" t="s">
        <v>4867</v>
      </c>
      <c r="WQE1017" s="16" t="s">
        <v>4867</v>
      </c>
      <c r="WQF1017" s="16" t="s">
        <v>4867</v>
      </c>
      <c r="WQG1017" s="16" t="s">
        <v>4867</v>
      </c>
      <c r="WQH1017" s="16" t="s">
        <v>4867</v>
      </c>
      <c r="WQI1017" s="16" t="s">
        <v>4867</v>
      </c>
      <c r="WQJ1017" s="16" t="s">
        <v>4867</v>
      </c>
      <c r="WQK1017" s="16" t="s">
        <v>4867</v>
      </c>
      <c r="WQL1017" s="16" t="s">
        <v>4867</v>
      </c>
      <c r="WQM1017" s="16" t="s">
        <v>4867</v>
      </c>
      <c r="WQN1017" s="16" t="s">
        <v>4867</v>
      </c>
      <c r="WQO1017" s="16" t="s">
        <v>4867</v>
      </c>
      <c r="WQP1017" s="16" t="s">
        <v>4867</v>
      </c>
      <c r="WQQ1017" s="16" t="s">
        <v>4867</v>
      </c>
      <c r="WQR1017" s="16" t="s">
        <v>4867</v>
      </c>
      <c r="WQS1017" s="16" t="s">
        <v>4867</v>
      </c>
      <c r="WQT1017" s="16" t="s">
        <v>4867</v>
      </c>
      <c r="WQU1017" s="16" t="s">
        <v>4867</v>
      </c>
      <c r="WQV1017" s="16" t="s">
        <v>4867</v>
      </c>
      <c r="WQW1017" s="16" t="s">
        <v>4867</v>
      </c>
      <c r="WQX1017" s="16" t="s">
        <v>4867</v>
      </c>
      <c r="WQY1017" s="16" t="s">
        <v>4867</v>
      </c>
      <c r="WQZ1017" s="16" t="s">
        <v>4867</v>
      </c>
      <c r="WRA1017" s="16" t="s">
        <v>4867</v>
      </c>
      <c r="WRB1017" s="16" t="s">
        <v>4867</v>
      </c>
      <c r="WRC1017" s="16" t="s">
        <v>4867</v>
      </c>
      <c r="WRD1017" s="16" t="s">
        <v>4867</v>
      </c>
      <c r="WRE1017" s="16" t="s">
        <v>4867</v>
      </c>
      <c r="WRF1017" s="16" t="s">
        <v>4867</v>
      </c>
      <c r="WRG1017" s="16" t="s">
        <v>4867</v>
      </c>
      <c r="WRH1017" s="16" t="s">
        <v>4867</v>
      </c>
      <c r="WRI1017" s="16" t="s">
        <v>4867</v>
      </c>
      <c r="WRJ1017" s="16" t="s">
        <v>4867</v>
      </c>
      <c r="WRK1017" s="16" t="s">
        <v>4867</v>
      </c>
      <c r="WRL1017" s="16" t="s">
        <v>4867</v>
      </c>
      <c r="WRM1017" s="16" t="s">
        <v>4867</v>
      </c>
      <c r="WRN1017" s="16" t="s">
        <v>4867</v>
      </c>
      <c r="WRO1017" s="16" t="s">
        <v>4867</v>
      </c>
      <c r="WRP1017" s="16" t="s">
        <v>4867</v>
      </c>
      <c r="WRQ1017" s="16" t="s">
        <v>4867</v>
      </c>
      <c r="WRR1017" s="16" t="s">
        <v>4867</v>
      </c>
      <c r="WRS1017" s="16" t="s">
        <v>4867</v>
      </c>
      <c r="WRT1017" s="16" t="s">
        <v>4867</v>
      </c>
      <c r="WRU1017" s="16" t="s">
        <v>4867</v>
      </c>
      <c r="WRV1017" s="16" t="s">
        <v>4867</v>
      </c>
      <c r="WRW1017" s="16" t="s">
        <v>4867</v>
      </c>
      <c r="WRX1017" s="16" t="s">
        <v>4867</v>
      </c>
      <c r="WRY1017" s="16" t="s">
        <v>4867</v>
      </c>
      <c r="WRZ1017" s="16" t="s">
        <v>4867</v>
      </c>
      <c r="WSA1017" s="16" t="s">
        <v>4867</v>
      </c>
      <c r="WSB1017" s="16" t="s">
        <v>4867</v>
      </c>
      <c r="WSC1017" s="16" t="s">
        <v>4867</v>
      </c>
      <c r="WSD1017" s="16" t="s">
        <v>4867</v>
      </c>
      <c r="WSE1017" s="16" t="s">
        <v>4867</v>
      </c>
      <c r="WSF1017" s="16" t="s">
        <v>4867</v>
      </c>
      <c r="WSG1017" s="16" t="s">
        <v>4867</v>
      </c>
      <c r="WSH1017" s="16" t="s">
        <v>4867</v>
      </c>
      <c r="WSI1017" s="16" t="s">
        <v>4867</v>
      </c>
      <c r="WSJ1017" s="16" t="s">
        <v>4867</v>
      </c>
      <c r="WSK1017" s="16" t="s">
        <v>4867</v>
      </c>
      <c r="WSL1017" s="16" t="s">
        <v>4867</v>
      </c>
      <c r="WSM1017" s="16" t="s">
        <v>4867</v>
      </c>
      <c r="WSN1017" s="16" t="s">
        <v>4867</v>
      </c>
      <c r="WSO1017" s="16" t="s">
        <v>4867</v>
      </c>
      <c r="WSP1017" s="16" t="s">
        <v>4867</v>
      </c>
      <c r="WSQ1017" s="16" t="s">
        <v>4867</v>
      </c>
      <c r="WSR1017" s="16" t="s">
        <v>4867</v>
      </c>
      <c r="WSS1017" s="16" t="s">
        <v>4867</v>
      </c>
      <c r="WST1017" s="16" t="s">
        <v>4867</v>
      </c>
      <c r="WSU1017" s="16" t="s">
        <v>4867</v>
      </c>
      <c r="WSV1017" s="16" t="s">
        <v>4867</v>
      </c>
      <c r="WSW1017" s="16" t="s">
        <v>4867</v>
      </c>
      <c r="WSX1017" s="16" t="s">
        <v>4867</v>
      </c>
      <c r="WSY1017" s="16" t="s">
        <v>4867</v>
      </c>
      <c r="WSZ1017" s="16" t="s">
        <v>4867</v>
      </c>
      <c r="WTA1017" s="16" t="s">
        <v>4867</v>
      </c>
      <c r="WTB1017" s="16" t="s">
        <v>4867</v>
      </c>
      <c r="WTC1017" s="16" t="s">
        <v>4867</v>
      </c>
      <c r="WTD1017" s="16" t="s">
        <v>4867</v>
      </c>
      <c r="WTE1017" s="16" t="s">
        <v>4867</v>
      </c>
      <c r="WTF1017" s="16" t="s">
        <v>4867</v>
      </c>
      <c r="WTG1017" s="16" t="s">
        <v>4867</v>
      </c>
      <c r="WTH1017" s="16" t="s">
        <v>4867</v>
      </c>
      <c r="WTI1017" s="16" t="s">
        <v>4867</v>
      </c>
      <c r="WTJ1017" s="16" t="s">
        <v>4867</v>
      </c>
      <c r="WTK1017" s="16" t="s">
        <v>4867</v>
      </c>
      <c r="WTL1017" s="16" t="s">
        <v>4867</v>
      </c>
      <c r="WTM1017" s="16" t="s">
        <v>4867</v>
      </c>
      <c r="WTN1017" s="16" t="s">
        <v>4867</v>
      </c>
      <c r="WTO1017" s="16" t="s">
        <v>4867</v>
      </c>
      <c r="WTP1017" s="16" t="s">
        <v>4867</v>
      </c>
      <c r="WTQ1017" s="16" t="s">
        <v>4867</v>
      </c>
      <c r="WTR1017" s="16" t="s">
        <v>4867</v>
      </c>
      <c r="WTS1017" s="16" t="s">
        <v>4867</v>
      </c>
      <c r="WTT1017" s="16" t="s">
        <v>4867</v>
      </c>
      <c r="WTU1017" s="16" t="s">
        <v>4867</v>
      </c>
      <c r="WTV1017" s="16" t="s">
        <v>4867</v>
      </c>
      <c r="WTW1017" s="16" t="s">
        <v>4867</v>
      </c>
      <c r="WTX1017" s="16" t="s">
        <v>4867</v>
      </c>
      <c r="WTY1017" s="16" t="s">
        <v>4867</v>
      </c>
      <c r="WTZ1017" s="16" t="s">
        <v>4867</v>
      </c>
      <c r="WUA1017" s="16" t="s">
        <v>4867</v>
      </c>
      <c r="WUB1017" s="16" t="s">
        <v>4867</v>
      </c>
      <c r="WUC1017" s="16" t="s">
        <v>4867</v>
      </c>
      <c r="WUD1017" s="16" t="s">
        <v>4867</v>
      </c>
      <c r="WUE1017" s="16" t="s">
        <v>4867</v>
      </c>
      <c r="WUF1017" s="16" t="s">
        <v>4867</v>
      </c>
      <c r="WUG1017" s="16" t="s">
        <v>4867</v>
      </c>
      <c r="WUH1017" s="16" t="s">
        <v>4867</v>
      </c>
      <c r="WUI1017" s="16" t="s">
        <v>4867</v>
      </c>
      <c r="WUJ1017" s="16" t="s">
        <v>4867</v>
      </c>
      <c r="WUK1017" s="16" t="s">
        <v>4867</v>
      </c>
      <c r="WUL1017" s="16" t="s">
        <v>4867</v>
      </c>
      <c r="WUM1017" s="16" t="s">
        <v>4867</v>
      </c>
      <c r="WUN1017" s="16" t="s">
        <v>4867</v>
      </c>
      <c r="WUO1017" s="16" t="s">
        <v>4867</v>
      </c>
      <c r="WUP1017" s="16" t="s">
        <v>4867</v>
      </c>
      <c r="WUQ1017" s="16" t="s">
        <v>4867</v>
      </c>
      <c r="WUR1017" s="16" t="s">
        <v>4867</v>
      </c>
      <c r="WUS1017" s="16" t="s">
        <v>4867</v>
      </c>
      <c r="WUT1017" s="16" t="s">
        <v>4867</v>
      </c>
      <c r="WUU1017" s="16" t="s">
        <v>4867</v>
      </c>
      <c r="WUV1017" s="16" t="s">
        <v>4867</v>
      </c>
      <c r="WUW1017" s="16" t="s">
        <v>4867</v>
      </c>
      <c r="WUX1017" s="16" t="s">
        <v>4867</v>
      </c>
      <c r="WUY1017" s="16" t="s">
        <v>4867</v>
      </c>
      <c r="WUZ1017" s="16" t="s">
        <v>4867</v>
      </c>
      <c r="WVA1017" s="16" t="s">
        <v>4867</v>
      </c>
      <c r="WVB1017" s="16" t="s">
        <v>4867</v>
      </c>
      <c r="WVC1017" s="16" t="s">
        <v>4867</v>
      </c>
      <c r="WVD1017" s="16" t="s">
        <v>4867</v>
      </c>
      <c r="WVE1017" s="16" t="s">
        <v>4867</v>
      </c>
      <c r="WVF1017" s="16" t="s">
        <v>4867</v>
      </c>
      <c r="WVG1017" s="16" t="s">
        <v>4867</v>
      </c>
      <c r="WVH1017" s="16" t="s">
        <v>4867</v>
      </c>
      <c r="WVI1017" s="16" t="s">
        <v>4867</v>
      </c>
      <c r="WVJ1017" s="16" t="s">
        <v>4867</v>
      </c>
      <c r="WVK1017" s="16" t="s">
        <v>4867</v>
      </c>
      <c r="WVL1017" s="16" t="s">
        <v>4867</v>
      </c>
      <c r="WVM1017" s="16" t="s">
        <v>4867</v>
      </c>
      <c r="WVN1017" s="16" t="s">
        <v>4867</v>
      </c>
      <c r="WVO1017" s="16" t="s">
        <v>4867</v>
      </c>
      <c r="WVP1017" s="16" t="s">
        <v>4867</v>
      </c>
      <c r="WVQ1017" s="16" t="s">
        <v>4867</v>
      </c>
      <c r="WVR1017" s="16" t="s">
        <v>4867</v>
      </c>
      <c r="WVS1017" s="16" t="s">
        <v>4867</v>
      </c>
      <c r="WVT1017" s="16" t="s">
        <v>4867</v>
      </c>
      <c r="WVU1017" s="16" t="s">
        <v>4867</v>
      </c>
      <c r="WVV1017" s="16" t="s">
        <v>4867</v>
      </c>
      <c r="WVW1017" s="16" t="s">
        <v>4867</v>
      </c>
      <c r="WVX1017" s="16" t="s">
        <v>4867</v>
      </c>
      <c r="WVY1017" s="16" t="s">
        <v>4867</v>
      </c>
      <c r="WVZ1017" s="16" t="s">
        <v>4867</v>
      </c>
      <c r="WWA1017" s="16" t="s">
        <v>4867</v>
      </c>
      <c r="WWB1017" s="16" t="s">
        <v>4867</v>
      </c>
      <c r="WWC1017" s="16" t="s">
        <v>4867</v>
      </c>
      <c r="WWD1017" s="16" t="s">
        <v>4867</v>
      </c>
      <c r="WWE1017" s="16" t="s">
        <v>4867</v>
      </c>
      <c r="WWF1017" s="16" t="s">
        <v>4867</v>
      </c>
      <c r="WWG1017" s="16" t="s">
        <v>4867</v>
      </c>
      <c r="WWH1017" s="16" t="s">
        <v>4867</v>
      </c>
      <c r="WWI1017" s="16" t="s">
        <v>4867</v>
      </c>
      <c r="WWJ1017" s="16" t="s">
        <v>4867</v>
      </c>
      <c r="WWK1017" s="16" t="s">
        <v>4867</v>
      </c>
      <c r="WWL1017" s="16" t="s">
        <v>4867</v>
      </c>
      <c r="WWM1017" s="16" t="s">
        <v>4867</v>
      </c>
      <c r="WWN1017" s="16" t="s">
        <v>4867</v>
      </c>
      <c r="WWO1017" s="16" t="s">
        <v>4867</v>
      </c>
      <c r="WWP1017" s="16" t="s">
        <v>4867</v>
      </c>
      <c r="WWQ1017" s="16" t="s">
        <v>4867</v>
      </c>
      <c r="WWR1017" s="16" t="s">
        <v>4867</v>
      </c>
      <c r="WWS1017" s="16" t="s">
        <v>4867</v>
      </c>
      <c r="WWT1017" s="16" t="s">
        <v>4867</v>
      </c>
      <c r="WWU1017" s="16" t="s">
        <v>4867</v>
      </c>
      <c r="WWV1017" s="16" t="s">
        <v>4867</v>
      </c>
      <c r="WWW1017" s="16" t="s">
        <v>4867</v>
      </c>
      <c r="WWX1017" s="16" t="s">
        <v>4867</v>
      </c>
      <c r="WWY1017" s="16" t="s">
        <v>4867</v>
      </c>
      <c r="WWZ1017" s="16" t="s">
        <v>4867</v>
      </c>
      <c r="WXA1017" s="16" t="s">
        <v>4867</v>
      </c>
      <c r="WXB1017" s="16" t="s">
        <v>4867</v>
      </c>
      <c r="WXC1017" s="16" t="s">
        <v>4867</v>
      </c>
      <c r="WXD1017" s="16" t="s">
        <v>4867</v>
      </c>
      <c r="WXE1017" s="16" t="s">
        <v>4867</v>
      </c>
      <c r="WXF1017" s="16" t="s">
        <v>4867</v>
      </c>
      <c r="WXG1017" s="16" t="s">
        <v>4867</v>
      </c>
      <c r="WXH1017" s="16" t="s">
        <v>4867</v>
      </c>
      <c r="WXI1017" s="16" t="s">
        <v>4867</v>
      </c>
      <c r="WXJ1017" s="16" t="s">
        <v>4867</v>
      </c>
      <c r="WXK1017" s="16" t="s">
        <v>4867</v>
      </c>
      <c r="WXL1017" s="16" t="s">
        <v>4867</v>
      </c>
      <c r="WXM1017" s="16" t="s">
        <v>4867</v>
      </c>
      <c r="WXN1017" s="16" t="s">
        <v>4867</v>
      </c>
      <c r="WXO1017" s="16" t="s">
        <v>4867</v>
      </c>
      <c r="WXP1017" s="16" t="s">
        <v>4867</v>
      </c>
      <c r="WXQ1017" s="16" t="s">
        <v>4867</v>
      </c>
      <c r="WXR1017" s="16" t="s">
        <v>4867</v>
      </c>
      <c r="WXS1017" s="16" t="s">
        <v>4867</v>
      </c>
      <c r="WXT1017" s="16" t="s">
        <v>4867</v>
      </c>
      <c r="WXU1017" s="16" t="s">
        <v>4867</v>
      </c>
      <c r="WXV1017" s="16" t="s">
        <v>4867</v>
      </c>
      <c r="WXW1017" s="16" t="s">
        <v>4867</v>
      </c>
      <c r="WXX1017" s="16" t="s">
        <v>4867</v>
      </c>
      <c r="WXY1017" s="16" t="s">
        <v>4867</v>
      </c>
      <c r="WXZ1017" s="16" t="s">
        <v>4867</v>
      </c>
      <c r="WYA1017" s="16" t="s">
        <v>4867</v>
      </c>
      <c r="WYB1017" s="16" t="s">
        <v>4867</v>
      </c>
      <c r="WYC1017" s="16" t="s">
        <v>4867</v>
      </c>
      <c r="WYD1017" s="16" t="s">
        <v>4867</v>
      </c>
      <c r="WYE1017" s="16" t="s">
        <v>4867</v>
      </c>
      <c r="WYF1017" s="16" t="s">
        <v>4867</v>
      </c>
      <c r="WYG1017" s="16" t="s">
        <v>4867</v>
      </c>
      <c r="WYH1017" s="16" t="s">
        <v>4867</v>
      </c>
      <c r="WYI1017" s="16" t="s">
        <v>4867</v>
      </c>
      <c r="WYJ1017" s="16" t="s">
        <v>4867</v>
      </c>
      <c r="WYK1017" s="16" t="s">
        <v>4867</v>
      </c>
      <c r="WYL1017" s="16" t="s">
        <v>4867</v>
      </c>
      <c r="WYM1017" s="16" t="s">
        <v>4867</v>
      </c>
      <c r="WYN1017" s="16" t="s">
        <v>4867</v>
      </c>
      <c r="WYO1017" s="16" t="s">
        <v>4867</v>
      </c>
      <c r="WYP1017" s="16" t="s">
        <v>4867</v>
      </c>
      <c r="WYQ1017" s="16" t="s">
        <v>4867</v>
      </c>
      <c r="WYR1017" s="16" t="s">
        <v>4867</v>
      </c>
      <c r="WYS1017" s="16" t="s">
        <v>4867</v>
      </c>
      <c r="WYT1017" s="16" t="s">
        <v>4867</v>
      </c>
      <c r="WYU1017" s="16" t="s">
        <v>4867</v>
      </c>
      <c r="WYV1017" s="16" t="s">
        <v>4867</v>
      </c>
      <c r="WYW1017" s="16" t="s">
        <v>4867</v>
      </c>
      <c r="WYX1017" s="16" t="s">
        <v>4867</v>
      </c>
      <c r="WYY1017" s="16" t="s">
        <v>4867</v>
      </c>
      <c r="WYZ1017" s="16" t="s">
        <v>4867</v>
      </c>
      <c r="WZA1017" s="16" t="s">
        <v>4867</v>
      </c>
      <c r="WZB1017" s="16" t="s">
        <v>4867</v>
      </c>
      <c r="WZC1017" s="16" t="s">
        <v>4867</v>
      </c>
      <c r="WZD1017" s="16" t="s">
        <v>4867</v>
      </c>
      <c r="WZE1017" s="16" t="s">
        <v>4867</v>
      </c>
      <c r="WZF1017" s="16" t="s">
        <v>4867</v>
      </c>
      <c r="WZG1017" s="16" t="s">
        <v>4867</v>
      </c>
      <c r="WZH1017" s="16" t="s">
        <v>4867</v>
      </c>
      <c r="WZI1017" s="16" t="s">
        <v>4867</v>
      </c>
      <c r="WZJ1017" s="16" t="s">
        <v>4867</v>
      </c>
      <c r="WZK1017" s="16" t="s">
        <v>4867</v>
      </c>
      <c r="WZL1017" s="16" t="s">
        <v>4867</v>
      </c>
      <c r="WZM1017" s="16" t="s">
        <v>4867</v>
      </c>
      <c r="WZN1017" s="16" t="s">
        <v>4867</v>
      </c>
      <c r="WZO1017" s="16" t="s">
        <v>4867</v>
      </c>
      <c r="WZP1017" s="16" t="s">
        <v>4867</v>
      </c>
      <c r="WZQ1017" s="16" t="s">
        <v>4867</v>
      </c>
      <c r="WZR1017" s="16" t="s">
        <v>4867</v>
      </c>
      <c r="WZS1017" s="16" t="s">
        <v>4867</v>
      </c>
      <c r="WZT1017" s="16" t="s">
        <v>4867</v>
      </c>
      <c r="WZU1017" s="16" t="s">
        <v>4867</v>
      </c>
      <c r="WZV1017" s="16" t="s">
        <v>4867</v>
      </c>
      <c r="WZW1017" s="16" t="s">
        <v>4867</v>
      </c>
      <c r="WZX1017" s="16" t="s">
        <v>4867</v>
      </c>
      <c r="WZY1017" s="16" t="s">
        <v>4867</v>
      </c>
      <c r="WZZ1017" s="16" t="s">
        <v>4867</v>
      </c>
      <c r="XAA1017" s="16" t="s">
        <v>4867</v>
      </c>
      <c r="XAB1017" s="16" t="s">
        <v>4867</v>
      </c>
      <c r="XAC1017" s="16" t="s">
        <v>4867</v>
      </c>
      <c r="XAD1017" s="16" t="s">
        <v>4867</v>
      </c>
      <c r="XAE1017" s="16" t="s">
        <v>4867</v>
      </c>
      <c r="XAF1017" s="16" t="s">
        <v>4867</v>
      </c>
      <c r="XAG1017" s="16" t="s">
        <v>4867</v>
      </c>
      <c r="XAH1017" s="16" t="s">
        <v>4867</v>
      </c>
      <c r="XAI1017" s="16" t="s">
        <v>4867</v>
      </c>
      <c r="XAJ1017" s="16" t="s">
        <v>4867</v>
      </c>
      <c r="XAK1017" s="16" t="s">
        <v>4867</v>
      </c>
      <c r="XAL1017" s="16" t="s">
        <v>4867</v>
      </c>
      <c r="XAM1017" s="16" t="s">
        <v>4867</v>
      </c>
      <c r="XAN1017" s="16" t="s">
        <v>4867</v>
      </c>
      <c r="XAO1017" s="16" t="s">
        <v>4867</v>
      </c>
      <c r="XAP1017" s="16" t="s">
        <v>4867</v>
      </c>
      <c r="XAQ1017" s="16" t="s">
        <v>4867</v>
      </c>
      <c r="XAR1017" s="16" t="s">
        <v>4867</v>
      </c>
      <c r="XAS1017" s="16" t="s">
        <v>4867</v>
      </c>
      <c r="XAT1017" s="16" t="s">
        <v>4867</v>
      </c>
      <c r="XAU1017" s="16" t="s">
        <v>4867</v>
      </c>
      <c r="XAV1017" s="16" t="s">
        <v>4867</v>
      </c>
      <c r="XAW1017" s="16" t="s">
        <v>4867</v>
      </c>
      <c r="XAX1017" s="16" t="s">
        <v>4867</v>
      </c>
      <c r="XAY1017" s="16" t="s">
        <v>4867</v>
      </c>
      <c r="XAZ1017" s="16" t="s">
        <v>4867</v>
      </c>
      <c r="XBA1017" s="16" t="s">
        <v>4867</v>
      </c>
      <c r="XBB1017" s="16" t="s">
        <v>4867</v>
      </c>
      <c r="XBC1017" s="16" t="s">
        <v>4867</v>
      </c>
      <c r="XBD1017" s="16" t="s">
        <v>4867</v>
      </c>
      <c r="XBE1017" s="16" t="s">
        <v>4867</v>
      </c>
      <c r="XBF1017" s="16" t="s">
        <v>4867</v>
      </c>
      <c r="XBG1017" s="16" t="s">
        <v>4867</v>
      </c>
      <c r="XBH1017" s="16" t="s">
        <v>4867</v>
      </c>
      <c r="XBI1017" s="16" t="s">
        <v>4867</v>
      </c>
      <c r="XBJ1017" s="16" t="s">
        <v>4867</v>
      </c>
      <c r="XBK1017" s="16" t="s">
        <v>4867</v>
      </c>
      <c r="XBL1017" s="16" t="s">
        <v>4867</v>
      </c>
      <c r="XBM1017" s="16" t="s">
        <v>4867</v>
      </c>
      <c r="XBN1017" s="16" t="s">
        <v>4867</v>
      </c>
      <c r="XBO1017" s="16" t="s">
        <v>4867</v>
      </c>
      <c r="XBP1017" s="16" t="s">
        <v>4867</v>
      </c>
      <c r="XBQ1017" s="16" t="s">
        <v>4867</v>
      </c>
      <c r="XBR1017" s="16" t="s">
        <v>4867</v>
      </c>
      <c r="XBS1017" s="16" t="s">
        <v>4867</v>
      </c>
      <c r="XBT1017" s="16" t="s">
        <v>4867</v>
      </c>
      <c r="XBU1017" s="16" t="s">
        <v>4867</v>
      </c>
      <c r="XBV1017" s="16" t="s">
        <v>4867</v>
      </c>
      <c r="XBW1017" s="16" t="s">
        <v>4867</v>
      </c>
      <c r="XBX1017" s="16" t="s">
        <v>4867</v>
      </c>
      <c r="XBY1017" s="16" t="s">
        <v>4867</v>
      </c>
      <c r="XBZ1017" s="16" t="s">
        <v>4867</v>
      </c>
      <c r="XCA1017" s="16" t="s">
        <v>4867</v>
      </c>
      <c r="XCB1017" s="16" t="s">
        <v>4867</v>
      </c>
      <c r="XCC1017" s="16" t="s">
        <v>4867</v>
      </c>
      <c r="XCD1017" s="16" t="s">
        <v>4867</v>
      </c>
      <c r="XCE1017" s="16" t="s">
        <v>4867</v>
      </c>
      <c r="XCF1017" s="16" t="s">
        <v>4867</v>
      </c>
      <c r="XCG1017" s="16" t="s">
        <v>4867</v>
      </c>
      <c r="XCH1017" s="16" t="s">
        <v>4867</v>
      </c>
      <c r="XCI1017" s="16" t="s">
        <v>4867</v>
      </c>
      <c r="XCJ1017" s="16" t="s">
        <v>4867</v>
      </c>
      <c r="XCK1017" s="16" t="s">
        <v>4867</v>
      </c>
      <c r="XCL1017" s="16" t="s">
        <v>4867</v>
      </c>
      <c r="XCM1017" s="16" t="s">
        <v>4867</v>
      </c>
      <c r="XCN1017" s="16" t="s">
        <v>4867</v>
      </c>
      <c r="XCO1017" s="16" t="s">
        <v>4867</v>
      </c>
      <c r="XCP1017" s="16" t="s">
        <v>4867</v>
      </c>
      <c r="XCQ1017" s="16" t="s">
        <v>4867</v>
      </c>
      <c r="XCR1017" s="16" t="s">
        <v>4867</v>
      </c>
      <c r="XCS1017" s="16" t="s">
        <v>4867</v>
      </c>
      <c r="XCT1017" s="16" t="s">
        <v>4867</v>
      </c>
      <c r="XCU1017" s="16" t="s">
        <v>4867</v>
      </c>
      <c r="XCV1017" s="16" t="s">
        <v>4867</v>
      </c>
      <c r="XCW1017" s="16" t="s">
        <v>4867</v>
      </c>
      <c r="XCX1017" s="16" t="s">
        <v>4867</v>
      </c>
      <c r="XCY1017" s="16" t="s">
        <v>4867</v>
      </c>
      <c r="XCZ1017" s="16" t="s">
        <v>4867</v>
      </c>
      <c r="XDA1017" s="16" t="s">
        <v>4867</v>
      </c>
      <c r="XDB1017" s="16" t="s">
        <v>4867</v>
      </c>
      <c r="XDC1017" s="16" t="s">
        <v>4867</v>
      </c>
      <c r="XDD1017" s="16" t="s">
        <v>4867</v>
      </c>
      <c r="XDE1017" s="16" t="s">
        <v>4867</v>
      </c>
      <c r="XDF1017" s="16" t="s">
        <v>4867</v>
      </c>
      <c r="XDG1017" s="16" t="s">
        <v>4867</v>
      </c>
      <c r="XDH1017" s="16" t="s">
        <v>4867</v>
      </c>
      <c r="XDI1017" s="16" t="s">
        <v>4867</v>
      </c>
      <c r="XDJ1017" s="16" t="s">
        <v>4867</v>
      </c>
      <c r="XDK1017" s="16" t="s">
        <v>4867</v>
      </c>
      <c r="XDL1017" s="16" t="s">
        <v>4867</v>
      </c>
      <c r="XDM1017" s="16" t="s">
        <v>4867</v>
      </c>
      <c r="XDN1017" s="16" t="s">
        <v>4867</v>
      </c>
      <c r="XDO1017" s="16" t="s">
        <v>4867</v>
      </c>
      <c r="XDP1017" s="16" t="s">
        <v>4867</v>
      </c>
      <c r="XDQ1017" s="16" t="s">
        <v>4867</v>
      </c>
      <c r="XDR1017" s="16" t="s">
        <v>4867</v>
      </c>
      <c r="XDS1017" s="16" t="s">
        <v>4867</v>
      </c>
      <c r="XDT1017" s="16" t="s">
        <v>4867</v>
      </c>
      <c r="XDU1017" s="16" t="s">
        <v>4867</v>
      </c>
      <c r="XDV1017" s="16" t="s">
        <v>4867</v>
      </c>
      <c r="XDW1017" s="16" t="s">
        <v>4867</v>
      </c>
      <c r="XDX1017" s="16" t="s">
        <v>4867</v>
      </c>
      <c r="XDY1017" s="16" t="s">
        <v>4867</v>
      </c>
      <c r="XDZ1017" s="16" t="s">
        <v>4867</v>
      </c>
      <c r="XEA1017" s="16" t="s">
        <v>4867</v>
      </c>
      <c r="XEB1017" s="16" t="s">
        <v>4867</v>
      </c>
      <c r="XEC1017" s="16" t="s">
        <v>4867</v>
      </c>
      <c r="XED1017" s="16" t="s">
        <v>4867</v>
      </c>
      <c r="XEE1017" s="16" t="s">
        <v>4867</v>
      </c>
      <c r="XEF1017" s="16" t="s">
        <v>4867</v>
      </c>
      <c r="XEG1017" s="16" t="s">
        <v>4867</v>
      </c>
      <c r="XEH1017" s="16" t="s">
        <v>4867</v>
      </c>
      <c r="XEI1017" s="16" t="s">
        <v>4867</v>
      </c>
      <c r="XEJ1017" s="16" t="s">
        <v>4867</v>
      </c>
      <c r="XEK1017" s="16" t="s">
        <v>4867</v>
      </c>
      <c r="XEL1017" s="16" t="s">
        <v>4867</v>
      </c>
      <c r="XEM1017" s="16" t="s">
        <v>4867</v>
      </c>
      <c r="XEN1017" s="16" t="s">
        <v>4867</v>
      </c>
      <c r="XEO1017" s="16" t="s">
        <v>4867</v>
      </c>
      <c r="XEP1017" s="16" t="s">
        <v>4867</v>
      </c>
      <c r="XEQ1017" s="16" t="s">
        <v>4867</v>
      </c>
      <c r="XER1017" s="16" t="s">
        <v>4867</v>
      </c>
      <c r="XES1017" s="16" t="s">
        <v>4867</v>
      </c>
      <c r="XET1017" s="16" t="s">
        <v>4867</v>
      </c>
      <c r="XEU1017" s="16" t="s">
        <v>4867</v>
      </c>
      <c r="XEV1017" s="16" t="s">
        <v>4867</v>
      </c>
      <c r="XEW1017" s="16" t="s">
        <v>4867</v>
      </c>
      <c r="XEX1017" s="16" t="s">
        <v>4867</v>
      </c>
      <c r="XEY1017" s="16" t="s">
        <v>4867</v>
      </c>
      <c r="XEZ1017" s="16" t="s">
        <v>4867</v>
      </c>
      <c r="XFA1017" s="16" t="s">
        <v>4867</v>
      </c>
      <c r="XFB1017" s="16" t="s">
        <v>4867</v>
      </c>
      <c r="XFC1017" s="16" t="s">
        <v>4867</v>
      </c>
    </row>
  </sheetData>
  <autoFilter ref="A5:T1015" xr:uid="{00000000-0009-0000-0000-000003000000}"/>
  <sortState xmlns:xlrd2="http://schemas.microsoft.com/office/spreadsheetml/2017/richdata2" ref="A8:XFC64">
    <sortCondition ref="H8:H64"/>
  </sortState>
  <mergeCells count="6">
    <mergeCell ref="P2:P4"/>
    <mergeCell ref="F2:F4"/>
    <mergeCell ref="G2:G4"/>
    <mergeCell ref="H2:H4"/>
    <mergeCell ref="I2:J2"/>
    <mergeCell ref="K2:K4"/>
  </mergeCells>
  <phoneticPr fontId="37" type="noConversion"/>
  <conditionalFormatting sqref="I647 K647">
    <cfRule type="iconSet" priority="3028">
      <iconSet iconSet="3Symbols2" showValue="0">
        <cfvo type="percent" val="0"/>
        <cfvo type="num" val="0"/>
        <cfvo type="num" val="1"/>
      </iconSet>
    </cfRule>
  </conditionalFormatting>
  <conditionalFormatting sqref="I655 K655">
    <cfRule type="iconSet" priority="3027">
      <iconSet iconSet="3Symbols2" showValue="0">
        <cfvo type="percent" val="0"/>
        <cfvo type="num" val="0"/>
        <cfvo type="num" val="1"/>
      </iconSet>
    </cfRule>
  </conditionalFormatting>
  <conditionalFormatting sqref="I496:I509">
    <cfRule type="iconSet" priority="3025">
      <iconSet iconSet="3Symbols2" showValue="0">
        <cfvo type="percent" val="0"/>
        <cfvo type="num" val="0"/>
        <cfvo type="num" val="1"/>
      </iconSet>
    </cfRule>
  </conditionalFormatting>
  <conditionalFormatting sqref="I512">
    <cfRule type="iconSet" priority="3024">
      <iconSet iconSet="3Symbols2" showValue="0">
        <cfvo type="percent" val="0"/>
        <cfvo type="num" val="0"/>
        <cfvo type="num" val="1"/>
      </iconSet>
    </cfRule>
  </conditionalFormatting>
  <conditionalFormatting sqref="I515:I517">
    <cfRule type="iconSet" priority="3023">
      <iconSet iconSet="3Symbols2" showValue="0">
        <cfvo type="percent" val="0"/>
        <cfvo type="num" val="0"/>
        <cfvo type="num" val="1"/>
      </iconSet>
    </cfRule>
  </conditionalFormatting>
  <conditionalFormatting sqref="I450:I455">
    <cfRule type="iconSet" priority="3497">
      <iconSet iconSet="3Symbols2" showValue="0">
        <cfvo type="percent" val="0"/>
        <cfvo type="num" val="0"/>
        <cfvo type="num" val="1"/>
      </iconSet>
    </cfRule>
  </conditionalFormatting>
  <conditionalFormatting sqref="I490:I493">
    <cfRule type="iconSet" priority="3663">
      <iconSet iconSet="3Symbols2" showValue="0">
        <cfvo type="percent" val="0"/>
        <cfvo type="num" val="0"/>
        <cfvo type="num" val="1"/>
      </iconSet>
    </cfRule>
  </conditionalFormatting>
  <conditionalFormatting sqref="I456 K445:K456 I444:I445">
    <cfRule type="iconSet" priority="3704">
      <iconSet iconSet="3Symbols2" showValue="0">
        <cfvo type="percent" val="0"/>
        <cfvo type="num" val="0"/>
        <cfvo type="num" val="1"/>
      </iconSet>
    </cfRule>
  </conditionalFormatting>
  <conditionalFormatting sqref="I473 K458 K473 I457:I458">
    <cfRule type="iconSet" priority="3706">
      <iconSet iconSet="3Symbols2" showValue="0">
        <cfvo type="percent" val="0"/>
        <cfvo type="num" val="0"/>
        <cfvo type="num" val="1"/>
      </iconSet>
    </cfRule>
  </conditionalFormatting>
  <conditionalFormatting sqref="I159:L160">
    <cfRule type="iconSet" priority="839">
      <iconSet iconSet="3Symbols2" showValue="0">
        <cfvo type="percent" val="0"/>
        <cfvo type="num" val="0"/>
        <cfvo type="num" val="1"/>
      </iconSet>
    </cfRule>
  </conditionalFormatting>
  <conditionalFormatting sqref="K60:K61">
    <cfRule type="iconSet" priority="764">
      <iconSet iconSet="3Symbols2" showValue="0">
        <cfvo type="percent" val="0"/>
        <cfvo type="num" val="0"/>
        <cfvo type="num" val="1"/>
      </iconSet>
    </cfRule>
  </conditionalFormatting>
  <conditionalFormatting sqref="K62:K64">
    <cfRule type="iconSet" priority="723">
      <iconSet iconSet="3Symbols2" showValue="0">
        <cfvo type="percent" val="0"/>
        <cfvo type="num" val="0"/>
        <cfvo type="num" val="1"/>
      </iconSet>
    </cfRule>
  </conditionalFormatting>
  <conditionalFormatting sqref="I137:I138">
    <cfRule type="iconSet" priority="697">
      <iconSet iconSet="3Symbols2" showValue="0">
        <cfvo type="percent" val="0"/>
        <cfvo type="num" val="0"/>
        <cfvo type="num" val="1"/>
      </iconSet>
    </cfRule>
  </conditionalFormatting>
  <conditionalFormatting sqref="L4:O4">
    <cfRule type="iconSet" priority="595">
      <iconSet iconSet="3Symbols2" showValue="0">
        <cfvo type="percent" val="0"/>
        <cfvo type="num" val="0"/>
        <cfvo type="num" val="1"/>
      </iconSet>
    </cfRule>
  </conditionalFormatting>
  <conditionalFormatting sqref="Q4:T4">
    <cfRule type="iconSet" priority="541">
      <iconSet iconSet="3Symbols2" showValue="0">
        <cfvo type="percent" val="0"/>
        <cfvo type="num" val="0"/>
        <cfvo type="num" val="1"/>
      </iconSet>
    </cfRule>
  </conditionalFormatting>
  <conditionalFormatting sqref="N62:N64">
    <cfRule type="iconSet" priority="524">
      <iconSet iconSet="3Symbols2" showValue="0">
        <cfvo type="percent" val="0"/>
        <cfvo type="num" val="0"/>
        <cfvo type="num" val="1"/>
      </iconSet>
    </cfRule>
  </conditionalFormatting>
  <conditionalFormatting sqref="L647:M647">
    <cfRule type="iconSet" priority="509">
      <iconSet iconSet="3Symbols2" showValue="0">
        <cfvo type="percent" val="0"/>
        <cfvo type="num" val="0"/>
        <cfvo type="num" val="1"/>
      </iconSet>
    </cfRule>
  </conditionalFormatting>
  <conditionalFormatting sqref="L655:M655">
    <cfRule type="iconSet" priority="508">
      <iconSet iconSet="3Symbols2" showValue="0">
        <cfvo type="percent" val="0"/>
        <cfvo type="num" val="0"/>
        <cfvo type="num" val="1"/>
      </iconSet>
    </cfRule>
  </conditionalFormatting>
  <conditionalFormatting sqref="N522:N530">
    <cfRule type="iconSet" priority="502">
      <iconSet iconSet="3Symbols2" showValue="0">
        <cfvo type="percent" val="0"/>
        <cfvo type="num" val="0"/>
        <cfvo type="num" val="1"/>
      </iconSet>
    </cfRule>
  </conditionalFormatting>
  <conditionalFormatting sqref="N533:N537">
    <cfRule type="iconSet" priority="501">
      <iconSet iconSet="3Symbols2" showValue="0">
        <cfvo type="percent" val="0"/>
        <cfvo type="num" val="0"/>
        <cfvo type="num" val="1"/>
      </iconSet>
    </cfRule>
  </conditionalFormatting>
  <conditionalFormatting sqref="N540:N553">
    <cfRule type="iconSet" priority="500">
      <iconSet iconSet="3Symbols2" showValue="0">
        <cfvo type="percent" val="0"/>
        <cfvo type="num" val="0"/>
        <cfvo type="num" val="1"/>
      </iconSet>
    </cfRule>
  </conditionalFormatting>
  <conditionalFormatting sqref="L1015:M1015 L71:M80 L82:M115 L445:M456 L605:M629 M596:M604 M313 L734:M737 L795:M796 M786:M794 M760:M762 L766:M767 M765 L777:M778 M768:M776 L781:M785 M779:M780 L798:M799 M797 L802:M803 M800:M801 L815:M819 M804:M814 L475:M521 L763:M764 L554:M595 M522:M553 L1005:M1010 L974:M1003 L877:M972 L122:M142 M301 L302:M308 M293 L294:M300 M285 L286:M292 M277 L278:M284 M269 L270:M276 M261 L262:M268 M253 L254:M260 L145:M252 M309 L310:M312 L396:M443 M391:M395 L458:M473 L320:M390 L8:M65 L314:M318 M738:M757 L758:M759">
    <cfRule type="iconSet" priority="79286">
      <iconSet iconSet="3Symbols2" showValue="0">
        <cfvo type="percent" val="0"/>
        <cfvo type="num" val="0"/>
        <cfvo type="num" val="1"/>
      </iconSet>
    </cfRule>
  </conditionalFormatting>
  <conditionalFormatting sqref="N1015 N151:N158 N37:N43 N46:N61 N65 N318 N473 N531:N532 N538:N539 N445:N456 N458 N475:N521 N554:N737 N8:N33 N1005:N1010 N974:N1003 N877:N972 N67:N142 N297:N301 N289:N293 N281:N285 N273:N277 N265:N269 N257:N261 N161:N253 N313 N305:N309 N320:N443">
    <cfRule type="iconSet" priority="79297">
      <iconSet iconSet="3Symbols2" showValue="0">
        <cfvo type="percent" val="0"/>
        <cfvo type="num" val="0"/>
        <cfvo type="num" val="1"/>
      </iconSet>
    </cfRule>
  </conditionalFormatting>
  <conditionalFormatting sqref="O1015 O445:O456 O1005:O1010 O974:O1003 O877:O972 O67:O142 O458:O473 O320:O443 O8:O65 O145:O318 O475:O875">
    <cfRule type="iconSet" priority="79301">
      <iconSet iconSet="3Symbols2" showValue="0">
        <cfvo type="percent" val="0"/>
        <cfvo type="num" val="0"/>
        <cfvo type="num" val="1"/>
      </iconSet>
    </cfRule>
  </conditionalFormatting>
  <conditionalFormatting sqref="Q1015">
    <cfRule type="iconSet" priority="79303">
      <iconSet iconSet="3Symbols2" showValue="0">
        <cfvo type="percent" val="0"/>
        <cfvo type="num" val="0"/>
        <cfvo type="num" val="1"/>
      </iconSet>
    </cfRule>
  </conditionalFormatting>
  <conditionalFormatting sqref="S1015">
    <cfRule type="iconSet" priority="79307">
      <iconSet iconSet="3Symbols2" showValue="0">
        <cfvo type="percent" val="0"/>
        <cfvo type="num" val="0"/>
        <cfvo type="num" val="1"/>
      </iconSet>
    </cfRule>
  </conditionalFormatting>
  <conditionalFormatting sqref="T1015">
    <cfRule type="iconSet" priority="79309">
      <iconSet iconSet="3Symbols2" showValue="0">
        <cfvo type="percent" val="0"/>
        <cfvo type="num" val="0"/>
        <cfvo type="num" val="1"/>
      </iconSet>
    </cfRule>
  </conditionalFormatting>
  <conditionalFormatting sqref="K75">
    <cfRule type="iconSet" priority="82058">
      <iconSet iconSet="3Symbols2" showValue="0">
        <cfvo type="percent" val="0"/>
        <cfvo type="num" val="0"/>
        <cfvo type="num" val="1"/>
      </iconSet>
    </cfRule>
  </conditionalFormatting>
  <conditionalFormatting sqref="P138">
    <cfRule type="iconSet" priority="475">
      <iconSet iconSet="3Symbols2" showValue="0">
        <cfvo type="percent" val="0"/>
        <cfvo type="num" val="0"/>
        <cfvo type="num" val="1"/>
      </iconSet>
    </cfRule>
  </conditionalFormatting>
  <conditionalFormatting sqref="N44:N45">
    <cfRule type="iconSet" priority="83614">
      <iconSet iconSet="3Symbols2" showValue="0">
        <cfvo type="percent" val="0"/>
        <cfvo type="num" val="0"/>
        <cfvo type="num" val="1"/>
      </iconSet>
    </cfRule>
  </conditionalFormatting>
  <conditionalFormatting sqref="N34:N36">
    <cfRule type="iconSet" priority="84263">
      <iconSet iconSet="3Symbols2" showValue="0">
        <cfvo type="percent" val="0"/>
        <cfvo type="num" val="0"/>
        <cfvo type="num" val="1"/>
      </iconSet>
    </cfRule>
  </conditionalFormatting>
  <conditionalFormatting sqref="I60:I61">
    <cfRule type="iconSet" priority="453">
      <iconSet iconSet="3Symbols2" showValue="0">
        <cfvo type="percent" val="0"/>
        <cfvo type="num" val="0"/>
        <cfvo type="num" val="1"/>
      </iconSet>
    </cfRule>
  </conditionalFormatting>
  <conditionalFormatting sqref="P25:P36">
    <cfRule type="iconSet" priority="449">
      <iconSet iconSet="3Symbols2" showValue="0">
        <cfvo type="percent" val="0"/>
        <cfvo type="num" val="0"/>
        <cfvo type="num" val="1"/>
      </iconSet>
    </cfRule>
  </conditionalFormatting>
  <conditionalFormatting sqref="Q25:Q36">
    <cfRule type="iconSet" priority="448">
      <iconSet iconSet="3Symbols2" showValue="0">
        <cfvo type="percent" val="0"/>
        <cfvo type="num" val="0"/>
        <cfvo type="num" val="1"/>
      </iconSet>
    </cfRule>
  </conditionalFormatting>
  <conditionalFormatting sqref="S25:S32">
    <cfRule type="iconSet" priority="447">
      <iconSet iconSet="3Symbols2" showValue="0">
        <cfvo type="percent" val="0"/>
        <cfvo type="num" val="0"/>
        <cfvo type="num" val="1"/>
      </iconSet>
    </cfRule>
  </conditionalFormatting>
  <conditionalFormatting sqref="R25:R26 R28:R33 S33:S36">
    <cfRule type="iconSet" priority="446">
      <iconSet iconSet="3Symbols2" showValue="0">
        <cfvo type="percent" val="0"/>
        <cfvo type="num" val="0"/>
        <cfvo type="num" val="1"/>
      </iconSet>
    </cfRule>
  </conditionalFormatting>
  <conditionalFormatting sqref="P60:P61">
    <cfRule type="iconSet" priority="445">
      <iconSet iconSet="3Symbols2" showValue="0">
        <cfvo type="percent" val="0"/>
        <cfvo type="num" val="0"/>
        <cfvo type="num" val="1"/>
      </iconSet>
    </cfRule>
  </conditionalFormatting>
  <conditionalFormatting sqref="P62:P64">
    <cfRule type="iconSet" priority="444">
      <iconSet iconSet="3Symbols2" showValue="0">
        <cfvo type="percent" val="0"/>
        <cfvo type="num" val="0"/>
        <cfvo type="num" val="1"/>
      </iconSet>
    </cfRule>
  </conditionalFormatting>
  <conditionalFormatting sqref="P58:P59">
    <cfRule type="iconSet" priority="443">
      <iconSet iconSet="3Symbols2" showValue="0">
        <cfvo type="percent" val="0"/>
        <cfvo type="num" val="0"/>
        <cfvo type="num" val="1"/>
      </iconSet>
    </cfRule>
  </conditionalFormatting>
  <conditionalFormatting sqref="R60:R61">
    <cfRule type="iconSet" priority="442">
      <iconSet iconSet="3Symbols2" showValue="0">
        <cfvo type="percent" val="0"/>
        <cfvo type="num" val="0"/>
        <cfvo type="num" val="1"/>
      </iconSet>
    </cfRule>
  </conditionalFormatting>
  <conditionalFormatting sqref="S62:S64">
    <cfRule type="iconSet" priority="441">
      <iconSet iconSet="3Symbols2" showValue="0">
        <cfvo type="percent" val="0"/>
        <cfvo type="num" val="0"/>
        <cfvo type="num" val="1"/>
      </iconSet>
    </cfRule>
  </conditionalFormatting>
  <conditionalFormatting sqref="Q58:Q64">
    <cfRule type="iconSet" priority="440">
      <iconSet iconSet="3Symbols2" showValue="0">
        <cfvo type="percent" val="0"/>
        <cfvo type="num" val="0"/>
        <cfvo type="num" val="1"/>
      </iconSet>
    </cfRule>
  </conditionalFormatting>
  <conditionalFormatting sqref="S58:S61">
    <cfRule type="iconSet" priority="439">
      <iconSet iconSet="3Symbols2" showValue="0">
        <cfvo type="percent" val="0"/>
        <cfvo type="num" val="0"/>
        <cfvo type="num" val="1"/>
      </iconSet>
    </cfRule>
  </conditionalFormatting>
  <conditionalFormatting sqref="R58:R59">
    <cfRule type="iconSet" priority="438">
      <iconSet iconSet="3Symbols2" showValue="0">
        <cfvo type="percent" val="0"/>
        <cfvo type="num" val="0"/>
        <cfvo type="num" val="1"/>
      </iconSet>
    </cfRule>
  </conditionalFormatting>
  <conditionalFormatting sqref="P81">
    <cfRule type="iconSet" priority="437">
      <iconSet iconSet="3Symbols2" showValue="0">
        <cfvo type="percent" val="0"/>
        <cfvo type="num" val="0"/>
        <cfvo type="num" val="1"/>
      </iconSet>
    </cfRule>
  </conditionalFormatting>
  <conditionalFormatting sqref="R81">
    <cfRule type="iconSet" priority="436">
      <iconSet iconSet="3Symbols2" showValue="0">
        <cfvo type="percent" val="0"/>
        <cfvo type="num" val="0"/>
        <cfvo type="num" val="1"/>
      </iconSet>
    </cfRule>
  </conditionalFormatting>
  <conditionalFormatting sqref="P116:P121">
    <cfRule type="iconSet" priority="435">
      <iconSet iconSet="3Symbols2" showValue="0">
        <cfvo type="percent" val="0"/>
        <cfvo type="num" val="0"/>
        <cfvo type="num" val="1"/>
      </iconSet>
    </cfRule>
  </conditionalFormatting>
  <conditionalFormatting sqref="R116:R121">
    <cfRule type="iconSet" priority="434">
      <iconSet iconSet="3Symbols2" showValue="0">
        <cfvo type="percent" val="0"/>
        <cfvo type="num" val="0"/>
        <cfvo type="num" val="1"/>
      </iconSet>
    </cfRule>
  </conditionalFormatting>
  <conditionalFormatting sqref="P162:P164">
    <cfRule type="iconSet" priority="433">
      <iconSet iconSet="3Symbols2" showValue="0">
        <cfvo type="percent" val="0"/>
        <cfvo type="num" val="0"/>
        <cfvo type="num" val="1"/>
      </iconSet>
    </cfRule>
  </conditionalFormatting>
  <conditionalFormatting sqref="R162:R164">
    <cfRule type="iconSet" priority="432">
      <iconSet iconSet="3Symbols2" showValue="0">
        <cfvo type="percent" val="0"/>
        <cfvo type="num" val="0"/>
        <cfvo type="num" val="1"/>
      </iconSet>
    </cfRule>
  </conditionalFormatting>
  <conditionalFormatting sqref="Q162:Q164">
    <cfRule type="iconSet" priority="431">
      <iconSet iconSet="3Symbols2" showValue="0">
        <cfvo type="percent" val="0"/>
        <cfvo type="num" val="0"/>
        <cfvo type="num" val="1"/>
      </iconSet>
    </cfRule>
  </conditionalFormatting>
  <conditionalFormatting sqref="P170">
    <cfRule type="iconSet" priority="430">
      <iconSet iconSet="3Symbols2" showValue="0">
        <cfvo type="percent" val="0"/>
        <cfvo type="num" val="0"/>
        <cfvo type="num" val="1"/>
      </iconSet>
    </cfRule>
  </conditionalFormatting>
  <conditionalFormatting sqref="R170">
    <cfRule type="iconSet" priority="429">
      <iconSet iconSet="3Symbols2" showValue="0">
        <cfvo type="percent" val="0"/>
        <cfvo type="num" val="0"/>
        <cfvo type="num" val="1"/>
      </iconSet>
    </cfRule>
  </conditionalFormatting>
  <conditionalFormatting sqref="Q170">
    <cfRule type="iconSet" priority="428">
      <iconSet iconSet="3Symbols2" showValue="0">
        <cfvo type="percent" val="0"/>
        <cfvo type="num" val="0"/>
        <cfvo type="num" val="1"/>
      </iconSet>
    </cfRule>
  </conditionalFormatting>
  <conditionalFormatting sqref="R642:R646">
    <cfRule type="iconSet" priority="423">
      <iconSet iconSet="3Symbols2" showValue="0">
        <cfvo type="percent" val="0"/>
        <cfvo type="num" val="0"/>
        <cfvo type="num" val="1"/>
      </iconSet>
    </cfRule>
  </conditionalFormatting>
  <conditionalFormatting sqref="R677:R680">
    <cfRule type="iconSet" priority="421">
      <iconSet iconSet="3Symbols2" showValue="0">
        <cfvo type="percent" val="0"/>
        <cfvo type="num" val="0"/>
        <cfvo type="num" val="1"/>
      </iconSet>
    </cfRule>
  </conditionalFormatting>
  <conditionalFormatting sqref="R27">
    <cfRule type="iconSet" priority="416">
      <iconSet iconSet="3Symbols2" showValue="0">
        <cfvo type="percent" val="0"/>
        <cfvo type="num" val="0"/>
        <cfvo type="num" val="1"/>
      </iconSet>
    </cfRule>
  </conditionalFormatting>
  <conditionalFormatting sqref="P67:P68">
    <cfRule type="iconSet" priority="415">
      <iconSet iconSet="3Symbols2" showValue="0">
        <cfvo type="percent" val="0"/>
        <cfvo type="num" val="0"/>
        <cfvo type="num" val="1"/>
      </iconSet>
    </cfRule>
  </conditionalFormatting>
  <conditionalFormatting sqref="Q67:Q68">
    <cfRule type="iconSet" priority="414">
      <iconSet iconSet="3Symbols2" showValue="0">
        <cfvo type="percent" val="0"/>
        <cfvo type="num" val="0"/>
        <cfvo type="num" val="1"/>
      </iconSet>
    </cfRule>
  </conditionalFormatting>
  <conditionalFormatting sqref="P135:P136">
    <cfRule type="iconSet" priority="413">
      <iconSet iconSet="3Symbols2" showValue="0">
        <cfvo type="percent" val="0"/>
        <cfvo type="num" val="0"/>
        <cfvo type="num" val="1"/>
      </iconSet>
    </cfRule>
  </conditionalFormatting>
  <conditionalFormatting sqref="R135:R136">
    <cfRule type="iconSet" priority="412">
      <iconSet iconSet="3Symbols2" showValue="0">
        <cfvo type="percent" val="0"/>
        <cfvo type="num" val="0"/>
        <cfvo type="num" val="1"/>
      </iconSet>
    </cfRule>
  </conditionalFormatting>
  <conditionalFormatting sqref="Q135:Q136">
    <cfRule type="iconSet" priority="411">
      <iconSet iconSet="3Symbols2" showValue="0">
        <cfvo type="percent" val="0"/>
        <cfvo type="num" val="0"/>
        <cfvo type="num" val="1"/>
      </iconSet>
    </cfRule>
  </conditionalFormatting>
  <conditionalFormatting sqref="P145:P147">
    <cfRule type="iconSet" priority="410">
      <iconSet iconSet="3Symbols2" showValue="0">
        <cfvo type="percent" val="0"/>
        <cfvo type="num" val="0"/>
        <cfvo type="num" val="1"/>
      </iconSet>
    </cfRule>
  </conditionalFormatting>
  <conditionalFormatting sqref="R145:R147">
    <cfRule type="iconSet" priority="409">
      <iconSet iconSet="3Symbols2" showValue="0">
        <cfvo type="percent" val="0"/>
        <cfvo type="num" val="0"/>
        <cfvo type="num" val="1"/>
      </iconSet>
    </cfRule>
  </conditionalFormatting>
  <conditionalFormatting sqref="Q145:Q147">
    <cfRule type="iconSet" priority="408">
      <iconSet iconSet="3Symbols2" showValue="0">
        <cfvo type="percent" val="0"/>
        <cfvo type="num" val="0"/>
        <cfvo type="num" val="1"/>
      </iconSet>
    </cfRule>
  </conditionalFormatting>
  <conditionalFormatting sqref="P161">
    <cfRule type="iconSet" priority="407">
      <iconSet iconSet="3Symbols2" showValue="0">
        <cfvo type="percent" val="0"/>
        <cfvo type="num" val="0"/>
        <cfvo type="num" val="1"/>
      </iconSet>
    </cfRule>
  </conditionalFormatting>
  <conditionalFormatting sqref="R161">
    <cfRule type="iconSet" priority="406">
      <iconSet iconSet="3Symbols2" showValue="0">
        <cfvo type="percent" val="0"/>
        <cfvo type="num" val="0"/>
        <cfvo type="num" val="1"/>
      </iconSet>
    </cfRule>
  </conditionalFormatting>
  <conditionalFormatting sqref="Q161">
    <cfRule type="iconSet" priority="405">
      <iconSet iconSet="3Symbols2" showValue="0">
        <cfvo type="percent" val="0"/>
        <cfvo type="num" val="0"/>
        <cfvo type="num" val="1"/>
      </iconSet>
    </cfRule>
  </conditionalFormatting>
  <conditionalFormatting sqref="P596:Q604">
    <cfRule type="iconSet" priority="384">
      <iconSet iconSet="3Symbols2" showValue="0">
        <cfvo type="percent" val="0"/>
        <cfvo type="num" val="0"/>
        <cfvo type="num" val="1"/>
      </iconSet>
    </cfRule>
  </conditionalFormatting>
  <conditionalFormatting sqref="K313:L313">
    <cfRule type="iconSet" priority="381">
      <iconSet iconSet="3Symbols2" showValue="0">
        <cfvo type="percent" val="0"/>
        <cfvo type="num" val="0"/>
        <cfvo type="num" val="1"/>
      </iconSet>
    </cfRule>
  </conditionalFormatting>
  <conditionalFormatting sqref="P313:Q313">
    <cfRule type="iconSet" priority="380">
      <iconSet iconSet="3Symbols2" showValue="0">
        <cfvo type="percent" val="0"/>
        <cfvo type="num" val="0"/>
        <cfvo type="num" val="1"/>
      </iconSet>
    </cfRule>
  </conditionalFormatting>
  <conditionalFormatting sqref="I698 K698:L698">
    <cfRule type="iconSet" priority="378">
      <iconSet iconSet="3Symbols2" showValue="0">
        <cfvo type="percent" val="0"/>
        <cfvo type="num" val="0"/>
        <cfvo type="num" val="1"/>
      </iconSet>
    </cfRule>
  </conditionalFormatting>
  <conditionalFormatting sqref="I702 K702:L702">
    <cfRule type="iconSet" priority="377">
      <iconSet iconSet="3Symbols2" showValue="0">
        <cfvo type="percent" val="0"/>
        <cfvo type="num" val="0"/>
        <cfvo type="num" val="1"/>
      </iconSet>
    </cfRule>
  </conditionalFormatting>
  <conditionalFormatting sqref="L686:M689">
    <cfRule type="iconSet" priority="374">
      <iconSet iconSet="3Symbols2" showValue="0">
        <cfvo type="percent" val="0"/>
        <cfvo type="num" val="0"/>
        <cfvo type="num" val="1"/>
      </iconSet>
    </cfRule>
  </conditionalFormatting>
  <conditionalFormatting sqref="P694">
    <cfRule type="iconSet" priority="373">
      <iconSet iconSet="3Symbols2" showValue="0">
        <cfvo type="percent" val="0"/>
        <cfvo type="num" val="0"/>
        <cfvo type="num" val="1"/>
      </iconSet>
    </cfRule>
  </conditionalFormatting>
  <conditionalFormatting sqref="P699">
    <cfRule type="iconSet" priority="372">
      <iconSet iconSet="3Symbols2" showValue="0">
        <cfvo type="percent" val="0"/>
        <cfvo type="num" val="0"/>
        <cfvo type="num" val="1"/>
      </iconSet>
    </cfRule>
  </conditionalFormatting>
  <conditionalFormatting sqref="M698">
    <cfRule type="iconSet" priority="350">
      <iconSet iconSet="3Symbols2" showValue="0">
        <cfvo type="percent" val="0"/>
        <cfvo type="num" val="0"/>
        <cfvo type="num" val="1"/>
      </iconSet>
    </cfRule>
  </conditionalFormatting>
  <conditionalFormatting sqref="M702">
    <cfRule type="iconSet" priority="349">
      <iconSet iconSet="3Symbols2" showValue="0">
        <cfvo type="percent" val="0"/>
        <cfvo type="num" val="0"/>
        <cfvo type="num" val="1"/>
      </iconSet>
    </cfRule>
  </conditionalFormatting>
  <conditionalFormatting sqref="P153:P155">
    <cfRule type="iconSet" priority="340">
      <iconSet iconSet="3Symbols2" showValue="0">
        <cfvo type="percent" val="0"/>
        <cfvo type="num" val="0"/>
        <cfvo type="num" val="1"/>
      </iconSet>
    </cfRule>
  </conditionalFormatting>
  <conditionalFormatting sqref="R153:R155">
    <cfRule type="iconSet" priority="339">
      <iconSet iconSet="3Symbols2" showValue="0">
        <cfvo type="percent" val="0"/>
        <cfvo type="num" val="0"/>
        <cfvo type="num" val="1"/>
      </iconSet>
    </cfRule>
  </conditionalFormatting>
  <conditionalFormatting sqref="P167">
    <cfRule type="iconSet" priority="338">
      <iconSet iconSet="3Symbols2" showValue="0">
        <cfvo type="percent" val="0"/>
        <cfvo type="num" val="0"/>
        <cfvo type="num" val="1"/>
      </iconSet>
    </cfRule>
  </conditionalFormatting>
  <conditionalFormatting sqref="R167">
    <cfRule type="iconSet" priority="337">
      <iconSet iconSet="3Symbols2" showValue="0">
        <cfvo type="percent" val="0"/>
        <cfvo type="num" val="0"/>
        <cfvo type="num" val="1"/>
      </iconSet>
    </cfRule>
  </conditionalFormatting>
  <conditionalFormatting sqref="P150">
    <cfRule type="iconSet" priority="331">
      <iconSet iconSet="3Symbols2" showValue="0">
        <cfvo type="percent" val="0"/>
        <cfvo type="num" val="0"/>
        <cfvo type="num" val="1"/>
      </iconSet>
    </cfRule>
  </conditionalFormatting>
  <conditionalFormatting sqref="R150">
    <cfRule type="iconSet" priority="330">
      <iconSet iconSet="3Symbols2" showValue="0">
        <cfvo type="percent" val="0"/>
        <cfvo type="num" val="0"/>
        <cfvo type="num" val="1"/>
      </iconSet>
    </cfRule>
  </conditionalFormatting>
  <conditionalFormatting sqref="P157">
    <cfRule type="iconSet" priority="329">
      <iconSet iconSet="3Symbols2" showValue="0">
        <cfvo type="percent" val="0"/>
        <cfvo type="num" val="0"/>
        <cfvo type="num" val="1"/>
      </iconSet>
    </cfRule>
  </conditionalFormatting>
  <conditionalFormatting sqref="R157">
    <cfRule type="iconSet" priority="328">
      <iconSet iconSet="3Symbols2" showValue="0">
        <cfvo type="percent" val="0"/>
        <cfvo type="num" val="0"/>
        <cfvo type="num" val="1"/>
      </iconSet>
    </cfRule>
  </conditionalFormatting>
  <conditionalFormatting sqref="R158">
    <cfRule type="iconSet" priority="327">
      <iconSet iconSet="3Symbols2" showValue="0">
        <cfvo type="percent" val="0"/>
        <cfvo type="num" val="0"/>
        <cfvo type="num" val="1"/>
      </iconSet>
    </cfRule>
  </conditionalFormatting>
  <conditionalFormatting sqref="P158">
    <cfRule type="iconSet" priority="326">
      <iconSet iconSet="3Symbols2" showValue="0">
        <cfvo type="percent" val="0"/>
        <cfvo type="num" val="0"/>
        <cfvo type="num" val="1"/>
      </iconSet>
    </cfRule>
  </conditionalFormatting>
  <conditionalFormatting sqref="R1015">
    <cfRule type="iconSet" priority="100859">
      <iconSet iconSet="3Symbols2" showValue="0">
        <cfvo type="percent" val="0"/>
        <cfvo type="num" val="0"/>
        <cfvo type="num" val="1"/>
      </iconSet>
    </cfRule>
  </conditionalFormatting>
  <conditionalFormatting sqref="P647">
    <cfRule type="iconSet" priority="295">
      <iconSet iconSet="3Symbols2" showValue="0">
        <cfvo type="percent" val="0"/>
        <cfvo type="num" val="0"/>
        <cfvo type="num" val="1"/>
      </iconSet>
    </cfRule>
  </conditionalFormatting>
  <conditionalFormatting sqref="P655">
    <cfRule type="iconSet" priority="294">
      <iconSet iconSet="3Symbols2" showValue="0">
        <cfvo type="percent" val="0"/>
        <cfvo type="num" val="0"/>
        <cfvo type="num" val="1"/>
      </iconSet>
    </cfRule>
  </conditionalFormatting>
  <conditionalFormatting sqref="P648 P656 P640:P646 P677:P684">
    <cfRule type="iconSet" priority="296">
      <iconSet iconSet="3Symbols2" showValue="0">
        <cfvo type="percent" val="0"/>
        <cfvo type="num" val="0"/>
        <cfvo type="num" val="1"/>
      </iconSet>
    </cfRule>
  </conditionalFormatting>
  <conditionalFormatting sqref="Q647">
    <cfRule type="iconSet" priority="292">
      <iconSet iconSet="3Symbols2" showValue="0">
        <cfvo type="percent" val="0"/>
        <cfvo type="num" val="0"/>
        <cfvo type="num" val="1"/>
      </iconSet>
    </cfRule>
  </conditionalFormatting>
  <conditionalFormatting sqref="Q655">
    <cfRule type="iconSet" priority="291">
      <iconSet iconSet="3Symbols2" showValue="0">
        <cfvo type="percent" val="0"/>
        <cfvo type="num" val="0"/>
        <cfvo type="num" val="1"/>
      </iconSet>
    </cfRule>
  </conditionalFormatting>
  <conditionalFormatting sqref="Q648:Q654 Q630:Q646 Q656:Q684">
    <cfRule type="iconSet" priority="293">
      <iconSet iconSet="3Symbols2" showValue="0">
        <cfvo type="percent" val="0"/>
        <cfvo type="num" val="0"/>
        <cfvo type="num" val="1"/>
      </iconSet>
    </cfRule>
  </conditionalFormatting>
  <conditionalFormatting sqref="K837">
    <cfRule type="iconSet" priority="289">
      <iconSet iconSet="3Symbols2" showValue="0">
        <cfvo type="percent" val="0"/>
        <cfvo type="num" val="0"/>
        <cfvo type="num" val="1"/>
      </iconSet>
    </cfRule>
  </conditionalFormatting>
  <conditionalFormatting sqref="L837:M837">
    <cfRule type="iconSet" priority="287">
      <iconSet iconSet="3Symbols2" showValue="0">
        <cfvo type="percent" val="0"/>
        <cfvo type="num" val="0"/>
        <cfvo type="num" val="1"/>
      </iconSet>
    </cfRule>
  </conditionalFormatting>
  <conditionalFormatting sqref="R832:R836">
    <cfRule type="iconSet" priority="285">
      <iconSet iconSet="3Symbols2" showValue="0">
        <cfvo type="percent" val="0"/>
        <cfvo type="num" val="0"/>
        <cfvo type="num" val="1"/>
      </iconSet>
    </cfRule>
  </conditionalFormatting>
  <conditionalFormatting sqref="P875">
    <cfRule type="iconSet" priority="284">
      <iconSet iconSet="3Symbols2" showValue="0">
        <cfvo type="percent" val="0"/>
        <cfvo type="num" val="0"/>
        <cfvo type="num" val="1"/>
      </iconSet>
    </cfRule>
  </conditionalFormatting>
  <conditionalFormatting sqref="R867:R870">
    <cfRule type="iconSet" priority="283">
      <iconSet iconSet="3Symbols2" showValue="0">
        <cfvo type="percent" val="0"/>
        <cfvo type="num" val="0"/>
        <cfvo type="num" val="1"/>
      </iconSet>
    </cfRule>
  </conditionalFormatting>
  <conditionalFormatting sqref="S871:S875">
    <cfRule type="iconSet" priority="282">
      <iconSet iconSet="3Symbols2" showValue="0">
        <cfvo type="percent" val="0"/>
        <cfvo type="num" val="0"/>
        <cfvo type="num" val="1"/>
      </iconSet>
    </cfRule>
  </conditionalFormatting>
  <conditionalFormatting sqref="Q837">
    <cfRule type="iconSet" priority="276">
      <iconSet iconSet="3Symbols2" showValue="0">
        <cfvo type="percent" val="0"/>
        <cfvo type="num" val="0"/>
        <cfvo type="num" val="1"/>
      </iconSet>
    </cfRule>
  </conditionalFormatting>
  <conditionalFormatting sqref="Q845">
    <cfRule type="iconSet" priority="275">
      <iconSet iconSet="3Symbols2" showValue="0">
        <cfvo type="percent" val="0"/>
        <cfvo type="num" val="0"/>
        <cfvo type="num" val="1"/>
      </iconSet>
    </cfRule>
  </conditionalFormatting>
  <conditionalFormatting sqref="Q838:Q844 Q820:Q836 Q846:Q874">
    <cfRule type="iconSet" priority="274">
      <iconSet iconSet="3Symbols2" showValue="0">
        <cfvo type="percent" val="0"/>
        <cfvo type="num" val="0"/>
        <cfvo type="num" val="1"/>
      </iconSet>
    </cfRule>
  </conditionalFormatting>
  <conditionalFormatting sqref="L838:M838 M839:M844 K839:K844 L830:M831 M820:M829 K820:K829 L875:M875 K846:K866 M832:M836 M846:M874">
    <cfRule type="iconSet" priority="272">
      <iconSet iconSet="3Symbols2" showValue="0">
        <cfvo type="percent" val="0"/>
        <cfvo type="num" val="0"/>
        <cfvo type="num" val="1"/>
      </iconSet>
    </cfRule>
  </conditionalFormatting>
  <conditionalFormatting sqref="N838 N867:N875 N795:N819 N830:N836 N738:N785">
    <cfRule type="iconSet" priority="271">
      <iconSet iconSet="3Symbols2" showValue="0">
        <cfvo type="percent" val="0"/>
        <cfvo type="num" val="0"/>
        <cfvo type="num" val="1"/>
      </iconSet>
    </cfRule>
  </conditionalFormatting>
  <conditionalFormatting sqref="N837">
    <cfRule type="iconSet" priority="270">
      <iconSet iconSet="3Symbols2" showValue="0">
        <cfvo type="percent" val="0"/>
        <cfvo type="num" val="0"/>
        <cfvo type="num" val="1"/>
      </iconSet>
    </cfRule>
  </conditionalFormatting>
  <conditionalFormatting sqref="N786:N794">
    <cfRule type="iconSet" priority="268">
      <iconSet iconSet="3Symbols2" showValue="0">
        <cfvo type="percent" val="0"/>
        <cfvo type="num" val="0"/>
        <cfvo type="num" val="1"/>
      </iconSet>
    </cfRule>
  </conditionalFormatting>
  <conditionalFormatting sqref="N820:N829">
    <cfRule type="iconSet" priority="267">
      <iconSet iconSet="3Symbols2" showValue="0">
        <cfvo type="percent" val="0"/>
        <cfvo type="num" val="0"/>
        <cfvo type="num" val="1"/>
      </iconSet>
    </cfRule>
  </conditionalFormatting>
  <conditionalFormatting sqref="M1012:P1012 K1015 K838 I648 I494:I495 I510:I511 I513:I514 K475:K521 I474:I489 I142:I147 K531:K532 K648 K76:K95 K161:K166 P1:P5 K656 K443 K4 K65 K46:K59 K14:K16 K8:K9 K67:K74 K145:K147 K320 K1:O3 K5:O5 K25:K36 K151 K640:K646 K605:K629 K596:L604 I656 K677:K689 N1011:O1011 N1013:O1014 I160:I166 K1016:P1048576 K830:K836 K867:K875 I151:I152 I605:I629 I640:I646 I677:I689 I518:I521 K554:K595 I699 K723 K727 K718:K721 K710:K713 I727 I703 I723 I1011:I1048576 I694:I695 I709:I713 I718:I719 I733:I737 I531:I532 I538:I539 I554:I595 K538:K539 K699:L699 K703:L703 K694:L697 I1:I59 P1013:P1015 K1005:K1010 N1004:O1004 I1004 K974:K1003 K933:K972 I876:I974 K877:K931 K141:K142 K116:K139 K168:K232 K302:K304 I302:I308 K294:K296 I294:I300 K286:K288 I286:I292 K278:K280 I278:I284 K270:K272 I270:I276 K262:K264 I262:I268 K254:K256 I254:I260 I168:I252 K310:K312 I310:I312 K406 I403 K398:K400 K409 I406 I409 I398:I400 K412:K437 K331 I328 I379:I390 K323:K325 K334 I331 I334 I323:I325 K337:K362 I411:I443 K364:K365 I336:I376 I62:I136 K314:K318 I314:I320 K734:K819">
    <cfRule type="iconSet" priority="103378">
      <iconSet iconSet="3Symbols2" showValue="0">
        <cfvo type="percent" val="0"/>
        <cfvo type="num" val="0"/>
        <cfvo type="num" val="1"/>
      </iconSet>
    </cfRule>
  </conditionalFormatting>
  <conditionalFormatting sqref="K845 M845:N845">
    <cfRule type="iconSet" priority="103578">
      <iconSet iconSet="3Symbols2" showValue="0">
        <cfvo type="percent" val="0"/>
        <cfvo type="num" val="0"/>
        <cfvo type="num" val="1"/>
      </iconSet>
    </cfRule>
  </conditionalFormatting>
  <conditionalFormatting sqref="N839:N844 N846:N866">
    <cfRule type="iconSet" priority="266">
      <iconSet iconSet="3Symbols2" showValue="0">
        <cfvo type="percent" val="0"/>
        <cfvo type="num" val="0"/>
        <cfvo type="num" val="1"/>
      </iconSet>
    </cfRule>
  </conditionalFormatting>
  <conditionalFormatting sqref="P630:P639">
    <cfRule type="iconSet" priority="264">
      <iconSet iconSet="3Symbols2" showValue="0">
        <cfvo type="percent" val="0"/>
        <cfvo type="num" val="0"/>
        <cfvo type="num" val="1"/>
      </iconSet>
    </cfRule>
  </conditionalFormatting>
  <conditionalFormatting sqref="R630:R639">
    <cfRule type="iconSet" priority="263">
      <iconSet iconSet="3Symbols2" showValue="0">
        <cfvo type="percent" val="0"/>
        <cfvo type="num" val="0"/>
        <cfvo type="num" val="1"/>
      </iconSet>
    </cfRule>
  </conditionalFormatting>
  <conditionalFormatting sqref="P657:P676 P649:P654">
    <cfRule type="iconSet" priority="262">
      <iconSet iconSet="3Symbols2" showValue="0">
        <cfvo type="percent" val="0"/>
        <cfvo type="num" val="0"/>
        <cfvo type="num" val="1"/>
      </iconSet>
    </cfRule>
  </conditionalFormatting>
  <conditionalFormatting sqref="S657:S676 S649:S654">
    <cfRule type="iconSet" priority="261">
      <iconSet iconSet="3Symbols2" showValue="0">
        <cfvo type="percent" val="0"/>
        <cfvo type="num" val="0"/>
        <cfvo type="num" val="1"/>
      </iconSet>
    </cfRule>
  </conditionalFormatting>
  <conditionalFormatting sqref="S630:S639">
    <cfRule type="iconSet" priority="260">
      <iconSet iconSet="3Symbols2" showValue="0">
        <cfvo type="percent" val="0"/>
        <cfvo type="num" val="0"/>
        <cfvo type="num" val="1"/>
      </iconSet>
    </cfRule>
  </conditionalFormatting>
  <conditionalFormatting sqref="S148:S149">
    <cfRule type="iconSet" priority="259">
      <iconSet iconSet="3Symbols2" showValue="0">
        <cfvo type="percent" val="0"/>
        <cfvo type="num" val="0"/>
        <cfvo type="num" val="1"/>
      </iconSet>
    </cfRule>
  </conditionalFormatting>
  <conditionalFormatting sqref="P148:P149">
    <cfRule type="iconSet" priority="258">
      <iconSet iconSet="3Symbols2" showValue="0">
        <cfvo type="percent" val="0"/>
        <cfvo type="num" val="0"/>
        <cfvo type="num" val="1"/>
      </iconSet>
    </cfRule>
  </conditionalFormatting>
  <conditionalFormatting sqref="L847:L874 L839:L844 L832:L836 L820:L829 L804:L814 L800:L801 L797 L786:L794 L779:L780 L768:L776 L765 L760:L762 L738:L757">
    <cfRule type="iconSet" priority="252">
      <iconSet iconSet="3Symbols2" showValue="0">
        <cfvo type="percent" val="0"/>
        <cfvo type="num" val="0"/>
        <cfvo type="num" val="1"/>
      </iconSet>
    </cfRule>
  </conditionalFormatting>
  <conditionalFormatting sqref="P696:P697">
    <cfRule type="iconSet" priority="121882">
      <iconSet iconSet="3Symbols2" showValue="0">
        <cfvo type="percent" val="0"/>
        <cfvo type="num" val="0"/>
        <cfvo type="num" val="1"/>
      </iconSet>
    </cfRule>
  </conditionalFormatting>
  <conditionalFormatting sqref="R696:R697">
    <cfRule type="iconSet" priority="121883">
      <iconSet iconSet="3Symbols2" showValue="0">
        <cfvo type="percent" val="0"/>
        <cfvo type="num" val="0"/>
        <cfvo type="num" val="1"/>
      </iconSet>
    </cfRule>
  </conditionalFormatting>
  <conditionalFormatting sqref="K704:K708 K690:K693 K700:K701">
    <cfRule type="iconSet" priority="124589">
      <iconSet iconSet="3Symbols2" showValue="0">
        <cfvo type="percent" val="0"/>
        <cfvo type="num" val="0"/>
        <cfvo type="num" val="1"/>
      </iconSet>
    </cfRule>
  </conditionalFormatting>
  <conditionalFormatting sqref="M704:M708 M690:M693 M700:M701">
    <cfRule type="iconSet" priority="124592">
      <iconSet iconSet="3Symbols2" showValue="0">
        <cfvo type="percent" val="0"/>
        <cfvo type="num" val="0"/>
        <cfvo type="num" val="1"/>
      </iconSet>
    </cfRule>
  </conditionalFormatting>
  <conditionalFormatting sqref="P695 P698 P686:P693 P700:P708">
    <cfRule type="iconSet" priority="124595">
      <iconSet iconSet="3Symbols2" showValue="0">
        <cfvo type="percent" val="0"/>
        <cfvo type="num" val="0"/>
        <cfvo type="num" val="1"/>
      </iconSet>
    </cfRule>
  </conditionalFormatting>
  <conditionalFormatting sqref="M703 M699 M694:M697">
    <cfRule type="iconSet" priority="124824">
      <iconSet iconSet="3Symbols2" showValue="0">
        <cfvo type="percent" val="0"/>
        <cfvo type="num" val="0"/>
        <cfvo type="num" val="1"/>
      </iconSet>
    </cfRule>
  </conditionalFormatting>
  <conditionalFormatting sqref="S686:S708">
    <cfRule type="iconSet" priority="125127">
      <iconSet iconSet="3Symbols2" showValue="0">
        <cfvo type="percent" val="0"/>
        <cfvo type="num" val="0"/>
        <cfvo type="num" val="1"/>
      </iconSet>
    </cfRule>
  </conditionalFormatting>
  <conditionalFormatting sqref="P709 P685 P733">
    <cfRule type="iconSet" priority="125303">
      <iconSet iconSet="3Symbols2" showValue="0">
        <cfvo type="percent" val="0"/>
        <cfvo type="num" val="0"/>
        <cfvo type="num" val="1"/>
      </iconSet>
    </cfRule>
  </conditionalFormatting>
  <conditionalFormatting sqref="S709 S681:S685 S733">
    <cfRule type="iconSet" priority="125305">
      <iconSet iconSet="3Symbols2" showValue="0">
        <cfvo type="percent" val="0"/>
        <cfvo type="num" val="0"/>
        <cfvo type="num" val="1"/>
      </iconSet>
    </cfRule>
  </conditionalFormatting>
  <conditionalFormatting sqref="I722 K722">
    <cfRule type="iconSet" priority="245">
      <iconSet iconSet="3Symbols2" showValue="0">
        <cfvo type="percent" val="0"/>
        <cfvo type="num" val="0"/>
        <cfvo type="num" val="1"/>
      </iconSet>
    </cfRule>
  </conditionalFormatting>
  <conditionalFormatting sqref="I726 K726">
    <cfRule type="iconSet" priority="244">
      <iconSet iconSet="3Symbols2" showValue="0">
        <cfvo type="percent" val="0"/>
        <cfvo type="num" val="0"/>
        <cfvo type="num" val="1"/>
      </iconSet>
    </cfRule>
  </conditionalFormatting>
  <conditionalFormatting sqref="L722">
    <cfRule type="iconSet" priority="243">
      <iconSet iconSet="3Symbols2" showValue="0">
        <cfvo type="percent" val="0"/>
        <cfvo type="num" val="0"/>
        <cfvo type="num" val="1"/>
      </iconSet>
    </cfRule>
  </conditionalFormatting>
  <conditionalFormatting sqref="L726">
    <cfRule type="iconSet" priority="242">
      <iconSet iconSet="3Symbols2" showValue="0">
        <cfvo type="percent" val="0"/>
        <cfvo type="num" val="0"/>
        <cfvo type="num" val="1"/>
      </iconSet>
    </cfRule>
  </conditionalFormatting>
  <conditionalFormatting sqref="L710:M713">
    <cfRule type="iconSet" priority="241">
      <iconSet iconSet="3Symbols2" showValue="0">
        <cfvo type="percent" val="0"/>
        <cfvo type="num" val="0"/>
        <cfvo type="num" val="1"/>
      </iconSet>
    </cfRule>
  </conditionalFormatting>
  <conditionalFormatting sqref="P718">
    <cfRule type="iconSet" priority="240">
      <iconSet iconSet="3Symbols2" showValue="0">
        <cfvo type="percent" val="0"/>
        <cfvo type="num" val="0"/>
        <cfvo type="num" val="1"/>
      </iconSet>
    </cfRule>
  </conditionalFormatting>
  <conditionalFormatting sqref="P723">
    <cfRule type="iconSet" priority="239">
      <iconSet iconSet="3Symbols2" showValue="0">
        <cfvo type="percent" val="0"/>
        <cfvo type="num" val="0"/>
        <cfvo type="num" val="1"/>
      </iconSet>
    </cfRule>
  </conditionalFormatting>
  <conditionalFormatting sqref="M722">
    <cfRule type="iconSet" priority="238">
      <iconSet iconSet="3Symbols2" showValue="0">
        <cfvo type="percent" val="0"/>
        <cfvo type="num" val="0"/>
        <cfvo type="num" val="1"/>
      </iconSet>
    </cfRule>
  </conditionalFormatting>
  <conditionalFormatting sqref="M726">
    <cfRule type="iconSet" priority="237">
      <iconSet iconSet="3Symbols2" showValue="0">
        <cfvo type="percent" val="0"/>
        <cfvo type="num" val="0"/>
        <cfvo type="num" val="1"/>
      </iconSet>
    </cfRule>
  </conditionalFormatting>
  <conditionalFormatting sqref="P720:P721">
    <cfRule type="iconSet" priority="236">
      <iconSet iconSet="3Symbols2" showValue="0">
        <cfvo type="percent" val="0"/>
        <cfvo type="num" val="0"/>
        <cfvo type="num" val="1"/>
      </iconSet>
    </cfRule>
  </conditionalFormatting>
  <conditionalFormatting sqref="R720:R721">
    <cfRule type="iconSet" priority="235">
      <iconSet iconSet="3Symbols2" showValue="0">
        <cfvo type="percent" val="0"/>
        <cfvo type="num" val="0"/>
        <cfvo type="num" val="1"/>
      </iconSet>
    </cfRule>
  </conditionalFormatting>
  <conditionalFormatting sqref="K728:K732 K714:K717 K724:K725">
    <cfRule type="iconSet" priority="234">
      <iconSet iconSet="3Symbols2" showValue="0">
        <cfvo type="percent" val="0"/>
        <cfvo type="num" val="0"/>
        <cfvo type="num" val="1"/>
      </iconSet>
    </cfRule>
  </conditionalFormatting>
  <conditionalFormatting sqref="M728:M732 M714:M717 M724:M725">
    <cfRule type="iconSet" priority="233">
      <iconSet iconSet="3Symbols2" showValue="0">
        <cfvo type="percent" val="0"/>
        <cfvo type="num" val="0"/>
        <cfvo type="num" val="1"/>
      </iconSet>
    </cfRule>
  </conditionalFormatting>
  <conditionalFormatting sqref="P719 P722 P710:P717 P724:P732">
    <cfRule type="iconSet" priority="232">
      <iconSet iconSet="3Symbols2" showValue="0">
        <cfvo type="percent" val="0"/>
        <cfvo type="num" val="0"/>
        <cfvo type="num" val="1"/>
      </iconSet>
    </cfRule>
  </conditionalFormatting>
  <conditionalFormatting sqref="M727 M723 M718:M721">
    <cfRule type="iconSet" priority="231">
      <iconSet iconSet="3Symbols2" showValue="0">
        <cfvo type="percent" val="0"/>
        <cfvo type="num" val="0"/>
        <cfvo type="num" val="1"/>
      </iconSet>
    </cfRule>
  </conditionalFormatting>
  <conditionalFormatting sqref="S710:S732">
    <cfRule type="iconSet" priority="230">
      <iconSet iconSet="3Symbols2" showValue="0">
        <cfvo type="percent" val="0"/>
        <cfvo type="num" val="0"/>
        <cfvo type="num" val="1"/>
      </iconSet>
    </cfRule>
  </conditionalFormatting>
  <conditionalFormatting sqref="L728:L732 L720:L721 L714:L717 L724:L725">
    <cfRule type="iconSet" priority="229">
      <iconSet iconSet="3Symbols2" showValue="0">
        <cfvo type="percent" val="0"/>
        <cfvo type="num" val="0"/>
        <cfvo type="num" val="1"/>
      </iconSet>
    </cfRule>
  </conditionalFormatting>
  <conditionalFormatting sqref="T766:T767 T777:T778 T763:T764 T758:T759">
    <cfRule type="iconSet" priority="228">
      <iconSet iconSet="3Symbols2" showValue="0">
        <cfvo type="percent" val="0"/>
        <cfvo type="num" val="0"/>
        <cfvo type="num" val="1"/>
      </iconSet>
    </cfRule>
  </conditionalFormatting>
  <conditionalFormatting sqref="T779:T780 T768:T776 T765 T760:T762 T738:T757">
    <cfRule type="iconSet" priority="227">
      <iconSet iconSet="3Symbols2" showValue="0">
        <cfvo type="percent" val="0"/>
        <cfvo type="num" val="0"/>
        <cfvo type="num" val="1"/>
      </iconSet>
    </cfRule>
  </conditionalFormatting>
  <conditionalFormatting sqref="P766:P767 P777:P778 P763:P764 P758:P759">
    <cfRule type="iconSet" priority="226">
      <iconSet iconSet="3Symbols2" showValue="0">
        <cfvo type="percent" val="0"/>
        <cfvo type="num" val="0"/>
        <cfvo type="num" val="1"/>
      </iconSet>
    </cfRule>
  </conditionalFormatting>
  <conditionalFormatting sqref="P779:P780 P768:P776 P765 P760:P762 P738:P757">
    <cfRule type="iconSet" priority="225">
      <iconSet iconSet="3Symbols2" showValue="0">
        <cfvo type="percent" val="0"/>
        <cfvo type="num" val="0"/>
        <cfvo type="num" val="1"/>
      </iconSet>
    </cfRule>
  </conditionalFormatting>
  <conditionalFormatting sqref="P837">
    <cfRule type="iconSet" priority="224">
      <iconSet iconSet="3Symbols2" showValue="0">
        <cfvo type="percent" val="0"/>
        <cfvo type="num" val="0"/>
        <cfvo type="num" val="1"/>
      </iconSet>
    </cfRule>
  </conditionalFormatting>
  <conditionalFormatting sqref="P838 P830:P831">
    <cfRule type="iconSet" priority="223">
      <iconSet iconSet="3Symbols2" showValue="0">
        <cfvo type="percent" val="0"/>
        <cfvo type="num" val="0"/>
        <cfvo type="num" val="1"/>
      </iconSet>
    </cfRule>
  </conditionalFormatting>
  <conditionalFormatting sqref="P847:P874 P839:P844 P832:P836 P820:P829">
    <cfRule type="iconSet" priority="222">
      <iconSet iconSet="3Symbols2" showValue="0">
        <cfvo type="percent" val="0"/>
        <cfvo type="num" val="0"/>
        <cfvo type="num" val="1"/>
      </iconSet>
    </cfRule>
  </conditionalFormatting>
  <conditionalFormatting sqref="T837">
    <cfRule type="iconSet" priority="221">
      <iconSet iconSet="3Symbols2" showValue="0">
        <cfvo type="percent" val="0"/>
        <cfvo type="num" val="0"/>
        <cfvo type="num" val="1"/>
      </iconSet>
    </cfRule>
  </conditionalFormatting>
  <conditionalFormatting sqref="T838 T830:T831">
    <cfRule type="iconSet" priority="220">
      <iconSet iconSet="3Symbols2" showValue="0">
        <cfvo type="percent" val="0"/>
        <cfvo type="num" val="0"/>
        <cfvo type="num" val="1"/>
      </iconSet>
    </cfRule>
  </conditionalFormatting>
  <conditionalFormatting sqref="T847:T874 T839:T844 T832:T836 T820:T829">
    <cfRule type="iconSet" priority="219">
      <iconSet iconSet="3Symbols2" showValue="0">
        <cfvo type="percent" val="0"/>
        <cfvo type="num" val="0"/>
        <cfvo type="num" val="1"/>
      </iconSet>
    </cfRule>
  </conditionalFormatting>
  <conditionalFormatting sqref="P795:P796 P798:P799 P802:P803">
    <cfRule type="iconSet" priority="218">
      <iconSet iconSet="3Symbols2" showValue="0">
        <cfvo type="percent" val="0"/>
        <cfvo type="num" val="0"/>
        <cfvo type="num" val="1"/>
      </iconSet>
    </cfRule>
  </conditionalFormatting>
  <conditionalFormatting sqref="P804:P814 P800:P801 P797 P786:P794">
    <cfRule type="iconSet" priority="217">
      <iconSet iconSet="3Symbols2" showValue="0">
        <cfvo type="percent" val="0"/>
        <cfvo type="num" val="0"/>
        <cfvo type="num" val="1"/>
      </iconSet>
    </cfRule>
  </conditionalFormatting>
  <conditionalFormatting sqref="T795:T796 T798:T799 T802:T803">
    <cfRule type="iconSet" priority="216">
      <iconSet iconSet="3Symbols2" showValue="0">
        <cfvo type="percent" val="0"/>
        <cfvo type="num" val="0"/>
        <cfvo type="num" val="1"/>
      </iconSet>
    </cfRule>
  </conditionalFormatting>
  <conditionalFormatting sqref="T804:T814 T800:T801 T797 T786:T794">
    <cfRule type="iconSet" priority="215">
      <iconSet iconSet="3Symbols2" showValue="0">
        <cfvo type="percent" val="0"/>
        <cfvo type="num" val="0"/>
        <cfvo type="num" val="1"/>
      </iconSet>
    </cfRule>
  </conditionalFormatting>
  <conditionalFormatting sqref="I728:I732 I724:I725 I720:I721 I714:I717">
    <cfRule type="iconSet" priority="213">
      <iconSet iconSet="3Symbols2" showValue="0">
        <cfvo type="percent" val="0"/>
        <cfvo type="num" val="0"/>
        <cfvo type="num" val="1"/>
      </iconSet>
    </cfRule>
  </conditionalFormatting>
  <conditionalFormatting sqref="I540:I553 I533:I537 I522:I530">
    <cfRule type="iconSet" priority="212">
      <iconSet iconSet="3Symbols2" showValue="0">
        <cfvo type="percent" val="0"/>
        <cfvo type="num" val="0"/>
        <cfvo type="num" val="1"/>
      </iconSet>
    </cfRule>
  </conditionalFormatting>
  <conditionalFormatting sqref="L1011">
    <cfRule type="iconSet" priority="209">
      <iconSet iconSet="3Symbols2" showValue="0">
        <cfvo type="percent" val="0"/>
        <cfvo type="num" val="0"/>
        <cfvo type="num" val="1"/>
      </iconSet>
    </cfRule>
  </conditionalFormatting>
  <conditionalFormatting sqref="K522:K530">
    <cfRule type="iconSet" priority="208">
      <iconSet iconSet="3Symbols2" showValue="0">
        <cfvo type="percent" val="0"/>
        <cfvo type="num" val="0"/>
        <cfvo type="num" val="1"/>
      </iconSet>
    </cfRule>
  </conditionalFormatting>
  <conditionalFormatting sqref="K540:K553 K533:K537">
    <cfRule type="iconSet" priority="207">
      <iconSet iconSet="3Symbols2" showValue="0">
        <cfvo type="percent" val="0"/>
        <cfvo type="num" val="0"/>
        <cfvo type="num" val="1"/>
      </iconSet>
    </cfRule>
  </conditionalFormatting>
  <conditionalFormatting sqref="L531:L532 L538:L539">
    <cfRule type="iconSet" priority="206">
      <iconSet iconSet="3Symbols2" showValue="0">
        <cfvo type="percent" val="0"/>
        <cfvo type="num" val="0"/>
        <cfvo type="num" val="1"/>
      </iconSet>
    </cfRule>
  </conditionalFormatting>
  <conditionalFormatting sqref="L522:L530">
    <cfRule type="iconSet" priority="205">
      <iconSet iconSet="3Symbols2" showValue="0">
        <cfvo type="percent" val="0"/>
        <cfvo type="num" val="0"/>
        <cfvo type="num" val="1"/>
      </iconSet>
    </cfRule>
  </conditionalFormatting>
  <conditionalFormatting sqref="L540:L553 L533:L537">
    <cfRule type="iconSet" priority="204">
      <iconSet iconSet="3Symbols2" showValue="0">
        <cfvo type="percent" val="0"/>
        <cfvo type="num" val="0"/>
        <cfvo type="num" val="1"/>
      </iconSet>
    </cfRule>
  </conditionalFormatting>
  <conditionalFormatting sqref="P538:P539">
    <cfRule type="iconSet" priority="196">
      <iconSet iconSet="3Symbols2" showValue="0">
        <cfvo type="percent" val="0"/>
        <cfvo type="num" val="0"/>
        <cfvo type="num" val="1"/>
      </iconSet>
    </cfRule>
  </conditionalFormatting>
  <conditionalFormatting sqref="P540:P553 P533:P537">
    <cfRule type="iconSet" priority="195">
      <iconSet iconSet="3Symbols2" showValue="0">
        <cfvo type="percent" val="0"/>
        <cfvo type="num" val="0"/>
        <cfvo type="num" val="1"/>
      </iconSet>
    </cfRule>
  </conditionalFormatting>
  <conditionalFormatting sqref="Q538:Q539">
    <cfRule type="iconSet" priority="194">
      <iconSet iconSet="3Symbols2" showValue="0">
        <cfvo type="percent" val="0"/>
        <cfvo type="num" val="0"/>
        <cfvo type="num" val="1"/>
      </iconSet>
    </cfRule>
  </conditionalFormatting>
  <conditionalFormatting sqref="Q540:Q553 Q533:Q537">
    <cfRule type="iconSet" priority="193">
      <iconSet iconSet="3Symbols2" showValue="0">
        <cfvo type="percent" val="0"/>
        <cfvo type="num" val="0"/>
        <cfvo type="num" val="1"/>
      </iconSet>
    </cfRule>
  </conditionalFormatting>
  <conditionalFormatting sqref="L704:L708 L690:L693 L700:L701">
    <cfRule type="iconSet" priority="192">
      <iconSet iconSet="3Symbols2" showValue="0">
        <cfvo type="percent" val="0"/>
        <cfvo type="num" val="0"/>
        <cfvo type="num" val="1"/>
      </iconSet>
    </cfRule>
  </conditionalFormatting>
  <conditionalFormatting sqref="P522:P530">
    <cfRule type="iconSet" priority="185">
      <iconSet iconSet="3Symbols2" showValue="0">
        <cfvo type="percent" val="0"/>
        <cfvo type="num" val="0"/>
        <cfvo type="num" val="1"/>
      </iconSet>
    </cfRule>
  </conditionalFormatting>
  <conditionalFormatting sqref="R522:R530">
    <cfRule type="iconSet" priority="184">
      <iconSet iconSet="3Symbols2" showValue="0">
        <cfvo type="percent" val="0"/>
        <cfvo type="num" val="0"/>
        <cfvo type="num" val="1"/>
      </iconSet>
    </cfRule>
  </conditionalFormatting>
  <conditionalFormatting sqref="Q24:R24">
    <cfRule type="iconSet" priority="180">
      <iconSet iconSet="3Symbols2" showValue="0">
        <cfvo type="percent" val="0"/>
        <cfvo type="num" val="0"/>
        <cfvo type="num" val="1"/>
      </iconSet>
    </cfRule>
  </conditionalFormatting>
  <conditionalFormatting sqref="P23:P24">
    <cfRule type="iconSet" priority="179">
      <iconSet iconSet="3Symbols2" showValue="0">
        <cfvo type="percent" val="0"/>
        <cfvo type="num" val="0"/>
        <cfvo type="num" val="1"/>
      </iconSet>
    </cfRule>
  </conditionalFormatting>
  <conditionalFormatting sqref="I446:I449">
    <cfRule type="iconSet" priority="144299">
      <iconSet iconSet="3Symbols2" showValue="0">
        <cfvo type="percent" val="0"/>
        <cfvo type="num" val="0"/>
        <cfvo type="num" val="1"/>
      </iconSet>
    </cfRule>
  </conditionalFormatting>
  <conditionalFormatting sqref="P450:P458">
    <cfRule type="iconSet" priority="145695">
      <iconSet iconSet="3Symbols2" showValue="0">
        <cfvo type="percent" val="0"/>
        <cfvo type="num" val="0"/>
        <cfvo type="num" val="1"/>
      </iconSet>
    </cfRule>
  </conditionalFormatting>
  <conditionalFormatting sqref="I690:I693">
    <cfRule type="iconSet" priority="174">
      <iconSet iconSet="3Symbols2" showValue="0">
        <cfvo type="percent" val="0"/>
        <cfvo type="num" val="0"/>
        <cfvo type="num" val="1"/>
      </iconSet>
    </cfRule>
  </conditionalFormatting>
  <conditionalFormatting sqref="I696:I697">
    <cfRule type="iconSet" priority="173">
      <iconSet iconSet="3Symbols2" showValue="0">
        <cfvo type="percent" val="0"/>
        <cfvo type="num" val="0"/>
        <cfvo type="num" val="1"/>
      </iconSet>
    </cfRule>
  </conditionalFormatting>
  <conditionalFormatting sqref="I700:I701">
    <cfRule type="iconSet" priority="172">
      <iconSet iconSet="3Symbols2" showValue="0">
        <cfvo type="percent" val="0"/>
        <cfvo type="num" val="0"/>
        <cfvo type="num" val="1"/>
      </iconSet>
    </cfRule>
  </conditionalFormatting>
  <conditionalFormatting sqref="I704:I708">
    <cfRule type="iconSet" priority="171">
      <iconSet iconSet="3Symbols2" showValue="0">
        <cfvo type="percent" val="0"/>
        <cfvo type="num" val="0"/>
        <cfvo type="num" val="1"/>
      </iconSet>
    </cfRule>
  </conditionalFormatting>
  <conditionalFormatting sqref="P443:P449">
    <cfRule type="iconSet" priority="146283">
      <iconSet iconSet="3Symbols2" showValue="0">
        <cfvo type="percent" val="0"/>
        <cfvo type="num" val="0"/>
        <cfvo type="num" val="1"/>
      </iconSet>
    </cfRule>
  </conditionalFormatting>
  <conditionalFormatting sqref="P172:P190">
    <cfRule type="iconSet" priority="146469">
      <iconSet iconSet="3Symbols2" showValue="0">
        <cfvo type="percent" val="0"/>
        <cfvo type="num" val="0"/>
        <cfvo type="num" val="1"/>
      </iconSet>
    </cfRule>
  </conditionalFormatting>
  <conditionalFormatting sqref="R172:R190">
    <cfRule type="iconSet" priority="146470">
      <iconSet iconSet="3Symbols2" showValue="0">
        <cfvo type="percent" val="0"/>
        <cfvo type="num" val="0"/>
        <cfvo type="num" val="1"/>
      </iconSet>
    </cfRule>
  </conditionalFormatting>
  <conditionalFormatting sqref="Q172:Q190">
    <cfRule type="iconSet" priority="146471">
      <iconSet iconSet="3Symbols2" showValue="0">
        <cfvo type="percent" val="0"/>
        <cfvo type="num" val="0"/>
        <cfvo type="num" val="1"/>
      </iconSet>
    </cfRule>
  </conditionalFormatting>
  <conditionalFormatting sqref="P126">
    <cfRule type="iconSet" priority="146564">
      <iconSet iconSet="3Symbols2" showValue="0">
        <cfvo type="percent" val="0"/>
        <cfvo type="num" val="0"/>
        <cfvo type="num" val="1"/>
      </iconSet>
    </cfRule>
  </conditionalFormatting>
  <conditionalFormatting sqref="Q6:T7">
    <cfRule type="iconSet" priority="146661">
      <iconSet iconSet="3Symbols2" showValue="0">
        <cfvo type="percent" val="0"/>
        <cfvo type="num" val="0"/>
        <cfvo type="num" val="1"/>
      </iconSet>
    </cfRule>
  </conditionalFormatting>
  <conditionalFormatting sqref="Q23:R23">
    <cfRule type="iconSet" priority="170">
      <iconSet iconSet="3Symbols2" showValue="0">
        <cfvo type="percent" val="0"/>
        <cfvo type="num" val="0"/>
        <cfvo type="num" val="1"/>
      </iconSet>
    </cfRule>
  </conditionalFormatting>
  <conditionalFormatting sqref="I1005:I1010 I975:I1003">
    <cfRule type="iconSet" priority="159219">
      <iconSet iconSet="3Symbols2" showValue="0">
        <cfvo type="percent" val="0"/>
        <cfvo type="num" val="0"/>
        <cfvo type="num" val="1"/>
      </iconSet>
    </cfRule>
  </conditionalFormatting>
  <conditionalFormatting sqref="Q1011">
    <cfRule type="iconSet" priority="169">
      <iconSet iconSet="3Symbols2" showValue="0">
        <cfvo type="percent" val="0"/>
        <cfvo type="num" val="0"/>
        <cfvo type="num" val="1"/>
      </iconSet>
    </cfRule>
  </conditionalFormatting>
  <conditionalFormatting sqref="P1011">
    <cfRule type="iconSet" priority="168">
      <iconSet iconSet="3Symbols2" showValue="0">
        <cfvo type="percent" val="0"/>
        <cfvo type="num" val="0"/>
        <cfvo type="num" val="1"/>
      </iconSet>
    </cfRule>
  </conditionalFormatting>
  <conditionalFormatting sqref="S1011">
    <cfRule type="iconSet" priority="167">
      <iconSet iconSet="3Symbols2" showValue="0">
        <cfvo type="percent" val="0"/>
        <cfvo type="num" val="0"/>
        <cfvo type="num" val="1"/>
      </iconSet>
    </cfRule>
  </conditionalFormatting>
  <conditionalFormatting sqref="Q1016:T1048576 Q1:T3 Q5:T5 Q1012:T1014 R1011 T1011">
    <cfRule type="iconSet" priority="159560">
      <iconSet iconSet="3Symbols2" showValue="0">
        <cfvo type="percent" val="0"/>
        <cfvo type="num" val="0"/>
        <cfvo type="num" val="1"/>
      </iconSet>
    </cfRule>
  </conditionalFormatting>
  <conditionalFormatting sqref="L1012:L1014">
    <cfRule type="iconSet" priority="159568">
      <iconSet iconSet="3Symbols2" showValue="0">
        <cfvo type="percent" val="0"/>
        <cfvo type="num" val="0"/>
        <cfvo type="num" val="1"/>
      </iconSet>
    </cfRule>
  </conditionalFormatting>
  <conditionalFormatting sqref="K1011:K1014">
    <cfRule type="iconSet" priority="159769">
      <iconSet iconSet="3Symbols2" showValue="0">
        <cfvo type="percent" val="0"/>
        <cfvo type="num" val="0"/>
        <cfvo type="num" val="1"/>
      </iconSet>
    </cfRule>
  </conditionalFormatting>
  <conditionalFormatting sqref="L648:M654 L630:M646 L81:M81 L656:M685 L67:M70 L709:M709 L723 L733:M733 L718:L719 L727 N314:N317">
    <cfRule type="iconSet" priority="160423">
      <iconSet iconSet="3Symbols2" showValue="0">
        <cfvo type="percent" val="0"/>
        <cfvo type="num" val="0"/>
        <cfvo type="num" val="1"/>
      </iconSet>
    </cfRule>
  </conditionalFormatting>
  <conditionalFormatting sqref="I847:I874 I839:I844 I832:I836 I820:I829 I804:I814 I800:I801 I797 I786:I794 I779:I780 I768:I776 I765 I760:I762 I156 I738:I757">
    <cfRule type="iconSet" priority="161123">
      <iconSet iconSet="3Symbols2" showValue="0">
        <cfvo type="percent" val="0"/>
        <cfvo type="num" val="0"/>
        <cfvo type="num" val="1"/>
      </iconSet>
    </cfRule>
  </conditionalFormatting>
  <conditionalFormatting sqref="I657:I676 I649:I654 I630:I639 I596:I604 I313 I167 I157:I158 I153:I155 I148:I150 I410 I407:I408 I404:I405 I401:I402 I377:I378 I335 I332:I333 I329:I330 I326:I327 I321 I391:I396">
    <cfRule type="iconSet" priority="161154">
      <iconSet iconSet="3Symbols2" showValue="0">
        <cfvo type="percent" val="0"/>
        <cfvo type="num" val="0"/>
        <cfvo type="num" val="1"/>
      </iconSet>
    </cfRule>
  </conditionalFormatting>
  <conditionalFormatting sqref="P1005:P1010 P65:P66 P127:P134 P142:P144 P318:P320 P159:P160 P37:P57 P82:P115 P122:P125 P165:P166 P171 P69:P80 P137 P605:P629 P156 P168:P169 P151:P152 P473:P521 P734:P737 P781:P785 P815:P819 P554:P595 P531:P532 P6:P22 P933:P1003 P876:P924 P926:P931 P305:P308 P297:P300 P289:P292 P281:P284 P273:P276 P265:P268 P257:P260 P191:P252 P433:P442 P400 P403 P406 P409 P397:P398 P411:P431 P325 P328 P331 P334 P379:P385 P322:P323 P336:P356 P358:P376">
    <cfRule type="iconSet" priority="161171">
      <iconSet iconSet="3Symbols2" showValue="0">
        <cfvo type="percent" val="0"/>
        <cfvo type="num" val="0"/>
        <cfvo type="num" val="1"/>
      </iconSet>
    </cfRule>
  </conditionalFormatting>
  <conditionalFormatting sqref="R1005:R1010 R647:R676 R37:R57 R65:R80 R82:R115 R122:R134 R165:R166 R171 R148:R149 R681:R695 R156 R168:R169 R151:R152 R159:R160 R837:R866 R640:R641 R698:R719 R531:R629 R8:R22 R933:R1003 R871:R931 R137:R144 R297:R301 R289:R293 R281:R285 R273:R277 R265:R269 R257:R261 R191:R253 R313 R305:R309 R400 R403 R406 R409 R318:R323 R325 R328 R331 R334 R379:R398 R411:R521 R336:R376 R722:R831">
    <cfRule type="iconSet" priority="161209">
      <iconSet iconSet="3Symbols2" showValue="0">
        <cfvo type="percent" val="0"/>
        <cfvo type="num" val="0"/>
        <cfvo type="num" val="1"/>
      </iconSet>
    </cfRule>
  </conditionalFormatting>
  <conditionalFormatting sqref="Q1005:Q1010 Q318:Q320 Q37:Q57 Q65:Q66 Q122:Q134 Q165:Q169 Q171 Q69:Q115 Q150:Q160 Q605:Q629 Q473:Q532 Q554:Q595 Q8:Q22 Q933:Q1003 Q875:Q924 Q926:Q931 Q137:Q144 Q305:Q308 Q297:Q300 Q289:Q292 Q281:Q284 Q273:Q276 Q265:Q268 Q257:Q260 Q191:Q252 Q397:Q398 Q400:Q458 Q322:Q323 Q325:Q390 Q685:Q819">
    <cfRule type="iconSet" priority="161244">
      <iconSet iconSet="3Symbols2" showValue="0">
        <cfvo type="percent" val="0"/>
        <cfvo type="num" val="0"/>
        <cfvo type="num" val="1"/>
      </iconSet>
    </cfRule>
  </conditionalFormatting>
  <conditionalFormatting sqref="S1005:S1010 S655:S656 S318:S320 S37:S57 S677:S680 S640:S648 S8:S24 S876:S1003 S65:S147 S297:S301 S289:S293 S281:S285 S273:S277 S265:S269 S257:S261 S150:S253 S313 S305:S309 S397:S431 S322:S356 S433:S629 S358:S395 S734:S870">
    <cfRule type="iconSet" priority="161275">
      <iconSet iconSet="3Symbols2" showValue="0">
        <cfvo type="percent" val="0"/>
        <cfvo type="num" val="0"/>
        <cfvo type="num" val="1"/>
      </iconSet>
    </cfRule>
  </conditionalFormatting>
  <conditionalFormatting sqref="T1005:T1010 T781:T785 T815:T819 T875:T1003 T8:T737">
    <cfRule type="iconSet" priority="161288">
      <iconSet iconSet="3Symbols2" showValue="0">
        <cfvo type="percent" val="0"/>
        <cfvo type="num" val="0"/>
        <cfvo type="num" val="1"/>
      </iconSet>
    </cfRule>
  </conditionalFormatting>
  <conditionalFormatting sqref="L1004">
    <cfRule type="iconSet" priority="166">
      <iconSet iconSet="3Symbols2" showValue="0">
        <cfvo type="percent" val="0"/>
        <cfvo type="num" val="0"/>
        <cfvo type="num" val="1"/>
      </iconSet>
    </cfRule>
  </conditionalFormatting>
  <conditionalFormatting sqref="Q1004">
    <cfRule type="iconSet" priority="165">
      <iconSet iconSet="3Symbols2" showValue="0">
        <cfvo type="percent" val="0"/>
        <cfvo type="num" val="0"/>
        <cfvo type="num" val="1"/>
      </iconSet>
    </cfRule>
  </conditionalFormatting>
  <conditionalFormatting sqref="P1004">
    <cfRule type="iconSet" priority="164">
      <iconSet iconSet="3Symbols2" showValue="0">
        <cfvo type="percent" val="0"/>
        <cfvo type="num" val="0"/>
        <cfvo type="num" val="1"/>
      </iconSet>
    </cfRule>
  </conditionalFormatting>
  <conditionalFormatting sqref="S1004">
    <cfRule type="iconSet" priority="163">
      <iconSet iconSet="3Symbols2" showValue="0">
        <cfvo type="percent" val="0"/>
        <cfvo type="num" val="0"/>
        <cfvo type="num" val="1"/>
      </iconSet>
    </cfRule>
  </conditionalFormatting>
  <conditionalFormatting sqref="R1004 T1004">
    <cfRule type="iconSet" priority="162">
      <iconSet iconSet="3Symbols2" showValue="0">
        <cfvo type="percent" val="0"/>
        <cfvo type="num" val="0"/>
        <cfvo type="num" val="1"/>
      </iconSet>
    </cfRule>
  </conditionalFormatting>
  <conditionalFormatting sqref="K1004">
    <cfRule type="iconSet" priority="161">
      <iconSet iconSet="3Symbols2" showValue="0">
        <cfvo type="percent" val="0"/>
        <cfvo type="num" val="0"/>
        <cfvo type="num" val="1"/>
      </iconSet>
    </cfRule>
  </conditionalFormatting>
  <conditionalFormatting sqref="Q932:R932">
    <cfRule type="iconSet" priority="158">
      <iconSet iconSet="3Symbols2" showValue="0">
        <cfvo type="percent" val="0"/>
        <cfvo type="num" val="0"/>
        <cfvo type="num" val="1"/>
      </iconSet>
    </cfRule>
  </conditionalFormatting>
  <conditionalFormatting sqref="P932">
    <cfRule type="iconSet" priority="157">
      <iconSet iconSet="3Symbols2" showValue="0">
        <cfvo type="percent" val="0"/>
        <cfvo type="num" val="0"/>
        <cfvo type="num" val="1"/>
      </iconSet>
    </cfRule>
  </conditionalFormatting>
  <conditionalFormatting sqref="K932">
    <cfRule type="iconSet" priority="156">
      <iconSet iconSet="3Symbols2" showValue="0">
        <cfvo type="percent" val="0"/>
        <cfvo type="num" val="0"/>
        <cfvo type="num" val="1"/>
      </iconSet>
    </cfRule>
  </conditionalFormatting>
  <conditionalFormatting sqref="P925">
    <cfRule type="iconSet" priority="155">
      <iconSet iconSet="3Symbols2" showValue="0">
        <cfvo type="percent" val="0"/>
        <cfvo type="num" val="0"/>
        <cfvo type="num" val="1"/>
      </iconSet>
    </cfRule>
  </conditionalFormatting>
  <conditionalFormatting sqref="Q925">
    <cfRule type="iconSet" priority="154">
      <iconSet iconSet="3Symbols2" showValue="0">
        <cfvo type="percent" val="0"/>
        <cfvo type="num" val="0"/>
        <cfvo type="num" val="1"/>
      </iconSet>
    </cfRule>
  </conditionalFormatting>
  <conditionalFormatting sqref="K657:K676 K649:K654 K630:K639 K167 K152:K160 K148:K150 K42:K43 K17:K24">
    <cfRule type="iconSet" priority="161785">
      <iconSet iconSet="3Symbols2" showValue="0">
        <cfvo type="percent" val="0"/>
        <cfvo type="num" val="0"/>
        <cfvo type="num" val="1"/>
      </iconSet>
    </cfRule>
  </conditionalFormatting>
  <conditionalFormatting sqref="I141">
    <cfRule type="iconSet" priority="152">
      <iconSet iconSet="3Symbols2" showValue="0">
        <cfvo type="percent" val="0"/>
        <cfvo type="num" val="0"/>
        <cfvo type="num" val="1"/>
      </iconSet>
    </cfRule>
  </conditionalFormatting>
  <conditionalFormatting sqref="P141">
    <cfRule type="iconSet" priority="151">
      <iconSet iconSet="3Symbols2" showValue="0">
        <cfvo type="percent" val="0"/>
        <cfvo type="num" val="0"/>
        <cfvo type="num" val="1"/>
      </iconSet>
    </cfRule>
  </conditionalFormatting>
  <conditionalFormatting sqref="I140">
    <cfRule type="iconSet" priority="148">
      <iconSet iconSet="3Symbols2" showValue="0">
        <cfvo type="percent" val="0"/>
        <cfvo type="num" val="0"/>
        <cfvo type="num" val="1"/>
      </iconSet>
    </cfRule>
  </conditionalFormatting>
  <conditionalFormatting sqref="I139">
    <cfRule type="iconSet" priority="147">
      <iconSet iconSet="3Symbols2" showValue="0">
        <cfvo type="percent" val="0"/>
        <cfvo type="num" val="0"/>
        <cfvo type="num" val="1"/>
      </iconSet>
    </cfRule>
  </conditionalFormatting>
  <conditionalFormatting sqref="P139">
    <cfRule type="iconSet" priority="146">
      <iconSet iconSet="3Symbols2" showValue="0">
        <cfvo type="percent" val="0"/>
        <cfvo type="num" val="0"/>
        <cfvo type="num" val="1"/>
      </iconSet>
    </cfRule>
  </conditionalFormatting>
  <conditionalFormatting sqref="K140">
    <cfRule type="iconSet" priority="145">
      <iconSet iconSet="3Symbols2" showValue="0">
        <cfvo type="percent" val="0"/>
        <cfvo type="num" val="0"/>
        <cfvo type="num" val="1"/>
      </iconSet>
    </cfRule>
  </conditionalFormatting>
  <conditionalFormatting sqref="P140">
    <cfRule type="iconSet" priority="144">
      <iconSet iconSet="3Symbols2" showValue="0">
        <cfvo type="percent" val="0"/>
        <cfvo type="num" val="0"/>
        <cfvo type="num" val="1"/>
      </iconSet>
    </cfRule>
  </conditionalFormatting>
  <conditionalFormatting sqref="K301:L301">
    <cfRule type="iconSet" priority="143">
      <iconSet iconSet="3Symbols2" showValue="0">
        <cfvo type="percent" val="0"/>
        <cfvo type="num" val="0"/>
        <cfvo type="num" val="1"/>
      </iconSet>
    </cfRule>
  </conditionalFormatting>
  <conditionalFormatting sqref="P301:Q301">
    <cfRule type="iconSet" priority="142">
      <iconSet iconSet="3Symbols2" showValue="0">
        <cfvo type="percent" val="0"/>
        <cfvo type="num" val="0"/>
        <cfvo type="num" val="1"/>
      </iconSet>
    </cfRule>
  </conditionalFormatting>
  <conditionalFormatting sqref="P302:P304">
    <cfRule type="iconSet" priority="141">
      <iconSet iconSet="3Symbols2" showValue="0">
        <cfvo type="percent" val="0"/>
        <cfvo type="num" val="0"/>
        <cfvo type="num" val="1"/>
      </iconSet>
    </cfRule>
  </conditionalFormatting>
  <conditionalFormatting sqref="S302:S304">
    <cfRule type="iconSet" priority="140">
      <iconSet iconSet="3Symbols2" showValue="0">
        <cfvo type="percent" val="0"/>
        <cfvo type="num" val="0"/>
        <cfvo type="num" val="1"/>
      </iconSet>
    </cfRule>
  </conditionalFormatting>
  <conditionalFormatting sqref="Q302:Q304">
    <cfRule type="iconSet" priority="139">
      <iconSet iconSet="3Symbols2" showValue="0">
        <cfvo type="percent" val="0"/>
        <cfvo type="num" val="0"/>
        <cfvo type="num" val="1"/>
      </iconSet>
    </cfRule>
  </conditionalFormatting>
  <conditionalFormatting sqref="N302:N304">
    <cfRule type="iconSet" priority="138">
      <iconSet iconSet="3Symbols2" showValue="0">
        <cfvo type="percent" val="0"/>
        <cfvo type="num" val="0"/>
        <cfvo type="num" val="1"/>
      </iconSet>
    </cfRule>
  </conditionalFormatting>
  <conditionalFormatting sqref="I301">
    <cfRule type="iconSet" priority="137">
      <iconSet iconSet="3Symbols2" showValue="0">
        <cfvo type="percent" val="0"/>
        <cfvo type="num" val="0"/>
        <cfvo type="num" val="1"/>
      </iconSet>
    </cfRule>
  </conditionalFormatting>
  <conditionalFormatting sqref="K293:L293">
    <cfRule type="iconSet" priority="136">
      <iconSet iconSet="3Symbols2" showValue="0">
        <cfvo type="percent" val="0"/>
        <cfvo type="num" val="0"/>
        <cfvo type="num" val="1"/>
      </iconSet>
    </cfRule>
  </conditionalFormatting>
  <conditionalFormatting sqref="P293:Q293">
    <cfRule type="iconSet" priority="135">
      <iconSet iconSet="3Symbols2" showValue="0">
        <cfvo type="percent" val="0"/>
        <cfvo type="num" val="0"/>
        <cfvo type="num" val="1"/>
      </iconSet>
    </cfRule>
  </conditionalFormatting>
  <conditionalFormatting sqref="P294:P296">
    <cfRule type="iconSet" priority="134">
      <iconSet iconSet="3Symbols2" showValue="0">
        <cfvo type="percent" val="0"/>
        <cfvo type="num" val="0"/>
        <cfvo type="num" val="1"/>
      </iconSet>
    </cfRule>
  </conditionalFormatting>
  <conditionalFormatting sqref="S294:S296">
    <cfRule type="iconSet" priority="133">
      <iconSet iconSet="3Symbols2" showValue="0">
        <cfvo type="percent" val="0"/>
        <cfvo type="num" val="0"/>
        <cfvo type="num" val="1"/>
      </iconSet>
    </cfRule>
  </conditionalFormatting>
  <conditionalFormatting sqref="Q294:Q296">
    <cfRule type="iconSet" priority="132">
      <iconSet iconSet="3Symbols2" showValue="0">
        <cfvo type="percent" val="0"/>
        <cfvo type="num" val="0"/>
        <cfvo type="num" val="1"/>
      </iconSet>
    </cfRule>
  </conditionalFormatting>
  <conditionalFormatting sqref="N294:N296">
    <cfRule type="iconSet" priority="131">
      <iconSet iconSet="3Symbols2" showValue="0">
        <cfvo type="percent" val="0"/>
        <cfvo type="num" val="0"/>
        <cfvo type="num" val="1"/>
      </iconSet>
    </cfRule>
  </conditionalFormatting>
  <conditionalFormatting sqref="I293">
    <cfRule type="iconSet" priority="130">
      <iconSet iconSet="3Symbols2" showValue="0">
        <cfvo type="percent" val="0"/>
        <cfvo type="num" val="0"/>
        <cfvo type="num" val="1"/>
      </iconSet>
    </cfRule>
  </conditionalFormatting>
  <conditionalFormatting sqref="K285:L285">
    <cfRule type="iconSet" priority="129">
      <iconSet iconSet="3Symbols2" showValue="0">
        <cfvo type="percent" val="0"/>
        <cfvo type="num" val="0"/>
        <cfvo type="num" val="1"/>
      </iconSet>
    </cfRule>
  </conditionalFormatting>
  <conditionalFormatting sqref="P285:Q285">
    <cfRule type="iconSet" priority="128">
      <iconSet iconSet="3Symbols2" showValue="0">
        <cfvo type="percent" val="0"/>
        <cfvo type="num" val="0"/>
        <cfvo type="num" val="1"/>
      </iconSet>
    </cfRule>
  </conditionalFormatting>
  <conditionalFormatting sqref="P286:P288">
    <cfRule type="iconSet" priority="127">
      <iconSet iconSet="3Symbols2" showValue="0">
        <cfvo type="percent" val="0"/>
        <cfvo type="num" val="0"/>
        <cfvo type="num" val="1"/>
      </iconSet>
    </cfRule>
  </conditionalFormatting>
  <conditionalFormatting sqref="S286:S288">
    <cfRule type="iconSet" priority="126">
      <iconSet iconSet="3Symbols2" showValue="0">
        <cfvo type="percent" val="0"/>
        <cfvo type="num" val="0"/>
        <cfvo type="num" val="1"/>
      </iconSet>
    </cfRule>
  </conditionalFormatting>
  <conditionalFormatting sqref="Q286:Q288">
    <cfRule type="iconSet" priority="125">
      <iconSet iconSet="3Symbols2" showValue="0">
        <cfvo type="percent" val="0"/>
        <cfvo type="num" val="0"/>
        <cfvo type="num" val="1"/>
      </iconSet>
    </cfRule>
  </conditionalFormatting>
  <conditionalFormatting sqref="N286:N288">
    <cfRule type="iconSet" priority="124">
      <iconSet iconSet="3Symbols2" showValue="0">
        <cfvo type="percent" val="0"/>
        <cfvo type="num" val="0"/>
        <cfvo type="num" val="1"/>
      </iconSet>
    </cfRule>
  </conditionalFormatting>
  <conditionalFormatting sqref="I285">
    <cfRule type="iconSet" priority="123">
      <iconSet iconSet="3Symbols2" showValue="0">
        <cfvo type="percent" val="0"/>
        <cfvo type="num" val="0"/>
        <cfvo type="num" val="1"/>
      </iconSet>
    </cfRule>
  </conditionalFormatting>
  <conditionalFormatting sqref="K277:L277">
    <cfRule type="iconSet" priority="122">
      <iconSet iconSet="3Symbols2" showValue="0">
        <cfvo type="percent" val="0"/>
        <cfvo type="num" val="0"/>
        <cfvo type="num" val="1"/>
      </iconSet>
    </cfRule>
  </conditionalFormatting>
  <conditionalFormatting sqref="P277:Q277">
    <cfRule type="iconSet" priority="121">
      <iconSet iconSet="3Symbols2" showValue="0">
        <cfvo type="percent" val="0"/>
        <cfvo type="num" val="0"/>
        <cfvo type="num" val="1"/>
      </iconSet>
    </cfRule>
  </conditionalFormatting>
  <conditionalFormatting sqref="P278:P280">
    <cfRule type="iconSet" priority="120">
      <iconSet iconSet="3Symbols2" showValue="0">
        <cfvo type="percent" val="0"/>
        <cfvo type="num" val="0"/>
        <cfvo type="num" val="1"/>
      </iconSet>
    </cfRule>
  </conditionalFormatting>
  <conditionalFormatting sqref="S278:S280">
    <cfRule type="iconSet" priority="119">
      <iconSet iconSet="3Symbols2" showValue="0">
        <cfvo type="percent" val="0"/>
        <cfvo type="num" val="0"/>
        <cfvo type="num" val="1"/>
      </iconSet>
    </cfRule>
  </conditionalFormatting>
  <conditionalFormatting sqref="Q278:Q280">
    <cfRule type="iconSet" priority="118">
      <iconSet iconSet="3Symbols2" showValue="0">
        <cfvo type="percent" val="0"/>
        <cfvo type="num" val="0"/>
        <cfvo type="num" val="1"/>
      </iconSet>
    </cfRule>
  </conditionalFormatting>
  <conditionalFormatting sqref="N278:N280">
    <cfRule type="iconSet" priority="117">
      <iconSet iconSet="3Symbols2" showValue="0">
        <cfvo type="percent" val="0"/>
        <cfvo type="num" val="0"/>
        <cfvo type="num" val="1"/>
      </iconSet>
    </cfRule>
  </conditionalFormatting>
  <conditionalFormatting sqref="I277">
    <cfRule type="iconSet" priority="116">
      <iconSet iconSet="3Symbols2" showValue="0">
        <cfvo type="percent" val="0"/>
        <cfvo type="num" val="0"/>
        <cfvo type="num" val="1"/>
      </iconSet>
    </cfRule>
  </conditionalFormatting>
  <conditionalFormatting sqref="K269:L269">
    <cfRule type="iconSet" priority="115">
      <iconSet iconSet="3Symbols2" showValue="0">
        <cfvo type="percent" val="0"/>
        <cfvo type="num" val="0"/>
        <cfvo type="num" val="1"/>
      </iconSet>
    </cfRule>
  </conditionalFormatting>
  <conditionalFormatting sqref="P269:Q269">
    <cfRule type="iconSet" priority="114">
      <iconSet iconSet="3Symbols2" showValue="0">
        <cfvo type="percent" val="0"/>
        <cfvo type="num" val="0"/>
        <cfvo type="num" val="1"/>
      </iconSet>
    </cfRule>
  </conditionalFormatting>
  <conditionalFormatting sqref="P270:P272">
    <cfRule type="iconSet" priority="113">
      <iconSet iconSet="3Symbols2" showValue="0">
        <cfvo type="percent" val="0"/>
        <cfvo type="num" val="0"/>
        <cfvo type="num" val="1"/>
      </iconSet>
    </cfRule>
  </conditionalFormatting>
  <conditionalFormatting sqref="S270:S272">
    <cfRule type="iconSet" priority="112">
      <iconSet iconSet="3Symbols2" showValue="0">
        <cfvo type="percent" val="0"/>
        <cfvo type="num" val="0"/>
        <cfvo type="num" val="1"/>
      </iconSet>
    </cfRule>
  </conditionalFormatting>
  <conditionalFormatting sqref="Q270:Q272">
    <cfRule type="iconSet" priority="111">
      <iconSet iconSet="3Symbols2" showValue="0">
        <cfvo type="percent" val="0"/>
        <cfvo type="num" val="0"/>
        <cfvo type="num" val="1"/>
      </iconSet>
    </cfRule>
  </conditionalFormatting>
  <conditionalFormatting sqref="N270:N272">
    <cfRule type="iconSet" priority="110">
      <iconSet iconSet="3Symbols2" showValue="0">
        <cfvo type="percent" val="0"/>
        <cfvo type="num" val="0"/>
        <cfvo type="num" val="1"/>
      </iconSet>
    </cfRule>
  </conditionalFormatting>
  <conditionalFormatting sqref="I269">
    <cfRule type="iconSet" priority="109">
      <iconSet iconSet="3Symbols2" showValue="0">
        <cfvo type="percent" val="0"/>
        <cfvo type="num" val="0"/>
        <cfvo type="num" val="1"/>
      </iconSet>
    </cfRule>
  </conditionalFormatting>
  <conditionalFormatting sqref="K261:L261">
    <cfRule type="iconSet" priority="108">
      <iconSet iconSet="3Symbols2" showValue="0">
        <cfvo type="percent" val="0"/>
        <cfvo type="num" val="0"/>
        <cfvo type="num" val="1"/>
      </iconSet>
    </cfRule>
  </conditionalFormatting>
  <conditionalFormatting sqref="P261:Q261">
    <cfRule type="iconSet" priority="107">
      <iconSet iconSet="3Symbols2" showValue="0">
        <cfvo type="percent" val="0"/>
        <cfvo type="num" val="0"/>
        <cfvo type="num" val="1"/>
      </iconSet>
    </cfRule>
  </conditionalFormatting>
  <conditionalFormatting sqref="P262:P264">
    <cfRule type="iconSet" priority="106">
      <iconSet iconSet="3Symbols2" showValue="0">
        <cfvo type="percent" val="0"/>
        <cfvo type="num" val="0"/>
        <cfvo type="num" val="1"/>
      </iconSet>
    </cfRule>
  </conditionalFormatting>
  <conditionalFormatting sqref="S262:S264">
    <cfRule type="iconSet" priority="105">
      <iconSet iconSet="3Symbols2" showValue="0">
        <cfvo type="percent" val="0"/>
        <cfvo type="num" val="0"/>
        <cfvo type="num" val="1"/>
      </iconSet>
    </cfRule>
  </conditionalFormatting>
  <conditionalFormatting sqref="Q262:Q264">
    <cfRule type="iconSet" priority="104">
      <iconSet iconSet="3Symbols2" showValue="0">
        <cfvo type="percent" val="0"/>
        <cfvo type="num" val="0"/>
        <cfvo type="num" val="1"/>
      </iconSet>
    </cfRule>
  </conditionalFormatting>
  <conditionalFormatting sqref="N262:N264">
    <cfRule type="iconSet" priority="103">
      <iconSet iconSet="3Symbols2" showValue="0">
        <cfvo type="percent" val="0"/>
        <cfvo type="num" val="0"/>
        <cfvo type="num" val="1"/>
      </iconSet>
    </cfRule>
  </conditionalFormatting>
  <conditionalFormatting sqref="I261">
    <cfRule type="iconSet" priority="102">
      <iconSet iconSet="3Symbols2" showValue="0">
        <cfvo type="percent" val="0"/>
        <cfvo type="num" val="0"/>
        <cfvo type="num" val="1"/>
      </iconSet>
    </cfRule>
  </conditionalFormatting>
  <conditionalFormatting sqref="K253:L253">
    <cfRule type="iconSet" priority="101">
      <iconSet iconSet="3Symbols2" showValue="0">
        <cfvo type="percent" val="0"/>
        <cfvo type="num" val="0"/>
        <cfvo type="num" val="1"/>
      </iconSet>
    </cfRule>
  </conditionalFormatting>
  <conditionalFormatting sqref="P253:Q253">
    <cfRule type="iconSet" priority="100">
      <iconSet iconSet="3Symbols2" showValue="0">
        <cfvo type="percent" val="0"/>
        <cfvo type="num" val="0"/>
        <cfvo type="num" val="1"/>
      </iconSet>
    </cfRule>
  </conditionalFormatting>
  <conditionalFormatting sqref="P254:P256">
    <cfRule type="iconSet" priority="99">
      <iconSet iconSet="3Symbols2" showValue="0">
        <cfvo type="percent" val="0"/>
        <cfvo type="num" val="0"/>
        <cfvo type="num" val="1"/>
      </iconSet>
    </cfRule>
  </conditionalFormatting>
  <conditionalFormatting sqref="S254:S256">
    <cfRule type="iconSet" priority="98">
      <iconSet iconSet="3Symbols2" showValue="0">
        <cfvo type="percent" val="0"/>
        <cfvo type="num" val="0"/>
        <cfvo type="num" val="1"/>
      </iconSet>
    </cfRule>
  </conditionalFormatting>
  <conditionalFormatting sqref="Q254:Q256">
    <cfRule type="iconSet" priority="97">
      <iconSet iconSet="3Symbols2" showValue="0">
        <cfvo type="percent" val="0"/>
        <cfvo type="num" val="0"/>
        <cfvo type="num" val="1"/>
      </iconSet>
    </cfRule>
  </conditionalFormatting>
  <conditionalFormatting sqref="N254:N256">
    <cfRule type="iconSet" priority="96">
      <iconSet iconSet="3Symbols2" showValue="0">
        <cfvo type="percent" val="0"/>
        <cfvo type="num" val="0"/>
        <cfvo type="num" val="1"/>
      </iconSet>
    </cfRule>
  </conditionalFormatting>
  <conditionalFormatting sqref="I253">
    <cfRule type="iconSet" priority="95">
      <iconSet iconSet="3Symbols2" showValue="0">
        <cfvo type="percent" val="0"/>
        <cfvo type="num" val="0"/>
        <cfvo type="num" val="1"/>
      </iconSet>
    </cfRule>
  </conditionalFormatting>
  <conditionalFormatting sqref="K309:L309">
    <cfRule type="iconSet" priority="94">
      <iconSet iconSet="3Symbols2" showValue="0">
        <cfvo type="percent" val="0"/>
        <cfvo type="num" val="0"/>
        <cfvo type="num" val="1"/>
      </iconSet>
    </cfRule>
  </conditionalFormatting>
  <conditionalFormatting sqref="P309:Q309">
    <cfRule type="iconSet" priority="93">
      <iconSet iconSet="3Symbols2" showValue="0">
        <cfvo type="percent" val="0"/>
        <cfvo type="num" val="0"/>
        <cfvo type="num" val="1"/>
      </iconSet>
    </cfRule>
  </conditionalFormatting>
  <conditionalFormatting sqref="P310:P312">
    <cfRule type="iconSet" priority="92">
      <iconSet iconSet="3Symbols2" showValue="0">
        <cfvo type="percent" val="0"/>
        <cfvo type="num" val="0"/>
        <cfvo type="num" val="1"/>
      </iconSet>
    </cfRule>
  </conditionalFormatting>
  <conditionalFormatting sqref="S310:S312">
    <cfRule type="iconSet" priority="91">
      <iconSet iconSet="3Symbols2" showValue="0">
        <cfvo type="percent" val="0"/>
        <cfvo type="num" val="0"/>
        <cfvo type="num" val="1"/>
      </iconSet>
    </cfRule>
  </conditionalFormatting>
  <conditionalFormatting sqref="Q310:Q312">
    <cfRule type="iconSet" priority="90">
      <iconSet iconSet="3Symbols2" showValue="0">
        <cfvo type="percent" val="0"/>
        <cfvo type="num" val="0"/>
        <cfvo type="num" val="1"/>
      </iconSet>
    </cfRule>
  </conditionalFormatting>
  <conditionalFormatting sqref="N310:N312">
    <cfRule type="iconSet" priority="89">
      <iconSet iconSet="3Symbols2" showValue="0">
        <cfvo type="percent" val="0"/>
        <cfvo type="num" val="0"/>
        <cfvo type="num" val="1"/>
      </iconSet>
    </cfRule>
  </conditionalFormatting>
  <conditionalFormatting sqref="I309">
    <cfRule type="iconSet" priority="88">
      <iconSet iconSet="3Symbols2" showValue="0">
        <cfvo type="percent" val="0"/>
        <cfvo type="num" val="0"/>
        <cfvo type="num" val="1"/>
      </iconSet>
    </cfRule>
  </conditionalFormatting>
  <conditionalFormatting sqref="P314:P317">
    <cfRule type="iconSet" priority="162115">
      <iconSet iconSet="3Symbols2" showValue="0">
        <cfvo type="percent" val="0"/>
        <cfvo type="num" val="0"/>
        <cfvo type="num" val="1"/>
      </iconSet>
    </cfRule>
  </conditionalFormatting>
  <conditionalFormatting sqref="S314:S317">
    <cfRule type="iconSet" priority="162116">
      <iconSet iconSet="3Symbols2" showValue="0">
        <cfvo type="percent" val="0"/>
        <cfvo type="num" val="0"/>
        <cfvo type="num" val="1"/>
      </iconSet>
    </cfRule>
  </conditionalFormatting>
  <conditionalFormatting sqref="Q314:Q317">
    <cfRule type="iconSet" priority="162117">
      <iconSet iconSet="3Symbols2" showValue="0">
        <cfvo type="percent" val="0"/>
        <cfvo type="num" val="0"/>
        <cfvo type="num" val="1"/>
      </iconSet>
    </cfRule>
  </conditionalFormatting>
  <conditionalFormatting sqref="P432">
    <cfRule type="iconSet" priority="60">
      <iconSet iconSet="3Symbols2" showValue="0">
        <cfvo type="percent" val="0"/>
        <cfvo type="num" val="0"/>
        <cfvo type="num" val="1"/>
      </iconSet>
    </cfRule>
  </conditionalFormatting>
  <conditionalFormatting sqref="S432">
    <cfRule type="iconSet" priority="59">
      <iconSet iconSet="3Symbols2" showValue="0">
        <cfvo type="percent" val="0"/>
        <cfvo type="num" val="0"/>
        <cfvo type="num" val="1"/>
      </iconSet>
    </cfRule>
  </conditionalFormatting>
  <conditionalFormatting sqref="P399">
    <cfRule type="iconSet" priority="58">
      <iconSet iconSet="3Symbols2" showValue="0">
        <cfvo type="percent" val="0"/>
        <cfvo type="num" val="0"/>
        <cfvo type="num" val="1"/>
      </iconSet>
    </cfRule>
  </conditionalFormatting>
  <conditionalFormatting sqref="R399">
    <cfRule type="iconSet" priority="57">
      <iconSet iconSet="3Symbols2" showValue="0">
        <cfvo type="percent" val="0"/>
        <cfvo type="num" val="0"/>
        <cfvo type="num" val="1"/>
      </iconSet>
    </cfRule>
  </conditionalFormatting>
  <conditionalFormatting sqref="Q399">
    <cfRule type="iconSet" priority="56">
      <iconSet iconSet="3Symbols2" showValue="0">
        <cfvo type="percent" val="0"/>
        <cfvo type="num" val="0"/>
        <cfvo type="num" val="1"/>
      </iconSet>
    </cfRule>
  </conditionalFormatting>
  <conditionalFormatting sqref="P401">
    <cfRule type="iconSet" priority="53">
      <iconSet iconSet="3Symbols2" showValue="0">
        <cfvo type="percent" val="0"/>
        <cfvo type="num" val="0"/>
        <cfvo type="num" val="1"/>
      </iconSet>
    </cfRule>
  </conditionalFormatting>
  <conditionalFormatting sqref="R401">
    <cfRule type="iconSet" priority="52">
      <iconSet iconSet="3Symbols2" showValue="0">
        <cfvo type="percent" val="0"/>
        <cfvo type="num" val="0"/>
        <cfvo type="num" val="1"/>
      </iconSet>
    </cfRule>
  </conditionalFormatting>
  <conditionalFormatting sqref="P402">
    <cfRule type="iconSet" priority="51">
      <iconSet iconSet="3Symbols2" showValue="0">
        <cfvo type="percent" val="0"/>
        <cfvo type="num" val="0"/>
        <cfvo type="num" val="1"/>
      </iconSet>
    </cfRule>
  </conditionalFormatting>
  <conditionalFormatting sqref="R402">
    <cfRule type="iconSet" priority="50">
      <iconSet iconSet="3Symbols2" showValue="0">
        <cfvo type="percent" val="0"/>
        <cfvo type="num" val="0"/>
        <cfvo type="num" val="1"/>
      </iconSet>
    </cfRule>
  </conditionalFormatting>
  <conditionalFormatting sqref="P404:P405">
    <cfRule type="iconSet" priority="49">
      <iconSet iconSet="3Symbols2" showValue="0">
        <cfvo type="percent" val="0"/>
        <cfvo type="num" val="0"/>
        <cfvo type="num" val="1"/>
      </iconSet>
    </cfRule>
  </conditionalFormatting>
  <conditionalFormatting sqref="R404:R405">
    <cfRule type="iconSet" priority="48">
      <iconSet iconSet="3Symbols2" showValue="0">
        <cfvo type="percent" val="0"/>
        <cfvo type="num" val="0"/>
        <cfvo type="num" val="1"/>
      </iconSet>
    </cfRule>
  </conditionalFormatting>
  <conditionalFormatting sqref="P407">
    <cfRule type="iconSet" priority="47">
      <iconSet iconSet="3Symbols2" showValue="0">
        <cfvo type="percent" val="0"/>
        <cfvo type="num" val="0"/>
        <cfvo type="num" val="1"/>
      </iconSet>
    </cfRule>
  </conditionalFormatting>
  <conditionalFormatting sqref="R407">
    <cfRule type="iconSet" priority="46">
      <iconSet iconSet="3Symbols2" showValue="0">
        <cfvo type="percent" val="0"/>
        <cfvo type="num" val="0"/>
        <cfvo type="num" val="1"/>
      </iconSet>
    </cfRule>
  </conditionalFormatting>
  <conditionalFormatting sqref="P410">
    <cfRule type="iconSet" priority="45">
      <iconSet iconSet="3Symbols2" showValue="0">
        <cfvo type="percent" val="0"/>
        <cfvo type="num" val="0"/>
        <cfvo type="num" val="1"/>
      </iconSet>
    </cfRule>
  </conditionalFormatting>
  <conditionalFormatting sqref="R410">
    <cfRule type="iconSet" priority="44">
      <iconSet iconSet="3Symbols2" showValue="0">
        <cfvo type="percent" val="0"/>
        <cfvo type="num" val="0"/>
        <cfvo type="num" val="1"/>
      </iconSet>
    </cfRule>
  </conditionalFormatting>
  <conditionalFormatting sqref="S396">
    <cfRule type="iconSet" priority="38">
      <iconSet iconSet="3Symbols2" showValue="0">
        <cfvo type="percent" val="0"/>
        <cfvo type="num" val="0"/>
        <cfvo type="num" val="1"/>
      </iconSet>
    </cfRule>
  </conditionalFormatting>
  <conditionalFormatting sqref="P396">
    <cfRule type="iconSet" priority="37">
      <iconSet iconSet="3Symbols2" showValue="0">
        <cfvo type="percent" val="0"/>
        <cfvo type="num" val="0"/>
        <cfvo type="num" val="1"/>
      </iconSet>
    </cfRule>
  </conditionalFormatting>
  <conditionalFormatting sqref="I397">
    <cfRule type="iconSet" priority="35">
      <iconSet iconSet="3Symbols2" showValue="0">
        <cfvo type="percent" val="0"/>
        <cfvo type="num" val="0"/>
        <cfvo type="num" val="1"/>
      </iconSet>
    </cfRule>
  </conditionalFormatting>
  <conditionalFormatting sqref="P357">
    <cfRule type="iconSet" priority="33">
      <iconSet iconSet="3Symbols2" showValue="0">
        <cfvo type="percent" val="0"/>
        <cfvo type="num" val="0"/>
        <cfvo type="num" val="1"/>
      </iconSet>
    </cfRule>
  </conditionalFormatting>
  <conditionalFormatting sqref="S357">
    <cfRule type="iconSet" priority="32">
      <iconSet iconSet="3Symbols2" showValue="0">
        <cfvo type="percent" val="0"/>
        <cfvo type="num" val="0"/>
        <cfvo type="num" val="1"/>
      </iconSet>
    </cfRule>
  </conditionalFormatting>
  <conditionalFormatting sqref="P324">
    <cfRule type="iconSet" priority="31">
      <iconSet iconSet="3Symbols2" showValue="0">
        <cfvo type="percent" val="0"/>
        <cfvo type="num" val="0"/>
        <cfvo type="num" val="1"/>
      </iconSet>
    </cfRule>
  </conditionalFormatting>
  <conditionalFormatting sqref="R324">
    <cfRule type="iconSet" priority="30">
      <iconSet iconSet="3Symbols2" showValue="0">
        <cfvo type="percent" val="0"/>
        <cfvo type="num" val="0"/>
        <cfvo type="num" val="1"/>
      </iconSet>
    </cfRule>
  </conditionalFormatting>
  <conditionalFormatting sqref="Q324">
    <cfRule type="iconSet" priority="29">
      <iconSet iconSet="3Symbols2" showValue="0">
        <cfvo type="percent" val="0"/>
        <cfvo type="num" val="0"/>
        <cfvo type="num" val="1"/>
      </iconSet>
    </cfRule>
  </conditionalFormatting>
  <conditionalFormatting sqref="K391:L395">
    <cfRule type="iconSet" priority="28">
      <iconSet iconSet="3Symbols2" showValue="0">
        <cfvo type="percent" val="0"/>
        <cfvo type="num" val="0"/>
        <cfvo type="num" val="1"/>
      </iconSet>
    </cfRule>
  </conditionalFormatting>
  <conditionalFormatting sqref="P391:Q395">
    <cfRule type="iconSet" priority="27">
      <iconSet iconSet="3Symbols2" showValue="0">
        <cfvo type="percent" val="0"/>
        <cfvo type="num" val="0"/>
        <cfvo type="num" val="1"/>
      </iconSet>
    </cfRule>
  </conditionalFormatting>
  <conditionalFormatting sqref="P326">
    <cfRule type="iconSet" priority="26">
      <iconSet iconSet="3Symbols2" showValue="0">
        <cfvo type="percent" val="0"/>
        <cfvo type="num" val="0"/>
        <cfvo type="num" val="1"/>
      </iconSet>
    </cfRule>
  </conditionalFormatting>
  <conditionalFormatting sqref="R326">
    <cfRule type="iconSet" priority="25">
      <iconSet iconSet="3Symbols2" showValue="0">
        <cfvo type="percent" val="0"/>
        <cfvo type="num" val="0"/>
        <cfvo type="num" val="1"/>
      </iconSet>
    </cfRule>
  </conditionalFormatting>
  <conditionalFormatting sqref="P327">
    <cfRule type="iconSet" priority="24">
      <iconSet iconSet="3Symbols2" showValue="0">
        <cfvo type="percent" val="0"/>
        <cfvo type="num" val="0"/>
        <cfvo type="num" val="1"/>
      </iconSet>
    </cfRule>
  </conditionalFormatting>
  <conditionalFormatting sqref="R327">
    <cfRule type="iconSet" priority="23">
      <iconSet iconSet="3Symbols2" showValue="0">
        <cfvo type="percent" val="0"/>
        <cfvo type="num" val="0"/>
        <cfvo type="num" val="1"/>
      </iconSet>
    </cfRule>
  </conditionalFormatting>
  <conditionalFormatting sqref="P329:P330">
    <cfRule type="iconSet" priority="22">
      <iconSet iconSet="3Symbols2" showValue="0">
        <cfvo type="percent" val="0"/>
        <cfvo type="num" val="0"/>
        <cfvo type="num" val="1"/>
      </iconSet>
    </cfRule>
  </conditionalFormatting>
  <conditionalFormatting sqref="R329:R330">
    <cfRule type="iconSet" priority="21">
      <iconSet iconSet="3Symbols2" showValue="0">
        <cfvo type="percent" val="0"/>
        <cfvo type="num" val="0"/>
        <cfvo type="num" val="1"/>
      </iconSet>
    </cfRule>
  </conditionalFormatting>
  <conditionalFormatting sqref="P332">
    <cfRule type="iconSet" priority="20">
      <iconSet iconSet="3Symbols2" showValue="0">
        <cfvo type="percent" val="0"/>
        <cfvo type="num" val="0"/>
        <cfvo type="num" val="1"/>
      </iconSet>
    </cfRule>
  </conditionalFormatting>
  <conditionalFormatting sqref="R332">
    <cfRule type="iconSet" priority="19">
      <iconSet iconSet="3Symbols2" showValue="0">
        <cfvo type="percent" val="0"/>
        <cfvo type="num" val="0"/>
        <cfvo type="num" val="1"/>
      </iconSet>
    </cfRule>
  </conditionalFormatting>
  <conditionalFormatting sqref="P335">
    <cfRule type="iconSet" priority="18">
      <iconSet iconSet="3Symbols2" showValue="0">
        <cfvo type="percent" val="0"/>
        <cfvo type="num" val="0"/>
        <cfvo type="num" val="1"/>
      </iconSet>
    </cfRule>
  </conditionalFormatting>
  <conditionalFormatting sqref="R335">
    <cfRule type="iconSet" priority="17">
      <iconSet iconSet="3Symbols2" showValue="0">
        <cfvo type="percent" val="0"/>
        <cfvo type="num" val="0"/>
        <cfvo type="num" val="1"/>
      </iconSet>
    </cfRule>
  </conditionalFormatting>
  <conditionalFormatting sqref="P333">
    <cfRule type="iconSet" priority="16">
      <iconSet iconSet="3Symbols2" showValue="0">
        <cfvo type="percent" val="0"/>
        <cfvo type="num" val="0"/>
        <cfvo type="num" val="1"/>
      </iconSet>
    </cfRule>
  </conditionalFormatting>
  <conditionalFormatting sqref="R333">
    <cfRule type="iconSet" priority="15">
      <iconSet iconSet="3Symbols2" showValue="0">
        <cfvo type="percent" val="0"/>
        <cfvo type="num" val="0"/>
        <cfvo type="num" val="1"/>
      </iconSet>
    </cfRule>
  </conditionalFormatting>
  <conditionalFormatting sqref="P377:P378">
    <cfRule type="iconSet" priority="14">
      <iconSet iconSet="3Symbols2" showValue="0">
        <cfvo type="percent" val="0"/>
        <cfvo type="num" val="0"/>
        <cfvo type="num" val="1"/>
      </iconSet>
    </cfRule>
  </conditionalFormatting>
  <conditionalFormatting sqref="R377">
    <cfRule type="iconSet" priority="13">
      <iconSet iconSet="3Symbols2" showValue="0">
        <cfvo type="percent" val="0"/>
        <cfvo type="num" val="0"/>
        <cfvo type="num" val="1"/>
      </iconSet>
    </cfRule>
  </conditionalFormatting>
  <conditionalFormatting sqref="R378">
    <cfRule type="iconSet" priority="12">
      <iconSet iconSet="3Symbols2" showValue="0">
        <cfvo type="percent" val="0"/>
        <cfvo type="num" val="0"/>
        <cfvo type="num" val="1"/>
      </iconSet>
    </cfRule>
  </conditionalFormatting>
  <conditionalFormatting sqref="S321">
    <cfRule type="iconSet" priority="11">
      <iconSet iconSet="3Symbols2" showValue="0">
        <cfvo type="percent" val="0"/>
        <cfvo type="num" val="0"/>
        <cfvo type="num" val="1"/>
      </iconSet>
    </cfRule>
  </conditionalFormatting>
  <conditionalFormatting sqref="P321">
    <cfRule type="iconSet" priority="10">
      <iconSet iconSet="3Symbols2" showValue="0">
        <cfvo type="percent" val="0"/>
        <cfvo type="num" val="0"/>
        <cfvo type="num" val="1"/>
      </iconSet>
    </cfRule>
  </conditionalFormatting>
  <conditionalFormatting sqref="P386:P390">
    <cfRule type="iconSet" priority="9">
      <iconSet iconSet="3Symbols2" showValue="0">
        <cfvo type="percent" val="0"/>
        <cfvo type="num" val="0"/>
        <cfvo type="num" val="1"/>
      </iconSet>
    </cfRule>
  </conditionalFormatting>
  <conditionalFormatting sqref="I322">
    <cfRule type="iconSet" priority="8">
      <iconSet iconSet="3Symbols2" showValue="0">
        <cfvo type="percent" val="0"/>
        <cfvo type="num" val="0"/>
        <cfvo type="num" val="1"/>
      </iconSet>
    </cfRule>
  </conditionalFormatting>
  <conditionalFormatting sqref="K377:K378 K363 K335:K336 K332:K333 K329:K330 K326:K327 K321:K322 K366">
    <cfRule type="iconSet" priority="7">
      <iconSet iconSet="3Symbols2" showValue="0">
        <cfvo type="percent" val="0"/>
        <cfvo type="num" val="0"/>
        <cfvo type="num" val="1"/>
      </iconSet>
    </cfRule>
  </conditionalFormatting>
  <conditionalFormatting sqref="K438:K439 K410:K411 K407:K408 K404:K405 K401:K402 K396:K397">
    <cfRule type="iconSet" priority="162661">
      <iconSet iconSet="3Symbols2" showValue="0">
        <cfvo type="percent" val="0"/>
        <cfvo type="num" val="0"/>
        <cfvo type="num" val="1"/>
      </iconSet>
    </cfRule>
  </conditionalFormatting>
  <conditionalFormatting sqref="B8:H1019">
    <cfRule type="expression" dxfId="38" priority="163882">
      <formula>AND($K8=1,$P8&lt;&gt;1)</formula>
    </cfRule>
    <cfRule type="expression" dxfId="37" priority="163883">
      <formula>OR($I8=1,$P8=1)</formula>
    </cfRule>
    <cfRule type="expression" dxfId="36" priority="163884">
      <formula>($H8="NA")</formula>
    </cfRule>
  </conditionalFormatting>
  <conditionalFormatting sqref="N460:N466">
    <cfRule type="iconSet" priority="6">
      <iconSet iconSet="3Symbols2" showValue="0">
        <cfvo type="percent" val="0"/>
        <cfvo type="num" val="0"/>
        <cfvo type="num" val="1"/>
      </iconSet>
    </cfRule>
  </conditionalFormatting>
  <conditionalFormatting sqref="N467:N469 N459">
    <cfRule type="iconSet" priority="5">
      <iconSet iconSet="3Symbols2" showValue="0">
        <cfvo type="percent" val="0"/>
        <cfvo type="num" val="0"/>
        <cfvo type="num" val="1"/>
      </iconSet>
    </cfRule>
  </conditionalFormatting>
  <conditionalFormatting sqref="Q467:Q469 Q459">
    <cfRule type="iconSet" priority="4">
      <iconSet iconSet="3Symbols2" showValue="0">
        <cfvo type="percent" val="0"/>
        <cfvo type="num" val="0"/>
        <cfvo type="num" val="1"/>
      </iconSet>
    </cfRule>
  </conditionalFormatting>
  <conditionalFormatting sqref="P467:P469 P459">
    <cfRule type="iconSet" priority="3">
      <iconSet iconSet="3Symbols2" showValue="0">
        <cfvo type="percent" val="0"/>
        <cfvo type="num" val="0"/>
        <cfvo type="num" val="1"/>
      </iconSet>
    </cfRule>
  </conditionalFormatting>
  <conditionalFormatting sqref="Q460:Q466">
    <cfRule type="iconSet" priority="2">
      <iconSet iconSet="3Symbols2" showValue="0">
        <cfvo type="percent" val="0"/>
        <cfvo type="num" val="0"/>
        <cfvo type="num" val="1"/>
      </iconSet>
    </cfRule>
  </conditionalFormatting>
  <conditionalFormatting sqref="P460:P466">
    <cfRule type="iconSet" priority="1">
      <iconSet iconSet="3Symbols2" showValue="0">
        <cfvo type="percent" val="0"/>
        <cfvo type="num" val="0"/>
        <cfvo type="num" val="1"/>
      </iconSet>
    </cfRule>
  </conditionalFormatting>
  <conditionalFormatting sqref="N470:N472">
    <cfRule type="iconSet" priority="214233">
      <iconSet iconSet="3Symbols2" showValue="0">
        <cfvo type="percent" val="0"/>
        <cfvo type="num" val="0"/>
        <cfvo type="num" val="1"/>
      </iconSet>
    </cfRule>
  </conditionalFormatting>
  <conditionalFormatting sqref="K459:K472 K44:K45">
    <cfRule type="iconSet" priority="214328">
      <iconSet iconSet="3Symbols2" showValue="0">
        <cfvo type="percent" val="0"/>
        <cfvo type="num" val="0"/>
        <cfvo type="num" val="1"/>
      </iconSet>
    </cfRule>
  </conditionalFormatting>
  <conditionalFormatting sqref="Q470:Q472">
    <cfRule type="iconSet" priority="214552">
      <iconSet iconSet="3Symbols2" showValue="0">
        <cfvo type="percent" val="0"/>
        <cfvo type="num" val="0"/>
        <cfvo type="num" val="1"/>
      </iconSet>
    </cfRule>
  </conditionalFormatting>
  <conditionalFormatting sqref="P470:P472">
    <cfRule type="iconSet" priority="214553">
      <iconSet iconSet="3Symbols2" showValue="0">
        <cfvo type="percent" val="0"/>
        <cfvo type="num" val="0"/>
        <cfvo type="num" val="1"/>
      </iconSet>
    </cfRule>
  </conditionalFormatting>
  <conditionalFormatting sqref="I459:I472">
    <cfRule type="iconSet" priority="214554">
      <iconSet iconSet="3Symbols2" showValue="0">
        <cfvo type="percent" val="0"/>
        <cfvo type="num" val="0"/>
        <cfvo type="num" val="1"/>
      </iconSet>
    </cfRule>
  </conditionalFormatting>
  <conditionalFormatting sqref="P408">
    <cfRule type="iconSet" priority="230117">
      <iconSet iconSet="3Symbols2" showValue="0">
        <cfvo type="percent" val="0"/>
        <cfvo type="num" val="0"/>
        <cfvo type="num" val="1"/>
      </iconSet>
    </cfRule>
  </conditionalFormatting>
  <conditionalFormatting sqref="R408">
    <cfRule type="iconSet" priority="230118">
      <iconSet iconSet="3Symbols2" showValue="0">
        <cfvo type="percent" val="0"/>
        <cfvo type="num" val="0"/>
        <cfvo type="num" val="1"/>
      </iconSet>
    </cfRule>
  </conditionalFormatting>
  <pageMargins left="0.7" right="0.7" top="0.75" bottom="0.75" header="0.3" footer="0.3"/>
  <pageSetup scale="51"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2:XFC349"/>
  <sheetViews>
    <sheetView zoomScale="88" zoomScaleNormal="88" workbookViewId="0">
      <pane xSplit="5" ySplit="5" topLeftCell="F259" activePane="bottomRight" state="frozen"/>
      <selection pane="bottomRight" activeCell="L352" sqref="L352"/>
      <selection pane="bottomLeft" activeCell="A6" sqref="A6"/>
      <selection pane="topRight" activeCell="G1" sqref="G1"/>
    </sheetView>
  </sheetViews>
  <sheetFormatPr defaultColWidth="8.5703125" defaultRowHeight="12.75" outlineLevelRow="2" outlineLevelCol="1"/>
  <cols>
    <col min="1" max="1" width="0.7109375" style="16" customWidth="1"/>
    <col min="2" max="2" width="3.42578125" style="17" bestFit="1" customWidth="1"/>
    <col min="3" max="3" width="24.7109375" style="20" bestFit="1" customWidth="1"/>
    <col min="4" max="4" width="82.28515625" style="16" bestFit="1" customWidth="1"/>
    <col min="5" max="5" width="0.5703125" style="16" customWidth="1"/>
    <col min="6" max="6" width="8.42578125" style="16" bestFit="1" customWidth="1"/>
    <col min="7" max="7" width="11.42578125" style="16" bestFit="1" customWidth="1"/>
    <col min="8" max="8" width="5.5703125" style="40" bestFit="1" customWidth="1"/>
    <col min="9" max="9" width="10" style="19" bestFit="1" customWidth="1"/>
    <col min="10" max="10" width="8" style="19" customWidth="1"/>
    <col min="11" max="11" width="10.42578125" style="19" bestFit="1" customWidth="1"/>
    <col min="12" max="15" width="10.42578125" style="19" customWidth="1" outlineLevel="1"/>
    <col min="16" max="16" width="10.42578125" style="19" customWidth="1"/>
    <col min="17" max="20" width="10.42578125" style="19" customWidth="1" outlineLevel="1"/>
    <col min="21" max="16384" width="8.5703125" style="16"/>
  </cols>
  <sheetData>
    <row r="2" spans="1:20" s="1" customFormat="1" ht="12.75" customHeight="1">
      <c r="A2" s="110" t="s">
        <v>260</v>
      </c>
      <c r="B2" s="63"/>
      <c r="C2" s="320"/>
      <c r="D2" s="63"/>
      <c r="E2" s="113"/>
      <c r="F2" s="701" t="s">
        <v>261</v>
      </c>
      <c r="G2" s="701" t="s">
        <v>262</v>
      </c>
      <c r="H2" s="702" t="s">
        <v>263</v>
      </c>
      <c r="I2" s="702" t="s">
        <v>264</v>
      </c>
      <c r="J2" s="702"/>
      <c r="K2" s="700" t="s">
        <v>18406</v>
      </c>
      <c r="L2" s="19"/>
      <c r="M2" s="19"/>
      <c r="N2" s="116"/>
      <c r="O2" s="116"/>
      <c r="P2" s="700" t="s">
        <v>18407</v>
      </c>
      <c r="Q2" s="116"/>
      <c r="R2" s="116"/>
      <c r="S2" s="116"/>
      <c r="T2" s="116"/>
    </row>
    <row r="3" spans="1:20" s="1" customFormat="1" ht="3" customHeight="1">
      <c r="A3" s="110"/>
      <c r="B3" s="63"/>
      <c r="C3" s="320"/>
      <c r="D3" s="63"/>
      <c r="E3" s="113"/>
      <c r="F3" s="701"/>
      <c r="G3" s="701"/>
      <c r="H3" s="702"/>
      <c r="I3" s="114"/>
      <c r="K3" s="700"/>
      <c r="L3" s="19"/>
      <c r="M3" s="19"/>
      <c r="N3" s="116"/>
      <c r="O3" s="116"/>
      <c r="P3" s="700"/>
      <c r="Q3" s="116"/>
      <c r="R3" s="116"/>
      <c r="S3" s="116"/>
      <c r="T3" s="116"/>
    </row>
    <row r="4" spans="1:20" s="1" customFormat="1" ht="18">
      <c r="A4" s="321" t="s">
        <v>18408</v>
      </c>
      <c r="B4" s="322"/>
      <c r="C4" s="323"/>
      <c r="D4" s="322"/>
      <c r="E4" s="113"/>
      <c r="F4" s="701"/>
      <c r="G4" s="701"/>
      <c r="H4" s="702"/>
      <c r="I4" s="115" t="s">
        <v>268</v>
      </c>
      <c r="J4" s="324" t="s">
        <v>4871</v>
      </c>
      <c r="K4" s="700"/>
      <c r="L4" s="116" t="s">
        <v>7</v>
      </c>
      <c r="M4" s="116" t="s">
        <v>8</v>
      </c>
      <c r="N4" s="116" t="s">
        <v>9</v>
      </c>
      <c r="O4" s="116" t="s">
        <v>10</v>
      </c>
      <c r="P4" s="700"/>
      <c r="Q4" s="116" t="s">
        <v>7</v>
      </c>
      <c r="R4" s="116" t="s">
        <v>8</v>
      </c>
      <c r="S4" s="116" t="s">
        <v>9</v>
      </c>
      <c r="T4" s="116" t="s">
        <v>10</v>
      </c>
    </row>
    <row r="5" spans="1:20" s="1" customFormat="1" ht="11.1" customHeight="1">
      <c r="A5" s="110"/>
      <c r="B5" s="63"/>
      <c r="C5" s="320"/>
      <c r="D5" s="63"/>
      <c r="E5" s="113"/>
      <c r="F5" s="63"/>
      <c r="G5" s="64"/>
      <c r="H5" s="64"/>
      <c r="I5" s="111"/>
      <c r="J5" s="325"/>
      <c r="K5" s="114"/>
      <c r="L5" s="19"/>
      <c r="M5" s="19"/>
      <c r="N5" s="114"/>
      <c r="O5" s="114"/>
      <c r="Q5" s="114"/>
      <c r="R5" s="114"/>
      <c r="S5" s="114"/>
      <c r="T5" s="114"/>
    </row>
    <row r="6" spans="1:20" s="1" customFormat="1" ht="20.85" customHeight="1">
      <c r="A6" s="110"/>
      <c r="B6" s="63"/>
      <c r="C6" s="320"/>
      <c r="D6" s="63"/>
      <c r="E6" s="113"/>
      <c r="F6" s="63"/>
      <c r="G6" s="64"/>
      <c r="H6" s="64"/>
      <c r="I6" s="111"/>
      <c r="J6" s="325"/>
      <c r="K6" s="62"/>
      <c r="L6" s="19"/>
      <c r="M6" s="19"/>
      <c r="N6" s="62"/>
      <c r="O6" s="62"/>
      <c r="Q6" s="114"/>
      <c r="R6" s="114"/>
      <c r="S6" s="114"/>
      <c r="T6" s="114"/>
    </row>
    <row r="7" spans="1:20" ht="3.6" customHeight="1">
      <c r="A7" s="123"/>
      <c r="B7" s="118"/>
      <c r="C7" s="135"/>
      <c r="D7" s="326"/>
      <c r="E7" s="125"/>
      <c r="F7" s="118"/>
      <c r="G7" s="132"/>
      <c r="H7" s="127"/>
      <c r="I7" s="327"/>
    </row>
    <row r="8" spans="1:20" s="18" customFormat="1" ht="15">
      <c r="A8" s="328" t="s">
        <v>619</v>
      </c>
      <c r="B8" s="118"/>
      <c r="C8" s="135"/>
      <c r="D8" s="326"/>
      <c r="E8" s="46"/>
      <c r="F8" s="41" t="s">
        <v>261</v>
      </c>
      <c r="G8" s="41" t="s">
        <v>262</v>
      </c>
      <c r="H8" s="42" t="s">
        <v>263</v>
      </c>
      <c r="I8" s="329"/>
      <c r="J8" s="329"/>
      <c r="K8" s="62"/>
      <c r="L8" s="19"/>
      <c r="M8" s="19"/>
      <c r="N8" s="62"/>
      <c r="O8" s="62"/>
      <c r="P8" s="329"/>
      <c r="Q8" s="329"/>
      <c r="R8" s="329"/>
      <c r="S8" s="329"/>
      <c r="T8" s="329"/>
    </row>
    <row r="9" spans="1:20" outlineLevel="1">
      <c r="A9" s="18"/>
      <c r="B9" s="118" t="s">
        <v>19</v>
      </c>
      <c r="C9" s="330" t="s">
        <v>18409</v>
      </c>
      <c r="D9" s="124" t="s">
        <v>18410</v>
      </c>
      <c r="E9" s="125"/>
      <c r="F9" s="118" t="s">
        <v>622</v>
      </c>
      <c r="G9" s="126" t="str">
        <f t="shared" ref="G9:G26" si="0">CONCATENATE("LS-",F9,"-",H9)</f>
        <v>LS-T2S-4</v>
      </c>
      <c r="H9" s="127" t="s">
        <v>292</v>
      </c>
      <c r="I9" s="19">
        <v>1</v>
      </c>
      <c r="J9" s="19" t="s">
        <v>286</v>
      </c>
      <c r="K9" s="16"/>
      <c r="N9" s="16"/>
      <c r="O9" s="16"/>
    </row>
    <row r="10" spans="1:20" outlineLevel="1">
      <c r="A10" s="18"/>
      <c r="B10" s="118" t="s">
        <v>19</v>
      </c>
      <c r="C10" s="330" t="s">
        <v>18411</v>
      </c>
      <c r="D10" s="124" t="s">
        <v>18412</v>
      </c>
      <c r="E10" s="125"/>
      <c r="F10" s="118" t="s">
        <v>622</v>
      </c>
      <c r="G10" s="126" t="str">
        <f t="shared" si="0"/>
        <v>LS-T2S-4</v>
      </c>
      <c r="H10" s="127" t="s">
        <v>292</v>
      </c>
      <c r="I10" s="19">
        <v>1</v>
      </c>
      <c r="J10" s="19" t="s">
        <v>286</v>
      </c>
    </row>
    <row r="11" spans="1:20" outlineLevel="1">
      <c r="A11" s="18"/>
      <c r="B11" s="118" t="s">
        <v>19</v>
      </c>
      <c r="C11" s="330" t="s">
        <v>18413</v>
      </c>
      <c r="D11" s="124" t="s">
        <v>18414</v>
      </c>
      <c r="E11" s="125"/>
      <c r="F11" s="118" t="s">
        <v>622</v>
      </c>
      <c r="G11" s="126" t="str">
        <f t="shared" si="0"/>
        <v>LS-T2S-4</v>
      </c>
      <c r="H11" s="127" t="s">
        <v>292</v>
      </c>
      <c r="I11" s="19">
        <v>1</v>
      </c>
      <c r="J11" s="19" t="s">
        <v>286</v>
      </c>
    </row>
    <row r="12" spans="1:20" outlineLevel="1">
      <c r="A12" s="18"/>
      <c r="B12" s="118" t="s">
        <v>19</v>
      </c>
      <c r="C12" s="330" t="s">
        <v>18415</v>
      </c>
      <c r="D12" s="124" t="s">
        <v>18416</v>
      </c>
      <c r="E12" s="125"/>
      <c r="F12" s="118" t="s">
        <v>622</v>
      </c>
      <c r="G12" s="126" t="str">
        <f t="shared" si="0"/>
        <v>LS-T2S-4</v>
      </c>
      <c r="H12" s="127" t="s">
        <v>292</v>
      </c>
      <c r="I12" s="19">
        <v>1</v>
      </c>
      <c r="J12" s="19" t="s">
        <v>286</v>
      </c>
    </row>
    <row r="13" spans="1:20" outlineLevel="1">
      <c r="A13" s="18"/>
      <c r="B13" s="118" t="s">
        <v>19</v>
      </c>
      <c r="C13" s="330" t="s">
        <v>18417</v>
      </c>
      <c r="D13" s="124" t="s">
        <v>18418</v>
      </c>
      <c r="E13" s="125"/>
      <c r="F13" s="118" t="s">
        <v>622</v>
      </c>
      <c r="G13" s="126" t="str">
        <f t="shared" si="0"/>
        <v>LS-T2S-4</v>
      </c>
      <c r="H13" s="127" t="s">
        <v>292</v>
      </c>
      <c r="I13" s="19">
        <v>1</v>
      </c>
      <c r="J13" s="19" t="s">
        <v>286</v>
      </c>
    </row>
    <row r="14" spans="1:20" outlineLevel="1">
      <c r="A14" s="18"/>
      <c r="B14" s="118" t="s">
        <v>19</v>
      </c>
      <c r="C14" s="330" t="s">
        <v>18419</v>
      </c>
      <c r="D14" s="124" t="s">
        <v>18420</v>
      </c>
      <c r="E14" s="125"/>
      <c r="F14" s="118" t="s">
        <v>622</v>
      </c>
      <c r="G14" s="126" t="str">
        <f t="shared" si="0"/>
        <v>LS-T2S-4</v>
      </c>
      <c r="H14" s="127" t="s">
        <v>292</v>
      </c>
      <c r="I14" s="19">
        <v>1</v>
      </c>
      <c r="J14" s="19" t="s">
        <v>286</v>
      </c>
    </row>
    <row r="15" spans="1:20" outlineLevel="1">
      <c r="A15" s="18"/>
      <c r="B15" s="118" t="s">
        <v>19</v>
      </c>
      <c r="C15" s="330" t="s">
        <v>18421</v>
      </c>
      <c r="D15" s="124" t="s">
        <v>18422</v>
      </c>
      <c r="E15" s="125"/>
      <c r="F15" s="118" t="s">
        <v>622</v>
      </c>
      <c r="G15" s="126" t="str">
        <f t="shared" si="0"/>
        <v>LS-T2S-9</v>
      </c>
      <c r="H15" s="127" t="s">
        <v>421</v>
      </c>
      <c r="I15" s="19">
        <v>1</v>
      </c>
      <c r="J15" s="19" t="s">
        <v>286</v>
      </c>
    </row>
    <row r="16" spans="1:20" outlineLevel="1">
      <c r="A16" s="18"/>
      <c r="B16" s="118" t="s">
        <v>19</v>
      </c>
      <c r="C16" s="330" t="s">
        <v>18423</v>
      </c>
      <c r="D16" s="124" t="s">
        <v>18424</v>
      </c>
      <c r="E16" s="125"/>
      <c r="F16" s="118" t="s">
        <v>622</v>
      </c>
      <c r="G16" s="126" t="str">
        <f t="shared" si="0"/>
        <v>LS-T2S-9</v>
      </c>
      <c r="H16" s="127" t="s">
        <v>421</v>
      </c>
      <c r="I16" s="19">
        <v>1</v>
      </c>
      <c r="J16" s="19" t="s">
        <v>286</v>
      </c>
    </row>
    <row r="17" spans="1:18" outlineLevel="1">
      <c r="A17" s="18"/>
      <c r="B17" s="118" t="s">
        <v>19</v>
      </c>
      <c r="C17" s="330" t="s">
        <v>18425</v>
      </c>
      <c r="D17" s="124" t="s">
        <v>18426</v>
      </c>
      <c r="E17" s="125"/>
      <c r="F17" s="118" t="s">
        <v>622</v>
      </c>
      <c r="G17" s="126" t="str">
        <f t="shared" si="0"/>
        <v>LS-T2S-9</v>
      </c>
      <c r="H17" s="127" t="s">
        <v>421</v>
      </c>
      <c r="I17" s="19">
        <v>1</v>
      </c>
      <c r="J17" s="19" t="s">
        <v>286</v>
      </c>
    </row>
    <row r="18" spans="1:18" outlineLevel="1">
      <c r="A18" s="18"/>
      <c r="B18" s="118" t="s">
        <v>19</v>
      </c>
      <c r="C18" s="330" t="s">
        <v>18427</v>
      </c>
      <c r="D18" s="124" t="s">
        <v>18428</v>
      </c>
      <c r="E18" s="125"/>
      <c r="F18" s="118" t="s">
        <v>622</v>
      </c>
      <c r="G18" s="126" t="str">
        <f t="shared" si="0"/>
        <v>LS-T2S-9</v>
      </c>
      <c r="H18" s="127" t="s">
        <v>421</v>
      </c>
      <c r="I18" s="19">
        <v>1</v>
      </c>
      <c r="J18" s="19" t="s">
        <v>286</v>
      </c>
    </row>
    <row r="19" spans="1:18" outlineLevel="1">
      <c r="A19" s="18"/>
      <c r="B19" s="118" t="s">
        <v>19</v>
      </c>
      <c r="C19" s="330" t="s">
        <v>18429</v>
      </c>
      <c r="D19" s="124" t="s">
        <v>18430</v>
      </c>
      <c r="E19" s="125"/>
      <c r="F19" s="118" t="s">
        <v>622</v>
      </c>
      <c r="G19" s="126" t="str">
        <f t="shared" si="0"/>
        <v>LS-T2S-9</v>
      </c>
      <c r="H19" s="127" t="s">
        <v>421</v>
      </c>
      <c r="I19" s="19">
        <v>1</v>
      </c>
      <c r="J19" s="19" t="s">
        <v>286</v>
      </c>
    </row>
    <row r="20" spans="1:18" outlineLevel="1">
      <c r="A20" s="18"/>
      <c r="B20" s="118" t="s">
        <v>19</v>
      </c>
      <c r="C20" s="330" t="s">
        <v>18431</v>
      </c>
      <c r="D20" s="124" t="s">
        <v>18432</v>
      </c>
      <c r="E20" s="125"/>
      <c r="F20" s="118" t="s">
        <v>622</v>
      </c>
      <c r="G20" s="126" t="str">
        <f t="shared" si="0"/>
        <v>LS-T2S-9</v>
      </c>
      <c r="H20" s="127" t="s">
        <v>421</v>
      </c>
      <c r="I20" s="19">
        <v>1</v>
      </c>
      <c r="J20" s="19" t="s">
        <v>286</v>
      </c>
    </row>
    <row r="21" spans="1:18" outlineLevel="1">
      <c r="A21" s="18"/>
      <c r="B21" s="118" t="s">
        <v>19</v>
      </c>
      <c r="C21" s="330" t="s">
        <v>18433</v>
      </c>
      <c r="D21" s="124" t="s">
        <v>18434</v>
      </c>
      <c r="E21" s="125"/>
      <c r="F21" s="118" t="s">
        <v>622</v>
      </c>
      <c r="G21" s="126" t="str">
        <f t="shared" si="0"/>
        <v>LS-T2S-6</v>
      </c>
      <c r="H21" s="127">
        <v>6</v>
      </c>
      <c r="I21" s="19">
        <v>1</v>
      </c>
      <c r="J21" s="19" t="s">
        <v>286</v>
      </c>
    </row>
    <row r="22" spans="1:18" s="18" customFormat="1" outlineLevel="1">
      <c r="B22" s="118" t="s">
        <v>19</v>
      </c>
      <c r="C22" s="330" t="s">
        <v>18435</v>
      </c>
      <c r="D22" s="124" t="s">
        <v>18436</v>
      </c>
      <c r="E22" s="125"/>
      <c r="F22" s="118" t="s">
        <v>622</v>
      </c>
      <c r="G22" s="126" t="str">
        <f t="shared" ref="G22" si="1">CONCATENATE("LS-",F22,"-",H22)</f>
        <v>LS-T2S-6</v>
      </c>
      <c r="H22" s="127">
        <v>6</v>
      </c>
      <c r="I22" s="19">
        <v>1</v>
      </c>
      <c r="J22" s="19" t="s">
        <v>286</v>
      </c>
      <c r="K22" s="19"/>
      <c r="L22" s="19"/>
      <c r="M22" s="19"/>
      <c r="N22" s="19"/>
      <c r="O22" s="19"/>
      <c r="P22" s="19"/>
      <c r="R22" s="19"/>
    </row>
    <row r="23" spans="1:18" s="18" customFormat="1" outlineLevel="1">
      <c r="B23" s="118" t="s">
        <v>19</v>
      </c>
      <c r="C23" s="330" t="s">
        <v>18437</v>
      </c>
      <c r="D23" s="124" t="s">
        <v>18438</v>
      </c>
      <c r="E23" s="125"/>
      <c r="F23" s="118" t="s">
        <v>622</v>
      </c>
      <c r="G23" s="126" t="str">
        <f t="shared" si="0"/>
        <v>LS-T2S-6</v>
      </c>
      <c r="H23" s="127">
        <v>6</v>
      </c>
      <c r="I23" s="19">
        <v>1</v>
      </c>
      <c r="J23" s="19" t="s">
        <v>286</v>
      </c>
      <c r="K23" s="19"/>
      <c r="L23" s="19"/>
      <c r="M23" s="19"/>
      <c r="N23" s="19"/>
      <c r="O23" s="19"/>
      <c r="P23" s="19"/>
      <c r="R23" s="19"/>
    </row>
    <row r="24" spans="1:18" s="18" customFormat="1" outlineLevel="1">
      <c r="B24" s="118" t="s">
        <v>19</v>
      </c>
      <c r="C24" s="330" t="s">
        <v>18439</v>
      </c>
      <c r="D24" s="124" t="s">
        <v>18440</v>
      </c>
      <c r="E24" s="125"/>
      <c r="F24" s="118" t="s">
        <v>622</v>
      </c>
      <c r="G24" s="126" t="str">
        <f t="shared" si="0"/>
        <v>LS-T2S-6</v>
      </c>
      <c r="H24" s="127">
        <v>6</v>
      </c>
      <c r="I24" s="19">
        <v>1</v>
      </c>
      <c r="J24" s="19" t="s">
        <v>286</v>
      </c>
      <c r="K24" s="19"/>
      <c r="L24" s="19"/>
      <c r="M24" s="19"/>
      <c r="N24" s="19"/>
      <c r="O24" s="19"/>
      <c r="P24" s="19"/>
      <c r="R24" s="19"/>
    </row>
    <row r="25" spans="1:18" s="18" customFormat="1" outlineLevel="1">
      <c r="B25" s="118" t="s">
        <v>19</v>
      </c>
      <c r="C25" s="330" t="s">
        <v>18441</v>
      </c>
      <c r="D25" s="124" t="s">
        <v>18442</v>
      </c>
      <c r="E25" s="125"/>
      <c r="F25" s="118" t="s">
        <v>622</v>
      </c>
      <c r="G25" s="126" t="str">
        <f t="shared" si="0"/>
        <v>LS-T2S-6</v>
      </c>
      <c r="H25" s="127">
        <v>6</v>
      </c>
      <c r="I25" s="19">
        <v>1</v>
      </c>
      <c r="J25" s="19" t="s">
        <v>286</v>
      </c>
      <c r="K25" s="19"/>
      <c r="L25" s="19"/>
      <c r="M25" s="19"/>
      <c r="N25" s="19"/>
      <c r="O25" s="19"/>
      <c r="P25" s="19"/>
      <c r="R25" s="19"/>
    </row>
    <row r="26" spans="1:18" s="18" customFormat="1" outlineLevel="1">
      <c r="B26" s="118" t="s">
        <v>19</v>
      </c>
      <c r="C26" s="330" t="s">
        <v>18443</v>
      </c>
      <c r="D26" s="124" t="s">
        <v>18444</v>
      </c>
      <c r="E26" s="125"/>
      <c r="F26" s="118" t="s">
        <v>622</v>
      </c>
      <c r="G26" s="126" t="str">
        <f t="shared" si="0"/>
        <v>LS-T2S-6</v>
      </c>
      <c r="H26" s="127">
        <v>6</v>
      </c>
      <c r="I26" s="19">
        <v>1</v>
      </c>
      <c r="J26" s="19" t="s">
        <v>286</v>
      </c>
      <c r="K26" s="19"/>
      <c r="L26" s="19"/>
      <c r="M26" s="19"/>
      <c r="N26" s="19"/>
      <c r="O26" s="19"/>
      <c r="P26" s="19"/>
      <c r="R26" s="19"/>
    </row>
    <row r="27" spans="1:18" ht="3.6" customHeight="1">
      <c r="A27" s="123"/>
      <c r="B27" s="118"/>
      <c r="C27" s="135"/>
      <c r="D27" s="326"/>
      <c r="E27" s="125"/>
      <c r="F27" s="118"/>
      <c r="G27" s="132"/>
      <c r="H27" s="127"/>
      <c r="I27" s="327"/>
    </row>
    <row r="28" spans="1:18" ht="15">
      <c r="A28" s="328" t="s">
        <v>18445</v>
      </c>
      <c r="B28" s="118"/>
      <c r="C28" s="135"/>
      <c r="D28" s="326"/>
      <c r="E28" s="125"/>
      <c r="F28" s="17"/>
      <c r="G28" s="132"/>
      <c r="H28" s="127"/>
    </row>
    <row r="29" spans="1:18" outlineLevel="1">
      <c r="A29" s="18"/>
      <c r="B29" s="118" t="s">
        <v>19</v>
      </c>
      <c r="C29" s="330" t="s">
        <v>18409</v>
      </c>
      <c r="D29" s="124" t="s">
        <v>18410</v>
      </c>
      <c r="E29" s="125"/>
      <c r="F29" s="118" t="s">
        <v>953</v>
      </c>
      <c r="G29" s="126" t="str">
        <f t="shared" ref="G29:G60" si="2">CONCATENATE("LS-",F29,"-",H29)</f>
        <v>LS-TXS-4</v>
      </c>
      <c r="H29" s="127" t="s">
        <v>292</v>
      </c>
      <c r="I29" s="19">
        <v>1</v>
      </c>
      <c r="J29" s="19" t="s">
        <v>286</v>
      </c>
      <c r="K29" s="16"/>
      <c r="N29" s="16"/>
      <c r="O29" s="16"/>
    </row>
    <row r="30" spans="1:18" s="18" customFormat="1" outlineLevel="1">
      <c r="B30" s="118" t="s">
        <v>19</v>
      </c>
      <c r="C30" s="330" t="s">
        <v>18435</v>
      </c>
      <c r="D30" s="124" t="s">
        <v>18436</v>
      </c>
      <c r="E30" s="125"/>
      <c r="F30" s="118" t="s">
        <v>953</v>
      </c>
      <c r="G30" s="126" t="str">
        <f t="shared" si="2"/>
        <v>LS-TXS-6</v>
      </c>
      <c r="H30" s="127" t="s">
        <v>368</v>
      </c>
      <c r="I30" s="19">
        <v>1</v>
      </c>
      <c r="J30" s="19" t="s">
        <v>286</v>
      </c>
      <c r="K30" s="19"/>
      <c r="L30" s="19"/>
      <c r="M30" s="19"/>
      <c r="N30" s="19"/>
      <c r="O30" s="19"/>
    </row>
    <row r="31" spans="1:18" s="18" customFormat="1" outlineLevel="1">
      <c r="B31" s="118" t="s">
        <v>19</v>
      </c>
      <c r="C31" s="330" t="s">
        <v>18437</v>
      </c>
      <c r="D31" s="124" t="s">
        <v>18438</v>
      </c>
      <c r="E31" s="125"/>
      <c r="F31" s="118" t="s">
        <v>953</v>
      </c>
      <c r="G31" s="126" t="str">
        <f t="shared" si="2"/>
        <v>LS-TXS-6</v>
      </c>
      <c r="H31" s="127" t="s">
        <v>368</v>
      </c>
      <c r="I31" s="19">
        <v>1</v>
      </c>
      <c r="J31" s="19" t="s">
        <v>286</v>
      </c>
      <c r="K31" s="19"/>
      <c r="L31" s="19"/>
      <c r="M31" s="19"/>
      <c r="N31" s="19"/>
      <c r="O31" s="19"/>
    </row>
    <row r="32" spans="1:18" s="18" customFormat="1" outlineLevel="1">
      <c r="B32" s="118" t="s">
        <v>19</v>
      </c>
      <c r="C32" s="330" t="s">
        <v>18439</v>
      </c>
      <c r="D32" s="124" t="s">
        <v>18440</v>
      </c>
      <c r="E32" s="125"/>
      <c r="F32" s="118" t="s">
        <v>953</v>
      </c>
      <c r="G32" s="126" t="str">
        <f t="shared" si="2"/>
        <v>LS-TXS-6</v>
      </c>
      <c r="H32" s="127" t="s">
        <v>368</v>
      </c>
      <c r="I32" s="19">
        <v>1</v>
      </c>
      <c r="J32" s="19" t="s">
        <v>286</v>
      </c>
      <c r="K32" s="19"/>
      <c r="L32" s="19"/>
      <c r="M32" s="19"/>
      <c r="N32" s="19"/>
      <c r="O32" s="19"/>
    </row>
    <row r="33" spans="2:15" s="18" customFormat="1" outlineLevel="1">
      <c r="B33" s="118" t="s">
        <v>19</v>
      </c>
      <c r="C33" s="330" t="s">
        <v>18441</v>
      </c>
      <c r="D33" s="124" t="s">
        <v>18442</v>
      </c>
      <c r="E33" s="125"/>
      <c r="F33" s="118" t="s">
        <v>953</v>
      </c>
      <c r="G33" s="126" t="str">
        <f t="shared" si="2"/>
        <v>LS-TXS-6</v>
      </c>
      <c r="H33" s="127" t="s">
        <v>368</v>
      </c>
      <c r="I33" s="19">
        <v>1</v>
      </c>
      <c r="J33" s="19" t="s">
        <v>286</v>
      </c>
      <c r="K33" s="19"/>
      <c r="L33" s="19"/>
      <c r="M33" s="19"/>
      <c r="N33" s="19"/>
      <c r="O33" s="19"/>
    </row>
    <row r="34" spans="2:15" s="18" customFormat="1" outlineLevel="1">
      <c r="B34" s="118" t="s">
        <v>19</v>
      </c>
      <c r="C34" s="330" t="s">
        <v>18443</v>
      </c>
      <c r="D34" s="124" t="s">
        <v>18444</v>
      </c>
      <c r="E34" s="125"/>
      <c r="F34" s="118" t="s">
        <v>953</v>
      </c>
      <c r="G34" s="126" t="str">
        <f t="shared" si="2"/>
        <v>LS-TXS-6</v>
      </c>
      <c r="H34" s="127" t="s">
        <v>368</v>
      </c>
      <c r="I34" s="19">
        <v>1</v>
      </c>
      <c r="J34" s="19" t="s">
        <v>286</v>
      </c>
      <c r="K34" s="19"/>
      <c r="L34" s="19"/>
      <c r="M34" s="19"/>
      <c r="N34" s="19"/>
      <c r="O34" s="19"/>
    </row>
    <row r="35" spans="2:15" s="18" customFormat="1" outlineLevel="1">
      <c r="B35" s="118" t="s">
        <v>19</v>
      </c>
      <c r="C35" s="330" t="s">
        <v>18446</v>
      </c>
      <c r="D35" s="124" t="s">
        <v>18447</v>
      </c>
      <c r="E35" s="125"/>
      <c r="F35" s="118" t="s">
        <v>953</v>
      </c>
      <c r="G35" s="126" t="str">
        <f t="shared" si="2"/>
        <v>LS-TXS-6</v>
      </c>
      <c r="H35" s="127" t="s">
        <v>368</v>
      </c>
      <c r="I35" s="19">
        <v>1</v>
      </c>
      <c r="J35" s="19" t="s">
        <v>286</v>
      </c>
      <c r="K35" s="19"/>
      <c r="L35" s="19"/>
      <c r="M35" s="19"/>
      <c r="N35" s="19"/>
      <c r="O35" s="19"/>
    </row>
    <row r="36" spans="2:15" s="18" customFormat="1" outlineLevel="1">
      <c r="B36" s="118" t="s">
        <v>19</v>
      </c>
      <c r="C36" s="330" t="s">
        <v>18448</v>
      </c>
      <c r="D36" s="124" t="s">
        <v>18449</v>
      </c>
      <c r="E36" s="125"/>
      <c r="F36" s="118" t="s">
        <v>953</v>
      </c>
      <c r="G36" s="126" t="str">
        <f t="shared" si="2"/>
        <v>LS-TXS-6</v>
      </c>
      <c r="H36" s="127" t="s">
        <v>368</v>
      </c>
      <c r="I36" s="19">
        <v>1</v>
      </c>
      <c r="J36" s="19" t="s">
        <v>286</v>
      </c>
      <c r="K36" s="19"/>
      <c r="L36" s="19"/>
      <c r="M36" s="19"/>
      <c r="N36" s="19"/>
      <c r="O36" s="19"/>
    </row>
    <row r="37" spans="2:15" s="18" customFormat="1" outlineLevel="1">
      <c r="B37" s="118" t="s">
        <v>19</v>
      </c>
      <c r="C37" s="330" t="s">
        <v>18450</v>
      </c>
      <c r="D37" s="124" t="s">
        <v>18451</v>
      </c>
      <c r="E37" s="125"/>
      <c r="F37" s="118" t="s">
        <v>953</v>
      </c>
      <c r="G37" s="126" t="str">
        <f t="shared" ref="G37:G52" si="3">CONCATENATE("LS-",F37,"-",H37)</f>
        <v>LS-TXS-6</v>
      </c>
      <c r="H37" s="127" t="s">
        <v>368</v>
      </c>
      <c r="I37" s="19">
        <v>1</v>
      </c>
      <c r="J37" s="19" t="s">
        <v>286</v>
      </c>
      <c r="K37" s="19"/>
      <c r="L37" s="19"/>
      <c r="M37" s="19"/>
      <c r="N37" s="19"/>
      <c r="O37" s="19"/>
    </row>
    <row r="38" spans="2:15" s="18" customFormat="1" outlineLevel="1">
      <c r="B38" s="118" t="s">
        <v>19</v>
      </c>
      <c r="C38" s="330" t="s">
        <v>18452</v>
      </c>
      <c r="D38" s="124" t="s">
        <v>18453</v>
      </c>
      <c r="E38" s="125"/>
      <c r="F38" s="118" t="s">
        <v>953</v>
      </c>
      <c r="G38" s="126" t="str">
        <f t="shared" si="3"/>
        <v>LS-TXS-6</v>
      </c>
      <c r="H38" s="127" t="s">
        <v>368</v>
      </c>
      <c r="I38" s="19">
        <v>1</v>
      </c>
      <c r="J38" s="19" t="s">
        <v>286</v>
      </c>
      <c r="K38" s="19"/>
      <c r="L38" s="19"/>
      <c r="M38" s="19"/>
      <c r="N38" s="19"/>
      <c r="O38" s="19"/>
    </row>
    <row r="39" spans="2:15" s="18" customFormat="1" outlineLevel="1">
      <c r="B39" s="118" t="s">
        <v>19</v>
      </c>
      <c r="C39" s="330" t="s">
        <v>18454</v>
      </c>
      <c r="D39" s="124" t="s">
        <v>18455</v>
      </c>
      <c r="E39" s="125"/>
      <c r="F39" s="118" t="s">
        <v>953</v>
      </c>
      <c r="G39" s="126" t="str">
        <f t="shared" si="3"/>
        <v>LS-TXS-6</v>
      </c>
      <c r="H39" s="127" t="s">
        <v>368</v>
      </c>
      <c r="I39" s="19">
        <v>1</v>
      </c>
      <c r="J39" s="19" t="s">
        <v>286</v>
      </c>
      <c r="K39" s="19"/>
      <c r="L39" s="19"/>
      <c r="M39" s="19"/>
      <c r="N39" s="19"/>
      <c r="O39" s="19"/>
    </row>
    <row r="40" spans="2:15" s="18" customFormat="1" outlineLevel="1">
      <c r="B40" s="118" t="s">
        <v>19</v>
      </c>
      <c r="C40" s="330" t="s">
        <v>18456</v>
      </c>
      <c r="D40" s="124" t="s">
        <v>18457</v>
      </c>
      <c r="E40" s="125"/>
      <c r="F40" s="118" t="s">
        <v>953</v>
      </c>
      <c r="G40" s="126" t="str">
        <f t="shared" si="3"/>
        <v>LS-TXS-6</v>
      </c>
      <c r="H40" s="127" t="s">
        <v>368</v>
      </c>
      <c r="I40" s="19">
        <v>1</v>
      </c>
      <c r="J40" s="19" t="s">
        <v>286</v>
      </c>
      <c r="K40" s="19"/>
      <c r="L40" s="19"/>
      <c r="M40" s="19"/>
      <c r="N40" s="19"/>
      <c r="O40" s="19"/>
    </row>
    <row r="41" spans="2:15" s="18" customFormat="1" outlineLevel="1">
      <c r="B41" s="118" t="s">
        <v>19</v>
      </c>
      <c r="C41" s="330" t="s">
        <v>18458</v>
      </c>
      <c r="D41" s="124" t="s">
        <v>18459</v>
      </c>
      <c r="E41" s="125"/>
      <c r="F41" s="118" t="s">
        <v>953</v>
      </c>
      <c r="G41" s="126" t="str">
        <f t="shared" si="3"/>
        <v>LS-TXS-6</v>
      </c>
      <c r="H41" s="127" t="s">
        <v>368</v>
      </c>
      <c r="I41" s="19">
        <v>1</v>
      </c>
      <c r="J41" s="19" t="s">
        <v>286</v>
      </c>
      <c r="K41" s="19"/>
      <c r="L41" s="19"/>
      <c r="M41" s="19"/>
      <c r="N41" s="19"/>
      <c r="O41" s="19"/>
    </row>
    <row r="42" spans="2:15" s="18" customFormat="1" outlineLevel="1">
      <c r="B42" s="118" t="s">
        <v>19</v>
      </c>
      <c r="C42" s="330" t="s">
        <v>18460</v>
      </c>
      <c r="D42" s="124" t="s">
        <v>18461</v>
      </c>
      <c r="E42" s="125"/>
      <c r="F42" s="118" t="s">
        <v>953</v>
      </c>
      <c r="G42" s="126" t="str">
        <f t="shared" si="3"/>
        <v>LS-TXS-6</v>
      </c>
      <c r="H42" s="127" t="s">
        <v>368</v>
      </c>
      <c r="I42" s="19">
        <v>1</v>
      </c>
      <c r="J42" s="19" t="s">
        <v>286</v>
      </c>
      <c r="K42" s="19"/>
      <c r="L42" s="19"/>
      <c r="M42" s="19"/>
      <c r="N42" s="19"/>
      <c r="O42" s="19"/>
    </row>
    <row r="43" spans="2:15" s="18" customFormat="1" outlineLevel="1">
      <c r="B43" s="118" t="s">
        <v>19</v>
      </c>
      <c r="C43" s="330" t="s">
        <v>18462</v>
      </c>
      <c r="D43" s="124" t="s">
        <v>18463</v>
      </c>
      <c r="E43" s="125"/>
      <c r="F43" s="118" t="s">
        <v>953</v>
      </c>
      <c r="G43" s="126" t="str">
        <f t="shared" si="3"/>
        <v>LS-TXS-6</v>
      </c>
      <c r="H43" s="127" t="s">
        <v>368</v>
      </c>
      <c r="I43" s="19">
        <v>1</v>
      </c>
      <c r="J43" s="19" t="s">
        <v>286</v>
      </c>
      <c r="K43" s="19"/>
      <c r="L43" s="19"/>
      <c r="M43" s="19"/>
      <c r="N43" s="19"/>
      <c r="O43" s="19"/>
    </row>
    <row r="44" spans="2:15" s="18" customFormat="1" outlineLevel="1">
      <c r="B44" s="118" t="s">
        <v>19</v>
      </c>
      <c r="C44" s="330" t="s">
        <v>18464</v>
      </c>
      <c r="D44" s="124" t="s">
        <v>18465</v>
      </c>
      <c r="E44" s="125"/>
      <c r="F44" s="118" t="s">
        <v>953</v>
      </c>
      <c r="G44" s="126" t="str">
        <f t="shared" si="3"/>
        <v>LS-TXS-6</v>
      </c>
      <c r="H44" s="127" t="s">
        <v>368</v>
      </c>
      <c r="I44" s="19">
        <v>1</v>
      </c>
      <c r="J44" s="19" t="s">
        <v>286</v>
      </c>
      <c r="K44" s="19"/>
      <c r="L44" s="19"/>
      <c r="M44" s="19"/>
      <c r="N44" s="19"/>
      <c r="O44" s="19"/>
    </row>
    <row r="45" spans="2:15" s="18" customFormat="1" outlineLevel="1">
      <c r="B45" s="118" t="s">
        <v>19</v>
      </c>
      <c r="C45" s="330" t="s">
        <v>18466</v>
      </c>
      <c r="D45" s="124" t="s">
        <v>18467</v>
      </c>
      <c r="E45" s="125"/>
      <c r="F45" s="118" t="s">
        <v>953</v>
      </c>
      <c r="G45" s="126" t="str">
        <f t="shared" si="3"/>
        <v>LS-TXS-6</v>
      </c>
      <c r="H45" s="127" t="s">
        <v>368</v>
      </c>
      <c r="I45" s="19">
        <v>1</v>
      </c>
      <c r="J45" s="19" t="s">
        <v>286</v>
      </c>
      <c r="K45" s="19"/>
      <c r="L45" s="19"/>
      <c r="M45" s="19"/>
      <c r="N45" s="19"/>
      <c r="O45" s="19"/>
    </row>
    <row r="46" spans="2:15" s="18" customFormat="1" outlineLevel="1">
      <c r="B46" s="118" t="s">
        <v>19</v>
      </c>
      <c r="C46" s="330" t="s">
        <v>18468</v>
      </c>
      <c r="D46" s="124" t="s">
        <v>18469</v>
      </c>
      <c r="E46" s="125"/>
      <c r="F46" s="118" t="s">
        <v>953</v>
      </c>
      <c r="G46" s="126" t="str">
        <f t="shared" si="3"/>
        <v>LS-TXS-6</v>
      </c>
      <c r="H46" s="127" t="s">
        <v>368</v>
      </c>
      <c r="I46" s="19">
        <v>1</v>
      </c>
      <c r="J46" s="19" t="s">
        <v>286</v>
      </c>
      <c r="K46" s="19"/>
      <c r="L46" s="19"/>
      <c r="M46" s="19"/>
      <c r="N46" s="19"/>
      <c r="O46" s="19"/>
    </row>
    <row r="47" spans="2:15" s="18" customFormat="1" outlineLevel="1">
      <c r="B47" s="118" t="s">
        <v>19</v>
      </c>
      <c r="C47" s="330" t="s">
        <v>18470</v>
      </c>
      <c r="D47" s="124" t="s">
        <v>18471</v>
      </c>
      <c r="E47" s="125"/>
      <c r="F47" s="118" t="s">
        <v>953</v>
      </c>
      <c r="G47" s="126" t="str">
        <f t="shared" si="3"/>
        <v>LS-TXS-6</v>
      </c>
      <c r="H47" s="127" t="s">
        <v>368</v>
      </c>
      <c r="I47" s="19">
        <v>1</v>
      </c>
      <c r="J47" s="19" t="s">
        <v>286</v>
      </c>
      <c r="K47" s="19"/>
      <c r="L47" s="19"/>
      <c r="M47" s="19"/>
      <c r="N47" s="19"/>
      <c r="O47" s="19"/>
    </row>
    <row r="48" spans="2:15" s="18" customFormat="1" outlineLevel="1">
      <c r="B48" s="118" t="s">
        <v>19</v>
      </c>
      <c r="C48" s="330" t="s">
        <v>18472</v>
      </c>
      <c r="D48" s="124" t="s">
        <v>18473</v>
      </c>
      <c r="E48" s="125"/>
      <c r="F48" s="118" t="s">
        <v>953</v>
      </c>
      <c r="G48" s="126" t="str">
        <f t="shared" si="3"/>
        <v>LS-TXS-6</v>
      </c>
      <c r="H48" s="127" t="s">
        <v>368</v>
      </c>
      <c r="I48" s="19">
        <v>1</v>
      </c>
      <c r="J48" s="19" t="s">
        <v>286</v>
      </c>
      <c r="K48" s="19"/>
      <c r="L48" s="19"/>
      <c r="M48" s="19"/>
      <c r="N48" s="19"/>
      <c r="O48" s="19"/>
    </row>
    <row r="49" spans="2:15" s="18" customFormat="1" outlineLevel="1">
      <c r="B49" s="118" t="s">
        <v>19</v>
      </c>
      <c r="C49" s="330" t="s">
        <v>18474</v>
      </c>
      <c r="D49" s="124" t="s">
        <v>18475</v>
      </c>
      <c r="E49" s="125"/>
      <c r="F49" s="118" t="s">
        <v>953</v>
      </c>
      <c r="G49" s="126" t="str">
        <f t="shared" si="3"/>
        <v>LS-TXS-6</v>
      </c>
      <c r="H49" s="127" t="s">
        <v>368</v>
      </c>
      <c r="I49" s="19">
        <v>1</v>
      </c>
      <c r="J49" s="19" t="s">
        <v>286</v>
      </c>
      <c r="K49" s="19"/>
      <c r="L49" s="19"/>
      <c r="M49" s="19"/>
      <c r="N49" s="19"/>
      <c r="O49" s="19"/>
    </row>
    <row r="50" spans="2:15" s="18" customFormat="1" outlineLevel="1">
      <c r="B50" s="118" t="s">
        <v>19</v>
      </c>
      <c r="C50" s="330" t="s">
        <v>18476</v>
      </c>
      <c r="D50" s="124" t="s">
        <v>18477</v>
      </c>
      <c r="E50" s="125"/>
      <c r="F50" s="118" t="s">
        <v>953</v>
      </c>
      <c r="G50" s="126" t="str">
        <f t="shared" si="3"/>
        <v>LS-TXS-6</v>
      </c>
      <c r="H50" s="127" t="s">
        <v>368</v>
      </c>
      <c r="I50" s="19">
        <v>1</v>
      </c>
      <c r="J50" s="19" t="s">
        <v>286</v>
      </c>
      <c r="K50" s="19"/>
      <c r="L50" s="19"/>
      <c r="M50" s="19"/>
      <c r="N50" s="19"/>
      <c r="O50" s="19"/>
    </row>
    <row r="51" spans="2:15" s="18" customFormat="1" outlineLevel="1">
      <c r="B51" s="118" t="s">
        <v>19</v>
      </c>
      <c r="C51" s="330" t="s">
        <v>18478</v>
      </c>
      <c r="D51" s="124" t="s">
        <v>18479</v>
      </c>
      <c r="E51" s="125"/>
      <c r="F51" s="118" t="s">
        <v>953</v>
      </c>
      <c r="G51" s="126" t="str">
        <f t="shared" si="3"/>
        <v>LS-TXS-6</v>
      </c>
      <c r="H51" s="127" t="s">
        <v>368</v>
      </c>
      <c r="I51" s="19">
        <v>1</v>
      </c>
      <c r="J51" s="19" t="s">
        <v>286</v>
      </c>
      <c r="K51" s="19"/>
      <c r="L51" s="19"/>
      <c r="M51" s="19"/>
      <c r="N51" s="19"/>
      <c r="O51" s="19"/>
    </row>
    <row r="52" spans="2:15" s="18" customFormat="1" outlineLevel="1">
      <c r="B52" s="118" t="s">
        <v>19</v>
      </c>
      <c r="C52" s="330" t="s">
        <v>18480</v>
      </c>
      <c r="D52" s="124" t="s">
        <v>18481</v>
      </c>
      <c r="E52" s="125"/>
      <c r="F52" s="118" t="s">
        <v>953</v>
      </c>
      <c r="G52" s="126" t="str">
        <f t="shared" si="3"/>
        <v>LS-TXS-6</v>
      </c>
      <c r="H52" s="127" t="s">
        <v>368</v>
      </c>
      <c r="I52" s="19">
        <v>1</v>
      </c>
      <c r="J52" s="19" t="s">
        <v>286</v>
      </c>
      <c r="K52" s="19"/>
      <c r="L52" s="19"/>
      <c r="M52" s="19"/>
      <c r="N52" s="19"/>
      <c r="O52" s="19"/>
    </row>
    <row r="53" spans="2:15" s="18" customFormat="1" outlineLevel="1">
      <c r="B53" s="118" t="s">
        <v>19</v>
      </c>
      <c r="C53" s="330" t="s">
        <v>18482</v>
      </c>
      <c r="D53" s="124" t="s">
        <v>18483</v>
      </c>
      <c r="E53" s="125"/>
      <c r="F53" s="118" t="s">
        <v>953</v>
      </c>
      <c r="G53" s="126" t="str">
        <f t="shared" si="2"/>
        <v>LS-TXS-6</v>
      </c>
      <c r="H53" s="127" t="s">
        <v>368</v>
      </c>
      <c r="I53" s="19">
        <v>1</v>
      </c>
      <c r="J53" s="19" t="s">
        <v>286</v>
      </c>
      <c r="K53" s="19"/>
      <c r="L53" s="19"/>
      <c r="M53" s="19"/>
      <c r="N53" s="19"/>
      <c r="O53" s="19"/>
    </row>
    <row r="54" spans="2:15" s="18" customFormat="1" outlineLevel="1">
      <c r="B54" s="118" t="s">
        <v>19</v>
      </c>
      <c r="C54" s="330" t="s">
        <v>18484</v>
      </c>
      <c r="D54" s="124" t="s">
        <v>18485</v>
      </c>
      <c r="E54" s="125"/>
      <c r="F54" s="118" t="s">
        <v>953</v>
      </c>
      <c r="G54" s="126" t="str">
        <f t="shared" si="2"/>
        <v>LS-TXS-6</v>
      </c>
      <c r="H54" s="127" t="s">
        <v>368</v>
      </c>
      <c r="I54" s="19">
        <v>1</v>
      </c>
      <c r="J54" s="19" t="s">
        <v>286</v>
      </c>
      <c r="K54" s="19"/>
      <c r="L54" s="19"/>
      <c r="M54" s="19"/>
      <c r="N54" s="19"/>
      <c r="O54" s="19"/>
    </row>
    <row r="55" spans="2:15" s="18" customFormat="1" outlineLevel="1">
      <c r="B55" s="118" t="s">
        <v>19</v>
      </c>
      <c r="C55" s="330" t="s">
        <v>18486</v>
      </c>
      <c r="D55" s="124" t="s">
        <v>18487</v>
      </c>
      <c r="E55" s="125"/>
      <c r="F55" s="118" t="s">
        <v>953</v>
      </c>
      <c r="G55" s="126" t="str">
        <f t="shared" si="2"/>
        <v>LS-TXS-6</v>
      </c>
      <c r="H55" s="127" t="s">
        <v>368</v>
      </c>
      <c r="I55" s="19">
        <v>1</v>
      </c>
      <c r="J55" s="19" t="s">
        <v>286</v>
      </c>
      <c r="K55" s="19"/>
      <c r="L55" s="19"/>
      <c r="M55" s="19"/>
      <c r="N55" s="19"/>
      <c r="O55" s="19"/>
    </row>
    <row r="56" spans="2:15" s="18" customFormat="1" outlineLevel="1">
      <c r="B56" s="118" t="s">
        <v>19</v>
      </c>
      <c r="C56" s="330" t="s">
        <v>18488</v>
      </c>
      <c r="D56" s="124" t="s">
        <v>18489</v>
      </c>
      <c r="E56" s="125"/>
      <c r="F56" s="118" t="s">
        <v>953</v>
      </c>
      <c r="G56" s="126" t="str">
        <f t="shared" si="2"/>
        <v>LS-TXS-6</v>
      </c>
      <c r="H56" s="127" t="s">
        <v>368</v>
      </c>
      <c r="I56" s="19">
        <v>1</v>
      </c>
      <c r="J56" s="19" t="s">
        <v>286</v>
      </c>
      <c r="K56" s="19"/>
      <c r="L56" s="19"/>
      <c r="M56" s="19"/>
      <c r="N56" s="19"/>
      <c r="O56" s="19"/>
    </row>
    <row r="57" spans="2:15" s="18" customFormat="1" outlineLevel="1">
      <c r="B57" s="118" t="s">
        <v>19</v>
      </c>
      <c r="C57" s="330" t="s">
        <v>18490</v>
      </c>
      <c r="D57" s="124" t="s">
        <v>18489</v>
      </c>
      <c r="E57" s="125"/>
      <c r="F57" s="118" t="s">
        <v>953</v>
      </c>
      <c r="G57" s="126" t="str">
        <f t="shared" si="2"/>
        <v>LS-TXS-6</v>
      </c>
      <c r="H57" s="127" t="s">
        <v>368</v>
      </c>
      <c r="I57" s="19">
        <v>1</v>
      </c>
      <c r="J57" s="19" t="s">
        <v>286</v>
      </c>
      <c r="K57" s="19"/>
      <c r="L57" s="19"/>
      <c r="M57" s="19"/>
      <c r="N57" s="19"/>
      <c r="O57" s="19"/>
    </row>
    <row r="58" spans="2:15" s="18" customFormat="1" outlineLevel="1">
      <c r="B58" s="118" t="s">
        <v>19</v>
      </c>
      <c r="C58" s="330" t="s">
        <v>18491</v>
      </c>
      <c r="D58" s="124" t="s">
        <v>18489</v>
      </c>
      <c r="E58" s="125"/>
      <c r="F58" s="118" t="s">
        <v>953</v>
      </c>
      <c r="G58" s="126" t="str">
        <f t="shared" si="2"/>
        <v>LS-TXS-6</v>
      </c>
      <c r="H58" s="127" t="s">
        <v>368</v>
      </c>
      <c r="I58" s="19">
        <v>1</v>
      </c>
      <c r="J58" s="19" t="s">
        <v>286</v>
      </c>
      <c r="K58" s="19"/>
      <c r="L58" s="19"/>
      <c r="M58" s="19"/>
      <c r="N58" s="19"/>
      <c r="O58" s="19"/>
    </row>
    <row r="59" spans="2:15" s="18" customFormat="1" outlineLevel="1">
      <c r="B59" s="118" t="s">
        <v>19</v>
      </c>
      <c r="C59" s="330" t="s">
        <v>18492</v>
      </c>
      <c r="D59" s="124" t="s">
        <v>18489</v>
      </c>
      <c r="E59" s="125"/>
      <c r="F59" s="118" t="s">
        <v>953</v>
      </c>
      <c r="G59" s="126" t="str">
        <f t="shared" si="2"/>
        <v>LS-TXS-6</v>
      </c>
      <c r="H59" s="127" t="s">
        <v>368</v>
      </c>
      <c r="I59" s="19">
        <v>1</v>
      </c>
      <c r="J59" s="19" t="s">
        <v>286</v>
      </c>
      <c r="K59" s="19"/>
      <c r="L59" s="19"/>
      <c r="M59" s="19"/>
      <c r="N59" s="19"/>
      <c r="O59" s="19"/>
    </row>
    <row r="60" spans="2:15" s="18" customFormat="1" outlineLevel="1">
      <c r="B60" s="118" t="s">
        <v>19</v>
      </c>
      <c r="C60" s="330" t="s">
        <v>18493</v>
      </c>
      <c r="D60" s="124" t="s">
        <v>18494</v>
      </c>
      <c r="E60" s="125"/>
      <c r="F60" s="118" t="s">
        <v>953</v>
      </c>
      <c r="G60" s="126" t="str">
        <f t="shared" si="2"/>
        <v>LS-TXS-6</v>
      </c>
      <c r="H60" s="127" t="s">
        <v>368</v>
      </c>
      <c r="I60" s="19">
        <v>1</v>
      </c>
      <c r="J60" s="19" t="s">
        <v>286</v>
      </c>
      <c r="K60" s="19"/>
      <c r="L60" s="19"/>
      <c r="M60" s="19"/>
      <c r="N60" s="19"/>
      <c r="O60" s="19"/>
    </row>
    <row r="61" spans="2:15" s="18" customFormat="1" outlineLevel="1">
      <c r="B61" s="118" t="s">
        <v>19</v>
      </c>
      <c r="C61" s="330" t="s">
        <v>18495</v>
      </c>
      <c r="D61" s="124" t="s">
        <v>18496</v>
      </c>
      <c r="E61" s="125"/>
      <c r="F61" s="118" t="s">
        <v>953</v>
      </c>
      <c r="G61" s="126" t="str">
        <f t="shared" ref="G61:G66" si="4">CONCATENATE("LS-",F61,"-",H61)</f>
        <v>LS-TXS-9</v>
      </c>
      <c r="H61" s="127" t="s">
        <v>421</v>
      </c>
      <c r="I61" s="19">
        <v>1</v>
      </c>
      <c r="J61" s="19" t="s">
        <v>286</v>
      </c>
      <c r="K61" s="19"/>
      <c r="L61" s="19"/>
      <c r="M61" s="19"/>
      <c r="N61" s="19"/>
      <c r="O61" s="19"/>
    </row>
    <row r="62" spans="2:15" s="18" customFormat="1" outlineLevel="1">
      <c r="B62" s="118" t="s">
        <v>19</v>
      </c>
      <c r="C62" s="330" t="s">
        <v>18497</v>
      </c>
      <c r="D62" s="124" t="s">
        <v>18498</v>
      </c>
      <c r="E62" s="125"/>
      <c r="F62" s="118" t="s">
        <v>953</v>
      </c>
      <c r="G62" s="126" t="str">
        <f t="shared" si="4"/>
        <v>LS-TXS-9</v>
      </c>
      <c r="H62" s="127" t="s">
        <v>421</v>
      </c>
      <c r="I62" s="19">
        <v>1</v>
      </c>
      <c r="J62" s="19" t="s">
        <v>286</v>
      </c>
      <c r="K62" s="19"/>
      <c r="L62" s="19"/>
      <c r="M62" s="19"/>
      <c r="N62" s="19"/>
      <c r="O62" s="19"/>
    </row>
    <row r="63" spans="2:15" s="18" customFormat="1" outlineLevel="1">
      <c r="B63" s="118" t="s">
        <v>19</v>
      </c>
      <c r="C63" s="330" t="s">
        <v>18499</v>
      </c>
      <c r="D63" s="124" t="s">
        <v>18500</v>
      </c>
      <c r="E63" s="125"/>
      <c r="F63" s="118" t="s">
        <v>953</v>
      </c>
      <c r="G63" s="126" t="str">
        <f t="shared" si="4"/>
        <v>LS-TXS-9</v>
      </c>
      <c r="H63" s="127" t="s">
        <v>421</v>
      </c>
      <c r="I63" s="19">
        <v>1</v>
      </c>
      <c r="J63" s="19" t="s">
        <v>286</v>
      </c>
      <c r="K63" s="19"/>
      <c r="L63" s="19"/>
      <c r="M63" s="19"/>
      <c r="N63" s="19"/>
      <c r="O63" s="19"/>
    </row>
    <row r="64" spans="2:15" s="18" customFormat="1" outlineLevel="1">
      <c r="B64" s="118" t="s">
        <v>19</v>
      </c>
      <c r="C64" s="330" t="s">
        <v>18501</v>
      </c>
      <c r="D64" s="124" t="s">
        <v>18502</v>
      </c>
      <c r="E64" s="125"/>
      <c r="F64" s="118" t="s">
        <v>953</v>
      </c>
      <c r="G64" s="126" t="str">
        <f t="shared" si="4"/>
        <v>LS-TXS-9</v>
      </c>
      <c r="H64" s="127" t="s">
        <v>421</v>
      </c>
      <c r="I64" s="19">
        <v>1</v>
      </c>
      <c r="J64" s="19" t="s">
        <v>286</v>
      </c>
      <c r="K64" s="19"/>
      <c r="L64" s="19"/>
      <c r="M64" s="19"/>
      <c r="N64" s="19"/>
      <c r="O64" s="19"/>
    </row>
    <row r="65" spans="1:15" s="18" customFormat="1" outlineLevel="1">
      <c r="B65" s="118" t="s">
        <v>19</v>
      </c>
      <c r="C65" s="330" t="s">
        <v>18503</v>
      </c>
      <c r="D65" s="124" t="s">
        <v>18504</v>
      </c>
      <c r="E65" s="125"/>
      <c r="F65" s="118" t="s">
        <v>953</v>
      </c>
      <c r="G65" s="126" t="str">
        <f t="shared" si="4"/>
        <v>LS-TXS-9</v>
      </c>
      <c r="H65" s="127" t="s">
        <v>421</v>
      </c>
      <c r="I65" s="19">
        <v>1</v>
      </c>
      <c r="J65" s="19" t="s">
        <v>286</v>
      </c>
      <c r="K65" s="19"/>
      <c r="L65" s="19"/>
      <c r="M65" s="19"/>
      <c r="N65" s="19"/>
      <c r="O65" s="19"/>
    </row>
    <row r="66" spans="1:15" s="18" customFormat="1" outlineLevel="1">
      <c r="B66" s="118" t="s">
        <v>19</v>
      </c>
      <c r="C66" s="330" t="s">
        <v>18505</v>
      </c>
      <c r="D66" s="124" t="s">
        <v>18506</v>
      </c>
      <c r="E66" s="125"/>
      <c r="F66" s="118" t="s">
        <v>953</v>
      </c>
      <c r="G66" s="126" t="str">
        <f t="shared" si="4"/>
        <v>LS-TXS-9</v>
      </c>
      <c r="H66" s="127" t="s">
        <v>421</v>
      </c>
      <c r="I66" s="19">
        <v>1</v>
      </c>
      <c r="J66" s="19" t="s">
        <v>286</v>
      </c>
      <c r="K66" s="19"/>
      <c r="L66" s="19"/>
      <c r="M66" s="19"/>
      <c r="N66" s="19"/>
      <c r="O66" s="19"/>
    </row>
    <row r="67" spans="1:15" ht="3" customHeight="1">
      <c r="A67" s="123"/>
      <c r="B67" s="118"/>
      <c r="C67" s="135"/>
      <c r="D67" s="326"/>
      <c r="E67" s="125"/>
      <c r="F67" s="118"/>
      <c r="G67" s="132"/>
      <c r="H67" s="127"/>
      <c r="I67" s="327"/>
    </row>
    <row r="68" spans="1:15" s="18" customFormat="1" ht="15">
      <c r="A68" s="328" t="s">
        <v>18507</v>
      </c>
      <c r="B68" s="118"/>
      <c r="C68" s="135"/>
      <c r="D68" s="326"/>
      <c r="E68" s="46"/>
      <c r="F68" s="41"/>
      <c r="G68" s="41"/>
      <c r="H68" s="42"/>
      <c r="I68" s="329"/>
      <c r="M68" s="19"/>
      <c r="N68" s="19"/>
      <c r="O68" s="19"/>
    </row>
    <row r="69" spans="1:15" s="18" customFormat="1" ht="15" outlineLevel="1">
      <c r="B69" s="328" t="s">
        <v>18508</v>
      </c>
      <c r="C69" s="330"/>
      <c r="D69" s="124"/>
      <c r="E69" s="125"/>
      <c r="F69" s="118"/>
      <c r="G69" s="126"/>
      <c r="H69" s="127"/>
      <c r="I69" s="329"/>
      <c r="M69" s="19"/>
      <c r="N69" s="19"/>
      <c r="O69" s="19"/>
    </row>
    <row r="70" spans="1:15" s="18" customFormat="1" outlineLevel="2">
      <c r="B70" s="118" t="s">
        <v>19</v>
      </c>
      <c r="C70" s="330" t="s">
        <v>18509</v>
      </c>
      <c r="D70" s="124" t="s">
        <v>18510</v>
      </c>
      <c r="E70" s="125"/>
      <c r="F70" s="118" t="s">
        <v>18511</v>
      </c>
      <c r="G70" s="126" t="str">
        <f t="shared" ref="G70:G80" si="5">CONCATENATE("LS-",F70,"-",H70)</f>
        <v>LS-V01-3</v>
      </c>
      <c r="H70" s="127">
        <v>3</v>
      </c>
      <c r="I70" s="19">
        <v>1</v>
      </c>
      <c r="J70" s="19" t="s">
        <v>286</v>
      </c>
      <c r="M70" s="19"/>
      <c r="N70" s="19"/>
      <c r="O70" s="19"/>
    </row>
    <row r="71" spans="1:15" s="18" customFormat="1" outlineLevel="2">
      <c r="B71" s="118" t="s">
        <v>19</v>
      </c>
      <c r="C71" s="330" t="s">
        <v>18512</v>
      </c>
      <c r="D71" s="124" t="s">
        <v>18513</v>
      </c>
      <c r="E71" s="125"/>
      <c r="F71" s="118" t="s">
        <v>18511</v>
      </c>
      <c r="G71" s="126" t="str">
        <f t="shared" ref="G71:G79" si="6">CONCATENATE("LS-",F71,"-",H71)</f>
        <v>LS-V01-3</v>
      </c>
      <c r="H71" s="127">
        <v>3</v>
      </c>
      <c r="I71" s="19">
        <v>1</v>
      </c>
      <c r="J71" s="19" t="s">
        <v>286</v>
      </c>
      <c r="K71" s="19"/>
      <c r="L71" s="19"/>
      <c r="M71" s="19"/>
      <c r="N71" s="19"/>
      <c r="O71" s="19"/>
    </row>
    <row r="72" spans="1:15" s="18" customFormat="1" outlineLevel="2">
      <c r="B72" s="118" t="s">
        <v>19</v>
      </c>
      <c r="C72" s="330" t="s">
        <v>18514</v>
      </c>
      <c r="D72" s="124" t="s">
        <v>18515</v>
      </c>
      <c r="E72" s="125"/>
      <c r="F72" s="118" t="s">
        <v>18511</v>
      </c>
      <c r="G72" s="126" t="str">
        <f t="shared" si="6"/>
        <v>LS-V01-3</v>
      </c>
      <c r="H72" s="127">
        <v>3</v>
      </c>
      <c r="I72" s="19">
        <v>1</v>
      </c>
      <c r="J72" s="19" t="s">
        <v>286</v>
      </c>
      <c r="K72" s="19"/>
      <c r="L72" s="19"/>
      <c r="M72" s="19"/>
      <c r="N72" s="19"/>
      <c r="O72" s="19"/>
    </row>
    <row r="73" spans="1:15" s="18" customFormat="1" outlineLevel="2">
      <c r="B73" s="118" t="s">
        <v>19</v>
      </c>
      <c r="C73" s="330" t="s">
        <v>18516</v>
      </c>
      <c r="D73" s="124" t="s">
        <v>18517</v>
      </c>
      <c r="E73" s="125"/>
      <c r="F73" s="118" t="s">
        <v>18511</v>
      </c>
      <c r="G73" s="126" t="str">
        <f t="shared" si="6"/>
        <v>LS-V01-3</v>
      </c>
      <c r="H73" s="127">
        <v>3</v>
      </c>
      <c r="I73" s="19">
        <v>1</v>
      </c>
      <c r="J73" s="19" t="s">
        <v>286</v>
      </c>
      <c r="M73" s="19"/>
      <c r="N73" s="19"/>
      <c r="O73" s="19"/>
    </row>
    <row r="74" spans="1:15" s="18" customFormat="1" outlineLevel="2">
      <c r="B74" s="118" t="s">
        <v>19</v>
      </c>
      <c r="C74" s="330" t="s">
        <v>18518</v>
      </c>
      <c r="D74" s="124" t="s">
        <v>18519</v>
      </c>
      <c r="E74" s="125"/>
      <c r="F74" s="118" t="s">
        <v>18511</v>
      </c>
      <c r="G74" s="126" t="str">
        <f t="shared" si="6"/>
        <v>LS-V01-3</v>
      </c>
      <c r="H74" s="127">
        <v>3</v>
      </c>
      <c r="I74" s="19">
        <v>1</v>
      </c>
      <c r="J74" s="19" t="s">
        <v>286</v>
      </c>
      <c r="K74" s="19"/>
      <c r="L74" s="19"/>
      <c r="M74" s="19"/>
      <c r="N74" s="19"/>
      <c r="O74" s="19"/>
    </row>
    <row r="75" spans="1:15" s="18" customFormat="1" outlineLevel="2">
      <c r="B75" s="118" t="s">
        <v>19</v>
      </c>
      <c r="C75" s="330" t="s">
        <v>18520</v>
      </c>
      <c r="D75" s="124" t="s">
        <v>18521</v>
      </c>
      <c r="E75" s="125"/>
      <c r="F75" s="118" t="s">
        <v>18511</v>
      </c>
      <c r="G75" s="126" t="str">
        <f t="shared" si="6"/>
        <v>LS-V01-3</v>
      </c>
      <c r="H75" s="127">
        <v>3</v>
      </c>
      <c r="I75" s="19">
        <v>1</v>
      </c>
      <c r="J75" s="19" t="s">
        <v>286</v>
      </c>
      <c r="K75" s="19"/>
      <c r="L75" s="19"/>
      <c r="M75" s="19"/>
      <c r="N75" s="19"/>
      <c r="O75" s="19"/>
    </row>
    <row r="76" spans="1:15" s="18" customFormat="1" outlineLevel="2">
      <c r="B76" s="118" t="s">
        <v>19</v>
      </c>
      <c r="C76" s="330" t="s">
        <v>18522</v>
      </c>
      <c r="D76" s="124" t="s">
        <v>18523</v>
      </c>
      <c r="E76" s="125"/>
      <c r="F76" s="118" t="s">
        <v>18511</v>
      </c>
      <c r="G76" s="126" t="str">
        <f t="shared" si="6"/>
        <v>LS-V01-3</v>
      </c>
      <c r="H76" s="127">
        <v>3</v>
      </c>
      <c r="I76" s="19">
        <v>1</v>
      </c>
      <c r="J76" s="19" t="s">
        <v>286</v>
      </c>
      <c r="K76" s="19"/>
      <c r="L76" s="19"/>
      <c r="M76" s="19"/>
      <c r="N76" s="19"/>
      <c r="O76" s="19"/>
    </row>
    <row r="77" spans="1:15" s="18" customFormat="1" outlineLevel="2">
      <c r="B77" s="118" t="s">
        <v>19</v>
      </c>
      <c r="C77" s="330" t="s">
        <v>18524</v>
      </c>
      <c r="D77" s="124" t="s">
        <v>18525</v>
      </c>
      <c r="E77" s="125"/>
      <c r="F77" s="118" t="s">
        <v>18511</v>
      </c>
      <c r="G77" s="126" t="str">
        <f t="shared" si="6"/>
        <v>LS-V01-3</v>
      </c>
      <c r="H77" s="127">
        <v>3</v>
      </c>
      <c r="I77" s="19">
        <v>1</v>
      </c>
      <c r="J77" s="19" t="s">
        <v>286</v>
      </c>
      <c r="M77" s="19"/>
      <c r="N77" s="19"/>
      <c r="O77" s="19"/>
    </row>
    <row r="78" spans="1:15" s="18" customFormat="1" outlineLevel="2">
      <c r="B78" s="118" t="s">
        <v>19</v>
      </c>
      <c r="C78" s="330" t="s">
        <v>18526</v>
      </c>
      <c r="D78" s="124" t="s">
        <v>18527</v>
      </c>
      <c r="E78" s="125"/>
      <c r="F78" s="118" t="s">
        <v>18511</v>
      </c>
      <c r="G78" s="126" t="str">
        <f t="shared" si="6"/>
        <v>LS-V01-3</v>
      </c>
      <c r="H78" s="127">
        <v>3</v>
      </c>
      <c r="I78" s="19">
        <v>1</v>
      </c>
      <c r="J78" s="19" t="s">
        <v>286</v>
      </c>
      <c r="K78" s="19"/>
      <c r="L78" s="19"/>
      <c r="M78" s="19"/>
      <c r="N78" s="19"/>
      <c r="O78" s="19"/>
    </row>
    <row r="79" spans="1:15" s="18" customFormat="1" outlineLevel="2">
      <c r="B79" s="118" t="s">
        <v>19</v>
      </c>
      <c r="C79" s="330" t="s">
        <v>18528</v>
      </c>
      <c r="D79" s="124" t="s">
        <v>18529</v>
      </c>
      <c r="E79" s="125"/>
      <c r="F79" s="118" t="s">
        <v>18511</v>
      </c>
      <c r="G79" s="126" t="str">
        <f t="shared" si="6"/>
        <v>LS-V01-3</v>
      </c>
      <c r="H79" s="127">
        <v>3</v>
      </c>
      <c r="I79" s="19">
        <v>1</v>
      </c>
      <c r="J79" s="19" t="s">
        <v>286</v>
      </c>
      <c r="K79" s="19"/>
      <c r="L79" s="19"/>
      <c r="M79" s="19"/>
      <c r="N79" s="19"/>
      <c r="O79" s="19"/>
    </row>
    <row r="80" spans="1:15" s="18" customFormat="1" outlineLevel="2">
      <c r="B80" s="118" t="s">
        <v>19</v>
      </c>
      <c r="C80" s="330" t="s">
        <v>18530</v>
      </c>
      <c r="D80" s="124" t="s">
        <v>18531</v>
      </c>
      <c r="E80" s="125"/>
      <c r="F80" s="118" t="s">
        <v>18511</v>
      </c>
      <c r="G80" s="126" t="str">
        <f t="shared" si="5"/>
        <v>LS-V01-3</v>
      </c>
      <c r="H80" s="127">
        <v>3</v>
      </c>
      <c r="I80" s="19">
        <v>1</v>
      </c>
      <c r="J80" s="19" t="s">
        <v>286</v>
      </c>
      <c r="K80" s="19"/>
      <c r="L80" s="19"/>
      <c r="M80" s="19"/>
      <c r="N80" s="19"/>
      <c r="O80" s="19"/>
    </row>
    <row r="81" spans="2:20" s="18" customFormat="1" outlineLevel="2">
      <c r="B81" s="118" t="s">
        <v>19</v>
      </c>
      <c r="C81" s="330" t="s">
        <v>18532</v>
      </c>
      <c r="D81" s="124" t="s">
        <v>18533</v>
      </c>
      <c r="E81" s="125"/>
      <c r="F81" s="118" t="s">
        <v>18511</v>
      </c>
      <c r="G81" s="126" t="str">
        <f t="shared" ref="G81" si="7">CONCATENATE("LS-",F81,"-",H81)</f>
        <v>LS-V01-3</v>
      </c>
      <c r="H81" s="127">
        <v>3</v>
      </c>
      <c r="I81" s="19">
        <v>1</v>
      </c>
      <c r="J81" s="19" t="s">
        <v>286</v>
      </c>
      <c r="K81" s="19"/>
      <c r="L81" s="19"/>
      <c r="M81" s="19"/>
      <c r="N81" s="19"/>
      <c r="O81" s="19"/>
    </row>
    <row r="82" spans="2:20" s="18" customFormat="1" outlineLevel="2">
      <c r="B82" s="118" t="s">
        <v>19</v>
      </c>
      <c r="C82" s="330" t="s">
        <v>18534</v>
      </c>
      <c r="D82" s="124" t="s">
        <v>18535</v>
      </c>
      <c r="E82" s="125"/>
      <c r="F82" s="118" t="s">
        <v>18511</v>
      </c>
      <c r="G82" s="126" t="str">
        <f t="shared" ref="G82" si="8">CONCATENATE("LS-",F82,"-",H82)</f>
        <v>LS-V01-3</v>
      </c>
      <c r="H82" s="127">
        <v>3</v>
      </c>
      <c r="I82" s="19">
        <v>1</v>
      </c>
      <c r="J82" s="19" t="s">
        <v>286</v>
      </c>
      <c r="K82" s="19"/>
      <c r="L82" s="19"/>
      <c r="M82" s="19"/>
      <c r="N82" s="19"/>
      <c r="O82" s="19"/>
    </row>
    <row r="83" spans="2:20" s="18" customFormat="1" ht="15" outlineLevel="1">
      <c r="B83" s="328" t="s">
        <v>18536</v>
      </c>
      <c r="C83" s="330"/>
      <c r="D83" s="124"/>
      <c r="E83" s="125"/>
      <c r="F83" s="118"/>
      <c r="G83" s="126"/>
      <c r="H83" s="127"/>
      <c r="I83" s="329"/>
      <c r="J83" s="329"/>
      <c r="K83" s="329"/>
      <c r="L83" s="19"/>
      <c r="M83" s="19"/>
      <c r="N83" s="19"/>
      <c r="O83" s="19"/>
    </row>
    <row r="84" spans="2:20" s="18" customFormat="1" outlineLevel="2">
      <c r="B84" s="118" t="s">
        <v>19</v>
      </c>
      <c r="C84" s="330" t="s">
        <v>18526</v>
      </c>
      <c r="D84" s="124" t="s">
        <v>18527</v>
      </c>
      <c r="E84" s="125"/>
      <c r="F84" s="118" t="s">
        <v>18537</v>
      </c>
      <c r="G84" s="126" t="str">
        <f t="shared" ref="G84:G97" si="9">CONCATENATE("LS-",F84,"-",H84)</f>
        <v>LS-V03-3</v>
      </c>
      <c r="H84" s="127">
        <v>3</v>
      </c>
      <c r="I84" s="19">
        <v>1</v>
      </c>
      <c r="J84" s="19" t="s">
        <v>286</v>
      </c>
      <c r="K84" s="19"/>
      <c r="L84" s="19"/>
      <c r="M84" s="19"/>
      <c r="N84" s="19"/>
      <c r="O84" s="19"/>
      <c r="P84" s="19"/>
      <c r="T84" s="19"/>
    </row>
    <row r="85" spans="2:20" s="18" customFormat="1" outlineLevel="2">
      <c r="B85" s="118" t="s">
        <v>19</v>
      </c>
      <c r="C85" s="330" t="s">
        <v>18528</v>
      </c>
      <c r="D85" s="124" t="s">
        <v>18529</v>
      </c>
      <c r="E85" s="125"/>
      <c r="F85" s="118" t="s">
        <v>18511</v>
      </c>
      <c r="G85" s="126" t="str">
        <f t="shared" si="9"/>
        <v>LS-V01-3</v>
      </c>
      <c r="H85" s="127">
        <v>3</v>
      </c>
      <c r="I85" s="19">
        <v>1</v>
      </c>
      <c r="J85" s="19" t="s">
        <v>286</v>
      </c>
      <c r="M85" s="19"/>
      <c r="N85" s="19"/>
      <c r="O85" s="19"/>
    </row>
    <row r="86" spans="2:20" s="18" customFormat="1" outlineLevel="2">
      <c r="B86" s="118" t="s">
        <v>19</v>
      </c>
      <c r="C86" s="330" t="s">
        <v>18530</v>
      </c>
      <c r="D86" s="124" t="s">
        <v>18531</v>
      </c>
      <c r="E86" s="125"/>
      <c r="F86" s="118" t="s">
        <v>18511</v>
      </c>
      <c r="G86" s="126" t="str">
        <f t="shared" si="9"/>
        <v>LS-V01-3</v>
      </c>
      <c r="H86" s="127">
        <v>3</v>
      </c>
      <c r="I86" s="19">
        <v>1</v>
      </c>
      <c r="J86" s="19" t="s">
        <v>286</v>
      </c>
      <c r="K86" s="19"/>
      <c r="L86" s="19"/>
      <c r="M86" s="19"/>
      <c r="N86" s="19"/>
      <c r="O86" s="19"/>
    </row>
    <row r="87" spans="2:20" s="18" customFormat="1" outlineLevel="2">
      <c r="B87" s="118" t="s">
        <v>19</v>
      </c>
      <c r="C87" s="330" t="s">
        <v>18532</v>
      </c>
      <c r="D87" s="124" t="s">
        <v>18533</v>
      </c>
      <c r="E87" s="125"/>
      <c r="F87" s="118" t="s">
        <v>18511</v>
      </c>
      <c r="G87" s="126" t="str">
        <f t="shared" si="9"/>
        <v>LS-V01-3</v>
      </c>
      <c r="H87" s="127">
        <v>3</v>
      </c>
      <c r="I87" s="19">
        <v>1</v>
      </c>
      <c r="J87" s="19" t="s">
        <v>286</v>
      </c>
      <c r="K87" s="19"/>
      <c r="L87" s="19"/>
      <c r="M87" s="19"/>
      <c r="N87" s="19"/>
      <c r="O87" s="19"/>
    </row>
    <row r="88" spans="2:20" s="18" customFormat="1" outlineLevel="2">
      <c r="B88" s="118" t="s">
        <v>19</v>
      </c>
      <c r="C88" s="330" t="s">
        <v>18538</v>
      </c>
      <c r="D88" s="124" t="s">
        <v>18539</v>
      </c>
      <c r="E88" s="125"/>
      <c r="F88" s="118" t="s">
        <v>18511</v>
      </c>
      <c r="G88" s="126" t="str">
        <f t="shared" si="9"/>
        <v>LS-V01-3</v>
      </c>
      <c r="H88" s="127">
        <v>3</v>
      </c>
      <c r="I88" s="19">
        <v>1</v>
      </c>
      <c r="J88" s="19" t="s">
        <v>310</v>
      </c>
      <c r="M88" s="19"/>
      <c r="N88" s="19"/>
      <c r="O88" s="19"/>
    </row>
    <row r="89" spans="2:20" s="18" customFormat="1" outlineLevel="2">
      <c r="B89" s="118" t="s">
        <v>19</v>
      </c>
      <c r="C89" s="330" t="s">
        <v>18540</v>
      </c>
      <c r="D89" s="124" t="s">
        <v>18541</v>
      </c>
      <c r="E89" s="125"/>
      <c r="F89" s="118" t="s">
        <v>18511</v>
      </c>
      <c r="G89" s="126" t="str">
        <f t="shared" si="9"/>
        <v>LS-V01-3</v>
      </c>
      <c r="H89" s="127">
        <v>3</v>
      </c>
      <c r="I89" s="19">
        <v>1</v>
      </c>
      <c r="J89" s="19" t="s">
        <v>286</v>
      </c>
      <c r="K89" s="19"/>
      <c r="L89" s="19"/>
      <c r="M89" s="19"/>
      <c r="N89" s="19"/>
      <c r="O89" s="19"/>
    </row>
    <row r="90" spans="2:20" s="18" customFormat="1" outlineLevel="2">
      <c r="B90" s="118" t="s">
        <v>19</v>
      </c>
      <c r="C90" s="330" t="s">
        <v>18542</v>
      </c>
      <c r="D90" s="124" t="s">
        <v>18543</v>
      </c>
      <c r="E90" s="125"/>
      <c r="F90" s="118" t="s">
        <v>18511</v>
      </c>
      <c r="G90" s="126" t="str">
        <f t="shared" si="9"/>
        <v>LS-V01-3</v>
      </c>
      <c r="H90" s="127">
        <v>3</v>
      </c>
      <c r="I90" s="19">
        <v>1</v>
      </c>
      <c r="J90" s="19" t="s">
        <v>286</v>
      </c>
      <c r="K90" s="19"/>
      <c r="L90" s="19"/>
      <c r="M90" s="19"/>
      <c r="N90" s="19"/>
      <c r="O90" s="19"/>
    </row>
    <row r="91" spans="2:20" s="18" customFormat="1" outlineLevel="2">
      <c r="B91" s="118" t="s">
        <v>19</v>
      </c>
      <c r="C91" s="330" t="s">
        <v>18544</v>
      </c>
      <c r="D91" s="124" t="s">
        <v>18545</v>
      </c>
      <c r="E91" s="125"/>
      <c r="F91" s="118" t="s">
        <v>18511</v>
      </c>
      <c r="G91" s="126" t="str">
        <f t="shared" si="9"/>
        <v>LS-V01-3</v>
      </c>
      <c r="H91" s="127">
        <v>3</v>
      </c>
      <c r="I91" s="19">
        <v>1</v>
      </c>
      <c r="J91" s="19" t="s">
        <v>286</v>
      </c>
      <c r="K91" s="19"/>
      <c r="L91" s="19"/>
      <c r="M91" s="19"/>
      <c r="N91" s="19"/>
      <c r="O91" s="19"/>
    </row>
    <row r="92" spans="2:20" s="18" customFormat="1" outlineLevel="2">
      <c r="B92" s="118" t="s">
        <v>19</v>
      </c>
      <c r="C92" s="330" t="s">
        <v>18546</v>
      </c>
      <c r="D92" s="124" t="s">
        <v>18547</v>
      </c>
      <c r="E92" s="125"/>
      <c r="F92" s="118" t="s">
        <v>18511</v>
      </c>
      <c r="G92" s="126" t="str">
        <f t="shared" si="9"/>
        <v>LS-V01-3</v>
      </c>
      <c r="H92" s="127">
        <v>3</v>
      </c>
      <c r="I92" s="19">
        <v>1</v>
      </c>
      <c r="J92" s="19" t="s">
        <v>286</v>
      </c>
      <c r="M92" s="19"/>
      <c r="N92" s="19"/>
      <c r="O92" s="19"/>
    </row>
    <row r="93" spans="2:20" s="18" customFormat="1" outlineLevel="2">
      <c r="B93" s="118" t="s">
        <v>19</v>
      </c>
      <c r="C93" s="330" t="s">
        <v>18548</v>
      </c>
      <c r="D93" s="124" t="s">
        <v>18549</v>
      </c>
      <c r="E93" s="125"/>
      <c r="F93" s="118" t="s">
        <v>18511</v>
      </c>
      <c r="G93" s="126" t="str">
        <f t="shared" si="9"/>
        <v>LS-V01-3</v>
      </c>
      <c r="H93" s="127">
        <v>3</v>
      </c>
      <c r="I93" s="19">
        <v>1</v>
      </c>
      <c r="J93" s="19" t="s">
        <v>286</v>
      </c>
      <c r="K93" s="19"/>
      <c r="L93" s="19"/>
      <c r="M93" s="19"/>
      <c r="N93" s="19"/>
      <c r="O93" s="19"/>
    </row>
    <row r="94" spans="2:20" s="18" customFormat="1" outlineLevel="2">
      <c r="B94" s="118" t="s">
        <v>19</v>
      </c>
      <c r="C94" s="330" t="s">
        <v>18550</v>
      </c>
      <c r="D94" s="124" t="s">
        <v>18551</v>
      </c>
      <c r="E94" s="125"/>
      <c r="F94" s="118" t="s">
        <v>18511</v>
      </c>
      <c r="G94" s="126" t="str">
        <f t="shared" si="9"/>
        <v>LS-V01-3</v>
      </c>
      <c r="H94" s="127">
        <v>3</v>
      </c>
      <c r="I94" s="19">
        <v>1</v>
      </c>
      <c r="J94" s="19" t="s">
        <v>286</v>
      </c>
      <c r="K94" s="19"/>
      <c r="L94" s="19"/>
      <c r="M94" s="19"/>
      <c r="N94" s="19"/>
      <c r="O94" s="19"/>
    </row>
    <row r="95" spans="2:20" s="18" customFormat="1" outlineLevel="2">
      <c r="B95" s="118" t="s">
        <v>19</v>
      </c>
      <c r="C95" s="330" t="s">
        <v>18552</v>
      </c>
      <c r="D95" s="124" t="s">
        <v>18553</v>
      </c>
      <c r="E95" s="125"/>
      <c r="F95" s="118" t="s">
        <v>18511</v>
      </c>
      <c r="G95" s="126" t="str">
        <f t="shared" si="9"/>
        <v>LS-V01-3</v>
      </c>
      <c r="H95" s="127">
        <v>3</v>
      </c>
      <c r="I95" s="19">
        <v>1</v>
      </c>
      <c r="J95" s="19" t="s">
        <v>286</v>
      </c>
      <c r="K95" s="19"/>
      <c r="L95" s="19"/>
      <c r="M95" s="19"/>
      <c r="N95" s="19"/>
      <c r="O95" s="19"/>
    </row>
    <row r="96" spans="2:20" s="18" customFormat="1" outlineLevel="2">
      <c r="B96" s="118" t="s">
        <v>19</v>
      </c>
      <c r="C96" s="330" t="s">
        <v>18554</v>
      </c>
      <c r="D96" s="124" t="s">
        <v>18555</v>
      </c>
      <c r="E96" s="125"/>
      <c r="F96" s="118" t="s">
        <v>18511</v>
      </c>
      <c r="G96" s="126" t="str">
        <f t="shared" si="9"/>
        <v>LS-V01-3</v>
      </c>
      <c r="H96" s="127">
        <v>3</v>
      </c>
      <c r="I96" s="19">
        <v>1</v>
      </c>
      <c r="J96" s="19" t="s">
        <v>286</v>
      </c>
      <c r="K96" s="19"/>
      <c r="L96" s="19"/>
      <c r="M96" s="19"/>
      <c r="N96" s="19"/>
      <c r="O96" s="19"/>
    </row>
    <row r="97" spans="1:20" s="18" customFormat="1" outlineLevel="2">
      <c r="B97" s="118" t="s">
        <v>19</v>
      </c>
      <c r="C97" s="330" t="s">
        <v>18556</v>
      </c>
      <c r="D97" s="124" t="s">
        <v>18557</v>
      </c>
      <c r="E97" s="125"/>
      <c r="F97" s="118" t="s">
        <v>18537</v>
      </c>
      <c r="G97" s="126" t="str">
        <f t="shared" si="9"/>
        <v>LS-V03-3</v>
      </c>
      <c r="H97" s="127">
        <v>3</v>
      </c>
      <c r="I97" s="19">
        <v>1</v>
      </c>
      <c r="J97" s="19" t="s">
        <v>286</v>
      </c>
      <c r="K97" s="19"/>
      <c r="L97" s="19"/>
      <c r="M97" s="19"/>
      <c r="N97" s="19"/>
      <c r="O97" s="19"/>
      <c r="P97" s="19"/>
      <c r="T97" s="19"/>
    </row>
    <row r="98" spans="1:20" s="18" customFormat="1" ht="3" customHeight="1">
      <c r="A98" s="292"/>
      <c r="B98" s="118"/>
      <c r="C98" s="135"/>
      <c r="D98" s="326"/>
      <c r="E98" s="125"/>
      <c r="F98" s="17"/>
      <c r="G98" s="132"/>
      <c r="H98" s="127"/>
      <c r="I98" s="19"/>
      <c r="J98" s="19"/>
      <c r="L98" s="19"/>
    </row>
    <row r="99" spans="1:20" ht="15">
      <c r="A99" s="328" t="s">
        <v>1271</v>
      </c>
      <c r="B99" s="118"/>
      <c r="C99" s="135"/>
      <c r="D99" s="326"/>
      <c r="E99" s="46"/>
      <c r="F99" s="41" t="s">
        <v>261</v>
      </c>
      <c r="G99" s="41" t="s">
        <v>262</v>
      </c>
      <c r="H99" s="42" t="s">
        <v>263</v>
      </c>
      <c r="I99" s="329"/>
      <c r="J99" s="329"/>
      <c r="K99" s="62"/>
    </row>
    <row r="100" spans="1:20" s="18" customFormat="1" outlineLevel="1">
      <c r="A100" s="135"/>
      <c r="B100" s="135" t="s">
        <v>17967</v>
      </c>
      <c r="C100" s="135"/>
      <c r="D100" s="326"/>
      <c r="E100" s="46"/>
      <c r="F100" s="46"/>
      <c r="G100" s="46"/>
      <c r="H100" s="40"/>
      <c r="I100" s="329"/>
      <c r="J100" s="329"/>
      <c r="K100" s="329"/>
      <c r="L100" s="19"/>
    </row>
    <row r="101" spans="1:20" s="18" customFormat="1" outlineLevel="2">
      <c r="B101" s="118" t="s">
        <v>19</v>
      </c>
      <c r="C101" s="330"/>
      <c r="D101" s="124" t="s">
        <v>18558</v>
      </c>
      <c r="E101" s="125"/>
      <c r="F101" s="118" t="s">
        <v>2133</v>
      </c>
      <c r="G101" s="126" t="str">
        <f>CONCATENATE("LS-",F101,"-",H101)</f>
        <v>LS-V50-1</v>
      </c>
      <c r="H101" s="127">
        <v>1</v>
      </c>
      <c r="I101" s="19">
        <v>1</v>
      </c>
      <c r="J101" s="19" t="s">
        <v>286</v>
      </c>
      <c r="K101" s="19"/>
      <c r="L101" s="19"/>
    </row>
    <row r="102" spans="1:20" s="18" customFormat="1" outlineLevel="2">
      <c r="B102" s="118" t="s">
        <v>19</v>
      </c>
      <c r="C102" s="330"/>
      <c r="D102" s="124" t="s">
        <v>18559</v>
      </c>
      <c r="E102" s="125"/>
      <c r="F102" s="118" t="s">
        <v>2133</v>
      </c>
      <c r="G102" s="126" t="str">
        <f t="shared" ref="G102:G110" si="10">CONCATENATE("LS-",F102,"-",H102)</f>
        <v>LS-V50-1</v>
      </c>
      <c r="H102" s="127">
        <v>1</v>
      </c>
      <c r="I102" s="19">
        <v>1</v>
      </c>
      <c r="J102" s="19" t="s">
        <v>286</v>
      </c>
      <c r="K102" s="19"/>
      <c r="L102" s="19"/>
    </row>
    <row r="103" spans="1:20" s="18" customFormat="1" outlineLevel="2">
      <c r="B103" s="118" t="s">
        <v>19</v>
      </c>
      <c r="C103" s="330"/>
      <c r="D103" s="124" t="s">
        <v>18560</v>
      </c>
      <c r="E103" s="125"/>
      <c r="F103" s="118" t="s">
        <v>2133</v>
      </c>
      <c r="G103" s="126" t="str">
        <f t="shared" si="10"/>
        <v>LS-V50-1</v>
      </c>
      <c r="H103" s="127">
        <v>1</v>
      </c>
      <c r="I103" s="19">
        <v>1</v>
      </c>
      <c r="J103" s="19" t="s">
        <v>286</v>
      </c>
      <c r="K103" s="19"/>
      <c r="L103" s="19"/>
    </row>
    <row r="104" spans="1:20" s="18" customFormat="1" outlineLevel="2">
      <c r="B104" s="118" t="s">
        <v>19</v>
      </c>
      <c r="C104" s="330"/>
      <c r="D104" s="124" t="s">
        <v>18561</v>
      </c>
      <c r="E104" s="125"/>
      <c r="F104" s="118" t="s">
        <v>2133</v>
      </c>
      <c r="G104" s="126" t="str">
        <f t="shared" si="10"/>
        <v>LS-V50-1</v>
      </c>
      <c r="H104" s="127">
        <v>1</v>
      </c>
      <c r="I104" s="19">
        <v>1</v>
      </c>
      <c r="J104" s="19" t="s">
        <v>286</v>
      </c>
      <c r="K104" s="19"/>
      <c r="L104" s="19"/>
    </row>
    <row r="105" spans="1:20" s="18" customFormat="1" outlineLevel="2">
      <c r="B105" s="118" t="s">
        <v>19</v>
      </c>
      <c r="C105" s="330"/>
      <c r="D105" s="124" t="s">
        <v>18562</v>
      </c>
      <c r="E105" s="125"/>
      <c r="F105" s="118" t="s">
        <v>2133</v>
      </c>
      <c r="G105" s="126" t="str">
        <f t="shared" si="10"/>
        <v>LS-V50-1</v>
      </c>
      <c r="H105" s="127">
        <v>1</v>
      </c>
      <c r="I105" s="19">
        <v>1</v>
      </c>
      <c r="J105" s="19" t="s">
        <v>286</v>
      </c>
      <c r="K105" s="19"/>
      <c r="L105" s="19"/>
    </row>
    <row r="106" spans="1:20" s="18" customFormat="1" outlineLevel="2">
      <c r="B106" s="118" t="s">
        <v>19</v>
      </c>
      <c r="C106" s="330"/>
      <c r="D106" s="124" t="s">
        <v>3932</v>
      </c>
      <c r="E106" s="125"/>
      <c r="F106" s="118" t="s">
        <v>2133</v>
      </c>
      <c r="G106" s="126" t="str">
        <f t="shared" si="10"/>
        <v>LS-V50-1</v>
      </c>
      <c r="H106" s="127">
        <v>1</v>
      </c>
      <c r="I106" s="19">
        <v>1</v>
      </c>
      <c r="J106" s="19" t="s">
        <v>286</v>
      </c>
      <c r="K106" s="19"/>
      <c r="L106" s="19"/>
    </row>
    <row r="107" spans="1:20" s="18" customFormat="1" outlineLevel="2">
      <c r="B107" s="118" t="s">
        <v>19</v>
      </c>
      <c r="C107" s="330"/>
      <c r="D107" s="124" t="s">
        <v>18563</v>
      </c>
      <c r="E107" s="125"/>
      <c r="F107" s="118" t="s">
        <v>2133</v>
      </c>
      <c r="G107" s="126" t="str">
        <f t="shared" si="10"/>
        <v>LS-V50-1</v>
      </c>
      <c r="H107" s="127">
        <v>1</v>
      </c>
      <c r="I107" s="19">
        <v>1</v>
      </c>
      <c r="J107" s="19" t="s">
        <v>286</v>
      </c>
      <c r="K107" s="19"/>
      <c r="L107" s="19"/>
    </row>
    <row r="108" spans="1:20" s="18" customFormat="1" outlineLevel="2">
      <c r="B108" s="118" t="s">
        <v>19</v>
      </c>
      <c r="C108" s="330"/>
      <c r="D108" s="124" t="s">
        <v>18564</v>
      </c>
      <c r="E108" s="125"/>
      <c r="F108" s="118" t="s">
        <v>2133</v>
      </c>
      <c r="G108" s="126" t="str">
        <f t="shared" si="10"/>
        <v>LS-V50-1</v>
      </c>
      <c r="H108" s="127">
        <v>1</v>
      </c>
      <c r="I108" s="19">
        <v>1</v>
      </c>
      <c r="J108" s="19" t="s">
        <v>286</v>
      </c>
    </row>
    <row r="109" spans="1:20" s="18" customFormat="1" outlineLevel="2">
      <c r="B109" s="118" t="s">
        <v>19</v>
      </c>
      <c r="C109" s="330"/>
      <c r="D109" s="124" t="s">
        <v>18565</v>
      </c>
      <c r="E109" s="125"/>
      <c r="F109" s="118" t="s">
        <v>2133</v>
      </c>
      <c r="G109" s="126" t="str">
        <f t="shared" si="10"/>
        <v>LS-V50-1</v>
      </c>
      <c r="H109" s="127">
        <v>1</v>
      </c>
      <c r="I109" s="19">
        <v>1</v>
      </c>
      <c r="J109" s="19" t="s">
        <v>286</v>
      </c>
    </row>
    <row r="110" spans="1:20" s="18" customFormat="1" outlineLevel="2">
      <c r="B110" s="118" t="s">
        <v>19</v>
      </c>
      <c r="C110" s="330"/>
      <c r="D110" s="124" t="s">
        <v>18566</v>
      </c>
      <c r="E110" s="125"/>
      <c r="F110" s="118" t="s">
        <v>2133</v>
      </c>
      <c r="G110" s="126" t="str">
        <f t="shared" si="10"/>
        <v>LS-V50-1</v>
      </c>
      <c r="H110" s="127">
        <v>1</v>
      </c>
      <c r="I110" s="19">
        <v>1</v>
      </c>
      <c r="J110" s="19" t="s">
        <v>286</v>
      </c>
    </row>
    <row r="111" spans="1:20" ht="3" customHeight="1" outlineLevel="1">
      <c r="A111" s="123"/>
      <c r="B111" s="118"/>
      <c r="C111" s="135"/>
      <c r="D111" s="326"/>
      <c r="E111" s="125"/>
      <c r="F111" s="118"/>
      <c r="G111" s="132"/>
      <c r="H111" s="127"/>
      <c r="I111" s="327"/>
    </row>
    <row r="112" spans="1:20" s="18" customFormat="1" outlineLevel="1">
      <c r="A112" s="135"/>
      <c r="B112" s="135" t="s">
        <v>18032</v>
      </c>
      <c r="C112" s="135"/>
      <c r="D112" s="326"/>
      <c r="E112" s="46"/>
      <c r="F112" s="46"/>
      <c r="G112" s="46"/>
      <c r="H112" s="40"/>
      <c r="I112" s="329"/>
    </row>
    <row r="113" spans="1:10" s="18" customFormat="1" outlineLevel="2">
      <c r="B113" s="118" t="s">
        <v>19</v>
      </c>
      <c r="C113" s="330"/>
      <c r="D113" s="124" t="s">
        <v>18558</v>
      </c>
      <c r="E113" s="125"/>
      <c r="F113" s="118" t="s">
        <v>1357</v>
      </c>
      <c r="G113" s="126" t="str">
        <f t="shared" ref="G113:G120" si="11">CONCATENATE("LS-",F113,"-",H113)</f>
        <v>LS-L30-1</v>
      </c>
      <c r="H113" s="127">
        <v>1</v>
      </c>
      <c r="I113" s="19">
        <v>1</v>
      </c>
      <c r="J113" s="19" t="s">
        <v>286</v>
      </c>
    </row>
    <row r="114" spans="1:10" s="18" customFormat="1" outlineLevel="2">
      <c r="B114" s="118" t="s">
        <v>19</v>
      </c>
      <c r="C114" s="330"/>
      <c r="D114" s="124" t="s">
        <v>18559</v>
      </c>
      <c r="E114" s="125"/>
      <c r="F114" s="118" t="s">
        <v>1357</v>
      </c>
      <c r="G114" s="126" t="str">
        <f t="shared" si="11"/>
        <v>LS-L30-1</v>
      </c>
      <c r="H114" s="127">
        <v>1</v>
      </c>
      <c r="I114" s="19">
        <v>1</v>
      </c>
      <c r="J114" s="19" t="s">
        <v>286</v>
      </c>
    </row>
    <row r="115" spans="1:10" s="18" customFormat="1" outlineLevel="2">
      <c r="B115" s="118" t="s">
        <v>19</v>
      </c>
      <c r="C115" s="330"/>
      <c r="D115" s="124" t="s">
        <v>18560</v>
      </c>
      <c r="E115" s="125"/>
      <c r="F115" s="118" t="s">
        <v>1357</v>
      </c>
      <c r="G115" s="126" t="str">
        <f t="shared" si="11"/>
        <v>LS-L30-1</v>
      </c>
      <c r="H115" s="127">
        <v>1</v>
      </c>
      <c r="I115" s="19">
        <v>1</v>
      </c>
      <c r="J115" s="19" t="s">
        <v>286</v>
      </c>
    </row>
    <row r="116" spans="1:10" s="18" customFormat="1" outlineLevel="2">
      <c r="B116" s="118" t="s">
        <v>19</v>
      </c>
      <c r="C116" s="330"/>
      <c r="D116" s="124" t="s">
        <v>18561</v>
      </c>
      <c r="E116" s="125"/>
      <c r="F116" s="118" t="s">
        <v>1357</v>
      </c>
      <c r="G116" s="126" t="str">
        <f t="shared" si="11"/>
        <v>LS-L30-1</v>
      </c>
      <c r="H116" s="127">
        <v>1</v>
      </c>
      <c r="I116" s="19">
        <v>1</v>
      </c>
      <c r="J116" s="19" t="s">
        <v>286</v>
      </c>
    </row>
    <row r="117" spans="1:10" s="18" customFormat="1" outlineLevel="2">
      <c r="B117" s="118" t="s">
        <v>19</v>
      </c>
      <c r="C117" s="330"/>
      <c r="D117" s="124" t="s">
        <v>18562</v>
      </c>
      <c r="E117" s="125"/>
      <c r="F117" s="118" t="s">
        <v>1357</v>
      </c>
      <c r="G117" s="126" t="str">
        <f t="shared" si="11"/>
        <v>LS-L30-1</v>
      </c>
      <c r="H117" s="127">
        <v>1</v>
      </c>
      <c r="I117" s="19">
        <v>1</v>
      </c>
      <c r="J117" s="19" t="s">
        <v>286</v>
      </c>
    </row>
    <row r="118" spans="1:10" s="18" customFormat="1" outlineLevel="2">
      <c r="B118" s="118" t="s">
        <v>19</v>
      </c>
      <c r="C118" s="330"/>
      <c r="D118" s="124" t="s">
        <v>3932</v>
      </c>
      <c r="E118" s="125"/>
      <c r="F118" s="118" t="s">
        <v>1357</v>
      </c>
      <c r="G118" s="126" t="str">
        <f t="shared" si="11"/>
        <v>LS-L30-1</v>
      </c>
      <c r="H118" s="127">
        <v>1</v>
      </c>
      <c r="I118" s="19">
        <v>1</v>
      </c>
      <c r="J118" s="19" t="s">
        <v>286</v>
      </c>
    </row>
    <row r="119" spans="1:10" s="18" customFormat="1" outlineLevel="2">
      <c r="B119" s="118" t="s">
        <v>19</v>
      </c>
      <c r="C119" s="330"/>
      <c r="D119" s="124" t="s">
        <v>18563</v>
      </c>
      <c r="E119" s="125"/>
      <c r="F119" s="118" t="s">
        <v>1357</v>
      </c>
      <c r="G119" s="126" t="str">
        <f t="shared" si="11"/>
        <v>LS-L30-1</v>
      </c>
      <c r="H119" s="127">
        <v>1</v>
      </c>
      <c r="I119" s="19">
        <v>1</v>
      </c>
      <c r="J119" s="19" t="s">
        <v>286</v>
      </c>
    </row>
    <row r="120" spans="1:10" s="18" customFormat="1" outlineLevel="2">
      <c r="B120" s="118" t="s">
        <v>19</v>
      </c>
      <c r="C120" s="330"/>
      <c r="D120" s="124" t="s">
        <v>18564</v>
      </c>
      <c r="E120" s="125"/>
      <c r="F120" s="118" t="s">
        <v>1357</v>
      </c>
      <c r="G120" s="126" t="str">
        <f t="shared" si="11"/>
        <v>LS-L30-1</v>
      </c>
      <c r="H120" s="127">
        <v>1</v>
      </c>
      <c r="I120" s="19">
        <v>1</v>
      </c>
      <c r="J120" s="19" t="s">
        <v>286</v>
      </c>
    </row>
    <row r="121" spans="1:10" ht="3" customHeight="1" outlineLevel="1">
      <c r="A121" s="123"/>
      <c r="B121" s="118"/>
      <c r="C121" s="135"/>
      <c r="D121" s="326"/>
      <c r="E121" s="125"/>
      <c r="F121" s="118"/>
      <c r="G121" s="132"/>
      <c r="H121" s="127"/>
      <c r="I121" s="327"/>
    </row>
    <row r="122" spans="1:10" s="18" customFormat="1" outlineLevel="1">
      <c r="A122" s="135"/>
      <c r="B122" s="135" t="s">
        <v>18009</v>
      </c>
      <c r="C122" s="135"/>
      <c r="D122" s="326"/>
      <c r="E122" s="46"/>
      <c r="F122" s="46"/>
      <c r="G122" s="46"/>
      <c r="H122" s="40"/>
      <c r="I122" s="329"/>
    </row>
    <row r="123" spans="1:10" s="18" customFormat="1" outlineLevel="2">
      <c r="B123" s="118" t="s">
        <v>19</v>
      </c>
      <c r="C123" s="330"/>
      <c r="D123" s="124" t="s">
        <v>18558</v>
      </c>
      <c r="E123" s="125"/>
      <c r="F123" s="118" t="s">
        <v>1275</v>
      </c>
      <c r="G123" s="126" t="str">
        <f t="shared" ref="G123:G130" si="12">CONCATENATE("LS-",F123,"-",H123)</f>
        <v>LS-C20-1</v>
      </c>
      <c r="H123" s="127">
        <v>1</v>
      </c>
      <c r="I123" s="19">
        <v>1</v>
      </c>
      <c r="J123" s="19" t="s">
        <v>286</v>
      </c>
    </row>
    <row r="124" spans="1:10" s="18" customFormat="1" outlineLevel="2">
      <c r="B124" s="118" t="s">
        <v>19</v>
      </c>
      <c r="C124" s="330"/>
      <c r="D124" s="124" t="s">
        <v>18559</v>
      </c>
      <c r="E124" s="125"/>
      <c r="F124" s="118" t="s">
        <v>1275</v>
      </c>
      <c r="G124" s="126" t="str">
        <f t="shared" si="12"/>
        <v>LS-C20-1</v>
      </c>
      <c r="H124" s="127">
        <v>1</v>
      </c>
      <c r="I124" s="19">
        <v>1</v>
      </c>
      <c r="J124" s="19" t="s">
        <v>286</v>
      </c>
    </row>
    <row r="125" spans="1:10" s="18" customFormat="1" outlineLevel="2">
      <c r="B125" s="118" t="s">
        <v>19</v>
      </c>
      <c r="C125" s="330"/>
      <c r="D125" s="124" t="s">
        <v>18560</v>
      </c>
      <c r="E125" s="125"/>
      <c r="F125" s="118" t="s">
        <v>1275</v>
      </c>
      <c r="G125" s="126" t="str">
        <f t="shared" si="12"/>
        <v>LS-C20-1</v>
      </c>
      <c r="H125" s="127">
        <v>1</v>
      </c>
      <c r="I125" s="19">
        <v>1</v>
      </c>
      <c r="J125" s="19" t="s">
        <v>286</v>
      </c>
    </row>
    <row r="126" spans="1:10" s="18" customFormat="1" outlineLevel="2">
      <c r="B126" s="118" t="s">
        <v>19</v>
      </c>
      <c r="C126" s="330"/>
      <c r="D126" s="124" t="s">
        <v>18561</v>
      </c>
      <c r="E126" s="125"/>
      <c r="F126" s="118" t="s">
        <v>1275</v>
      </c>
      <c r="G126" s="126" t="str">
        <f t="shared" si="12"/>
        <v>LS-C20-1</v>
      </c>
      <c r="H126" s="127">
        <v>1</v>
      </c>
      <c r="I126" s="19">
        <v>1</v>
      </c>
      <c r="J126" s="19" t="s">
        <v>286</v>
      </c>
    </row>
    <row r="127" spans="1:10" s="18" customFormat="1" outlineLevel="2">
      <c r="B127" s="118" t="s">
        <v>19</v>
      </c>
      <c r="C127" s="330"/>
      <c r="D127" s="124" t="s">
        <v>18562</v>
      </c>
      <c r="E127" s="125"/>
      <c r="F127" s="118" t="s">
        <v>1275</v>
      </c>
      <c r="G127" s="126" t="str">
        <f t="shared" si="12"/>
        <v>LS-C20-1</v>
      </c>
      <c r="H127" s="127">
        <v>1</v>
      </c>
      <c r="I127" s="19">
        <v>1</v>
      </c>
      <c r="J127" s="19" t="s">
        <v>286</v>
      </c>
    </row>
    <row r="128" spans="1:10" s="18" customFormat="1" outlineLevel="2">
      <c r="B128" s="118" t="s">
        <v>19</v>
      </c>
      <c r="C128" s="330"/>
      <c r="D128" s="124" t="s">
        <v>3932</v>
      </c>
      <c r="E128" s="125"/>
      <c r="F128" s="118" t="s">
        <v>1275</v>
      </c>
      <c r="G128" s="126" t="str">
        <f t="shared" si="12"/>
        <v>LS-C20-1</v>
      </c>
      <c r="H128" s="127">
        <v>1</v>
      </c>
      <c r="I128" s="19">
        <v>1</v>
      </c>
      <c r="J128" s="19" t="s">
        <v>286</v>
      </c>
    </row>
    <row r="129" spans="2:20" s="18" customFormat="1" outlineLevel="2">
      <c r="B129" s="118" t="s">
        <v>19</v>
      </c>
      <c r="C129" s="330"/>
      <c r="D129" s="124" t="s">
        <v>18563</v>
      </c>
      <c r="E129" s="125"/>
      <c r="F129" s="118" t="s">
        <v>1275</v>
      </c>
      <c r="G129" s="126" t="str">
        <f t="shared" si="12"/>
        <v>LS-C20-1</v>
      </c>
      <c r="H129" s="127">
        <v>1</v>
      </c>
      <c r="I129" s="19">
        <v>1</v>
      </c>
      <c r="J129" s="19" t="s">
        <v>286</v>
      </c>
    </row>
    <row r="130" spans="2:20" s="18" customFormat="1" outlineLevel="2">
      <c r="B130" s="118" t="s">
        <v>19</v>
      </c>
      <c r="C130" s="330"/>
      <c r="D130" s="124" t="s">
        <v>18564</v>
      </c>
      <c r="E130" s="125"/>
      <c r="F130" s="118" t="s">
        <v>1275</v>
      </c>
      <c r="G130" s="126" t="str">
        <f t="shared" si="12"/>
        <v>LS-C20-1</v>
      </c>
      <c r="H130" s="127">
        <v>1</v>
      </c>
      <c r="I130" s="19">
        <v>1</v>
      </c>
      <c r="J130" s="19" t="s">
        <v>286</v>
      </c>
    </row>
    <row r="131" spans="2:20" ht="3" customHeight="1" outlineLevel="1">
      <c r="B131" s="118"/>
      <c r="C131" s="135"/>
      <c r="D131" s="326"/>
      <c r="E131" s="125"/>
      <c r="F131" s="118"/>
      <c r="G131" s="132"/>
      <c r="H131" s="127"/>
      <c r="I131" s="327"/>
    </row>
    <row r="132" spans="2:20" s="18" customFormat="1" outlineLevel="1">
      <c r="B132" s="135" t="s">
        <v>18056</v>
      </c>
      <c r="C132" s="135"/>
      <c r="D132" s="326"/>
      <c r="E132" s="46"/>
      <c r="F132" s="46"/>
      <c r="G132" s="46"/>
      <c r="H132" s="40"/>
      <c r="I132" s="329"/>
    </row>
    <row r="133" spans="2:20" s="18" customFormat="1" outlineLevel="2">
      <c r="B133" s="118" t="s">
        <v>19</v>
      </c>
      <c r="C133" s="330"/>
      <c r="D133" s="124" t="s">
        <v>18558</v>
      </c>
      <c r="E133" s="125"/>
      <c r="F133" s="118" t="s">
        <v>1628</v>
      </c>
      <c r="G133" s="126" t="str">
        <f t="shared" ref="G133:G139" si="13">CONCATENATE("LS-",F133,"-",H133)</f>
        <v>LS-L45-1</v>
      </c>
      <c r="H133" s="127">
        <v>1</v>
      </c>
      <c r="I133" s="19">
        <v>1</v>
      </c>
      <c r="J133" s="19" t="s">
        <v>286</v>
      </c>
    </row>
    <row r="134" spans="2:20" s="18" customFormat="1" outlineLevel="2">
      <c r="B134" s="118" t="s">
        <v>19</v>
      </c>
      <c r="C134" s="330"/>
      <c r="D134" s="124" t="s">
        <v>18559</v>
      </c>
      <c r="E134" s="125"/>
      <c r="F134" s="118" t="s">
        <v>1628</v>
      </c>
      <c r="G134" s="126" t="str">
        <f t="shared" si="13"/>
        <v>LS-L45-1</v>
      </c>
      <c r="H134" s="127">
        <v>1</v>
      </c>
      <c r="I134" s="19">
        <v>1</v>
      </c>
      <c r="J134" s="19" t="s">
        <v>286</v>
      </c>
    </row>
    <row r="135" spans="2:20" s="18" customFormat="1" outlineLevel="2">
      <c r="B135" s="118" t="s">
        <v>19</v>
      </c>
      <c r="C135" s="330"/>
      <c r="D135" s="124" t="s">
        <v>18560</v>
      </c>
      <c r="E135" s="125"/>
      <c r="F135" s="118" t="s">
        <v>1628</v>
      </c>
      <c r="G135" s="126" t="str">
        <f t="shared" si="13"/>
        <v>LS-L45-1</v>
      </c>
      <c r="H135" s="127">
        <v>1</v>
      </c>
      <c r="I135" s="19">
        <v>1</v>
      </c>
      <c r="J135" s="19" t="s">
        <v>286</v>
      </c>
    </row>
    <row r="136" spans="2:20" s="18" customFormat="1" outlineLevel="2">
      <c r="B136" s="118" t="s">
        <v>19</v>
      </c>
      <c r="C136" s="330"/>
      <c r="D136" s="124" t="s">
        <v>18561</v>
      </c>
      <c r="E136" s="125"/>
      <c r="F136" s="118" t="s">
        <v>1628</v>
      </c>
      <c r="G136" s="126" t="str">
        <f t="shared" si="13"/>
        <v>LS-L45-1</v>
      </c>
      <c r="H136" s="127">
        <v>1</v>
      </c>
      <c r="I136" s="19">
        <v>1</v>
      </c>
      <c r="J136" s="19" t="s">
        <v>286</v>
      </c>
    </row>
    <row r="137" spans="2:20" s="18" customFormat="1" outlineLevel="2">
      <c r="B137" s="118" t="s">
        <v>19</v>
      </c>
      <c r="C137" s="330"/>
      <c r="D137" s="124" t="s">
        <v>18562</v>
      </c>
      <c r="E137" s="125"/>
      <c r="F137" s="118" t="s">
        <v>1628</v>
      </c>
      <c r="G137" s="126" t="str">
        <f t="shared" si="13"/>
        <v>LS-L45-1</v>
      </c>
      <c r="H137" s="127">
        <v>1</v>
      </c>
      <c r="I137" s="19">
        <v>1</v>
      </c>
      <c r="J137" s="19" t="s">
        <v>286</v>
      </c>
    </row>
    <row r="138" spans="2:20" s="18" customFormat="1" outlineLevel="2">
      <c r="B138" s="118" t="s">
        <v>19</v>
      </c>
      <c r="C138" s="330"/>
      <c r="D138" s="124" t="s">
        <v>3932</v>
      </c>
      <c r="E138" s="125"/>
      <c r="F138" s="118" t="s">
        <v>1628</v>
      </c>
      <c r="G138" s="126" t="str">
        <f t="shared" si="13"/>
        <v>LS-L45-1</v>
      </c>
      <c r="H138" s="127">
        <v>1</v>
      </c>
      <c r="I138" s="19">
        <v>1</v>
      </c>
      <c r="J138" s="19" t="s">
        <v>286</v>
      </c>
    </row>
    <row r="139" spans="2:20" s="18" customFormat="1" outlineLevel="2">
      <c r="B139" s="118" t="s">
        <v>19</v>
      </c>
      <c r="C139" s="330"/>
      <c r="D139" s="124" t="s">
        <v>18563</v>
      </c>
      <c r="E139" s="125"/>
      <c r="F139" s="118" t="s">
        <v>1628</v>
      </c>
      <c r="G139" s="126" t="str">
        <f t="shared" si="13"/>
        <v>LS-L45-1</v>
      </c>
      <c r="H139" s="127">
        <v>1</v>
      </c>
      <c r="I139" s="19">
        <v>1</v>
      </c>
      <c r="J139" s="19" t="s">
        <v>286</v>
      </c>
    </row>
    <row r="140" spans="2:20" s="18" customFormat="1" outlineLevel="2">
      <c r="B140" s="118" t="s">
        <v>19</v>
      </c>
      <c r="C140" s="330"/>
      <c r="D140" s="124" t="s">
        <v>18564</v>
      </c>
      <c r="E140" s="125"/>
      <c r="F140" s="118" t="s">
        <v>1628</v>
      </c>
      <c r="G140" s="126" t="str">
        <f>CONCATENATE("LS-",F140,"-",H140)</f>
        <v>LS-L45-1</v>
      </c>
      <c r="H140" s="127">
        <v>1</v>
      </c>
      <c r="I140" s="19">
        <v>1</v>
      </c>
      <c r="J140" s="19" t="s">
        <v>286</v>
      </c>
      <c r="L140" s="19"/>
    </row>
    <row r="141" spans="2:20" s="18" customFormat="1" ht="3" customHeight="1" outlineLevel="1">
      <c r="B141" s="118"/>
      <c r="C141" s="135"/>
      <c r="D141" s="326"/>
      <c r="E141" s="125"/>
      <c r="F141" s="17"/>
      <c r="G141" s="132"/>
      <c r="H141" s="127"/>
      <c r="I141" s="19"/>
      <c r="J141" s="19"/>
      <c r="L141" s="19"/>
    </row>
    <row r="142" spans="2:20" s="18" customFormat="1" outlineLevel="1">
      <c r="B142" s="135" t="s">
        <v>17999</v>
      </c>
      <c r="C142" s="135"/>
      <c r="D142" s="326"/>
      <c r="E142" s="46"/>
      <c r="F142" s="46"/>
      <c r="G142" s="46"/>
      <c r="H142" s="40"/>
      <c r="I142" s="19"/>
      <c r="J142" s="19"/>
      <c r="K142" s="19"/>
      <c r="L142" s="19"/>
    </row>
    <row r="143" spans="2:20" s="18" customFormat="1" outlineLevel="2">
      <c r="B143" s="118" t="s">
        <v>19</v>
      </c>
      <c r="C143" s="330"/>
      <c r="D143" s="124" t="s">
        <v>18558</v>
      </c>
      <c r="E143" s="125"/>
      <c r="F143" s="118" t="s">
        <v>2236</v>
      </c>
      <c r="G143" s="126" t="str">
        <f>CONCATENATE("LS-",F143,"-",H143)</f>
        <v>LS-V40-1</v>
      </c>
      <c r="H143" s="127">
        <v>1</v>
      </c>
      <c r="I143" s="19">
        <v>1</v>
      </c>
      <c r="J143" s="19" t="s">
        <v>286</v>
      </c>
      <c r="K143" s="19"/>
      <c r="L143" s="19"/>
      <c r="P143" s="19"/>
      <c r="T143" s="19"/>
    </row>
    <row r="144" spans="2:20" s="18" customFormat="1" outlineLevel="2">
      <c r="B144" s="118" t="s">
        <v>19</v>
      </c>
      <c r="C144" s="330"/>
      <c r="D144" s="124" t="s">
        <v>18559</v>
      </c>
      <c r="E144" s="125"/>
      <c r="F144" s="118" t="s">
        <v>2236</v>
      </c>
      <c r="G144" s="126" t="str">
        <f t="shared" ref="G144:G152" si="14">CONCATENATE("LS-",F144,"-",H144)</f>
        <v>LS-V40-1</v>
      </c>
      <c r="H144" s="127">
        <v>1</v>
      </c>
      <c r="I144" s="19">
        <v>1</v>
      </c>
      <c r="J144" s="19" t="s">
        <v>286</v>
      </c>
      <c r="K144" s="19"/>
      <c r="L144" s="19"/>
      <c r="P144" s="19"/>
      <c r="T144" s="19"/>
    </row>
    <row r="145" spans="2:20" s="18" customFormat="1" outlineLevel="2">
      <c r="B145" s="118" t="s">
        <v>19</v>
      </c>
      <c r="C145" s="330"/>
      <c r="D145" s="124" t="s">
        <v>18560</v>
      </c>
      <c r="E145" s="125"/>
      <c r="F145" s="118" t="s">
        <v>2236</v>
      </c>
      <c r="G145" s="126" t="str">
        <f t="shared" si="14"/>
        <v>LS-V40-1</v>
      </c>
      <c r="H145" s="127">
        <v>1</v>
      </c>
      <c r="I145" s="19">
        <v>1</v>
      </c>
      <c r="J145" s="19" t="s">
        <v>286</v>
      </c>
      <c r="K145" s="19"/>
      <c r="L145" s="19"/>
      <c r="P145" s="19"/>
      <c r="T145" s="19"/>
    </row>
    <row r="146" spans="2:20" s="18" customFormat="1" outlineLevel="2">
      <c r="B146" s="118" t="s">
        <v>19</v>
      </c>
      <c r="C146" s="330"/>
      <c r="D146" s="124" t="s">
        <v>18561</v>
      </c>
      <c r="E146" s="125"/>
      <c r="F146" s="118" t="s">
        <v>2236</v>
      </c>
      <c r="G146" s="126" t="str">
        <f t="shared" si="14"/>
        <v>LS-V40-1</v>
      </c>
      <c r="H146" s="127">
        <v>1</v>
      </c>
      <c r="I146" s="19">
        <v>1</v>
      </c>
      <c r="J146" s="19" t="s">
        <v>286</v>
      </c>
      <c r="K146" s="19"/>
      <c r="L146" s="19"/>
      <c r="P146" s="19"/>
      <c r="T146" s="19"/>
    </row>
    <row r="147" spans="2:20" s="18" customFormat="1" outlineLevel="2">
      <c r="B147" s="118" t="s">
        <v>19</v>
      </c>
      <c r="C147" s="330"/>
      <c r="D147" s="124" t="s">
        <v>18562</v>
      </c>
      <c r="E147" s="125"/>
      <c r="F147" s="118" t="s">
        <v>2236</v>
      </c>
      <c r="G147" s="126" t="str">
        <f t="shared" si="14"/>
        <v>LS-V40-1</v>
      </c>
      <c r="H147" s="127">
        <v>1</v>
      </c>
      <c r="I147" s="19">
        <v>1</v>
      </c>
      <c r="J147" s="19" t="s">
        <v>286</v>
      </c>
      <c r="K147" s="19"/>
      <c r="L147" s="19"/>
      <c r="P147" s="19"/>
      <c r="T147" s="19"/>
    </row>
    <row r="148" spans="2:20" s="18" customFormat="1" outlineLevel="2">
      <c r="B148" s="118" t="s">
        <v>19</v>
      </c>
      <c r="C148" s="330"/>
      <c r="D148" s="124" t="s">
        <v>3932</v>
      </c>
      <c r="E148" s="125"/>
      <c r="F148" s="118" t="s">
        <v>2236</v>
      </c>
      <c r="G148" s="126" t="str">
        <f t="shared" si="14"/>
        <v>LS-V40-1</v>
      </c>
      <c r="H148" s="127">
        <v>1</v>
      </c>
      <c r="I148" s="19">
        <v>1</v>
      </c>
      <c r="J148" s="19" t="s">
        <v>286</v>
      </c>
      <c r="K148" s="19"/>
      <c r="L148" s="19"/>
      <c r="P148" s="19"/>
      <c r="T148" s="19"/>
    </row>
    <row r="149" spans="2:20" s="18" customFormat="1" outlineLevel="2">
      <c r="B149" s="118" t="s">
        <v>19</v>
      </c>
      <c r="C149" s="330"/>
      <c r="D149" s="124" t="s">
        <v>18563</v>
      </c>
      <c r="E149" s="125"/>
      <c r="F149" s="118" t="s">
        <v>2236</v>
      </c>
      <c r="G149" s="126" t="str">
        <f t="shared" si="14"/>
        <v>LS-V40-1</v>
      </c>
      <c r="H149" s="127">
        <v>1</v>
      </c>
      <c r="I149" s="19">
        <v>1</v>
      </c>
      <c r="J149" s="19" t="s">
        <v>286</v>
      </c>
      <c r="K149" s="19"/>
      <c r="L149" s="19"/>
      <c r="P149" s="19"/>
      <c r="T149" s="19"/>
    </row>
    <row r="150" spans="2:20" s="18" customFormat="1" outlineLevel="2">
      <c r="B150" s="118" t="s">
        <v>19</v>
      </c>
      <c r="C150" s="330"/>
      <c r="D150" s="124" t="s">
        <v>18564</v>
      </c>
      <c r="E150" s="125"/>
      <c r="F150" s="118" t="s">
        <v>2236</v>
      </c>
      <c r="G150" s="126" t="str">
        <f t="shared" si="14"/>
        <v>LS-V40-1</v>
      </c>
      <c r="H150" s="127">
        <v>1</v>
      </c>
      <c r="I150" s="19">
        <v>1</v>
      </c>
      <c r="J150" s="19" t="s">
        <v>286</v>
      </c>
      <c r="K150" s="19"/>
      <c r="L150" s="19"/>
      <c r="P150" s="19"/>
      <c r="T150" s="19"/>
    </row>
    <row r="151" spans="2:20" s="18" customFormat="1" outlineLevel="2">
      <c r="B151" s="118" t="s">
        <v>19</v>
      </c>
      <c r="C151" s="330"/>
      <c r="D151" s="124" t="s">
        <v>18565</v>
      </c>
      <c r="E151" s="125"/>
      <c r="F151" s="118" t="s">
        <v>2236</v>
      </c>
      <c r="G151" s="126" t="str">
        <f t="shared" si="14"/>
        <v>LS-V40-1</v>
      </c>
      <c r="H151" s="127">
        <v>1</v>
      </c>
      <c r="I151" s="19">
        <v>1</v>
      </c>
      <c r="J151" s="19" t="s">
        <v>286</v>
      </c>
      <c r="K151" s="19"/>
      <c r="L151" s="19"/>
      <c r="P151" s="19"/>
      <c r="T151" s="19"/>
    </row>
    <row r="152" spans="2:20" s="18" customFormat="1" outlineLevel="2">
      <c r="B152" s="118" t="s">
        <v>19</v>
      </c>
      <c r="C152" s="330"/>
      <c r="D152" s="124" t="s">
        <v>18566</v>
      </c>
      <c r="E152" s="125"/>
      <c r="F152" s="118" t="s">
        <v>2236</v>
      </c>
      <c r="G152" s="126" t="str">
        <f t="shared" si="14"/>
        <v>LS-V40-1</v>
      </c>
      <c r="H152" s="127">
        <v>1</v>
      </c>
      <c r="I152" s="19">
        <v>1</v>
      </c>
      <c r="J152" s="19" t="s">
        <v>286</v>
      </c>
      <c r="K152" s="19"/>
      <c r="L152" s="19"/>
      <c r="P152" s="19"/>
      <c r="T152" s="19"/>
    </row>
    <row r="153" spans="2:20" ht="3" customHeight="1" outlineLevel="1">
      <c r="B153" s="118"/>
      <c r="C153" s="135"/>
      <c r="D153" s="326"/>
      <c r="E153" s="125"/>
      <c r="F153" s="118"/>
      <c r="G153" s="132"/>
      <c r="H153" s="127"/>
    </row>
    <row r="154" spans="2:20" s="18" customFormat="1" outlineLevel="1">
      <c r="B154" s="135" t="s">
        <v>18106</v>
      </c>
      <c r="C154" s="135"/>
      <c r="D154" s="326"/>
      <c r="E154" s="46"/>
      <c r="F154" s="46"/>
      <c r="G154" s="46"/>
      <c r="H154" s="40"/>
      <c r="I154" s="19"/>
      <c r="J154" s="19"/>
      <c r="K154" s="19"/>
      <c r="L154" s="19"/>
    </row>
    <row r="155" spans="2:20" s="18" customFormat="1" outlineLevel="2">
      <c r="B155" s="118" t="s">
        <v>19</v>
      </c>
      <c r="C155" s="330"/>
      <c r="D155" s="124" t="s">
        <v>18558</v>
      </c>
      <c r="E155" s="125"/>
      <c r="F155" s="118" t="s">
        <v>2239</v>
      </c>
      <c r="G155" s="126" t="str">
        <f>CONCATENATE("LS-",F155,"-",H155)</f>
        <v>LS-R11-1</v>
      </c>
      <c r="H155" s="127">
        <v>1</v>
      </c>
      <c r="I155" s="19">
        <v>1</v>
      </c>
      <c r="J155" s="19" t="s">
        <v>286</v>
      </c>
      <c r="K155" s="19"/>
      <c r="L155" s="19"/>
      <c r="P155" s="19"/>
      <c r="T155" s="19"/>
    </row>
    <row r="156" spans="2:20" s="18" customFormat="1" outlineLevel="2">
      <c r="B156" s="118" t="s">
        <v>19</v>
      </c>
      <c r="C156" s="330"/>
      <c r="D156" s="124" t="s">
        <v>18559</v>
      </c>
      <c r="E156" s="125"/>
      <c r="F156" s="118" t="s">
        <v>2239</v>
      </c>
      <c r="G156" s="126" t="str">
        <f t="shared" ref="G156:G164" si="15">CONCATENATE("LS-",F156,"-",H156)</f>
        <v>LS-R11-1</v>
      </c>
      <c r="H156" s="127">
        <v>1</v>
      </c>
      <c r="I156" s="19">
        <v>1</v>
      </c>
      <c r="J156" s="19" t="s">
        <v>286</v>
      </c>
      <c r="K156" s="19"/>
      <c r="L156" s="19"/>
      <c r="P156" s="19"/>
      <c r="T156" s="19"/>
    </row>
    <row r="157" spans="2:20" s="18" customFormat="1" outlineLevel="2">
      <c r="B157" s="118" t="s">
        <v>19</v>
      </c>
      <c r="C157" s="330"/>
      <c r="D157" s="124" t="s">
        <v>18560</v>
      </c>
      <c r="E157" s="125"/>
      <c r="F157" s="118" t="s">
        <v>2239</v>
      </c>
      <c r="G157" s="126" t="str">
        <f t="shared" si="15"/>
        <v>LS-R11-1</v>
      </c>
      <c r="H157" s="127">
        <v>1</v>
      </c>
      <c r="I157" s="19">
        <v>1</v>
      </c>
      <c r="J157" s="19" t="s">
        <v>286</v>
      </c>
      <c r="K157" s="19"/>
      <c r="L157" s="19"/>
      <c r="P157" s="19"/>
      <c r="T157" s="19"/>
    </row>
    <row r="158" spans="2:20" s="18" customFormat="1" outlineLevel="2">
      <c r="B158" s="118" t="s">
        <v>19</v>
      </c>
      <c r="C158" s="330"/>
      <c r="D158" s="124" t="s">
        <v>18561</v>
      </c>
      <c r="E158" s="125"/>
      <c r="F158" s="118" t="s">
        <v>2239</v>
      </c>
      <c r="G158" s="126" t="str">
        <f t="shared" si="15"/>
        <v>LS-R11-1</v>
      </c>
      <c r="H158" s="127">
        <v>1</v>
      </c>
      <c r="I158" s="19">
        <v>1</v>
      </c>
      <c r="J158" s="19" t="s">
        <v>286</v>
      </c>
      <c r="K158" s="19"/>
      <c r="L158" s="19"/>
      <c r="P158" s="19"/>
      <c r="T158" s="19"/>
    </row>
    <row r="159" spans="2:20" s="18" customFormat="1" outlineLevel="2">
      <c r="B159" s="118" t="s">
        <v>19</v>
      </c>
      <c r="C159" s="330"/>
      <c r="D159" s="124" t="s">
        <v>18562</v>
      </c>
      <c r="E159" s="125"/>
      <c r="F159" s="118" t="s">
        <v>2239</v>
      </c>
      <c r="G159" s="126" t="str">
        <f t="shared" si="15"/>
        <v>LS-R11-1</v>
      </c>
      <c r="H159" s="127">
        <v>1</v>
      </c>
      <c r="I159" s="19">
        <v>1</v>
      </c>
      <c r="J159" s="19" t="s">
        <v>286</v>
      </c>
      <c r="K159" s="19"/>
      <c r="L159" s="19"/>
      <c r="P159" s="19"/>
      <c r="T159" s="19"/>
    </row>
    <row r="160" spans="2:20" s="18" customFormat="1" outlineLevel="2">
      <c r="B160" s="118" t="s">
        <v>19</v>
      </c>
      <c r="C160" s="330"/>
      <c r="D160" s="124" t="s">
        <v>3932</v>
      </c>
      <c r="E160" s="125"/>
      <c r="F160" s="118" t="s">
        <v>2239</v>
      </c>
      <c r="G160" s="126" t="str">
        <f t="shared" si="15"/>
        <v>LS-R11-1</v>
      </c>
      <c r="H160" s="127">
        <v>1</v>
      </c>
      <c r="I160" s="19">
        <v>1</v>
      </c>
      <c r="J160" s="19" t="s">
        <v>286</v>
      </c>
      <c r="K160" s="19"/>
      <c r="L160" s="19"/>
      <c r="P160" s="19"/>
      <c r="T160" s="19"/>
    </row>
    <row r="161" spans="2:20" s="18" customFormat="1" outlineLevel="2">
      <c r="B161" s="118" t="s">
        <v>19</v>
      </c>
      <c r="C161" s="330"/>
      <c r="D161" s="124" t="s">
        <v>18563</v>
      </c>
      <c r="E161" s="125"/>
      <c r="F161" s="118" t="s">
        <v>2239</v>
      </c>
      <c r="G161" s="126" t="str">
        <f t="shared" si="15"/>
        <v>LS-R11-1</v>
      </c>
      <c r="H161" s="127">
        <v>1</v>
      </c>
      <c r="I161" s="19">
        <v>1</v>
      </c>
      <c r="J161" s="19" t="s">
        <v>286</v>
      </c>
      <c r="K161" s="19"/>
      <c r="L161" s="19"/>
      <c r="P161" s="19"/>
      <c r="T161" s="19"/>
    </row>
    <row r="162" spans="2:20" s="18" customFormat="1" outlineLevel="2">
      <c r="B162" s="118" t="s">
        <v>19</v>
      </c>
      <c r="C162" s="330"/>
      <c r="D162" s="124" t="s">
        <v>18564</v>
      </c>
      <c r="E162" s="125"/>
      <c r="F162" s="118" t="s">
        <v>2239</v>
      </c>
      <c r="G162" s="126" t="str">
        <f t="shared" si="15"/>
        <v>LS-R11-1</v>
      </c>
      <c r="H162" s="127">
        <v>1</v>
      </c>
      <c r="I162" s="19">
        <v>1</v>
      </c>
      <c r="J162" s="19" t="s">
        <v>286</v>
      </c>
      <c r="K162" s="19"/>
      <c r="L162" s="19"/>
      <c r="P162" s="19"/>
      <c r="T162" s="19"/>
    </row>
    <row r="163" spans="2:20" s="18" customFormat="1" outlineLevel="2">
      <c r="B163" s="118" t="s">
        <v>19</v>
      </c>
      <c r="C163" s="330"/>
      <c r="D163" s="124" t="s">
        <v>18565</v>
      </c>
      <c r="E163" s="125"/>
      <c r="F163" s="118" t="s">
        <v>2239</v>
      </c>
      <c r="G163" s="126" t="str">
        <f t="shared" si="15"/>
        <v>LS-R11-1</v>
      </c>
      <c r="H163" s="127">
        <v>1</v>
      </c>
      <c r="I163" s="19">
        <v>1</v>
      </c>
      <c r="J163" s="19" t="s">
        <v>286</v>
      </c>
      <c r="K163" s="19"/>
      <c r="L163" s="19"/>
      <c r="P163" s="19"/>
      <c r="T163" s="19"/>
    </row>
    <row r="164" spans="2:20" s="18" customFormat="1" outlineLevel="2">
      <c r="B164" s="118" t="s">
        <v>19</v>
      </c>
      <c r="C164" s="330"/>
      <c r="D164" s="124" t="s">
        <v>18566</v>
      </c>
      <c r="E164" s="125"/>
      <c r="F164" s="118" t="s">
        <v>2239</v>
      </c>
      <c r="G164" s="126" t="str">
        <f t="shared" si="15"/>
        <v>LS-R11-1</v>
      </c>
      <c r="H164" s="127">
        <v>1</v>
      </c>
      <c r="I164" s="19">
        <v>1</v>
      </c>
      <c r="J164" s="19" t="s">
        <v>286</v>
      </c>
      <c r="K164" s="19"/>
      <c r="L164" s="19"/>
      <c r="P164" s="19"/>
      <c r="T164" s="19"/>
    </row>
    <row r="165" spans="2:20" ht="3" customHeight="1" outlineLevel="1">
      <c r="B165" s="118"/>
      <c r="C165" s="135"/>
      <c r="D165" s="326"/>
      <c r="E165" s="125"/>
      <c r="F165" s="118"/>
      <c r="G165" s="132"/>
      <c r="H165" s="127"/>
    </row>
    <row r="166" spans="2:20" s="18" customFormat="1" outlineLevel="1">
      <c r="B166" s="135" t="s">
        <v>18120</v>
      </c>
      <c r="C166" s="135"/>
      <c r="D166" s="326"/>
      <c r="E166" s="46"/>
      <c r="F166" s="46"/>
      <c r="G166" s="46"/>
      <c r="H166" s="40"/>
      <c r="I166" s="19"/>
      <c r="J166" s="19"/>
      <c r="K166" s="19"/>
      <c r="L166" s="19"/>
    </row>
    <row r="167" spans="2:20" s="18" customFormat="1" outlineLevel="2">
      <c r="B167" s="118" t="s">
        <v>19</v>
      </c>
      <c r="C167" s="330"/>
      <c r="D167" s="124" t="s">
        <v>18558</v>
      </c>
      <c r="E167" s="125"/>
      <c r="F167" s="118" t="s">
        <v>2593</v>
      </c>
      <c r="G167" s="126" t="str">
        <f>CONCATENATE("LS-",F167,"-",H167)</f>
        <v>LS-R22-1</v>
      </c>
      <c r="H167" s="127">
        <v>1</v>
      </c>
      <c r="I167" s="19">
        <v>1</v>
      </c>
      <c r="J167" s="19" t="s">
        <v>286</v>
      </c>
      <c r="K167" s="19"/>
      <c r="L167" s="19"/>
      <c r="P167" s="19"/>
      <c r="T167" s="19"/>
    </row>
    <row r="168" spans="2:20" s="18" customFormat="1" outlineLevel="2">
      <c r="B168" s="118" t="s">
        <v>19</v>
      </c>
      <c r="C168" s="330"/>
      <c r="D168" s="124" t="s">
        <v>18559</v>
      </c>
      <c r="E168" s="125"/>
      <c r="F168" s="118" t="s">
        <v>2593</v>
      </c>
      <c r="G168" s="126" t="str">
        <f t="shared" ref="G168:G176" si="16">CONCATENATE("LS-",F168,"-",H168)</f>
        <v>LS-R22-1</v>
      </c>
      <c r="H168" s="127">
        <v>1</v>
      </c>
      <c r="I168" s="19">
        <v>1</v>
      </c>
      <c r="J168" s="19" t="s">
        <v>286</v>
      </c>
      <c r="K168" s="19"/>
      <c r="L168" s="19"/>
      <c r="P168" s="19"/>
      <c r="T168" s="19"/>
    </row>
    <row r="169" spans="2:20" s="18" customFormat="1" outlineLevel="2">
      <c r="B169" s="118" t="s">
        <v>19</v>
      </c>
      <c r="C169" s="330"/>
      <c r="D169" s="124" t="s">
        <v>18560</v>
      </c>
      <c r="E169" s="125"/>
      <c r="F169" s="118" t="s">
        <v>2593</v>
      </c>
      <c r="G169" s="126" t="str">
        <f t="shared" si="16"/>
        <v>LS-R22-1</v>
      </c>
      <c r="H169" s="127">
        <v>1</v>
      </c>
      <c r="I169" s="19">
        <v>1</v>
      </c>
      <c r="J169" s="19" t="s">
        <v>286</v>
      </c>
      <c r="K169" s="19"/>
      <c r="L169" s="19"/>
      <c r="P169" s="19"/>
      <c r="T169" s="19"/>
    </row>
    <row r="170" spans="2:20" s="18" customFormat="1" outlineLevel="2">
      <c r="B170" s="118" t="s">
        <v>19</v>
      </c>
      <c r="C170" s="330"/>
      <c r="D170" s="124" t="s">
        <v>18561</v>
      </c>
      <c r="E170" s="125"/>
      <c r="F170" s="118" t="s">
        <v>2593</v>
      </c>
      <c r="G170" s="126" t="str">
        <f t="shared" si="16"/>
        <v>LS-R22-1</v>
      </c>
      <c r="H170" s="127">
        <v>1</v>
      </c>
      <c r="I170" s="19">
        <v>1</v>
      </c>
      <c r="J170" s="19" t="s">
        <v>286</v>
      </c>
      <c r="K170" s="19"/>
      <c r="L170" s="19"/>
      <c r="P170" s="19"/>
      <c r="T170" s="19"/>
    </row>
    <row r="171" spans="2:20" s="18" customFormat="1" outlineLevel="2">
      <c r="B171" s="118" t="s">
        <v>19</v>
      </c>
      <c r="C171" s="330"/>
      <c r="D171" s="124" t="s">
        <v>18562</v>
      </c>
      <c r="E171" s="125"/>
      <c r="F171" s="118" t="s">
        <v>2593</v>
      </c>
      <c r="G171" s="126" t="str">
        <f t="shared" si="16"/>
        <v>LS-R22-1</v>
      </c>
      <c r="H171" s="127">
        <v>1</v>
      </c>
      <c r="I171" s="19">
        <v>1</v>
      </c>
      <c r="J171" s="19" t="s">
        <v>286</v>
      </c>
      <c r="K171" s="19"/>
      <c r="L171" s="19"/>
      <c r="P171" s="19"/>
      <c r="T171" s="19"/>
    </row>
    <row r="172" spans="2:20" s="18" customFormat="1" outlineLevel="2">
      <c r="B172" s="118" t="s">
        <v>19</v>
      </c>
      <c r="C172" s="330"/>
      <c r="D172" s="124" t="s">
        <v>3932</v>
      </c>
      <c r="E172" s="125"/>
      <c r="F172" s="118" t="s">
        <v>2593</v>
      </c>
      <c r="G172" s="126" t="str">
        <f t="shared" si="16"/>
        <v>LS-R22-1</v>
      </c>
      <c r="H172" s="127">
        <v>1</v>
      </c>
      <c r="I172" s="19">
        <v>1</v>
      </c>
      <c r="J172" s="19" t="s">
        <v>286</v>
      </c>
      <c r="K172" s="19"/>
      <c r="L172" s="19"/>
      <c r="P172" s="19"/>
      <c r="T172" s="19"/>
    </row>
    <row r="173" spans="2:20" s="18" customFormat="1" outlineLevel="2">
      <c r="B173" s="118" t="s">
        <v>19</v>
      </c>
      <c r="C173" s="330"/>
      <c r="D173" s="124" t="s">
        <v>18563</v>
      </c>
      <c r="E173" s="125"/>
      <c r="F173" s="118" t="s">
        <v>2593</v>
      </c>
      <c r="G173" s="126" t="str">
        <f t="shared" si="16"/>
        <v>LS-R22-1</v>
      </c>
      <c r="H173" s="127">
        <v>1</v>
      </c>
      <c r="I173" s="19">
        <v>1</v>
      </c>
      <c r="J173" s="19" t="s">
        <v>286</v>
      </c>
      <c r="K173" s="19"/>
      <c r="L173" s="19"/>
      <c r="P173" s="19"/>
      <c r="T173" s="19"/>
    </row>
    <row r="174" spans="2:20" s="18" customFormat="1" outlineLevel="2">
      <c r="B174" s="118" t="s">
        <v>19</v>
      </c>
      <c r="C174" s="330"/>
      <c r="D174" s="124" t="s">
        <v>18564</v>
      </c>
      <c r="E174" s="125"/>
      <c r="F174" s="118" t="s">
        <v>2593</v>
      </c>
      <c r="G174" s="126" t="str">
        <f t="shared" si="16"/>
        <v>LS-R22-1</v>
      </c>
      <c r="H174" s="127">
        <v>1</v>
      </c>
      <c r="I174" s="19">
        <v>1</v>
      </c>
      <c r="J174" s="19" t="s">
        <v>286</v>
      </c>
      <c r="K174" s="19"/>
      <c r="L174" s="19"/>
      <c r="P174" s="19"/>
      <c r="T174" s="19"/>
    </row>
    <row r="175" spans="2:20" s="18" customFormat="1" outlineLevel="2">
      <c r="B175" s="118" t="s">
        <v>19</v>
      </c>
      <c r="C175" s="330"/>
      <c r="D175" s="124" t="s">
        <v>18565</v>
      </c>
      <c r="E175" s="125"/>
      <c r="F175" s="118" t="s">
        <v>2593</v>
      </c>
      <c r="G175" s="126" t="str">
        <f t="shared" si="16"/>
        <v>LS-R22-1</v>
      </c>
      <c r="H175" s="127">
        <v>1</v>
      </c>
      <c r="I175" s="19">
        <v>1</v>
      </c>
      <c r="J175" s="19" t="s">
        <v>286</v>
      </c>
      <c r="K175" s="19"/>
      <c r="L175" s="19"/>
      <c r="P175" s="19"/>
      <c r="T175" s="19"/>
    </row>
    <row r="176" spans="2:20" s="18" customFormat="1" outlineLevel="2">
      <c r="B176" s="118" t="s">
        <v>19</v>
      </c>
      <c r="C176" s="330"/>
      <c r="D176" s="124" t="s">
        <v>18566</v>
      </c>
      <c r="E176" s="125"/>
      <c r="F176" s="118" t="s">
        <v>2593</v>
      </c>
      <c r="G176" s="126" t="str">
        <f t="shared" si="16"/>
        <v>LS-R22-1</v>
      </c>
      <c r="H176" s="127">
        <v>1</v>
      </c>
      <c r="I176" s="19">
        <v>1</v>
      </c>
      <c r="J176" s="19" t="s">
        <v>286</v>
      </c>
      <c r="K176" s="19"/>
      <c r="L176" s="19"/>
      <c r="P176" s="19"/>
      <c r="T176" s="19"/>
    </row>
    <row r="177" spans="2:20" ht="3" customHeight="1" outlineLevel="1">
      <c r="B177" s="118"/>
      <c r="C177" s="135"/>
      <c r="D177" s="326"/>
      <c r="E177" s="125"/>
      <c r="F177" s="118"/>
      <c r="G177" s="132"/>
      <c r="H177" s="127"/>
    </row>
    <row r="178" spans="2:20" s="18" customFormat="1" outlineLevel="1">
      <c r="B178" s="135" t="s">
        <v>18567</v>
      </c>
      <c r="C178" s="135"/>
      <c r="D178" s="326"/>
      <c r="E178" s="46"/>
      <c r="F178" s="46"/>
      <c r="G178" s="46"/>
      <c r="H178" s="40"/>
      <c r="I178" s="329"/>
      <c r="J178" s="329"/>
      <c r="K178" s="329"/>
      <c r="L178" s="19"/>
    </row>
    <row r="179" spans="2:20" s="18" customFormat="1" outlineLevel="2">
      <c r="B179" s="118" t="s">
        <v>19</v>
      </c>
      <c r="C179" s="330"/>
      <c r="D179" s="124" t="s">
        <v>18568</v>
      </c>
      <c r="E179" s="125"/>
      <c r="F179" s="118" t="s">
        <v>3955</v>
      </c>
      <c r="G179" s="126" t="str">
        <f t="shared" ref="G179:G188" si="17">CONCATENATE("LS-",F179,"-",H179)</f>
        <v>LS-L30P-1</v>
      </c>
      <c r="H179" s="127">
        <v>1</v>
      </c>
      <c r="I179" s="19">
        <v>1</v>
      </c>
      <c r="J179" s="19" t="s">
        <v>286</v>
      </c>
      <c r="K179" s="19"/>
      <c r="L179" s="19"/>
      <c r="P179" s="19"/>
      <c r="T179" s="19"/>
    </row>
    <row r="180" spans="2:20" s="18" customFormat="1" outlineLevel="2">
      <c r="B180" s="118" t="s">
        <v>19</v>
      </c>
      <c r="C180" s="330"/>
      <c r="D180" s="124" t="s">
        <v>18569</v>
      </c>
      <c r="E180" s="125"/>
      <c r="F180" s="118" t="s">
        <v>3955</v>
      </c>
      <c r="G180" s="126" t="str">
        <f t="shared" si="17"/>
        <v>LS-L30P-1</v>
      </c>
      <c r="H180" s="127">
        <v>1</v>
      </c>
      <c r="I180" s="19">
        <v>1</v>
      </c>
      <c r="J180" s="19" t="s">
        <v>286</v>
      </c>
      <c r="K180" s="19"/>
      <c r="L180" s="19"/>
      <c r="P180" s="19"/>
      <c r="T180" s="19"/>
    </row>
    <row r="181" spans="2:20" s="18" customFormat="1" outlineLevel="2">
      <c r="B181" s="118" t="s">
        <v>19</v>
      </c>
      <c r="C181" s="330"/>
      <c r="D181" s="124" t="s">
        <v>18570</v>
      </c>
      <c r="E181" s="125"/>
      <c r="F181" s="118" t="s">
        <v>3955</v>
      </c>
      <c r="G181" s="126" t="str">
        <f t="shared" si="17"/>
        <v>LS-L30P-1</v>
      </c>
      <c r="H181" s="127">
        <v>1</v>
      </c>
      <c r="I181" s="19">
        <v>1</v>
      </c>
      <c r="J181" s="19" t="s">
        <v>286</v>
      </c>
      <c r="K181" s="19"/>
      <c r="L181" s="19"/>
      <c r="P181" s="19"/>
      <c r="T181" s="19"/>
    </row>
    <row r="182" spans="2:20" s="18" customFormat="1" outlineLevel="2">
      <c r="B182" s="118" t="s">
        <v>19</v>
      </c>
      <c r="C182" s="330"/>
      <c r="D182" s="124" t="s">
        <v>18571</v>
      </c>
      <c r="E182" s="125"/>
      <c r="F182" s="118" t="s">
        <v>3955</v>
      </c>
      <c r="G182" s="126" t="str">
        <f t="shared" si="17"/>
        <v>LS-L30P-1</v>
      </c>
      <c r="H182" s="127">
        <v>1</v>
      </c>
      <c r="I182" s="19">
        <v>1</v>
      </c>
      <c r="J182" s="19" t="s">
        <v>286</v>
      </c>
      <c r="K182" s="19"/>
      <c r="L182" s="19"/>
      <c r="P182" s="19"/>
      <c r="T182" s="19"/>
    </row>
    <row r="183" spans="2:20" s="18" customFormat="1" outlineLevel="2">
      <c r="B183" s="118" t="s">
        <v>19</v>
      </c>
      <c r="C183" s="330"/>
      <c r="D183" s="124" t="s">
        <v>18572</v>
      </c>
      <c r="E183" s="125"/>
      <c r="F183" s="118" t="s">
        <v>3955</v>
      </c>
      <c r="G183" s="126" t="str">
        <f t="shared" si="17"/>
        <v>LS-L30P-1</v>
      </c>
      <c r="H183" s="127">
        <v>1</v>
      </c>
      <c r="I183" s="19">
        <v>1</v>
      </c>
      <c r="J183" s="19" t="s">
        <v>286</v>
      </c>
      <c r="K183" s="19"/>
      <c r="L183" s="19"/>
      <c r="P183" s="19"/>
      <c r="T183" s="19"/>
    </row>
    <row r="184" spans="2:20" s="18" customFormat="1" outlineLevel="2">
      <c r="B184" s="118" t="s">
        <v>19</v>
      </c>
      <c r="C184" s="330"/>
      <c r="D184" s="124" t="s">
        <v>18573</v>
      </c>
      <c r="E184" s="125"/>
      <c r="F184" s="118" t="s">
        <v>3955</v>
      </c>
      <c r="G184" s="126" t="str">
        <f t="shared" si="17"/>
        <v>LS-L30P-1</v>
      </c>
      <c r="H184" s="127">
        <v>1</v>
      </c>
      <c r="I184" s="19">
        <v>1</v>
      </c>
      <c r="J184" s="19" t="s">
        <v>286</v>
      </c>
      <c r="K184" s="19"/>
      <c r="L184" s="19"/>
      <c r="P184" s="19"/>
      <c r="T184" s="19"/>
    </row>
    <row r="185" spans="2:20" s="18" customFormat="1" outlineLevel="2">
      <c r="B185" s="118" t="s">
        <v>19</v>
      </c>
      <c r="C185" s="330"/>
      <c r="D185" s="124" t="s">
        <v>18574</v>
      </c>
      <c r="E185" s="125"/>
      <c r="F185" s="118" t="s">
        <v>3955</v>
      </c>
      <c r="G185" s="126" t="str">
        <f t="shared" si="17"/>
        <v>LS-L30P-1</v>
      </c>
      <c r="H185" s="127">
        <v>1</v>
      </c>
      <c r="I185" s="19">
        <v>1</v>
      </c>
      <c r="J185" s="19" t="s">
        <v>286</v>
      </c>
      <c r="K185" s="19"/>
      <c r="L185" s="19"/>
      <c r="P185" s="19"/>
      <c r="T185" s="19"/>
    </row>
    <row r="186" spans="2:20" s="18" customFormat="1" outlineLevel="2">
      <c r="B186" s="118" t="s">
        <v>19</v>
      </c>
      <c r="C186" s="330"/>
      <c r="D186" s="124" t="s">
        <v>18575</v>
      </c>
      <c r="E186" s="125"/>
      <c r="F186" s="118" t="s">
        <v>3955</v>
      </c>
      <c r="G186" s="126" t="str">
        <f t="shared" ref="G186:G187" si="18">CONCATENATE("LS-",F186,"-",H186)</f>
        <v>LS-L30P-1</v>
      </c>
      <c r="H186" s="127">
        <v>1</v>
      </c>
      <c r="I186" s="19">
        <v>1</v>
      </c>
      <c r="J186" s="19" t="s">
        <v>286</v>
      </c>
      <c r="K186" s="19"/>
      <c r="L186" s="19"/>
      <c r="P186" s="19"/>
      <c r="T186" s="19"/>
    </row>
    <row r="187" spans="2:20" s="18" customFormat="1" outlineLevel="2">
      <c r="B187" s="118" t="s">
        <v>19</v>
      </c>
      <c r="C187" s="330"/>
      <c r="D187" s="124" t="s">
        <v>18576</v>
      </c>
      <c r="E187" s="125"/>
      <c r="F187" s="118" t="s">
        <v>3955</v>
      </c>
      <c r="G187" s="126" t="str">
        <f t="shared" si="18"/>
        <v>LS-L30P-1</v>
      </c>
      <c r="H187" s="127">
        <v>1</v>
      </c>
      <c r="I187" s="19">
        <v>1</v>
      </c>
      <c r="J187" s="19" t="s">
        <v>286</v>
      </c>
      <c r="K187" s="19"/>
      <c r="L187" s="19"/>
      <c r="P187" s="19"/>
      <c r="T187" s="19"/>
    </row>
    <row r="188" spans="2:20" s="18" customFormat="1" outlineLevel="2">
      <c r="B188" s="118" t="s">
        <v>19</v>
      </c>
      <c r="C188" s="330"/>
      <c r="D188" s="124" t="s">
        <v>18577</v>
      </c>
      <c r="E188" s="125"/>
      <c r="F188" s="118" t="s">
        <v>3955</v>
      </c>
      <c r="G188" s="126" t="str">
        <f t="shared" si="17"/>
        <v>LS-L30P-1</v>
      </c>
      <c r="H188" s="127">
        <v>1</v>
      </c>
      <c r="I188" s="19">
        <v>1</v>
      </c>
      <c r="J188" s="19" t="s">
        <v>286</v>
      </c>
      <c r="K188" s="19"/>
      <c r="L188" s="19"/>
      <c r="P188" s="19"/>
      <c r="T188" s="19"/>
    </row>
    <row r="189" spans="2:20" ht="3" customHeight="1" outlineLevel="1">
      <c r="B189" s="118"/>
      <c r="C189" s="135"/>
      <c r="D189" s="326"/>
      <c r="E189" s="125"/>
      <c r="F189" s="118"/>
      <c r="G189" s="132"/>
      <c r="H189" s="127"/>
      <c r="I189" s="327"/>
      <c r="K189" s="327"/>
    </row>
    <row r="190" spans="2:20" s="18" customFormat="1" outlineLevel="1">
      <c r="B190" s="135" t="s">
        <v>18578</v>
      </c>
      <c r="C190" s="135"/>
      <c r="D190" s="326"/>
      <c r="E190" s="46"/>
      <c r="F190" s="46"/>
      <c r="G190" s="46"/>
      <c r="H190" s="40"/>
      <c r="I190" s="329"/>
      <c r="J190" s="329"/>
      <c r="K190" s="329"/>
      <c r="L190" s="19"/>
    </row>
    <row r="191" spans="2:20" s="18" customFormat="1" outlineLevel="2">
      <c r="B191" s="118" t="s">
        <v>19</v>
      </c>
      <c r="C191" s="330"/>
      <c r="D191" s="124" t="s">
        <v>18579</v>
      </c>
      <c r="E191" s="125"/>
      <c r="F191" s="118" t="s">
        <v>3441</v>
      </c>
      <c r="G191" s="126" t="str">
        <f t="shared" ref="G191:G195" si="19">CONCATENATE("LS-",F191,"-",H191)</f>
        <v>LS-C20P-1</v>
      </c>
      <c r="H191" s="127">
        <v>1</v>
      </c>
      <c r="I191" s="19">
        <v>1</v>
      </c>
      <c r="J191" s="19" t="s">
        <v>286</v>
      </c>
      <c r="K191" s="19"/>
      <c r="L191" s="19"/>
      <c r="P191" s="19"/>
      <c r="R191" s="19"/>
    </row>
    <row r="192" spans="2:20" s="18" customFormat="1" outlineLevel="2">
      <c r="B192" s="118" t="s">
        <v>19</v>
      </c>
      <c r="C192" s="330"/>
      <c r="D192" s="124" t="s">
        <v>18580</v>
      </c>
      <c r="E192" s="125"/>
      <c r="F192" s="118" t="s">
        <v>3441</v>
      </c>
      <c r="G192" s="126" t="str">
        <f t="shared" si="19"/>
        <v>LS-C20P-1</v>
      </c>
      <c r="H192" s="127">
        <v>1</v>
      </c>
      <c r="I192" s="19">
        <v>1</v>
      </c>
      <c r="J192" s="19" t="s">
        <v>286</v>
      </c>
      <c r="K192" s="19"/>
      <c r="L192" s="19"/>
      <c r="P192" s="19"/>
      <c r="R192" s="19"/>
    </row>
    <row r="193" spans="2:20" s="18" customFormat="1" outlineLevel="2">
      <c r="B193" s="118" t="s">
        <v>19</v>
      </c>
      <c r="C193" s="330"/>
      <c r="D193" s="124" t="s">
        <v>18581</v>
      </c>
      <c r="E193" s="125"/>
      <c r="F193" s="118" t="s">
        <v>3441</v>
      </c>
      <c r="G193" s="126" t="str">
        <f t="shared" si="19"/>
        <v>LS-C20P-1</v>
      </c>
      <c r="H193" s="127">
        <v>1</v>
      </c>
      <c r="I193" s="19">
        <v>1</v>
      </c>
      <c r="J193" s="19" t="s">
        <v>286</v>
      </c>
      <c r="K193" s="19"/>
      <c r="L193" s="19"/>
      <c r="P193" s="19"/>
      <c r="R193" s="19"/>
    </row>
    <row r="194" spans="2:20" s="18" customFormat="1" outlineLevel="2">
      <c r="B194" s="118" t="s">
        <v>19</v>
      </c>
      <c r="C194" s="330"/>
      <c r="D194" s="124" t="s">
        <v>18582</v>
      </c>
      <c r="E194" s="125"/>
      <c r="F194" s="118" t="s">
        <v>3441</v>
      </c>
      <c r="G194" s="126" t="str">
        <f t="shared" si="19"/>
        <v>LS-C20P-1</v>
      </c>
      <c r="H194" s="127">
        <v>1</v>
      </c>
      <c r="I194" s="19">
        <v>1</v>
      </c>
      <c r="J194" s="19" t="s">
        <v>286</v>
      </c>
      <c r="K194" s="19"/>
      <c r="L194" s="19"/>
      <c r="P194" s="19"/>
      <c r="R194" s="19"/>
    </row>
    <row r="195" spans="2:20" s="18" customFormat="1" outlineLevel="2">
      <c r="B195" s="118" t="s">
        <v>19</v>
      </c>
      <c r="C195" s="330"/>
      <c r="D195" s="124" t="s">
        <v>18583</v>
      </c>
      <c r="E195" s="125"/>
      <c r="F195" s="118" t="s">
        <v>3441</v>
      </c>
      <c r="G195" s="126" t="str">
        <f t="shared" si="19"/>
        <v>LS-C20P-1</v>
      </c>
      <c r="H195" s="127">
        <v>1</v>
      </c>
      <c r="I195" s="19">
        <v>1</v>
      </c>
      <c r="J195" s="19" t="s">
        <v>286</v>
      </c>
      <c r="K195" s="19"/>
      <c r="L195" s="19"/>
      <c r="P195" s="19"/>
      <c r="R195" s="19"/>
    </row>
    <row r="196" spans="2:20" ht="3" customHeight="1" outlineLevel="1">
      <c r="B196" s="118"/>
      <c r="C196" s="135"/>
      <c r="D196" s="326"/>
      <c r="E196" s="125"/>
      <c r="F196" s="118"/>
      <c r="G196" s="132"/>
      <c r="H196" s="127"/>
      <c r="I196" s="327"/>
      <c r="K196" s="327"/>
    </row>
    <row r="197" spans="2:20" s="18" customFormat="1" outlineLevel="1">
      <c r="B197" s="135" t="s">
        <v>18584</v>
      </c>
      <c r="C197" s="135"/>
      <c r="D197" s="326"/>
      <c r="E197" s="46"/>
      <c r="F197" s="46"/>
      <c r="G197" s="46"/>
      <c r="H197" s="40"/>
      <c r="I197" s="329"/>
      <c r="J197" s="329"/>
      <c r="K197" s="329"/>
      <c r="L197" s="19"/>
    </row>
    <row r="198" spans="2:20" s="18" customFormat="1" outlineLevel="2">
      <c r="B198" s="118" t="s">
        <v>19</v>
      </c>
      <c r="C198" s="330"/>
      <c r="D198" s="124" t="s">
        <v>18585</v>
      </c>
      <c r="E198" s="125"/>
      <c r="F198" s="118" t="s">
        <v>4255</v>
      </c>
      <c r="G198" s="126" t="str">
        <f t="shared" ref="G198:G204" si="20">CONCATENATE("LS-",F198,"-",H198)</f>
        <v>LS-L45P-1</v>
      </c>
      <c r="H198" s="127">
        <v>1</v>
      </c>
      <c r="I198" s="19">
        <v>1</v>
      </c>
      <c r="J198" s="19" t="s">
        <v>286</v>
      </c>
      <c r="K198" s="19"/>
      <c r="L198" s="19"/>
      <c r="P198" s="19"/>
      <c r="T198" s="19"/>
    </row>
    <row r="199" spans="2:20" s="18" customFormat="1" outlineLevel="2">
      <c r="B199" s="118" t="s">
        <v>19</v>
      </c>
      <c r="C199" s="330"/>
      <c r="D199" s="124" t="s">
        <v>18586</v>
      </c>
      <c r="E199" s="125"/>
      <c r="F199" s="118" t="s">
        <v>4255</v>
      </c>
      <c r="G199" s="126" t="str">
        <f t="shared" si="20"/>
        <v>LS-L45P-1</v>
      </c>
      <c r="H199" s="127">
        <v>1</v>
      </c>
      <c r="I199" s="19">
        <v>1</v>
      </c>
      <c r="J199" s="19" t="s">
        <v>286</v>
      </c>
      <c r="K199" s="19"/>
      <c r="L199" s="19"/>
      <c r="P199" s="19"/>
      <c r="T199" s="19"/>
    </row>
    <row r="200" spans="2:20" s="18" customFormat="1" outlineLevel="2">
      <c r="B200" s="118" t="s">
        <v>19</v>
      </c>
      <c r="C200" s="330"/>
      <c r="D200" s="124" t="s">
        <v>18587</v>
      </c>
      <c r="E200" s="125"/>
      <c r="F200" s="118" t="s">
        <v>4255</v>
      </c>
      <c r="G200" s="126" t="str">
        <f t="shared" si="20"/>
        <v>LS-L45P-1</v>
      </c>
      <c r="H200" s="127">
        <v>1</v>
      </c>
      <c r="I200" s="19">
        <v>1</v>
      </c>
      <c r="J200" s="19" t="s">
        <v>286</v>
      </c>
      <c r="K200" s="19"/>
      <c r="L200" s="19"/>
      <c r="P200" s="19"/>
      <c r="T200" s="19"/>
    </row>
    <row r="201" spans="2:20" s="18" customFormat="1" outlineLevel="2">
      <c r="B201" s="118" t="s">
        <v>19</v>
      </c>
      <c r="C201" s="330"/>
      <c r="D201" s="124" t="s">
        <v>18588</v>
      </c>
      <c r="E201" s="125"/>
      <c r="F201" s="118" t="s">
        <v>4255</v>
      </c>
      <c r="G201" s="126" t="str">
        <f t="shared" si="20"/>
        <v>LS-L45P-1</v>
      </c>
      <c r="H201" s="127">
        <v>1</v>
      </c>
      <c r="I201" s="19">
        <v>1</v>
      </c>
      <c r="J201" s="19" t="s">
        <v>286</v>
      </c>
      <c r="K201" s="19"/>
      <c r="L201" s="19"/>
      <c r="P201" s="19"/>
      <c r="T201" s="19"/>
    </row>
    <row r="202" spans="2:20" s="18" customFormat="1" outlineLevel="2">
      <c r="B202" s="118" t="s">
        <v>19</v>
      </c>
      <c r="C202" s="330"/>
      <c r="D202" s="124" t="s">
        <v>18589</v>
      </c>
      <c r="E202" s="125"/>
      <c r="F202" s="118" t="s">
        <v>4255</v>
      </c>
      <c r="G202" s="126" t="str">
        <f t="shared" si="20"/>
        <v>LS-L45P-1</v>
      </c>
      <c r="H202" s="127">
        <v>1</v>
      </c>
      <c r="I202" s="19">
        <v>1</v>
      </c>
      <c r="J202" s="19" t="s">
        <v>286</v>
      </c>
      <c r="K202" s="19"/>
      <c r="L202" s="19"/>
      <c r="P202" s="19"/>
      <c r="T202" s="19"/>
    </row>
    <row r="203" spans="2:20" s="18" customFormat="1" outlineLevel="2">
      <c r="B203" s="118" t="s">
        <v>19</v>
      </c>
      <c r="C203" s="330"/>
      <c r="D203" s="124" t="s">
        <v>18590</v>
      </c>
      <c r="E203" s="125"/>
      <c r="F203" s="118" t="s">
        <v>4255</v>
      </c>
      <c r="G203" s="126" t="str">
        <f t="shared" si="20"/>
        <v>LS-L45P-1</v>
      </c>
      <c r="H203" s="127">
        <v>1</v>
      </c>
      <c r="I203" s="19">
        <v>1</v>
      </c>
      <c r="J203" s="19" t="s">
        <v>286</v>
      </c>
      <c r="K203" s="19"/>
      <c r="L203" s="19"/>
      <c r="P203" s="19"/>
      <c r="T203" s="19"/>
    </row>
    <row r="204" spans="2:20" s="18" customFormat="1" outlineLevel="2">
      <c r="B204" s="118" t="s">
        <v>19</v>
      </c>
      <c r="C204" s="330"/>
      <c r="D204" s="124" t="s">
        <v>18591</v>
      </c>
      <c r="E204" s="125"/>
      <c r="F204" s="118" t="s">
        <v>4255</v>
      </c>
      <c r="G204" s="126" t="str">
        <f t="shared" si="20"/>
        <v>LS-L45P-1</v>
      </c>
      <c r="H204" s="127">
        <v>1</v>
      </c>
      <c r="I204" s="19">
        <v>1</v>
      </c>
      <c r="J204" s="19" t="s">
        <v>286</v>
      </c>
      <c r="K204" s="19"/>
      <c r="L204" s="19"/>
      <c r="P204" s="19"/>
      <c r="T204" s="19"/>
    </row>
    <row r="205" spans="2:20" s="18" customFormat="1" outlineLevel="2">
      <c r="B205" s="118" t="s">
        <v>19</v>
      </c>
      <c r="C205" s="330"/>
      <c r="D205" s="124" t="s">
        <v>18592</v>
      </c>
      <c r="E205" s="125"/>
      <c r="F205" s="118" t="s">
        <v>4255</v>
      </c>
      <c r="G205" s="126" t="str">
        <f>CONCATENATE("LS-",F205,"-",H205)</f>
        <v>LS-L45P-1</v>
      </c>
      <c r="H205" s="127">
        <v>1</v>
      </c>
      <c r="I205" s="19">
        <v>1</v>
      </c>
      <c r="J205" s="19" t="s">
        <v>286</v>
      </c>
      <c r="K205" s="19"/>
      <c r="L205" s="19"/>
      <c r="P205" s="19"/>
      <c r="T205" s="19"/>
    </row>
    <row r="206" spans="2:20" s="18" customFormat="1" outlineLevel="2">
      <c r="B206" s="118" t="s">
        <v>19</v>
      </c>
      <c r="C206" s="330"/>
      <c r="D206" s="124" t="s">
        <v>18593</v>
      </c>
      <c r="E206" s="125"/>
      <c r="F206" s="118" t="s">
        <v>4255</v>
      </c>
      <c r="G206" s="126" t="str">
        <f t="shared" ref="G206:G212" si="21">CONCATENATE("LS-",F206,"-",H206)</f>
        <v>LS-L45P-1</v>
      </c>
      <c r="H206" s="127">
        <v>1</v>
      </c>
      <c r="I206" s="19">
        <v>1</v>
      </c>
      <c r="J206" s="19" t="s">
        <v>286</v>
      </c>
      <c r="K206" s="19"/>
      <c r="L206" s="19"/>
      <c r="P206" s="19"/>
      <c r="T206" s="19"/>
    </row>
    <row r="207" spans="2:20" s="18" customFormat="1" outlineLevel="2">
      <c r="B207" s="118" t="s">
        <v>19</v>
      </c>
      <c r="C207" s="330"/>
      <c r="D207" s="124" t="s">
        <v>18594</v>
      </c>
      <c r="E207" s="125"/>
      <c r="F207" s="118" t="s">
        <v>4255</v>
      </c>
      <c r="G207" s="126" t="str">
        <f t="shared" si="21"/>
        <v>LS-L45P-1</v>
      </c>
      <c r="H207" s="127">
        <v>1</v>
      </c>
      <c r="I207" s="19">
        <v>1</v>
      </c>
      <c r="J207" s="19" t="s">
        <v>286</v>
      </c>
      <c r="K207" s="19"/>
      <c r="L207" s="19"/>
      <c r="P207" s="19"/>
      <c r="T207" s="19"/>
    </row>
    <row r="208" spans="2:20" s="18" customFormat="1" outlineLevel="2">
      <c r="B208" s="118" t="s">
        <v>19</v>
      </c>
      <c r="C208" s="330"/>
      <c r="D208" s="124" t="s">
        <v>18595</v>
      </c>
      <c r="E208" s="125"/>
      <c r="F208" s="118" t="s">
        <v>4255</v>
      </c>
      <c r="G208" s="126" t="str">
        <f t="shared" si="21"/>
        <v>LS-L45P-1</v>
      </c>
      <c r="H208" s="127">
        <v>1</v>
      </c>
      <c r="I208" s="19">
        <v>1</v>
      </c>
      <c r="J208" s="19" t="s">
        <v>286</v>
      </c>
      <c r="K208" s="19"/>
      <c r="L208" s="19"/>
      <c r="P208" s="19"/>
      <c r="T208" s="19"/>
    </row>
    <row r="209" spans="1:20" s="18" customFormat="1" outlineLevel="2">
      <c r="B209" s="118" t="s">
        <v>19</v>
      </c>
      <c r="C209" s="330"/>
      <c r="D209" s="124" t="s">
        <v>18596</v>
      </c>
      <c r="E209" s="125"/>
      <c r="F209" s="118" t="s">
        <v>4255</v>
      </c>
      <c r="G209" s="126" t="str">
        <f t="shared" si="21"/>
        <v>LS-L45P-1</v>
      </c>
      <c r="H209" s="127">
        <v>1</v>
      </c>
      <c r="I209" s="19">
        <v>1</v>
      </c>
      <c r="J209" s="19" t="s">
        <v>286</v>
      </c>
      <c r="K209" s="19"/>
      <c r="L209" s="19"/>
      <c r="P209" s="19"/>
      <c r="T209" s="19"/>
    </row>
    <row r="210" spans="1:20" s="18" customFormat="1" outlineLevel="2">
      <c r="B210" s="118" t="s">
        <v>19</v>
      </c>
      <c r="C210" s="330"/>
      <c r="D210" s="124" t="s">
        <v>18597</v>
      </c>
      <c r="E210" s="125"/>
      <c r="F210" s="118" t="s">
        <v>4255</v>
      </c>
      <c r="G210" s="126" t="str">
        <f t="shared" si="21"/>
        <v>LS-L45P-1</v>
      </c>
      <c r="H210" s="127">
        <v>1</v>
      </c>
      <c r="I210" s="19">
        <v>1</v>
      </c>
      <c r="J210" s="19" t="s">
        <v>286</v>
      </c>
      <c r="K210" s="19"/>
      <c r="L210" s="19"/>
      <c r="P210" s="19"/>
      <c r="T210" s="19"/>
    </row>
    <row r="211" spans="1:20" s="18" customFormat="1" outlineLevel="2">
      <c r="B211" s="118" t="s">
        <v>19</v>
      </c>
      <c r="C211" s="330"/>
      <c r="D211" s="124" t="s">
        <v>18598</v>
      </c>
      <c r="E211" s="125"/>
      <c r="F211" s="118" t="s">
        <v>4255</v>
      </c>
      <c r="G211" s="126" t="str">
        <f t="shared" si="21"/>
        <v>LS-L45P-1</v>
      </c>
      <c r="H211" s="127">
        <v>1</v>
      </c>
      <c r="I211" s="19">
        <v>1</v>
      </c>
      <c r="J211" s="19" t="s">
        <v>286</v>
      </c>
      <c r="K211" s="19"/>
      <c r="L211" s="19"/>
      <c r="P211" s="19"/>
      <c r="T211" s="19"/>
    </row>
    <row r="212" spans="1:20" s="18" customFormat="1" outlineLevel="2">
      <c r="B212" s="118" t="s">
        <v>19</v>
      </c>
      <c r="C212" s="330"/>
      <c r="D212" s="124" t="s">
        <v>18599</v>
      </c>
      <c r="E212" s="125"/>
      <c r="F212" s="118" t="s">
        <v>4255</v>
      </c>
      <c r="G212" s="126" t="str">
        <f t="shared" si="21"/>
        <v>LS-L45P-1</v>
      </c>
      <c r="H212" s="127">
        <v>1</v>
      </c>
      <c r="I212" s="19">
        <v>1</v>
      </c>
      <c r="J212" s="19" t="s">
        <v>286</v>
      </c>
      <c r="K212" s="19"/>
      <c r="L212" s="19"/>
      <c r="P212" s="19"/>
      <c r="T212" s="19"/>
    </row>
    <row r="213" spans="1:20" s="18" customFormat="1" outlineLevel="2">
      <c r="B213" s="118" t="s">
        <v>19</v>
      </c>
      <c r="C213" s="330"/>
      <c r="D213" s="124" t="s">
        <v>18600</v>
      </c>
      <c r="E213" s="125"/>
      <c r="F213" s="118" t="s">
        <v>4255</v>
      </c>
      <c r="G213" s="126" t="str">
        <f>CONCATENATE("LS-",F213,"-",H213)</f>
        <v>LS-L45P-1</v>
      </c>
      <c r="H213" s="127">
        <v>1</v>
      </c>
      <c r="I213" s="19">
        <v>1</v>
      </c>
      <c r="J213" s="19" t="s">
        <v>286</v>
      </c>
      <c r="K213" s="19"/>
      <c r="L213" s="19"/>
      <c r="P213" s="19"/>
      <c r="T213" s="19"/>
    </row>
    <row r="214" spans="1:20" s="18" customFormat="1" outlineLevel="2">
      <c r="B214" s="118" t="s">
        <v>19</v>
      </c>
      <c r="C214" s="330"/>
      <c r="D214" s="124" t="s">
        <v>18601</v>
      </c>
      <c r="E214" s="125"/>
      <c r="F214" s="118" t="s">
        <v>4255</v>
      </c>
      <c r="G214" s="126" t="str">
        <f t="shared" ref="G214:G220" si="22">CONCATENATE("LS-",F214,"-",H214)</f>
        <v>LS-L45P-1</v>
      </c>
      <c r="H214" s="127">
        <v>1</v>
      </c>
      <c r="I214" s="19">
        <v>1</v>
      </c>
      <c r="J214" s="19" t="s">
        <v>286</v>
      </c>
      <c r="K214" s="19"/>
      <c r="L214" s="19"/>
      <c r="P214" s="19"/>
      <c r="T214" s="19"/>
    </row>
    <row r="215" spans="1:20" s="18" customFormat="1" outlineLevel="2">
      <c r="B215" s="118" t="s">
        <v>19</v>
      </c>
      <c r="C215" s="330"/>
      <c r="D215" s="124" t="s">
        <v>18602</v>
      </c>
      <c r="E215" s="125"/>
      <c r="F215" s="118" t="s">
        <v>4255</v>
      </c>
      <c r="G215" s="126" t="str">
        <f t="shared" si="22"/>
        <v>LS-L45P-1</v>
      </c>
      <c r="H215" s="127">
        <v>1</v>
      </c>
      <c r="I215" s="19">
        <v>1</v>
      </c>
      <c r="J215" s="19" t="s">
        <v>286</v>
      </c>
      <c r="K215" s="19"/>
      <c r="L215" s="19"/>
      <c r="P215" s="19"/>
      <c r="T215" s="19"/>
    </row>
    <row r="216" spans="1:20" s="18" customFormat="1" outlineLevel="2">
      <c r="B216" s="118" t="s">
        <v>19</v>
      </c>
      <c r="C216" s="330"/>
      <c r="D216" s="124" t="s">
        <v>18603</v>
      </c>
      <c r="E216" s="125"/>
      <c r="F216" s="118" t="s">
        <v>4255</v>
      </c>
      <c r="G216" s="126" t="str">
        <f t="shared" si="22"/>
        <v>LS-L45P-1</v>
      </c>
      <c r="H216" s="127">
        <v>1</v>
      </c>
      <c r="I216" s="19">
        <v>1</v>
      </c>
      <c r="J216" s="19" t="s">
        <v>286</v>
      </c>
      <c r="K216" s="19"/>
      <c r="L216" s="19"/>
      <c r="P216" s="19"/>
      <c r="T216" s="19"/>
    </row>
    <row r="217" spans="1:20" s="18" customFormat="1" outlineLevel="2">
      <c r="B217" s="118" t="s">
        <v>19</v>
      </c>
      <c r="C217" s="330"/>
      <c r="D217" s="124" t="s">
        <v>18604</v>
      </c>
      <c r="E217" s="125"/>
      <c r="F217" s="118" t="s">
        <v>4255</v>
      </c>
      <c r="G217" s="126" t="str">
        <f t="shared" si="22"/>
        <v>LS-L45P-1</v>
      </c>
      <c r="H217" s="127">
        <v>1</v>
      </c>
      <c r="I217" s="19">
        <v>1</v>
      </c>
      <c r="J217" s="19" t="s">
        <v>286</v>
      </c>
      <c r="K217" s="19"/>
      <c r="L217" s="19"/>
      <c r="P217" s="19"/>
      <c r="T217" s="19"/>
    </row>
    <row r="218" spans="1:20" s="18" customFormat="1" outlineLevel="2">
      <c r="B218" s="118" t="s">
        <v>19</v>
      </c>
      <c r="C218" s="330"/>
      <c r="D218" s="124" t="s">
        <v>18605</v>
      </c>
      <c r="E218" s="125"/>
      <c r="F218" s="118" t="s">
        <v>4255</v>
      </c>
      <c r="G218" s="126" t="str">
        <f t="shared" si="22"/>
        <v>LS-L45P-1</v>
      </c>
      <c r="H218" s="127">
        <v>1</v>
      </c>
      <c r="I218" s="19">
        <v>1</v>
      </c>
      <c r="J218" s="19" t="s">
        <v>286</v>
      </c>
      <c r="K218" s="19"/>
      <c r="L218" s="19"/>
      <c r="P218" s="19"/>
      <c r="T218" s="19"/>
    </row>
    <row r="219" spans="1:20" s="18" customFormat="1" outlineLevel="2">
      <c r="B219" s="118" t="s">
        <v>19</v>
      </c>
      <c r="C219" s="330"/>
      <c r="D219" s="124" t="s">
        <v>18606</v>
      </c>
      <c r="E219" s="125"/>
      <c r="F219" s="118" t="s">
        <v>4255</v>
      </c>
      <c r="G219" s="126" t="str">
        <f t="shared" si="22"/>
        <v>LS-L45P-1</v>
      </c>
      <c r="H219" s="127">
        <v>1</v>
      </c>
      <c r="I219" s="19">
        <v>1</v>
      </c>
      <c r="J219" s="19" t="s">
        <v>286</v>
      </c>
      <c r="K219" s="19"/>
      <c r="L219" s="19"/>
      <c r="P219" s="19"/>
      <c r="T219" s="19"/>
    </row>
    <row r="220" spans="1:20" s="18" customFormat="1" outlineLevel="2">
      <c r="B220" s="118" t="s">
        <v>19</v>
      </c>
      <c r="C220" s="330"/>
      <c r="D220" s="124" t="s">
        <v>18607</v>
      </c>
      <c r="E220" s="125"/>
      <c r="F220" s="118" t="s">
        <v>4255</v>
      </c>
      <c r="G220" s="126" t="str">
        <f t="shared" si="22"/>
        <v>LS-L45P-1</v>
      </c>
      <c r="H220" s="127">
        <v>1</v>
      </c>
      <c r="I220" s="19">
        <v>1</v>
      </c>
      <c r="J220" s="19" t="s">
        <v>286</v>
      </c>
      <c r="K220" s="19"/>
      <c r="L220" s="19"/>
      <c r="P220" s="19"/>
      <c r="T220" s="19"/>
    </row>
    <row r="221" spans="1:20" s="18" customFormat="1" outlineLevel="2">
      <c r="B221" s="118" t="s">
        <v>19</v>
      </c>
      <c r="C221" s="330"/>
      <c r="D221" s="124" t="s">
        <v>18608</v>
      </c>
      <c r="E221" s="125"/>
      <c r="F221" s="118" t="s">
        <v>4255</v>
      </c>
      <c r="G221" s="126" t="str">
        <f t="shared" ref="G221" si="23">CONCATENATE("LS-",F221,"-",H221)</f>
        <v>LS-L45P-1</v>
      </c>
      <c r="H221" s="127">
        <v>1</v>
      </c>
      <c r="I221" s="19">
        <v>1</v>
      </c>
      <c r="J221" s="19" t="s">
        <v>286</v>
      </c>
      <c r="K221" s="19"/>
      <c r="L221" s="19"/>
      <c r="P221" s="19"/>
      <c r="T221" s="19"/>
    </row>
    <row r="222" spans="1:20" s="18" customFormat="1" outlineLevel="2">
      <c r="B222" s="118" t="s">
        <v>19</v>
      </c>
      <c r="C222" s="330"/>
      <c r="D222" s="124" t="s">
        <v>18609</v>
      </c>
      <c r="E222" s="125"/>
      <c r="F222" s="118" t="s">
        <v>4255</v>
      </c>
      <c r="G222" s="126" t="str">
        <f>CONCATENATE("LS-",F222,"-",H222)</f>
        <v>LS-L45P-1</v>
      </c>
      <c r="H222" s="127">
        <v>1</v>
      </c>
      <c r="I222" s="19">
        <v>1</v>
      </c>
      <c r="J222" s="19" t="s">
        <v>286</v>
      </c>
      <c r="K222" s="19"/>
      <c r="L222" s="19"/>
      <c r="P222" s="19"/>
      <c r="T222" s="19"/>
    </row>
    <row r="223" spans="1:20" s="18" customFormat="1" ht="3" customHeight="1">
      <c r="A223" s="292"/>
      <c r="B223" s="118"/>
      <c r="C223" s="135"/>
      <c r="D223" s="326"/>
      <c r="E223" s="125"/>
      <c r="F223" s="17"/>
      <c r="G223" s="132"/>
      <c r="H223" s="127"/>
      <c r="I223" s="19"/>
      <c r="J223" s="19"/>
      <c r="L223" s="19"/>
    </row>
    <row r="224" spans="1:20" s="18" customFormat="1" ht="15">
      <c r="A224" s="328" t="s">
        <v>27</v>
      </c>
      <c r="B224" s="118"/>
      <c r="C224" s="135"/>
      <c r="D224" s="326"/>
      <c r="E224" s="46"/>
      <c r="F224" s="41"/>
      <c r="G224" s="41"/>
      <c r="H224" s="42"/>
      <c r="I224" s="329"/>
      <c r="J224" s="329"/>
      <c r="K224" s="62"/>
      <c r="L224" s="19"/>
      <c r="M224" s="19"/>
      <c r="N224" s="19"/>
      <c r="O224" s="19"/>
    </row>
    <row r="225" spans="2:17" s="18" customFormat="1" outlineLevel="1">
      <c r="B225" s="118" t="s">
        <v>19</v>
      </c>
      <c r="C225" s="330" t="s">
        <v>18610</v>
      </c>
      <c r="D225" s="124" t="s">
        <v>18611</v>
      </c>
      <c r="E225" s="125"/>
      <c r="F225" s="118" t="s">
        <v>4396</v>
      </c>
      <c r="G225" s="126" t="str">
        <f t="shared" ref="G225:G280" si="24">CONCATENATE("LS-",F225,"-",H225)</f>
        <v>LS-SDV-1</v>
      </c>
      <c r="H225" s="127" t="s">
        <v>304</v>
      </c>
      <c r="I225" s="19">
        <v>1</v>
      </c>
      <c r="J225" s="19" t="s">
        <v>286</v>
      </c>
      <c r="K225" s="19"/>
      <c r="L225" s="19"/>
      <c r="M225" s="19"/>
      <c r="N225" s="19"/>
      <c r="O225" s="19"/>
    </row>
    <row r="226" spans="2:17" s="18" customFormat="1" outlineLevel="1">
      <c r="B226" s="118" t="s">
        <v>19</v>
      </c>
      <c r="C226" s="330" t="s">
        <v>18612</v>
      </c>
      <c r="D226" s="124" t="s">
        <v>18613</v>
      </c>
      <c r="E226" s="125"/>
      <c r="F226" s="118" t="s">
        <v>4396</v>
      </c>
      <c r="G226" s="126" t="str">
        <f t="shared" si="24"/>
        <v>LS-SDV-1</v>
      </c>
      <c r="H226" s="127" t="s">
        <v>304</v>
      </c>
      <c r="I226" s="19">
        <v>1</v>
      </c>
      <c r="J226" s="19" t="s">
        <v>286</v>
      </c>
      <c r="K226" s="19"/>
      <c r="L226" s="19"/>
      <c r="M226" s="19"/>
      <c r="N226" s="19"/>
      <c r="O226" s="19"/>
      <c r="P226" s="329"/>
      <c r="Q226" s="329"/>
    </row>
    <row r="227" spans="2:17" s="18" customFormat="1" outlineLevel="1">
      <c r="B227" s="118" t="s">
        <v>19</v>
      </c>
      <c r="C227" s="330" t="s">
        <v>18614</v>
      </c>
      <c r="D227" s="124" t="s">
        <v>18615</v>
      </c>
      <c r="E227" s="125"/>
      <c r="F227" s="118" t="s">
        <v>4396</v>
      </c>
      <c r="G227" s="126" t="str">
        <f t="shared" si="24"/>
        <v>LS-SDV-1</v>
      </c>
      <c r="H227" s="127" t="s">
        <v>304</v>
      </c>
      <c r="I227" s="19">
        <v>1</v>
      </c>
      <c r="J227" s="19" t="s">
        <v>286</v>
      </c>
      <c r="K227" s="19"/>
      <c r="L227" s="19"/>
      <c r="M227" s="19"/>
      <c r="N227" s="19"/>
      <c r="O227" s="19"/>
      <c r="P227" s="329"/>
      <c r="Q227" s="329"/>
    </row>
    <row r="228" spans="2:17" s="18" customFormat="1" outlineLevel="1">
      <c r="B228" s="118" t="s">
        <v>19</v>
      </c>
      <c r="C228" s="330" t="s">
        <v>18616</v>
      </c>
      <c r="D228" s="124" t="s">
        <v>18617</v>
      </c>
      <c r="E228" s="125"/>
      <c r="F228" s="118" t="s">
        <v>4396</v>
      </c>
      <c r="G228" s="126" t="str">
        <f t="shared" si="24"/>
        <v>LS-SDV-1</v>
      </c>
      <c r="H228" s="127" t="s">
        <v>304</v>
      </c>
      <c r="I228" s="19">
        <v>1</v>
      </c>
      <c r="J228" s="19" t="s">
        <v>286</v>
      </c>
      <c r="K228" s="19"/>
      <c r="L228" s="19"/>
      <c r="M228" s="19"/>
      <c r="N228" s="19"/>
      <c r="O228" s="19"/>
      <c r="P228" s="329"/>
      <c r="Q228" s="329"/>
    </row>
    <row r="229" spans="2:17" s="18" customFormat="1" outlineLevel="1">
      <c r="B229" s="118" t="s">
        <v>19</v>
      </c>
      <c r="C229" s="330" t="s">
        <v>18618</v>
      </c>
      <c r="D229" s="124" t="s">
        <v>18619</v>
      </c>
      <c r="E229" s="125"/>
      <c r="F229" s="118" t="s">
        <v>4396</v>
      </c>
      <c r="G229" s="126" t="str">
        <f t="shared" si="24"/>
        <v>LS-SDV-1</v>
      </c>
      <c r="H229" s="127" t="s">
        <v>304</v>
      </c>
      <c r="I229" s="19">
        <v>1</v>
      </c>
      <c r="J229" s="19" t="s">
        <v>286</v>
      </c>
      <c r="K229" s="19"/>
      <c r="L229" s="19"/>
      <c r="M229" s="19"/>
      <c r="N229" s="19"/>
      <c r="O229" s="19"/>
      <c r="P229" s="329"/>
      <c r="Q229" s="329"/>
    </row>
    <row r="230" spans="2:17" s="18" customFormat="1" outlineLevel="1">
      <c r="B230" s="118" t="s">
        <v>19</v>
      </c>
      <c r="C230" s="330" t="s">
        <v>18620</v>
      </c>
      <c r="D230" s="124" t="s">
        <v>18621</v>
      </c>
      <c r="E230" s="125"/>
      <c r="F230" s="118" t="s">
        <v>4396</v>
      </c>
      <c r="G230" s="126" t="str">
        <f t="shared" si="24"/>
        <v>LS-SDV-1</v>
      </c>
      <c r="H230" s="127" t="s">
        <v>304</v>
      </c>
      <c r="I230" s="19">
        <v>1</v>
      </c>
      <c r="J230" s="19" t="s">
        <v>286</v>
      </c>
      <c r="K230" s="19"/>
      <c r="L230" s="19"/>
      <c r="M230" s="19"/>
      <c r="N230" s="19"/>
      <c r="O230" s="19"/>
      <c r="P230" s="329"/>
      <c r="Q230" s="329"/>
    </row>
    <row r="231" spans="2:17" s="18" customFormat="1" outlineLevel="1">
      <c r="B231" s="118" t="s">
        <v>19</v>
      </c>
      <c r="C231" s="330" t="s">
        <v>18622</v>
      </c>
      <c r="D231" s="124" t="s">
        <v>18623</v>
      </c>
      <c r="E231" s="125"/>
      <c r="F231" s="118" t="s">
        <v>4396</v>
      </c>
      <c r="G231" s="126" t="str">
        <f t="shared" si="24"/>
        <v>LS-SDV-1</v>
      </c>
      <c r="H231" s="127" t="s">
        <v>304</v>
      </c>
      <c r="I231" s="19">
        <v>1</v>
      </c>
      <c r="J231" s="19" t="s">
        <v>286</v>
      </c>
      <c r="K231" s="19"/>
      <c r="L231" s="19"/>
      <c r="M231" s="19"/>
      <c r="N231" s="19"/>
      <c r="O231" s="19"/>
      <c r="P231" s="329"/>
      <c r="Q231" s="329"/>
    </row>
    <row r="232" spans="2:17" s="18" customFormat="1" outlineLevel="1">
      <c r="B232" s="118" t="s">
        <v>19</v>
      </c>
      <c r="C232" s="330" t="s">
        <v>18624</v>
      </c>
      <c r="D232" s="124" t="s">
        <v>18625</v>
      </c>
      <c r="E232" s="125"/>
      <c r="F232" s="118" t="s">
        <v>4396</v>
      </c>
      <c r="G232" s="126" t="str">
        <f t="shared" si="24"/>
        <v>LS-SDV-1</v>
      </c>
      <c r="H232" s="127" t="s">
        <v>304</v>
      </c>
      <c r="I232" s="19">
        <v>1</v>
      </c>
      <c r="J232" s="19" t="s">
        <v>286</v>
      </c>
      <c r="K232" s="19"/>
      <c r="L232" s="19"/>
      <c r="M232" s="19"/>
      <c r="N232" s="19"/>
      <c r="O232" s="19"/>
      <c r="P232" s="329"/>
      <c r="Q232" s="329"/>
    </row>
    <row r="233" spans="2:17" s="18" customFormat="1" outlineLevel="1">
      <c r="B233" s="118" t="s">
        <v>19</v>
      </c>
      <c r="C233" s="330" t="s">
        <v>18626</v>
      </c>
      <c r="D233" s="124" t="s">
        <v>18627</v>
      </c>
      <c r="E233" s="125"/>
      <c r="F233" s="118" t="s">
        <v>4396</v>
      </c>
      <c r="G233" s="126" t="str">
        <f t="shared" si="24"/>
        <v>LS-SDV-1</v>
      </c>
      <c r="H233" s="127" t="s">
        <v>304</v>
      </c>
      <c r="I233" s="19">
        <v>1</v>
      </c>
      <c r="J233" s="19" t="s">
        <v>286</v>
      </c>
      <c r="K233" s="19"/>
      <c r="L233" s="19"/>
      <c r="M233" s="19"/>
      <c r="N233" s="19"/>
      <c r="O233" s="19"/>
    </row>
    <row r="234" spans="2:17" s="18" customFormat="1" outlineLevel="1">
      <c r="B234" s="118" t="s">
        <v>19</v>
      </c>
      <c r="C234" s="330" t="s">
        <v>18628</v>
      </c>
      <c r="D234" s="124" t="s">
        <v>18629</v>
      </c>
      <c r="E234" s="125"/>
      <c r="F234" s="118" t="s">
        <v>4396</v>
      </c>
      <c r="G234" s="126" t="str">
        <f t="shared" si="24"/>
        <v>LS-SDV-1</v>
      </c>
      <c r="H234" s="127" t="s">
        <v>304</v>
      </c>
      <c r="I234" s="19">
        <v>1</v>
      </c>
      <c r="J234" s="19" t="s">
        <v>286</v>
      </c>
      <c r="K234" s="19"/>
      <c r="L234" s="19"/>
      <c r="M234" s="19"/>
      <c r="N234" s="19"/>
      <c r="O234" s="19"/>
      <c r="P234" s="329"/>
      <c r="Q234" s="329"/>
    </row>
    <row r="235" spans="2:17" s="18" customFormat="1" outlineLevel="1">
      <c r="B235" s="118" t="s">
        <v>19</v>
      </c>
      <c r="C235" s="330" t="s">
        <v>18630</v>
      </c>
      <c r="D235" s="124" t="s">
        <v>18631</v>
      </c>
      <c r="E235" s="125"/>
      <c r="F235" s="118" t="s">
        <v>4396</v>
      </c>
      <c r="G235" s="126" t="str">
        <f t="shared" si="24"/>
        <v>LS-SDV-1</v>
      </c>
      <c r="H235" s="127" t="s">
        <v>304</v>
      </c>
      <c r="I235" s="19">
        <v>1</v>
      </c>
      <c r="J235" s="19" t="s">
        <v>286</v>
      </c>
      <c r="K235" s="19"/>
      <c r="L235" s="19"/>
      <c r="M235" s="19"/>
      <c r="N235" s="19"/>
      <c r="O235" s="19"/>
      <c r="P235" s="329"/>
      <c r="Q235" s="329"/>
    </row>
    <row r="236" spans="2:17" s="18" customFormat="1" outlineLevel="1">
      <c r="B236" s="118" t="s">
        <v>19</v>
      </c>
      <c r="C236" s="330" t="s">
        <v>18632</v>
      </c>
      <c r="D236" s="124" t="s">
        <v>18633</v>
      </c>
      <c r="E236" s="125"/>
      <c r="F236" s="118" t="s">
        <v>4396</v>
      </c>
      <c r="G236" s="126" t="str">
        <f t="shared" si="24"/>
        <v>LS-SDV-1</v>
      </c>
      <c r="H236" s="127" t="s">
        <v>304</v>
      </c>
      <c r="I236" s="19">
        <v>1</v>
      </c>
      <c r="J236" s="19" t="s">
        <v>286</v>
      </c>
      <c r="K236" s="19"/>
      <c r="L236" s="19"/>
      <c r="M236" s="19"/>
      <c r="N236" s="19"/>
      <c r="O236" s="19"/>
      <c r="P236" s="329"/>
      <c r="Q236" s="329"/>
    </row>
    <row r="237" spans="2:17" s="18" customFormat="1" outlineLevel="1">
      <c r="B237" s="118" t="s">
        <v>19</v>
      </c>
      <c r="C237" s="330" t="s">
        <v>18634</v>
      </c>
      <c r="D237" s="124" t="s">
        <v>18635</v>
      </c>
      <c r="E237" s="125"/>
      <c r="F237" s="118" t="s">
        <v>4396</v>
      </c>
      <c r="G237" s="126" t="str">
        <f t="shared" si="24"/>
        <v>LS-SDV-1</v>
      </c>
      <c r="H237" s="127" t="s">
        <v>304</v>
      </c>
      <c r="I237" s="19">
        <v>1</v>
      </c>
      <c r="J237" s="19" t="s">
        <v>310</v>
      </c>
      <c r="K237" s="19"/>
      <c r="L237" s="19"/>
      <c r="M237" s="19"/>
      <c r="N237" s="19"/>
      <c r="O237" s="19"/>
      <c r="P237" s="329"/>
      <c r="Q237" s="329"/>
    </row>
    <row r="238" spans="2:17" s="18" customFormat="1" outlineLevel="1">
      <c r="B238" s="118" t="s">
        <v>19</v>
      </c>
      <c r="C238" s="330" t="s">
        <v>18636</v>
      </c>
      <c r="D238" s="124" t="s">
        <v>18637</v>
      </c>
      <c r="E238" s="125"/>
      <c r="F238" s="118" t="s">
        <v>4396</v>
      </c>
      <c r="G238" s="126" t="str">
        <f t="shared" si="24"/>
        <v>LS-SDV-1</v>
      </c>
      <c r="H238" s="127" t="s">
        <v>304</v>
      </c>
      <c r="I238" s="19">
        <v>1</v>
      </c>
      <c r="J238" s="19" t="s">
        <v>286</v>
      </c>
      <c r="K238" s="19"/>
      <c r="L238" s="19"/>
      <c r="M238" s="19"/>
      <c r="N238" s="19"/>
      <c r="O238" s="19"/>
    </row>
    <row r="239" spans="2:17" s="18" customFormat="1" outlineLevel="1">
      <c r="B239" s="118" t="s">
        <v>19</v>
      </c>
      <c r="C239" s="330" t="s">
        <v>18638</v>
      </c>
      <c r="D239" s="124" t="s">
        <v>18639</v>
      </c>
      <c r="E239" s="125"/>
      <c r="F239" s="118" t="s">
        <v>4396</v>
      </c>
      <c r="G239" s="126" t="str">
        <f t="shared" si="24"/>
        <v>LS-SDV-1</v>
      </c>
      <c r="H239" s="127" t="s">
        <v>304</v>
      </c>
      <c r="I239" s="19">
        <v>1</v>
      </c>
      <c r="J239" s="19" t="s">
        <v>286</v>
      </c>
      <c r="K239" s="19"/>
      <c r="L239" s="19"/>
      <c r="M239" s="19"/>
      <c r="N239" s="19"/>
      <c r="O239" s="19"/>
      <c r="P239" s="329"/>
      <c r="Q239" s="329"/>
    </row>
    <row r="240" spans="2:17" s="18" customFormat="1" outlineLevel="1">
      <c r="B240" s="118" t="s">
        <v>19</v>
      </c>
      <c r="C240" s="330" t="s">
        <v>18640</v>
      </c>
      <c r="D240" s="124" t="s">
        <v>18641</v>
      </c>
      <c r="E240" s="125"/>
      <c r="F240" s="118" t="s">
        <v>4396</v>
      </c>
      <c r="G240" s="126" t="str">
        <f t="shared" si="24"/>
        <v>LS-SDV-1</v>
      </c>
      <c r="H240" s="127" t="s">
        <v>304</v>
      </c>
      <c r="I240" s="19">
        <v>1</v>
      </c>
      <c r="J240" s="19" t="s">
        <v>286</v>
      </c>
      <c r="K240" s="19"/>
      <c r="L240" s="19"/>
      <c r="M240" s="19"/>
      <c r="N240" s="19"/>
      <c r="O240" s="19"/>
      <c r="P240" s="329"/>
      <c r="Q240" s="329"/>
    </row>
    <row r="241" spans="2:17" s="18" customFormat="1" outlineLevel="1">
      <c r="B241" s="118" t="s">
        <v>19</v>
      </c>
      <c r="C241" s="330" t="s">
        <v>18642</v>
      </c>
      <c r="D241" s="124" t="s">
        <v>18643</v>
      </c>
      <c r="E241" s="125"/>
      <c r="F241" s="118" t="s">
        <v>4396</v>
      </c>
      <c r="G241" s="126" t="str">
        <f t="shared" si="24"/>
        <v>LS-SDV-1</v>
      </c>
      <c r="H241" s="127" t="s">
        <v>304</v>
      </c>
      <c r="I241" s="19">
        <v>1</v>
      </c>
      <c r="J241" s="19" t="s">
        <v>310</v>
      </c>
      <c r="K241" s="19"/>
      <c r="L241" s="19"/>
      <c r="M241" s="19"/>
      <c r="N241" s="19"/>
      <c r="O241" s="19"/>
      <c r="P241" s="329"/>
      <c r="Q241" s="329"/>
    </row>
    <row r="242" spans="2:17" s="18" customFormat="1" outlineLevel="1">
      <c r="B242" s="118" t="s">
        <v>19</v>
      </c>
      <c r="C242" s="330" t="s">
        <v>18644</v>
      </c>
      <c r="D242" s="124" t="s">
        <v>18645</v>
      </c>
      <c r="E242" s="125"/>
      <c r="F242" s="118" t="s">
        <v>4396</v>
      </c>
      <c r="G242" s="126" t="str">
        <f t="shared" si="24"/>
        <v>LS-SDV-1</v>
      </c>
      <c r="H242" s="127" t="s">
        <v>304</v>
      </c>
      <c r="I242" s="19">
        <v>1</v>
      </c>
      <c r="J242" s="19" t="s">
        <v>286</v>
      </c>
      <c r="K242" s="19"/>
      <c r="L242" s="19"/>
      <c r="M242" s="19"/>
      <c r="N242" s="19"/>
      <c r="O242" s="19"/>
      <c r="P242" s="329"/>
      <c r="Q242" s="329"/>
    </row>
    <row r="243" spans="2:17" s="18" customFormat="1" outlineLevel="1">
      <c r="B243" s="118" t="s">
        <v>19</v>
      </c>
      <c r="C243" s="330" t="s">
        <v>18646</v>
      </c>
      <c r="D243" s="124" t="s">
        <v>18647</v>
      </c>
      <c r="E243" s="125"/>
      <c r="F243" s="118" t="s">
        <v>4396</v>
      </c>
      <c r="G243" s="126" t="str">
        <f t="shared" si="24"/>
        <v>LS-SDV-1</v>
      </c>
      <c r="H243" s="127" t="s">
        <v>304</v>
      </c>
      <c r="I243" s="19">
        <v>1</v>
      </c>
      <c r="J243" s="19" t="s">
        <v>286</v>
      </c>
      <c r="K243" s="19"/>
      <c r="L243" s="19"/>
      <c r="M243" s="19"/>
      <c r="N243" s="19"/>
      <c r="O243" s="19"/>
      <c r="P243" s="329"/>
      <c r="Q243" s="329"/>
    </row>
    <row r="244" spans="2:17" s="18" customFormat="1" outlineLevel="1">
      <c r="B244" s="118" t="s">
        <v>19</v>
      </c>
      <c r="C244" s="330" t="s">
        <v>18648</v>
      </c>
      <c r="D244" s="124" t="s">
        <v>18649</v>
      </c>
      <c r="E244" s="125"/>
      <c r="F244" s="118" t="s">
        <v>4396</v>
      </c>
      <c r="G244" s="126" t="str">
        <f t="shared" si="24"/>
        <v>LS-SDV-1</v>
      </c>
      <c r="H244" s="127" t="s">
        <v>304</v>
      </c>
      <c r="I244" s="19">
        <v>1</v>
      </c>
      <c r="J244" s="19" t="s">
        <v>286</v>
      </c>
      <c r="K244" s="19"/>
      <c r="L244" s="19"/>
      <c r="M244" s="19"/>
      <c r="N244" s="19"/>
      <c r="O244" s="19"/>
      <c r="P244" s="329"/>
      <c r="Q244" s="329"/>
    </row>
    <row r="245" spans="2:17" s="18" customFormat="1" outlineLevel="1">
      <c r="B245" s="118" t="s">
        <v>19</v>
      </c>
      <c r="C245" s="330" t="s">
        <v>18650</v>
      </c>
      <c r="D245" s="124" t="s">
        <v>18651</v>
      </c>
      <c r="E245" s="125"/>
      <c r="F245" s="118" t="s">
        <v>4396</v>
      </c>
      <c r="G245" s="126" t="str">
        <f t="shared" si="24"/>
        <v>LS-SDV-4</v>
      </c>
      <c r="H245" s="127" t="s">
        <v>292</v>
      </c>
      <c r="I245" s="19">
        <v>1</v>
      </c>
      <c r="J245" s="19" t="s">
        <v>310</v>
      </c>
      <c r="K245" s="19"/>
      <c r="L245" s="19"/>
      <c r="M245" s="19"/>
      <c r="N245" s="19"/>
      <c r="O245" s="19"/>
      <c r="P245" s="329"/>
      <c r="Q245" s="329"/>
    </row>
    <row r="246" spans="2:17" s="18" customFormat="1" outlineLevel="1">
      <c r="B246" s="118" t="s">
        <v>19</v>
      </c>
      <c r="C246" s="330" t="s">
        <v>18652</v>
      </c>
      <c r="D246" s="124" t="s">
        <v>18653</v>
      </c>
      <c r="E246" s="125"/>
      <c r="F246" s="118" t="s">
        <v>4396</v>
      </c>
      <c r="G246" s="126" t="str">
        <f t="shared" si="24"/>
        <v>LS-SDV-4</v>
      </c>
      <c r="H246" s="127" t="s">
        <v>292</v>
      </c>
      <c r="I246" s="19">
        <v>1</v>
      </c>
      <c r="J246" s="19" t="s">
        <v>286</v>
      </c>
      <c r="K246" s="19"/>
      <c r="L246" s="19"/>
      <c r="M246" s="19"/>
      <c r="N246" s="19"/>
      <c r="O246" s="19"/>
    </row>
    <row r="247" spans="2:17" s="18" customFormat="1" outlineLevel="1">
      <c r="B247" s="118" t="s">
        <v>19</v>
      </c>
      <c r="C247" s="330" t="s">
        <v>18654</v>
      </c>
      <c r="D247" s="124" t="s">
        <v>18655</v>
      </c>
      <c r="E247" s="125"/>
      <c r="F247" s="118" t="s">
        <v>4396</v>
      </c>
      <c r="G247" s="126" t="str">
        <f t="shared" si="24"/>
        <v>LS-SDV-4</v>
      </c>
      <c r="H247" s="127" t="s">
        <v>292</v>
      </c>
      <c r="I247" s="19">
        <v>1</v>
      </c>
      <c r="J247" s="19" t="s">
        <v>286</v>
      </c>
      <c r="K247" s="19"/>
      <c r="L247" s="19"/>
      <c r="M247" s="19"/>
      <c r="N247" s="19"/>
      <c r="O247" s="19"/>
      <c r="P247" s="329"/>
      <c r="Q247" s="329"/>
    </row>
    <row r="248" spans="2:17" s="18" customFormat="1" outlineLevel="1">
      <c r="B248" s="118" t="s">
        <v>19</v>
      </c>
      <c r="C248" s="330" t="s">
        <v>18656</v>
      </c>
      <c r="D248" s="124" t="s">
        <v>18657</v>
      </c>
      <c r="E248" s="125"/>
      <c r="F248" s="118" t="s">
        <v>4396</v>
      </c>
      <c r="G248" s="126" t="str">
        <f t="shared" si="24"/>
        <v>LS-SDV-4</v>
      </c>
      <c r="H248" s="127" t="s">
        <v>292</v>
      </c>
      <c r="I248" s="19">
        <v>1</v>
      </c>
      <c r="J248" s="19" t="s">
        <v>310</v>
      </c>
      <c r="K248" s="19"/>
      <c r="L248" s="19"/>
      <c r="M248" s="19"/>
      <c r="N248" s="19"/>
      <c r="O248" s="19"/>
      <c r="P248" s="329"/>
      <c r="Q248" s="329"/>
    </row>
    <row r="249" spans="2:17" s="18" customFormat="1" outlineLevel="1">
      <c r="B249" s="118" t="s">
        <v>19</v>
      </c>
      <c r="C249" s="330" t="s">
        <v>18658</v>
      </c>
      <c r="D249" s="124" t="s">
        <v>18659</v>
      </c>
      <c r="E249" s="125"/>
      <c r="F249" s="118" t="s">
        <v>4396</v>
      </c>
      <c r="G249" s="126" t="str">
        <f t="shared" si="24"/>
        <v>LS-SDV-4</v>
      </c>
      <c r="H249" s="127" t="s">
        <v>292</v>
      </c>
      <c r="I249" s="19">
        <v>1</v>
      </c>
      <c r="J249" s="19" t="s">
        <v>307</v>
      </c>
      <c r="K249" s="19"/>
      <c r="L249" s="19"/>
      <c r="M249" s="19"/>
      <c r="N249" s="19"/>
      <c r="O249" s="19"/>
      <c r="P249" s="329"/>
      <c r="Q249" s="329"/>
    </row>
    <row r="250" spans="2:17" s="18" customFormat="1" outlineLevel="1">
      <c r="B250" s="118" t="s">
        <v>19</v>
      </c>
      <c r="C250" s="330" t="s">
        <v>18660</v>
      </c>
      <c r="D250" s="124" t="s">
        <v>18661</v>
      </c>
      <c r="E250" s="125"/>
      <c r="F250" s="118" t="s">
        <v>4396</v>
      </c>
      <c r="G250" s="126" t="str">
        <f t="shared" ref="G250" si="25">CONCATENATE("LS-",F250,"-",H250)</f>
        <v>LS-SDV-4</v>
      </c>
      <c r="H250" s="127" t="s">
        <v>292</v>
      </c>
      <c r="I250" s="19">
        <v>1</v>
      </c>
      <c r="J250" s="19" t="s">
        <v>286</v>
      </c>
      <c r="K250" s="19"/>
      <c r="L250" s="19"/>
      <c r="M250" s="19"/>
      <c r="N250" s="19"/>
      <c r="O250" s="19"/>
      <c r="P250" s="329"/>
      <c r="Q250" s="329"/>
    </row>
    <row r="251" spans="2:17" s="18" customFormat="1" outlineLevel="1">
      <c r="B251" s="118" t="s">
        <v>19</v>
      </c>
      <c r="C251" s="330" t="s">
        <v>18662</v>
      </c>
      <c r="D251" s="124" t="s">
        <v>18663</v>
      </c>
      <c r="E251" s="125"/>
      <c r="F251" s="118" t="s">
        <v>4396</v>
      </c>
      <c r="G251" s="126" t="str">
        <f t="shared" si="24"/>
        <v>LS-SDV-4</v>
      </c>
      <c r="H251" s="127" t="s">
        <v>292</v>
      </c>
      <c r="I251" s="19">
        <v>1</v>
      </c>
      <c r="J251" s="19" t="s">
        <v>286</v>
      </c>
      <c r="K251" s="19"/>
      <c r="L251" s="19"/>
      <c r="M251" s="19"/>
      <c r="N251" s="19"/>
      <c r="O251" s="19"/>
      <c r="P251" s="329"/>
      <c r="Q251" s="329"/>
    </row>
    <row r="252" spans="2:17" s="18" customFormat="1" outlineLevel="1">
      <c r="B252" s="118" t="s">
        <v>19</v>
      </c>
      <c r="C252" s="330" t="s">
        <v>18664</v>
      </c>
      <c r="D252" s="124" t="s">
        <v>18665</v>
      </c>
      <c r="E252" s="125"/>
      <c r="F252" s="118" t="s">
        <v>4396</v>
      </c>
      <c r="G252" s="126" t="str">
        <f t="shared" si="24"/>
        <v>LS-SDV-4</v>
      </c>
      <c r="H252" s="127" t="s">
        <v>292</v>
      </c>
      <c r="I252" s="19">
        <v>1</v>
      </c>
      <c r="J252" s="19" t="s">
        <v>310</v>
      </c>
      <c r="K252" s="19"/>
      <c r="L252" s="19"/>
      <c r="M252" s="19"/>
      <c r="N252" s="19"/>
      <c r="O252" s="19"/>
      <c r="P252" s="329"/>
      <c r="Q252" s="329"/>
    </row>
    <row r="253" spans="2:17" s="18" customFormat="1" outlineLevel="1">
      <c r="B253" s="118" t="s">
        <v>19</v>
      </c>
      <c r="C253" s="330" t="s">
        <v>18666</v>
      </c>
      <c r="D253" s="124" t="s">
        <v>18667</v>
      </c>
      <c r="E253" s="125"/>
      <c r="F253" s="118" t="s">
        <v>4396</v>
      </c>
      <c r="G253" s="126" t="str">
        <f t="shared" si="24"/>
        <v>LS-SDV-4</v>
      </c>
      <c r="H253" s="127" t="s">
        <v>292</v>
      </c>
      <c r="I253" s="19">
        <v>1</v>
      </c>
      <c r="J253" s="19" t="s">
        <v>286</v>
      </c>
      <c r="K253" s="19"/>
      <c r="L253" s="19"/>
      <c r="M253" s="19"/>
      <c r="N253" s="19"/>
      <c r="O253" s="19"/>
      <c r="P253" s="329"/>
      <c r="Q253" s="329"/>
    </row>
    <row r="254" spans="2:17" s="18" customFormat="1" outlineLevel="1">
      <c r="B254" s="118" t="s">
        <v>19</v>
      </c>
      <c r="C254" s="330" t="s">
        <v>18668</v>
      </c>
      <c r="D254" s="124" t="s">
        <v>18669</v>
      </c>
      <c r="E254" s="125"/>
      <c r="F254" s="118" t="s">
        <v>4396</v>
      </c>
      <c r="G254" s="126" t="str">
        <f t="shared" si="24"/>
        <v>LS-SDV-4</v>
      </c>
      <c r="H254" s="127" t="s">
        <v>292</v>
      </c>
      <c r="I254" s="19">
        <v>1</v>
      </c>
      <c r="J254" s="19" t="s">
        <v>310</v>
      </c>
      <c r="K254" s="19"/>
      <c r="L254" s="19"/>
      <c r="M254" s="19"/>
      <c r="N254" s="19"/>
      <c r="O254" s="19"/>
      <c r="P254" s="329"/>
      <c r="Q254" s="329"/>
    </row>
    <row r="255" spans="2:17" s="18" customFormat="1" outlineLevel="1">
      <c r="B255" s="118" t="s">
        <v>19</v>
      </c>
      <c r="C255" s="330" t="s">
        <v>18670</v>
      </c>
      <c r="D255" s="124" t="s">
        <v>18671</v>
      </c>
      <c r="E255" s="125"/>
      <c r="F255" s="118" t="s">
        <v>4396</v>
      </c>
      <c r="G255" s="126" t="str">
        <f t="shared" si="24"/>
        <v>LS-SDV-4</v>
      </c>
      <c r="H255" s="127" t="s">
        <v>292</v>
      </c>
      <c r="I255" s="19">
        <v>1</v>
      </c>
      <c r="J255" s="19" t="s">
        <v>310</v>
      </c>
      <c r="K255" s="19"/>
      <c r="L255" s="19"/>
      <c r="M255" s="19"/>
      <c r="N255" s="19"/>
      <c r="O255" s="19"/>
    </row>
    <row r="256" spans="2:17" s="18" customFormat="1" outlineLevel="1">
      <c r="B256" s="118" t="s">
        <v>19</v>
      </c>
      <c r="C256" s="330" t="s">
        <v>18672</v>
      </c>
      <c r="D256" s="124" t="s">
        <v>18673</v>
      </c>
      <c r="E256" s="125"/>
      <c r="F256" s="118" t="s">
        <v>4396</v>
      </c>
      <c r="G256" s="126" t="str">
        <f t="shared" si="24"/>
        <v>LS-SDV-4</v>
      </c>
      <c r="H256" s="127" t="s">
        <v>292</v>
      </c>
      <c r="I256" s="19">
        <v>1</v>
      </c>
      <c r="J256" s="19" t="s">
        <v>286</v>
      </c>
      <c r="K256" s="19"/>
      <c r="L256" s="19"/>
      <c r="M256" s="19"/>
      <c r="N256" s="19"/>
      <c r="O256" s="19"/>
      <c r="P256" s="329"/>
      <c r="Q256" s="329"/>
    </row>
    <row r="257" spans="2:17" s="18" customFormat="1" outlineLevel="1">
      <c r="B257" s="118" t="s">
        <v>19</v>
      </c>
      <c r="C257" s="330" t="s">
        <v>18618</v>
      </c>
      <c r="D257" s="124" t="s">
        <v>18674</v>
      </c>
      <c r="E257" s="125"/>
      <c r="F257" s="118" t="s">
        <v>4396</v>
      </c>
      <c r="G257" s="126" t="str">
        <f t="shared" si="24"/>
        <v>LS-SDV-4</v>
      </c>
      <c r="H257" s="127" t="s">
        <v>292</v>
      </c>
      <c r="I257" s="19">
        <v>1</v>
      </c>
      <c r="J257" s="19" t="s">
        <v>286</v>
      </c>
      <c r="K257" s="19"/>
      <c r="L257" s="19"/>
      <c r="M257" s="19"/>
      <c r="N257" s="19"/>
      <c r="O257" s="19"/>
      <c r="P257" s="329"/>
      <c r="Q257" s="329"/>
    </row>
    <row r="258" spans="2:17" s="18" customFormat="1" outlineLevel="1">
      <c r="B258" s="118" t="s">
        <v>19</v>
      </c>
      <c r="C258" s="330" t="s">
        <v>18675</v>
      </c>
      <c r="D258" s="124" t="s">
        <v>18676</v>
      </c>
      <c r="E258" s="125"/>
      <c r="F258" s="118" t="s">
        <v>4396</v>
      </c>
      <c r="G258" s="126" t="str">
        <f t="shared" si="24"/>
        <v>LS-SDV-4</v>
      </c>
      <c r="H258" s="127" t="s">
        <v>292</v>
      </c>
      <c r="I258" s="19">
        <v>1</v>
      </c>
      <c r="J258" s="19" t="s">
        <v>286</v>
      </c>
      <c r="K258" s="19"/>
      <c r="L258" s="19"/>
      <c r="M258" s="19"/>
      <c r="N258" s="19"/>
      <c r="O258" s="19"/>
      <c r="P258" s="329"/>
      <c r="Q258" s="329"/>
    </row>
    <row r="259" spans="2:17" s="18" customFormat="1" outlineLevel="1">
      <c r="B259" s="118" t="s">
        <v>19</v>
      </c>
      <c r="C259" s="330" t="s">
        <v>18677</v>
      </c>
      <c r="D259" s="124" t="s">
        <v>18665</v>
      </c>
      <c r="E259" s="125"/>
      <c r="F259" s="118" t="s">
        <v>4396</v>
      </c>
      <c r="G259" s="126" t="str">
        <f t="shared" si="24"/>
        <v>LS-SDV-4</v>
      </c>
      <c r="H259" s="127" t="s">
        <v>292</v>
      </c>
      <c r="I259" s="19">
        <v>1</v>
      </c>
      <c r="J259" s="19" t="s">
        <v>286</v>
      </c>
      <c r="K259" s="19"/>
      <c r="L259" s="19"/>
      <c r="M259" s="19"/>
      <c r="N259" s="19"/>
      <c r="O259" s="19"/>
      <c r="P259" s="329"/>
      <c r="Q259" s="329"/>
    </row>
    <row r="260" spans="2:17" s="18" customFormat="1" outlineLevel="1">
      <c r="B260" s="118" t="s">
        <v>19</v>
      </c>
      <c r="C260" s="330" t="s">
        <v>18678</v>
      </c>
      <c r="D260" s="124" t="s">
        <v>18679</v>
      </c>
      <c r="E260" s="125"/>
      <c r="F260" s="118" t="s">
        <v>4396</v>
      </c>
      <c r="G260" s="126" t="str">
        <f t="shared" si="24"/>
        <v>LS-SDV-4</v>
      </c>
      <c r="H260" s="127" t="s">
        <v>292</v>
      </c>
      <c r="I260" s="19">
        <v>1</v>
      </c>
      <c r="J260" s="19" t="s">
        <v>286</v>
      </c>
      <c r="K260" s="19"/>
      <c r="L260" s="19"/>
      <c r="M260" s="19"/>
      <c r="N260" s="19"/>
      <c r="O260" s="19"/>
      <c r="P260" s="329"/>
      <c r="Q260" s="329"/>
    </row>
    <row r="261" spans="2:17" s="18" customFormat="1" outlineLevel="1">
      <c r="B261" s="118" t="s">
        <v>19</v>
      </c>
      <c r="C261" s="330" t="s">
        <v>18680</v>
      </c>
      <c r="D261" s="124" t="s">
        <v>18681</v>
      </c>
      <c r="E261" s="125"/>
      <c r="F261" s="118" t="s">
        <v>4396</v>
      </c>
      <c r="G261" s="126" t="str">
        <f t="shared" si="24"/>
        <v>LS-SDV-4</v>
      </c>
      <c r="H261" s="127" t="s">
        <v>292</v>
      </c>
      <c r="I261" s="19">
        <v>1</v>
      </c>
      <c r="J261" s="19" t="s">
        <v>286</v>
      </c>
      <c r="K261" s="19"/>
      <c r="L261" s="19"/>
      <c r="M261" s="19"/>
      <c r="N261" s="19"/>
      <c r="O261" s="19"/>
      <c r="P261" s="329"/>
      <c r="Q261" s="329"/>
    </row>
    <row r="262" spans="2:17" s="18" customFormat="1" outlineLevel="1">
      <c r="B262" s="118" t="s">
        <v>19</v>
      </c>
      <c r="C262" s="330" t="s">
        <v>18682</v>
      </c>
      <c r="D262" s="124" t="s">
        <v>18683</v>
      </c>
      <c r="E262" s="125"/>
      <c r="F262" s="118" t="s">
        <v>4396</v>
      </c>
      <c r="G262" s="126" t="str">
        <f t="shared" si="24"/>
        <v>LS-SDV-4</v>
      </c>
      <c r="H262" s="127" t="s">
        <v>292</v>
      </c>
      <c r="I262" s="19">
        <v>1</v>
      </c>
      <c r="J262" s="19" t="s">
        <v>307</v>
      </c>
      <c r="K262" s="19"/>
      <c r="L262" s="19"/>
      <c r="M262" s="19"/>
      <c r="N262" s="19"/>
      <c r="O262" s="19"/>
      <c r="P262" s="329"/>
      <c r="Q262" s="329"/>
    </row>
    <row r="263" spans="2:17" s="18" customFormat="1" outlineLevel="1">
      <c r="B263" s="118" t="s">
        <v>19</v>
      </c>
      <c r="C263" s="330" t="s">
        <v>18684</v>
      </c>
      <c r="D263" s="124" t="s">
        <v>18685</v>
      </c>
      <c r="E263" s="125"/>
      <c r="F263" s="118" t="s">
        <v>4396</v>
      </c>
      <c r="G263" s="126" t="str">
        <f t="shared" si="24"/>
        <v>LS-SDV-4</v>
      </c>
      <c r="H263" s="127" t="s">
        <v>292</v>
      </c>
      <c r="I263" s="19">
        <v>1</v>
      </c>
      <c r="J263" s="19" t="s">
        <v>286</v>
      </c>
      <c r="K263" s="19"/>
      <c r="L263" s="19"/>
      <c r="M263" s="19"/>
      <c r="N263" s="19"/>
      <c r="O263" s="19"/>
    </row>
    <row r="264" spans="2:17" s="18" customFormat="1" outlineLevel="1">
      <c r="B264" s="118" t="s">
        <v>19</v>
      </c>
      <c r="C264" s="330" t="s">
        <v>18686</v>
      </c>
      <c r="D264" s="124" t="s">
        <v>18687</v>
      </c>
      <c r="E264" s="125"/>
      <c r="F264" s="118" t="s">
        <v>4396</v>
      </c>
      <c r="G264" s="126" t="str">
        <f t="shared" si="24"/>
        <v>LS-SDV-4</v>
      </c>
      <c r="H264" s="127" t="s">
        <v>292</v>
      </c>
      <c r="I264" s="19">
        <v>1</v>
      </c>
      <c r="J264" s="19" t="s">
        <v>310</v>
      </c>
      <c r="K264" s="19"/>
      <c r="L264" s="19"/>
      <c r="M264" s="19"/>
      <c r="N264" s="19"/>
      <c r="O264" s="19"/>
      <c r="P264" s="329"/>
      <c r="Q264" s="329"/>
    </row>
    <row r="265" spans="2:17" s="18" customFormat="1" outlineLevel="1">
      <c r="B265" s="118" t="s">
        <v>19</v>
      </c>
      <c r="C265" s="330" t="s">
        <v>18688</v>
      </c>
      <c r="D265" s="124" t="s">
        <v>18689</v>
      </c>
      <c r="E265" s="125"/>
      <c r="F265" s="118" t="s">
        <v>4396</v>
      </c>
      <c r="G265" s="126" t="str">
        <f t="shared" si="24"/>
        <v>LS-SDV-4</v>
      </c>
      <c r="H265" s="127" t="s">
        <v>292</v>
      </c>
      <c r="I265" s="19">
        <v>1</v>
      </c>
      <c r="J265" s="19" t="s">
        <v>286</v>
      </c>
      <c r="K265" s="19"/>
      <c r="L265" s="19"/>
      <c r="M265" s="19"/>
      <c r="N265" s="19"/>
      <c r="O265" s="19"/>
      <c r="P265" s="329"/>
      <c r="Q265" s="329"/>
    </row>
    <row r="266" spans="2:17" s="18" customFormat="1" outlineLevel="1">
      <c r="B266" s="118" t="s">
        <v>19</v>
      </c>
      <c r="C266" s="330" t="s">
        <v>18690</v>
      </c>
      <c r="D266" s="124" t="s">
        <v>18691</v>
      </c>
      <c r="E266" s="125"/>
      <c r="F266" s="118" t="s">
        <v>4396</v>
      </c>
      <c r="G266" s="126" t="str">
        <f t="shared" si="24"/>
        <v>LS-SDV-4</v>
      </c>
      <c r="H266" s="127" t="s">
        <v>292</v>
      </c>
      <c r="I266" s="19">
        <v>1</v>
      </c>
      <c r="J266" s="19" t="s">
        <v>286</v>
      </c>
      <c r="K266" s="19"/>
      <c r="L266" s="19"/>
      <c r="M266" s="19"/>
      <c r="N266" s="19"/>
      <c r="O266" s="19"/>
      <c r="P266" s="329"/>
      <c r="Q266" s="329"/>
    </row>
    <row r="267" spans="2:17" s="18" customFormat="1" outlineLevel="1">
      <c r="B267" s="118" t="s">
        <v>19</v>
      </c>
      <c r="C267" s="330" t="s">
        <v>18692</v>
      </c>
      <c r="D267" s="124" t="s">
        <v>18693</v>
      </c>
      <c r="E267" s="125"/>
      <c r="F267" s="118" t="s">
        <v>4396</v>
      </c>
      <c r="G267" s="126" t="str">
        <f t="shared" si="24"/>
        <v>LS-SDV-4</v>
      </c>
      <c r="H267" s="127" t="s">
        <v>292</v>
      </c>
      <c r="I267" s="19">
        <v>1</v>
      </c>
      <c r="J267" s="19" t="s">
        <v>286</v>
      </c>
      <c r="K267" s="19"/>
      <c r="L267" s="19"/>
      <c r="M267" s="19"/>
      <c r="N267" s="19"/>
      <c r="O267" s="19"/>
      <c r="P267" s="329"/>
      <c r="Q267" s="329"/>
    </row>
    <row r="268" spans="2:17" s="18" customFormat="1" outlineLevel="1">
      <c r="B268" s="118" t="s">
        <v>19</v>
      </c>
      <c r="C268" s="330" t="s">
        <v>18694</v>
      </c>
      <c r="D268" s="124" t="s">
        <v>18695</v>
      </c>
      <c r="E268" s="125"/>
      <c r="F268" s="118" t="s">
        <v>4396</v>
      </c>
      <c r="G268" s="126" t="str">
        <f t="shared" si="24"/>
        <v>LS-SDV-4</v>
      </c>
      <c r="H268" s="127" t="s">
        <v>292</v>
      </c>
      <c r="I268" s="19">
        <v>1</v>
      </c>
      <c r="J268" s="19" t="s">
        <v>286</v>
      </c>
      <c r="K268" s="19"/>
      <c r="L268" s="19"/>
      <c r="M268" s="19"/>
      <c r="N268" s="19"/>
      <c r="O268" s="19"/>
      <c r="P268" s="329"/>
      <c r="Q268" s="329"/>
    </row>
    <row r="269" spans="2:17" s="18" customFormat="1" outlineLevel="1">
      <c r="B269" s="118" t="s">
        <v>19</v>
      </c>
      <c r="C269" s="330" t="s">
        <v>18696</v>
      </c>
      <c r="D269" s="124" t="s">
        <v>18697</v>
      </c>
      <c r="E269" s="125"/>
      <c r="F269" s="118" t="s">
        <v>4396</v>
      </c>
      <c r="G269" s="126" t="str">
        <f t="shared" si="24"/>
        <v>LS-SDV-4</v>
      </c>
      <c r="H269" s="127" t="s">
        <v>292</v>
      </c>
      <c r="I269" s="19">
        <v>1</v>
      </c>
      <c r="J269" s="19" t="s">
        <v>286</v>
      </c>
      <c r="K269" s="19"/>
      <c r="L269" s="19"/>
      <c r="M269" s="19"/>
      <c r="N269" s="19"/>
      <c r="O269" s="19"/>
      <c r="P269" s="329"/>
      <c r="Q269" s="329"/>
    </row>
    <row r="270" spans="2:17" s="18" customFormat="1" outlineLevel="1">
      <c r="B270" s="118" t="s">
        <v>19</v>
      </c>
      <c r="C270" s="330" t="s">
        <v>18698</v>
      </c>
      <c r="D270" s="124" t="s">
        <v>18699</v>
      </c>
      <c r="E270" s="125"/>
      <c r="F270" s="118" t="s">
        <v>4396</v>
      </c>
      <c r="G270" s="126" t="str">
        <f t="shared" si="24"/>
        <v>LS-SDV-4</v>
      </c>
      <c r="H270" s="127" t="s">
        <v>292</v>
      </c>
      <c r="I270" s="19">
        <v>1</v>
      </c>
      <c r="J270" s="19" t="s">
        <v>286</v>
      </c>
      <c r="K270" s="19"/>
      <c r="L270" s="19"/>
      <c r="M270" s="19"/>
      <c r="N270" s="19"/>
      <c r="O270" s="19"/>
      <c r="P270" s="329"/>
      <c r="Q270" s="329"/>
    </row>
    <row r="271" spans="2:17" s="18" customFormat="1" outlineLevel="1">
      <c r="B271" s="118" t="s">
        <v>19</v>
      </c>
      <c r="C271" s="330" t="s">
        <v>18700</v>
      </c>
      <c r="D271" s="124" t="s">
        <v>18701</v>
      </c>
      <c r="E271" s="125"/>
      <c r="F271" s="118" t="s">
        <v>4396</v>
      </c>
      <c r="G271" s="126" t="str">
        <f t="shared" si="24"/>
        <v>LS-SDV-4</v>
      </c>
      <c r="H271" s="127" t="s">
        <v>292</v>
      </c>
      <c r="I271" s="19">
        <v>1</v>
      </c>
      <c r="J271" s="19" t="s">
        <v>310</v>
      </c>
      <c r="K271" s="19"/>
      <c r="L271" s="19"/>
      <c r="M271" s="19"/>
      <c r="N271" s="19"/>
      <c r="O271" s="19"/>
    </row>
    <row r="272" spans="2:17" s="18" customFormat="1" outlineLevel="1">
      <c r="B272" s="118" t="s">
        <v>19</v>
      </c>
      <c r="C272" s="330" t="s">
        <v>18702</v>
      </c>
      <c r="D272" s="124" t="s">
        <v>18701</v>
      </c>
      <c r="E272" s="125"/>
      <c r="F272" s="118" t="s">
        <v>4396</v>
      </c>
      <c r="G272" s="126" t="str">
        <f t="shared" si="24"/>
        <v>LS-SDV-4</v>
      </c>
      <c r="H272" s="127" t="s">
        <v>292</v>
      </c>
      <c r="I272" s="19">
        <v>1</v>
      </c>
      <c r="J272" s="19" t="s">
        <v>310</v>
      </c>
      <c r="K272" s="19"/>
      <c r="L272" s="19"/>
      <c r="M272" s="19"/>
      <c r="N272" s="19"/>
      <c r="O272" s="19"/>
      <c r="P272" s="329"/>
      <c r="Q272" s="329"/>
    </row>
    <row r="273" spans="1:17" s="18" customFormat="1" outlineLevel="1">
      <c r="B273" s="118" t="s">
        <v>19</v>
      </c>
      <c r="C273" s="330" t="s">
        <v>18703</v>
      </c>
      <c r="D273" s="124" t="s">
        <v>18701</v>
      </c>
      <c r="E273" s="125"/>
      <c r="F273" s="118" t="s">
        <v>4396</v>
      </c>
      <c r="G273" s="126" t="str">
        <f t="shared" si="24"/>
        <v>LS-SDV-4</v>
      </c>
      <c r="H273" s="127" t="s">
        <v>292</v>
      </c>
      <c r="I273" s="19">
        <v>1</v>
      </c>
      <c r="J273" s="19" t="s">
        <v>310</v>
      </c>
      <c r="K273" s="19"/>
      <c r="L273" s="19"/>
      <c r="M273" s="19"/>
      <c r="N273" s="19"/>
      <c r="O273" s="19"/>
      <c r="P273" s="329"/>
      <c r="Q273" s="329"/>
    </row>
    <row r="274" spans="1:17" s="18" customFormat="1" outlineLevel="1">
      <c r="B274" s="118" t="s">
        <v>19</v>
      </c>
      <c r="C274" s="330" t="s">
        <v>18704</v>
      </c>
      <c r="D274" s="124" t="s">
        <v>18701</v>
      </c>
      <c r="E274" s="125"/>
      <c r="F274" s="118" t="s">
        <v>4396</v>
      </c>
      <c r="G274" s="126" t="str">
        <f t="shared" si="24"/>
        <v>LS-SDV-4</v>
      </c>
      <c r="H274" s="127" t="s">
        <v>292</v>
      </c>
      <c r="I274" s="19">
        <v>1</v>
      </c>
      <c r="J274" s="19" t="s">
        <v>310</v>
      </c>
      <c r="K274" s="19"/>
      <c r="L274" s="19"/>
      <c r="M274" s="19"/>
      <c r="N274" s="19"/>
      <c r="O274" s="19"/>
      <c r="P274" s="329"/>
      <c r="Q274" s="329"/>
    </row>
    <row r="275" spans="1:17" s="18" customFormat="1" outlineLevel="1">
      <c r="B275" s="118" t="s">
        <v>19</v>
      </c>
      <c r="C275" s="330" t="s">
        <v>18705</v>
      </c>
      <c r="D275" s="124" t="s">
        <v>18706</v>
      </c>
      <c r="E275" s="125"/>
      <c r="F275" s="118" t="s">
        <v>4396</v>
      </c>
      <c r="G275" s="126" t="str">
        <f t="shared" si="24"/>
        <v>LS-SDV-4</v>
      </c>
      <c r="H275" s="127" t="s">
        <v>292</v>
      </c>
      <c r="I275" s="19">
        <v>1</v>
      </c>
      <c r="J275" s="19" t="s">
        <v>286</v>
      </c>
      <c r="K275" s="19"/>
      <c r="L275" s="19"/>
      <c r="M275" s="19"/>
      <c r="N275" s="19"/>
      <c r="O275" s="19"/>
      <c r="P275" s="329"/>
      <c r="Q275" s="329"/>
    </row>
    <row r="276" spans="1:17" s="18" customFormat="1" outlineLevel="1">
      <c r="B276" s="118" t="s">
        <v>19</v>
      </c>
      <c r="C276" s="330" t="s">
        <v>18707</v>
      </c>
      <c r="D276" s="124" t="s">
        <v>18708</v>
      </c>
      <c r="E276" s="125"/>
      <c r="F276" s="118" t="s">
        <v>4396</v>
      </c>
      <c r="G276" s="126" t="str">
        <f t="shared" si="24"/>
        <v>LS-SDV-4</v>
      </c>
      <c r="H276" s="127" t="s">
        <v>292</v>
      </c>
      <c r="I276" s="19">
        <v>1</v>
      </c>
      <c r="J276" s="19" t="s">
        <v>286</v>
      </c>
      <c r="K276" s="19"/>
      <c r="L276" s="19"/>
      <c r="M276" s="19"/>
      <c r="N276" s="19"/>
      <c r="O276" s="19"/>
      <c r="P276" s="329"/>
      <c r="Q276" s="329"/>
    </row>
    <row r="277" spans="1:17" s="18" customFormat="1" outlineLevel="1">
      <c r="B277" s="118" t="s">
        <v>19</v>
      </c>
      <c r="C277" s="330" t="s">
        <v>18709</v>
      </c>
      <c r="D277" s="124" t="s">
        <v>18710</v>
      </c>
      <c r="E277" s="125"/>
      <c r="F277" s="118" t="s">
        <v>4396</v>
      </c>
      <c r="G277" s="126" t="str">
        <f t="shared" si="24"/>
        <v>LS-SDV-4</v>
      </c>
      <c r="H277" s="127" t="s">
        <v>292</v>
      </c>
      <c r="I277" s="19">
        <v>1</v>
      </c>
      <c r="J277" s="19" t="s">
        <v>286</v>
      </c>
      <c r="K277" s="19"/>
      <c r="L277" s="19"/>
      <c r="M277" s="19"/>
      <c r="N277" s="19"/>
      <c r="O277" s="19"/>
      <c r="P277" s="329"/>
      <c r="Q277" s="329"/>
    </row>
    <row r="278" spans="1:17" s="18" customFormat="1" outlineLevel="1">
      <c r="B278" s="118" t="s">
        <v>19</v>
      </c>
      <c r="C278" s="330" t="s">
        <v>18711</v>
      </c>
      <c r="D278" s="124" t="s">
        <v>18712</v>
      </c>
      <c r="E278" s="125"/>
      <c r="F278" s="118" t="s">
        <v>4396</v>
      </c>
      <c r="G278" s="126" t="str">
        <f t="shared" si="24"/>
        <v>LS-SDV-4</v>
      </c>
      <c r="H278" s="127" t="s">
        <v>292</v>
      </c>
      <c r="I278" s="19">
        <v>1</v>
      </c>
      <c r="J278" s="19" t="s">
        <v>286</v>
      </c>
      <c r="K278" s="19"/>
      <c r="L278" s="19"/>
      <c r="M278" s="19"/>
      <c r="N278" s="19"/>
      <c r="O278" s="19"/>
      <c r="P278" s="329"/>
      <c r="Q278" s="329"/>
    </row>
    <row r="279" spans="1:17" s="18" customFormat="1" outlineLevel="1">
      <c r="B279" s="118" t="s">
        <v>19</v>
      </c>
      <c r="C279" s="330" t="s">
        <v>18713</v>
      </c>
      <c r="D279" s="124" t="s">
        <v>18714</v>
      </c>
      <c r="E279" s="125"/>
      <c r="F279" s="118" t="s">
        <v>4396</v>
      </c>
      <c r="G279" s="126" t="str">
        <f t="shared" si="24"/>
        <v>LS-SDV-4</v>
      </c>
      <c r="H279" s="127" t="s">
        <v>292</v>
      </c>
      <c r="I279" s="19">
        <v>1</v>
      </c>
      <c r="J279" s="19" t="s">
        <v>286</v>
      </c>
      <c r="K279" s="19"/>
      <c r="L279" s="19"/>
      <c r="M279" s="19"/>
      <c r="N279" s="19"/>
      <c r="O279" s="19"/>
    </row>
    <row r="280" spans="1:17" s="18" customFormat="1" outlineLevel="1">
      <c r="B280" s="118" t="s">
        <v>19</v>
      </c>
      <c r="C280" s="330" t="s">
        <v>18715</v>
      </c>
      <c r="D280" s="124" t="s">
        <v>18716</v>
      </c>
      <c r="E280" s="125"/>
      <c r="F280" s="118" t="s">
        <v>4396</v>
      </c>
      <c r="G280" s="126" t="str">
        <f t="shared" si="24"/>
        <v>LS-SDV-4</v>
      </c>
      <c r="H280" s="127" t="s">
        <v>292</v>
      </c>
      <c r="I280" s="19">
        <v>1</v>
      </c>
      <c r="J280" s="19" t="s">
        <v>286</v>
      </c>
      <c r="K280" s="19"/>
      <c r="L280" s="19"/>
      <c r="M280" s="19"/>
      <c r="N280" s="19"/>
      <c r="O280" s="19"/>
      <c r="P280" s="329"/>
      <c r="Q280" s="329"/>
    </row>
    <row r="281" spans="1:17" ht="3" customHeight="1">
      <c r="A281" s="123"/>
      <c r="B281" s="118"/>
      <c r="C281" s="135"/>
      <c r="D281" s="326"/>
      <c r="E281" s="136"/>
      <c r="F281" s="17"/>
      <c r="G281" s="132"/>
      <c r="H281" s="127"/>
      <c r="I281" s="327"/>
    </row>
    <row r="282" spans="1:17" s="18" customFormat="1" ht="14.25" customHeight="1">
      <c r="A282" s="328" t="s">
        <v>29</v>
      </c>
      <c r="B282" s="118"/>
      <c r="C282" s="135"/>
      <c r="D282" s="326"/>
      <c r="E282" s="46"/>
      <c r="F282" s="41" t="s">
        <v>261</v>
      </c>
      <c r="G282" s="41" t="s">
        <v>262</v>
      </c>
      <c r="H282" s="42" t="s">
        <v>263</v>
      </c>
      <c r="I282" s="329"/>
      <c r="J282" s="329"/>
      <c r="K282" s="62"/>
      <c r="L282" s="19"/>
    </row>
    <row r="283" spans="1:17" s="18" customFormat="1" ht="14.25" customHeight="1" outlineLevel="1">
      <c r="B283" s="118" t="s">
        <v>19</v>
      </c>
      <c r="C283" s="330" t="s">
        <v>18717</v>
      </c>
      <c r="D283" s="124" t="s">
        <v>18718</v>
      </c>
      <c r="E283" s="125"/>
      <c r="F283" s="118" t="s">
        <v>4628</v>
      </c>
      <c r="G283" s="126" t="str">
        <f t="shared" ref="G283:G332" si="26">CONCATENATE("LS-",F283,"-",H283)</f>
        <v>LS-AMN-3</v>
      </c>
      <c r="H283" s="127" t="s">
        <v>346</v>
      </c>
      <c r="I283" s="19">
        <v>1</v>
      </c>
      <c r="J283" s="19" t="s">
        <v>286</v>
      </c>
      <c r="K283" s="19"/>
      <c r="L283" s="19"/>
    </row>
    <row r="284" spans="1:17" s="18" customFormat="1" ht="14.25" customHeight="1" outlineLevel="1">
      <c r="B284" s="118" t="s">
        <v>19</v>
      </c>
      <c r="C284" s="330" t="s">
        <v>18719</v>
      </c>
      <c r="D284" s="124" t="s">
        <v>18720</v>
      </c>
      <c r="E284" s="125"/>
      <c r="F284" s="118" t="s">
        <v>4628</v>
      </c>
      <c r="G284" s="126" t="str">
        <f t="shared" si="26"/>
        <v>LS-AMN-3</v>
      </c>
      <c r="H284" s="127" t="s">
        <v>346</v>
      </c>
      <c r="I284" s="19">
        <v>1</v>
      </c>
      <c r="J284" s="19" t="s">
        <v>286</v>
      </c>
      <c r="K284" s="19"/>
      <c r="L284" s="19"/>
    </row>
    <row r="285" spans="1:17" s="18" customFormat="1" ht="14.25" customHeight="1" outlineLevel="1">
      <c r="B285" s="118" t="s">
        <v>19</v>
      </c>
      <c r="C285" s="330" t="s">
        <v>18721</v>
      </c>
      <c r="D285" s="124" t="s">
        <v>18722</v>
      </c>
      <c r="E285" s="125"/>
      <c r="F285" s="118" t="s">
        <v>4628</v>
      </c>
      <c r="G285" s="126" t="str">
        <f t="shared" si="26"/>
        <v>LS-AMN-3</v>
      </c>
      <c r="H285" s="127" t="s">
        <v>346</v>
      </c>
      <c r="I285" s="19">
        <v>1</v>
      </c>
      <c r="J285" s="19" t="s">
        <v>286</v>
      </c>
      <c r="K285" s="19"/>
      <c r="L285" s="19"/>
    </row>
    <row r="286" spans="1:17" s="18" customFormat="1" ht="14.25" customHeight="1" outlineLevel="1">
      <c r="B286" s="118" t="s">
        <v>19</v>
      </c>
      <c r="C286" s="330" t="s">
        <v>18723</v>
      </c>
      <c r="D286" s="124" t="s">
        <v>18724</v>
      </c>
      <c r="E286" s="125"/>
      <c r="F286" s="118" t="s">
        <v>4628</v>
      </c>
      <c r="G286" s="126" t="str">
        <f t="shared" si="26"/>
        <v>LS-AMN-3</v>
      </c>
      <c r="H286" s="127" t="s">
        <v>346</v>
      </c>
      <c r="I286" s="19">
        <v>1</v>
      </c>
      <c r="J286" s="19" t="s">
        <v>286</v>
      </c>
      <c r="K286" s="19"/>
      <c r="L286" s="19"/>
    </row>
    <row r="287" spans="1:17" s="18" customFormat="1" ht="14.25" customHeight="1" outlineLevel="1">
      <c r="B287" s="118" t="s">
        <v>19</v>
      </c>
      <c r="C287" s="330" t="s">
        <v>18725</v>
      </c>
      <c r="D287" s="124" t="s">
        <v>18726</v>
      </c>
      <c r="E287" s="125"/>
      <c r="F287" s="118" t="s">
        <v>4628</v>
      </c>
      <c r="G287" s="126" t="str">
        <f t="shared" si="26"/>
        <v>LS-AMN-3</v>
      </c>
      <c r="H287" s="127" t="s">
        <v>346</v>
      </c>
      <c r="I287" s="19">
        <v>1</v>
      </c>
      <c r="J287" s="19" t="s">
        <v>286</v>
      </c>
      <c r="K287" s="19"/>
      <c r="L287" s="19"/>
    </row>
    <row r="288" spans="1:17" s="18" customFormat="1" ht="14.25" customHeight="1" outlineLevel="1">
      <c r="B288" s="118" t="s">
        <v>19</v>
      </c>
      <c r="C288" s="330" t="s">
        <v>18727</v>
      </c>
      <c r="D288" s="124" t="s">
        <v>18728</v>
      </c>
      <c r="E288" s="125"/>
      <c r="F288" s="118" t="s">
        <v>4628</v>
      </c>
      <c r="G288" s="126" t="str">
        <f t="shared" si="26"/>
        <v>LS-AMN-2</v>
      </c>
      <c r="H288" s="127">
        <v>2</v>
      </c>
      <c r="I288" s="19">
        <v>1</v>
      </c>
      <c r="J288" s="19" t="s">
        <v>286</v>
      </c>
      <c r="K288" s="19"/>
      <c r="L288" s="19"/>
    </row>
    <row r="289" spans="2:12" s="18" customFormat="1" ht="14.25" customHeight="1" outlineLevel="1">
      <c r="B289" s="118" t="s">
        <v>19</v>
      </c>
      <c r="C289" s="330" t="s">
        <v>18729</v>
      </c>
      <c r="D289" s="124" t="s">
        <v>18730</v>
      </c>
      <c r="E289" s="125"/>
      <c r="F289" s="118" t="s">
        <v>4628</v>
      </c>
      <c r="G289" s="126" t="str">
        <f t="shared" si="26"/>
        <v>LS-AMN-2</v>
      </c>
      <c r="H289" s="127">
        <v>2</v>
      </c>
      <c r="I289" s="19">
        <v>1</v>
      </c>
      <c r="J289" s="19" t="s">
        <v>310</v>
      </c>
      <c r="K289" s="19"/>
      <c r="L289" s="19"/>
    </row>
    <row r="290" spans="2:12" s="18" customFormat="1" ht="14.25" customHeight="1" outlineLevel="1">
      <c r="B290" s="118" t="s">
        <v>19</v>
      </c>
      <c r="C290" s="330" t="s">
        <v>18731</v>
      </c>
      <c r="D290" s="124" t="s">
        <v>18732</v>
      </c>
      <c r="E290" s="125"/>
      <c r="F290" s="118" t="s">
        <v>4628</v>
      </c>
      <c r="G290" s="126" t="str">
        <f t="shared" si="26"/>
        <v>LS-AMN-2</v>
      </c>
      <c r="H290" s="127">
        <v>2</v>
      </c>
      <c r="I290" s="19">
        <v>1</v>
      </c>
      <c r="J290" s="19" t="s">
        <v>310</v>
      </c>
      <c r="K290" s="19"/>
      <c r="L290" s="19"/>
    </row>
    <row r="291" spans="2:12" s="18" customFormat="1" ht="14.25" customHeight="1" outlineLevel="1">
      <c r="B291" s="118" t="s">
        <v>19</v>
      </c>
      <c r="C291" s="330" t="s">
        <v>18733</v>
      </c>
      <c r="D291" s="124" t="s">
        <v>18734</v>
      </c>
      <c r="E291" s="125"/>
      <c r="F291" s="118" t="s">
        <v>4628</v>
      </c>
      <c r="G291" s="126" t="str">
        <f t="shared" si="26"/>
        <v>LS-AMN-2</v>
      </c>
      <c r="H291" s="127">
        <v>2</v>
      </c>
      <c r="I291" s="19">
        <v>1</v>
      </c>
      <c r="J291" s="19" t="s">
        <v>286</v>
      </c>
      <c r="K291" s="19"/>
      <c r="L291" s="19"/>
    </row>
    <row r="292" spans="2:12" s="18" customFormat="1" ht="14.25" customHeight="1" outlineLevel="1">
      <c r="B292" s="118" t="s">
        <v>19</v>
      </c>
      <c r="C292" s="330" t="s">
        <v>18735</v>
      </c>
      <c r="D292" s="124" t="s">
        <v>18736</v>
      </c>
      <c r="E292" s="125"/>
      <c r="F292" s="118" t="s">
        <v>4628</v>
      </c>
      <c r="G292" s="126" t="str">
        <f t="shared" si="26"/>
        <v>LS-AMN-3</v>
      </c>
      <c r="H292" s="127" t="s">
        <v>346</v>
      </c>
      <c r="I292" s="19">
        <v>1</v>
      </c>
      <c r="J292" s="19" t="s">
        <v>286</v>
      </c>
      <c r="K292" s="19"/>
      <c r="L292" s="19"/>
    </row>
    <row r="293" spans="2:12" s="18" customFormat="1" ht="14.25" customHeight="1" outlineLevel="1">
      <c r="B293" s="118" t="s">
        <v>19</v>
      </c>
      <c r="C293" s="330" t="s">
        <v>18737</v>
      </c>
      <c r="D293" s="124" t="s">
        <v>18738</v>
      </c>
      <c r="E293" s="125"/>
      <c r="F293" s="118" t="s">
        <v>4628</v>
      </c>
      <c r="G293" s="126" t="str">
        <f t="shared" si="26"/>
        <v>LS-AMN-3</v>
      </c>
      <c r="H293" s="127" t="s">
        <v>346</v>
      </c>
      <c r="I293" s="19">
        <v>1</v>
      </c>
      <c r="J293" s="19" t="s">
        <v>286</v>
      </c>
      <c r="K293" s="19"/>
      <c r="L293" s="19"/>
    </row>
    <row r="294" spans="2:12" s="18" customFormat="1" ht="14.25" customHeight="1" outlineLevel="1">
      <c r="B294" s="118" t="s">
        <v>19</v>
      </c>
      <c r="C294" s="330" t="s">
        <v>18739</v>
      </c>
      <c r="D294" s="124" t="s">
        <v>18740</v>
      </c>
      <c r="E294" s="125"/>
      <c r="F294" s="118" t="s">
        <v>4628</v>
      </c>
      <c r="G294" s="126" t="str">
        <f t="shared" si="26"/>
        <v>LS-AMN-3</v>
      </c>
      <c r="H294" s="127" t="s">
        <v>346</v>
      </c>
      <c r="I294" s="19">
        <v>1</v>
      </c>
      <c r="J294" s="19" t="s">
        <v>286</v>
      </c>
      <c r="K294" s="19"/>
      <c r="L294" s="19"/>
    </row>
    <row r="295" spans="2:12" s="18" customFormat="1" ht="14.25" customHeight="1" outlineLevel="1">
      <c r="B295" s="118" t="s">
        <v>19</v>
      </c>
      <c r="C295" s="330" t="s">
        <v>18741</v>
      </c>
      <c r="D295" s="124" t="s">
        <v>18742</v>
      </c>
      <c r="E295" s="125"/>
      <c r="F295" s="118" t="s">
        <v>4628</v>
      </c>
      <c r="G295" s="126" t="str">
        <f t="shared" si="26"/>
        <v>LS-AMN-3</v>
      </c>
      <c r="H295" s="127" t="s">
        <v>346</v>
      </c>
      <c r="I295" s="19">
        <v>1</v>
      </c>
      <c r="J295" s="19" t="s">
        <v>286</v>
      </c>
      <c r="K295" s="19"/>
      <c r="L295" s="19"/>
    </row>
    <row r="296" spans="2:12" s="18" customFormat="1" ht="14.25" customHeight="1" outlineLevel="1">
      <c r="B296" s="118" t="s">
        <v>19</v>
      </c>
      <c r="C296" s="330" t="s">
        <v>18743</v>
      </c>
      <c r="D296" s="124" t="s">
        <v>18744</v>
      </c>
      <c r="E296" s="125"/>
      <c r="F296" s="118" t="s">
        <v>4628</v>
      </c>
      <c r="G296" s="126" t="str">
        <f t="shared" si="26"/>
        <v>LS-AMN-3</v>
      </c>
      <c r="H296" s="127" t="s">
        <v>346</v>
      </c>
      <c r="I296" s="19">
        <v>1</v>
      </c>
      <c r="J296" s="19" t="s">
        <v>286</v>
      </c>
      <c r="K296" s="19"/>
      <c r="L296" s="19"/>
    </row>
    <row r="297" spans="2:12" s="18" customFormat="1" ht="14.25" customHeight="1" outlineLevel="1">
      <c r="B297" s="118" t="s">
        <v>19</v>
      </c>
      <c r="C297" s="330" t="s">
        <v>18745</v>
      </c>
      <c r="D297" s="124" t="s">
        <v>18746</v>
      </c>
      <c r="E297" s="125"/>
      <c r="F297" s="118" t="s">
        <v>4628</v>
      </c>
      <c r="G297" s="126" t="str">
        <f t="shared" si="26"/>
        <v>LS-AMN-3</v>
      </c>
      <c r="H297" s="127" t="s">
        <v>346</v>
      </c>
      <c r="I297" s="19">
        <v>1</v>
      </c>
      <c r="J297" s="19" t="s">
        <v>286</v>
      </c>
      <c r="K297" s="19"/>
      <c r="L297" s="19"/>
    </row>
    <row r="298" spans="2:12" s="18" customFormat="1" ht="14.25" customHeight="1" outlineLevel="1">
      <c r="B298" s="118" t="s">
        <v>19</v>
      </c>
      <c r="C298" s="330" t="s">
        <v>18747</v>
      </c>
      <c r="D298" s="124" t="s">
        <v>18748</v>
      </c>
      <c r="E298" s="125"/>
      <c r="F298" s="118" t="s">
        <v>4628</v>
      </c>
      <c r="G298" s="126" t="str">
        <f t="shared" si="26"/>
        <v>LS-AMN-2</v>
      </c>
      <c r="H298" s="127">
        <v>2</v>
      </c>
      <c r="I298" s="19">
        <v>1</v>
      </c>
      <c r="J298" s="19" t="s">
        <v>286</v>
      </c>
      <c r="K298" s="19"/>
      <c r="L298" s="19"/>
    </row>
    <row r="299" spans="2:12" s="18" customFormat="1" ht="14.25" customHeight="1" outlineLevel="1">
      <c r="B299" s="118" t="s">
        <v>19</v>
      </c>
      <c r="C299" s="330" t="s">
        <v>18749</v>
      </c>
      <c r="D299" s="124" t="s">
        <v>18750</v>
      </c>
      <c r="E299" s="125"/>
      <c r="F299" s="118" t="s">
        <v>4628</v>
      </c>
      <c r="G299" s="126" t="str">
        <f t="shared" ref="G299" si="27">CONCATENATE("LS-",F299,"-",H299)</f>
        <v>LS-AMN-3</v>
      </c>
      <c r="H299" s="127">
        <v>3</v>
      </c>
      <c r="I299" s="19">
        <v>1</v>
      </c>
      <c r="J299" s="19" t="s">
        <v>310</v>
      </c>
      <c r="K299" s="19"/>
      <c r="L299" s="19"/>
    </row>
    <row r="300" spans="2:12" s="18" customFormat="1" ht="14.25" customHeight="1" outlineLevel="1">
      <c r="B300" s="118" t="s">
        <v>19</v>
      </c>
      <c r="C300" s="330" t="s">
        <v>18751</v>
      </c>
      <c r="D300" s="124" t="s">
        <v>18752</v>
      </c>
      <c r="E300" s="125"/>
      <c r="F300" s="118" t="s">
        <v>4628</v>
      </c>
      <c r="G300" s="126" t="str">
        <f t="shared" si="26"/>
        <v>LS-AMN-4</v>
      </c>
      <c r="H300" s="127" t="s">
        <v>292</v>
      </c>
      <c r="I300" s="19">
        <v>1</v>
      </c>
      <c r="J300" s="19" t="s">
        <v>286</v>
      </c>
      <c r="K300" s="19"/>
      <c r="L300" s="19"/>
    </row>
    <row r="301" spans="2:12" s="18" customFormat="1" ht="14.25" customHeight="1" outlineLevel="1">
      <c r="B301" s="118" t="s">
        <v>19</v>
      </c>
      <c r="C301" s="330" t="s">
        <v>18753</v>
      </c>
      <c r="D301" s="124" t="s">
        <v>18754</v>
      </c>
      <c r="E301" s="125"/>
      <c r="F301" s="118" t="s">
        <v>4628</v>
      </c>
      <c r="G301" s="126" t="str">
        <f t="shared" si="26"/>
        <v>LS-AMN-4</v>
      </c>
      <c r="H301" s="127" t="s">
        <v>292</v>
      </c>
      <c r="I301" s="19">
        <v>1</v>
      </c>
      <c r="J301" s="19" t="s">
        <v>286</v>
      </c>
      <c r="K301" s="19"/>
      <c r="L301" s="19"/>
    </row>
    <row r="302" spans="2:12" s="18" customFormat="1" ht="14.25" customHeight="1" outlineLevel="1">
      <c r="B302" s="118" t="s">
        <v>19</v>
      </c>
      <c r="C302" s="330" t="s">
        <v>18755</v>
      </c>
      <c r="D302" s="124" t="s">
        <v>18756</v>
      </c>
      <c r="E302" s="125"/>
      <c r="F302" s="118" t="s">
        <v>4628</v>
      </c>
      <c r="G302" s="126" t="str">
        <f t="shared" si="26"/>
        <v>LS-AMN-4</v>
      </c>
      <c r="H302" s="127" t="s">
        <v>292</v>
      </c>
      <c r="I302" s="19">
        <v>1</v>
      </c>
      <c r="J302" s="19" t="s">
        <v>286</v>
      </c>
      <c r="K302" s="19"/>
      <c r="L302" s="19"/>
    </row>
    <row r="303" spans="2:12" s="18" customFormat="1" ht="14.25" customHeight="1" outlineLevel="1">
      <c r="B303" s="118" t="s">
        <v>19</v>
      </c>
      <c r="C303" s="330" t="s">
        <v>18757</v>
      </c>
      <c r="D303" s="124" t="s">
        <v>18758</v>
      </c>
      <c r="E303" s="125"/>
      <c r="F303" s="118" t="s">
        <v>4628</v>
      </c>
      <c r="G303" s="126" t="str">
        <f t="shared" si="26"/>
        <v>LS-AMN-4</v>
      </c>
      <c r="H303" s="127" t="s">
        <v>292</v>
      </c>
      <c r="I303" s="19">
        <v>1</v>
      </c>
      <c r="J303" s="19" t="s">
        <v>325</v>
      </c>
      <c r="K303" s="19"/>
      <c r="L303" s="19"/>
    </row>
    <row r="304" spans="2:12" s="18" customFormat="1" ht="14.25" customHeight="1" outlineLevel="1">
      <c r="B304" s="118" t="s">
        <v>19</v>
      </c>
      <c r="C304" s="330" t="s">
        <v>18759</v>
      </c>
      <c r="D304" s="124" t="s">
        <v>18760</v>
      </c>
      <c r="E304" s="125"/>
      <c r="F304" s="118" t="s">
        <v>4628</v>
      </c>
      <c r="G304" s="126" t="str">
        <f t="shared" si="26"/>
        <v>LS-AMN-4</v>
      </c>
      <c r="H304" s="127" t="s">
        <v>292</v>
      </c>
      <c r="I304" s="19">
        <v>1</v>
      </c>
      <c r="J304" s="19" t="s">
        <v>310</v>
      </c>
      <c r="K304" s="19"/>
      <c r="L304" s="19"/>
    </row>
    <row r="305" spans="2:12" s="18" customFormat="1" ht="14.25" customHeight="1" outlineLevel="1">
      <c r="B305" s="118" t="s">
        <v>19</v>
      </c>
      <c r="C305" s="330" t="s">
        <v>18761</v>
      </c>
      <c r="D305" s="124" t="s">
        <v>18762</v>
      </c>
      <c r="E305" s="125"/>
      <c r="F305" s="118" t="s">
        <v>4628</v>
      </c>
      <c r="G305" s="126" t="str">
        <f t="shared" si="26"/>
        <v>LS-AMN-4</v>
      </c>
      <c r="H305" s="127" t="s">
        <v>292</v>
      </c>
      <c r="I305" s="19">
        <v>1</v>
      </c>
      <c r="J305" s="19" t="s">
        <v>286</v>
      </c>
      <c r="K305" s="19"/>
      <c r="L305" s="19"/>
    </row>
    <row r="306" spans="2:12" s="18" customFormat="1" ht="14.25" customHeight="1" outlineLevel="1">
      <c r="B306" s="118" t="s">
        <v>19</v>
      </c>
      <c r="C306" s="330" t="s">
        <v>18763</v>
      </c>
      <c r="D306" s="124" t="s">
        <v>18764</v>
      </c>
      <c r="E306" s="125"/>
      <c r="F306" s="118" t="s">
        <v>4628</v>
      </c>
      <c r="G306" s="126" t="str">
        <f t="shared" si="26"/>
        <v>LS-AMN-4</v>
      </c>
      <c r="H306" s="127" t="s">
        <v>292</v>
      </c>
      <c r="I306" s="19">
        <v>1</v>
      </c>
      <c r="J306" s="19" t="s">
        <v>307</v>
      </c>
      <c r="K306" s="19"/>
      <c r="L306" s="19"/>
    </row>
    <row r="307" spans="2:12" s="18" customFormat="1" ht="14.25" customHeight="1" outlineLevel="1">
      <c r="B307" s="118" t="s">
        <v>19</v>
      </c>
      <c r="C307" s="330" t="s">
        <v>18765</v>
      </c>
      <c r="D307" s="124" t="s">
        <v>18766</v>
      </c>
      <c r="E307" s="125"/>
      <c r="F307" s="118" t="s">
        <v>4628</v>
      </c>
      <c r="G307" s="126" t="str">
        <f t="shared" si="26"/>
        <v>LS-AMN-4</v>
      </c>
      <c r="H307" s="127" t="s">
        <v>292</v>
      </c>
      <c r="I307" s="19">
        <v>1</v>
      </c>
      <c r="J307" s="19" t="s">
        <v>310</v>
      </c>
      <c r="K307" s="19"/>
      <c r="L307" s="19"/>
    </row>
    <row r="308" spans="2:12" s="18" customFormat="1" ht="14.25" customHeight="1" outlineLevel="1">
      <c r="B308" s="118" t="s">
        <v>19</v>
      </c>
      <c r="C308" s="330" t="s">
        <v>18767</v>
      </c>
      <c r="D308" s="124" t="s">
        <v>18768</v>
      </c>
      <c r="E308" s="125"/>
      <c r="F308" s="118" t="s">
        <v>4628</v>
      </c>
      <c r="G308" s="126" t="str">
        <f t="shared" si="26"/>
        <v>LS-AMN-4</v>
      </c>
      <c r="H308" s="127" t="s">
        <v>292</v>
      </c>
      <c r="I308" s="19">
        <v>1</v>
      </c>
      <c r="J308" s="19" t="s">
        <v>307</v>
      </c>
      <c r="K308" s="19"/>
      <c r="L308" s="19"/>
    </row>
    <row r="309" spans="2:12" s="18" customFormat="1" ht="14.25" customHeight="1" outlineLevel="1">
      <c r="B309" s="118" t="s">
        <v>19</v>
      </c>
      <c r="C309" s="330" t="s">
        <v>18769</v>
      </c>
      <c r="D309" s="124" t="s">
        <v>18770</v>
      </c>
      <c r="E309" s="125"/>
      <c r="F309" s="118" t="s">
        <v>4628</v>
      </c>
      <c r="G309" s="126" t="str">
        <f t="shared" si="26"/>
        <v>LS-AMN-4</v>
      </c>
      <c r="H309" s="127" t="s">
        <v>292</v>
      </c>
      <c r="I309" s="19">
        <v>1</v>
      </c>
      <c r="J309" s="19" t="s">
        <v>307</v>
      </c>
      <c r="K309" s="19"/>
      <c r="L309" s="19"/>
    </row>
    <row r="310" spans="2:12" s="18" customFormat="1" ht="14.25" customHeight="1" outlineLevel="1">
      <c r="B310" s="118" t="s">
        <v>19</v>
      </c>
      <c r="C310" s="330" t="s">
        <v>18771</v>
      </c>
      <c r="D310" s="124" t="s">
        <v>18772</v>
      </c>
      <c r="E310" s="125"/>
      <c r="F310" s="118" t="s">
        <v>4628</v>
      </c>
      <c r="G310" s="126" t="str">
        <f t="shared" si="26"/>
        <v>LS-AMN-4</v>
      </c>
      <c r="H310" s="127" t="s">
        <v>292</v>
      </c>
      <c r="I310" s="19">
        <v>1</v>
      </c>
      <c r="J310" s="19" t="s">
        <v>310</v>
      </c>
      <c r="K310" s="19"/>
      <c r="L310" s="19"/>
    </row>
    <row r="311" spans="2:12" s="18" customFormat="1" ht="14.25" customHeight="1" outlineLevel="1">
      <c r="B311" s="118" t="s">
        <v>19</v>
      </c>
      <c r="C311" s="330" t="s">
        <v>18773</v>
      </c>
      <c r="D311" s="124" t="s">
        <v>18774</v>
      </c>
      <c r="E311" s="125"/>
      <c r="F311" s="118" t="s">
        <v>4628</v>
      </c>
      <c r="G311" s="126" t="str">
        <f t="shared" ref="G311" si="28">CONCATENATE("LS-",F311,"-",H311)</f>
        <v>LS-AMN-4</v>
      </c>
      <c r="H311" s="127" t="s">
        <v>292</v>
      </c>
      <c r="I311" s="19">
        <v>1</v>
      </c>
      <c r="J311" s="19" t="s">
        <v>286</v>
      </c>
      <c r="K311" s="19"/>
      <c r="L311" s="19"/>
    </row>
    <row r="312" spans="2:12" s="18" customFormat="1" ht="14.25" customHeight="1" outlineLevel="1">
      <c r="B312" s="118" t="s">
        <v>19</v>
      </c>
      <c r="C312" s="330" t="s">
        <v>18775</v>
      </c>
      <c r="D312" s="124" t="s">
        <v>18776</v>
      </c>
      <c r="E312" s="125"/>
      <c r="F312" s="118" t="s">
        <v>4628</v>
      </c>
      <c r="G312" s="126" t="str">
        <f t="shared" si="26"/>
        <v>LS-AMN-4</v>
      </c>
      <c r="H312" s="127" t="s">
        <v>292</v>
      </c>
      <c r="I312" s="19">
        <v>1</v>
      </c>
      <c r="J312" s="19" t="s">
        <v>286</v>
      </c>
      <c r="K312" s="19"/>
      <c r="L312" s="19"/>
    </row>
    <row r="313" spans="2:12" s="18" customFormat="1" ht="14.25" customHeight="1" outlineLevel="1">
      <c r="B313" s="118" t="s">
        <v>19</v>
      </c>
      <c r="C313" s="330" t="s">
        <v>18777</v>
      </c>
      <c r="D313" s="124" t="s">
        <v>18778</v>
      </c>
      <c r="E313" s="125"/>
      <c r="F313" s="118" t="s">
        <v>4628</v>
      </c>
      <c r="G313" s="126" t="str">
        <f t="shared" si="26"/>
        <v>LS-AMN-4</v>
      </c>
      <c r="H313" s="127" t="s">
        <v>292</v>
      </c>
      <c r="I313" s="19">
        <v>1</v>
      </c>
      <c r="J313" s="19" t="s">
        <v>310</v>
      </c>
      <c r="K313" s="19"/>
      <c r="L313" s="19"/>
    </row>
    <row r="314" spans="2:12" s="18" customFormat="1" ht="14.25" customHeight="1" outlineLevel="1">
      <c r="B314" s="118" t="s">
        <v>19</v>
      </c>
      <c r="C314" s="330" t="s">
        <v>18779</v>
      </c>
      <c r="D314" s="124" t="s">
        <v>18780</v>
      </c>
      <c r="E314" s="125"/>
      <c r="F314" s="118" t="s">
        <v>4628</v>
      </c>
      <c r="G314" s="126" t="str">
        <f t="shared" si="26"/>
        <v>LS-AMN-4</v>
      </c>
      <c r="H314" s="127" t="s">
        <v>292</v>
      </c>
      <c r="I314" s="19">
        <v>1</v>
      </c>
      <c r="J314" s="19" t="s">
        <v>310</v>
      </c>
      <c r="K314" s="19"/>
      <c r="L314" s="19"/>
    </row>
    <row r="315" spans="2:12" s="18" customFormat="1" ht="14.25" customHeight="1" outlineLevel="1">
      <c r="B315" s="118" t="s">
        <v>19</v>
      </c>
      <c r="C315" s="330" t="s">
        <v>18781</v>
      </c>
      <c r="D315" s="124" t="s">
        <v>18782</v>
      </c>
      <c r="E315" s="125"/>
      <c r="F315" s="118" t="s">
        <v>4628</v>
      </c>
      <c r="G315" s="126" t="str">
        <f t="shared" ref="G315" si="29">CONCATENATE("LS-",F315,"-",H315)</f>
        <v>LS-AMN-4</v>
      </c>
      <c r="H315" s="127" t="s">
        <v>292</v>
      </c>
      <c r="I315" s="19">
        <v>1</v>
      </c>
      <c r="J315" s="19" t="s">
        <v>286</v>
      </c>
      <c r="K315" s="19"/>
      <c r="L315" s="19"/>
    </row>
    <row r="316" spans="2:12" s="18" customFormat="1" ht="14.25" customHeight="1" outlineLevel="1">
      <c r="B316" s="118" t="s">
        <v>19</v>
      </c>
      <c r="C316" s="330" t="s">
        <v>18783</v>
      </c>
      <c r="D316" s="124" t="s">
        <v>18784</v>
      </c>
      <c r="E316" s="125"/>
      <c r="F316" s="118" t="s">
        <v>4628</v>
      </c>
      <c r="G316" s="126" t="str">
        <f t="shared" si="26"/>
        <v>LS-AMN-4</v>
      </c>
      <c r="H316" s="127" t="s">
        <v>292</v>
      </c>
      <c r="I316" s="19">
        <v>1</v>
      </c>
      <c r="J316" s="19" t="s">
        <v>307</v>
      </c>
      <c r="K316" s="19"/>
      <c r="L316" s="19"/>
    </row>
    <row r="317" spans="2:12" s="18" customFormat="1" ht="14.25" customHeight="1" outlineLevel="1">
      <c r="B317" s="118" t="s">
        <v>19</v>
      </c>
      <c r="C317" s="330" t="s">
        <v>18785</v>
      </c>
      <c r="D317" s="124" t="s">
        <v>18786</v>
      </c>
      <c r="E317" s="125"/>
      <c r="F317" s="118" t="s">
        <v>4628</v>
      </c>
      <c r="G317" s="126" t="str">
        <f t="shared" si="26"/>
        <v>LS-AMN-4</v>
      </c>
      <c r="H317" s="127" t="s">
        <v>292</v>
      </c>
      <c r="I317" s="19">
        <v>1</v>
      </c>
      <c r="J317" s="19" t="s">
        <v>286</v>
      </c>
      <c r="K317" s="19"/>
      <c r="L317" s="19"/>
    </row>
    <row r="318" spans="2:12" s="18" customFormat="1" ht="14.25" customHeight="1" outlineLevel="1">
      <c r="B318" s="118" t="s">
        <v>19</v>
      </c>
      <c r="C318" s="330" t="s">
        <v>18787</v>
      </c>
      <c r="D318" s="124" t="s">
        <v>18788</v>
      </c>
      <c r="E318" s="125"/>
      <c r="F318" s="118" t="s">
        <v>4628</v>
      </c>
      <c r="G318" s="126" t="str">
        <f t="shared" si="26"/>
        <v>LS-AMN-4</v>
      </c>
      <c r="H318" s="127" t="s">
        <v>292</v>
      </c>
      <c r="I318" s="19">
        <v>1</v>
      </c>
      <c r="J318" s="19" t="s">
        <v>286</v>
      </c>
      <c r="K318" s="19"/>
      <c r="L318" s="19"/>
    </row>
    <row r="319" spans="2:12" s="18" customFormat="1" ht="14.25" customHeight="1" outlineLevel="1">
      <c r="B319" s="118" t="s">
        <v>19</v>
      </c>
      <c r="C319" s="330" t="s">
        <v>18789</v>
      </c>
      <c r="D319" s="124" t="s">
        <v>18790</v>
      </c>
      <c r="E319" s="125"/>
      <c r="F319" s="118" t="s">
        <v>4628</v>
      </c>
      <c r="G319" s="126" t="str">
        <f t="shared" si="26"/>
        <v>LS-AMN-4</v>
      </c>
      <c r="H319" s="127" t="s">
        <v>292</v>
      </c>
      <c r="I319" s="19">
        <v>1</v>
      </c>
      <c r="J319" s="19" t="s">
        <v>286</v>
      </c>
      <c r="K319" s="19"/>
      <c r="L319" s="19"/>
    </row>
    <row r="320" spans="2:12" s="18" customFormat="1" ht="14.25" customHeight="1" outlineLevel="1">
      <c r="B320" s="118" t="s">
        <v>19</v>
      </c>
      <c r="C320" s="330" t="s">
        <v>18791</v>
      </c>
      <c r="D320" s="124" t="s">
        <v>18792</v>
      </c>
      <c r="E320" s="125"/>
      <c r="F320" s="118" t="s">
        <v>4628</v>
      </c>
      <c r="G320" s="126" t="str">
        <f t="shared" si="26"/>
        <v>LS-AMN-4</v>
      </c>
      <c r="H320" s="127" t="s">
        <v>292</v>
      </c>
      <c r="I320" s="19">
        <v>1</v>
      </c>
      <c r="J320" s="19" t="s">
        <v>286</v>
      </c>
      <c r="K320" s="19"/>
      <c r="L320" s="19"/>
    </row>
    <row r="321" spans="1:12" s="18" customFormat="1" ht="14.25" customHeight="1" outlineLevel="1">
      <c r="B321" s="118" t="s">
        <v>19</v>
      </c>
      <c r="C321" s="330" t="s">
        <v>18793</v>
      </c>
      <c r="D321" s="124" t="s">
        <v>18794</v>
      </c>
      <c r="E321" s="125"/>
      <c r="F321" s="118" t="s">
        <v>4628</v>
      </c>
      <c r="G321" s="126" t="str">
        <f t="shared" si="26"/>
        <v>LS-AMN-4</v>
      </c>
      <c r="H321" s="127" t="s">
        <v>292</v>
      </c>
      <c r="I321" s="19">
        <v>1</v>
      </c>
      <c r="J321" s="19" t="s">
        <v>286</v>
      </c>
      <c r="K321" s="19"/>
      <c r="L321" s="19"/>
    </row>
    <row r="322" spans="1:12" s="18" customFormat="1" ht="14.25" customHeight="1" outlineLevel="1">
      <c r="B322" s="118" t="s">
        <v>19</v>
      </c>
      <c r="C322" s="330" t="s">
        <v>18795</v>
      </c>
      <c r="D322" s="124" t="s">
        <v>18796</v>
      </c>
      <c r="E322" s="125"/>
      <c r="F322" s="118" t="s">
        <v>4628</v>
      </c>
      <c r="G322" s="126" t="str">
        <f t="shared" si="26"/>
        <v>LS-AMN-4</v>
      </c>
      <c r="H322" s="127" t="s">
        <v>292</v>
      </c>
      <c r="I322" s="19">
        <v>1</v>
      </c>
      <c r="J322" s="19" t="s">
        <v>286</v>
      </c>
      <c r="K322" s="19"/>
      <c r="L322" s="19"/>
    </row>
    <row r="323" spans="1:12" s="18" customFormat="1" ht="14.25" customHeight="1" outlineLevel="1">
      <c r="B323" s="118" t="s">
        <v>19</v>
      </c>
      <c r="C323" s="330" t="s">
        <v>18797</v>
      </c>
      <c r="D323" s="124" t="s">
        <v>18798</v>
      </c>
      <c r="E323" s="125"/>
      <c r="F323" s="118" t="s">
        <v>4628</v>
      </c>
      <c r="G323" s="126" t="str">
        <f t="shared" si="26"/>
        <v>LS-AMN-4</v>
      </c>
      <c r="H323" s="127" t="s">
        <v>292</v>
      </c>
      <c r="I323" s="19">
        <v>1</v>
      </c>
      <c r="J323" s="19" t="s">
        <v>286</v>
      </c>
      <c r="K323" s="19"/>
      <c r="L323" s="19"/>
    </row>
    <row r="324" spans="1:12" s="18" customFormat="1" ht="14.25" customHeight="1" outlineLevel="1">
      <c r="B324" s="118" t="s">
        <v>19</v>
      </c>
      <c r="C324" s="330" t="s">
        <v>18799</v>
      </c>
      <c r="D324" s="124" t="s">
        <v>18800</v>
      </c>
      <c r="E324" s="125"/>
      <c r="F324" s="118" t="s">
        <v>4628</v>
      </c>
      <c r="G324" s="126" t="str">
        <f t="shared" si="26"/>
        <v>LS-AMN-4</v>
      </c>
      <c r="H324" s="127" t="s">
        <v>292</v>
      </c>
      <c r="I324" s="19">
        <v>1</v>
      </c>
      <c r="J324" s="19" t="s">
        <v>286</v>
      </c>
      <c r="K324" s="19"/>
      <c r="L324" s="19"/>
    </row>
    <row r="325" spans="1:12" s="18" customFormat="1" ht="14.25" customHeight="1" outlineLevel="1">
      <c r="B325" s="118" t="s">
        <v>19</v>
      </c>
      <c r="C325" s="330" t="s">
        <v>18801</v>
      </c>
      <c r="D325" s="124" t="s">
        <v>18802</v>
      </c>
      <c r="E325" s="125"/>
      <c r="F325" s="118" t="s">
        <v>4628</v>
      </c>
      <c r="G325" s="126" t="str">
        <f t="shared" si="26"/>
        <v>LS-AMN-4</v>
      </c>
      <c r="H325" s="127" t="s">
        <v>292</v>
      </c>
      <c r="I325" s="19">
        <v>1</v>
      </c>
      <c r="J325" s="19" t="s">
        <v>286</v>
      </c>
      <c r="K325" s="19"/>
      <c r="L325" s="19"/>
    </row>
    <row r="326" spans="1:12" s="18" customFormat="1" ht="14.25" customHeight="1" outlineLevel="1">
      <c r="B326" s="118" t="s">
        <v>19</v>
      </c>
      <c r="C326" s="330" t="s">
        <v>18803</v>
      </c>
      <c r="D326" s="124" t="s">
        <v>18804</v>
      </c>
      <c r="E326" s="125"/>
      <c r="F326" s="118" t="s">
        <v>4628</v>
      </c>
      <c r="G326" s="126" t="str">
        <f t="shared" si="26"/>
        <v>LS-AMN-4</v>
      </c>
      <c r="H326" s="127" t="s">
        <v>292</v>
      </c>
      <c r="I326" s="19">
        <v>1</v>
      </c>
      <c r="J326" s="19" t="s">
        <v>286</v>
      </c>
      <c r="K326" s="19"/>
      <c r="L326" s="19"/>
    </row>
    <row r="327" spans="1:12" s="18" customFormat="1" ht="14.25" customHeight="1" outlineLevel="1">
      <c r="B327" s="118" t="s">
        <v>19</v>
      </c>
      <c r="C327" s="330" t="s">
        <v>18805</v>
      </c>
      <c r="D327" s="124" t="s">
        <v>18806</v>
      </c>
      <c r="E327" s="125"/>
      <c r="F327" s="118" t="s">
        <v>4628</v>
      </c>
      <c r="G327" s="126" t="str">
        <f t="shared" si="26"/>
        <v>LS-AMN-4</v>
      </c>
      <c r="H327" s="127" t="s">
        <v>292</v>
      </c>
      <c r="I327" s="19">
        <v>1</v>
      </c>
      <c r="J327" s="19" t="s">
        <v>286</v>
      </c>
      <c r="K327" s="19"/>
      <c r="L327" s="19"/>
    </row>
    <row r="328" spans="1:12" s="18" customFormat="1" ht="14.25" customHeight="1" outlineLevel="1">
      <c r="B328" s="118" t="s">
        <v>19</v>
      </c>
      <c r="C328" s="330" t="s">
        <v>18807</v>
      </c>
      <c r="D328" s="124" t="s">
        <v>18808</v>
      </c>
      <c r="E328" s="125"/>
      <c r="F328" s="118" t="s">
        <v>4628</v>
      </c>
      <c r="G328" s="126" t="str">
        <f t="shared" si="26"/>
        <v>LS-AMN-4</v>
      </c>
      <c r="H328" s="127" t="s">
        <v>292</v>
      </c>
      <c r="I328" s="19">
        <v>1</v>
      </c>
      <c r="J328" s="19" t="s">
        <v>286</v>
      </c>
      <c r="K328" s="19"/>
      <c r="L328" s="19"/>
    </row>
    <row r="329" spans="1:12" s="18" customFormat="1" ht="14.25" customHeight="1" outlineLevel="1">
      <c r="B329" s="118" t="s">
        <v>19</v>
      </c>
      <c r="C329" s="330" t="s">
        <v>18809</v>
      </c>
      <c r="D329" s="124" t="s">
        <v>18810</v>
      </c>
      <c r="E329" s="125"/>
      <c r="F329" s="118" t="s">
        <v>4628</v>
      </c>
      <c r="G329" s="126" t="str">
        <f t="shared" si="26"/>
        <v>LS-AMN-4</v>
      </c>
      <c r="H329" s="127" t="s">
        <v>292</v>
      </c>
      <c r="I329" s="19">
        <v>1</v>
      </c>
      <c r="J329" s="19" t="s">
        <v>286</v>
      </c>
      <c r="K329" s="19"/>
      <c r="L329" s="19"/>
    </row>
    <row r="330" spans="1:12" s="18" customFormat="1" ht="14.25" customHeight="1" outlineLevel="1">
      <c r="B330" s="118" t="s">
        <v>19</v>
      </c>
      <c r="C330" s="330" t="s">
        <v>18811</v>
      </c>
      <c r="D330" s="124" t="s">
        <v>18812</v>
      </c>
      <c r="E330" s="125"/>
      <c r="F330" s="118" t="s">
        <v>4628</v>
      </c>
      <c r="G330" s="126" t="str">
        <f t="shared" si="26"/>
        <v>LS-AMN-4</v>
      </c>
      <c r="H330" s="127" t="s">
        <v>292</v>
      </c>
      <c r="I330" s="19">
        <v>1</v>
      </c>
      <c r="J330" s="19" t="s">
        <v>286</v>
      </c>
      <c r="K330" s="19"/>
      <c r="L330" s="19"/>
    </row>
    <row r="331" spans="1:12" s="18" customFormat="1" ht="14.25" customHeight="1" outlineLevel="1">
      <c r="B331" s="118" t="s">
        <v>19</v>
      </c>
      <c r="C331" s="330" t="s">
        <v>18813</v>
      </c>
      <c r="D331" s="124" t="s">
        <v>18814</v>
      </c>
      <c r="E331" s="125"/>
      <c r="F331" s="118" t="s">
        <v>4628</v>
      </c>
      <c r="G331" s="126" t="str">
        <f t="shared" si="26"/>
        <v>LS-AMN-4</v>
      </c>
      <c r="H331" s="127" t="s">
        <v>292</v>
      </c>
      <c r="I331" s="19">
        <v>1</v>
      </c>
      <c r="J331" s="19" t="s">
        <v>286</v>
      </c>
      <c r="K331" s="19"/>
      <c r="L331" s="19"/>
    </row>
    <row r="332" spans="1:12" s="18" customFormat="1" ht="14.25" customHeight="1" outlineLevel="1">
      <c r="B332" s="118" t="s">
        <v>19</v>
      </c>
      <c r="C332" s="330" t="s">
        <v>18815</v>
      </c>
      <c r="D332" s="124" t="s">
        <v>18776</v>
      </c>
      <c r="E332" s="125"/>
      <c r="F332" s="118" t="s">
        <v>4628</v>
      </c>
      <c r="G332" s="126" t="str">
        <f t="shared" si="26"/>
        <v>LS-AMN-4</v>
      </c>
      <c r="H332" s="127" t="s">
        <v>292</v>
      </c>
      <c r="I332" s="19">
        <v>1</v>
      </c>
      <c r="J332" s="19" t="s">
        <v>286</v>
      </c>
      <c r="K332" s="19"/>
      <c r="L332" s="19"/>
    </row>
    <row r="333" spans="1:12" s="18" customFormat="1" ht="3" customHeight="1">
      <c r="A333" s="292"/>
      <c r="B333" s="118"/>
      <c r="C333" s="135"/>
      <c r="D333" s="326"/>
      <c r="E333" s="125"/>
      <c r="F333" s="17"/>
      <c r="G333" s="132"/>
      <c r="H333" s="127"/>
      <c r="I333" s="19"/>
      <c r="J333" s="19"/>
      <c r="L333" s="19"/>
    </row>
    <row r="334" spans="1:12" s="18" customFormat="1" ht="14.25" customHeight="1">
      <c r="A334" s="328" t="s">
        <v>18816</v>
      </c>
      <c r="B334" s="118"/>
      <c r="C334" s="331"/>
      <c r="D334" s="326"/>
      <c r="E334" s="125"/>
      <c r="F334" s="17"/>
      <c r="G334" s="132"/>
      <c r="H334" s="127"/>
      <c r="I334" s="19"/>
      <c r="J334" s="19"/>
      <c r="K334" s="19"/>
      <c r="L334" s="19"/>
    </row>
    <row r="335" spans="1:12" s="18" customFormat="1" ht="14.25" customHeight="1" outlineLevel="1">
      <c r="B335" s="118" t="s">
        <v>19</v>
      </c>
      <c r="C335" s="330"/>
      <c r="D335" s="124" t="s">
        <v>18817</v>
      </c>
      <c r="E335" s="125"/>
      <c r="F335" s="118" t="s">
        <v>4628</v>
      </c>
      <c r="G335" s="126" t="str">
        <f t="shared" ref="G335:G344" si="30">CONCATENATE("LS-",F335,"-",H335)</f>
        <v>LS-AMN-4</v>
      </c>
      <c r="H335" s="127">
        <v>4</v>
      </c>
      <c r="I335" s="19"/>
      <c r="J335" s="19"/>
      <c r="K335" s="19">
        <v>1</v>
      </c>
      <c r="L335" s="19">
        <v>1</v>
      </c>
    </row>
    <row r="336" spans="1:12" s="18" customFormat="1" ht="14.25" customHeight="1" outlineLevel="1">
      <c r="B336" s="118" t="s">
        <v>19</v>
      </c>
      <c r="C336" s="330"/>
      <c r="D336" s="124" t="s">
        <v>18818</v>
      </c>
      <c r="E336" s="125"/>
      <c r="F336" s="118" t="s">
        <v>4628</v>
      </c>
      <c r="G336" s="126" t="str">
        <f t="shared" si="30"/>
        <v>LS-AMN-4</v>
      </c>
      <c r="H336" s="127">
        <v>4</v>
      </c>
      <c r="I336" s="19"/>
      <c r="J336" s="19"/>
      <c r="K336" s="19">
        <v>1</v>
      </c>
      <c r="L336" s="19">
        <v>1</v>
      </c>
    </row>
    <row r="337" spans="1:16383" s="18" customFormat="1" ht="14.25" customHeight="1" outlineLevel="1">
      <c r="B337" s="118" t="s">
        <v>19</v>
      </c>
      <c r="C337" s="330"/>
      <c r="D337" s="124" t="s">
        <v>18819</v>
      </c>
      <c r="E337" s="125"/>
      <c r="F337" s="118" t="s">
        <v>4628</v>
      </c>
      <c r="G337" s="126" t="str">
        <f t="shared" si="30"/>
        <v>LS-AMN-4</v>
      </c>
      <c r="H337" s="127">
        <v>4</v>
      </c>
      <c r="I337" s="19"/>
      <c r="J337" s="19"/>
      <c r="K337" s="19">
        <v>1</v>
      </c>
      <c r="L337" s="19">
        <v>1</v>
      </c>
    </row>
    <row r="338" spans="1:16383" s="18" customFormat="1" ht="14.25" customHeight="1" outlineLevel="1">
      <c r="B338" s="118" t="s">
        <v>19</v>
      </c>
      <c r="C338" s="330"/>
      <c r="D338" s="124" t="s">
        <v>18820</v>
      </c>
      <c r="E338" s="125"/>
      <c r="F338" s="118" t="s">
        <v>4628</v>
      </c>
      <c r="G338" s="126" t="str">
        <f t="shared" si="30"/>
        <v>LS-AMN-4</v>
      </c>
      <c r="H338" s="127">
        <v>4</v>
      </c>
      <c r="I338" s="19"/>
      <c r="J338" s="19"/>
      <c r="K338" s="19">
        <v>1</v>
      </c>
      <c r="L338" s="19">
        <v>1</v>
      </c>
    </row>
    <row r="339" spans="1:16383" s="18" customFormat="1" ht="14.25" customHeight="1" outlineLevel="1">
      <c r="B339" s="118" t="s">
        <v>19</v>
      </c>
      <c r="C339" s="330"/>
      <c r="D339" s="124" t="s">
        <v>18821</v>
      </c>
      <c r="E339" s="125"/>
      <c r="F339" s="118" t="s">
        <v>4628</v>
      </c>
      <c r="G339" s="126" t="str">
        <f t="shared" si="30"/>
        <v>LS-AMN-4</v>
      </c>
      <c r="H339" s="127">
        <v>4</v>
      </c>
      <c r="I339" s="19"/>
      <c r="J339" s="19"/>
      <c r="K339" s="19">
        <v>1</v>
      </c>
      <c r="L339" s="19">
        <v>1</v>
      </c>
    </row>
    <row r="340" spans="1:16383" s="18" customFormat="1" ht="14.25" customHeight="1" outlineLevel="1">
      <c r="B340" s="118" t="s">
        <v>19</v>
      </c>
      <c r="C340" s="330"/>
      <c r="D340" s="124" t="s">
        <v>18822</v>
      </c>
      <c r="E340" s="125"/>
      <c r="F340" s="118" t="s">
        <v>4628</v>
      </c>
      <c r="G340" s="126" t="str">
        <f t="shared" si="30"/>
        <v>LS-AMN-4</v>
      </c>
      <c r="H340" s="127">
        <v>4</v>
      </c>
      <c r="I340" s="19"/>
      <c r="J340" s="19"/>
      <c r="K340" s="19">
        <v>1</v>
      </c>
      <c r="L340" s="19">
        <v>1</v>
      </c>
    </row>
    <row r="341" spans="1:16383" s="18" customFormat="1" ht="14.25" customHeight="1" outlineLevel="1">
      <c r="B341" s="118" t="s">
        <v>19</v>
      </c>
      <c r="C341" s="330"/>
      <c r="D341" s="124" t="s">
        <v>18823</v>
      </c>
      <c r="E341" s="125"/>
      <c r="F341" s="118" t="s">
        <v>4628</v>
      </c>
      <c r="G341" s="126" t="str">
        <f t="shared" si="30"/>
        <v>LS-AMN-4</v>
      </c>
      <c r="H341" s="127">
        <v>4</v>
      </c>
      <c r="I341" s="19"/>
      <c r="J341" s="19"/>
      <c r="K341" s="19">
        <v>1</v>
      </c>
      <c r="L341" s="19">
        <v>1</v>
      </c>
    </row>
    <row r="342" spans="1:16383" s="18" customFormat="1" ht="14.25" customHeight="1" outlineLevel="1">
      <c r="B342" s="118" t="s">
        <v>19</v>
      </c>
      <c r="C342" s="330"/>
      <c r="D342" s="124" t="s">
        <v>18581</v>
      </c>
      <c r="E342" s="125"/>
      <c r="F342" s="118" t="s">
        <v>4628</v>
      </c>
      <c r="G342" s="126" t="str">
        <f t="shared" si="30"/>
        <v>LS-AMN-4</v>
      </c>
      <c r="H342" s="127">
        <v>4</v>
      </c>
      <c r="I342" s="19"/>
      <c r="J342" s="19"/>
      <c r="K342" s="19">
        <v>1</v>
      </c>
      <c r="L342" s="19">
        <v>1</v>
      </c>
    </row>
    <row r="343" spans="1:16383" s="18" customFormat="1" ht="14.25" customHeight="1" outlineLevel="1">
      <c r="B343" s="118" t="s">
        <v>19</v>
      </c>
      <c r="C343" s="330"/>
      <c r="D343" s="124" t="s">
        <v>18824</v>
      </c>
      <c r="E343" s="125"/>
      <c r="F343" s="118" t="s">
        <v>4628</v>
      </c>
      <c r="G343" s="126" t="str">
        <f t="shared" si="30"/>
        <v>LS-AMN-4</v>
      </c>
      <c r="H343" s="127">
        <v>4</v>
      </c>
      <c r="I343" s="19"/>
      <c r="J343" s="19"/>
      <c r="K343" s="19">
        <v>1</v>
      </c>
      <c r="L343" s="19">
        <v>1</v>
      </c>
    </row>
    <row r="344" spans="1:16383" s="18" customFormat="1" ht="14.25" customHeight="1" outlineLevel="1">
      <c r="B344" s="118" t="s">
        <v>19</v>
      </c>
      <c r="C344" s="330"/>
      <c r="D344" s="124" t="s">
        <v>18825</v>
      </c>
      <c r="E344" s="125"/>
      <c r="F344" s="118" t="s">
        <v>4628</v>
      </c>
      <c r="G344" s="126" t="str">
        <f t="shared" si="30"/>
        <v>LS-AMN-4</v>
      </c>
      <c r="H344" s="127">
        <v>4</v>
      </c>
      <c r="I344" s="19"/>
      <c r="J344" s="19"/>
      <c r="K344" s="19">
        <v>1</v>
      </c>
      <c r="L344" s="19">
        <v>1</v>
      </c>
      <c r="M344" s="19"/>
      <c r="N344" s="19"/>
      <c r="O344" s="19"/>
      <c r="P344" s="19"/>
      <c r="Q344" s="19"/>
      <c r="R344" s="19"/>
      <c r="S344" s="19"/>
      <c r="T344" s="19"/>
      <c r="V344" s="332"/>
      <c r="W344" s="333"/>
      <c r="X344" s="333"/>
    </row>
    <row r="345" spans="1:16383" ht="3" customHeight="1">
      <c r="B345" s="16"/>
      <c r="C345" s="16"/>
    </row>
    <row r="346" spans="1:16383">
      <c r="B346" s="16"/>
      <c r="C346" s="16"/>
    </row>
    <row r="349" spans="1:16383" ht="1.35" customHeight="1">
      <c r="A349" s="16" t="s">
        <v>4867</v>
      </c>
      <c r="B349" s="16" t="s">
        <v>4867</v>
      </c>
      <c r="C349" s="16" t="s">
        <v>4867</v>
      </c>
      <c r="D349" s="16" t="s">
        <v>4867</v>
      </c>
      <c r="E349" s="16" t="s">
        <v>4867</v>
      </c>
      <c r="F349" s="16" t="s">
        <v>4867</v>
      </c>
      <c r="G349" s="16" t="s">
        <v>4867</v>
      </c>
      <c r="H349" s="16" t="s">
        <v>4867</v>
      </c>
      <c r="I349" s="16" t="s">
        <v>4867</v>
      </c>
      <c r="J349" s="16" t="s">
        <v>4867</v>
      </c>
      <c r="K349" s="16" t="s">
        <v>4867</v>
      </c>
      <c r="L349" s="19" t="s">
        <v>4867</v>
      </c>
      <c r="M349" s="19" t="s">
        <v>4867</v>
      </c>
      <c r="N349" s="16" t="s">
        <v>4867</v>
      </c>
      <c r="O349" s="16" t="s">
        <v>4867</v>
      </c>
      <c r="P349" s="16" t="s">
        <v>4867</v>
      </c>
      <c r="Q349" s="16" t="s">
        <v>4867</v>
      </c>
      <c r="R349" s="16" t="s">
        <v>4867</v>
      </c>
      <c r="S349" s="16" t="s">
        <v>4867</v>
      </c>
      <c r="T349" s="16" t="s">
        <v>4867</v>
      </c>
      <c r="U349" s="16" t="s">
        <v>4867</v>
      </c>
      <c r="Y349" s="16" t="s">
        <v>4867</v>
      </c>
      <c r="Z349" s="16" t="s">
        <v>4867</v>
      </c>
      <c r="AA349" s="16" t="s">
        <v>4867</v>
      </c>
      <c r="AB349" s="16" t="s">
        <v>4867</v>
      </c>
      <c r="AC349" s="16" t="s">
        <v>4867</v>
      </c>
      <c r="AD349" s="16" t="s">
        <v>4867</v>
      </c>
      <c r="AE349" s="16" t="s">
        <v>4867</v>
      </c>
      <c r="AF349" s="16" t="s">
        <v>4867</v>
      </c>
      <c r="AG349" s="16" t="s">
        <v>4867</v>
      </c>
      <c r="AH349" s="16" t="s">
        <v>4867</v>
      </c>
      <c r="AI349" s="16" t="s">
        <v>4867</v>
      </c>
      <c r="AJ349" s="16" t="s">
        <v>4867</v>
      </c>
      <c r="AK349" s="16" t="s">
        <v>4867</v>
      </c>
      <c r="AL349" s="16" t="s">
        <v>4867</v>
      </c>
      <c r="AM349" s="16" t="s">
        <v>4867</v>
      </c>
      <c r="AN349" s="16" t="s">
        <v>4867</v>
      </c>
      <c r="AO349" s="16" t="s">
        <v>4867</v>
      </c>
      <c r="AP349" s="16" t="s">
        <v>4867</v>
      </c>
      <c r="AQ349" s="16" t="s">
        <v>4867</v>
      </c>
      <c r="AR349" s="16" t="s">
        <v>4867</v>
      </c>
      <c r="AS349" s="16" t="s">
        <v>4867</v>
      </c>
      <c r="AT349" s="16" t="s">
        <v>4867</v>
      </c>
      <c r="AU349" s="16" t="s">
        <v>4867</v>
      </c>
      <c r="AV349" s="16" t="s">
        <v>4867</v>
      </c>
      <c r="AW349" s="16" t="s">
        <v>4867</v>
      </c>
      <c r="AX349" s="16" t="s">
        <v>4867</v>
      </c>
      <c r="AY349" s="16" t="s">
        <v>4867</v>
      </c>
      <c r="AZ349" s="16" t="s">
        <v>4867</v>
      </c>
      <c r="BA349" s="16" t="s">
        <v>4867</v>
      </c>
      <c r="BB349" s="16" t="s">
        <v>4867</v>
      </c>
      <c r="BC349" s="16" t="s">
        <v>4867</v>
      </c>
      <c r="BD349" s="16" t="s">
        <v>4867</v>
      </c>
      <c r="BE349" s="16" t="s">
        <v>4867</v>
      </c>
      <c r="BF349" s="16" t="s">
        <v>4867</v>
      </c>
      <c r="BG349" s="16" t="s">
        <v>4867</v>
      </c>
      <c r="BH349" s="16" t="s">
        <v>4867</v>
      </c>
      <c r="BI349" s="16" t="s">
        <v>4867</v>
      </c>
      <c r="BJ349" s="16" t="s">
        <v>4867</v>
      </c>
      <c r="BK349" s="16" t="s">
        <v>4867</v>
      </c>
      <c r="BL349" s="16" t="s">
        <v>4867</v>
      </c>
      <c r="BM349" s="16" t="s">
        <v>4867</v>
      </c>
      <c r="BN349" s="16" t="s">
        <v>4867</v>
      </c>
      <c r="BO349" s="16" t="s">
        <v>4867</v>
      </c>
      <c r="BP349" s="16" t="s">
        <v>4867</v>
      </c>
      <c r="BQ349" s="16" t="s">
        <v>4867</v>
      </c>
      <c r="BR349" s="16" t="s">
        <v>4867</v>
      </c>
      <c r="BS349" s="16" t="s">
        <v>4867</v>
      </c>
      <c r="BT349" s="16" t="s">
        <v>4867</v>
      </c>
      <c r="BU349" s="16" t="s">
        <v>4867</v>
      </c>
      <c r="BV349" s="16" t="s">
        <v>4867</v>
      </c>
      <c r="BW349" s="16" t="s">
        <v>4867</v>
      </c>
      <c r="BX349" s="16" t="s">
        <v>4867</v>
      </c>
      <c r="BY349" s="16" t="s">
        <v>4867</v>
      </c>
      <c r="BZ349" s="16" t="s">
        <v>4867</v>
      </c>
      <c r="CA349" s="16" t="s">
        <v>4867</v>
      </c>
      <c r="CB349" s="16" t="s">
        <v>4867</v>
      </c>
      <c r="CC349" s="16" t="s">
        <v>4867</v>
      </c>
      <c r="CD349" s="16" t="s">
        <v>4867</v>
      </c>
      <c r="CE349" s="16" t="s">
        <v>4867</v>
      </c>
      <c r="CF349" s="16" t="s">
        <v>4867</v>
      </c>
      <c r="CG349" s="16" t="s">
        <v>4867</v>
      </c>
      <c r="CH349" s="16" t="s">
        <v>4867</v>
      </c>
      <c r="CI349" s="16" t="s">
        <v>4867</v>
      </c>
      <c r="CJ349" s="16" t="s">
        <v>4867</v>
      </c>
      <c r="CK349" s="16" t="s">
        <v>4867</v>
      </c>
      <c r="CL349" s="16" t="s">
        <v>4867</v>
      </c>
      <c r="CM349" s="16" t="s">
        <v>4867</v>
      </c>
      <c r="CN349" s="16" t="s">
        <v>4867</v>
      </c>
      <c r="CO349" s="16" t="s">
        <v>4867</v>
      </c>
      <c r="CP349" s="16" t="s">
        <v>4867</v>
      </c>
      <c r="CQ349" s="16" t="s">
        <v>4867</v>
      </c>
      <c r="CR349" s="16" t="s">
        <v>4867</v>
      </c>
      <c r="CS349" s="16" t="s">
        <v>4867</v>
      </c>
      <c r="CT349" s="16" t="s">
        <v>4867</v>
      </c>
      <c r="CU349" s="16" t="s">
        <v>4867</v>
      </c>
      <c r="CV349" s="16" t="s">
        <v>4867</v>
      </c>
      <c r="CW349" s="16" t="s">
        <v>4867</v>
      </c>
      <c r="CX349" s="16" t="s">
        <v>4867</v>
      </c>
      <c r="CY349" s="16" t="s">
        <v>4867</v>
      </c>
      <c r="CZ349" s="16" t="s">
        <v>4867</v>
      </c>
      <c r="DA349" s="16" t="s">
        <v>4867</v>
      </c>
      <c r="DB349" s="16" t="s">
        <v>4867</v>
      </c>
      <c r="DC349" s="16" t="s">
        <v>4867</v>
      </c>
      <c r="DD349" s="16" t="s">
        <v>4867</v>
      </c>
      <c r="DE349" s="16" t="s">
        <v>4867</v>
      </c>
      <c r="DF349" s="16" t="s">
        <v>4867</v>
      </c>
      <c r="DG349" s="16" t="s">
        <v>4867</v>
      </c>
      <c r="DH349" s="16" t="s">
        <v>4867</v>
      </c>
      <c r="DI349" s="16" t="s">
        <v>4867</v>
      </c>
      <c r="DJ349" s="16" t="s">
        <v>4867</v>
      </c>
      <c r="DK349" s="16" t="s">
        <v>4867</v>
      </c>
      <c r="DL349" s="16" t="s">
        <v>4867</v>
      </c>
      <c r="DM349" s="16" t="s">
        <v>4867</v>
      </c>
      <c r="DN349" s="16" t="s">
        <v>4867</v>
      </c>
      <c r="DO349" s="16" t="s">
        <v>4867</v>
      </c>
      <c r="DP349" s="16" t="s">
        <v>4867</v>
      </c>
      <c r="DQ349" s="16" t="s">
        <v>4867</v>
      </c>
      <c r="DR349" s="16" t="s">
        <v>4867</v>
      </c>
      <c r="DS349" s="16" t="s">
        <v>4867</v>
      </c>
      <c r="DT349" s="16" t="s">
        <v>4867</v>
      </c>
      <c r="DU349" s="16" t="s">
        <v>4867</v>
      </c>
      <c r="DV349" s="16" t="s">
        <v>4867</v>
      </c>
      <c r="DW349" s="16" t="s">
        <v>4867</v>
      </c>
      <c r="DX349" s="16" t="s">
        <v>4867</v>
      </c>
      <c r="DY349" s="16" t="s">
        <v>4867</v>
      </c>
      <c r="DZ349" s="16" t="s">
        <v>4867</v>
      </c>
      <c r="EA349" s="16" t="s">
        <v>4867</v>
      </c>
      <c r="EB349" s="16" t="s">
        <v>4867</v>
      </c>
      <c r="EC349" s="16" t="s">
        <v>4867</v>
      </c>
      <c r="ED349" s="16" t="s">
        <v>4867</v>
      </c>
      <c r="EE349" s="16" t="s">
        <v>4867</v>
      </c>
      <c r="EF349" s="16" t="s">
        <v>4867</v>
      </c>
      <c r="EG349" s="16" t="s">
        <v>4867</v>
      </c>
      <c r="EH349" s="16" t="s">
        <v>4867</v>
      </c>
      <c r="EI349" s="16" t="s">
        <v>4867</v>
      </c>
      <c r="EJ349" s="16" t="s">
        <v>4867</v>
      </c>
      <c r="EK349" s="16" t="s">
        <v>4867</v>
      </c>
      <c r="EL349" s="16" t="s">
        <v>4867</v>
      </c>
      <c r="EM349" s="16" t="s">
        <v>4867</v>
      </c>
      <c r="EN349" s="16" t="s">
        <v>4867</v>
      </c>
      <c r="EO349" s="16" t="s">
        <v>4867</v>
      </c>
      <c r="EP349" s="16" t="s">
        <v>4867</v>
      </c>
      <c r="EQ349" s="16" t="s">
        <v>4867</v>
      </c>
      <c r="ER349" s="16" t="s">
        <v>4867</v>
      </c>
      <c r="ES349" s="16" t="s">
        <v>4867</v>
      </c>
      <c r="ET349" s="16" t="s">
        <v>4867</v>
      </c>
      <c r="EU349" s="16" t="s">
        <v>4867</v>
      </c>
      <c r="EV349" s="16" t="s">
        <v>4867</v>
      </c>
      <c r="EW349" s="16" t="s">
        <v>4867</v>
      </c>
      <c r="EX349" s="16" t="s">
        <v>4867</v>
      </c>
      <c r="EY349" s="16" t="s">
        <v>4867</v>
      </c>
      <c r="EZ349" s="16" t="s">
        <v>4867</v>
      </c>
      <c r="FA349" s="16" t="s">
        <v>4867</v>
      </c>
      <c r="FB349" s="16" t="s">
        <v>4867</v>
      </c>
      <c r="FC349" s="16" t="s">
        <v>4867</v>
      </c>
      <c r="FD349" s="16" t="s">
        <v>4867</v>
      </c>
      <c r="FE349" s="16" t="s">
        <v>4867</v>
      </c>
      <c r="FF349" s="16" t="s">
        <v>4867</v>
      </c>
      <c r="FG349" s="16" t="s">
        <v>4867</v>
      </c>
      <c r="FH349" s="16" t="s">
        <v>4867</v>
      </c>
      <c r="FI349" s="16" t="s">
        <v>4867</v>
      </c>
      <c r="FJ349" s="16" t="s">
        <v>4867</v>
      </c>
      <c r="FK349" s="16" t="s">
        <v>4867</v>
      </c>
      <c r="FL349" s="16" t="s">
        <v>4867</v>
      </c>
      <c r="FM349" s="16" t="s">
        <v>4867</v>
      </c>
      <c r="FN349" s="16" t="s">
        <v>4867</v>
      </c>
      <c r="FO349" s="16" t="s">
        <v>4867</v>
      </c>
      <c r="FP349" s="16" t="s">
        <v>4867</v>
      </c>
      <c r="FQ349" s="16" t="s">
        <v>4867</v>
      </c>
      <c r="FR349" s="16" t="s">
        <v>4867</v>
      </c>
      <c r="FS349" s="16" t="s">
        <v>4867</v>
      </c>
      <c r="FT349" s="16" t="s">
        <v>4867</v>
      </c>
      <c r="FU349" s="16" t="s">
        <v>4867</v>
      </c>
      <c r="FV349" s="16" t="s">
        <v>4867</v>
      </c>
      <c r="FW349" s="16" t="s">
        <v>4867</v>
      </c>
      <c r="FX349" s="16" t="s">
        <v>4867</v>
      </c>
      <c r="FY349" s="16" t="s">
        <v>4867</v>
      </c>
      <c r="FZ349" s="16" t="s">
        <v>4867</v>
      </c>
      <c r="GA349" s="16" t="s">
        <v>4867</v>
      </c>
      <c r="GB349" s="16" t="s">
        <v>4867</v>
      </c>
      <c r="GC349" s="16" t="s">
        <v>4867</v>
      </c>
      <c r="GD349" s="16" t="s">
        <v>4867</v>
      </c>
      <c r="GE349" s="16" t="s">
        <v>4867</v>
      </c>
      <c r="GF349" s="16" t="s">
        <v>4867</v>
      </c>
      <c r="GG349" s="16" t="s">
        <v>4867</v>
      </c>
      <c r="GH349" s="16" t="s">
        <v>4867</v>
      </c>
      <c r="GI349" s="16" t="s">
        <v>4867</v>
      </c>
      <c r="GJ349" s="16" t="s">
        <v>4867</v>
      </c>
      <c r="GK349" s="16" t="s">
        <v>4867</v>
      </c>
      <c r="GL349" s="16" t="s">
        <v>4867</v>
      </c>
      <c r="GM349" s="16" t="s">
        <v>4867</v>
      </c>
      <c r="GN349" s="16" t="s">
        <v>4867</v>
      </c>
      <c r="GO349" s="16" t="s">
        <v>4867</v>
      </c>
      <c r="GP349" s="16" t="s">
        <v>4867</v>
      </c>
      <c r="GQ349" s="16" t="s">
        <v>4867</v>
      </c>
      <c r="GR349" s="16" t="s">
        <v>4867</v>
      </c>
      <c r="GS349" s="16" t="s">
        <v>4867</v>
      </c>
      <c r="GT349" s="16" t="s">
        <v>4867</v>
      </c>
      <c r="GU349" s="16" t="s">
        <v>4867</v>
      </c>
      <c r="GV349" s="16" t="s">
        <v>4867</v>
      </c>
      <c r="GW349" s="16" t="s">
        <v>4867</v>
      </c>
      <c r="GX349" s="16" t="s">
        <v>4867</v>
      </c>
      <c r="GY349" s="16" t="s">
        <v>4867</v>
      </c>
      <c r="GZ349" s="16" t="s">
        <v>4867</v>
      </c>
      <c r="HA349" s="16" t="s">
        <v>4867</v>
      </c>
      <c r="HB349" s="16" t="s">
        <v>4867</v>
      </c>
      <c r="HC349" s="16" t="s">
        <v>4867</v>
      </c>
      <c r="HD349" s="16" t="s">
        <v>4867</v>
      </c>
      <c r="HE349" s="16" t="s">
        <v>4867</v>
      </c>
      <c r="HF349" s="16" t="s">
        <v>4867</v>
      </c>
      <c r="HG349" s="16" t="s">
        <v>4867</v>
      </c>
      <c r="HH349" s="16" t="s">
        <v>4867</v>
      </c>
      <c r="HI349" s="16" t="s">
        <v>4867</v>
      </c>
      <c r="HJ349" s="16" t="s">
        <v>4867</v>
      </c>
      <c r="HK349" s="16" t="s">
        <v>4867</v>
      </c>
      <c r="HL349" s="16" t="s">
        <v>4867</v>
      </c>
      <c r="HM349" s="16" t="s">
        <v>4867</v>
      </c>
      <c r="HN349" s="16" t="s">
        <v>4867</v>
      </c>
      <c r="HO349" s="16" t="s">
        <v>4867</v>
      </c>
      <c r="HP349" s="16" t="s">
        <v>4867</v>
      </c>
      <c r="HQ349" s="16" t="s">
        <v>4867</v>
      </c>
      <c r="HR349" s="16" t="s">
        <v>4867</v>
      </c>
      <c r="HS349" s="16" t="s">
        <v>4867</v>
      </c>
      <c r="HT349" s="16" t="s">
        <v>4867</v>
      </c>
      <c r="HU349" s="16" t="s">
        <v>4867</v>
      </c>
      <c r="HV349" s="16" t="s">
        <v>4867</v>
      </c>
      <c r="HW349" s="16" t="s">
        <v>4867</v>
      </c>
      <c r="HX349" s="16" t="s">
        <v>4867</v>
      </c>
      <c r="HY349" s="16" t="s">
        <v>4867</v>
      </c>
      <c r="HZ349" s="16" t="s">
        <v>4867</v>
      </c>
      <c r="IA349" s="16" t="s">
        <v>4867</v>
      </c>
      <c r="IB349" s="16" t="s">
        <v>4867</v>
      </c>
      <c r="IC349" s="16" t="s">
        <v>4867</v>
      </c>
      <c r="ID349" s="16" t="s">
        <v>4867</v>
      </c>
      <c r="IE349" s="16" t="s">
        <v>4867</v>
      </c>
      <c r="IF349" s="16" t="s">
        <v>4867</v>
      </c>
      <c r="IG349" s="16" t="s">
        <v>4867</v>
      </c>
      <c r="IH349" s="16" t="s">
        <v>4867</v>
      </c>
      <c r="II349" s="16" t="s">
        <v>4867</v>
      </c>
      <c r="IJ349" s="16" t="s">
        <v>4867</v>
      </c>
      <c r="IK349" s="16" t="s">
        <v>4867</v>
      </c>
      <c r="IL349" s="16" t="s">
        <v>4867</v>
      </c>
      <c r="IM349" s="16" t="s">
        <v>4867</v>
      </c>
      <c r="IN349" s="16" t="s">
        <v>4867</v>
      </c>
      <c r="IO349" s="16" t="s">
        <v>4867</v>
      </c>
      <c r="IP349" s="16" t="s">
        <v>4867</v>
      </c>
      <c r="IQ349" s="16" t="s">
        <v>4867</v>
      </c>
      <c r="IR349" s="16" t="s">
        <v>4867</v>
      </c>
      <c r="IS349" s="16" t="s">
        <v>4867</v>
      </c>
      <c r="IT349" s="16" t="s">
        <v>4867</v>
      </c>
      <c r="IU349" s="16" t="s">
        <v>4867</v>
      </c>
      <c r="IV349" s="16" t="s">
        <v>4867</v>
      </c>
      <c r="IW349" s="16" t="s">
        <v>4867</v>
      </c>
      <c r="IX349" s="16" t="s">
        <v>4867</v>
      </c>
      <c r="IY349" s="16" t="s">
        <v>4867</v>
      </c>
      <c r="IZ349" s="16" t="s">
        <v>4867</v>
      </c>
      <c r="JA349" s="16" t="s">
        <v>4867</v>
      </c>
      <c r="JB349" s="16" t="s">
        <v>4867</v>
      </c>
      <c r="JC349" s="16" t="s">
        <v>4867</v>
      </c>
      <c r="JD349" s="16" t="s">
        <v>4867</v>
      </c>
      <c r="JE349" s="16" t="s">
        <v>4867</v>
      </c>
      <c r="JF349" s="16" t="s">
        <v>4867</v>
      </c>
      <c r="JG349" s="16" t="s">
        <v>4867</v>
      </c>
      <c r="JH349" s="16" t="s">
        <v>4867</v>
      </c>
      <c r="JI349" s="16" t="s">
        <v>4867</v>
      </c>
      <c r="JJ349" s="16" t="s">
        <v>4867</v>
      </c>
      <c r="JK349" s="16" t="s">
        <v>4867</v>
      </c>
      <c r="JL349" s="16" t="s">
        <v>4867</v>
      </c>
      <c r="JM349" s="16" t="s">
        <v>4867</v>
      </c>
      <c r="JN349" s="16" t="s">
        <v>4867</v>
      </c>
      <c r="JO349" s="16" t="s">
        <v>4867</v>
      </c>
      <c r="JP349" s="16" t="s">
        <v>4867</v>
      </c>
      <c r="JQ349" s="16" t="s">
        <v>4867</v>
      </c>
      <c r="JR349" s="16" t="s">
        <v>4867</v>
      </c>
      <c r="JS349" s="16" t="s">
        <v>4867</v>
      </c>
      <c r="JT349" s="16" t="s">
        <v>4867</v>
      </c>
      <c r="JU349" s="16" t="s">
        <v>4867</v>
      </c>
      <c r="JV349" s="16" t="s">
        <v>4867</v>
      </c>
      <c r="JW349" s="16" t="s">
        <v>4867</v>
      </c>
      <c r="JX349" s="16" t="s">
        <v>4867</v>
      </c>
      <c r="JY349" s="16" t="s">
        <v>4867</v>
      </c>
      <c r="JZ349" s="16" t="s">
        <v>4867</v>
      </c>
      <c r="KA349" s="16" t="s">
        <v>4867</v>
      </c>
      <c r="KB349" s="16" t="s">
        <v>4867</v>
      </c>
      <c r="KC349" s="16" t="s">
        <v>4867</v>
      </c>
      <c r="KD349" s="16" t="s">
        <v>4867</v>
      </c>
      <c r="KE349" s="16" t="s">
        <v>4867</v>
      </c>
      <c r="KF349" s="16" t="s">
        <v>4867</v>
      </c>
      <c r="KG349" s="16" t="s">
        <v>4867</v>
      </c>
      <c r="KH349" s="16" t="s">
        <v>4867</v>
      </c>
      <c r="KI349" s="16" t="s">
        <v>4867</v>
      </c>
      <c r="KJ349" s="16" t="s">
        <v>4867</v>
      </c>
      <c r="KK349" s="16" t="s">
        <v>4867</v>
      </c>
      <c r="KL349" s="16" t="s">
        <v>4867</v>
      </c>
      <c r="KM349" s="16" t="s">
        <v>4867</v>
      </c>
      <c r="KN349" s="16" t="s">
        <v>4867</v>
      </c>
      <c r="KO349" s="16" t="s">
        <v>4867</v>
      </c>
      <c r="KP349" s="16" t="s">
        <v>4867</v>
      </c>
      <c r="KQ349" s="16" t="s">
        <v>4867</v>
      </c>
      <c r="KR349" s="16" t="s">
        <v>4867</v>
      </c>
      <c r="KS349" s="16" t="s">
        <v>4867</v>
      </c>
      <c r="KT349" s="16" t="s">
        <v>4867</v>
      </c>
      <c r="KU349" s="16" t="s">
        <v>4867</v>
      </c>
      <c r="KV349" s="16" t="s">
        <v>4867</v>
      </c>
      <c r="KW349" s="16" t="s">
        <v>4867</v>
      </c>
      <c r="KX349" s="16" t="s">
        <v>4867</v>
      </c>
      <c r="KY349" s="16" t="s">
        <v>4867</v>
      </c>
      <c r="KZ349" s="16" t="s">
        <v>4867</v>
      </c>
      <c r="LA349" s="16" t="s">
        <v>4867</v>
      </c>
      <c r="LB349" s="16" t="s">
        <v>4867</v>
      </c>
      <c r="LC349" s="16" t="s">
        <v>4867</v>
      </c>
      <c r="LD349" s="16" t="s">
        <v>4867</v>
      </c>
      <c r="LE349" s="16" t="s">
        <v>4867</v>
      </c>
      <c r="LF349" s="16" t="s">
        <v>4867</v>
      </c>
      <c r="LG349" s="16" t="s">
        <v>4867</v>
      </c>
      <c r="LH349" s="16" t="s">
        <v>4867</v>
      </c>
      <c r="LI349" s="16" t="s">
        <v>4867</v>
      </c>
      <c r="LJ349" s="16" t="s">
        <v>4867</v>
      </c>
      <c r="LK349" s="16" t="s">
        <v>4867</v>
      </c>
      <c r="LL349" s="16" t="s">
        <v>4867</v>
      </c>
      <c r="LM349" s="16" t="s">
        <v>4867</v>
      </c>
      <c r="LN349" s="16" t="s">
        <v>4867</v>
      </c>
      <c r="LO349" s="16" t="s">
        <v>4867</v>
      </c>
      <c r="LP349" s="16" t="s">
        <v>4867</v>
      </c>
      <c r="LQ349" s="16" t="s">
        <v>4867</v>
      </c>
      <c r="LR349" s="16" t="s">
        <v>4867</v>
      </c>
      <c r="LS349" s="16" t="s">
        <v>4867</v>
      </c>
      <c r="LT349" s="16" t="s">
        <v>4867</v>
      </c>
      <c r="LU349" s="16" t="s">
        <v>4867</v>
      </c>
      <c r="LV349" s="16" t="s">
        <v>4867</v>
      </c>
      <c r="LW349" s="16" t="s">
        <v>4867</v>
      </c>
      <c r="LX349" s="16" t="s">
        <v>4867</v>
      </c>
      <c r="LY349" s="16" t="s">
        <v>4867</v>
      </c>
      <c r="LZ349" s="16" t="s">
        <v>4867</v>
      </c>
      <c r="MA349" s="16" t="s">
        <v>4867</v>
      </c>
      <c r="MB349" s="16" t="s">
        <v>4867</v>
      </c>
      <c r="MC349" s="16" t="s">
        <v>4867</v>
      </c>
      <c r="MD349" s="16" t="s">
        <v>4867</v>
      </c>
      <c r="ME349" s="16" t="s">
        <v>4867</v>
      </c>
      <c r="MF349" s="16" t="s">
        <v>4867</v>
      </c>
      <c r="MG349" s="16" t="s">
        <v>4867</v>
      </c>
      <c r="MH349" s="16" t="s">
        <v>4867</v>
      </c>
      <c r="MI349" s="16" t="s">
        <v>4867</v>
      </c>
      <c r="MJ349" s="16" t="s">
        <v>4867</v>
      </c>
      <c r="MK349" s="16" t="s">
        <v>4867</v>
      </c>
      <c r="ML349" s="16" t="s">
        <v>4867</v>
      </c>
      <c r="MM349" s="16" t="s">
        <v>4867</v>
      </c>
      <c r="MN349" s="16" t="s">
        <v>4867</v>
      </c>
      <c r="MO349" s="16" t="s">
        <v>4867</v>
      </c>
      <c r="MP349" s="16" t="s">
        <v>4867</v>
      </c>
      <c r="MQ349" s="16" t="s">
        <v>4867</v>
      </c>
      <c r="MR349" s="16" t="s">
        <v>4867</v>
      </c>
      <c r="MS349" s="16" t="s">
        <v>4867</v>
      </c>
      <c r="MT349" s="16" t="s">
        <v>4867</v>
      </c>
      <c r="MU349" s="16" t="s">
        <v>4867</v>
      </c>
      <c r="MV349" s="16" t="s">
        <v>4867</v>
      </c>
      <c r="MW349" s="16" t="s">
        <v>4867</v>
      </c>
      <c r="MX349" s="16" t="s">
        <v>4867</v>
      </c>
      <c r="MY349" s="16" t="s">
        <v>4867</v>
      </c>
      <c r="MZ349" s="16" t="s">
        <v>4867</v>
      </c>
      <c r="NA349" s="16" t="s">
        <v>4867</v>
      </c>
      <c r="NB349" s="16" t="s">
        <v>4867</v>
      </c>
      <c r="NC349" s="16" t="s">
        <v>4867</v>
      </c>
      <c r="ND349" s="16" t="s">
        <v>4867</v>
      </c>
      <c r="NE349" s="16" t="s">
        <v>4867</v>
      </c>
      <c r="NF349" s="16" t="s">
        <v>4867</v>
      </c>
      <c r="NG349" s="16" t="s">
        <v>4867</v>
      </c>
      <c r="NH349" s="16" t="s">
        <v>4867</v>
      </c>
      <c r="NI349" s="16" t="s">
        <v>4867</v>
      </c>
      <c r="NJ349" s="16" t="s">
        <v>4867</v>
      </c>
      <c r="NK349" s="16" t="s">
        <v>4867</v>
      </c>
      <c r="NL349" s="16" t="s">
        <v>4867</v>
      </c>
      <c r="NM349" s="16" t="s">
        <v>4867</v>
      </c>
      <c r="NN349" s="16" t="s">
        <v>4867</v>
      </c>
      <c r="NO349" s="16" t="s">
        <v>4867</v>
      </c>
      <c r="NP349" s="16" t="s">
        <v>4867</v>
      </c>
      <c r="NQ349" s="16" t="s">
        <v>4867</v>
      </c>
      <c r="NR349" s="16" t="s">
        <v>4867</v>
      </c>
      <c r="NS349" s="16" t="s">
        <v>4867</v>
      </c>
      <c r="NT349" s="16" t="s">
        <v>4867</v>
      </c>
      <c r="NU349" s="16" t="s">
        <v>4867</v>
      </c>
      <c r="NV349" s="16" t="s">
        <v>4867</v>
      </c>
      <c r="NW349" s="16" t="s">
        <v>4867</v>
      </c>
      <c r="NX349" s="16" t="s">
        <v>4867</v>
      </c>
      <c r="NY349" s="16" t="s">
        <v>4867</v>
      </c>
      <c r="NZ349" s="16" t="s">
        <v>4867</v>
      </c>
      <c r="OA349" s="16" t="s">
        <v>4867</v>
      </c>
      <c r="OB349" s="16" t="s">
        <v>4867</v>
      </c>
      <c r="OC349" s="16" t="s">
        <v>4867</v>
      </c>
      <c r="OD349" s="16" t="s">
        <v>4867</v>
      </c>
      <c r="OE349" s="16" t="s">
        <v>4867</v>
      </c>
      <c r="OF349" s="16" t="s">
        <v>4867</v>
      </c>
      <c r="OG349" s="16" t="s">
        <v>4867</v>
      </c>
      <c r="OH349" s="16" t="s">
        <v>4867</v>
      </c>
      <c r="OI349" s="16" t="s">
        <v>4867</v>
      </c>
      <c r="OJ349" s="16" t="s">
        <v>4867</v>
      </c>
      <c r="OK349" s="16" t="s">
        <v>4867</v>
      </c>
      <c r="OL349" s="16" t="s">
        <v>4867</v>
      </c>
      <c r="OM349" s="16" t="s">
        <v>4867</v>
      </c>
      <c r="ON349" s="16" t="s">
        <v>4867</v>
      </c>
      <c r="OO349" s="16" t="s">
        <v>4867</v>
      </c>
      <c r="OP349" s="16" t="s">
        <v>4867</v>
      </c>
      <c r="OQ349" s="16" t="s">
        <v>4867</v>
      </c>
      <c r="OR349" s="16" t="s">
        <v>4867</v>
      </c>
      <c r="OS349" s="16" t="s">
        <v>4867</v>
      </c>
      <c r="OT349" s="16" t="s">
        <v>4867</v>
      </c>
      <c r="OU349" s="16" t="s">
        <v>4867</v>
      </c>
      <c r="OV349" s="16" t="s">
        <v>4867</v>
      </c>
      <c r="OW349" s="16" t="s">
        <v>4867</v>
      </c>
      <c r="OX349" s="16" t="s">
        <v>4867</v>
      </c>
      <c r="OY349" s="16" t="s">
        <v>4867</v>
      </c>
      <c r="OZ349" s="16" t="s">
        <v>4867</v>
      </c>
      <c r="PA349" s="16" t="s">
        <v>4867</v>
      </c>
      <c r="PB349" s="16" t="s">
        <v>4867</v>
      </c>
      <c r="PC349" s="16" t="s">
        <v>4867</v>
      </c>
      <c r="PD349" s="16" t="s">
        <v>4867</v>
      </c>
      <c r="PE349" s="16" t="s">
        <v>4867</v>
      </c>
      <c r="PF349" s="16" t="s">
        <v>4867</v>
      </c>
      <c r="PG349" s="16" t="s">
        <v>4867</v>
      </c>
      <c r="PH349" s="16" t="s">
        <v>4867</v>
      </c>
      <c r="PI349" s="16" t="s">
        <v>4867</v>
      </c>
      <c r="PJ349" s="16" t="s">
        <v>4867</v>
      </c>
      <c r="PK349" s="16" t="s">
        <v>4867</v>
      </c>
      <c r="PL349" s="16" t="s">
        <v>4867</v>
      </c>
      <c r="PM349" s="16" t="s">
        <v>4867</v>
      </c>
      <c r="PN349" s="16" t="s">
        <v>4867</v>
      </c>
      <c r="PO349" s="16" t="s">
        <v>4867</v>
      </c>
      <c r="PP349" s="16" t="s">
        <v>4867</v>
      </c>
      <c r="PQ349" s="16" t="s">
        <v>4867</v>
      </c>
      <c r="PR349" s="16" t="s">
        <v>4867</v>
      </c>
      <c r="PS349" s="16" t="s">
        <v>4867</v>
      </c>
      <c r="PT349" s="16" t="s">
        <v>4867</v>
      </c>
      <c r="PU349" s="16" t="s">
        <v>4867</v>
      </c>
      <c r="PV349" s="16" t="s">
        <v>4867</v>
      </c>
      <c r="PW349" s="16" t="s">
        <v>4867</v>
      </c>
      <c r="PX349" s="16" t="s">
        <v>4867</v>
      </c>
      <c r="PY349" s="16" t="s">
        <v>4867</v>
      </c>
      <c r="PZ349" s="16" t="s">
        <v>4867</v>
      </c>
      <c r="QA349" s="16" t="s">
        <v>4867</v>
      </c>
      <c r="QB349" s="16" t="s">
        <v>4867</v>
      </c>
      <c r="QC349" s="16" t="s">
        <v>4867</v>
      </c>
      <c r="QD349" s="16" t="s">
        <v>4867</v>
      </c>
      <c r="QE349" s="16" t="s">
        <v>4867</v>
      </c>
      <c r="QF349" s="16" t="s">
        <v>4867</v>
      </c>
      <c r="QG349" s="16" t="s">
        <v>4867</v>
      </c>
      <c r="QH349" s="16" t="s">
        <v>4867</v>
      </c>
      <c r="QI349" s="16" t="s">
        <v>4867</v>
      </c>
      <c r="QJ349" s="16" t="s">
        <v>4867</v>
      </c>
      <c r="QK349" s="16" t="s">
        <v>4867</v>
      </c>
      <c r="QL349" s="16" t="s">
        <v>4867</v>
      </c>
      <c r="QM349" s="16" t="s">
        <v>4867</v>
      </c>
      <c r="QN349" s="16" t="s">
        <v>4867</v>
      </c>
      <c r="QO349" s="16" t="s">
        <v>4867</v>
      </c>
      <c r="QP349" s="16" t="s">
        <v>4867</v>
      </c>
      <c r="QQ349" s="16" t="s">
        <v>4867</v>
      </c>
      <c r="QR349" s="16" t="s">
        <v>4867</v>
      </c>
      <c r="QS349" s="16" t="s">
        <v>4867</v>
      </c>
      <c r="QT349" s="16" t="s">
        <v>4867</v>
      </c>
      <c r="QU349" s="16" t="s">
        <v>4867</v>
      </c>
      <c r="QV349" s="16" t="s">
        <v>4867</v>
      </c>
      <c r="QW349" s="16" t="s">
        <v>4867</v>
      </c>
      <c r="QX349" s="16" t="s">
        <v>4867</v>
      </c>
      <c r="QY349" s="16" t="s">
        <v>4867</v>
      </c>
      <c r="QZ349" s="16" t="s">
        <v>4867</v>
      </c>
      <c r="RA349" s="16" t="s">
        <v>4867</v>
      </c>
      <c r="RB349" s="16" t="s">
        <v>4867</v>
      </c>
      <c r="RC349" s="16" t="s">
        <v>4867</v>
      </c>
      <c r="RD349" s="16" t="s">
        <v>4867</v>
      </c>
      <c r="RE349" s="16" t="s">
        <v>4867</v>
      </c>
      <c r="RF349" s="16" t="s">
        <v>4867</v>
      </c>
      <c r="RG349" s="16" t="s">
        <v>4867</v>
      </c>
      <c r="RH349" s="16" t="s">
        <v>4867</v>
      </c>
      <c r="RI349" s="16" t="s">
        <v>4867</v>
      </c>
      <c r="RJ349" s="16" t="s">
        <v>4867</v>
      </c>
      <c r="RK349" s="16" t="s">
        <v>4867</v>
      </c>
      <c r="RL349" s="16" t="s">
        <v>4867</v>
      </c>
      <c r="RM349" s="16" t="s">
        <v>4867</v>
      </c>
      <c r="RN349" s="16" t="s">
        <v>4867</v>
      </c>
      <c r="RO349" s="16" t="s">
        <v>4867</v>
      </c>
      <c r="RP349" s="16" t="s">
        <v>4867</v>
      </c>
      <c r="RQ349" s="16" t="s">
        <v>4867</v>
      </c>
      <c r="RR349" s="16" t="s">
        <v>4867</v>
      </c>
      <c r="RS349" s="16" t="s">
        <v>4867</v>
      </c>
      <c r="RT349" s="16" t="s">
        <v>4867</v>
      </c>
      <c r="RU349" s="16" t="s">
        <v>4867</v>
      </c>
      <c r="RV349" s="16" t="s">
        <v>4867</v>
      </c>
      <c r="RW349" s="16" t="s">
        <v>4867</v>
      </c>
      <c r="RX349" s="16" t="s">
        <v>4867</v>
      </c>
      <c r="RY349" s="16" t="s">
        <v>4867</v>
      </c>
      <c r="RZ349" s="16" t="s">
        <v>4867</v>
      </c>
      <c r="SA349" s="16" t="s">
        <v>4867</v>
      </c>
      <c r="SB349" s="16" t="s">
        <v>4867</v>
      </c>
      <c r="SC349" s="16" t="s">
        <v>4867</v>
      </c>
      <c r="SD349" s="16" t="s">
        <v>4867</v>
      </c>
      <c r="SE349" s="16" t="s">
        <v>4867</v>
      </c>
      <c r="SF349" s="16" t="s">
        <v>4867</v>
      </c>
      <c r="SG349" s="16" t="s">
        <v>4867</v>
      </c>
      <c r="SH349" s="16" t="s">
        <v>4867</v>
      </c>
      <c r="SI349" s="16" t="s">
        <v>4867</v>
      </c>
      <c r="SJ349" s="16" t="s">
        <v>4867</v>
      </c>
      <c r="SK349" s="16" t="s">
        <v>4867</v>
      </c>
      <c r="SL349" s="16" t="s">
        <v>4867</v>
      </c>
      <c r="SM349" s="16" t="s">
        <v>4867</v>
      </c>
      <c r="SN349" s="16" t="s">
        <v>4867</v>
      </c>
      <c r="SO349" s="16" t="s">
        <v>4867</v>
      </c>
      <c r="SP349" s="16" t="s">
        <v>4867</v>
      </c>
      <c r="SQ349" s="16" t="s">
        <v>4867</v>
      </c>
      <c r="SR349" s="16" t="s">
        <v>4867</v>
      </c>
      <c r="SS349" s="16" t="s">
        <v>4867</v>
      </c>
      <c r="ST349" s="16" t="s">
        <v>4867</v>
      </c>
      <c r="SU349" s="16" t="s">
        <v>4867</v>
      </c>
      <c r="SV349" s="16" t="s">
        <v>4867</v>
      </c>
      <c r="SW349" s="16" t="s">
        <v>4867</v>
      </c>
      <c r="SX349" s="16" t="s">
        <v>4867</v>
      </c>
      <c r="SY349" s="16" t="s">
        <v>4867</v>
      </c>
      <c r="SZ349" s="16" t="s">
        <v>4867</v>
      </c>
      <c r="TA349" s="16" t="s">
        <v>4867</v>
      </c>
      <c r="TB349" s="16" t="s">
        <v>4867</v>
      </c>
      <c r="TC349" s="16" t="s">
        <v>4867</v>
      </c>
      <c r="TD349" s="16" t="s">
        <v>4867</v>
      </c>
      <c r="TE349" s="16" t="s">
        <v>4867</v>
      </c>
      <c r="TF349" s="16" t="s">
        <v>4867</v>
      </c>
      <c r="TG349" s="16" t="s">
        <v>4867</v>
      </c>
      <c r="TH349" s="16" t="s">
        <v>4867</v>
      </c>
      <c r="TI349" s="16" t="s">
        <v>4867</v>
      </c>
      <c r="TJ349" s="16" t="s">
        <v>4867</v>
      </c>
      <c r="TK349" s="16" t="s">
        <v>4867</v>
      </c>
      <c r="TL349" s="16" t="s">
        <v>4867</v>
      </c>
      <c r="TM349" s="16" t="s">
        <v>4867</v>
      </c>
      <c r="TN349" s="16" t="s">
        <v>4867</v>
      </c>
      <c r="TO349" s="16" t="s">
        <v>4867</v>
      </c>
      <c r="TP349" s="16" t="s">
        <v>4867</v>
      </c>
      <c r="TQ349" s="16" t="s">
        <v>4867</v>
      </c>
      <c r="TR349" s="16" t="s">
        <v>4867</v>
      </c>
      <c r="TS349" s="16" t="s">
        <v>4867</v>
      </c>
      <c r="TT349" s="16" t="s">
        <v>4867</v>
      </c>
      <c r="TU349" s="16" t="s">
        <v>4867</v>
      </c>
      <c r="TV349" s="16" t="s">
        <v>4867</v>
      </c>
      <c r="TW349" s="16" t="s">
        <v>4867</v>
      </c>
      <c r="TX349" s="16" t="s">
        <v>4867</v>
      </c>
      <c r="TY349" s="16" t="s">
        <v>4867</v>
      </c>
      <c r="TZ349" s="16" t="s">
        <v>4867</v>
      </c>
      <c r="UA349" s="16" t="s">
        <v>4867</v>
      </c>
      <c r="UB349" s="16" t="s">
        <v>4867</v>
      </c>
      <c r="UC349" s="16" t="s">
        <v>4867</v>
      </c>
      <c r="UD349" s="16" t="s">
        <v>4867</v>
      </c>
      <c r="UE349" s="16" t="s">
        <v>4867</v>
      </c>
      <c r="UF349" s="16" t="s">
        <v>4867</v>
      </c>
      <c r="UG349" s="16" t="s">
        <v>4867</v>
      </c>
      <c r="UH349" s="16" t="s">
        <v>4867</v>
      </c>
      <c r="UI349" s="16" t="s">
        <v>4867</v>
      </c>
      <c r="UJ349" s="16" t="s">
        <v>4867</v>
      </c>
      <c r="UK349" s="16" t="s">
        <v>4867</v>
      </c>
      <c r="UL349" s="16" t="s">
        <v>4867</v>
      </c>
      <c r="UM349" s="16" t="s">
        <v>4867</v>
      </c>
      <c r="UN349" s="16" t="s">
        <v>4867</v>
      </c>
      <c r="UO349" s="16" t="s">
        <v>4867</v>
      </c>
      <c r="UP349" s="16" t="s">
        <v>4867</v>
      </c>
      <c r="UQ349" s="16" t="s">
        <v>4867</v>
      </c>
      <c r="UR349" s="16" t="s">
        <v>4867</v>
      </c>
      <c r="US349" s="16" t="s">
        <v>4867</v>
      </c>
      <c r="UT349" s="16" t="s">
        <v>4867</v>
      </c>
      <c r="UU349" s="16" t="s">
        <v>4867</v>
      </c>
      <c r="UV349" s="16" t="s">
        <v>4867</v>
      </c>
      <c r="UW349" s="16" t="s">
        <v>4867</v>
      </c>
      <c r="UX349" s="16" t="s">
        <v>4867</v>
      </c>
      <c r="UY349" s="16" t="s">
        <v>4867</v>
      </c>
      <c r="UZ349" s="16" t="s">
        <v>4867</v>
      </c>
      <c r="VA349" s="16" t="s">
        <v>4867</v>
      </c>
      <c r="VB349" s="16" t="s">
        <v>4867</v>
      </c>
      <c r="VC349" s="16" t="s">
        <v>4867</v>
      </c>
      <c r="VD349" s="16" t="s">
        <v>4867</v>
      </c>
      <c r="VE349" s="16" t="s">
        <v>4867</v>
      </c>
      <c r="VF349" s="16" t="s">
        <v>4867</v>
      </c>
      <c r="VG349" s="16" t="s">
        <v>4867</v>
      </c>
      <c r="VH349" s="16" t="s">
        <v>4867</v>
      </c>
      <c r="VI349" s="16" t="s">
        <v>4867</v>
      </c>
      <c r="VJ349" s="16" t="s">
        <v>4867</v>
      </c>
      <c r="VK349" s="16" t="s">
        <v>4867</v>
      </c>
      <c r="VL349" s="16" t="s">
        <v>4867</v>
      </c>
      <c r="VM349" s="16" t="s">
        <v>4867</v>
      </c>
      <c r="VN349" s="16" t="s">
        <v>4867</v>
      </c>
      <c r="VO349" s="16" t="s">
        <v>4867</v>
      </c>
      <c r="VP349" s="16" t="s">
        <v>4867</v>
      </c>
      <c r="VQ349" s="16" t="s">
        <v>4867</v>
      </c>
      <c r="VR349" s="16" t="s">
        <v>4867</v>
      </c>
      <c r="VS349" s="16" t="s">
        <v>4867</v>
      </c>
      <c r="VT349" s="16" t="s">
        <v>4867</v>
      </c>
      <c r="VU349" s="16" t="s">
        <v>4867</v>
      </c>
      <c r="VV349" s="16" t="s">
        <v>4867</v>
      </c>
      <c r="VW349" s="16" t="s">
        <v>4867</v>
      </c>
      <c r="VX349" s="16" t="s">
        <v>4867</v>
      </c>
      <c r="VY349" s="16" t="s">
        <v>4867</v>
      </c>
      <c r="VZ349" s="16" t="s">
        <v>4867</v>
      </c>
      <c r="WA349" s="16" t="s">
        <v>4867</v>
      </c>
      <c r="WB349" s="16" t="s">
        <v>4867</v>
      </c>
      <c r="WC349" s="16" t="s">
        <v>4867</v>
      </c>
      <c r="WD349" s="16" t="s">
        <v>4867</v>
      </c>
      <c r="WE349" s="16" t="s">
        <v>4867</v>
      </c>
      <c r="WF349" s="16" t="s">
        <v>4867</v>
      </c>
      <c r="WG349" s="16" t="s">
        <v>4867</v>
      </c>
      <c r="WH349" s="16" t="s">
        <v>4867</v>
      </c>
      <c r="WI349" s="16" t="s">
        <v>4867</v>
      </c>
      <c r="WJ349" s="16" t="s">
        <v>4867</v>
      </c>
      <c r="WK349" s="16" t="s">
        <v>4867</v>
      </c>
      <c r="WL349" s="16" t="s">
        <v>4867</v>
      </c>
      <c r="WM349" s="16" t="s">
        <v>4867</v>
      </c>
      <c r="WN349" s="16" t="s">
        <v>4867</v>
      </c>
      <c r="WO349" s="16" t="s">
        <v>4867</v>
      </c>
      <c r="WP349" s="16" t="s">
        <v>4867</v>
      </c>
      <c r="WQ349" s="16" t="s">
        <v>4867</v>
      </c>
      <c r="WR349" s="16" t="s">
        <v>4867</v>
      </c>
      <c r="WS349" s="16" t="s">
        <v>4867</v>
      </c>
      <c r="WT349" s="16" t="s">
        <v>4867</v>
      </c>
      <c r="WU349" s="16" t="s">
        <v>4867</v>
      </c>
      <c r="WV349" s="16" t="s">
        <v>4867</v>
      </c>
      <c r="WW349" s="16" t="s">
        <v>4867</v>
      </c>
      <c r="WX349" s="16" t="s">
        <v>4867</v>
      </c>
      <c r="WY349" s="16" t="s">
        <v>4867</v>
      </c>
      <c r="WZ349" s="16" t="s">
        <v>4867</v>
      </c>
      <c r="XA349" s="16" t="s">
        <v>4867</v>
      </c>
      <c r="XB349" s="16" t="s">
        <v>4867</v>
      </c>
      <c r="XC349" s="16" t="s">
        <v>4867</v>
      </c>
      <c r="XD349" s="16" t="s">
        <v>4867</v>
      </c>
      <c r="XE349" s="16" t="s">
        <v>4867</v>
      </c>
      <c r="XF349" s="16" t="s">
        <v>4867</v>
      </c>
      <c r="XG349" s="16" t="s">
        <v>4867</v>
      </c>
      <c r="XH349" s="16" t="s">
        <v>4867</v>
      </c>
      <c r="XI349" s="16" t="s">
        <v>4867</v>
      </c>
      <c r="XJ349" s="16" t="s">
        <v>4867</v>
      </c>
      <c r="XK349" s="16" t="s">
        <v>4867</v>
      </c>
      <c r="XL349" s="16" t="s">
        <v>4867</v>
      </c>
      <c r="XM349" s="16" t="s">
        <v>4867</v>
      </c>
      <c r="XN349" s="16" t="s">
        <v>4867</v>
      </c>
      <c r="XO349" s="16" t="s">
        <v>4867</v>
      </c>
      <c r="XP349" s="16" t="s">
        <v>4867</v>
      </c>
      <c r="XQ349" s="16" t="s">
        <v>4867</v>
      </c>
      <c r="XR349" s="16" t="s">
        <v>4867</v>
      </c>
      <c r="XS349" s="16" t="s">
        <v>4867</v>
      </c>
      <c r="XT349" s="16" t="s">
        <v>4867</v>
      </c>
      <c r="XU349" s="16" t="s">
        <v>4867</v>
      </c>
      <c r="XV349" s="16" t="s">
        <v>4867</v>
      </c>
      <c r="XW349" s="16" t="s">
        <v>4867</v>
      </c>
      <c r="XX349" s="16" t="s">
        <v>4867</v>
      </c>
      <c r="XY349" s="16" t="s">
        <v>4867</v>
      </c>
      <c r="XZ349" s="16" t="s">
        <v>4867</v>
      </c>
      <c r="YA349" s="16" t="s">
        <v>4867</v>
      </c>
      <c r="YB349" s="16" t="s">
        <v>4867</v>
      </c>
      <c r="YC349" s="16" t="s">
        <v>4867</v>
      </c>
      <c r="YD349" s="16" t="s">
        <v>4867</v>
      </c>
      <c r="YE349" s="16" t="s">
        <v>4867</v>
      </c>
      <c r="YF349" s="16" t="s">
        <v>4867</v>
      </c>
      <c r="YG349" s="16" t="s">
        <v>4867</v>
      </c>
      <c r="YH349" s="16" t="s">
        <v>4867</v>
      </c>
      <c r="YI349" s="16" t="s">
        <v>4867</v>
      </c>
      <c r="YJ349" s="16" t="s">
        <v>4867</v>
      </c>
      <c r="YK349" s="16" t="s">
        <v>4867</v>
      </c>
      <c r="YL349" s="16" t="s">
        <v>4867</v>
      </c>
      <c r="YM349" s="16" t="s">
        <v>4867</v>
      </c>
      <c r="YN349" s="16" t="s">
        <v>4867</v>
      </c>
      <c r="YO349" s="16" t="s">
        <v>4867</v>
      </c>
      <c r="YP349" s="16" t="s">
        <v>4867</v>
      </c>
      <c r="YQ349" s="16" t="s">
        <v>4867</v>
      </c>
      <c r="YR349" s="16" t="s">
        <v>4867</v>
      </c>
      <c r="YS349" s="16" t="s">
        <v>4867</v>
      </c>
      <c r="YT349" s="16" t="s">
        <v>4867</v>
      </c>
      <c r="YU349" s="16" t="s">
        <v>4867</v>
      </c>
      <c r="YV349" s="16" t="s">
        <v>4867</v>
      </c>
      <c r="YW349" s="16" t="s">
        <v>4867</v>
      </c>
      <c r="YX349" s="16" t="s">
        <v>4867</v>
      </c>
      <c r="YY349" s="16" t="s">
        <v>4867</v>
      </c>
      <c r="YZ349" s="16" t="s">
        <v>4867</v>
      </c>
      <c r="ZA349" s="16" t="s">
        <v>4867</v>
      </c>
      <c r="ZB349" s="16" t="s">
        <v>4867</v>
      </c>
      <c r="ZC349" s="16" t="s">
        <v>4867</v>
      </c>
      <c r="ZD349" s="16" t="s">
        <v>4867</v>
      </c>
      <c r="ZE349" s="16" t="s">
        <v>4867</v>
      </c>
      <c r="ZF349" s="16" t="s">
        <v>4867</v>
      </c>
      <c r="ZG349" s="16" t="s">
        <v>4867</v>
      </c>
      <c r="ZH349" s="16" t="s">
        <v>4867</v>
      </c>
      <c r="ZI349" s="16" t="s">
        <v>4867</v>
      </c>
      <c r="ZJ349" s="16" t="s">
        <v>4867</v>
      </c>
      <c r="ZK349" s="16" t="s">
        <v>4867</v>
      </c>
      <c r="ZL349" s="16" t="s">
        <v>4867</v>
      </c>
      <c r="ZM349" s="16" t="s">
        <v>4867</v>
      </c>
      <c r="ZN349" s="16" t="s">
        <v>4867</v>
      </c>
      <c r="ZO349" s="16" t="s">
        <v>4867</v>
      </c>
      <c r="ZP349" s="16" t="s">
        <v>4867</v>
      </c>
      <c r="ZQ349" s="16" t="s">
        <v>4867</v>
      </c>
      <c r="ZR349" s="16" t="s">
        <v>4867</v>
      </c>
      <c r="ZS349" s="16" t="s">
        <v>4867</v>
      </c>
      <c r="ZT349" s="16" t="s">
        <v>4867</v>
      </c>
      <c r="ZU349" s="16" t="s">
        <v>4867</v>
      </c>
      <c r="ZV349" s="16" t="s">
        <v>4867</v>
      </c>
      <c r="ZW349" s="16" t="s">
        <v>4867</v>
      </c>
      <c r="ZX349" s="16" t="s">
        <v>4867</v>
      </c>
      <c r="ZY349" s="16" t="s">
        <v>4867</v>
      </c>
      <c r="ZZ349" s="16" t="s">
        <v>4867</v>
      </c>
      <c r="AAA349" s="16" t="s">
        <v>4867</v>
      </c>
      <c r="AAB349" s="16" t="s">
        <v>4867</v>
      </c>
      <c r="AAC349" s="16" t="s">
        <v>4867</v>
      </c>
      <c r="AAD349" s="16" t="s">
        <v>4867</v>
      </c>
      <c r="AAE349" s="16" t="s">
        <v>4867</v>
      </c>
      <c r="AAF349" s="16" t="s">
        <v>4867</v>
      </c>
      <c r="AAG349" s="16" t="s">
        <v>4867</v>
      </c>
      <c r="AAH349" s="16" t="s">
        <v>4867</v>
      </c>
      <c r="AAI349" s="16" t="s">
        <v>4867</v>
      </c>
      <c r="AAJ349" s="16" t="s">
        <v>4867</v>
      </c>
      <c r="AAK349" s="16" t="s">
        <v>4867</v>
      </c>
      <c r="AAL349" s="16" t="s">
        <v>4867</v>
      </c>
      <c r="AAM349" s="16" t="s">
        <v>4867</v>
      </c>
      <c r="AAN349" s="16" t="s">
        <v>4867</v>
      </c>
      <c r="AAO349" s="16" t="s">
        <v>4867</v>
      </c>
      <c r="AAP349" s="16" t="s">
        <v>4867</v>
      </c>
      <c r="AAQ349" s="16" t="s">
        <v>4867</v>
      </c>
      <c r="AAR349" s="16" t="s">
        <v>4867</v>
      </c>
      <c r="AAS349" s="16" t="s">
        <v>4867</v>
      </c>
      <c r="AAT349" s="16" t="s">
        <v>4867</v>
      </c>
      <c r="AAU349" s="16" t="s">
        <v>4867</v>
      </c>
      <c r="AAV349" s="16" t="s">
        <v>4867</v>
      </c>
      <c r="AAW349" s="16" t="s">
        <v>4867</v>
      </c>
      <c r="AAX349" s="16" t="s">
        <v>4867</v>
      </c>
      <c r="AAY349" s="16" t="s">
        <v>4867</v>
      </c>
      <c r="AAZ349" s="16" t="s">
        <v>4867</v>
      </c>
      <c r="ABA349" s="16" t="s">
        <v>4867</v>
      </c>
      <c r="ABB349" s="16" t="s">
        <v>4867</v>
      </c>
      <c r="ABC349" s="16" t="s">
        <v>4867</v>
      </c>
      <c r="ABD349" s="16" t="s">
        <v>4867</v>
      </c>
      <c r="ABE349" s="16" t="s">
        <v>4867</v>
      </c>
      <c r="ABF349" s="16" t="s">
        <v>4867</v>
      </c>
      <c r="ABG349" s="16" t="s">
        <v>4867</v>
      </c>
      <c r="ABH349" s="16" t="s">
        <v>4867</v>
      </c>
      <c r="ABI349" s="16" t="s">
        <v>4867</v>
      </c>
      <c r="ABJ349" s="16" t="s">
        <v>4867</v>
      </c>
      <c r="ABK349" s="16" t="s">
        <v>4867</v>
      </c>
      <c r="ABL349" s="16" t="s">
        <v>4867</v>
      </c>
      <c r="ABM349" s="16" t="s">
        <v>4867</v>
      </c>
      <c r="ABN349" s="16" t="s">
        <v>4867</v>
      </c>
      <c r="ABO349" s="16" t="s">
        <v>4867</v>
      </c>
      <c r="ABP349" s="16" t="s">
        <v>4867</v>
      </c>
      <c r="ABQ349" s="16" t="s">
        <v>4867</v>
      </c>
      <c r="ABR349" s="16" t="s">
        <v>4867</v>
      </c>
      <c r="ABS349" s="16" t="s">
        <v>4867</v>
      </c>
      <c r="ABT349" s="16" t="s">
        <v>4867</v>
      </c>
      <c r="ABU349" s="16" t="s">
        <v>4867</v>
      </c>
      <c r="ABV349" s="16" t="s">
        <v>4867</v>
      </c>
      <c r="ABW349" s="16" t="s">
        <v>4867</v>
      </c>
      <c r="ABX349" s="16" t="s">
        <v>4867</v>
      </c>
      <c r="ABY349" s="16" t="s">
        <v>4867</v>
      </c>
      <c r="ABZ349" s="16" t="s">
        <v>4867</v>
      </c>
      <c r="ACA349" s="16" t="s">
        <v>4867</v>
      </c>
      <c r="ACB349" s="16" t="s">
        <v>4867</v>
      </c>
      <c r="ACC349" s="16" t="s">
        <v>4867</v>
      </c>
      <c r="ACD349" s="16" t="s">
        <v>4867</v>
      </c>
      <c r="ACE349" s="16" t="s">
        <v>4867</v>
      </c>
      <c r="ACF349" s="16" t="s">
        <v>4867</v>
      </c>
      <c r="ACG349" s="16" t="s">
        <v>4867</v>
      </c>
      <c r="ACH349" s="16" t="s">
        <v>4867</v>
      </c>
      <c r="ACI349" s="16" t="s">
        <v>4867</v>
      </c>
      <c r="ACJ349" s="16" t="s">
        <v>4867</v>
      </c>
      <c r="ACK349" s="16" t="s">
        <v>4867</v>
      </c>
      <c r="ACL349" s="16" t="s">
        <v>4867</v>
      </c>
      <c r="ACM349" s="16" t="s">
        <v>4867</v>
      </c>
      <c r="ACN349" s="16" t="s">
        <v>4867</v>
      </c>
      <c r="ACO349" s="16" t="s">
        <v>4867</v>
      </c>
      <c r="ACP349" s="16" t="s">
        <v>4867</v>
      </c>
      <c r="ACQ349" s="16" t="s">
        <v>4867</v>
      </c>
      <c r="ACR349" s="16" t="s">
        <v>4867</v>
      </c>
      <c r="ACS349" s="16" t="s">
        <v>4867</v>
      </c>
      <c r="ACT349" s="16" t="s">
        <v>4867</v>
      </c>
      <c r="ACU349" s="16" t="s">
        <v>4867</v>
      </c>
      <c r="ACV349" s="16" t="s">
        <v>4867</v>
      </c>
      <c r="ACW349" s="16" t="s">
        <v>4867</v>
      </c>
      <c r="ACX349" s="16" t="s">
        <v>4867</v>
      </c>
      <c r="ACY349" s="16" t="s">
        <v>4867</v>
      </c>
      <c r="ACZ349" s="16" t="s">
        <v>4867</v>
      </c>
      <c r="ADA349" s="16" t="s">
        <v>4867</v>
      </c>
      <c r="ADB349" s="16" t="s">
        <v>4867</v>
      </c>
      <c r="ADC349" s="16" t="s">
        <v>4867</v>
      </c>
      <c r="ADD349" s="16" t="s">
        <v>4867</v>
      </c>
      <c r="ADE349" s="16" t="s">
        <v>4867</v>
      </c>
      <c r="ADF349" s="16" t="s">
        <v>4867</v>
      </c>
      <c r="ADG349" s="16" t="s">
        <v>4867</v>
      </c>
      <c r="ADH349" s="16" t="s">
        <v>4867</v>
      </c>
      <c r="ADI349" s="16" t="s">
        <v>4867</v>
      </c>
      <c r="ADJ349" s="16" t="s">
        <v>4867</v>
      </c>
      <c r="ADK349" s="16" t="s">
        <v>4867</v>
      </c>
      <c r="ADL349" s="16" t="s">
        <v>4867</v>
      </c>
      <c r="ADM349" s="16" t="s">
        <v>4867</v>
      </c>
      <c r="ADN349" s="16" t="s">
        <v>4867</v>
      </c>
      <c r="ADO349" s="16" t="s">
        <v>4867</v>
      </c>
      <c r="ADP349" s="16" t="s">
        <v>4867</v>
      </c>
      <c r="ADQ349" s="16" t="s">
        <v>4867</v>
      </c>
      <c r="ADR349" s="16" t="s">
        <v>4867</v>
      </c>
      <c r="ADS349" s="16" t="s">
        <v>4867</v>
      </c>
      <c r="ADT349" s="16" t="s">
        <v>4867</v>
      </c>
      <c r="ADU349" s="16" t="s">
        <v>4867</v>
      </c>
      <c r="ADV349" s="16" t="s">
        <v>4867</v>
      </c>
      <c r="ADW349" s="16" t="s">
        <v>4867</v>
      </c>
      <c r="ADX349" s="16" t="s">
        <v>4867</v>
      </c>
      <c r="ADY349" s="16" t="s">
        <v>4867</v>
      </c>
      <c r="ADZ349" s="16" t="s">
        <v>4867</v>
      </c>
      <c r="AEA349" s="16" t="s">
        <v>4867</v>
      </c>
      <c r="AEB349" s="16" t="s">
        <v>4867</v>
      </c>
      <c r="AEC349" s="16" t="s">
        <v>4867</v>
      </c>
      <c r="AED349" s="16" t="s">
        <v>4867</v>
      </c>
      <c r="AEE349" s="16" t="s">
        <v>4867</v>
      </c>
      <c r="AEF349" s="16" t="s">
        <v>4867</v>
      </c>
      <c r="AEG349" s="16" t="s">
        <v>4867</v>
      </c>
      <c r="AEH349" s="16" t="s">
        <v>4867</v>
      </c>
      <c r="AEI349" s="16" t="s">
        <v>4867</v>
      </c>
      <c r="AEJ349" s="16" t="s">
        <v>4867</v>
      </c>
      <c r="AEK349" s="16" t="s">
        <v>4867</v>
      </c>
      <c r="AEL349" s="16" t="s">
        <v>4867</v>
      </c>
      <c r="AEM349" s="16" t="s">
        <v>4867</v>
      </c>
      <c r="AEN349" s="16" t="s">
        <v>4867</v>
      </c>
      <c r="AEO349" s="16" t="s">
        <v>4867</v>
      </c>
      <c r="AEP349" s="16" t="s">
        <v>4867</v>
      </c>
      <c r="AEQ349" s="16" t="s">
        <v>4867</v>
      </c>
      <c r="AER349" s="16" t="s">
        <v>4867</v>
      </c>
      <c r="AES349" s="16" t="s">
        <v>4867</v>
      </c>
      <c r="AET349" s="16" t="s">
        <v>4867</v>
      </c>
      <c r="AEU349" s="16" t="s">
        <v>4867</v>
      </c>
      <c r="AEV349" s="16" t="s">
        <v>4867</v>
      </c>
      <c r="AEW349" s="16" t="s">
        <v>4867</v>
      </c>
      <c r="AEX349" s="16" t="s">
        <v>4867</v>
      </c>
      <c r="AEY349" s="16" t="s">
        <v>4867</v>
      </c>
      <c r="AEZ349" s="16" t="s">
        <v>4867</v>
      </c>
      <c r="AFA349" s="16" t="s">
        <v>4867</v>
      </c>
      <c r="AFB349" s="16" t="s">
        <v>4867</v>
      </c>
      <c r="AFC349" s="16" t="s">
        <v>4867</v>
      </c>
      <c r="AFD349" s="16" t="s">
        <v>4867</v>
      </c>
      <c r="AFE349" s="16" t="s">
        <v>4867</v>
      </c>
      <c r="AFF349" s="16" t="s">
        <v>4867</v>
      </c>
      <c r="AFG349" s="16" t="s">
        <v>4867</v>
      </c>
      <c r="AFH349" s="16" t="s">
        <v>4867</v>
      </c>
      <c r="AFI349" s="16" t="s">
        <v>4867</v>
      </c>
      <c r="AFJ349" s="16" t="s">
        <v>4867</v>
      </c>
      <c r="AFK349" s="16" t="s">
        <v>4867</v>
      </c>
      <c r="AFL349" s="16" t="s">
        <v>4867</v>
      </c>
      <c r="AFM349" s="16" t="s">
        <v>4867</v>
      </c>
      <c r="AFN349" s="16" t="s">
        <v>4867</v>
      </c>
      <c r="AFO349" s="16" t="s">
        <v>4867</v>
      </c>
      <c r="AFP349" s="16" t="s">
        <v>4867</v>
      </c>
      <c r="AFQ349" s="16" t="s">
        <v>4867</v>
      </c>
      <c r="AFR349" s="16" t="s">
        <v>4867</v>
      </c>
      <c r="AFS349" s="16" t="s">
        <v>4867</v>
      </c>
      <c r="AFT349" s="16" t="s">
        <v>4867</v>
      </c>
      <c r="AFU349" s="16" t="s">
        <v>4867</v>
      </c>
      <c r="AFV349" s="16" t="s">
        <v>4867</v>
      </c>
      <c r="AFW349" s="16" t="s">
        <v>4867</v>
      </c>
      <c r="AFX349" s="16" t="s">
        <v>4867</v>
      </c>
      <c r="AFY349" s="16" t="s">
        <v>4867</v>
      </c>
      <c r="AFZ349" s="16" t="s">
        <v>4867</v>
      </c>
      <c r="AGA349" s="16" t="s">
        <v>4867</v>
      </c>
      <c r="AGB349" s="16" t="s">
        <v>4867</v>
      </c>
      <c r="AGC349" s="16" t="s">
        <v>4867</v>
      </c>
      <c r="AGD349" s="16" t="s">
        <v>4867</v>
      </c>
      <c r="AGE349" s="16" t="s">
        <v>4867</v>
      </c>
      <c r="AGF349" s="16" t="s">
        <v>4867</v>
      </c>
      <c r="AGG349" s="16" t="s">
        <v>4867</v>
      </c>
      <c r="AGH349" s="16" t="s">
        <v>4867</v>
      </c>
      <c r="AGI349" s="16" t="s">
        <v>4867</v>
      </c>
      <c r="AGJ349" s="16" t="s">
        <v>4867</v>
      </c>
      <c r="AGK349" s="16" t="s">
        <v>4867</v>
      </c>
      <c r="AGL349" s="16" t="s">
        <v>4867</v>
      </c>
      <c r="AGM349" s="16" t="s">
        <v>4867</v>
      </c>
      <c r="AGN349" s="16" t="s">
        <v>4867</v>
      </c>
      <c r="AGO349" s="16" t="s">
        <v>4867</v>
      </c>
      <c r="AGP349" s="16" t="s">
        <v>4867</v>
      </c>
      <c r="AGQ349" s="16" t="s">
        <v>4867</v>
      </c>
      <c r="AGR349" s="16" t="s">
        <v>4867</v>
      </c>
      <c r="AGS349" s="16" t="s">
        <v>4867</v>
      </c>
      <c r="AGT349" s="16" t="s">
        <v>4867</v>
      </c>
      <c r="AGU349" s="16" t="s">
        <v>4867</v>
      </c>
      <c r="AGV349" s="16" t="s">
        <v>4867</v>
      </c>
      <c r="AGW349" s="16" t="s">
        <v>4867</v>
      </c>
      <c r="AGX349" s="16" t="s">
        <v>4867</v>
      </c>
      <c r="AGY349" s="16" t="s">
        <v>4867</v>
      </c>
      <c r="AGZ349" s="16" t="s">
        <v>4867</v>
      </c>
      <c r="AHA349" s="16" t="s">
        <v>4867</v>
      </c>
      <c r="AHB349" s="16" t="s">
        <v>4867</v>
      </c>
      <c r="AHC349" s="16" t="s">
        <v>4867</v>
      </c>
      <c r="AHD349" s="16" t="s">
        <v>4867</v>
      </c>
      <c r="AHE349" s="16" t="s">
        <v>4867</v>
      </c>
      <c r="AHF349" s="16" t="s">
        <v>4867</v>
      </c>
      <c r="AHG349" s="16" t="s">
        <v>4867</v>
      </c>
      <c r="AHH349" s="16" t="s">
        <v>4867</v>
      </c>
      <c r="AHI349" s="16" t="s">
        <v>4867</v>
      </c>
      <c r="AHJ349" s="16" t="s">
        <v>4867</v>
      </c>
      <c r="AHK349" s="16" t="s">
        <v>4867</v>
      </c>
      <c r="AHL349" s="16" t="s">
        <v>4867</v>
      </c>
      <c r="AHM349" s="16" t="s">
        <v>4867</v>
      </c>
      <c r="AHN349" s="16" t="s">
        <v>4867</v>
      </c>
      <c r="AHO349" s="16" t="s">
        <v>4867</v>
      </c>
      <c r="AHP349" s="16" t="s">
        <v>4867</v>
      </c>
      <c r="AHQ349" s="16" t="s">
        <v>4867</v>
      </c>
      <c r="AHR349" s="16" t="s">
        <v>4867</v>
      </c>
      <c r="AHS349" s="16" t="s">
        <v>4867</v>
      </c>
      <c r="AHT349" s="16" t="s">
        <v>4867</v>
      </c>
      <c r="AHU349" s="16" t="s">
        <v>4867</v>
      </c>
      <c r="AHV349" s="16" t="s">
        <v>4867</v>
      </c>
      <c r="AHW349" s="16" t="s">
        <v>4867</v>
      </c>
      <c r="AHX349" s="16" t="s">
        <v>4867</v>
      </c>
      <c r="AHY349" s="16" t="s">
        <v>4867</v>
      </c>
      <c r="AHZ349" s="16" t="s">
        <v>4867</v>
      </c>
      <c r="AIA349" s="16" t="s">
        <v>4867</v>
      </c>
      <c r="AIB349" s="16" t="s">
        <v>4867</v>
      </c>
      <c r="AIC349" s="16" t="s">
        <v>4867</v>
      </c>
      <c r="AID349" s="16" t="s">
        <v>4867</v>
      </c>
      <c r="AIE349" s="16" t="s">
        <v>4867</v>
      </c>
      <c r="AIF349" s="16" t="s">
        <v>4867</v>
      </c>
      <c r="AIG349" s="16" t="s">
        <v>4867</v>
      </c>
      <c r="AIH349" s="16" t="s">
        <v>4867</v>
      </c>
      <c r="AII349" s="16" t="s">
        <v>4867</v>
      </c>
      <c r="AIJ349" s="16" t="s">
        <v>4867</v>
      </c>
      <c r="AIK349" s="16" t="s">
        <v>4867</v>
      </c>
      <c r="AIL349" s="16" t="s">
        <v>4867</v>
      </c>
      <c r="AIM349" s="16" t="s">
        <v>4867</v>
      </c>
      <c r="AIN349" s="16" t="s">
        <v>4867</v>
      </c>
      <c r="AIO349" s="16" t="s">
        <v>4867</v>
      </c>
      <c r="AIP349" s="16" t="s">
        <v>4867</v>
      </c>
      <c r="AIQ349" s="16" t="s">
        <v>4867</v>
      </c>
      <c r="AIR349" s="16" t="s">
        <v>4867</v>
      </c>
      <c r="AIS349" s="16" t="s">
        <v>4867</v>
      </c>
      <c r="AIT349" s="16" t="s">
        <v>4867</v>
      </c>
      <c r="AIU349" s="16" t="s">
        <v>4867</v>
      </c>
      <c r="AIV349" s="16" t="s">
        <v>4867</v>
      </c>
      <c r="AIW349" s="16" t="s">
        <v>4867</v>
      </c>
      <c r="AIX349" s="16" t="s">
        <v>4867</v>
      </c>
      <c r="AIY349" s="16" t="s">
        <v>4867</v>
      </c>
      <c r="AIZ349" s="16" t="s">
        <v>4867</v>
      </c>
      <c r="AJA349" s="16" t="s">
        <v>4867</v>
      </c>
      <c r="AJB349" s="16" t="s">
        <v>4867</v>
      </c>
      <c r="AJC349" s="16" t="s">
        <v>4867</v>
      </c>
      <c r="AJD349" s="16" t="s">
        <v>4867</v>
      </c>
      <c r="AJE349" s="16" t="s">
        <v>4867</v>
      </c>
      <c r="AJF349" s="16" t="s">
        <v>4867</v>
      </c>
      <c r="AJG349" s="16" t="s">
        <v>4867</v>
      </c>
      <c r="AJH349" s="16" t="s">
        <v>4867</v>
      </c>
      <c r="AJI349" s="16" t="s">
        <v>4867</v>
      </c>
      <c r="AJJ349" s="16" t="s">
        <v>4867</v>
      </c>
      <c r="AJK349" s="16" t="s">
        <v>4867</v>
      </c>
      <c r="AJL349" s="16" t="s">
        <v>4867</v>
      </c>
      <c r="AJM349" s="16" t="s">
        <v>4867</v>
      </c>
      <c r="AJN349" s="16" t="s">
        <v>4867</v>
      </c>
      <c r="AJO349" s="16" t="s">
        <v>4867</v>
      </c>
      <c r="AJP349" s="16" t="s">
        <v>4867</v>
      </c>
      <c r="AJQ349" s="16" t="s">
        <v>4867</v>
      </c>
      <c r="AJR349" s="16" t="s">
        <v>4867</v>
      </c>
      <c r="AJS349" s="16" t="s">
        <v>4867</v>
      </c>
      <c r="AJT349" s="16" t="s">
        <v>4867</v>
      </c>
      <c r="AJU349" s="16" t="s">
        <v>4867</v>
      </c>
      <c r="AJV349" s="16" t="s">
        <v>4867</v>
      </c>
      <c r="AJW349" s="16" t="s">
        <v>4867</v>
      </c>
      <c r="AJX349" s="16" t="s">
        <v>4867</v>
      </c>
      <c r="AJY349" s="16" t="s">
        <v>4867</v>
      </c>
      <c r="AJZ349" s="16" t="s">
        <v>4867</v>
      </c>
      <c r="AKA349" s="16" t="s">
        <v>4867</v>
      </c>
      <c r="AKB349" s="16" t="s">
        <v>4867</v>
      </c>
      <c r="AKC349" s="16" t="s">
        <v>4867</v>
      </c>
      <c r="AKD349" s="16" t="s">
        <v>4867</v>
      </c>
      <c r="AKE349" s="16" t="s">
        <v>4867</v>
      </c>
      <c r="AKF349" s="16" t="s">
        <v>4867</v>
      </c>
      <c r="AKG349" s="16" t="s">
        <v>4867</v>
      </c>
      <c r="AKH349" s="16" t="s">
        <v>4867</v>
      </c>
      <c r="AKI349" s="16" t="s">
        <v>4867</v>
      </c>
      <c r="AKJ349" s="16" t="s">
        <v>4867</v>
      </c>
      <c r="AKK349" s="16" t="s">
        <v>4867</v>
      </c>
      <c r="AKL349" s="16" t="s">
        <v>4867</v>
      </c>
      <c r="AKM349" s="16" t="s">
        <v>4867</v>
      </c>
      <c r="AKN349" s="16" t="s">
        <v>4867</v>
      </c>
      <c r="AKO349" s="16" t="s">
        <v>4867</v>
      </c>
      <c r="AKP349" s="16" t="s">
        <v>4867</v>
      </c>
      <c r="AKQ349" s="16" t="s">
        <v>4867</v>
      </c>
      <c r="AKR349" s="16" t="s">
        <v>4867</v>
      </c>
      <c r="AKS349" s="16" t="s">
        <v>4867</v>
      </c>
      <c r="AKT349" s="16" t="s">
        <v>4867</v>
      </c>
      <c r="AKU349" s="16" t="s">
        <v>4867</v>
      </c>
      <c r="AKV349" s="16" t="s">
        <v>4867</v>
      </c>
      <c r="AKW349" s="16" t="s">
        <v>4867</v>
      </c>
      <c r="AKX349" s="16" t="s">
        <v>4867</v>
      </c>
      <c r="AKY349" s="16" t="s">
        <v>4867</v>
      </c>
      <c r="AKZ349" s="16" t="s">
        <v>4867</v>
      </c>
      <c r="ALA349" s="16" t="s">
        <v>4867</v>
      </c>
      <c r="ALB349" s="16" t="s">
        <v>4867</v>
      </c>
      <c r="ALC349" s="16" t="s">
        <v>4867</v>
      </c>
      <c r="ALD349" s="16" t="s">
        <v>4867</v>
      </c>
      <c r="ALE349" s="16" t="s">
        <v>4867</v>
      </c>
      <c r="ALF349" s="16" t="s">
        <v>4867</v>
      </c>
      <c r="ALG349" s="16" t="s">
        <v>4867</v>
      </c>
      <c r="ALH349" s="16" t="s">
        <v>4867</v>
      </c>
      <c r="ALI349" s="16" t="s">
        <v>4867</v>
      </c>
      <c r="ALJ349" s="16" t="s">
        <v>4867</v>
      </c>
      <c r="ALK349" s="16" t="s">
        <v>4867</v>
      </c>
      <c r="ALL349" s="16" t="s">
        <v>4867</v>
      </c>
      <c r="ALM349" s="16" t="s">
        <v>4867</v>
      </c>
      <c r="ALN349" s="16" t="s">
        <v>4867</v>
      </c>
      <c r="ALO349" s="16" t="s">
        <v>4867</v>
      </c>
      <c r="ALP349" s="16" t="s">
        <v>4867</v>
      </c>
      <c r="ALQ349" s="16" t="s">
        <v>4867</v>
      </c>
      <c r="ALR349" s="16" t="s">
        <v>4867</v>
      </c>
      <c r="ALS349" s="16" t="s">
        <v>4867</v>
      </c>
      <c r="ALT349" s="16" t="s">
        <v>4867</v>
      </c>
      <c r="ALU349" s="16" t="s">
        <v>4867</v>
      </c>
      <c r="ALV349" s="16" t="s">
        <v>4867</v>
      </c>
      <c r="ALW349" s="16" t="s">
        <v>4867</v>
      </c>
      <c r="ALX349" s="16" t="s">
        <v>4867</v>
      </c>
      <c r="ALY349" s="16" t="s">
        <v>4867</v>
      </c>
      <c r="ALZ349" s="16" t="s">
        <v>4867</v>
      </c>
      <c r="AMA349" s="16" t="s">
        <v>4867</v>
      </c>
      <c r="AMB349" s="16" t="s">
        <v>4867</v>
      </c>
      <c r="AMC349" s="16" t="s">
        <v>4867</v>
      </c>
      <c r="AMD349" s="16" t="s">
        <v>4867</v>
      </c>
      <c r="AME349" s="16" t="s">
        <v>4867</v>
      </c>
      <c r="AMF349" s="16" t="s">
        <v>4867</v>
      </c>
      <c r="AMG349" s="16" t="s">
        <v>4867</v>
      </c>
      <c r="AMH349" s="16" t="s">
        <v>4867</v>
      </c>
      <c r="AMI349" s="16" t="s">
        <v>4867</v>
      </c>
      <c r="AMJ349" s="16" t="s">
        <v>4867</v>
      </c>
      <c r="AMK349" s="16" t="s">
        <v>4867</v>
      </c>
      <c r="AML349" s="16" t="s">
        <v>4867</v>
      </c>
      <c r="AMM349" s="16" t="s">
        <v>4867</v>
      </c>
      <c r="AMN349" s="16" t="s">
        <v>4867</v>
      </c>
      <c r="AMO349" s="16" t="s">
        <v>4867</v>
      </c>
      <c r="AMP349" s="16" t="s">
        <v>4867</v>
      </c>
      <c r="AMQ349" s="16" t="s">
        <v>4867</v>
      </c>
      <c r="AMR349" s="16" t="s">
        <v>4867</v>
      </c>
      <c r="AMS349" s="16" t="s">
        <v>4867</v>
      </c>
      <c r="AMT349" s="16" t="s">
        <v>4867</v>
      </c>
      <c r="AMU349" s="16" t="s">
        <v>4867</v>
      </c>
      <c r="AMV349" s="16" t="s">
        <v>4867</v>
      </c>
      <c r="AMW349" s="16" t="s">
        <v>4867</v>
      </c>
      <c r="AMX349" s="16" t="s">
        <v>4867</v>
      </c>
      <c r="AMY349" s="16" t="s">
        <v>4867</v>
      </c>
      <c r="AMZ349" s="16" t="s">
        <v>4867</v>
      </c>
      <c r="ANA349" s="16" t="s">
        <v>4867</v>
      </c>
      <c r="ANB349" s="16" t="s">
        <v>4867</v>
      </c>
      <c r="ANC349" s="16" t="s">
        <v>4867</v>
      </c>
      <c r="AND349" s="16" t="s">
        <v>4867</v>
      </c>
      <c r="ANE349" s="16" t="s">
        <v>4867</v>
      </c>
      <c r="ANF349" s="16" t="s">
        <v>4867</v>
      </c>
      <c r="ANG349" s="16" t="s">
        <v>4867</v>
      </c>
      <c r="ANH349" s="16" t="s">
        <v>4867</v>
      </c>
      <c r="ANI349" s="16" t="s">
        <v>4867</v>
      </c>
      <c r="ANJ349" s="16" t="s">
        <v>4867</v>
      </c>
      <c r="ANK349" s="16" t="s">
        <v>4867</v>
      </c>
      <c r="ANL349" s="16" t="s">
        <v>4867</v>
      </c>
      <c r="ANM349" s="16" t="s">
        <v>4867</v>
      </c>
      <c r="ANN349" s="16" t="s">
        <v>4867</v>
      </c>
      <c r="ANO349" s="16" t="s">
        <v>4867</v>
      </c>
      <c r="ANP349" s="16" t="s">
        <v>4867</v>
      </c>
      <c r="ANQ349" s="16" t="s">
        <v>4867</v>
      </c>
      <c r="ANR349" s="16" t="s">
        <v>4867</v>
      </c>
      <c r="ANS349" s="16" t="s">
        <v>4867</v>
      </c>
      <c r="ANT349" s="16" t="s">
        <v>4867</v>
      </c>
      <c r="ANU349" s="16" t="s">
        <v>4867</v>
      </c>
      <c r="ANV349" s="16" t="s">
        <v>4867</v>
      </c>
      <c r="ANW349" s="16" t="s">
        <v>4867</v>
      </c>
      <c r="ANX349" s="16" t="s">
        <v>4867</v>
      </c>
      <c r="ANY349" s="16" t="s">
        <v>4867</v>
      </c>
      <c r="ANZ349" s="16" t="s">
        <v>4867</v>
      </c>
      <c r="AOA349" s="16" t="s">
        <v>4867</v>
      </c>
      <c r="AOB349" s="16" t="s">
        <v>4867</v>
      </c>
      <c r="AOC349" s="16" t="s">
        <v>4867</v>
      </c>
      <c r="AOD349" s="16" t="s">
        <v>4867</v>
      </c>
      <c r="AOE349" s="16" t="s">
        <v>4867</v>
      </c>
      <c r="AOF349" s="16" t="s">
        <v>4867</v>
      </c>
      <c r="AOG349" s="16" t="s">
        <v>4867</v>
      </c>
      <c r="AOH349" s="16" t="s">
        <v>4867</v>
      </c>
      <c r="AOI349" s="16" t="s">
        <v>4867</v>
      </c>
      <c r="AOJ349" s="16" t="s">
        <v>4867</v>
      </c>
      <c r="AOK349" s="16" t="s">
        <v>4867</v>
      </c>
      <c r="AOL349" s="16" t="s">
        <v>4867</v>
      </c>
      <c r="AOM349" s="16" t="s">
        <v>4867</v>
      </c>
      <c r="AON349" s="16" t="s">
        <v>4867</v>
      </c>
      <c r="AOO349" s="16" t="s">
        <v>4867</v>
      </c>
      <c r="AOP349" s="16" t="s">
        <v>4867</v>
      </c>
      <c r="AOQ349" s="16" t="s">
        <v>4867</v>
      </c>
      <c r="AOR349" s="16" t="s">
        <v>4867</v>
      </c>
      <c r="AOS349" s="16" t="s">
        <v>4867</v>
      </c>
      <c r="AOT349" s="16" t="s">
        <v>4867</v>
      </c>
      <c r="AOU349" s="16" t="s">
        <v>4867</v>
      </c>
      <c r="AOV349" s="16" t="s">
        <v>4867</v>
      </c>
      <c r="AOW349" s="16" t="s">
        <v>4867</v>
      </c>
      <c r="AOX349" s="16" t="s">
        <v>4867</v>
      </c>
      <c r="AOY349" s="16" t="s">
        <v>4867</v>
      </c>
      <c r="AOZ349" s="16" t="s">
        <v>4867</v>
      </c>
      <c r="APA349" s="16" t="s">
        <v>4867</v>
      </c>
      <c r="APB349" s="16" t="s">
        <v>4867</v>
      </c>
      <c r="APC349" s="16" t="s">
        <v>4867</v>
      </c>
      <c r="APD349" s="16" t="s">
        <v>4867</v>
      </c>
      <c r="APE349" s="16" t="s">
        <v>4867</v>
      </c>
      <c r="APF349" s="16" t="s">
        <v>4867</v>
      </c>
      <c r="APG349" s="16" t="s">
        <v>4867</v>
      </c>
      <c r="APH349" s="16" t="s">
        <v>4867</v>
      </c>
      <c r="API349" s="16" t="s">
        <v>4867</v>
      </c>
      <c r="APJ349" s="16" t="s">
        <v>4867</v>
      </c>
      <c r="APK349" s="16" t="s">
        <v>4867</v>
      </c>
      <c r="APL349" s="16" t="s">
        <v>4867</v>
      </c>
      <c r="APM349" s="16" t="s">
        <v>4867</v>
      </c>
      <c r="APN349" s="16" t="s">
        <v>4867</v>
      </c>
      <c r="APO349" s="16" t="s">
        <v>4867</v>
      </c>
      <c r="APP349" s="16" t="s">
        <v>4867</v>
      </c>
      <c r="APQ349" s="16" t="s">
        <v>4867</v>
      </c>
      <c r="APR349" s="16" t="s">
        <v>4867</v>
      </c>
      <c r="APS349" s="16" t="s">
        <v>4867</v>
      </c>
      <c r="APT349" s="16" t="s">
        <v>4867</v>
      </c>
      <c r="APU349" s="16" t="s">
        <v>4867</v>
      </c>
      <c r="APV349" s="16" t="s">
        <v>4867</v>
      </c>
      <c r="APW349" s="16" t="s">
        <v>4867</v>
      </c>
      <c r="APX349" s="16" t="s">
        <v>4867</v>
      </c>
      <c r="APY349" s="16" t="s">
        <v>4867</v>
      </c>
      <c r="APZ349" s="16" t="s">
        <v>4867</v>
      </c>
      <c r="AQA349" s="16" t="s">
        <v>4867</v>
      </c>
      <c r="AQB349" s="16" t="s">
        <v>4867</v>
      </c>
      <c r="AQC349" s="16" t="s">
        <v>4867</v>
      </c>
      <c r="AQD349" s="16" t="s">
        <v>4867</v>
      </c>
      <c r="AQE349" s="16" t="s">
        <v>4867</v>
      </c>
      <c r="AQF349" s="16" t="s">
        <v>4867</v>
      </c>
      <c r="AQG349" s="16" t="s">
        <v>4867</v>
      </c>
      <c r="AQH349" s="16" t="s">
        <v>4867</v>
      </c>
      <c r="AQI349" s="16" t="s">
        <v>4867</v>
      </c>
      <c r="AQJ349" s="16" t="s">
        <v>4867</v>
      </c>
      <c r="AQK349" s="16" t="s">
        <v>4867</v>
      </c>
      <c r="AQL349" s="16" t="s">
        <v>4867</v>
      </c>
      <c r="AQM349" s="16" t="s">
        <v>4867</v>
      </c>
      <c r="AQN349" s="16" t="s">
        <v>4867</v>
      </c>
      <c r="AQO349" s="16" t="s">
        <v>4867</v>
      </c>
      <c r="AQP349" s="16" t="s">
        <v>4867</v>
      </c>
      <c r="AQQ349" s="16" t="s">
        <v>4867</v>
      </c>
      <c r="AQR349" s="16" t="s">
        <v>4867</v>
      </c>
      <c r="AQS349" s="16" t="s">
        <v>4867</v>
      </c>
      <c r="AQT349" s="16" t="s">
        <v>4867</v>
      </c>
      <c r="AQU349" s="16" t="s">
        <v>4867</v>
      </c>
      <c r="AQV349" s="16" t="s">
        <v>4867</v>
      </c>
      <c r="AQW349" s="16" t="s">
        <v>4867</v>
      </c>
      <c r="AQX349" s="16" t="s">
        <v>4867</v>
      </c>
      <c r="AQY349" s="16" t="s">
        <v>4867</v>
      </c>
      <c r="AQZ349" s="16" t="s">
        <v>4867</v>
      </c>
      <c r="ARA349" s="16" t="s">
        <v>4867</v>
      </c>
      <c r="ARB349" s="16" t="s">
        <v>4867</v>
      </c>
      <c r="ARC349" s="16" t="s">
        <v>4867</v>
      </c>
      <c r="ARD349" s="16" t="s">
        <v>4867</v>
      </c>
      <c r="ARE349" s="16" t="s">
        <v>4867</v>
      </c>
      <c r="ARF349" s="16" t="s">
        <v>4867</v>
      </c>
      <c r="ARG349" s="16" t="s">
        <v>4867</v>
      </c>
      <c r="ARH349" s="16" t="s">
        <v>4867</v>
      </c>
      <c r="ARI349" s="16" t="s">
        <v>4867</v>
      </c>
      <c r="ARJ349" s="16" t="s">
        <v>4867</v>
      </c>
      <c r="ARK349" s="16" t="s">
        <v>4867</v>
      </c>
      <c r="ARL349" s="16" t="s">
        <v>4867</v>
      </c>
      <c r="ARM349" s="16" t="s">
        <v>4867</v>
      </c>
      <c r="ARN349" s="16" t="s">
        <v>4867</v>
      </c>
      <c r="ARO349" s="16" t="s">
        <v>4867</v>
      </c>
      <c r="ARP349" s="16" t="s">
        <v>4867</v>
      </c>
      <c r="ARQ349" s="16" t="s">
        <v>4867</v>
      </c>
      <c r="ARR349" s="16" t="s">
        <v>4867</v>
      </c>
      <c r="ARS349" s="16" t="s">
        <v>4867</v>
      </c>
      <c r="ART349" s="16" t="s">
        <v>4867</v>
      </c>
      <c r="ARU349" s="16" t="s">
        <v>4867</v>
      </c>
      <c r="ARV349" s="16" t="s">
        <v>4867</v>
      </c>
      <c r="ARW349" s="16" t="s">
        <v>4867</v>
      </c>
      <c r="ARX349" s="16" t="s">
        <v>4867</v>
      </c>
      <c r="ARY349" s="16" t="s">
        <v>4867</v>
      </c>
      <c r="ARZ349" s="16" t="s">
        <v>4867</v>
      </c>
      <c r="ASA349" s="16" t="s">
        <v>4867</v>
      </c>
      <c r="ASB349" s="16" t="s">
        <v>4867</v>
      </c>
      <c r="ASC349" s="16" t="s">
        <v>4867</v>
      </c>
      <c r="ASD349" s="16" t="s">
        <v>4867</v>
      </c>
      <c r="ASE349" s="16" t="s">
        <v>4867</v>
      </c>
      <c r="ASF349" s="16" t="s">
        <v>4867</v>
      </c>
      <c r="ASG349" s="16" t="s">
        <v>4867</v>
      </c>
      <c r="ASH349" s="16" t="s">
        <v>4867</v>
      </c>
      <c r="ASI349" s="16" t="s">
        <v>4867</v>
      </c>
      <c r="ASJ349" s="16" t="s">
        <v>4867</v>
      </c>
      <c r="ASK349" s="16" t="s">
        <v>4867</v>
      </c>
      <c r="ASL349" s="16" t="s">
        <v>4867</v>
      </c>
      <c r="ASM349" s="16" t="s">
        <v>4867</v>
      </c>
      <c r="ASN349" s="16" t="s">
        <v>4867</v>
      </c>
      <c r="ASO349" s="16" t="s">
        <v>4867</v>
      </c>
      <c r="ASP349" s="16" t="s">
        <v>4867</v>
      </c>
      <c r="ASQ349" s="16" t="s">
        <v>4867</v>
      </c>
      <c r="ASR349" s="16" t="s">
        <v>4867</v>
      </c>
      <c r="ASS349" s="16" t="s">
        <v>4867</v>
      </c>
      <c r="AST349" s="16" t="s">
        <v>4867</v>
      </c>
      <c r="ASU349" s="16" t="s">
        <v>4867</v>
      </c>
      <c r="ASV349" s="16" t="s">
        <v>4867</v>
      </c>
      <c r="ASW349" s="16" t="s">
        <v>4867</v>
      </c>
      <c r="ASX349" s="16" t="s">
        <v>4867</v>
      </c>
      <c r="ASY349" s="16" t="s">
        <v>4867</v>
      </c>
      <c r="ASZ349" s="16" t="s">
        <v>4867</v>
      </c>
      <c r="ATA349" s="16" t="s">
        <v>4867</v>
      </c>
      <c r="ATB349" s="16" t="s">
        <v>4867</v>
      </c>
      <c r="ATC349" s="16" t="s">
        <v>4867</v>
      </c>
      <c r="ATD349" s="16" t="s">
        <v>4867</v>
      </c>
      <c r="ATE349" s="16" t="s">
        <v>4867</v>
      </c>
      <c r="ATF349" s="16" t="s">
        <v>4867</v>
      </c>
      <c r="ATG349" s="16" t="s">
        <v>4867</v>
      </c>
      <c r="ATH349" s="16" t="s">
        <v>4867</v>
      </c>
      <c r="ATI349" s="16" t="s">
        <v>4867</v>
      </c>
      <c r="ATJ349" s="16" t="s">
        <v>4867</v>
      </c>
      <c r="ATK349" s="16" t="s">
        <v>4867</v>
      </c>
      <c r="ATL349" s="16" t="s">
        <v>4867</v>
      </c>
      <c r="ATM349" s="16" t="s">
        <v>4867</v>
      </c>
      <c r="ATN349" s="16" t="s">
        <v>4867</v>
      </c>
      <c r="ATO349" s="16" t="s">
        <v>4867</v>
      </c>
      <c r="ATP349" s="16" t="s">
        <v>4867</v>
      </c>
      <c r="ATQ349" s="16" t="s">
        <v>4867</v>
      </c>
      <c r="ATR349" s="16" t="s">
        <v>4867</v>
      </c>
      <c r="ATS349" s="16" t="s">
        <v>4867</v>
      </c>
      <c r="ATT349" s="16" t="s">
        <v>4867</v>
      </c>
      <c r="ATU349" s="16" t="s">
        <v>4867</v>
      </c>
      <c r="ATV349" s="16" t="s">
        <v>4867</v>
      </c>
      <c r="ATW349" s="16" t="s">
        <v>4867</v>
      </c>
      <c r="ATX349" s="16" t="s">
        <v>4867</v>
      </c>
      <c r="ATY349" s="16" t="s">
        <v>4867</v>
      </c>
      <c r="ATZ349" s="16" t="s">
        <v>4867</v>
      </c>
      <c r="AUA349" s="16" t="s">
        <v>4867</v>
      </c>
      <c r="AUB349" s="16" t="s">
        <v>4867</v>
      </c>
      <c r="AUC349" s="16" t="s">
        <v>4867</v>
      </c>
      <c r="AUD349" s="16" t="s">
        <v>4867</v>
      </c>
      <c r="AUE349" s="16" t="s">
        <v>4867</v>
      </c>
      <c r="AUF349" s="16" t="s">
        <v>4867</v>
      </c>
      <c r="AUG349" s="16" t="s">
        <v>4867</v>
      </c>
      <c r="AUH349" s="16" t="s">
        <v>4867</v>
      </c>
      <c r="AUI349" s="16" t="s">
        <v>4867</v>
      </c>
      <c r="AUJ349" s="16" t="s">
        <v>4867</v>
      </c>
      <c r="AUK349" s="16" t="s">
        <v>4867</v>
      </c>
      <c r="AUL349" s="16" t="s">
        <v>4867</v>
      </c>
      <c r="AUM349" s="16" t="s">
        <v>4867</v>
      </c>
      <c r="AUN349" s="16" t="s">
        <v>4867</v>
      </c>
      <c r="AUO349" s="16" t="s">
        <v>4867</v>
      </c>
      <c r="AUP349" s="16" t="s">
        <v>4867</v>
      </c>
      <c r="AUQ349" s="16" t="s">
        <v>4867</v>
      </c>
      <c r="AUR349" s="16" t="s">
        <v>4867</v>
      </c>
      <c r="AUS349" s="16" t="s">
        <v>4867</v>
      </c>
      <c r="AUT349" s="16" t="s">
        <v>4867</v>
      </c>
      <c r="AUU349" s="16" t="s">
        <v>4867</v>
      </c>
      <c r="AUV349" s="16" t="s">
        <v>4867</v>
      </c>
      <c r="AUW349" s="16" t="s">
        <v>4867</v>
      </c>
      <c r="AUX349" s="16" t="s">
        <v>4867</v>
      </c>
      <c r="AUY349" s="16" t="s">
        <v>4867</v>
      </c>
      <c r="AUZ349" s="16" t="s">
        <v>4867</v>
      </c>
      <c r="AVA349" s="16" t="s">
        <v>4867</v>
      </c>
      <c r="AVB349" s="16" t="s">
        <v>4867</v>
      </c>
      <c r="AVC349" s="16" t="s">
        <v>4867</v>
      </c>
      <c r="AVD349" s="16" t="s">
        <v>4867</v>
      </c>
      <c r="AVE349" s="16" t="s">
        <v>4867</v>
      </c>
      <c r="AVF349" s="16" t="s">
        <v>4867</v>
      </c>
      <c r="AVG349" s="16" t="s">
        <v>4867</v>
      </c>
      <c r="AVH349" s="16" t="s">
        <v>4867</v>
      </c>
      <c r="AVI349" s="16" t="s">
        <v>4867</v>
      </c>
      <c r="AVJ349" s="16" t="s">
        <v>4867</v>
      </c>
      <c r="AVK349" s="16" t="s">
        <v>4867</v>
      </c>
      <c r="AVL349" s="16" t="s">
        <v>4867</v>
      </c>
      <c r="AVM349" s="16" t="s">
        <v>4867</v>
      </c>
      <c r="AVN349" s="16" t="s">
        <v>4867</v>
      </c>
      <c r="AVO349" s="16" t="s">
        <v>4867</v>
      </c>
      <c r="AVP349" s="16" t="s">
        <v>4867</v>
      </c>
      <c r="AVQ349" s="16" t="s">
        <v>4867</v>
      </c>
      <c r="AVR349" s="16" t="s">
        <v>4867</v>
      </c>
      <c r="AVS349" s="16" t="s">
        <v>4867</v>
      </c>
      <c r="AVT349" s="16" t="s">
        <v>4867</v>
      </c>
      <c r="AVU349" s="16" t="s">
        <v>4867</v>
      </c>
      <c r="AVV349" s="16" t="s">
        <v>4867</v>
      </c>
      <c r="AVW349" s="16" t="s">
        <v>4867</v>
      </c>
      <c r="AVX349" s="16" t="s">
        <v>4867</v>
      </c>
      <c r="AVY349" s="16" t="s">
        <v>4867</v>
      </c>
      <c r="AVZ349" s="16" t="s">
        <v>4867</v>
      </c>
      <c r="AWA349" s="16" t="s">
        <v>4867</v>
      </c>
      <c r="AWB349" s="16" t="s">
        <v>4867</v>
      </c>
      <c r="AWC349" s="16" t="s">
        <v>4867</v>
      </c>
      <c r="AWD349" s="16" t="s">
        <v>4867</v>
      </c>
      <c r="AWE349" s="16" t="s">
        <v>4867</v>
      </c>
      <c r="AWF349" s="16" t="s">
        <v>4867</v>
      </c>
      <c r="AWG349" s="16" t="s">
        <v>4867</v>
      </c>
      <c r="AWH349" s="16" t="s">
        <v>4867</v>
      </c>
      <c r="AWI349" s="16" t="s">
        <v>4867</v>
      </c>
      <c r="AWJ349" s="16" t="s">
        <v>4867</v>
      </c>
      <c r="AWK349" s="16" t="s">
        <v>4867</v>
      </c>
      <c r="AWL349" s="16" t="s">
        <v>4867</v>
      </c>
      <c r="AWM349" s="16" t="s">
        <v>4867</v>
      </c>
      <c r="AWN349" s="16" t="s">
        <v>4867</v>
      </c>
      <c r="AWO349" s="16" t="s">
        <v>4867</v>
      </c>
      <c r="AWP349" s="16" t="s">
        <v>4867</v>
      </c>
      <c r="AWQ349" s="16" t="s">
        <v>4867</v>
      </c>
      <c r="AWR349" s="16" t="s">
        <v>4867</v>
      </c>
      <c r="AWS349" s="16" t="s">
        <v>4867</v>
      </c>
      <c r="AWT349" s="16" t="s">
        <v>4867</v>
      </c>
      <c r="AWU349" s="16" t="s">
        <v>4867</v>
      </c>
      <c r="AWV349" s="16" t="s">
        <v>4867</v>
      </c>
      <c r="AWW349" s="16" t="s">
        <v>4867</v>
      </c>
      <c r="AWX349" s="16" t="s">
        <v>4867</v>
      </c>
      <c r="AWY349" s="16" t="s">
        <v>4867</v>
      </c>
      <c r="AWZ349" s="16" t="s">
        <v>4867</v>
      </c>
      <c r="AXA349" s="16" t="s">
        <v>4867</v>
      </c>
      <c r="AXB349" s="16" t="s">
        <v>4867</v>
      </c>
      <c r="AXC349" s="16" t="s">
        <v>4867</v>
      </c>
      <c r="AXD349" s="16" t="s">
        <v>4867</v>
      </c>
      <c r="AXE349" s="16" t="s">
        <v>4867</v>
      </c>
      <c r="AXF349" s="16" t="s">
        <v>4867</v>
      </c>
      <c r="AXG349" s="16" t="s">
        <v>4867</v>
      </c>
      <c r="AXH349" s="16" t="s">
        <v>4867</v>
      </c>
      <c r="AXI349" s="16" t="s">
        <v>4867</v>
      </c>
      <c r="AXJ349" s="16" t="s">
        <v>4867</v>
      </c>
      <c r="AXK349" s="16" t="s">
        <v>4867</v>
      </c>
      <c r="AXL349" s="16" t="s">
        <v>4867</v>
      </c>
      <c r="AXM349" s="16" t="s">
        <v>4867</v>
      </c>
      <c r="AXN349" s="16" t="s">
        <v>4867</v>
      </c>
      <c r="AXO349" s="16" t="s">
        <v>4867</v>
      </c>
      <c r="AXP349" s="16" t="s">
        <v>4867</v>
      </c>
      <c r="AXQ349" s="16" t="s">
        <v>4867</v>
      </c>
      <c r="AXR349" s="16" t="s">
        <v>4867</v>
      </c>
      <c r="AXS349" s="16" t="s">
        <v>4867</v>
      </c>
      <c r="AXT349" s="16" t="s">
        <v>4867</v>
      </c>
      <c r="AXU349" s="16" t="s">
        <v>4867</v>
      </c>
      <c r="AXV349" s="16" t="s">
        <v>4867</v>
      </c>
      <c r="AXW349" s="16" t="s">
        <v>4867</v>
      </c>
      <c r="AXX349" s="16" t="s">
        <v>4867</v>
      </c>
      <c r="AXY349" s="16" t="s">
        <v>4867</v>
      </c>
      <c r="AXZ349" s="16" t="s">
        <v>4867</v>
      </c>
      <c r="AYA349" s="16" t="s">
        <v>4867</v>
      </c>
      <c r="AYB349" s="16" t="s">
        <v>4867</v>
      </c>
      <c r="AYC349" s="16" t="s">
        <v>4867</v>
      </c>
      <c r="AYD349" s="16" t="s">
        <v>4867</v>
      </c>
      <c r="AYE349" s="16" t="s">
        <v>4867</v>
      </c>
      <c r="AYF349" s="16" t="s">
        <v>4867</v>
      </c>
      <c r="AYG349" s="16" t="s">
        <v>4867</v>
      </c>
      <c r="AYH349" s="16" t="s">
        <v>4867</v>
      </c>
      <c r="AYI349" s="16" t="s">
        <v>4867</v>
      </c>
      <c r="AYJ349" s="16" t="s">
        <v>4867</v>
      </c>
      <c r="AYK349" s="16" t="s">
        <v>4867</v>
      </c>
      <c r="AYL349" s="16" t="s">
        <v>4867</v>
      </c>
      <c r="AYM349" s="16" t="s">
        <v>4867</v>
      </c>
      <c r="AYN349" s="16" t="s">
        <v>4867</v>
      </c>
      <c r="AYO349" s="16" t="s">
        <v>4867</v>
      </c>
      <c r="AYP349" s="16" t="s">
        <v>4867</v>
      </c>
      <c r="AYQ349" s="16" t="s">
        <v>4867</v>
      </c>
      <c r="AYR349" s="16" t="s">
        <v>4867</v>
      </c>
      <c r="AYS349" s="16" t="s">
        <v>4867</v>
      </c>
      <c r="AYT349" s="16" t="s">
        <v>4867</v>
      </c>
      <c r="AYU349" s="16" t="s">
        <v>4867</v>
      </c>
      <c r="AYV349" s="16" t="s">
        <v>4867</v>
      </c>
      <c r="AYW349" s="16" t="s">
        <v>4867</v>
      </c>
      <c r="AYX349" s="16" t="s">
        <v>4867</v>
      </c>
      <c r="AYY349" s="16" t="s">
        <v>4867</v>
      </c>
      <c r="AYZ349" s="16" t="s">
        <v>4867</v>
      </c>
      <c r="AZA349" s="16" t="s">
        <v>4867</v>
      </c>
      <c r="AZB349" s="16" t="s">
        <v>4867</v>
      </c>
      <c r="AZC349" s="16" t="s">
        <v>4867</v>
      </c>
      <c r="AZD349" s="16" t="s">
        <v>4867</v>
      </c>
      <c r="AZE349" s="16" t="s">
        <v>4867</v>
      </c>
      <c r="AZF349" s="16" t="s">
        <v>4867</v>
      </c>
      <c r="AZG349" s="16" t="s">
        <v>4867</v>
      </c>
      <c r="AZH349" s="16" t="s">
        <v>4867</v>
      </c>
      <c r="AZI349" s="16" t="s">
        <v>4867</v>
      </c>
      <c r="AZJ349" s="16" t="s">
        <v>4867</v>
      </c>
      <c r="AZK349" s="16" t="s">
        <v>4867</v>
      </c>
      <c r="AZL349" s="16" t="s">
        <v>4867</v>
      </c>
      <c r="AZM349" s="16" t="s">
        <v>4867</v>
      </c>
      <c r="AZN349" s="16" t="s">
        <v>4867</v>
      </c>
      <c r="AZO349" s="16" t="s">
        <v>4867</v>
      </c>
      <c r="AZP349" s="16" t="s">
        <v>4867</v>
      </c>
      <c r="AZQ349" s="16" t="s">
        <v>4867</v>
      </c>
      <c r="AZR349" s="16" t="s">
        <v>4867</v>
      </c>
      <c r="AZS349" s="16" t="s">
        <v>4867</v>
      </c>
      <c r="AZT349" s="16" t="s">
        <v>4867</v>
      </c>
      <c r="AZU349" s="16" t="s">
        <v>4867</v>
      </c>
      <c r="AZV349" s="16" t="s">
        <v>4867</v>
      </c>
      <c r="AZW349" s="16" t="s">
        <v>4867</v>
      </c>
      <c r="AZX349" s="16" t="s">
        <v>4867</v>
      </c>
      <c r="AZY349" s="16" t="s">
        <v>4867</v>
      </c>
      <c r="AZZ349" s="16" t="s">
        <v>4867</v>
      </c>
      <c r="BAA349" s="16" t="s">
        <v>4867</v>
      </c>
      <c r="BAB349" s="16" t="s">
        <v>4867</v>
      </c>
      <c r="BAC349" s="16" t="s">
        <v>4867</v>
      </c>
      <c r="BAD349" s="16" t="s">
        <v>4867</v>
      </c>
      <c r="BAE349" s="16" t="s">
        <v>4867</v>
      </c>
      <c r="BAF349" s="16" t="s">
        <v>4867</v>
      </c>
      <c r="BAG349" s="16" t="s">
        <v>4867</v>
      </c>
      <c r="BAH349" s="16" t="s">
        <v>4867</v>
      </c>
      <c r="BAI349" s="16" t="s">
        <v>4867</v>
      </c>
      <c r="BAJ349" s="16" t="s">
        <v>4867</v>
      </c>
      <c r="BAK349" s="16" t="s">
        <v>4867</v>
      </c>
      <c r="BAL349" s="16" t="s">
        <v>4867</v>
      </c>
      <c r="BAM349" s="16" t="s">
        <v>4867</v>
      </c>
      <c r="BAN349" s="16" t="s">
        <v>4867</v>
      </c>
      <c r="BAO349" s="16" t="s">
        <v>4867</v>
      </c>
      <c r="BAP349" s="16" t="s">
        <v>4867</v>
      </c>
      <c r="BAQ349" s="16" t="s">
        <v>4867</v>
      </c>
      <c r="BAR349" s="16" t="s">
        <v>4867</v>
      </c>
      <c r="BAS349" s="16" t="s">
        <v>4867</v>
      </c>
      <c r="BAT349" s="16" t="s">
        <v>4867</v>
      </c>
      <c r="BAU349" s="16" t="s">
        <v>4867</v>
      </c>
      <c r="BAV349" s="16" t="s">
        <v>4867</v>
      </c>
      <c r="BAW349" s="16" t="s">
        <v>4867</v>
      </c>
      <c r="BAX349" s="16" t="s">
        <v>4867</v>
      </c>
      <c r="BAY349" s="16" t="s">
        <v>4867</v>
      </c>
      <c r="BAZ349" s="16" t="s">
        <v>4867</v>
      </c>
      <c r="BBA349" s="16" t="s">
        <v>4867</v>
      </c>
      <c r="BBB349" s="16" t="s">
        <v>4867</v>
      </c>
      <c r="BBC349" s="16" t="s">
        <v>4867</v>
      </c>
      <c r="BBD349" s="16" t="s">
        <v>4867</v>
      </c>
      <c r="BBE349" s="16" t="s">
        <v>4867</v>
      </c>
      <c r="BBF349" s="16" t="s">
        <v>4867</v>
      </c>
      <c r="BBG349" s="16" t="s">
        <v>4867</v>
      </c>
      <c r="BBH349" s="16" t="s">
        <v>4867</v>
      </c>
      <c r="BBI349" s="16" t="s">
        <v>4867</v>
      </c>
      <c r="BBJ349" s="16" t="s">
        <v>4867</v>
      </c>
      <c r="BBK349" s="16" t="s">
        <v>4867</v>
      </c>
      <c r="BBL349" s="16" t="s">
        <v>4867</v>
      </c>
      <c r="BBM349" s="16" t="s">
        <v>4867</v>
      </c>
      <c r="BBN349" s="16" t="s">
        <v>4867</v>
      </c>
      <c r="BBO349" s="16" t="s">
        <v>4867</v>
      </c>
      <c r="BBP349" s="16" t="s">
        <v>4867</v>
      </c>
      <c r="BBQ349" s="16" t="s">
        <v>4867</v>
      </c>
      <c r="BBR349" s="16" t="s">
        <v>4867</v>
      </c>
      <c r="BBS349" s="16" t="s">
        <v>4867</v>
      </c>
      <c r="BBT349" s="16" t="s">
        <v>4867</v>
      </c>
      <c r="BBU349" s="16" t="s">
        <v>4867</v>
      </c>
      <c r="BBV349" s="16" t="s">
        <v>4867</v>
      </c>
      <c r="BBW349" s="16" t="s">
        <v>4867</v>
      </c>
      <c r="BBX349" s="16" t="s">
        <v>4867</v>
      </c>
      <c r="BBY349" s="16" t="s">
        <v>4867</v>
      </c>
      <c r="BBZ349" s="16" t="s">
        <v>4867</v>
      </c>
      <c r="BCA349" s="16" t="s">
        <v>4867</v>
      </c>
      <c r="BCB349" s="16" t="s">
        <v>4867</v>
      </c>
      <c r="BCC349" s="16" t="s">
        <v>4867</v>
      </c>
      <c r="BCD349" s="16" t="s">
        <v>4867</v>
      </c>
      <c r="BCE349" s="16" t="s">
        <v>4867</v>
      </c>
      <c r="BCF349" s="16" t="s">
        <v>4867</v>
      </c>
      <c r="BCG349" s="16" t="s">
        <v>4867</v>
      </c>
      <c r="BCH349" s="16" t="s">
        <v>4867</v>
      </c>
      <c r="BCI349" s="16" t="s">
        <v>4867</v>
      </c>
      <c r="BCJ349" s="16" t="s">
        <v>4867</v>
      </c>
      <c r="BCK349" s="16" t="s">
        <v>4867</v>
      </c>
      <c r="BCL349" s="16" t="s">
        <v>4867</v>
      </c>
      <c r="BCM349" s="16" t="s">
        <v>4867</v>
      </c>
      <c r="BCN349" s="16" t="s">
        <v>4867</v>
      </c>
      <c r="BCO349" s="16" t="s">
        <v>4867</v>
      </c>
      <c r="BCP349" s="16" t="s">
        <v>4867</v>
      </c>
      <c r="BCQ349" s="16" t="s">
        <v>4867</v>
      </c>
      <c r="BCR349" s="16" t="s">
        <v>4867</v>
      </c>
      <c r="BCS349" s="16" t="s">
        <v>4867</v>
      </c>
      <c r="BCT349" s="16" t="s">
        <v>4867</v>
      </c>
      <c r="BCU349" s="16" t="s">
        <v>4867</v>
      </c>
      <c r="BCV349" s="16" t="s">
        <v>4867</v>
      </c>
      <c r="BCW349" s="16" t="s">
        <v>4867</v>
      </c>
      <c r="BCX349" s="16" t="s">
        <v>4867</v>
      </c>
      <c r="BCY349" s="16" t="s">
        <v>4867</v>
      </c>
      <c r="BCZ349" s="16" t="s">
        <v>4867</v>
      </c>
      <c r="BDA349" s="16" t="s">
        <v>4867</v>
      </c>
      <c r="BDB349" s="16" t="s">
        <v>4867</v>
      </c>
      <c r="BDC349" s="16" t="s">
        <v>4867</v>
      </c>
      <c r="BDD349" s="16" t="s">
        <v>4867</v>
      </c>
      <c r="BDE349" s="16" t="s">
        <v>4867</v>
      </c>
      <c r="BDF349" s="16" t="s">
        <v>4867</v>
      </c>
      <c r="BDG349" s="16" t="s">
        <v>4867</v>
      </c>
      <c r="BDH349" s="16" t="s">
        <v>4867</v>
      </c>
      <c r="BDI349" s="16" t="s">
        <v>4867</v>
      </c>
      <c r="BDJ349" s="16" t="s">
        <v>4867</v>
      </c>
      <c r="BDK349" s="16" t="s">
        <v>4867</v>
      </c>
      <c r="BDL349" s="16" t="s">
        <v>4867</v>
      </c>
      <c r="BDM349" s="16" t="s">
        <v>4867</v>
      </c>
      <c r="BDN349" s="16" t="s">
        <v>4867</v>
      </c>
      <c r="BDO349" s="16" t="s">
        <v>4867</v>
      </c>
      <c r="BDP349" s="16" t="s">
        <v>4867</v>
      </c>
      <c r="BDQ349" s="16" t="s">
        <v>4867</v>
      </c>
      <c r="BDR349" s="16" t="s">
        <v>4867</v>
      </c>
      <c r="BDS349" s="16" t="s">
        <v>4867</v>
      </c>
      <c r="BDT349" s="16" t="s">
        <v>4867</v>
      </c>
      <c r="BDU349" s="16" t="s">
        <v>4867</v>
      </c>
      <c r="BDV349" s="16" t="s">
        <v>4867</v>
      </c>
      <c r="BDW349" s="16" t="s">
        <v>4867</v>
      </c>
      <c r="BDX349" s="16" t="s">
        <v>4867</v>
      </c>
      <c r="BDY349" s="16" t="s">
        <v>4867</v>
      </c>
      <c r="BDZ349" s="16" t="s">
        <v>4867</v>
      </c>
      <c r="BEA349" s="16" t="s">
        <v>4867</v>
      </c>
      <c r="BEB349" s="16" t="s">
        <v>4867</v>
      </c>
      <c r="BEC349" s="16" t="s">
        <v>4867</v>
      </c>
      <c r="BED349" s="16" t="s">
        <v>4867</v>
      </c>
      <c r="BEE349" s="16" t="s">
        <v>4867</v>
      </c>
      <c r="BEF349" s="16" t="s">
        <v>4867</v>
      </c>
      <c r="BEG349" s="16" t="s">
        <v>4867</v>
      </c>
      <c r="BEH349" s="16" t="s">
        <v>4867</v>
      </c>
      <c r="BEI349" s="16" t="s">
        <v>4867</v>
      </c>
      <c r="BEJ349" s="16" t="s">
        <v>4867</v>
      </c>
      <c r="BEK349" s="16" t="s">
        <v>4867</v>
      </c>
      <c r="BEL349" s="16" t="s">
        <v>4867</v>
      </c>
      <c r="BEM349" s="16" t="s">
        <v>4867</v>
      </c>
      <c r="BEN349" s="16" t="s">
        <v>4867</v>
      </c>
      <c r="BEO349" s="16" t="s">
        <v>4867</v>
      </c>
      <c r="BEP349" s="16" t="s">
        <v>4867</v>
      </c>
      <c r="BEQ349" s="16" t="s">
        <v>4867</v>
      </c>
      <c r="BER349" s="16" t="s">
        <v>4867</v>
      </c>
      <c r="BES349" s="16" t="s">
        <v>4867</v>
      </c>
      <c r="BET349" s="16" t="s">
        <v>4867</v>
      </c>
      <c r="BEU349" s="16" t="s">
        <v>4867</v>
      </c>
      <c r="BEV349" s="16" t="s">
        <v>4867</v>
      </c>
      <c r="BEW349" s="16" t="s">
        <v>4867</v>
      </c>
      <c r="BEX349" s="16" t="s">
        <v>4867</v>
      </c>
      <c r="BEY349" s="16" t="s">
        <v>4867</v>
      </c>
      <c r="BEZ349" s="16" t="s">
        <v>4867</v>
      </c>
      <c r="BFA349" s="16" t="s">
        <v>4867</v>
      </c>
      <c r="BFB349" s="16" t="s">
        <v>4867</v>
      </c>
      <c r="BFC349" s="16" t="s">
        <v>4867</v>
      </c>
      <c r="BFD349" s="16" t="s">
        <v>4867</v>
      </c>
      <c r="BFE349" s="16" t="s">
        <v>4867</v>
      </c>
      <c r="BFF349" s="16" t="s">
        <v>4867</v>
      </c>
      <c r="BFG349" s="16" t="s">
        <v>4867</v>
      </c>
      <c r="BFH349" s="16" t="s">
        <v>4867</v>
      </c>
      <c r="BFI349" s="16" t="s">
        <v>4867</v>
      </c>
      <c r="BFJ349" s="16" t="s">
        <v>4867</v>
      </c>
      <c r="BFK349" s="16" t="s">
        <v>4867</v>
      </c>
      <c r="BFL349" s="16" t="s">
        <v>4867</v>
      </c>
      <c r="BFM349" s="16" t="s">
        <v>4867</v>
      </c>
      <c r="BFN349" s="16" t="s">
        <v>4867</v>
      </c>
      <c r="BFO349" s="16" t="s">
        <v>4867</v>
      </c>
      <c r="BFP349" s="16" t="s">
        <v>4867</v>
      </c>
      <c r="BFQ349" s="16" t="s">
        <v>4867</v>
      </c>
      <c r="BFR349" s="16" t="s">
        <v>4867</v>
      </c>
      <c r="BFS349" s="16" t="s">
        <v>4867</v>
      </c>
      <c r="BFT349" s="16" t="s">
        <v>4867</v>
      </c>
      <c r="BFU349" s="16" t="s">
        <v>4867</v>
      </c>
      <c r="BFV349" s="16" t="s">
        <v>4867</v>
      </c>
      <c r="BFW349" s="16" t="s">
        <v>4867</v>
      </c>
      <c r="BFX349" s="16" t="s">
        <v>4867</v>
      </c>
      <c r="BFY349" s="16" t="s">
        <v>4867</v>
      </c>
      <c r="BFZ349" s="16" t="s">
        <v>4867</v>
      </c>
      <c r="BGA349" s="16" t="s">
        <v>4867</v>
      </c>
      <c r="BGB349" s="16" t="s">
        <v>4867</v>
      </c>
      <c r="BGC349" s="16" t="s">
        <v>4867</v>
      </c>
      <c r="BGD349" s="16" t="s">
        <v>4867</v>
      </c>
      <c r="BGE349" s="16" t="s">
        <v>4867</v>
      </c>
      <c r="BGF349" s="16" t="s">
        <v>4867</v>
      </c>
      <c r="BGG349" s="16" t="s">
        <v>4867</v>
      </c>
      <c r="BGH349" s="16" t="s">
        <v>4867</v>
      </c>
      <c r="BGI349" s="16" t="s">
        <v>4867</v>
      </c>
      <c r="BGJ349" s="16" t="s">
        <v>4867</v>
      </c>
      <c r="BGK349" s="16" t="s">
        <v>4867</v>
      </c>
      <c r="BGL349" s="16" t="s">
        <v>4867</v>
      </c>
      <c r="BGM349" s="16" t="s">
        <v>4867</v>
      </c>
      <c r="BGN349" s="16" t="s">
        <v>4867</v>
      </c>
      <c r="BGO349" s="16" t="s">
        <v>4867</v>
      </c>
      <c r="BGP349" s="16" t="s">
        <v>4867</v>
      </c>
      <c r="BGQ349" s="16" t="s">
        <v>4867</v>
      </c>
      <c r="BGR349" s="16" t="s">
        <v>4867</v>
      </c>
      <c r="BGS349" s="16" t="s">
        <v>4867</v>
      </c>
      <c r="BGT349" s="16" t="s">
        <v>4867</v>
      </c>
      <c r="BGU349" s="16" t="s">
        <v>4867</v>
      </c>
      <c r="BGV349" s="16" t="s">
        <v>4867</v>
      </c>
      <c r="BGW349" s="16" t="s">
        <v>4867</v>
      </c>
      <c r="BGX349" s="16" t="s">
        <v>4867</v>
      </c>
      <c r="BGY349" s="16" t="s">
        <v>4867</v>
      </c>
      <c r="BGZ349" s="16" t="s">
        <v>4867</v>
      </c>
      <c r="BHA349" s="16" t="s">
        <v>4867</v>
      </c>
      <c r="BHB349" s="16" t="s">
        <v>4867</v>
      </c>
      <c r="BHC349" s="16" t="s">
        <v>4867</v>
      </c>
      <c r="BHD349" s="16" t="s">
        <v>4867</v>
      </c>
      <c r="BHE349" s="16" t="s">
        <v>4867</v>
      </c>
      <c r="BHF349" s="16" t="s">
        <v>4867</v>
      </c>
      <c r="BHG349" s="16" t="s">
        <v>4867</v>
      </c>
      <c r="BHH349" s="16" t="s">
        <v>4867</v>
      </c>
      <c r="BHI349" s="16" t="s">
        <v>4867</v>
      </c>
      <c r="BHJ349" s="16" t="s">
        <v>4867</v>
      </c>
      <c r="BHK349" s="16" t="s">
        <v>4867</v>
      </c>
      <c r="BHL349" s="16" t="s">
        <v>4867</v>
      </c>
      <c r="BHM349" s="16" t="s">
        <v>4867</v>
      </c>
      <c r="BHN349" s="16" t="s">
        <v>4867</v>
      </c>
      <c r="BHO349" s="16" t="s">
        <v>4867</v>
      </c>
      <c r="BHP349" s="16" t="s">
        <v>4867</v>
      </c>
      <c r="BHQ349" s="16" t="s">
        <v>4867</v>
      </c>
      <c r="BHR349" s="16" t="s">
        <v>4867</v>
      </c>
      <c r="BHS349" s="16" t="s">
        <v>4867</v>
      </c>
      <c r="BHT349" s="16" t="s">
        <v>4867</v>
      </c>
      <c r="BHU349" s="16" t="s">
        <v>4867</v>
      </c>
      <c r="BHV349" s="16" t="s">
        <v>4867</v>
      </c>
      <c r="BHW349" s="16" t="s">
        <v>4867</v>
      </c>
      <c r="BHX349" s="16" t="s">
        <v>4867</v>
      </c>
      <c r="BHY349" s="16" t="s">
        <v>4867</v>
      </c>
      <c r="BHZ349" s="16" t="s">
        <v>4867</v>
      </c>
      <c r="BIA349" s="16" t="s">
        <v>4867</v>
      </c>
      <c r="BIB349" s="16" t="s">
        <v>4867</v>
      </c>
      <c r="BIC349" s="16" t="s">
        <v>4867</v>
      </c>
      <c r="BID349" s="16" t="s">
        <v>4867</v>
      </c>
      <c r="BIE349" s="16" t="s">
        <v>4867</v>
      </c>
      <c r="BIF349" s="16" t="s">
        <v>4867</v>
      </c>
      <c r="BIG349" s="16" t="s">
        <v>4867</v>
      </c>
      <c r="BIH349" s="16" t="s">
        <v>4867</v>
      </c>
      <c r="BII349" s="16" t="s">
        <v>4867</v>
      </c>
      <c r="BIJ349" s="16" t="s">
        <v>4867</v>
      </c>
      <c r="BIK349" s="16" t="s">
        <v>4867</v>
      </c>
      <c r="BIL349" s="16" t="s">
        <v>4867</v>
      </c>
      <c r="BIM349" s="16" t="s">
        <v>4867</v>
      </c>
      <c r="BIN349" s="16" t="s">
        <v>4867</v>
      </c>
      <c r="BIO349" s="16" t="s">
        <v>4867</v>
      </c>
      <c r="BIP349" s="16" t="s">
        <v>4867</v>
      </c>
      <c r="BIQ349" s="16" t="s">
        <v>4867</v>
      </c>
      <c r="BIR349" s="16" t="s">
        <v>4867</v>
      </c>
      <c r="BIS349" s="16" t="s">
        <v>4867</v>
      </c>
      <c r="BIT349" s="16" t="s">
        <v>4867</v>
      </c>
      <c r="BIU349" s="16" t="s">
        <v>4867</v>
      </c>
      <c r="BIV349" s="16" t="s">
        <v>4867</v>
      </c>
      <c r="BIW349" s="16" t="s">
        <v>4867</v>
      </c>
      <c r="BIX349" s="16" t="s">
        <v>4867</v>
      </c>
      <c r="BIY349" s="16" t="s">
        <v>4867</v>
      </c>
      <c r="BIZ349" s="16" t="s">
        <v>4867</v>
      </c>
      <c r="BJA349" s="16" t="s">
        <v>4867</v>
      </c>
      <c r="BJB349" s="16" t="s">
        <v>4867</v>
      </c>
      <c r="BJC349" s="16" t="s">
        <v>4867</v>
      </c>
      <c r="BJD349" s="16" t="s">
        <v>4867</v>
      </c>
      <c r="BJE349" s="16" t="s">
        <v>4867</v>
      </c>
      <c r="BJF349" s="16" t="s">
        <v>4867</v>
      </c>
      <c r="BJG349" s="16" t="s">
        <v>4867</v>
      </c>
      <c r="BJH349" s="16" t="s">
        <v>4867</v>
      </c>
      <c r="BJI349" s="16" t="s">
        <v>4867</v>
      </c>
      <c r="BJJ349" s="16" t="s">
        <v>4867</v>
      </c>
      <c r="BJK349" s="16" t="s">
        <v>4867</v>
      </c>
      <c r="BJL349" s="16" t="s">
        <v>4867</v>
      </c>
      <c r="BJM349" s="16" t="s">
        <v>4867</v>
      </c>
      <c r="BJN349" s="16" t="s">
        <v>4867</v>
      </c>
      <c r="BJO349" s="16" t="s">
        <v>4867</v>
      </c>
      <c r="BJP349" s="16" t="s">
        <v>4867</v>
      </c>
      <c r="BJQ349" s="16" t="s">
        <v>4867</v>
      </c>
      <c r="BJR349" s="16" t="s">
        <v>4867</v>
      </c>
      <c r="BJS349" s="16" t="s">
        <v>4867</v>
      </c>
      <c r="BJT349" s="16" t="s">
        <v>4867</v>
      </c>
      <c r="BJU349" s="16" t="s">
        <v>4867</v>
      </c>
      <c r="BJV349" s="16" t="s">
        <v>4867</v>
      </c>
      <c r="BJW349" s="16" t="s">
        <v>4867</v>
      </c>
      <c r="BJX349" s="16" t="s">
        <v>4867</v>
      </c>
      <c r="BJY349" s="16" t="s">
        <v>4867</v>
      </c>
      <c r="BJZ349" s="16" t="s">
        <v>4867</v>
      </c>
      <c r="BKA349" s="16" t="s">
        <v>4867</v>
      </c>
      <c r="BKB349" s="16" t="s">
        <v>4867</v>
      </c>
      <c r="BKC349" s="16" t="s">
        <v>4867</v>
      </c>
      <c r="BKD349" s="16" t="s">
        <v>4867</v>
      </c>
      <c r="BKE349" s="16" t="s">
        <v>4867</v>
      </c>
      <c r="BKF349" s="16" t="s">
        <v>4867</v>
      </c>
      <c r="BKG349" s="16" t="s">
        <v>4867</v>
      </c>
      <c r="BKH349" s="16" t="s">
        <v>4867</v>
      </c>
      <c r="BKI349" s="16" t="s">
        <v>4867</v>
      </c>
      <c r="BKJ349" s="16" t="s">
        <v>4867</v>
      </c>
      <c r="BKK349" s="16" t="s">
        <v>4867</v>
      </c>
      <c r="BKL349" s="16" t="s">
        <v>4867</v>
      </c>
      <c r="BKM349" s="16" t="s">
        <v>4867</v>
      </c>
      <c r="BKN349" s="16" t="s">
        <v>4867</v>
      </c>
      <c r="BKO349" s="16" t="s">
        <v>4867</v>
      </c>
      <c r="BKP349" s="16" t="s">
        <v>4867</v>
      </c>
      <c r="BKQ349" s="16" t="s">
        <v>4867</v>
      </c>
      <c r="BKR349" s="16" t="s">
        <v>4867</v>
      </c>
      <c r="BKS349" s="16" t="s">
        <v>4867</v>
      </c>
      <c r="BKT349" s="16" t="s">
        <v>4867</v>
      </c>
      <c r="BKU349" s="16" t="s">
        <v>4867</v>
      </c>
      <c r="BKV349" s="16" t="s">
        <v>4867</v>
      </c>
      <c r="BKW349" s="16" t="s">
        <v>4867</v>
      </c>
      <c r="BKX349" s="16" t="s">
        <v>4867</v>
      </c>
      <c r="BKY349" s="16" t="s">
        <v>4867</v>
      </c>
      <c r="BKZ349" s="16" t="s">
        <v>4867</v>
      </c>
      <c r="BLA349" s="16" t="s">
        <v>4867</v>
      </c>
      <c r="BLB349" s="16" t="s">
        <v>4867</v>
      </c>
      <c r="BLC349" s="16" t="s">
        <v>4867</v>
      </c>
      <c r="BLD349" s="16" t="s">
        <v>4867</v>
      </c>
      <c r="BLE349" s="16" t="s">
        <v>4867</v>
      </c>
      <c r="BLF349" s="16" t="s">
        <v>4867</v>
      </c>
      <c r="BLG349" s="16" t="s">
        <v>4867</v>
      </c>
      <c r="BLH349" s="16" t="s">
        <v>4867</v>
      </c>
      <c r="BLI349" s="16" t="s">
        <v>4867</v>
      </c>
      <c r="BLJ349" s="16" t="s">
        <v>4867</v>
      </c>
      <c r="BLK349" s="16" t="s">
        <v>4867</v>
      </c>
      <c r="BLL349" s="16" t="s">
        <v>4867</v>
      </c>
      <c r="BLM349" s="16" t="s">
        <v>4867</v>
      </c>
      <c r="BLN349" s="16" t="s">
        <v>4867</v>
      </c>
      <c r="BLO349" s="16" t="s">
        <v>4867</v>
      </c>
      <c r="BLP349" s="16" t="s">
        <v>4867</v>
      </c>
      <c r="BLQ349" s="16" t="s">
        <v>4867</v>
      </c>
      <c r="BLR349" s="16" t="s">
        <v>4867</v>
      </c>
      <c r="BLS349" s="16" t="s">
        <v>4867</v>
      </c>
      <c r="BLT349" s="16" t="s">
        <v>4867</v>
      </c>
      <c r="BLU349" s="16" t="s">
        <v>4867</v>
      </c>
      <c r="BLV349" s="16" t="s">
        <v>4867</v>
      </c>
      <c r="BLW349" s="16" t="s">
        <v>4867</v>
      </c>
      <c r="BLX349" s="16" t="s">
        <v>4867</v>
      </c>
      <c r="BLY349" s="16" t="s">
        <v>4867</v>
      </c>
      <c r="BLZ349" s="16" t="s">
        <v>4867</v>
      </c>
      <c r="BMA349" s="16" t="s">
        <v>4867</v>
      </c>
      <c r="BMB349" s="16" t="s">
        <v>4867</v>
      </c>
      <c r="BMC349" s="16" t="s">
        <v>4867</v>
      </c>
      <c r="BMD349" s="16" t="s">
        <v>4867</v>
      </c>
      <c r="BME349" s="16" t="s">
        <v>4867</v>
      </c>
      <c r="BMF349" s="16" t="s">
        <v>4867</v>
      </c>
      <c r="BMG349" s="16" t="s">
        <v>4867</v>
      </c>
      <c r="BMH349" s="16" t="s">
        <v>4867</v>
      </c>
      <c r="BMI349" s="16" t="s">
        <v>4867</v>
      </c>
      <c r="BMJ349" s="16" t="s">
        <v>4867</v>
      </c>
      <c r="BMK349" s="16" t="s">
        <v>4867</v>
      </c>
      <c r="BML349" s="16" t="s">
        <v>4867</v>
      </c>
      <c r="BMM349" s="16" t="s">
        <v>4867</v>
      </c>
      <c r="BMN349" s="16" t="s">
        <v>4867</v>
      </c>
      <c r="BMO349" s="16" t="s">
        <v>4867</v>
      </c>
      <c r="BMP349" s="16" t="s">
        <v>4867</v>
      </c>
      <c r="BMQ349" s="16" t="s">
        <v>4867</v>
      </c>
      <c r="BMR349" s="16" t="s">
        <v>4867</v>
      </c>
      <c r="BMS349" s="16" t="s">
        <v>4867</v>
      </c>
      <c r="BMT349" s="16" t="s">
        <v>4867</v>
      </c>
      <c r="BMU349" s="16" t="s">
        <v>4867</v>
      </c>
      <c r="BMV349" s="16" t="s">
        <v>4867</v>
      </c>
      <c r="BMW349" s="16" t="s">
        <v>4867</v>
      </c>
      <c r="BMX349" s="16" t="s">
        <v>4867</v>
      </c>
      <c r="BMY349" s="16" t="s">
        <v>4867</v>
      </c>
      <c r="BMZ349" s="16" t="s">
        <v>4867</v>
      </c>
      <c r="BNA349" s="16" t="s">
        <v>4867</v>
      </c>
      <c r="BNB349" s="16" t="s">
        <v>4867</v>
      </c>
      <c r="BNC349" s="16" t="s">
        <v>4867</v>
      </c>
      <c r="BND349" s="16" t="s">
        <v>4867</v>
      </c>
      <c r="BNE349" s="16" t="s">
        <v>4867</v>
      </c>
      <c r="BNF349" s="16" t="s">
        <v>4867</v>
      </c>
      <c r="BNG349" s="16" t="s">
        <v>4867</v>
      </c>
      <c r="BNH349" s="16" t="s">
        <v>4867</v>
      </c>
      <c r="BNI349" s="16" t="s">
        <v>4867</v>
      </c>
      <c r="BNJ349" s="16" t="s">
        <v>4867</v>
      </c>
      <c r="BNK349" s="16" t="s">
        <v>4867</v>
      </c>
      <c r="BNL349" s="16" t="s">
        <v>4867</v>
      </c>
      <c r="BNM349" s="16" t="s">
        <v>4867</v>
      </c>
      <c r="BNN349" s="16" t="s">
        <v>4867</v>
      </c>
      <c r="BNO349" s="16" t="s">
        <v>4867</v>
      </c>
      <c r="BNP349" s="16" t="s">
        <v>4867</v>
      </c>
      <c r="BNQ349" s="16" t="s">
        <v>4867</v>
      </c>
      <c r="BNR349" s="16" t="s">
        <v>4867</v>
      </c>
      <c r="BNS349" s="16" t="s">
        <v>4867</v>
      </c>
      <c r="BNT349" s="16" t="s">
        <v>4867</v>
      </c>
      <c r="BNU349" s="16" t="s">
        <v>4867</v>
      </c>
      <c r="BNV349" s="16" t="s">
        <v>4867</v>
      </c>
      <c r="BNW349" s="16" t="s">
        <v>4867</v>
      </c>
      <c r="BNX349" s="16" t="s">
        <v>4867</v>
      </c>
      <c r="BNY349" s="16" t="s">
        <v>4867</v>
      </c>
      <c r="BNZ349" s="16" t="s">
        <v>4867</v>
      </c>
      <c r="BOA349" s="16" t="s">
        <v>4867</v>
      </c>
      <c r="BOB349" s="16" t="s">
        <v>4867</v>
      </c>
      <c r="BOC349" s="16" t="s">
        <v>4867</v>
      </c>
      <c r="BOD349" s="16" t="s">
        <v>4867</v>
      </c>
      <c r="BOE349" s="16" t="s">
        <v>4867</v>
      </c>
      <c r="BOF349" s="16" t="s">
        <v>4867</v>
      </c>
      <c r="BOG349" s="16" t="s">
        <v>4867</v>
      </c>
      <c r="BOH349" s="16" t="s">
        <v>4867</v>
      </c>
      <c r="BOI349" s="16" t="s">
        <v>4867</v>
      </c>
      <c r="BOJ349" s="16" t="s">
        <v>4867</v>
      </c>
      <c r="BOK349" s="16" t="s">
        <v>4867</v>
      </c>
      <c r="BOL349" s="16" t="s">
        <v>4867</v>
      </c>
      <c r="BOM349" s="16" t="s">
        <v>4867</v>
      </c>
      <c r="BON349" s="16" t="s">
        <v>4867</v>
      </c>
      <c r="BOO349" s="16" t="s">
        <v>4867</v>
      </c>
      <c r="BOP349" s="16" t="s">
        <v>4867</v>
      </c>
      <c r="BOQ349" s="16" t="s">
        <v>4867</v>
      </c>
      <c r="BOR349" s="16" t="s">
        <v>4867</v>
      </c>
      <c r="BOS349" s="16" t="s">
        <v>4867</v>
      </c>
      <c r="BOT349" s="16" t="s">
        <v>4867</v>
      </c>
      <c r="BOU349" s="16" t="s">
        <v>4867</v>
      </c>
      <c r="BOV349" s="16" t="s">
        <v>4867</v>
      </c>
      <c r="BOW349" s="16" t="s">
        <v>4867</v>
      </c>
      <c r="BOX349" s="16" t="s">
        <v>4867</v>
      </c>
      <c r="BOY349" s="16" t="s">
        <v>4867</v>
      </c>
      <c r="BOZ349" s="16" t="s">
        <v>4867</v>
      </c>
      <c r="BPA349" s="16" t="s">
        <v>4867</v>
      </c>
      <c r="BPB349" s="16" t="s">
        <v>4867</v>
      </c>
      <c r="BPC349" s="16" t="s">
        <v>4867</v>
      </c>
      <c r="BPD349" s="16" t="s">
        <v>4867</v>
      </c>
      <c r="BPE349" s="16" t="s">
        <v>4867</v>
      </c>
      <c r="BPF349" s="16" t="s">
        <v>4867</v>
      </c>
      <c r="BPG349" s="16" t="s">
        <v>4867</v>
      </c>
      <c r="BPH349" s="16" t="s">
        <v>4867</v>
      </c>
      <c r="BPI349" s="16" t="s">
        <v>4867</v>
      </c>
      <c r="BPJ349" s="16" t="s">
        <v>4867</v>
      </c>
      <c r="BPK349" s="16" t="s">
        <v>4867</v>
      </c>
      <c r="BPL349" s="16" t="s">
        <v>4867</v>
      </c>
      <c r="BPM349" s="16" t="s">
        <v>4867</v>
      </c>
      <c r="BPN349" s="16" t="s">
        <v>4867</v>
      </c>
      <c r="BPO349" s="16" t="s">
        <v>4867</v>
      </c>
      <c r="BPP349" s="16" t="s">
        <v>4867</v>
      </c>
      <c r="BPQ349" s="16" t="s">
        <v>4867</v>
      </c>
      <c r="BPR349" s="16" t="s">
        <v>4867</v>
      </c>
      <c r="BPS349" s="16" t="s">
        <v>4867</v>
      </c>
      <c r="BPT349" s="16" t="s">
        <v>4867</v>
      </c>
      <c r="BPU349" s="16" t="s">
        <v>4867</v>
      </c>
      <c r="BPV349" s="16" t="s">
        <v>4867</v>
      </c>
      <c r="BPW349" s="16" t="s">
        <v>4867</v>
      </c>
      <c r="BPX349" s="16" t="s">
        <v>4867</v>
      </c>
      <c r="BPY349" s="16" t="s">
        <v>4867</v>
      </c>
      <c r="BPZ349" s="16" t="s">
        <v>4867</v>
      </c>
      <c r="BQA349" s="16" t="s">
        <v>4867</v>
      </c>
      <c r="BQB349" s="16" t="s">
        <v>4867</v>
      </c>
      <c r="BQC349" s="16" t="s">
        <v>4867</v>
      </c>
      <c r="BQD349" s="16" t="s">
        <v>4867</v>
      </c>
      <c r="BQE349" s="16" t="s">
        <v>4867</v>
      </c>
      <c r="BQF349" s="16" t="s">
        <v>4867</v>
      </c>
      <c r="BQG349" s="16" t="s">
        <v>4867</v>
      </c>
      <c r="BQH349" s="16" t="s">
        <v>4867</v>
      </c>
      <c r="BQI349" s="16" t="s">
        <v>4867</v>
      </c>
      <c r="BQJ349" s="16" t="s">
        <v>4867</v>
      </c>
      <c r="BQK349" s="16" t="s">
        <v>4867</v>
      </c>
      <c r="BQL349" s="16" t="s">
        <v>4867</v>
      </c>
      <c r="BQM349" s="16" t="s">
        <v>4867</v>
      </c>
      <c r="BQN349" s="16" t="s">
        <v>4867</v>
      </c>
      <c r="BQO349" s="16" t="s">
        <v>4867</v>
      </c>
      <c r="BQP349" s="16" t="s">
        <v>4867</v>
      </c>
      <c r="BQQ349" s="16" t="s">
        <v>4867</v>
      </c>
      <c r="BQR349" s="16" t="s">
        <v>4867</v>
      </c>
      <c r="BQS349" s="16" t="s">
        <v>4867</v>
      </c>
      <c r="BQT349" s="16" t="s">
        <v>4867</v>
      </c>
      <c r="BQU349" s="16" t="s">
        <v>4867</v>
      </c>
      <c r="BQV349" s="16" t="s">
        <v>4867</v>
      </c>
      <c r="BQW349" s="16" t="s">
        <v>4867</v>
      </c>
      <c r="BQX349" s="16" t="s">
        <v>4867</v>
      </c>
      <c r="BQY349" s="16" t="s">
        <v>4867</v>
      </c>
      <c r="BQZ349" s="16" t="s">
        <v>4867</v>
      </c>
      <c r="BRA349" s="16" t="s">
        <v>4867</v>
      </c>
      <c r="BRB349" s="16" t="s">
        <v>4867</v>
      </c>
      <c r="BRC349" s="16" t="s">
        <v>4867</v>
      </c>
      <c r="BRD349" s="16" t="s">
        <v>4867</v>
      </c>
      <c r="BRE349" s="16" t="s">
        <v>4867</v>
      </c>
      <c r="BRF349" s="16" t="s">
        <v>4867</v>
      </c>
      <c r="BRG349" s="16" t="s">
        <v>4867</v>
      </c>
      <c r="BRH349" s="16" t="s">
        <v>4867</v>
      </c>
      <c r="BRI349" s="16" t="s">
        <v>4867</v>
      </c>
      <c r="BRJ349" s="16" t="s">
        <v>4867</v>
      </c>
      <c r="BRK349" s="16" t="s">
        <v>4867</v>
      </c>
      <c r="BRL349" s="16" t="s">
        <v>4867</v>
      </c>
      <c r="BRM349" s="16" t="s">
        <v>4867</v>
      </c>
      <c r="BRN349" s="16" t="s">
        <v>4867</v>
      </c>
      <c r="BRO349" s="16" t="s">
        <v>4867</v>
      </c>
      <c r="BRP349" s="16" t="s">
        <v>4867</v>
      </c>
      <c r="BRQ349" s="16" t="s">
        <v>4867</v>
      </c>
      <c r="BRR349" s="16" t="s">
        <v>4867</v>
      </c>
      <c r="BRS349" s="16" t="s">
        <v>4867</v>
      </c>
      <c r="BRT349" s="16" t="s">
        <v>4867</v>
      </c>
      <c r="BRU349" s="16" t="s">
        <v>4867</v>
      </c>
      <c r="BRV349" s="16" t="s">
        <v>4867</v>
      </c>
      <c r="BRW349" s="16" t="s">
        <v>4867</v>
      </c>
      <c r="BRX349" s="16" t="s">
        <v>4867</v>
      </c>
      <c r="BRY349" s="16" t="s">
        <v>4867</v>
      </c>
      <c r="BRZ349" s="16" t="s">
        <v>4867</v>
      </c>
      <c r="BSA349" s="16" t="s">
        <v>4867</v>
      </c>
      <c r="BSB349" s="16" t="s">
        <v>4867</v>
      </c>
      <c r="BSC349" s="16" t="s">
        <v>4867</v>
      </c>
      <c r="BSD349" s="16" t="s">
        <v>4867</v>
      </c>
      <c r="BSE349" s="16" t="s">
        <v>4867</v>
      </c>
      <c r="BSF349" s="16" t="s">
        <v>4867</v>
      </c>
      <c r="BSG349" s="16" t="s">
        <v>4867</v>
      </c>
      <c r="BSH349" s="16" t="s">
        <v>4867</v>
      </c>
      <c r="BSI349" s="16" t="s">
        <v>4867</v>
      </c>
      <c r="BSJ349" s="16" t="s">
        <v>4867</v>
      </c>
      <c r="BSK349" s="16" t="s">
        <v>4867</v>
      </c>
      <c r="BSL349" s="16" t="s">
        <v>4867</v>
      </c>
      <c r="BSM349" s="16" t="s">
        <v>4867</v>
      </c>
      <c r="BSN349" s="16" t="s">
        <v>4867</v>
      </c>
      <c r="BSO349" s="16" t="s">
        <v>4867</v>
      </c>
      <c r="BSP349" s="16" t="s">
        <v>4867</v>
      </c>
      <c r="BSQ349" s="16" t="s">
        <v>4867</v>
      </c>
      <c r="BSR349" s="16" t="s">
        <v>4867</v>
      </c>
      <c r="BSS349" s="16" t="s">
        <v>4867</v>
      </c>
      <c r="BST349" s="16" t="s">
        <v>4867</v>
      </c>
      <c r="BSU349" s="16" t="s">
        <v>4867</v>
      </c>
      <c r="BSV349" s="16" t="s">
        <v>4867</v>
      </c>
      <c r="BSW349" s="16" t="s">
        <v>4867</v>
      </c>
      <c r="BSX349" s="16" t="s">
        <v>4867</v>
      </c>
      <c r="BSY349" s="16" t="s">
        <v>4867</v>
      </c>
      <c r="BSZ349" s="16" t="s">
        <v>4867</v>
      </c>
      <c r="BTA349" s="16" t="s">
        <v>4867</v>
      </c>
      <c r="BTB349" s="16" t="s">
        <v>4867</v>
      </c>
      <c r="BTC349" s="16" t="s">
        <v>4867</v>
      </c>
      <c r="BTD349" s="16" t="s">
        <v>4867</v>
      </c>
      <c r="BTE349" s="16" t="s">
        <v>4867</v>
      </c>
      <c r="BTF349" s="16" t="s">
        <v>4867</v>
      </c>
      <c r="BTG349" s="16" t="s">
        <v>4867</v>
      </c>
      <c r="BTH349" s="16" t="s">
        <v>4867</v>
      </c>
      <c r="BTI349" s="16" t="s">
        <v>4867</v>
      </c>
      <c r="BTJ349" s="16" t="s">
        <v>4867</v>
      </c>
      <c r="BTK349" s="16" t="s">
        <v>4867</v>
      </c>
      <c r="BTL349" s="16" t="s">
        <v>4867</v>
      </c>
      <c r="BTM349" s="16" t="s">
        <v>4867</v>
      </c>
      <c r="BTN349" s="16" t="s">
        <v>4867</v>
      </c>
      <c r="BTO349" s="16" t="s">
        <v>4867</v>
      </c>
      <c r="BTP349" s="16" t="s">
        <v>4867</v>
      </c>
      <c r="BTQ349" s="16" t="s">
        <v>4867</v>
      </c>
      <c r="BTR349" s="16" t="s">
        <v>4867</v>
      </c>
      <c r="BTS349" s="16" t="s">
        <v>4867</v>
      </c>
      <c r="BTT349" s="16" t="s">
        <v>4867</v>
      </c>
      <c r="BTU349" s="16" t="s">
        <v>4867</v>
      </c>
      <c r="BTV349" s="16" t="s">
        <v>4867</v>
      </c>
      <c r="BTW349" s="16" t="s">
        <v>4867</v>
      </c>
      <c r="BTX349" s="16" t="s">
        <v>4867</v>
      </c>
      <c r="BTY349" s="16" t="s">
        <v>4867</v>
      </c>
      <c r="BTZ349" s="16" t="s">
        <v>4867</v>
      </c>
      <c r="BUA349" s="16" t="s">
        <v>4867</v>
      </c>
      <c r="BUB349" s="16" t="s">
        <v>4867</v>
      </c>
      <c r="BUC349" s="16" t="s">
        <v>4867</v>
      </c>
      <c r="BUD349" s="16" t="s">
        <v>4867</v>
      </c>
      <c r="BUE349" s="16" t="s">
        <v>4867</v>
      </c>
      <c r="BUF349" s="16" t="s">
        <v>4867</v>
      </c>
      <c r="BUG349" s="16" t="s">
        <v>4867</v>
      </c>
      <c r="BUH349" s="16" t="s">
        <v>4867</v>
      </c>
      <c r="BUI349" s="16" t="s">
        <v>4867</v>
      </c>
      <c r="BUJ349" s="16" t="s">
        <v>4867</v>
      </c>
      <c r="BUK349" s="16" t="s">
        <v>4867</v>
      </c>
      <c r="BUL349" s="16" t="s">
        <v>4867</v>
      </c>
      <c r="BUM349" s="16" t="s">
        <v>4867</v>
      </c>
      <c r="BUN349" s="16" t="s">
        <v>4867</v>
      </c>
      <c r="BUO349" s="16" t="s">
        <v>4867</v>
      </c>
      <c r="BUP349" s="16" t="s">
        <v>4867</v>
      </c>
      <c r="BUQ349" s="16" t="s">
        <v>4867</v>
      </c>
      <c r="BUR349" s="16" t="s">
        <v>4867</v>
      </c>
      <c r="BUS349" s="16" t="s">
        <v>4867</v>
      </c>
      <c r="BUT349" s="16" t="s">
        <v>4867</v>
      </c>
      <c r="BUU349" s="16" t="s">
        <v>4867</v>
      </c>
      <c r="BUV349" s="16" t="s">
        <v>4867</v>
      </c>
      <c r="BUW349" s="16" t="s">
        <v>4867</v>
      </c>
      <c r="BUX349" s="16" t="s">
        <v>4867</v>
      </c>
      <c r="BUY349" s="16" t="s">
        <v>4867</v>
      </c>
      <c r="BUZ349" s="16" t="s">
        <v>4867</v>
      </c>
      <c r="BVA349" s="16" t="s">
        <v>4867</v>
      </c>
      <c r="BVB349" s="16" t="s">
        <v>4867</v>
      </c>
      <c r="BVC349" s="16" t="s">
        <v>4867</v>
      </c>
      <c r="BVD349" s="16" t="s">
        <v>4867</v>
      </c>
      <c r="BVE349" s="16" t="s">
        <v>4867</v>
      </c>
      <c r="BVF349" s="16" t="s">
        <v>4867</v>
      </c>
      <c r="BVG349" s="16" t="s">
        <v>4867</v>
      </c>
      <c r="BVH349" s="16" t="s">
        <v>4867</v>
      </c>
      <c r="BVI349" s="16" t="s">
        <v>4867</v>
      </c>
      <c r="BVJ349" s="16" t="s">
        <v>4867</v>
      </c>
      <c r="BVK349" s="16" t="s">
        <v>4867</v>
      </c>
      <c r="BVL349" s="16" t="s">
        <v>4867</v>
      </c>
      <c r="BVM349" s="16" t="s">
        <v>4867</v>
      </c>
      <c r="BVN349" s="16" t="s">
        <v>4867</v>
      </c>
      <c r="BVO349" s="16" t="s">
        <v>4867</v>
      </c>
      <c r="BVP349" s="16" t="s">
        <v>4867</v>
      </c>
      <c r="BVQ349" s="16" t="s">
        <v>4867</v>
      </c>
      <c r="BVR349" s="16" t="s">
        <v>4867</v>
      </c>
      <c r="BVS349" s="16" t="s">
        <v>4867</v>
      </c>
      <c r="BVT349" s="16" t="s">
        <v>4867</v>
      </c>
      <c r="BVU349" s="16" t="s">
        <v>4867</v>
      </c>
      <c r="BVV349" s="16" t="s">
        <v>4867</v>
      </c>
      <c r="BVW349" s="16" t="s">
        <v>4867</v>
      </c>
      <c r="BVX349" s="16" t="s">
        <v>4867</v>
      </c>
      <c r="BVY349" s="16" t="s">
        <v>4867</v>
      </c>
      <c r="BVZ349" s="16" t="s">
        <v>4867</v>
      </c>
      <c r="BWA349" s="16" t="s">
        <v>4867</v>
      </c>
      <c r="BWB349" s="16" t="s">
        <v>4867</v>
      </c>
      <c r="BWC349" s="16" t="s">
        <v>4867</v>
      </c>
      <c r="BWD349" s="16" t="s">
        <v>4867</v>
      </c>
      <c r="BWE349" s="16" t="s">
        <v>4867</v>
      </c>
      <c r="BWF349" s="16" t="s">
        <v>4867</v>
      </c>
      <c r="BWG349" s="16" t="s">
        <v>4867</v>
      </c>
      <c r="BWH349" s="16" t="s">
        <v>4867</v>
      </c>
      <c r="BWI349" s="16" t="s">
        <v>4867</v>
      </c>
      <c r="BWJ349" s="16" t="s">
        <v>4867</v>
      </c>
      <c r="BWK349" s="16" t="s">
        <v>4867</v>
      </c>
      <c r="BWL349" s="16" t="s">
        <v>4867</v>
      </c>
      <c r="BWM349" s="16" t="s">
        <v>4867</v>
      </c>
      <c r="BWN349" s="16" t="s">
        <v>4867</v>
      </c>
      <c r="BWO349" s="16" t="s">
        <v>4867</v>
      </c>
      <c r="BWP349" s="16" t="s">
        <v>4867</v>
      </c>
      <c r="BWQ349" s="16" t="s">
        <v>4867</v>
      </c>
      <c r="BWR349" s="16" t="s">
        <v>4867</v>
      </c>
      <c r="BWS349" s="16" t="s">
        <v>4867</v>
      </c>
      <c r="BWT349" s="16" t="s">
        <v>4867</v>
      </c>
      <c r="BWU349" s="16" t="s">
        <v>4867</v>
      </c>
      <c r="BWV349" s="16" t="s">
        <v>4867</v>
      </c>
      <c r="BWW349" s="16" t="s">
        <v>4867</v>
      </c>
      <c r="BWX349" s="16" t="s">
        <v>4867</v>
      </c>
      <c r="BWY349" s="16" t="s">
        <v>4867</v>
      </c>
      <c r="BWZ349" s="16" t="s">
        <v>4867</v>
      </c>
      <c r="BXA349" s="16" t="s">
        <v>4867</v>
      </c>
      <c r="BXB349" s="16" t="s">
        <v>4867</v>
      </c>
      <c r="BXC349" s="16" t="s">
        <v>4867</v>
      </c>
      <c r="BXD349" s="16" t="s">
        <v>4867</v>
      </c>
      <c r="BXE349" s="16" t="s">
        <v>4867</v>
      </c>
      <c r="BXF349" s="16" t="s">
        <v>4867</v>
      </c>
      <c r="BXG349" s="16" t="s">
        <v>4867</v>
      </c>
      <c r="BXH349" s="16" t="s">
        <v>4867</v>
      </c>
      <c r="BXI349" s="16" t="s">
        <v>4867</v>
      </c>
      <c r="BXJ349" s="16" t="s">
        <v>4867</v>
      </c>
      <c r="BXK349" s="16" t="s">
        <v>4867</v>
      </c>
      <c r="BXL349" s="16" t="s">
        <v>4867</v>
      </c>
      <c r="BXM349" s="16" t="s">
        <v>4867</v>
      </c>
      <c r="BXN349" s="16" t="s">
        <v>4867</v>
      </c>
      <c r="BXO349" s="16" t="s">
        <v>4867</v>
      </c>
      <c r="BXP349" s="16" t="s">
        <v>4867</v>
      </c>
      <c r="BXQ349" s="16" t="s">
        <v>4867</v>
      </c>
      <c r="BXR349" s="16" t="s">
        <v>4867</v>
      </c>
      <c r="BXS349" s="16" t="s">
        <v>4867</v>
      </c>
      <c r="BXT349" s="16" t="s">
        <v>4867</v>
      </c>
      <c r="BXU349" s="16" t="s">
        <v>4867</v>
      </c>
      <c r="BXV349" s="16" t="s">
        <v>4867</v>
      </c>
      <c r="BXW349" s="16" t="s">
        <v>4867</v>
      </c>
      <c r="BXX349" s="16" t="s">
        <v>4867</v>
      </c>
      <c r="BXY349" s="16" t="s">
        <v>4867</v>
      </c>
      <c r="BXZ349" s="16" t="s">
        <v>4867</v>
      </c>
      <c r="BYA349" s="16" t="s">
        <v>4867</v>
      </c>
      <c r="BYB349" s="16" t="s">
        <v>4867</v>
      </c>
      <c r="BYC349" s="16" t="s">
        <v>4867</v>
      </c>
      <c r="BYD349" s="16" t="s">
        <v>4867</v>
      </c>
      <c r="BYE349" s="16" t="s">
        <v>4867</v>
      </c>
      <c r="BYF349" s="16" t="s">
        <v>4867</v>
      </c>
      <c r="BYG349" s="16" t="s">
        <v>4867</v>
      </c>
      <c r="BYH349" s="16" t="s">
        <v>4867</v>
      </c>
      <c r="BYI349" s="16" t="s">
        <v>4867</v>
      </c>
      <c r="BYJ349" s="16" t="s">
        <v>4867</v>
      </c>
      <c r="BYK349" s="16" t="s">
        <v>4867</v>
      </c>
      <c r="BYL349" s="16" t="s">
        <v>4867</v>
      </c>
      <c r="BYM349" s="16" t="s">
        <v>4867</v>
      </c>
      <c r="BYN349" s="16" t="s">
        <v>4867</v>
      </c>
      <c r="BYO349" s="16" t="s">
        <v>4867</v>
      </c>
      <c r="BYP349" s="16" t="s">
        <v>4867</v>
      </c>
      <c r="BYQ349" s="16" t="s">
        <v>4867</v>
      </c>
      <c r="BYR349" s="16" t="s">
        <v>4867</v>
      </c>
      <c r="BYS349" s="16" t="s">
        <v>4867</v>
      </c>
      <c r="BYT349" s="16" t="s">
        <v>4867</v>
      </c>
      <c r="BYU349" s="16" t="s">
        <v>4867</v>
      </c>
      <c r="BYV349" s="16" t="s">
        <v>4867</v>
      </c>
      <c r="BYW349" s="16" t="s">
        <v>4867</v>
      </c>
      <c r="BYX349" s="16" t="s">
        <v>4867</v>
      </c>
      <c r="BYY349" s="16" t="s">
        <v>4867</v>
      </c>
      <c r="BYZ349" s="16" t="s">
        <v>4867</v>
      </c>
      <c r="BZA349" s="16" t="s">
        <v>4867</v>
      </c>
      <c r="BZB349" s="16" t="s">
        <v>4867</v>
      </c>
      <c r="BZC349" s="16" t="s">
        <v>4867</v>
      </c>
      <c r="BZD349" s="16" t="s">
        <v>4867</v>
      </c>
      <c r="BZE349" s="16" t="s">
        <v>4867</v>
      </c>
      <c r="BZF349" s="16" t="s">
        <v>4867</v>
      </c>
      <c r="BZG349" s="16" t="s">
        <v>4867</v>
      </c>
      <c r="BZH349" s="16" t="s">
        <v>4867</v>
      </c>
      <c r="BZI349" s="16" t="s">
        <v>4867</v>
      </c>
      <c r="BZJ349" s="16" t="s">
        <v>4867</v>
      </c>
      <c r="BZK349" s="16" t="s">
        <v>4867</v>
      </c>
      <c r="BZL349" s="16" t="s">
        <v>4867</v>
      </c>
      <c r="BZM349" s="16" t="s">
        <v>4867</v>
      </c>
      <c r="BZN349" s="16" t="s">
        <v>4867</v>
      </c>
      <c r="BZO349" s="16" t="s">
        <v>4867</v>
      </c>
      <c r="BZP349" s="16" t="s">
        <v>4867</v>
      </c>
      <c r="BZQ349" s="16" t="s">
        <v>4867</v>
      </c>
      <c r="BZR349" s="16" t="s">
        <v>4867</v>
      </c>
      <c r="BZS349" s="16" t="s">
        <v>4867</v>
      </c>
      <c r="BZT349" s="16" t="s">
        <v>4867</v>
      </c>
      <c r="BZU349" s="16" t="s">
        <v>4867</v>
      </c>
      <c r="BZV349" s="16" t="s">
        <v>4867</v>
      </c>
      <c r="BZW349" s="16" t="s">
        <v>4867</v>
      </c>
      <c r="BZX349" s="16" t="s">
        <v>4867</v>
      </c>
      <c r="BZY349" s="16" t="s">
        <v>4867</v>
      </c>
      <c r="BZZ349" s="16" t="s">
        <v>4867</v>
      </c>
      <c r="CAA349" s="16" t="s">
        <v>4867</v>
      </c>
      <c r="CAB349" s="16" t="s">
        <v>4867</v>
      </c>
      <c r="CAC349" s="16" t="s">
        <v>4867</v>
      </c>
      <c r="CAD349" s="16" t="s">
        <v>4867</v>
      </c>
      <c r="CAE349" s="16" t="s">
        <v>4867</v>
      </c>
      <c r="CAF349" s="16" t="s">
        <v>4867</v>
      </c>
      <c r="CAG349" s="16" t="s">
        <v>4867</v>
      </c>
      <c r="CAH349" s="16" t="s">
        <v>4867</v>
      </c>
      <c r="CAI349" s="16" t="s">
        <v>4867</v>
      </c>
      <c r="CAJ349" s="16" t="s">
        <v>4867</v>
      </c>
      <c r="CAK349" s="16" t="s">
        <v>4867</v>
      </c>
      <c r="CAL349" s="16" t="s">
        <v>4867</v>
      </c>
      <c r="CAM349" s="16" t="s">
        <v>4867</v>
      </c>
      <c r="CAN349" s="16" t="s">
        <v>4867</v>
      </c>
      <c r="CAO349" s="16" t="s">
        <v>4867</v>
      </c>
      <c r="CAP349" s="16" t="s">
        <v>4867</v>
      </c>
      <c r="CAQ349" s="16" t="s">
        <v>4867</v>
      </c>
      <c r="CAR349" s="16" t="s">
        <v>4867</v>
      </c>
      <c r="CAS349" s="16" t="s">
        <v>4867</v>
      </c>
      <c r="CAT349" s="16" t="s">
        <v>4867</v>
      </c>
      <c r="CAU349" s="16" t="s">
        <v>4867</v>
      </c>
      <c r="CAV349" s="16" t="s">
        <v>4867</v>
      </c>
      <c r="CAW349" s="16" t="s">
        <v>4867</v>
      </c>
      <c r="CAX349" s="16" t="s">
        <v>4867</v>
      </c>
      <c r="CAY349" s="16" t="s">
        <v>4867</v>
      </c>
      <c r="CAZ349" s="16" t="s">
        <v>4867</v>
      </c>
      <c r="CBA349" s="16" t="s">
        <v>4867</v>
      </c>
      <c r="CBB349" s="16" t="s">
        <v>4867</v>
      </c>
      <c r="CBC349" s="16" t="s">
        <v>4867</v>
      </c>
      <c r="CBD349" s="16" t="s">
        <v>4867</v>
      </c>
      <c r="CBE349" s="16" t="s">
        <v>4867</v>
      </c>
      <c r="CBF349" s="16" t="s">
        <v>4867</v>
      </c>
      <c r="CBG349" s="16" t="s">
        <v>4867</v>
      </c>
      <c r="CBH349" s="16" t="s">
        <v>4867</v>
      </c>
      <c r="CBI349" s="16" t="s">
        <v>4867</v>
      </c>
      <c r="CBJ349" s="16" t="s">
        <v>4867</v>
      </c>
      <c r="CBK349" s="16" t="s">
        <v>4867</v>
      </c>
      <c r="CBL349" s="16" t="s">
        <v>4867</v>
      </c>
      <c r="CBM349" s="16" t="s">
        <v>4867</v>
      </c>
      <c r="CBN349" s="16" t="s">
        <v>4867</v>
      </c>
      <c r="CBO349" s="16" t="s">
        <v>4867</v>
      </c>
      <c r="CBP349" s="16" t="s">
        <v>4867</v>
      </c>
      <c r="CBQ349" s="16" t="s">
        <v>4867</v>
      </c>
      <c r="CBR349" s="16" t="s">
        <v>4867</v>
      </c>
      <c r="CBS349" s="16" t="s">
        <v>4867</v>
      </c>
      <c r="CBT349" s="16" t="s">
        <v>4867</v>
      </c>
      <c r="CBU349" s="16" t="s">
        <v>4867</v>
      </c>
      <c r="CBV349" s="16" t="s">
        <v>4867</v>
      </c>
      <c r="CBW349" s="16" t="s">
        <v>4867</v>
      </c>
      <c r="CBX349" s="16" t="s">
        <v>4867</v>
      </c>
      <c r="CBY349" s="16" t="s">
        <v>4867</v>
      </c>
      <c r="CBZ349" s="16" t="s">
        <v>4867</v>
      </c>
      <c r="CCA349" s="16" t="s">
        <v>4867</v>
      </c>
      <c r="CCB349" s="16" t="s">
        <v>4867</v>
      </c>
      <c r="CCC349" s="16" t="s">
        <v>4867</v>
      </c>
      <c r="CCD349" s="16" t="s">
        <v>4867</v>
      </c>
      <c r="CCE349" s="16" t="s">
        <v>4867</v>
      </c>
      <c r="CCF349" s="16" t="s">
        <v>4867</v>
      </c>
      <c r="CCG349" s="16" t="s">
        <v>4867</v>
      </c>
      <c r="CCH349" s="16" t="s">
        <v>4867</v>
      </c>
      <c r="CCI349" s="16" t="s">
        <v>4867</v>
      </c>
      <c r="CCJ349" s="16" t="s">
        <v>4867</v>
      </c>
      <c r="CCK349" s="16" t="s">
        <v>4867</v>
      </c>
      <c r="CCL349" s="16" t="s">
        <v>4867</v>
      </c>
      <c r="CCM349" s="16" t="s">
        <v>4867</v>
      </c>
      <c r="CCN349" s="16" t="s">
        <v>4867</v>
      </c>
      <c r="CCO349" s="16" t="s">
        <v>4867</v>
      </c>
      <c r="CCP349" s="16" t="s">
        <v>4867</v>
      </c>
      <c r="CCQ349" s="16" t="s">
        <v>4867</v>
      </c>
      <c r="CCR349" s="16" t="s">
        <v>4867</v>
      </c>
      <c r="CCS349" s="16" t="s">
        <v>4867</v>
      </c>
      <c r="CCT349" s="16" t="s">
        <v>4867</v>
      </c>
      <c r="CCU349" s="16" t="s">
        <v>4867</v>
      </c>
      <c r="CCV349" s="16" t="s">
        <v>4867</v>
      </c>
      <c r="CCW349" s="16" t="s">
        <v>4867</v>
      </c>
      <c r="CCX349" s="16" t="s">
        <v>4867</v>
      </c>
      <c r="CCY349" s="16" t="s">
        <v>4867</v>
      </c>
      <c r="CCZ349" s="16" t="s">
        <v>4867</v>
      </c>
      <c r="CDA349" s="16" t="s">
        <v>4867</v>
      </c>
      <c r="CDB349" s="16" t="s">
        <v>4867</v>
      </c>
      <c r="CDC349" s="16" t="s">
        <v>4867</v>
      </c>
      <c r="CDD349" s="16" t="s">
        <v>4867</v>
      </c>
      <c r="CDE349" s="16" t="s">
        <v>4867</v>
      </c>
      <c r="CDF349" s="16" t="s">
        <v>4867</v>
      </c>
      <c r="CDG349" s="16" t="s">
        <v>4867</v>
      </c>
      <c r="CDH349" s="16" t="s">
        <v>4867</v>
      </c>
      <c r="CDI349" s="16" t="s">
        <v>4867</v>
      </c>
      <c r="CDJ349" s="16" t="s">
        <v>4867</v>
      </c>
      <c r="CDK349" s="16" t="s">
        <v>4867</v>
      </c>
      <c r="CDL349" s="16" t="s">
        <v>4867</v>
      </c>
      <c r="CDM349" s="16" t="s">
        <v>4867</v>
      </c>
      <c r="CDN349" s="16" t="s">
        <v>4867</v>
      </c>
      <c r="CDO349" s="16" t="s">
        <v>4867</v>
      </c>
      <c r="CDP349" s="16" t="s">
        <v>4867</v>
      </c>
      <c r="CDQ349" s="16" t="s">
        <v>4867</v>
      </c>
      <c r="CDR349" s="16" t="s">
        <v>4867</v>
      </c>
      <c r="CDS349" s="16" t="s">
        <v>4867</v>
      </c>
      <c r="CDT349" s="16" t="s">
        <v>4867</v>
      </c>
      <c r="CDU349" s="16" t="s">
        <v>4867</v>
      </c>
      <c r="CDV349" s="16" t="s">
        <v>4867</v>
      </c>
      <c r="CDW349" s="16" t="s">
        <v>4867</v>
      </c>
      <c r="CDX349" s="16" t="s">
        <v>4867</v>
      </c>
      <c r="CDY349" s="16" t="s">
        <v>4867</v>
      </c>
      <c r="CDZ349" s="16" t="s">
        <v>4867</v>
      </c>
      <c r="CEA349" s="16" t="s">
        <v>4867</v>
      </c>
      <c r="CEB349" s="16" t="s">
        <v>4867</v>
      </c>
      <c r="CEC349" s="16" t="s">
        <v>4867</v>
      </c>
      <c r="CED349" s="16" t="s">
        <v>4867</v>
      </c>
      <c r="CEE349" s="16" t="s">
        <v>4867</v>
      </c>
      <c r="CEF349" s="16" t="s">
        <v>4867</v>
      </c>
      <c r="CEG349" s="16" t="s">
        <v>4867</v>
      </c>
      <c r="CEH349" s="16" t="s">
        <v>4867</v>
      </c>
      <c r="CEI349" s="16" t="s">
        <v>4867</v>
      </c>
      <c r="CEJ349" s="16" t="s">
        <v>4867</v>
      </c>
      <c r="CEK349" s="16" t="s">
        <v>4867</v>
      </c>
      <c r="CEL349" s="16" t="s">
        <v>4867</v>
      </c>
      <c r="CEM349" s="16" t="s">
        <v>4867</v>
      </c>
      <c r="CEN349" s="16" t="s">
        <v>4867</v>
      </c>
      <c r="CEO349" s="16" t="s">
        <v>4867</v>
      </c>
      <c r="CEP349" s="16" t="s">
        <v>4867</v>
      </c>
      <c r="CEQ349" s="16" t="s">
        <v>4867</v>
      </c>
      <c r="CER349" s="16" t="s">
        <v>4867</v>
      </c>
      <c r="CES349" s="16" t="s">
        <v>4867</v>
      </c>
      <c r="CET349" s="16" t="s">
        <v>4867</v>
      </c>
      <c r="CEU349" s="16" t="s">
        <v>4867</v>
      </c>
      <c r="CEV349" s="16" t="s">
        <v>4867</v>
      </c>
      <c r="CEW349" s="16" t="s">
        <v>4867</v>
      </c>
      <c r="CEX349" s="16" t="s">
        <v>4867</v>
      </c>
      <c r="CEY349" s="16" t="s">
        <v>4867</v>
      </c>
      <c r="CEZ349" s="16" t="s">
        <v>4867</v>
      </c>
      <c r="CFA349" s="16" t="s">
        <v>4867</v>
      </c>
      <c r="CFB349" s="16" t="s">
        <v>4867</v>
      </c>
      <c r="CFC349" s="16" t="s">
        <v>4867</v>
      </c>
      <c r="CFD349" s="16" t="s">
        <v>4867</v>
      </c>
      <c r="CFE349" s="16" t="s">
        <v>4867</v>
      </c>
      <c r="CFF349" s="16" t="s">
        <v>4867</v>
      </c>
      <c r="CFG349" s="16" t="s">
        <v>4867</v>
      </c>
      <c r="CFH349" s="16" t="s">
        <v>4867</v>
      </c>
      <c r="CFI349" s="16" t="s">
        <v>4867</v>
      </c>
      <c r="CFJ349" s="16" t="s">
        <v>4867</v>
      </c>
      <c r="CFK349" s="16" t="s">
        <v>4867</v>
      </c>
      <c r="CFL349" s="16" t="s">
        <v>4867</v>
      </c>
      <c r="CFM349" s="16" t="s">
        <v>4867</v>
      </c>
      <c r="CFN349" s="16" t="s">
        <v>4867</v>
      </c>
      <c r="CFO349" s="16" t="s">
        <v>4867</v>
      </c>
      <c r="CFP349" s="16" t="s">
        <v>4867</v>
      </c>
      <c r="CFQ349" s="16" t="s">
        <v>4867</v>
      </c>
      <c r="CFR349" s="16" t="s">
        <v>4867</v>
      </c>
      <c r="CFS349" s="16" t="s">
        <v>4867</v>
      </c>
      <c r="CFT349" s="16" t="s">
        <v>4867</v>
      </c>
      <c r="CFU349" s="16" t="s">
        <v>4867</v>
      </c>
      <c r="CFV349" s="16" t="s">
        <v>4867</v>
      </c>
      <c r="CFW349" s="16" t="s">
        <v>4867</v>
      </c>
      <c r="CFX349" s="16" t="s">
        <v>4867</v>
      </c>
      <c r="CFY349" s="16" t="s">
        <v>4867</v>
      </c>
      <c r="CFZ349" s="16" t="s">
        <v>4867</v>
      </c>
      <c r="CGA349" s="16" t="s">
        <v>4867</v>
      </c>
      <c r="CGB349" s="16" t="s">
        <v>4867</v>
      </c>
      <c r="CGC349" s="16" t="s">
        <v>4867</v>
      </c>
      <c r="CGD349" s="16" t="s">
        <v>4867</v>
      </c>
      <c r="CGE349" s="16" t="s">
        <v>4867</v>
      </c>
      <c r="CGF349" s="16" t="s">
        <v>4867</v>
      </c>
      <c r="CGG349" s="16" t="s">
        <v>4867</v>
      </c>
      <c r="CGH349" s="16" t="s">
        <v>4867</v>
      </c>
      <c r="CGI349" s="16" t="s">
        <v>4867</v>
      </c>
      <c r="CGJ349" s="16" t="s">
        <v>4867</v>
      </c>
      <c r="CGK349" s="16" t="s">
        <v>4867</v>
      </c>
      <c r="CGL349" s="16" t="s">
        <v>4867</v>
      </c>
      <c r="CGM349" s="16" t="s">
        <v>4867</v>
      </c>
      <c r="CGN349" s="16" t="s">
        <v>4867</v>
      </c>
      <c r="CGO349" s="16" t="s">
        <v>4867</v>
      </c>
      <c r="CGP349" s="16" t="s">
        <v>4867</v>
      </c>
      <c r="CGQ349" s="16" t="s">
        <v>4867</v>
      </c>
      <c r="CGR349" s="16" t="s">
        <v>4867</v>
      </c>
      <c r="CGS349" s="16" t="s">
        <v>4867</v>
      </c>
      <c r="CGT349" s="16" t="s">
        <v>4867</v>
      </c>
      <c r="CGU349" s="16" t="s">
        <v>4867</v>
      </c>
      <c r="CGV349" s="16" t="s">
        <v>4867</v>
      </c>
      <c r="CGW349" s="16" t="s">
        <v>4867</v>
      </c>
      <c r="CGX349" s="16" t="s">
        <v>4867</v>
      </c>
      <c r="CGY349" s="16" t="s">
        <v>4867</v>
      </c>
      <c r="CGZ349" s="16" t="s">
        <v>4867</v>
      </c>
      <c r="CHA349" s="16" t="s">
        <v>4867</v>
      </c>
      <c r="CHB349" s="16" t="s">
        <v>4867</v>
      </c>
      <c r="CHC349" s="16" t="s">
        <v>4867</v>
      </c>
      <c r="CHD349" s="16" t="s">
        <v>4867</v>
      </c>
      <c r="CHE349" s="16" t="s">
        <v>4867</v>
      </c>
      <c r="CHF349" s="16" t="s">
        <v>4867</v>
      </c>
      <c r="CHG349" s="16" t="s">
        <v>4867</v>
      </c>
      <c r="CHH349" s="16" t="s">
        <v>4867</v>
      </c>
      <c r="CHI349" s="16" t="s">
        <v>4867</v>
      </c>
      <c r="CHJ349" s="16" t="s">
        <v>4867</v>
      </c>
      <c r="CHK349" s="16" t="s">
        <v>4867</v>
      </c>
      <c r="CHL349" s="16" t="s">
        <v>4867</v>
      </c>
      <c r="CHM349" s="16" t="s">
        <v>4867</v>
      </c>
      <c r="CHN349" s="16" t="s">
        <v>4867</v>
      </c>
      <c r="CHO349" s="16" t="s">
        <v>4867</v>
      </c>
      <c r="CHP349" s="16" t="s">
        <v>4867</v>
      </c>
      <c r="CHQ349" s="16" t="s">
        <v>4867</v>
      </c>
      <c r="CHR349" s="16" t="s">
        <v>4867</v>
      </c>
      <c r="CHS349" s="16" t="s">
        <v>4867</v>
      </c>
      <c r="CHT349" s="16" t="s">
        <v>4867</v>
      </c>
      <c r="CHU349" s="16" t="s">
        <v>4867</v>
      </c>
      <c r="CHV349" s="16" t="s">
        <v>4867</v>
      </c>
      <c r="CHW349" s="16" t="s">
        <v>4867</v>
      </c>
      <c r="CHX349" s="16" t="s">
        <v>4867</v>
      </c>
      <c r="CHY349" s="16" t="s">
        <v>4867</v>
      </c>
      <c r="CHZ349" s="16" t="s">
        <v>4867</v>
      </c>
      <c r="CIA349" s="16" t="s">
        <v>4867</v>
      </c>
      <c r="CIB349" s="16" t="s">
        <v>4867</v>
      </c>
      <c r="CIC349" s="16" t="s">
        <v>4867</v>
      </c>
      <c r="CID349" s="16" t="s">
        <v>4867</v>
      </c>
      <c r="CIE349" s="16" t="s">
        <v>4867</v>
      </c>
      <c r="CIF349" s="16" t="s">
        <v>4867</v>
      </c>
      <c r="CIG349" s="16" t="s">
        <v>4867</v>
      </c>
      <c r="CIH349" s="16" t="s">
        <v>4867</v>
      </c>
      <c r="CII349" s="16" t="s">
        <v>4867</v>
      </c>
      <c r="CIJ349" s="16" t="s">
        <v>4867</v>
      </c>
      <c r="CIK349" s="16" t="s">
        <v>4867</v>
      </c>
      <c r="CIL349" s="16" t="s">
        <v>4867</v>
      </c>
      <c r="CIM349" s="16" t="s">
        <v>4867</v>
      </c>
      <c r="CIN349" s="16" t="s">
        <v>4867</v>
      </c>
      <c r="CIO349" s="16" t="s">
        <v>4867</v>
      </c>
      <c r="CIP349" s="16" t="s">
        <v>4867</v>
      </c>
      <c r="CIQ349" s="16" t="s">
        <v>4867</v>
      </c>
      <c r="CIR349" s="16" t="s">
        <v>4867</v>
      </c>
      <c r="CIS349" s="16" t="s">
        <v>4867</v>
      </c>
      <c r="CIT349" s="16" t="s">
        <v>4867</v>
      </c>
      <c r="CIU349" s="16" t="s">
        <v>4867</v>
      </c>
      <c r="CIV349" s="16" t="s">
        <v>4867</v>
      </c>
      <c r="CIW349" s="16" t="s">
        <v>4867</v>
      </c>
      <c r="CIX349" s="16" t="s">
        <v>4867</v>
      </c>
      <c r="CIY349" s="16" t="s">
        <v>4867</v>
      </c>
      <c r="CIZ349" s="16" t="s">
        <v>4867</v>
      </c>
      <c r="CJA349" s="16" t="s">
        <v>4867</v>
      </c>
      <c r="CJB349" s="16" t="s">
        <v>4867</v>
      </c>
      <c r="CJC349" s="16" t="s">
        <v>4867</v>
      </c>
      <c r="CJD349" s="16" t="s">
        <v>4867</v>
      </c>
      <c r="CJE349" s="16" t="s">
        <v>4867</v>
      </c>
      <c r="CJF349" s="16" t="s">
        <v>4867</v>
      </c>
      <c r="CJG349" s="16" t="s">
        <v>4867</v>
      </c>
      <c r="CJH349" s="16" t="s">
        <v>4867</v>
      </c>
      <c r="CJI349" s="16" t="s">
        <v>4867</v>
      </c>
      <c r="CJJ349" s="16" t="s">
        <v>4867</v>
      </c>
      <c r="CJK349" s="16" t="s">
        <v>4867</v>
      </c>
      <c r="CJL349" s="16" t="s">
        <v>4867</v>
      </c>
      <c r="CJM349" s="16" t="s">
        <v>4867</v>
      </c>
      <c r="CJN349" s="16" t="s">
        <v>4867</v>
      </c>
      <c r="CJO349" s="16" t="s">
        <v>4867</v>
      </c>
      <c r="CJP349" s="16" t="s">
        <v>4867</v>
      </c>
      <c r="CJQ349" s="16" t="s">
        <v>4867</v>
      </c>
      <c r="CJR349" s="16" t="s">
        <v>4867</v>
      </c>
      <c r="CJS349" s="16" t="s">
        <v>4867</v>
      </c>
      <c r="CJT349" s="16" t="s">
        <v>4867</v>
      </c>
      <c r="CJU349" s="16" t="s">
        <v>4867</v>
      </c>
      <c r="CJV349" s="16" t="s">
        <v>4867</v>
      </c>
      <c r="CJW349" s="16" t="s">
        <v>4867</v>
      </c>
      <c r="CJX349" s="16" t="s">
        <v>4867</v>
      </c>
      <c r="CJY349" s="16" t="s">
        <v>4867</v>
      </c>
      <c r="CJZ349" s="16" t="s">
        <v>4867</v>
      </c>
      <c r="CKA349" s="16" t="s">
        <v>4867</v>
      </c>
      <c r="CKB349" s="16" t="s">
        <v>4867</v>
      </c>
      <c r="CKC349" s="16" t="s">
        <v>4867</v>
      </c>
      <c r="CKD349" s="16" t="s">
        <v>4867</v>
      </c>
      <c r="CKE349" s="16" t="s">
        <v>4867</v>
      </c>
      <c r="CKF349" s="16" t="s">
        <v>4867</v>
      </c>
      <c r="CKG349" s="16" t="s">
        <v>4867</v>
      </c>
      <c r="CKH349" s="16" t="s">
        <v>4867</v>
      </c>
      <c r="CKI349" s="16" t="s">
        <v>4867</v>
      </c>
      <c r="CKJ349" s="16" t="s">
        <v>4867</v>
      </c>
      <c r="CKK349" s="16" t="s">
        <v>4867</v>
      </c>
      <c r="CKL349" s="16" t="s">
        <v>4867</v>
      </c>
      <c r="CKM349" s="16" t="s">
        <v>4867</v>
      </c>
      <c r="CKN349" s="16" t="s">
        <v>4867</v>
      </c>
      <c r="CKO349" s="16" t="s">
        <v>4867</v>
      </c>
      <c r="CKP349" s="16" t="s">
        <v>4867</v>
      </c>
      <c r="CKQ349" s="16" t="s">
        <v>4867</v>
      </c>
      <c r="CKR349" s="16" t="s">
        <v>4867</v>
      </c>
      <c r="CKS349" s="16" t="s">
        <v>4867</v>
      </c>
      <c r="CKT349" s="16" t="s">
        <v>4867</v>
      </c>
      <c r="CKU349" s="16" t="s">
        <v>4867</v>
      </c>
      <c r="CKV349" s="16" t="s">
        <v>4867</v>
      </c>
      <c r="CKW349" s="16" t="s">
        <v>4867</v>
      </c>
      <c r="CKX349" s="16" t="s">
        <v>4867</v>
      </c>
      <c r="CKY349" s="16" t="s">
        <v>4867</v>
      </c>
      <c r="CKZ349" s="16" t="s">
        <v>4867</v>
      </c>
      <c r="CLA349" s="16" t="s">
        <v>4867</v>
      </c>
      <c r="CLB349" s="16" t="s">
        <v>4867</v>
      </c>
      <c r="CLC349" s="16" t="s">
        <v>4867</v>
      </c>
      <c r="CLD349" s="16" t="s">
        <v>4867</v>
      </c>
      <c r="CLE349" s="16" t="s">
        <v>4867</v>
      </c>
      <c r="CLF349" s="16" t="s">
        <v>4867</v>
      </c>
      <c r="CLG349" s="16" t="s">
        <v>4867</v>
      </c>
      <c r="CLH349" s="16" t="s">
        <v>4867</v>
      </c>
      <c r="CLI349" s="16" t="s">
        <v>4867</v>
      </c>
      <c r="CLJ349" s="16" t="s">
        <v>4867</v>
      </c>
      <c r="CLK349" s="16" t="s">
        <v>4867</v>
      </c>
      <c r="CLL349" s="16" t="s">
        <v>4867</v>
      </c>
      <c r="CLM349" s="16" t="s">
        <v>4867</v>
      </c>
      <c r="CLN349" s="16" t="s">
        <v>4867</v>
      </c>
      <c r="CLO349" s="16" t="s">
        <v>4867</v>
      </c>
      <c r="CLP349" s="16" t="s">
        <v>4867</v>
      </c>
      <c r="CLQ349" s="16" t="s">
        <v>4867</v>
      </c>
      <c r="CLR349" s="16" t="s">
        <v>4867</v>
      </c>
      <c r="CLS349" s="16" t="s">
        <v>4867</v>
      </c>
      <c r="CLT349" s="16" t="s">
        <v>4867</v>
      </c>
      <c r="CLU349" s="16" t="s">
        <v>4867</v>
      </c>
      <c r="CLV349" s="16" t="s">
        <v>4867</v>
      </c>
      <c r="CLW349" s="16" t="s">
        <v>4867</v>
      </c>
      <c r="CLX349" s="16" t="s">
        <v>4867</v>
      </c>
      <c r="CLY349" s="16" t="s">
        <v>4867</v>
      </c>
      <c r="CLZ349" s="16" t="s">
        <v>4867</v>
      </c>
      <c r="CMA349" s="16" t="s">
        <v>4867</v>
      </c>
      <c r="CMB349" s="16" t="s">
        <v>4867</v>
      </c>
      <c r="CMC349" s="16" t="s">
        <v>4867</v>
      </c>
      <c r="CMD349" s="16" t="s">
        <v>4867</v>
      </c>
      <c r="CME349" s="16" t="s">
        <v>4867</v>
      </c>
      <c r="CMF349" s="16" t="s">
        <v>4867</v>
      </c>
      <c r="CMG349" s="16" t="s">
        <v>4867</v>
      </c>
      <c r="CMH349" s="16" t="s">
        <v>4867</v>
      </c>
      <c r="CMI349" s="16" t="s">
        <v>4867</v>
      </c>
      <c r="CMJ349" s="16" t="s">
        <v>4867</v>
      </c>
      <c r="CMK349" s="16" t="s">
        <v>4867</v>
      </c>
      <c r="CML349" s="16" t="s">
        <v>4867</v>
      </c>
      <c r="CMM349" s="16" t="s">
        <v>4867</v>
      </c>
      <c r="CMN349" s="16" t="s">
        <v>4867</v>
      </c>
      <c r="CMO349" s="16" t="s">
        <v>4867</v>
      </c>
      <c r="CMP349" s="16" t="s">
        <v>4867</v>
      </c>
      <c r="CMQ349" s="16" t="s">
        <v>4867</v>
      </c>
      <c r="CMR349" s="16" t="s">
        <v>4867</v>
      </c>
      <c r="CMS349" s="16" t="s">
        <v>4867</v>
      </c>
      <c r="CMT349" s="16" t="s">
        <v>4867</v>
      </c>
      <c r="CMU349" s="16" t="s">
        <v>4867</v>
      </c>
      <c r="CMV349" s="16" t="s">
        <v>4867</v>
      </c>
      <c r="CMW349" s="16" t="s">
        <v>4867</v>
      </c>
      <c r="CMX349" s="16" t="s">
        <v>4867</v>
      </c>
      <c r="CMY349" s="16" t="s">
        <v>4867</v>
      </c>
      <c r="CMZ349" s="16" t="s">
        <v>4867</v>
      </c>
      <c r="CNA349" s="16" t="s">
        <v>4867</v>
      </c>
      <c r="CNB349" s="16" t="s">
        <v>4867</v>
      </c>
      <c r="CNC349" s="16" t="s">
        <v>4867</v>
      </c>
      <c r="CND349" s="16" t="s">
        <v>4867</v>
      </c>
      <c r="CNE349" s="16" t="s">
        <v>4867</v>
      </c>
      <c r="CNF349" s="16" t="s">
        <v>4867</v>
      </c>
      <c r="CNG349" s="16" t="s">
        <v>4867</v>
      </c>
      <c r="CNH349" s="16" t="s">
        <v>4867</v>
      </c>
      <c r="CNI349" s="16" t="s">
        <v>4867</v>
      </c>
      <c r="CNJ349" s="16" t="s">
        <v>4867</v>
      </c>
      <c r="CNK349" s="16" t="s">
        <v>4867</v>
      </c>
      <c r="CNL349" s="16" t="s">
        <v>4867</v>
      </c>
      <c r="CNM349" s="16" t="s">
        <v>4867</v>
      </c>
      <c r="CNN349" s="16" t="s">
        <v>4867</v>
      </c>
      <c r="CNO349" s="16" t="s">
        <v>4867</v>
      </c>
      <c r="CNP349" s="16" t="s">
        <v>4867</v>
      </c>
      <c r="CNQ349" s="16" t="s">
        <v>4867</v>
      </c>
      <c r="CNR349" s="16" t="s">
        <v>4867</v>
      </c>
      <c r="CNS349" s="16" t="s">
        <v>4867</v>
      </c>
      <c r="CNT349" s="16" t="s">
        <v>4867</v>
      </c>
      <c r="CNU349" s="16" t="s">
        <v>4867</v>
      </c>
      <c r="CNV349" s="16" t="s">
        <v>4867</v>
      </c>
      <c r="CNW349" s="16" t="s">
        <v>4867</v>
      </c>
      <c r="CNX349" s="16" t="s">
        <v>4867</v>
      </c>
      <c r="CNY349" s="16" t="s">
        <v>4867</v>
      </c>
      <c r="CNZ349" s="16" t="s">
        <v>4867</v>
      </c>
      <c r="COA349" s="16" t="s">
        <v>4867</v>
      </c>
      <c r="COB349" s="16" t="s">
        <v>4867</v>
      </c>
      <c r="COC349" s="16" t="s">
        <v>4867</v>
      </c>
      <c r="COD349" s="16" t="s">
        <v>4867</v>
      </c>
      <c r="COE349" s="16" t="s">
        <v>4867</v>
      </c>
      <c r="COF349" s="16" t="s">
        <v>4867</v>
      </c>
      <c r="COG349" s="16" t="s">
        <v>4867</v>
      </c>
      <c r="COH349" s="16" t="s">
        <v>4867</v>
      </c>
      <c r="COI349" s="16" t="s">
        <v>4867</v>
      </c>
      <c r="COJ349" s="16" t="s">
        <v>4867</v>
      </c>
      <c r="COK349" s="16" t="s">
        <v>4867</v>
      </c>
      <c r="COL349" s="16" t="s">
        <v>4867</v>
      </c>
      <c r="COM349" s="16" t="s">
        <v>4867</v>
      </c>
      <c r="CON349" s="16" t="s">
        <v>4867</v>
      </c>
      <c r="COO349" s="16" t="s">
        <v>4867</v>
      </c>
      <c r="COP349" s="16" t="s">
        <v>4867</v>
      </c>
      <c r="COQ349" s="16" t="s">
        <v>4867</v>
      </c>
      <c r="COR349" s="16" t="s">
        <v>4867</v>
      </c>
      <c r="COS349" s="16" t="s">
        <v>4867</v>
      </c>
      <c r="COT349" s="16" t="s">
        <v>4867</v>
      </c>
      <c r="COU349" s="16" t="s">
        <v>4867</v>
      </c>
      <c r="COV349" s="16" t="s">
        <v>4867</v>
      </c>
      <c r="COW349" s="16" t="s">
        <v>4867</v>
      </c>
      <c r="COX349" s="16" t="s">
        <v>4867</v>
      </c>
      <c r="COY349" s="16" t="s">
        <v>4867</v>
      </c>
      <c r="COZ349" s="16" t="s">
        <v>4867</v>
      </c>
      <c r="CPA349" s="16" t="s">
        <v>4867</v>
      </c>
      <c r="CPB349" s="16" t="s">
        <v>4867</v>
      </c>
      <c r="CPC349" s="16" t="s">
        <v>4867</v>
      </c>
      <c r="CPD349" s="16" t="s">
        <v>4867</v>
      </c>
      <c r="CPE349" s="16" t="s">
        <v>4867</v>
      </c>
      <c r="CPF349" s="16" t="s">
        <v>4867</v>
      </c>
      <c r="CPG349" s="16" t="s">
        <v>4867</v>
      </c>
      <c r="CPH349" s="16" t="s">
        <v>4867</v>
      </c>
      <c r="CPI349" s="16" t="s">
        <v>4867</v>
      </c>
      <c r="CPJ349" s="16" t="s">
        <v>4867</v>
      </c>
      <c r="CPK349" s="16" t="s">
        <v>4867</v>
      </c>
      <c r="CPL349" s="16" t="s">
        <v>4867</v>
      </c>
      <c r="CPM349" s="16" t="s">
        <v>4867</v>
      </c>
      <c r="CPN349" s="16" t="s">
        <v>4867</v>
      </c>
      <c r="CPO349" s="16" t="s">
        <v>4867</v>
      </c>
      <c r="CPP349" s="16" t="s">
        <v>4867</v>
      </c>
      <c r="CPQ349" s="16" t="s">
        <v>4867</v>
      </c>
      <c r="CPR349" s="16" t="s">
        <v>4867</v>
      </c>
      <c r="CPS349" s="16" t="s">
        <v>4867</v>
      </c>
      <c r="CPT349" s="16" t="s">
        <v>4867</v>
      </c>
      <c r="CPU349" s="16" t="s">
        <v>4867</v>
      </c>
      <c r="CPV349" s="16" t="s">
        <v>4867</v>
      </c>
      <c r="CPW349" s="16" t="s">
        <v>4867</v>
      </c>
      <c r="CPX349" s="16" t="s">
        <v>4867</v>
      </c>
      <c r="CPY349" s="16" t="s">
        <v>4867</v>
      </c>
      <c r="CPZ349" s="16" t="s">
        <v>4867</v>
      </c>
      <c r="CQA349" s="16" t="s">
        <v>4867</v>
      </c>
      <c r="CQB349" s="16" t="s">
        <v>4867</v>
      </c>
      <c r="CQC349" s="16" t="s">
        <v>4867</v>
      </c>
      <c r="CQD349" s="16" t="s">
        <v>4867</v>
      </c>
      <c r="CQE349" s="16" t="s">
        <v>4867</v>
      </c>
      <c r="CQF349" s="16" t="s">
        <v>4867</v>
      </c>
      <c r="CQG349" s="16" t="s">
        <v>4867</v>
      </c>
      <c r="CQH349" s="16" t="s">
        <v>4867</v>
      </c>
      <c r="CQI349" s="16" t="s">
        <v>4867</v>
      </c>
      <c r="CQJ349" s="16" t="s">
        <v>4867</v>
      </c>
      <c r="CQK349" s="16" t="s">
        <v>4867</v>
      </c>
      <c r="CQL349" s="16" t="s">
        <v>4867</v>
      </c>
      <c r="CQM349" s="16" t="s">
        <v>4867</v>
      </c>
      <c r="CQN349" s="16" t="s">
        <v>4867</v>
      </c>
      <c r="CQO349" s="16" t="s">
        <v>4867</v>
      </c>
      <c r="CQP349" s="16" t="s">
        <v>4867</v>
      </c>
      <c r="CQQ349" s="16" t="s">
        <v>4867</v>
      </c>
      <c r="CQR349" s="16" t="s">
        <v>4867</v>
      </c>
      <c r="CQS349" s="16" t="s">
        <v>4867</v>
      </c>
      <c r="CQT349" s="16" t="s">
        <v>4867</v>
      </c>
      <c r="CQU349" s="16" t="s">
        <v>4867</v>
      </c>
      <c r="CQV349" s="16" t="s">
        <v>4867</v>
      </c>
      <c r="CQW349" s="16" t="s">
        <v>4867</v>
      </c>
      <c r="CQX349" s="16" t="s">
        <v>4867</v>
      </c>
      <c r="CQY349" s="16" t="s">
        <v>4867</v>
      </c>
      <c r="CQZ349" s="16" t="s">
        <v>4867</v>
      </c>
      <c r="CRA349" s="16" t="s">
        <v>4867</v>
      </c>
      <c r="CRB349" s="16" t="s">
        <v>4867</v>
      </c>
      <c r="CRC349" s="16" t="s">
        <v>4867</v>
      </c>
      <c r="CRD349" s="16" t="s">
        <v>4867</v>
      </c>
      <c r="CRE349" s="16" t="s">
        <v>4867</v>
      </c>
      <c r="CRF349" s="16" t="s">
        <v>4867</v>
      </c>
      <c r="CRG349" s="16" t="s">
        <v>4867</v>
      </c>
      <c r="CRH349" s="16" t="s">
        <v>4867</v>
      </c>
      <c r="CRI349" s="16" t="s">
        <v>4867</v>
      </c>
      <c r="CRJ349" s="16" t="s">
        <v>4867</v>
      </c>
      <c r="CRK349" s="16" t="s">
        <v>4867</v>
      </c>
      <c r="CRL349" s="16" t="s">
        <v>4867</v>
      </c>
      <c r="CRM349" s="16" t="s">
        <v>4867</v>
      </c>
      <c r="CRN349" s="16" t="s">
        <v>4867</v>
      </c>
      <c r="CRO349" s="16" t="s">
        <v>4867</v>
      </c>
      <c r="CRP349" s="16" t="s">
        <v>4867</v>
      </c>
      <c r="CRQ349" s="16" t="s">
        <v>4867</v>
      </c>
      <c r="CRR349" s="16" t="s">
        <v>4867</v>
      </c>
      <c r="CRS349" s="16" t="s">
        <v>4867</v>
      </c>
      <c r="CRT349" s="16" t="s">
        <v>4867</v>
      </c>
      <c r="CRU349" s="16" t="s">
        <v>4867</v>
      </c>
      <c r="CRV349" s="16" t="s">
        <v>4867</v>
      </c>
      <c r="CRW349" s="16" t="s">
        <v>4867</v>
      </c>
      <c r="CRX349" s="16" t="s">
        <v>4867</v>
      </c>
      <c r="CRY349" s="16" t="s">
        <v>4867</v>
      </c>
      <c r="CRZ349" s="16" t="s">
        <v>4867</v>
      </c>
      <c r="CSA349" s="16" t="s">
        <v>4867</v>
      </c>
      <c r="CSB349" s="16" t="s">
        <v>4867</v>
      </c>
      <c r="CSC349" s="16" t="s">
        <v>4867</v>
      </c>
      <c r="CSD349" s="16" t="s">
        <v>4867</v>
      </c>
      <c r="CSE349" s="16" t="s">
        <v>4867</v>
      </c>
      <c r="CSF349" s="16" t="s">
        <v>4867</v>
      </c>
      <c r="CSG349" s="16" t="s">
        <v>4867</v>
      </c>
      <c r="CSH349" s="16" t="s">
        <v>4867</v>
      </c>
      <c r="CSI349" s="16" t="s">
        <v>4867</v>
      </c>
      <c r="CSJ349" s="16" t="s">
        <v>4867</v>
      </c>
      <c r="CSK349" s="16" t="s">
        <v>4867</v>
      </c>
      <c r="CSL349" s="16" t="s">
        <v>4867</v>
      </c>
      <c r="CSM349" s="16" t="s">
        <v>4867</v>
      </c>
      <c r="CSN349" s="16" t="s">
        <v>4867</v>
      </c>
      <c r="CSO349" s="16" t="s">
        <v>4867</v>
      </c>
      <c r="CSP349" s="16" t="s">
        <v>4867</v>
      </c>
      <c r="CSQ349" s="16" t="s">
        <v>4867</v>
      </c>
      <c r="CSR349" s="16" t="s">
        <v>4867</v>
      </c>
      <c r="CSS349" s="16" t="s">
        <v>4867</v>
      </c>
      <c r="CST349" s="16" t="s">
        <v>4867</v>
      </c>
      <c r="CSU349" s="16" t="s">
        <v>4867</v>
      </c>
      <c r="CSV349" s="16" t="s">
        <v>4867</v>
      </c>
      <c r="CSW349" s="16" t="s">
        <v>4867</v>
      </c>
      <c r="CSX349" s="16" t="s">
        <v>4867</v>
      </c>
      <c r="CSY349" s="16" t="s">
        <v>4867</v>
      </c>
      <c r="CSZ349" s="16" t="s">
        <v>4867</v>
      </c>
      <c r="CTA349" s="16" t="s">
        <v>4867</v>
      </c>
      <c r="CTB349" s="16" t="s">
        <v>4867</v>
      </c>
      <c r="CTC349" s="16" t="s">
        <v>4867</v>
      </c>
      <c r="CTD349" s="16" t="s">
        <v>4867</v>
      </c>
      <c r="CTE349" s="16" t="s">
        <v>4867</v>
      </c>
      <c r="CTF349" s="16" t="s">
        <v>4867</v>
      </c>
      <c r="CTG349" s="16" t="s">
        <v>4867</v>
      </c>
      <c r="CTH349" s="16" t="s">
        <v>4867</v>
      </c>
      <c r="CTI349" s="16" t="s">
        <v>4867</v>
      </c>
      <c r="CTJ349" s="16" t="s">
        <v>4867</v>
      </c>
      <c r="CTK349" s="16" t="s">
        <v>4867</v>
      </c>
      <c r="CTL349" s="16" t="s">
        <v>4867</v>
      </c>
      <c r="CTM349" s="16" t="s">
        <v>4867</v>
      </c>
      <c r="CTN349" s="16" t="s">
        <v>4867</v>
      </c>
      <c r="CTO349" s="16" t="s">
        <v>4867</v>
      </c>
      <c r="CTP349" s="16" t="s">
        <v>4867</v>
      </c>
      <c r="CTQ349" s="16" t="s">
        <v>4867</v>
      </c>
      <c r="CTR349" s="16" t="s">
        <v>4867</v>
      </c>
      <c r="CTS349" s="16" t="s">
        <v>4867</v>
      </c>
      <c r="CTT349" s="16" t="s">
        <v>4867</v>
      </c>
      <c r="CTU349" s="16" t="s">
        <v>4867</v>
      </c>
      <c r="CTV349" s="16" t="s">
        <v>4867</v>
      </c>
      <c r="CTW349" s="16" t="s">
        <v>4867</v>
      </c>
      <c r="CTX349" s="16" t="s">
        <v>4867</v>
      </c>
      <c r="CTY349" s="16" t="s">
        <v>4867</v>
      </c>
      <c r="CTZ349" s="16" t="s">
        <v>4867</v>
      </c>
      <c r="CUA349" s="16" t="s">
        <v>4867</v>
      </c>
      <c r="CUB349" s="16" t="s">
        <v>4867</v>
      </c>
      <c r="CUC349" s="16" t="s">
        <v>4867</v>
      </c>
      <c r="CUD349" s="16" t="s">
        <v>4867</v>
      </c>
      <c r="CUE349" s="16" t="s">
        <v>4867</v>
      </c>
      <c r="CUF349" s="16" t="s">
        <v>4867</v>
      </c>
      <c r="CUG349" s="16" t="s">
        <v>4867</v>
      </c>
      <c r="CUH349" s="16" t="s">
        <v>4867</v>
      </c>
      <c r="CUI349" s="16" t="s">
        <v>4867</v>
      </c>
      <c r="CUJ349" s="16" t="s">
        <v>4867</v>
      </c>
      <c r="CUK349" s="16" t="s">
        <v>4867</v>
      </c>
      <c r="CUL349" s="16" t="s">
        <v>4867</v>
      </c>
      <c r="CUM349" s="16" t="s">
        <v>4867</v>
      </c>
      <c r="CUN349" s="16" t="s">
        <v>4867</v>
      </c>
      <c r="CUO349" s="16" t="s">
        <v>4867</v>
      </c>
      <c r="CUP349" s="16" t="s">
        <v>4867</v>
      </c>
      <c r="CUQ349" s="16" t="s">
        <v>4867</v>
      </c>
      <c r="CUR349" s="16" t="s">
        <v>4867</v>
      </c>
      <c r="CUS349" s="16" t="s">
        <v>4867</v>
      </c>
      <c r="CUT349" s="16" t="s">
        <v>4867</v>
      </c>
      <c r="CUU349" s="16" t="s">
        <v>4867</v>
      </c>
      <c r="CUV349" s="16" t="s">
        <v>4867</v>
      </c>
      <c r="CUW349" s="16" t="s">
        <v>4867</v>
      </c>
      <c r="CUX349" s="16" t="s">
        <v>4867</v>
      </c>
      <c r="CUY349" s="16" t="s">
        <v>4867</v>
      </c>
      <c r="CUZ349" s="16" t="s">
        <v>4867</v>
      </c>
      <c r="CVA349" s="16" t="s">
        <v>4867</v>
      </c>
      <c r="CVB349" s="16" t="s">
        <v>4867</v>
      </c>
      <c r="CVC349" s="16" t="s">
        <v>4867</v>
      </c>
      <c r="CVD349" s="16" t="s">
        <v>4867</v>
      </c>
      <c r="CVE349" s="16" t="s">
        <v>4867</v>
      </c>
      <c r="CVF349" s="16" t="s">
        <v>4867</v>
      </c>
      <c r="CVG349" s="16" t="s">
        <v>4867</v>
      </c>
      <c r="CVH349" s="16" t="s">
        <v>4867</v>
      </c>
      <c r="CVI349" s="16" t="s">
        <v>4867</v>
      </c>
      <c r="CVJ349" s="16" t="s">
        <v>4867</v>
      </c>
      <c r="CVK349" s="16" t="s">
        <v>4867</v>
      </c>
      <c r="CVL349" s="16" t="s">
        <v>4867</v>
      </c>
      <c r="CVM349" s="16" t="s">
        <v>4867</v>
      </c>
      <c r="CVN349" s="16" t="s">
        <v>4867</v>
      </c>
      <c r="CVO349" s="16" t="s">
        <v>4867</v>
      </c>
      <c r="CVP349" s="16" t="s">
        <v>4867</v>
      </c>
      <c r="CVQ349" s="16" t="s">
        <v>4867</v>
      </c>
      <c r="CVR349" s="16" t="s">
        <v>4867</v>
      </c>
      <c r="CVS349" s="16" t="s">
        <v>4867</v>
      </c>
      <c r="CVT349" s="16" t="s">
        <v>4867</v>
      </c>
      <c r="CVU349" s="16" t="s">
        <v>4867</v>
      </c>
      <c r="CVV349" s="16" t="s">
        <v>4867</v>
      </c>
      <c r="CVW349" s="16" t="s">
        <v>4867</v>
      </c>
      <c r="CVX349" s="16" t="s">
        <v>4867</v>
      </c>
      <c r="CVY349" s="16" t="s">
        <v>4867</v>
      </c>
      <c r="CVZ349" s="16" t="s">
        <v>4867</v>
      </c>
      <c r="CWA349" s="16" t="s">
        <v>4867</v>
      </c>
      <c r="CWB349" s="16" t="s">
        <v>4867</v>
      </c>
      <c r="CWC349" s="16" t="s">
        <v>4867</v>
      </c>
      <c r="CWD349" s="16" t="s">
        <v>4867</v>
      </c>
      <c r="CWE349" s="16" t="s">
        <v>4867</v>
      </c>
      <c r="CWF349" s="16" t="s">
        <v>4867</v>
      </c>
      <c r="CWG349" s="16" t="s">
        <v>4867</v>
      </c>
      <c r="CWH349" s="16" t="s">
        <v>4867</v>
      </c>
      <c r="CWI349" s="16" t="s">
        <v>4867</v>
      </c>
      <c r="CWJ349" s="16" t="s">
        <v>4867</v>
      </c>
      <c r="CWK349" s="16" t="s">
        <v>4867</v>
      </c>
      <c r="CWL349" s="16" t="s">
        <v>4867</v>
      </c>
      <c r="CWM349" s="16" t="s">
        <v>4867</v>
      </c>
      <c r="CWN349" s="16" t="s">
        <v>4867</v>
      </c>
      <c r="CWO349" s="16" t="s">
        <v>4867</v>
      </c>
      <c r="CWP349" s="16" t="s">
        <v>4867</v>
      </c>
      <c r="CWQ349" s="16" t="s">
        <v>4867</v>
      </c>
      <c r="CWR349" s="16" t="s">
        <v>4867</v>
      </c>
      <c r="CWS349" s="16" t="s">
        <v>4867</v>
      </c>
      <c r="CWT349" s="16" t="s">
        <v>4867</v>
      </c>
      <c r="CWU349" s="16" t="s">
        <v>4867</v>
      </c>
      <c r="CWV349" s="16" t="s">
        <v>4867</v>
      </c>
      <c r="CWW349" s="16" t="s">
        <v>4867</v>
      </c>
      <c r="CWX349" s="16" t="s">
        <v>4867</v>
      </c>
      <c r="CWY349" s="16" t="s">
        <v>4867</v>
      </c>
      <c r="CWZ349" s="16" t="s">
        <v>4867</v>
      </c>
      <c r="CXA349" s="16" t="s">
        <v>4867</v>
      </c>
      <c r="CXB349" s="16" t="s">
        <v>4867</v>
      </c>
      <c r="CXC349" s="16" t="s">
        <v>4867</v>
      </c>
      <c r="CXD349" s="16" t="s">
        <v>4867</v>
      </c>
      <c r="CXE349" s="16" t="s">
        <v>4867</v>
      </c>
      <c r="CXF349" s="16" t="s">
        <v>4867</v>
      </c>
      <c r="CXG349" s="16" t="s">
        <v>4867</v>
      </c>
      <c r="CXH349" s="16" t="s">
        <v>4867</v>
      </c>
      <c r="CXI349" s="16" t="s">
        <v>4867</v>
      </c>
      <c r="CXJ349" s="16" t="s">
        <v>4867</v>
      </c>
      <c r="CXK349" s="16" t="s">
        <v>4867</v>
      </c>
      <c r="CXL349" s="16" t="s">
        <v>4867</v>
      </c>
      <c r="CXM349" s="16" t="s">
        <v>4867</v>
      </c>
      <c r="CXN349" s="16" t="s">
        <v>4867</v>
      </c>
      <c r="CXO349" s="16" t="s">
        <v>4867</v>
      </c>
      <c r="CXP349" s="16" t="s">
        <v>4867</v>
      </c>
      <c r="CXQ349" s="16" t="s">
        <v>4867</v>
      </c>
      <c r="CXR349" s="16" t="s">
        <v>4867</v>
      </c>
      <c r="CXS349" s="16" t="s">
        <v>4867</v>
      </c>
      <c r="CXT349" s="16" t="s">
        <v>4867</v>
      </c>
      <c r="CXU349" s="16" t="s">
        <v>4867</v>
      </c>
      <c r="CXV349" s="16" t="s">
        <v>4867</v>
      </c>
      <c r="CXW349" s="16" t="s">
        <v>4867</v>
      </c>
      <c r="CXX349" s="16" t="s">
        <v>4867</v>
      </c>
      <c r="CXY349" s="16" t="s">
        <v>4867</v>
      </c>
      <c r="CXZ349" s="16" t="s">
        <v>4867</v>
      </c>
      <c r="CYA349" s="16" t="s">
        <v>4867</v>
      </c>
      <c r="CYB349" s="16" t="s">
        <v>4867</v>
      </c>
      <c r="CYC349" s="16" t="s">
        <v>4867</v>
      </c>
      <c r="CYD349" s="16" t="s">
        <v>4867</v>
      </c>
      <c r="CYE349" s="16" t="s">
        <v>4867</v>
      </c>
      <c r="CYF349" s="16" t="s">
        <v>4867</v>
      </c>
      <c r="CYG349" s="16" t="s">
        <v>4867</v>
      </c>
      <c r="CYH349" s="16" t="s">
        <v>4867</v>
      </c>
      <c r="CYI349" s="16" t="s">
        <v>4867</v>
      </c>
      <c r="CYJ349" s="16" t="s">
        <v>4867</v>
      </c>
      <c r="CYK349" s="16" t="s">
        <v>4867</v>
      </c>
      <c r="CYL349" s="16" t="s">
        <v>4867</v>
      </c>
      <c r="CYM349" s="16" t="s">
        <v>4867</v>
      </c>
      <c r="CYN349" s="16" t="s">
        <v>4867</v>
      </c>
      <c r="CYO349" s="16" t="s">
        <v>4867</v>
      </c>
      <c r="CYP349" s="16" t="s">
        <v>4867</v>
      </c>
      <c r="CYQ349" s="16" t="s">
        <v>4867</v>
      </c>
      <c r="CYR349" s="16" t="s">
        <v>4867</v>
      </c>
      <c r="CYS349" s="16" t="s">
        <v>4867</v>
      </c>
      <c r="CYT349" s="16" t="s">
        <v>4867</v>
      </c>
      <c r="CYU349" s="16" t="s">
        <v>4867</v>
      </c>
      <c r="CYV349" s="16" t="s">
        <v>4867</v>
      </c>
      <c r="CYW349" s="16" t="s">
        <v>4867</v>
      </c>
      <c r="CYX349" s="16" t="s">
        <v>4867</v>
      </c>
      <c r="CYY349" s="16" t="s">
        <v>4867</v>
      </c>
      <c r="CYZ349" s="16" t="s">
        <v>4867</v>
      </c>
      <c r="CZA349" s="16" t="s">
        <v>4867</v>
      </c>
      <c r="CZB349" s="16" t="s">
        <v>4867</v>
      </c>
      <c r="CZC349" s="16" t="s">
        <v>4867</v>
      </c>
      <c r="CZD349" s="16" t="s">
        <v>4867</v>
      </c>
      <c r="CZE349" s="16" t="s">
        <v>4867</v>
      </c>
      <c r="CZF349" s="16" t="s">
        <v>4867</v>
      </c>
      <c r="CZG349" s="16" t="s">
        <v>4867</v>
      </c>
      <c r="CZH349" s="16" t="s">
        <v>4867</v>
      </c>
      <c r="CZI349" s="16" t="s">
        <v>4867</v>
      </c>
      <c r="CZJ349" s="16" t="s">
        <v>4867</v>
      </c>
      <c r="CZK349" s="16" t="s">
        <v>4867</v>
      </c>
      <c r="CZL349" s="16" t="s">
        <v>4867</v>
      </c>
      <c r="CZM349" s="16" t="s">
        <v>4867</v>
      </c>
      <c r="CZN349" s="16" t="s">
        <v>4867</v>
      </c>
      <c r="CZO349" s="16" t="s">
        <v>4867</v>
      </c>
      <c r="CZP349" s="16" t="s">
        <v>4867</v>
      </c>
      <c r="CZQ349" s="16" t="s">
        <v>4867</v>
      </c>
      <c r="CZR349" s="16" t="s">
        <v>4867</v>
      </c>
      <c r="CZS349" s="16" t="s">
        <v>4867</v>
      </c>
      <c r="CZT349" s="16" t="s">
        <v>4867</v>
      </c>
      <c r="CZU349" s="16" t="s">
        <v>4867</v>
      </c>
      <c r="CZV349" s="16" t="s">
        <v>4867</v>
      </c>
      <c r="CZW349" s="16" t="s">
        <v>4867</v>
      </c>
      <c r="CZX349" s="16" t="s">
        <v>4867</v>
      </c>
      <c r="CZY349" s="16" t="s">
        <v>4867</v>
      </c>
      <c r="CZZ349" s="16" t="s">
        <v>4867</v>
      </c>
      <c r="DAA349" s="16" t="s">
        <v>4867</v>
      </c>
      <c r="DAB349" s="16" t="s">
        <v>4867</v>
      </c>
      <c r="DAC349" s="16" t="s">
        <v>4867</v>
      </c>
      <c r="DAD349" s="16" t="s">
        <v>4867</v>
      </c>
      <c r="DAE349" s="16" t="s">
        <v>4867</v>
      </c>
      <c r="DAF349" s="16" t="s">
        <v>4867</v>
      </c>
      <c r="DAG349" s="16" t="s">
        <v>4867</v>
      </c>
      <c r="DAH349" s="16" t="s">
        <v>4867</v>
      </c>
      <c r="DAI349" s="16" t="s">
        <v>4867</v>
      </c>
      <c r="DAJ349" s="16" t="s">
        <v>4867</v>
      </c>
      <c r="DAK349" s="16" t="s">
        <v>4867</v>
      </c>
      <c r="DAL349" s="16" t="s">
        <v>4867</v>
      </c>
      <c r="DAM349" s="16" t="s">
        <v>4867</v>
      </c>
      <c r="DAN349" s="16" t="s">
        <v>4867</v>
      </c>
      <c r="DAO349" s="16" t="s">
        <v>4867</v>
      </c>
      <c r="DAP349" s="16" t="s">
        <v>4867</v>
      </c>
      <c r="DAQ349" s="16" t="s">
        <v>4867</v>
      </c>
      <c r="DAR349" s="16" t="s">
        <v>4867</v>
      </c>
      <c r="DAS349" s="16" t="s">
        <v>4867</v>
      </c>
      <c r="DAT349" s="16" t="s">
        <v>4867</v>
      </c>
      <c r="DAU349" s="16" t="s">
        <v>4867</v>
      </c>
      <c r="DAV349" s="16" t="s">
        <v>4867</v>
      </c>
      <c r="DAW349" s="16" t="s">
        <v>4867</v>
      </c>
      <c r="DAX349" s="16" t="s">
        <v>4867</v>
      </c>
      <c r="DAY349" s="16" t="s">
        <v>4867</v>
      </c>
      <c r="DAZ349" s="16" t="s">
        <v>4867</v>
      </c>
      <c r="DBA349" s="16" t="s">
        <v>4867</v>
      </c>
      <c r="DBB349" s="16" t="s">
        <v>4867</v>
      </c>
      <c r="DBC349" s="16" t="s">
        <v>4867</v>
      </c>
      <c r="DBD349" s="16" t="s">
        <v>4867</v>
      </c>
      <c r="DBE349" s="16" t="s">
        <v>4867</v>
      </c>
      <c r="DBF349" s="16" t="s">
        <v>4867</v>
      </c>
      <c r="DBG349" s="16" t="s">
        <v>4867</v>
      </c>
      <c r="DBH349" s="16" t="s">
        <v>4867</v>
      </c>
      <c r="DBI349" s="16" t="s">
        <v>4867</v>
      </c>
      <c r="DBJ349" s="16" t="s">
        <v>4867</v>
      </c>
      <c r="DBK349" s="16" t="s">
        <v>4867</v>
      </c>
      <c r="DBL349" s="16" t="s">
        <v>4867</v>
      </c>
      <c r="DBM349" s="16" t="s">
        <v>4867</v>
      </c>
      <c r="DBN349" s="16" t="s">
        <v>4867</v>
      </c>
      <c r="DBO349" s="16" t="s">
        <v>4867</v>
      </c>
      <c r="DBP349" s="16" t="s">
        <v>4867</v>
      </c>
      <c r="DBQ349" s="16" t="s">
        <v>4867</v>
      </c>
      <c r="DBR349" s="16" t="s">
        <v>4867</v>
      </c>
      <c r="DBS349" s="16" t="s">
        <v>4867</v>
      </c>
      <c r="DBT349" s="16" t="s">
        <v>4867</v>
      </c>
      <c r="DBU349" s="16" t="s">
        <v>4867</v>
      </c>
      <c r="DBV349" s="16" t="s">
        <v>4867</v>
      </c>
      <c r="DBW349" s="16" t="s">
        <v>4867</v>
      </c>
      <c r="DBX349" s="16" t="s">
        <v>4867</v>
      </c>
      <c r="DBY349" s="16" t="s">
        <v>4867</v>
      </c>
      <c r="DBZ349" s="16" t="s">
        <v>4867</v>
      </c>
      <c r="DCA349" s="16" t="s">
        <v>4867</v>
      </c>
      <c r="DCB349" s="16" t="s">
        <v>4867</v>
      </c>
      <c r="DCC349" s="16" t="s">
        <v>4867</v>
      </c>
      <c r="DCD349" s="16" t="s">
        <v>4867</v>
      </c>
      <c r="DCE349" s="16" t="s">
        <v>4867</v>
      </c>
      <c r="DCF349" s="16" t="s">
        <v>4867</v>
      </c>
      <c r="DCG349" s="16" t="s">
        <v>4867</v>
      </c>
      <c r="DCH349" s="16" t="s">
        <v>4867</v>
      </c>
      <c r="DCI349" s="16" t="s">
        <v>4867</v>
      </c>
      <c r="DCJ349" s="16" t="s">
        <v>4867</v>
      </c>
      <c r="DCK349" s="16" t="s">
        <v>4867</v>
      </c>
      <c r="DCL349" s="16" t="s">
        <v>4867</v>
      </c>
      <c r="DCM349" s="16" t="s">
        <v>4867</v>
      </c>
      <c r="DCN349" s="16" t="s">
        <v>4867</v>
      </c>
      <c r="DCO349" s="16" t="s">
        <v>4867</v>
      </c>
      <c r="DCP349" s="16" t="s">
        <v>4867</v>
      </c>
      <c r="DCQ349" s="16" t="s">
        <v>4867</v>
      </c>
      <c r="DCR349" s="16" t="s">
        <v>4867</v>
      </c>
      <c r="DCS349" s="16" t="s">
        <v>4867</v>
      </c>
      <c r="DCT349" s="16" t="s">
        <v>4867</v>
      </c>
      <c r="DCU349" s="16" t="s">
        <v>4867</v>
      </c>
      <c r="DCV349" s="16" t="s">
        <v>4867</v>
      </c>
      <c r="DCW349" s="16" t="s">
        <v>4867</v>
      </c>
      <c r="DCX349" s="16" t="s">
        <v>4867</v>
      </c>
      <c r="DCY349" s="16" t="s">
        <v>4867</v>
      </c>
      <c r="DCZ349" s="16" t="s">
        <v>4867</v>
      </c>
      <c r="DDA349" s="16" t="s">
        <v>4867</v>
      </c>
      <c r="DDB349" s="16" t="s">
        <v>4867</v>
      </c>
      <c r="DDC349" s="16" t="s">
        <v>4867</v>
      </c>
      <c r="DDD349" s="16" t="s">
        <v>4867</v>
      </c>
      <c r="DDE349" s="16" t="s">
        <v>4867</v>
      </c>
      <c r="DDF349" s="16" t="s">
        <v>4867</v>
      </c>
      <c r="DDG349" s="16" t="s">
        <v>4867</v>
      </c>
      <c r="DDH349" s="16" t="s">
        <v>4867</v>
      </c>
      <c r="DDI349" s="16" t="s">
        <v>4867</v>
      </c>
      <c r="DDJ349" s="16" t="s">
        <v>4867</v>
      </c>
      <c r="DDK349" s="16" t="s">
        <v>4867</v>
      </c>
      <c r="DDL349" s="16" t="s">
        <v>4867</v>
      </c>
      <c r="DDM349" s="16" t="s">
        <v>4867</v>
      </c>
      <c r="DDN349" s="16" t="s">
        <v>4867</v>
      </c>
      <c r="DDO349" s="16" t="s">
        <v>4867</v>
      </c>
      <c r="DDP349" s="16" t="s">
        <v>4867</v>
      </c>
      <c r="DDQ349" s="16" t="s">
        <v>4867</v>
      </c>
      <c r="DDR349" s="16" t="s">
        <v>4867</v>
      </c>
      <c r="DDS349" s="16" t="s">
        <v>4867</v>
      </c>
      <c r="DDT349" s="16" t="s">
        <v>4867</v>
      </c>
      <c r="DDU349" s="16" t="s">
        <v>4867</v>
      </c>
      <c r="DDV349" s="16" t="s">
        <v>4867</v>
      </c>
      <c r="DDW349" s="16" t="s">
        <v>4867</v>
      </c>
      <c r="DDX349" s="16" t="s">
        <v>4867</v>
      </c>
      <c r="DDY349" s="16" t="s">
        <v>4867</v>
      </c>
      <c r="DDZ349" s="16" t="s">
        <v>4867</v>
      </c>
      <c r="DEA349" s="16" t="s">
        <v>4867</v>
      </c>
      <c r="DEB349" s="16" t="s">
        <v>4867</v>
      </c>
      <c r="DEC349" s="16" t="s">
        <v>4867</v>
      </c>
      <c r="DED349" s="16" t="s">
        <v>4867</v>
      </c>
      <c r="DEE349" s="16" t="s">
        <v>4867</v>
      </c>
      <c r="DEF349" s="16" t="s">
        <v>4867</v>
      </c>
      <c r="DEG349" s="16" t="s">
        <v>4867</v>
      </c>
      <c r="DEH349" s="16" t="s">
        <v>4867</v>
      </c>
      <c r="DEI349" s="16" t="s">
        <v>4867</v>
      </c>
      <c r="DEJ349" s="16" t="s">
        <v>4867</v>
      </c>
      <c r="DEK349" s="16" t="s">
        <v>4867</v>
      </c>
      <c r="DEL349" s="16" t="s">
        <v>4867</v>
      </c>
      <c r="DEM349" s="16" t="s">
        <v>4867</v>
      </c>
      <c r="DEN349" s="16" t="s">
        <v>4867</v>
      </c>
      <c r="DEO349" s="16" t="s">
        <v>4867</v>
      </c>
      <c r="DEP349" s="16" t="s">
        <v>4867</v>
      </c>
      <c r="DEQ349" s="16" t="s">
        <v>4867</v>
      </c>
      <c r="DER349" s="16" t="s">
        <v>4867</v>
      </c>
      <c r="DES349" s="16" t="s">
        <v>4867</v>
      </c>
      <c r="DET349" s="16" t="s">
        <v>4867</v>
      </c>
      <c r="DEU349" s="16" t="s">
        <v>4867</v>
      </c>
      <c r="DEV349" s="16" t="s">
        <v>4867</v>
      </c>
      <c r="DEW349" s="16" t="s">
        <v>4867</v>
      </c>
      <c r="DEX349" s="16" t="s">
        <v>4867</v>
      </c>
      <c r="DEY349" s="16" t="s">
        <v>4867</v>
      </c>
      <c r="DEZ349" s="16" t="s">
        <v>4867</v>
      </c>
      <c r="DFA349" s="16" t="s">
        <v>4867</v>
      </c>
      <c r="DFB349" s="16" t="s">
        <v>4867</v>
      </c>
      <c r="DFC349" s="16" t="s">
        <v>4867</v>
      </c>
      <c r="DFD349" s="16" t="s">
        <v>4867</v>
      </c>
      <c r="DFE349" s="16" t="s">
        <v>4867</v>
      </c>
      <c r="DFF349" s="16" t="s">
        <v>4867</v>
      </c>
      <c r="DFG349" s="16" t="s">
        <v>4867</v>
      </c>
      <c r="DFH349" s="16" t="s">
        <v>4867</v>
      </c>
      <c r="DFI349" s="16" t="s">
        <v>4867</v>
      </c>
      <c r="DFJ349" s="16" t="s">
        <v>4867</v>
      </c>
      <c r="DFK349" s="16" t="s">
        <v>4867</v>
      </c>
      <c r="DFL349" s="16" t="s">
        <v>4867</v>
      </c>
      <c r="DFM349" s="16" t="s">
        <v>4867</v>
      </c>
      <c r="DFN349" s="16" t="s">
        <v>4867</v>
      </c>
      <c r="DFO349" s="16" t="s">
        <v>4867</v>
      </c>
      <c r="DFP349" s="16" t="s">
        <v>4867</v>
      </c>
      <c r="DFQ349" s="16" t="s">
        <v>4867</v>
      </c>
      <c r="DFR349" s="16" t="s">
        <v>4867</v>
      </c>
      <c r="DFS349" s="16" t="s">
        <v>4867</v>
      </c>
      <c r="DFT349" s="16" t="s">
        <v>4867</v>
      </c>
      <c r="DFU349" s="16" t="s">
        <v>4867</v>
      </c>
      <c r="DFV349" s="16" t="s">
        <v>4867</v>
      </c>
      <c r="DFW349" s="16" t="s">
        <v>4867</v>
      </c>
      <c r="DFX349" s="16" t="s">
        <v>4867</v>
      </c>
      <c r="DFY349" s="16" t="s">
        <v>4867</v>
      </c>
      <c r="DFZ349" s="16" t="s">
        <v>4867</v>
      </c>
      <c r="DGA349" s="16" t="s">
        <v>4867</v>
      </c>
      <c r="DGB349" s="16" t="s">
        <v>4867</v>
      </c>
      <c r="DGC349" s="16" t="s">
        <v>4867</v>
      </c>
      <c r="DGD349" s="16" t="s">
        <v>4867</v>
      </c>
      <c r="DGE349" s="16" t="s">
        <v>4867</v>
      </c>
      <c r="DGF349" s="16" t="s">
        <v>4867</v>
      </c>
      <c r="DGG349" s="16" t="s">
        <v>4867</v>
      </c>
      <c r="DGH349" s="16" t="s">
        <v>4867</v>
      </c>
      <c r="DGI349" s="16" t="s">
        <v>4867</v>
      </c>
      <c r="DGJ349" s="16" t="s">
        <v>4867</v>
      </c>
      <c r="DGK349" s="16" t="s">
        <v>4867</v>
      </c>
      <c r="DGL349" s="16" t="s">
        <v>4867</v>
      </c>
      <c r="DGM349" s="16" t="s">
        <v>4867</v>
      </c>
      <c r="DGN349" s="16" t="s">
        <v>4867</v>
      </c>
      <c r="DGO349" s="16" t="s">
        <v>4867</v>
      </c>
      <c r="DGP349" s="16" t="s">
        <v>4867</v>
      </c>
      <c r="DGQ349" s="16" t="s">
        <v>4867</v>
      </c>
      <c r="DGR349" s="16" t="s">
        <v>4867</v>
      </c>
      <c r="DGS349" s="16" t="s">
        <v>4867</v>
      </c>
      <c r="DGT349" s="16" t="s">
        <v>4867</v>
      </c>
      <c r="DGU349" s="16" t="s">
        <v>4867</v>
      </c>
      <c r="DGV349" s="16" t="s">
        <v>4867</v>
      </c>
      <c r="DGW349" s="16" t="s">
        <v>4867</v>
      </c>
      <c r="DGX349" s="16" t="s">
        <v>4867</v>
      </c>
      <c r="DGY349" s="16" t="s">
        <v>4867</v>
      </c>
      <c r="DGZ349" s="16" t="s">
        <v>4867</v>
      </c>
      <c r="DHA349" s="16" t="s">
        <v>4867</v>
      </c>
      <c r="DHB349" s="16" t="s">
        <v>4867</v>
      </c>
      <c r="DHC349" s="16" t="s">
        <v>4867</v>
      </c>
      <c r="DHD349" s="16" t="s">
        <v>4867</v>
      </c>
      <c r="DHE349" s="16" t="s">
        <v>4867</v>
      </c>
      <c r="DHF349" s="16" t="s">
        <v>4867</v>
      </c>
      <c r="DHG349" s="16" t="s">
        <v>4867</v>
      </c>
      <c r="DHH349" s="16" t="s">
        <v>4867</v>
      </c>
      <c r="DHI349" s="16" t="s">
        <v>4867</v>
      </c>
      <c r="DHJ349" s="16" t="s">
        <v>4867</v>
      </c>
      <c r="DHK349" s="16" t="s">
        <v>4867</v>
      </c>
      <c r="DHL349" s="16" t="s">
        <v>4867</v>
      </c>
      <c r="DHM349" s="16" t="s">
        <v>4867</v>
      </c>
      <c r="DHN349" s="16" t="s">
        <v>4867</v>
      </c>
      <c r="DHO349" s="16" t="s">
        <v>4867</v>
      </c>
      <c r="DHP349" s="16" t="s">
        <v>4867</v>
      </c>
      <c r="DHQ349" s="16" t="s">
        <v>4867</v>
      </c>
      <c r="DHR349" s="16" t="s">
        <v>4867</v>
      </c>
      <c r="DHS349" s="16" t="s">
        <v>4867</v>
      </c>
      <c r="DHT349" s="16" t="s">
        <v>4867</v>
      </c>
      <c r="DHU349" s="16" t="s">
        <v>4867</v>
      </c>
      <c r="DHV349" s="16" t="s">
        <v>4867</v>
      </c>
      <c r="DHW349" s="16" t="s">
        <v>4867</v>
      </c>
      <c r="DHX349" s="16" t="s">
        <v>4867</v>
      </c>
      <c r="DHY349" s="16" t="s">
        <v>4867</v>
      </c>
      <c r="DHZ349" s="16" t="s">
        <v>4867</v>
      </c>
      <c r="DIA349" s="16" t="s">
        <v>4867</v>
      </c>
      <c r="DIB349" s="16" t="s">
        <v>4867</v>
      </c>
      <c r="DIC349" s="16" t="s">
        <v>4867</v>
      </c>
      <c r="DID349" s="16" t="s">
        <v>4867</v>
      </c>
      <c r="DIE349" s="16" t="s">
        <v>4867</v>
      </c>
      <c r="DIF349" s="16" t="s">
        <v>4867</v>
      </c>
      <c r="DIG349" s="16" t="s">
        <v>4867</v>
      </c>
      <c r="DIH349" s="16" t="s">
        <v>4867</v>
      </c>
      <c r="DII349" s="16" t="s">
        <v>4867</v>
      </c>
      <c r="DIJ349" s="16" t="s">
        <v>4867</v>
      </c>
      <c r="DIK349" s="16" t="s">
        <v>4867</v>
      </c>
      <c r="DIL349" s="16" t="s">
        <v>4867</v>
      </c>
      <c r="DIM349" s="16" t="s">
        <v>4867</v>
      </c>
      <c r="DIN349" s="16" t="s">
        <v>4867</v>
      </c>
      <c r="DIO349" s="16" t="s">
        <v>4867</v>
      </c>
      <c r="DIP349" s="16" t="s">
        <v>4867</v>
      </c>
      <c r="DIQ349" s="16" t="s">
        <v>4867</v>
      </c>
      <c r="DIR349" s="16" t="s">
        <v>4867</v>
      </c>
      <c r="DIS349" s="16" t="s">
        <v>4867</v>
      </c>
      <c r="DIT349" s="16" t="s">
        <v>4867</v>
      </c>
      <c r="DIU349" s="16" t="s">
        <v>4867</v>
      </c>
      <c r="DIV349" s="16" t="s">
        <v>4867</v>
      </c>
      <c r="DIW349" s="16" t="s">
        <v>4867</v>
      </c>
      <c r="DIX349" s="16" t="s">
        <v>4867</v>
      </c>
      <c r="DIY349" s="16" t="s">
        <v>4867</v>
      </c>
      <c r="DIZ349" s="16" t="s">
        <v>4867</v>
      </c>
      <c r="DJA349" s="16" t="s">
        <v>4867</v>
      </c>
      <c r="DJB349" s="16" t="s">
        <v>4867</v>
      </c>
      <c r="DJC349" s="16" t="s">
        <v>4867</v>
      </c>
      <c r="DJD349" s="16" t="s">
        <v>4867</v>
      </c>
      <c r="DJE349" s="16" t="s">
        <v>4867</v>
      </c>
      <c r="DJF349" s="16" t="s">
        <v>4867</v>
      </c>
      <c r="DJG349" s="16" t="s">
        <v>4867</v>
      </c>
      <c r="DJH349" s="16" t="s">
        <v>4867</v>
      </c>
      <c r="DJI349" s="16" t="s">
        <v>4867</v>
      </c>
      <c r="DJJ349" s="16" t="s">
        <v>4867</v>
      </c>
      <c r="DJK349" s="16" t="s">
        <v>4867</v>
      </c>
      <c r="DJL349" s="16" t="s">
        <v>4867</v>
      </c>
      <c r="DJM349" s="16" t="s">
        <v>4867</v>
      </c>
      <c r="DJN349" s="16" t="s">
        <v>4867</v>
      </c>
      <c r="DJO349" s="16" t="s">
        <v>4867</v>
      </c>
      <c r="DJP349" s="16" t="s">
        <v>4867</v>
      </c>
      <c r="DJQ349" s="16" t="s">
        <v>4867</v>
      </c>
      <c r="DJR349" s="16" t="s">
        <v>4867</v>
      </c>
      <c r="DJS349" s="16" t="s">
        <v>4867</v>
      </c>
      <c r="DJT349" s="16" t="s">
        <v>4867</v>
      </c>
      <c r="DJU349" s="16" t="s">
        <v>4867</v>
      </c>
      <c r="DJV349" s="16" t="s">
        <v>4867</v>
      </c>
      <c r="DJW349" s="16" t="s">
        <v>4867</v>
      </c>
      <c r="DJX349" s="16" t="s">
        <v>4867</v>
      </c>
      <c r="DJY349" s="16" t="s">
        <v>4867</v>
      </c>
      <c r="DJZ349" s="16" t="s">
        <v>4867</v>
      </c>
      <c r="DKA349" s="16" t="s">
        <v>4867</v>
      </c>
      <c r="DKB349" s="16" t="s">
        <v>4867</v>
      </c>
      <c r="DKC349" s="16" t="s">
        <v>4867</v>
      </c>
      <c r="DKD349" s="16" t="s">
        <v>4867</v>
      </c>
      <c r="DKE349" s="16" t="s">
        <v>4867</v>
      </c>
      <c r="DKF349" s="16" t="s">
        <v>4867</v>
      </c>
      <c r="DKG349" s="16" t="s">
        <v>4867</v>
      </c>
      <c r="DKH349" s="16" t="s">
        <v>4867</v>
      </c>
      <c r="DKI349" s="16" t="s">
        <v>4867</v>
      </c>
      <c r="DKJ349" s="16" t="s">
        <v>4867</v>
      </c>
      <c r="DKK349" s="16" t="s">
        <v>4867</v>
      </c>
      <c r="DKL349" s="16" t="s">
        <v>4867</v>
      </c>
      <c r="DKM349" s="16" t="s">
        <v>4867</v>
      </c>
      <c r="DKN349" s="16" t="s">
        <v>4867</v>
      </c>
      <c r="DKO349" s="16" t="s">
        <v>4867</v>
      </c>
      <c r="DKP349" s="16" t="s">
        <v>4867</v>
      </c>
      <c r="DKQ349" s="16" t="s">
        <v>4867</v>
      </c>
      <c r="DKR349" s="16" t="s">
        <v>4867</v>
      </c>
      <c r="DKS349" s="16" t="s">
        <v>4867</v>
      </c>
      <c r="DKT349" s="16" t="s">
        <v>4867</v>
      </c>
      <c r="DKU349" s="16" t="s">
        <v>4867</v>
      </c>
      <c r="DKV349" s="16" t="s">
        <v>4867</v>
      </c>
      <c r="DKW349" s="16" t="s">
        <v>4867</v>
      </c>
      <c r="DKX349" s="16" t="s">
        <v>4867</v>
      </c>
      <c r="DKY349" s="16" t="s">
        <v>4867</v>
      </c>
      <c r="DKZ349" s="16" t="s">
        <v>4867</v>
      </c>
      <c r="DLA349" s="16" t="s">
        <v>4867</v>
      </c>
      <c r="DLB349" s="16" t="s">
        <v>4867</v>
      </c>
      <c r="DLC349" s="16" t="s">
        <v>4867</v>
      </c>
      <c r="DLD349" s="16" t="s">
        <v>4867</v>
      </c>
      <c r="DLE349" s="16" t="s">
        <v>4867</v>
      </c>
      <c r="DLF349" s="16" t="s">
        <v>4867</v>
      </c>
      <c r="DLG349" s="16" t="s">
        <v>4867</v>
      </c>
      <c r="DLH349" s="16" t="s">
        <v>4867</v>
      </c>
      <c r="DLI349" s="16" t="s">
        <v>4867</v>
      </c>
      <c r="DLJ349" s="16" t="s">
        <v>4867</v>
      </c>
      <c r="DLK349" s="16" t="s">
        <v>4867</v>
      </c>
      <c r="DLL349" s="16" t="s">
        <v>4867</v>
      </c>
      <c r="DLM349" s="16" t="s">
        <v>4867</v>
      </c>
      <c r="DLN349" s="16" t="s">
        <v>4867</v>
      </c>
      <c r="DLO349" s="16" t="s">
        <v>4867</v>
      </c>
      <c r="DLP349" s="16" t="s">
        <v>4867</v>
      </c>
      <c r="DLQ349" s="16" t="s">
        <v>4867</v>
      </c>
      <c r="DLR349" s="16" t="s">
        <v>4867</v>
      </c>
      <c r="DLS349" s="16" t="s">
        <v>4867</v>
      </c>
      <c r="DLT349" s="16" t="s">
        <v>4867</v>
      </c>
      <c r="DLU349" s="16" t="s">
        <v>4867</v>
      </c>
      <c r="DLV349" s="16" t="s">
        <v>4867</v>
      </c>
      <c r="DLW349" s="16" t="s">
        <v>4867</v>
      </c>
      <c r="DLX349" s="16" t="s">
        <v>4867</v>
      </c>
      <c r="DLY349" s="16" t="s">
        <v>4867</v>
      </c>
      <c r="DLZ349" s="16" t="s">
        <v>4867</v>
      </c>
      <c r="DMA349" s="16" t="s">
        <v>4867</v>
      </c>
      <c r="DMB349" s="16" t="s">
        <v>4867</v>
      </c>
      <c r="DMC349" s="16" t="s">
        <v>4867</v>
      </c>
      <c r="DMD349" s="16" t="s">
        <v>4867</v>
      </c>
      <c r="DME349" s="16" t="s">
        <v>4867</v>
      </c>
      <c r="DMF349" s="16" t="s">
        <v>4867</v>
      </c>
      <c r="DMG349" s="16" t="s">
        <v>4867</v>
      </c>
      <c r="DMH349" s="16" t="s">
        <v>4867</v>
      </c>
      <c r="DMI349" s="16" t="s">
        <v>4867</v>
      </c>
      <c r="DMJ349" s="16" t="s">
        <v>4867</v>
      </c>
      <c r="DMK349" s="16" t="s">
        <v>4867</v>
      </c>
      <c r="DML349" s="16" t="s">
        <v>4867</v>
      </c>
      <c r="DMM349" s="16" t="s">
        <v>4867</v>
      </c>
      <c r="DMN349" s="16" t="s">
        <v>4867</v>
      </c>
      <c r="DMO349" s="16" t="s">
        <v>4867</v>
      </c>
      <c r="DMP349" s="16" t="s">
        <v>4867</v>
      </c>
      <c r="DMQ349" s="16" t="s">
        <v>4867</v>
      </c>
      <c r="DMR349" s="16" t="s">
        <v>4867</v>
      </c>
      <c r="DMS349" s="16" t="s">
        <v>4867</v>
      </c>
      <c r="DMT349" s="16" t="s">
        <v>4867</v>
      </c>
      <c r="DMU349" s="16" t="s">
        <v>4867</v>
      </c>
      <c r="DMV349" s="16" t="s">
        <v>4867</v>
      </c>
      <c r="DMW349" s="16" t="s">
        <v>4867</v>
      </c>
      <c r="DMX349" s="16" t="s">
        <v>4867</v>
      </c>
      <c r="DMY349" s="16" t="s">
        <v>4867</v>
      </c>
      <c r="DMZ349" s="16" t="s">
        <v>4867</v>
      </c>
      <c r="DNA349" s="16" t="s">
        <v>4867</v>
      </c>
      <c r="DNB349" s="16" t="s">
        <v>4867</v>
      </c>
      <c r="DNC349" s="16" t="s">
        <v>4867</v>
      </c>
      <c r="DND349" s="16" t="s">
        <v>4867</v>
      </c>
      <c r="DNE349" s="16" t="s">
        <v>4867</v>
      </c>
      <c r="DNF349" s="16" t="s">
        <v>4867</v>
      </c>
      <c r="DNG349" s="16" t="s">
        <v>4867</v>
      </c>
      <c r="DNH349" s="16" t="s">
        <v>4867</v>
      </c>
      <c r="DNI349" s="16" t="s">
        <v>4867</v>
      </c>
      <c r="DNJ349" s="16" t="s">
        <v>4867</v>
      </c>
      <c r="DNK349" s="16" t="s">
        <v>4867</v>
      </c>
      <c r="DNL349" s="16" t="s">
        <v>4867</v>
      </c>
      <c r="DNM349" s="16" t="s">
        <v>4867</v>
      </c>
      <c r="DNN349" s="16" t="s">
        <v>4867</v>
      </c>
      <c r="DNO349" s="16" t="s">
        <v>4867</v>
      </c>
      <c r="DNP349" s="16" t="s">
        <v>4867</v>
      </c>
      <c r="DNQ349" s="16" t="s">
        <v>4867</v>
      </c>
      <c r="DNR349" s="16" t="s">
        <v>4867</v>
      </c>
      <c r="DNS349" s="16" t="s">
        <v>4867</v>
      </c>
      <c r="DNT349" s="16" t="s">
        <v>4867</v>
      </c>
      <c r="DNU349" s="16" t="s">
        <v>4867</v>
      </c>
      <c r="DNV349" s="16" t="s">
        <v>4867</v>
      </c>
      <c r="DNW349" s="16" t="s">
        <v>4867</v>
      </c>
      <c r="DNX349" s="16" t="s">
        <v>4867</v>
      </c>
      <c r="DNY349" s="16" t="s">
        <v>4867</v>
      </c>
      <c r="DNZ349" s="16" t="s">
        <v>4867</v>
      </c>
      <c r="DOA349" s="16" t="s">
        <v>4867</v>
      </c>
      <c r="DOB349" s="16" t="s">
        <v>4867</v>
      </c>
      <c r="DOC349" s="16" t="s">
        <v>4867</v>
      </c>
      <c r="DOD349" s="16" t="s">
        <v>4867</v>
      </c>
      <c r="DOE349" s="16" t="s">
        <v>4867</v>
      </c>
      <c r="DOF349" s="16" t="s">
        <v>4867</v>
      </c>
      <c r="DOG349" s="16" t="s">
        <v>4867</v>
      </c>
      <c r="DOH349" s="16" t="s">
        <v>4867</v>
      </c>
      <c r="DOI349" s="16" t="s">
        <v>4867</v>
      </c>
      <c r="DOJ349" s="16" t="s">
        <v>4867</v>
      </c>
      <c r="DOK349" s="16" t="s">
        <v>4867</v>
      </c>
      <c r="DOL349" s="16" t="s">
        <v>4867</v>
      </c>
      <c r="DOM349" s="16" t="s">
        <v>4867</v>
      </c>
      <c r="DON349" s="16" t="s">
        <v>4867</v>
      </c>
      <c r="DOO349" s="16" t="s">
        <v>4867</v>
      </c>
      <c r="DOP349" s="16" t="s">
        <v>4867</v>
      </c>
      <c r="DOQ349" s="16" t="s">
        <v>4867</v>
      </c>
      <c r="DOR349" s="16" t="s">
        <v>4867</v>
      </c>
      <c r="DOS349" s="16" t="s">
        <v>4867</v>
      </c>
      <c r="DOT349" s="16" t="s">
        <v>4867</v>
      </c>
      <c r="DOU349" s="16" t="s">
        <v>4867</v>
      </c>
      <c r="DOV349" s="16" t="s">
        <v>4867</v>
      </c>
      <c r="DOW349" s="16" t="s">
        <v>4867</v>
      </c>
      <c r="DOX349" s="16" t="s">
        <v>4867</v>
      </c>
      <c r="DOY349" s="16" t="s">
        <v>4867</v>
      </c>
      <c r="DOZ349" s="16" t="s">
        <v>4867</v>
      </c>
      <c r="DPA349" s="16" t="s">
        <v>4867</v>
      </c>
      <c r="DPB349" s="16" t="s">
        <v>4867</v>
      </c>
      <c r="DPC349" s="16" t="s">
        <v>4867</v>
      </c>
      <c r="DPD349" s="16" t="s">
        <v>4867</v>
      </c>
      <c r="DPE349" s="16" t="s">
        <v>4867</v>
      </c>
      <c r="DPF349" s="16" t="s">
        <v>4867</v>
      </c>
      <c r="DPG349" s="16" t="s">
        <v>4867</v>
      </c>
      <c r="DPH349" s="16" t="s">
        <v>4867</v>
      </c>
      <c r="DPI349" s="16" t="s">
        <v>4867</v>
      </c>
      <c r="DPJ349" s="16" t="s">
        <v>4867</v>
      </c>
      <c r="DPK349" s="16" t="s">
        <v>4867</v>
      </c>
      <c r="DPL349" s="16" t="s">
        <v>4867</v>
      </c>
      <c r="DPM349" s="16" t="s">
        <v>4867</v>
      </c>
      <c r="DPN349" s="16" t="s">
        <v>4867</v>
      </c>
      <c r="DPO349" s="16" t="s">
        <v>4867</v>
      </c>
      <c r="DPP349" s="16" t="s">
        <v>4867</v>
      </c>
      <c r="DPQ349" s="16" t="s">
        <v>4867</v>
      </c>
      <c r="DPR349" s="16" t="s">
        <v>4867</v>
      </c>
      <c r="DPS349" s="16" t="s">
        <v>4867</v>
      </c>
      <c r="DPT349" s="16" t="s">
        <v>4867</v>
      </c>
      <c r="DPU349" s="16" t="s">
        <v>4867</v>
      </c>
      <c r="DPV349" s="16" t="s">
        <v>4867</v>
      </c>
      <c r="DPW349" s="16" t="s">
        <v>4867</v>
      </c>
      <c r="DPX349" s="16" t="s">
        <v>4867</v>
      </c>
      <c r="DPY349" s="16" t="s">
        <v>4867</v>
      </c>
      <c r="DPZ349" s="16" t="s">
        <v>4867</v>
      </c>
      <c r="DQA349" s="16" t="s">
        <v>4867</v>
      </c>
      <c r="DQB349" s="16" t="s">
        <v>4867</v>
      </c>
      <c r="DQC349" s="16" t="s">
        <v>4867</v>
      </c>
      <c r="DQD349" s="16" t="s">
        <v>4867</v>
      </c>
      <c r="DQE349" s="16" t="s">
        <v>4867</v>
      </c>
      <c r="DQF349" s="16" t="s">
        <v>4867</v>
      </c>
      <c r="DQG349" s="16" t="s">
        <v>4867</v>
      </c>
      <c r="DQH349" s="16" t="s">
        <v>4867</v>
      </c>
      <c r="DQI349" s="16" t="s">
        <v>4867</v>
      </c>
      <c r="DQJ349" s="16" t="s">
        <v>4867</v>
      </c>
      <c r="DQK349" s="16" t="s">
        <v>4867</v>
      </c>
      <c r="DQL349" s="16" t="s">
        <v>4867</v>
      </c>
      <c r="DQM349" s="16" t="s">
        <v>4867</v>
      </c>
      <c r="DQN349" s="16" t="s">
        <v>4867</v>
      </c>
      <c r="DQO349" s="16" t="s">
        <v>4867</v>
      </c>
      <c r="DQP349" s="16" t="s">
        <v>4867</v>
      </c>
      <c r="DQQ349" s="16" t="s">
        <v>4867</v>
      </c>
      <c r="DQR349" s="16" t="s">
        <v>4867</v>
      </c>
      <c r="DQS349" s="16" t="s">
        <v>4867</v>
      </c>
      <c r="DQT349" s="16" t="s">
        <v>4867</v>
      </c>
      <c r="DQU349" s="16" t="s">
        <v>4867</v>
      </c>
      <c r="DQV349" s="16" t="s">
        <v>4867</v>
      </c>
      <c r="DQW349" s="16" t="s">
        <v>4867</v>
      </c>
      <c r="DQX349" s="16" t="s">
        <v>4867</v>
      </c>
      <c r="DQY349" s="16" t="s">
        <v>4867</v>
      </c>
      <c r="DQZ349" s="16" t="s">
        <v>4867</v>
      </c>
      <c r="DRA349" s="16" t="s">
        <v>4867</v>
      </c>
      <c r="DRB349" s="16" t="s">
        <v>4867</v>
      </c>
      <c r="DRC349" s="16" t="s">
        <v>4867</v>
      </c>
      <c r="DRD349" s="16" t="s">
        <v>4867</v>
      </c>
      <c r="DRE349" s="16" t="s">
        <v>4867</v>
      </c>
      <c r="DRF349" s="16" t="s">
        <v>4867</v>
      </c>
      <c r="DRG349" s="16" t="s">
        <v>4867</v>
      </c>
      <c r="DRH349" s="16" t="s">
        <v>4867</v>
      </c>
      <c r="DRI349" s="16" t="s">
        <v>4867</v>
      </c>
      <c r="DRJ349" s="16" t="s">
        <v>4867</v>
      </c>
      <c r="DRK349" s="16" t="s">
        <v>4867</v>
      </c>
      <c r="DRL349" s="16" t="s">
        <v>4867</v>
      </c>
      <c r="DRM349" s="16" t="s">
        <v>4867</v>
      </c>
      <c r="DRN349" s="16" t="s">
        <v>4867</v>
      </c>
      <c r="DRO349" s="16" t="s">
        <v>4867</v>
      </c>
      <c r="DRP349" s="16" t="s">
        <v>4867</v>
      </c>
      <c r="DRQ349" s="16" t="s">
        <v>4867</v>
      </c>
      <c r="DRR349" s="16" t="s">
        <v>4867</v>
      </c>
      <c r="DRS349" s="16" t="s">
        <v>4867</v>
      </c>
      <c r="DRT349" s="16" t="s">
        <v>4867</v>
      </c>
      <c r="DRU349" s="16" t="s">
        <v>4867</v>
      </c>
      <c r="DRV349" s="16" t="s">
        <v>4867</v>
      </c>
      <c r="DRW349" s="16" t="s">
        <v>4867</v>
      </c>
      <c r="DRX349" s="16" t="s">
        <v>4867</v>
      </c>
      <c r="DRY349" s="16" t="s">
        <v>4867</v>
      </c>
      <c r="DRZ349" s="16" t="s">
        <v>4867</v>
      </c>
      <c r="DSA349" s="16" t="s">
        <v>4867</v>
      </c>
      <c r="DSB349" s="16" t="s">
        <v>4867</v>
      </c>
      <c r="DSC349" s="16" t="s">
        <v>4867</v>
      </c>
      <c r="DSD349" s="16" t="s">
        <v>4867</v>
      </c>
      <c r="DSE349" s="16" t="s">
        <v>4867</v>
      </c>
      <c r="DSF349" s="16" t="s">
        <v>4867</v>
      </c>
      <c r="DSG349" s="16" t="s">
        <v>4867</v>
      </c>
      <c r="DSH349" s="16" t="s">
        <v>4867</v>
      </c>
      <c r="DSI349" s="16" t="s">
        <v>4867</v>
      </c>
      <c r="DSJ349" s="16" t="s">
        <v>4867</v>
      </c>
      <c r="DSK349" s="16" t="s">
        <v>4867</v>
      </c>
      <c r="DSL349" s="16" t="s">
        <v>4867</v>
      </c>
      <c r="DSM349" s="16" t="s">
        <v>4867</v>
      </c>
      <c r="DSN349" s="16" t="s">
        <v>4867</v>
      </c>
      <c r="DSO349" s="16" t="s">
        <v>4867</v>
      </c>
      <c r="DSP349" s="16" t="s">
        <v>4867</v>
      </c>
      <c r="DSQ349" s="16" t="s">
        <v>4867</v>
      </c>
      <c r="DSR349" s="16" t="s">
        <v>4867</v>
      </c>
      <c r="DSS349" s="16" t="s">
        <v>4867</v>
      </c>
      <c r="DST349" s="16" t="s">
        <v>4867</v>
      </c>
      <c r="DSU349" s="16" t="s">
        <v>4867</v>
      </c>
      <c r="DSV349" s="16" t="s">
        <v>4867</v>
      </c>
      <c r="DSW349" s="16" t="s">
        <v>4867</v>
      </c>
      <c r="DSX349" s="16" t="s">
        <v>4867</v>
      </c>
      <c r="DSY349" s="16" t="s">
        <v>4867</v>
      </c>
      <c r="DSZ349" s="16" t="s">
        <v>4867</v>
      </c>
      <c r="DTA349" s="16" t="s">
        <v>4867</v>
      </c>
      <c r="DTB349" s="16" t="s">
        <v>4867</v>
      </c>
      <c r="DTC349" s="16" t="s">
        <v>4867</v>
      </c>
      <c r="DTD349" s="16" t="s">
        <v>4867</v>
      </c>
      <c r="DTE349" s="16" t="s">
        <v>4867</v>
      </c>
      <c r="DTF349" s="16" t="s">
        <v>4867</v>
      </c>
      <c r="DTG349" s="16" t="s">
        <v>4867</v>
      </c>
      <c r="DTH349" s="16" t="s">
        <v>4867</v>
      </c>
      <c r="DTI349" s="16" t="s">
        <v>4867</v>
      </c>
      <c r="DTJ349" s="16" t="s">
        <v>4867</v>
      </c>
      <c r="DTK349" s="16" t="s">
        <v>4867</v>
      </c>
      <c r="DTL349" s="16" t="s">
        <v>4867</v>
      </c>
      <c r="DTM349" s="16" t="s">
        <v>4867</v>
      </c>
      <c r="DTN349" s="16" t="s">
        <v>4867</v>
      </c>
      <c r="DTO349" s="16" t="s">
        <v>4867</v>
      </c>
      <c r="DTP349" s="16" t="s">
        <v>4867</v>
      </c>
      <c r="DTQ349" s="16" t="s">
        <v>4867</v>
      </c>
      <c r="DTR349" s="16" t="s">
        <v>4867</v>
      </c>
      <c r="DTS349" s="16" t="s">
        <v>4867</v>
      </c>
      <c r="DTT349" s="16" t="s">
        <v>4867</v>
      </c>
      <c r="DTU349" s="16" t="s">
        <v>4867</v>
      </c>
      <c r="DTV349" s="16" t="s">
        <v>4867</v>
      </c>
      <c r="DTW349" s="16" t="s">
        <v>4867</v>
      </c>
      <c r="DTX349" s="16" t="s">
        <v>4867</v>
      </c>
      <c r="DTY349" s="16" t="s">
        <v>4867</v>
      </c>
      <c r="DTZ349" s="16" t="s">
        <v>4867</v>
      </c>
      <c r="DUA349" s="16" t="s">
        <v>4867</v>
      </c>
      <c r="DUB349" s="16" t="s">
        <v>4867</v>
      </c>
      <c r="DUC349" s="16" t="s">
        <v>4867</v>
      </c>
      <c r="DUD349" s="16" t="s">
        <v>4867</v>
      </c>
      <c r="DUE349" s="16" t="s">
        <v>4867</v>
      </c>
      <c r="DUF349" s="16" t="s">
        <v>4867</v>
      </c>
      <c r="DUG349" s="16" t="s">
        <v>4867</v>
      </c>
      <c r="DUH349" s="16" t="s">
        <v>4867</v>
      </c>
      <c r="DUI349" s="16" t="s">
        <v>4867</v>
      </c>
      <c r="DUJ349" s="16" t="s">
        <v>4867</v>
      </c>
      <c r="DUK349" s="16" t="s">
        <v>4867</v>
      </c>
      <c r="DUL349" s="16" t="s">
        <v>4867</v>
      </c>
      <c r="DUM349" s="16" t="s">
        <v>4867</v>
      </c>
      <c r="DUN349" s="16" t="s">
        <v>4867</v>
      </c>
      <c r="DUO349" s="16" t="s">
        <v>4867</v>
      </c>
      <c r="DUP349" s="16" t="s">
        <v>4867</v>
      </c>
      <c r="DUQ349" s="16" t="s">
        <v>4867</v>
      </c>
      <c r="DUR349" s="16" t="s">
        <v>4867</v>
      </c>
      <c r="DUS349" s="16" t="s">
        <v>4867</v>
      </c>
      <c r="DUT349" s="16" t="s">
        <v>4867</v>
      </c>
      <c r="DUU349" s="16" t="s">
        <v>4867</v>
      </c>
      <c r="DUV349" s="16" t="s">
        <v>4867</v>
      </c>
      <c r="DUW349" s="16" t="s">
        <v>4867</v>
      </c>
      <c r="DUX349" s="16" t="s">
        <v>4867</v>
      </c>
      <c r="DUY349" s="16" t="s">
        <v>4867</v>
      </c>
      <c r="DUZ349" s="16" t="s">
        <v>4867</v>
      </c>
      <c r="DVA349" s="16" t="s">
        <v>4867</v>
      </c>
      <c r="DVB349" s="16" t="s">
        <v>4867</v>
      </c>
      <c r="DVC349" s="16" t="s">
        <v>4867</v>
      </c>
      <c r="DVD349" s="16" t="s">
        <v>4867</v>
      </c>
      <c r="DVE349" s="16" t="s">
        <v>4867</v>
      </c>
      <c r="DVF349" s="16" t="s">
        <v>4867</v>
      </c>
      <c r="DVG349" s="16" t="s">
        <v>4867</v>
      </c>
      <c r="DVH349" s="16" t="s">
        <v>4867</v>
      </c>
      <c r="DVI349" s="16" t="s">
        <v>4867</v>
      </c>
      <c r="DVJ349" s="16" t="s">
        <v>4867</v>
      </c>
      <c r="DVK349" s="16" t="s">
        <v>4867</v>
      </c>
      <c r="DVL349" s="16" t="s">
        <v>4867</v>
      </c>
      <c r="DVM349" s="16" t="s">
        <v>4867</v>
      </c>
      <c r="DVN349" s="16" t="s">
        <v>4867</v>
      </c>
      <c r="DVO349" s="16" t="s">
        <v>4867</v>
      </c>
      <c r="DVP349" s="16" t="s">
        <v>4867</v>
      </c>
      <c r="DVQ349" s="16" t="s">
        <v>4867</v>
      </c>
      <c r="DVR349" s="16" t="s">
        <v>4867</v>
      </c>
      <c r="DVS349" s="16" t="s">
        <v>4867</v>
      </c>
      <c r="DVT349" s="16" t="s">
        <v>4867</v>
      </c>
      <c r="DVU349" s="16" t="s">
        <v>4867</v>
      </c>
      <c r="DVV349" s="16" t="s">
        <v>4867</v>
      </c>
      <c r="DVW349" s="16" t="s">
        <v>4867</v>
      </c>
      <c r="DVX349" s="16" t="s">
        <v>4867</v>
      </c>
      <c r="DVY349" s="16" t="s">
        <v>4867</v>
      </c>
      <c r="DVZ349" s="16" t="s">
        <v>4867</v>
      </c>
      <c r="DWA349" s="16" t="s">
        <v>4867</v>
      </c>
      <c r="DWB349" s="16" t="s">
        <v>4867</v>
      </c>
      <c r="DWC349" s="16" t="s">
        <v>4867</v>
      </c>
      <c r="DWD349" s="16" t="s">
        <v>4867</v>
      </c>
      <c r="DWE349" s="16" t="s">
        <v>4867</v>
      </c>
      <c r="DWF349" s="16" t="s">
        <v>4867</v>
      </c>
      <c r="DWG349" s="16" t="s">
        <v>4867</v>
      </c>
      <c r="DWH349" s="16" t="s">
        <v>4867</v>
      </c>
      <c r="DWI349" s="16" t="s">
        <v>4867</v>
      </c>
      <c r="DWJ349" s="16" t="s">
        <v>4867</v>
      </c>
      <c r="DWK349" s="16" t="s">
        <v>4867</v>
      </c>
      <c r="DWL349" s="16" t="s">
        <v>4867</v>
      </c>
      <c r="DWM349" s="16" t="s">
        <v>4867</v>
      </c>
      <c r="DWN349" s="16" t="s">
        <v>4867</v>
      </c>
      <c r="DWO349" s="16" t="s">
        <v>4867</v>
      </c>
      <c r="DWP349" s="16" t="s">
        <v>4867</v>
      </c>
      <c r="DWQ349" s="16" t="s">
        <v>4867</v>
      </c>
      <c r="DWR349" s="16" t="s">
        <v>4867</v>
      </c>
      <c r="DWS349" s="16" t="s">
        <v>4867</v>
      </c>
      <c r="DWT349" s="16" t="s">
        <v>4867</v>
      </c>
      <c r="DWU349" s="16" t="s">
        <v>4867</v>
      </c>
      <c r="DWV349" s="16" t="s">
        <v>4867</v>
      </c>
      <c r="DWW349" s="16" t="s">
        <v>4867</v>
      </c>
      <c r="DWX349" s="16" t="s">
        <v>4867</v>
      </c>
      <c r="DWY349" s="16" t="s">
        <v>4867</v>
      </c>
      <c r="DWZ349" s="16" t="s">
        <v>4867</v>
      </c>
      <c r="DXA349" s="16" t="s">
        <v>4867</v>
      </c>
      <c r="DXB349" s="16" t="s">
        <v>4867</v>
      </c>
      <c r="DXC349" s="16" t="s">
        <v>4867</v>
      </c>
      <c r="DXD349" s="16" t="s">
        <v>4867</v>
      </c>
      <c r="DXE349" s="16" t="s">
        <v>4867</v>
      </c>
      <c r="DXF349" s="16" t="s">
        <v>4867</v>
      </c>
      <c r="DXG349" s="16" t="s">
        <v>4867</v>
      </c>
      <c r="DXH349" s="16" t="s">
        <v>4867</v>
      </c>
      <c r="DXI349" s="16" t="s">
        <v>4867</v>
      </c>
      <c r="DXJ349" s="16" t="s">
        <v>4867</v>
      </c>
      <c r="DXK349" s="16" t="s">
        <v>4867</v>
      </c>
      <c r="DXL349" s="16" t="s">
        <v>4867</v>
      </c>
      <c r="DXM349" s="16" t="s">
        <v>4867</v>
      </c>
      <c r="DXN349" s="16" t="s">
        <v>4867</v>
      </c>
      <c r="DXO349" s="16" t="s">
        <v>4867</v>
      </c>
      <c r="DXP349" s="16" t="s">
        <v>4867</v>
      </c>
      <c r="DXQ349" s="16" t="s">
        <v>4867</v>
      </c>
      <c r="DXR349" s="16" t="s">
        <v>4867</v>
      </c>
      <c r="DXS349" s="16" t="s">
        <v>4867</v>
      </c>
      <c r="DXT349" s="16" t="s">
        <v>4867</v>
      </c>
      <c r="DXU349" s="16" t="s">
        <v>4867</v>
      </c>
      <c r="DXV349" s="16" t="s">
        <v>4867</v>
      </c>
      <c r="DXW349" s="16" t="s">
        <v>4867</v>
      </c>
      <c r="DXX349" s="16" t="s">
        <v>4867</v>
      </c>
      <c r="DXY349" s="16" t="s">
        <v>4867</v>
      </c>
      <c r="DXZ349" s="16" t="s">
        <v>4867</v>
      </c>
      <c r="DYA349" s="16" t="s">
        <v>4867</v>
      </c>
      <c r="DYB349" s="16" t="s">
        <v>4867</v>
      </c>
      <c r="DYC349" s="16" t="s">
        <v>4867</v>
      </c>
      <c r="DYD349" s="16" t="s">
        <v>4867</v>
      </c>
      <c r="DYE349" s="16" t="s">
        <v>4867</v>
      </c>
      <c r="DYF349" s="16" t="s">
        <v>4867</v>
      </c>
      <c r="DYG349" s="16" t="s">
        <v>4867</v>
      </c>
      <c r="DYH349" s="16" t="s">
        <v>4867</v>
      </c>
      <c r="DYI349" s="16" t="s">
        <v>4867</v>
      </c>
      <c r="DYJ349" s="16" t="s">
        <v>4867</v>
      </c>
      <c r="DYK349" s="16" t="s">
        <v>4867</v>
      </c>
      <c r="DYL349" s="16" t="s">
        <v>4867</v>
      </c>
      <c r="DYM349" s="16" t="s">
        <v>4867</v>
      </c>
      <c r="DYN349" s="16" t="s">
        <v>4867</v>
      </c>
      <c r="DYO349" s="16" t="s">
        <v>4867</v>
      </c>
      <c r="DYP349" s="16" t="s">
        <v>4867</v>
      </c>
      <c r="DYQ349" s="16" t="s">
        <v>4867</v>
      </c>
      <c r="DYR349" s="16" t="s">
        <v>4867</v>
      </c>
      <c r="DYS349" s="16" t="s">
        <v>4867</v>
      </c>
      <c r="DYT349" s="16" t="s">
        <v>4867</v>
      </c>
      <c r="DYU349" s="16" t="s">
        <v>4867</v>
      </c>
      <c r="DYV349" s="16" t="s">
        <v>4867</v>
      </c>
      <c r="DYW349" s="16" t="s">
        <v>4867</v>
      </c>
      <c r="DYX349" s="16" t="s">
        <v>4867</v>
      </c>
      <c r="DYY349" s="16" t="s">
        <v>4867</v>
      </c>
      <c r="DYZ349" s="16" t="s">
        <v>4867</v>
      </c>
      <c r="DZA349" s="16" t="s">
        <v>4867</v>
      </c>
      <c r="DZB349" s="16" t="s">
        <v>4867</v>
      </c>
      <c r="DZC349" s="16" t="s">
        <v>4867</v>
      </c>
      <c r="DZD349" s="16" t="s">
        <v>4867</v>
      </c>
      <c r="DZE349" s="16" t="s">
        <v>4867</v>
      </c>
      <c r="DZF349" s="16" t="s">
        <v>4867</v>
      </c>
      <c r="DZG349" s="16" t="s">
        <v>4867</v>
      </c>
      <c r="DZH349" s="16" t="s">
        <v>4867</v>
      </c>
      <c r="DZI349" s="16" t="s">
        <v>4867</v>
      </c>
      <c r="DZJ349" s="16" t="s">
        <v>4867</v>
      </c>
      <c r="DZK349" s="16" t="s">
        <v>4867</v>
      </c>
      <c r="DZL349" s="16" t="s">
        <v>4867</v>
      </c>
      <c r="DZM349" s="16" t="s">
        <v>4867</v>
      </c>
      <c r="DZN349" s="16" t="s">
        <v>4867</v>
      </c>
      <c r="DZO349" s="16" t="s">
        <v>4867</v>
      </c>
      <c r="DZP349" s="16" t="s">
        <v>4867</v>
      </c>
      <c r="DZQ349" s="16" t="s">
        <v>4867</v>
      </c>
      <c r="DZR349" s="16" t="s">
        <v>4867</v>
      </c>
      <c r="DZS349" s="16" t="s">
        <v>4867</v>
      </c>
      <c r="DZT349" s="16" t="s">
        <v>4867</v>
      </c>
      <c r="DZU349" s="16" t="s">
        <v>4867</v>
      </c>
      <c r="DZV349" s="16" t="s">
        <v>4867</v>
      </c>
      <c r="DZW349" s="16" t="s">
        <v>4867</v>
      </c>
      <c r="DZX349" s="16" t="s">
        <v>4867</v>
      </c>
      <c r="DZY349" s="16" t="s">
        <v>4867</v>
      </c>
      <c r="DZZ349" s="16" t="s">
        <v>4867</v>
      </c>
      <c r="EAA349" s="16" t="s">
        <v>4867</v>
      </c>
      <c r="EAB349" s="16" t="s">
        <v>4867</v>
      </c>
      <c r="EAC349" s="16" t="s">
        <v>4867</v>
      </c>
      <c r="EAD349" s="16" t="s">
        <v>4867</v>
      </c>
      <c r="EAE349" s="16" t="s">
        <v>4867</v>
      </c>
      <c r="EAF349" s="16" t="s">
        <v>4867</v>
      </c>
      <c r="EAG349" s="16" t="s">
        <v>4867</v>
      </c>
      <c r="EAH349" s="16" t="s">
        <v>4867</v>
      </c>
      <c r="EAI349" s="16" t="s">
        <v>4867</v>
      </c>
      <c r="EAJ349" s="16" t="s">
        <v>4867</v>
      </c>
      <c r="EAK349" s="16" t="s">
        <v>4867</v>
      </c>
      <c r="EAL349" s="16" t="s">
        <v>4867</v>
      </c>
      <c r="EAM349" s="16" t="s">
        <v>4867</v>
      </c>
      <c r="EAN349" s="16" t="s">
        <v>4867</v>
      </c>
      <c r="EAO349" s="16" t="s">
        <v>4867</v>
      </c>
      <c r="EAP349" s="16" t="s">
        <v>4867</v>
      </c>
      <c r="EAQ349" s="16" t="s">
        <v>4867</v>
      </c>
      <c r="EAR349" s="16" t="s">
        <v>4867</v>
      </c>
      <c r="EAS349" s="16" t="s">
        <v>4867</v>
      </c>
      <c r="EAT349" s="16" t="s">
        <v>4867</v>
      </c>
      <c r="EAU349" s="16" t="s">
        <v>4867</v>
      </c>
      <c r="EAV349" s="16" t="s">
        <v>4867</v>
      </c>
      <c r="EAW349" s="16" t="s">
        <v>4867</v>
      </c>
      <c r="EAX349" s="16" t="s">
        <v>4867</v>
      </c>
      <c r="EAY349" s="16" t="s">
        <v>4867</v>
      </c>
      <c r="EAZ349" s="16" t="s">
        <v>4867</v>
      </c>
      <c r="EBA349" s="16" t="s">
        <v>4867</v>
      </c>
      <c r="EBB349" s="16" t="s">
        <v>4867</v>
      </c>
      <c r="EBC349" s="16" t="s">
        <v>4867</v>
      </c>
      <c r="EBD349" s="16" t="s">
        <v>4867</v>
      </c>
      <c r="EBE349" s="16" t="s">
        <v>4867</v>
      </c>
      <c r="EBF349" s="16" t="s">
        <v>4867</v>
      </c>
      <c r="EBG349" s="16" t="s">
        <v>4867</v>
      </c>
      <c r="EBH349" s="16" t="s">
        <v>4867</v>
      </c>
      <c r="EBI349" s="16" t="s">
        <v>4867</v>
      </c>
      <c r="EBJ349" s="16" t="s">
        <v>4867</v>
      </c>
      <c r="EBK349" s="16" t="s">
        <v>4867</v>
      </c>
      <c r="EBL349" s="16" t="s">
        <v>4867</v>
      </c>
      <c r="EBM349" s="16" t="s">
        <v>4867</v>
      </c>
      <c r="EBN349" s="16" t="s">
        <v>4867</v>
      </c>
      <c r="EBO349" s="16" t="s">
        <v>4867</v>
      </c>
      <c r="EBP349" s="16" t="s">
        <v>4867</v>
      </c>
      <c r="EBQ349" s="16" t="s">
        <v>4867</v>
      </c>
      <c r="EBR349" s="16" t="s">
        <v>4867</v>
      </c>
      <c r="EBS349" s="16" t="s">
        <v>4867</v>
      </c>
      <c r="EBT349" s="16" t="s">
        <v>4867</v>
      </c>
      <c r="EBU349" s="16" t="s">
        <v>4867</v>
      </c>
      <c r="EBV349" s="16" t="s">
        <v>4867</v>
      </c>
      <c r="EBW349" s="16" t="s">
        <v>4867</v>
      </c>
      <c r="EBX349" s="16" t="s">
        <v>4867</v>
      </c>
      <c r="EBY349" s="16" t="s">
        <v>4867</v>
      </c>
      <c r="EBZ349" s="16" t="s">
        <v>4867</v>
      </c>
      <c r="ECA349" s="16" t="s">
        <v>4867</v>
      </c>
      <c r="ECB349" s="16" t="s">
        <v>4867</v>
      </c>
      <c r="ECC349" s="16" t="s">
        <v>4867</v>
      </c>
      <c r="ECD349" s="16" t="s">
        <v>4867</v>
      </c>
      <c r="ECE349" s="16" t="s">
        <v>4867</v>
      </c>
      <c r="ECF349" s="16" t="s">
        <v>4867</v>
      </c>
      <c r="ECG349" s="16" t="s">
        <v>4867</v>
      </c>
      <c r="ECH349" s="16" t="s">
        <v>4867</v>
      </c>
      <c r="ECI349" s="16" t="s">
        <v>4867</v>
      </c>
      <c r="ECJ349" s="16" t="s">
        <v>4867</v>
      </c>
      <c r="ECK349" s="16" t="s">
        <v>4867</v>
      </c>
      <c r="ECL349" s="16" t="s">
        <v>4867</v>
      </c>
      <c r="ECM349" s="16" t="s">
        <v>4867</v>
      </c>
      <c r="ECN349" s="16" t="s">
        <v>4867</v>
      </c>
      <c r="ECO349" s="16" t="s">
        <v>4867</v>
      </c>
      <c r="ECP349" s="16" t="s">
        <v>4867</v>
      </c>
      <c r="ECQ349" s="16" t="s">
        <v>4867</v>
      </c>
      <c r="ECR349" s="16" t="s">
        <v>4867</v>
      </c>
      <c r="ECS349" s="16" t="s">
        <v>4867</v>
      </c>
      <c r="ECT349" s="16" t="s">
        <v>4867</v>
      </c>
      <c r="ECU349" s="16" t="s">
        <v>4867</v>
      </c>
      <c r="ECV349" s="16" t="s">
        <v>4867</v>
      </c>
      <c r="ECW349" s="16" t="s">
        <v>4867</v>
      </c>
      <c r="ECX349" s="16" t="s">
        <v>4867</v>
      </c>
      <c r="ECY349" s="16" t="s">
        <v>4867</v>
      </c>
      <c r="ECZ349" s="16" t="s">
        <v>4867</v>
      </c>
      <c r="EDA349" s="16" t="s">
        <v>4867</v>
      </c>
      <c r="EDB349" s="16" t="s">
        <v>4867</v>
      </c>
      <c r="EDC349" s="16" t="s">
        <v>4867</v>
      </c>
      <c r="EDD349" s="16" t="s">
        <v>4867</v>
      </c>
      <c r="EDE349" s="16" t="s">
        <v>4867</v>
      </c>
      <c r="EDF349" s="16" t="s">
        <v>4867</v>
      </c>
      <c r="EDG349" s="16" t="s">
        <v>4867</v>
      </c>
      <c r="EDH349" s="16" t="s">
        <v>4867</v>
      </c>
      <c r="EDI349" s="16" t="s">
        <v>4867</v>
      </c>
      <c r="EDJ349" s="16" t="s">
        <v>4867</v>
      </c>
      <c r="EDK349" s="16" t="s">
        <v>4867</v>
      </c>
      <c r="EDL349" s="16" t="s">
        <v>4867</v>
      </c>
      <c r="EDM349" s="16" t="s">
        <v>4867</v>
      </c>
      <c r="EDN349" s="16" t="s">
        <v>4867</v>
      </c>
      <c r="EDO349" s="16" t="s">
        <v>4867</v>
      </c>
      <c r="EDP349" s="16" t="s">
        <v>4867</v>
      </c>
      <c r="EDQ349" s="16" t="s">
        <v>4867</v>
      </c>
      <c r="EDR349" s="16" t="s">
        <v>4867</v>
      </c>
      <c r="EDS349" s="16" t="s">
        <v>4867</v>
      </c>
      <c r="EDT349" s="16" t="s">
        <v>4867</v>
      </c>
      <c r="EDU349" s="16" t="s">
        <v>4867</v>
      </c>
      <c r="EDV349" s="16" t="s">
        <v>4867</v>
      </c>
      <c r="EDW349" s="16" t="s">
        <v>4867</v>
      </c>
      <c r="EDX349" s="16" t="s">
        <v>4867</v>
      </c>
      <c r="EDY349" s="16" t="s">
        <v>4867</v>
      </c>
      <c r="EDZ349" s="16" t="s">
        <v>4867</v>
      </c>
      <c r="EEA349" s="16" t="s">
        <v>4867</v>
      </c>
      <c r="EEB349" s="16" t="s">
        <v>4867</v>
      </c>
      <c r="EEC349" s="16" t="s">
        <v>4867</v>
      </c>
      <c r="EED349" s="16" t="s">
        <v>4867</v>
      </c>
      <c r="EEE349" s="16" t="s">
        <v>4867</v>
      </c>
      <c r="EEF349" s="16" t="s">
        <v>4867</v>
      </c>
      <c r="EEG349" s="16" t="s">
        <v>4867</v>
      </c>
      <c r="EEH349" s="16" t="s">
        <v>4867</v>
      </c>
      <c r="EEI349" s="16" t="s">
        <v>4867</v>
      </c>
      <c r="EEJ349" s="16" t="s">
        <v>4867</v>
      </c>
      <c r="EEK349" s="16" t="s">
        <v>4867</v>
      </c>
      <c r="EEL349" s="16" t="s">
        <v>4867</v>
      </c>
      <c r="EEM349" s="16" t="s">
        <v>4867</v>
      </c>
      <c r="EEN349" s="16" t="s">
        <v>4867</v>
      </c>
      <c r="EEO349" s="16" t="s">
        <v>4867</v>
      </c>
      <c r="EEP349" s="16" t="s">
        <v>4867</v>
      </c>
      <c r="EEQ349" s="16" t="s">
        <v>4867</v>
      </c>
      <c r="EER349" s="16" t="s">
        <v>4867</v>
      </c>
      <c r="EES349" s="16" t="s">
        <v>4867</v>
      </c>
      <c r="EET349" s="16" t="s">
        <v>4867</v>
      </c>
      <c r="EEU349" s="16" t="s">
        <v>4867</v>
      </c>
      <c r="EEV349" s="16" t="s">
        <v>4867</v>
      </c>
      <c r="EEW349" s="16" t="s">
        <v>4867</v>
      </c>
      <c r="EEX349" s="16" t="s">
        <v>4867</v>
      </c>
      <c r="EEY349" s="16" t="s">
        <v>4867</v>
      </c>
      <c r="EEZ349" s="16" t="s">
        <v>4867</v>
      </c>
      <c r="EFA349" s="16" t="s">
        <v>4867</v>
      </c>
      <c r="EFB349" s="16" t="s">
        <v>4867</v>
      </c>
      <c r="EFC349" s="16" t="s">
        <v>4867</v>
      </c>
      <c r="EFD349" s="16" t="s">
        <v>4867</v>
      </c>
      <c r="EFE349" s="16" t="s">
        <v>4867</v>
      </c>
      <c r="EFF349" s="16" t="s">
        <v>4867</v>
      </c>
      <c r="EFG349" s="16" t="s">
        <v>4867</v>
      </c>
      <c r="EFH349" s="16" t="s">
        <v>4867</v>
      </c>
      <c r="EFI349" s="16" t="s">
        <v>4867</v>
      </c>
      <c r="EFJ349" s="16" t="s">
        <v>4867</v>
      </c>
      <c r="EFK349" s="16" t="s">
        <v>4867</v>
      </c>
      <c r="EFL349" s="16" t="s">
        <v>4867</v>
      </c>
      <c r="EFM349" s="16" t="s">
        <v>4867</v>
      </c>
      <c r="EFN349" s="16" t="s">
        <v>4867</v>
      </c>
      <c r="EFO349" s="16" t="s">
        <v>4867</v>
      </c>
      <c r="EFP349" s="16" t="s">
        <v>4867</v>
      </c>
      <c r="EFQ349" s="16" t="s">
        <v>4867</v>
      </c>
      <c r="EFR349" s="16" t="s">
        <v>4867</v>
      </c>
      <c r="EFS349" s="16" t="s">
        <v>4867</v>
      </c>
      <c r="EFT349" s="16" t="s">
        <v>4867</v>
      </c>
      <c r="EFU349" s="16" t="s">
        <v>4867</v>
      </c>
      <c r="EFV349" s="16" t="s">
        <v>4867</v>
      </c>
      <c r="EFW349" s="16" t="s">
        <v>4867</v>
      </c>
      <c r="EFX349" s="16" t="s">
        <v>4867</v>
      </c>
      <c r="EFY349" s="16" t="s">
        <v>4867</v>
      </c>
      <c r="EFZ349" s="16" t="s">
        <v>4867</v>
      </c>
      <c r="EGA349" s="16" t="s">
        <v>4867</v>
      </c>
      <c r="EGB349" s="16" t="s">
        <v>4867</v>
      </c>
      <c r="EGC349" s="16" t="s">
        <v>4867</v>
      </c>
      <c r="EGD349" s="16" t="s">
        <v>4867</v>
      </c>
      <c r="EGE349" s="16" t="s">
        <v>4867</v>
      </c>
      <c r="EGF349" s="16" t="s">
        <v>4867</v>
      </c>
      <c r="EGG349" s="16" t="s">
        <v>4867</v>
      </c>
      <c r="EGH349" s="16" t="s">
        <v>4867</v>
      </c>
      <c r="EGI349" s="16" t="s">
        <v>4867</v>
      </c>
      <c r="EGJ349" s="16" t="s">
        <v>4867</v>
      </c>
      <c r="EGK349" s="16" t="s">
        <v>4867</v>
      </c>
      <c r="EGL349" s="16" t="s">
        <v>4867</v>
      </c>
      <c r="EGM349" s="16" t="s">
        <v>4867</v>
      </c>
      <c r="EGN349" s="16" t="s">
        <v>4867</v>
      </c>
      <c r="EGO349" s="16" t="s">
        <v>4867</v>
      </c>
      <c r="EGP349" s="16" t="s">
        <v>4867</v>
      </c>
      <c r="EGQ349" s="16" t="s">
        <v>4867</v>
      </c>
      <c r="EGR349" s="16" t="s">
        <v>4867</v>
      </c>
      <c r="EGS349" s="16" t="s">
        <v>4867</v>
      </c>
      <c r="EGT349" s="16" t="s">
        <v>4867</v>
      </c>
      <c r="EGU349" s="16" t="s">
        <v>4867</v>
      </c>
      <c r="EGV349" s="16" t="s">
        <v>4867</v>
      </c>
      <c r="EGW349" s="16" t="s">
        <v>4867</v>
      </c>
      <c r="EGX349" s="16" t="s">
        <v>4867</v>
      </c>
      <c r="EGY349" s="16" t="s">
        <v>4867</v>
      </c>
      <c r="EGZ349" s="16" t="s">
        <v>4867</v>
      </c>
      <c r="EHA349" s="16" t="s">
        <v>4867</v>
      </c>
      <c r="EHB349" s="16" t="s">
        <v>4867</v>
      </c>
      <c r="EHC349" s="16" t="s">
        <v>4867</v>
      </c>
      <c r="EHD349" s="16" t="s">
        <v>4867</v>
      </c>
      <c r="EHE349" s="16" t="s">
        <v>4867</v>
      </c>
      <c r="EHF349" s="16" t="s">
        <v>4867</v>
      </c>
      <c r="EHG349" s="16" t="s">
        <v>4867</v>
      </c>
      <c r="EHH349" s="16" t="s">
        <v>4867</v>
      </c>
      <c r="EHI349" s="16" t="s">
        <v>4867</v>
      </c>
      <c r="EHJ349" s="16" t="s">
        <v>4867</v>
      </c>
      <c r="EHK349" s="16" t="s">
        <v>4867</v>
      </c>
      <c r="EHL349" s="16" t="s">
        <v>4867</v>
      </c>
      <c r="EHM349" s="16" t="s">
        <v>4867</v>
      </c>
      <c r="EHN349" s="16" t="s">
        <v>4867</v>
      </c>
      <c r="EHO349" s="16" t="s">
        <v>4867</v>
      </c>
      <c r="EHP349" s="16" t="s">
        <v>4867</v>
      </c>
      <c r="EHQ349" s="16" t="s">
        <v>4867</v>
      </c>
      <c r="EHR349" s="16" t="s">
        <v>4867</v>
      </c>
      <c r="EHS349" s="16" t="s">
        <v>4867</v>
      </c>
      <c r="EHT349" s="16" t="s">
        <v>4867</v>
      </c>
      <c r="EHU349" s="16" t="s">
        <v>4867</v>
      </c>
      <c r="EHV349" s="16" t="s">
        <v>4867</v>
      </c>
      <c r="EHW349" s="16" t="s">
        <v>4867</v>
      </c>
      <c r="EHX349" s="16" t="s">
        <v>4867</v>
      </c>
      <c r="EHY349" s="16" t="s">
        <v>4867</v>
      </c>
      <c r="EHZ349" s="16" t="s">
        <v>4867</v>
      </c>
      <c r="EIA349" s="16" t="s">
        <v>4867</v>
      </c>
      <c r="EIB349" s="16" t="s">
        <v>4867</v>
      </c>
      <c r="EIC349" s="16" t="s">
        <v>4867</v>
      </c>
      <c r="EID349" s="16" t="s">
        <v>4867</v>
      </c>
      <c r="EIE349" s="16" t="s">
        <v>4867</v>
      </c>
      <c r="EIF349" s="16" t="s">
        <v>4867</v>
      </c>
      <c r="EIG349" s="16" t="s">
        <v>4867</v>
      </c>
      <c r="EIH349" s="16" t="s">
        <v>4867</v>
      </c>
      <c r="EII349" s="16" t="s">
        <v>4867</v>
      </c>
      <c r="EIJ349" s="16" t="s">
        <v>4867</v>
      </c>
      <c r="EIK349" s="16" t="s">
        <v>4867</v>
      </c>
      <c r="EIL349" s="16" t="s">
        <v>4867</v>
      </c>
      <c r="EIM349" s="16" t="s">
        <v>4867</v>
      </c>
      <c r="EIN349" s="16" t="s">
        <v>4867</v>
      </c>
      <c r="EIO349" s="16" t="s">
        <v>4867</v>
      </c>
      <c r="EIP349" s="16" t="s">
        <v>4867</v>
      </c>
      <c r="EIQ349" s="16" t="s">
        <v>4867</v>
      </c>
      <c r="EIR349" s="16" t="s">
        <v>4867</v>
      </c>
      <c r="EIS349" s="16" t="s">
        <v>4867</v>
      </c>
      <c r="EIT349" s="16" t="s">
        <v>4867</v>
      </c>
      <c r="EIU349" s="16" t="s">
        <v>4867</v>
      </c>
      <c r="EIV349" s="16" t="s">
        <v>4867</v>
      </c>
      <c r="EIW349" s="16" t="s">
        <v>4867</v>
      </c>
      <c r="EIX349" s="16" t="s">
        <v>4867</v>
      </c>
      <c r="EIY349" s="16" t="s">
        <v>4867</v>
      </c>
      <c r="EIZ349" s="16" t="s">
        <v>4867</v>
      </c>
      <c r="EJA349" s="16" t="s">
        <v>4867</v>
      </c>
      <c r="EJB349" s="16" t="s">
        <v>4867</v>
      </c>
      <c r="EJC349" s="16" t="s">
        <v>4867</v>
      </c>
      <c r="EJD349" s="16" t="s">
        <v>4867</v>
      </c>
      <c r="EJE349" s="16" t="s">
        <v>4867</v>
      </c>
      <c r="EJF349" s="16" t="s">
        <v>4867</v>
      </c>
      <c r="EJG349" s="16" t="s">
        <v>4867</v>
      </c>
      <c r="EJH349" s="16" t="s">
        <v>4867</v>
      </c>
      <c r="EJI349" s="16" t="s">
        <v>4867</v>
      </c>
      <c r="EJJ349" s="16" t="s">
        <v>4867</v>
      </c>
      <c r="EJK349" s="16" t="s">
        <v>4867</v>
      </c>
      <c r="EJL349" s="16" t="s">
        <v>4867</v>
      </c>
      <c r="EJM349" s="16" t="s">
        <v>4867</v>
      </c>
      <c r="EJN349" s="16" t="s">
        <v>4867</v>
      </c>
      <c r="EJO349" s="16" t="s">
        <v>4867</v>
      </c>
      <c r="EJP349" s="16" t="s">
        <v>4867</v>
      </c>
      <c r="EJQ349" s="16" t="s">
        <v>4867</v>
      </c>
      <c r="EJR349" s="16" t="s">
        <v>4867</v>
      </c>
      <c r="EJS349" s="16" t="s">
        <v>4867</v>
      </c>
      <c r="EJT349" s="16" t="s">
        <v>4867</v>
      </c>
      <c r="EJU349" s="16" t="s">
        <v>4867</v>
      </c>
      <c r="EJV349" s="16" t="s">
        <v>4867</v>
      </c>
      <c r="EJW349" s="16" t="s">
        <v>4867</v>
      </c>
      <c r="EJX349" s="16" t="s">
        <v>4867</v>
      </c>
      <c r="EJY349" s="16" t="s">
        <v>4867</v>
      </c>
      <c r="EJZ349" s="16" t="s">
        <v>4867</v>
      </c>
      <c r="EKA349" s="16" t="s">
        <v>4867</v>
      </c>
      <c r="EKB349" s="16" t="s">
        <v>4867</v>
      </c>
      <c r="EKC349" s="16" t="s">
        <v>4867</v>
      </c>
      <c r="EKD349" s="16" t="s">
        <v>4867</v>
      </c>
      <c r="EKE349" s="16" t="s">
        <v>4867</v>
      </c>
      <c r="EKF349" s="16" t="s">
        <v>4867</v>
      </c>
      <c r="EKG349" s="16" t="s">
        <v>4867</v>
      </c>
      <c r="EKH349" s="16" t="s">
        <v>4867</v>
      </c>
      <c r="EKI349" s="16" t="s">
        <v>4867</v>
      </c>
      <c r="EKJ349" s="16" t="s">
        <v>4867</v>
      </c>
      <c r="EKK349" s="16" t="s">
        <v>4867</v>
      </c>
      <c r="EKL349" s="16" t="s">
        <v>4867</v>
      </c>
      <c r="EKM349" s="16" t="s">
        <v>4867</v>
      </c>
      <c r="EKN349" s="16" t="s">
        <v>4867</v>
      </c>
      <c r="EKO349" s="16" t="s">
        <v>4867</v>
      </c>
      <c r="EKP349" s="16" t="s">
        <v>4867</v>
      </c>
      <c r="EKQ349" s="16" t="s">
        <v>4867</v>
      </c>
      <c r="EKR349" s="16" t="s">
        <v>4867</v>
      </c>
      <c r="EKS349" s="16" t="s">
        <v>4867</v>
      </c>
      <c r="EKT349" s="16" t="s">
        <v>4867</v>
      </c>
      <c r="EKU349" s="16" t="s">
        <v>4867</v>
      </c>
      <c r="EKV349" s="16" t="s">
        <v>4867</v>
      </c>
      <c r="EKW349" s="16" t="s">
        <v>4867</v>
      </c>
      <c r="EKX349" s="16" t="s">
        <v>4867</v>
      </c>
      <c r="EKY349" s="16" t="s">
        <v>4867</v>
      </c>
      <c r="EKZ349" s="16" t="s">
        <v>4867</v>
      </c>
      <c r="ELA349" s="16" t="s">
        <v>4867</v>
      </c>
      <c r="ELB349" s="16" t="s">
        <v>4867</v>
      </c>
      <c r="ELC349" s="16" t="s">
        <v>4867</v>
      </c>
      <c r="ELD349" s="16" t="s">
        <v>4867</v>
      </c>
      <c r="ELE349" s="16" t="s">
        <v>4867</v>
      </c>
      <c r="ELF349" s="16" t="s">
        <v>4867</v>
      </c>
      <c r="ELG349" s="16" t="s">
        <v>4867</v>
      </c>
      <c r="ELH349" s="16" t="s">
        <v>4867</v>
      </c>
      <c r="ELI349" s="16" t="s">
        <v>4867</v>
      </c>
      <c r="ELJ349" s="16" t="s">
        <v>4867</v>
      </c>
      <c r="ELK349" s="16" t="s">
        <v>4867</v>
      </c>
      <c r="ELL349" s="16" t="s">
        <v>4867</v>
      </c>
      <c r="ELM349" s="16" t="s">
        <v>4867</v>
      </c>
      <c r="ELN349" s="16" t="s">
        <v>4867</v>
      </c>
      <c r="ELO349" s="16" t="s">
        <v>4867</v>
      </c>
      <c r="ELP349" s="16" t="s">
        <v>4867</v>
      </c>
      <c r="ELQ349" s="16" t="s">
        <v>4867</v>
      </c>
      <c r="ELR349" s="16" t="s">
        <v>4867</v>
      </c>
      <c r="ELS349" s="16" t="s">
        <v>4867</v>
      </c>
      <c r="ELT349" s="16" t="s">
        <v>4867</v>
      </c>
      <c r="ELU349" s="16" t="s">
        <v>4867</v>
      </c>
      <c r="ELV349" s="16" t="s">
        <v>4867</v>
      </c>
      <c r="ELW349" s="16" t="s">
        <v>4867</v>
      </c>
      <c r="ELX349" s="16" t="s">
        <v>4867</v>
      </c>
      <c r="ELY349" s="16" t="s">
        <v>4867</v>
      </c>
      <c r="ELZ349" s="16" t="s">
        <v>4867</v>
      </c>
      <c r="EMA349" s="16" t="s">
        <v>4867</v>
      </c>
      <c r="EMB349" s="16" t="s">
        <v>4867</v>
      </c>
      <c r="EMC349" s="16" t="s">
        <v>4867</v>
      </c>
      <c r="EMD349" s="16" t="s">
        <v>4867</v>
      </c>
      <c r="EME349" s="16" t="s">
        <v>4867</v>
      </c>
      <c r="EMF349" s="16" t="s">
        <v>4867</v>
      </c>
      <c r="EMG349" s="16" t="s">
        <v>4867</v>
      </c>
      <c r="EMH349" s="16" t="s">
        <v>4867</v>
      </c>
      <c r="EMI349" s="16" t="s">
        <v>4867</v>
      </c>
      <c r="EMJ349" s="16" t="s">
        <v>4867</v>
      </c>
      <c r="EMK349" s="16" t="s">
        <v>4867</v>
      </c>
      <c r="EML349" s="16" t="s">
        <v>4867</v>
      </c>
      <c r="EMM349" s="16" t="s">
        <v>4867</v>
      </c>
      <c r="EMN349" s="16" t="s">
        <v>4867</v>
      </c>
      <c r="EMO349" s="16" t="s">
        <v>4867</v>
      </c>
      <c r="EMP349" s="16" t="s">
        <v>4867</v>
      </c>
      <c r="EMQ349" s="16" t="s">
        <v>4867</v>
      </c>
      <c r="EMR349" s="16" t="s">
        <v>4867</v>
      </c>
      <c r="EMS349" s="16" t="s">
        <v>4867</v>
      </c>
      <c r="EMT349" s="16" t="s">
        <v>4867</v>
      </c>
      <c r="EMU349" s="16" t="s">
        <v>4867</v>
      </c>
      <c r="EMV349" s="16" t="s">
        <v>4867</v>
      </c>
      <c r="EMW349" s="16" t="s">
        <v>4867</v>
      </c>
      <c r="EMX349" s="16" t="s">
        <v>4867</v>
      </c>
      <c r="EMY349" s="16" t="s">
        <v>4867</v>
      </c>
      <c r="EMZ349" s="16" t="s">
        <v>4867</v>
      </c>
      <c r="ENA349" s="16" t="s">
        <v>4867</v>
      </c>
      <c r="ENB349" s="16" t="s">
        <v>4867</v>
      </c>
      <c r="ENC349" s="16" t="s">
        <v>4867</v>
      </c>
      <c r="END349" s="16" t="s">
        <v>4867</v>
      </c>
      <c r="ENE349" s="16" t="s">
        <v>4867</v>
      </c>
      <c r="ENF349" s="16" t="s">
        <v>4867</v>
      </c>
      <c r="ENG349" s="16" t="s">
        <v>4867</v>
      </c>
      <c r="ENH349" s="16" t="s">
        <v>4867</v>
      </c>
      <c r="ENI349" s="16" t="s">
        <v>4867</v>
      </c>
      <c r="ENJ349" s="16" t="s">
        <v>4867</v>
      </c>
      <c r="ENK349" s="16" t="s">
        <v>4867</v>
      </c>
      <c r="ENL349" s="16" t="s">
        <v>4867</v>
      </c>
      <c r="ENM349" s="16" t="s">
        <v>4867</v>
      </c>
      <c r="ENN349" s="16" t="s">
        <v>4867</v>
      </c>
      <c r="ENO349" s="16" t="s">
        <v>4867</v>
      </c>
      <c r="ENP349" s="16" t="s">
        <v>4867</v>
      </c>
      <c r="ENQ349" s="16" t="s">
        <v>4867</v>
      </c>
      <c r="ENR349" s="16" t="s">
        <v>4867</v>
      </c>
      <c r="ENS349" s="16" t="s">
        <v>4867</v>
      </c>
      <c r="ENT349" s="16" t="s">
        <v>4867</v>
      </c>
      <c r="ENU349" s="16" t="s">
        <v>4867</v>
      </c>
      <c r="ENV349" s="16" t="s">
        <v>4867</v>
      </c>
      <c r="ENW349" s="16" t="s">
        <v>4867</v>
      </c>
      <c r="ENX349" s="16" t="s">
        <v>4867</v>
      </c>
      <c r="ENY349" s="16" t="s">
        <v>4867</v>
      </c>
      <c r="ENZ349" s="16" t="s">
        <v>4867</v>
      </c>
      <c r="EOA349" s="16" t="s">
        <v>4867</v>
      </c>
      <c r="EOB349" s="16" t="s">
        <v>4867</v>
      </c>
      <c r="EOC349" s="16" t="s">
        <v>4867</v>
      </c>
      <c r="EOD349" s="16" t="s">
        <v>4867</v>
      </c>
      <c r="EOE349" s="16" t="s">
        <v>4867</v>
      </c>
      <c r="EOF349" s="16" t="s">
        <v>4867</v>
      </c>
      <c r="EOG349" s="16" t="s">
        <v>4867</v>
      </c>
      <c r="EOH349" s="16" t="s">
        <v>4867</v>
      </c>
      <c r="EOI349" s="16" t="s">
        <v>4867</v>
      </c>
      <c r="EOJ349" s="16" t="s">
        <v>4867</v>
      </c>
      <c r="EOK349" s="16" t="s">
        <v>4867</v>
      </c>
      <c r="EOL349" s="16" t="s">
        <v>4867</v>
      </c>
      <c r="EOM349" s="16" t="s">
        <v>4867</v>
      </c>
      <c r="EON349" s="16" t="s">
        <v>4867</v>
      </c>
      <c r="EOO349" s="16" t="s">
        <v>4867</v>
      </c>
      <c r="EOP349" s="16" t="s">
        <v>4867</v>
      </c>
      <c r="EOQ349" s="16" t="s">
        <v>4867</v>
      </c>
      <c r="EOR349" s="16" t="s">
        <v>4867</v>
      </c>
      <c r="EOS349" s="16" t="s">
        <v>4867</v>
      </c>
      <c r="EOT349" s="16" t="s">
        <v>4867</v>
      </c>
      <c r="EOU349" s="16" t="s">
        <v>4867</v>
      </c>
      <c r="EOV349" s="16" t="s">
        <v>4867</v>
      </c>
      <c r="EOW349" s="16" t="s">
        <v>4867</v>
      </c>
      <c r="EOX349" s="16" t="s">
        <v>4867</v>
      </c>
      <c r="EOY349" s="16" t="s">
        <v>4867</v>
      </c>
      <c r="EOZ349" s="16" t="s">
        <v>4867</v>
      </c>
      <c r="EPA349" s="16" t="s">
        <v>4867</v>
      </c>
      <c r="EPB349" s="16" t="s">
        <v>4867</v>
      </c>
      <c r="EPC349" s="16" t="s">
        <v>4867</v>
      </c>
      <c r="EPD349" s="16" t="s">
        <v>4867</v>
      </c>
      <c r="EPE349" s="16" t="s">
        <v>4867</v>
      </c>
      <c r="EPF349" s="16" t="s">
        <v>4867</v>
      </c>
      <c r="EPG349" s="16" t="s">
        <v>4867</v>
      </c>
      <c r="EPH349" s="16" t="s">
        <v>4867</v>
      </c>
      <c r="EPI349" s="16" t="s">
        <v>4867</v>
      </c>
      <c r="EPJ349" s="16" t="s">
        <v>4867</v>
      </c>
      <c r="EPK349" s="16" t="s">
        <v>4867</v>
      </c>
      <c r="EPL349" s="16" t="s">
        <v>4867</v>
      </c>
      <c r="EPM349" s="16" t="s">
        <v>4867</v>
      </c>
      <c r="EPN349" s="16" t="s">
        <v>4867</v>
      </c>
      <c r="EPO349" s="16" t="s">
        <v>4867</v>
      </c>
      <c r="EPP349" s="16" t="s">
        <v>4867</v>
      </c>
      <c r="EPQ349" s="16" t="s">
        <v>4867</v>
      </c>
      <c r="EPR349" s="16" t="s">
        <v>4867</v>
      </c>
      <c r="EPS349" s="16" t="s">
        <v>4867</v>
      </c>
      <c r="EPT349" s="16" t="s">
        <v>4867</v>
      </c>
      <c r="EPU349" s="16" t="s">
        <v>4867</v>
      </c>
      <c r="EPV349" s="16" t="s">
        <v>4867</v>
      </c>
      <c r="EPW349" s="16" t="s">
        <v>4867</v>
      </c>
      <c r="EPX349" s="16" t="s">
        <v>4867</v>
      </c>
      <c r="EPY349" s="16" t="s">
        <v>4867</v>
      </c>
      <c r="EPZ349" s="16" t="s">
        <v>4867</v>
      </c>
      <c r="EQA349" s="16" t="s">
        <v>4867</v>
      </c>
      <c r="EQB349" s="16" t="s">
        <v>4867</v>
      </c>
      <c r="EQC349" s="16" t="s">
        <v>4867</v>
      </c>
      <c r="EQD349" s="16" t="s">
        <v>4867</v>
      </c>
      <c r="EQE349" s="16" t="s">
        <v>4867</v>
      </c>
      <c r="EQF349" s="16" t="s">
        <v>4867</v>
      </c>
      <c r="EQG349" s="16" t="s">
        <v>4867</v>
      </c>
      <c r="EQH349" s="16" t="s">
        <v>4867</v>
      </c>
      <c r="EQI349" s="16" t="s">
        <v>4867</v>
      </c>
      <c r="EQJ349" s="16" t="s">
        <v>4867</v>
      </c>
      <c r="EQK349" s="16" t="s">
        <v>4867</v>
      </c>
      <c r="EQL349" s="16" t="s">
        <v>4867</v>
      </c>
      <c r="EQM349" s="16" t="s">
        <v>4867</v>
      </c>
      <c r="EQN349" s="16" t="s">
        <v>4867</v>
      </c>
      <c r="EQO349" s="16" t="s">
        <v>4867</v>
      </c>
      <c r="EQP349" s="16" t="s">
        <v>4867</v>
      </c>
      <c r="EQQ349" s="16" t="s">
        <v>4867</v>
      </c>
      <c r="EQR349" s="16" t="s">
        <v>4867</v>
      </c>
      <c r="EQS349" s="16" t="s">
        <v>4867</v>
      </c>
      <c r="EQT349" s="16" t="s">
        <v>4867</v>
      </c>
      <c r="EQU349" s="16" t="s">
        <v>4867</v>
      </c>
      <c r="EQV349" s="16" t="s">
        <v>4867</v>
      </c>
      <c r="EQW349" s="16" t="s">
        <v>4867</v>
      </c>
      <c r="EQX349" s="16" t="s">
        <v>4867</v>
      </c>
      <c r="EQY349" s="16" t="s">
        <v>4867</v>
      </c>
      <c r="EQZ349" s="16" t="s">
        <v>4867</v>
      </c>
      <c r="ERA349" s="16" t="s">
        <v>4867</v>
      </c>
      <c r="ERB349" s="16" t="s">
        <v>4867</v>
      </c>
      <c r="ERC349" s="16" t="s">
        <v>4867</v>
      </c>
      <c r="ERD349" s="16" t="s">
        <v>4867</v>
      </c>
      <c r="ERE349" s="16" t="s">
        <v>4867</v>
      </c>
      <c r="ERF349" s="16" t="s">
        <v>4867</v>
      </c>
      <c r="ERG349" s="16" t="s">
        <v>4867</v>
      </c>
      <c r="ERH349" s="16" t="s">
        <v>4867</v>
      </c>
      <c r="ERI349" s="16" t="s">
        <v>4867</v>
      </c>
      <c r="ERJ349" s="16" t="s">
        <v>4867</v>
      </c>
      <c r="ERK349" s="16" t="s">
        <v>4867</v>
      </c>
      <c r="ERL349" s="16" t="s">
        <v>4867</v>
      </c>
      <c r="ERM349" s="16" t="s">
        <v>4867</v>
      </c>
      <c r="ERN349" s="16" t="s">
        <v>4867</v>
      </c>
      <c r="ERO349" s="16" t="s">
        <v>4867</v>
      </c>
      <c r="ERP349" s="16" t="s">
        <v>4867</v>
      </c>
      <c r="ERQ349" s="16" t="s">
        <v>4867</v>
      </c>
      <c r="ERR349" s="16" t="s">
        <v>4867</v>
      </c>
      <c r="ERS349" s="16" t="s">
        <v>4867</v>
      </c>
      <c r="ERT349" s="16" t="s">
        <v>4867</v>
      </c>
      <c r="ERU349" s="16" t="s">
        <v>4867</v>
      </c>
      <c r="ERV349" s="16" t="s">
        <v>4867</v>
      </c>
      <c r="ERW349" s="16" t="s">
        <v>4867</v>
      </c>
      <c r="ERX349" s="16" t="s">
        <v>4867</v>
      </c>
      <c r="ERY349" s="16" t="s">
        <v>4867</v>
      </c>
      <c r="ERZ349" s="16" t="s">
        <v>4867</v>
      </c>
      <c r="ESA349" s="16" t="s">
        <v>4867</v>
      </c>
      <c r="ESB349" s="16" t="s">
        <v>4867</v>
      </c>
      <c r="ESC349" s="16" t="s">
        <v>4867</v>
      </c>
      <c r="ESD349" s="16" t="s">
        <v>4867</v>
      </c>
      <c r="ESE349" s="16" t="s">
        <v>4867</v>
      </c>
      <c r="ESF349" s="16" t="s">
        <v>4867</v>
      </c>
      <c r="ESG349" s="16" t="s">
        <v>4867</v>
      </c>
      <c r="ESH349" s="16" t="s">
        <v>4867</v>
      </c>
      <c r="ESI349" s="16" t="s">
        <v>4867</v>
      </c>
      <c r="ESJ349" s="16" t="s">
        <v>4867</v>
      </c>
      <c r="ESK349" s="16" t="s">
        <v>4867</v>
      </c>
      <c r="ESL349" s="16" t="s">
        <v>4867</v>
      </c>
      <c r="ESM349" s="16" t="s">
        <v>4867</v>
      </c>
      <c r="ESN349" s="16" t="s">
        <v>4867</v>
      </c>
      <c r="ESO349" s="16" t="s">
        <v>4867</v>
      </c>
      <c r="ESP349" s="16" t="s">
        <v>4867</v>
      </c>
      <c r="ESQ349" s="16" t="s">
        <v>4867</v>
      </c>
      <c r="ESR349" s="16" t="s">
        <v>4867</v>
      </c>
      <c r="ESS349" s="16" t="s">
        <v>4867</v>
      </c>
      <c r="EST349" s="16" t="s">
        <v>4867</v>
      </c>
      <c r="ESU349" s="16" t="s">
        <v>4867</v>
      </c>
      <c r="ESV349" s="16" t="s">
        <v>4867</v>
      </c>
      <c r="ESW349" s="16" t="s">
        <v>4867</v>
      </c>
      <c r="ESX349" s="16" t="s">
        <v>4867</v>
      </c>
      <c r="ESY349" s="16" t="s">
        <v>4867</v>
      </c>
      <c r="ESZ349" s="16" t="s">
        <v>4867</v>
      </c>
      <c r="ETA349" s="16" t="s">
        <v>4867</v>
      </c>
      <c r="ETB349" s="16" t="s">
        <v>4867</v>
      </c>
      <c r="ETC349" s="16" t="s">
        <v>4867</v>
      </c>
      <c r="ETD349" s="16" t="s">
        <v>4867</v>
      </c>
      <c r="ETE349" s="16" t="s">
        <v>4867</v>
      </c>
      <c r="ETF349" s="16" t="s">
        <v>4867</v>
      </c>
      <c r="ETG349" s="16" t="s">
        <v>4867</v>
      </c>
      <c r="ETH349" s="16" t="s">
        <v>4867</v>
      </c>
      <c r="ETI349" s="16" t="s">
        <v>4867</v>
      </c>
      <c r="ETJ349" s="16" t="s">
        <v>4867</v>
      </c>
      <c r="ETK349" s="16" t="s">
        <v>4867</v>
      </c>
      <c r="ETL349" s="16" t="s">
        <v>4867</v>
      </c>
      <c r="ETM349" s="16" t="s">
        <v>4867</v>
      </c>
      <c r="ETN349" s="16" t="s">
        <v>4867</v>
      </c>
      <c r="ETO349" s="16" t="s">
        <v>4867</v>
      </c>
      <c r="ETP349" s="16" t="s">
        <v>4867</v>
      </c>
      <c r="ETQ349" s="16" t="s">
        <v>4867</v>
      </c>
      <c r="ETR349" s="16" t="s">
        <v>4867</v>
      </c>
      <c r="ETS349" s="16" t="s">
        <v>4867</v>
      </c>
      <c r="ETT349" s="16" t="s">
        <v>4867</v>
      </c>
      <c r="ETU349" s="16" t="s">
        <v>4867</v>
      </c>
      <c r="ETV349" s="16" t="s">
        <v>4867</v>
      </c>
      <c r="ETW349" s="16" t="s">
        <v>4867</v>
      </c>
      <c r="ETX349" s="16" t="s">
        <v>4867</v>
      </c>
      <c r="ETY349" s="16" t="s">
        <v>4867</v>
      </c>
      <c r="ETZ349" s="16" t="s">
        <v>4867</v>
      </c>
      <c r="EUA349" s="16" t="s">
        <v>4867</v>
      </c>
      <c r="EUB349" s="16" t="s">
        <v>4867</v>
      </c>
      <c r="EUC349" s="16" t="s">
        <v>4867</v>
      </c>
      <c r="EUD349" s="16" t="s">
        <v>4867</v>
      </c>
      <c r="EUE349" s="16" t="s">
        <v>4867</v>
      </c>
      <c r="EUF349" s="16" t="s">
        <v>4867</v>
      </c>
      <c r="EUG349" s="16" t="s">
        <v>4867</v>
      </c>
      <c r="EUH349" s="16" t="s">
        <v>4867</v>
      </c>
      <c r="EUI349" s="16" t="s">
        <v>4867</v>
      </c>
      <c r="EUJ349" s="16" t="s">
        <v>4867</v>
      </c>
      <c r="EUK349" s="16" t="s">
        <v>4867</v>
      </c>
      <c r="EUL349" s="16" t="s">
        <v>4867</v>
      </c>
      <c r="EUM349" s="16" t="s">
        <v>4867</v>
      </c>
      <c r="EUN349" s="16" t="s">
        <v>4867</v>
      </c>
      <c r="EUO349" s="16" t="s">
        <v>4867</v>
      </c>
      <c r="EUP349" s="16" t="s">
        <v>4867</v>
      </c>
      <c r="EUQ349" s="16" t="s">
        <v>4867</v>
      </c>
      <c r="EUR349" s="16" t="s">
        <v>4867</v>
      </c>
      <c r="EUS349" s="16" t="s">
        <v>4867</v>
      </c>
      <c r="EUT349" s="16" t="s">
        <v>4867</v>
      </c>
      <c r="EUU349" s="16" t="s">
        <v>4867</v>
      </c>
      <c r="EUV349" s="16" t="s">
        <v>4867</v>
      </c>
      <c r="EUW349" s="16" t="s">
        <v>4867</v>
      </c>
      <c r="EUX349" s="16" t="s">
        <v>4867</v>
      </c>
      <c r="EUY349" s="16" t="s">
        <v>4867</v>
      </c>
      <c r="EUZ349" s="16" t="s">
        <v>4867</v>
      </c>
      <c r="EVA349" s="16" t="s">
        <v>4867</v>
      </c>
      <c r="EVB349" s="16" t="s">
        <v>4867</v>
      </c>
      <c r="EVC349" s="16" t="s">
        <v>4867</v>
      </c>
      <c r="EVD349" s="16" t="s">
        <v>4867</v>
      </c>
      <c r="EVE349" s="16" t="s">
        <v>4867</v>
      </c>
      <c r="EVF349" s="16" t="s">
        <v>4867</v>
      </c>
      <c r="EVG349" s="16" t="s">
        <v>4867</v>
      </c>
      <c r="EVH349" s="16" t="s">
        <v>4867</v>
      </c>
      <c r="EVI349" s="16" t="s">
        <v>4867</v>
      </c>
      <c r="EVJ349" s="16" t="s">
        <v>4867</v>
      </c>
      <c r="EVK349" s="16" t="s">
        <v>4867</v>
      </c>
      <c r="EVL349" s="16" t="s">
        <v>4867</v>
      </c>
      <c r="EVM349" s="16" t="s">
        <v>4867</v>
      </c>
      <c r="EVN349" s="16" t="s">
        <v>4867</v>
      </c>
      <c r="EVO349" s="16" t="s">
        <v>4867</v>
      </c>
      <c r="EVP349" s="16" t="s">
        <v>4867</v>
      </c>
      <c r="EVQ349" s="16" t="s">
        <v>4867</v>
      </c>
      <c r="EVR349" s="16" t="s">
        <v>4867</v>
      </c>
      <c r="EVS349" s="16" t="s">
        <v>4867</v>
      </c>
      <c r="EVT349" s="16" t="s">
        <v>4867</v>
      </c>
      <c r="EVU349" s="16" t="s">
        <v>4867</v>
      </c>
      <c r="EVV349" s="16" t="s">
        <v>4867</v>
      </c>
      <c r="EVW349" s="16" t="s">
        <v>4867</v>
      </c>
      <c r="EVX349" s="16" t="s">
        <v>4867</v>
      </c>
      <c r="EVY349" s="16" t="s">
        <v>4867</v>
      </c>
      <c r="EVZ349" s="16" t="s">
        <v>4867</v>
      </c>
      <c r="EWA349" s="16" t="s">
        <v>4867</v>
      </c>
      <c r="EWB349" s="16" t="s">
        <v>4867</v>
      </c>
      <c r="EWC349" s="16" t="s">
        <v>4867</v>
      </c>
      <c r="EWD349" s="16" t="s">
        <v>4867</v>
      </c>
      <c r="EWE349" s="16" t="s">
        <v>4867</v>
      </c>
      <c r="EWF349" s="16" t="s">
        <v>4867</v>
      </c>
      <c r="EWG349" s="16" t="s">
        <v>4867</v>
      </c>
      <c r="EWH349" s="16" t="s">
        <v>4867</v>
      </c>
      <c r="EWI349" s="16" t="s">
        <v>4867</v>
      </c>
      <c r="EWJ349" s="16" t="s">
        <v>4867</v>
      </c>
      <c r="EWK349" s="16" t="s">
        <v>4867</v>
      </c>
      <c r="EWL349" s="16" t="s">
        <v>4867</v>
      </c>
      <c r="EWM349" s="16" t="s">
        <v>4867</v>
      </c>
      <c r="EWN349" s="16" t="s">
        <v>4867</v>
      </c>
      <c r="EWO349" s="16" t="s">
        <v>4867</v>
      </c>
      <c r="EWP349" s="16" t="s">
        <v>4867</v>
      </c>
      <c r="EWQ349" s="16" t="s">
        <v>4867</v>
      </c>
      <c r="EWR349" s="16" t="s">
        <v>4867</v>
      </c>
      <c r="EWS349" s="16" t="s">
        <v>4867</v>
      </c>
      <c r="EWT349" s="16" t="s">
        <v>4867</v>
      </c>
      <c r="EWU349" s="16" t="s">
        <v>4867</v>
      </c>
      <c r="EWV349" s="16" t="s">
        <v>4867</v>
      </c>
      <c r="EWW349" s="16" t="s">
        <v>4867</v>
      </c>
      <c r="EWX349" s="16" t="s">
        <v>4867</v>
      </c>
      <c r="EWY349" s="16" t="s">
        <v>4867</v>
      </c>
      <c r="EWZ349" s="16" t="s">
        <v>4867</v>
      </c>
      <c r="EXA349" s="16" t="s">
        <v>4867</v>
      </c>
      <c r="EXB349" s="16" t="s">
        <v>4867</v>
      </c>
      <c r="EXC349" s="16" t="s">
        <v>4867</v>
      </c>
      <c r="EXD349" s="16" t="s">
        <v>4867</v>
      </c>
      <c r="EXE349" s="16" t="s">
        <v>4867</v>
      </c>
      <c r="EXF349" s="16" t="s">
        <v>4867</v>
      </c>
      <c r="EXG349" s="16" t="s">
        <v>4867</v>
      </c>
      <c r="EXH349" s="16" t="s">
        <v>4867</v>
      </c>
      <c r="EXI349" s="16" t="s">
        <v>4867</v>
      </c>
      <c r="EXJ349" s="16" t="s">
        <v>4867</v>
      </c>
      <c r="EXK349" s="16" t="s">
        <v>4867</v>
      </c>
      <c r="EXL349" s="16" t="s">
        <v>4867</v>
      </c>
      <c r="EXM349" s="16" t="s">
        <v>4867</v>
      </c>
      <c r="EXN349" s="16" t="s">
        <v>4867</v>
      </c>
      <c r="EXO349" s="16" t="s">
        <v>4867</v>
      </c>
      <c r="EXP349" s="16" t="s">
        <v>4867</v>
      </c>
      <c r="EXQ349" s="16" t="s">
        <v>4867</v>
      </c>
      <c r="EXR349" s="16" t="s">
        <v>4867</v>
      </c>
      <c r="EXS349" s="16" t="s">
        <v>4867</v>
      </c>
      <c r="EXT349" s="16" t="s">
        <v>4867</v>
      </c>
      <c r="EXU349" s="16" t="s">
        <v>4867</v>
      </c>
      <c r="EXV349" s="16" t="s">
        <v>4867</v>
      </c>
      <c r="EXW349" s="16" t="s">
        <v>4867</v>
      </c>
      <c r="EXX349" s="16" t="s">
        <v>4867</v>
      </c>
      <c r="EXY349" s="16" t="s">
        <v>4867</v>
      </c>
      <c r="EXZ349" s="16" t="s">
        <v>4867</v>
      </c>
      <c r="EYA349" s="16" t="s">
        <v>4867</v>
      </c>
      <c r="EYB349" s="16" t="s">
        <v>4867</v>
      </c>
      <c r="EYC349" s="16" t="s">
        <v>4867</v>
      </c>
      <c r="EYD349" s="16" t="s">
        <v>4867</v>
      </c>
      <c r="EYE349" s="16" t="s">
        <v>4867</v>
      </c>
      <c r="EYF349" s="16" t="s">
        <v>4867</v>
      </c>
      <c r="EYG349" s="16" t="s">
        <v>4867</v>
      </c>
      <c r="EYH349" s="16" t="s">
        <v>4867</v>
      </c>
      <c r="EYI349" s="16" t="s">
        <v>4867</v>
      </c>
      <c r="EYJ349" s="16" t="s">
        <v>4867</v>
      </c>
      <c r="EYK349" s="16" t="s">
        <v>4867</v>
      </c>
      <c r="EYL349" s="16" t="s">
        <v>4867</v>
      </c>
      <c r="EYM349" s="16" t="s">
        <v>4867</v>
      </c>
      <c r="EYN349" s="16" t="s">
        <v>4867</v>
      </c>
      <c r="EYO349" s="16" t="s">
        <v>4867</v>
      </c>
      <c r="EYP349" s="16" t="s">
        <v>4867</v>
      </c>
      <c r="EYQ349" s="16" t="s">
        <v>4867</v>
      </c>
      <c r="EYR349" s="16" t="s">
        <v>4867</v>
      </c>
      <c r="EYS349" s="16" t="s">
        <v>4867</v>
      </c>
      <c r="EYT349" s="16" t="s">
        <v>4867</v>
      </c>
      <c r="EYU349" s="16" t="s">
        <v>4867</v>
      </c>
      <c r="EYV349" s="16" t="s">
        <v>4867</v>
      </c>
      <c r="EYW349" s="16" t="s">
        <v>4867</v>
      </c>
      <c r="EYX349" s="16" t="s">
        <v>4867</v>
      </c>
      <c r="EYY349" s="16" t="s">
        <v>4867</v>
      </c>
      <c r="EYZ349" s="16" t="s">
        <v>4867</v>
      </c>
      <c r="EZA349" s="16" t="s">
        <v>4867</v>
      </c>
      <c r="EZB349" s="16" t="s">
        <v>4867</v>
      </c>
      <c r="EZC349" s="16" t="s">
        <v>4867</v>
      </c>
      <c r="EZD349" s="16" t="s">
        <v>4867</v>
      </c>
      <c r="EZE349" s="16" t="s">
        <v>4867</v>
      </c>
      <c r="EZF349" s="16" t="s">
        <v>4867</v>
      </c>
      <c r="EZG349" s="16" t="s">
        <v>4867</v>
      </c>
      <c r="EZH349" s="16" t="s">
        <v>4867</v>
      </c>
      <c r="EZI349" s="16" t="s">
        <v>4867</v>
      </c>
      <c r="EZJ349" s="16" t="s">
        <v>4867</v>
      </c>
      <c r="EZK349" s="16" t="s">
        <v>4867</v>
      </c>
      <c r="EZL349" s="16" t="s">
        <v>4867</v>
      </c>
      <c r="EZM349" s="16" t="s">
        <v>4867</v>
      </c>
      <c r="EZN349" s="16" t="s">
        <v>4867</v>
      </c>
      <c r="EZO349" s="16" t="s">
        <v>4867</v>
      </c>
      <c r="EZP349" s="16" t="s">
        <v>4867</v>
      </c>
      <c r="EZQ349" s="16" t="s">
        <v>4867</v>
      </c>
      <c r="EZR349" s="16" t="s">
        <v>4867</v>
      </c>
      <c r="EZS349" s="16" t="s">
        <v>4867</v>
      </c>
      <c r="EZT349" s="16" t="s">
        <v>4867</v>
      </c>
      <c r="EZU349" s="16" t="s">
        <v>4867</v>
      </c>
      <c r="EZV349" s="16" t="s">
        <v>4867</v>
      </c>
      <c r="EZW349" s="16" t="s">
        <v>4867</v>
      </c>
      <c r="EZX349" s="16" t="s">
        <v>4867</v>
      </c>
      <c r="EZY349" s="16" t="s">
        <v>4867</v>
      </c>
      <c r="EZZ349" s="16" t="s">
        <v>4867</v>
      </c>
      <c r="FAA349" s="16" t="s">
        <v>4867</v>
      </c>
      <c r="FAB349" s="16" t="s">
        <v>4867</v>
      </c>
      <c r="FAC349" s="16" t="s">
        <v>4867</v>
      </c>
      <c r="FAD349" s="16" t="s">
        <v>4867</v>
      </c>
      <c r="FAE349" s="16" t="s">
        <v>4867</v>
      </c>
      <c r="FAF349" s="16" t="s">
        <v>4867</v>
      </c>
      <c r="FAG349" s="16" t="s">
        <v>4867</v>
      </c>
      <c r="FAH349" s="16" t="s">
        <v>4867</v>
      </c>
      <c r="FAI349" s="16" t="s">
        <v>4867</v>
      </c>
      <c r="FAJ349" s="16" t="s">
        <v>4867</v>
      </c>
      <c r="FAK349" s="16" t="s">
        <v>4867</v>
      </c>
      <c r="FAL349" s="16" t="s">
        <v>4867</v>
      </c>
      <c r="FAM349" s="16" t="s">
        <v>4867</v>
      </c>
      <c r="FAN349" s="16" t="s">
        <v>4867</v>
      </c>
      <c r="FAO349" s="16" t="s">
        <v>4867</v>
      </c>
      <c r="FAP349" s="16" t="s">
        <v>4867</v>
      </c>
      <c r="FAQ349" s="16" t="s">
        <v>4867</v>
      </c>
      <c r="FAR349" s="16" t="s">
        <v>4867</v>
      </c>
      <c r="FAS349" s="16" t="s">
        <v>4867</v>
      </c>
      <c r="FAT349" s="16" t="s">
        <v>4867</v>
      </c>
      <c r="FAU349" s="16" t="s">
        <v>4867</v>
      </c>
      <c r="FAV349" s="16" t="s">
        <v>4867</v>
      </c>
      <c r="FAW349" s="16" t="s">
        <v>4867</v>
      </c>
      <c r="FAX349" s="16" t="s">
        <v>4867</v>
      </c>
      <c r="FAY349" s="16" t="s">
        <v>4867</v>
      </c>
      <c r="FAZ349" s="16" t="s">
        <v>4867</v>
      </c>
      <c r="FBA349" s="16" t="s">
        <v>4867</v>
      </c>
      <c r="FBB349" s="16" t="s">
        <v>4867</v>
      </c>
      <c r="FBC349" s="16" t="s">
        <v>4867</v>
      </c>
      <c r="FBD349" s="16" t="s">
        <v>4867</v>
      </c>
      <c r="FBE349" s="16" t="s">
        <v>4867</v>
      </c>
      <c r="FBF349" s="16" t="s">
        <v>4867</v>
      </c>
      <c r="FBG349" s="16" t="s">
        <v>4867</v>
      </c>
      <c r="FBH349" s="16" t="s">
        <v>4867</v>
      </c>
      <c r="FBI349" s="16" t="s">
        <v>4867</v>
      </c>
      <c r="FBJ349" s="16" t="s">
        <v>4867</v>
      </c>
      <c r="FBK349" s="16" t="s">
        <v>4867</v>
      </c>
      <c r="FBL349" s="16" t="s">
        <v>4867</v>
      </c>
      <c r="FBM349" s="16" t="s">
        <v>4867</v>
      </c>
      <c r="FBN349" s="16" t="s">
        <v>4867</v>
      </c>
      <c r="FBO349" s="16" t="s">
        <v>4867</v>
      </c>
      <c r="FBP349" s="16" t="s">
        <v>4867</v>
      </c>
      <c r="FBQ349" s="16" t="s">
        <v>4867</v>
      </c>
      <c r="FBR349" s="16" t="s">
        <v>4867</v>
      </c>
      <c r="FBS349" s="16" t="s">
        <v>4867</v>
      </c>
      <c r="FBT349" s="16" t="s">
        <v>4867</v>
      </c>
      <c r="FBU349" s="16" t="s">
        <v>4867</v>
      </c>
      <c r="FBV349" s="16" t="s">
        <v>4867</v>
      </c>
      <c r="FBW349" s="16" t="s">
        <v>4867</v>
      </c>
      <c r="FBX349" s="16" t="s">
        <v>4867</v>
      </c>
      <c r="FBY349" s="16" t="s">
        <v>4867</v>
      </c>
      <c r="FBZ349" s="16" t="s">
        <v>4867</v>
      </c>
      <c r="FCA349" s="16" t="s">
        <v>4867</v>
      </c>
      <c r="FCB349" s="16" t="s">
        <v>4867</v>
      </c>
      <c r="FCC349" s="16" t="s">
        <v>4867</v>
      </c>
      <c r="FCD349" s="16" t="s">
        <v>4867</v>
      </c>
      <c r="FCE349" s="16" t="s">
        <v>4867</v>
      </c>
      <c r="FCF349" s="16" t="s">
        <v>4867</v>
      </c>
      <c r="FCG349" s="16" t="s">
        <v>4867</v>
      </c>
      <c r="FCH349" s="16" t="s">
        <v>4867</v>
      </c>
      <c r="FCI349" s="16" t="s">
        <v>4867</v>
      </c>
      <c r="FCJ349" s="16" t="s">
        <v>4867</v>
      </c>
      <c r="FCK349" s="16" t="s">
        <v>4867</v>
      </c>
      <c r="FCL349" s="16" t="s">
        <v>4867</v>
      </c>
      <c r="FCM349" s="16" t="s">
        <v>4867</v>
      </c>
      <c r="FCN349" s="16" t="s">
        <v>4867</v>
      </c>
      <c r="FCO349" s="16" t="s">
        <v>4867</v>
      </c>
      <c r="FCP349" s="16" t="s">
        <v>4867</v>
      </c>
      <c r="FCQ349" s="16" t="s">
        <v>4867</v>
      </c>
      <c r="FCR349" s="16" t="s">
        <v>4867</v>
      </c>
      <c r="FCS349" s="16" t="s">
        <v>4867</v>
      </c>
      <c r="FCT349" s="16" t="s">
        <v>4867</v>
      </c>
      <c r="FCU349" s="16" t="s">
        <v>4867</v>
      </c>
      <c r="FCV349" s="16" t="s">
        <v>4867</v>
      </c>
      <c r="FCW349" s="16" t="s">
        <v>4867</v>
      </c>
      <c r="FCX349" s="16" t="s">
        <v>4867</v>
      </c>
      <c r="FCY349" s="16" t="s">
        <v>4867</v>
      </c>
      <c r="FCZ349" s="16" t="s">
        <v>4867</v>
      </c>
      <c r="FDA349" s="16" t="s">
        <v>4867</v>
      </c>
      <c r="FDB349" s="16" t="s">
        <v>4867</v>
      </c>
      <c r="FDC349" s="16" t="s">
        <v>4867</v>
      </c>
      <c r="FDD349" s="16" t="s">
        <v>4867</v>
      </c>
      <c r="FDE349" s="16" t="s">
        <v>4867</v>
      </c>
      <c r="FDF349" s="16" t="s">
        <v>4867</v>
      </c>
      <c r="FDG349" s="16" t="s">
        <v>4867</v>
      </c>
      <c r="FDH349" s="16" t="s">
        <v>4867</v>
      </c>
      <c r="FDI349" s="16" t="s">
        <v>4867</v>
      </c>
      <c r="FDJ349" s="16" t="s">
        <v>4867</v>
      </c>
      <c r="FDK349" s="16" t="s">
        <v>4867</v>
      </c>
      <c r="FDL349" s="16" t="s">
        <v>4867</v>
      </c>
      <c r="FDM349" s="16" t="s">
        <v>4867</v>
      </c>
      <c r="FDN349" s="16" t="s">
        <v>4867</v>
      </c>
      <c r="FDO349" s="16" t="s">
        <v>4867</v>
      </c>
      <c r="FDP349" s="16" t="s">
        <v>4867</v>
      </c>
      <c r="FDQ349" s="16" t="s">
        <v>4867</v>
      </c>
      <c r="FDR349" s="16" t="s">
        <v>4867</v>
      </c>
      <c r="FDS349" s="16" t="s">
        <v>4867</v>
      </c>
      <c r="FDT349" s="16" t="s">
        <v>4867</v>
      </c>
      <c r="FDU349" s="16" t="s">
        <v>4867</v>
      </c>
      <c r="FDV349" s="16" t="s">
        <v>4867</v>
      </c>
      <c r="FDW349" s="16" t="s">
        <v>4867</v>
      </c>
      <c r="FDX349" s="16" t="s">
        <v>4867</v>
      </c>
      <c r="FDY349" s="16" t="s">
        <v>4867</v>
      </c>
      <c r="FDZ349" s="16" t="s">
        <v>4867</v>
      </c>
      <c r="FEA349" s="16" t="s">
        <v>4867</v>
      </c>
      <c r="FEB349" s="16" t="s">
        <v>4867</v>
      </c>
      <c r="FEC349" s="16" t="s">
        <v>4867</v>
      </c>
      <c r="FED349" s="16" t="s">
        <v>4867</v>
      </c>
      <c r="FEE349" s="16" t="s">
        <v>4867</v>
      </c>
      <c r="FEF349" s="16" t="s">
        <v>4867</v>
      </c>
      <c r="FEG349" s="16" t="s">
        <v>4867</v>
      </c>
      <c r="FEH349" s="16" t="s">
        <v>4867</v>
      </c>
      <c r="FEI349" s="16" t="s">
        <v>4867</v>
      </c>
      <c r="FEJ349" s="16" t="s">
        <v>4867</v>
      </c>
      <c r="FEK349" s="16" t="s">
        <v>4867</v>
      </c>
      <c r="FEL349" s="16" t="s">
        <v>4867</v>
      </c>
      <c r="FEM349" s="16" t="s">
        <v>4867</v>
      </c>
      <c r="FEN349" s="16" t="s">
        <v>4867</v>
      </c>
      <c r="FEO349" s="16" t="s">
        <v>4867</v>
      </c>
      <c r="FEP349" s="16" t="s">
        <v>4867</v>
      </c>
      <c r="FEQ349" s="16" t="s">
        <v>4867</v>
      </c>
      <c r="FER349" s="16" t="s">
        <v>4867</v>
      </c>
      <c r="FES349" s="16" t="s">
        <v>4867</v>
      </c>
      <c r="FET349" s="16" t="s">
        <v>4867</v>
      </c>
      <c r="FEU349" s="16" t="s">
        <v>4867</v>
      </c>
      <c r="FEV349" s="16" t="s">
        <v>4867</v>
      </c>
      <c r="FEW349" s="16" t="s">
        <v>4867</v>
      </c>
      <c r="FEX349" s="16" t="s">
        <v>4867</v>
      </c>
      <c r="FEY349" s="16" t="s">
        <v>4867</v>
      </c>
      <c r="FEZ349" s="16" t="s">
        <v>4867</v>
      </c>
      <c r="FFA349" s="16" t="s">
        <v>4867</v>
      </c>
      <c r="FFB349" s="16" t="s">
        <v>4867</v>
      </c>
      <c r="FFC349" s="16" t="s">
        <v>4867</v>
      </c>
      <c r="FFD349" s="16" t="s">
        <v>4867</v>
      </c>
      <c r="FFE349" s="16" t="s">
        <v>4867</v>
      </c>
      <c r="FFF349" s="16" t="s">
        <v>4867</v>
      </c>
      <c r="FFG349" s="16" t="s">
        <v>4867</v>
      </c>
      <c r="FFH349" s="16" t="s">
        <v>4867</v>
      </c>
      <c r="FFI349" s="16" t="s">
        <v>4867</v>
      </c>
      <c r="FFJ349" s="16" t="s">
        <v>4867</v>
      </c>
      <c r="FFK349" s="16" t="s">
        <v>4867</v>
      </c>
      <c r="FFL349" s="16" t="s">
        <v>4867</v>
      </c>
      <c r="FFM349" s="16" t="s">
        <v>4867</v>
      </c>
      <c r="FFN349" s="16" t="s">
        <v>4867</v>
      </c>
      <c r="FFO349" s="16" t="s">
        <v>4867</v>
      </c>
      <c r="FFP349" s="16" t="s">
        <v>4867</v>
      </c>
      <c r="FFQ349" s="16" t="s">
        <v>4867</v>
      </c>
      <c r="FFR349" s="16" t="s">
        <v>4867</v>
      </c>
      <c r="FFS349" s="16" t="s">
        <v>4867</v>
      </c>
      <c r="FFT349" s="16" t="s">
        <v>4867</v>
      </c>
      <c r="FFU349" s="16" t="s">
        <v>4867</v>
      </c>
      <c r="FFV349" s="16" t="s">
        <v>4867</v>
      </c>
      <c r="FFW349" s="16" t="s">
        <v>4867</v>
      </c>
      <c r="FFX349" s="16" t="s">
        <v>4867</v>
      </c>
      <c r="FFY349" s="16" t="s">
        <v>4867</v>
      </c>
      <c r="FFZ349" s="16" t="s">
        <v>4867</v>
      </c>
      <c r="FGA349" s="16" t="s">
        <v>4867</v>
      </c>
      <c r="FGB349" s="16" t="s">
        <v>4867</v>
      </c>
      <c r="FGC349" s="16" t="s">
        <v>4867</v>
      </c>
      <c r="FGD349" s="16" t="s">
        <v>4867</v>
      </c>
      <c r="FGE349" s="16" t="s">
        <v>4867</v>
      </c>
      <c r="FGF349" s="16" t="s">
        <v>4867</v>
      </c>
      <c r="FGG349" s="16" t="s">
        <v>4867</v>
      </c>
      <c r="FGH349" s="16" t="s">
        <v>4867</v>
      </c>
      <c r="FGI349" s="16" t="s">
        <v>4867</v>
      </c>
      <c r="FGJ349" s="16" t="s">
        <v>4867</v>
      </c>
      <c r="FGK349" s="16" t="s">
        <v>4867</v>
      </c>
      <c r="FGL349" s="16" t="s">
        <v>4867</v>
      </c>
      <c r="FGM349" s="16" t="s">
        <v>4867</v>
      </c>
      <c r="FGN349" s="16" t="s">
        <v>4867</v>
      </c>
      <c r="FGO349" s="16" t="s">
        <v>4867</v>
      </c>
      <c r="FGP349" s="16" t="s">
        <v>4867</v>
      </c>
      <c r="FGQ349" s="16" t="s">
        <v>4867</v>
      </c>
      <c r="FGR349" s="16" t="s">
        <v>4867</v>
      </c>
      <c r="FGS349" s="16" t="s">
        <v>4867</v>
      </c>
      <c r="FGT349" s="16" t="s">
        <v>4867</v>
      </c>
      <c r="FGU349" s="16" t="s">
        <v>4867</v>
      </c>
      <c r="FGV349" s="16" t="s">
        <v>4867</v>
      </c>
      <c r="FGW349" s="16" t="s">
        <v>4867</v>
      </c>
      <c r="FGX349" s="16" t="s">
        <v>4867</v>
      </c>
      <c r="FGY349" s="16" t="s">
        <v>4867</v>
      </c>
      <c r="FGZ349" s="16" t="s">
        <v>4867</v>
      </c>
      <c r="FHA349" s="16" t="s">
        <v>4867</v>
      </c>
      <c r="FHB349" s="16" t="s">
        <v>4867</v>
      </c>
      <c r="FHC349" s="16" t="s">
        <v>4867</v>
      </c>
      <c r="FHD349" s="16" t="s">
        <v>4867</v>
      </c>
      <c r="FHE349" s="16" t="s">
        <v>4867</v>
      </c>
      <c r="FHF349" s="16" t="s">
        <v>4867</v>
      </c>
      <c r="FHG349" s="16" t="s">
        <v>4867</v>
      </c>
      <c r="FHH349" s="16" t="s">
        <v>4867</v>
      </c>
      <c r="FHI349" s="16" t="s">
        <v>4867</v>
      </c>
      <c r="FHJ349" s="16" t="s">
        <v>4867</v>
      </c>
      <c r="FHK349" s="16" t="s">
        <v>4867</v>
      </c>
      <c r="FHL349" s="16" t="s">
        <v>4867</v>
      </c>
      <c r="FHM349" s="16" t="s">
        <v>4867</v>
      </c>
      <c r="FHN349" s="16" t="s">
        <v>4867</v>
      </c>
      <c r="FHO349" s="16" t="s">
        <v>4867</v>
      </c>
      <c r="FHP349" s="16" t="s">
        <v>4867</v>
      </c>
      <c r="FHQ349" s="16" t="s">
        <v>4867</v>
      </c>
      <c r="FHR349" s="16" t="s">
        <v>4867</v>
      </c>
      <c r="FHS349" s="16" t="s">
        <v>4867</v>
      </c>
      <c r="FHT349" s="16" t="s">
        <v>4867</v>
      </c>
      <c r="FHU349" s="16" t="s">
        <v>4867</v>
      </c>
      <c r="FHV349" s="16" t="s">
        <v>4867</v>
      </c>
      <c r="FHW349" s="16" t="s">
        <v>4867</v>
      </c>
      <c r="FHX349" s="16" t="s">
        <v>4867</v>
      </c>
      <c r="FHY349" s="16" t="s">
        <v>4867</v>
      </c>
      <c r="FHZ349" s="16" t="s">
        <v>4867</v>
      </c>
      <c r="FIA349" s="16" t="s">
        <v>4867</v>
      </c>
      <c r="FIB349" s="16" t="s">
        <v>4867</v>
      </c>
      <c r="FIC349" s="16" t="s">
        <v>4867</v>
      </c>
      <c r="FID349" s="16" t="s">
        <v>4867</v>
      </c>
      <c r="FIE349" s="16" t="s">
        <v>4867</v>
      </c>
      <c r="FIF349" s="16" t="s">
        <v>4867</v>
      </c>
      <c r="FIG349" s="16" t="s">
        <v>4867</v>
      </c>
      <c r="FIH349" s="16" t="s">
        <v>4867</v>
      </c>
      <c r="FII349" s="16" t="s">
        <v>4867</v>
      </c>
      <c r="FIJ349" s="16" t="s">
        <v>4867</v>
      </c>
      <c r="FIK349" s="16" t="s">
        <v>4867</v>
      </c>
      <c r="FIL349" s="16" t="s">
        <v>4867</v>
      </c>
      <c r="FIM349" s="16" t="s">
        <v>4867</v>
      </c>
      <c r="FIN349" s="16" t="s">
        <v>4867</v>
      </c>
      <c r="FIO349" s="16" t="s">
        <v>4867</v>
      </c>
      <c r="FIP349" s="16" t="s">
        <v>4867</v>
      </c>
      <c r="FIQ349" s="16" t="s">
        <v>4867</v>
      </c>
      <c r="FIR349" s="16" t="s">
        <v>4867</v>
      </c>
      <c r="FIS349" s="16" t="s">
        <v>4867</v>
      </c>
      <c r="FIT349" s="16" t="s">
        <v>4867</v>
      </c>
      <c r="FIU349" s="16" t="s">
        <v>4867</v>
      </c>
      <c r="FIV349" s="16" t="s">
        <v>4867</v>
      </c>
      <c r="FIW349" s="16" t="s">
        <v>4867</v>
      </c>
      <c r="FIX349" s="16" t="s">
        <v>4867</v>
      </c>
      <c r="FIY349" s="16" t="s">
        <v>4867</v>
      </c>
      <c r="FIZ349" s="16" t="s">
        <v>4867</v>
      </c>
      <c r="FJA349" s="16" t="s">
        <v>4867</v>
      </c>
      <c r="FJB349" s="16" t="s">
        <v>4867</v>
      </c>
      <c r="FJC349" s="16" t="s">
        <v>4867</v>
      </c>
      <c r="FJD349" s="16" t="s">
        <v>4867</v>
      </c>
      <c r="FJE349" s="16" t="s">
        <v>4867</v>
      </c>
      <c r="FJF349" s="16" t="s">
        <v>4867</v>
      </c>
      <c r="FJG349" s="16" t="s">
        <v>4867</v>
      </c>
      <c r="FJH349" s="16" t="s">
        <v>4867</v>
      </c>
      <c r="FJI349" s="16" t="s">
        <v>4867</v>
      </c>
      <c r="FJJ349" s="16" t="s">
        <v>4867</v>
      </c>
      <c r="FJK349" s="16" t="s">
        <v>4867</v>
      </c>
      <c r="FJL349" s="16" t="s">
        <v>4867</v>
      </c>
      <c r="FJM349" s="16" t="s">
        <v>4867</v>
      </c>
      <c r="FJN349" s="16" t="s">
        <v>4867</v>
      </c>
      <c r="FJO349" s="16" t="s">
        <v>4867</v>
      </c>
      <c r="FJP349" s="16" t="s">
        <v>4867</v>
      </c>
      <c r="FJQ349" s="16" t="s">
        <v>4867</v>
      </c>
      <c r="FJR349" s="16" t="s">
        <v>4867</v>
      </c>
      <c r="FJS349" s="16" t="s">
        <v>4867</v>
      </c>
      <c r="FJT349" s="16" t="s">
        <v>4867</v>
      </c>
      <c r="FJU349" s="16" t="s">
        <v>4867</v>
      </c>
      <c r="FJV349" s="16" t="s">
        <v>4867</v>
      </c>
      <c r="FJW349" s="16" t="s">
        <v>4867</v>
      </c>
      <c r="FJX349" s="16" t="s">
        <v>4867</v>
      </c>
      <c r="FJY349" s="16" t="s">
        <v>4867</v>
      </c>
      <c r="FJZ349" s="16" t="s">
        <v>4867</v>
      </c>
      <c r="FKA349" s="16" t="s">
        <v>4867</v>
      </c>
      <c r="FKB349" s="16" t="s">
        <v>4867</v>
      </c>
      <c r="FKC349" s="16" t="s">
        <v>4867</v>
      </c>
      <c r="FKD349" s="16" t="s">
        <v>4867</v>
      </c>
      <c r="FKE349" s="16" t="s">
        <v>4867</v>
      </c>
      <c r="FKF349" s="16" t="s">
        <v>4867</v>
      </c>
      <c r="FKG349" s="16" t="s">
        <v>4867</v>
      </c>
      <c r="FKH349" s="16" t="s">
        <v>4867</v>
      </c>
      <c r="FKI349" s="16" t="s">
        <v>4867</v>
      </c>
      <c r="FKJ349" s="16" t="s">
        <v>4867</v>
      </c>
      <c r="FKK349" s="16" t="s">
        <v>4867</v>
      </c>
      <c r="FKL349" s="16" t="s">
        <v>4867</v>
      </c>
      <c r="FKM349" s="16" t="s">
        <v>4867</v>
      </c>
      <c r="FKN349" s="16" t="s">
        <v>4867</v>
      </c>
      <c r="FKO349" s="16" t="s">
        <v>4867</v>
      </c>
      <c r="FKP349" s="16" t="s">
        <v>4867</v>
      </c>
      <c r="FKQ349" s="16" t="s">
        <v>4867</v>
      </c>
      <c r="FKR349" s="16" t="s">
        <v>4867</v>
      </c>
      <c r="FKS349" s="16" t="s">
        <v>4867</v>
      </c>
      <c r="FKT349" s="16" t="s">
        <v>4867</v>
      </c>
      <c r="FKU349" s="16" t="s">
        <v>4867</v>
      </c>
      <c r="FKV349" s="16" t="s">
        <v>4867</v>
      </c>
      <c r="FKW349" s="16" t="s">
        <v>4867</v>
      </c>
      <c r="FKX349" s="16" t="s">
        <v>4867</v>
      </c>
      <c r="FKY349" s="16" t="s">
        <v>4867</v>
      </c>
      <c r="FKZ349" s="16" t="s">
        <v>4867</v>
      </c>
      <c r="FLA349" s="16" t="s">
        <v>4867</v>
      </c>
      <c r="FLB349" s="16" t="s">
        <v>4867</v>
      </c>
      <c r="FLC349" s="16" t="s">
        <v>4867</v>
      </c>
      <c r="FLD349" s="16" t="s">
        <v>4867</v>
      </c>
      <c r="FLE349" s="16" t="s">
        <v>4867</v>
      </c>
      <c r="FLF349" s="16" t="s">
        <v>4867</v>
      </c>
      <c r="FLG349" s="16" t="s">
        <v>4867</v>
      </c>
      <c r="FLH349" s="16" t="s">
        <v>4867</v>
      </c>
      <c r="FLI349" s="16" t="s">
        <v>4867</v>
      </c>
      <c r="FLJ349" s="16" t="s">
        <v>4867</v>
      </c>
      <c r="FLK349" s="16" t="s">
        <v>4867</v>
      </c>
      <c r="FLL349" s="16" t="s">
        <v>4867</v>
      </c>
      <c r="FLM349" s="16" t="s">
        <v>4867</v>
      </c>
      <c r="FLN349" s="16" t="s">
        <v>4867</v>
      </c>
      <c r="FLO349" s="16" t="s">
        <v>4867</v>
      </c>
      <c r="FLP349" s="16" t="s">
        <v>4867</v>
      </c>
      <c r="FLQ349" s="16" t="s">
        <v>4867</v>
      </c>
      <c r="FLR349" s="16" t="s">
        <v>4867</v>
      </c>
      <c r="FLS349" s="16" t="s">
        <v>4867</v>
      </c>
      <c r="FLT349" s="16" t="s">
        <v>4867</v>
      </c>
      <c r="FLU349" s="16" t="s">
        <v>4867</v>
      </c>
      <c r="FLV349" s="16" t="s">
        <v>4867</v>
      </c>
      <c r="FLW349" s="16" t="s">
        <v>4867</v>
      </c>
      <c r="FLX349" s="16" t="s">
        <v>4867</v>
      </c>
      <c r="FLY349" s="16" t="s">
        <v>4867</v>
      </c>
      <c r="FLZ349" s="16" t="s">
        <v>4867</v>
      </c>
      <c r="FMA349" s="16" t="s">
        <v>4867</v>
      </c>
      <c r="FMB349" s="16" t="s">
        <v>4867</v>
      </c>
      <c r="FMC349" s="16" t="s">
        <v>4867</v>
      </c>
      <c r="FMD349" s="16" t="s">
        <v>4867</v>
      </c>
      <c r="FME349" s="16" t="s">
        <v>4867</v>
      </c>
      <c r="FMF349" s="16" t="s">
        <v>4867</v>
      </c>
      <c r="FMG349" s="16" t="s">
        <v>4867</v>
      </c>
      <c r="FMH349" s="16" t="s">
        <v>4867</v>
      </c>
      <c r="FMI349" s="16" t="s">
        <v>4867</v>
      </c>
      <c r="FMJ349" s="16" t="s">
        <v>4867</v>
      </c>
      <c r="FMK349" s="16" t="s">
        <v>4867</v>
      </c>
      <c r="FML349" s="16" t="s">
        <v>4867</v>
      </c>
      <c r="FMM349" s="16" t="s">
        <v>4867</v>
      </c>
      <c r="FMN349" s="16" t="s">
        <v>4867</v>
      </c>
      <c r="FMO349" s="16" t="s">
        <v>4867</v>
      </c>
      <c r="FMP349" s="16" t="s">
        <v>4867</v>
      </c>
      <c r="FMQ349" s="16" t="s">
        <v>4867</v>
      </c>
      <c r="FMR349" s="16" t="s">
        <v>4867</v>
      </c>
      <c r="FMS349" s="16" t="s">
        <v>4867</v>
      </c>
      <c r="FMT349" s="16" t="s">
        <v>4867</v>
      </c>
      <c r="FMU349" s="16" t="s">
        <v>4867</v>
      </c>
      <c r="FMV349" s="16" t="s">
        <v>4867</v>
      </c>
      <c r="FMW349" s="16" t="s">
        <v>4867</v>
      </c>
      <c r="FMX349" s="16" t="s">
        <v>4867</v>
      </c>
      <c r="FMY349" s="16" t="s">
        <v>4867</v>
      </c>
      <c r="FMZ349" s="16" t="s">
        <v>4867</v>
      </c>
      <c r="FNA349" s="16" t="s">
        <v>4867</v>
      </c>
      <c r="FNB349" s="16" t="s">
        <v>4867</v>
      </c>
      <c r="FNC349" s="16" t="s">
        <v>4867</v>
      </c>
      <c r="FND349" s="16" t="s">
        <v>4867</v>
      </c>
      <c r="FNE349" s="16" t="s">
        <v>4867</v>
      </c>
      <c r="FNF349" s="16" t="s">
        <v>4867</v>
      </c>
      <c r="FNG349" s="16" t="s">
        <v>4867</v>
      </c>
      <c r="FNH349" s="16" t="s">
        <v>4867</v>
      </c>
      <c r="FNI349" s="16" t="s">
        <v>4867</v>
      </c>
      <c r="FNJ349" s="16" t="s">
        <v>4867</v>
      </c>
      <c r="FNK349" s="16" t="s">
        <v>4867</v>
      </c>
      <c r="FNL349" s="16" t="s">
        <v>4867</v>
      </c>
      <c r="FNM349" s="16" t="s">
        <v>4867</v>
      </c>
      <c r="FNN349" s="16" t="s">
        <v>4867</v>
      </c>
      <c r="FNO349" s="16" t="s">
        <v>4867</v>
      </c>
      <c r="FNP349" s="16" t="s">
        <v>4867</v>
      </c>
      <c r="FNQ349" s="16" t="s">
        <v>4867</v>
      </c>
      <c r="FNR349" s="16" t="s">
        <v>4867</v>
      </c>
      <c r="FNS349" s="16" t="s">
        <v>4867</v>
      </c>
      <c r="FNT349" s="16" t="s">
        <v>4867</v>
      </c>
      <c r="FNU349" s="16" t="s">
        <v>4867</v>
      </c>
      <c r="FNV349" s="16" t="s">
        <v>4867</v>
      </c>
      <c r="FNW349" s="16" t="s">
        <v>4867</v>
      </c>
      <c r="FNX349" s="16" t="s">
        <v>4867</v>
      </c>
      <c r="FNY349" s="16" t="s">
        <v>4867</v>
      </c>
      <c r="FNZ349" s="16" t="s">
        <v>4867</v>
      </c>
      <c r="FOA349" s="16" t="s">
        <v>4867</v>
      </c>
      <c r="FOB349" s="16" t="s">
        <v>4867</v>
      </c>
      <c r="FOC349" s="16" t="s">
        <v>4867</v>
      </c>
      <c r="FOD349" s="16" t="s">
        <v>4867</v>
      </c>
      <c r="FOE349" s="16" t="s">
        <v>4867</v>
      </c>
      <c r="FOF349" s="16" t="s">
        <v>4867</v>
      </c>
      <c r="FOG349" s="16" t="s">
        <v>4867</v>
      </c>
      <c r="FOH349" s="16" t="s">
        <v>4867</v>
      </c>
      <c r="FOI349" s="16" t="s">
        <v>4867</v>
      </c>
      <c r="FOJ349" s="16" t="s">
        <v>4867</v>
      </c>
      <c r="FOK349" s="16" t="s">
        <v>4867</v>
      </c>
      <c r="FOL349" s="16" t="s">
        <v>4867</v>
      </c>
      <c r="FOM349" s="16" t="s">
        <v>4867</v>
      </c>
      <c r="FON349" s="16" t="s">
        <v>4867</v>
      </c>
      <c r="FOO349" s="16" t="s">
        <v>4867</v>
      </c>
      <c r="FOP349" s="16" t="s">
        <v>4867</v>
      </c>
      <c r="FOQ349" s="16" t="s">
        <v>4867</v>
      </c>
      <c r="FOR349" s="16" t="s">
        <v>4867</v>
      </c>
      <c r="FOS349" s="16" t="s">
        <v>4867</v>
      </c>
      <c r="FOT349" s="16" t="s">
        <v>4867</v>
      </c>
      <c r="FOU349" s="16" t="s">
        <v>4867</v>
      </c>
      <c r="FOV349" s="16" t="s">
        <v>4867</v>
      </c>
      <c r="FOW349" s="16" t="s">
        <v>4867</v>
      </c>
      <c r="FOX349" s="16" t="s">
        <v>4867</v>
      </c>
      <c r="FOY349" s="16" t="s">
        <v>4867</v>
      </c>
      <c r="FOZ349" s="16" t="s">
        <v>4867</v>
      </c>
      <c r="FPA349" s="16" t="s">
        <v>4867</v>
      </c>
      <c r="FPB349" s="16" t="s">
        <v>4867</v>
      </c>
      <c r="FPC349" s="16" t="s">
        <v>4867</v>
      </c>
      <c r="FPD349" s="16" t="s">
        <v>4867</v>
      </c>
      <c r="FPE349" s="16" t="s">
        <v>4867</v>
      </c>
      <c r="FPF349" s="16" t="s">
        <v>4867</v>
      </c>
      <c r="FPG349" s="16" t="s">
        <v>4867</v>
      </c>
      <c r="FPH349" s="16" t="s">
        <v>4867</v>
      </c>
      <c r="FPI349" s="16" t="s">
        <v>4867</v>
      </c>
      <c r="FPJ349" s="16" t="s">
        <v>4867</v>
      </c>
      <c r="FPK349" s="16" t="s">
        <v>4867</v>
      </c>
      <c r="FPL349" s="16" t="s">
        <v>4867</v>
      </c>
      <c r="FPM349" s="16" t="s">
        <v>4867</v>
      </c>
      <c r="FPN349" s="16" t="s">
        <v>4867</v>
      </c>
      <c r="FPO349" s="16" t="s">
        <v>4867</v>
      </c>
      <c r="FPP349" s="16" t="s">
        <v>4867</v>
      </c>
      <c r="FPQ349" s="16" t="s">
        <v>4867</v>
      </c>
      <c r="FPR349" s="16" t="s">
        <v>4867</v>
      </c>
      <c r="FPS349" s="16" t="s">
        <v>4867</v>
      </c>
      <c r="FPT349" s="16" t="s">
        <v>4867</v>
      </c>
      <c r="FPU349" s="16" t="s">
        <v>4867</v>
      </c>
      <c r="FPV349" s="16" t="s">
        <v>4867</v>
      </c>
      <c r="FPW349" s="16" t="s">
        <v>4867</v>
      </c>
      <c r="FPX349" s="16" t="s">
        <v>4867</v>
      </c>
      <c r="FPY349" s="16" t="s">
        <v>4867</v>
      </c>
      <c r="FPZ349" s="16" t="s">
        <v>4867</v>
      </c>
      <c r="FQA349" s="16" t="s">
        <v>4867</v>
      </c>
      <c r="FQB349" s="16" t="s">
        <v>4867</v>
      </c>
      <c r="FQC349" s="16" t="s">
        <v>4867</v>
      </c>
      <c r="FQD349" s="16" t="s">
        <v>4867</v>
      </c>
      <c r="FQE349" s="16" t="s">
        <v>4867</v>
      </c>
      <c r="FQF349" s="16" t="s">
        <v>4867</v>
      </c>
      <c r="FQG349" s="16" t="s">
        <v>4867</v>
      </c>
      <c r="FQH349" s="16" t="s">
        <v>4867</v>
      </c>
      <c r="FQI349" s="16" t="s">
        <v>4867</v>
      </c>
      <c r="FQJ349" s="16" t="s">
        <v>4867</v>
      </c>
      <c r="FQK349" s="16" t="s">
        <v>4867</v>
      </c>
      <c r="FQL349" s="16" t="s">
        <v>4867</v>
      </c>
      <c r="FQM349" s="16" t="s">
        <v>4867</v>
      </c>
      <c r="FQN349" s="16" t="s">
        <v>4867</v>
      </c>
      <c r="FQO349" s="16" t="s">
        <v>4867</v>
      </c>
      <c r="FQP349" s="16" t="s">
        <v>4867</v>
      </c>
      <c r="FQQ349" s="16" t="s">
        <v>4867</v>
      </c>
      <c r="FQR349" s="16" t="s">
        <v>4867</v>
      </c>
      <c r="FQS349" s="16" t="s">
        <v>4867</v>
      </c>
      <c r="FQT349" s="16" t="s">
        <v>4867</v>
      </c>
      <c r="FQU349" s="16" t="s">
        <v>4867</v>
      </c>
      <c r="FQV349" s="16" t="s">
        <v>4867</v>
      </c>
      <c r="FQW349" s="16" t="s">
        <v>4867</v>
      </c>
      <c r="FQX349" s="16" t="s">
        <v>4867</v>
      </c>
      <c r="FQY349" s="16" t="s">
        <v>4867</v>
      </c>
      <c r="FQZ349" s="16" t="s">
        <v>4867</v>
      </c>
      <c r="FRA349" s="16" t="s">
        <v>4867</v>
      </c>
      <c r="FRB349" s="16" t="s">
        <v>4867</v>
      </c>
      <c r="FRC349" s="16" t="s">
        <v>4867</v>
      </c>
      <c r="FRD349" s="16" t="s">
        <v>4867</v>
      </c>
      <c r="FRE349" s="16" t="s">
        <v>4867</v>
      </c>
      <c r="FRF349" s="16" t="s">
        <v>4867</v>
      </c>
      <c r="FRG349" s="16" t="s">
        <v>4867</v>
      </c>
      <c r="FRH349" s="16" t="s">
        <v>4867</v>
      </c>
      <c r="FRI349" s="16" t="s">
        <v>4867</v>
      </c>
      <c r="FRJ349" s="16" t="s">
        <v>4867</v>
      </c>
      <c r="FRK349" s="16" t="s">
        <v>4867</v>
      </c>
      <c r="FRL349" s="16" t="s">
        <v>4867</v>
      </c>
      <c r="FRM349" s="16" t="s">
        <v>4867</v>
      </c>
      <c r="FRN349" s="16" t="s">
        <v>4867</v>
      </c>
      <c r="FRO349" s="16" t="s">
        <v>4867</v>
      </c>
      <c r="FRP349" s="16" t="s">
        <v>4867</v>
      </c>
      <c r="FRQ349" s="16" t="s">
        <v>4867</v>
      </c>
      <c r="FRR349" s="16" t="s">
        <v>4867</v>
      </c>
      <c r="FRS349" s="16" t="s">
        <v>4867</v>
      </c>
      <c r="FRT349" s="16" t="s">
        <v>4867</v>
      </c>
      <c r="FRU349" s="16" t="s">
        <v>4867</v>
      </c>
      <c r="FRV349" s="16" t="s">
        <v>4867</v>
      </c>
      <c r="FRW349" s="16" t="s">
        <v>4867</v>
      </c>
      <c r="FRX349" s="16" t="s">
        <v>4867</v>
      </c>
      <c r="FRY349" s="16" t="s">
        <v>4867</v>
      </c>
      <c r="FRZ349" s="16" t="s">
        <v>4867</v>
      </c>
      <c r="FSA349" s="16" t="s">
        <v>4867</v>
      </c>
      <c r="FSB349" s="16" t="s">
        <v>4867</v>
      </c>
      <c r="FSC349" s="16" t="s">
        <v>4867</v>
      </c>
      <c r="FSD349" s="16" t="s">
        <v>4867</v>
      </c>
      <c r="FSE349" s="16" t="s">
        <v>4867</v>
      </c>
      <c r="FSF349" s="16" t="s">
        <v>4867</v>
      </c>
      <c r="FSG349" s="16" t="s">
        <v>4867</v>
      </c>
      <c r="FSH349" s="16" t="s">
        <v>4867</v>
      </c>
      <c r="FSI349" s="16" t="s">
        <v>4867</v>
      </c>
      <c r="FSJ349" s="16" t="s">
        <v>4867</v>
      </c>
      <c r="FSK349" s="16" t="s">
        <v>4867</v>
      </c>
      <c r="FSL349" s="16" t="s">
        <v>4867</v>
      </c>
      <c r="FSM349" s="16" t="s">
        <v>4867</v>
      </c>
      <c r="FSN349" s="16" t="s">
        <v>4867</v>
      </c>
      <c r="FSO349" s="16" t="s">
        <v>4867</v>
      </c>
      <c r="FSP349" s="16" t="s">
        <v>4867</v>
      </c>
      <c r="FSQ349" s="16" t="s">
        <v>4867</v>
      </c>
      <c r="FSR349" s="16" t="s">
        <v>4867</v>
      </c>
      <c r="FSS349" s="16" t="s">
        <v>4867</v>
      </c>
      <c r="FST349" s="16" t="s">
        <v>4867</v>
      </c>
      <c r="FSU349" s="16" t="s">
        <v>4867</v>
      </c>
      <c r="FSV349" s="16" t="s">
        <v>4867</v>
      </c>
      <c r="FSW349" s="16" t="s">
        <v>4867</v>
      </c>
      <c r="FSX349" s="16" t="s">
        <v>4867</v>
      </c>
      <c r="FSY349" s="16" t="s">
        <v>4867</v>
      </c>
      <c r="FSZ349" s="16" t="s">
        <v>4867</v>
      </c>
      <c r="FTA349" s="16" t="s">
        <v>4867</v>
      </c>
      <c r="FTB349" s="16" t="s">
        <v>4867</v>
      </c>
      <c r="FTC349" s="16" t="s">
        <v>4867</v>
      </c>
      <c r="FTD349" s="16" t="s">
        <v>4867</v>
      </c>
      <c r="FTE349" s="16" t="s">
        <v>4867</v>
      </c>
      <c r="FTF349" s="16" t="s">
        <v>4867</v>
      </c>
      <c r="FTG349" s="16" t="s">
        <v>4867</v>
      </c>
      <c r="FTH349" s="16" t="s">
        <v>4867</v>
      </c>
      <c r="FTI349" s="16" t="s">
        <v>4867</v>
      </c>
      <c r="FTJ349" s="16" t="s">
        <v>4867</v>
      </c>
      <c r="FTK349" s="16" t="s">
        <v>4867</v>
      </c>
      <c r="FTL349" s="16" t="s">
        <v>4867</v>
      </c>
      <c r="FTM349" s="16" t="s">
        <v>4867</v>
      </c>
      <c r="FTN349" s="16" t="s">
        <v>4867</v>
      </c>
      <c r="FTO349" s="16" t="s">
        <v>4867</v>
      </c>
      <c r="FTP349" s="16" t="s">
        <v>4867</v>
      </c>
      <c r="FTQ349" s="16" t="s">
        <v>4867</v>
      </c>
      <c r="FTR349" s="16" t="s">
        <v>4867</v>
      </c>
      <c r="FTS349" s="16" t="s">
        <v>4867</v>
      </c>
      <c r="FTT349" s="16" t="s">
        <v>4867</v>
      </c>
      <c r="FTU349" s="16" t="s">
        <v>4867</v>
      </c>
      <c r="FTV349" s="16" t="s">
        <v>4867</v>
      </c>
      <c r="FTW349" s="16" t="s">
        <v>4867</v>
      </c>
      <c r="FTX349" s="16" t="s">
        <v>4867</v>
      </c>
      <c r="FTY349" s="16" t="s">
        <v>4867</v>
      </c>
      <c r="FTZ349" s="16" t="s">
        <v>4867</v>
      </c>
      <c r="FUA349" s="16" t="s">
        <v>4867</v>
      </c>
      <c r="FUB349" s="16" t="s">
        <v>4867</v>
      </c>
      <c r="FUC349" s="16" t="s">
        <v>4867</v>
      </c>
      <c r="FUD349" s="16" t="s">
        <v>4867</v>
      </c>
      <c r="FUE349" s="16" t="s">
        <v>4867</v>
      </c>
      <c r="FUF349" s="16" t="s">
        <v>4867</v>
      </c>
      <c r="FUG349" s="16" t="s">
        <v>4867</v>
      </c>
      <c r="FUH349" s="16" t="s">
        <v>4867</v>
      </c>
      <c r="FUI349" s="16" t="s">
        <v>4867</v>
      </c>
      <c r="FUJ349" s="16" t="s">
        <v>4867</v>
      </c>
      <c r="FUK349" s="16" t="s">
        <v>4867</v>
      </c>
      <c r="FUL349" s="16" t="s">
        <v>4867</v>
      </c>
      <c r="FUM349" s="16" t="s">
        <v>4867</v>
      </c>
      <c r="FUN349" s="16" t="s">
        <v>4867</v>
      </c>
      <c r="FUO349" s="16" t="s">
        <v>4867</v>
      </c>
      <c r="FUP349" s="16" t="s">
        <v>4867</v>
      </c>
      <c r="FUQ349" s="16" t="s">
        <v>4867</v>
      </c>
      <c r="FUR349" s="16" t="s">
        <v>4867</v>
      </c>
      <c r="FUS349" s="16" t="s">
        <v>4867</v>
      </c>
      <c r="FUT349" s="16" t="s">
        <v>4867</v>
      </c>
      <c r="FUU349" s="16" t="s">
        <v>4867</v>
      </c>
      <c r="FUV349" s="16" t="s">
        <v>4867</v>
      </c>
      <c r="FUW349" s="16" t="s">
        <v>4867</v>
      </c>
      <c r="FUX349" s="16" t="s">
        <v>4867</v>
      </c>
      <c r="FUY349" s="16" t="s">
        <v>4867</v>
      </c>
      <c r="FUZ349" s="16" t="s">
        <v>4867</v>
      </c>
      <c r="FVA349" s="16" t="s">
        <v>4867</v>
      </c>
      <c r="FVB349" s="16" t="s">
        <v>4867</v>
      </c>
      <c r="FVC349" s="16" t="s">
        <v>4867</v>
      </c>
      <c r="FVD349" s="16" t="s">
        <v>4867</v>
      </c>
      <c r="FVE349" s="16" t="s">
        <v>4867</v>
      </c>
      <c r="FVF349" s="16" t="s">
        <v>4867</v>
      </c>
      <c r="FVG349" s="16" t="s">
        <v>4867</v>
      </c>
      <c r="FVH349" s="16" t="s">
        <v>4867</v>
      </c>
      <c r="FVI349" s="16" t="s">
        <v>4867</v>
      </c>
      <c r="FVJ349" s="16" t="s">
        <v>4867</v>
      </c>
      <c r="FVK349" s="16" t="s">
        <v>4867</v>
      </c>
      <c r="FVL349" s="16" t="s">
        <v>4867</v>
      </c>
      <c r="FVM349" s="16" t="s">
        <v>4867</v>
      </c>
      <c r="FVN349" s="16" t="s">
        <v>4867</v>
      </c>
      <c r="FVO349" s="16" t="s">
        <v>4867</v>
      </c>
      <c r="FVP349" s="16" t="s">
        <v>4867</v>
      </c>
      <c r="FVQ349" s="16" t="s">
        <v>4867</v>
      </c>
      <c r="FVR349" s="16" t="s">
        <v>4867</v>
      </c>
      <c r="FVS349" s="16" t="s">
        <v>4867</v>
      </c>
      <c r="FVT349" s="16" t="s">
        <v>4867</v>
      </c>
      <c r="FVU349" s="16" t="s">
        <v>4867</v>
      </c>
      <c r="FVV349" s="16" t="s">
        <v>4867</v>
      </c>
      <c r="FVW349" s="16" t="s">
        <v>4867</v>
      </c>
      <c r="FVX349" s="16" t="s">
        <v>4867</v>
      </c>
      <c r="FVY349" s="16" t="s">
        <v>4867</v>
      </c>
      <c r="FVZ349" s="16" t="s">
        <v>4867</v>
      </c>
      <c r="FWA349" s="16" t="s">
        <v>4867</v>
      </c>
      <c r="FWB349" s="16" t="s">
        <v>4867</v>
      </c>
      <c r="FWC349" s="16" t="s">
        <v>4867</v>
      </c>
      <c r="FWD349" s="16" t="s">
        <v>4867</v>
      </c>
      <c r="FWE349" s="16" t="s">
        <v>4867</v>
      </c>
      <c r="FWF349" s="16" t="s">
        <v>4867</v>
      </c>
      <c r="FWG349" s="16" t="s">
        <v>4867</v>
      </c>
      <c r="FWH349" s="16" t="s">
        <v>4867</v>
      </c>
      <c r="FWI349" s="16" t="s">
        <v>4867</v>
      </c>
      <c r="FWJ349" s="16" t="s">
        <v>4867</v>
      </c>
      <c r="FWK349" s="16" t="s">
        <v>4867</v>
      </c>
      <c r="FWL349" s="16" t="s">
        <v>4867</v>
      </c>
      <c r="FWM349" s="16" t="s">
        <v>4867</v>
      </c>
      <c r="FWN349" s="16" t="s">
        <v>4867</v>
      </c>
      <c r="FWO349" s="16" t="s">
        <v>4867</v>
      </c>
      <c r="FWP349" s="16" t="s">
        <v>4867</v>
      </c>
      <c r="FWQ349" s="16" t="s">
        <v>4867</v>
      </c>
      <c r="FWR349" s="16" t="s">
        <v>4867</v>
      </c>
      <c r="FWS349" s="16" t="s">
        <v>4867</v>
      </c>
      <c r="FWT349" s="16" t="s">
        <v>4867</v>
      </c>
      <c r="FWU349" s="16" t="s">
        <v>4867</v>
      </c>
      <c r="FWV349" s="16" t="s">
        <v>4867</v>
      </c>
      <c r="FWW349" s="16" t="s">
        <v>4867</v>
      </c>
      <c r="FWX349" s="16" t="s">
        <v>4867</v>
      </c>
      <c r="FWY349" s="16" t="s">
        <v>4867</v>
      </c>
      <c r="FWZ349" s="16" t="s">
        <v>4867</v>
      </c>
      <c r="FXA349" s="16" t="s">
        <v>4867</v>
      </c>
      <c r="FXB349" s="16" t="s">
        <v>4867</v>
      </c>
      <c r="FXC349" s="16" t="s">
        <v>4867</v>
      </c>
      <c r="FXD349" s="16" t="s">
        <v>4867</v>
      </c>
      <c r="FXE349" s="16" t="s">
        <v>4867</v>
      </c>
      <c r="FXF349" s="16" t="s">
        <v>4867</v>
      </c>
      <c r="FXG349" s="16" t="s">
        <v>4867</v>
      </c>
      <c r="FXH349" s="16" t="s">
        <v>4867</v>
      </c>
      <c r="FXI349" s="16" t="s">
        <v>4867</v>
      </c>
      <c r="FXJ349" s="16" t="s">
        <v>4867</v>
      </c>
      <c r="FXK349" s="16" t="s">
        <v>4867</v>
      </c>
      <c r="FXL349" s="16" t="s">
        <v>4867</v>
      </c>
      <c r="FXM349" s="16" t="s">
        <v>4867</v>
      </c>
      <c r="FXN349" s="16" t="s">
        <v>4867</v>
      </c>
      <c r="FXO349" s="16" t="s">
        <v>4867</v>
      </c>
      <c r="FXP349" s="16" t="s">
        <v>4867</v>
      </c>
      <c r="FXQ349" s="16" t="s">
        <v>4867</v>
      </c>
      <c r="FXR349" s="16" t="s">
        <v>4867</v>
      </c>
      <c r="FXS349" s="16" t="s">
        <v>4867</v>
      </c>
      <c r="FXT349" s="16" t="s">
        <v>4867</v>
      </c>
      <c r="FXU349" s="16" t="s">
        <v>4867</v>
      </c>
      <c r="FXV349" s="16" t="s">
        <v>4867</v>
      </c>
      <c r="FXW349" s="16" t="s">
        <v>4867</v>
      </c>
      <c r="FXX349" s="16" t="s">
        <v>4867</v>
      </c>
      <c r="FXY349" s="16" t="s">
        <v>4867</v>
      </c>
      <c r="FXZ349" s="16" t="s">
        <v>4867</v>
      </c>
      <c r="FYA349" s="16" t="s">
        <v>4867</v>
      </c>
      <c r="FYB349" s="16" t="s">
        <v>4867</v>
      </c>
      <c r="FYC349" s="16" t="s">
        <v>4867</v>
      </c>
      <c r="FYD349" s="16" t="s">
        <v>4867</v>
      </c>
      <c r="FYE349" s="16" t="s">
        <v>4867</v>
      </c>
      <c r="FYF349" s="16" t="s">
        <v>4867</v>
      </c>
      <c r="FYG349" s="16" t="s">
        <v>4867</v>
      </c>
      <c r="FYH349" s="16" t="s">
        <v>4867</v>
      </c>
      <c r="FYI349" s="16" t="s">
        <v>4867</v>
      </c>
      <c r="FYJ349" s="16" t="s">
        <v>4867</v>
      </c>
      <c r="FYK349" s="16" t="s">
        <v>4867</v>
      </c>
      <c r="FYL349" s="16" t="s">
        <v>4867</v>
      </c>
      <c r="FYM349" s="16" t="s">
        <v>4867</v>
      </c>
      <c r="FYN349" s="16" t="s">
        <v>4867</v>
      </c>
      <c r="FYO349" s="16" t="s">
        <v>4867</v>
      </c>
      <c r="FYP349" s="16" t="s">
        <v>4867</v>
      </c>
      <c r="FYQ349" s="16" t="s">
        <v>4867</v>
      </c>
      <c r="FYR349" s="16" t="s">
        <v>4867</v>
      </c>
      <c r="FYS349" s="16" t="s">
        <v>4867</v>
      </c>
      <c r="FYT349" s="16" t="s">
        <v>4867</v>
      </c>
      <c r="FYU349" s="16" t="s">
        <v>4867</v>
      </c>
      <c r="FYV349" s="16" t="s">
        <v>4867</v>
      </c>
      <c r="FYW349" s="16" t="s">
        <v>4867</v>
      </c>
      <c r="FYX349" s="16" t="s">
        <v>4867</v>
      </c>
      <c r="FYY349" s="16" t="s">
        <v>4867</v>
      </c>
      <c r="FYZ349" s="16" t="s">
        <v>4867</v>
      </c>
      <c r="FZA349" s="16" t="s">
        <v>4867</v>
      </c>
      <c r="FZB349" s="16" t="s">
        <v>4867</v>
      </c>
      <c r="FZC349" s="16" t="s">
        <v>4867</v>
      </c>
      <c r="FZD349" s="16" t="s">
        <v>4867</v>
      </c>
      <c r="FZE349" s="16" t="s">
        <v>4867</v>
      </c>
      <c r="FZF349" s="16" t="s">
        <v>4867</v>
      </c>
      <c r="FZG349" s="16" t="s">
        <v>4867</v>
      </c>
      <c r="FZH349" s="16" t="s">
        <v>4867</v>
      </c>
      <c r="FZI349" s="16" t="s">
        <v>4867</v>
      </c>
      <c r="FZJ349" s="16" t="s">
        <v>4867</v>
      </c>
      <c r="FZK349" s="16" t="s">
        <v>4867</v>
      </c>
      <c r="FZL349" s="16" t="s">
        <v>4867</v>
      </c>
      <c r="FZM349" s="16" t="s">
        <v>4867</v>
      </c>
      <c r="FZN349" s="16" t="s">
        <v>4867</v>
      </c>
      <c r="FZO349" s="16" t="s">
        <v>4867</v>
      </c>
      <c r="FZP349" s="16" t="s">
        <v>4867</v>
      </c>
      <c r="FZQ349" s="16" t="s">
        <v>4867</v>
      </c>
      <c r="FZR349" s="16" t="s">
        <v>4867</v>
      </c>
      <c r="FZS349" s="16" t="s">
        <v>4867</v>
      </c>
      <c r="FZT349" s="16" t="s">
        <v>4867</v>
      </c>
      <c r="FZU349" s="16" t="s">
        <v>4867</v>
      </c>
      <c r="FZV349" s="16" t="s">
        <v>4867</v>
      </c>
      <c r="FZW349" s="16" t="s">
        <v>4867</v>
      </c>
      <c r="FZX349" s="16" t="s">
        <v>4867</v>
      </c>
      <c r="FZY349" s="16" t="s">
        <v>4867</v>
      </c>
      <c r="FZZ349" s="16" t="s">
        <v>4867</v>
      </c>
      <c r="GAA349" s="16" t="s">
        <v>4867</v>
      </c>
      <c r="GAB349" s="16" t="s">
        <v>4867</v>
      </c>
      <c r="GAC349" s="16" t="s">
        <v>4867</v>
      </c>
      <c r="GAD349" s="16" t="s">
        <v>4867</v>
      </c>
      <c r="GAE349" s="16" t="s">
        <v>4867</v>
      </c>
      <c r="GAF349" s="16" t="s">
        <v>4867</v>
      </c>
      <c r="GAG349" s="16" t="s">
        <v>4867</v>
      </c>
      <c r="GAH349" s="16" t="s">
        <v>4867</v>
      </c>
      <c r="GAI349" s="16" t="s">
        <v>4867</v>
      </c>
      <c r="GAJ349" s="16" t="s">
        <v>4867</v>
      </c>
      <c r="GAK349" s="16" t="s">
        <v>4867</v>
      </c>
      <c r="GAL349" s="16" t="s">
        <v>4867</v>
      </c>
      <c r="GAM349" s="16" t="s">
        <v>4867</v>
      </c>
      <c r="GAN349" s="16" t="s">
        <v>4867</v>
      </c>
      <c r="GAO349" s="16" t="s">
        <v>4867</v>
      </c>
      <c r="GAP349" s="16" t="s">
        <v>4867</v>
      </c>
      <c r="GAQ349" s="16" t="s">
        <v>4867</v>
      </c>
      <c r="GAR349" s="16" t="s">
        <v>4867</v>
      </c>
      <c r="GAS349" s="16" t="s">
        <v>4867</v>
      </c>
      <c r="GAT349" s="16" t="s">
        <v>4867</v>
      </c>
      <c r="GAU349" s="16" t="s">
        <v>4867</v>
      </c>
      <c r="GAV349" s="16" t="s">
        <v>4867</v>
      </c>
      <c r="GAW349" s="16" t="s">
        <v>4867</v>
      </c>
      <c r="GAX349" s="16" t="s">
        <v>4867</v>
      </c>
      <c r="GAY349" s="16" t="s">
        <v>4867</v>
      </c>
      <c r="GAZ349" s="16" t="s">
        <v>4867</v>
      </c>
      <c r="GBA349" s="16" t="s">
        <v>4867</v>
      </c>
      <c r="GBB349" s="16" t="s">
        <v>4867</v>
      </c>
      <c r="GBC349" s="16" t="s">
        <v>4867</v>
      </c>
      <c r="GBD349" s="16" t="s">
        <v>4867</v>
      </c>
      <c r="GBE349" s="16" t="s">
        <v>4867</v>
      </c>
      <c r="GBF349" s="16" t="s">
        <v>4867</v>
      </c>
      <c r="GBG349" s="16" t="s">
        <v>4867</v>
      </c>
      <c r="GBH349" s="16" t="s">
        <v>4867</v>
      </c>
      <c r="GBI349" s="16" t="s">
        <v>4867</v>
      </c>
      <c r="GBJ349" s="16" t="s">
        <v>4867</v>
      </c>
      <c r="GBK349" s="16" t="s">
        <v>4867</v>
      </c>
      <c r="GBL349" s="16" t="s">
        <v>4867</v>
      </c>
      <c r="GBM349" s="16" t="s">
        <v>4867</v>
      </c>
      <c r="GBN349" s="16" t="s">
        <v>4867</v>
      </c>
      <c r="GBO349" s="16" t="s">
        <v>4867</v>
      </c>
      <c r="GBP349" s="16" t="s">
        <v>4867</v>
      </c>
      <c r="GBQ349" s="16" t="s">
        <v>4867</v>
      </c>
      <c r="GBR349" s="16" t="s">
        <v>4867</v>
      </c>
      <c r="GBS349" s="16" t="s">
        <v>4867</v>
      </c>
      <c r="GBT349" s="16" t="s">
        <v>4867</v>
      </c>
      <c r="GBU349" s="16" t="s">
        <v>4867</v>
      </c>
      <c r="GBV349" s="16" t="s">
        <v>4867</v>
      </c>
      <c r="GBW349" s="16" t="s">
        <v>4867</v>
      </c>
      <c r="GBX349" s="16" t="s">
        <v>4867</v>
      </c>
      <c r="GBY349" s="16" t="s">
        <v>4867</v>
      </c>
      <c r="GBZ349" s="16" t="s">
        <v>4867</v>
      </c>
      <c r="GCA349" s="16" t="s">
        <v>4867</v>
      </c>
      <c r="GCB349" s="16" t="s">
        <v>4867</v>
      </c>
      <c r="GCC349" s="16" t="s">
        <v>4867</v>
      </c>
      <c r="GCD349" s="16" t="s">
        <v>4867</v>
      </c>
      <c r="GCE349" s="16" t="s">
        <v>4867</v>
      </c>
      <c r="GCF349" s="16" t="s">
        <v>4867</v>
      </c>
      <c r="GCG349" s="16" t="s">
        <v>4867</v>
      </c>
      <c r="GCH349" s="16" t="s">
        <v>4867</v>
      </c>
      <c r="GCI349" s="16" t="s">
        <v>4867</v>
      </c>
      <c r="GCJ349" s="16" t="s">
        <v>4867</v>
      </c>
      <c r="GCK349" s="16" t="s">
        <v>4867</v>
      </c>
      <c r="GCL349" s="16" t="s">
        <v>4867</v>
      </c>
      <c r="GCM349" s="16" t="s">
        <v>4867</v>
      </c>
      <c r="GCN349" s="16" t="s">
        <v>4867</v>
      </c>
      <c r="GCO349" s="16" t="s">
        <v>4867</v>
      </c>
      <c r="GCP349" s="16" t="s">
        <v>4867</v>
      </c>
      <c r="GCQ349" s="16" t="s">
        <v>4867</v>
      </c>
      <c r="GCR349" s="16" t="s">
        <v>4867</v>
      </c>
      <c r="GCS349" s="16" t="s">
        <v>4867</v>
      </c>
      <c r="GCT349" s="16" t="s">
        <v>4867</v>
      </c>
      <c r="GCU349" s="16" t="s">
        <v>4867</v>
      </c>
      <c r="GCV349" s="16" t="s">
        <v>4867</v>
      </c>
      <c r="GCW349" s="16" t="s">
        <v>4867</v>
      </c>
      <c r="GCX349" s="16" t="s">
        <v>4867</v>
      </c>
      <c r="GCY349" s="16" t="s">
        <v>4867</v>
      </c>
      <c r="GCZ349" s="16" t="s">
        <v>4867</v>
      </c>
      <c r="GDA349" s="16" t="s">
        <v>4867</v>
      </c>
      <c r="GDB349" s="16" t="s">
        <v>4867</v>
      </c>
      <c r="GDC349" s="16" t="s">
        <v>4867</v>
      </c>
      <c r="GDD349" s="16" t="s">
        <v>4867</v>
      </c>
      <c r="GDE349" s="16" t="s">
        <v>4867</v>
      </c>
      <c r="GDF349" s="16" t="s">
        <v>4867</v>
      </c>
      <c r="GDG349" s="16" t="s">
        <v>4867</v>
      </c>
      <c r="GDH349" s="16" t="s">
        <v>4867</v>
      </c>
      <c r="GDI349" s="16" t="s">
        <v>4867</v>
      </c>
      <c r="GDJ349" s="16" t="s">
        <v>4867</v>
      </c>
      <c r="GDK349" s="16" t="s">
        <v>4867</v>
      </c>
      <c r="GDL349" s="16" t="s">
        <v>4867</v>
      </c>
      <c r="GDM349" s="16" t="s">
        <v>4867</v>
      </c>
      <c r="GDN349" s="16" t="s">
        <v>4867</v>
      </c>
      <c r="GDO349" s="16" t="s">
        <v>4867</v>
      </c>
      <c r="GDP349" s="16" t="s">
        <v>4867</v>
      </c>
      <c r="GDQ349" s="16" t="s">
        <v>4867</v>
      </c>
      <c r="GDR349" s="16" t="s">
        <v>4867</v>
      </c>
      <c r="GDS349" s="16" t="s">
        <v>4867</v>
      </c>
      <c r="GDT349" s="16" t="s">
        <v>4867</v>
      </c>
      <c r="GDU349" s="16" t="s">
        <v>4867</v>
      </c>
      <c r="GDV349" s="16" t="s">
        <v>4867</v>
      </c>
      <c r="GDW349" s="16" t="s">
        <v>4867</v>
      </c>
      <c r="GDX349" s="16" t="s">
        <v>4867</v>
      </c>
      <c r="GDY349" s="16" t="s">
        <v>4867</v>
      </c>
      <c r="GDZ349" s="16" t="s">
        <v>4867</v>
      </c>
      <c r="GEA349" s="16" t="s">
        <v>4867</v>
      </c>
      <c r="GEB349" s="16" t="s">
        <v>4867</v>
      </c>
      <c r="GEC349" s="16" t="s">
        <v>4867</v>
      </c>
      <c r="GED349" s="16" t="s">
        <v>4867</v>
      </c>
      <c r="GEE349" s="16" t="s">
        <v>4867</v>
      </c>
      <c r="GEF349" s="16" t="s">
        <v>4867</v>
      </c>
      <c r="GEG349" s="16" t="s">
        <v>4867</v>
      </c>
      <c r="GEH349" s="16" t="s">
        <v>4867</v>
      </c>
      <c r="GEI349" s="16" t="s">
        <v>4867</v>
      </c>
      <c r="GEJ349" s="16" t="s">
        <v>4867</v>
      </c>
      <c r="GEK349" s="16" t="s">
        <v>4867</v>
      </c>
      <c r="GEL349" s="16" t="s">
        <v>4867</v>
      </c>
      <c r="GEM349" s="16" t="s">
        <v>4867</v>
      </c>
      <c r="GEN349" s="16" t="s">
        <v>4867</v>
      </c>
      <c r="GEO349" s="16" t="s">
        <v>4867</v>
      </c>
      <c r="GEP349" s="16" t="s">
        <v>4867</v>
      </c>
      <c r="GEQ349" s="16" t="s">
        <v>4867</v>
      </c>
      <c r="GER349" s="16" t="s">
        <v>4867</v>
      </c>
      <c r="GES349" s="16" t="s">
        <v>4867</v>
      </c>
      <c r="GET349" s="16" t="s">
        <v>4867</v>
      </c>
      <c r="GEU349" s="16" t="s">
        <v>4867</v>
      </c>
      <c r="GEV349" s="16" t="s">
        <v>4867</v>
      </c>
      <c r="GEW349" s="16" t="s">
        <v>4867</v>
      </c>
      <c r="GEX349" s="16" t="s">
        <v>4867</v>
      </c>
      <c r="GEY349" s="16" t="s">
        <v>4867</v>
      </c>
      <c r="GEZ349" s="16" t="s">
        <v>4867</v>
      </c>
      <c r="GFA349" s="16" t="s">
        <v>4867</v>
      </c>
      <c r="GFB349" s="16" t="s">
        <v>4867</v>
      </c>
      <c r="GFC349" s="16" t="s">
        <v>4867</v>
      </c>
      <c r="GFD349" s="16" t="s">
        <v>4867</v>
      </c>
      <c r="GFE349" s="16" t="s">
        <v>4867</v>
      </c>
      <c r="GFF349" s="16" t="s">
        <v>4867</v>
      </c>
      <c r="GFG349" s="16" t="s">
        <v>4867</v>
      </c>
      <c r="GFH349" s="16" t="s">
        <v>4867</v>
      </c>
      <c r="GFI349" s="16" t="s">
        <v>4867</v>
      </c>
      <c r="GFJ349" s="16" t="s">
        <v>4867</v>
      </c>
      <c r="GFK349" s="16" t="s">
        <v>4867</v>
      </c>
      <c r="GFL349" s="16" t="s">
        <v>4867</v>
      </c>
      <c r="GFM349" s="16" t="s">
        <v>4867</v>
      </c>
      <c r="GFN349" s="16" t="s">
        <v>4867</v>
      </c>
      <c r="GFO349" s="16" t="s">
        <v>4867</v>
      </c>
      <c r="GFP349" s="16" t="s">
        <v>4867</v>
      </c>
      <c r="GFQ349" s="16" t="s">
        <v>4867</v>
      </c>
      <c r="GFR349" s="16" t="s">
        <v>4867</v>
      </c>
      <c r="GFS349" s="16" t="s">
        <v>4867</v>
      </c>
      <c r="GFT349" s="16" t="s">
        <v>4867</v>
      </c>
      <c r="GFU349" s="16" t="s">
        <v>4867</v>
      </c>
      <c r="GFV349" s="16" t="s">
        <v>4867</v>
      </c>
      <c r="GFW349" s="16" t="s">
        <v>4867</v>
      </c>
      <c r="GFX349" s="16" t="s">
        <v>4867</v>
      </c>
      <c r="GFY349" s="16" t="s">
        <v>4867</v>
      </c>
      <c r="GFZ349" s="16" t="s">
        <v>4867</v>
      </c>
      <c r="GGA349" s="16" t="s">
        <v>4867</v>
      </c>
      <c r="GGB349" s="16" t="s">
        <v>4867</v>
      </c>
      <c r="GGC349" s="16" t="s">
        <v>4867</v>
      </c>
      <c r="GGD349" s="16" t="s">
        <v>4867</v>
      </c>
      <c r="GGE349" s="16" t="s">
        <v>4867</v>
      </c>
      <c r="GGF349" s="16" t="s">
        <v>4867</v>
      </c>
      <c r="GGG349" s="16" t="s">
        <v>4867</v>
      </c>
      <c r="GGH349" s="16" t="s">
        <v>4867</v>
      </c>
      <c r="GGI349" s="16" t="s">
        <v>4867</v>
      </c>
      <c r="GGJ349" s="16" t="s">
        <v>4867</v>
      </c>
      <c r="GGK349" s="16" t="s">
        <v>4867</v>
      </c>
      <c r="GGL349" s="16" t="s">
        <v>4867</v>
      </c>
      <c r="GGM349" s="16" t="s">
        <v>4867</v>
      </c>
      <c r="GGN349" s="16" t="s">
        <v>4867</v>
      </c>
      <c r="GGO349" s="16" t="s">
        <v>4867</v>
      </c>
      <c r="GGP349" s="16" t="s">
        <v>4867</v>
      </c>
      <c r="GGQ349" s="16" t="s">
        <v>4867</v>
      </c>
      <c r="GGR349" s="16" t="s">
        <v>4867</v>
      </c>
      <c r="GGS349" s="16" t="s">
        <v>4867</v>
      </c>
      <c r="GGT349" s="16" t="s">
        <v>4867</v>
      </c>
      <c r="GGU349" s="16" t="s">
        <v>4867</v>
      </c>
      <c r="GGV349" s="16" t="s">
        <v>4867</v>
      </c>
      <c r="GGW349" s="16" t="s">
        <v>4867</v>
      </c>
      <c r="GGX349" s="16" t="s">
        <v>4867</v>
      </c>
      <c r="GGY349" s="16" t="s">
        <v>4867</v>
      </c>
      <c r="GGZ349" s="16" t="s">
        <v>4867</v>
      </c>
      <c r="GHA349" s="16" t="s">
        <v>4867</v>
      </c>
      <c r="GHB349" s="16" t="s">
        <v>4867</v>
      </c>
      <c r="GHC349" s="16" t="s">
        <v>4867</v>
      </c>
      <c r="GHD349" s="16" t="s">
        <v>4867</v>
      </c>
      <c r="GHE349" s="16" t="s">
        <v>4867</v>
      </c>
      <c r="GHF349" s="16" t="s">
        <v>4867</v>
      </c>
      <c r="GHG349" s="16" t="s">
        <v>4867</v>
      </c>
      <c r="GHH349" s="16" t="s">
        <v>4867</v>
      </c>
      <c r="GHI349" s="16" t="s">
        <v>4867</v>
      </c>
      <c r="GHJ349" s="16" t="s">
        <v>4867</v>
      </c>
      <c r="GHK349" s="16" t="s">
        <v>4867</v>
      </c>
      <c r="GHL349" s="16" t="s">
        <v>4867</v>
      </c>
      <c r="GHM349" s="16" t="s">
        <v>4867</v>
      </c>
      <c r="GHN349" s="16" t="s">
        <v>4867</v>
      </c>
      <c r="GHO349" s="16" t="s">
        <v>4867</v>
      </c>
      <c r="GHP349" s="16" t="s">
        <v>4867</v>
      </c>
      <c r="GHQ349" s="16" t="s">
        <v>4867</v>
      </c>
      <c r="GHR349" s="16" t="s">
        <v>4867</v>
      </c>
      <c r="GHS349" s="16" t="s">
        <v>4867</v>
      </c>
      <c r="GHT349" s="16" t="s">
        <v>4867</v>
      </c>
      <c r="GHU349" s="16" t="s">
        <v>4867</v>
      </c>
      <c r="GHV349" s="16" t="s">
        <v>4867</v>
      </c>
      <c r="GHW349" s="16" t="s">
        <v>4867</v>
      </c>
      <c r="GHX349" s="16" t="s">
        <v>4867</v>
      </c>
      <c r="GHY349" s="16" t="s">
        <v>4867</v>
      </c>
      <c r="GHZ349" s="16" t="s">
        <v>4867</v>
      </c>
      <c r="GIA349" s="16" t="s">
        <v>4867</v>
      </c>
      <c r="GIB349" s="16" t="s">
        <v>4867</v>
      </c>
      <c r="GIC349" s="16" t="s">
        <v>4867</v>
      </c>
      <c r="GID349" s="16" t="s">
        <v>4867</v>
      </c>
      <c r="GIE349" s="16" t="s">
        <v>4867</v>
      </c>
      <c r="GIF349" s="16" t="s">
        <v>4867</v>
      </c>
      <c r="GIG349" s="16" t="s">
        <v>4867</v>
      </c>
      <c r="GIH349" s="16" t="s">
        <v>4867</v>
      </c>
      <c r="GII349" s="16" t="s">
        <v>4867</v>
      </c>
      <c r="GIJ349" s="16" t="s">
        <v>4867</v>
      </c>
      <c r="GIK349" s="16" t="s">
        <v>4867</v>
      </c>
      <c r="GIL349" s="16" t="s">
        <v>4867</v>
      </c>
      <c r="GIM349" s="16" t="s">
        <v>4867</v>
      </c>
      <c r="GIN349" s="16" t="s">
        <v>4867</v>
      </c>
      <c r="GIO349" s="16" t="s">
        <v>4867</v>
      </c>
      <c r="GIP349" s="16" t="s">
        <v>4867</v>
      </c>
      <c r="GIQ349" s="16" t="s">
        <v>4867</v>
      </c>
      <c r="GIR349" s="16" t="s">
        <v>4867</v>
      </c>
      <c r="GIS349" s="16" t="s">
        <v>4867</v>
      </c>
      <c r="GIT349" s="16" t="s">
        <v>4867</v>
      </c>
      <c r="GIU349" s="16" t="s">
        <v>4867</v>
      </c>
      <c r="GIV349" s="16" t="s">
        <v>4867</v>
      </c>
      <c r="GIW349" s="16" t="s">
        <v>4867</v>
      </c>
      <c r="GIX349" s="16" t="s">
        <v>4867</v>
      </c>
      <c r="GIY349" s="16" t="s">
        <v>4867</v>
      </c>
      <c r="GIZ349" s="16" t="s">
        <v>4867</v>
      </c>
      <c r="GJA349" s="16" t="s">
        <v>4867</v>
      </c>
      <c r="GJB349" s="16" t="s">
        <v>4867</v>
      </c>
      <c r="GJC349" s="16" t="s">
        <v>4867</v>
      </c>
      <c r="GJD349" s="16" t="s">
        <v>4867</v>
      </c>
      <c r="GJE349" s="16" t="s">
        <v>4867</v>
      </c>
      <c r="GJF349" s="16" t="s">
        <v>4867</v>
      </c>
      <c r="GJG349" s="16" t="s">
        <v>4867</v>
      </c>
      <c r="GJH349" s="16" t="s">
        <v>4867</v>
      </c>
      <c r="GJI349" s="16" t="s">
        <v>4867</v>
      </c>
      <c r="GJJ349" s="16" t="s">
        <v>4867</v>
      </c>
      <c r="GJK349" s="16" t="s">
        <v>4867</v>
      </c>
      <c r="GJL349" s="16" t="s">
        <v>4867</v>
      </c>
      <c r="GJM349" s="16" t="s">
        <v>4867</v>
      </c>
      <c r="GJN349" s="16" t="s">
        <v>4867</v>
      </c>
      <c r="GJO349" s="16" t="s">
        <v>4867</v>
      </c>
      <c r="GJP349" s="16" t="s">
        <v>4867</v>
      </c>
      <c r="GJQ349" s="16" t="s">
        <v>4867</v>
      </c>
      <c r="GJR349" s="16" t="s">
        <v>4867</v>
      </c>
      <c r="GJS349" s="16" t="s">
        <v>4867</v>
      </c>
      <c r="GJT349" s="16" t="s">
        <v>4867</v>
      </c>
      <c r="GJU349" s="16" t="s">
        <v>4867</v>
      </c>
      <c r="GJV349" s="16" t="s">
        <v>4867</v>
      </c>
      <c r="GJW349" s="16" t="s">
        <v>4867</v>
      </c>
      <c r="GJX349" s="16" t="s">
        <v>4867</v>
      </c>
      <c r="GJY349" s="16" t="s">
        <v>4867</v>
      </c>
      <c r="GJZ349" s="16" t="s">
        <v>4867</v>
      </c>
      <c r="GKA349" s="16" t="s">
        <v>4867</v>
      </c>
      <c r="GKB349" s="16" t="s">
        <v>4867</v>
      </c>
      <c r="GKC349" s="16" t="s">
        <v>4867</v>
      </c>
      <c r="GKD349" s="16" t="s">
        <v>4867</v>
      </c>
      <c r="GKE349" s="16" t="s">
        <v>4867</v>
      </c>
      <c r="GKF349" s="16" t="s">
        <v>4867</v>
      </c>
      <c r="GKG349" s="16" t="s">
        <v>4867</v>
      </c>
      <c r="GKH349" s="16" t="s">
        <v>4867</v>
      </c>
      <c r="GKI349" s="16" t="s">
        <v>4867</v>
      </c>
      <c r="GKJ349" s="16" t="s">
        <v>4867</v>
      </c>
      <c r="GKK349" s="16" t="s">
        <v>4867</v>
      </c>
      <c r="GKL349" s="16" t="s">
        <v>4867</v>
      </c>
      <c r="GKM349" s="16" t="s">
        <v>4867</v>
      </c>
      <c r="GKN349" s="16" t="s">
        <v>4867</v>
      </c>
      <c r="GKO349" s="16" t="s">
        <v>4867</v>
      </c>
      <c r="GKP349" s="16" t="s">
        <v>4867</v>
      </c>
      <c r="GKQ349" s="16" t="s">
        <v>4867</v>
      </c>
      <c r="GKR349" s="16" t="s">
        <v>4867</v>
      </c>
      <c r="GKS349" s="16" t="s">
        <v>4867</v>
      </c>
      <c r="GKT349" s="16" t="s">
        <v>4867</v>
      </c>
      <c r="GKU349" s="16" t="s">
        <v>4867</v>
      </c>
      <c r="GKV349" s="16" t="s">
        <v>4867</v>
      </c>
      <c r="GKW349" s="16" t="s">
        <v>4867</v>
      </c>
      <c r="GKX349" s="16" t="s">
        <v>4867</v>
      </c>
      <c r="GKY349" s="16" t="s">
        <v>4867</v>
      </c>
      <c r="GKZ349" s="16" t="s">
        <v>4867</v>
      </c>
      <c r="GLA349" s="16" t="s">
        <v>4867</v>
      </c>
      <c r="GLB349" s="16" t="s">
        <v>4867</v>
      </c>
      <c r="GLC349" s="16" t="s">
        <v>4867</v>
      </c>
      <c r="GLD349" s="16" t="s">
        <v>4867</v>
      </c>
      <c r="GLE349" s="16" t="s">
        <v>4867</v>
      </c>
      <c r="GLF349" s="16" t="s">
        <v>4867</v>
      </c>
      <c r="GLG349" s="16" t="s">
        <v>4867</v>
      </c>
      <c r="GLH349" s="16" t="s">
        <v>4867</v>
      </c>
      <c r="GLI349" s="16" t="s">
        <v>4867</v>
      </c>
      <c r="GLJ349" s="16" t="s">
        <v>4867</v>
      </c>
      <c r="GLK349" s="16" t="s">
        <v>4867</v>
      </c>
      <c r="GLL349" s="16" t="s">
        <v>4867</v>
      </c>
      <c r="GLM349" s="16" t="s">
        <v>4867</v>
      </c>
      <c r="GLN349" s="16" t="s">
        <v>4867</v>
      </c>
      <c r="GLO349" s="16" t="s">
        <v>4867</v>
      </c>
      <c r="GLP349" s="16" t="s">
        <v>4867</v>
      </c>
      <c r="GLQ349" s="16" t="s">
        <v>4867</v>
      </c>
      <c r="GLR349" s="16" t="s">
        <v>4867</v>
      </c>
      <c r="GLS349" s="16" t="s">
        <v>4867</v>
      </c>
      <c r="GLT349" s="16" t="s">
        <v>4867</v>
      </c>
      <c r="GLU349" s="16" t="s">
        <v>4867</v>
      </c>
      <c r="GLV349" s="16" t="s">
        <v>4867</v>
      </c>
      <c r="GLW349" s="16" t="s">
        <v>4867</v>
      </c>
      <c r="GLX349" s="16" t="s">
        <v>4867</v>
      </c>
      <c r="GLY349" s="16" t="s">
        <v>4867</v>
      </c>
      <c r="GLZ349" s="16" t="s">
        <v>4867</v>
      </c>
      <c r="GMA349" s="16" t="s">
        <v>4867</v>
      </c>
      <c r="GMB349" s="16" t="s">
        <v>4867</v>
      </c>
      <c r="GMC349" s="16" t="s">
        <v>4867</v>
      </c>
      <c r="GMD349" s="16" t="s">
        <v>4867</v>
      </c>
      <c r="GME349" s="16" t="s">
        <v>4867</v>
      </c>
      <c r="GMF349" s="16" t="s">
        <v>4867</v>
      </c>
      <c r="GMG349" s="16" t="s">
        <v>4867</v>
      </c>
      <c r="GMH349" s="16" t="s">
        <v>4867</v>
      </c>
      <c r="GMI349" s="16" t="s">
        <v>4867</v>
      </c>
      <c r="GMJ349" s="16" t="s">
        <v>4867</v>
      </c>
      <c r="GMK349" s="16" t="s">
        <v>4867</v>
      </c>
      <c r="GML349" s="16" t="s">
        <v>4867</v>
      </c>
      <c r="GMM349" s="16" t="s">
        <v>4867</v>
      </c>
      <c r="GMN349" s="16" t="s">
        <v>4867</v>
      </c>
      <c r="GMO349" s="16" t="s">
        <v>4867</v>
      </c>
      <c r="GMP349" s="16" t="s">
        <v>4867</v>
      </c>
      <c r="GMQ349" s="16" t="s">
        <v>4867</v>
      </c>
      <c r="GMR349" s="16" t="s">
        <v>4867</v>
      </c>
      <c r="GMS349" s="16" t="s">
        <v>4867</v>
      </c>
      <c r="GMT349" s="16" t="s">
        <v>4867</v>
      </c>
      <c r="GMU349" s="16" t="s">
        <v>4867</v>
      </c>
      <c r="GMV349" s="16" t="s">
        <v>4867</v>
      </c>
      <c r="GMW349" s="16" t="s">
        <v>4867</v>
      </c>
      <c r="GMX349" s="16" t="s">
        <v>4867</v>
      </c>
      <c r="GMY349" s="16" t="s">
        <v>4867</v>
      </c>
      <c r="GMZ349" s="16" t="s">
        <v>4867</v>
      </c>
      <c r="GNA349" s="16" t="s">
        <v>4867</v>
      </c>
      <c r="GNB349" s="16" t="s">
        <v>4867</v>
      </c>
      <c r="GNC349" s="16" t="s">
        <v>4867</v>
      </c>
      <c r="GND349" s="16" t="s">
        <v>4867</v>
      </c>
      <c r="GNE349" s="16" t="s">
        <v>4867</v>
      </c>
      <c r="GNF349" s="16" t="s">
        <v>4867</v>
      </c>
      <c r="GNG349" s="16" t="s">
        <v>4867</v>
      </c>
      <c r="GNH349" s="16" t="s">
        <v>4867</v>
      </c>
      <c r="GNI349" s="16" t="s">
        <v>4867</v>
      </c>
      <c r="GNJ349" s="16" t="s">
        <v>4867</v>
      </c>
      <c r="GNK349" s="16" t="s">
        <v>4867</v>
      </c>
      <c r="GNL349" s="16" t="s">
        <v>4867</v>
      </c>
      <c r="GNM349" s="16" t="s">
        <v>4867</v>
      </c>
      <c r="GNN349" s="16" t="s">
        <v>4867</v>
      </c>
      <c r="GNO349" s="16" t="s">
        <v>4867</v>
      </c>
      <c r="GNP349" s="16" t="s">
        <v>4867</v>
      </c>
      <c r="GNQ349" s="16" t="s">
        <v>4867</v>
      </c>
      <c r="GNR349" s="16" t="s">
        <v>4867</v>
      </c>
      <c r="GNS349" s="16" t="s">
        <v>4867</v>
      </c>
      <c r="GNT349" s="16" t="s">
        <v>4867</v>
      </c>
      <c r="GNU349" s="16" t="s">
        <v>4867</v>
      </c>
      <c r="GNV349" s="16" t="s">
        <v>4867</v>
      </c>
      <c r="GNW349" s="16" t="s">
        <v>4867</v>
      </c>
      <c r="GNX349" s="16" t="s">
        <v>4867</v>
      </c>
      <c r="GNY349" s="16" t="s">
        <v>4867</v>
      </c>
      <c r="GNZ349" s="16" t="s">
        <v>4867</v>
      </c>
      <c r="GOA349" s="16" t="s">
        <v>4867</v>
      </c>
      <c r="GOB349" s="16" t="s">
        <v>4867</v>
      </c>
      <c r="GOC349" s="16" t="s">
        <v>4867</v>
      </c>
      <c r="GOD349" s="16" t="s">
        <v>4867</v>
      </c>
      <c r="GOE349" s="16" t="s">
        <v>4867</v>
      </c>
      <c r="GOF349" s="16" t="s">
        <v>4867</v>
      </c>
      <c r="GOG349" s="16" t="s">
        <v>4867</v>
      </c>
      <c r="GOH349" s="16" t="s">
        <v>4867</v>
      </c>
      <c r="GOI349" s="16" t="s">
        <v>4867</v>
      </c>
      <c r="GOJ349" s="16" t="s">
        <v>4867</v>
      </c>
      <c r="GOK349" s="16" t="s">
        <v>4867</v>
      </c>
      <c r="GOL349" s="16" t="s">
        <v>4867</v>
      </c>
      <c r="GOM349" s="16" t="s">
        <v>4867</v>
      </c>
      <c r="GON349" s="16" t="s">
        <v>4867</v>
      </c>
      <c r="GOO349" s="16" t="s">
        <v>4867</v>
      </c>
      <c r="GOP349" s="16" t="s">
        <v>4867</v>
      </c>
      <c r="GOQ349" s="16" t="s">
        <v>4867</v>
      </c>
      <c r="GOR349" s="16" t="s">
        <v>4867</v>
      </c>
      <c r="GOS349" s="16" t="s">
        <v>4867</v>
      </c>
      <c r="GOT349" s="16" t="s">
        <v>4867</v>
      </c>
      <c r="GOU349" s="16" t="s">
        <v>4867</v>
      </c>
      <c r="GOV349" s="16" t="s">
        <v>4867</v>
      </c>
      <c r="GOW349" s="16" t="s">
        <v>4867</v>
      </c>
      <c r="GOX349" s="16" t="s">
        <v>4867</v>
      </c>
      <c r="GOY349" s="16" t="s">
        <v>4867</v>
      </c>
      <c r="GOZ349" s="16" t="s">
        <v>4867</v>
      </c>
      <c r="GPA349" s="16" t="s">
        <v>4867</v>
      </c>
      <c r="GPB349" s="16" t="s">
        <v>4867</v>
      </c>
      <c r="GPC349" s="16" t="s">
        <v>4867</v>
      </c>
      <c r="GPD349" s="16" t="s">
        <v>4867</v>
      </c>
      <c r="GPE349" s="16" t="s">
        <v>4867</v>
      </c>
      <c r="GPF349" s="16" t="s">
        <v>4867</v>
      </c>
      <c r="GPG349" s="16" t="s">
        <v>4867</v>
      </c>
      <c r="GPH349" s="16" t="s">
        <v>4867</v>
      </c>
      <c r="GPI349" s="16" t="s">
        <v>4867</v>
      </c>
      <c r="GPJ349" s="16" t="s">
        <v>4867</v>
      </c>
      <c r="GPK349" s="16" t="s">
        <v>4867</v>
      </c>
      <c r="GPL349" s="16" t="s">
        <v>4867</v>
      </c>
      <c r="GPM349" s="16" t="s">
        <v>4867</v>
      </c>
      <c r="GPN349" s="16" t="s">
        <v>4867</v>
      </c>
      <c r="GPO349" s="16" t="s">
        <v>4867</v>
      </c>
      <c r="GPP349" s="16" t="s">
        <v>4867</v>
      </c>
      <c r="GPQ349" s="16" t="s">
        <v>4867</v>
      </c>
      <c r="GPR349" s="16" t="s">
        <v>4867</v>
      </c>
      <c r="GPS349" s="16" t="s">
        <v>4867</v>
      </c>
      <c r="GPT349" s="16" t="s">
        <v>4867</v>
      </c>
      <c r="GPU349" s="16" t="s">
        <v>4867</v>
      </c>
      <c r="GPV349" s="16" t="s">
        <v>4867</v>
      </c>
      <c r="GPW349" s="16" t="s">
        <v>4867</v>
      </c>
      <c r="GPX349" s="16" t="s">
        <v>4867</v>
      </c>
      <c r="GPY349" s="16" t="s">
        <v>4867</v>
      </c>
      <c r="GPZ349" s="16" t="s">
        <v>4867</v>
      </c>
      <c r="GQA349" s="16" t="s">
        <v>4867</v>
      </c>
      <c r="GQB349" s="16" t="s">
        <v>4867</v>
      </c>
      <c r="GQC349" s="16" t="s">
        <v>4867</v>
      </c>
      <c r="GQD349" s="16" t="s">
        <v>4867</v>
      </c>
      <c r="GQE349" s="16" t="s">
        <v>4867</v>
      </c>
      <c r="GQF349" s="16" t="s">
        <v>4867</v>
      </c>
      <c r="GQG349" s="16" t="s">
        <v>4867</v>
      </c>
      <c r="GQH349" s="16" t="s">
        <v>4867</v>
      </c>
      <c r="GQI349" s="16" t="s">
        <v>4867</v>
      </c>
      <c r="GQJ349" s="16" t="s">
        <v>4867</v>
      </c>
      <c r="GQK349" s="16" t="s">
        <v>4867</v>
      </c>
      <c r="GQL349" s="16" t="s">
        <v>4867</v>
      </c>
      <c r="GQM349" s="16" t="s">
        <v>4867</v>
      </c>
      <c r="GQN349" s="16" t="s">
        <v>4867</v>
      </c>
      <c r="GQO349" s="16" t="s">
        <v>4867</v>
      </c>
      <c r="GQP349" s="16" t="s">
        <v>4867</v>
      </c>
      <c r="GQQ349" s="16" t="s">
        <v>4867</v>
      </c>
      <c r="GQR349" s="16" t="s">
        <v>4867</v>
      </c>
      <c r="GQS349" s="16" t="s">
        <v>4867</v>
      </c>
      <c r="GQT349" s="16" t="s">
        <v>4867</v>
      </c>
      <c r="GQU349" s="16" t="s">
        <v>4867</v>
      </c>
      <c r="GQV349" s="16" t="s">
        <v>4867</v>
      </c>
      <c r="GQW349" s="16" t="s">
        <v>4867</v>
      </c>
      <c r="GQX349" s="16" t="s">
        <v>4867</v>
      </c>
      <c r="GQY349" s="16" t="s">
        <v>4867</v>
      </c>
      <c r="GQZ349" s="16" t="s">
        <v>4867</v>
      </c>
      <c r="GRA349" s="16" t="s">
        <v>4867</v>
      </c>
      <c r="GRB349" s="16" t="s">
        <v>4867</v>
      </c>
      <c r="GRC349" s="16" t="s">
        <v>4867</v>
      </c>
      <c r="GRD349" s="16" t="s">
        <v>4867</v>
      </c>
      <c r="GRE349" s="16" t="s">
        <v>4867</v>
      </c>
      <c r="GRF349" s="16" t="s">
        <v>4867</v>
      </c>
      <c r="GRG349" s="16" t="s">
        <v>4867</v>
      </c>
      <c r="GRH349" s="16" t="s">
        <v>4867</v>
      </c>
      <c r="GRI349" s="16" t="s">
        <v>4867</v>
      </c>
      <c r="GRJ349" s="16" t="s">
        <v>4867</v>
      </c>
      <c r="GRK349" s="16" t="s">
        <v>4867</v>
      </c>
      <c r="GRL349" s="16" t="s">
        <v>4867</v>
      </c>
      <c r="GRM349" s="16" t="s">
        <v>4867</v>
      </c>
      <c r="GRN349" s="16" t="s">
        <v>4867</v>
      </c>
      <c r="GRO349" s="16" t="s">
        <v>4867</v>
      </c>
      <c r="GRP349" s="16" t="s">
        <v>4867</v>
      </c>
      <c r="GRQ349" s="16" t="s">
        <v>4867</v>
      </c>
      <c r="GRR349" s="16" t="s">
        <v>4867</v>
      </c>
      <c r="GRS349" s="16" t="s">
        <v>4867</v>
      </c>
      <c r="GRT349" s="16" t="s">
        <v>4867</v>
      </c>
      <c r="GRU349" s="16" t="s">
        <v>4867</v>
      </c>
      <c r="GRV349" s="16" t="s">
        <v>4867</v>
      </c>
      <c r="GRW349" s="16" t="s">
        <v>4867</v>
      </c>
      <c r="GRX349" s="16" t="s">
        <v>4867</v>
      </c>
      <c r="GRY349" s="16" t="s">
        <v>4867</v>
      </c>
      <c r="GRZ349" s="16" t="s">
        <v>4867</v>
      </c>
      <c r="GSA349" s="16" t="s">
        <v>4867</v>
      </c>
      <c r="GSB349" s="16" t="s">
        <v>4867</v>
      </c>
      <c r="GSC349" s="16" t="s">
        <v>4867</v>
      </c>
      <c r="GSD349" s="16" t="s">
        <v>4867</v>
      </c>
      <c r="GSE349" s="16" t="s">
        <v>4867</v>
      </c>
      <c r="GSF349" s="16" t="s">
        <v>4867</v>
      </c>
      <c r="GSG349" s="16" t="s">
        <v>4867</v>
      </c>
      <c r="GSH349" s="16" t="s">
        <v>4867</v>
      </c>
      <c r="GSI349" s="16" t="s">
        <v>4867</v>
      </c>
      <c r="GSJ349" s="16" t="s">
        <v>4867</v>
      </c>
      <c r="GSK349" s="16" t="s">
        <v>4867</v>
      </c>
      <c r="GSL349" s="16" t="s">
        <v>4867</v>
      </c>
      <c r="GSM349" s="16" t="s">
        <v>4867</v>
      </c>
      <c r="GSN349" s="16" t="s">
        <v>4867</v>
      </c>
      <c r="GSO349" s="16" t="s">
        <v>4867</v>
      </c>
      <c r="GSP349" s="16" t="s">
        <v>4867</v>
      </c>
      <c r="GSQ349" s="16" t="s">
        <v>4867</v>
      </c>
      <c r="GSR349" s="16" t="s">
        <v>4867</v>
      </c>
      <c r="GSS349" s="16" t="s">
        <v>4867</v>
      </c>
      <c r="GST349" s="16" t="s">
        <v>4867</v>
      </c>
      <c r="GSU349" s="16" t="s">
        <v>4867</v>
      </c>
      <c r="GSV349" s="16" t="s">
        <v>4867</v>
      </c>
      <c r="GSW349" s="16" t="s">
        <v>4867</v>
      </c>
      <c r="GSX349" s="16" t="s">
        <v>4867</v>
      </c>
      <c r="GSY349" s="16" t="s">
        <v>4867</v>
      </c>
      <c r="GSZ349" s="16" t="s">
        <v>4867</v>
      </c>
      <c r="GTA349" s="16" t="s">
        <v>4867</v>
      </c>
      <c r="GTB349" s="16" t="s">
        <v>4867</v>
      </c>
      <c r="GTC349" s="16" t="s">
        <v>4867</v>
      </c>
      <c r="GTD349" s="16" t="s">
        <v>4867</v>
      </c>
      <c r="GTE349" s="16" t="s">
        <v>4867</v>
      </c>
      <c r="GTF349" s="16" t="s">
        <v>4867</v>
      </c>
      <c r="GTG349" s="16" t="s">
        <v>4867</v>
      </c>
      <c r="GTH349" s="16" t="s">
        <v>4867</v>
      </c>
      <c r="GTI349" s="16" t="s">
        <v>4867</v>
      </c>
      <c r="GTJ349" s="16" t="s">
        <v>4867</v>
      </c>
      <c r="GTK349" s="16" t="s">
        <v>4867</v>
      </c>
      <c r="GTL349" s="16" t="s">
        <v>4867</v>
      </c>
      <c r="GTM349" s="16" t="s">
        <v>4867</v>
      </c>
      <c r="GTN349" s="16" t="s">
        <v>4867</v>
      </c>
      <c r="GTO349" s="16" t="s">
        <v>4867</v>
      </c>
      <c r="GTP349" s="16" t="s">
        <v>4867</v>
      </c>
      <c r="GTQ349" s="16" t="s">
        <v>4867</v>
      </c>
      <c r="GTR349" s="16" t="s">
        <v>4867</v>
      </c>
      <c r="GTS349" s="16" t="s">
        <v>4867</v>
      </c>
      <c r="GTT349" s="16" t="s">
        <v>4867</v>
      </c>
      <c r="GTU349" s="16" t="s">
        <v>4867</v>
      </c>
      <c r="GTV349" s="16" t="s">
        <v>4867</v>
      </c>
      <c r="GTW349" s="16" t="s">
        <v>4867</v>
      </c>
      <c r="GTX349" s="16" t="s">
        <v>4867</v>
      </c>
      <c r="GTY349" s="16" t="s">
        <v>4867</v>
      </c>
      <c r="GTZ349" s="16" t="s">
        <v>4867</v>
      </c>
      <c r="GUA349" s="16" t="s">
        <v>4867</v>
      </c>
      <c r="GUB349" s="16" t="s">
        <v>4867</v>
      </c>
      <c r="GUC349" s="16" t="s">
        <v>4867</v>
      </c>
      <c r="GUD349" s="16" t="s">
        <v>4867</v>
      </c>
      <c r="GUE349" s="16" t="s">
        <v>4867</v>
      </c>
      <c r="GUF349" s="16" t="s">
        <v>4867</v>
      </c>
      <c r="GUG349" s="16" t="s">
        <v>4867</v>
      </c>
      <c r="GUH349" s="16" t="s">
        <v>4867</v>
      </c>
      <c r="GUI349" s="16" t="s">
        <v>4867</v>
      </c>
      <c r="GUJ349" s="16" t="s">
        <v>4867</v>
      </c>
      <c r="GUK349" s="16" t="s">
        <v>4867</v>
      </c>
      <c r="GUL349" s="16" t="s">
        <v>4867</v>
      </c>
      <c r="GUM349" s="16" t="s">
        <v>4867</v>
      </c>
      <c r="GUN349" s="16" t="s">
        <v>4867</v>
      </c>
      <c r="GUO349" s="16" t="s">
        <v>4867</v>
      </c>
      <c r="GUP349" s="16" t="s">
        <v>4867</v>
      </c>
      <c r="GUQ349" s="16" t="s">
        <v>4867</v>
      </c>
      <c r="GUR349" s="16" t="s">
        <v>4867</v>
      </c>
      <c r="GUS349" s="16" t="s">
        <v>4867</v>
      </c>
      <c r="GUT349" s="16" t="s">
        <v>4867</v>
      </c>
      <c r="GUU349" s="16" t="s">
        <v>4867</v>
      </c>
      <c r="GUV349" s="16" t="s">
        <v>4867</v>
      </c>
      <c r="GUW349" s="16" t="s">
        <v>4867</v>
      </c>
      <c r="GUX349" s="16" t="s">
        <v>4867</v>
      </c>
      <c r="GUY349" s="16" t="s">
        <v>4867</v>
      </c>
      <c r="GUZ349" s="16" t="s">
        <v>4867</v>
      </c>
      <c r="GVA349" s="16" t="s">
        <v>4867</v>
      </c>
      <c r="GVB349" s="16" t="s">
        <v>4867</v>
      </c>
      <c r="GVC349" s="16" t="s">
        <v>4867</v>
      </c>
      <c r="GVD349" s="16" t="s">
        <v>4867</v>
      </c>
      <c r="GVE349" s="16" t="s">
        <v>4867</v>
      </c>
      <c r="GVF349" s="16" t="s">
        <v>4867</v>
      </c>
      <c r="GVG349" s="16" t="s">
        <v>4867</v>
      </c>
      <c r="GVH349" s="16" t="s">
        <v>4867</v>
      </c>
      <c r="GVI349" s="16" t="s">
        <v>4867</v>
      </c>
      <c r="GVJ349" s="16" t="s">
        <v>4867</v>
      </c>
      <c r="GVK349" s="16" t="s">
        <v>4867</v>
      </c>
      <c r="GVL349" s="16" t="s">
        <v>4867</v>
      </c>
      <c r="GVM349" s="16" t="s">
        <v>4867</v>
      </c>
      <c r="GVN349" s="16" t="s">
        <v>4867</v>
      </c>
      <c r="GVO349" s="16" t="s">
        <v>4867</v>
      </c>
      <c r="GVP349" s="16" t="s">
        <v>4867</v>
      </c>
      <c r="GVQ349" s="16" t="s">
        <v>4867</v>
      </c>
      <c r="GVR349" s="16" t="s">
        <v>4867</v>
      </c>
      <c r="GVS349" s="16" t="s">
        <v>4867</v>
      </c>
      <c r="GVT349" s="16" t="s">
        <v>4867</v>
      </c>
      <c r="GVU349" s="16" t="s">
        <v>4867</v>
      </c>
      <c r="GVV349" s="16" t="s">
        <v>4867</v>
      </c>
      <c r="GVW349" s="16" t="s">
        <v>4867</v>
      </c>
      <c r="GVX349" s="16" t="s">
        <v>4867</v>
      </c>
      <c r="GVY349" s="16" t="s">
        <v>4867</v>
      </c>
      <c r="GVZ349" s="16" t="s">
        <v>4867</v>
      </c>
      <c r="GWA349" s="16" t="s">
        <v>4867</v>
      </c>
      <c r="GWB349" s="16" t="s">
        <v>4867</v>
      </c>
      <c r="GWC349" s="16" t="s">
        <v>4867</v>
      </c>
      <c r="GWD349" s="16" t="s">
        <v>4867</v>
      </c>
      <c r="GWE349" s="16" t="s">
        <v>4867</v>
      </c>
      <c r="GWF349" s="16" t="s">
        <v>4867</v>
      </c>
      <c r="GWG349" s="16" t="s">
        <v>4867</v>
      </c>
      <c r="GWH349" s="16" t="s">
        <v>4867</v>
      </c>
      <c r="GWI349" s="16" t="s">
        <v>4867</v>
      </c>
      <c r="GWJ349" s="16" t="s">
        <v>4867</v>
      </c>
      <c r="GWK349" s="16" t="s">
        <v>4867</v>
      </c>
      <c r="GWL349" s="16" t="s">
        <v>4867</v>
      </c>
      <c r="GWM349" s="16" t="s">
        <v>4867</v>
      </c>
      <c r="GWN349" s="16" t="s">
        <v>4867</v>
      </c>
      <c r="GWO349" s="16" t="s">
        <v>4867</v>
      </c>
      <c r="GWP349" s="16" t="s">
        <v>4867</v>
      </c>
      <c r="GWQ349" s="16" t="s">
        <v>4867</v>
      </c>
      <c r="GWR349" s="16" t="s">
        <v>4867</v>
      </c>
      <c r="GWS349" s="16" t="s">
        <v>4867</v>
      </c>
      <c r="GWT349" s="16" t="s">
        <v>4867</v>
      </c>
      <c r="GWU349" s="16" t="s">
        <v>4867</v>
      </c>
      <c r="GWV349" s="16" t="s">
        <v>4867</v>
      </c>
      <c r="GWW349" s="16" t="s">
        <v>4867</v>
      </c>
      <c r="GWX349" s="16" t="s">
        <v>4867</v>
      </c>
      <c r="GWY349" s="16" t="s">
        <v>4867</v>
      </c>
      <c r="GWZ349" s="16" t="s">
        <v>4867</v>
      </c>
      <c r="GXA349" s="16" t="s">
        <v>4867</v>
      </c>
      <c r="GXB349" s="16" t="s">
        <v>4867</v>
      </c>
      <c r="GXC349" s="16" t="s">
        <v>4867</v>
      </c>
      <c r="GXD349" s="16" t="s">
        <v>4867</v>
      </c>
      <c r="GXE349" s="16" t="s">
        <v>4867</v>
      </c>
      <c r="GXF349" s="16" t="s">
        <v>4867</v>
      </c>
      <c r="GXG349" s="16" t="s">
        <v>4867</v>
      </c>
      <c r="GXH349" s="16" t="s">
        <v>4867</v>
      </c>
      <c r="GXI349" s="16" t="s">
        <v>4867</v>
      </c>
      <c r="GXJ349" s="16" t="s">
        <v>4867</v>
      </c>
      <c r="GXK349" s="16" t="s">
        <v>4867</v>
      </c>
      <c r="GXL349" s="16" t="s">
        <v>4867</v>
      </c>
      <c r="GXM349" s="16" t="s">
        <v>4867</v>
      </c>
      <c r="GXN349" s="16" t="s">
        <v>4867</v>
      </c>
      <c r="GXO349" s="16" t="s">
        <v>4867</v>
      </c>
      <c r="GXP349" s="16" t="s">
        <v>4867</v>
      </c>
      <c r="GXQ349" s="16" t="s">
        <v>4867</v>
      </c>
      <c r="GXR349" s="16" t="s">
        <v>4867</v>
      </c>
      <c r="GXS349" s="16" t="s">
        <v>4867</v>
      </c>
      <c r="GXT349" s="16" t="s">
        <v>4867</v>
      </c>
      <c r="GXU349" s="16" t="s">
        <v>4867</v>
      </c>
      <c r="GXV349" s="16" t="s">
        <v>4867</v>
      </c>
      <c r="GXW349" s="16" t="s">
        <v>4867</v>
      </c>
      <c r="GXX349" s="16" t="s">
        <v>4867</v>
      </c>
      <c r="GXY349" s="16" t="s">
        <v>4867</v>
      </c>
      <c r="GXZ349" s="16" t="s">
        <v>4867</v>
      </c>
      <c r="GYA349" s="16" t="s">
        <v>4867</v>
      </c>
      <c r="GYB349" s="16" t="s">
        <v>4867</v>
      </c>
      <c r="GYC349" s="16" t="s">
        <v>4867</v>
      </c>
      <c r="GYD349" s="16" t="s">
        <v>4867</v>
      </c>
      <c r="GYE349" s="16" t="s">
        <v>4867</v>
      </c>
      <c r="GYF349" s="16" t="s">
        <v>4867</v>
      </c>
      <c r="GYG349" s="16" t="s">
        <v>4867</v>
      </c>
      <c r="GYH349" s="16" t="s">
        <v>4867</v>
      </c>
      <c r="GYI349" s="16" t="s">
        <v>4867</v>
      </c>
      <c r="GYJ349" s="16" t="s">
        <v>4867</v>
      </c>
      <c r="GYK349" s="16" t="s">
        <v>4867</v>
      </c>
      <c r="GYL349" s="16" t="s">
        <v>4867</v>
      </c>
      <c r="GYM349" s="16" t="s">
        <v>4867</v>
      </c>
      <c r="GYN349" s="16" t="s">
        <v>4867</v>
      </c>
      <c r="GYO349" s="16" t="s">
        <v>4867</v>
      </c>
      <c r="GYP349" s="16" t="s">
        <v>4867</v>
      </c>
      <c r="GYQ349" s="16" t="s">
        <v>4867</v>
      </c>
      <c r="GYR349" s="16" t="s">
        <v>4867</v>
      </c>
      <c r="GYS349" s="16" t="s">
        <v>4867</v>
      </c>
      <c r="GYT349" s="16" t="s">
        <v>4867</v>
      </c>
      <c r="GYU349" s="16" t="s">
        <v>4867</v>
      </c>
      <c r="GYV349" s="16" t="s">
        <v>4867</v>
      </c>
      <c r="GYW349" s="16" t="s">
        <v>4867</v>
      </c>
      <c r="GYX349" s="16" t="s">
        <v>4867</v>
      </c>
      <c r="GYY349" s="16" t="s">
        <v>4867</v>
      </c>
      <c r="GYZ349" s="16" t="s">
        <v>4867</v>
      </c>
      <c r="GZA349" s="16" t="s">
        <v>4867</v>
      </c>
      <c r="GZB349" s="16" t="s">
        <v>4867</v>
      </c>
      <c r="GZC349" s="16" t="s">
        <v>4867</v>
      </c>
      <c r="GZD349" s="16" t="s">
        <v>4867</v>
      </c>
      <c r="GZE349" s="16" t="s">
        <v>4867</v>
      </c>
      <c r="GZF349" s="16" t="s">
        <v>4867</v>
      </c>
      <c r="GZG349" s="16" t="s">
        <v>4867</v>
      </c>
      <c r="GZH349" s="16" t="s">
        <v>4867</v>
      </c>
      <c r="GZI349" s="16" t="s">
        <v>4867</v>
      </c>
      <c r="GZJ349" s="16" t="s">
        <v>4867</v>
      </c>
      <c r="GZK349" s="16" t="s">
        <v>4867</v>
      </c>
      <c r="GZL349" s="16" t="s">
        <v>4867</v>
      </c>
      <c r="GZM349" s="16" t="s">
        <v>4867</v>
      </c>
      <c r="GZN349" s="16" t="s">
        <v>4867</v>
      </c>
      <c r="GZO349" s="16" t="s">
        <v>4867</v>
      </c>
      <c r="GZP349" s="16" t="s">
        <v>4867</v>
      </c>
      <c r="GZQ349" s="16" t="s">
        <v>4867</v>
      </c>
      <c r="GZR349" s="16" t="s">
        <v>4867</v>
      </c>
      <c r="GZS349" s="16" t="s">
        <v>4867</v>
      </c>
      <c r="GZT349" s="16" t="s">
        <v>4867</v>
      </c>
      <c r="GZU349" s="16" t="s">
        <v>4867</v>
      </c>
      <c r="GZV349" s="16" t="s">
        <v>4867</v>
      </c>
      <c r="GZW349" s="16" t="s">
        <v>4867</v>
      </c>
      <c r="GZX349" s="16" t="s">
        <v>4867</v>
      </c>
      <c r="GZY349" s="16" t="s">
        <v>4867</v>
      </c>
      <c r="GZZ349" s="16" t="s">
        <v>4867</v>
      </c>
      <c r="HAA349" s="16" t="s">
        <v>4867</v>
      </c>
      <c r="HAB349" s="16" t="s">
        <v>4867</v>
      </c>
      <c r="HAC349" s="16" t="s">
        <v>4867</v>
      </c>
      <c r="HAD349" s="16" t="s">
        <v>4867</v>
      </c>
      <c r="HAE349" s="16" t="s">
        <v>4867</v>
      </c>
      <c r="HAF349" s="16" t="s">
        <v>4867</v>
      </c>
      <c r="HAG349" s="16" t="s">
        <v>4867</v>
      </c>
      <c r="HAH349" s="16" t="s">
        <v>4867</v>
      </c>
      <c r="HAI349" s="16" t="s">
        <v>4867</v>
      </c>
      <c r="HAJ349" s="16" t="s">
        <v>4867</v>
      </c>
      <c r="HAK349" s="16" t="s">
        <v>4867</v>
      </c>
      <c r="HAL349" s="16" t="s">
        <v>4867</v>
      </c>
      <c r="HAM349" s="16" t="s">
        <v>4867</v>
      </c>
      <c r="HAN349" s="16" t="s">
        <v>4867</v>
      </c>
      <c r="HAO349" s="16" t="s">
        <v>4867</v>
      </c>
      <c r="HAP349" s="16" t="s">
        <v>4867</v>
      </c>
      <c r="HAQ349" s="16" t="s">
        <v>4867</v>
      </c>
      <c r="HAR349" s="16" t="s">
        <v>4867</v>
      </c>
      <c r="HAS349" s="16" t="s">
        <v>4867</v>
      </c>
      <c r="HAT349" s="16" t="s">
        <v>4867</v>
      </c>
      <c r="HAU349" s="16" t="s">
        <v>4867</v>
      </c>
      <c r="HAV349" s="16" t="s">
        <v>4867</v>
      </c>
      <c r="HAW349" s="16" t="s">
        <v>4867</v>
      </c>
      <c r="HAX349" s="16" t="s">
        <v>4867</v>
      </c>
      <c r="HAY349" s="16" t="s">
        <v>4867</v>
      </c>
      <c r="HAZ349" s="16" t="s">
        <v>4867</v>
      </c>
      <c r="HBA349" s="16" t="s">
        <v>4867</v>
      </c>
      <c r="HBB349" s="16" t="s">
        <v>4867</v>
      </c>
      <c r="HBC349" s="16" t="s">
        <v>4867</v>
      </c>
      <c r="HBD349" s="16" t="s">
        <v>4867</v>
      </c>
      <c r="HBE349" s="16" t="s">
        <v>4867</v>
      </c>
      <c r="HBF349" s="16" t="s">
        <v>4867</v>
      </c>
      <c r="HBG349" s="16" t="s">
        <v>4867</v>
      </c>
      <c r="HBH349" s="16" t="s">
        <v>4867</v>
      </c>
      <c r="HBI349" s="16" t="s">
        <v>4867</v>
      </c>
      <c r="HBJ349" s="16" t="s">
        <v>4867</v>
      </c>
      <c r="HBK349" s="16" t="s">
        <v>4867</v>
      </c>
      <c r="HBL349" s="16" t="s">
        <v>4867</v>
      </c>
      <c r="HBM349" s="16" t="s">
        <v>4867</v>
      </c>
      <c r="HBN349" s="16" t="s">
        <v>4867</v>
      </c>
      <c r="HBO349" s="16" t="s">
        <v>4867</v>
      </c>
      <c r="HBP349" s="16" t="s">
        <v>4867</v>
      </c>
      <c r="HBQ349" s="16" t="s">
        <v>4867</v>
      </c>
      <c r="HBR349" s="16" t="s">
        <v>4867</v>
      </c>
      <c r="HBS349" s="16" t="s">
        <v>4867</v>
      </c>
      <c r="HBT349" s="16" t="s">
        <v>4867</v>
      </c>
      <c r="HBU349" s="16" t="s">
        <v>4867</v>
      </c>
      <c r="HBV349" s="16" t="s">
        <v>4867</v>
      </c>
      <c r="HBW349" s="16" t="s">
        <v>4867</v>
      </c>
      <c r="HBX349" s="16" t="s">
        <v>4867</v>
      </c>
      <c r="HBY349" s="16" t="s">
        <v>4867</v>
      </c>
      <c r="HBZ349" s="16" t="s">
        <v>4867</v>
      </c>
      <c r="HCA349" s="16" t="s">
        <v>4867</v>
      </c>
      <c r="HCB349" s="16" t="s">
        <v>4867</v>
      </c>
      <c r="HCC349" s="16" t="s">
        <v>4867</v>
      </c>
      <c r="HCD349" s="16" t="s">
        <v>4867</v>
      </c>
      <c r="HCE349" s="16" t="s">
        <v>4867</v>
      </c>
      <c r="HCF349" s="16" t="s">
        <v>4867</v>
      </c>
      <c r="HCG349" s="16" t="s">
        <v>4867</v>
      </c>
      <c r="HCH349" s="16" t="s">
        <v>4867</v>
      </c>
      <c r="HCI349" s="16" t="s">
        <v>4867</v>
      </c>
      <c r="HCJ349" s="16" t="s">
        <v>4867</v>
      </c>
      <c r="HCK349" s="16" t="s">
        <v>4867</v>
      </c>
      <c r="HCL349" s="16" t="s">
        <v>4867</v>
      </c>
      <c r="HCM349" s="16" t="s">
        <v>4867</v>
      </c>
      <c r="HCN349" s="16" t="s">
        <v>4867</v>
      </c>
      <c r="HCO349" s="16" t="s">
        <v>4867</v>
      </c>
      <c r="HCP349" s="16" t="s">
        <v>4867</v>
      </c>
      <c r="HCQ349" s="16" t="s">
        <v>4867</v>
      </c>
      <c r="HCR349" s="16" t="s">
        <v>4867</v>
      </c>
      <c r="HCS349" s="16" t="s">
        <v>4867</v>
      </c>
      <c r="HCT349" s="16" t="s">
        <v>4867</v>
      </c>
      <c r="HCU349" s="16" t="s">
        <v>4867</v>
      </c>
      <c r="HCV349" s="16" t="s">
        <v>4867</v>
      </c>
      <c r="HCW349" s="16" t="s">
        <v>4867</v>
      </c>
      <c r="HCX349" s="16" t="s">
        <v>4867</v>
      </c>
      <c r="HCY349" s="16" t="s">
        <v>4867</v>
      </c>
      <c r="HCZ349" s="16" t="s">
        <v>4867</v>
      </c>
      <c r="HDA349" s="16" t="s">
        <v>4867</v>
      </c>
      <c r="HDB349" s="16" t="s">
        <v>4867</v>
      </c>
      <c r="HDC349" s="16" t="s">
        <v>4867</v>
      </c>
      <c r="HDD349" s="16" t="s">
        <v>4867</v>
      </c>
      <c r="HDE349" s="16" t="s">
        <v>4867</v>
      </c>
      <c r="HDF349" s="16" t="s">
        <v>4867</v>
      </c>
      <c r="HDG349" s="16" t="s">
        <v>4867</v>
      </c>
      <c r="HDH349" s="16" t="s">
        <v>4867</v>
      </c>
      <c r="HDI349" s="16" t="s">
        <v>4867</v>
      </c>
      <c r="HDJ349" s="16" t="s">
        <v>4867</v>
      </c>
      <c r="HDK349" s="16" t="s">
        <v>4867</v>
      </c>
      <c r="HDL349" s="16" t="s">
        <v>4867</v>
      </c>
      <c r="HDM349" s="16" t="s">
        <v>4867</v>
      </c>
      <c r="HDN349" s="16" t="s">
        <v>4867</v>
      </c>
      <c r="HDO349" s="16" t="s">
        <v>4867</v>
      </c>
      <c r="HDP349" s="16" t="s">
        <v>4867</v>
      </c>
      <c r="HDQ349" s="16" t="s">
        <v>4867</v>
      </c>
      <c r="HDR349" s="16" t="s">
        <v>4867</v>
      </c>
      <c r="HDS349" s="16" t="s">
        <v>4867</v>
      </c>
      <c r="HDT349" s="16" t="s">
        <v>4867</v>
      </c>
      <c r="HDU349" s="16" t="s">
        <v>4867</v>
      </c>
      <c r="HDV349" s="16" t="s">
        <v>4867</v>
      </c>
      <c r="HDW349" s="16" t="s">
        <v>4867</v>
      </c>
      <c r="HDX349" s="16" t="s">
        <v>4867</v>
      </c>
      <c r="HDY349" s="16" t="s">
        <v>4867</v>
      </c>
      <c r="HDZ349" s="16" t="s">
        <v>4867</v>
      </c>
      <c r="HEA349" s="16" t="s">
        <v>4867</v>
      </c>
      <c r="HEB349" s="16" t="s">
        <v>4867</v>
      </c>
      <c r="HEC349" s="16" t="s">
        <v>4867</v>
      </c>
      <c r="HED349" s="16" t="s">
        <v>4867</v>
      </c>
      <c r="HEE349" s="16" t="s">
        <v>4867</v>
      </c>
      <c r="HEF349" s="16" t="s">
        <v>4867</v>
      </c>
      <c r="HEG349" s="16" t="s">
        <v>4867</v>
      </c>
      <c r="HEH349" s="16" t="s">
        <v>4867</v>
      </c>
      <c r="HEI349" s="16" t="s">
        <v>4867</v>
      </c>
      <c r="HEJ349" s="16" t="s">
        <v>4867</v>
      </c>
      <c r="HEK349" s="16" t="s">
        <v>4867</v>
      </c>
      <c r="HEL349" s="16" t="s">
        <v>4867</v>
      </c>
      <c r="HEM349" s="16" t="s">
        <v>4867</v>
      </c>
      <c r="HEN349" s="16" t="s">
        <v>4867</v>
      </c>
      <c r="HEO349" s="16" t="s">
        <v>4867</v>
      </c>
      <c r="HEP349" s="16" t="s">
        <v>4867</v>
      </c>
      <c r="HEQ349" s="16" t="s">
        <v>4867</v>
      </c>
      <c r="HER349" s="16" t="s">
        <v>4867</v>
      </c>
      <c r="HES349" s="16" t="s">
        <v>4867</v>
      </c>
      <c r="HET349" s="16" t="s">
        <v>4867</v>
      </c>
      <c r="HEU349" s="16" t="s">
        <v>4867</v>
      </c>
      <c r="HEV349" s="16" t="s">
        <v>4867</v>
      </c>
      <c r="HEW349" s="16" t="s">
        <v>4867</v>
      </c>
      <c r="HEX349" s="16" t="s">
        <v>4867</v>
      </c>
      <c r="HEY349" s="16" t="s">
        <v>4867</v>
      </c>
      <c r="HEZ349" s="16" t="s">
        <v>4867</v>
      </c>
      <c r="HFA349" s="16" t="s">
        <v>4867</v>
      </c>
      <c r="HFB349" s="16" t="s">
        <v>4867</v>
      </c>
      <c r="HFC349" s="16" t="s">
        <v>4867</v>
      </c>
      <c r="HFD349" s="16" t="s">
        <v>4867</v>
      </c>
      <c r="HFE349" s="16" t="s">
        <v>4867</v>
      </c>
      <c r="HFF349" s="16" t="s">
        <v>4867</v>
      </c>
      <c r="HFG349" s="16" t="s">
        <v>4867</v>
      </c>
      <c r="HFH349" s="16" t="s">
        <v>4867</v>
      </c>
      <c r="HFI349" s="16" t="s">
        <v>4867</v>
      </c>
      <c r="HFJ349" s="16" t="s">
        <v>4867</v>
      </c>
      <c r="HFK349" s="16" t="s">
        <v>4867</v>
      </c>
      <c r="HFL349" s="16" t="s">
        <v>4867</v>
      </c>
      <c r="HFM349" s="16" t="s">
        <v>4867</v>
      </c>
      <c r="HFN349" s="16" t="s">
        <v>4867</v>
      </c>
      <c r="HFO349" s="16" t="s">
        <v>4867</v>
      </c>
      <c r="HFP349" s="16" t="s">
        <v>4867</v>
      </c>
      <c r="HFQ349" s="16" t="s">
        <v>4867</v>
      </c>
      <c r="HFR349" s="16" t="s">
        <v>4867</v>
      </c>
      <c r="HFS349" s="16" t="s">
        <v>4867</v>
      </c>
      <c r="HFT349" s="16" t="s">
        <v>4867</v>
      </c>
      <c r="HFU349" s="16" t="s">
        <v>4867</v>
      </c>
      <c r="HFV349" s="16" t="s">
        <v>4867</v>
      </c>
      <c r="HFW349" s="16" t="s">
        <v>4867</v>
      </c>
      <c r="HFX349" s="16" t="s">
        <v>4867</v>
      </c>
      <c r="HFY349" s="16" t="s">
        <v>4867</v>
      </c>
      <c r="HFZ349" s="16" t="s">
        <v>4867</v>
      </c>
      <c r="HGA349" s="16" t="s">
        <v>4867</v>
      </c>
      <c r="HGB349" s="16" t="s">
        <v>4867</v>
      </c>
      <c r="HGC349" s="16" t="s">
        <v>4867</v>
      </c>
      <c r="HGD349" s="16" t="s">
        <v>4867</v>
      </c>
      <c r="HGE349" s="16" t="s">
        <v>4867</v>
      </c>
      <c r="HGF349" s="16" t="s">
        <v>4867</v>
      </c>
      <c r="HGG349" s="16" t="s">
        <v>4867</v>
      </c>
      <c r="HGH349" s="16" t="s">
        <v>4867</v>
      </c>
      <c r="HGI349" s="16" t="s">
        <v>4867</v>
      </c>
      <c r="HGJ349" s="16" t="s">
        <v>4867</v>
      </c>
      <c r="HGK349" s="16" t="s">
        <v>4867</v>
      </c>
      <c r="HGL349" s="16" t="s">
        <v>4867</v>
      </c>
      <c r="HGM349" s="16" t="s">
        <v>4867</v>
      </c>
      <c r="HGN349" s="16" t="s">
        <v>4867</v>
      </c>
      <c r="HGO349" s="16" t="s">
        <v>4867</v>
      </c>
      <c r="HGP349" s="16" t="s">
        <v>4867</v>
      </c>
      <c r="HGQ349" s="16" t="s">
        <v>4867</v>
      </c>
      <c r="HGR349" s="16" t="s">
        <v>4867</v>
      </c>
      <c r="HGS349" s="16" t="s">
        <v>4867</v>
      </c>
      <c r="HGT349" s="16" t="s">
        <v>4867</v>
      </c>
      <c r="HGU349" s="16" t="s">
        <v>4867</v>
      </c>
      <c r="HGV349" s="16" t="s">
        <v>4867</v>
      </c>
      <c r="HGW349" s="16" t="s">
        <v>4867</v>
      </c>
      <c r="HGX349" s="16" t="s">
        <v>4867</v>
      </c>
      <c r="HGY349" s="16" t="s">
        <v>4867</v>
      </c>
      <c r="HGZ349" s="16" t="s">
        <v>4867</v>
      </c>
      <c r="HHA349" s="16" t="s">
        <v>4867</v>
      </c>
      <c r="HHB349" s="16" t="s">
        <v>4867</v>
      </c>
      <c r="HHC349" s="16" t="s">
        <v>4867</v>
      </c>
      <c r="HHD349" s="16" t="s">
        <v>4867</v>
      </c>
      <c r="HHE349" s="16" t="s">
        <v>4867</v>
      </c>
      <c r="HHF349" s="16" t="s">
        <v>4867</v>
      </c>
      <c r="HHG349" s="16" t="s">
        <v>4867</v>
      </c>
      <c r="HHH349" s="16" t="s">
        <v>4867</v>
      </c>
      <c r="HHI349" s="16" t="s">
        <v>4867</v>
      </c>
      <c r="HHJ349" s="16" t="s">
        <v>4867</v>
      </c>
      <c r="HHK349" s="16" t="s">
        <v>4867</v>
      </c>
      <c r="HHL349" s="16" t="s">
        <v>4867</v>
      </c>
      <c r="HHM349" s="16" t="s">
        <v>4867</v>
      </c>
      <c r="HHN349" s="16" t="s">
        <v>4867</v>
      </c>
      <c r="HHO349" s="16" t="s">
        <v>4867</v>
      </c>
      <c r="HHP349" s="16" t="s">
        <v>4867</v>
      </c>
      <c r="HHQ349" s="16" t="s">
        <v>4867</v>
      </c>
      <c r="HHR349" s="16" t="s">
        <v>4867</v>
      </c>
      <c r="HHS349" s="16" t="s">
        <v>4867</v>
      </c>
      <c r="HHT349" s="16" t="s">
        <v>4867</v>
      </c>
      <c r="HHU349" s="16" t="s">
        <v>4867</v>
      </c>
      <c r="HHV349" s="16" t="s">
        <v>4867</v>
      </c>
      <c r="HHW349" s="16" t="s">
        <v>4867</v>
      </c>
      <c r="HHX349" s="16" t="s">
        <v>4867</v>
      </c>
      <c r="HHY349" s="16" t="s">
        <v>4867</v>
      </c>
      <c r="HHZ349" s="16" t="s">
        <v>4867</v>
      </c>
      <c r="HIA349" s="16" t="s">
        <v>4867</v>
      </c>
      <c r="HIB349" s="16" t="s">
        <v>4867</v>
      </c>
      <c r="HIC349" s="16" t="s">
        <v>4867</v>
      </c>
      <c r="HID349" s="16" t="s">
        <v>4867</v>
      </c>
      <c r="HIE349" s="16" t="s">
        <v>4867</v>
      </c>
      <c r="HIF349" s="16" t="s">
        <v>4867</v>
      </c>
      <c r="HIG349" s="16" t="s">
        <v>4867</v>
      </c>
      <c r="HIH349" s="16" t="s">
        <v>4867</v>
      </c>
      <c r="HII349" s="16" t="s">
        <v>4867</v>
      </c>
      <c r="HIJ349" s="16" t="s">
        <v>4867</v>
      </c>
      <c r="HIK349" s="16" t="s">
        <v>4867</v>
      </c>
      <c r="HIL349" s="16" t="s">
        <v>4867</v>
      </c>
      <c r="HIM349" s="16" t="s">
        <v>4867</v>
      </c>
      <c r="HIN349" s="16" t="s">
        <v>4867</v>
      </c>
      <c r="HIO349" s="16" t="s">
        <v>4867</v>
      </c>
      <c r="HIP349" s="16" t="s">
        <v>4867</v>
      </c>
      <c r="HIQ349" s="16" t="s">
        <v>4867</v>
      </c>
      <c r="HIR349" s="16" t="s">
        <v>4867</v>
      </c>
      <c r="HIS349" s="16" t="s">
        <v>4867</v>
      </c>
      <c r="HIT349" s="16" t="s">
        <v>4867</v>
      </c>
      <c r="HIU349" s="16" t="s">
        <v>4867</v>
      </c>
      <c r="HIV349" s="16" t="s">
        <v>4867</v>
      </c>
      <c r="HIW349" s="16" t="s">
        <v>4867</v>
      </c>
      <c r="HIX349" s="16" t="s">
        <v>4867</v>
      </c>
      <c r="HIY349" s="16" t="s">
        <v>4867</v>
      </c>
      <c r="HIZ349" s="16" t="s">
        <v>4867</v>
      </c>
      <c r="HJA349" s="16" t="s">
        <v>4867</v>
      </c>
      <c r="HJB349" s="16" t="s">
        <v>4867</v>
      </c>
      <c r="HJC349" s="16" t="s">
        <v>4867</v>
      </c>
      <c r="HJD349" s="16" t="s">
        <v>4867</v>
      </c>
      <c r="HJE349" s="16" t="s">
        <v>4867</v>
      </c>
      <c r="HJF349" s="16" t="s">
        <v>4867</v>
      </c>
      <c r="HJG349" s="16" t="s">
        <v>4867</v>
      </c>
      <c r="HJH349" s="16" t="s">
        <v>4867</v>
      </c>
      <c r="HJI349" s="16" t="s">
        <v>4867</v>
      </c>
      <c r="HJJ349" s="16" t="s">
        <v>4867</v>
      </c>
      <c r="HJK349" s="16" t="s">
        <v>4867</v>
      </c>
      <c r="HJL349" s="16" t="s">
        <v>4867</v>
      </c>
      <c r="HJM349" s="16" t="s">
        <v>4867</v>
      </c>
      <c r="HJN349" s="16" t="s">
        <v>4867</v>
      </c>
      <c r="HJO349" s="16" t="s">
        <v>4867</v>
      </c>
      <c r="HJP349" s="16" t="s">
        <v>4867</v>
      </c>
      <c r="HJQ349" s="16" t="s">
        <v>4867</v>
      </c>
      <c r="HJR349" s="16" t="s">
        <v>4867</v>
      </c>
      <c r="HJS349" s="16" t="s">
        <v>4867</v>
      </c>
      <c r="HJT349" s="16" t="s">
        <v>4867</v>
      </c>
      <c r="HJU349" s="16" t="s">
        <v>4867</v>
      </c>
      <c r="HJV349" s="16" t="s">
        <v>4867</v>
      </c>
      <c r="HJW349" s="16" t="s">
        <v>4867</v>
      </c>
      <c r="HJX349" s="16" t="s">
        <v>4867</v>
      </c>
      <c r="HJY349" s="16" t="s">
        <v>4867</v>
      </c>
      <c r="HJZ349" s="16" t="s">
        <v>4867</v>
      </c>
      <c r="HKA349" s="16" t="s">
        <v>4867</v>
      </c>
      <c r="HKB349" s="16" t="s">
        <v>4867</v>
      </c>
      <c r="HKC349" s="16" t="s">
        <v>4867</v>
      </c>
      <c r="HKD349" s="16" t="s">
        <v>4867</v>
      </c>
      <c r="HKE349" s="16" t="s">
        <v>4867</v>
      </c>
      <c r="HKF349" s="16" t="s">
        <v>4867</v>
      </c>
      <c r="HKG349" s="16" t="s">
        <v>4867</v>
      </c>
      <c r="HKH349" s="16" t="s">
        <v>4867</v>
      </c>
      <c r="HKI349" s="16" t="s">
        <v>4867</v>
      </c>
      <c r="HKJ349" s="16" t="s">
        <v>4867</v>
      </c>
      <c r="HKK349" s="16" t="s">
        <v>4867</v>
      </c>
      <c r="HKL349" s="16" t="s">
        <v>4867</v>
      </c>
      <c r="HKM349" s="16" t="s">
        <v>4867</v>
      </c>
      <c r="HKN349" s="16" t="s">
        <v>4867</v>
      </c>
      <c r="HKO349" s="16" t="s">
        <v>4867</v>
      </c>
      <c r="HKP349" s="16" t="s">
        <v>4867</v>
      </c>
      <c r="HKQ349" s="16" t="s">
        <v>4867</v>
      </c>
      <c r="HKR349" s="16" t="s">
        <v>4867</v>
      </c>
      <c r="HKS349" s="16" t="s">
        <v>4867</v>
      </c>
      <c r="HKT349" s="16" t="s">
        <v>4867</v>
      </c>
      <c r="HKU349" s="16" t="s">
        <v>4867</v>
      </c>
      <c r="HKV349" s="16" t="s">
        <v>4867</v>
      </c>
      <c r="HKW349" s="16" t="s">
        <v>4867</v>
      </c>
      <c r="HKX349" s="16" t="s">
        <v>4867</v>
      </c>
      <c r="HKY349" s="16" t="s">
        <v>4867</v>
      </c>
      <c r="HKZ349" s="16" t="s">
        <v>4867</v>
      </c>
      <c r="HLA349" s="16" t="s">
        <v>4867</v>
      </c>
      <c r="HLB349" s="16" t="s">
        <v>4867</v>
      </c>
      <c r="HLC349" s="16" t="s">
        <v>4867</v>
      </c>
      <c r="HLD349" s="16" t="s">
        <v>4867</v>
      </c>
      <c r="HLE349" s="16" t="s">
        <v>4867</v>
      </c>
      <c r="HLF349" s="16" t="s">
        <v>4867</v>
      </c>
      <c r="HLG349" s="16" t="s">
        <v>4867</v>
      </c>
      <c r="HLH349" s="16" t="s">
        <v>4867</v>
      </c>
      <c r="HLI349" s="16" t="s">
        <v>4867</v>
      </c>
      <c r="HLJ349" s="16" t="s">
        <v>4867</v>
      </c>
      <c r="HLK349" s="16" t="s">
        <v>4867</v>
      </c>
      <c r="HLL349" s="16" t="s">
        <v>4867</v>
      </c>
      <c r="HLM349" s="16" t="s">
        <v>4867</v>
      </c>
      <c r="HLN349" s="16" t="s">
        <v>4867</v>
      </c>
      <c r="HLO349" s="16" t="s">
        <v>4867</v>
      </c>
      <c r="HLP349" s="16" t="s">
        <v>4867</v>
      </c>
      <c r="HLQ349" s="16" t="s">
        <v>4867</v>
      </c>
      <c r="HLR349" s="16" t="s">
        <v>4867</v>
      </c>
      <c r="HLS349" s="16" t="s">
        <v>4867</v>
      </c>
      <c r="HLT349" s="16" t="s">
        <v>4867</v>
      </c>
      <c r="HLU349" s="16" t="s">
        <v>4867</v>
      </c>
      <c r="HLV349" s="16" t="s">
        <v>4867</v>
      </c>
      <c r="HLW349" s="16" t="s">
        <v>4867</v>
      </c>
      <c r="HLX349" s="16" t="s">
        <v>4867</v>
      </c>
      <c r="HLY349" s="16" t="s">
        <v>4867</v>
      </c>
      <c r="HLZ349" s="16" t="s">
        <v>4867</v>
      </c>
      <c r="HMA349" s="16" t="s">
        <v>4867</v>
      </c>
      <c r="HMB349" s="16" t="s">
        <v>4867</v>
      </c>
      <c r="HMC349" s="16" t="s">
        <v>4867</v>
      </c>
      <c r="HMD349" s="16" t="s">
        <v>4867</v>
      </c>
      <c r="HME349" s="16" t="s">
        <v>4867</v>
      </c>
      <c r="HMF349" s="16" t="s">
        <v>4867</v>
      </c>
      <c r="HMG349" s="16" t="s">
        <v>4867</v>
      </c>
      <c r="HMH349" s="16" t="s">
        <v>4867</v>
      </c>
      <c r="HMI349" s="16" t="s">
        <v>4867</v>
      </c>
      <c r="HMJ349" s="16" t="s">
        <v>4867</v>
      </c>
      <c r="HMK349" s="16" t="s">
        <v>4867</v>
      </c>
      <c r="HML349" s="16" t="s">
        <v>4867</v>
      </c>
      <c r="HMM349" s="16" t="s">
        <v>4867</v>
      </c>
      <c r="HMN349" s="16" t="s">
        <v>4867</v>
      </c>
      <c r="HMO349" s="16" t="s">
        <v>4867</v>
      </c>
      <c r="HMP349" s="16" t="s">
        <v>4867</v>
      </c>
      <c r="HMQ349" s="16" t="s">
        <v>4867</v>
      </c>
      <c r="HMR349" s="16" t="s">
        <v>4867</v>
      </c>
      <c r="HMS349" s="16" t="s">
        <v>4867</v>
      </c>
      <c r="HMT349" s="16" t="s">
        <v>4867</v>
      </c>
      <c r="HMU349" s="16" t="s">
        <v>4867</v>
      </c>
      <c r="HMV349" s="16" t="s">
        <v>4867</v>
      </c>
      <c r="HMW349" s="16" t="s">
        <v>4867</v>
      </c>
      <c r="HMX349" s="16" t="s">
        <v>4867</v>
      </c>
      <c r="HMY349" s="16" t="s">
        <v>4867</v>
      </c>
      <c r="HMZ349" s="16" t="s">
        <v>4867</v>
      </c>
      <c r="HNA349" s="16" t="s">
        <v>4867</v>
      </c>
      <c r="HNB349" s="16" t="s">
        <v>4867</v>
      </c>
      <c r="HNC349" s="16" t="s">
        <v>4867</v>
      </c>
      <c r="HND349" s="16" t="s">
        <v>4867</v>
      </c>
      <c r="HNE349" s="16" t="s">
        <v>4867</v>
      </c>
      <c r="HNF349" s="16" t="s">
        <v>4867</v>
      </c>
      <c r="HNG349" s="16" t="s">
        <v>4867</v>
      </c>
      <c r="HNH349" s="16" t="s">
        <v>4867</v>
      </c>
      <c r="HNI349" s="16" t="s">
        <v>4867</v>
      </c>
      <c r="HNJ349" s="16" t="s">
        <v>4867</v>
      </c>
      <c r="HNK349" s="16" t="s">
        <v>4867</v>
      </c>
      <c r="HNL349" s="16" t="s">
        <v>4867</v>
      </c>
      <c r="HNM349" s="16" t="s">
        <v>4867</v>
      </c>
      <c r="HNN349" s="16" t="s">
        <v>4867</v>
      </c>
      <c r="HNO349" s="16" t="s">
        <v>4867</v>
      </c>
      <c r="HNP349" s="16" t="s">
        <v>4867</v>
      </c>
      <c r="HNQ349" s="16" t="s">
        <v>4867</v>
      </c>
      <c r="HNR349" s="16" t="s">
        <v>4867</v>
      </c>
      <c r="HNS349" s="16" t="s">
        <v>4867</v>
      </c>
      <c r="HNT349" s="16" t="s">
        <v>4867</v>
      </c>
      <c r="HNU349" s="16" t="s">
        <v>4867</v>
      </c>
      <c r="HNV349" s="16" t="s">
        <v>4867</v>
      </c>
      <c r="HNW349" s="16" t="s">
        <v>4867</v>
      </c>
      <c r="HNX349" s="16" t="s">
        <v>4867</v>
      </c>
      <c r="HNY349" s="16" t="s">
        <v>4867</v>
      </c>
      <c r="HNZ349" s="16" t="s">
        <v>4867</v>
      </c>
      <c r="HOA349" s="16" t="s">
        <v>4867</v>
      </c>
      <c r="HOB349" s="16" t="s">
        <v>4867</v>
      </c>
      <c r="HOC349" s="16" t="s">
        <v>4867</v>
      </c>
      <c r="HOD349" s="16" t="s">
        <v>4867</v>
      </c>
      <c r="HOE349" s="16" t="s">
        <v>4867</v>
      </c>
      <c r="HOF349" s="16" t="s">
        <v>4867</v>
      </c>
      <c r="HOG349" s="16" t="s">
        <v>4867</v>
      </c>
      <c r="HOH349" s="16" t="s">
        <v>4867</v>
      </c>
      <c r="HOI349" s="16" t="s">
        <v>4867</v>
      </c>
      <c r="HOJ349" s="16" t="s">
        <v>4867</v>
      </c>
      <c r="HOK349" s="16" t="s">
        <v>4867</v>
      </c>
      <c r="HOL349" s="16" t="s">
        <v>4867</v>
      </c>
      <c r="HOM349" s="16" t="s">
        <v>4867</v>
      </c>
      <c r="HON349" s="16" t="s">
        <v>4867</v>
      </c>
      <c r="HOO349" s="16" t="s">
        <v>4867</v>
      </c>
      <c r="HOP349" s="16" t="s">
        <v>4867</v>
      </c>
      <c r="HOQ349" s="16" t="s">
        <v>4867</v>
      </c>
      <c r="HOR349" s="16" t="s">
        <v>4867</v>
      </c>
      <c r="HOS349" s="16" t="s">
        <v>4867</v>
      </c>
      <c r="HOT349" s="16" t="s">
        <v>4867</v>
      </c>
      <c r="HOU349" s="16" t="s">
        <v>4867</v>
      </c>
      <c r="HOV349" s="16" t="s">
        <v>4867</v>
      </c>
      <c r="HOW349" s="16" t="s">
        <v>4867</v>
      </c>
      <c r="HOX349" s="16" t="s">
        <v>4867</v>
      </c>
      <c r="HOY349" s="16" t="s">
        <v>4867</v>
      </c>
      <c r="HOZ349" s="16" t="s">
        <v>4867</v>
      </c>
      <c r="HPA349" s="16" t="s">
        <v>4867</v>
      </c>
      <c r="HPB349" s="16" t="s">
        <v>4867</v>
      </c>
      <c r="HPC349" s="16" t="s">
        <v>4867</v>
      </c>
      <c r="HPD349" s="16" t="s">
        <v>4867</v>
      </c>
      <c r="HPE349" s="16" t="s">
        <v>4867</v>
      </c>
      <c r="HPF349" s="16" t="s">
        <v>4867</v>
      </c>
      <c r="HPG349" s="16" t="s">
        <v>4867</v>
      </c>
      <c r="HPH349" s="16" t="s">
        <v>4867</v>
      </c>
      <c r="HPI349" s="16" t="s">
        <v>4867</v>
      </c>
      <c r="HPJ349" s="16" t="s">
        <v>4867</v>
      </c>
      <c r="HPK349" s="16" t="s">
        <v>4867</v>
      </c>
      <c r="HPL349" s="16" t="s">
        <v>4867</v>
      </c>
      <c r="HPM349" s="16" t="s">
        <v>4867</v>
      </c>
      <c r="HPN349" s="16" t="s">
        <v>4867</v>
      </c>
      <c r="HPO349" s="16" t="s">
        <v>4867</v>
      </c>
      <c r="HPP349" s="16" t="s">
        <v>4867</v>
      </c>
      <c r="HPQ349" s="16" t="s">
        <v>4867</v>
      </c>
      <c r="HPR349" s="16" t="s">
        <v>4867</v>
      </c>
      <c r="HPS349" s="16" t="s">
        <v>4867</v>
      </c>
      <c r="HPT349" s="16" t="s">
        <v>4867</v>
      </c>
      <c r="HPU349" s="16" t="s">
        <v>4867</v>
      </c>
      <c r="HPV349" s="16" t="s">
        <v>4867</v>
      </c>
      <c r="HPW349" s="16" t="s">
        <v>4867</v>
      </c>
      <c r="HPX349" s="16" t="s">
        <v>4867</v>
      </c>
      <c r="HPY349" s="16" t="s">
        <v>4867</v>
      </c>
      <c r="HPZ349" s="16" t="s">
        <v>4867</v>
      </c>
      <c r="HQA349" s="16" t="s">
        <v>4867</v>
      </c>
      <c r="HQB349" s="16" t="s">
        <v>4867</v>
      </c>
      <c r="HQC349" s="16" t="s">
        <v>4867</v>
      </c>
      <c r="HQD349" s="16" t="s">
        <v>4867</v>
      </c>
      <c r="HQE349" s="16" t="s">
        <v>4867</v>
      </c>
      <c r="HQF349" s="16" t="s">
        <v>4867</v>
      </c>
      <c r="HQG349" s="16" t="s">
        <v>4867</v>
      </c>
      <c r="HQH349" s="16" t="s">
        <v>4867</v>
      </c>
      <c r="HQI349" s="16" t="s">
        <v>4867</v>
      </c>
      <c r="HQJ349" s="16" t="s">
        <v>4867</v>
      </c>
      <c r="HQK349" s="16" t="s">
        <v>4867</v>
      </c>
      <c r="HQL349" s="16" t="s">
        <v>4867</v>
      </c>
      <c r="HQM349" s="16" t="s">
        <v>4867</v>
      </c>
      <c r="HQN349" s="16" t="s">
        <v>4867</v>
      </c>
      <c r="HQO349" s="16" t="s">
        <v>4867</v>
      </c>
      <c r="HQP349" s="16" t="s">
        <v>4867</v>
      </c>
      <c r="HQQ349" s="16" t="s">
        <v>4867</v>
      </c>
      <c r="HQR349" s="16" t="s">
        <v>4867</v>
      </c>
      <c r="HQS349" s="16" t="s">
        <v>4867</v>
      </c>
      <c r="HQT349" s="16" t="s">
        <v>4867</v>
      </c>
      <c r="HQU349" s="16" t="s">
        <v>4867</v>
      </c>
      <c r="HQV349" s="16" t="s">
        <v>4867</v>
      </c>
      <c r="HQW349" s="16" t="s">
        <v>4867</v>
      </c>
      <c r="HQX349" s="16" t="s">
        <v>4867</v>
      </c>
      <c r="HQY349" s="16" t="s">
        <v>4867</v>
      </c>
      <c r="HQZ349" s="16" t="s">
        <v>4867</v>
      </c>
      <c r="HRA349" s="16" t="s">
        <v>4867</v>
      </c>
      <c r="HRB349" s="16" t="s">
        <v>4867</v>
      </c>
      <c r="HRC349" s="16" t="s">
        <v>4867</v>
      </c>
      <c r="HRD349" s="16" t="s">
        <v>4867</v>
      </c>
      <c r="HRE349" s="16" t="s">
        <v>4867</v>
      </c>
      <c r="HRF349" s="16" t="s">
        <v>4867</v>
      </c>
      <c r="HRG349" s="16" t="s">
        <v>4867</v>
      </c>
      <c r="HRH349" s="16" t="s">
        <v>4867</v>
      </c>
      <c r="HRI349" s="16" t="s">
        <v>4867</v>
      </c>
      <c r="HRJ349" s="16" t="s">
        <v>4867</v>
      </c>
      <c r="HRK349" s="16" t="s">
        <v>4867</v>
      </c>
      <c r="HRL349" s="16" t="s">
        <v>4867</v>
      </c>
      <c r="HRM349" s="16" t="s">
        <v>4867</v>
      </c>
      <c r="HRN349" s="16" t="s">
        <v>4867</v>
      </c>
      <c r="HRO349" s="16" t="s">
        <v>4867</v>
      </c>
      <c r="HRP349" s="16" t="s">
        <v>4867</v>
      </c>
      <c r="HRQ349" s="16" t="s">
        <v>4867</v>
      </c>
      <c r="HRR349" s="16" t="s">
        <v>4867</v>
      </c>
      <c r="HRS349" s="16" t="s">
        <v>4867</v>
      </c>
      <c r="HRT349" s="16" t="s">
        <v>4867</v>
      </c>
      <c r="HRU349" s="16" t="s">
        <v>4867</v>
      </c>
      <c r="HRV349" s="16" t="s">
        <v>4867</v>
      </c>
      <c r="HRW349" s="16" t="s">
        <v>4867</v>
      </c>
      <c r="HRX349" s="16" t="s">
        <v>4867</v>
      </c>
      <c r="HRY349" s="16" t="s">
        <v>4867</v>
      </c>
      <c r="HRZ349" s="16" t="s">
        <v>4867</v>
      </c>
      <c r="HSA349" s="16" t="s">
        <v>4867</v>
      </c>
      <c r="HSB349" s="16" t="s">
        <v>4867</v>
      </c>
      <c r="HSC349" s="16" t="s">
        <v>4867</v>
      </c>
      <c r="HSD349" s="16" t="s">
        <v>4867</v>
      </c>
      <c r="HSE349" s="16" t="s">
        <v>4867</v>
      </c>
      <c r="HSF349" s="16" t="s">
        <v>4867</v>
      </c>
      <c r="HSG349" s="16" t="s">
        <v>4867</v>
      </c>
      <c r="HSH349" s="16" t="s">
        <v>4867</v>
      </c>
      <c r="HSI349" s="16" t="s">
        <v>4867</v>
      </c>
      <c r="HSJ349" s="16" t="s">
        <v>4867</v>
      </c>
      <c r="HSK349" s="16" t="s">
        <v>4867</v>
      </c>
      <c r="HSL349" s="16" t="s">
        <v>4867</v>
      </c>
      <c r="HSM349" s="16" t="s">
        <v>4867</v>
      </c>
      <c r="HSN349" s="16" t="s">
        <v>4867</v>
      </c>
      <c r="HSO349" s="16" t="s">
        <v>4867</v>
      </c>
      <c r="HSP349" s="16" t="s">
        <v>4867</v>
      </c>
      <c r="HSQ349" s="16" t="s">
        <v>4867</v>
      </c>
      <c r="HSR349" s="16" t="s">
        <v>4867</v>
      </c>
      <c r="HSS349" s="16" t="s">
        <v>4867</v>
      </c>
      <c r="HST349" s="16" t="s">
        <v>4867</v>
      </c>
      <c r="HSU349" s="16" t="s">
        <v>4867</v>
      </c>
      <c r="HSV349" s="16" t="s">
        <v>4867</v>
      </c>
      <c r="HSW349" s="16" t="s">
        <v>4867</v>
      </c>
      <c r="HSX349" s="16" t="s">
        <v>4867</v>
      </c>
      <c r="HSY349" s="16" t="s">
        <v>4867</v>
      </c>
      <c r="HSZ349" s="16" t="s">
        <v>4867</v>
      </c>
      <c r="HTA349" s="16" t="s">
        <v>4867</v>
      </c>
      <c r="HTB349" s="16" t="s">
        <v>4867</v>
      </c>
      <c r="HTC349" s="16" t="s">
        <v>4867</v>
      </c>
      <c r="HTD349" s="16" t="s">
        <v>4867</v>
      </c>
      <c r="HTE349" s="16" t="s">
        <v>4867</v>
      </c>
      <c r="HTF349" s="16" t="s">
        <v>4867</v>
      </c>
      <c r="HTG349" s="16" t="s">
        <v>4867</v>
      </c>
      <c r="HTH349" s="16" t="s">
        <v>4867</v>
      </c>
      <c r="HTI349" s="16" t="s">
        <v>4867</v>
      </c>
      <c r="HTJ349" s="16" t="s">
        <v>4867</v>
      </c>
      <c r="HTK349" s="16" t="s">
        <v>4867</v>
      </c>
      <c r="HTL349" s="16" t="s">
        <v>4867</v>
      </c>
      <c r="HTM349" s="16" t="s">
        <v>4867</v>
      </c>
      <c r="HTN349" s="16" t="s">
        <v>4867</v>
      </c>
      <c r="HTO349" s="16" t="s">
        <v>4867</v>
      </c>
      <c r="HTP349" s="16" t="s">
        <v>4867</v>
      </c>
      <c r="HTQ349" s="16" t="s">
        <v>4867</v>
      </c>
      <c r="HTR349" s="16" t="s">
        <v>4867</v>
      </c>
      <c r="HTS349" s="16" t="s">
        <v>4867</v>
      </c>
      <c r="HTT349" s="16" t="s">
        <v>4867</v>
      </c>
      <c r="HTU349" s="16" t="s">
        <v>4867</v>
      </c>
      <c r="HTV349" s="16" t="s">
        <v>4867</v>
      </c>
      <c r="HTW349" s="16" t="s">
        <v>4867</v>
      </c>
      <c r="HTX349" s="16" t="s">
        <v>4867</v>
      </c>
      <c r="HTY349" s="16" t="s">
        <v>4867</v>
      </c>
      <c r="HTZ349" s="16" t="s">
        <v>4867</v>
      </c>
      <c r="HUA349" s="16" t="s">
        <v>4867</v>
      </c>
      <c r="HUB349" s="16" t="s">
        <v>4867</v>
      </c>
      <c r="HUC349" s="16" t="s">
        <v>4867</v>
      </c>
      <c r="HUD349" s="16" t="s">
        <v>4867</v>
      </c>
      <c r="HUE349" s="16" t="s">
        <v>4867</v>
      </c>
      <c r="HUF349" s="16" t="s">
        <v>4867</v>
      </c>
      <c r="HUG349" s="16" t="s">
        <v>4867</v>
      </c>
      <c r="HUH349" s="16" t="s">
        <v>4867</v>
      </c>
      <c r="HUI349" s="16" t="s">
        <v>4867</v>
      </c>
      <c r="HUJ349" s="16" t="s">
        <v>4867</v>
      </c>
      <c r="HUK349" s="16" t="s">
        <v>4867</v>
      </c>
      <c r="HUL349" s="16" t="s">
        <v>4867</v>
      </c>
      <c r="HUM349" s="16" t="s">
        <v>4867</v>
      </c>
      <c r="HUN349" s="16" t="s">
        <v>4867</v>
      </c>
      <c r="HUO349" s="16" t="s">
        <v>4867</v>
      </c>
      <c r="HUP349" s="16" t="s">
        <v>4867</v>
      </c>
      <c r="HUQ349" s="16" t="s">
        <v>4867</v>
      </c>
      <c r="HUR349" s="16" t="s">
        <v>4867</v>
      </c>
      <c r="HUS349" s="16" t="s">
        <v>4867</v>
      </c>
      <c r="HUT349" s="16" t="s">
        <v>4867</v>
      </c>
      <c r="HUU349" s="16" t="s">
        <v>4867</v>
      </c>
      <c r="HUV349" s="16" t="s">
        <v>4867</v>
      </c>
      <c r="HUW349" s="16" t="s">
        <v>4867</v>
      </c>
      <c r="HUX349" s="16" t="s">
        <v>4867</v>
      </c>
      <c r="HUY349" s="16" t="s">
        <v>4867</v>
      </c>
      <c r="HUZ349" s="16" t="s">
        <v>4867</v>
      </c>
      <c r="HVA349" s="16" t="s">
        <v>4867</v>
      </c>
      <c r="HVB349" s="16" t="s">
        <v>4867</v>
      </c>
      <c r="HVC349" s="16" t="s">
        <v>4867</v>
      </c>
      <c r="HVD349" s="16" t="s">
        <v>4867</v>
      </c>
      <c r="HVE349" s="16" t="s">
        <v>4867</v>
      </c>
      <c r="HVF349" s="16" t="s">
        <v>4867</v>
      </c>
      <c r="HVG349" s="16" t="s">
        <v>4867</v>
      </c>
      <c r="HVH349" s="16" t="s">
        <v>4867</v>
      </c>
      <c r="HVI349" s="16" t="s">
        <v>4867</v>
      </c>
      <c r="HVJ349" s="16" t="s">
        <v>4867</v>
      </c>
      <c r="HVK349" s="16" t="s">
        <v>4867</v>
      </c>
      <c r="HVL349" s="16" t="s">
        <v>4867</v>
      </c>
      <c r="HVM349" s="16" t="s">
        <v>4867</v>
      </c>
      <c r="HVN349" s="16" t="s">
        <v>4867</v>
      </c>
      <c r="HVO349" s="16" t="s">
        <v>4867</v>
      </c>
      <c r="HVP349" s="16" t="s">
        <v>4867</v>
      </c>
      <c r="HVQ349" s="16" t="s">
        <v>4867</v>
      </c>
      <c r="HVR349" s="16" t="s">
        <v>4867</v>
      </c>
      <c r="HVS349" s="16" t="s">
        <v>4867</v>
      </c>
      <c r="HVT349" s="16" t="s">
        <v>4867</v>
      </c>
      <c r="HVU349" s="16" t="s">
        <v>4867</v>
      </c>
      <c r="HVV349" s="16" t="s">
        <v>4867</v>
      </c>
      <c r="HVW349" s="16" t="s">
        <v>4867</v>
      </c>
      <c r="HVX349" s="16" t="s">
        <v>4867</v>
      </c>
      <c r="HVY349" s="16" t="s">
        <v>4867</v>
      </c>
      <c r="HVZ349" s="16" t="s">
        <v>4867</v>
      </c>
      <c r="HWA349" s="16" t="s">
        <v>4867</v>
      </c>
      <c r="HWB349" s="16" t="s">
        <v>4867</v>
      </c>
      <c r="HWC349" s="16" t="s">
        <v>4867</v>
      </c>
      <c r="HWD349" s="16" t="s">
        <v>4867</v>
      </c>
      <c r="HWE349" s="16" t="s">
        <v>4867</v>
      </c>
      <c r="HWF349" s="16" t="s">
        <v>4867</v>
      </c>
      <c r="HWG349" s="16" t="s">
        <v>4867</v>
      </c>
      <c r="HWH349" s="16" t="s">
        <v>4867</v>
      </c>
      <c r="HWI349" s="16" t="s">
        <v>4867</v>
      </c>
      <c r="HWJ349" s="16" t="s">
        <v>4867</v>
      </c>
      <c r="HWK349" s="16" t="s">
        <v>4867</v>
      </c>
      <c r="HWL349" s="16" t="s">
        <v>4867</v>
      </c>
      <c r="HWM349" s="16" t="s">
        <v>4867</v>
      </c>
      <c r="HWN349" s="16" t="s">
        <v>4867</v>
      </c>
      <c r="HWO349" s="16" t="s">
        <v>4867</v>
      </c>
      <c r="HWP349" s="16" t="s">
        <v>4867</v>
      </c>
      <c r="HWQ349" s="16" t="s">
        <v>4867</v>
      </c>
      <c r="HWR349" s="16" t="s">
        <v>4867</v>
      </c>
      <c r="HWS349" s="16" t="s">
        <v>4867</v>
      </c>
      <c r="HWT349" s="16" t="s">
        <v>4867</v>
      </c>
      <c r="HWU349" s="16" t="s">
        <v>4867</v>
      </c>
      <c r="HWV349" s="16" t="s">
        <v>4867</v>
      </c>
      <c r="HWW349" s="16" t="s">
        <v>4867</v>
      </c>
      <c r="HWX349" s="16" t="s">
        <v>4867</v>
      </c>
      <c r="HWY349" s="16" t="s">
        <v>4867</v>
      </c>
      <c r="HWZ349" s="16" t="s">
        <v>4867</v>
      </c>
      <c r="HXA349" s="16" t="s">
        <v>4867</v>
      </c>
      <c r="HXB349" s="16" t="s">
        <v>4867</v>
      </c>
      <c r="HXC349" s="16" t="s">
        <v>4867</v>
      </c>
      <c r="HXD349" s="16" t="s">
        <v>4867</v>
      </c>
      <c r="HXE349" s="16" t="s">
        <v>4867</v>
      </c>
      <c r="HXF349" s="16" t="s">
        <v>4867</v>
      </c>
      <c r="HXG349" s="16" t="s">
        <v>4867</v>
      </c>
      <c r="HXH349" s="16" t="s">
        <v>4867</v>
      </c>
      <c r="HXI349" s="16" t="s">
        <v>4867</v>
      </c>
      <c r="HXJ349" s="16" t="s">
        <v>4867</v>
      </c>
      <c r="HXK349" s="16" t="s">
        <v>4867</v>
      </c>
      <c r="HXL349" s="16" t="s">
        <v>4867</v>
      </c>
      <c r="HXM349" s="16" t="s">
        <v>4867</v>
      </c>
      <c r="HXN349" s="16" t="s">
        <v>4867</v>
      </c>
      <c r="HXO349" s="16" t="s">
        <v>4867</v>
      </c>
      <c r="HXP349" s="16" t="s">
        <v>4867</v>
      </c>
      <c r="HXQ349" s="16" t="s">
        <v>4867</v>
      </c>
      <c r="HXR349" s="16" t="s">
        <v>4867</v>
      </c>
      <c r="HXS349" s="16" t="s">
        <v>4867</v>
      </c>
      <c r="HXT349" s="16" t="s">
        <v>4867</v>
      </c>
      <c r="HXU349" s="16" t="s">
        <v>4867</v>
      </c>
      <c r="HXV349" s="16" t="s">
        <v>4867</v>
      </c>
      <c r="HXW349" s="16" t="s">
        <v>4867</v>
      </c>
      <c r="HXX349" s="16" t="s">
        <v>4867</v>
      </c>
      <c r="HXY349" s="16" t="s">
        <v>4867</v>
      </c>
      <c r="HXZ349" s="16" t="s">
        <v>4867</v>
      </c>
      <c r="HYA349" s="16" t="s">
        <v>4867</v>
      </c>
      <c r="HYB349" s="16" t="s">
        <v>4867</v>
      </c>
      <c r="HYC349" s="16" t="s">
        <v>4867</v>
      </c>
      <c r="HYD349" s="16" t="s">
        <v>4867</v>
      </c>
      <c r="HYE349" s="16" t="s">
        <v>4867</v>
      </c>
      <c r="HYF349" s="16" t="s">
        <v>4867</v>
      </c>
      <c r="HYG349" s="16" t="s">
        <v>4867</v>
      </c>
      <c r="HYH349" s="16" t="s">
        <v>4867</v>
      </c>
      <c r="HYI349" s="16" t="s">
        <v>4867</v>
      </c>
      <c r="HYJ349" s="16" t="s">
        <v>4867</v>
      </c>
      <c r="HYK349" s="16" t="s">
        <v>4867</v>
      </c>
      <c r="HYL349" s="16" t="s">
        <v>4867</v>
      </c>
      <c r="HYM349" s="16" t="s">
        <v>4867</v>
      </c>
      <c r="HYN349" s="16" t="s">
        <v>4867</v>
      </c>
      <c r="HYO349" s="16" t="s">
        <v>4867</v>
      </c>
      <c r="HYP349" s="16" t="s">
        <v>4867</v>
      </c>
      <c r="HYQ349" s="16" t="s">
        <v>4867</v>
      </c>
      <c r="HYR349" s="16" t="s">
        <v>4867</v>
      </c>
      <c r="HYS349" s="16" t="s">
        <v>4867</v>
      </c>
      <c r="HYT349" s="16" t="s">
        <v>4867</v>
      </c>
      <c r="HYU349" s="16" t="s">
        <v>4867</v>
      </c>
      <c r="HYV349" s="16" t="s">
        <v>4867</v>
      </c>
      <c r="HYW349" s="16" t="s">
        <v>4867</v>
      </c>
      <c r="HYX349" s="16" t="s">
        <v>4867</v>
      </c>
      <c r="HYY349" s="16" t="s">
        <v>4867</v>
      </c>
      <c r="HYZ349" s="16" t="s">
        <v>4867</v>
      </c>
      <c r="HZA349" s="16" t="s">
        <v>4867</v>
      </c>
      <c r="HZB349" s="16" t="s">
        <v>4867</v>
      </c>
      <c r="HZC349" s="16" t="s">
        <v>4867</v>
      </c>
      <c r="HZD349" s="16" t="s">
        <v>4867</v>
      </c>
      <c r="HZE349" s="16" t="s">
        <v>4867</v>
      </c>
      <c r="HZF349" s="16" t="s">
        <v>4867</v>
      </c>
      <c r="HZG349" s="16" t="s">
        <v>4867</v>
      </c>
      <c r="HZH349" s="16" t="s">
        <v>4867</v>
      </c>
      <c r="HZI349" s="16" t="s">
        <v>4867</v>
      </c>
      <c r="HZJ349" s="16" t="s">
        <v>4867</v>
      </c>
      <c r="HZK349" s="16" t="s">
        <v>4867</v>
      </c>
      <c r="HZL349" s="16" t="s">
        <v>4867</v>
      </c>
      <c r="HZM349" s="16" t="s">
        <v>4867</v>
      </c>
      <c r="HZN349" s="16" t="s">
        <v>4867</v>
      </c>
      <c r="HZO349" s="16" t="s">
        <v>4867</v>
      </c>
      <c r="HZP349" s="16" t="s">
        <v>4867</v>
      </c>
      <c r="HZQ349" s="16" t="s">
        <v>4867</v>
      </c>
      <c r="HZR349" s="16" t="s">
        <v>4867</v>
      </c>
      <c r="HZS349" s="16" t="s">
        <v>4867</v>
      </c>
      <c r="HZT349" s="16" t="s">
        <v>4867</v>
      </c>
      <c r="HZU349" s="16" t="s">
        <v>4867</v>
      </c>
      <c r="HZV349" s="16" t="s">
        <v>4867</v>
      </c>
      <c r="HZW349" s="16" t="s">
        <v>4867</v>
      </c>
      <c r="HZX349" s="16" t="s">
        <v>4867</v>
      </c>
      <c r="HZY349" s="16" t="s">
        <v>4867</v>
      </c>
      <c r="HZZ349" s="16" t="s">
        <v>4867</v>
      </c>
      <c r="IAA349" s="16" t="s">
        <v>4867</v>
      </c>
      <c r="IAB349" s="16" t="s">
        <v>4867</v>
      </c>
      <c r="IAC349" s="16" t="s">
        <v>4867</v>
      </c>
      <c r="IAD349" s="16" t="s">
        <v>4867</v>
      </c>
      <c r="IAE349" s="16" t="s">
        <v>4867</v>
      </c>
      <c r="IAF349" s="16" t="s">
        <v>4867</v>
      </c>
      <c r="IAG349" s="16" t="s">
        <v>4867</v>
      </c>
      <c r="IAH349" s="16" t="s">
        <v>4867</v>
      </c>
      <c r="IAI349" s="16" t="s">
        <v>4867</v>
      </c>
      <c r="IAJ349" s="16" t="s">
        <v>4867</v>
      </c>
      <c r="IAK349" s="16" t="s">
        <v>4867</v>
      </c>
      <c r="IAL349" s="16" t="s">
        <v>4867</v>
      </c>
      <c r="IAM349" s="16" t="s">
        <v>4867</v>
      </c>
      <c r="IAN349" s="16" t="s">
        <v>4867</v>
      </c>
      <c r="IAO349" s="16" t="s">
        <v>4867</v>
      </c>
      <c r="IAP349" s="16" t="s">
        <v>4867</v>
      </c>
      <c r="IAQ349" s="16" t="s">
        <v>4867</v>
      </c>
      <c r="IAR349" s="16" t="s">
        <v>4867</v>
      </c>
      <c r="IAS349" s="16" t="s">
        <v>4867</v>
      </c>
      <c r="IAT349" s="16" t="s">
        <v>4867</v>
      </c>
      <c r="IAU349" s="16" t="s">
        <v>4867</v>
      </c>
      <c r="IAV349" s="16" t="s">
        <v>4867</v>
      </c>
      <c r="IAW349" s="16" t="s">
        <v>4867</v>
      </c>
      <c r="IAX349" s="16" t="s">
        <v>4867</v>
      </c>
      <c r="IAY349" s="16" t="s">
        <v>4867</v>
      </c>
      <c r="IAZ349" s="16" t="s">
        <v>4867</v>
      </c>
      <c r="IBA349" s="16" t="s">
        <v>4867</v>
      </c>
      <c r="IBB349" s="16" t="s">
        <v>4867</v>
      </c>
      <c r="IBC349" s="16" t="s">
        <v>4867</v>
      </c>
      <c r="IBD349" s="16" t="s">
        <v>4867</v>
      </c>
      <c r="IBE349" s="16" t="s">
        <v>4867</v>
      </c>
      <c r="IBF349" s="16" t="s">
        <v>4867</v>
      </c>
      <c r="IBG349" s="16" t="s">
        <v>4867</v>
      </c>
      <c r="IBH349" s="16" t="s">
        <v>4867</v>
      </c>
      <c r="IBI349" s="16" t="s">
        <v>4867</v>
      </c>
      <c r="IBJ349" s="16" t="s">
        <v>4867</v>
      </c>
      <c r="IBK349" s="16" t="s">
        <v>4867</v>
      </c>
      <c r="IBL349" s="16" t="s">
        <v>4867</v>
      </c>
      <c r="IBM349" s="16" t="s">
        <v>4867</v>
      </c>
      <c r="IBN349" s="16" t="s">
        <v>4867</v>
      </c>
      <c r="IBO349" s="16" t="s">
        <v>4867</v>
      </c>
      <c r="IBP349" s="16" t="s">
        <v>4867</v>
      </c>
      <c r="IBQ349" s="16" t="s">
        <v>4867</v>
      </c>
      <c r="IBR349" s="16" t="s">
        <v>4867</v>
      </c>
      <c r="IBS349" s="16" t="s">
        <v>4867</v>
      </c>
      <c r="IBT349" s="16" t="s">
        <v>4867</v>
      </c>
      <c r="IBU349" s="16" t="s">
        <v>4867</v>
      </c>
      <c r="IBV349" s="16" t="s">
        <v>4867</v>
      </c>
      <c r="IBW349" s="16" t="s">
        <v>4867</v>
      </c>
      <c r="IBX349" s="16" t="s">
        <v>4867</v>
      </c>
      <c r="IBY349" s="16" t="s">
        <v>4867</v>
      </c>
      <c r="IBZ349" s="16" t="s">
        <v>4867</v>
      </c>
      <c r="ICA349" s="16" t="s">
        <v>4867</v>
      </c>
      <c r="ICB349" s="16" t="s">
        <v>4867</v>
      </c>
      <c r="ICC349" s="16" t="s">
        <v>4867</v>
      </c>
      <c r="ICD349" s="16" t="s">
        <v>4867</v>
      </c>
      <c r="ICE349" s="16" t="s">
        <v>4867</v>
      </c>
      <c r="ICF349" s="16" t="s">
        <v>4867</v>
      </c>
      <c r="ICG349" s="16" t="s">
        <v>4867</v>
      </c>
      <c r="ICH349" s="16" t="s">
        <v>4867</v>
      </c>
      <c r="ICI349" s="16" t="s">
        <v>4867</v>
      </c>
      <c r="ICJ349" s="16" t="s">
        <v>4867</v>
      </c>
      <c r="ICK349" s="16" t="s">
        <v>4867</v>
      </c>
      <c r="ICL349" s="16" t="s">
        <v>4867</v>
      </c>
      <c r="ICM349" s="16" t="s">
        <v>4867</v>
      </c>
      <c r="ICN349" s="16" t="s">
        <v>4867</v>
      </c>
      <c r="ICO349" s="16" t="s">
        <v>4867</v>
      </c>
      <c r="ICP349" s="16" t="s">
        <v>4867</v>
      </c>
      <c r="ICQ349" s="16" t="s">
        <v>4867</v>
      </c>
      <c r="ICR349" s="16" t="s">
        <v>4867</v>
      </c>
      <c r="ICS349" s="16" t="s">
        <v>4867</v>
      </c>
      <c r="ICT349" s="16" t="s">
        <v>4867</v>
      </c>
      <c r="ICU349" s="16" t="s">
        <v>4867</v>
      </c>
      <c r="ICV349" s="16" t="s">
        <v>4867</v>
      </c>
      <c r="ICW349" s="16" t="s">
        <v>4867</v>
      </c>
      <c r="ICX349" s="16" t="s">
        <v>4867</v>
      </c>
      <c r="ICY349" s="16" t="s">
        <v>4867</v>
      </c>
      <c r="ICZ349" s="16" t="s">
        <v>4867</v>
      </c>
      <c r="IDA349" s="16" t="s">
        <v>4867</v>
      </c>
      <c r="IDB349" s="16" t="s">
        <v>4867</v>
      </c>
      <c r="IDC349" s="16" t="s">
        <v>4867</v>
      </c>
      <c r="IDD349" s="16" t="s">
        <v>4867</v>
      </c>
      <c r="IDE349" s="16" t="s">
        <v>4867</v>
      </c>
      <c r="IDF349" s="16" t="s">
        <v>4867</v>
      </c>
      <c r="IDG349" s="16" t="s">
        <v>4867</v>
      </c>
      <c r="IDH349" s="16" t="s">
        <v>4867</v>
      </c>
      <c r="IDI349" s="16" t="s">
        <v>4867</v>
      </c>
      <c r="IDJ349" s="16" t="s">
        <v>4867</v>
      </c>
      <c r="IDK349" s="16" t="s">
        <v>4867</v>
      </c>
      <c r="IDL349" s="16" t="s">
        <v>4867</v>
      </c>
      <c r="IDM349" s="16" t="s">
        <v>4867</v>
      </c>
      <c r="IDN349" s="16" t="s">
        <v>4867</v>
      </c>
      <c r="IDO349" s="16" t="s">
        <v>4867</v>
      </c>
      <c r="IDP349" s="16" t="s">
        <v>4867</v>
      </c>
      <c r="IDQ349" s="16" t="s">
        <v>4867</v>
      </c>
      <c r="IDR349" s="16" t="s">
        <v>4867</v>
      </c>
      <c r="IDS349" s="16" t="s">
        <v>4867</v>
      </c>
      <c r="IDT349" s="16" t="s">
        <v>4867</v>
      </c>
      <c r="IDU349" s="16" t="s">
        <v>4867</v>
      </c>
      <c r="IDV349" s="16" t="s">
        <v>4867</v>
      </c>
      <c r="IDW349" s="16" t="s">
        <v>4867</v>
      </c>
      <c r="IDX349" s="16" t="s">
        <v>4867</v>
      </c>
      <c r="IDY349" s="16" t="s">
        <v>4867</v>
      </c>
      <c r="IDZ349" s="16" t="s">
        <v>4867</v>
      </c>
      <c r="IEA349" s="16" t="s">
        <v>4867</v>
      </c>
      <c r="IEB349" s="16" t="s">
        <v>4867</v>
      </c>
      <c r="IEC349" s="16" t="s">
        <v>4867</v>
      </c>
      <c r="IED349" s="16" t="s">
        <v>4867</v>
      </c>
      <c r="IEE349" s="16" t="s">
        <v>4867</v>
      </c>
      <c r="IEF349" s="16" t="s">
        <v>4867</v>
      </c>
      <c r="IEG349" s="16" t="s">
        <v>4867</v>
      </c>
      <c r="IEH349" s="16" t="s">
        <v>4867</v>
      </c>
      <c r="IEI349" s="16" t="s">
        <v>4867</v>
      </c>
      <c r="IEJ349" s="16" t="s">
        <v>4867</v>
      </c>
      <c r="IEK349" s="16" t="s">
        <v>4867</v>
      </c>
      <c r="IEL349" s="16" t="s">
        <v>4867</v>
      </c>
      <c r="IEM349" s="16" t="s">
        <v>4867</v>
      </c>
      <c r="IEN349" s="16" t="s">
        <v>4867</v>
      </c>
      <c r="IEO349" s="16" t="s">
        <v>4867</v>
      </c>
      <c r="IEP349" s="16" t="s">
        <v>4867</v>
      </c>
      <c r="IEQ349" s="16" t="s">
        <v>4867</v>
      </c>
      <c r="IER349" s="16" t="s">
        <v>4867</v>
      </c>
      <c r="IES349" s="16" t="s">
        <v>4867</v>
      </c>
      <c r="IET349" s="16" t="s">
        <v>4867</v>
      </c>
      <c r="IEU349" s="16" t="s">
        <v>4867</v>
      </c>
      <c r="IEV349" s="16" t="s">
        <v>4867</v>
      </c>
      <c r="IEW349" s="16" t="s">
        <v>4867</v>
      </c>
      <c r="IEX349" s="16" t="s">
        <v>4867</v>
      </c>
      <c r="IEY349" s="16" t="s">
        <v>4867</v>
      </c>
      <c r="IEZ349" s="16" t="s">
        <v>4867</v>
      </c>
      <c r="IFA349" s="16" t="s">
        <v>4867</v>
      </c>
      <c r="IFB349" s="16" t="s">
        <v>4867</v>
      </c>
      <c r="IFC349" s="16" t="s">
        <v>4867</v>
      </c>
      <c r="IFD349" s="16" t="s">
        <v>4867</v>
      </c>
      <c r="IFE349" s="16" t="s">
        <v>4867</v>
      </c>
      <c r="IFF349" s="16" t="s">
        <v>4867</v>
      </c>
      <c r="IFG349" s="16" t="s">
        <v>4867</v>
      </c>
      <c r="IFH349" s="16" t="s">
        <v>4867</v>
      </c>
      <c r="IFI349" s="16" t="s">
        <v>4867</v>
      </c>
      <c r="IFJ349" s="16" t="s">
        <v>4867</v>
      </c>
      <c r="IFK349" s="16" t="s">
        <v>4867</v>
      </c>
      <c r="IFL349" s="16" t="s">
        <v>4867</v>
      </c>
      <c r="IFM349" s="16" t="s">
        <v>4867</v>
      </c>
      <c r="IFN349" s="16" t="s">
        <v>4867</v>
      </c>
      <c r="IFO349" s="16" t="s">
        <v>4867</v>
      </c>
      <c r="IFP349" s="16" t="s">
        <v>4867</v>
      </c>
      <c r="IFQ349" s="16" t="s">
        <v>4867</v>
      </c>
      <c r="IFR349" s="16" t="s">
        <v>4867</v>
      </c>
      <c r="IFS349" s="16" t="s">
        <v>4867</v>
      </c>
      <c r="IFT349" s="16" t="s">
        <v>4867</v>
      </c>
      <c r="IFU349" s="16" t="s">
        <v>4867</v>
      </c>
      <c r="IFV349" s="16" t="s">
        <v>4867</v>
      </c>
      <c r="IFW349" s="16" t="s">
        <v>4867</v>
      </c>
      <c r="IFX349" s="16" t="s">
        <v>4867</v>
      </c>
      <c r="IFY349" s="16" t="s">
        <v>4867</v>
      </c>
      <c r="IFZ349" s="16" t="s">
        <v>4867</v>
      </c>
      <c r="IGA349" s="16" t="s">
        <v>4867</v>
      </c>
      <c r="IGB349" s="16" t="s">
        <v>4867</v>
      </c>
      <c r="IGC349" s="16" t="s">
        <v>4867</v>
      </c>
      <c r="IGD349" s="16" t="s">
        <v>4867</v>
      </c>
      <c r="IGE349" s="16" t="s">
        <v>4867</v>
      </c>
      <c r="IGF349" s="16" t="s">
        <v>4867</v>
      </c>
      <c r="IGG349" s="16" t="s">
        <v>4867</v>
      </c>
      <c r="IGH349" s="16" t="s">
        <v>4867</v>
      </c>
      <c r="IGI349" s="16" t="s">
        <v>4867</v>
      </c>
      <c r="IGJ349" s="16" t="s">
        <v>4867</v>
      </c>
      <c r="IGK349" s="16" t="s">
        <v>4867</v>
      </c>
      <c r="IGL349" s="16" t="s">
        <v>4867</v>
      </c>
      <c r="IGM349" s="16" t="s">
        <v>4867</v>
      </c>
      <c r="IGN349" s="16" t="s">
        <v>4867</v>
      </c>
      <c r="IGO349" s="16" t="s">
        <v>4867</v>
      </c>
      <c r="IGP349" s="16" t="s">
        <v>4867</v>
      </c>
      <c r="IGQ349" s="16" t="s">
        <v>4867</v>
      </c>
      <c r="IGR349" s="16" t="s">
        <v>4867</v>
      </c>
      <c r="IGS349" s="16" t="s">
        <v>4867</v>
      </c>
      <c r="IGT349" s="16" t="s">
        <v>4867</v>
      </c>
      <c r="IGU349" s="16" t="s">
        <v>4867</v>
      </c>
      <c r="IGV349" s="16" t="s">
        <v>4867</v>
      </c>
      <c r="IGW349" s="16" t="s">
        <v>4867</v>
      </c>
      <c r="IGX349" s="16" t="s">
        <v>4867</v>
      </c>
      <c r="IGY349" s="16" t="s">
        <v>4867</v>
      </c>
      <c r="IGZ349" s="16" t="s">
        <v>4867</v>
      </c>
      <c r="IHA349" s="16" t="s">
        <v>4867</v>
      </c>
      <c r="IHB349" s="16" t="s">
        <v>4867</v>
      </c>
      <c r="IHC349" s="16" t="s">
        <v>4867</v>
      </c>
      <c r="IHD349" s="16" t="s">
        <v>4867</v>
      </c>
      <c r="IHE349" s="16" t="s">
        <v>4867</v>
      </c>
      <c r="IHF349" s="16" t="s">
        <v>4867</v>
      </c>
      <c r="IHG349" s="16" t="s">
        <v>4867</v>
      </c>
      <c r="IHH349" s="16" t="s">
        <v>4867</v>
      </c>
      <c r="IHI349" s="16" t="s">
        <v>4867</v>
      </c>
      <c r="IHJ349" s="16" t="s">
        <v>4867</v>
      </c>
      <c r="IHK349" s="16" t="s">
        <v>4867</v>
      </c>
      <c r="IHL349" s="16" t="s">
        <v>4867</v>
      </c>
      <c r="IHM349" s="16" t="s">
        <v>4867</v>
      </c>
      <c r="IHN349" s="16" t="s">
        <v>4867</v>
      </c>
      <c r="IHO349" s="16" t="s">
        <v>4867</v>
      </c>
      <c r="IHP349" s="16" t="s">
        <v>4867</v>
      </c>
      <c r="IHQ349" s="16" t="s">
        <v>4867</v>
      </c>
      <c r="IHR349" s="16" t="s">
        <v>4867</v>
      </c>
      <c r="IHS349" s="16" t="s">
        <v>4867</v>
      </c>
      <c r="IHT349" s="16" t="s">
        <v>4867</v>
      </c>
      <c r="IHU349" s="16" t="s">
        <v>4867</v>
      </c>
      <c r="IHV349" s="16" t="s">
        <v>4867</v>
      </c>
      <c r="IHW349" s="16" t="s">
        <v>4867</v>
      </c>
      <c r="IHX349" s="16" t="s">
        <v>4867</v>
      </c>
      <c r="IHY349" s="16" t="s">
        <v>4867</v>
      </c>
      <c r="IHZ349" s="16" t="s">
        <v>4867</v>
      </c>
      <c r="IIA349" s="16" t="s">
        <v>4867</v>
      </c>
      <c r="IIB349" s="16" t="s">
        <v>4867</v>
      </c>
      <c r="IIC349" s="16" t="s">
        <v>4867</v>
      </c>
      <c r="IID349" s="16" t="s">
        <v>4867</v>
      </c>
      <c r="IIE349" s="16" t="s">
        <v>4867</v>
      </c>
      <c r="IIF349" s="16" t="s">
        <v>4867</v>
      </c>
      <c r="IIG349" s="16" t="s">
        <v>4867</v>
      </c>
      <c r="IIH349" s="16" t="s">
        <v>4867</v>
      </c>
      <c r="III349" s="16" t="s">
        <v>4867</v>
      </c>
      <c r="IIJ349" s="16" t="s">
        <v>4867</v>
      </c>
      <c r="IIK349" s="16" t="s">
        <v>4867</v>
      </c>
      <c r="IIL349" s="16" t="s">
        <v>4867</v>
      </c>
      <c r="IIM349" s="16" t="s">
        <v>4867</v>
      </c>
      <c r="IIN349" s="16" t="s">
        <v>4867</v>
      </c>
      <c r="IIO349" s="16" t="s">
        <v>4867</v>
      </c>
      <c r="IIP349" s="16" t="s">
        <v>4867</v>
      </c>
      <c r="IIQ349" s="16" t="s">
        <v>4867</v>
      </c>
      <c r="IIR349" s="16" t="s">
        <v>4867</v>
      </c>
      <c r="IIS349" s="16" t="s">
        <v>4867</v>
      </c>
      <c r="IIT349" s="16" t="s">
        <v>4867</v>
      </c>
      <c r="IIU349" s="16" t="s">
        <v>4867</v>
      </c>
      <c r="IIV349" s="16" t="s">
        <v>4867</v>
      </c>
      <c r="IIW349" s="16" t="s">
        <v>4867</v>
      </c>
      <c r="IIX349" s="16" t="s">
        <v>4867</v>
      </c>
      <c r="IIY349" s="16" t="s">
        <v>4867</v>
      </c>
      <c r="IIZ349" s="16" t="s">
        <v>4867</v>
      </c>
      <c r="IJA349" s="16" t="s">
        <v>4867</v>
      </c>
      <c r="IJB349" s="16" t="s">
        <v>4867</v>
      </c>
      <c r="IJC349" s="16" t="s">
        <v>4867</v>
      </c>
      <c r="IJD349" s="16" t="s">
        <v>4867</v>
      </c>
      <c r="IJE349" s="16" t="s">
        <v>4867</v>
      </c>
      <c r="IJF349" s="16" t="s">
        <v>4867</v>
      </c>
      <c r="IJG349" s="16" t="s">
        <v>4867</v>
      </c>
      <c r="IJH349" s="16" t="s">
        <v>4867</v>
      </c>
      <c r="IJI349" s="16" t="s">
        <v>4867</v>
      </c>
      <c r="IJJ349" s="16" t="s">
        <v>4867</v>
      </c>
      <c r="IJK349" s="16" t="s">
        <v>4867</v>
      </c>
      <c r="IJL349" s="16" t="s">
        <v>4867</v>
      </c>
      <c r="IJM349" s="16" t="s">
        <v>4867</v>
      </c>
      <c r="IJN349" s="16" t="s">
        <v>4867</v>
      </c>
      <c r="IJO349" s="16" t="s">
        <v>4867</v>
      </c>
      <c r="IJP349" s="16" t="s">
        <v>4867</v>
      </c>
      <c r="IJQ349" s="16" t="s">
        <v>4867</v>
      </c>
      <c r="IJR349" s="16" t="s">
        <v>4867</v>
      </c>
      <c r="IJS349" s="16" t="s">
        <v>4867</v>
      </c>
      <c r="IJT349" s="16" t="s">
        <v>4867</v>
      </c>
      <c r="IJU349" s="16" t="s">
        <v>4867</v>
      </c>
      <c r="IJV349" s="16" t="s">
        <v>4867</v>
      </c>
      <c r="IJW349" s="16" t="s">
        <v>4867</v>
      </c>
      <c r="IJX349" s="16" t="s">
        <v>4867</v>
      </c>
      <c r="IJY349" s="16" t="s">
        <v>4867</v>
      </c>
      <c r="IJZ349" s="16" t="s">
        <v>4867</v>
      </c>
      <c r="IKA349" s="16" t="s">
        <v>4867</v>
      </c>
      <c r="IKB349" s="16" t="s">
        <v>4867</v>
      </c>
      <c r="IKC349" s="16" t="s">
        <v>4867</v>
      </c>
      <c r="IKD349" s="16" t="s">
        <v>4867</v>
      </c>
      <c r="IKE349" s="16" t="s">
        <v>4867</v>
      </c>
      <c r="IKF349" s="16" t="s">
        <v>4867</v>
      </c>
      <c r="IKG349" s="16" t="s">
        <v>4867</v>
      </c>
      <c r="IKH349" s="16" t="s">
        <v>4867</v>
      </c>
      <c r="IKI349" s="16" t="s">
        <v>4867</v>
      </c>
      <c r="IKJ349" s="16" t="s">
        <v>4867</v>
      </c>
      <c r="IKK349" s="16" t="s">
        <v>4867</v>
      </c>
      <c r="IKL349" s="16" t="s">
        <v>4867</v>
      </c>
      <c r="IKM349" s="16" t="s">
        <v>4867</v>
      </c>
      <c r="IKN349" s="16" t="s">
        <v>4867</v>
      </c>
      <c r="IKO349" s="16" t="s">
        <v>4867</v>
      </c>
      <c r="IKP349" s="16" t="s">
        <v>4867</v>
      </c>
      <c r="IKQ349" s="16" t="s">
        <v>4867</v>
      </c>
      <c r="IKR349" s="16" t="s">
        <v>4867</v>
      </c>
      <c r="IKS349" s="16" t="s">
        <v>4867</v>
      </c>
      <c r="IKT349" s="16" t="s">
        <v>4867</v>
      </c>
      <c r="IKU349" s="16" t="s">
        <v>4867</v>
      </c>
      <c r="IKV349" s="16" t="s">
        <v>4867</v>
      </c>
      <c r="IKW349" s="16" t="s">
        <v>4867</v>
      </c>
      <c r="IKX349" s="16" t="s">
        <v>4867</v>
      </c>
      <c r="IKY349" s="16" t="s">
        <v>4867</v>
      </c>
      <c r="IKZ349" s="16" t="s">
        <v>4867</v>
      </c>
      <c r="ILA349" s="16" t="s">
        <v>4867</v>
      </c>
      <c r="ILB349" s="16" t="s">
        <v>4867</v>
      </c>
      <c r="ILC349" s="16" t="s">
        <v>4867</v>
      </c>
      <c r="ILD349" s="16" t="s">
        <v>4867</v>
      </c>
      <c r="ILE349" s="16" t="s">
        <v>4867</v>
      </c>
      <c r="ILF349" s="16" t="s">
        <v>4867</v>
      </c>
      <c r="ILG349" s="16" t="s">
        <v>4867</v>
      </c>
      <c r="ILH349" s="16" t="s">
        <v>4867</v>
      </c>
      <c r="ILI349" s="16" t="s">
        <v>4867</v>
      </c>
      <c r="ILJ349" s="16" t="s">
        <v>4867</v>
      </c>
      <c r="ILK349" s="16" t="s">
        <v>4867</v>
      </c>
      <c r="ILL349" s="16" t="s">
        <v>4867</v>
      </c>
      <c r="ILM349" s="16" t="s">
        <v>4867</v>
      </c>
      <c r="ILN349" s="16" t="s">
        <v>4867</v>
      </c>
      <c r="ILO349" s="16" t="s">
        <v>4867</v>
      </c>
      <c r="ILP349" s="16" t="s">
        <v>4867</v>
      </c>
      <c r="ILQ349" s="16" t="s">
        <v>4867</v>
      </c>
      <c r="ILR349" s="16" t="s">
        <v>4867</v>
      </c>
      <c r="ILS349" s="16" t="s">
        <v>4867</v>
      </c>
      <c r="ILT349" s="16" t="s">
        <v>4867</v>
      </c>
      <c r="ILU349" s="16" t="s">
        <v>4867</v>
      </c>
      <c r="ILV349" s="16" t="s">
        <v>4867</v>
      </c>
      <c r="ILW349" s="16" t="s">
        <v>4867</v>
      </c>
      <c r="ILX349" s="16" t="s">
        <v>4867</v>
      </c>
      <c r="ILY349" s="16" t="s">
        <v>4867</v>
      </c>
      <c r="ILZ349" s="16" t="s">
        <v>4867</v>
      </c>
      <c r="IMA349" s="16" t="s">
        <v>4867</v>
      </c>
      <c r="IMB349" s="16" t="s">
        <v>4867</v>
      </c>
      <c r="IMC349" s="16" t="s">
        <v>4867</v>
      </c>
      <c r="IMD349" s="16" t="s">
        <v>4867</v>
      </c>
      <c r="IME349" s="16" t="s">
        <v>4867</v>
      </c>
      <c r="IMF349" s="16" t="s">
        <v>4867</v>
      </c>
      <c r="IMG349" s="16" t="s">
        <v>4867</v>
      </c>
      <c r="IMH349" s="16" t="s">
        <v>4867</v>
      </c>
      <c r="IMI349" s="16" t="s">
        <v>4867</v>
      </c>
      <c r="IMJ349" s="16" t="s">
        <v>4867</v>
      </c>
      <c r="IMK349" s="16" t="s">
        <v>4867</v>
      </c>
      <c r="IML349" s="16" t="s">
        <v>4867</v>
      </c>
      <c r="IMM349" s="16" t="s">
        <v>4867</v>
      </c>
      <c r="IMN349" s="16" t="s">
        <v>4867</v>
      </c>
      <c r="IMO349" s="16" t="s">
        <v>4867</v>
      </c>
      <c r="IMP349" s="16" t="s">
        <v>4867</v>
      </c>
      <c r="IMQ349" s="16" t="s">
        <v>4867</v>
      </c>
      <c r="IMR349" s="16" t="s">
        <v>4867</v>
      </c>
      <c r="IMS349" s="16" t="s">
        <v>4867</v>
      </c>
      <c r="IMT349" s="16" t="s">
        <v>4867</v>
      </c>
      <c r="IMU349" s="16" t="s">
        <v>4867</v>
      </c>
      <c r="IMV349" s="16" t="s">
        <v>4867</v>
      </c>
      <c r="IMW349" s="16" t="s">
        <v>4867</v>
      </c>
      <c r="IMX349" s="16" t="s">
        <v>4867</v>
      </c>
      <c r="IMY349" s="16" t="s">
        <v>4867</v>
      </c>
      <c r="IMZ349" s="16" t="s">
        <v>4867</v>
      </c>
      <c r="INA349" s="16" t="s">
        <v>4867</v>
      </c>
      <c r="INB349" s="16" t="s">
        <v>4867</v>
      </c>
      <c r="INC349" s="16" t="s">
        <v>4867</v>
      </c>
      <c r="IND349" s="16" t="s">
        <v>4867</v>
      </c>
      <c r="INE349" s="16" t="s">
        <v>4867</v>
      </c>
      <c r="INF349" s="16" t="s">
        <v>4867</v>
      </c>
      <c r="ING349" s="16" t="s">
        <v>4867</v>
      </c>
      <c r="INH349" s="16" t="s">
        <v>4867</v>
      </c>
      <c r="INI349" s="16" t="s">
        <v>4867</v>
      </c>
      <c r="INJ349" s="16" t="s">
        <v>4867</v>
      </c>
      <c r="INK349" s="16" t="s">
        <v>4867</v>
      </c>
      <c r="INL349" s="16" t="s">
        <v>4867</v>
      </c>
      <c r="INM349" s="16" t="s">
        <v>4867</v>
      </c>
      <c r="INN349" s="16" t="s">
        <v>4867</v>
      </c>
      <c r="INO349" s="16" t="s">
        <v>4867</v>
      </c>
      <c r="INP349" s="16" t="s">
        <v>4867</v>
      </c>
      <c r="INQ349" s="16" t="s">
        <v>4867</v>
      </c>
      <c r="INR349" s="16" t="s">
        <v>4867</v>
      </c>
      <c r="INS349" s="16" t="s">
        <v>4867</v>
      </c>
      <c r="INT349" s="16" t="s">
        <v>4867</v>
      </c>
      <c r="INU349" s="16" t="s">
        <v>4867</v>
      </c>
      <c r="INV349" s="16" t="s">
        <v>4867</v>
      </c>
      <c r="INW349" s="16" t="s">
        <v>4867</v>
      </c>
      <c r="INX349" s="16" t="s">
        <v>4867</v>
      </c>
      <c r="INY349" s="16" t="s">
        <v>4867</v>
      </c>
      <c r="INZ349" s="16" t="s">
        <v>4867</v>
      </c>
      <c r="IOA349" s="16" t="s">
        <v>4867</v>
      </c>
      <c r="IOB349" s="16" t="s">
        <v>4867</v>
      </c>
      <c r="IOC349" s="16" t="s">
        <v>4867</v>
      </c>
      <c r="IOD349" s="16" t="s">
        <v>4867</v>
      </c>
      <c r="IOE349" s="16" t="s">
        <v>4867</v>
      </c>
      <c r="IOF349" s="16" t="s">
        <v>4867</v>
      </c>
      <c r="IOG349" s="16" t="s">
        <v>4867</v>
      </c>
      <c r="IOH349" s="16" t="s">
        <v>4867</v>
      </c>
      <c r="IOI349" s="16" t="s">
        <v>4867</v>
      </c>
      <c r="IOJ349" s="16" t="s">
        <v>4867</v>
      </c>
      <c r="IOK349" s="16" t="s">
        <v>4867</v>
      </c>
      <c r="IOL349" s="16" t="s">
        <v>4867</v>
      </c>
      <c r="IOM349" s="16" t="s">
        <v>4867</v>
      </c>
      <c r="ION349" s="16" t="s">
        <v>4867</v>
      </c>
      <c r="IOO349" s="16" t="s">
        <v>4867</v>
      </c>
      <c r="IOP349" s="16" t="s">
        <v>4867</v>
      </c>
      <c r="IOQ349" s="16" t="s">
        <v>4867</v>
      </c>
      <c r="IOR349" s="16" t="s">
        <v>4867</v>
      </c>
      <c r="IOS349" s="16" t="s">
        <v>4867</v>
      </c>
      <c r="IOT349" s="16" t="s">
        <v>4867</v>
      </c>
      <c r="IOU349" s="16" t="s">
        <v>4867</v>
      </c>
      <c r="IOV349" s="16" t="s">
        <v>4867</v>
      </c>
      <c r="IOW349" s="16" t="s">
        <v>4867</v>
      </c>
      <c r="IOX349" s="16" t="s">
        <v>4867</v>
      </c>
      <c r="IOY349" s="16" t="s">
        <v>4867</v>
      </c>
      <c r="IOZ349" s="16" t="s">
        <v>4867</v>
      </c>
      <c r="IPA349" s="16" t="s">
        <v>4867</v>
      </c>
      <c r="IPB349" s="16" t="s">
        <v>4867</v>
      </c>
      <c r="IPC349" s="16" t="s">
        <v>4867</v>
      </c>
      <c r="IPD349" s="16" t="s">
        <v>4867</v>
      </c>
      <c r="IPE349" s="16" t="s">
        <v>4867</v>
      </c>
      <c r="IPF349" s="16" t="s">
        <v>4867</v>
      </c>
      <c r="IPG349" s="16" t="s">
        <v>4867</v>
      </c>
      <c r="IPH349" s="16" t="s">
        <v>4867</v>
      </c>
      <c r="IPI349" s="16" t="s">
        <v>4867</v>
      </c>
      <c r="IPJ349" s="16" t="s">
        <v>4867</v>
      </c>
      <c r="IPK349" s="16" t="s">
        <v>4867</v>
      </c>
      <c r="IPL349" s="16" t="s">
        <v>4867</v>
      </c>
      <c r="IPM349" s="16" t="s">
        <v>4867</v>
      </c>
      <c r="IPN349" s="16" t="s">
        <v>4867</v>
      </c>
      <c r="IPO349" s="16" t="s">
        <v>4867</v>
      </c>
      <c r="IPP349" s="16" t="s">
        <v>4867</v>
      </c>
      <c r="IPQ349" s="16" t="s">
        <v>4867</v>
      </c>
      <c r="IPR349" s="16" t="s">
        <v>4867</v>
      </c>
      <c r="IPS349" s="16" t="s">
        <v>4867</v>
      </c>
      <c r="IPT349" s="16" t="s">
        <v>4867</v>
      </c>
      <c r="IPU349" s="16" t="s">
        <v>4867</v>
      </c>
      <c r="IPV349" s="16" t="s">
        <v>4867</v>
      </c>
      <c r="IPW349" s="16" t="s">
        <v>4867</v>
      </c>
      <c r="IPX349" s="16" t="s">
        <v>4867</v>
      </c>
      <c r="IPY349" s="16" t="s">
        <v>4867</v>
      </c>
      <c r="IPZ349" s="16" t="s">
        <v>4867</v>
      </c>
      <c r="IQA349" s="16" t="s">
        <v>4867</v>
      </c>
      <c r="IQB349" s="16" t="s">
        <v>4867</v>
      </c>
      <c r="IQC349" s="16" t="s">
        <v>4867</v>
      </c>
      <c r="IQD349" s="16" t="s">
        <v>4867</v>
      </c>
      <c r="IQE349" s="16" t="s">
        <v>4867</v>
      </c>
      <c r="IQF349" s="16" t="s">
        <v>4867</v>
      </c>
      <c r="IQG349" s="16" t="s">
        <v>4867</v>
      </c>
      <c r="IQH349" s="16" t="s">
        <v>4867</v>
      </c>
      <c r="IQI349" s="16" t="s">
        <v>4867</v>
      </c>
      <c r="IQJ349" s="16" t="s">
        <v>4867</v>
      </c>
      <c r="IQK349" s="16" t="s">
        <v>4867</v>
      </c>
      <c r="IQL349" s="16" t="s">
        <v>4867</v>
      </c>
      <c r="IQM349" s="16" t="s">
        <v>4867</v>
      </c>
      <c r="IQN349" s="16" t="s">
        <v>4867</v>
      </c>
      <c r="IQO349" s="16" t="s">
        <v>4867</v>
      </c>
      <c r="IQP349" s="16" t="s">
        <v>4867</v>
      </c>
      <c r="IQQ349" s="16" t="s">
        <v>4867</v>
      </c>
      <c r="IQR349" s="16" t="s">
        <v>4867</v>
      </c>
      <c r="IQS349" s="16" t="s">
        <v>4867</v>
      </c>
      <c r="IQT349" s="16" t="s">
        <v>4867</v>
      </c>
      <c r="IQU349" s="16" t="s">
        <v>4867</v>
      </c>
      <c r="IQV349" s="16" t="s">
        <v>4867</v>
      </c>
      <c r="IQW349" s="16" t="s">
        <v>4867</v>
      </c>
      <c r="IQX349" s="16" t="s">
        <v>4867</v>
      </c>
      <c r="IQY349" s="16" t="s">
        <v>4867</v>
      </c>
      <c r="IQZ349" s="16" t="s">
        <v>4867</v>
      </c>
      <c r="IRA349" s="16" t="s">
        <v>4867</v>
      </c>
      <c r="IRB349" s="16" t="s">
        <v>4867</v>
      </c>
      <c r="IRC349" s="16" t="s">
        <v>4867</v>
      </c>
      <c r="IRD349" s="16" t="s">
        <v>4867</v>
      </c>
      <c r="IRE349" s="16" t="s">
        <v>4867</v>
      </c>
      <c r="IRF349" s="16" t="s">
        <v>4867</v>
      </c>
      <c r="IRG349" s="16" t="s">
        <v>4867</v>
      </c>
      <c r="IRH349" s="16" t="s">
        <v>4867</v>
      </c>
      <c r="IRI349" s="16" t="s">
        <v>4867</v>
      </c>
      <c r="IRJ349" s="16" t="s">
        <v>4867</v>
      </c>
      <c r="IRK349" s="16" t="s">
        <v>4867</v>
      </c>
      <c r="IRL349" s="16" t="s">
        <v>4867</v>
      </c>
      <c r="IRM349" s="16" t="s">
        <v>4867</v>
      </c>
      <c r="IRN349" s="16" t="s">
        <v>4867</v>
      </c>
      <c r="IRO349" s="16" t="s">
        <v>4867</v>
      </c>
      <c r="IRP349" s="16" t="s">
        <v>4867</v>
      </c>
      <c r="IRQ349" s="16" t="s">
        <v>4867</v>
      </c>
      <c r="IRR349" s="16" t="s">
        <v>4867</v>
      </c>
      <c r="IRS349" s="16" t="s">
        <v>4867</v>
      </c>
      <c r="IRT349" s="16" t="s">
        <v>4867</v>
      </c>
      <c r="IRU349" s="16" t="s">
        <v>4867</v>
      </c>
      <c r="IRV349" s="16" t="s">
        <v>4867</v>
      </c>
      <c r="IRW349" s="16" t="s">
        <v>4867</v>
      </c>
      <c r="IRX349" s="16" t="s">
        <v>4867</v>
      </c>
      <c r="IRY349" s="16" t="s">
        <v>4867</v>
      </c>
      <c r="IRZ349" s="16" t="s">
        <v>4867</v>
      </c>
      <c r="ISA349" s="16" t="s">
        <v>4867</v>
      </c>
      <c r="ISB349" s="16" t="s">
        <v>4867</v>
      </c>
      <c r="ISC349" s="16" t="s">
        <v>4867</v>
      </c>
      <c r="ISD349" s="16" t="s">
        <v>4867</v>
      </c>
      <c r="ISE349" s="16" t="s">
        <v>4867</v>
      </c>
      <c r="ISF349" s="16" t="s">
        <v>4867</v>
      </c>
      <c r="ISG349" s="16" t="s">
        <v>4867</v>
      </c>
      <c r="ISH349" s="16" t="s">
        <v>4867</v>
      </c>
      <c r="ISI349" s="16" t="s">
        <v>4867</v>
      </c>
      <c r="ISJ349" s="16" t="s">
        <v>4867</v>
      </c>
      <c r="ISK349" s="16" t="s">
        <v>4867</v>
      </c>
      <c r="ISL349" s="16" t="s">
        <v>4867</v>
      </c>
      <c r="ISM349" s="16" t="s">
        <v>4867</v>
      </c>
      <c r="ISN349" s="16" t="s">
        <v>4867</v>
      </c>
      <c r="ISO349" s="16" t="s">
        <v>4867</v>
      </c>
      <c r="ISP349" s="16" t="s">
        <v>4867</v>
      </c>
      <c r="ISQ349" s="16" t="s">
        <v>4867</v>
      </c>
      <c r="ISR349" s="16" t="s">
        <v>4867</v>
      </c>
      <c r="ISS349" s="16" t="s">
        <v>4867</v>
      </c>
      <c r="IST349" s="16" t="s">
        <v>4867</v>
      </c>
      <c r="ISU349" s="16" t="s">
        <v>4867</v>
      </c>
      <c r="ISV349" s="16" t="s">
        <v>4867</v>
      </c>
      <c r="ISW349" s="16" t="s">
        <v>4867</v>
      </c>
      <c r="ISX349" s="16" t="s">
        <v>4867</v>
      </c>
      <c r="ISY349" s="16" t="s">
        <v>4867</v>
      </c>
      <c r="ISZ349" s="16" t="s">
        <v>4867</v>
      </c>
      <c r="ITA349" s="16" t="s">
        <v>4867</v>
      </c>
      <c r="ITB349" s="16" t="s">
        <v>4867</v>
      </c>
      <c r="ITC349" s="16" t="s">
        <v>4867</v>
      </c>
      <c r="ITD349" s="16" t="s">
        <v>4867</v>
      </c>
      <c r="ITE349" s="16" t="s">
        <v>4867</v>
      </c>
      <c r="ITF349" s="16" t="s">
        <v>4867</v>
      </c>
      <c r="ITG349" s="16" t="s">
        <v>4867</v>
      </c>
      <c r="ITH349" s="16" t="s">
        <v>4867</v>
      </c>
      <c r="ITI349" s="16" t="s">
        <v>4867</v>
      </c>
      <c r="ITJ349" s="16" t="s">
        <v>4867</v>
      </c>
      <c r="ITK349" s="16" t="s">
        <v>4867</v>
      </c>
      <c r="ITL349" s="16" t="s">
        <v>4867</v>
      </c>
      <c r="ITM349" s="16" t="s">
        <v>4867</v>
      </c>
      <c r="ITN349" s="16" t="s">
        <v>4867</v>
      </c>
      <c r="ITO349" s="16" t="s">
        <v>4867</v>
      </c>
      <c r="ITP349" s="16" t="s">
        <v>4867</v>
      </c>
      <c r="ITQ349" s="16" t="s">
        <v>4867</v>
      </c>
      <c r="ITR349" s="16" t="s">
        <v>4867</v>
      </c>
      <c r="ITS349" s="16" t="s">
        <v>4867</v>
      </c>
      <c r="ITT349" s="16" t="s">
        <v>4867</v>
      </c>
      <c r="ITU349" s="16" t="s">
        <v>4867</v>
      </c>
      <c r="ITV349" s="16" t="s">
        <v>4867</v>
      </c>
      <c r="ITW349" s="16" t="s">
        <v>4867</v>
      </c>
      <c r="ITX349" s="16" t="s">
        <v>4867</v>
      </c>
      <c r="ITY349" s="16" t="s">
        <v>4867</v>
      </c>
      <c r="ITZ349" s="16" t="s">
        <v>4867</v>
      </c>
      <c r="IUA349" s="16" t="s">
        <v>4867</v>
      </c>
      <c r="IUB349" s="16" t="s">
        <v>4867</v>
      </c>
      <c r="IUC349" s="16" t="s">
        <v>4867</v>
      </c>
      <c r="IUD349" s="16" t="s">
        <v>4867</v>
      </c>
      <c r="IUE349" s="16" t="s">
        <v>4867</v>
      </c>
      <c r="IUF349" s="16" t="s">
        <v>4867</v>
      </c>
      <c r="IUG349" s="16" t="s">
        <v>4867</v>
      </c>
      <c r="IUH349" s="16" t="s">
        <v>4867</v>
      </c>
      <c r="IUI349" s="16" t="s">
        <v>4867</v>
      </c>
      <c r="IUJ349" s="16" t="s">
        <v>4867</v>
      </c>
      <c r="IUK349" s="16" t="s">
        <v>4867</v>
      </c>
      <c r="IUL349" s="16" t="s">
        <v>4867</v>
      </c>
      <c r="IUM349" s="16" t="s">
        <v>4867</v>
      </c>
      <c r="IUN349" s="16" t="s">
        <v>4867</v>
      </c>
      <c r="IUO349" s="16" t="s">
        <v>4867</v>
      </c>
      <c r="IUP349" s="16" t="s">
        <v>4867</v>
      </c>
      <c r="IUQ349" s="16" t="s">
        <v>4867</v>
      </c>
      <c r="IUR349" s="16" t="s">
        <v>4867</v>
      </c>
      <c r="IUS349" s="16" t="s">
        <v>4867</v>
      </c>
      <c r="IUT349" s="16" t="s">
        <v>4867</v>
      </c>
      <c r="IUU349" s="16" t="s">
        <v>4867</v>
      </c>
      <c r="IUV349" s="16" t="s">
        <v>4867</v>
      </c>
      <c r="IUW349" s="16" t="s">
        <v>4867</v>
      </c>
      <c r="IUX349" s="16" t="s">
        <v>4867</v>
      </c>
      <c r="IUY349" s="16" t="s">
        <v>4867</v>
      </c>
      <c r="IUZ349" s="16" t="s">
        <v>4867</v>
      </c>
      <c r="IVA349" s="16" t="s">
        <v>4867</v>
      </c>
      <c r="IVB349" s="16" t="s">
        <v>4867</v>
      </c>
      <c r="IVC349" s="16" t="s">
        <v>4867</v>
      </c>
      <c r="IVD349" s="16" t="s">
        <v>4867</v>
      </c>
      <c r="IVE349" s="16" t="s">
        <v>4867</v>
      </c>
      <c r="IVF349" s="16" t="s">
        <v>4867</v>
      </c>
      <c r="IVG349" s="16" t="s">
        <v>4867</v>
      </c>
      <c r="IVH349" s="16" t="s">
        <v>4867</v>
      </c>
      <c r="IVI349" s="16" t="s">
        <v>4867</v>
      </c>
      <c r="IVJ349" s="16" t="s">
        <v>4867</v>
      </c>
      <c r="IVK349" s="16" t="s">
        <v>4867</v>
      </c>
      <c r="IVL349" s="16" t="s">
        <v>4867</v>
      </c>
      <c r="IVM349" s="16" t="s">
        <v>4867</v>
      </c>
      <c r="IVN349" s="16" t="s">
        <v>4867</v>
      </c>
      <c r="IVO349" s="16" t="s">
        <v>4867</v>
      </c>
      <c r="IVP349" s="16" t="s">
        <v>4867</v>
      </c>
      <c r="IVQ349" s="16" t="s">
        <v>4867</v>
      </c>
      <c r="IVR349" s="16" t="s">
        <v>4867</v>
      </c>
      <c r="IVS349" s="16" t="s">
        <v>4867</v>
      </c>
      <c r="IVT349" s="16" t="s">
        <v>4867</v>
      </c>
      <c r="IVU349" s="16" t="s">
        <v>4867</v>
      </c>
      <c r="IVV349" s="16" t="s">
        <v>4867</v>
      </c>
      <c r="IVW349" s="16" t="s">
        <v>4867</v>
      </c>
      <c r="IVX349" s="16" t="s">
        <v>4867</v>
      </c>
      <c r="IVY349" s="16" t="s">
        <v>4867</v>
      </c>
      <c r="IVZ349" s="16" t="s">
        <v>4867</v>
      </c>
      <c r="IWA349" s="16" t="s">
        <v>4867</v>
      </c>
      <c r="IWB349" s="16" t="s">
        <v>4867</v>
      </c>
      <c r="IWC349" s="16" t="s">
        <v>4867</v>
      </c>
      <c r="IWD349" s="16" t="s">
        <v>4867</v>
      </c>
      <c r="IWE349" s="16" t="s">
        <v>4867</v>
      </c>
      <c r="IWF349" s="16" t="s">
        <v>4867</v>
      </c>
      <c r="IWG349" s="16" t="s">
        <v>4867</v>
      </c>
      <c r="IWH349" s="16" t="s">
        <v>4867</v>
      </c>
      <c r="IWI349" s="16" t="s">
        <v>4867</v>
      </c>
      <c r="IWJ349" s="16" t="s">
        <v>4867</v>
      </c>
      <c r="IWK349" s="16" t="s">
        <v>4867</v>
      </c>
      <c r="IWL349" s="16" t="s">
        <v>4867</v>
      </c>
      <c r="IWM349" s="16" t="s">
        <v>4867</v>
      </c>
      <c r="IWN349" s="16" t="s">
        <v>4867</v>
      </c>
      <c r="IWO349" s="16" t="s">
        <v>4867</v>
      </c>
      <c r="IWP349" s="16" t="s">
        <v>4867</v>
      </c>
      <c r="IWQ349" s="16" t="s">
        <v>4867</v>
      </c>
      <c r="IWR349" s="16" t="s">
        <v>4867</v>
      </c>
      <c r="IWS349" s="16" t="s">
        <v>4867</v>
      </c>
      <c r="IWT349" s="16" t="s">
        <v>4867</v>
      </c>
      <c r="IWU349" s="16" t="s">
        <v>4867</v>
      </c>
      <c r="IWV349" s="16" t="s">
        <v>4867</v>
      </c>
      <c r="IWW349" s="16" t="s">
        <v>4867</v>
      </c>
      <c r="IWX349" s="16" t="s">
        <v>4867</v>
      </c>
      <c r="IWY349" s="16" t="s">
        <v>4867</v>
      </c>
      <c r="IWZ349" s="16" t="s">
        <v>4867</v>
      </c>
      <c r="IXA349" s="16" t="s">
        <v>4867</v>
      </c>
      <c r="IXB349" s="16" t="s">
        <v>4867</v>
      </c>
      <c r="IXC349" s="16" t="s">
        <v>4867</v>
      </c>
      <c r="IXD349" s="16" t="s">
        <v>4867</v>
      </c>
      <c r="IXE349" s="16" t="s">
        <v>4867</v>
      </c>
      <c r="IXF349" s="16" t="s">
        <v>4867</v>
      </c>
      <c r="IXG349" s="16" t="s">
        <v>4867</v>
      </c>
      <c r="IXH349" s="16" t="s">
        <v>4867</v>
      </c>
      <c r="IXI349" s="16" t="s">
        <v>4867</v>
      </c>
      <c r="IXJ349" s="16" t="s">
        <v>4867</v>
      </c>
      <c r="IXK349" s="16" t="s">
        <v>4867</v>
      </c>
      <c r="IXL349" s="16" t="s">
        <v>4867</v>
      </c>
      <c r="IXM349" s="16" t="s">
        <v>4867</v>
      </c>
      <c r="IXN349" s="16" t="s">
        <v>4867</v>
      </c>
      <c r="IXO349" s="16" t="s">
        <v>4867</v>
      </c>
      <c r="IXP349" s="16" t="s">
        <v>4867</v>
      </c>
      <c r="IXQ349" s="16" t="s">
        <v>4867</v>
      </c>
      <c r="IXR349" s="16" t="s">
        <v>4867</v>
      </c>
      <c r="IXS349" s="16" t="s">
        <v>4867</v>
      </c>
      <c r="IXT349" s="16" t="s">
        <v>4867</v>
      </c>
      <c r="IXU349" s="16" t="s">
        <v>4867</v>
      </c>
      <c r="IXV349" s="16" t="s">
        <v>4867</v>
      </c>
      <c r="IXW349" s="16" t="s">
        <v>4867</v>
      </c>
      <c r="IXX349" s="16" t="s">
        <v>4867</v>
      </c>
      <c r="IXY349" s="16" t="s">
        <v>4867</v>
      </c>
      <c r="IXZ349" s="16" t="s">
        <v>4867</v>
      </c>
      <c r="IYA349" s="16" t="s">
        <v>4867</v>
      </c>
      <c r="IYB349" s="16" t="s">
        <v>4867</v>
      </c>
      <c r="IYC349" s="16" t="s">
        <v>4867</v>
      </c>
      <c r="IYD349" s="16" t="s">
        <v>4867</v>
      </c>
      <c r="IYE349" s="16" t="s">
        <v>4867</v>
      </c>
      <c r="IYF349" s="16" t="s">
        <v>4867</v>
      </c>
      <c r="IYG349" s="16" t="s">
        <v>4867</v>
      </c>
      <c r="IYH349" s="16" t="s">
        <v>4867</v>
      </c>
      <c r="IYI349" s="16" t="s">
        <v>4867</v>
      </c>
      <c r="IYJ349" s="16" t="s">
        <v>4867</v>
      </c>
      <c r="IYK349" s="16" t="s">
        <v>4867</v>
      </c>
      <c r="IYL349" s="16" t="s">
        <v>4867</v>
      </c>
      <c r="IYM349" s="16" t="s">
        <v>4867</v>
      </c>
      <c r="IYN349" s="16" t="s">
        <v>4867</v>
      </c>
      <c r="IYO349" s="16" t="s">
        <v>4867</v>
      </c>
      <c r="IYP349" s="16" t="s">
        <v>4867</v>
      </c>
      <c r="IYQ349" s="16" t="s">
        <v>4867</v>
      </c>
      <c r="IYR349" s="16" t="s">
        <v>4867</v>
      </c>
      <c r="IYS349" s="16" t="s">
        <v>4867</v>
      </c>
      <c r="IYT349" s="16" t="s">
        <v>4867</v>
      </c>
      <c r="IYU349" s="16" t="s">
        <v>4867</v>
      </c>
      <c r="IYV349" s="16" t="s">
        <v>4867</v>
      </c>
      <c r="IYW349" s="16" t="s">
        <v>4867</v>
      </c>
      <c r="IYX349" s="16" t="s">
        <v>4867</v>
      </c>
      <c r="IYY349" s="16" t="s">
        <v>4867</v>
      </c>
      <c r="IYZ349" s="16" t="s">
        <v>4867</v>
      </c>
      <c r="IZA349" s="16" t="s">
        <v>4867</v>
      </c>
      <c r="IZB349" s="16" t="s">
        <v>4867</v>
      </c>
      <c r="IZC349" s="16" t="s">
        <v>4867</v>
      </c>
      <c r="IZD349" s="16" t="s">
        <v>4867</v>
      </c>
      <c r="IZE349" s="16" t="s">
        <v>4867</v>
      </c>
      <c r="IZF349" s="16" t="s">
        <v>4867</v>
      </c>
      <c r="IZG349" s="16" t="s">
        <v>4867</v>
      </c>
      <c r="IZH349" s="16" t="s">
        <v>4867</v>
      </c>
      <c r="IZI349" s="16" t="s">
        <v>4867</v>
      </c>
      <c r="IZJ349" s="16" t="s">
        <v>4867</v>
      </c>
      <c r="IZK349" s="16" t="s">
        <v>4867</v>
      </c>
      <c r="IZL349" s="16" t="s">
        <v>4867</v>
      </c>
      <c r="IZM349" s="16" t="s">
        <v>4867</v>
      </c>
      <c r="IZN349" s="16" t="s">
        <v>4867</v>
      </c>
      <c r="IZO349" s="16" t="s">
        <v>4867</v>
      </c>
      <c r="IZP349" s="16" t="s">
        <v>4867</v>
      </c>
      <c r="IZQ349" s="16" t="s">
        <v>4867</v>
      </c>
      <c r="IZR349" s="16" t="s">
        <v>4867</v>
      </c>
      <c r="IZS349" s="16" t="s">
        <v>4867</v>
      </c>
      <c r="IZT349" s="16" t="s">
        <v>4867</v>
      </c>
      <c r="IZU349" s="16" t="s">
        <v>4867</v>
      </c>
      <c r="IZV349" s="16" t="s">
        <v>4867</v>
      </c>
      <c r="IZW349" s="16" t="s">
        <v>4867</v>
      </c>
      <c r="IZX349" s="16" t="s">
        <v>4867</v>
      </c>
      <c r="IZY349" s="16" t="s">
        <v>4867</v>
      </c>
      <c r="IZZ349" s="16" t="s">
        <v>4867</v>
      </c>
      <c r="JAA349" s="16" t="s">
        <v>4867</v>
      </c>
      <c r="JAB349" s="16" t="s">
        <v>4867</v>
      </c>
      <c r="JAC349" s="16" t="s">
        <v>4867</v>
      </c>
      <c r="JAD349" s="16" t="s">
        <v>4867</v>
      </c>
      <c r="JAE349" s="16" t="s">
        <v>4867</v>
      </c>
      <c r="JAF349" s="16" t="s">
        <v>4867</v>
      </c>
      <c r="JAG349" s="16" t="s">
        <v>4867</v>
      </c>
      <c r="JAH349" s="16" t="s">
        <v>4867</v>
      </c>
      <c r="JAI349" s="16" t="s">
        <v>4867</v>
      </c>
      <c r="JAJ349" s="16" t="s">
        <v>4867</v>
      </c>
      <c r="JAK349" s="16" t="s">
        <v>4867</v>
      </c>
      <c r="JAL349" s="16" t="s">
        <v>4867</v>
      </c>
      <c r="JAM349" s="16" t="s">
        <v>4867</v>
      </c>
      <c r="JAN349" s="16" t="s">
        <v>4867</v>
      </c>
      <c r="JAO349" s="16" t="s">
        <v>4867</v>
      </c>
      <c r="JAP349" s="16" t="s">
        <v>4867</v>
      </c>
      <c r="JAQ349" s="16" t="s">
        <v>4867</v>
      </c>
      <c r="JAR349" s="16" t="s">
        <v>4867</v>
      </c>
      <c r="JAS349" s="16" t="s">
        <v>4867</v>
      </c>
      <c r="JAT349" s="16" t="s">
        <v>4867</v>
      </c>
      <c r="JAU349" s="16" t="s">
        <v>4867</v>
      </c>
      <c r="JAV349" s="16" t="s">
        <v>4867</v>
      </c>
      <c r="JAW349" s="16" t="s">
        <v>4867</v>
      </c>
      <c r="JAX349" s="16" t="s">
        <v>4867</v>
      </c>
      <c r="JAY349" s="16" t="s">
        <v>4867</v>
      </c>
      <c r="JAZ349" s="16" t="s">
        <v>4867</v>
      </c>
      <c r="JBA349" s="16" t="s">
        <v>4867</v>
      </c>
      <c r="JBB349" s="16" t="s">
        <v>4867</v>
      </c>
      <c r="JBC349" s="16" t="s">
        <v>4867</v>
      </c>
      <c r="JBD349" s="16" t="s">
        <v>4867</v>
      </c>
      <c r="JBE349" s="16" t="s">
        <v>4867</v>
      </c>
      <c r="JBF349" s="16" t="s">
        <v>4867</v>
      </c>
      <c r="JBG349" s="16" t="s">
        <v>4867</v>
      </c>
      <c r="JBH349" s="16" t="s">
        <v>4867</v>
      </c>
      <c r="JBI349" s="16" t="s">
        <v>4867</v>
      </c>
      <c r="JBJ349" s="16" t="s">
        <v>4867</v>
      </c>
      <c r="JBK349" s="16" t="s">
        <v>4867</v>
      </c>
      <c r="JBL349" s="16" t="s">
        <v>4867</v>
      </c>
      <c r="JBM349" s="16" t="s">
        <v>4867</v>
      </c>
      <c r="JBN349" s="16" t="s">
        <v>4867</v>
      </c>
      <c r="JBO349" s="16" t="s">
        <v>4867</v>
      </c>
      <c r="JBP349" s="16" t="s">
        <v>4867</v>
      </c>
      <c r="JBQ349" s="16" t="s">
        <v>4867</v>
      </c>
      <c r="JBR349" s="16" t="s">
        <v>4867</v>
      </c>
      <c r="JBS349" s="16" t="s">
        <v>4867</v>
      </c>
      <c r="JBT349" s="16" t="s">
        <v>4867</v>
      </c>
      <c r="JBU349" s="16" t="s">
        <v>4867</v>
      </c>
      <c r="JBV349" s="16" t="s">
        <v>4867</v>
      </c>
      <c r="JBW349" s="16" t="s">
        <v>4867</v>
      </c>
      <c r="JBX349" s="16" t="s">
        <v>4867</v>
      </c>
      <c r="JBY349" s="16" t="s">
        <v>4867</v>
      </c>
      <c r="JBZ349" s="16" t="s">
        <v>4867</v>
      </c>
      <c r="JCA349" s="16" t="s">
        <v>4867</v>
      </c>
      <c r="JCB349" s="16" t="s">
        <v>4867</v>
      </c>
      <c r="JCC349" s="16" t="s">
        <v>4867</v>
      </c>
      <c r="JCD349" s="16" t="s">
        <v>4867</v>
      </c>
      <c r="JCE349" s="16" t="s">
        <v>4867</v>
      </c>
      <c r="JCF349" s="16" t="s">
        <v>4867</v>
      </c>
      <c r="JCG349" s="16" t="s">
        <v>4867</v>
      </c>
      <c r="JCH349" s="16" t="s">
        <v>4867</v>
      </c>
      <c r="JCI349" s="16" t="s">
        <v>4867</v>
      </c>
      <c r="JCJ349" s="16" t="s">
        <v>4867</v>
      </c>
      <c r="JCK349" s="16" t="s">
        <v>4867</v>
      </c>
      <c r="JCL349" s="16" t="s">
        <v>4867</v>
      </c>
      <c r="JCM349" s="16" t="s">
        <v>4867</v>
      </c>
      <c r="JCN349" s="16" t="s">
        <v>4867</v>
      </c>
      <c r="JCO349" s="16" t="s">
        <v>4867</v>
      </c>
      <c r="JCP349" s="16" t="s">
        <v>4867</v>
      </c>
      <c r="JCQ349" s="16" t="s">
        <v>4867</v>
      </c>
      <c r="JCR349" s="16" t="s">
        <v>4867</v>
      </c>
      <c r="JCS349" s="16" t="s">
        <v>4867</v>
      </c>
      <c r="JCT349" s="16" t="s">
        <v>4867</v>
      </c>
      <c r="JCU349" s="16" t="s">
        <v>4867</v>
      </c>
      <c r="JCV349" s="16" t="s">
        <v>4867</v>
      </c>
      <c r="JCW349" s="16" t="s">
        <v>4867</v>
      </c>
      <c r="JCX349" s="16" t="s">
        <v>4867</v>
      </c>
      <c r="JCY349" s="16" t="s">
        <v>4867</v>
      </c>
      <c r="JCZ349" s="16" t="s">
        <v>4867</v>
      </c>
      <c r="JDA349" s="16" t="s">
        <v>4867</v>
      </c>
      <c r="JDB349" s="16" t="s">
        <v>4867</v>
      </c>
      <c r="JDC349" s="16" t="s">
        <v>4867</v>
      </c>
      <c r="JDD349" s="16" t="s">
        <v>4867</v>
      </c>
      <c r="JDE349" s="16" t="s">
        <v>4867</v>
      </c>
      <c r="JDF349" s="16" t="s">
        <v>4867</v>
      </c>
      <c r="JDG349" s="16" t="s">
        <v>4867</v>
      </c>
      <c r="JDH349" s="16" t="s">
        <v>4867</v>
      </c>
      <c r="JDI349" s="16" t="s">
        <v>4867</v>
      </c>
      <c r="JDJ349" s="16" t="s">
        <v>4867</v>
      </c>
      <c r="JDK349" s="16" t="s">
        <v>4867</v>
      </c>
      <c r="JDL349" s="16" t="s">
        <v>4867</v>
      </c>
      <c r="JDM349" s="16" t="s">
        <v>4867</v>
      </c>
      <c r="JDN349" s="16" t="s">
        <v>4867</v>
      </c>
      <c r="JDO349" s="16" t="s">
        <v>4867</v>
      </c>
      <c r="JDP349" s="16" t="s">
        <v>4867</v>
      </c>
      <c r="JDQ349" s="16" t="s">
        <v>4867</v>
      </c>
      <c r="JDR349" s="16" t="s">
        <v>4867</v>
      </c>
      <c r="JDS349" s="16" t="s">
        <v>4867</v>
      </c>
      <c r="JDT349" s="16" t="s">
        <v>4867</v>
      </c>
      <c r="JDU349" s="16" t="s">
        <v>4867</v>
      </c>
      <c r="JDV349" s="16" t="s">
        <v>4867</v>
      </c>
      <c r="JDW349" s="16" t="s">
        <v>4867</v>
      </c>
      <c r="JDX349" s="16" t="s">
        <v>4867</v>
      </c>
      <c r="JDY349" s="16" t="s">
        <v>4867</v>
      </c>
      <c r="JDZ349" s="16" t="s">
        <v>4867</v>
      </c>
      <c r="JEA349" s="16" t="s">
        <v>4867</v>
      </c>
      <c r="JEB349" s="16" t="s">
        <v>4867</v>
      </c>
      <c r="JEC349" s="16" t="s">
        <v>4867</v>
      </c>
      <c r="JED349" s="16" t="s">
        <v>4867</v>
      </c>
      <c r="JEE349" s="16" t="s">
        <v>4867</v>
      </c>
      <c r="JEF349" s="16" t="s">
        <v>4867</v>
      </c>
      <c r="JEG349" s="16" t="s">
        <v>4867</v>
      </c>
      <c r="JEH349" s="16" t="s">
        <v>4867</v>
      </c>
      <c r="JEI349" s="16" t="s">
        <v>4867</v>
      </c>
      <c r="JEJ349" s="16" t="s">
        <v>4867</v>
      </c>
      <c r="JEK349" s="16" t="s">
        <v>4867</v>
      </c>
      <c r="JEL349" s="16" t="s">
        <v>4867</v>
      </c>
      <c r="JEM349" s="16" t="s">
        <v>4867</v>
      </c>
      <c r="JEN349" s="16" t="s">
        <v>4867</v>
      </c>
      <c r="JEO349" s="16" t="s">
        <v>4867</v>
      </c>
      <c r="JEP349" s="16" t="s">
        <v>4867</v>
      </c>
      <c r="JEQ349" s="16" t="s">
        <v>4867</v>
      </c>
      <c r="JER349" s="16" t="s">
        <v>4867</v>
      </c>
      <c r="JES349" s="16" t="s">
        <v>4867</v>
      </c>
      <c r="JET349" s="16" t="s">
        <v>4867</v>
      </c>
      <c r="JEU349" s="16" t="s">
        <v>4867</v>
      </c>
      <c r="JEV349" s="16" t="s">
        <v>4867</v>
      </c>
      <c r="JEW349" s="16" t="s">
        <v>4867</v>
      </c>
      <c r="JEX349" s="16" t="s">
        <v>4867</v>
      </c>
      <c r="JEY349" s="16" t="s">
        <v>4867</v>
      </c>
      <c r="JEZ349" s="16" t="s">
        <v>4867</v>
      </c>
      <c r="JFA349" s="16" t="s">
        <v>4867</v>
      </c>
      <c r="JFB349" s="16" t="s">
        <v>4867</v>
      </c>
      <c r="JFC349" s="16" t="s">
        <v>4867</v>
      </c>
      <c r="JFD349" s="16" t="s">
        <v>4867</v>
      </c>
      <c r="JFE349" s="16" t="s">
        <v>4867</v>
      </c>
      <c r="JFF349" s="16" t="s">
        <v>4867</v>
      </c>
      <c r="JFG349" s="16" t="s">
        <v>4867</v>
      </c>
      <c r="JFH349" s="16" t="s">
        <v>4867</v>
      </c>
      <c r="JFI349" s="16" t="s">
        <v>4867</v>
      </c>
      <c r="JFJ349" s="16" t="s">
        <v>4867</v>
      </c>
      <c r="JFK349" s="16" t="s">
        <v>4867</v>
      </c>
      <c r="JFL349" s="16" t="s">
        <v>4867</v>
      </c>
      <c r="JFM349" s="16" t="s">
        <v>4867</v>
      </c>
      <c r="JFN349" s="16" t="s">
        <v>4867</v>
      </c>
      <c r="JFO349" s="16" t="s">
        <v>4867</v>
      </c>
      <c r="JFP349" s="16" t="s">
        <v>4867</v>
      </c>
      <c r="JFQ349" s="16" t="s">
        <v>4867</v>
      </c>
      <c r="JFR349" s="16" t="s">
        <v>4867</v>
      </c>
      <c r="JFS349" s="16" t="s">
        <v>4867</v>
      </c>
      <c r="JFT349" s="16" t="s">
        <v>4867</v>
      </c>
      <c r="JFU349" s="16" t="s">
        <v>4867</v>
      </c>
      <c r="JFV349" s="16" t="s">
        <v>4867</v>
      </c>
      <c r="JFW349" s="16" t="s">
        <v>4867</v>
      </c>
      <c r="JFX349" s="16" t="s">
        <v>4867</v>
      </c>
      <c r="JFY349" s="16" t="s">
        <v>4867</v>
      </c>
      <c r="JFZ349" s="16" t="s">
        <v>4867</v>
      </c>
      <c r="JGA349" s="16" t="s">
        <v>4867</v>
      </c>
      <c r="JGB349" s="16" t="s">
        <v>4867</v>
      </c>
      <c r="JGC349" s="16" t="s">
        <v>4867</v>
      </c>
      <c r="JGD349" s="16" t="s">
        <v>4867</v>
      </c>
      <c r="JGE349" s="16" t="s">
        <v>4867</v>
      </c>
      <c r="JGF349" s="16" t="s">
        <v>4867</v>
      </c>
      <c r="JGG349" s="16" t="s">
        <v>4867</v>
      </c>
      <c r="JGH349" s="16" t="s">
        <v>4867</v>
      </c>
      <c r="JGI349" s="16" t="s">
        <v>4867</v>
      </c>
      <c r="JGJ349" s="16" t="s">
        <v>4867</v>
      </c>
      <c r="JGK349" s="16" t="s">
        <v>4867</v>
      </c>
      <c r="JGL349" s="16" t="s">
        <v>4867</v>
      </c>
      <c r="JGM349" s="16" t="s">
        <v>4867</v>
      </c>
      <c r="JGN349" s="16" t="s">
        <v>4867</v>
      </c>
      <c r="JGO349" s="16" t="s">
        <v>4867</v>
      </c>
      <c r="JGP349" s="16" t="s">
        <v>4867</v>
      </c>
      <c r="JGQ349" s="16" t="s">
        <v>4867</v>
      </c>
      <c r="JGR349" s="16" t="s">
        <v>4867</v>
      </c>
      <c r="JGS349" s="16" t="s">
        <v>4867</v>
      </c>
      <c r="JGT349" s="16" t="s">
        <v>4867</v>
      </c>
      <c r="JGU349" s="16" t="s">
        <v>4867</v>
      </c>
      <c r="JGV349" s="16" t="s">
        <v>4867</v>
      </c>
      <c r="JGW349" s="16" t="s">
        <v>4867</v>
      </c>
      <c r="JGX349" s="16" t="s">
        <v>4867</v>
      </c>
      <c r="JGY349" s="16" t="s">
        <v>4867</v>
      </c>
      <c r="JGZ349" s="16" t="s">
        <v>4867</v>
      </c>
      <c r="JHA349" s="16" t="s">
        <v>4867</v>
      </c>
      <c r="JHB349" s="16" t="s">
        <v>4867</v>
      </c>
      <c r="JHC349" s="16" t="s">
        <v>4867</v>
      </c>
      <c r="JHD349" s="16" t="s">
        <v>4867</v>
      </c>
      <c r="JHE349" s="16" t="s">
        <v>4867</v>
      </c>
      <c r="JHF349" s="16" t="s">
        <v>4867</v>
      </c>
      <c r="JHG349" s="16" t="s">
        <v>4867</v>
      </c>
      <c r="JHH349" s="16" t="s">
        <v>4867</v>
      </c>
      <c r="JHI349" s="16" t="s">
        <v>4867</v>
      </c>
      <c r="JHJ349" s="16" t="s">
        <v>4867</v>
      </c>
      <c r="JHK349" s="16" t="s">
        <v>4867</v>
      </c>
      <c r="JHL349" s="16" t="s">
        <v>4867</v>
      </c>
      <c r="JHM349" s="16" t="s">
        <v>4867</v>
      </c>
      <c r="JHN349" s="16" t="s">
        <v>4867</v>
      </c>
      <c r="JHO349" s="16" t="s">
        <v>4867</v>
      </c>
      <c r="JHP349" s="16" t="s">
        <v>4867</v>
      </c>
      <c r="JHQ349" s="16" t="s">
        <v>4867</v>
      </c>
      <c r="JHR349" s="16" t="s">
        <v>4867</v>
      </c>
      <c r="JHS349" s="16" t="s">
        <v>4867</v>
      </c>
      <c r="JHT349" s="16" t="s">
        <v>4867</v>
      </c>
      <c r="JHU349" s="16" t="s">
        <v>4867</v>
      </c>
      <c r="JHV349" s="16" t="s">
        <v>4867</v>
      </c>
      <c r="JHW349" s="16" t="s">
        <v>4867</v>
      </c>
      <c r="JHX349" s="16" t="s">
        <v>4867</v>
      </c>
      <c r="JHY349" s="16" t="s">
        <v>4867</v>
      </c>
      <c r="JHZ349" s="16" t="s">
        <v>4867</v>
      </c>
      <c r="JIA349" s="16" t="s">
        <v>4867</v>
      </c>
      <c r="JIB349" s="16" t="s">
        <v>4867</v>
      </c>
      <c r="JIC349" s="16" t="s">
        <v>4867</v>
      </c>
      <c r="JID349" s="16" t="s">
        <v>4867</v>
      </c>
      <c r="JIE349" s="16" t="s">
        <v>4867</v>
      </c>
      <c r="JIF349" s="16" t="s">
        <v>4867</v>
      </c>
      <c r="JIG349" s="16" t="s">
        <v>4867</v>
      </c>
      <c r="JIH349" s="16" t="s">
        <v>4867</v>
      </c>
      <c r="JII349" s="16" t="s">
        <v>4867</v>
      </c>
      <c r="JIJ349" s="16" t="s">
        <v>4867</v>
      </c>
      <c r="JIK349" s="16" t="s">
        <v>4867</v>
      </c>
      <c r="JIL349" s="16" t="s">
        <v>4867</v>
      </c>
      <c r="JIM349" s="16" t="s">
        <v>4867</v>
      </c>
      <c r="JIN349" s="16" t="s">
        <v>4867</v>
      </c>
      <c r="JIO349" s="16" t="s">
        <v>4867</v>
      </c>
      <c r="JIP349" s="16" t="s">
        <v>4867</v>
      </c>
      <c r="JIQ349" s="16" t="s">
        <v>4867</v>
      </c>
      <c r="JIR349" s="16" t="s">
        <v>4867</v>
      </c>
      <c r="JIS349" s="16" t="s">
        <v>4867</v>
      </c>
      <c r="JIT349" s="16" t="s">
        <v>4867</v>
      </c>
      <c r="JIU349" s="16" t="s">
        <v>4867</v>
      </c>
      <c r="JIV349" s="16" t="s">
        <v>4867</v>
      </c>
      <c r="JIW349" s="16" t="s">
        <v>4867</v>
      </c>
      <c r="JIX349" s="16" t="s">
        <v>4867</v>
      </c>
      <c r="JIY349" s="16" t="s">
        <v>4867</v>
      </c>
      <c r="JIZ349" s="16" t="s">
        <v>4867</v>
      </c>
      <c r="JJA349" s="16" t="s">
        <v>4867</v>
      </c>
      <c r="JJB349" s="16" t="s">
        <v>4867</v>
      </c>
      <c r="JJC349" s="16" t="s">
        <v>4867</v>
      </c>
      <c r="JJD349" s="16" t="s">
        <v>4867</v>
      </c>
      <c r="JJE349" s="16" t="s">
        <v>4867</v>
      </c>
      <c r="JJF349" s="16" t="s">
        <v>4867</v>
      </c>
      <c r="JJG349" s="16" t="s">
        <v>4867</v>
      </c>
      <c r="JJH349" s="16" t="s">
        <v>4867</v>
      </c>
      <c r="JJI349" s="16" t="s">
        <v>4867</v>
      </c>
      <c r="JJJ349" s="16" t="s">
        <v>4867</v>
      </c>
      <c r="JJK349" s="16" t="s">
        <v>4867</v>
      </c>
      <c r="JJL349" s="16" t="s">
        <v>4867</v>
      </c>
      <c r="JJM349" s="16" t="s">
        <v>4867</v>
      </c>
      <c r="JJN349" s="16" t="s">
        <v>4867</v>
      </c>
      <c r="JJO349" s="16" t="s">
        <v>4867</v>
      </c>
      <c r="JJP349" s="16" t="s">
        <v>4867</v>
      </c>
      <c r="JJQ349" s="16" t="s">
        <v>4867</v>
      </c>
      <c r="JJR349" s="16" t="s">
        <v>4867</v>
      </c>
      <c r="JJS349" s="16" t="s">
        <v>4867</v>
      </c>
      <c r="JJT349" s="16" t="s">
        <v>4867</v>
      </c>
      <c r="JJU349" s="16" t="s">
        <v>4867</v>
      </c>
      <c r="JJV349" s="16" t="s">
        <v>4867</v>
      </c>
      <c r="JJW349" s="16" t="s">
        <v>4867</v>
      </c>
      <c r="JJX349" s="16" t="s">
        <v>4867</v>
      </c>
      <c r="JJY349" s="16" t="s">
        <v>4867</v>
      </c>
      <c r="JJZ349" s="16" t="s">
        <v>4867</v>
      </c>
      <c r="JKA349" s="16" t="s">
        <v>4867</v>
      </c>
      <c r="JKB349" s="16" t="s">
        <v>4867</v>
      </c>
      <c r="JKC349" s="16" t="s">
        <v>4867</v>
      </c>
      <c r="JKD349" s="16" t="s">
        <v>4867</v>
      </c>
      <c r="JKE349" s="16" t="s">
        <v>4867</v>
      </c>
      <c r="JKF349" s="16" t="s">
        <v>4867</v>
      </c>
      <c r="JKG349" s="16" t="s">
        <v>4867</v>
      </c>
      <c r="JKH349" s="16" t="s">
        <v>4867</v>
      </c>
      <c r="JKI349" s="16" t="s">
        <v>4867</v>
      </c>
      <c r="JKJ349" s="16" t="s">
        <v>4867</v>
      </c>
      <c r="JKK349" s="16" t="s">
        <v>4867</v>
      </c>
      <c r="JKL349" s="16" t="s">
        <v>4867</v>
      </c>
      <c r="JKM349" s="16" t="s">
        <v>4867</v>
      </c>
      <c r="JKN349" s="16" t="s">
        <v>4867</v>
      </c>
      <c r="JKO349" s="16" t="s">
        <v>4867</v>
      </c>
      <c r="JKP349" s="16" t="s">
        <v>4867</v>
      </c>
      <c r="JKQ349" s="16" t="s">
        <v>4867</v>
      </c>
      <c r="JKR349" s="16" t="s">
        <v>4867</v>
      </c>
      <c r="JKS349" s="16" t="s">
        <v>4867</v>
      </c>
      <c r="JKT349" s="16" t="s">
        <v>4867</v>
      </c>
      <c r="JKU349" s="16" t="s">
        <v>4867</v>
      </c>
      <c r="JKV349" s="16" t="s">
        <v>4867</v>
      </c>
      <c r="JKW349" s="16" t="s">
        <v>4867</v>
      </c>
      <c r="JKX349" s="16" t="s">
        <v>4867</v>
      </c>
      <c r="JKY349" s="16" t="s">
        <v>4867</v>
      </c>
      <c r="JKZ349" s="16" t="s">
        <v>4867</v>
      </c>
      <c r="JLA349" s="16" t="s">
        <v>4867</v>
      </c>
      <c r="JLB349" s="16" t="s">
        <v>4867</v>
      </c>
      <c r="JLC349" s="16" t="s">
        <v>4867</v>
      </c>
      <c r="JLD349" s="16" t="s">
        <v>4867</v>
      </c>
      <c r="JLE349" s="16" t="s">
        <v>4867</v>
      </c>
      <c r="JLF349" s="16" t="s">
        <v>4867</v>
      </c>
      <c r="JLG349" s="16" t="s">
        <v>4867</v>
      </c>
      <c r="JLH349" s="16" t="s">
        <v>4867</v>
      </c>
      <c r="JLI349" s="16" t="s">
        <v>4867</v>
      </c>
      <c r="JLJ349" s="16" t="s">
        <v>4867</v>
      </c>
      <c r="JLK349" s="16" t="s">
        <v>4867</v>
      </c>
      <c r="JLL349" s="16" t="s">
        <v>4867</v>
      </c>
      <c r="JLM349" s="16" t="s">
        <v>4867</v>
      </c>
      <c r="JLN349" s="16" t="s">
        <v>4867</v>
      </c>
      <c r="JLO349" s="16" t="s">
        <v>4867</v>
      </c>
      <c r="JLP349" s="16" t="s">
        <v>4867</v>
      </c>
      <c r="JLQ349" s="16" t="s">
        <v>4867</v>
      </c>
      <c r="JLR349" s="16" t="s">
        <v>4867</v>
      </c>
      <c r="JLS349" s="16" t="s">
        <v>4867</v>
      </c>
      <c r="JLT349" s="16" t="s">
        <v>4867</v>
      </c>
      <c r="JLU349" s="16" t="s">
        <v>4867</v>
      </c>
      <c r="JLV349" s="16" t="s">
        <v>4867</v>
      </c>
      <c r="JLW349" s="16" t="s">
        <v>4867</v>
      </c>
      <c r="JLX349" s="16" t="s">
        <v>4867</v>
      </c>
      <c r="JLY349" s="16" t="s">
        <v>4867</v>
      </c>
      <c r="JLZ349" s="16" t="s">
        <v>4867</v>
      </c>
      <c r="JMA349" s="16" t="s">
        <v>4867</v>
      </c>
      <c r="JMB349" s="16" t="s">
        <v>4867</v>
      </c>
      <c r="JMC349" s="16" t="s">
        <v>4867</v>
      </c>
      <c r="JMD349" s="16" t="s">
        <v>4867</v>
      </c>
      <c r="JME349" s="16" t="s">
        <v>4867</v>
      </c>
      <c r="JMF349" s="16" t="s">
        <v>4867</v>
      </c>
      <c r="JMG349" s="16" t="s">
        <v>4867</v>
      </c>
      <c r="JMH349" s="16" t="s">
        <v>4867</v>
      </c>
      <c r="JMI349" s="16" t="s">
        <v>4867</v>
      </c>
      <c r="JMJ349" s="16" t="s">
        <v>4867</v>
      </c>
      <c r="JMK349" s="16" t="s">
        <v>4867</v>
      </c>
      <c r="JML349" s="16" t="s">
        <v>4867</v>
      </c>
      <c r="JMM349" s="16" t="s">
        <v>4867</v>
      </c>
      <c r="JMN349" s="16" t="s">
        <v>4867</v>
      </c>
      <c r="JMO349" s="16" t="s">
        <v>4867</v>
      </c>
      <c r="JMP349" s="16" t="s">
        <v>4867</v>
      </c>
      <c r="JMQ349" s="16" t="s">
        <v>4867</v>
      </c>
      <c r="JMR349" s="16" t="s">
        <v>4867</v>
      </c>
      <c r="JMS349" s="16" t="s">
        <v>4867</v>
      </c>
      <c r="JMT349" s="16" t="s">
        <v>4867</v>
      </c>
      <c r="JMU349" s="16" t="s">
        <v>4867</v>
      </c>
      <c r="JMV349" s="16" t="s">
        <v>4867</v>
      </c>
      <c r="JMW349" s="16" t="s">
        <v>4867</v>
      </c>
      <c r="JMX349" s="16" t="s">
        <v>4867</v>
      </c>
      <c r="JMY349" s="16" t="s">
        <v>4867</v>
      </c>
      <c r="JMZ349" s="16" t="s">
        <v>4867</v>
      </c>
      <c r="JNA349" s="16" t="s">
        <v>4867</v>
      </c>
      <c r="JNB349" s="16" t="s">
        <v>4867</v>
      </c>
      <c r="JNC349" s="16" t="s">
        <v>4867</v>
      </c>
      <c r="JND349" s="16" t="s">
        <v>4867</v>
      </c>
      <c r="JNE349" s="16" t="s">
        <v>4867</v>
      </c>
      <c r="JNF349" s="16" t="s">
        <v>4867</v>
      </c>
      <c r="JNG349" s="16" t="s">
        <v>4867</v>
      </c>
      <c r="JNH349" s="16" t="s">
        <v>4867</v>
      </c>
      <c r="JNI349" s="16" t="s">
        <v>4867</v>
      </c>
      <c r="JNJ349" s="16" t="s">
        <v>4867</v>
      </c>
      <c r="JNK349" s="16" t="s">
        <v>4867</v>
      </c>
      <c r="JNL349" s="16" t="s">
        <v>4867</v>
      </c>
      <c r="JNM349" s="16" t="s">
        <v>4867</v>
      </c>
      <c r="JNN349" s="16" t="s">
        <v>4867</v>
      </c>
      <c r="JNO349" s="16" t="s">
        <v>4867</v>
      </c>
      <c r="JNP349" s="16" t="s">
        <v>4867</v>
      </c>
      <c r="JNQ349" s="16" t="s">
        <v>4867</v>
      </c>
      <c r="JNR349" s="16" t="s">
        <v>4867</v>
      </c>
      <c r="JNS349" s="16" t="s">
        <v>4867</v>
      </c>
      <c r="JNT349" s="16" t="s">
        <v>4867</v>
      </c>
      <c r="JNU349" s="16" t="s">
        <v>4867</v>
      </c>
      <c r="JNV349" s="16" t="s">
        <v>4867</v>
      </c>
      <c r="JNW349" s="16" t="s">
        <v>4867</v>
      </c>
      <c r="JNX349" s="16" t="s">
        <v>4867</v>
      </c>
      <c r="JNY349" s="16" t="s">
        <v>4867</v>
      </c>
      <c r="JNZ349" s="16" t="s">
        <v>4867</v>
      </c>
      <c r="JOA349" s="16" t="s">
        <v>4867</v>
      </c>
      <c r="JOB349" s="16" t="s">
        <v>4867</v>
      </c>
      <c r="JOC349" s="16" t="s">
        <v>4867</v>
      </c>
      <c r="JOD349" s="16" t="s">
        <v>4867</v>
      </c>
      <c r="JOE349" s="16" t="s">
        <v>4867</v>
      </c>
      <c r="JOF349" s="16" t="s">
        <v>4867</v>
      </c>
      <c r="JOG349" s="16" t="s">
        <v>4867</v>
      </c>
      <c r="JOH349" s="16" t="s">
        <v>4867</v>
      </c>
      <c r="JOI349" s="16" t="s">
        <v>4867</v>
      </c>
      <c r="JOJ349" s="16" t="s">
        <v>4867</v>
      </c>
      <c r="JOK349" s="16" t="s">
        <v>4867</v>
      </c>
      <c r="JOL349" s="16" t="s">
        <v>4867</v>
      </c>
      <c r="JOM349" s="16" t="s">
        <v>4867</v>
      </c>
      <c r="JON349" s="16" t="s">
        <v>4867</v>
      </c>
      <c r="JOO349" s="16" t="s">
        <v>4867</v>
      </c>
      <c r="JOP349" s="16" t="s">
        <v>4867</v>
      </c>
      <c r="JOQ349" s="16" t="s">
        <v>4867</v>
      </c>
      <c r="JOR349" s="16" t="s">
        <v>4867</v>
      </c>
      <c r="JOS349" s="16" t="s">
        <v>4867</v>
      </c>
      <c r="JOT349" s="16" t="s">
        <v>4867</v>
      </c>
      <c r="JOU349" s="16" t="s">
        <v>4867</v>
      </c>
      <c r="JOV349" s="16" t="s">
        <v>4867</v>
      </c>
      <c r="JOW349" s="16" t="s">
        <v>4867</v>
      </c>
      <c r="JOX349" s="16" t="s">
        <v>4867</v>
      </c>
      <c r="JOY349" s="16" t="s">
        <v>4867</v>
      </c>
      <c r="JOZ349" s="16" t="s">
        <v>4867</v>
      </c>
      <c r="JPA349" s="16" t="s">
        <v>4867</v>
      </c>
      <c r="JPB349" s="16" t="s">
        <v>4867</v>
      </c>
      <c r="JPC349" s="16" t="s">
        <v>4867</v>
      </c>
      <c r="JPD349" s="16" t="s">
        <v>4867</v>
      </c>
      <c r="JPE349" s="16" t="s">
        <v>4867</v>
      </c>
      <c r="JPF349" s="16" t="s">
        <v>4867</v>
      </c>
      <c r="JPG349" s="16" t="s">
        <v>4867</v>
      </c>
      <c r="JPH349" s="16" t="s">
        <v>4867</v>
      </c>
      <c r="JPI349" s="16" t="s">
        <v>4867</v>
      </c>
      <c r="JPJ349" s="16" t="s">
        <v>4867</v>
      </c>
      <c r="JPK349" s="16" t="s">
        <v>4867</v>
      </c>
      <c r="JPL349" s="16" t="s">
        <v>4867</v>
      </c>
      <c r="JPM349" s="16" t="s">
        <v>4867</v>
      </c>
      <c r="JPN349" s="16" t="s">
        <v>4867</v>
      </c>
      <c r="JPO349" s="16" t="s">
        <v>4867</v>
      </c>
      <c r="JPP349" s="16" t="s">
        <v>4867</v>
      </c>
      <c r="JPQ349" s="16" t="s">
        <v>4867</v>
      </c>
      <c r="JPR349" s="16" t="s">
        <v>4867</v>
      </c>
      <c r="JPS349" s="16" t="s">
        <v>4867</v>
      </c>
      <c r="JPT349" s="16" t="s">
        <v>4867</v>
      </c>
      <c r="JPU349" s="16" t="s">
        <v>4867</v>
      </c>
      <c r="JPV349" s="16" t="s">
        <v>4867</v>
      </c>
      <c r="JPW349" s="16" t="s">
        <v>4867</v>
      </c>
      <c r="JPX349" s="16" t="s">
        <v>4867</v>
      </c>
      <c r="JPY349" s="16" t="s">
        <v>4867</v>
      </c>
      <c r="JPZ349" s="16" t="s">
        <v>4867</v>
      </c>
      <c r="JQA349" s="16" t="s">
        <v>4867</v>
      </c>
      <c r="JQB349" s="16" t="s">
        <v>4867</v>
      </c>
      <c r="JQC349" s="16" t="s">
        <v>4867</v>
      </c>
      <c r="JQD349" s="16" t="s">
        <v>4867</v>
      </c>
      <c r="JQE349" s="16" t="s">
        <v>4867</v>
      </c>
      <c r="JQF349" s="16" t="s">
        <v>4867</v>
      </c>
      <c r="JQG349" s="16" t="s">
        <v>4867</v>
      </c>
      <c r="JQH349" s="16" t="s">
        <v>4867</v>
      </c>
      <c r="JQI349" s="16" t="s">
        <v>4867</v>
      </c>
      <c r="JQJ349" s="16" t="s">
        <v>4867</v>
      </c>
      <c r="JQK349" s="16" t="s">
        <v>4867</v>
      </c>
      <c r="JQL349" s="16" t="s">
        <v>4867</v>
      </c>
      <c r="JQM349" s="16" t="s">
        <v>4867</v>
      </c>
      <c r="JQN349" s="16" t="s">
        <v>4867</v>
      </c>
      <c r="JQO349" s="16" t="s">
        <v>4867</v>
      </c>
      <c r="JQP349" s="16" t="s">
        <v>4867</v>
      </c>
      <c r="JQQ349" s="16" t="s">
        <v>4867</v>
      </c>
      <c r="JQR349" s="16" t="s">
        <v>4867</v>
      </c>
      <c r="JQS349" s="16" t="s">
        <v>4867</v>
      </c>
      <c r="JQT349" s="16" t="s">
        <v>4867</v>
      </c>
      <c r="JQU349" s="16" t="s">
        <v>4867</v>
      </c>
      <c r="JQV349" s="16" t="s">
        <v>4867</v>
      </c>
      <c r="JQW349" s="16" t="s">
        <v>4867</v>
      </c>
      <c r="JQX349" s="16" t="s">
        <v>4867</v>
      </c>
      <c r="JQY349" s="16" t="s">
        <v>4867</v>
      </c>
      <c r="JQZ349" s="16" t="s">
        <v>4867</v>
      </c>
      <c r="JRA349" s="16" t="s">
        <v>4867</v>
      </c>
      <c r="JRB349" s="16" t="s">
        <v>4867</v>
      </c>
      <c r="JRC349" s="16" t="s">
        <v>4867</v>
      </c>
      <c r="JRD349" s="16" t="s">
        <v>4867</v>
      </c>
      <c r="JRE349" s="16" t="s">
        <v>4867</v>
      </c>
      <c r="JRF349" s="16" t="s">
        <v>4867</v>
      </c>
      <c r="JRG349" s="16" t="s">
        <v>4867</v>
      </c>
      <c r="JRH349" s="16" t="s">
        <v>4867</v>
      </c>
      <c r="JRI349" s="16" t="s">
        <v>4867</v>
      </c>
      <c r="JRJ349" s="16" t="s">
        <v>4867</v>
      </c>
      <c r="JRK349" s="16" t="s">
        <v>4867</v>
      </c>
      <c r="JRL349" s="16" t="s">
        <v>4867</v>
      </c>
      <c r="JRM349" s="16" t="s">
        <v>4867</v>
      </c>
      <c r="JRN349" s="16" t="s">
        <v>4867</v>
      </c>
      <c r="JRO349" s="16" t="s">
        <v>4867</v>
      </c>
      <c r="JRP349" s="16" t="s">
        <v>4867</v>
      </c>
      <c r="JRQ349" s="16" t="s">
        <v>4867</v>
      </c>
      <c r="JRR349" s="16" t="s">
        <v>4867</v>
      </c>
      <c r="JRS349" s="16" t="s">
        <v>4867</v>
      </c>
      <c r="JRT349" s="16" t="s">
        <v>4867</v>
      </c>
      <c r="JRU349" s="16" t="s">
        <v>4867</v>
      </c>
      <c r="JRV349" s="16" t="s">
        <v>4867</v>
      </c>
      <c r="JRW349" s="16" t="s">
        <v>4867</v>
      </c>
      <c r="JRX349" s="16" t="s">
        <v>4867</v>
      </c>
      <c r="JRY349" s="16" t="s">
        <v>4867</v>
      </c>
      <c r="JRZ349" s="16" t="s">
        <v>4867</v>
      </c>
      <c r="JSA349" s="16" t="s">
        <v>4867</v>
      </c>
      <c r="JSB349" s="16" t="s">
        <v>4867</v>
      </c>
      <c r="JSC349" s="16" t="s">
        <v>4867</v>
      </c>
      <c r="JSD349" s="16" t="s">
        <v>4867</v>
      </c>
      <c r="JSE349" s="16" t="s">
        <v>4867</v>
      </c>
      <c r="JSF349" s="16" t="s">
        <v>4867</v>
      </c>
      <c r="JSG349" s="16" t="s">
        <v>4867</v>
      </c>
      <c r="JSH349" s="16" t="s">
        <v>4867</v>
      </c>
      <c r="JSI349" s="16" t="s">
        <v>4867</v>
      </c>
      <c r="JSJ349" s="16" t="s">
        <v>4867</v>
      </c>
      <c r="JSK349" s="16" t="s">
        <v>4867</v>
      </c>
      <c r="JSL349" s="16" t="s">
        <v>4867</v>
      </c>
      <c r="JSM349" s="16" t="s">
        <v>4867</v>
      </c>
      <c r="JSN349" s="16" t="s">
        <v>4867</v>
      </c>
      <c r="JSO349" s="16" t="s">
        <v>4867</v>
      </c>
      <c r="JSP349" s="16" t="s">
        <v>4867</v>
      </c>
      <c r="JSQ349" s="16" t="s">
        <v>4867</v>
      </c>
      <c r="JSR349" s="16" t="s">
        <v>4867</v>
      </c>
      <c r="JSS349" s="16" t="s">
        <v>4867</v>
      </c>
      <c r="JST349" s="16" t="s">
        <v>4867</v>
      </c>
      <c r="JSU349" s="16" t="s">
        <v>4867</v>
      </c>
      <c r="JSV349" s="16" t="s">
        <v>4867</v>
      </c>
      <c r="JSW349" s="16" t="s">
        <v>4867</v>
      </c>
      <c r="JSX349" s="16" t="s">
        <v>4867</v>
      </c>
      <c r="JSY349" s="16" t="s">
        <v>4867</v>
      </c>
      <c r="JSZ349" s="16" t="s">
        <v>4867</v>
      </c>
      <c r="JTA349" s="16" t="s">
        <v>4867</v>
      </c>
      <c r="JTB349" s="16" t="s">
        <v>4867</v>
      </c>
      <c r="JTC349" s="16" t="s">
        <v>4867</v>
      </c>
      <c r="JTD349" s="16" t="s">
        <v>4867</v>
      </c>
      <c r="JTE349" s="16" t="s">
        <v>4867</v>
      </c>
      <c r="JTF349" s="16" t="s">
        <v>4867</v>
      </c>
      <c r="JTG349" s="16" t="s">
        <v>4867</v>
      </c>
      <c r="JTH349" s="16" t="s">
        <v>4867</v>
      </c>
      <c r="JTI349" s="16" t="s">
        <v>4867</v>
      </c>
      <c r="JTJ349" s="16" t="s">
        <v>4867</v>
      </c>
      <c r="JTK349" s="16" t="s">
        <v>4867</v>
      </c>
      <c r="JTL349" s="16" t="s">
        <v>4867</v>
      </c>
      <c r="JTM349" s="16" t="s">
        <v>4867</v>
      </c>
      <c r="JTN349" s="16" t="s">
        <v>4867</v>
      </c>
      <c r="JTO349" s="16" t="s">
        <v>4867</v>
      </c>
      <c r="JTP349" s="16" t="s">
        <v>4867</v>
      </c>
      <c r="JTQ349" s="16" t="s">
        <v>4867</v>
      </c>
      <c r="JTR349" s="16" t="s">
        <v>4867</v>
      </c>
      <c r="JTS349" s="16" t="s">
        <v>4867</v>
      </c>
      <c r="JTT349" s="16" t="s">
        <v>4867</v>
      </c>
      <c r="JTU349" s="16" t="s">
        <v>4867</v>
      </c>
      <c r="JTV349" s="16" t="s">
        <v>4867</v>
      </c>
      <c r="JTW349" s="16" t="s">
        <v>4867</v>
      </c>
      <c r="JTX349" s="16" t="s">
        <v>4867</v>
      </c>
      <c r="JTY349" s="16" t="s">
        <v>4867</v>
      </c>
      <c r="JTZ349" s="16" t="s">
        <v>4867</v>
      </c>
      <c r="JUA349" s="16" t="s">
        <v>4867</v>
      </c>
      <c r="JUB349" s="16" t="s">
        <v>4867</v>
      </c>
      <c r="JUC349" s="16" t="s">
        <v>4867</v>
      </c>
      <c r="JUD349" s="16" t="s">
        <v>4867</v>
      </c>
      <c r="JUE349" s="16" t="s">
        <v>4867</v>
      </c>
      <c r="JUF349" s="16" t="s">
        <v>4867</v>
      </c>
      <c r="JUG349" s="16" t="s">
        <v>4867</v>
      </c>
      <c r="JUH349" s="16" t="s">
        <v>4867</v>
      </c>
      <c r="JUI349" s="16" t="s">
        <v>4867</v>
      </c>
      <c r="JUJ349" s="16" t="s">
        <v>4867</v>
      </c>
      <c r="JUK349" s="16" t="s">
        <v>4867</v>
      </c>
      <c r="JUL349" s="16" t="s">
        <v>4867</v>
      </c>
      <c r="JUM349" s="16" t="s">
        <v>4867</v>
      </c>
      <c r="JUN349" s="16" t="s">
        <v>4867</v>
      </c>
      <c r="JUO349" s="16" t="s">
        <v>4867</v>
      </c>
      <c r="JUP349" s="16" t="s">
        <v>4867</v>
      </c>
      <c r="JUQ349" s="16" t="s">
        <v>4867</v>
      </c>
      <c r="JUR349" s="16" t="s">
        <v>4867</v>
      </c>
      <c r="JUS349" s="16" t="s">
        <v>4867</v>
      </c>
      <c r="JUT349" s="16" t="s">
        <v>4867</v>
      </c>
      <c r="JUU349" s="16" t="s">
        <v>4867</v>
      </c>
      <c r="JUV349" s="16" t="s">
        <v>4867</v>
      </c>
      <c r="JUW349" s="16" t="s">
        <v>4867</v>
      </c>
      <c r="JUX349" s="16" t="s">
        <v>4867</v>
      </c>
      <c r="JUY349" s="16" t="s">
        <v>4867</v>
      </c>
      <c r="JUZ349" s="16" t="s">
        <v>4867</v>
      </c>
      <c r="JVA349" s="16" t="s">
        <v>4867</v>
      </c>
      <c r="JVB349" s="16" t="s">
        <v>4867</v>
      </c>
      <c r="JVC349" s="16" t="s">
        <v>4867</v>
      </c>
      <c r="JVD349" s="16" t="s">
        <v>4867</v>
      </c>
      <c r="JVE349" s="16" t="s">
        <v>4867</v>
      </c>
      <c r="JVF349" s="16" t="s">
        <v>4867</v>
      </c>
      <c r="JVG349" s="16" t="s">
        <v>4867</v>
      </c>
      <c r="JVH349" s="16" t="s">
        <v>4867</v>
      </c>
      <c r="JVI349" s="16" t="s">
        <v>4867</v>
      </c>
      <c r="JVJ349" s="16" t="s">
        <v>4867</v>
      </c>
      <c r="JVK349" s="16" t="s">
        <v>4867</v>
      </c>
      <c r="JVL349" s="16" t="s">
        <v>4867</v>
      </c>
      <c r="JVM349" s="16" t="s">
        <v>4867</v>
      </c>
      <c r="JVN349" s="16" t="s">
        <v>4867</v>
      </c>
      <c r="JVO349" s="16" t="s">
        <v>4867</v>
      </c>
      <c r="JVP349" s="16" t="s">
        <v>4867</v>
      </c>
      <c r="JVQ349" s="16" t="s">
        <v>4867</v>
      </c>
      <c r="JVR349" s="16" t="s">
        <v>4867</v>
      </c>
      <c r="JVS349" s="16" t="s">
        <v>4867</v>
      </c>
      <c r="JVT349" s="16" t="s">
        <v>4867</v>
      </c>
      <c r="JVU349" s="16" t="s">
        <v>4867</v>
      </c>
      <c r="JVV349" s="16" t="s">
        <v>4867</v>
      </c>
      <c r="JVW349" s="16" t="s">
        <v>4867</v>
      </c>
      <c r="JVX349" s="16" t="s">
        <v>4867</v>
      </c>
      <c r="JVY349" s="16" t="s">
        <v>4867</v>
      </c>
      <c r="JVZ349" s="16" t="s">
        <v>4867</v>
      </c>
      <c r="JWA349" s="16" t="s">
        <v>4867</v>
      </c>
      <c r="JWB349" s="16" t="s">
        <v>4867</v>
      </c>
      <c r="JWC349" s="16" t="s">
        <v>4867</v>
      </c>
      <c r="JWD349" s="16" t="s">
        <v>4867</v>
      </c>
      <c r="JWE349" s="16" t="s">
        <v>4867</v>
      </c>
      <c r="JWF349" s="16" t="s">
        <v>4867</v>
      </c>
      <c r="JWG349" s="16" t="s">
        <v>4867</v>
      </c>
      <c r="JWH349" s="16" t="s">
        <v>4867</v>
      </c>
      <c r="JWI349" s="16" t="s">
        <v>4867</v>
      </c>
      <c r="JWJ349" s="16" t="s">
        <v>4867</v>
      </c>
      <c r="JWK349" s="16" t="s">
        <v>4867</v>
      </c>
      <c r="JWL349" s="16" t="s">
        <v>4867</v>
      </c>
      <c r="JWM349" s="16" t="s">
        <v>4867</v>
      </c>
      <c r="JWN349" s="16" t="s">
        <v>4867</v>
      </c>
      <c r="JWO349" s="16" t="s">
        <v>4867</v>
      </c>
      <c r="JWP349" s="16" t="s">
        <v>4867</v>
      </c>
      <c r="JWQ349" s="16" t="s">
        <v>4867</v>
      </c>
      <c r="JWR349" s="16" t="s">
        <v>4867</v>
      </c>
      <c r="JWS349" s="16" t="s">
        <v>4867</v>
      </c>
      <c r="JWT349" s="16" t="s">
        <v>4867</v>
      </c>
      <c r="JWU349" s="16" t="s">
        <v>4867</v>
      </c>
      <c r="JWV349" s="16" t="s">
        <v>4867</v>
      </c>
      <c r="JWW349" s="16" t="s">
        <v>4867</v>
      </c>
      <c r="JWX349" s="16" t="s">
        <v>4867</v>
      </c>
      <c r="JWY349" s="16" t="s">
        <v>4867</v>
      </c>
      <c r="JWZ349" s="16" t="s">
        <v>4867</v>
      </c>
      <c r="JXA349" s="16" t="s">
        <v>4867</v>
      </c>
      <c r="JXB349" s="16" t="s">
        <v>4867</v>
      </c>
      <c r="JXC349" s="16" t="s">
        <v>4867</v>
      </c>
      <c r="JXD349" s="16" t="s">
        <v>4867</v>
      </c>
      <c r="JXE349" s="16" t="s">
        <v>4867</v>
      </c>
      <c r="JXF349" s="16" t="s">
        <v>4867</v>
      </c>
      <c r="JXG349" s="16" t="s">
        <v>4867</v>
      </c>
      <c r="JXH349" s="16" t="s">
        <v>4867</v>
      </c>
      <c r="JXI349" s="16" t="s">
        <v>4867</v>
      </c>
      <c r="JXJ349" s="16" t="s">
        <v>4867</v>
      </c>
      <c r="JXK349" s="16" t="s">
        <v>4867</v>
      </c>
      <c r="JXL349" s="16" t="s">
        <v>4867</v>
      </c>
      <c r="JXM349" s="16" t="s">
        <v>4867</v>
      </c>
      <c r="JXN349" s="16" t="s">
        <v>4867</v>
      </c>
      <c r="JXO349" s="16" t="s">
        <v>4867</v>
      </c>
      <c r="JXP349" s="16" t="s">
        <v>4867</v>
      </c>
      <c r="JXQ349" s="16" t="s">
        <v>4867</v>
      </c>
      <c r="JXR349" s="16" t="s">
        <v>4867</v>
      </c>
      <c r="JXS349" s="16" t="s">
        <v>4867</v>
      </c>
      <c r="JXT349" s="16" t="s">
        <v>4867</v>
      </c>
      <c r="JXU349" s="16" t="s">
        <v>4867</v>
      </c>
      <c r="JXV349" s="16" t="s">
        <v>4867</v>
      </c>
      <c r="JXW349" s="16" t="s">
        <v>4867</v>
      </c>
      <c r="JXX349" s="16" t="s">
        <v>4867</v>
      </c>
      <c r="JXY349" s="16" t="s">
        <v>4867</v>
      </c>
      <c r="JXZ349" s="16" t="s">
        <v>4867</v>
      </c>
      <c r="JYA349" s="16" t="s">
        <v>4867</v>
      </c>
      <c r="JYB349" s="16" t="s">
        <v>4867</v>
      </c>
      <c r="JYC349" s="16" t="s">
        <v>4867</v>
      </c>
      <c r="JYD349" s="16" t="s">
        <v>4867</v>
      </c>
      <c r="JYE349" s="16" t="s">
        <v>4867</v>
      </c>
      <c r="JYF349" s="16" t="s">
        <v>4867</v>
      </c>
      <c r="JYG349" s="16" t="s">
        <v>4867</v>
      </c>
      <c r="JYH349" s="16" t="s">
        <v>4867</v>
      </c>
      <c r="JYI349" s="16" t="s">
        <v>4867</v>
      </c>
      <c r="JYJ349" s="16" t="s">
        <v>4867</v>
      </c>
      <c r="JYK349" s="16" t="s">
        <v>4867</v>
      </c>
      <c r="JYL349" s="16" t="s">
        <v>4867</v>
      </c>
      <c r="JYM349" s="16" t="s">
        <v>4867</v>
      </c>
      <c r="JYN349" s="16" t="s">
        <v>4867</v>
      </c>
      <c r="JYO349" s="16" t="s">
        <v>4867</v>
      </c>
      <c r="JYP349" s="16" t="s">
        <v>4867</v>
      </c>
      <c r="JYQ349" s="16" t="s">
        <v>4867</v>
      </c>
      <c r="JYR349" s="16" t="s">
        <v>4867</v>
      </c>
      <c r="JYS349" s="16" t="s">
        <v>4867</v>
      </c>
      <c r="JYT349" s="16" t="s">
        <v>4867</v>
      </c>
      <c r="JYU349" s="16" t="s">
        <v>4867</v>
      </c>
      <c r="JYV349" s="16" t="s">
        <v>4867</v>
      </c>
      <c r="JYW349" s="16" t="s">
        <v>4867</v>
      </c>
      <c r="JYX349" s="16" t="s">
        <v>4867</v>
      </c>
      <c r="JYY349" s="16" t="s">
        <v>4867</v>
      </c>
      <c r="JYZ349" s="16" t="s">
        <v>4867</v>
      </c>
      <c r="JZA349" s="16" t="s">
        <v>4867</v>
      </c>
      <c r="JZB349" s="16" t="s">
        <v>4867</v>
      </c>
      <c r="JZC349" s="16" t="s">
        <v>4867</v>
      </c>
      <c r="JZD349" s="16" t="s">
        <v>4867</v>
      </c>
      <c r="JZE349" s="16" t="s">
        <v>4867</v>
      </c>
      <c r="JZF349" s="16" t="s">
        <v>4867</v>
      </c>
      <c r="JZG349" s="16" t="s">
        <v>4867</v>
      </c>
      <c r="JZH349" s="16" t="s">
        <v>4867</v>
      </c>
      <c r="JZI349" s="16" t="s">
        <v>4867</v>
      </c>
      <c r="JZJ349" s="16" t="s">
        <v>4867</v>
      </c>
      <c r="JZK349" s="16" t="s">
        <v>4867</v>
      </c>
      <c r="JZL349" s="16" t="s">
        <v>4867</v>
      </c>
      <c r="JZM349" s="16" t="s">
        <v>4867</v>
      </c>
      <c r="JZN349" s="16" t="s">
        <v>4867</v>
      </c>
      <c r="JZO349" s="16" t="s">
        <v>4867</v>
      </c>
      <c r="JZP349" s="16" t="s">
        <v>4867</v>
      </c>
      <c r="JZQ349" s="16" t="s">
        <v>4867</v>
      </c>
      <c r="JZR349" s="16" t="s">
        <v>4867</v>
      </c>
      <c r="JZS349" s="16" t="s">
        <v>4867</v>
      </c>
      <c r="JZT349" s="16" t="s">
        <v>4867</v>
      </c>
      <c r="JZU349" s="16" t="s">
        <v>4867</v>
      </c>
      <c r="JZV349" s="16" t="s">
        <v>4867</v>
      </c>
      <c r="JZW349" s="16" t="s">
        <v>4867</v>
      </c>
      <c r="JZX349" s="16" t="s">
        <v>4867</v>
      </c>
      <c r="JZY349" s="16" t="s">
        <v>4867</v>
      </c>
      <c r="JZZ349" s="16" t="s">
        <v>4867</v>
      </c>
      <c r="KAA349" s="16" t="s">
        <v>4867</v>
      </c>
      <c r="KAB349" s="16" t="s">
        <v>4867</v>
      </c>
      <c r="KAC349" s="16" t="s">
        <v>4867</v>
      </c>
      <c r="KAD349" s="16" t="s">
        <v>4867</v>
      </c>
      <c r="KAE349" s="16" t="s">
        <v>4867</v>
      </c>
      <c r="KAF349" s="16" t="s">
        <v>4867</v>
      </c>
      <c r="KAG349" s="16" t="s">
        <v>4867</v>
      </c>
      <c r="KAH349" s="16" t="s">
        <v>4867</v>
      </c>
      <c r="KAI349" s="16" t="s">
        <v>4867</v>
      </c>
      <c r="KAJ349" s="16" t="s">
        <v>4867</v>
      </c>
      <c r="KAK349" s="16" t="s">
        <v>4867</v>
      </c>
      <c r="KAL349" s="16" t="s">
        <v>4867</v>
      </c>
      <c r="KAM349" s="16" t="s">
        <v>4867</v>
      </c>
      <c r="KAN349" s="16" t="s">
        <v>4867</v>
      </c>
      <c r="KAO349" s="16" t="s">
        <v>4867</v>
      </c>
      <c r="KAP349" s="16" t="s">
        <v>4867</v>
      </c>
      <c r="KAQ349" s="16" t="s">
        <v>4867</v>
      </c>
      <c r="KAR349" s="16" t="s">
        <v>4867</v>
      </c>
      <c r="KAS349" s="16" t="s">
        <v>4867</v>
      </c>
      <c r="KAT349" s="16" t="s">
        <v>4867</v>
      </c>
      <c r="KAU349" s="16" t="s">
        <v>4867</v>
      </c>
      <c r="KAV349" s="16" t="s">
        <v>4867</v>
      </c>
      <c r="KAW349" s="16" t="s">
        <v>4867</v>
      </c>
      <c r="KAX349" s="16" t="s">
        <v>4867</v>
      </c>
      <c r="KAY349" s="16" t="s">
        <v>4867</v>
      </c>
      <c r="KAZ349" s="16" t="s">
        <v>4867</v>
      </c>
      <c r="KBA349" s="16" t="s">
        <v>4867</v>
      </c>
      <c r="KBB349" s="16" t="s">
        <v>4867</v>
      </c>
      <c r="KBC349" s="16" t="s">
        <v>4867</v>
      </c>
      <c r="KBD349" s="16" t="s">
        <v>4867</v>
      </c>
      <c r="KBE349" s="16" t="s">
        <v>4867</v>
      </c>
      <c r="KBF349" s="16" t="s">
        <v>4867</v>
      </c>
      <c r="KBG349" s="16" t="s">
        <v>4867</v>
      </c>
      <c r="KBH349" s="16" t="s">
        <v>4867</v>
      </c>
      <c r="KBI349" s="16" t="s">
        <v>4867</v>
      </c>
      <c r="KBJ349" s="16" t="s">
        <v>4867</v>
      </c>
      <c r="KBK349" s="16" t="s">
        <v>4867</v>
      </c>
      <c r="KBL349" s="16" t="s">
        <v>4867</v>
      </c>
      <c r="KBM349" s="16" t="s">
        <v>4867</v>
      </c>
      <c r="KBN349" s="16" t="s">
        <v>4867</v>
      </c>
      <c r="KBO349" s="16" t="s">
        <v>4867</v>
      </c>
      <c r="KBP349" s="16" t="s">
        <v>4867</v>
      </c>
      <c r="KBQ349" s="16" t="s">
        <v>4867</v>
      </c>
      <c r="KBR349" s="16" t="s">
        <v>4867</v>
      </c>
      <c r="KBS349" s="16" t="s">
        <v>4867</v>
      </c>
      <c r="KBT349" s="16" t="s">
        <v>4867</v>
      </c>
      <c r="KBU349" s="16" t="s">
        <v>4867</v>
      </c>
      <c r="KBV349" s="16" t="s">
        <v>4867</v>
      </c>
      <c r="KBW349" s="16" t="s">
        <v>4867</v>
      </c>
      <c r="KBX349" s="16" t="s">
        <v>4867</v>
      </c>
      <c r="KBY349" s="16" t="s">
        <v>4867</v>
      </c>
      <c r="KBZ349" s="16" t="s">
        <v>4867</v>
      </c>
      <c r="KCA349" s="16" t="s">
        <v>4867</v>
      </c>
      <c r="KCB349" s="16" t="s">
        <v>4867</v>
      </c>
      <c r="KCC349" s="16" t="s">
        <v>4867</v>
      </c>
      <c r="KCD349" s="16" t="s">
        <v>4867</v>
      </c>
      <c r="KCE349" s="16" t="s">
        <v>4867</v>
      </c>
      <c r="KCF349" s="16" t="s">
        <v>4867</v>
      </c>
      <c r="KCG349" s="16" t="s">
        <v>4867</v>
      </c>
      <c r="KCH349" s="16" t="s">
        <v>4867</v>
      </c>
      <c r="KCI349" s="16" t="s">
        <v>4867</v>
      </c>
      <c r="KCJ349" s="16" t="s">
        <v>4867</v>
      </c>
      <c r="KCK349" s="16" t="s">
        <v>4867</v>
      </c>
      <c r="KCL349" s="16" t="s">
        <v>4867</v>
      </c>
      <c r="KCM349" s="16" t="s">
        <v>4867</v>
      </c>
      <c r="KCN349" s="16" t="s">
        <v>4867</v>
      </c>
      <c r="KCO349" s="16" t="s">
        <v>4867</v>
      </c>
      <c r="KCP349" s="16" t="s">
        <v>4867</v>
      </c>
      <c r="KCQ349" s="16" t="s">
        <v>4867</v>
      </c>
      <c r="KCR349" s="16" t="s">
        <v>4867</v>
      </c>
      <c r="KCS349" s="16" t="s">
        <v>4867</v>
      </c>
      <c r="KCT349" s="16" t="s">
        <v>4867</v>
      </c>
      <c r="KCU349" s="16" t="s">
        <v>4867</v>
      </c>
      <c r="KCV349" s="16" t="s">
        <v>4867</v>
      </c>
      <c r="KCW349" s="16" t="s">
        <v>4867</v>
      </c>
      <c r="KCX349" s="16" t="s">
        <v>4867</v>
      </c>
      <c r="KCY349" s="16" t="s">
        <v>4867</v>
      </c>
      <c r="KCZ349" s="16" t="s">
        <v>4867</v>
      </c>
      <c r="KDA349" s="16" t="s">
        <v>4867</v>
      </c>
      <c r="KDB349" s="16" t="s">
        <v>4867</v>
      </c>
      <c r="KDC349" s="16" t="s">
        <v>4867</v>
      </c>
      <c r="KDD349" s="16" t="s">
        <v>4867</v>
      </c>
      <c r="KDE349" s="16" t="s">
        <v>4867</v>
      </c>
      <c r="KDF349" s="16" t="s">
        <v>4867</v>
      </c>
      <c r="KDG349" s="16" t="s">
        <v>4867</v>
      </c>
      <c r="KDH349" s="16" t="s">
        <v>4867</v>
      </c>
      <c r="KDI349" s="16" t="s">
        <v>4867</v>
      </c>
      <c r="KDJ349" s="16" t="s">
        <v>4867</v>
      </c>
      <c r="KDK349" s="16" t="s">
        <v>4867</v>
      </c>
      <c r="KDL349" s="16" t="s">
        <v>4867</v>
      </c>
      <c r="KDM349" s="16" t="s">
        <v>4867</v>
      </c>
      <c r="KDN349" s="16" t="s">
        <v>4867</v>
      </c>
      <c r="KDO349" s="16" t="s">
        <v>4867</v>
      </c>
      <c r="KDP349" s="16" t="s">
        <v>4867</v>
      </c>
      <c r="KDQ349" s="16" t="s">
        <v>4867</v>
      </c>
      <c r="KDR349" s="16" t="s">
        <v>4867</v>
      </c>
      <c r="KDS349" s="16" t="s">
        <v>4867</v>
      </c>
      <c r="KDT349" s="16" t="s">
        <v>4867</v>
      </c>
      <c r="KDU349" s="16" t="s">
        <v>4867</v>
      </c>
      <c r="KDV349" s="16" t="s">
        <v>4867</v>
      </c>
      <c r="KDW349" s="16" t="s">
        <v>4867</v>
      </c>
      <c r="KDX349" s="16" t="s">
        <v>4867</v>
      </c>
      <c r="KDY349" s="16" t="s">
        <v>4867</v>
      </c>
      <c r="KDZ349" s="16" t="s">
        <v>4867</v>
      </c>
      <c r="KEA349" s="16" t="s">
        <v>4867</v>
      </c>
      <c r="KEB349" s="16" t="s">
        <v>4867</v>
      </c>
      <c r="KEC349" s="16" t="s">
        <v>4867</v>
      </c>
      <c r="KED349" s="16" t="s">
        <v>4867</v>
      </c>
      <c r="KEE349" s="16" t="s">
        <v>4867</v>
      </c>
      <c r="KEF349" s="16" t="s">
        <v>4867</v>
      </c>
      <c r="KEG349" s="16" t="s">
        <v>4867</v>
      </c>
      <c r="KEH349" s="16" t="s">
        <v>4867</v>
      </c>
      <c r="KEI349" s="16" t="s">
        <v>4867</v>
      </c>
      <c r="KEJ349" s="16" t="s">
        <v>4867</v>
      </c>
      <c r="KEK349" s="16" t="s">
        <v>4867</v>
      </c>
      <c r="KEL349" s="16" t="s">
        <v>4867</v>
      </c>
      <c r="KEM349" s="16" t="s">
        <v>4867</v>
      </c>
      <c r="KEN349" s="16" t="s">
        <v>4867</v>
      </c>
      <c r="KEO349" s="16" t="s">
        <v>4867</v>
      </c>
      <c r="KEP349" s="16" t="s">
        <v>4867</v>
      </c>
      <c r="KEQ349" s="16" t="s">
        <v>4867</v>
      </c>
      <c r="KER349" s="16" t="s">
        <v>4867</v>
      </c>
      <c r="KES349" s="16" t="s">
        <v>4867</v>
      </c>
      <c r="KET349" s="16" t="s">
        <v>4867</v>
      </c>
      <c r="KEU349" s="16" t="s">
        <v>4867</v>
      </c>
      <c r="KEV349" s="16" t="s">
        <v>4867</v>
      </c>
      <c r="KEW349" s="16" t="s">
        <v>4867</v>
      </c>
      <c r="KEX349" s="16" t="s">
        <v>4867</v>
      </c>
      <c r="KEY349" s="16" t="s">
        <v>4867</v>
      </c>
      <c r="KEZ349" s="16" t="s">
        <v>4867</v>
      </c>
      <c r="KFA349" s="16" t="s">
        <v>4867</v>
      </c>
      <c r="KFB349" s="16" t="s">
        <v>4867</v>
      </c>
      <c r="KFC349" s="16" t="s">
        <v>4867</v>
      </c>
      <c r="KFD349" s="16" t="s">
        <v>4867</v>
      </c>
      <c r="KFE349" s="16" t="s">
        <v>4867</v>
      </c>
      <c r="KFF349" s="16" t="s">
        <v>4867</v>
      </c>
      <c r="KFG349" s="16" t="s">
        <v>4867</v>
      </c>
      <c r="KFH349" s="16" t="s">
        <v>4867</v>
      </c>
      <c r="KFI349" s="16" t="s">
        <v>4867</v>
      </c>
      <c r="KFJ349" s="16" t="s">
        <v>4867</v>
      </c>
      <c r="KFK349" s="16" t="s">
        <v>4867</v>
      </c>
      <c r="KFL349" s="16" t="s">
        <v>4867</v>
      </c>
      <c r="KFM349" s="16" t="s">
        <v>4867</v>
      </c>
      <c r="KFN349" s="16" t="s">
        <v>4867</v>
      </c>
      <c r="KFO349" s="16" t="s">
        <v>4867</v>
      </c>
      <c r="KFP349" s="16" t="s">
        <v>4867</v>
      </c>
      <c r="KFQ349" s="16" t="s">
        <v>4867</v>
      </c>
      <c r="KFR349" s="16" t="s">
        <v>4867</v>
      </c>
      <c r="KFS349" s="16" t="s">
        <v>4867</v>
      </c>
      <c r="KFT349" s="16" t="s">
        <v>4867</v>
      </c>
      <c r="KFU349" s="16" t="s">
        <v>4867</v>
      </c>
      <c r="KFV349" s="16" t="s">
        <v>4867</v>
      </c>
      <c r="KFW349" s="16" t="s">
        <v>4867</v>
      </c>
      <c r="KFX349" s="16" t="s">
        <v>4867</v>
      </c>
      <c r="KFY349" s="16" t="s">
        <v>4867</v>
      </c>
      <c r="KFZ349" s="16" t="s">
        <v>4867</v>
      </c>
      <c r="KGA349" s="16" t="s">
        <v>4867</v>
      </c>
      <c r="KGB349" s="16" t="s">
        <v>4867</v>
      </c>
      <c r="KGC349" s="16" t="s">
        <v>4867</v>
      </c>
      <c r="KGD349" s="16" t="s">
        <v>4867</v>
      </c>
      <c r="KGE349" s="16" t="s">
        <v>4867</v>
      </c>
      <c r="KGF349" s="16" t="s">
        <v>4867</v>
      </c>
      <c r="KGG349" s="16" t="s">
        <v>4867</v>
      </c>
      <c r="KGH349" s="16" t="s">
        <v>4867</v>
      </c>
      <c r="KGI349" s="16" t="s">
        <v>4867</v>
      </c>
      <c r="KGJ349" s="16" t="s">
        <v>4867</v>
      </c>
      <c r="KGK349" s="16" t="s">
        <v>4867</v>
      </c>
      <c r="KGL349" s="16" t="s">
        <v>4867</v>
      </c>
      <c r="KGM349" s="16" t="s">
        <v>4867</v>
      </c>
      <c r="KGN349" s="16" t="s">
        <v>4867</v>
      </c>
      <c r="KGO349" s="16" t="s">
        <v>4867</v>
      </c>
      <c r="KGP349" s="16" t="s">
        <v>4867</v>
      </c>
      <c r="KGQ349" s="16" t="s">
        <v>4867</v>
      </c>
      <c r="KGR349" s="16" t="s">
        <v>4867</v>
      </c>
      <c r="KGS349" s="16" t="s">
        <v>4867</v>
      </c>
      <c r="KGT349" s="16" t="s">
        <v>4867</v>
      </c>
      <c r="KGU349" s="16" t="s">
        <v>4867</v>
      </c>
      <c r="KGV349" s="16" t="s">
        <v>4867</v>
      </c>
      <c r="KGW349" s="16" t="s">
        <v>4867</v>
      </c>
      <c r="KGX349" s="16" t="s">
        <v>4867</v>
      </c>
      <c r="KGY349" s="16" t="s">
        <v>4867</v>
      </c>
      <c r="KGZ349" s="16" t="s">
        <v>4867</v>
      </c>
      <c r="KHA349" s="16" t="s">
        <v>4867</v>
      </c>
      <c r="KHB349" s="16" t="s">
        <v>4867</v>
      </c>
      <c r="KHC349" s="16" t="s">
        <v>4867</v>
      </c>
      <c r="KHD349" s="16" t="s">
        <v>4867</v>
      </c>
      <c r="KHE349" s="16" t="s">
        <v>4867</v>
      </c>
      <c r="KHF349" s="16" t="s">
        <v>4867</v>
      </c>
      <c r="KHG349" s="16" t="s">
        <v>4867</v>
      </c>
      <c r="KHH349" s="16" t="s">
        <v>4867</v>
      </c>
      <c r="KHI349" s="16" t="s">
        <v>4867</v>
      </c>
      <c r="KHJ349" s="16" t="s">
        <v>4867</v>
      </c>
      <c r="KHK349" s="16" t="s">
        <v>4867</v>
      </c>
      <c r="KHL349" s="16" t="s">
        <v>4867</v>
      </c>
      <c r="KHM349" s="16" t="s">
        <v>4867</v>
      </c>
      <c r="KHN349" s="16" t="s">
        <v>4867</v>
      </c>
      <c r="KHO349" s="16" t="s">
        <v>4867</v>
      </c>
      <c r="KHP349" s="16" t="s">
        <v>4867</v>
      </c>
      <c r="KHQ349" s="16" t="s">
        <v>4867</v>
      </c>
      <c r="KHR349" s="16" t="s">
        <v>4867</v>
      </c>
      <c r="KHS349" s="16" t="s">
        <v>4867</v>
      </c>
      <c r="KHT349" s="16" t="s">
        <v>4867</v>
      </c>
      <c r="KHU349" s="16" t="s">
        <v>4867</v>
      </c>
      <c r="KHV349" s="16" t="s">
        <v>4867</v>
      </c>
      <c r="KHW349" s="16" t="s">
        <v>4867</v>
      </c>
      <c r="KHX349" s="16" t="s">
        <v>4867</v>
      </c>
      <c r="KHY349" s="16" t="s">
        <v>4867</v>
      </c>
      <c r="KHZ349" s="16" t="s">
        <v>4867</v>
      </c>
      <c r="KIA349" s="16" t="s">
        <v>4867</v>
      </c>
      <c r="KIB349" s="16" t="s">
        <v>4867</v>
      </c>
      <c r="KIC349" s="16" t="s">
        <v>4867</v>
      </c>
      <c r="KID349" s="16" t="s">
        <v>4867</v>
      </c>
      <c r="KIE349" s="16" t="s">
        <v>4867</v>
      </c>
      <c r="KIF349" s="16" t="s">
        <v>4867</v>
      </c>
      <c r="KIG349" s="16" t="s">
        <v>4867</v>
      </c>
      <c r="KIH349" s="16" t="s">
        <v>4867</v>
      </c>
      <c r="KII349" s="16" t="s">
        <v>4867</v>
      </c>
      <c r="KIJ349" s="16" t="s">
        <v>4867</v>
      </c>
      <c r="KIK349" s="16" t="s">
        <v>4867</v>
      </c>
      <c r="KIL349" s="16" t="s">
        <v>4867</v>
      </c>
      <c r="KIM349" s="16" t="s">
        <v>4867</v>
      </c>
      <c r="KIN349" s="16" t="s">
        <v>4867</v>
      </c>
      <c r="KIO349" s="16" t="s">
        <v>4867</v>
      </c>
      <c r="KIP349" s="16" t="s">
        <v>4867</v>
      </c>
      <c r="KIQ349" s="16" t="s">
        <v>4867</v>
      </c>
      <c r="KIR349" s="16" t="s">
        <v>4867</v>
      </c>
      <c r="KIS349" s="16" t="s">
        <v>4867</v>
      </c>
      <c r="KIT349" s="16" t="s">
        <v>4867</v>
      </c>
      <c r="KIU349" s="16" t="s">
        <v>4867</v>
      </c>
      <c r="KIV349" s="16" t="s">
        <v>4867</v>
      </c>
      <c r="KIW349" s="16" t="s">
        <v>4867</v>
      </c>
      <c r="KIX349" s="16" t="s">
        <v>4867</v>
      </c>
      <c r="KIY349" s="16" t="s">
        <v>4867</v>
      </c>
      <c r="KIZ349" s="16" t="s">
        <v>4867</v>
      </c>
      <c r="KJA349" s="16" t="s">
        <v>4867</v>
      </c>
      <c r="KJB349" s="16" t="s">
        <v>4867</v>
      </c>
      <c r="KJC349" s="16" t="s">
        <v>4867</v>
      </c>
      <c r="KJD349" s="16" t="s">
        <v>4867</v>
      </c>
      <c r="KJE349" s="16" t="s">
        <v>4867</v>
      </c>
      <c r="KJF349" s="16" t="s">
        <v>4867</v>
      </c>
      <c r="KJG349" s="16" t="s">
        <v>4867</v>
      </c>
      <c r="KJH349" s="16" t="s">
        <v>4867</v>
      </c>
      <c r="KJI349" s="16" t="s">
        <v>4867</v>
      </c>
      <c r="KJJ349" s="16" t="s">
        <v>4867</v>
      </c>
      <c r="KJK349" s="16" t="s">
        <v>4867</v>
      </c>
      <c r="KJL349" s="16" t="s">
        <v>4867</v>
      </c>
      <c r="KJM349" s="16" t="s">
        <v>4867</v>
      </c>
      <c r="KJN349" s="16" t="s">
        <v>4867</v>
      </c>
      <c r="KJO349" s="16" t="s">
        <v>4867</v>
      </c>
      <c r="KJP349" s="16" t="s">
        <v>4867</v>
      </c>
      <c r="KJQ349" s="16" t="s">
        <v>4867</v>
      </c>
      <c r="KJR349" s="16" t="s">
        <v>4867</v>
      </c>
      <c r="KJS349" s="16" t="s">
        <v>4867</v>
      </c>
      <c r="KJT349" s="16" t="s">
        <v>4867</v>
      </c>
      <c r="KJU349" s="16" t="s">
        <v>4867</v>
      </c>
      <c r="KJV349" s="16" t="s">
        <v>4867</v>
      </c>
      <c r="KJW349" s="16" t="s">
        <v>4867</v>
      </c>
      <c r="KJX349" s="16" t="s">
        <v>4867</v>
      </c>
      <c r="KJY349" s="16" t="s">
        <v>4867</v>
      </c>
      <c r="KJZ349" s="16" t="s">
        <v>4867</v>
      </c>
      <c r="KKA349" s="16" t="s">
        <v>4867</v>
      </c>
      <c r="KKB349" s="16" t="s">
        <v>4867</v>
      </c>
      <c r="KKC349" s="16" t="s">
        <v>4867</v>
      </c>
      <c r="KKD349" s="16" t="s">
        <v>4867</v>
      </c>
      <c r="KKE349" s="16" t="s">
        <v>4867</v>
      </c>
      <c r="KKF349" s="16" t="s">
        <v>4867</v>
      </c>
      <c r="KKG349" s="16" t="s">
        <v>4867</v>
      </c>
      <c r="KKH349" s="16" t="s">
        <v>4867</v>
      </c>
      <c r="KKI349" s="16" t="s">
        <v>4867</v>
      </c>
      <c r="KKJ349" s="16" t="s">
        <v>4867</v>
      </c>
      <c r="KKK349" s="16" t="s">
        <v>4867</v>
      </c>
      <c r="KKL349" s="16" t="s">
        <v>4867</v>
      </c>
      <c r="KKM349" s="16" t="s">
        <v>4867</v>
      </c>
      <c r="KKN349" s="16" t="s">
        <v>4867</v>
      </c>
      <c r="KKO349" s="16" t="s">
        <v>4867</v>
      </c>
      <c r="KKP349" s="16" t="s">
        <v>4867</v>
      </c>
      <c r="KKQ349" s="16" t="s">
        <v>4867</v>
      </c>
      <c r="KKR349" s="16" t="s">
        <v>4867</v>
      </c>
      <c r="KKS349" s="16" t="s">
        <v>4867</v>
      </c>
      <c r="KKT349" s="16" t="s">
        <v>4867</v>
      </c>
      <c r="KKU349" s="16" t="s">
        <v>4867</v>
      </c>
      <c r="KKV349" s="16" t="s">
        <v>4867</v>
      </c>
      <c r="KKW349" s="16" t="s">
        <v>4867</v>
      </c>
      <c r="KKX349" s="16" t="s">
        <v>4867</v>
      </c>
      <c r="KKY349" s="16" t="s">
        <v>4867</v>
      </c>
      <c r="KKZ349" s="16" t="s">
        <v>4867</v>
      </c>
      <c r="KLA349" s="16" t="s">
        <v>4867</v>
      </c>
      <c r="KLB349" s="16" t="s">
        <v>4867</v>
      </c>
      <c r="KLC349" s="16" t="s">
        <v>4867</v>
      </c>
      <c r="KLD349" s="16" t="s">
        <v>4867</v>
      </c>
      <c r="KLE349" s="16" t="s">
        <v>4867</v>
      </c>
      <c r="KLF349" s="16" t="s">
        <v>4867</v>
      </c>
      <c r="KLG349" s="16" t="s">
        <v>4867</v>
      </c>
      <c r="KLH349" s="16" t="s">
        <v>4867</v>
      </c>
      <c r="KLI349" s="16" t="s">
        <v>4867</v>
      </c>
      <c r="KLJ349" s="16" t="s">
        <v>4867</v>
      </c>
      <c r="KLK349" s="16" t="s">
        <v>4867</v>
      </c>
      <c r="KLL349" s="16" t="s">
        <v>4867</v>
      </c>
      <c r="KLM349" s="16" t="s">
        <v>4867</v>
      </c>
      <c r="KLN349" s="16" t="s">
        <v>4867</v>
      </c>
      <c r="KLO349" s="16" t="s">
        <v>4867</v>
      </c>
      <c r="KLP349" s="16" t="s">
        <v>4867</v>
      </c>
      <c r="KLQ349" s="16" t="s">
        <v>4867</v>
      </c>
      <c r="KLR349" s="16" t="s">
        <v>4867</v>
      </c>
      <c r="KLS349" s="16" t="s">
        <v>4867</v>
      </c>
      <c r="KLT349" s="16" t="s">
        <v>4867</v>
      </c>
      <c r="KLU349" s="16" t="s">
        <v>4867</v>
      </c>
      <c r="KLV349" s="16" t="s">
        <v>4867</v>
      </c>
      <c r="KLW349" s="16" t="s">
        <v>4867</v>
      </c>
      <c r="KLX349" s="16" t="s">
        <v>4867</v>
      </c>
      <c r="KLY349" s="16" t="s">
        <v>4867</v>
      </c>
      <c r="KLZ349" s="16" t="s">
        <v>4867</v>
      </c>
      <c r="KMA349" s="16" t="s">
        <v>4867</v>
      </c>
      <c r="KMB349" s="16" t="s">
        <v>4867</v>
      </c>
      <c r="KMC349" s="16" t="s">
        <v>4867</v>
      </c>
      <c r="KMD349" s="16" t="s">
        <v>4867</v>
      </c>
      <c r="KME349" s="16" t="s">
        <v>4867</v>
      </c>
      <c r="KMF349" s="16" t="s">
        <v>4867</v>
      </c>
      <c r="KMG349" s="16" t="s">
        <v>4867</v>
      </c>
      <c r="KMH349" s="16" t="s">
        <v>4867</v>
      </c>
      <c r="KMI349" s="16" t="s">
        <v>4867</v>
      </c>
      <c r="KMJ349" s="16" t="s">
        <v>4867</v>
      </c>
      <c r="KMK349" s="16" t="s">
        <v>4867</v>
      </c>
      <c r="KML349" s="16" t="s">
        <v>4867</v>
      </c>
      <c r="KMM349" s="16" t="s">
        <v>4867</v>
      </c>
      <c r="KMN349" s="16" t="s">
        <v>4867</v>
      </c>
      <c r="KMO349" s="16" t="s">
        <v>4867</v>
      </c>
      <c r="KMP349" s="16" t="s">
        <v>4867</v>
      </c>
      <c r="KMQ349" s="16" t="s">
        <v>4867</v>
      </c>
      <c r="KMR349" s="16" t="s">
        <v>4867</v>
      </c>
      <c r="KMS349" s="16" t="s">
        <v>4867</v>
      </c>
      <c r="KMT349" s="16" t="s">
        <v>4867</v>
      </c>
      <c r="KMU349" s="16" t="s">
        <v>4867</v>
      </c>
      <c r="KMV349" s="16" t="s">
        <v>4867</v>
      </c>
      <c r="KMW349" s="16" t="s">
        <v>4867</v>
      </c>
      <c r="KMX349" s="16" t="s">
        <v>4867</v>
      </c>
      <c r="KMY349" s="16" t="s">
        <v>4867</v>
      </c>
      <c r="KMZ349" s="16" t="s">
        <v>4867</v>
      </c>
      <c r="KNA349" s="16" t="s">
        <v>4867</v>
      </c>
      <c r="KNB349" s="16" t="s">
        <v>4867</v>
      </c>
      <c r="KNC349" s="16" t="s">
        <v>4867</v>
      </c>
      <c r="KND349" s="16" t="s">
        <v>4867</v>
      </c>
      <c r="KNE349" s="16" t="s">
        <v>4867</v>
      </c>
      <c r="KNF349" s="16" t="s">
        <v>4867</v>
      </c>
      <c r="KNG349" s="16" t="s">
        <v>4867</v>
      </c>
      <c r="KNH349" s="16" t="s">
        <v>4867</v>
      </c>
      <c r="KNI349" s="16" t="s">
        <v>4867</v>
      </c>
      <c r="KNJ349" s="16" t="s">
        <v>4867</v>
      </c>
      <c r="KNK349" s="16" t="s">
        <v>4867</v>
      </c>
      <c r="KNL349" s="16" t="s">
        <v>4867</v>
      </c>
      <c r="KNM349" s="16" t="s">
        <v>4867</v>
      </c>
      <c r="KNN349" s="16" t="s">
        <v>4867</v>
      </c>
      <c r="KNO349" s="16" t="s">
        <v>4867</v>
      </c>
      <c r="KNP349" s="16" t="s">
        <v>4867</v>
      </c>
      <c r="KNQ349" s="16" t="s">
        <v>4867</v>
      </c>
      <c r="KNR349" s="16" t="s">
        <v>4867</v>
      </c>
      <c r="KNS349" s="16" t="s">
        <v>4867</v>
      </c>
      <c r="KNT349" s="16" t="s">
        <v>4867</v>
      </c>
      <c r="KNU349" s="16" t="s">
        <v>4867</v>
      </c>
      <c r="KNV349" s="16" t="s">
        <v>4867</v>
      </c>
      <c r="KNW349" s="16" t="s">
        <v>4867</v>
      </c>
      <c r="KNX349" s="16" t="s">
        <v>4867</v>
      </c>
      <c r="KNY349" s="16" t="s">
        <v>4867</v>
      </c>
      <c r="KNZ349" s="16" t="s">
        <v>4867</v>
      </c>
      <c r="KOA349" s="16" t="s">
        <v>4867</v>
      </c>
      <c r="KOB349" s="16" t="s">
        <v>4867</v>
      </c>
      <c r="KOC349" s="16" t="s">
        <v>4867</v>
      </c>
      <c r="KOD349" s="16" t="s">
        <v>4867</v>
      </c>
      <c r="KOE349" s="16" t="s">
        <v>4867</v>
      </c>
      <c r="KOF349" s="16" t="s">
        <v>4867</v>
      </c>
      <c r="KOG349" s="16" t="s">
        <v>4867</v>
      </c>
      <c r="KOH349" s="16" t="s">
        <v>4867</v>
      </c>
      <c r="KOI349" s="16" t="s">
        <v>4867</v>
      </c>
      <c r="KOJ349" s="16" t="s">
        <v>4867</v>
      </c>
      <c r="KOK349" s="16" t="s">
        <v>4867</v>
      </c>
      <c r="KOL349" s="16" t="s">
        <v>4867</v>
      </c>
      <c r="KOM349" s="16" t="s">
        <v>4867</v>
      </c>
      <c r="KON349" s="16" t="s">
        <v>4867</v>
      </c>
      <c r="KOO349" s="16" t="s">
        <v>4867</v>
      </c>
      <c r="KOP349" s="16" t="s">
        <v>4867</v>
      </c>
      <c r="KOQ349" s="16" t="s">
        <v>4867</v>
      </c>
      <c r="KOR349" s="16" t="s">
        <v>4867</v>
      </c>
      <c r="KOS349" s="16" t="s">
        <v>4867</v>
      </c>
      <c r="KOT349" s="16" t="s">
        <v>4867</v>
      </c>
      <c r="KOU349" s="16" t="s">
        <v>4867</v>
      </c>
      <c r="KOV349" s="16" t="s">
        <v>4867</v>
      </c>
      <c r="KOW349" s="16" t="s">
        <v>4867</v>
      </c>
      <c r="KOX349" s="16" t="s">
        <v>4867</v>
      </c>
      <c r="KOY349" s="16" t="s">
        <v>4867</v>
      </c>
      <c r="KOZ349" s="16" t="s">
        <v>4867</v>
      </c>
      <c r="KPA349" s="16" t="s">
        <v>4867</v>
      </c>
      <c r="KPB349" s="16" t="s">
        <v>4867</v>
      </c>
      <c r="KPC349" s="16" t="s">
        <v>4867</v>
      </c>
      <c r="KPD349" s="16" t="s">
        <v>4867</v>
      </c>
      <c r="KPE349" s="16" t="s">
        <v>4867</v>
      </c>
      <c r="KPF349" s="16" t="s">
        <v>4867</v>
      </c>
      <c r="KPG349" s="16" t="s">
        <v>4867</v>
      </c>
      <c r="KPH349" s="16" t="s">
        <v>4867</v>
      </c>
      <c r="KPI349" s="16" t="s">
        <v>4867</v>
      </c>
      <c r="KPJ349" s="16" t="s">
        <v>4867</v>
      </c>
      <c r="KPK349" s="16" t="s">
        <v>4867</v>
      </c>
      <c r="KPL349" s="16" t="s">
        <v>4867</v>
      </c>
      <c r="KPM349" s="16" t="s">
        <v>4867</v>
      </c>
      <c r="KPN349" s="16" t="s">
        <v>4867</v>
      </c>
      <c r="KPO349" s="16" t="s">
        <v>4867</v>
      </c>
      <c r="KPP349" s="16" t="s">
        <v>4867</v>
      </c>
      <c r="KPQ349" s="16" t="s">
        <v>4867</v>
      </c>
      <c r="KPR349" s="16" t="s">
        <v>4867</v>
      </c>
      <c r="KPS349" s="16" t="s">
        <v>4867</v>
      </c>
      <c r="KPT349" s="16" t="s">
        <v>4867</v>
      </c>
      <c r="KPU349" s="16" t="s">
        <v>4867</v>
      </c>
      <c r="KPV349" s="16" t="s">
        <v>4867</v>
      </c>
      <c r="KPW349" s="16" t="s">
        <v>4867</v>
      </c>
      <c r="KPX349" s="16" t="s">
        <v>4867</v>
      </c>
      <c r="KPY349" s="16" t="s">
        <v>4867</v>
      </c>
      <c r="KPZ349" s="16" t="s">
        <v>4867</v>
      </c>
      <c r="KQA349" s="16" t="s">
        <v>4867</v>
      </c>
      <c r="KQB349" s="16" t="s">
        <v>4867</v>
      </c>
      <c r="KQC349" s="16" t="s">
        <v>4867</v>
      </c>
      <c r="KQD349" s="16" t="s">
        <v>4867</v>
      </c>
      <c r="KQE349" s="16" t="s">
        <v>4867</v>
      </c>
      <c r="KQF349" s="16" t="s">
        <v>4867</v>
      </c>
      <c r="KQG349" s="16" t="s">
        <v>4867</v>
      </c>
      <c r="KQH349" s="16" t="s">
        <v>4867</v>
      </c>
      <c r="KQI349" s="16" t="s">
        <v>4867</v>
      </c>
      <c r="KQJ349" s="16" t="s">
        <v>4867</v>
      </c>
      <c r="KQK349" s="16" t="s">
        <v>4867</v>
      </c>
      <c r="KQL349" s="16" t="s">
        <v>4867</v>
      </c>
      <c r="KQM349" s="16" t="s">
        <v>4867</v>
      </c>
      <c r="KQN349" s="16" t="s">
        <v>4867</v>
      </c>
      <c r="KQO349" s="16" t="s">
        <v>4867</v>
      </c>
      <c r="KQP349" s="16" t="s">
        <v>4867</v>
      </c>
      <c r="KQQ349" s="16" t="s">
        <v>4867</v>
      </c>
      <c r="KQR349" s="16" t="s">
        <v>4867</v>
      </c>
      <c r="KQS349" s="16" t="s">
        <v>4867</v>
      </c>
      <c r="KQT349" s="16" t="s">
        <v>4867</v>
      </c>
      <c r="KQU349" s="16" t="s">
        <v>4867</v>
      </c>
      <c r="KQV349" s="16" t="s">
        <v>4867</v>
      </c>
      <c r="KQW349" s="16" t="s">
        <v>4867</v>
      </c>
      <c r="KQX349" s="16" t="s">
        <v>4867</v>
      </c>
      <c r="KQY349" s="16" t="s">
        <v>4867</v>
      </c>
      <c r="KQZ349" s="16" t="s">
        <v>4867</v>
      </c>
      <c r="KRA349" s="16" t="s">
        <v>4867</v>
      </c>
      <c r="KRB349" s="16" t="s">
        <v>4867</v>
      </c>
      <c r="KRC349" s="16" t="s">
        <v>4867</v>
      </c>
      <c r="KRD349" s="16" t="s">
        <v>4867</v>
      </c>
      <c r="KRE349" s="16" t="s">
        <v>4867</v>
      </c>
      <c r="KRF349" s="16" t="s">
        <v>4867</v>
      </c>
      <c r="KRG349" s="16" t="s">
        <v>4867</v>
      </c>
      <c r="KRH349" s="16" t="s">
        <v>4867</v>
      </c>
      <c r="KRI349" s="16" t="s">
        <v>4867</v>
      </c>
      <c r="KRJ349" s="16" t="s">
        <v>4867</v>
      </c>
      <c r="KRK349" s="16" t="s">
        <v>4867</v>
      </c>
      <c r="KRL349" s="16" t="s">
        <v>4867</v>
      </c>
      <c r="KRM349" s="16" t="s">
        <v>4867</v>
      </c>
      <c r="KRN349" s="16" t="s">
        <v>4867</v>
      </c>
      <c r="KRO349" s="16" t="s">
        <v>4867</v>
      </c>
      <c r="KRP349" s="16" t="s">
        <v>4867</v>
      </c>
      <c r="KRQ349" s="16" t="s">
        <v>4867</v>
      </c>
      <c r="KRR349" s="16" t="s">
        <v>4867</v>
      </c>
      <c r="KRS349" s="16" t="s">
        <v>4867</v>
      </c>
      <c r="KRT349" s="16" t="s">
        <v>4867</v>
      </c>
      <c r="KRU349" s="16" t="s">
        <v>4867</v>
      </c>
      <c r="KRV349" s="16" t="s">
        <v>4867</v>
      </c>
      <c r="KRW349" s="16" t="s">
        <v>4867</v>
      </c>
      <c r="KRX349" s="16" t="s">
        <v>4867</v>
      </c>
      <c r="KRY349" s="16" t="s">
        <v>4867</v>
      </c>
      <c r="KRZ349" s="16" t="s">
        <v>4867</v>
      </c>
      <c r="KSA349" s="16" t="s">
        <v>4867</v>
      </c>
      <c r="KSB349" s="16" t="s">
        <v>4867</v>
      </c>
      <c r="KSC349" s="16" t="s">
        <v>4867</v>
      </c>
      <c r="KSD349" s="16" t="s">
        <v>4867</v>
      </c>
      <c r="KSE349" s="16" t="s">
        <v>4867</v>
      </c>
      <c r="KSF349" s="16" t="s">
        <v>4867</v>
      </c>
      <c r="KSG349" s="16" t="s">
        <v>4867</v>
      </c>
      <c r="KSH349" s="16" t="s">
        <v>4867</v>
      </c>
      <c r="KSI349" s="16" t="s">
        <v>4867</v>
      </c>
      <c r="KSJ349" s="16" t="s">
        <v>4867</v>
      </c>
      <c r="KSK349" s="16" t="s">
        <v>4867</v>
      </c>
      <c r="KSL349" s="16" t="s">
        <v>4867</v>
      </c>
      <c r="KSM349" s="16" t="s">
        <v>4867</v>
      </c>
      <c r="KSN349" s="16" t="s">
        <v>4867</v>
      </c>
      <c r="KSO349" s="16" t="s">
        <v>4867</v>
      </c>
      <c r="KSP349" s="16" t="s">
        <v>4867</v>
      </c>
      <c r="KSQ349" s="16" t="s">
        <v>4867</v>
      </c>
      <c r="KSR349" s="16" t="s">
        <v>4867</v>
      </c>
      <c r="KSS349" s="16" t="s">
        <v>4867</v>
      </c>
      <c r="KST349" s="16" t="s">
        <v>4867</v>
      </c>
      <c r="KSU349" s="16" t="s">
        <v>4867</v>
      </c>
      <c r="KSV349" s="16" t="s">
        <v>4867</v>
      </c>
      <c r="KSW349" s="16" t="s">
        <v>4867</v>
      </c>
      <c r="KSX349" s="16" t="s">
        <v>4867</v>
      </c>
      <c r="KSY349" s="16" t="s">
        <v>4867</v>
      </c>
      <c r="KSZ349" s="16" t="s">
        <v>4867</v>
      </c>
      <c r="KTA349" s="16" t="s">
        <v>4867</v>
      </c>
      <c r="KTB349" s="16" t="s">
        <v>4867</v>
      </c>
      <c r="KTC349" s="16" t="s">
        <v>4867</v>
      </c>
      <c r="KTD349" s="16" t="s">
        <v>4867</v>
      </c>
      <c r="KTE349" s="16" t="s">
        <v>4867</v>
      </c>
      <c r="KTF349" s="16" t="s">
        <v>4867</v>
      </c>
      <c r="KTG349" s="16" t="s">
        <v>4867</v>
      </c>
      <c r="KTH349" s="16" t="s">
        <v>4867</v>
      </c>
      <c r="KTI349" s="16" t="s">
        <v>4867</v>
      </c>
      <c r="KTJ349" s="16" t="s">
        <v>4867</v>
      </c>
      <c r="KTK349" s="16" t="s">
        <v>4867</v>
      </c>
      <c r="KTL349" s="16" t="s">
        <v>4867</v>
      </c>
      <c r="KTM349" s="16" t="s">
        <v>4867</v>
      </c>
      <c r="KTN349" s="16" t="s">
        <v>4867</v>
      </c>
      <c r="KTO349" s="16" t="s">
        <v>4867</v>
      </c>
      <c r="KTP349" s="16" t="s">
        <v>4867</v>
      </c>
      <c r="KTQ349" s="16" t="s">
        <v>4867</v>
      </c>
      <c r="KTR349" s="16" t="s">
        <v>4867</v>
      </c>
      <c r="KTS349" s="16" t="s">
        <v>4867</v>
      </c>
      <c r="KTT349" s="16" t="s">
        <v>4867</v>
      </c>
      <c r="KTU349" s="16" t="s">
        <v>4867</v>
      </c>
      <c r="KTV349" s="16" t="s">
        <v>4867</v>
      </c>
      <c r="KTW349" s="16" t="s">
        <v>4867</v>
      </c>
      <c r="KTX349" s="16" t="s">
        <v>4867</v>
      </c>
      <c r="KTY349" s="16" t="s">
        <v>4867</v>
      </c>
      <c r="KTZ349" s="16" t="s">
        <v>4867</v>
      </c>
      <c r="KUA349" s="16" t="s">
        <v>4867</v>
      </c>
      <c r="KUB349" s="16" t="s">
        <v>4867</v>
      </c>
      <c r="KUC349" s="16" t="s">
        <v>4867</v>
      </c>
      <c r="KUD349" s="16" t="s">
        <v>4867</v>
      </c>
      <c r="KUE349" s="16" t="s">
        <v>4867</v>
      </c>
      <c r="KUF349" s="16" t="s">
        <v>4867</v>
      </c>
      <c r="KUG349" s="16" t="s">
        <v>4867</v>
      </c>
      <c r="KUH349" s="16" t="s">
        <v>4867</v>
      </c>
      <c r="KUI349" s="16" t="s">
        <v>4867</v>
      </c>
      <c r="KUJ349" s="16" t="s">
        <v>4867</v>
      </c>
      <c r="KUK349" s="16" t="s">
        <v>4867</v>
      </c>
      <c r="KUL349" s="16" t="s">
        <v>4867</v>
      </c>
      <c r="KUM349" s="16" t="s">
        <v>4867</v>
      </c>
      <c r="KUN349" s="16" t="s">
        <v>4867</v>
      </c>
      <c r="KUO349" s="16" t="s">
        <v>4867</v>
      </c>
      <c r="KUP349" s="16" t="s">
        <v>4867</v>
      </c>
      <c r="KUQ349" s="16" t="s">
        <v>4867</v>
      </c>
      <c r="KUR349" s="16" t="s">
        <v>4867</v>
      </c>
      <c r="KUS349" s="16" t="s">
        <v>4867</v>
      </c>
      <c r="KUT349" s="16" t="s">
        <v>4867</v>
      </c>
      <c r="KUU349" s="16" t="s">
        <v>4867</v>
      </c>
      <c r="KUV349" s="16" t="s">
        <v>4867</v>
      </c>
      <c r="KUW349" s="16" t="s">
        <v>4867</v>
      </c>
      <c r="KUX349" s="16" t="s">
        <v>4867</v>
      </c>
      <c r="KUY349" s="16" t="s">
        <v>4867</v>
      </c>
      <c r="KUZ349" s="16" t="s">
        <v>4867</v>
      </c>
      <c r="KVA349" s="16" t="s">
        <v>4867</v>
      </c>
      <c r="KVB349" s="16" t="s">
        <v>4867</v>
      </c>
      <c r="KVC349" s="16" t="s">
        <v>4867</v>
      </c>
      <c r="KVD349" s="16" t="s">
        <v>4867</v>
      </c>
      <c r="KVE349" s="16" t="s">
        <v>4867</v>
      </c>
      <c r="KVF349" s="16" t="s">
        <v>4867</v>
      </c>
      <c r="KVG349" s="16" t="s">
        <v>4867</v>
      </c>
      <c r="KVH349" s="16" t="s">
        <v>4867</v>
      </c>
      <c r="KVI349" s="16" t="s">
        <v>4867</v>
      </c>
      <c r="KVJ349" s="16" t="s">
        <v>4867</v>
      </c>
      <c r="KVK349" s="16" t="s">
        <v>4867</v>
      </c>
      <c r="KVL349" s="16" t="s">
        <v>4867</v>
      </c>
      <c r="KVM349" s="16" t="s">
        <v>4867</v>
      </c>
      <c r="KVN349" s="16" t="s">
        <v>4867</v>
      </c>
      <c r="KVO349" s="16" t="s">
        <v>4867</v>
      </c>
      <c r="KVP349" s="16" t="s">
        <v>4867</v>
      </c>
      <c r="KVQ349" s="16" t="s">
        <v>4867</v>
      </c>
      <c r="KVR349" s="16" t="s">
        <v>4867</v>
      </c>
      <c r="KVS349" s="16" t="s">
        <v>4867</v>
      </c>
      <c r="KVT349" s="16" t="s">
        <v>4867</v>
      </c>
      <c r="KVU349" s="16" t="s">
        <v>4867</v>
      </c>
      <c r="KVV349" s="16" t="s">
        <v>4867</v>
      </c>
      <c r="KVW349" s="16" t="s">
        <v>4867</v>
      </c>
      <c r="KVX349" s="16" t="s">
        <v>4867</v>
      </c>
      <c r="KVY349" s="16" t="s">
        <v>4867</v>
      </c>
      <c r="KVZ349" s="16" t="s">
        <v>4867</v>
      </c>
      <c r="KWA349" s="16" t="s">
        <v>4867</v>
      </c>
      <c r="KWB349" s="16" t="s">
        <v>4867</v>
      </c>
      <c r="KWC349" s="16" t="s">
        <v>4867</v>
      </c>
      <c r="KWD349" s="16" t="s">
        <v>4867</v>
      </c>
      <c r="KWE349" s="16" t="s">
        <v>4867</v>
      </c>
      <c r="KWF349" s="16" t="s">
        <v>4867</v>
      </c>
      <c r="KWG349" s="16" t="s">
        <v>4867</v>
      </c>
      <c r="KWH349" s="16" t="s">
        <v>4867</v>
      </c>
      <c r="KWI349" s="16" t="s">
        <v>4867</v>
      </c>
      <c r="KWJ349" s="16" t="s">
        <v>4867</v>
      </c>
      <c r="KWK349" s="16" t="s">
        <v>4867</v>
      </c>
      <c r="KWL349" s="16" t="s">
        <v>4867</v>
      </c>
      <c r="KWM349" s="16" t="s">
        <v>4867</v>
      </c>
      <c r="KWN349" s="16" t="s">
        <v>4867</v>
      </c>
      <c r="KWO349" s="16" t="s">
        <v>4867</v>
      </c>
      <c r="KWP349" s="16" t="s">
        <v>4867</v>
      </c>
      <c r="KWQ349" s="16" t="s">
        <v>4867</v>
      </c>
      <c r="KWR349" s="16" t="s">
        <v>4867</v>
      </c>
      <c r="KWS349" s="16" t="s">
        <v>4867</v>
      </c>
      <c r="KWT349" s="16" t="s">
        <v>4867</v>
      </c>
      <c r="KWU349" s="16" t="s">
        <v>4867</v>
      </c>
      <c r="KWV349" s="16" t="s">
        <v>4867</v>
      </c>
      <c r="KWW349" s="16" t="s">
        <v>4867</v>
      </c>
      <c r="KWX349" s="16" t="s">
        <v>4867</v>
      </c>
      <c r="KWY349" s="16" t="s">
        <v>4867</v>
      </c>
      <c r="KWZ349" s="16" t="s">
        <v>4867</v>
      </c>
      <c r="KXA349" s="16" t="s">
        <v>4867</v>
      </c>
      <c r="KXB349" s="16" t="s">
        <v>4867</v>
      </c>
      <c r="KXC349" s="16" t="s">
        <v>4867</v>
      </c>
      <c r="KXD349" s="16" t="s">
        <v>4867</v>
      </c>
      <c r="KXE349" s="16" t="s">
        <v>4867</v>
      </c>
      <c r="KXF349" s="16" t="s">
        <v>4867</v>
      </c>
      <c r="KXG349" s="16" t="s">
        <v>4867</v>
      </c>
      <c r="KXH349" s="16" t="s">
        <v>4867</v>
      </c>
      <c r="KXI349" s="16" t="s">
        <v>4867</v>
      </c>
      <c r="KXJ349" s="16" t="s">
        <v>4867</v>
      </c>
      <c r="KXK349" s="16" t="s">
        <v>4867</v>
      </c>
      <c r="KXL349" s="16" t="s">
        <v>4867</v>
      </c>
      <c r="KXM349" s="16" t="s">
        <v>4867</v>
      </c>
      <c r="KXN349" s="16" t="s">
        <v>4867</v>
      </c>
      <c r="KXO349" s="16" t="s">
        <v>4867</v>
      </c>
      <c r="KXP349" s="16" t="s">
        <v>4867</v>
      </c>
      <c r="KXQ349" s="16" t="s">
        <v>4867</v>
      </c>
      <c r="KXR349" s="16" t="s">
        <v>4867</v>
      </c>
      <c r="KXS349" s="16" t="s">
        <v>4867</v>
      </c>
      <c r="KXT349" s="16" t="s">
        <v>4867</v>
      </c>
      <c r="KXU349" s="16" t="s">
        <v>4867</v>
      </c>
      <c r="KXV349" s="16" t="s">
        <v>4867</v>
      </c>
      <c r="KXW349" s="16" t="s">
        <v>4867</v>
      </c>
      <c r="KXX349" s="16" t="s">
        <v>4867</v>
      </c>
      <c r="KXY349" s="16" t="s">
        <v>4867</v>
      </c>
      <c r="KXZ349" s="16" t="s">
        <v>4867</v>
      </c>
      <c r="KYA349" s="16" t="s">
        <v>4867</v>
      </c>
      <c r="KYB349" s="16" t="s">
        <v>4867</v>
      </c>
      <c r="KYC349" s="16" t="s">
        <v>4867</v>
      </c>
      <c r="KYD349" s="16" t="s">
        <v>4867</v>
      </c>
      <c r="KYE349" s="16" t="s">
        <v>4867</v>
      </c>
      <c r="KYF349" s="16" t="s">
        <v>4867</v>
      </c>
      <c r="KYG349" s="16" t="s">
        <v>4867</v>
      </c>
      <c r="KYH349" s="16" t="s">
        <v>4867</v>
      </c>
      <c r="KYI349" s="16" t="s">
        <v>4867</v>
      </c>
      <c r="KYJ349" s="16" t="s">
        <v>4867</v>
      </c>
      <c r="KYK349" s="16" t="s">
        <v>4867</v>
      </c>
      <c r="KYL349" s="16" t="s">
        <v>4867</v>
      </c>
      <c r="KYM349" s="16" t="s">
        <v>4867</v>
      </c>
      <c r="KYN349" s="16" t="s">
        <v>4867</v>
      </c>
      <c r="KYO349" s="16" t="s">
        <v>4867</v>
      </c>
      <c r="KYP349" s="16" t="s">
        <v>4867</v>
      </c>
      <c r="KYQ349" s="16" t="s">
        <v>4867</v>
      </c>
      <c r="KYR349" s="16" t="s">
        <v>4867</v>
      </c>
      <c r="KYS349" s="16" t="s">
        <v>4867</v>
      </c>
      <c r="KYT349" s="16" t="s">
        <v>4867</v>
      </c>
      <c r="KYU349" s="16" t="s">
        <v>4867</v>
      </c>
      <c r="KYV349" s="16" t="s">
        <v>4867</v>
      </c>
      <c r="KYW349" s="16" t="s">
        <v>4867</v>
      </c>
      <c r="KYX349" s="16" t="s">
        <v>4867</v>
      </c>
      <c r="KYY349" s="16" t="s">
        <v>4867</v>
      </c>
      <c r="KYZ349" s="16" t="s">
        <v>4867</v>
      </c>
      <c r="KZA349" s="16" t="s">
        <v>4867</v>
      </c>
      <c r="KZB349" s="16" t="s">
        <v>4867</v>
      </c>
      <c r="KZC349" s="16" t="s">
        <v>4867</v>
      </c>
      <c r="KZD349" s="16" t="s">
        <v>4867</v>
      </c>
      <c r="KZE349" s="16" t="s">
        <v>4867</v>
      </c>
      <c r="KZF349" s="16" t="s">
        <v>4867</v>
      </c>
      <c r="KZG349" s="16" t="s">
        <v>4867</v>
      </c>
      <c r="KZH349" s="16" t="s">
        <v>4867</v>
      </c>
      <c r="KZI349" s="16" t="s">
        <v>4867</v>
      </c>
      <c r="KZJ349" s="16" t="s">
        <v>4867</v>
      </c>
      <c r="KZK349" s="16" t="s">
        <v>4867</v>
      </c>
      <c r="KZL349" s="16" t="s">
        <v>4867</v>
      </c>
      <c r="KZM349" s="16" t="s">
        <v>4867</v>
      </c>
      <c r="KZN349" s="16" t="s">
        <v>4867</v>
      </c>
      <c r="KZO349" s="16" t="s">
        <v>4867</v>
      </c>
      <c r="KZP349" s="16" t="s">
        <v>4867</v>
      </c>
      <c r="KZQ349" s="16" t="s">
        <v>4867</v>
      </c>
      <c r="KZR349" s="16" t="s">
        <v>4867</v>
      </c>
      <c r="KZS349" s="16" t="s">
        <v>4867</v>
      </c>
      <c r="KZT349" s="16" t="s">
        <v>4867</v>
      </c>
      <c r="KZU349" s="16" t="s">
        <v>4867</v>
      </c>
      <c r="KZV349" s="16" t="s">
        <v>4867</v>
      </c>
      <c r="KZW349" s="16" t="s">
        <v>4867</v>
      </c>
      <c r="KZX349" s="16" t="s">
        <v>4867</v>
      </c>
      <c r="KZY349" s="16" t="s">
        <v>4867</v>
      </c>
      <c r="KZZ349" s="16" t="s">
        <v>4867</v>
      </c>
      <c r="LAA349" s="16" t="s">
        <v>4867</v>
      </c>
      <c r="LAB349" s="16" t="s">
        <v>4867</v>
      </c>
      <c r="LAC349" s="16" t="s">
        <v>4867</v>
      </c>
      <c r="LAD349" s="16" t="s">
        <v>4867</v>
      </c>
      <c r="LAE349" s="16" t="s">
        <v>4867</v>
      </c>
      <c r="LAF349" s="16" t="s">
        <v>4867</v>
      </c>
      <c r="LAG349" s="16" t="s">
        <v>4867</v>
      </c>
      <c r="LAH349" s="16" t="s">
        <v>4867</v>
      </c>
      <c r="LAI349" s="16" t="s">
        <v>4867</v>
      </c>
      <c r="LAJ349" s="16" t="s">
        <v>4867</v>
      </c>
      <c r="LAK349" s="16" t="s">
        <v>4867</v>
      </c>
      <c r="LAL349" s="16" t="s">
        <v>4867</v>
      </c>
      <c r="LAM349" s="16" t="s">
        <v>4867</v>
      </c>
      <c r="LAN349" s="16" t="s">
        <v>4867</v>
      </c>
      <c r="LAO349" s="16" t="s">
        <v>4867</v>
      </c>
      <c r="LAP349" s="16" t="s">
        <v>4867</v>
      </c>
      <c r="LAQ349" s="16" t="s">
        <v>4867</v>
      </c>
      <c r="LAR349" s="16" t="s">
        <v>4867</v>
      </c>
      <c r="LAS349" s="16" t="s">
        <v>4867</v>
      </c>
      <c r="LAT349" s="16" t="s">
        <v>4867</v>
      </c>
      <c r="LAU349" s="16" t="s">
        <v>4867</v>
      </c>
      <c r="LAV349" s="16" t="s">
        <v>4867</v>
      </c>
      <c r="LAW349" s="16" t="s">
        <v>4867</v>
      </c>
      <c r="LAX349" s="16" t="s">
        <v>4867</v>
      </c>
      <c r="LAY349" s="16" t="s">
        <v>4867</v>
      </c>
      <c r="LAZ349" s="16" t="s">
        <v>4867</v>
      </c>
      <c r="LBA349" s="16" t="s">
        <v>4867</v>
      </c>
      <c r="LBB349" s="16" t="s">
        <v>4867</v>
      </c>
      <c r="LBC349" s="16" t="s">
        <v>4867</v>
      </c>
      <c r="LBD349" s="16" t="s">
        <v>4867</v>
      </c>
      <c r="LBE349" s="16" t="s">
        <v>4867</v>
      </c>
      <c r="LBF349" s="16" t="s">
        <v>4867</v>
      </c>
      <c r="LBG349" s="16" t="s">
        <v>4867</v>
      </c>
      <c r="LBH349" s="16" t="s">
        <v>4867</v>
      </c>
      <c r="LBI349" s="16" t="s">
        <v>4867</v>
      </c>
      <c r="LBJ349" s="16" t="s">
        <v>4867</v>
      </c>
      <c r="LBK349" s="16" t="s">
        <v>4867</v>
      </c>
      <c r="LBL349" s="16" t="s">
        <v>4867</v>
      </c>
      <c r="LBM349" s="16" t="s">
        <v>4867</v>
      </c>
      <c r="LBN349" s="16" t="s">
        <v>4867</v>
      </c>
      <c r="LBO349" s="16" t="s">
        <v>4867</v>
      </c>
      <c r="LBP349" s="16" t="s">
        <v>4867</v>
      </c>
      <c r="LBQ349" s="16" t="s">
        <v>4867</v>
      </c>
      <c r="LBR349" s="16" t="s">
        <v>4867</v>
      </c>
      <c r="LBS349" s="16" t="s">
        <v>4867</v>
      </c>
      <c r="LBT349" s="16" t="s">
        <v>4867</v>
      </c>
      <c r="LBU349" s="16" t="s">
        <v>4867</v>
      </c>
      <c r="LBV349" s="16" t="s">
        <v>4867</v>
      </c>
      <c r="LBW349" s="16" t="s">
        <v>4867</v>
      </c>
      <c r="LBX349" s="16" t="s">
        <v>4867</v>
      </c>
      <c r="LBY349" s="16" t="s">
        <v>4867</v>
      </c>
      <c r="LBZ349" s="16" t="s">
        <v>4867</v>
      </c>
      <c r="LCA349" s="16" t="s">
        <v>4867</v>
      </c>
      <c r="LCB349" s="16" t="s">
        <v>4867</v>
      </c>
      <c r="LCC349" s="16" t="s">
        <v>4867</v>
      </c>
      <c r="LCD349" s="16" t="s">
        <v>4867</v>
      </c>
      <c r="LCE349" s="16" t="s">
        <v>4867</v>
      </c>
      <c r="LCF349" s="16" t="s">
        <v>4867</v>
      </c>
      <c r="LCG349" s="16" t="s">
        <v>4867</v>
      </c>
      <c r="LCH349" s="16" t="s">
        <v>4867</v>
      </c>
      <c r="LCI349" s="16" t="s">
        <v>4867</v>
      </c>
      <c r="LCJ349" s="16" t="s">
        <v>4867</v>
      </c>
      <c r="LCK349" s="16" t="s">
        <v>4867</v>
      </c>
      <c r="LCL349" s="16" t="s">
        <v>4867</v>
      </c>
      <c r="LCM349" s="16" t="s">
        <v>4867</v>
      </c>
      <c r="LCN349" s="16" t="s">
        <v>4867</v>
      </c>
      <c r="LCO349" s="16" t="s">
        <v>4867</v>
      </c>
      <c r="LCP349" s="16" t="s">
        <v>4867</v>
      </c>
      <c r="LCQ349" s="16" t="s">
        <v>4867</v>
      </c>
      <c r="LCR349" s="16" t="s">
        <v>4867</v>
      </c>
      <c r="LCS349" s="16" t="s">
        <v>4867</v>
      </c>
      <c r="LCT349" s="16" t="s">
        <v>4867</v>
      </c>
      <c r="LCU349" s="16" t="s">
        <v>4867</v>
      </c>
      <c r="LCV349" s="16" t="s">
        <v>4867</v>
      </c>
      <c r="LCW349" s="16" t="s">
        <v>4867</v>
      </c>
      <c r="LCX349" s="16" t="s">
        <v>4867</v>
      </c>
      <c r="LCY349" s="16" t="s">
        <v>4867</v>
      </c>
      <c r="LCZ349" s="16" t="s">
        <v>4867</v>
      </c>
      <c r="LDA349" s="16" t="s">
        <v>4867</v>
      </c>
      <c r="LDB349" s="16" t="s">
        <v>4867</v>
      </c>
      <c r="LDC349" s="16" t="s">
        <v>4867</v>
      </c>
      <c r="LDD349" s="16" t="s">
        <v>4867</v>
      </c>
      <c r="LDE349" s="16" t="s">
        <v>4867</v>
      </c>
      <c r="LDF349" s="16" t="s">
        <v>4867</v>
      </c>
      <c r="LDG349" s="16" t="s">
        <v>4867</v>
      </c>
      <c r="LDH349" s="16" t="s">
        <v>4867</v>
      </c>
      <c r="LDI349" s="16" t="s">
        <v>4867</v>
      </c>
      <c r="LDJ349" s="16" t="s">
        <v>4867</v>
      </c>
      <c r="LDK349" s="16" t="s">
        <v>4867</v>
      </c>
      <c r="LDL349" s="16" t="s">
        <v>4867</v>
      </c>
      <c r="LDM349" s="16" t="s">
        <v>4867</v>
      </c>
      <c r="LDN349" s="16" t="s">
        <v>4867</v>
      </c>
      <c r="LDO349" s="16" t="s">
        <v>4867</v>
      </c>
      <c r="LDP349" s="16" t="s">
        <v>4867</v>
      </c>
      <c r="LDQ349" s="16" t="s">
        <v>4867</v>
      </c>
      <c r="LDR349" s="16" t="s">
        <v>4867</v>
      </c>
      <c r="LDS349" s="16" t="s">
        <v>4867</v>
      </c>
      <c r="LDT349" s="16" t="s">
        <v>4867</v>
      </c>
      <c r="LDU349" s="16" t="s">
        <v>4867</v>
      </c>
      <c r="LDV349" s="16" t="s">
        <v>4867</v>
      </c>
      <c r="LDW349" s="16" t="s">
        <v>4867</v>
      </c>
      <c r="LDX349" s="16" t="s">
        <v>4867</v>
      </c>
      <c r="LDY349" s="16" t="s">
        <v>4867</v>
      </c>
      <c r="LDZ349" s="16" t="s">
        <v>4867</v>
      </c>
      <c r="LEA349" s="16" t="s">
        <v>4867</v>
      </c>
      <c r="LEB349" s="16" t="s">
        <v>4867</v>
      </c>
      <c r="LEC349" s="16" t="s">
        <v>4867</v>
      </c>
      <c r="LED349" s="16" t="s">
        <v>4867</v>
      </c>
      <c r="LEE349" s="16" t="s">
        <v>4867</v>
      </c>
      <c r="LEF349" s="16" t="s">
        <v>4867</v>
      </c>
      <c r="LEG349" s="16" t="s">
        <v>4867</v>
      </c>
      <c r="LEH349" s="16" t="s">
        <v>4867</v>
      </c>
      <c r="LEI349" s="16" t="s">
        <v>4867</v>
      </c>
      <c r="LEJ349" s="16" t="s">
        <v>4867</v>
      </c>
      <c r="LEK349" s="16" t="s">
        <v>4867</v>
      </c>
      <c r="LEL349" s="16" t="s">
        <v>4867</v>
      </c>
      <c r="LEM349" s="16" t="s">
        <v>4867</v>
      </c>
      <c r="LEN349" s="16" t="s">
        <v>4867</v>
      </c>
      <c r="LEO349" s="16" t="s">
        <v>4867</v>
      </c>
      <c r="LEP349" s="16" t="s">
        <v>4867</v>
      </c>
      <c r="LEQ349" s="16" t="s">
        <v>4867</v>
      </c>
      <c r="LER349" s="16" t="s">
        <v>4867</v>
      </c>
      <c r="LES349" s="16" t="s">
        <v>4867</v>
      </c>
      <c r="LET349" s="16" t="s">
        <v>4867</v>
      </c>
      <c r="LEU349" s="16" t="s">
        <v>4867</v>
      </c>
      <c r="LEV349" s="16" t="s">
        <v>4867</v>
      </c>
      <c r="LEW349" s="16" t="s">
        <v>4867</v>
      </c>
      <c r="LEX349" s="16" t="s">
        <v>4867</v>
      </c>
      <c r="LEY349" s="16" t="s">
        <v>4867</v>
      </c>
      <c r="LEZ349" s="16" t="s">
        <v>4867</v>
      </c>
      <c r="LFA349" s="16" t="s">
        <v>4867</v>
      </c>
      <c r="LFB349" s="16" t="s">
        <v>4867</v>
      </c>
      <c r="LFC349" s="16" t="s">
        <v>4867</v>
      </c>
      <c r="LFD349" s="16" t="s">
        <v>4867</v>
      </c>
      <c r="LFE349" s="16" t="s">
        <v>4867</v>
      </c>
      <c r="LFF349" s="16" t="s">
        <v>4867</v>
      </c>
      <c r="LFG349" s="16" t="s">
        <v>4867</v>
      </c>
      <c r="LFH349" s="16" t="s">
        <v>4867</v>
      </c>
      <c r="LFI349" s="16" t="s">
        <v>4867</v>
      </c>
      <c r="LFJ349" s="16" t="s">
        <v>4867</v>
      </c>
      <c r="LFK349" s="16" t="s">
        <v>4867</v>
      </c>
      <c r="LFL349" s="16" t="s">
        <v>4867</v>
      </c>
      <c r="LFM349" s="16" t="s">
        <v>4867</v>
      </c>
      <c r="LFN349" s="16" t="s">
        <v>4867</v>
      </c>
      <c r="LFO349" s="16" t="s">
        <v>4867</v>
      </c>
      <c r="LFP349" s="16" t="s">
        <v>4867</v>
      </c>
      <c r="LFQ349" s="16" t="s">
        <v>4867</v>
      </c>
      <c r="LFR349" s="16" t="s">
        <v>4867</v>
      </c>
      <c r="LFS349" s="16" t="s">
        <v>4867</v>
      </c>
      <c r="LFT349" s="16" t="s">
        <v>4867</v>
      </c>
      <c r="LFU349" s="16" t="s">
        <v>4867</v>
      </c>
      <c r="LFV349" s="16" t="s">
        <v>4867</v>
      </c>
      <c r="LFW349" s="16" t="s">
        <v>4867</v>
      </c>
      <c r="LFX349" s="16" t="s">
        <v>4867</v>
      </c>
      <c r="LFY349" s="16" t="s">
        <v>4867</v>
      </c>
      <c r="LFZ349" s="16" t="s">
        <v>4867</v>
      </c>
      <c r="LGA349" s="16" t="s">
        <v>4867</v>
      </c>
      <c r="LGB349" s="16" t="s">
        <v>4867</v>
      </c>
      <c r="LGC349" s="16" t="s">
        <v>4867</v>
      </c>
      <c r="LGD349" s="16" t="s">
        <v>4867</v>
      </c>
      <c r="LGE349" s="16" t="s">
        <v>4867</v>
      </c>
      <c r="LGF349" s="16" t="s">
        <v>4867</v>
      </c>
      <c r="LGG349" s="16" t="s">
        <v>4867</v>
      </c>
      <c r="LGH349" s="16" t="s">
        <v>4867</v>
      </c>
      <c r="LGI349" s="16" t="s">
        <v>4867</v>
      </c>
      <c r="LGJ349" s="16" t="s">
        <v>4867</v>
      </c>
      <c r="LGK349" s="16" t="s">
        <v>4867</v>
      </c>
      <c r="LGL349" s="16" t="s">
        <v>4867</v>
      </c>
      <c r="LGM349" s="16" t="s">
        <v>4867</v>
      </c>
      <c r="LGN349" s="16" t="s">
        <v>4867</v>
      </c>
      <c r="LGO349" s="16" t="s">
        <v>4867</v>
      </c>
      <c r="LGP349" s="16" t="s">
        <v>4867</v>
      </c>
      <c r="LGQ349" s="16" t="s">
        <v>4867</v>
      </c>
      <c r="LGR349" s="16" t="s">
        <v>4867</v>
      </c>
      <c r="LGS349" s="16" t="s">
        <v>4867</v>
      </c>
      <c r="LGT349" s="16" t="s">
        <v>4867</v>
      </c>
      <c r="LGU349" s="16" t="s">
        <v>4867</v>
      </c>
      <c r="LGV349" s="16" t="s">
        <v>4867</v>
      </c>
      <c r="LGW349" s="16" t="s">
        <v>4867</v>
      </c>
      <c r="LGX349" s="16" t="s">
        <v>4867</v>
      </c>
      <c r="LGY349" s="16" t="s">
        <v>4867</v>
      </c>
      <c r="LGZ349" s="16" t="s">
        <v>4867</v>
      </c>
      <c r="LHA349" s="16" t="s">
        <v>4867</v>
      </c>
      <c r="LHB349" s="16" t="s">
        <v>4867</v>
      </c>
      <c r="LHC349" s="16" t="s">
        <v>4867</v>
      </c>
      <c r="LHD349" s="16" t="s">
        <v>4867</v>
      </c>
      <c r="LHE349" s="16" t="s">
        <v>4867</v>
      </c>
      <c r="LHF349" s="16" t="s">
        <v>4867</v>
      </c>
      <c r="LHG349" s="16" t="s">
        <v>4867</v>
      </c>
      <c r="LHH349" s="16" t="s">
        <v>4867</v>
      </c>
      <c r="LHI349" s="16" t="s">
        <v>4867</v>
      </c>
      <c r="LHJ349" s="16" t="s">
        <v>4867</v>
      </c>
      <c r="LHK349" s="16" t="s">
        <v>4867</v>
      </c>
      <c r="LHL349" s="16" t="s">
        <v>4867</v>
      </c>
      <c r="LHM349" s="16" t="s">
        <v>4867</v>
      </c>
      <c r="LHN349" s="16" t="s">
        <v>4867</v>
      </c>
      <c r="LHO349" s="16" t="s">
        <v>4867</v>
      </c>
      <c r="LHP349" s="16" t="s">
        <v>4867</v>
      </c>
      <c r="LHQ349" s="16" t="s">
        <v>4867</v>
      </c>
      <c r="LHR349" s="16" t="s">
        <v>4867</v>
      </c>
      <c r="LHS349" s="16" t="s">
        <v>4867</v>
      </c>
      <c r="LHT349" s="16" t="s">
        <v>4867</v>
      </c>
      <c r="LHU349" s="16" t="s">
        <v>4867</v>
      </c>
      <c r="LHV349" s="16" t="s">
        <v>4867</v>
      </c>
      <c r="LHW349" s="16" t="s">
        <v>4867</v>
      </c>
      <c r="LHX349" s="16" t="s">
        <v>4867</v>
      </c>
      <c r="LHY349" s="16" t="s">
        <v>4867</v>
      </c>
      <c r="LHZ349" s="16" t="s">
        <v>4867</v>
      </c>
      <c r="LIA349" s="16" t="s">
        <v>4867</v>
      </c>
      <c r="LIB349" s="16" t="s">
        <v>4867</v>
      </c>
      <c r="LIC349" s="16" t="s">
        <v>4867</v>
      </c>
      <c r="LID349" s="16" t="s">
        <v>4867</v>
      </c>
      <c r="LIE349" s="16" t="s">
        <v>4867</v>
      </c>
      <c r="LIF349" s="16" t="s">
        <v>4867</v>
      </c>
      <c r="LIG349" s="16" t="s">
        <v>4867</v>
      </c>
      <c r="LIH349" s="16" t="s">
        <v>4867</v>
      </c>
      <c r="LII349" s="16" t="s">
        <v>4867</v>
      </c>
      <c r="LIJ349" s="16" t="s">
        <v>4867</v>
      </c>
      <c r="LIK349" s="16" t="s">
        <v>4867</v>
      </c>
      <c r="LIL349" s="16" t="s">
        <v>4867</v>
      </c>
      <c r="LIM349" s="16" t="s">
        <v>4867</v>
      </c>
      <c r="LIN349" s="16" t="s">
        <v>4867</v>
      </c>
      <c r="LIO349" s="16" t="s">
        <v>4867</v>
      </c>
      <c r="LIP349" s="16" t="s">
        <v>4867</v>
      </c>
      <c r="LIQ349" s="16" t="s">
        <v>4867</v>
      </c>
      <c r="LIR349" s="16" t="s">
        <v>4867</v>
      </c>
      <c r="LIS349" s="16" t="s">
        <v>4867</v>
      </c>
      <c r="LIT349" s="16" t="s">
        <v>4867</v>
      </c>
      <c r="LIU349" s="16" t="s">
        <v>4867</v>
      </c>
      <c r="LIV349" s="16" t="s">
        <v>4867</v>
      </c>
      <c r="LIW349" s="16" t="s">
        <v>4867</v>
      </c>
      <c r="LIX349" s="16" t="s">
        <v>4867</v>
      </c>
      <c r="LIY349" s="16" t="s">
        <v>4867</v>
      </c>
      <c r="LIZ349" s="16" t="s">
        <v>4867</v>
      </c>
      <c r="LJA349" s="16" t="s">
        <v>4867</v>
      </c>
      <c r="LJB349" s="16" t="s">
        <v>4867</v>
      </c>
      <c r="LJC349" s="16" t="s">
        <v>4867</v>
      </c>
      <c r="LJD349" s="16" t="s">
        <v>4867</v>
      </c>
      <c r="LJE349" s="16" t="s">
        <v>4867</v>
      </c>
      <c r="LJF349" s="16" t="s">
        <v>4867</v>
      </c>
      <c r="LJG349" s="16" t="s">
        <v>4867</v>
      </c>
      <c r="LJH349" s="16" t="s">
        <v>4867</v>
      </c>
      <c r="LJI349" s="16" t="s">
        <v>4867</v>
      </c>
      <c r="LJJ349" s="16" t="s">
        <v>4867</v>
      </c>
      <c r="LJK349" s="16" t="s">
        <v>4867</v>
      </c>
      <c r="LJL349" s="16" t="s">
        <v>4867</v>
      </c>
      <c r="LJM349" s="16" t="s">
        <v>4867</v>
      </c>
      <c r="LJN349" s="16" t="s">
        <v>4867</v>
      </c>
      <c r="LJO349" s="16" t="s">
        <v>4867</v>
      </c>
      <c r="LJP349" s="16" t="s">
        <v>4867</v>
      </c>
      <c r="LJQ349" s="16" t="s">
        <v>4867</v>
      </c>
      <c r="LJR349" s="16" t="s">
        <v>4867</v>
      </c>
      <c r="LJS349" s="16" t="s">
        <v>4867</v>
      </c>
      <c r="LJT349" s="16" t="s">
        <v>4867</v>
      </c>
      <c r="LJU349" s="16" t="s">
        <v>4867</v>
      </c>
      <c r="LJV349" s="16" t="s">
        <v>4867</v>
      </c>
      <c r="LJW349" s="16" t="s">
        <v>4867</v>
      </c>
      <c r="LJX349" s="16" t="s">
        <v>4867</v>
      </c>
      <c r="LJY349" s="16" t="s">
        <v>4867</v>
      </c>
      <c r="LJZ349" s="16" t="s">
        <v>4867</v>
      </c>
      <c r="LKA349" s="16" t="s">
        <v>4867</v>
      </c>
      <c r="LKB349" s="16" t="s">
        <v>4867</v>
      </c>
      <c r="LKC349" s="16" t="s">
        <v>4867</v>
      </c>
      <c r="LKD349" s="16" t="s">
        <v>4867</v>
      </c>
      <c r="LKE349" s="16" t="s">
        <v>4867</v>
      </c>
      <c r="LKF349" s="16" t="s">
        <v>4867</v>
      </c>
      <c r="LKG349" s="16" t="s">
        <v>4867</v>
      </c>
      <c r="LKH349" s="16" t="s">
        <v>4867</v>
      </c>
      <c r="LKI349" s="16" t="s">
        <v>4867</v>
      </c>
      <c r="LKJ349" s="16" t="s">
        <v>4867</v>
      </c>
      <c r="LKK349" s="16" t="s">
        <v>4867</v>
      </c>
      <c r="LKL349" s="16" t="s">
        <v>4867</v>
      </c>
      <c r="LKM349" s="16" t="s">
        <v>4867</v>
      </c>
      <c r="LKN349" s="16" t="s">
        <v>4867</v>
      </c>
      <c r="LKO349" s="16" t="s">
        <v>4867</v>
      </c>
      <c r="LKP349" s="16" t="s">
        <v>4867</v>
      </c>
      <c r="LKQ349" s="16" t="s">
        <v>4867</v>
      </c>
      <c r="LKR349" s="16" t="s">
        <v>4867</v>
      </c>
      <c r="LKS349" s="16" t="s">
        <v>4867</v>
      </c>
      <c r="LKT349" s="16" t="s">
        <v>4867</v>
      </c>
      <c r="LKU349" s="16" t="s">
        <v>4867</v>
      </c>
      <c r="LKV349" s="16" t="s">
        <v>4867</v>
      </c>
      <c r="LKW349" s="16" t="s">
        <v>4867</v>
      </c>
      <c r="LKX349" s="16" t="s">
        <v>4867</v>
      </c>
      <c r="LKY349" s="16" t="s">
        <v>4867</v>
      </c>
      <c r="LKZ349" s="16" t="s">
        <v>4867</v>
      </c>
      <c r="LLA349" s="16" t="s">
        <v>4867</v>
      </c>
      <c r="LLB349" s="16" t="s">
        <v>4867</v>
      </c>
      <c r="LLC349" s="16" t="s">
        <v>4867</v>
      </c>
      <c r="LLD349" s="16" t="s">
        <v>4867</v>
      </c>
      <c r="LLE349" s="16" t="s">
        <v>4867</v>
      </c>
      <c r="LLF349" s="16" t="s">
        <v>4867</v>
      </c>
      <c r="LLG349" s="16" t="s">
        <v>4867</v>
      </c>
      <c r="LLH349" s="16" t="s">
        <v>4867</v>
      </c>
      <c r="LLI349" s="16" t="s">
        <v>4867</v>
      </c>
      <c r="LLJ349" s="16" t="s">
        <v>4867</v>
      </c>
      <c r="LLK349" s="16" t="s">
        <v>4867</v>
      </c>
      <c r="LLL349" s="16" t="s">
        <v>4867</v>
      </c>
      <c r="LLM349" s="16" t="s">
        <v>4867</v>
      </c>
      <c r="LLN349" s="16" t="s">
        <v>4867</v>
      </c>
      <c r="LLO349" s="16" t="s">
        <v>4867</v>
      </c>
      <c r="LLP349" s="16" t="s">
        <v>4867</v>
      </c>
      <c r="LLQ349" s="16" t="s">
        <v>4867</v>
      </c>
      <c r="LLR349" s="16" t="s">
        <v>4867</v>
      </c>
      <c r="LLS349" s="16" t="s">
        <v>4867</v>
      </c>
      <c r="LLT349" s="16" t="s">
        <v>4867</v>
      </c>
      <c r="LLU349" s="16" t="s">
        <v>4867</v>
      </c>
      <c r="LLV349" s="16" t="s">
        <v>4867</v>
      </c>
      <c r="LLW349" s="16" t="s">
        <v>4867</v>
      </c>
      <c r="LLX349" s="16" t="s">
        <v>4867</v>
      </c>
      <c r="LLY349" s="16" t="s">
        <v>4867</v>
      </c>
      <c r="LLZ349" s="16" t="s">
        <v>4867</v>
      </c>
      <c r="LMA349" s="16" t="s">
        <v>4867</v>
      </c>
      <c r="LMB349" s="16" t="s">
        <v>4867</v>
      </c>
      <c r="LMC349" s="16" t="s">
        <v>4867</v>
      </c>
      <c r="LMD349" s="16" t="s">
        <v>4867</v>
      </c>
      <c r="LME349" s="16" t="s">
        <v>4867</v>
      </c>
      <c r="LMF349" s="16" t="s">
        <v>4867</v>
      </c>
      <c r="LMG349" s="16" t="s">
        <v>4867</v>
      </c>
      <c r="LMH349" s="16" t="s">
        <v>4867</v>
      </c>
      <c r="LMI349" s="16" t="s">
        <v>4867</v>
      </c>
      <c r="LMJ349" s="16" t="s">
        <v>4867</v>
      </c>
      <c r="LMK349" s="16" t="s">
        <v>4867</v>
      </c>
      <c r="LML349" s="16" t="s">
        <v>4867</v>
      </c>
      <c r="LMM349" s="16" t="s">
        <v>4867</v>
      </c>
      <c r="LMN349" s="16" t="s">
        <v>4867</v>
      </c>
      <c r="LMO349" s="16" t="s">
        <v>4867</v>
      </c>
      <c r="LMP349" s="16" t="s">
        <v>4867</v>
      </c>
      <c r="LMQ349" s="16" t="s">
        <v>4867</v>
      </c>
      <c r="LMR349" s="16" t="s">
        <v>4867</v>
      </c>
      <c r="LMS349" s="16" t="s">
        <v>4867</v>
      </c>
      <c r="LMT349" s="16" t="s">
        <v>4867</v>
      </c>
      <c r="LMU349" s="16" t="s">
        <v>4867</v>
      </c>
      <c r="LMV349" s="16" t="s">
        <v>4867</v>
      </c>
      <c r="LMW349" s="16" t="s">
        <v>4867</v>
      </c>
      <c r="LMX349" s="16" t="s">
        <v>4867</v>
      </c>
      <c r="LMY349" s="16" t="s">
        <v>4867</v>
      </c>
      <c r="LMZ349" s="16" t="s">
        <v>4867</v>
      </c>
      <c r="LNA349" s="16" t="s">
        <v>4867</v>
      </c>
      <c r="LNB349" s="16" t="s">
        <v>4867</v>
      </c>
      <c r="LNC349" s="16" t="s">
        <v>4867</v>
      </c>
      <c r="LND349" s="16" t="s">
        <v>4867</v>
      </c>
      <c r="LNE349" s="16" t="s">
        <v>4867</v>
      </c>
      <c r="LNF349" s="16" t="s">
        <v>4867</v>
      </c>
      <c r="LNG349" s="16" t="s">
        <v>4867</v>
      </c>
      <c r="LNH349" s="16" t="s">
        <v>4867</v>
      </c>
      <c r="LNI349" s="16" t="s">
        <v>4867</v>
      </c>
      <c r="LNJ349" s="16" t="s">
        <v>4867</v>
      </c>
      <c r="LNK349" s="16" t="s">
        <v>4867</v>
      </c>
      <c r="LNL349" s="16" t="s">
        <v>4867</v>
      </c>
      <c r="LNM349" s="16" t="s">
        <v>4867</v>
      </c>
      <c r="LNN349" s="16" t="s">
        <v>4867</v>
      </c>
      <c r="LNO349" s="16" t="s">
        <v>4867</v>
      </c>
      <c r="LNP349" s="16" t="s">
        <v>4867</v>
      </c>
      <c r="LNQ349" s="16" t="s">
        <v>4867</v>
      </c>
      <c r="LNR349" s="16" t="s">
        <v>4867</v>
      </c>
      <c r="LNS349" s="16" t="s">
        <v>4867</v>
      </c>
      <c r="LNT349" s="16" t="s">
        <v>4867</v>
      </c>
      <c r="LNU349" s="16" t="s">
        <v>4867</v>
      </c>
      <c r="LNV349" s="16" t="s">
        <v>4867</v>
      </c>
      <c r="LNW349" s="16" t="s">
        <v>4867</v>
      </c>
      <c r="LNX349" s="16" t="s">
        <v>4867</v>
      </c>
      <c r="LNY349" s="16" t="s">
        <v>4867</v>
      </c>
      <c r="LNZ349" s="16" t="s">
        <v>4867</v>
      </c>
      <c r="LOA349" s="16" t="s">
        <v>4867</v>
      </c>
      <c r="LOB349" s="16" t="s">
        <v>4867</v>
      </c>
      <c r="LOC349" s="16" t="s">
        <v>4867</v>
      </c>
      <c r="LOD349" s="16" t="s">
        <v>4867</v>
      </c>
      <c r="LOE349" s="16" t="s">
        <v>4867</v>
      </c>
      <c r="LOF349" s="16" t="s">
        <v>4867</v>
      </c>
      <c r="LOG349" s="16" t="s">
        <v>4867</v>
      </c>
      <c r="LOH349" s="16" t="s">
        <v>4867</v>
      </c>
      <c r="LOI349" s="16" t="s">
        <v>4867</v>
      </c>
      <c r="LOJ349" s="16" t="s">
        <v>4867</v>
      </c>
      <c r="LOK349" s="16" t="s">
        <v>4867</v>
      </c>
      <c r="LOL349" s="16" t="s">
        <v>4867</v>
      </c>
      <c r="LOM349" s="16" t="s">
        <v>4867</v>
      </c>
      <c r="LON349" s="16" t="s">
        <v>4867</v>
      </c>
      <c r="LOO349" s="16" t="s">
        <v>4867</v>
      </c>
      <c r="LOP349" s="16" t="s">
        <v>4867</v>
      </c>
      <c r="LOQ349" s="16" t="s">
        <v>4867</v>
      </c>
      <c r="LOR349" s="16" t="s">
        <v>4867</v>
      </c>
      <c r="LOS349" s="16" t="s">
        <v>4867</v>
      </c>
      <c r="LOT349" s="16" t="s">
        <v>4867</v>
      </c>
      <c r="LOU349" s="16" t="s">
        <v>4867</v>
      </c>
      <c r="LOV349" s="16" t="s">
        <v>4867</v>
      </c>
      <c r="LOW349" s="16" t="s">
        <v>4867</v>
      </c>
      <c r="LOX349" s="16" t="s">
        <v>4867</v>
      </c>
      <c r="LOY349" s="16" t="s">
        <v>4867</v>
      </c>
      <c r="LOZ349" s="16" t="s">
        <v>4867</v>
      </c>
      <c r="LPA349" s="16" t="s">
        <v>4867</v>
      </c>
      <c r="LPB349" s="16" t="s">
        <v>4867</v>
      </c>
      <c r="LPC349" s="16" t="s">
        <v>4867</v>
      </c>
      <c r="LPD349" s="16" t="s">
        <v>4867</v>
      </c>
      <c r="LPE349" s="16" t="s">
        <v>4867</v>
      </c>
      <c r="LPF349" s="16" t="s">
        <v>4867</v>
      </c>
      <c r="LPG349" s="16" t="s">
        <v>4867</v>
      </c>
      <c r="LPH349" s="16" t="s">
        <v>4867</v>
      </c>
      <c r="LPI349" s="16" t="s">
        <v>4867</v>
      </c>
      <c r="LPJ349" s="16" t="s">
        <v>4867</v>
      </c>
      <c r="LPK349" s="16" t="s">
        <v>4867</v>
      </c>
      <c r="LPL349" s="16" t="s">
        <v>4867</v>
      </c>
      <c r="LPM349" s="16" t="s">
        <v>4867</v>
      </c>
      <c r="LPN349" s="16" t="s">
        <v>4867</v>
      </c>
      <c r="LPO349" s="16" t="s">
        <v>4867</v>
      </c>
      <c r="LPP349" s="16" t="s">
        <v>4867</v>
      </c>
      <c r="LPQ349" s="16" t="s">
        <v>4867</v>
      </c>
      <c r="LPR349" s="16" t="s">
        <v>4867</v>
      </c>
      <c r="LPS349" s="16" t="s">
        <v>4867</v>
      </c>
      <c r="LPT349" s="16" t="s">
        <v>4867</v>
      </c>
      <c r="LPU349" s="16" t="s">
        <v>4867</v>
      </c>
      <c r="LPV349" s="16" t="s">
        <v>4867</v>
      </c>
      <c r="LPW349" s="16" t="s">
        <v>4867</v>
      </c>
      <c r="LPX349" s="16" t="s">
        <v>4867</v>
      </c>
      <c r="LPY349" s="16" t="s">
        <v>4867</v>
      </c>
      <c r="LPZ349" s="16" t="s">
        <v>4867</v>
      </c>
      <c r="LQA349" s="16" t="s">
        <v>4867</v>
      </c>
      <c r="LQB349" s="16" t="s">
        <v>4867</v>
      </c>
      <c r="LQC349" s="16" t="s">
        <v>4867</v>
      </c>
      <c r="LQD349" s="16" t="s">
        <v>4867</v>
      </c>
      <c r="LQE349" s="16" t="s">
        <v>4867</v>
      </c>
      <c r="LQF349" s="16" t="s">
        <v>4867</v>
      </c>
      <c r="LQG349" s="16" t="s">
        <v>4867</v>
      </c>
      <c r="LQH349" s="16" t="s">
        <v>4867</v>
      </c>
      <c r="LQI349" s="16" t="s">
        <v>4867</v>
      </c>
      <c r="LQJ349" s="16" t="s">
        <v>4867</v>
      </c>
      <c r="LQK349" s="16" t="s">
        <v>4867</v>
      </c>
      <c r="LQL349" s="16" t="s">
        <v>4867</v>
      </c>
      <c r="LQM349" s="16" t="s">
        <v>4867</v>
      </c>
      <c r="LQN349" s="16" t="s">
        <v>4867</v>
      </c>
      <c r="LQO349" s="16" t="s">
        <v>4867</v>
      </c>
      <c r="LQP349" s="16" t="s">
        <v>4867</v>
      </c>
      <c r="LQQ349" s="16" t="s">
        <v>4867</v>
      </c>
      <c r="LQR349" s="16" t="s">
        <v>4867</v>
      </c>
      <c r="LQS349" s="16" t="s">
        <v>4867</v>
      </c>
      <c r="LQT349" s="16" t="s">
        <v>4867</v>
      </c>
      <c r="LQU349" s="16" t="s">
        <v>4867</v>
      </c>
      <c r="LQV349" s="16" t="s">
        <v>4867</v>
      </c>
      <c r="LQW349" s="16" t="s">
        <v>4867</v>
      </c>
      <c r="LQX349" s="16" t="s">
        <v>4867</v>
      </c>
      <c r="LQY349" s="16" t="s">
        <v>4867</v>
      </c>
      <c r="LQZ349" s="16" t="s">
        <v>4867</v>
      </c>
      <c r="LRA349" s="16" t="s">
        <v>4867</v>
      </c>
      <c r="LRB349" s="16" t="s">
        <v>4867</v>
      </c>
      <c r="LRC349" s="16" t="s">
        <v>4867</v>
      </c>
      <c r="LRD349" s="16" t="s">
        <v>4867</v>
      </c>
      <c r="LRE349" s="16" t="s">
        <v>4867</v>
      </c>
      <c r="LRF349" s="16" t="s">
        <v>4867</v>
      </c>
      <c r="LRG349" s="16" t="s">
        <v>4867</v>
      </c>
      <c r="LRH349" s="16" t="s">
        <v>4867</v>
      </c>
      <c r="LRI349" s="16" t="s">
        <v>4867</v>
      </c>
      <c r="LRJ349" s="16" t="s">
        <v>4867</v>
      </c>
      <c r="LRK349" s="16" t="s">
        <v>4867</v>
      </c>
      <c r="LRL349" s="16" t="s">
        <v>4867</v>
      </c>
      <c r="LRM349" s="16" t="s">
        <v>4867</v>
      </c>
      <c r="LRN349" s="16" t="s">
        <v>4867</v>
      </c>
      <c r="LRO349" s="16" t="s">
        <v>4867</v>
      </c>
      <c r="LRP349" s="16" t="s">
        <v>4867</v>
      </c>
      <c r="LRQ349" s="16" t="s">
        <v>4867</v>
      </c>
      <c r="LRR349" s="16" t="s">
        <v>4867</v>
      </c>
      <c r="LRS349" s="16" t="s">
        <v>4867</v>
      </c>
      <c r="LRT349" s="16" t="s">
        <v>4867</v>
      </c>
      <c r="LRU349" s="16" t="s">
        <v>4867</v>
      </c>
      <c r="LRV349" s="16" t="s">
        <v>4867</v>
      </c>
      <c r="LRW349" s="16" t="s">
        <v>4867</v>
      </c>
      <c r="LRX349" s="16" t="s">
        <v>4867</v>
      </c>
      <c r="LRY349" s="16" t="s">
        <v>4867</v>
      </c>
      <c r="LRZ349" s="16" t="s">
        <v>4867</v>
      </c>
      <c r="LSA349" s="16" t="s">
        <v>4867</v>
      </c>
      <c r="LSB349" s="16" t="s">
        <v>4867</v>
      </c>
      <c r="LSC349" s="16" t="s">
        <v>4867</v>
      </c>
      <c r="LSD349" s="16" t="s">
        <v>4867</v>
      </c>
      <c r="LSE349" s="16" t="s">
        <v>4867</v>
      </c>
      <c r="LSF349" s="16" t="s">
        <v>4867</v>
      </c>
      <c r="LSG349" s="16" t="s">
        <v>4867</v>
      </c>
      <c r="LSH349" s="16" t="s">
        <v>4867</v>
      </c>
      <c r="LSI349" s="16" t="s">
        <v>4867</v>
      </c>
      <c r="LSJ349" s="16" t="s">
        <v>4867</v>
      </c>
      <c r="LSK349" s="16" t="s">
        <v>4867</v>
      </c>
      <c r="LSL349" s="16" t="s">
        <v>4867</v>
      </c>
      <c r="LSM349" s="16" t="s">
        <v>4867</v>
      </c>
      <c r="LSN349" s="16" t="s">
        <v>4867</v>
      </c>
      <c r="LSO349" s="16" t="s">
        <v>4867</v>
      </c>
      <c r="LSP349" s="16" t="s">
        <v>4867</v>
      </c>
      <c r="LSQ349" s="16" t="s">
        <v>4867</v>
      </c>
      <c r="LSR349" s="16" t="s">
        <v>4867</v>
      </c>
      <c r="LSS349" s="16" t="s">
        <v>4867</v>
      </c>
      <c r="LST349" s="16" t="s">
        <v>4867</v>
      </c>
      <c r="LSU349" s="16" t="s">
        <v>4867</v>
      </c>
      <c r="LSV349" s="16" t="s">
        <v>4867</v>
      </c>
      <c r="LSW349" s="16" t="s">
        <v>4867</v>
      </c>
      <c r="LSX349" s="16" t="s">
        <v>4867</v>
      </c>
      <c r="LSY349" s="16" t="s">
        <v>4867</v>
      </c>
      <c r="LSZ349" s="16" t="s">
        <v>4867</v>
      </c>
      <c r="LTA349" s="16" t="s">
        <v>4867</v>
      </c>
      <c r="LTB349" s="16" t="s">
        <v>4867</v>
      </c>
      <c r="LTC349" s="16" t="s">
        <v>4867</v>
      </c>
      <c r="LTD349" s="16" t="s">
        <v>4867</v>
      </c>
      <c r="LTE349" s="16" t="s">
        <v>4867</v>
      </c>
      <c r="LTF349" s="16" t="s">
        <v>4867</v>
      </c>
      <c r="LTG349" s="16" t="s">
        <v>4867</v>
      </c>
      <c r="LTH349" s="16" t="s">
        <v>4867</v>
      </c>
      <c r="LTI349" s="16" t="s">
        <v>4867</v>
      </c>
      <c r="LTJ349" s="16" t="s">
        <v>4867</v>
      </c>
      <c r="LTK349" s="16" t="s">
        <v>4867</v>
      </c>
      <c r="LTL349" s="16" t="s">
        <v>4867</v>
      </c>
      <c r="LTM349" s="16" t="s">
        <v>4867</v>
      </c>
      <c r="LTN349" s="16" t="s">
        <v>4867</v>
      </c>
      <c r="LTO349" s="16" t="s">
        <v>4867</v>
      </c>
      <c r="LTP349" s="16" t="s">
        <v>4867</v>
      </c>
      <c r="LTQ349" s="16" t="s">
        <v>4867</v>
      </c>
      <c r="LTR349" s="16" t="s">
        <v>4867</v>
      </c>
      <c r="LTS349" s="16" t="s">
        <v>4867</v>
      </c>
      <c r="LTT349" s="16" t="s">
        <v>4867</v>
      </c>
      <c r="LTU349" s="16" t="s">
        <v>4867</v>
      </c>
      <c r="LTV349" s="16" t="s">
        <v>4867</v>
      </c>
      <c r="LTW349" s="16" t="s">
        <v>4867</v>
      </c>
      <c r="LTX349" s="16" t="s">
        <v>4867</v>
      </c>
      <c r="LTY349" s="16" t="s">
        <v>4867</v>
      </c>
      <c r="LTZ349" s="16" t="s">
        <v>4867</v>
      </c>
      <c r="LUA349" s="16" t="s">
        <v>4867</v>
      </c>
      <c r="LUB349" s="16" t="s">
        <v>4867</v>
      </c>
      <c r="LUC349" s="16" t="s">
        <v>4867</v>
      </c>
      <c r="LUD349" s="16" t="s">
        <v>4867</v>
      </c>
      <c r="LUE349" s="16" t="s">
        <v>4867</v>
      </c>
      <c r="LUF349" s="16" t="s">
        <v>4867</v>
      </c>
      <c r="LUG349" s="16" t="s">
        <v>4867</v>
      </c>
      <c r="LUH349" s="16" t="s">
        <v>4867</v>
      </c>
      <c r="LUI349" s="16" t="s">
        <v>4867</v>
      </c>
      <c r="LUJ349" s="16" t="s">
        <v>4867</v>
      </c>
      <c r="LUK349" s="16" t="s">
        <v>4867</v>
      </c>
      <c r="LUL349" s="16" t="s">
        <v>4867</v>
      </c>
      <c r="LUM349" s="16" t="s">
        <v>4867</v>
      </c>
      <c r="LUN349" s="16" t="s">
        <v>4867</v>
      </c>
      <c r="LUO349" s="16" t="s">
        <v>4867</v>
      </c>
      <c r="LUP349" s="16" t="s">
        <v>4867</v>
      </c>
      <c r="LUQ349" s="16" t="s">
        <v>4867</v>
      </c>
      <c r="LUR349" s="16" t="s">
        <v>4867</v>
      </c>
      <c r="LUS349" s="16" t="s">
        <v>4867</v>
      </c>
      <c r="LUT349" s="16" t="s">
        <v>4867</v>
      </c>
      <c r="LUU349" s="16" t="s">
        <v>4867</v>
      </c>
      <c r="LUV349" s="16" t="s">
        <v>4867</v>
      </c>
      <c r="LUW349" s="16" t="s">
        <v>4867</v>
      </c>
      <c r="LUX349" s="16" t="s">
        <v>4867</v>
      </c>
      <c r="LUY349" s="16" t="s">
        <v>4867</v>
      </c>
      <c r="LUZ349" s="16" t="s">
        <v>4867</v>
      </c>
      <c r="LVA349" s="16" t="s">
        <v>4867</v>
      </c>
      <c r="LVB349" s="16" t="s">
        <v>4867</v>
      </c>
      <c r="LVC349" s="16" t="s">
        <v>4867</v>
      </c>
      <c r="LVD349" s="16" t="s">
        <v>4867</v>
      </c>
      <c r="LVE349" s="16" t="s">
        <v>4867</v>
      </c>
      <c r="LVF349" s="16" t="s">
        <v>4867</v>
      </c>
      <c r="LVG349" s="16" t="s">
        <v>4867</v>
      </c>
      <c r="LVH349" s="16" t="s">
        <v>4867</v>
      </c>
      <c r="LVI349" s="16" t="s">
        <v>4867</v>
      </c>
      <c r="LVJ349" s="16" t="s">
        <v>4867</v>
      </c>
      <c r="LVK349" s="16" t="s">
        <v>4867</v>
      </c>
      <c r="LVL349" s="16" t="s">
        <v>4867</v>
      </c>
      <c r="LVM349" s="16" t="s">
        <v>4867</v>
      </c>
      <c r="LVN349" s="16" t="s">
        <v>4867</v>
      </c>
      <c r="LVO349" s="16" t="s">
        <v>4867</v>
      </c>
      <c r="LVP349" s="16" t="s">
        <v>4867</v>
      </c>
      <c r="LVQ349" s="16" t="s">
        <v>4867</v>
      </c>
      <c r="LVR349" s="16" t="s">
        <v>4867</v>
      </c>
      <c r="LVS349" s="16" t="s">
        <v>4867</v>
      </c>
      <c r="LVT349" s="16" t="s">
        <v>4867</v>
      </c>
      <c r="LVU349" s="16" t="s">
        <v>4867</v>
      </c>
      <c r="LVV349" s="16" t="s">
        <v>4867</v>
      </c>
      <c r="LVW349" s="16" t="s">
        <v>4867</v>
      </c>
      <c r="LVX349" s="16" t="s">
        <v>4867</v>
      </c>
      <c r="LVY349" s="16" t="s">
        <v>4867</v>
      </c>
      <c r="LVZ349" s="16" t="s">
        <v>4867</v>
      </c>
      <c r="LWA349" s="16" t="s">
        <v>4867</v>
      </c>
      <c r="LWB349" s="16" t="s">
        <v>4867</v>
      </c>
      <c r="LWC349" s="16" t="s">
        <v>4867</v>
      </c>
      <c r="LWD349" s="16" t="s">
        <v>4867</v>
      </c>
      <c r="LWE349" s="16" t="s">
        <v>4867</v>
      </c>
      <c r="LWF349" s="16" t="s">
        <v>4867</v>
      </c>
      <c r="LWG349" s="16" t="s">
        <v>4867</v>
      </c>
      <c r="LWH349" s="16" t="s">
        <v>4867</v>
      </c>
      <c r="LWI349" s="16" t="s">
        <v>4867</v>
      </c>
      <c r="LWJ349" s="16" t="s">
        <v>4867</v>
      </c>
      <c r="LWK349" s="16" t="s">
        <v>4867</v>
      </c>
      <c r="LWL349" s="16" t="s">
        <v>4867</v>
      </c>
      <c r="LWM349" s="16" t="s">
        <v>4867</v>
      </c>
      <c r="LWN349" s="16" t="s">
        <v>4867</v>
      </c>
      <c r="LWO349" s="16" t="s">
        <v>4867</v>
      </c>
      <c r="LWP349" s="16" t="s">
        <v>4867</v>
      </c>
      <c r="LWQ349" s="16" t="s">
        <v>4867</v>
      </c>
      <c r="LWR349" s="16" t="s">
        <v>4867</v>
      </c>
      <c r="LWS349" s="16" t="s">
        <v>4867</v>
      </c>
      <c r="LWT349" s="16" t="s">
        <v>4867</v>
      </c>
      <c r="LWU349" s="16" t="s">
        <v>4867</v>
      </c>
      <c r="LWV349" s="16" t="s">
        <v>4867</v>
      </c>
      <c r="LWW349" s="16" t="s">
        <v>4867</v>
      </c>
      <c r="LWX349" s="16" t="s">
        <v>4867</v>
      </c>
      <c r="LWY349" s="16" t="s">
        <v>4867</v>
      </c>
      <c r="LWZ349" s="16" t="s">
        <v>4867</v>
      </c>
      <c r="LXA349" s="16" t="s">
        <v>4867</v>
      </c>
      <c r="LXB349" s="16" t="s">
        <v>4867</v>
      </c>
      <c r="LXC349" s="16" t="s">
        <v>4867</v>
      </c>
      <c r="LXD349" s="16" t="s">
        <v>4867</v>
      </c>
      <c r="LXE349" s="16" t="s">
        <v>4867</v>
      </c>
      <c r="LXF349" s="16" t="s">
        <v>4867</v>
      </c>
      <c r="LXG349" s="16" t="s">
        <v>4867</v>
      </c>
      <c r="LXH349" s="16" t="s">
        <v>4867</v>
      </c>
      <c r="LXI349" s="16" t="s">
        <v>4867</v>
      </c>
      <c r="LXJ349" s="16" t="s">
        <v>4867</v>
      </c>
      <c r="LXK349" s="16" t="s">
        <v>4867</v>
      </c>
      <c r="LXL349" s="16" t="s">
        <v>4867</v>
      </c>
      <c r="LXM349" s="16" t="s">
        <v>4867</v>
      </c>
      <c r="LXN349" s="16" t="s">
        <v>4867</v>
      </c>
      <c r="LXO349" s="16" t="s">
        <v>4867</v>
      </c>
      <c r="LXP349" s="16" t="s">
        <v>4867</v>
      </c>
      <c r="LXQ349" s="16" t="s">
        <v>4867</v>
      </c>
      <c r="LXR349" s="16" t="s">
        <v>4867</v>
      </c>
      <c r="LXS349" s="16" t="s">
        <v>4867</v>
      </c>
      <c r="LXT349" s="16" t="s">
        <v>4867</v>
      </c>
      <c r="LXU349" s="16" t="s">
        <v>4867</v>
      </c>
      <c r="LXV349" s="16" t="s">
        <v>4867</v>
      </c>
      <c r="LXW349" s="16" t="s">
        <v>4867</v>
      </c>
      <c r="LXX349" s="16" t="s">
        <v>4867</v>
      </c>
      <c r="LXY349" s="16" t="s">
        <v>4867</v>
      </c>
      <c r="LXZ349" s="16" t="s">
        <v>4867</v>
      </c>
      <c r="LYA349" s="16" t="s">
        <v>4867</v>
      </c>
      <c r="LYB349" s="16" t="s">
        <v>4867</v>
      </c>
      <c r="LYC349" s="16" t="s">
        <v>4867</v>
      </c>
      <c r="LYD349" s="16" t="s">
        <v>4867</v>
      </c>
      <c r="LYE349" s="16" t="s">
        <v>4867</v>
      </c>
      <c r="LYF349" s="16" t="s">
        <v>4867</v>
      </c>
      <c r="LYG349" s="16" t="s">
        <v>4867</v>
      </c>
      <c r="LYH349" s="16" t="s">
        <v>4867</v>
      </c>
      <c r="LYI349" s="16" t="s">
        <v>4867</v>
      </c>
      <c r="LYJ349" s="16" t="s">
        <v>4867</v>
      </c>
      <c r="LYK349" s="16" t="s">
        <v>4867</v>
      </c>
      <c r="LYL349" s="16" t="s">
        <v>4867</v>
      </c>
      <c r="LYM349" s="16" t="s">
        <v>4867</v>
      </c>
      <c r="LYN349" s="16" t="s">
        <v>4867</v>
      </c>
      <c r="LYO349" s="16" t="s">
        <v>4867</v>
      </c>
      <c r="LYP349" s="16" t="s">
        <v>4867</v>
      </c>
      <c r="LYQ349" s="16" t="s">
        <v>4867</v>
      </c>
      <c r="LYR349" s="16" t="s">
        <v>4867</v>
      </c>
      <c r="LYS349" s="16" t="s">
        <v>4867</v>
      </c>
      <c r="LYT349" s="16" t="s">
        <v>4867</v>
      </c>
      <c r="LYU349" s="16" t="s">
        <v>4867</v>
      </c>
      <c r="LYV349" s="16" t="s">
        <v>4867</v>
      </c>
      <c r="LYW349" s="16" t="s">
        <v>4867</v>
      </c>
      <c r="LYX349" s="16" t="s">
        <v>4867</v>
      </c>
      <c r="LYY349" s="16" t="s">
        <v>4867</v>
      </c>
      <c r="LYZ349" s="16" t="s">
        <v>4867</v>
      </c>
      <c r="LZA349" s="16" t="s">
        <v>4867</v>
      </c>
      <c r="LZB349" s="16" t="s">
        <v>4867</v>
      </c>
      <c r="LZC349" s="16" t="s">
        <v>4867</v>
      </c>
      <c r="LZD349" s="16" t="s">
        <v>4867</v>
      </c>
      <c r="LZE349" s="16" t="s">
        <v>4867</v>
      </c>
      <c r="LZF349" s="16" t="s">
        <v>4867</v>
      </c>
      <c r="LZG349" s="16" t="s">
        <v>4867</v>
      </c>
      <c r="LZH349" s="16" t="s">
        <v>4867</v>
      </c>
      <c r="LZI349" s="16" t="s">
        <v>4867</v>
      </c>
      <c r="LZJ349" s="16" t="s">
        <v>4867</v>
      </c>
      <c r="LZK349" s="16" t="s">
        <v>4867</v>
      </c>
      <c r="LZL349" s="16" t="s">
        <v>4867</v>
      </c>
      <c r="LZM349" s="16" t="s">
        <v>4867</v>
      </c>
      <c r="LZN349" s="16" t="s">
        <v>4867</v>
      </c>
      <c r="LZO349" s="16" t="s">
        <v>4867</v>
      </c>
      <c r="LZP349" s="16" t="s">
        <v>4867</v>
      </c>
      <c r="LZQ349" s="16" t="s">
        <v>4867</v>
      </c>
      <c r="LZR349" s="16" t="s">
        <v>4867</v>
      </c>
      <c r="LZS349" s="16" t="s">
        <v>4867</v>
      </c>
      <c r="LZT349" s="16" t="s">
        <v>4867</v>
      </c>
      <c r="LZU349" s="16" t="s">
        <v>4867</v>
      </c>
      <c r="LZV349" s="16" t="s">
        <v>4867</v>
      </c>
      <c r="LZW349" s="16" t="s">
        <v>4867</v>
      </c>
      <c r="LZX349" s="16" t="s">
        <v>4867</v>
      </c>
      <c r="LZY349" s="16" t="s">
        <v>4867</v>
      </c>
      <c r="LZZ349" s="16" t="s">
        <v>4867</v>
      </c>
      <c r="MAA349" s="16" t="s">
        <v>4867</v>
      </c>
      <c r="MAB349" s="16" t="s">
        <v>4867</v>
      </c>
      <c r="MAC349" s="16" t="s">
        <v>4867</v>
      </c>
      <c r="MAD349" s="16" t="s">
        <v>4867</v>
      </c>
      <c r="MAE349" s="16" t="s">
        <v>4867</v>
      </c>
      <c r="MAF349" s="16" t="s">
        <v>4867</v>
      </c>
      <c r="MAG349" s="16" t="s">
        <v>4867</v>
      </c>
      <c r="MAH349" s="16" t="s">
        <v>4867</v>
      </c>
      <c r="MAI349" s="16" t="s">
        <v>4867</v>
      </c>
      <c r="MAJ349" s="16" t="s">
        <v>4867</v>
      </c>
      <c r="MAK349" s="16" t="s">
        <v>4867</v>
      </c>
      <c r="MAL349" s="16" t="s">
        <v>4867</v>
      </c>
      <c r="MAM349" s="16" t="s">
        <v>4867</v>
      </c>
      <c r="MAN349" s="16" t="s">
        <v>4867</v>
      </c>
      <c r="MAO349" s="16" t="s">
        <v>4867</v>
      </c>
      <c r="MAP349" s="16" t="s">
        <v>4867</v>
      </c>
      <c r="MAQ349" s="16" t="s">
        <v>4867</v>
      </c>
      <c r="MAR349" s="16" t="s">
        <v>4867</v>
      </c>
      <c r="MAS349" s="16" t="s">
        <v>4867</v>
      </c>
      <c r="MAT349" s="16" t="s">
        <v>4867</v>
      </c>
      <c r="MAU349" s="16" t="s">
        <v>4867</v>
      </c>
      <c r="MAV349" s="16" t="s">
        <v>4867</v>
      </c>
      <c r="MAW349" s="16" t="s">
        <v>4867</v>
      </c>
      <c r="MAX349" s="16" t="s">
        <v>4867</v>
      </c>
      <c r="MAY349" s="16" t="s">
        <v>4867</v>
      </c>
      <c r="MAZ349" s="16" t="s">
        <v>4867</v>
      </c>
      <c r="MBA349" s="16" t="s">
        <v>4867</v>
      </c>
      <c r="MBB349" s="16" t="s">
        <v>4867</v>
      </c>
      <c r="MBC349" s="16" t="s">
        <v>4867</v>
      </c>
      <c r="MBD349" s="16" t="s">
        <v>4867</v>
      </c>
      <c r="MBE349" s="16" t="s">
        <v>4867</v>
      </c>
      <c r="MBF349" s="16" t="s">
        <v>4867</v>
      </c>
      <c r="MBG349" s="16" t="s">
        <v>4867</v>
      </c>
      <c r="MBH349" s="16" t="s">
        <v>4867</v>
      </c>
      <c r="MBI349" s="16" t="s">
        <v>4867</v>
      </c>
      <c r="MBJ349" s="16" t="s">
        <v>4867</v>
      </c>
      <c r="MBK349" s="16" t="s">
        <v>4867</v>
      </c>
      <c r="MBL349" s="16" t="s">
        <v>4867</v>
      </c>
      <c r="MBM349" s="16" t="s">
        <v>4867</v>
      </c>
      <c r="MBN349" s="16" t="s">
        <v>4867</v>
      </c>
      <c r="MBO349" s="16" t="s">
        <v>4867</v>
      </c>
      <c r="MBP349" s="16" t="s">
        <v>4867</v>
      </c>
      <c r="MBQ349" s="16" t="s">
        <v>4867</v>
      </c>
      <c r="MBR349" s="16" t="s">
        <v>4867</v>
      </c>
      <c r="MBS349" s="16" t="s">
        <v>4867</v>
      </c>
      <c r="MBT349" s="16" t="s">
        <v>4867</v>
      </c>
      <c r="MBU349" s="16" t="s">
        <v>4867</v>
      </c>
      <c r="MBV349" s="16" t="s">
        <v>4867</v>
      </c>
      <c r="MBW349" s="16" t="s">
        <v>4867</v>
      </c>
      <c r="MBX349" s="16" t="s">
        <v>4867</v>
      </c>
      <c r="MBY349" s="16" t="s">
        <v>4867</v>
      </c>
      <c r="MBZ349" s="16" t="s">
        <v>4867</v>
      </c>
      <c r="MCA349" s="16" t="s">
        <v>4867</v>
      </c>
      <c r="MCB349" s="16" t="s">
        <v>4867</v>
      </c>
      <c r="MCC349" s="16" t="s">
        <v>4867</v>
      </c>
      <c r="MCD349" s="16" t="s">
        <v>4867</v>
      </c>
      <c r="MCE349" s="16" t="s">
        <v>4867</v>
      </c>
      <c r="MCF349" s="16" t="s">
        <v>4867</v>
      </c>
      <c r="MCG349" s="16" t="s">
        <v>4867</v>
      </c>
      <c r="MCH349" s="16" t="s">
        <v>4867</v>
      </c>
      <c r="MCI349" s="16" t="s">
        <v>4867</v>
      </c>
      <c r="MCJ349" s="16" t="s">
        <v>4867</v>
      </c>
      <c r="MCK349" s="16" t="s">
        <v>4867</v>
      </c>
      <c r="MCL349" s="16" t="s">
        <v>4867</v>
      </c>
      <c r="MCM349" s="16" t="s">
        <v>4867</v>
      </c>
      <c r="MCN349" s="16" t="s">
        <v>4867</v>
      </c>
      <c r="MCO349" s="16" t="s">
        <v>4867</v>
      </c>
      <c r="MCP349" s="16" t="s">
        <v>4867</v>
      </c>
      <c r="MCQ349" s="16" t="s">
        <v>4867</v>
      </c>
      <c r="MCR349" s="16" t="s">
        <v>4867</v>
      </c>
      <c r="MCS349" s="16" t="s">
        <v>4867</v>
      </c>
      <c r="MCT349" s="16" t="s">
        <v>4867</v>
      </c>
      <c r="MCU349" s="16" t="s">
        <v>4867</v>
      </c>
      <c r="MCV349" s="16" t="s">
        <v>4867</v>
      </c>
      <c r="MCW349" s="16" t="s">
        <v>4867</v>
      </c>
      <c r="MCX349" s="16" t="s">
        <v>4867</v>
      </c>
      <c r="MCY349" s="16" t="s">
        <v>4867</v>
      </c>
      <c r="MCZ349" s="16" t="s">
        <v>4867</v>
      </c>
      <c r="MDA349" s="16" t="s">
        <v>4867</v>
      </c>
      <c r="MDB349" s="16" t="s">
        <v>4867</v>
      </c>
      <c r="MDC349" s="16" t="s">
        <v>4867</v>
      </c>
      <c r="MDD349" s="16" t="s">
        <v>4867</v>
      </c>
      <c r="MDE349" s="16" t="s">
        <v>4867</v>
      </c>
      <c r="MDF349" s="16" t="s">
        <v>4867</v>
      </c>
      <c r="MDG349" s="16" t="s">
        <v>4867</v>
      </c>
      <c r="MDH349" s="16" t="s">
        <v>4867</v>
      </c>
      <c r="MDI349" s="16" t="s">
        <v>4867</v>
      </c>
      <c r="MDJ349" s="16" t="s">
        <v>4867</v>
      </c>
      <c r="MDK349" s="16" t="s">
        <v>4867</v>
      </c>
      <c r="MDL349" s="16" t="s">
        <v>4867</v>
      </c>
      <c r="MDM349" s="16" t="s">
        <v>4867</v>
      </c>
      <c r="MDN349" s="16" t="s">
        <v>4867</v>
      </c>
      <c r="MDO349" s="16" t="s">
        <v>4867</v>
      </c>
      <c r="MDP349" s="16" t="s">
        <v>4867</v>
      </c>
      <c r="MDQ349" s="16" t="s">
        <v>4867</v>
      </c>
      <c r="MDR349" s="16" t="s">
        <v>4867</v>
      </c>
      <c r="MDS349" s="16" t="s">
        <v>4867</v>
      </c>
      <c r="MDT349" s="16" t="s">
        <v>4867</v>
      </c>
      <c r="MDU349" s="16" t="s">
        <v>4867</v>
      </c>
      <c r="MDV349" s="16" t="s">
        <v>4867</v>
      </c>
      <c r="MDW349" s="16" t="s">
        <v>4867</v>
      </c>
      <c r="MDX349" s="16" t="s">
        <v>4867</v>
      </c>
      <c r="MDY349" s="16" t="s">
        <v>4867</v>
      </c>
      <c r="MDZ349" s="16" t="s">
        <v>4867</v>
      </c>
      <c r="MEA349" s="16" t="s">
        <v>4867</v>
      </c>
      <c r="MEB349" s="16" t="s">
        <v>4867</v>
      </c>
      <c r="MEC349" s="16" t="s">
        <v>4867</v>
      </c>
      <c r="MED349" s="16" t="s">
        <v>4867</v>
      </c>
      <c r="MEE349" s="16" t="s">
        <v>4867</v>
      </c>
      <c r="MEF349" s="16" t="s">
        <v>4867</v>
      </c>
      <c r="MEG349" s="16" t="s">
        <v>4867</v>
      </c>
      <c r="MEH349" s="16" t="s">
        <v>4867</v>
      </c>
      <c r="MEI349" s="16" t="s">
        <v>4867</v>
      </c>
      <c r="MEJ349" s="16" t="s">
        <v>4867</v>
      </c>
      <c r="MEK349" s="16" t="s">
        <v>4867</v>
      </c>
      <c r="MEL349" s="16" t="s">
        <v>4867</v>
      </c>
      <c r="MEM349" s="16" t="s">
        <v>4867</v>
      </c>
      <c r="MEN349" s="16" t="s">
        <v>4867</v>
      </c>
      <c r="MEO349" s="16" t="s">
        <v>4867</v>
      </c>
      <c r="MEP349" s="16" t="s">
        <v>4867</v>
      </c>
      <c r="MEQ349" s="16" t="s">
        <v>4867</v>
      </c>
      <c r="MER349" s="16" t="s">
        <v>4867</v>
      </c>
      <c r="MES349" s="16" t="s">
        <v>4867</v>
      </c>
      <c r="MET349" s="16" t="s">
        <v>4867</v>
      </c>
      <c r="MEU349" s="16" t="s">
        <v>4867</v>
      </c>
      <c r="MEV349" s="16" t="s">
        <v>4867</v>
      </c>
      <c r="MEW349" s="16" t="s">
        <v>4867</v>
      </c>
      <c r="MEX349" s="16" t="s">
        <v>4867</v>
      </c>
      <c r="MEY349" s="16" t="s">
        <v>4867</v>
      </c>
      <c r="MEZ349" s="16" t="s">
        <v>4867</v>
      </c>
      <c r="MFA349" s="16" t="s">
        <v>4867</v>
      </c>
      <c r="MFB349" s="16" t="s">
        <v>4867</v>
      </c>
      <c r="MFC349" s="16" t="s">
        <v>4867</v>
      </c>
      <c r="MFD349" s="16" t="s">
        <v>4867</v>
      </c>
      <c r="MFE349" s="16" t="s">
        <v>4867</v>
      </c>
      <c r="MFF349" s="16" t="s">
        <v>4867</v>
      </c>
      <c r="MFG349" s="16" t="s">
        <v>4867</v>
      </c>
      <c r="MFH349" s="16" t="s">
        <v>4867</v>
      </c>
      <c r="MFI349" s="16" t="s">
        <v>4867</v>
      </c>
      <c r="MFJ349" s="16" t="s">
        <v>4867</v>
      </c>
      <c r="MFK349" s="16" t="s">
        <v>4867</v>
      </c>
      <c r="MFL349" s="16" t="s">
        <v>4867</v>
      </c>
      <c r="MFM349" s="16" t="s">
        <v>4867</v>
      </c>
      <c r="MFN349" s="16" t="s">
        <v>4867</v>
      </c>
      <c r="MFO349" s="16" t="s">
        <v>4867</v>
      </c>
      <c r="MFP349" s="16" t="s">
        <v>4867</v>
      </c>
      <c r="MFQ349" s="16" t="s">
        <v>4867</v>
      </c>
      <c r="MFR349" s="16" t="s">
        <v>4867</v>
      </c>
      <c r="MFS349" s="16" t="s">
        <v>4867</v>
      </c>
      <c r="MFT349" s="16" t="s">
        <v>4867</v>
      </c>
      <c r="MFU349" s="16" t="s">
        <v>4867</v>
      </c>
      <c r="MFV349" s="16" t="s">
        <v>4867</v>
      </c>
      <c r="MFW349" s="16" t="s">
        <v>4867</v>
      </c>
      <c r="MFX349" s="16" t="s">
        <v>4867</v>
      </c>
      <c r="MFY349" s="16" t="s">
        <v>4867</v>
      </c>
      <c r="MFZ349" s="16" t="s">
        <v>4867</v>
      </c>
      <c r="MGA349" s="16" t="s">
        <v>4867</v>
      </c>
      <c r="MGB349" s="16" t="s">
        <v>4867</v>
      </c>
      <c r="MGC349" s="16" t="s">
        <v>4867</v>
      </c>
      <c r="MGD349" s="16" t="s">
        <v>4867</v>
      </c>
      <c r="MGE349" s="16" t="s">
        <v>4867</v>
      </c>
      <c r="MGF349" s="16" t="s">
        <v>4867</v>
      </c>
      <c r="MGG349" s="16" t="s">
        <v>4867</v>
      </c>
      <c r="MGH349" s="16" t="s">
        <v>4867</v>
      </c>
      <c r="MGI349" s="16" t="s">
        <v>4867</v>
      </c>
      <c r="MGJ349" s="16" t="s">
        <v>4867</v>
      </c>
      <c r="MGK349" s="16" t="s">
        <v>4867</v>
      </c>
      <c r="MGL349" s="16" t="s">
        <v>4867</v>
      </c>
      <c r="MGM349" s="16" t="s">
        <v>4867</v>
      </c>
      <c r="MGN349" s="16" t="s">
        <v>4867</v>
      </c>
      <c r="MGO349" s="16" t="s">
        <v>4867</v>
      </c>
      <c r="MGP349" s="16" t="s">
        <v>4867</v>
      </c>
      <c r="MGQ349" s="16" t="s">
        <v>4867</v>
      </c>
      <c r="MGR349" s="16" t="s">
        <v>4867</v>
      </c>
      <c r="MGS349" s="16" t="s">
        <v>4867</v>
      </c>
      <c r="MGT349" s="16" t="s">
        <v>4867</v>
      </c>
      <c r="MGU349" s="16" t="s">
        <v>4867</v>
      </c>
      <c r="MGV349" s="16" t="s">
        <v>4867</v>
      </c>
      <c r="MGW349" s="16" t="s">
        <v>4867</v>
      </c>
      <c r="MGX349" s="16" t="s">
        <v>4867</v>
      </c>
      <c r="MGY349" s="16" t="s">
        <v>4867</v>
      </c>
      <c r="MGZ349" s="16" t="s">
        <v>4867</v>
      </c>
      <c r="MHA349" s="16" t="s">
        <v>4867</v>
      </c>
      <c r="MHB349" s="16" t="s">
        <v>4867</v>
      </c>
      <c r="MHC349" s="16" t="s">
        <v>4867</v>
      </c>
      <c r="MHD349" s="16" t="s">
        <v>4867</v>
      </c>
      <c r="MHE349" s="16" t="s">
        <v>4867</v>
      </c>
      <c r="MHF349" s="16" t="s">
        <v>4867</v>
      </c>
      <c r="MHG349" s="16" t="s">
        <v>4867</v>
      </c>
      <c r="MHH349" s="16" t="s">
        <v>4867</v>
      </c>
      <c r="MHI349" s="16" t="s">
        <v>4867</v>
      </c>
      <c r="MHJ349" s="16" t="s">
        <v>4867</v>
      </c>
      <c r="MHK349" s="16" t="s">
        <v>4867</v>
      </c>
      <c r="MHL349" s="16" t="s">
        <v>4867</v>
      </c>
      <c r="MHM349" s="16" t="s">
        <v>4867</v>
      </c>
      <c r="MHN349" s="16" t="s">
        <v>4867</v>
      </c>
      <c r="MHO349" s="16" t="s">
        <v>4867</v>
      </c>
      <c r="MHP349" s="16" t="s">
        <v>4867</v>
      </c>
      <c r="MHQ349" s="16" t="s">
        <v>4867</v>
      </c>
      <c r="MHR349" s="16" t="s">
        <v>4867</v>
      </c>
      <c r="MHS349" s="16" t="s">
        <v>4867</v>
      </c>
      <c r="MHT349" s="16" t="s">
        <v>4867</v>
      </c>
      <c r="MHU349" s="16" t="s">
        <v>4867</v>
      </c>
      <c r="MHV349" s="16" t="s">
        <v>4867</v>
      </c>
      <c r="MHW349" s="16" t="s">
        <v>4867</v>
      </c>
      <c r="MHX349" s="16" t="s">
        <v>4867</v>
      </c>
      <c r="MHY349" s="16" t="s">
        <v>4867</v>
      </c>
      <c r="MHZ349" s="16" t="s">
        <v>4867</v>
      </c>
      <c r="MIA349" s="16" t="s">
        <v>4867</v>
      </c>
      <c r="MIB349" s="16" t="s">
        <v>4867</v>
      </c>
      <c r="MIC349" s="16" t="s">
        <v>4867</v>
      </c>
      <c r="MID349" s="16" t="s">
        <v>4867</v>
      </c>
      <c r="MIE349" s="16" t="s">
        <v>4867</v>
      </c>
      <c r="MIF349" s="16" t="s">
        <v>4867</v>
      </c>
      <c r="MIG349" s="16" t="s">
        <v>4867</v>
      </c>
      <c r="MIH349" s="16" t="s">
        <v>4867</v>
      </c>
      <c r="MII349" s="16" t="s">
        <v>4867</v>
      </c>
      <c r="MIJ349" s="16" t="s">
        <v>4867</v>
      </c>
      <c r="MIK349" s="16" t="s">
        <v>4867</v>
      </c>
      <c r="MIL349" s="16" t="s">
        <v>4867</v>
      </c>
      <c r="MIM349" s="16" t="s">
        <v>4867</v>
      </c>
      <c r="MIN349" s="16" t="s">
        <v>4867</v>
      </c>
      <c r="MIO349" s="16" t="s">
        <v>4867</v>
      </c>
      <c r="MIP349" s="16" t="s">
        <v>4867</v>
      </c>
      <c r="MIQ349" s="16" t="s">
        <v>4867</v>
      </c>
      <c r="MIR349" s="16" t="s">
        <v>4867</v>
      </c>
      <c r="MIS349" s="16" t="s">
        <v>4867</v>
      </c>
      <c r="MIT349" s="16" t="s">
        <v>4867</v>
      </c>
      <c r="MIU349" s="16" t="s">
        <v>4867</v>
      </c>
      <c r="MIV349" s="16" t="s">
        <v>4867</v>
      </c>
      <c r="MIW349" s="16" t="s">
        <v>4867</v>
      </c>
      <c r="MIX349" s="16" t="s">
        <v>4867</v>
      </c>
      <c r="MIY349" s="16" t="s">
        <v>4867</v>
      </c>
      <c r="MIZ349" s="16" t="s">
        <v>4867</v>
      </c>
      <c r="MJA349" s="16" t="s">
        <v>4867</v>
      </c>
      <c r="MJB349" s="16" t="s">
        <v>4867</v>
      </c>
      <c r="MJC349" s="16" t="s">
        <v>4867</v>
      </c>
      <c r="MJD349" s="16" t="s">
        <v>4867</v>
      </c>
      <c r="MJE349" s="16" t="s">
        <v>4867</v>
      </c>
      <c r="MJF349" s="16" t="s">
        <v>4867</v>
      </c>
      <c r="MJG349" s="16" t="s">
        <v>4867</v>
      </c>
      <c r="MJH349" s="16" t="s">
        <v>4867</v>
      </c>
      <c r="MJI349" s="16" t="s">
        <v>4867</v>
      </c>
      <c r="MJJ349" s="16" t="s">
        <v>4867</v>
      </c>
      <c r="MJK349" s="16" t="s">
        <v>4867</v>
      </c>
      <c r="MJL349" s="16" t="s">
        <v>4867</v>
      </c>
      <c r="MJM349" s="16" t="s">
        <v>4867</v>
      </c>
      <c r="MJN349" s="16" t="s">
        <v>4867</v>
      </c>
      <c r="MJO349" s="16" t="s">
        <v>4867</v>
      </c>
      <c r="MJP349" s="16" t="s">
        <v>4867</v>
      </c>
      <c r="MJQ349" s="16" t="s">
        <v>4867</v>
      </c>
      <c r="MJR349" s="16" t="s">
        <v>4867</v>
      </c>
      <c r="MJS349" s="16" t="s">
        <v>4867</v>
      </c>
      <c r="MJT349" s="16" t="s">
        <v>4867</v>
      </c>
      <c r="MJU349" s="16" t="s">
        <v>4867</v>
      </c>
      <c r="MJV349" s="16" t="s">
        <v>4867</v>
      </c>
      <c r="MJW349" s="16" t="s">
        <v>4867</v>
      </c>
      <c r="MJX349" s="16" t="s">
        <v>4867</v>
      </c>
      <c r="MJY349" s="16" t="s">
        <v>4867</v>
      </c>
      <c r="MJZ349" s="16" t="s">
        <v>4867</v>
      </c>
      <c r="MKA349" s="16" t="s">
        <v>4867</v>
      </c>
      <c r="MKB349" s="16" t="s">
        <v>4867</v>
      </c>
      <c r="MKC349" s="16" t="s">
        <v>4867</v>
      </c>
      <c r="MKD349" s="16" t="s">
        <v>4867</v>
      </c>
      <c r="MKE349" s="16" t="s">
        <v>4867</v>
      </c>
      <c r="MKF349" s="16" t="s">
        <v>4867</v>
      </c>
      <c r="MKG349" s="16" t="s">
        <v>4867</v>
      </c>
      <c r="MKH349" s="16" t="s">
        <v>4867</v>
      </c>
      <c r="MKI349" s="16" t="s">
        <v>4867</v>
      </c>
      <c r="MKJ349" s="16" t="s">
        <v>4867</v>
      </c>
      <c r="MKK349" s="16" t="s">
        <v>4867</v>
      </c>
      <c r="MKL349" s="16" t="s">
        <v>4867</v>
      </c>
      <c r="MKM349" s="16" t="s">
        <v>4867</v>
      </c>
      <c r="MKN349" s="16" t="s">
        <v>4867</v>
      </c>
      <c r="MKO349" s="16" t="s">
        <v>4867</v>
      </c>
      <c r="MKP349" s="16" t="s">
        <v>4867</v>
      </c>
      <c r="MKQ349" s="16" t="s">
        <v>4867</v>
      </c>
      <c r="MKR349" s="16" t="s">
        <v>4867</v>
      </c>
      <c r="MKS349" s="16" t="s">
        <v>4867</v>
      </c>
      <c r="MKT349" s="16" t="s">
        <v>4867</v>
      </c>
      <c r="MKU349" s="16" t="s">
        <v>4867</v>
      </c>
      <c r="MKV349" s="16" t="s">
        <v>4867</v>
      </c>
      <c r="MKW349" s="16" t="s">
        <v>4867</v>
      </c>
      <c r="MKX349" s="16" t="s">
        <v>4867</v>
      </c>
      <c r="MKY349" s="16" t="s">
        <v>4867</v>
      </c>
      <c r="MKZ349" s="16" t="s">
        <v>4867</v>
      </c>
      <c r="MLA349" s="16" t="s">
        <v>4867</v>
      </c>
      <c r="MLB349" s="16" t="s">
        <v>4867</v>
      </c>
      <c r="MLC349" s="16" t="s">
        <v>4867</v>
      </c>
      <c r="MLD349" s="16" t="s">
        <v>4867</v>
      </c>
      <c r="MLE349" s="16" t="s">
        <v>4867</v>
      </c>
      <c r="MLF349" s="16" t="s">
        <v>4867</v>
      </c>
      <c r="MLG349" s="16" t="s">
        <v>4867</v>
      </c>
      <c r="MLH349" s="16" t="s">
        <v>4867</v>
      </c>
      <c r="MLI349" s="16" t="s">
        <v>4867</v>
      </c>
      <c r="MLJ349" s="16" t="s">
        <v>4867</v>
      </c>
      <c r="MLK349" s="16" t="s">
        <v>4867</v>
      </c>
      <c r="MLL349" s="16" t="s">
        <v>4867</v>
      </c>
      <c r="MLM349" s="16" t="s">
        <v>4867</v>
      </c>
      <c r="MLN349" s="16" t="s">
        <v>4867</v>
      </c>
      <c r="MLO349" s="16" t="s">
        <v>4867</v>
      </c>
      <c r="MLP349" s="16" t="s">
        <v>4867</v>
      </c>
      <c r="MLQ349" s="16" t="s">
        <v>4867</v>
      </c>
      <c r="MLR349" s="16" t="s">
        <v>4867</v>
      </c>
      <c r="MLS349" s="16" t="s">
        <v>4867</v>
      </c>
      <c r="MLT349" s="16" t="s">
        <v>4867</v>
      </c>
      <c r="MLU349" s="16" t="s">
        <v>4867</v>
      </c>
      <c r="MLV349" s="16" t="s">
        <v>4867</v>
      </c>
      <c r="MLW349" s="16" t="s">
        <v>4867</v>
      </c>
      <c r="MLX349" s="16" t="s">
        <v>4867</v>
      </c>
      <c r="MLY349" s="16" t="s">
        <v>4867</v>
      </c>
      <c r="MLZ349" s="16" t="s">
        <v>4867</v>
      </c>
      <c r="MMA349" s="16" t="s">
        <v>4867</v>
      </c>
      <c r="MMB349" s="16" t="s">
        <v>4867</v>
      </c>
      <c r="MMC349" s="16" t="s">
        <v>4867</v>
      </c>
      <c r="MMD349" s="16" t="s">
        <v>4867</v>
      </c>
      <c r="MME349" s="16" t="s">
        <v>4867</v>
      </c>
      <c r="MMF349" s="16" t="s">
        <v>4867</v>
      </c>
      <c r="MMG349" s="16" t="s">
        <v>4867</v>
      </c>
      <c r="MMH349" s="16" t="s">
        <v>4867</v>
      </c>
      <c r="MMI349" s="16" t="s">
        <v>4867</v>
      </c>
      <c r="MMJ349" s="16" t="s">
        <v>4867</v>
      </c>
      <c r="MMK349" s="16" t="s">
        <v>4867</v>
      </c>
      <c r="MML349" s="16" t="s">
        <v>4867</v>
      </c>
      <c r="MMM349" s="16" t="s">
        <v>4867</v>
      </c>
      <c r="MMN349" s="16" t="s">
        <v>4867</v>
      </c>
      <c r="MMO349" s="16" t="s">
        <v>4867</v>
      </c>
      <c r="MMP349" s="16" t="s">
        <v>4867</v>
      </c>
      <c r="MMQ349" s="16" t="s">
        <v>4867</v>
      </c>
      <c r="MMR349" s="16" t="s">
        <v>4867</v>
      </c>
      <c r="MMS349" s="16" t="s">
        <v>4867</v>
      </c>
      <c r="MMT349" s="16" t="s">
        <v>4867</v>
      </c>
      <c r="MMU349" s="16" t="s">
        <v>4867</v>
      </c>
      <c r="MMV349" s="16" t="s">
        <v>4867</v>
      </c>
      <c r="MMW349" s="16" t="s">
        <v>4867</v>
      </c>
      <c r="MMX349" s="16" t="s">
        <v>4867</v>
      </c>
      <c r="MMY349" s="16" t="s">
        <v>4867</v>
      </c>
      <c r="MMZ349" s="16" t="s">
        <v>4867</v>
      </c>
      <c r="MNA349" s="16" t="s">
        <v>4867</v>
      </c>
      <c r="MNB349" s="16" t="s">
        <v>4867</v>
      </c>
      <c r="MNC349" s="16" t="s">
        <v>4867</v>
      </c>
      <c r="MND349" s="16" t="s">
        <v>4867</v>
      </c>
      <c r="MNE349" s="16" t="s">
        <v>4867</v>
      </c>
      <c r="MNF349" s="16" t="s">
        <v>4867</v>
      </c>
      <c r="MNG349" s="16" t="s">
        <v>4867</v>
      </c>
      <c r="MNH349" s="16" t="s">
        <v>4867</v>
      </c>
      <c r="MNI349" s="16" t="s">
        <v>4867</v>
      </c>
      <c r="MNJ349" s="16" t="s">
        <v>4867</v>
      </c>
      <c r="MNK349" s="16" t="s">
        <v>4867</v>
      </c>
      <c r="MNL349" s="16" t="s">
        <v>4867</v>
      </c>
      <c r="MNM349" s="16" t="s">
        <v>4867</v>
      </c>
      <c r="MNN349" s="16" t="s">
        <v>4867</v>
      </c>
      <c r="MNO349" s="16" t="s">
        <v>4867</v>
      </c>
      <c r="MNP349" s="16" t="s">
        <v>4867</v>
      </c>
      <c r="MNQ349" s="16" t="s">
        <v>4867</v>
      </c>
      <c r="MNR349" s="16" t="s">
        <v>4867</v>
      </c>
      <c r="MNS349" s="16" t="s">
        <v>4867</v>
      </c>
      <c r="MNT349" s="16" t="s">
        <v>4867</v>
      </c>
      <c r="MNU349" s="16" t="s">
        <v>4867</v>
      </c>
      <c r="MNV349" s="16" t="s">
        <v>4867</v>
      </c>
      <c r="MNW349" s="16" t="s">
        <v>4867</v>
      </c>
      <c r="MNX349" s="16" t="s">
        <v>4867</v>
      </c>
      <c r="MNY349" s="16" t="s">
        <v>4867</v>
      </c>
      <c r="MNZ349" s="16" t="s">
        <v>4867</v>
      </c>
      <c r="MOA349" s="16" t="s">
        <v>4867</v>
      </c>
      <c r="MOB349" s="16" t="s">
        <v>4867</v>
      </c>
      <c r="MOC349" s="16" t="s">
        <v>4867</v>
      </c>
      <c r="MOD349" s="16" t="s">
        <v>4867</v>
      </c>
      <c r="MOE349" s="16" t="s">
        <v>4867</v>
      </c>
      <c r="MOF349" s="16" t="s">
        <v>4867</v>
      </c>
      <c r="MOG349" s="16" t="s">
        <v>4867</v>
      </c>
      <c r="MOH349" s="16" t="s">
        <v>4867</v>
      </c>
      <c r="MOI349" s="16" t="s">
        <v>4867</v>
      </c>
      <c r="MOJ349" s="16" t="s">
        <v>4867</v>
      </c>
      <c r="MOK349" s="16" t="s">
        <v>4867</v>
      </c>
      <c r="MOL349" s="16" t="s">
        <v>4867</v>
      </c>
      <c r="MOM349" s="16" t="s">
        <v>4867</v>
      </c>
      <c r="MON349" s="16" t="s">
        <v>4867</v>
      </c>
      <c r="MOO349" s="16" t="s">
        <v>4867</v>
      </c>
      <c r="MOP349" s="16" t="s">
        <v>4867</v>
      </c>
      <c r="MOQ349" s="16" t="s">
        <v>4867</v>
      </c>
      <c r="MOR349" s="16" t="s">
        <v>4867</v>
      </c>
      <c r="MOS349" s="16" t="s">
        <v>4867</v>
      </c>
      <c r="MOT349" s="16" t="s">
        <v>4867</v>
      </c>
      <c r="MOU349" s="16" t="s">
        <v>4867</v>
      </c>
      <c r="MOV349" s="16" t="s">
        <v>4867</v>
      </c>
      <c r="MOW349" s="16" t="s">
        <v>4867</v>
      </c>
      <c r="MOX349" s="16" t="s">
        <v>4867</v>
      </c>
      <c r="MOY349" s="16" t="s">
        <v>4867</v>
      </c>
      <c r="MOZ349" s="16" t="s">
        <v>4867</v>
      </c>
      <c r="MPA349" s="16" t="s">
        <v>4867</v>
      </c>
      <c r="MPB349" s="16" t="s">
        <v>4867</v>
      </c>
      <c r="MPC349" s="16" t="s">
        <v>4867</v>
      </c>
      <c r="MPD349" s="16" t="s">
        <v>4867</v>
      </c>
      <c r="MPE349" s="16" t="s">
        <v>4867</v>
      </c>
      <c r="MPF349" s="16" t="s">
        <v>4867</v>
      </c>
      <c r="MPG349" s="16" t="s">
        <v>4867</v>
      </c>
      <c r="MPH349" s="16" t="s">
        <v>4867</v>
      </c>
      <c r="MPI349" s="16" t="s">
        <v>4867</v>
      </c>
      <c r="MPJ349" s="16" t="s">
        <v>4867</v>
      </c>
      <c r="MPK349" s="16" t="s">
        <v>4867</v>
      </c>
      <c r="MPL349" s="16" t="s">
        <v>4867</v>
      </c>
      <c r="MPM349" s="16" t="s">
        <v>4867</v>
      </c>
      <c r="MPN349" s="16" t="s">
        <v>4867</v>
      </c>
      <c r="MPO349" s="16" t="s">
        <v>4867</v>
      </c>
      <c r="MPP349" s="16" t="s">
        <v>4867</v>
      </c>
      <c r="MPQ349" s="16" t="s">
        <v>4867</v>
      </c>
      <c r="MPR349" s="16" t="s">
        <v>4867</v>
      </c>
      <c r="MPS349" s="16" t="s">
        <v>4867</v>
      </c>
      <c r="MPT349" s="16" t="s">
        <v>4867</v>
      </c>
      <c r="MPU349" s="16" t="s">
        <v>4867</v>
      </c>
      <c r="MPV349" s="16" t="s">
        <v>4867</v>
      </c>
      <c r="MPW349" s="16" t="s">
        <v>4867</v>
      </c>
      <c r="MPX349" s="16" t="s">
        <v>4867</v>
      </c>
      <c r="MPY349" s="16" t="s">
        <v>4867</v>
      </c>
      <c r="MPZ349" s="16" t="s">
        <v>4867</v>
      </c>
      <c r="MQA349" s="16" t="s">
        <v>4867</v>
      </c>
      <c r="MQB349" s="16" t="s">
        <v>4867</v>
      </c>
      <c r="MQC349" s="16" t="s">
        <v>4867</v>
      </c>
      <c r="MQD349" s="16" t="s">
        <v>4867</v>
      </c>
      <c r="MQE349" s="16" t="s">
        <v>4867</v>
      </c>
      <c r="MQF349" s="16" t="s">
        <v>4867</v>
      </c>
      <c r="MQG349" s="16" t="s">
        <v>4867</v>
      </c>
      <c r="MQH349" s="16" t="s">
        <v>4867</v>
      </c>
      <c r="MQI349" s="16" t="s">
        <v>4867</v>
      </c>
      <c r="MQJ349" s="16" t="s">
        <v>4867</v>
      </c>
      <c r="MQK349" s="16" t="s">
        <v>4867</v>
      </c>
      <c r="MQL349" s="16" t="s">
        <v>4867</v>
      </c>
      <c r="MQM349" s="16" t="s">
        <v>4867</v>
      </c>
      <c r="MQN349" s="16" t="s">
        <v>4867</v>
      </c>
      <c r="MQO349" s="16" t="s">
        <v>4867</v>
      </c>
      <c r="MQP349" s="16" t="s">
        <v>4867</v>
      </c>
      <c r="MQQ349" s="16" t="s">
        <v>4867</v>
      </c>
      <c r="MQR349" s="16" t="s">
        <v>4867</v>
      </c>
      <c r="MQS349" s="16" t="s">
        <v>4867</v>
      </c>
      <c r="MQT349" s="16" t="s">
        <v>4867</v>
      </c>
      <c r="MQU349" s="16" t="s">
        <v>4867</v>
      </c>
      <c r="MQV349" s="16" t="s">
        <v>4867</v>
      </c>
      <c r="MQW349" s="16" t="s">
        <v>4867</v>
      </c>
      <c r="MQX349" s="16" t="s">
        <v>4867</v>
      </c>
      <c r="MQY349" s="16" t="s">
        <v>4867</v>
      </c>
      <c r="MQZ349" s="16" t="s">
        <v>4867</v>
      </c>
      <c r="MRA349" s="16" t="s">
        <v>4867</v>
      </c>
      <c r="MRB349" s="16" t="s">
        <v>4867</v>
      </c>
      <c r="MRC349" s="16" t="s">
        <v>4867</v>
      </c>
      <c r="MRD349" s="16" t="s">
        <v>4867</v>
      </c>
      <c r="MRE349" s="16" t="s">
        <v>4867</v>
      </c>
      <c r="MRF349" s="16" t="s">
        <v>4867</v>
      </c>
      <c r="MRG349" s="16" t="s">
        <v>4867</v>
      </c>
      <c r="MRH349" s="16" t="s">
        <v>4867</v>
      </c>
      <c r="MRI349" s="16" t="s">
        <v>4867</v>
      </c>
      <c r="MRJ349" s="16" t="s">
        <v>4867</v>
      </c>
      <c r="MRK349" s="16" t="s">
        <v>4867</v>
      </c>
      <c r="MRL349" s="16" t="s">
        <v>4867</v>
      </c>
      <c r="MRM349" s="16" t="s">
        <v>4867</v>
      </c>
      <c r="MRN349" s="16" t="s">
        <v>4867</v>
      </c>
      <c r="MRO349" s="16" t="s">
        <v>4867</v>
      </c>
      <c r="MRP349" s="16" t="s">
        <v>4867</v>
      </c>
      <c r="MRQ349" s="16" t="s">
        <v>4867</v>
      </c>
      <c r="MRR349" s="16" t="s">
        <v>4867</v>
      </c>
      <c r="MRS349" s="16" t="s">
        <v>4867</v>
      </c>
      <c r="MRT349" s="16" t="s">
        <v>4867</v>
      </c>
      <c r="MRU349" s="16" t="s">
        <v>4867</v>
      </c>
      <c r="MRV349" s="16" t="s">
        <v>4867</v>
      </c>
      <c r="MRW349" s="16" t="s">
        <v>4867</v>
      </c>
      <c r="MRX349" s="16" t="s">
        <v>4867</v>
      </c>
      <c r="MRY349" s="16" t="s">
        <v>4867</v>
      </c>
      <c r="MRZ349" s="16" t="s">
        <v>4867</v>
      </c>
      <c r="MSA349" s="16" t="s">
        <v>4867</v>
      </c>
      <c r="MSB349" s="16" t="s">
        <v>4867</v>
      </c>
      <c r="MSC349" s="16" t="s">
        <v>4867</v>
      </c>
      <c r="MSD349" s="16" t="s">
        <v>4867</v>
      </c>
      <c r="MSE349" s="16" t="s">
        <v>4867</v>
      </c>
      <c r="MSF349" s="16" t="s">
        <v>4867</v>
      </c>
      <c r="MSG349" s="16" t="s">
        <v>4867</v>
      </c>
      <c r="MSH349" s="16" t="s">
        <v>4867</v>
      </c>
      <c r="MSI349" s="16" t="s">
        <v>4867</v>
      </c>
      <c r="MSJ349" s="16" t="s">
        <v>4867</v>
      </c>
      <c r="MSK349" s="16" t="s">
        <v>4867</v>
      </c>
      <c r="MSL349" s="16" t="s">
        <v>4867</v>
      </c>
      <c r="MSM349" s="16" t="s">
        <v>4867</v>
      </c>
      <c r="MSN349" s="16" t="s">
        <v>4867</v>
      </c>
      <c r="MSO349" s="16" t="s">
        <v>4867</v>
      </c>
      <c r="MSP349" s="16" t="s">
        <v>4867</v>
      </c>
      <c r="MSQ349" s="16" t="s">
        <v>4867</v>
      </c>
      <c r="MSR349" s="16" t="s">
        <v>4867</v>
      </c>
      <c r="MSS349" s="16" t="s">
        <v>4867</v>
      </c>
      <c r="MST349" s="16" t="s">
        <v>4867</v>
      </c>
      <c r="MSU349" s="16" t="s">
        <v>4867</v>
      </c>
      <c r="MSV349" s="16" t="s">
        <v>4867</v>
      </c>
      <c r="MSW349" s="16" t="s">
        <v>4867</v>
      </c>
      <c r="MSX349" s="16" t="s">
        <v>4867</v>
      </c>
      <c r="MSY349" s="16" t="s">
        <v>4867</v>
      </c>
      <c r="MSZ349" s="16" t="s">
        <v>4867</v>
      </c>
      <c r="MTA349" s="16" t="s">
        <v>4867</v>
      </c>
      <c r="MTB349" s="16" t="s">
        <v>4867</v>
      </c>
      <c r="MTC349" s="16" t="s">
        <v>4867</v>
      </c>
      <c r="MTD349" s="16" t="s">
        <v>4867</v>
      </c>
      <c r="MTE349" s="16" t="s">
        <v>4867</v>
      </c>
      <c r="MTF349" s="16" t="s">
        <v>4867</v>
      </c>
      <c r="MTG349" s="16" t="s">
        <v>4867</v>
      </c>
      <c r="MTH349" s="16" t="s">
        <v>4867</v>
      </c>
      <c r="MTI349" s="16" t="s">
        <v>4867</v>
      </c>
      <c r="MTJ349" s="16" t="s">
        <v>4867</v>
      </c>
      <c r="MTK349" s="16" t="s">
        <v>4867</v>
      </c>
      <c r="MTL349" s="16" t="s">
        <v>4867</v>
      </c>
      <c r="MTM349" s="16" t="s">
        <v>4867</v>
      </c>
      <c r="MTN349" s="16" t="s">
        <v>4867</v>
      </c>
      <c r="MTO349" s="16" t="s">
        <v>4867</v>
      </c>
      <c r="MTP349" s="16" t="s">
        <v>4867</v>
      </c>
      <c r="MTQ349" s="16" t="s">
        <v>4867</v>
      </c>
      <c r="MTR349" s="16" t="s">
        <v>4867</v>
      </c>
      <c r="MTS349" s="16" t="s">
        <v>4867</v>
      </c>
      <c r="MTT349" s="16" t="s">
        <v>4867</v>
      </c>
      <c r="MTU349" s="16" t="s">
        <v>4867</v>
      </c>
      <c r="MTV349" s="16" t="s">
        <v>4867</v>
      </c>
      <c r="MTW349" s="16" t="s">
        <v>4867</v>
      </c>
      <c r="MTX349" s="16" t="s">
        <v>4867</v>
      </c>
      <c r="MTY349" s="16" t="s">
        <v>4867</v>
      </c>
      <c r="MTZ349" s="16" t="s">
        <v>4867</v>
      </c>
      <c r="MUA349" s="16" t="s">
        <v>4867</v>
      </c>
      <c r="MUB349" s="16" t="s">
        <v>4867</v>
      </c>
      <c r="MUC349" s="16" t="s">
        <v>4867</v>
      </c>
      <c r="MUD349" s="16" t="s">
        <v>4867</v>
      </c>
      <c r="MUE349" s="16" t="s">
        <v>4867</v>
      </c>
      <c r="MUF349" s="16" t="s">
        <v>4867</v>
      </c>
      <c r="MUG349" s="16" t="s">
        <v>4867</v>
      </c>
      <c r="MUH349" s="16" t="s">
        <v>4867</v>
      </c>
      <c r="MUI349" s="16" t="s">
        <v>4867</v>
      </c>
      <c r="MUJ349" s="16" t="s">
        <v>4867</v>
      </c>
      <c r="MUK349" s="16" t="s">
        <v>4867</v>
      </c>
      <c r="MUL349" s="16" t="s">
        <v>4867</v>
      </c>
      <c r="MUM349" s="16" t="s">
        <v>4867</v>
      </c>
      <c r="MUN349" s="16" t="s">
        <v>4867</v>
      </c>
      <c r="MUO349" s="16" t="s">
        <v>4867</v>
      </c>
      <c r="MUP349" s="16" t="s">
        <v>4867</v>
      </c>
      <c r="MUQ349" s="16" t="s">
        <v>4867</v>
      </c>
      <c r="MUR349" s="16" t="s">
        <v>4867</v>
      </c>
      <c r="MUS349" s="16" t="s">
        <v>4867</v>
      </c>
      <c r="MUT349" s="16" t="s">
        <v>4867</v>
      </c>
      <c r="MUU349" s="16" t="s">
        <v>4867</v>
      </c>
      <c r="MUV349" s="16" t="s">
        <v>4867</v>
      </c>
      <c r="MUW349" s="16" t="s">
        <v>4867</v>
      </c>
      <c r="MUX349" s="16" t="s">
        <v>4867</v>
      </c>
      <c r="MUY349" s="16" t="s">
        <v>4867</v>
      </c>
      <c r="MUZ349" s="16" t="s">
        <v>4867</v>
      </c>
      <c r="MVA349" s="16" t="s">
        <v>4867</v>
      </c>
      <c r="MVB349" s="16" t="s">
        <v>4867</v>
      </c>
      <c r="MVC349" s="16" t="s">
        <v>4867</v>
      </c>
      <c r="MVD349" s="16" t="s">
        <v>4867</v>
      </c>
      <c r="MVE349" s="16" t="s">
        <v>4867</v>
      </c>
      <c r="MVF349" s="16" t="s">
        <v>4867</v>
      </c>
      <c r="MVG349" s="16" t="s">
        <v>4867</v>
      </c>
      <c r="MVH349" s="16" t="s">
        <v>4867</v>
      </c>
      <c r="MVI349" s="16" t="s">
        <v>4867</v>
      </c>
      <c r="MVJ349" s="16" t="s">
        <v>4867</v>
      </c>
      <c r="MVK349" s="16" t="s">
        <v>4867</v>
      </c>
      <c r="MVL349" s="16" t="s">
        <v>4867</v>
      </c>
      <c r="MVM349" s="16" t="s">
        <v>4867</v>
      </c>
      <c r="MVN349" s="16" t="s">
        <v>4867</v>
      </c>
      <c r="MVO349" s="16" t="s">
        <v>4867</v>
      </c>
      <c r="MVP349" s="16" t="s">
        <v>4867</v>
      </c>
      <c r="MVQ349" s="16" t="s">
        <v>4867</v>
      </c>
      <c r="MVR349" s="16" t="s">
        <v>4867</v>
      </c>
      <c r="MVS349" s="16" t="s">
        <v>4867</v>
      </c>
      <c r="MVT349" s="16" t="s">
        <v>4867</v>
      </c>
      <c r="MVU349" s="16" t="s">
        <v>4867</v>
      </c>
      <c r="MVV349" s="16" t="s">
        <v>4867</v>
      </c>
      <c r="MVW349" s="16" t="s">
        <v>4867</v>
      </c>
      <c r="MVX349" s="16" t="s">
        <v>4867</v>
      </c>
      <c r="MVY349" s="16" t="s">
        <v>4867</v>
      </c>
      <c r="MVZ349" s="16" t="s">
        <v>4867</v>
      </c>
      <c r="MWA349" s="16" t="s">
        <v>4867</v>
      </c>
      <c r="MWB349" s="16" t="s">
        <v>4867</v>
      </c>
      <c r="MWC349" s="16" t="s">
        <v>4867</v>
      </c>
      <c r="MWD349" s="16" t="s">
        <v>4867</v>
      </c>
      <c r="MWE349" s="16" t="s">
        <v>4867</v>
      </c>
      <c r="MWF349" s="16" t="s">
        <v>4867</v>
      </c>
      <c r="MWG349" s="16" t="s">
        <v>4867</v>
      </c>
      <c r="MWH349" s="16" t="s">
        <v>4867</v>
      </c>
      <c r="MWI349" s="16" t="s">
        <v>4867</v>
      </c>
      <c r="MWJ349" s="16" t="s">
        <v>4867</v>
      </c>
      <c r="MWK349" s="16" t="s">
        <v>4867</v>
      </c>
      <c r="MWL349" s="16" t="s">
        <v>4867</v>
      </c>
      <c r="MWM349" s="16" t="s">
        <v>4867</v>
      </c>
      <c r="MWN349" s="16" t="s">
        <v>4867</v>
      </c>
      <c r="MWO349" s="16" t="s">
        <v>4867</v>
      </c>
      <c r="MWP349" s="16" t="s">
        <v>4867</v>
      </c>
      <c r="MWQ349" s="16" t="s">
        <v>4867</v>
      </c>
      <c r="MWR349" s="16" t="s">
        <v>4867</v>
      </c>
      <c r="MWS349" s="16" t="s">
        <v>4867</v>
      </c>
      <c r="MWT349" s="16" t="s">
        <v>4867</v>
      </c>
      <c r="MWU349" s="16" t="s">
        <v>4867</v>
      </c>
      <c r="MWV349" s="16" t="s">
        <v>4867</v>
      </c>
      <c r="MWW349" s="16" t="s">
        <v>4867</v>
      </c>
      <c r="MWX349" s="16" t="s">
        <v>4867</v>
      </c>
      <c r="MWY349" s="16" t="s">
        <v>4867</v>
      </c>
      <c r="MWZ349" s="16" t="s">
        <v>4867</v>
      </c>
      <c r="MXA349" s="16" t="s">
        <v>4867</v>
      </c>
      <c r="MXB349" s="16" t="s">
        <v>4867</v>
      </c>
      <c r="MXC349" s="16" t="s">
        <v>4867</v>
      </c>
      <c r="MXD349" s="16" t="s">
        <v>4867</v>
      </c>
      <c r="MXE349" s="16" t="s">
        <v>4867</v>
      </c>
      <c r="MXF349" s="16" t="s">
        <v>4867</v>
      </c>
      <c r="MXG349" s="16" t="s">
        <v>4867</v>
      </c>
      <c r="MXH349" s="16" t="s">
        <v>4867</v>
      </c>
      <c r="MXI349" s="16" t="s">
        <v>4867</v>
      </c>
      <c r="MXJ349" s="16" t="s">
        <v>4867</v>
      </c>
      <c r="MXK349" s="16" t="s">
        <v>4867</v>
      </c>
      <c r="MXL349" s="16" t="s">
        <v>4867</v>
      </c>
      <c r="MXM349" s="16" t="s">
        <v>4867</v>
      </c>
      <c r="MXN349" s="16" t="s">
        <v>4867</v>
      </c>
      <c r="MXO349" s="16" t="s">
        <v>4867</v>
      </c>
      <c r="MXP349" s="16" t="s">
        <v>4867</v>
      </c>
      <c r="MXQ349" s="16" t="s">
        <v>4867</v>
      </c>
      <c r="MXR349" s="16" t="s">
        <v>4867</v>
      </c>
      <c r="MXS349" s="16" t="s">
        <v>4867</v>
      </c>
      <c r="MXT349" s="16" t="s">
        <v>4867</v>
      </c>
      <c r="MXU349" s="16" t="s">
        <v>4867</v>
      </c>
      <c r="MXV349" s="16" t="s">
        <v>4867</v>
      </c>
      <c r="MXW349" s="16" t="s">
        <v>4867</v>
      </c>
      <c r="MXX349" s="16" t="s">
        <v>4867</v>
      </c>
      <c r="MXY349" s="16" t="s">
        <v>4867</v>
      </c>
      <c r="MXZ349" s="16" t="s">
        <v>4867</v>
      </c>
      <c r="MYA349" s="16" t="s">
        <v>4867</v>
      </c>
      <c r="MYB349" s="16" t="s">
        <v>4867</v>
      </c>
      <c r="MYC349" s="16" t="s">
        <v>4867</v>
      </c>
      <c r="MYD349" s="16" t="s">
        <v>4867</v>
      </c>
      <c r="MYE349" s="16" t="s">
        <v>4867</v>
      </c>
      <c r="MYF349" s="16" t="s">
        <v>4867</v>
      </c>
      <c r="MYG349" s="16" t="s">
        <v>4867</v>
      </c>
      <c r="MYH349" s="16" t="s">
        <v>4867</v>
      </c>
      <c r="MYI349" s="16" t="s">
        <v>4867</v>
      </c>
      <c r="MYJ349" s="16" t="s">
        <v>4867</v>
      </c>
      <c r="MYK349" s="16" t="s">
        <v>4867</v>
      </c>
      <c r="MYL349" s="16" t="s">
        <v>4867</v>
      </c>
      <c r="MYM349" s="16" t="s">
        <v>4867</v>
      </c>
      <c r="MYN349" s="16" t="s">
        <v>4867</v>
      </c>
      <c r="MYO349" s="16" t="s">
        <v>4867</v>
      </c>
      <c r="MYP349" s="16" t="s">
        <v>4867</v>
      </c>
      <c r="MYQ349" s="16" t="s">
        <v>4867</v>
      </c>
      <c r="MYR349" s="16" t="s">
        <v>4867</v>
      </c>
      <c r="MYS349" s="16" t="s">
        <v>4867</v>
      </c>
      <c r="MYT349" s="16" t="s">
        <v>4867</v>
      </c>
      <c r="MYU349" s="16" t="s">
        <v>4867</v>
      </c>
      <c r="MYV349" s="16" t="s">
        <v>4867</v>
      </c>
      <c r="MYW349" s="16" t="s">
        <v>4867</v>
      </c>
      <c r="MYX349" s="16" t="s">
        <v>4867</v>
      </c>
      <c r="MYY349" s="16" t="s">
        <v>4867</v>
      </c>
      <c r="MYZ349" s="16" t="s">
        <v>4867</v>
      </c>
      <c r="MZA349" s="16" t="s">
        <v>4867</v>
      </c>
      <c r="MZB349" s="16" t="s">
        <v>4867</v>
      </c>
      <c r="MZC349" s="16" t="s">
        <v>4867</v>
      </c>
      <c r="MZD349" s="16" t="s">
        <v>4867</v>
      </c>
      <c r="MZE349" s="16" t="s">
        <v>4867</v>
      </c>
      <c r="MZF349" s="16" t="s">
        <v>4867</v>
      </c>
      <c r="MZG349" s="16" t="s">
        <v>4867</v>
      </c>
      <c r="MZH349" s="16" t="s">
        <v>4867</v>
      </c>
      <c r="MZI349" s="16" t="s">
        <v>4867</v>
      </c>
      <c r="MZJ349" s="16" t="s">
        <v>4867</v>
      </c>
      <c r="MZK349" s="16" t="s">
        <v>4867</v>
      </c>
      <c r="MZL349" s="16" t="s">
        <v>4867</v>
      </c>
      <c r="MZM349" s="16" t="s">
        <v>4867</v>
      </c>
      <c r="MZN349" s="16" t="s">
        <v>4867</v>
      </c>
      <c r="MZO349" s="16" t="s">
        <v>4867</v>
      </c>
      <c r="MZP349" s="16" t="s">
        <v>4867</v>
      </c>
      <c r="MZQ349" s="16" t="s">
        <v>4867</v>
      </c>
      <c r="MZR349" s="16" t="s">
        <v>4867</v>
      </c>
      <c r="MZS349" s="16" t="s">
        <v>4867</v>
      </c>
      <c r="MZT349" s="16" t="s">
        <v>4867</v>
      </c>
      <c r="MZU349" s="16" t="s">
        <v>4867</v>
      </c>
      <c r="MZV349" s="16" t="s">
        <v>4867</v>
      </c>
      <c r="MZW349" s="16" t="s">
        <v>4867</v>
      </c>
      <c r="MZX349" s="16" t="s">
        <v>4867</v>
      </c>
      <c r="MZY349" s="16" t="s">
        <v>4867</v>
      </c>
      <c r="MZZ349" s="16" t="s">
        <v>4867</v>
      </c>
      <c r="NAA349" s="16" t="s">
        <v>4867</v>
      </c>
      <c r="NAB349" s="16" t="s">
        <v>4867</v>
      </c>
      <c r="NAC349" s="16" t="s">
        <v>4867</v>
      </c>
      <c r="NAD349" s="16" t="s">
        <v>4867</v>
      </c>
      <c r="NAE349" s="16" t="s">
        <v>4867</v>
      </c>
      <c r="NAF349" s="16" t="s">
        <v>4867</v>
      </c>
      <c r="NAG349" s="16" t="s">
        <v>4867</v>
      </c>
      <c r="NAH349" s="16" t="s">
        <v>4867</v>
      </c>
      <c r="NAI349" s="16" t="s">
        <v>4867</v>
      </c>
      <c r="NAJ349" s="16" t="s">
        <v>4867</v>
      </c>
      <c r="NAK349" s="16" t="s">
        <v>4867</v>
      </c>
      <c r="NAL349" s="16" t="s">
        <v>4867</v>
      </c>
      <c r="NAM349" s="16" t="s">
        <v>4867</v>
      </c>
      <c r="NAN349" s="16" t="s">
        <v>4867</v>
      </c>
      <c r="NAO349" s="16" t="s">
        <v>4867</v>
      </c>
      <c r="NAP349" s="16" t="s">
        <v>4867</v>
      </c>
      <c r="NAQ349" s="16" t="s">
        <v>4867</v>
      </c>
      <c r="NAR349" s="16" t="s">
        <v>4867</v>
      </c>
      <c r="NAS349" s="16" t="s">
        <v>4867</v>
      </c>
      <c r="NAT349" s="16" t="s">
        <v>4867</v>
      </c>
      <c r="NAU349" s="16" t="s">
        <v>4867</v>
      </c>
      <c r="NAV349" s="16" t="s">
        <v>4867</v>
      </c>
      <c r="NAW349" s="16" t="s">
        <v>4867</v>
      </c>
      <c r="NAX349" s="16" t="s">
        <v>4867</v>
      </c>
      <c r="NAY349" s="16" t="s">
        <v>4867</v>
      </c>
      <c r="NAZ349" s="16" t="s">
        <v>4867</v>
      </c>
      <c r="NBA349" s="16" t="s">
        <v>4867</v>
      </c>
      <c r="NBB349" s="16" t="s">
        <v>4867</v>
      </c>
      <c r="NBC349" s="16" t="s">
        <v>4867</v>
      </c>
      <c r="NBD349" s="16" t="s">
        <v>4867</v>
      </c>
      <c r="NBE349" s="16" t="s">
        <v>4867</v>
      </c>
      <c r="NBF349" s="16" t="s">
        <v>4867</v>
      </c>
      <c r="NBG349" s="16" t="s">
        <v>4867</v>
      </c>
      <c r="NBH349" s="16" t="s">
        <v>4867</v>
      </c>
      <c r="NBI349" s="16" t="s">
        <v>4867</v>
      </c>
      <c r="NBJ349" s="16" t="s">
        <v>4867</v>
      </c>
      <c r="NBK349" s="16" t="s">
        <v>4867</v>
      </c>
      <c r="NBL349" s="16" t="s">
        <v>4867</v>
      </c>
      <c r="NBM349" s="16" t="s">
        <v>4867</v>
      </c>
      <c r="NBN349" s="16" t="s">
        <v>4867</v>
      </c>
      <c r="NBO349" s="16" t="s">
        <v>4867</v>
      </c>
      <c r="NBP349" s="16" t="s">
        <v>4867</v>
      </c>
      <c r="NBQ349" s="16" t="s">
        <v>4867</v>
      </c>
      <c r="NBR349" s="16" t="s">
        <v>4867</v>
      </c>
      <c r="NBS349" s="16" t="s">
        <v>4867</v>
      </c>
      <c r="NBT349" s="16" t="s">
        <v>4867</v>
      </c>
      <c r="NBU349" s="16" t="s">
        <v>4867</v>
      </c>
      <c r="NBV349" s="16" t="s">
        <v>4867</v>
      </c>
      <c r="NBW349" s="16" t="s">
        <v>4867</v>
      </c>
      <c r="NBX349" s="16" t="s">
        <v>4867</v>
      </c>
      <c r="NBY349" s="16" t="s">
        <v>4867</v>
      </c>
      <c r="NBZ349" s="16" t="s">
        <v>4867</v>
      </c>
      <c r="NCA349" s="16" t="s">
        <v>4867</v>
      </c>
      <c r="NCB349" s="16" t="s">
        <v>4867</v>
      </c>
      <c r="NCC349" s="16" t="s">
        <v>4867</v>
      </c>
      <c r="NCD349" s="16" t="s">
        <v>4867</v>
      </c>
      <c r="NCE349" s="16" t="s">
        <v>4867</v>
      </c>
      <c r="NCF349" s="16" t="s">
        <v>4867</v>
      </c>
      <c r="NCG349" s="16" t="s">
        <v>4867</v>
      </c>
      <c r="NCH349" s="16" t="s">
        <v>4867</v>
      </c>
      <c r="NCI349" s="16" t="s">
        <v>4867</v>
      </c>
      <c r="NCJ349" s="16" t="s">
        <v>4867</v>
      </c>
      <c r="NCK349" s="16" t="s">
        <v>4867</v>
      </c>
      <c r="NCL349" s="16" t="s">
        <v>4867</v>
      </c>
      <c r="NCM349" s="16" t="s">
        <v>4867</v>
      </c>
      <c r="NCN349" s="16" t="s">
        <v>4867</v>
      </c>
      <c r="NCO349" s="16" t="s">
        <v>4867</v>
      </c>
      <c r="NCP349" s="16" t="s">
        <v>4867</v>
      </c>
      <c r="NCQ349" s="16" t="s">
        <v>4867</v>
      </c>
      <c r="NCR349" s="16" t="s">
        <v>4867</v>
      </c>
      <c r="NCS349" s="16" t="s">
        <v>4867</v>
      </c>
      <c r="NCT349" s="16" t="s">
        <v>4867</v>
      </c>
      <c r="NCU349" s="16" t="s">
        <v>4867</v>
      </c>
      <c r="NCV349" s="16" t="s">
        <v>4867</v>
      </c>
      <c r="NCW349" s="16" t="s">
        <v>4867</v>
      </c>
      <c r="NCX349" s="16" t="s">
        <v>4867</v>
      </c>
      <c r="NCY349" s="16" t="s">
        <v>4867</v>
      </c>
      <c r="NCZ349" s="16" t="s">
        <v>4867</v>
      </c>
      <c r="NDA349" s="16" t="s">
        <v>4867</v>
      </c>
      <c r="NDB349" s="16" t="s">
        <v>4867</v>
      </c>
      <c r="NDC349" s="16" t="s">
        <v>4867</v>
      </c>
      <c r="NDD349" s="16" t="s">
        <v>4867</v>
      </c>
      <c r="NDE349" s="16" t="s">
        <v>4867</v>
      </c>
      <c r="NDF349" s="16" t="s">
        <v>4867</v>
      </c>
      <c r="NDG349" s="16" t="s">
        <v>4867</v>
      </c>
      <c r="NDH349" s="16" t="s">
        <v>4867</v>
      </c>
      <c r="NDI349" s="16" t="s">
        <v>4867</v>
      </c>
      <c r="NDJ349" s="16" t="s">
        <v>4867</v>
      </c>
      <c r="NDK349" s="16" t="s">
        <v>4867</v>
      </c>
      <c r="NDL349" s="16" t="s">
        <v>4867</v>
      </c>
      <c r="NDM349" s="16" t="s">
        <v>4867</v>
      </c>
      <c r="NDN349" s="16" t="s">
        <v>4867</v>
      </c>
      <c r="NDO349" s="16" t="s">
        <v>4867</v>
      </c>
      <c r="NDP349" s="16" t="s">
        <v>4867</v>
      </c>
      <c r="NDQ349" s="16" t="s">
        <v>4867</v>
      </c>
      <c r="NDR349" s="16" t="s">
        <v>4867</v>
      </c>
      <c r="NDS349" s="16" t="s">
        <v>4867</v>
      </c>
      <c r="NDT349" s="16" t="s">
        <v>4867</v>
      </c>
      <c r="NDU349" s="16" t="s">
        <v>4867</v>
      </c>
      <c r="NDV349" s="16" t="s">
        <v>4867</v>
      </c>
      <c r="NDW349" s="16" t="s">
        <v>4867</v>
      </c>
      <c r="NDX349" s="16" t="s">
        <v>4867</v>
      </c>
      <c r="NDY349" s="16" t="s">
        <v>4867</v>
      </c>
      <c r="NDZ349" s="16" t="s">
        <v>4867</v>
      </c>
      <c r="NEA349" s="16" t="s">
        <v>4867</v>
      </c>
      <c r="NEB349" s="16" t="s">
        <v>4867</v>
      </c>
      <c r="NEC349" s="16" t="s">
        <v>4867</v>
      </c>
      <c r="NED349" s="16" t="s">
        <v>4867</v>
      </c>
      <c r="NEE349" s="16" t="s">
        <v>4867</v>
      </c>
      <c r="NEF349" s="16" t="s">
        <v>4867</v>
      </c>
      <c r="NEG349" s="16" t="s">
        <v>4867</v>
      </c>
      <c r="NEH349" s="16" t="s">
        <v>4867</v>
      </c>
      <c r="NEI349" s="16" t="s">
        <v>4867</v>
      </c>
      <c r="NEJ349" s="16" t="s">
        <v>4867</v>
      </c>
      <c r="NEK349" s="16" t="s">
        <v>4867</v>
      </c>
      <c r="NEL349" s="16" t="s">
        <v>4867</v>
      </c>
      <c r="NEM349" s="16" t="s">
        <v>4867</v>
      </c>
      <c r="NEN349" s="16" t="s">
        <v>4867</v>
      </c>
      <c r="NEO349" s="16" t="s">
        <v>4867</v>
      </c>
      <c r="NEP349" s="16" t="s">
        <v>4867</v>
      </c>
      <c r="NEQ349" s="16" t="s">
        <v>4867</v>
      </c>
      <c r="NER349" s="16" t="s">
        <v>4867</v>
      </c>
      <c r="NES349" s="16" t="s">
        <v>4867</v>
      </c>
      <c r="NET349" s="16" t="s">
        <v>4867</v>
      </c>
      <c r="NEU349" s="16" t="s">
        <v>4867</v>
      </c>
      <c r="NEV349" s="16" t="s">
        <v>4867</v>
      </c>
      <c r="NEW349" s="16" t="s">
        <v>4867</v>
      </c>
      <c r="NEX349" s="16" t="s">
        <v>4867</v>
      </c>
      <c r="NEY349" s="16" t="s">
        <v>4867</v>
      </c>
      <c r="NEZ349" s="16" t="s">
        <v>4867</v>
      </c>
      <c r="NFA349" s="16" t="s">
        <v>4867</v>
      </c>
      <c r="NFB349" s="16" t="s">
        <v>4867</v>
      </c>
      <c r="NFC349" s="16" t="s">
        <v>4867</v>
      </c>
      <c r="NFD349" s="16" t="s">
        <v>4867</v>
      </c>
      <c r="NFE349" s="16" t="s">
        <v>4867</v>
      </c>
      <c r="NFF349" s="16" t="s">
        <v>4867</v>
      </c>
      <c r="NFG349" s="16" t="s">
        <v>4867</v>
      </c>
      <c r="NFH349" s="16" t="s">
        <v>4867</v>
      </c>
      <c r="NFI349" s="16" t="s">
        <v>4867</v>
      </c>
      <c r="NFJ349" s="16" t="s">
        <v>4867</v>
      </c>
      <c r="NFK349" s="16" t="s">
        <v>4867</v>
      </c>
      <c r="NFL349" s="16" t="s">
        <v>4867</v>
      </c>
      <c r="NFM349" s="16" t="s">
        <v>4867</v>
      </c>
      <c r="NFN349" s="16" t="s">
        <v>4867</v>
      </c>
      <c r="NFO349" s="16" t="s">
        <v>4867</v>
      </c>
      <c r="NFP349" s="16" t="s">
        <v>4867</v>
      </c>
      <c r="NFQ349" s="16" t="s">
        <v>4867</v>
      </c>
      <c r="NFR349" s="16" t="s">
        <v>4867</v>
      </c>
      <c r="NFS349" s="16" t="s">
        <v>4867</v>
      </c>
      <c r="NFT349" s="16" t="s">
        <v>4867</v>
      </c>
      <c r="NFU349" s="16" t="s">
        <v>4867</v>
      </c>
      <c r="NFV349" s="16" t="s">
        <v>4867</v>
      </c>
      <c r="NFW349" s="16" t="s">
        <v>4867</v>
      </c>
      <c r="NFX349" s="16" t="s">
        <v>4867</v>
      </c>
      <c r="NFY349" s="16" t="s">
        <v>4867</v>
      </c>
      <c r="NFZ349" s="16" t="s">
        <v>4867</v>
      </c>
      <c r="NGA349" s="16" t="s">
        <v>4867</v>
      </c>
      <c r="NGB349" s="16" t="s">
        <v>4867</v>
      </c>
      <c r="NGC349" s="16" t="s">
        <v>4867</v>
      </c>
      <c r="NGD349" s="16" t="s">
        <v>4867</v>
      </c>
      <c r="NGE349" s="16" t="s">
        <v>4867</v>
      </c>
      <c r="NGF349" s="16" t="s">
        <v>4867</v>
      </c>
      <c r="NGG349" s="16" t="s">
        <v>4867</v>
      </c>
      <c r="NGH349" s="16" t="s">
        <v>4867</v>
      </c>
      <c r="NGI349" s="16" t="s">
        <v>4867</v>
      </c>
      <c r="NGJ349" s="16" t="s">
        <v>4867</v>
      </c>
      <c r="NGK349" s="16" t="s">
        <v>4867</v>
      </c>
      <c r="NGL349" s="16" t="s">
        <v>4867</v>
      </c>
      <c r="NGM349" s="16" t="s">
        <v>4867</v>
      </c>
      <c r="NGN349" s="16" t="s">
        <v>4867</v>
      </c>
      <c r="NGO349" s="16" t="s">
        <v>4867</v>
      </c>
      <c r="NGP349" s="16" t="s">
        <v>4867</v>
      </c>
      <c r="NGQ349" s="16" t="s">
        <v>4867</v>
      </c>
      <c r="NGR349" s="16" t="s">
        <v>4867</v>
      </c>
      <c r="NGS349" s="16" t="s">
        <v>4867</v>
      </c>
      <c r="NGT349" s="16" t="s">
        <v>4867</v>
      </c>
      <c r="NGU349" s="16" t="s">
        <v>4867</v>
      </c>
      <c r="NGV349" s="16" t="s">
        <v>4867</v>
      </c>
      <c r="NGW349" s="16" t="s">
        <v>4867</v>
      </c>
      <c r="NGX349" s="16" t="s">
        <v>4867</v>
      </c>
      <c r="NGY349" s="16" t="s">
        <v>4867</v>
      </c>
      <c r="NGZ349" s="16" t="s">
        <v>4867</v>
      </c>
      <c r="NHA349" s="16" t="s">
        <v>4867</v>
      </c>
      <c r="NHB349" s="16" t="s">
        <v>4867</v>
      </c>
      <c r="NHC349" s="16" t="s">
        <v>4867</v>
      </c>
      <c r="NHD349" s="16" t="s">
        <v>4867</v>
      </c>
      <c r="NHE349" s="16" t="s">
        <v>4867</v>
      </c>
      <c r="NHF349" s="16" t="s">
        <v>4867</v>
      </c>
      <c r="NHG349" s="16" t="s">
        <v>4867</v>
      </c>
      <c r="NHH349" s="16" t="s">
        <v>4867</v>
      </c>
      <c r="NHI349" s="16" t="s">
        <v>4867</v>
      </c>
      <c r="NHJ349" s="16" t="s">
        <v>4867</v>
      </c>
      <c r="NHK349" s="16" t="s">
        <v>4867</v>
      </c>
      <c r="NHL349" s="16" t="s">
        <v>4867</v>
      </c>
      <c r="NHM349" s="16" t="s">
        <v>4867</v>
      </c>
      <c r="NHN349" s="16" t="s">
        <v>4867</v>
      </c>
      <c r="NHO349" s="16" t="s">
        <v>4867</v>
      </c>
      <c r="NHP349" s="16" t="s">
        <v>4867</v>
      </c>
      <c r="NHQ349" s="16" t="s">
        <v>4867</v>
      </c>
      <c r="NHR349" s="16" t="s">
        <v>4867</v>
      </c>
      <c r="NHS349" s="16" t="s">
        <v>4867</v>
      </c>
      <c r="NHT349" s="16" t="s">
        <v>4867</v>
      </c>
      <c r="NHU349" s="16" t="s">
        <v>4867</v>
      </c>
      <c r="NHV349" s="16" t="s">
        <v>4867</v>
      </c>
      <c r="NHW349" s="16" t="s">
        <v>4867</v>
      </c>
      <c r="NHX349" s="16" t="s">
        <v>4867</v>
      </c>
      <c r="NHY349" s="16" t="s">
        <v>4867</v>
      </c>
      <c r="NHZ349" s="16" t="s">
        <v>4867</v>
      </c>
      <c r="NIA349" s="16" t="s">
        <v>4867</v>
      </c>
      <c r="NIB349" s="16" t="s">
        <v>4867</v>
      </c>
      <c r="NIC349" s="16" t="s">
        <v>4867</v>
      </c>
      <c r="NID349" s="16" t="s">
        <v>4867</v>
      </c>
      <c r="NIE349" s="16" t="s">
        <v>4867</v>
      </c>
      <c r="NIF349" s="16" t="s">
        <v>4867</v>
      </c>
      <c r="NIG349" s="16" t="s">
        <v>4867</v>
      </c>
      <c r="NIH349" s="16" t="s">
        <v>4867</v>
      </c>
      <c r="NII349" s="16" t="s">
        <v>4867</v>
      </c>
      <c r="NIJ349" s="16" t="s">
        <v>4867</v>
      </c>
      <c r="NIK349" s="16" t="s">
        <v>4867</v>
      </c>
      <c r="NIL349" s="16" t="s">
        <v>4867</v>
      </c>
      <c r="NIM349" s="16" t="s">
        <v>4867</v>
      </c>
      <c r="NIN349" s="16" t="s">
        <v>4867</v>
      </c>
      <c r="NIO349" s="16" t="s">
        <v>4867</v>
      </c>
      <c r="NIP349" s="16" t="s">
        <v>4867</v>
      </c>
      <c r="NIQ349" s="16" t="s">
        <v>4867</v>
      </c>
      <c r="NIR349" s="16" t="s">
        <v>4867</v>
      </c>
      <c r="NIS349" s="16" t="s">
        <v>4867</v>
      </c>
      <c r="NIT349" s="16" t="s">
        <v>4867</v>
      </c>
      <c r="NIU349" s="16" t="s">
        <v>4867</v>
      </c>
      <c r="NIV349" s="16" t="s">
        <v>4867</v>
      </c>
      <c r="NIW349" s="16" t="s">
        <v>4867</v>
      </c>
      <c r="NIX349" s="16" t="s">
        <v>4867</v>
      </c>
      <c r="NIY349" s="16" t="s">
        <v>4867</v>
      </c>
      <c r="NIZ349" s="16" t="s">
        <v>4867</v>
      </c>
      <c r="NJA349" s="16" t="s">
        <v>4867</v>
      </c>
      <c r="NJB349" s="16" t="s">
        <v>4867</v>
      </c>
      <c r="NJC349" s="16" t="s">
        <v>4867</v>
      </c>
      <c r="NJD349" s="16" t="s">
        <v>4867</v>
      </c>
      <c r="NJE349" s="16" t="s">
        <v>4867</v>
      </c>
      <c r="NJF349" s="16" t="s">
        <v>4867</v>
      </c>
      <c r="NJG349" s="16" t="s">
        <v>4867</v>
      </c>
      <c r="NJH349" s="16" t="s">
        <v>4867</v>
      </c>
      <c r="NJI349" s="16" t="s">
        <v>4867</v>
      </c>
      <c r="NJJ349" s="16" t="s">
        <v>4867</v>
      </c>
      <c r="NJK349" s="16" t="s">
        <v>4867</v>
      </c>
      <c r="NJL349" s="16" t="s">
        <v>4867</v>
      </c>
      <c r="NJM349" s="16" t="s">
        <v>4867</v>
      </c>
      <c r="NJN349" s="16" t="s">
        <v>4867</v>
      </c>
      <c r="NJO349" s="16" t="s">
        <v>4867</v>
      </c>
      <c r="NJP349" s="16" t="s">
        <v>4867</v>
      </c>
      <c r="NJQ349" s="16" t="s">
        <v>4867</v>
      </c>
      <c r="NJR349" s="16" t="s">
        <v>4867</v>
      </c>
      <c r="NJS349" s="16" t="s">
        <v>4867</v>
      </c>
      <c r="NJT349" s="16" t="s">
        <v>4867</v>
      </c>
      <c r="NJU349" s="16" t="s">
        <v>4867</v>
      </c>
      <c r="NJV349" s="16" t="s">
        <v>4867</v>
      </c>
      <c r="NJW349" s="16" t="s">
        <v>4867</v>
      </c>
      <c r="NJX349" s="16" t="s">
        <v>4867</v>
      </c>
      <c r="NJY349" s="16" t="s">
        <v>4867</v>
      </c>
      <c r="NJZ349" s="16" t="s">
        <v>4867</v>
      </c>
      <c r="NKA349" s="16" t="s">
        <v>4867</v>
      </c>
      <c r="NKB349" s="16" t="s">
        <v>4867</v>
      </c>
      <c r="NKC349" s="16" t="s">
        <v>4867</v>
      </c>
      <c r="NKD349" s="16" t="s">
        <v>4867</v>
      </c>
      <c r="NKE349" s="16" t="s">
        <v>4867</v>
      </c>
      <c r="NKF349" s="16" t="s">
        <v>4867</v>
      </c>
      <c r="NKG349" s="16" t="s">
        <v>4867</v>
      </c>
      <c r="NKH349" s="16" t="s">
        <v>4867</v>
      </c>
      <c r="NKI349" s="16" t="s">
        <v>4867</v>
      </c>
      <c r="NKJ349" s="16" t="s">
        <v>4867</v>
      </c>
      <c r="NKK349" s="16" t="s">
        <v>4867</v>
      </c>
      <c r="NKL349" s="16" t="s">
        <v>4867</v>
      </c>
      <c r="NKM349" s="16" t="s">
        <v>4867</v>
      </c>
      <c r="NKN349" s="16" t="s">
        <v>4867</v>
      </c>
      <c r="NKO349" s="16" t="s">
        <v>4867</v>
      </c>
      <c r="NKP349" s="16" t="s">
        <v>4867</v>
      </c>
      <c r="NKQ349" s="16" t="s">
        <v>4867</v>
      </c>
      <c r="NKR349" s="16" t="s">
        <v>4867</v>
      </c>
      <c r="NKS349" s="16" t="s">
        <v>4867</v>
      </c>
      <c r="NKT349" s="16" t="s">
        <v>4867</v>
      </c>
      <c r="NKU349" s="16" t="s">
        <v>4867</v>
      </c>
      <c r="NKV349" s="16" t="s">
        <v>4867</v>
      </c>
      <c r="NKW349" s="16" t="s">
        <v>4867</v>
      </c>
      <c r="NKX349" s="16" t="s">
        <v>4867</v>
      </c>
      <c r="NKY349" s="16" t="s">
        <v>4867</v>
      </c>
      <c r="NKZ349" s="16" t="s">
        <v>4867</v>
      </c>
      <c r="NLA349" s="16" t="s">
        <v>4867</v>
      </c>
      <c r="NLB349" s="16" t="s">
        <v>4867</v>
      </c>
      <c r="NLC349" s="16" t="s">
        <v>4867</v>
      </c>
      <c r="NLD349" s="16" t="s">
        <v>4867</v>
      </c>
      <c r="NLE349" s="16" t="s">
        <v>4867</v>
      </c>
      <c r="NLF349" s="16" t="s">
        <v>4867</v>
      </c>
      <c r="NLG349" s="16" t="s">
        <v>4867</v>
      </c>
      <c r="NLH349" s="16" t="s">
        <v>4867</v>
      </c>
      <c r="NLI349" s="16" t="s">
        <v>4867</v>
      </c>
      <c r="NLJ349" s="16" t="s">
        <v>4867</v>
      </c>
      <c r="NLK349" s="16" t="s">
        <v>4867</v>
      </c>
      <c r="NLL349" s="16" t="s">
        <v>4867</v>
      </c>
      <c r="NLM349" s="16" t="s">
        <v>4867</v>
      </c>
      <c r="NLN349" s="16" t="s">
        <v>4867</v>
      </c>
      <c r="NLO349" s="16" t="s">
        <v>4867</v>
      </c>
      <c r="NLP349" s="16" t="s">
        <v>4867</v>
      </c>
      <c r="NLQ349" s="16" t="s">
        <v>4867</v>
      </c>
      <c r="NLR349" s="16" t="s">
        <v>4867</v>
      </c>
      <c r="NLS349" s="16" t="s">
        <v>4867</v>
      </c>
      <c r="NLT349" s="16" t="s">
        <v>4867</v>
      </c>
      <c r="NLU349" s="16" t="s">
        <v>4867</v>
      </c>
      <c r="NLV349" s="16" t="s">
        <v>4867</v>
      </c>
      <c r="NLW349" s="16" t="s">
        <v>4867</v>
      </c>
      <c r="NLX349" s="16" t="s">
        <v>4867</v>
      </c>
      <c r="NLY349" s="16" t="s">
        <v>4867</v>
      </c>
      <c r="NLZ349" s="16" t="s">
        <v>4867</v>
      </c>
      <c r="NMA349" s="16" t="s">
        <v>4867</v>
      </c>
      <c r="NMB349" s="16" t="s">
        <v>4867</v>
      </c>
      <c r="NMC349" s="16" t="s">
        <v>4867</v>
      </c>
      <c r="NMD349" s="16" t="s">
        <v>4867</v>
      </c>
      <c r="NME349" s="16" t="s">
        <v>4867</v>
      </c>
      <c r="NMF349" s="16" t="s">
        <v>4867</v>
      </c>
      <c r="NMG349" s="16" t="s">
        <v>4867</v>
      </c>
      <c r="NMH349" s="16" t="s">
        <v>4867</v>
      </c>
      <c r="NMI349" s="16" t="s">
        <v>4867</v>
      </c>
      <c r="NMJ349" s="16" t="s">
        <v>4867</v>
      </c>
      <c r="NMK349" s="16" t="s">
        <v>4867</v>
      </c>
      <c r="NML349" s="16" t="s">
        <v>4867</v>
      </c>
      <c r="NMM349" s="16" t="s">
        <v>4867</v>
      </c>
      <c r="NMN349" s="16" t="s">
        <v>4867</v>
      </c>
      <c r="NMO349" s="16" t="s">
        <v>4867</v>
      </c>
      <c r="NMP349" s="16" t="s">
        <v>4867</v>
      </c>
      <c r="NMQ349" s="16" t="s">
        <v>4867</v>
      </c>
      <c r="NMR349" s="16" t="s">
        <v>4867</v>
      </c>
      <c r="NMS349" s="16" t="s">
        <v>4867</v>
      </c>
      <c r="NMT349" s="16" t="s">
        <v>4867</v>
      </c>
      <c r="NMU349" s="16" t="s">
        <v>4867</v>
      </c>
      <c r="NMV349" s="16" t="s">
        <v>4867</v>
      </c>
      <c r="NMW349" s="16" t="s">
        <v>4867</v>
      </c>
      <c r="NMX349" s="16" t="s">
        <v>4867</v>
      </c>
      <c r="NMY349" s="16" t="s">
        <v>4867</v>
      </c>
      <c r="NMZ349" s="16" t="s">
        <v>4867</v>
      </c>
      <c r="NNA349" s="16" t="s">
        <v>4867</v>
      </c>
      <c r="NNB349" s="16" t="s">
        <v>4867</v>
      </c>
      <c r="NNC349" s="16" t="s">
        <v>4867</v>
      </c>
      <c r="NND349" s="16" t="s">
        <v>4867</v>
      </c>
      <c r="NNE349" s="16" t="s">
        <v>4867</v>
      </c>
      <c r="NNF349" s="16" t="s">
        <v>4867</v>
      </c>
      <c r="NNG349" s="16" t="s">
        <v>4867</v>
      </c>
      <c r="NNH349" s="16" t="s">
        <v>4867</v>
      </c>
      <c r="NNI349" s="16" t="s">
        <v>4867</v>
      </c>
      <c r="NNJ349" s="16" t="s">
        <v>4867</v>
      </c>
      <c r="NNK349" s="16" t="s">
        <v>4867</v>
      </c>
      <c r="NNL349" s="16" t="s">
        <v>4867</v>
      </c>
      <c r="NNM349" s="16" t="s">
        <v>4867</v>
      </c>
      <c r="NNN349" s="16" t="s">
        <v>4867</v>
      </c>
      <c r="NNO349" s="16" t="s">
        <v>4867</v>
      </c>
      <c r="NNP349" s="16" t="s">
        <v>4867</v>
      </c>
      <c r="NNQ349" s="16" t="s">
        <v>4867</v>
      </c>
      <c r="NNR349" s="16" t="s">
        <v>4867</v>
      </c>
      <c r="NNS349" s="16" t="s">
        <v>4867</v>
      </c>
      <c r="NNT349" s="16" t="s">
        <v>4867</v>
      </c>
      <c r="NNU349" s="16" t="s">
        <v>4867</v>
      </c>
      <c r="NNV349" s="16" t="s">
        <v>4867</v>
      </c>
      <c r="NNW349" s="16" t="s">
        <v>4867</v>
      </c>
      <c r="NNX349" s="16" t="s">
        <v>4867</v>
      </c>
      <c r="NNY349" s="16" t="s">
        <v>4867</v>
      </c>
      <c r="NNZ349" s="16" t="s">
        <v>4867</v>
      </c>
      <c r="NOA349" s="16" t="s">
        <v>4867</v>
      </c>
      <c r="NOB349" s="16" t="s">
        <v>4867</v>
      </c>
      <c r="NOC349" s="16" t="s">
        <v>4867</v>
      </c>
      <c r="NOD349" s="16" t="s">
        <v>4867</v>
      </c>
      <c r="NOE349" s="16" t="s">
        <v>4867</v>
      </c>
      <c r="NOF349" s="16" t="s">
        <v>4867</v>
      </c>
      <c r="NOG349" s="16" t="s">
        <v>4867</v>
      </c>
      <c r="NOH349" s="16" t="s">
        <v>4867</v>
      </c>
      <c r="NOI349" s="16" t="s">
        <v>4867</v>
      </c>
      <c r="NOJ349" s="16" t="s">
        <v>4867</v>
      </c>
      <c r="NOK349" s="16" t="s">
        <v>4867</v>
      </c>
      <c r="NOL349" s="16" t="s">
        <v>4867</v>
      </c>
      <c r="NOM349" s="16" t="s">
        <v>4867</v>
      </c>
      <c r="NON349" s="16" t="s">
        <v>4867</v>
      </c>
      <c r="NOO349" s="16" t="s">
        <v>4867</v>
      </c>
      <c r="NOP349" s="16" t="s">
        <v>4867</v>
      </c>
      <c r="NOQ349" s="16" t="s">
        <v>4867</v>
      </c>
      <c r="NOR349" s="16" t="s">
        <v>4867</v>
      </c>
      <c r="NOS349" s="16" t="s">
        <v>4867</v>
      </c>
      <c r="NOT349" s="16" t="s">
        <v>4867</v>
      </c>
      <c r="NOU349" s="16" t="s">
        <v>4867</v>
      </c>
      <c r="NOV349" s="16" t="s">
        <v>4867</v>
      </c>
      <c r="NOW349" s="16" t="s">
        <v>4867</v>
      </c>
      <c r="NOX349" s="16" t="s">
        <v>4867</v>
      </c>
      <c r="NOY349" s="16" t="s">
        <v>4867</v>
      </c>
      <c r="NOZ349" s="16" t="s">
        <v>4867</v>
      </c>
      <c r="NPA349" s="16" t="s">
        <v>4867</v>
      </c>
      <c r="NPB349" s="16" t="s">
        <v>4867</v>
      </c>
      <c r="NPC349" s="16" t="s">
        <v>4867</v>
      </c>
      <c r="NPD349" s="16" t="s">
        <v>4867</v>
      </c>
      <c r="NPE349" s="16" t="s">
        <v>4867</v>
      </c>
      <c r="NPF349" s="16" t="s">
        <v>4867</v>
      </c>
      <c r="NPG349" s="16" t="s">
        <v>4867</v>
      </c>
      <c r="NPH349" s="16" t="s">
        <v>4867</v>
      </c>
      <c r="NPI349" s="16" t="s">
        <v>4867</v>
      </c>
      <c r="NPJ349" s="16" t="s">
        <v>4867</v>
      </c>
      <c r="NPK349" s="16" t="s">
        <v>4867</v>
      </c>
      <c r="NPL349" s="16" t="s">
        <v>4867</v>
      </c>
      <c r="NPM349" s="16" t="s">
        <v>4867</v>
      </c>
      <c r="NPN349" s="16" t="s">
        <v>4867</v>
      </c>
      <c r="NPO349" s="16" t="s">
        <v>4867</v>
      </c>
      <c r="NPP349" s="16" t="s">
        <v>4867</v>
      </c>
      <c r="NPQ349" s="16" t="s">
        <v>4867</v>
      </c>
      <c r="NPR349" s="16" t="s">
        <v>4867</v>
      </c>
      <c r="NPS349" s="16" t="s">
        <v>4867</v>
      </c>
      <c r="NPT349" s="16" t="s">
        <v>4867</v>
      </c>
      <c r="NPU349" s="16" t="s">
        <v>4867</v>
      </c>
      <c r="NPV349" s="16" t="s">
        <v>4867</v>
      </c>
      <c r="NPW349" s="16" t="s">
        <v>4867</v>
      </c>
      <c r="NPX349" s="16" t="s">
        <v>4867</v>
      </c>
      <c r="NPY349" s="16" t="s">
        <v>4867</v>
      </c>
      <c r="NPZ349" s="16" t="s">
        <v>4867</v>
      </c>
      <c r="NQA349" s="16" t="s">
        <v>4867</v>
      </c>
      <c r="NQB349" s="16" t="s">
        <v>4867</v>
      </c>
      <c r="NQC349" s="16" t="s">
        <v>4867</v>
      </c>
      <c r="NQD349" s="16" t="s">
        <v>4867</v>
      </c>
      <c r="NQE349" s="16" t="s">
        <v>4867</v>
      </c>
      <c r="NQF349" s="16" t="s">
        <v>4867</v>
      </c>
      <c r="NQG349" s="16" t="s">
        <v>4867</v>
      </c>
      <c r="NQH349" s="16" t="s">
        <v>4867</v>
      </c>
      <c r="NQI349" s="16" t="s">
        <v>4867</v>
      </c>
      <c r="NQJ349" s="16" t="s">
        <v>4867</v>
      </c>
      <c r="NQK349" s="16" t="s">
        <v>4867</v>
      </c>
      <c r="NQL349" s="16" t="s">
        <v>4867</v>
      </c>
      <c r="NQM349" s="16" t="s">
        <v>4867</v>
      </c>
      <c r="NQN349" s="16" t="s">
        <v>4867</v>
      </c>
      <c r="NQO349" s="16" t="s">
        <v>4867</v>
      </c>
      <c r="NQP349" s="16" t="s">
        <v>4867</v>
      </c>
      <c r="NQQ349" s="16" t="s">
        <v>4867</v>
      </c>
      <c r="NQR349" s="16" t="s">
        <v>4867</v>
      </c>
      <c r="NQS349" s="16" t="s">
        <v>4867</v>
      </c>
      <c r="NQT349" s="16" t="s">
        <v>4867</v>
      </c>
      <c r="NQU349" s="16" t="s">
        <v>4867</v>
      </c>
      <c r="NQV349" s="16" t="s">
        <v>4867</v>
      </c>
      <c r="NQW349" s="16" t="s">
        <v>4867</v>
      </c>
      <c r="NQX349" s="16" t="s">
        <v>4867</v>
      </c>
      <c r="NQY349" s="16" t="s">
        <v>4867</v>
      </c>
      <c r="NQZ349" s="16" t="s">
        <v>4867</v>
      </c>
      <c r="NRA349" s="16" t="s">
        <v>4867</v>
      </c>
      <c r="NRB349" s="16" t="s">
        <v>4867</v>
      </c>
      <c r="NRC349" s="16" t="s">
        <v>4867</v>
      </c>
      <c r="NRD349" s="16" t="s">
        <v>4867</v>
      </c>
      <c r="NRE349" s="16" t="s">
        <v>4867</v>
      </c>
      <c r="NRF349" s="16" t="s">
        <v>4867</v>
      </c>
      <c r="NRG349" s="16" t="s">
        <v>4867</v>
      </c>
      <c r="NRH349" s="16" t="s">
        <v>4867</v>
      </c>
      <c r="NRI349" s="16" t="s">
        <v>4867</v>
      </c>
      <c r="NRJ349" s="16" t="s">
        <v>4867</v>
      </c>
      <c r="NRK349" s="16" t="s">
        <v>4867</v>
      </c>
      <c r="NRL349" s="16" t="s">
        <v>4867</v>
      </c>
      <c r="NRM349" s="16" t="s">
        <v>4867</v>
      </c>
      <c r="NRN349" s="16" t="s">
        <v>4867</v>
      </c>
      <c r="NRO349" s="16" t="s">
        <v>4867</v>
      </c>
      <c r="NRP349" s="16" t="s">
        <v>4867</v>
      </c>
      <c r="NRQ349" s="16" t="s">
        <v>4867</v>
      </c>
      <c r="NRR349" s="16" t="s">
        <v>4867</v>
      </c>
      <c r="NRS349" s="16" t="s">
        <v>4867</v>
      </c>
      <c r="NRT349" s="16" t="s">
        <v>4867</v>
      </c>
      <c r="NRU349" s="16" t="s">
        <v>4867</v>
      </c>
      <c r="NRV349" s="16" t="s">
        <v>4867</v>
      </c>
      <c r="NRW349" s="16" t="s">
        <v>4867</v>
      </c>
      <c r="NRX349" s="16" t="s">
        <v>4867</v>
      </c>
      <c r="NRY349" s="16" t="s">
        <v>4867</v>
      </c>
      <c r="NRZ349" s="16" t="s">
        <v>4867</v>
      </c>
      <c r="NSA349" s="16" t="s">
        <v>4867</v>
      </c>
      <c r="NSB349" s="16" t="s">
        <v>4867</v>
      </c>
      <c r="NSC349" s="16" t="s">
        <v>4867</v>
      </c>
      <c r="NSD349" s="16" t="s">
        <v>4867</v>
      </c>
      <c r="NSE349" s="16" t="s">
        <v>4867</v>
      </c>
      <c r="NSF349" s="16" t="s">
        <v>4867</v>
      </c>
      <c r="NSG349" s="16" t="s">
        <v>4867</v>
      </c>
      <c r="NSH349" s="16" t="s">
        <v>4867</v>
      </c>
      <c r="NSI349" s="16" t="s">
        <v>4867</v>
      </c>
      <c r="NSJ349" s="16" t="s">
        <v>4867</v>
      </c>
      <c r="NSK349" s="16" t="s">
        <v>4867</v>
      </c>
      <c r="NSL349" s="16" t="s">
        <v>4867</v>
      </c>
      <c r="NSM349" s="16" t="s">
        <v>4867</v>
      </c>
      <c r="NSN349" s="16" t="s">
        <v>4867</v>
      </c>
      <c r="NSO349" s="16" t="s">
        <v>4867</v>
      </c>
      <c r="NSP349" s="16" t="s">
        <v>4867</v>
      </c>
      <c r="NSQ349" s="16" t="s">
        <v>4867</v>
      </c>
      <c r="NSR349" s="16" t="s">
        <v>4867</v>
      </c>
      <c r="NSS349" s="16" t="s">
        <v>4867</v>
      </c>
      <c r="NST349" s="16" t="s">
        <v>4867</v>
      </c>
      <c r="NSU349" s="16" t="s">
        <v>4867</v>
      </c>
      <c r="NSV349" s="16" t="s">
        <v>4867</v>
      </c>
      <c r="NSW349" s="16" t="s">
        <v>4867</v>
      </c>
      <c r="NSX349" s="16" t="s">
        <v>4867</v>
      </c>
      <c r="NSY349" s="16" t="s">
        <v>4867</v>
      </c>
      <c r="NSZ349" s="16" t="s">
        <v>4867</v>
      </c>
      <c r="NTA349" s="16" t="s">
        <v>4867</v>
      </c>
      <c r="NTB349" s="16" t="s">
        <v>4867</v>
      </c>
      <c r="NTC349" s="16" t="s">
        <v>4867</v>
      </c>
      <c r="NTD349" s="16" t="s">
        <v>4867</v>
      </c>
      <c r="NTE349" s="16" t="s">
        <v>4867</v>
      </c>
      <c r="NTF349" s="16" t="s">
        <v>4867</v>
      </c>
      <c r="NTG349" s="16" t="s">
        <v>4867</v>
      </c>
      <c r="NTH349" s="16" t="s">
        <v>4867</v>
      </c>
      <c r="NTI349" s="16" t="s">
        <v>4867</v>
      </c>
      <c r="NTJ349" s="16" t="s">
        <v>4867</v>
      </c>
      <c r="NTK349" s="16" t="s">
        <v>4867</v>
      </c>
      <c r="NTL349" s="16" t="s">
        <v>4867</v>
      </c>
      <c r="NTM349" s="16" t="s">
        <v>4867</v>
      </c>
      <c r="NTN349" s="16" t="s">
        <v>4867</v>
      </c>
      <c r="NTO349" s="16" t="s">
        <v>4867</v>
      </c>
      <c r="NTP349" s="16" t="s">
        <v>4867</v>
      </c>
      <c r="NTQ349" s="16" t="s">
        <v>4867</v>
      </c>
      <c r="NTR349" s="16" t="s">
        <v>4867</v>
      </c>
      <c r="NTS349" s="16" t="s">
        <v>4867</v>
      </c>
      <c r="NTT349" s="16" t="s">
        <v>4867</v>
      </c>
      <c r="NTU349" s="16" t="s">
        <v>4867</v>
      </c>
      <c r="NTV349" s="16" t="s">
        <v>4867</v>
      </c>
      <c r="NTW349" s="16" t="s">
        <v>4867</v>
      </c>
      <c r="NTX349" s="16" t="s">
        <v>4867</v>
      </c>
      <c r="NTY349" s="16" t="s">
        <v>4867</v>
      </c>
      <c r="NTZ349" s="16" t="s">
        <v>4867</v>
      </c>
      <c r="NUA349" s="16" t="s">
        <v>4867</v>
      </c>
      <c r="NUB349" s="16" t="s">
        <v>4867</v>
      </c>
      <c r="NUC349" s="16" t="s">
        <v>4867</v>
      </c>
      <c r="NUD349" s="16" t="s">
        <v>4867</v>
      </c>
      <c r="NUE349" s="16" t="s">
        <v>4867</v>
      </c>
      <c r="NUF349" s="16" t="s">
        <v>4867</v>
      </c>
      <c r="NUG349" s="16" t="s">
        <v>4867</v>
      </c>
      <c r="NUH349" s="16" t="s">
        <v>4867</v>
      </c>
      <c r="NUI349" s="16" t="s">
        <v>4867</v>
      </c>
      <c r="NUJ349" s="16" t="s">
        <v>4867</v>
      </c>
      <c r="NUK349" s="16" t="s">
        <v>4867</v>
      </c>
      <c r="NUL349" s="16" t="s">
        <v>4867</v>
      </c>
      <c r="NUM349" s="16" t="s">
        <v>4867</v>
      </c>
      <c r="NUN349" s="16" t="s">
        <v>4867</v>
      </c>
      <c r="NUO349" s="16" t="s">
        <v>4867</v>
      </c>
      <c r="NUP349" s="16" t="s">
        <v>4867</v>
      </c>
      <c r="NUQ349" s="16" t="s">
        <v>4867</v>
      </c>
      <c r="NUR349" s="16" t="s">
        <v>4867</v>
      </c>
      <c r="NUS349" s="16" t="s">
        <v>4867</v>
      </c>
      <c r="NUT349" s="16" t="s">
        <v>4867</v>
      </c>
      <c r="NUU349" s="16" t="s">
        <v>4867</v>
      </c>
      <c r="NUV349" s="16" t="s">
        <v>4867</v>
      </c>
      <c r="NUW349" s="16" t="s">
        <v>4867</v>
      </c>
      <c r="NUX349" s="16" t="s">
        <v>4867</v>
      </c>
      <c r="NUY349" s="16" t="s">
        <v>4867</v>
      </c>
      <c r="NUZ349" s="16" t="s">
        <v>4867</v>
      </c>
      <c r="NVA349" s="16" t="s">
        <v>4867</v>
      </c>
      <c r="NVB349" s="16" t="s">
        <v>4867</v>
      </c>
      <c r="NVC349" s="16" t="s">
        <v>4867</v>
      </c>
      <c r="NVD349" s="16" t="s">
        <v>4867</v>
      </c>
      <c r="NVE349" s="16" t="s">
        <v>4867</v>
      </c>
      <c r="NVF349" s="16" t="s">
        <v>4867</v>
      </c>
      <c r="NVG349" s="16" t="s">
        <v>4867</v>
      </c>
      <c r="NVH349" s="16" t="s">
        <v>4867</v>
      </c>
      <c r="NVI349" s="16" t="s">
        <v>4867</v>
      </c>
      <c r="NVJ349" s="16" t="s">
        <v>4867</v>
      </c>
      <c r="NVK349" s="16" t="s">
        <v>4867</v>
      </c>
      <c r="NVL349" s="16" t="s">
        <v>4867</v>
      </c>
      <c r="NVM349" s="16" t="s">
        <v>4867</v>
      </c>
      <c r="NVN349" s="16" t="s">
        <v>4867</v>
      </c>
      <c r="NVO349" s="16" t="s">
        <v>4867</v>
      </c>
      <c r="NVP349" s="16" t="s">
        <v>4867</v>
      </c>
      <c r="NVQ349" s="16" t="s">
        <v>4867</v>
      </c>
      <c r="NVR349" s="16" t="s">
        <v>4867</v>
      </c>
      <c r="NVS349" s="16" t="s">
        <v>4867</v>
      </c>
      <c r="NVT349" s="16" t="s">
        <v>4867</v>
      </c>
      <c r="NVU349" s="16" t="s">
        <v>4867</v>
      </c>
      <c r="NVV349" s="16" t="s">
        <v>4867</v>
      </c>
      <c r="NVW349" s="16" t="s">
        <v>4867</v>
      </c>
      <c r="NVX349" s="16" t="s">
        <v>4867</v>
      </c>
      <c r="NVY349" s="16" t="s">
        <v>4867</v>
      </c>
      <c r="NVZ349" s="16" t="s">
        <v>4867</v>
      </c>
      <c r="NWA349" s="16" t="s">
        <v>4867</v>
      </c>
      <c r="NWB349" s="16" t="s">
        <v>4867</v>
      </c>
      <c r="NWC349" s="16" t="s">
        <v>4867</v>
      </c>
      <c r="NWD349" s="16" t="s">
        <v>4867</v>
      </c>
      <c r="NWE349" s="16" t="s">
        <v>4867</v>
      </c>
      <c r="NWF349" s="16" t="s">
        <v>4867</v>
      </c>
      <c r="NWG349" s="16" t="s">
        <v>4867</v>
      </c>
      <c r="NWH349" s="16" t="s">
        <v>4867</v>
      </c>
      <c r="NWI349" s="16" t="s">
        <v>4867</v>
      </c>
      <c r="NWJ349" s="16" t="s">
        <v>4867</v>
      </c>
      <c r="NWK349" s="16" t="s">
        <v>4867</v>
      </c>
      <c r="NWL349" s="16" t="s">
        <v>4867</v>
      </c>
      <c r="NWM349" s="16" t="s">
        <v>4867</v>
      </c>
      <c r="NWN349" s="16" t="s">
        <v>4867</v>
      </c>
      <c r="NWO349" s="16" t="s">
        <v>4867</v>
      </c>
      <c r="NWP349" s="16" t="s">
        <v>4867</v>
      </c>
      <c r="NWQ349" s="16" t="s">
        <v>4867</v>
      </c>
      <c r="NWR349" s="16" t="s">
        <v>4867</v>
      </c>
      <c r="NWS349" s="16" t="s">
        <v>4867</v>
      </c>
      <c r="NWT349" s="16" t="s">
        <v>4867</v>
      </c>
      <c r="NWU349" s="16" t="s">
        <v>4867</v>
      </c>
      <c r="NWV349" s="16" t="s">
        <v>4867</v>
      </c>
      <c r="NWW349" s="16" t="s">
        <v>4867</v>
      </c>
      <c r="NWX349" s="16" t="s">
        <v>4867</v>
      </c>
      <c r="NWY349" s="16" t="s">
        <v>4867</v>
      </c>
      <c r="NWZ349" s="16" t="s">
        <v>4867</v>
      </c>
      <c r="NXA349" s="16" t="s">
        <v>4867</v>
      </c>
      <c r="NXB349" s="16" t="s">
        <v>4867</v>
      </c>
      <c r="NXC349" s="16" t="s">
        <v>4867</v>
      </c>
      <c r="NXD349" s="16" t="s">
        <v>4867</v>
      </c>
      <c r="NXE349" s="16" t="s">
        <v>4867</v>
      </c>
      <c r="NXF349" s="16" t="s">
        <v>4867</v>
      </c>
      <c r="NXG349" s="16" t="s">
        <v>4867</v>
      </c>
      <c r="NXH349" s="16" t="s">
        <v>4867</v>
      </c>
      <c r="NXI349" s="16" t="s">
        <v>4867</v>
      </c>
      <c r="NXJ349" s="16" t="s">
        <v>4867</v>
      </c>
      <c r="NXK349" s="16" t="s">
        <v>4867</v>
      </c>
      <c r="NXL349" s="16" t="s">
        <v>4867</v>
      </c>
      <c r="NXM349" s="16" t="s">
        <v>4867</v>
      </c>
      <c r="NXN349" s="16" t="s">
        <v>4867</v>
      </c>
      <c r="NXO349" s="16" t="s">
        <v>4867</v>
      </c>
      <c r="NXP349" s="16" t="s">
        <v>4867</v>
      </c>
      <c r="NXQ349" s="16" t="s">
        <v>4867</v>
      </c>
      <c r="NXR349" s="16" t="s">
        <v>4867</v>
      </c>
      <c r="NXS349" s="16" t="s">
        <v>4867</v>
      </c>
      <c r="NXT349" s="16" t="s">
        <v>4867</v>
      </c>
      <c r="NXU349" s="16" t="s">
        <v>4867</v>
      </c>
      <c r="NXV349" s="16" t="s">
        <v>4867</v>
      </c>
      <c r="NXW349" s="16" t="s">
        <v>4867</v>
      </c>
      <c r="NXX349" s="16" t="s">
        <v>4867</v>
      </c>
      <c r="NXY349" s="16" t="s">
        <v>4867</v>
      </c>
      <c r="NXZ349" s="16" t="s">
        <v>4867</v>
      </c>
      <c r="NYA349" s="16" t="s">
        <v>4867</v>
      </c>
      <c r="NYB349" s="16" t="s">
        <v>4867</v>
      </c>
      <c r="NYC349" s="16" t="s">
        <v>4867</v>
      </c>
      <c r="NYD349" s="16" t="s">
        <v>4867</v>
      </c>
      <c r="NYE349" s="16" t="s">
        <v>4867</v>
      </c>
      <c r="NYF349" s="16" t="s">
        <v>4867</v>
      </c>
      <c r="NYG349" s="16" t="s">
        <v>4867</v>
      </c>
      <c r="NYH349" s="16" t="s">
        <v>4867</v>
      </c>
      <c r="NYI349" s="16" t="s">
        <v>4867</v>
      </c>
      <c r="NYJ349" s="16" t="s">
        <v>4867</v>
      </c>
      <c r="NYK349" s="16" t="s">
        <v>4867</v>
      </c>
      <c r="NYL349" s="16" t="s">
        <v>4867</v>
      </c>
      <c r="NYM349" s="16" t="s">
        <v>4867</v>
      </c>
      <c r="NYN349" s="16" t="s">
        <v>4867</v>
      </c>
      <c r="NYO349" s="16" t="s">
        <v>4867</v>
      </c>
      <c r="NYP349" s="16" t="s">
        <v>4867</v>
      </c>
      <c r="NYQ349" s="16" t="s">
        <v>4867</v>
      </c>
      <c r="NYR349" s="16" t="s">
        <v>4867</v>
      </c>
      <c r="NYS349" s="16" t="s">
        <v>4867</v>
      </c>
      <c r="NYT349" s="16" t="s">
        <v>4867</v>
      </c>
      <c r="NYU349" s="16" t="s">
        <v>4867</v>
      </c>
      <c r="NYV349" s="16" t="s">
        <v>4867</v>
      </c>
      <c r="NYW349" s="16" t="s">
        <v>4867</v>
      </c>
      <c r="NYX349" s="16" t="s">
        <v>4867</v>
      </c>
      <c r="NYY349" s="16" t="s">
        <v>4867</v>
      </c>
      <c r="NYZ349" s="16" t="s">
        <v>4867</v>
      </c>
      <c r="NZA349" s="16" t="s">
        <v>4867</v>
      </c>
      <c r="NZB349" s="16" t="s">
        <v>4867</v>
      </c>
      <c r="NZC349" s="16" t="s">
        <v>4867</v>
      </c>
      <c r="NZD349" s="16" t="s">
        <v>4867</v>
      </c>
      <c r="NZE349" s="16" t="s">
        <v>4867</v>
      </c>
      <c r="NZF349" s="16" t="s">
        <v>4867</v>
      </c>
      <c r="NZG349" s="16" t="s">
        <v>4867</v>
      </c>
      <c r="NZH349" s="16" t="s">
        <v>4867</v>
      </c>
      <c r="NZI349" s="16" t="s">
        <v>4867</v>
      </c>
      <c r="NZJ349" s="16" t="s">
        <v>4867</v>
      </c>
      <c r="NZK349" s="16" t="s">
        <v>4867</v>
      </c>
      <c r="NZL349" s="16" t="s">
        <v>4867</v>
      </c>
      <c r="NZM349" s="16" t="s">
        <v>4867</v>
      </c>
      <c r="NZN349" s="16" t="s">
        <v>4867</v>
      </c>
      <c r="NZO349" s="16" t="s">
        <v>4867</v>
      </c>
      <c r="NZP349" s="16" t="s">
        <v>4867</v>
      </c>
      <c r="NZQ349" s="16" t="s">
        <v>4867</v>
      </c>
      <c r="NZR349" s="16" t="s">
        <v>4867</v>
      </c>
      <c r="NZS349" s="16" t="s">
        <v>4867</v>
      </c>
      <c r="NZT349" s="16" t="s">
        <v>4867</v>
      </c>
      <c r="NZU349" s="16" t="s">
        <v>4867</v>
      </c>
      <c r="NZV349" s="16" t="s">
        <v>4867</v>
      </c>
      <c r="NZW349" s="16" t="s">
        <v>4867</v>
      </c>
      <c r="NZX349" s="16" t="s">
        <v>4867</v>
      </c>
      <c r="NZY349" s="16" t="s">
        <v>4867</v>
      </c>
      <c r="NZZ349" s="16" t="s">
        <v>4867</v>
      </c>
      <c r="OAA349" s="16" t="s">
        <v>4867</v>
      </c>
      <c r="OAB349" s="16" t="s">
        <v>4867</v>
      </c>
      <c r="OAC349" s="16" t="s">
        <v>4867</v>
      </c>
      <c r="OAD349" s="16" t="s">
        <v>4867</v>
      </c>
      <c r="OAE349" s="16" t="s">
        <v>4867</v>
      </c>
      <c r="OAF349" s="16" t="s">
        <v>4867</v>
      </c>
      <c r="OAG349" s="16" t="s">
        <v>4867</v>
      </c>
      <c r="OAH349" s="16" t="s">
        <v>4867</v>
      </c>
      <c r="OAI349" s="16" t="s">
        <v>4867</v>
      </c>
      <c r="OAJ349" s="16" t="s">
        <v>4867</v>
      </c>
      <c r="OAK349" s="16" t="s">
        <v>4867</v>
      </c>
      <c r="OAL349" s="16" t="s">
        <v>4867</v>
      </c>
      <c r="OAM349" s="16" t="s">
        <v>4867</v>
      </c>
      <c r="OAN349" s="16" t="s">
        <v>4867</v>
      </c>
      <c r="OAO349" s="16" t="s">
        <v>4867</v>
      </c>
      <c r="OAP349" s="16" t="s">
        <v>4867</v>
      </c>
      <c r="OAQ349" s="16" t="s">
        <v>4867</v>
      </c>
      <c r="OAR349" s="16" t="s">
        <v>4867</v>
      </c>
      <c r="OAS349" s="16" t="s">
        <v>4867</v>
      </c>
      <c r="OAT349" s="16" t="s">
        <v>4867</v>
      </c>
      <c r="OAU349" s="16" t="s">
        <v>4867</v>
      </c>
      <c r="OAV349" s="16" t="s">
        <v>4867</v>
      </c>
      <c r="OAW349" s="16" t="s">
        <v>4867</v>
      </c>
      <c r="OAX349" s="16" t="s">
        <v>4867</v>
      </c>
      <c r="OAY349" s="16" t="s">
        <v>4867</v>
      </c>
      <c r="OAZ349" s="16" t="s">
        <v>4867</v>
      </c>
      <c r="OBA349" s="16" t="s">
        <v>4867</v>
      </c>
      <c r="OBB349" s="16" t="s">
        <v>4867</v>
      </c>
      <c r="OBC349" s="16" t="s">
        <v>4867</v>
      </c>
      <c r="OBD349" s="16" t="s">
        <v>4867</v>
      </c>
      <c r="OBE349" s="16" t="s">
        <v>4867</v>
      </c>
      <c r="OBF349" s="16" t="s">
        <v>4867</v>
      </c>
      <c r="OBG349" s="16" t="s">
        <v>4867</v>
      </c>
      <c r="OBH349" s="16" t="s">
        <v>4867</v>
      </c>
      <c r="OBI349" s="16" t="s">
        <v>4867</v>
      </c>
      <c r="OBJ349" s="16" t="s">
        <v>4867</v>
      </c>
      <c r="OBK349" s="16" t="s">
        <v>4867</v>
      </c>
      <c r="OBL349" s="16" t="s">
        <v>4867</v>
      </c>
      <c r="OBM349" s="16" t="s">
        <v>4867</v>
      </c>
      <c r="OBN349" s="16" t="s">
        <v>4867</v>
      </c>
      <c r="OBO349" s="16" t="s">
        <v>4867</v>
      </c>
      <c r="OBP349" s="16" t="s">
        <v>4867</v>
      </c>
      <c r="OBQ349" s="16" t="s">
        <v>4867</v>
      </c>
      <c r="OBR349" s="16" t="s">
        <v>4867</v>
      </c>
      <c r="OBS349" s="16" t="s">
        <v>4867</v>
      </c>
      <c r="OBT349" s="16" t="s">
        <v>4867</v>
      </c>
      <c r="OBU349" s="16" t="s">
        <v>4867</v>
      </c>
      <c r="OBV349" s="16" t="s">
        <v>4867</v>
      </c>
      <c r="OBW349" s="16" t="s">
        <v>4867</v>
      </c>
      <c r="OBX349" s="16" t="s">
        <v>4867</v>
      </c>
      <c r="OBY349" s="16" t="s">
        <v>4867</v>
      </c>
      <c r="OBZ349" s="16" t="s">
        <v>4867</v>
      </c>
      <c r="OCA349" s="16" t="s">
        <v>4867</v>
      </c>
      <c r="OCB349" s="16" t="s">
        <v>4867</v>
      </c>
      <c r="OCC349" s="16" t="s">
        <v>4867</v>
      </c>
      <c r="OCD349" s="16" t="s">
        <v>4867</v>
      </c>
      <c r="OCE349" s="16" t="s">
        <v>4867</v>
      </c>
      <c r="OCF349" s="16" t="s">
        <v>4867</v>
      </c>
      <c r="OCG349" s="16" t="s">
        <v>4867</v>
      </c>
      <c r="OCH349" s="16" t="s">
        <v>4867</v>
      </c>
      <c r="OCI349" s="16" t="s">
        <v>4867</v>
      </c>
      <c r="OCJ349" s="16" t="s">
        <v>4867</v>
      </c>
      <c r="OCK349" s="16" t="s">
        <v>4867</v>
      </c>
      <c r="OCL349" s="16" t="s">
        <v>4867</v>
      </c>
      <c r="OCM349" s="16" t="s">
        <v>4867</v>
      </c>
      <c r="OCN349" s="16" t="s">
        <v>4867</v>
      </c>
      <c r="OCO349" s="16" t="s">
        <v>4867</v>
      </c>
      <c r="OCP349" s="16" t="s">
        <v>4867</v>
      </c>
      <c r="OCQ349" s="16" t="s">
        <v>4867</v>
      </c>
      <c r="OCR349" s="16" t="s">
        <v>4867</v>
      </c>
      <c r="OCS349" s="16" t="s">
        <v>4867</v>
      </c>
      <c r="OCT349" s="16" t="s">
        <v>4867</v>
      </c>
      <c r="OCU349" s="16" t="s">
        <v>4867</v>
      </c>
      <c r="OCV349" s="16" t="s">
        <v>4867</v>
      </c>
      <c r="OCW349" s="16" t="s">
        <v>4867</v>
      </c>
      <c r="OCX349" s="16" t="s">
        <v>4867</v>
      </c>
      <c r="OCY349" s="16" t="s">
        <v>4867</v>
      </c>
      <c r="OCZ349" s="16" t="s">
        <v>4867</v>
      </c>
      <c r="ODA349" s="16" t="s">
        <v>4867</v>
      </c>
      <c r="ODB349" s="16" t="s">
        <v>4867</v>
      </c>
      <c r="ODC349" s="16" t="s">
        <v>4867</v>
      </c>
      <c r="ODD349" s="16" t="s">
        <v>4867</v>
      </c>
      <c r="ODE349" s="16" t="s">
        <v>4867</v>
      </c>
      <c r="ODF349" s="16" t="s">
        <v>4867</v>
      </c>
      <c r="ODG349" s="16" t="s">
        <v>4867</v>
      </c>
      <c r="ODH349" s="16" t="s">
        <v>4867</v>
      </c>
      <c r="ODI349" s="16" t="s">
        <v>4867</v>
      </c>
      <c r="ODJ349" s="16" t="s">
        <v>4867</v>
      </c>
      <c r="ODK349" s="16" t="s">
        <v>4867</v>
      </c>
      <c r="ODL349" s="16" t="s">
        <v>4867</v>
      </c>
      <c r="ODM349" s="16" t="s">
        <v>4867</v>
      </c>
      <c r="ODN349" s="16" t="s">
        <v>4867</v>
      </c>
      <c r="ODO349" s="16" t="s">
        <v>4867</v>
      </c>
      <c r="ODP349" s="16" t="s">
        <v>4867</v>
      </c>
      <c r="ODQ349" s="16" t="s">
        <v>4867</v>
      </c>
      <c r="ODR349" s="16" t="s">
        <v>4867</v>
      </c>
      <c r="ODS349" s="16" t="s">
        <v>4867</v>
      </c>
      <c r="ODT349" s="16" t="s">
        <v>4867</v>
      </c>
      <c r="ODU349" s="16" t="s">
        <v>4867</v>
      </c>
      <c r="ODV349" s="16" t="s">
        <v>4867</v>
      </c>
      <c r="ODW349" s="16" t="s">
        <v>4867</v>
      </c>
      <c r="ODX349" s="16" t="s">
        <v>4867</v>
      </c>
      <c r="ODY349" s="16" t="s">
        <v>4867</v>
      </c>
      <c r="ODZ349" s="16" t="s">
        <v>4867</v>
      </c>
      <c r="OEA349" s="16" t="s">
        <v>4867</v>
      </c>
      <c r="OEB349" s="16" t="s">
        <v>4867</v>
      </c>
      <c r="OEC349" s="16" t="s">
        <v>4867</v>
      </c>
      <c r="OED349" s="16" t="s">
        <v>4867</v>
      </c>
      <c r="OEE349" s="16" t="s">
        <v>4867</v>
      </c>
      <c r="OEF349" s="16" t="s">
        <v>4867</v>
      </c>
      <c r="OEG349" s="16" t="s">
        <v>4867</v>
      </c>
      <c r="OEH349" s="16" t="s">
        <v>4867</v>
      </c>
      <c r="OEI349" s="16" t="s">
        <v>4867</v>
      </c>
      <c r="OEJ349" s="16" t="s">
        <v>4867</v>
      </c>
      <c r="OEK349" s="16" t="s">
        <v>4867</v>
      </c>
      <c r="OEL349" s="16" t="s">
        <v>4867</v>
      </c>
      <c r="OEM349" s="16" t="s">
        <v>4867</v>
      </c>
      <c r="OEN349" s="16" t="s">
        <v>4867</v>
      </c>
      <c r="OEO349" s="16" t="s">
        <v>4867</v>
      </c>
      <c r="OEP349" s="16" t="s">
        <v>4867</v>
      </c>
      <c r="OEQ349" s="16" t="s">
        <v>4867</v>
      </c>
      <c r="OER349" s="16" t="s">
        <v>4867</v>
      </c>
      <c r="OES349" s="16" t="s">
        <v>4867</v>
      </c>
      <c r="OET349" s="16" t="s">
        <v>4867</v>
      </c>
      <c r="OEU349" s="16" t="s">
        <v>4867</v>
      </c>
      <c r="OEV349" s="16" t="s">
        <v>4867</v>
      </c>
      <c r="OEW349" s="16" t="s">
        <v>4867</v>
      </c>
      <c r="OEX349" s="16" t="s">
        <v>4867</v>
      </c>
      <c r="OEY349" s="16" t="s">
        <v>4867</v>
      </c>
      <c r="OEZ349" s="16" t="s">
        <v>4867</v>
      </c>
      <c r="OFA349" s="16" t="s">
        <v>4867</v>
      </c>
      <c r="OFB349" s="16" t="s">
        <v>4867</v>
      </c>
      <c r="OFC349" s="16" t="s">
        <v>4867</v>
      </c>
      <c r="OFD349" s="16" t="s">
        <v>4867</v>
      </c>
      <c r="OFE349" s="16" t="s">
        <v>4867</v>
      </c>
      <c r="OFF349" s="16" t="s">
        <v>4867</v>
      </c>
      <c r="OFG349" s="16" t="s">
        <v>4867</v>
      </c>
      <c r="OFH349" s="16" t="s">
        <v>4867</v>
      </c>
      <c r="OFI349" s="16" t="s">
        <v>4867</v>
      </c>
      <c r="OFJ349" s="16" t="s">
        <v>4867</v>
      </c>
      <c r="OFK349" s="16" t="s">
        <v>4867</v>
      </c>
      <c r="OFL349" s="16" t="s">
        <v>4867</v>
      </c>
      <c r="OFM349" s="16" t="s">
        <v>4867</v>
      </c>
      <c r="OFN349" s="16" t="s">
        <v>4867</v>
      </c>
      <c r="OFO349" s="16" t="s">
        <v>4867</v>
      </c>
      <c r="OFP349" s="16" t="s">
        <v>4867</v>
      </c>
      <c r="OFQ349" s="16" t="s">
        <v>4867</v>
      </c>
      <c r="OFR349" s="16" t="s">
        <v>4867</v>
      </c>
      <c r="OFS349" s="16" t="s">
        <v>4867</v>
      </c>
      <c r="OFT349" s="16" t="s">
        <v>4867</v>
      </c>
      <c r="OFU349" s="16" t="s">
        <v>4867</v>
      </c>
      <c r="OFV349" s="16" t="s">
        <v>4867</v>
      </c>
      <c r="OFW349" s="16" t="s">
        <v>4867</v>
      </c>
      <c r="OFX349" s="16" t="s">
        <v>4867</v>
      </c>
      <c r="OFY349" s="16" t="s">
        <v>4867</v>
      </c>
      <c r="OFZ349" s="16" t="s">
        <v>4867</v>
      </c>
      <c r="OGA349" s="16" t="s">
        <v>4867</v>
      </c>
      <c r="OGB349" s="16" t="s">
        <v>4867</v>
      </c>
      <c r="OGC349" s="16" t="s">
        <v>4867</v>
      </c>
      <c r="OGD349" s="16" t="s">
        <v>4867</v>
      </c>
      <c r="OGE349" s="16" t="s">
        <v>4867</v>
      </c>
      <c r="OGF349" s="16" t="s">
        <v>4867</v>
      </c>
      <c r="OGG349" s="16" t="s">
        <v>4867</v>
      </c>
      <c r="OGH349" s="16" t="s">
        <v>4867</v>
      </c>
      <c r="OGI349" s="16" t="s">
        <v>4867</v>
      </c>
      <c r="OGJ349" s="16" t="s">
        <v>4867</v>
      </c>
      <c r="OGK349" s="16" t="s">
        <v>4867</v>
      </c>
      <c r="OGL349" s="16" t="s">
        <v>4867</v>
      </c>
      <c r="OGM349" s="16" t="s">
        <v>4867</v>
      </c>
      <c r="OGN349" s="16" t="s">
        <v>4867</v>
      </c>
      <c r="OGO349" s="16" t="s">
        <v>4867</v>
      </c>
      <c r="OGP349" s="16" t="s">
        <v>4867</v>
      </c>
      <c r="OGQ349" s="16" t="s">
        <v>4867</v>
      </c>
      <c r="OGR349" s="16" t="s">
        <v>4867</v>
      </c>
      <c r="OGS349" s="16" t="s">
        <v>4867</v>
      </c>
      <c r="OGT349" s="16" t="s">
        <v>4867</v>
      </c>
      <c r="OGU349" s="16" t="s">
        <v>4867</v>
      </c>
      <c r="OGV349" s="16" t="s">
        <v>4867</v>
      </c>
      <c r="OGW349" s="16" t="s">
        <v>4867</v>
      </c>
      <c r="OGX349" s="16" t="s">
        <v>4867</v>
      </c>
      <c r="OGY349" s="16" t="s">
        <v>4867</v>
      </c>
      <c r="OGZ349" s="16" t="s">
        <v>4867</v>
      </c>
      <c r="OHA349" s="16" t="s">
        <v>4867</v>
      </c>
      <c r="OHB349" s="16" t="s">
        <v>4867</v>
      </c>
      <c r="OHC349" s="16" t="s">
        <v>4867</v>
      </c>
      <c r="OHD349" s="16" t="s">
        <v>4867</v>
      </c>
      <c r="OHE349" s="16" t="s">
        <v>4867</v>
      </c>
      <c r="OHF349" s="16" t="s">
        <v>4867</v>
      </c>
      <c r="OHG349" s="16" t="s">
        <v>4867</v>
      </c>
      <c r="OHH349" s="16" t="s">
        <v>4867</v>
      </c>
      <c r="OHI349" s="16" t="s">
        <v>4867</v>
      </c>
      <c r="OHJ349" s="16" t="s">
        <v>4867</v>
      </c>
      <c r="OHK349" s="16" t="s">
        <v>4867</v>
      </c>
      <c r="OHL349" s="16" t="s">
        <v>4867</v>
      </c>
      <c r="OHM349" s="16" t="s">
        <v>4867</v>
      </c>
      <c r="OHN349" s="16" t="s">
        <v>4867</v>
      </c>
      <c r="OHO349" s="16" t="s">
        <v>4867</v>
      </c>
      <c r="OHP349" s="16" t="s">
        <v>4867</v>
      </c>
      <c r="OHQ349" s="16" t="s">
        <v>4867</v>
      </c>
      <c r="OHR349" s="16" t="s">
        <v>4867</v>
      </c>
      <c r="OHS349" s="16" t="s">
        <v>4867</v>
      </c>
      <c r="OHT349" s="16" t="s">
        <v>4867</v>
      </c>
      <c r="OHU349" s="16" t="s">
        <v>4867</v>
      </c>
      <c r="OHV349" s="16" t="s">
        <v>4867</v>
      </c>
      <c r="OHW349" s="16" t="s">
        <v>4867</v>
      </c>
      <c r="OHX349" s="16" t="s">
        <v>4867</v>
      </c>
      <c r="OHY349" s="16" t="s">
        <v>4867</v>
      </c>
      <c r="OHZ349" s="16" t="s">
        <v>4867</v>
      </c>
      <c r="OIA349" s="16" t="s">
        <v>4867</v>
      </c>
      <c r="OIB349" s="16" t="s">
        <v>4867</v>
      </c>
      <c r="OIC349" s="16" t="s">
        <v>4867</v>
      </c>
      <c r="OID349" s="16" t="s">
        <v>4867</v>
      </c>
      <c r="OIE349" s="16" t="s">
        <v>4867</v>
      </c>
      <c r="OIF349" s="16" t="s">
        <v>4867</v>
      </c>
      <c r="OIG349" s="16" t="s">
        <v>4867</v>
      </c>
      <c r="OIH349" s="16" t="s">
        <v>4867</v>
      </c>
      <c r="OII349" s="16" t="s">
        <v>4867</v>
      </c>
      <c r="OIJ349" s="16" t="s">
        <v>4867</v>
      </c>
      <c r="OIK349" s="16" t="s">
        <v>4867</v>
      </c>
      <c r="OIL349" s="16" t="s">
        <v>4867</v>
      </c>
      <c r="OIM349" s="16" t="s">
        <v>4867</v>
      </c>
      <c r="OIN349" s="16" t="s">
        <v>4867</v>
      </c>
      <c r="OIO349" s="16" t="s">
        <v>4867</v>
      </c>
      <c r="OIP349" s="16" t="s">
        <v>4867</v>
      </c>
      <c r="OIQ349" s="16" t="s">
        <v>4867</v>
      </c>
      <c r="OIR349" s="16" t="s">
        <v>4867</v>
      </c>
      <c r="OIS349" s="16" t="s">
        <v>4867</v>
      </c>
      <c r="OIT349" s="16" t="s">
        <v>4867</v>
      </c>
      <c r="OIU349" s="16" t="s">
        <v>4867</v>
      </c>
      <c r="OIV349" s="16" t="s">
        <v>4867</v>
      </c>
      <c r="OIW349" s="16" t="s">
        <v>4867</v>
      </c>
      <c r="OIX349" s="16" t="s">
        <v>4867</v>
      </c>
      <c r="OIY349" s="16" t="s">
        <v>4867</v>
      </c>
      <c r="OIZ349" s="16" t="s">
        <v>4867</v>
      </c>
      <c r="OJA349" s="16" t="s">
        <v>4867</v>
      </c>
      <c r="OJB349" s="16" t="s">
        <v>4867</v>
      </c>
      <c r="OJC349" s="16" t="s">
        <v>4867</v>
      </c>
      <c r="OJD349" s="16" t="s">
        <v>4867</v>
      </c>
      <c r="OJE349" s="16" t="s">
        <v>4867</v>
      </c>
      <c r="OJF349" s="16" t="s">
        <v>4867</v>
      </c>
      <c r="OJG349" s="16" t="s">
        <v>4867</v>
      </c>
      <c r="OJH349" s="16" t="s">
        <v>4867</v>
      </c>
      <c r="OJI349" s="16" t="s">
        <v>4867</v>
      </c>
      <c r="OJJ349" s="16" t="s">
        <v>4867</v>
      </c>
      <c r="OJK349" s="16" t="s">
        <v>4867</v>
      </c>
      <c r="OJL349" s="16" t="s">
        <v>4867</v>
      </c>
      <c r="OJM349" s="16" t="s">
        <v>4867</v>
      </c>
      <c r="OJN349" s="16" t="s">
        <v>4867</v>
      </c>
      <c r="OJO349" s="16" t="s">
        <v>4867</v>
      </c>
      <c r="OJP349" s="16" t="s">
        <v>4867</v>
      </c>
      <c r="OJQ349" s="16" t="s">
        <v>4867</v>
      </c>
      <c r="OJR349" s="16" t="s">
        <v>4867</v>
      </c>
      <c r="OJS349" s="16" t="s">
        <v>4867</v>
      </c>
      <c r="OJT349" s="16" t="s">
        <v>4867</v>
      </c>
      <c r="OJU349" s="16" t="s">
        <v>4867</v>
      </c>
      <c r="OJV349" s="16" t="s">
        <v>4867</v>
      </c>
      <c r="OJW349" s="16" t="s">
        <v>4867</v>
      </c>
      <c r="OJX349" s="16" t="s">
        <v>4867</v>
      </c>
      <c r="OJY349" s="16" t="s">
        <v>4867</v>
      </c>
      <c r="OJZ349" s="16" t="s">
        <v>4867</v>
      </c>
      <c r="OKA349" s="16" t="s">
        <v>4867</v>
      </c>
      <c r="OKB349" s="16" t="s">
        <v>4867</v>
      </c>
      <c r="OKC349" s="16" t="s">
        <v>4867</v>
      </c>
      <c r="OKD349" s="16" t="s">
        <v>4867</v>
      </c>
      <c r="OKE349" s="16" t="s">
        <v>4867</v>
      </c>
      <c r="OKF349" s="16" t="s">
        <v>4867</v>
      </c>
      <c r="OKG349" s="16" t="s">
        <v>4867</v>
      </c>
      <c r="OKH349" s="16" t="s">
        <v>4867</v>
      </c>
      <c r="OKI349" s="16" t="s">
        <v>4867</v>
      </c>
      <c r="OKJ349" s="16" t="s">
        <v>4867</v>
      </c>
      <c r="OKK349" s="16" t="s">
        <v>4867</v>
      </c>
      <c r="OKL349" s="16" t="s">
        <v>4867</v>
      </c>
      <c r="OKM349" s="16" t="s">
        <v>4867</v>
      </c>
      <c r="OKN349" s="16" t="s">
        <v>4867</v>
      </c>
      <c r="OKO349" s="16" t="s">
        <v>4867</v>
      </c>
      <c r="OKP349" s="16" t="s">
        <v>4867</v>
      </c>
      <c r="OKQ349" s="16" t="s">
        <v>4867</v>
      </c>
      <c r="OKR349" s="16" t="s">
        <v>4867</v>
      </c>
      <c r="OKS349" s="16" t="s">
        <v>4867</v>
      </c>
      <c r="OKT349" s="16" t="s">
        <v>4867</v>
      </c>
      <c r="OKU349" s="16" t="s">
        <v>4867</v>
      </c>
      <c r="OKV349" s="16" t="s">
        <v>4867</v>
      </c>
      <c r="OKW349" s="16" t="s">
        <v>4867</v>
      </c>
      <c r="OKX349" s="16" t="s">
        <v>4867</v>
      </c>
      <c r="OKY349" s="16" t="s">
        <v>4867</v>
      </c>
      <c r="OKZ349" s="16" t="s">
        <v>4867</v>
      </c>
      <c r="OLA349" s="16" t="s">
        <v>4867</v>
      </c>
      <c r="OLB349" s="16" t="s">
        <v>4867</v>
      </c>
      <c r="OLC349" s="16" t="s">
        <v>4867</v>
      </c>
      <c r="OLD349" s="16" t="s">
        <v>4867</v>
      </c>
      <c r="OLE349" s="16" t="s">
        <v>4867</v>
      </c>
      <c r="OLF349" s="16" t="s">
        <v>4867</v>
      </c>
      <c r="OLG349" s="16" t="s">
        <v>4867</v>
      </c>
      <c r="OLH349" s="16" t="s">
        <v>4867</v>
      </c>
      <c r="OLI349" s="16" t="s">
        <v>4867</v>
      </c>
      <c r="OLJ349" s="16" t="s">
        <v>4867</v>
      </c>
      <c r="OLK349" s="16" t="s">
        <v>4867</v>
      </c>
      <c r="OLL349" s="16" t="s">
        <v>4867</v>
      </c>
      <c r="OLM349" s="16" t="s">
        <v>4867</v>
      </c>
      <c r="OLN349" s="16" t="s">
        <v>4867</v>
      </c>
      <c r="OLO349" s="16" t="s">
        <v>4867</v>
      </c>
      <c r="OLP349" s="16" t="s">
        <v>4867</v>
      </c>
      <c r="OLQ349" s="16" t="s">
        <v>4867</v>
      </c>
      <c r="OLR349" s="16" t="s">
        <v>4867</v>
      </c>
      <c r="OLS349" s="16" t="s">
        <v>4867</v>
      </c>
      <c r="OLT349" s="16" t="s">
        <v>4867</v>
      </c>
      <c r="OLU349" s="16" t="s">
        <v>4867</v>
      </c>
      <c r="OLV349" s="16" t="s">
        <v>4867</v>
      </c>
      <c r="OLW349" s="16" t="s">
        <v>4867</v>
      </c>
      <c r="OLX349" s="16" t="s">
        <v>4867</v>
      </c>
      <c r="OLY349" s="16" t="s">
        <v>4867</v>
      </c>
      <c r="OLZ349" s="16" t="s">
        <v>4867</v>
      </c>
      <c r="OMA349" s="16" t="s">
        <v>4867</v>
      </c>
      <c r="OMB349" s="16" t="s">
        <v>4867</v>
      </c>
      <c r="OMC349" s="16" t="s">
        <v>4867</v>
      </c>
      <c r="OMD349" s="16" t="s">
        <v>4867</v>
      </c>
      <c r="OME349" s="16" t="s">
        <v>4867</v>
      </c>
      <c r="OMF349" s="16" t="s">
        <v>4867</v>
      </c>
      <c r="OMG349" s="16" t="s">
        <v>4867</v>
      </c>
      <c r="OMH349" s="16" t="s">
        <v>4867</v>
      </c>
      <c r="OMI349" s="16" t="s">
        <v>4867</v>
      </c>
      <c r="OMJ349" s="16" t="s">
        <v>4867</v>
      </c>
      <c r="OMK349" s="16" t="s">
        <v>4867</v>
      </c>
      <c r="OML349" s="16" t="s">
        <v>4867</v>
      </c>
      <c r="OMM349" s="16" t="s">
        <v>4867</v>
      </c>
      <c r="OMN349" s="16" t="s">
        <v>4867</v>
      </c>
      <c r="OMO349" s="16" t="s">
        <v>4867</v>
      </c>
      <c r="OMP349" s="16" t="s">
        <v>4867</v>
      </c>
      <c r="OMQ349" s="16" t="s">
        <v>4867</v>
      </c>
      <c r="OMR349" s="16" t="s">
        <v>4867</v>
      </c>
      <c r="OMS349" s="16" t="s">
        <v>4867</v>
      </c>
      <c r="OMT349" s="16" t="s">
        <v>4867</v>
      </c>
      <c r="OMU349" s="16" t="s">
        <v>4867</v>
      </c>
      <c r="OMV349" s="16" t="s">
        <v>4867</v>
      </c>
      <c r="OMW349" s="16" t="s">
        <v>4867</v>
      </c>
      <c r="OMX349" s="16" t="s">
        <v>4867</v>
      </c>
      <c r="OMY349" s="16" t="s">
        <v>4867</v>
      </c>
      <c r="OMZ349" s="16" t="s">
        <v>4867</v>
      </c>
      <c r="ONA349" s="16" t="s">
        <v>4867</v>
      </c>
      <c r="ONB349" s="16" t="s">
        <v>4867</v>
      </c>
      <c r="ONC349" s="16" t="s">
        <v>4867</v>
      </c>
      <c r="OND349" s="16" t="s">
        <v>4867</v>
      </c>
      <c r="ONE349" s="16" t="s">
        <v>4867</v>
      </c>
      <c r="ONF349" s="16" t="s">
        <v>4867</v>
      </c>
      <c r="ONG349" s="16" t="s">
        <v>4867</v>
      </c>
      <c r="ONH349" s="16" t="s">
        <v>4867</v>
      </c>
      <c r="ONI349" s="16" t="s">
        <v>4867</v>
      </c>
      <c r="ONJ349" s="16" t="s">
        <v>4867</v>
      </c>
      <c r="ONK349" s="16" t="s">
        <v>4867</v>
      </c>
      <c r="ONL349" s="16" t="s">
        <v>4867</v>
      </c>
      <c r="ONM349" s="16" t="s">
        <v>4867</v>
      </c>
      <c r="ONN349" s="16" t="s">
        <v>4867</v>
      </c>
      <c r="ONO349" s="16" t="s">
        <v>4867</v>
      </c>
      <c r="ONP349" s="16" t="s">
        <v>4867</v>
      </c>
      <c r="ONQ349" s="16" t="s">
        <v>4867</v>
      </c>
      <c r="ONR349" s="16" t="s">
        <v>4867</v>
      </c>
      <c r="ONS349" s="16" t="s">
        <v>4867</v>
      </c>
      <c r="ONT349" s="16" t="s">
        <v>4867</v>
      </c>
      <c r="ONU349" s="16" t="s">
        <v>4867</v>
      </c>
      <c r="ONV349" s="16" t="s">
        <v>4867</v>
      </c>
      <c r="ONW349" s="16" t="s">
        <v>4867</v>
      </c>
      <c r="ONX349" s="16" t="s">
        <v>4867</v>
      </c>
      <c r="ONY349" s="16" t="s">
        <v>4867</v>
      </c>
      <c r="ONZ349" s="16" t="s">
        <v>4867</v>
      </c>
      <c r="OOA349" s="16" t="s">
        <v>4867</v>
      </c>
      <c r="OOB349" s="16" t="s">
        <v>4867</v>
      </c>
      <c r="OOC349" s="16" t="s">
        <v>4867</v>
      </c>
      <c r="OOD349" s="16" t="s">
        <v>4867</v>
      </c>
      <c r="OOE349" s="16" t="s">
        <v>4867</v>
      </c>
      <c r="OOF349" s="16" t="s">
        <v>4867</v>
      </c>
      <c r="OOG349" s="16" t="s">
        <v>4867</v>
      </c>
      <c r="OOH349" s="16" t="s">
        <v>4867</v>
      </c>
      <c r="OOI349" s="16" t="s">
        <v>4867</v>
      </c>
      <c r="OOJ349" s="16" t="s">
        <v>4867</v>
      </c>
      <c r="OOK349" s="16" t="s">
        <v>4867</v>
      </c>
      <c r="OOL349" s="16" t="s">
        <v>4867</v>
      </c>
      <c r="OOM349" s="16" t="s">
        <v>4867</v>
      </c>
      <c r="OON349" s="16" t="s">
        <v>4867</v>
      </c>
      <c r="OOO349" s="16" t="s">
        <v>4867</v>
      </c>
      <c r="OOP349" s="16" t="s">
        <v>4867</v>
      </c>
      <c r="OOQ349" s="16" t="s">
        <v>4867</v>
      </c>
      <c r="OOR349" s="16" t="s">
        <v>4867</v>
      </c>
      <c r="OOS349" s="16" t="s">
        <v>4867</v>
      </c>
      <c r="OOT349" s="16" t="s">
        <v>4867</v>
      </c>
      <c r="OOU349" s="16" t="s">
        <v>4867</v>
      </c>
      <c r="OOV349" s="16" t="s">
        <v>4867</v>
      </c>
      <c r="OOW349" s="16" t="s">
        <v>4867</v>
      </c>
      <c r="OOX349" s="16" t="s">
        <v>4867</v>
      </c>
      <c r="OOY349" s="16" t="s">
        <v>4867</v>
      </c>
      <c r="OOZ349" s="16" t="s">
        <v>4867</v>
      </c>
      <c r="OPA349" s="16" t="s">
        <v>4867</v>
      </c>
      <c r="OPB349" s="16" t="s">
        <v>4867</v>
      </c>
      <c r="OPC349" s="16" t="s">
        <v>4867</v>
      </c>
      <c r="OPD349" s="16" t="s">
        <v>4867</v>
      </c>
      <c r="OPE349" s="16" t="s">
        <v>4867</v>
      </c>
      <c r="OPF349" s="16" t="s">
        <v>4867</v>
      </c>
      <c r="OPG349" s="16" t="s">
        <v>4867</v>
      </c>
      <c r="OPH349" s="16" t="s">
        <v>4867</v>
      </c>
      <c r="OPI349" s="16" t="s">
        <v>4867</v>
      </c>
      <c r="OPJ349" s="16" t="s">
        <v>4867</v>
      </c>
      <c r="OPK349" s="16" t="s">
        <v>4867</v>
      </c>
      <c r="OPL349" s="16" t="s">
        <v>4867</v>
      </c>
      <c r="OPM349" s="16" t="s">
        <v>4867</v>
      </c>
      <c r="OPN349" s="16" t="s">
        <v>4867</v>
      </c>
      <c r="OPO349" s="16" t="s">
        <v>4867</v>
      </c>
      <c r="OPP349" s="16" t="s">
        <v>4867</v>
      </c>
      <c r="OPQ349" s="16" t="s">
        <v>4867</v>
      </c>
      <c r="OPR349" s="16" t="s">
        <v>4867</v>
      </c>
      <c r="OPS349" s="16" t="s">
        <v>4867</v>
      </c>
      <c r="OPT349" s="16" t="s">
        <v>4867</v>
      </c>
      <c r="OPU349" s="16" t="s">
        <v>4867</v>
      </c>
      <c r="OPV349" s="16" t="s">
        <v>4867</v>
      </c>
      <c r="OPW349" s="16" t="s">
        <v>4867</v>
      </c>
      <c r="OPX349" s="16" t="s">
        <v>4867</v>
      </c>
      <c r="OPY349" s="16" t="s">
        <v>4867</v>
      </c>
      <c r="OPZ349" s="16" t="s">
        <v>4867</v>
      </c>
      <c r="OQA349" s="16" t="s">
        <v>4867</v>
      </c>
      <c r="OQB349" s="16" t="s">
        <v>4867</v>
      </c>
      <c r="OQC349" s="16" t="s">
        <v>4867</v>
      </c>
      <c r="OQD349" s="16" t="s">
        <v>4867</v>
      </c>
      <c r="OQE349" s="16" t="s">
        <v>4867</v>
      </c>
      <c r="OQF349" s="16" t="s">
        <v>4867</v>
      </c>
      <c r="OQG349" s="16" t="s">
        <v>4867</v>
      </c>
      <c r="OQH349" s="16" t="s">
        <v>4867</v>
      </c>
      <c r="OQI349" s="16" t="s">
        <v>4867</v>
      </c>
      <c r="OQJ349" s="16" t="s">
        <v>4867</v>
      </c>
      <c r="OQK349" s="16" t="s">
        <v>4867</v>
      </c>
      <c r="OQL349" s="16" t="s">
        <v>4867</v>
      </c>
      <c r="OQM349" s="16" t="s">
        <v>4867</v>
      </c>
      <c r="OQN349" s="16" t="s">
        <v>4867</v>
      </c>
      <c r="OQO349" s="16" t="s">
        <v>4867</v>
      </c>
      <c r="OQP349" s="16" t="s">
        <v>4867</v>
      </c>
      <c r="OQQ349" s="16" t="s">
        <v>4867</v>
      </c>
      <c r="OQR349" s="16" t="s">
        <v>4867</v>
      </c>
      <c r="OQS349" s="16" t="s">
        <v>4867</v>
      </c>
      <c r="OQT349" s="16" t="s">
        <v>4867</v>
      </c>
      <c r="OQU349" s="16" t="s">
        <v>4867</v>
      </c>
      <c r="OQV349" s="16" t="s">
        <v>4867</v>
      </c>
      <c r="OQW349" s="16" t="s">
        <v>4867</v>
      </c>
      <c r="OQX349" s="16" t="s">
        <v>4867</v>
      </c>
      <c r="OQY349" s="16" t="s">
        <v>4867</v>
      </c>
      <c r="OQZ349" s="16" t="s">
        <v>4867</v>
      </c>
      <c r="ORA349" s="16" t="s">
        <v>4867</v>
      </c>
      <c r="ORB349" s="16" t="s">
        <v>4867</v>
      </c>
      <c r="ORC349" s="16" t="s">
        <v>4867</v>
      </c>
      <c r="ORD349" s="16" t="s">
        <v>4867</v>
      </c>
      <c r="ORE349" s="16" t="s">
        <v>4867</v>
      </c>
      <c r="ORF349" s="16" t="s">
        <v>4867</v>
      </c>
      <c r="ORG349" s="16" t="s">
        <v>4867</v>
      </c>
      <c r="ORH349" s="16" t="s">
        <v>4867</v>
      </c>
      <c r="ORI349" s="16" t="s">
        <v>4867</v>
      </c>
      <c r="ORJ349" s="16" t="s">
        <v>4867</v>
      </c>
      <c r="ORK349" s="16" t="s">
        <v>4867</v>
      </c>
      <c r="ORL349" s="16" t="s">
        <v>4867</v>
      </c>
      <c r="ORM349" s="16" t="s">
        <v>4867</v>
      </c>
      <c r="ORN349" s="16" t="s">
        <v>4867</v>
      </c>
      <c r="ORO349" s="16" t="s">
        <v>4867</v>
      </c>
      <c r="ORP349" s="16" t="s">
        <v>4867</v>
      </c>
      <c r="ORQ349" s="16" t="s">
        <v>4867</v>
      </c>
      <c r="ORR349" s="16" t="s">
        <v>4867</v>
      </c>
      <c r="ORS349" s="16" t="s">
        <v>4867</v>
      </c>
      <c r="ORT349" s="16" t="s">
        <v>4867</v>
      </c>
      <c r="ORU349" s="16" t="s">
        <v>4867</v>
      </c>
      <c r="ORV349" s="16" t="s">
        <v>4867</v>
      </c>
      <c r="ORW349" s="16" t="s">
        <v>4867</v>
      </c>
      <c r="ORX349" s="16" t="s">
        <v>4867</v>
      </c>
      <c r="ORY349" s="16" t="s">
        <v>4867</v>
      </c>
      <c r="ORZ349" s="16" t="s">
        <v>4867</v>
      </c>
      <c r="OSA349" s="16" t="s">
        <v>4867</v>
      </c>
      <c r="OSB349" s="16" t="s">
        <v>4867</v>
      </c>
      <c r="OSC349" s="16" t="s">
        <v>4867</v>
      </c>
      <c r="OSD349" s="16" t="s">
        <v>4867</v>
      </c>
      <c r="OSE349" s="16" t="s">
        <v>4867</v>
      </c>
      <c r="OSF349" s="16" t="s">
        <v>4867</v>
      </c>
      <c r="OSG349" s="16" t="s">
        <v>4867</v>
      </c>
      <c r="OSH349" s="16" t="s">
        <v>4867</v>
      </c>
      <c r="OSI349" s="16" t="s">
        <v>4867</v>
      </c>
      <c r="OSJ349" s="16" t="s">
        <v>4867</v>
      </c>
      <c r="OSK349" s="16" t="s">
        <v>4867</v>
      </c>
      <c r="OSL349" s="16" t="s">
        <v>4867</v>
      </c>
      <c r="OSM349" s="16" t="s">
        <v>4867</v>
      </c>
      <c r="OSN349" s="16" t="s">
        <v>4867</v>
      </c>
      <c r="OSO349" s="16" t="s">
        <v>4867</v>
      </c>
      <c r="OSP349" s="16" t="s">
        <v>4867</v>
      </c>
      <c r="OSQ349" s="16" t="s">
        <v>4867</v>
      </c>
      <c r="OSR349" s="16" t="s">
        <v>4867</v>
      </c>
      <c r="OSS349" s="16" t="s">
        <v>4867</v>
      </c>
      <c r="OST349" s="16" t="s">
        <v>4867</v>
      </c>
      <c r="OSU349" s="16" t="s">
        <v>4867</v>
      </c>
      <c r="OSV349" s="16" t="s">
        <v>4867</v>
      </c>
      <c r="OSW349" s="16" t="s">
        <v>4867</v>
      </c>
      <c r="OSX349" s="16" t="s">
        <v>4867</v>
      </c>
      <c r="OSY349" s="16" t="s">
        <v>4867</v>
      </c>
      <c r="OSZ349" s="16" t="s">
        <v>4867</v>
      </c>
      <c r="OTA349" s="16" t="s">
        <v>4867</v>
      </c>
      <c r="OTB349" s="16" t="s">
        <v>4867</v>
      </c>
      <c r="OTC349" s="16" t="s">
        <v>4867</v>
      </c>
      <c r="OTD349" s="16" t="s">
        <v>4867</v>
      </c>
      <c r="OTE349" s="16" t="s">
        <v>4867</v>
      </c>
      <c r="OTF349" s="16" t="s">
        <v>4867</v>
      </c>
      <c r="OTG349" s="16" t="s">
        <v>4867</v>
      </c>
      <c r="OTH349" s="16" t="s">
        <v>4867</v>
      </c>
      <c r="OTI349" s="16" t="s">
        <v>4867</v>
      </c>
      <c r="OTJ349" s="16" t="s">
        <v>4867</v>
      </c>
      <c r="OTK349" s="16" t="s">
        <v>4867</v>
      </c>
      <c r="OTL349" s="16" t="s">
        <v>4867</v>
      </c>
      <c r="OTM349" s="16" t="s">
        <v>4867</v>
      </c>
      <c r="OTN349" s="16" t="s">
        <v>4867</v>
      </c>
      <c r="OTO349" s="16" t="s">
        <v>4867</v>
      </c>
      <c r="OTP349" s="16" t="s">
        <v>4867</v>
      </c>
      <c r="OTQ349" s="16" t="s">
        <v>4867</v>
      </c>
      <c r="OTR349" s="16" t="s">
        <v>4867</v>
      </c>
      <c r="OTS349" s="16" t="s">
        <v>4867</v>
      </c>
      <c r="OTT349" s="16" t="s">
        <v>4867</v>
      </c>
      <c r="OTU349" s="16" t="s">
        <v>4867</v>
      </c>
      <c r="OTV349" s="16" t="s">
        <v>4867</v>
      </c>
      <c r="OTW349" s="16" t="s">
        <v>4867</v>
      </c>
      <c r="OTX349" s="16" t="s">
        <v>4867</v>
      </c>
      <c r="OTY349" s="16" t="s">
        <v>4867</v>
      </c>
      <c r="OTZ349" s="16" t="s">
        <v>4867</v>
      </c>
      <c r="OUA349" s="16" t="s">
        <v>4867</v>
      </c>
      <c r="OUB349" s="16" t="s">
        <v>4867</v>
      </c>
      <c r="OUC349" s="16" t="s">
        <v>4867</v>
      </c>
      <c r="OUD349" s="16" t="s">
        <v>4867</v>
      </c>
      <c r="OUE349" s="16" t="s">
        <v>4867</v>
      </c>
      <c r="OUF349" s="16" t="s">
        <v>4867</v>
      </c>
      <c r="OUG349" s="16" t="s">
        <v>4867</v>
      </c>
      <c r="OUH349" s="16" t="s">
        <v>4867</v>
      </c>
      <c r="OUI349" s="16" t="s">
        <v>4867</v>
      </c>
      <c r="OUJ349" s="16" t="s">
        <v>4867</v>
      </c>
      <c r="OUK349" s="16" t="s">
        <v>4867</v>
      </c>
      <c r="OUL349" s="16" t="s">
        <v>4867</v>
      </c>
      <c r="OUM349" s="16" t="s">
        <v>4867</v>
      </c>
      <c r="OUN349" s="16" t="s">
        <v>4867</v>
      </c>
      <c r="OUO349" s="16" t="s">
        <v>4867</v>
      </c>
      <c r="OUP349" s="16" t="s">
        <v>4867</v>
      </c>
      <c r="OUQ349" s="16" t="s">
        <v>4867</v>
      </c>
      <c r="OUR349" s="16" t="s">
        <v>4867</v>
      </c>
      <c r="OUS349" s="16" t="s">
        <v>4867</v>
      </c>
      <c r="OUT349" s="16" t="s">
        <v>4867</v>
      </c>
      <c r="OUU349" s="16" t="s">
        <v>4867</v>
      </c>
      <c r="OUV349" s="16" t="s">
        <v>4867</v>
      </c>
      <c r="OUW349" s="16" t="s">
        <v>4867</v>
      </c>
      <c r="OUX349" s="16" t="s">
        <v>4867</v>
      </c>
      <c r="OUY349" s="16" t="s">
        <v>4867</v>
      </c>
      <c r="OUZ349" s="16" t="s">
        <v>4867</v>
      </c>
      <c r="OVA349" s="16" t="s">
        <v>4867</v>
      </c>
      <c r="OVB349" s="16" t="s">
        <v>4867</v>
      </c>
      <c r="OVC349" s="16" t="s">
        <v>4867</v>
      </c>
      <c r="OVD349" s="16" t="s">
        <v>4867</v>
      </c>
      <c r="OVE349" s="16" t="s">
        <v>4867</v>
      </c>
      <c r="OVF349" s="16" t="s">
        <v>4867</v>
      </c>
      <c r="OVG349" s="16" t="s">
        <v>4867</v>
      </c>
      <c r="OVH349" s="16" t="s">
        <v>4867</v>
      </c>
      <c r="OVI349" s="16" t="s">
        <v>4867</v>
      </c>
      <c r="OVJ349" s="16" t="s">
        <v>4867</v>
      </c>
      <c r="OVK349" s="16" t="s">
        <v>4867</v>
      </c>
      <c r="OVL349" s="16" t="s">
        <v>4867</v>
      </c>
      <c r="OVM349" s="16" t="s">
        <v>4867</v>
      </c>
      <c r="OVN349" s="16" t="s">
        <v>4867</v>
      </c>
      <c r="OVO349" s="16" t="s">
        <v>4867</v>
      </c>
      <c r="OVP349" s="16" t="s">
        <v>4867</v>
      </c>
      <c r="OVQ349" s="16" t="s">
        <v>4867</v>
      </c>
      <c r="OVR349" s="16" t="s">
        <v>4867</v>
      </c>
      <c r="OVS349" s="16" t="s">
        <v>4867</v>
      </c>
      <c r="OVT349" s="16" t="s">
        <v>4867</v>
      </c>
      <c r="OVU349" s="16" t="s">
        <v>4867</v>
      </c>
      <c r="OVV349" s="16" t="s">
        <v>4867</v>
      </c>
      <c r="OVW349" s="16" t="s">
        <v>4867</v>
      </c>
      <c r="OVX349" s="16" t="s">
        <v>4867</v>
      </c>
      <c r="OVY349" s="16" t="s">
        <v>4867</v>
      </c>
      <c r="OVZ349" s="16" t="s">
        <v>4867</v>
      </c>
      <c r="OWA349" s="16" t="s">
        <v>4867</v>
      </c>
      <c r="OWB349" s="16" t="s">
        <v>4867</v>
      </c>
      <c r="OWC349" s="16" t="s">
        <v>4867</v>
      </c>
      <c r="OWD349" s="16" t="s">
        <v>4867</v>
      </c>
      <c r="OWE349" s="16" t="s">
        <v>4867</v>
      </c>
      <c r="OWF349" s="16" t="s">
        <v>4867</v>
      </c>
      <c r="OWG349" s="16" t="s">
        <v>4867</v>
      </c>
      <c r="OWH349" s="16" t="s">
        <v>4867</v>
      </c>
      <c r="OWI349" s="16" t="s">
        <v>4867</v>
      </c>
      <c r="OWJ349" s="16" t="s">
        <v>4867</v>
      </c>
      <c r="OWK349" s="16" t="s">
        <v>4867</v>
      </c>
      <c r="OWL349" s="16" t="s">
        <v>4867</v>
      </c>
      <c r="OWM349" s="16" t="s">
        <v>4867</v>
      </c>
      <c r="OWN349" s="16" t="s">
        <v>4867</v>
      </c>
      <c r="OWO349" s="16" t="s">
        <v>4867</v>
      </c>
      <c r="OWP349" s="16" t="s">
        <v>4867</v>
      </c>
      <c r="OWQ349" s="16" t="s">
        <v>4867</v>
      </c>
      <c r="OWR349" s="16" t="s">
        <v>4867</v>
      </c>
      <c r="OWS349" s="16" t="s">
        <v>4867</v>
      </c>
      <c r="OWT349" s="16" t="s">
        <v>4867</v>
      </c>
      <c r="OWU349" s="16" t="s">
        <v>4867</v>
      </c>
      <c r="OWV349" s="16" t="s">
        <v>4867</v>
      </c>
      <c r="OWW349" s="16" t="s">
        <v>4867</v>
      </c>
      <c r="OWX349" s="16" t="s">
        <v>4867</v>
      </c>
      <c r="OWY349" s="16" t="s">
        <v>4867</v>
      </c>
      <c r="OWZ349" s="16" t="s">
        <v>4867</v>
      </c>
      <c r="OXA349" s="16" t="s">
        <v>4867</v>
      </c>
      <c r="OXB349" s="16" t="s">
        <v>4867</v>
      </c>
      <c r="OXC349" s="16" t="s">
        <v>4867</v>
      </c>
      <c r="OXD349" s="16" t="s">
        <v>4867</v>
      </c>
      <c r="OXE349" s="16" t="s">
        <v>4867</v>
      </c>
      <c r="OXF349" s="16" t="s">
        <v>4867</v>
      </c>
      <c r="OXG349" s="16" t="s">
        <v>4867</v>
      </c>
      <c r="OXH349" s="16" t="s">
        <v>4867</v>
      </c>
      <c r="OXI349" s="16" t="s">
        <v>4867</v>
      </c>
      <c r="OXJ349" s="16" t="s">
        <v>4867</v>
      </c>
      <c r="OXK349" s="16" t="s">
        <v>4867</v>
      </c>
      <c r="OXL349" s="16" t="s">
        <v>4867</v>
      </c>
      <c r="OXM349" s="16" t="s">
        <v>4867</v>
      </c>
      <c r="OXN349" s="16" t="s">
        <v>4867</v>
      </c>
      <c r="OXO349" s="16" t="s">
        <v>4867</v>
      </c>
      <c r="OXP349" s="16" t="s">
        <v>4867</v>
      </c>
      <c r="OXQ349" s="16" t="s">
        <v>4867</v>
      </c>
      <c r="OXR349" s="16" t="s">
        <v>4867</v>
      </c>
      <c r="OXS349" s="16" t="s">
        <v>4867</v>
      </c>
      <c r="OXT349" s="16" t="s">
        <v>4867</v>
      </c>
      <c r="OXU349" s="16" t="s">
        <v>4867</v>
      </c>
      <c r="OXV349" s="16" t="s">
        <v>4867</v>
      </c>
      <c r="OXW349" s="16" t="s">
        <v>4867</v>
      </c>
      <c r="OXX349" s="16" t="s">
        <v>4867</v>
      </c>
      <c r="OXY349" s="16" t="s">
        <v>4867</v>
      </c>
      <c r="OXZ349" s="16" t="s">
        <v>4867</v>
      </c>
      <c r="OYA349" s="16" t="s">
        <v>4867</v>
      </c>
      <c r="OYB349" s="16" t="s">
        <v>4867</v>
      </c>
      <c r="OYC349" s="16" t="s">
        <v>4867</v>
      </c>
      <c r="OYD349" s="16" t="s">
        <v>4867</v>
      </c>
      <c r="OYE349" s="16" t="s">
        <v>4867</v>
      </c>
      <c r="OYF349" s="16" t="s">
        <v>4867</v>
      </c>
      <c r="OYG349" s="16" t="s">
        <v>4867</v>
      </c>
      <c r="OYH349" s="16" t="s">
        <v>4867</v>
      </c>
      <c r="OYI349" s="16" t="s">
        <v>4867</v>
      </c>
      <c r="OYJ349" s="16" t="s">
        <v>4867</v>
      </c>
      <c r="OYK349" s="16" t="s">
        <v>4867</v>
      </c>
      <c r="OYL349" s="16" t="s">
        <v>4867</v>
      </c>
      <c r="OYM349" s="16" t="s">
        <v>4867</v>
      </c>
      <c r="OYN349" s="16" t="s">
        <v>4867</v>
      </c>
      <c r="OYO349" s="16" t="s">
        <v>4867</v>
      </c>
      <c r="OYP349" s="16" t="s">
        <v>4867</v>
      </c>
      <c r="OYQ349" s="16" t="s">
        <v>4867</v>
      </c>
      <c r="OYR349" s="16" t="s">
        <v>4867</v>
      </c>
      <c r="OYS349" s="16" t="s">
        <v>4867</v>
      </c>
      <c r="OYT349" s="16" t="s">
        <v>4867</v>
      </c>
      <c r="OYU349" s="16" t="s">
        <v>4867</v>
      </c>
      <c r="OYV349" s="16" t="s">
        <v>4867</v>
      </c>
      <c r="OYW349" s="16" t="s">
        <v>4867</v>
      </c>
      <c r="OYX349" s="16" t="s">
        <v>4867</v>
      </c>
      <c r="OYY349" s="16" t="s">
        <v>4867</v>
      </c>
      <c r="OYZ349" s="16" t="s">
        <v>4867</v>
      </c>
      <c r="OZA349" s="16" t="s">
        <v>4867</v>
      </c>
      <c r="OZB349" s="16" t="s">
        <v>4867</v>
      </c>
      <c r="OZC349" s="16" t="s">
        <v>4867</v>
      </c>
      <c r="OZD349" s="16" t="s">
        <v>4867</v>
      </c>
      <c r="OZE349" s="16" t="s">
        <v>4867</v>
      </c>
      <c r="OZF349" s="16" t="s">
        <v>4867</v>
      </c>
      <c r="OZG349" s="16" t="s">
        <v>4867</v>
      </c>
      <c r="OZH349" s="16" t="s">
        <v>4867</v>
      </c>
      <c r="OZI349" s="16" t="s">
        <v>4867</v>
      </c>
      <c r="OZJ349" s="16" t="s">
        <v>4867</v>
      </c>
      <c r="OZK349" s="16" t="s">
        <v>4867</v>
      </c>
      <c r="OZL349" s="16" t="s">
        <v>4867</v>
      </c>
      <c r="OZM349" s="16" t="s">
        <v>4867</v>
      </c>
      <c r="OZN349" s="16" t="s">
        <v>4867</v>
      </c>
      <c r="OZO349" s="16" t="s">
        <v>4867</v>
      </c>
      <c r="OZP349" s="16" t="s">
        <v>4867</v>
      </c>
      <c r="OZQ349" s="16" t="s">
        <v>4867</v>
      </c>
      <c r="OZR349" s="16" t="s">
        <v>4867</v>
      </c>
      <c r="OZS349" s="16" t="s">
        <v>4867</v>
      </c>
      <c r="OZT349" s="16" t="s">
        <v>4867</v>
      </c>
      <c r="OZU349" s="16" t="s">
        <v>4867</v>
      </c>
      <c r="OZV349" s="16" t="s">
        <v>4867</v>
      </c>
      <c r="OZW349" s="16" t="s">
        <v>4867</v>
      </c>
      <c r="OZX349" s="16" t="s">
        <v>4867</v>
      </c>
      <c r="OZY349" s="16" t="s">
        <v>4867</v>
      </c>
      <c r="OZZ349" s="16" t="s">
        <v>4867</v>
      </c>
      <c r="PAA349" s="16" t="s">
        <v>4867</v>
      </c>
      <c r="PAB349" s="16" t="s">
        <v>4867</v>
      </c>
      <c r="PAC349" s="16" t="s">
        <v>4867</v>
      </c>
      <c r="PAD349" s="16" t="s">
        <v>4867</v>
      </c>
      <c r="PAE349" s="16" t="s">
        <v>4867</v>
      </c>
      <c r="PAF349" s="16" t="s">
        <v>4867</v>
      </c>
      <c r="PAG349" s="16" t="s">
        <v>4867</v>
      </c>
      <c r="PAH349" s="16" t="s">
        <v>4867</v>
      </c>
      <c r="PAI349" s="16" t="s">
        <v>4867</v>
      </c>
      <c r="PAJ349" s="16" t="s">
        <v>4867</v>
      </c>
      <c r="PAK349" s="16" t="s">
        <v>4867</v>
      </c>
      <c r="PAL349" s="16" t="s">
        <v>4867</v>
      </c>
      <c r="PAM349" s="16" t="s">
        <v>4867</v>
      </c>
      <c r="PAN349" s="16" t="s">
        <v>4867</v>
      </c>
      <c r="PAO349" s="16" t="s">
        <v>4867</v>
      </c>
      <c r="PAP349" s="16" t="s">
        <v>4867</v>
      </c>
      <c r="PAQ349" s="16" t="s">
        <v>4867</v>
      </c>
      <c r="PAR349" s="16" t="s">
        <v>4867</v>
      </c>
      <c r="PAS349" s="16" t="s">
        <v>4867</v>
      </c>
      <c r="PAT349" s="16" t="s">
        <v>4867</v>
      </c>
      <c r="PAU349" s="16" t="s">
        <v>4867</v>
      </c>
      <c r="PAV349" s="16" t="s">
        <v>4867</v>
      </c>
      <c r="PAW349" s="16" t="s">
        <v>4867</v>
      </c>
      <c r="PAX349" s="16" t="s">
        <v>4867</v>
      </c>
      <c r="PAY349" s="16" t="s">
        <v>4867</v>
      </c>
      <c r="PAZ349" s="16" t="s">
        <v>4867</v>
      </c>
      <c r="PBA349" s="16" t="s">
        <v>4867</v>
      </c>
      <c r="PBB349" s="16" t="s">
        <v>4867</v>
      </c>
      <c r="PBC349" s="16" t="s">
        <v>4867</v>
      </c>
      <c r="PBD349" s="16" t="s">
        <v>4867</v>
      </c>
      <c r="PBE349" s="16" t="s">
        <v>4867</v>
      </c>
      <c r="PBF349" s="16" t="s">
        <v>4867</v>
      </c>
      <c r="PBG349" s="16" t="s">
        <v>4867</v>
      </c>
      <c r="PBH349" s="16" t="s">
        <v>4867</v>
      </c>
      <c r="PBI349" s="16" t="s">
        <v>4867</v>
      </c>
      <c r="PBJ349" s="16" t="s">
        <v>4867</v>
      </c>
      <c r="PBK349" s="16" t="s">
        <v>4867</v>
      </c>
      <c r="PBL349" s="16" t="s">
        <v>4867</v>
      </c>
      <c r="PBM349" s="16" t="s">
        <v>4867</v>
      </c>
      <c r="PBN349" s="16" t="s">
        <v>4867</v>
      </c>
      <c r="PBO349" s="16" t="s">
        <v>4867</v>
      </c>
      <c r="PBP349" s="16" t="s">
        <v>4867</v>
      </c>
      <c r="PBQ349" s="16" t="s">
        <v>4867</v>
      </c>
      <c r="PBR349" s="16" t="s">
        <v>4867</v>
      </c>
      <c r="PBS349" s="16" t="s">
        <v>4867</v>
      </c>
      <c r="PBT349" s="16" t="s">
        <v>4867</v>
      </c>
      <c r="PBU349" s="16" t="s">
        <v>4867</v>
      </c>
      <c r="PBV349" s="16" t="s">
        <v>4867</v>
      </c>
      <c r="PBW349" s="16" t="s">
        <v>4867</v>
      </c>
      <c r="PBX349" s="16" t="s">
        <v>4867</v>
      </c>
      <c r="PBY349" s="16" t="s">
        <v>4867</v>
      </c>
      <c r="PBZ349" s="16" t="s">
        <v>4867</v>
      </c>
      <c r="PCA349" s="16" t="s">
        <v>4867</v>
      </c>
      <c r="PCB349" s="16" t="s">
        <v>4867</v>
      </c>
      <c r="PCC349" s="16" t="s">
        <v>4867</v>
      </c>
      <c r="PCD349" s="16" t="s">
        <v>4867</v>
      </c>
      <c r="PCE349" s="16" t="s">
        <v>4867</v>
      </c>
      <c r="PCF349" s="16" t="s">
        <v>4867</v>
      </c>
      <c r="PCG349" s="16" t="s">
        <v>4867</v>
      </c>
      <c r="PCH349" s="16" t="s">
        <v>4867</v>
      </c>
      <c r="PCI349" s="16" t="s">
        <v>4867</v>
      </c>
      <c r="PCJ349" s="16" t="s">
        <v>4867</v>
      </c>
      <c r="PCK349" s="16" t="s">
        <v>4867</v>
      </c>
      <c r="PCL349" s="16" t="s">
        <v>4867</v>
      </c>
      <c r="PCM349" s="16" t="s">
        <v>4867</v>
      </c>
      <c r="PCN349" s="16" t="s">
        <v>4867</v>
      </c>
      <c r="PCO349" s="16" t="s">
        <v>4867</v>
      </c>
      <c r="PCP349" s="16" t="s">
        <v>4867</v>
      </c>
      <c r="PCQ349" s="16" t="s">
        <v>4867</v>
      </c>
      <c r="PCR349" s="16" t="s">
        <v>4867</v>
      </c>
      <c r="PCS349" s="16" t="s">
        <v>4867</v>
      </c>
      <c r="PCT349" s="16" t="s">
        <v>4867</v>
      </c>
      <c r="PCU349" s="16" t="s">
        <v>4867</v>
      </c>
      <c r="PCV349" s="16" t="s">
        <v>4867</v>
      </c>
      <c r="PCW349" s="16" t="s">
        <v>4867</v>
      </c>
      <c r="PCX349" s="16" t="s">
        <v>4867</v>
      </c>
      <c r="PCY349" s="16" t="s">
        <v>4867</v>
      </c>
      <c r="PCZ349" s="16" t="s">
        <v>4867</v>
      </c>
      <c r="PDA349" s="16" t="s">
        <v>4867</v>
      </c>
      <c r="PDB349" s="16" t="s">
        <v>4867</v>
      </c>
      <c r="PDC349" s="16" t="s">
        <v>4867</v>
      </c>
      <c r="PDD349" s="16" t="s">
        <v>4867</v>
      </c>
      <c r="PDE349" s="16" t="s">
        <v>4867</v>
      </c>
      <c r="PDF349" s="16" t="s">
        <v>4867</v>
      </c>
      <c r="PDG349" s="16" t="s">
        <v>4867</v>
      </c>
      <c r="PDH349" s="16" t="s">
        <v>4867</v>
      </c>
      <c r="PDI349" s="16" t="s">
        <v>4867</v>
      </c>
      <c r="PDJ349" s="16" t="s">
        <v>4867</v>
      </c>
      <c r="PDK349" s="16" t="s">
        <v>4867</v>
      </c>
      <c r="PDL349" s="16" t="s">
        <v>4867</v>
      </c>
      <c r="PDM349" s="16" t="s">
        <v>4867</v>
      </c>
      <c r="PDN349" s="16" t="s">
        <v>4867</v>
      </c>
      <c r="PDO349" s="16" t="s">
        <v>4867</v>
      </c>
      <c r="PDP349" s="16" t="s">
        <v>4867</v>
      </c>
      <c r="PDQ349" s="16" t="s">
        <v>4867</v>
      </c>
      <c r="PDR349" s="16" t="s">
        <v>4867</v>
      </c>
      <c r="PDS349" s="16" t="s">
        <v>4867</v>
      </c>
      <c r="PDT349" s="16" t="s">
        <v>4867</v>
      </c>
      <c r="PDU349" s="16" t="s">
        <v>4867</v>
      </c>
      <c r="PDV349" s="16" t="s">
        <v>4867</v>
      </c>
      <c r="PDW349" s="16" t="s">
        <v>4867</v>
      </c>
      <c r="PDX349" s="16" t="s">
        <v>4867</v>
      </c>
      <c r="PDY349" s="16" t="s">
        <v>4867</v>
      </c>
      <c r="PDZ349" s="16" t="s">
        <v>4867</v>
      </c>
      <c r="PEA349" s="16" t="s">
        <v>4867</v>
      </c>
      <c r="PEB349" s="16" t="s">
        <v>4867</v>
      </c>
      <c r="PEC349" s="16" t="s">
        <v>4867</v>
      </c>
      <c r="PED349" s="16" t="s">
        <v>4867</v>
      </c>
      <c r="PEE349" s="16" t="s">
        <v>4867</v>
      </c>
      <c r="PEF349" s="16" t="s">
        <v>4867</v>
      </c>
      <c r="PEG349" s="16" t="s">
        <v>4867</v>
      </c>
      <c r="PEH349" s="16" t="s">
        <v>4867</v>
      </c>
      <c r="PEI349" s="16" t="s">
        <v>4867</v>
      </c>
      <c r="PEJ349" s="16" t="s">
        <v>4867</v>
      </c>
      <c r="PEK349" s="16" t="s">
        <v>4867</v>
      </c>
      <c r="PEL349" s="16" t="s">
        <v>4867</v>
      </c>
      <c r="PEM349" s="16" t="s">
        <v>4867</v>
      </c>
      <c r="PEN349" s="16" t="s">
        <v>4867</v>
      </c>
      <c r="PEO349" s="16" t="s">
        <v>4867</v>
      </c>
      <c r="PEP349" s="16" t="s">
        <v>4867</v>
      </c>
      <c r="PEQ349" s="16" t="s">
        <v>4867</v>
      </c>
      <c r="PER349" s="16" t="s">
        <v>4867</v>
      </c>
      <c r="PES349" s="16" t="s">
        <v>4867</v>
      </c>
      <c r="PET349" s="16" t="s">
        <v>4867</v>
      </c>
      <c r="PEU349" s="16" t="s">
        <v>4867</v>
      </c>
      <c r="PEV349" s="16" t="s">
        <v>4867</v>
      </c>
      <c r="PEW349" s="16" t="s">
        <v>4867</v>
      </c>
      <c r="PEX349" s="16" t="s">
        <v>4867</v>
      </c>
      <c r="PEY349" s="16" t="s">
        <v>4867</v>
      </c>
      <c r="PEZ349" s="16" t="s">
        <v>4867</v>
      </c>
      <c r="PFA349" s="16" t="s">
        <v>4867</v>
      </c>
      <c r="PFB349" s="16" t="s">
        <v>4867</v>
      </c>
      <c r="PFC349" s="16" t="s">
        <v>4867</v>
      </c>
      <c r="PFD349" s="16" t="s">
        <v>4867</v>
      </c>
      <c r="PFE349" s="16" t="s">
        <v>4867</v>
      </c>
      <c r="PFF349" s="16" t="s">
        <v>4867</v>
      </c>
      <c r="PFG349" s="16" t="s">
        <v>4867</v>
      </c>
      <c r="PFH349" s="16" t="s">
        <v>4867</v>
      </c>
      <c r="PFI349" s="16" t="s">
        <v>4867</v>
      </c>
      <c r="PFJ349" s="16" t="s">
        <v>4867</v>
      </c>
      <c r="PFK349" s="16" t="s">
        <v>4867</v>
      </c>
      <c r="PFL349" s="16" t="s">
        <v>4867</v>
      </c>
      <c r="PFM349" s="16" t="s">
        <v>4867</v>
      </c>
      <c r="PFN349" s="16" t="s">
        <v>4867</v>
      </c>
      <c r="PFO349" s="16" t="s">
        <v>4867</v>
      </c>
      <c r="PFP349" s="16" t="s">
        <v>4867</v>
      </c>
      <c r="PFQ349" s="16" t="s">
        <v>4867</v>
      </c>
      <c r="PFR349" s="16" t="s">
        <v>4867</v>
      </c>
      <c r="PFS349" s="16" t="s">
        <v>4867</v>
      </c>
      <c r="PFT349" s="16" t="s">
        <v>4867</v>
      </c>
      <c r="PFU349" s="16" t="s">
        <v>4867</v>
      </c>
      <c r="PFV349" s="16" t="s">
        <v>4867</v>
      </c>
      <c r="PFW349" s="16" t="s">
        <v>4867</v>
      </c>
      <c r="PFX349" s="16" t="s">
        <v>4867</v>
      </c>
      <c r="PFY349" s="16" t="s">
        <v>4867</v>
      </c>
      <c r="PFZ349" s="16" t="s">
        <v>4867</v>
      </c>
      <c r="PGA349" s="16" t="s">
        <v>4867</v>
      </c>
      <c r="PGB349" s="16" t="s">
        <v>4867</v>
      </c>
      <c r="PGC349" s="16" t="s">
        <v>4867</v>
      </c>
      <c r="PGD349" s="16" t="s">
        <v>4867</v>
      </c>
      <c r="PGE349" s="16" t="s">
        <v>4867</v>
      </c>
      <c r="PGF349" s="16" t="s">
        <v>4867</v>
      </c>
      <c r="PGG349" s="16" t="s">
        <v>4867</v>
      </c>
      <c r="PGH349" s="16" t="s">
        <v>4867</v>
      </c>
      <c r="PGI349" s="16" t="s">
        <v>4867</v>
      </c>
      <c r="PGJ349" s="16" t="s">
        <v>4867</v>
      </c>
      <c r="PGK349" s="16" t="s">
        <v>4867</v>
      </c>
      <c r="PGL349" s="16" t="s">
        <v>4867</v>
      </c>
      <c r="PGM349" s="16" t="s">
        <v>4867</v>
      </c>
      <c r="PGN349" s="16" t="s">
        <v>4867</v>
      </c>
      <c r="PGO349" s="16" t="s">
        <v>4867</v>
      </c>
      <c r="PGP349" s="16" t="s">
        <v>4867</v>
      </c>
      <c r="PGQ349" s="16" t="s">
        <v>4867</v>
      </c>
      <c r="PGR349" s="16" t="s">
        <v>4867</v>
      </c>
      <c r="PGS349" s="16" t="s">
        <v>4867</v>
      </c>
      <c r="PGT349" s="16" t="s">
        <v>4867</v>
      </c>
      <c r="PGU349" s="16" t="s">
        <v>4867</v>
      </c>
      <c r="PGV349" s="16" t="s">
        <v>4867</v>
      </c>
      <c r="PGW349" s="16" t="s">
        <v>4867</v>
      </c>
      <c r="PGX349" s="16" t="s">
        <v>4867</v>
      </c>
      <c r="PGY349" s="16" t="s">
        <v>4867</v>
      </c>
      <c r="PGZ349" s="16" t="s">
        <v>4867</v>
      </c>
      <c r="PHA349" s="16" t="s">
        <v>4867</v>
      </c>
      <c r="PHB349" s="16" t="s">
        <v>4867</v>
      </c>
      <c r="PHC349" s="16" t="s">
        <v>4867</v>
      </c>
      <c r="PHD349" s="16" t="s">
        <v>4867</v>
      </c>
      <c r="PHE349" s="16" t="s">
        <v>4867</v>
      </c>
      <c r="PHF349" s="16" t="s">
        <v>4867</v>
      </c>
      <c r="PHG349" s="16" t="s">
        <v>4867</v>
      </c>
      <c r="PHH349" s="16" t="s">
        <v>4867</v>
      </c>
      <c r="PHI349" s="16" t="s">
        <v>4867</v>
      </c>
      <c r="PHJ349" s="16" t="s">
        <v>4867</v>
      </c>
      <c r="PHK349" s="16" t="s">
        <v>4867</v>
      </c>
      <c r="PHL349" s="16" t="s">
        <v>4867</v>
      </c>
      <c r="PHM349" s="16" t="s">
        <v>4867</v>
      </c>
      <c r="PHN349" s="16" t="s">
        <v>4867</v>
      </c>
      <c r="PHO349" s="16" t="s">
        <v>4867</v>
      </c>
      <c r="PHP349" s="16" t="s">
        <v>4867</v>
      </c>
      <c r="PHQ349" s="16" t="s">
        <v>4867</v>
      </c>
      <c r="PHR349" s="16" t="s">
        <v>4867</v>
      </c>
      <c r="PHS349" s="16" t="s">
        <v>4867</v>
      </c>
      <c r="PHT349" s="16" t="s">
        <v>4867</v>
      </c>
      <c r="PHU349" s="16" t="s">
        <v>4867</v>
      </c>
      <c r="PHV349" s="16" t="s">
        <v>4867</v>
      </c>
      <c r="PHW349" s="16" t="s">
        <v>4867</v>
      </c>
      <c r="PHX349" s="16" t="s">
        <v>4867</v>
      </c>
      <c r="PHY349" s="16" t="s">
        <v>4867</v>
      </c>
      <c r="PHZ349" s="16" t="s">
        <v>4867</v>
      </c>
      <c r="PIA349" s="16" t="s">
        <v>4867</v>
      </c>
      <c r="PIB349" s="16" t="s">
        <v>4867</v>
      </c>
      <c r="PIC349" s="16" t="s">
        <v>4867</v>
      </c>
      <c r="PID349" s="16" t="s">
        <v>4867</v>
      </c>
      <c r="PIE349" s="16" t="s">
        <v>4867</v>
      </c>
      <c r="PIF349" s="16" t="s">
        <v>4867</v>
      </c>
      <c r="PIG349" s="16" t="s">
        <v>4867</v>
      </c>
      <c r="PIH349" s="16" t="s">
        <v>4867</v>
      </c>
      <c r="PII349" s="16" t="s">
        <v>4867</v>
      </c>
      <c r="PIJ349" s="16" t="s">
        <v>4867</v>
      </c>
      <c r="PIK349" s="16" t="s">
        <v>4867</v>
      </c>
      <c r="PIL349" s="16" t="s">
        <v>4867</v>
      </c>
      <c r="PIM349" s="16" t="s">
        <v>4867</v>
      </c>
      <c r="PIN349" s="16" t="s">
        <v>4867</v>
      </c>
      <c r="PIO349" s="16" t="s">
        <v>4867</v>
      </c>
      <c r="PIP349" s="16" t="s">
        <v>4867</v>
      </c>
      <c r="PIQ349" s="16" t="s">
        <v>4867</v>
      </c>
      <c r="PIR349" s="16" t="s">
        <v>4867</v>
      </c>
      <c r="PIS349" s="16" t="s">
        <v>4867</v>
      </c>
      <c r="PIT349" s="16" t="s">
        <v>4867</v>
      </c>
      <c r="PIU349" s="16" t="s">
        <v>4867</v>
      </c>
      <c r="PIV349" s="16" t="s">
        <v>4867</v>
      </c>
      <c r="PIW349" s="16" t="s">
        <v>4867</v>
      </c>
      <c r="PIX349" s="16" t="s">
        <v>4867</v>
      </c>
      <c r="PIY349" s="16" t="s">
        <v>4867</v>
      </c>
      <c r="PIZ349" s="16" t="s">
        <v>4867</v>
      </c>
      <c r="PJA349" s="16" t="s">
        <v>4867</v>
      </c>
      <c r="PJB349" s="16" t="s">
        <v>4867</v>
      </c>
      <c r="PJC349" s="16" t="s">
        <v>4867</v>
      </c>
      <c r="PJD349" s="16" t="s">
        <v>4867</v>
      </c>
      <c r="PJE349" s="16" t="s">
        <v>4867</v>
      </c>
      <c r="PJF349" s="16" t="s">
        <v>4867</v>
      </c>
      <c r="PJG349" s="16" t="s">
        <v>4867</v>
      </c>
      <c r="PJH349" s="16" t="s">
        <v>4867</v>
      </c>
      <c r="PJI349" s="16" t="s">
        <v>4867</v>
      </c>
      <c r="PJJ349" s="16" t="s">
        <v>4867</v>
      </c>
      <c r="PJK349" s="16" t="s">
        <v>4867</v>
      </c>
      <c r="PJL349" s="16" t="s">
        <v>4867</v>
      </c>
      <c r="PJM349" s="16" t="s">
        <v>4867</v>
      </c>
      <c r="PJN349" s="16" t="s">
        <v>4867</v>
      </c>
      <c r="PJO349" s="16" t="s">
        <v>4867</v>
      </c>
      <c r="PJP349" s="16" t="s">
        <v>4867</v>
      </c>
      <c r="PJQ349" s="16" t="s">
        <v>4867</v>
      </c>
      <c r="PJR349" s="16" t="s">
        <v>4867</v>
      </c>
      <c r="PJS349" s="16" t="s">
        <v>4867</v>
      </c>
      <c r="PJT349" s="16" t="s">
        <v>4867</v>
      </c>
      <c r="PJU349" s="16" t="s">
        <v>4867</v>
      </c>
      <c r="PJV349" s="16" t="s">
        <v>4867</v>
      </c>
      <c r="PJW349" s="16" t="s">
        <v>4867</v>
      </c>
      <c r="PJX349" s="16" t="s">
        <v>4867</v>
      </c>
      <c r="PJY349" s="16" t="s">
        <v>4867</v>
      </c>
      <c r="PJZ349" s="16" t="s">
        <v>4867</v>
      </c>
      <c r="PKA349" s="16" t="s">
        <v>4867</v>
      </c>
      <c r="PKB349" s="16" t="s">
        <v>4867</v>
      </c>
      <c r="PKC349" s="16" t="s">
        <v>4867</v>
      </c>
      <c r="PKD349" s="16" t="s">
        <v>4867</v>
      </c>
      <c r="PKE349" s="16" t="s">
        <v>4867</v>
      </c>
      <c r="PKF349" s="16" t="s">
        <v>4867</v>
      </c>
      <c r="PKG349" s="16" t="s">
        <v>4867</v>
      </c>
      <c r="PKH349" s="16" t="s">
        <v>4867</v>
      </c>
      <c r="PKI349" s="16" t="s">
        <v>4867</v>
      </c>
      <c r="PKJ349" s="16" t="s">
        <v>4867</v>
      </c>
      <c r="PKK349" s="16" t="s">
        <v>4867</v>
      </c>
      <c r="PKL349" s="16" t="s">
        <v>4867</v>
      </c>
      <c r="PKM349" s="16" t="s">
        <v>4867</v>
      </c>
      <c r="PKN349" s="16" t="s">
        <v>4867</v>
      </c>
      <c r="PKO349" s="16" t="s">
        <v>4867</v>
      </c>
      <c r="PKP349" s="16" t="s">
        <v>4867</v>
      </c>
      <c r="PKQ349" s="16" t="s">
        <v>4867</v>
      </c>
      <c r="PKR349" s="16" t="s">
        <v>4867</v>
      </c>
      <c r="PKS349" s="16" t="s">
        <v>4867</v>
      </c>
      <c r="PKT349" s="16" t="s">
        <v>4867</v>
      </c>
      <c r="PKU349" s="16" t="s">
        <v>4867</v>
      </c>
      <c r="PKV349" s="16" t="s">
        <v>4867</v>
      </c>
      <c r="PKW349" s="16" t="s">
        <v>4867</v>
      </c>
      <c r="PKX349" s="16" t="s">
        <v>4867</v>
      </c>
      <c r="PKY349" s="16" t="s">
        <v>4867</v>
      </c>
      <c r="PKZ349" s="16" t="s">
        <v>4867</v>
      </c>
      <c r="PLA349" s="16" t="s">
        <v>4867</v>
      </c>
      <c r="PLB349" s="16" t="s">
        <v>4867</v>
      </c>
      <c r="PLC349" s="16" t="s">
        <v>4867</v>
      </c>
      <c r="PLD349" s="16" t="s">
        <v>4867</v>
      </c>
      <c r="PLE349" s="16" t="s">
        <v>4867</v>
      </c>
      <c r="PLF349" s="16" t="s">
        <v>4867</v>
      </c>
      <c r="PLG349" s="16" t="s">
        <v>4867</v>
      </c>
      <c r="PLH349" s="16" t="s">
        <v>4867</v>
      </c>
      <c r="PLI349" s="16" t="s">
        <v>4867</v>
      </c>
      <c r="PLJ349" s="16" t="s">
        <v>4867</v>
      </c>
      <c r="PLK349" s="16" t="s">
        <v>4867</v>
      </c>
      <c r="PLL349" s="16" t="s">
        <v>4867</v>
      </c>
      <c r="PLM349" s="16" t="s">
        <v>4867</v>
      </c>
      <c r="PLN349" s="16" t="s">
        <v>4867</v>
      </c>
      <c r="PLO349" s="16" t="s">
        <v>4867</v>
      </c>
      <c r="PLP349" s="16" t="s">
        <v>4867</v>
      </c>
      <c r="PLQ349" s="16" t="s">
        <v>4867</v>
      </c>
      <c r="PLR349" s="16" t="s">
        <v>4867</v>
      </c>
      <c r="PLS349" s="16" t="s">
        <v>4867</v>
      </c>
      <c r="PLT349" s="16" t="s">
        <v>4867</v>
      </c>
      <c r="PLU349" s="16" t="s">
        <v>4867</v>
      </c>
      <c r="PLV349" s="16" t="s">
        <v>4867</v>
      </c>
      <c r="PLW349" s="16" t="s">
        <v>4867</v>
      </c>
      <c r="PLX349" s="16" t="s">
        <v>4867</v>
      </c>
      <c r="PLY349" s="16" t="s">
        <v>4867</v>
      </c>
      <c r="PLZ349" s="16" t="s">
        <v>4867</v>
      </c>
      <c r="PMA349" s="16" t="s">
        <v>4867</v>
      </c>
      <c r="PMB349" s="16" t="s">
        <v>4867</v>
      </c>
      <c r="PMC349" s="16" t="s">
        <v>4867</v>
      </c>
      <c r="PMD349" s="16" t="s">
        <v>4867</v>
      </c>
      <c r="PME349" s="16" t="s">
        <v>4867</v>
      </c>
      <c r="PMF349" s="16" t="s">
        <v>4867</v>
      </c>
      <c r="PMG349" s="16" t="s">
        <v>4867</v>
      </c>
      <c r="PMH349" s="16" t="s">
        <v>4867</v>
      </c>
      <c r="PMI349" s="16" t="s">
        <v>4867</v>
      </c>
      <c r="PMJ349" s="16" t="s">
        <v>4867</v>
      </c>
      <c r="PMK349" s="16" t="s">
        <v>4867</v>
      </c>
      <c r="PML349" s="16" t="s">
        <v>4867</v>
      </c>
      <c r="PMM349" s="16" t="s">
        <v>4867</v>
      </c>
      <c r="PMN349" s="16" t="s">
        <v>4867</v>
      </c>
      <c r="PMO349" s="16" t="s">
        <v>4867</v>
      </c>
      <c r="PMP349" s="16" t="s">
        <v>4867</v>
      </c>
      <c r="PMQ349" s="16" t="s">
        <v>4867</v>
      </c>
      <c r="PMR349" s="16" t="s">
        <v>4867</v>
      </c>
      <c r="PMS349" s="16" t="s">
        <v>4867</v>
      </c>
      <c r="PMT349" s="16" t="s">
        <v>4867</v>
      </c>
      <c r="PMU349" s="16" t="s">
        <v>4867</v>
      </c>
      <c r="PMV349" s="16" t="s">
        <v>4867</v>
      </c>
      <c r="PMW349" s="16" t="s">
        <v>4867</v>
      </c>
      <c r="PMX349" s="16" t="s">
        <v>4867</v>
      </c>
      <c r="PMY349" s="16" t="s">
        <v>4867</v>
      </c>
      <c r="PMZ349" s="16" t="s">
        <v>4867</v>
      </c>
      <c r="PNA349" s="16" t="s">
        <v>4867</v>
      </c>
      <c r="PNB349" s="16" t="s">
        <v>4867</v>
      </c>
      <c r="PNC349" s="16" t="s">
        <v>4867</v>
      </c>
      <c r="PND349" s="16" t="s">
        <v>4867</v>
      </c>
      <c r="PNE349" s="16" t="s">
        <v>4867</v>
      </c>
      <c r="PNF349" s="16" t="s">
        <v>4867</v>
      </c>
      <c r="PNG349" s="16" t="s">
        <v>4867</v>
      </c>
      <c r="PNH349" s="16" t="s">
        <v>4867</v>
      </c>
      <c r="PNI349" s="16" t="s">
        <v>4867</v>
      </c>
      <c r="PNJ349" s="16" t="s">
        <v>4867</v>
      </c>
      <c r="PNK349" s="16" t="s">
        <v>4867</v>
      </c>
      <c r="PNL349" s="16" t="s">
        <v>4867</v>
      </c>
      <c r="PNM349" s="16" t="s">
        <v>4867</v>
      </c>
      <c r="PNN349" s="16" t="s">
        <v>4867</v>
      </c>
      <c r="PNO349" s="16" t="s">
        <v>4867</v>
      </c>
      <c r="PNP349" s="16" t="s">
        <v>4867</v>
      </c>
      <c r="PNQ349" s="16" t="s">
        <v>4867</v>
      </c>
      <c r="PNR349" s="16" t="s">
        <v>4867</v>
      </c>
      <c r="PNS349" s="16" t="s">
        <v>4867</v>
      </c>
      <c r="PNT349" s="16" t="s">
        <v>4867</v>
      </c>
      <c r="PNU349" s="16" t="s">
        <v>4867</v>
      </c>
      <c r="PNV349" s="16" t="s">
        <v>4867</v>
      </c>
      <c r="PNW349" s="16" t="s">
        <v>4867</v>
      </c>
      <c r="PNX349" s="16" t="s">
        <v>4867</v>
      </c>
      <c r="PNY349" s="16" t="s">
        <v>4867</v>
      </c>
      <c r="PNZ349" s="16" t="s">
        <v>4867</v>
      </c>
      <c r="POA349" s="16" t="s">
        <v>4867</v>
      </c>
      <c r="POB349" s="16" t="s">
        <v>4867</v>
      </c>
      <c r="POC349" s="16" t="s">
        <v>4867</v>
      </c>
      <c r="POD349" s="16" t="s">
        <v>4867</v>
      </c>
      <c r="POE349" s="16" t="s">
        <v>4867</v>
      </c>
      <c r="POF349" s="16" t="s">
        <v>4867</v>
      </c>
      <c r="POG349" s="16" t="s">
        <v>4867</v>
      </c>
      <c r="POH349" s="16" t="s">
        <v>4867</v>
      </c>
      <c r="POI349" s="16" t="s">
        <v>4867</v>
      </c>
      <c r="POJ349" s="16" t="s">
        <v>4867</v>
      </c>
      <c r="POK349" s="16" t="s">
        <v>4867</v>
      </c>
      <c r="POL349" s="16" t="s">
        <v>4867</v>
      </c>
      <c r="POM349" s="16" t="s">
        <v>4867</v>
      </c>
      <c r="PON349" s="16" t="s">
        <v>4867</v>
      </c>
      <c r="POO349" s="16" t="s">
        <v>4867</v>
      </c>
      <c r="POP349" s="16" t="s">
        <v>4867</v>
      </c>
      <c r="POQ349" s="16" t="s">
        <v>4867</v>
      </c>
      <c r="POR349" s="16" t="s">
        <v>4867</v>
      </c>
      <c r="POS349" s="16" t="s">
        <v>4867</v>
      </c>
      <c r="POT349" s="16" t="s">
        <v>4867</v>
      </c>
      <c r="POU349" s="16" t="s">
        <v>4867</v>
      </c>
      <c r="POV349" s="16" t="s">
        <v>4867</v>
      </c>
      <c r="POW349" s="16" t="s">
        <v>4867</v>
      </c>
      <c r="POX349" s="16" t="s">
        <v>4867</v>
      </c>
      <c r="POY349" s="16" t="s">
        <v>4867</v>
      </c>
      <c r="POZ349" s="16" t="s">
        <v>4867</v>
      </c>
      <c r="PPA349" s="16" t="s">
        <v>4867</v>
      </c>
      <c r="PPB349" s="16" t="s">
        <v>4867</v>
      </c>
      <c r="PPC349" s="16" t="s">
        <v>4867</v>
      </c>
      <c r="PPD349" s="16" t="s">
        <v>4867</v>
      </c>
      <c r="PPE349" s="16" t="s">
        <v>4867</v>
      </c>
      <c r="PPF349" s="16" t="s">
        <v>4867</v>
      </c>
      <c r="PPG349" s="16" t="s">
        <v>4867</v>
      </c>
      <c r="PPH349" s="16" t="s">
        <v>4867</v>
      </c>
      <c r="PPI349" s="16" t="s">
        <v>4867</v>
      </c>
      <c r="PPJ349" s="16" t="s">
        <v>4867</v>
      </c>
      <c r="PPK349" s="16" t="s">
        <v>4867</v>
      </c>
      <c r="PPL349" s="16" t="s">
        <v>4867</v>
      </c>
      <c r="PPM349" s="16" t="s">
        <v>4867</v>
      </c>
      <c r="PPN349" s="16" t="s">
        <v>4867</v>
      </c>
      <c r="PPO349" s="16" t="s">
        <v>4867</v>
      </c>
      <c r="PPP349" s="16" t="s">
        <v>4867</v>
      </c>
      <c r="PPQ349" s="16" t="s">
        <v>4867</v>
      </c>
      <c r="PPR349" s="16" t="s">
        <v>4867</v>
      </c>
      <c r="PPS349" s="16" t="s">
        <v>4867</v>
      </c>
      <c r="PPT349" s="16" t="s">
        <v>4867</v>
      </c>
      <c r="PPU349" s="16" t="s">
        <v>4867</v>
      </c>
      <c r="PPV349" s="16" t="s">
        <v>4867</v>
      </c>
      <c r="PPW349" s="16" t="s">
        <v>4867</v>
      </c>
      <c r="PPX349" s="16" t="s">
        <v>4867</v>
      </c>
      <c r="PPY349" s="16" t="s">
        <v>4867</v>
      </c>
      <c r="PPZ349" s="16" t="s">
        <v>4867</v>
      </c>
      <c r="PQA349" s="16" t="s">
        <v>4867</v>
      </c>
      <c r="PQB349" s="16" t="s">
        <v>4867</v>
      </c>
      <c r="PQC349" s="16" t="s">
        <v>4867</v>
      </c>
      <c r="PQD349" s="16" t="s">
        <v>4867</v>
      </c>
      <c r="PQE349" s="16" t="s">
        <v>4867</v>
      </c>
      <c r="PQF349" s="16" t="s">
        <v>4867</v>
      </c>
      <c r="PQG349" s="16" t="s">
        <v>4867</v>
      </c>
      <c r="PQH349" s="16" t="s">
        <v>4867</v>
      </c>
      <c r="PQI349" s="16" t="s">
        <v>4867</v>
      </c>
      <c r="PQJ349" s="16" t="s">
        <v>4867</v>
      </c>
      <c r="PQK349" s="16" t="s">
        <v>4867</v>
      </c>
      <c r="PQL349" s="16" t="s">
        <v>4867</v>
      </c>
      <c r="PQM349" s="16" t="s">
        <v>4867</v>
      </c>
      <c r="PQN349" s="16" t="s">
        <v>4867</v>
      </c>
      <c r="PQO349" s="16" t="s">
        <v>4867</v>
      </c>
      <c r="PQP349" s="16" t="s">
        <v>4867</v>
      </c>
      <c r="PQQ349" s="16" t="s">
        <v>4867</v>
      </c>
      <c r="PQR349" s="16" t="s">
        <v>4867</v>
      </c>
      <c r="PQS349" s="16" t="s">
        <v>4867</v>
      </c>
      <c r="PQT349" s="16" t="s">
        <v>4867</v>
      </c>
      <c r="PQU349" s="16" t="s">
        <v>4867</v>
      </c>
      <c r="PQV349" s="16" t="s">
        <v>4867</v>
      </c>
      <c r="PQW349" s="16" t="s">
        <v>4867</v>
      </c>
      <c r="PQX349" s="16" t="s">
        <v>4867</v>
      </c>
      <c r="PQY349" s="16" t="s">
        <v>4867</v>
      </c>
      <c r="PQZ349" s="16" t="s">
        <v>4867</v>
      </c>
      <c r="PRA349" s="16" t="s">
        <v>4867</v>
      </c>
      <c r="PRB349" s="16" t="s">
        <v>4867</v>
      </c>
      <c r="PRC349" s="16" t="s">
        <v>4867</v>
      </c>
      <c r="PRD349" s="16" t="s">
        <v>4867</v>
      </c>
      <c r="PRE349" s="16" t="s">
        <v>4867</v>
      </c>
      <c r="PRF349" s="16" t="s">
        <v>4867</v>
      </c>
      <c r="PRG349" s="16" t="s">
        <v>4867</v>
      </c>
      <c r="PRH349" s="16" t="s">
        <v>4867</v>
      </c>
      <c r="PRI349" s="16" t="s">
        <v>4867</v>
      </c>
      <c r="PRJ349" s="16" t="s">
        <v>4867</v>
      </c>
      <c r="PRK349" s="16" t="s">
        <v>4867</v>
      </c>
      <c r="PRL349" s="16" t="s">
        <v>4867</v>
      </c>
      <c r="PRM349" s="16" t="s">
        <v>4867</v>
      </c>
      <c r="PRN349" s="16" t="s">
        <v>4867</v>
      </c>
      <c r="PRO349" s="16" t="s">
        <v>4867</v>
      </c>
      <c r="PRP349" s="16" t="s">
        <v>4867</v>
      </c>
      <c r="PRQ349" s="16" t="s">
        <v>4867</v>
      </c>
      <c r="PRR349" s="16" t="s">
        <v>4867</v>
      </c>
      <c r="PRS349" s="16" t="s">
        <v>4867</v>
      </c>
      <c r="PRT349" s="16" t="s">
        <v>4867</v>
      </c>
      <c r="PRU349" s="16" t="s">
        <v>4867</v>
      </c>
      <c r="PRV349" s="16" t="s">
        <v>4867</v>
      </c>
      <c r="PRW349" s="16" t="s">
        <v>4867</v>
      </c>
      <c r="PRX349" s="16" t="s">
        <v>4867</v>
      </c>
      <c r="PRY349" s="16" t="s">
        <v>4867</v>
      </c>
      <c r="PRZ349" s="16" t="s">
        <v>4867</v>
      </c>
      <c r="PSA349" s="16" t="s">
        <v>4867</v>
      </c>
      <c r="PSB349" s="16" t="s">
        <v>4867</v>
      </c>
      <c r="PSC349" s="16" t="s">
        <v>4867</v>
      </c>
      <c r="PSD349" s="16" t="s">
        <v>4867</v>
      </c>
      <c r="PSE349" s="16" t="s">
        <v>4867</v>
      </c>
      <c r="PSF349" s="16" t="s">
        <v>4867</v>
      </c>
      <c r="PSG349" s="16" t="s">
        <v>4867</v>
      </c>
      <c r="PSH349" s="16" t="s">
        <v>4867</v>
      </c>
      <c r="PSI349" s="16" t="s">
        <v>4867</v>
      </c>
      <c r="PSJ349" s="16" t="s">
        <v>4867</v>
      </c>
      <c r="PSK349" s="16" t="s">
        <v>4867</v>
      </c>
      <c r="PSL349" s="16" t="s">
        <v>4867</v>
      </c>
      <c r="PSM349" s="16" t="s">
        <v>4867</v>
      </c>
      <c r="PSN349" s="16" t="s">
        <v>4867</v>
      </c>
      <c r="PSO349" s="16" t="s">
        <v>4867</v>
      </c>
      <c r="PSP349" s="16" t="s">
        <v>4867</v>
      </c>
      <c r="PSQ349" s="16" t="s">
        <v>4867</v>
      </c>
      <c r="PSR349" s="16" t="s">
        <v>4867</v>
      </c>
      <c r="PSS349" s="16" t="s">
        <v>4867</v>
      </c>
      <c r="PST349" s="16" t="s">
        <v>4867</v>
      </c>
      <c r="PSU349" s="16" t="s">
        <v>4867</v>
      </c>
      <c r="PSV349" s="16" t="s">
        <v>4867</v>
      </c>
      <c r="PSW349" s="16" t="s">
        <v>4867</v>
      </c>
      <c r="PSX349" s="16" t="s">
        <v>4867</v>
      </c>
      <c r="PSY349" s="16" t="s">
        <v>4867</v>
      </c>
      <c r="PSZ349" s="16" t="s">
        <v>4867</v>
      </c>
      <c r="PTA349" s="16" t="s">
        <v>4867</v>
      </c>
      <c r="PTB349" s="16" t="s">
        <v>4867</v>
      </c>
      <c r="PTC349" s="16" t="s">
        <v>4867</v>
      </c>
      <c r="PTD349" s="16" t="s">
        <v>4867</v>
      </c>
      <c r="PTE349" s="16" t="s">
        <v>4867</v>
      </c>
      <c r="PTF349" s="16" t="s">
        <v>4867</v>
      </c>
      <c r="PTG349" s="16" t="s">
        <v>4867</v>
      </c>
      <c r="PTH349" s="16" t="s">
        <v>4867</v>
      </c>
      <c r="PTI349" s="16" t="s">
        <v>4867</v>
      </c>
      <c r="PTJ349" s="16" t="s">
        <v>4867</v>
      </c>
      <c r="PTK349" s="16" t="s">
        <v>4867</v>
      </c>
      <c r="PTL349" s="16" t="s">
        <v>4867</v>
      </c>
      <c r="PTM349" s="16" t="s">
        <v>4867</v>
      </c>
      <c r="PTN349" s="16" t="s">
        <v>4867</v>
      </c>
      <c r="PTO349" s="16" t="s">
        <v>4867</v>
      </c>
      <c r="PTP349" s="16" t="s">
        <v>4867</v>
      </c>
      <c r="PTQ349" s="16" t="s">
        <v>4867</v>
      </c>
      <c r="PTR349" s="16" t="s">
        <v>4867</v>
      </c>
      <c r="PTS349" s="16" t="s">
        <v>4867</v>
      </c>
      <c r="PTT349" s="16" t="s">
        <v>4867</v>
      </c>
      <c r="PTU349" s="16" t="s">
        <v>4867</v>
      </c>
      <c r="PTV349" s="16" t="s">
        <v>4867</v>
      </c>
      <c r="PTW349" s="16" t="s">
        <v>4867</v>
      </c>
      <c r="PTX349" s="16" t="s">
        <v>4867</v>
      </c>
      <c r="PTY349" s="16" t="s">
        <v>4867</v>
      </c>
      <c r="PTZ349" s="16" t="s">
        <v>4867</v>
      </c>
      <c r="PUA349" s="16" t="s">
        <v>4867</v>
      </c>
      <c r="PUB349" s="16" t="s">
        <v>4867</v>
      </c>
      <c r="PUC349" s="16" t="s">
        <v>4867</v>
      </c>
      <c r="PUD349" s="16" t="s">
        <v>4867</v>
      </c>
      <c r="PUE349" s="16" t="s">
        <v>4867</v>
      </c>
      <c r="PUF349" s="16" t="s">
        <v>4867</v>
      </c>
      <c r="PUG349" s="16" t="s">
        <v>4867</v>
      </c>
      <c r="PUH349" s="16" t="s">
        <v>4867</v>
      </c>
      <c r="PUI349" s="16" t="s">
        <v>4867</v>
      </c>
      <c r="PUJ349" s="16" t="s">
        <v>4867</v>
      </c>
      <c r="PUK349" s="16" t="s">
        <v>4867</v>
      </c>
      <c r="PUL349" s="16" t="s">
        <v>4867</v>
      </c>
      <c r="PUM349" s="16" t="s">
        <v>4867</v>
      </c>
      <c r="PUN349" s="16" t="s">
        <v>4867</v>
      </c>
      <c r="PUO349" s="16" t="s">
        <v>4867</v>
      </c>
      <c r="PUP349" s="16" t="s">
        <v>4867</v>
      </c>
      <c r="PUQ349" s="16" t="s">
        <v>4867</v>
      </c>
      <c r="PUR349" s="16" t="s">
        <v>4867</v>
      </c>
      <c r="PUS349" s="16" t="s">
        <v>4867</v>
      </c>
      <c r="PUT349" s="16" t="s">
        <v>4867</v>
      </c>
      <c r="PUU349" s="16" t="s">
        <v>4867</v>
      </c>
      <c r="PUV349" s="16" t="s">
        <v>4867</v>
      </c>
      <c r="PUW349" s="16" t="s">
        <v>4867</v>
      </c>
      <c r="PUX349" s="16" t="s">
        <v>4867</v>
      </c>
      <c r="PUY349" s="16" t="s">
        <v>4867</v>
      </c>
      <c r="PUZ349" s="16" t="s">
        <v>4867</v>
      </c>
      <c r="PVA349" s="16" t="s">
        <v>4867</v>
      </c>
      <c r="PVB349" s="16" t="s">
        <v>4867</v>
      </c>
      <c r="PVC349" s="16" t="s">
        <v>4867</v>
      </c>
      <c r="PVD349" s="16" t="s">
        <v>4867</v>
      </c>
      <c r="PVE349" s="16" t="s">
        <v>4867</v>
      </c>
      <c r="PVF349" s="16" t="s">
        <v>4867</v>
      </c>
      <c r="PVG349" s="16" t="s">
        <v>4867</v>
      </c>
      <c r="PVH349" s="16" t="s">
        <v>4867</v>
      </c>
      <c r="PVI349" s="16" t="s">
        <v>4867</v>
      </c>
      <c r="PVJ349" s="16" t="s">
        <v>4867</v>
      </c>
      <c r="PVK349" s="16" t="s">
        <v>4867</v>
      </c>
      <c r="PVL349" s="16" t="s">
        <v>4867</v>
      </c>
      <c r="PVM349" s="16" t="s">
        <v>4867</v>
      </c>
      <c r="PVN349" s="16" t="s">
        <v>4867</v>
      </c>
      <c r="PVO349" s="16" t="s">
        <v>4867</v>
      </c>
      <c r="PVP349" s="16" t="s">
        <v>4867</v>
      </c>
      <c r="PVQ349" s="16" t="s">
        <v>4867</v>
      </c>
      <c r="PVR349" s="16" t="s">
        <v>4867</v>
      </c>
      <c r="PVS349" s="16" t="s">
        <v>4867</v>
      </c>
      <c r="PVT349" s="16" t="s">
        <v>4867</v>
      </c>
      <c r="PVU349" s="16" t="s">
        <v>4867</v>
      </c>
      <c r="PVV349" s="16" t="s">
        <v>4867</v>
      </c>
      <c r="PVW349" s="16" t="s">
        <v>4867</v>
      </c>
      <c r="PVX349" s="16" t="s">
        <v>4867</v>
      </c>
      <c r="PVY349" s="16" t="s">
        <v>4867</v>
      </c>
      <c r="PVZ349" s="16" t="s">
        <v>4867</v>
      </c>
      <c r="PWA349" s="16" t="s">
        <v>4867</v>
      </c>
      <c r="PWB349" s="16" t="s">
        <v>4867</v>
      </c>
      <c r="PWC349" s="16" t="s">
        <v>4867</v>
      </c>
      <c r="PWD349" s="16" t="s">
        <v>4867</v>
      </c>
      <c r="PWE349" s="16" t="s">
        <v>4867</v>
      </c>
      <c r="PWF349" s="16" t="s">
        <v>4867</v>
      </c>
      <c r="PWG349" s="16" t="s">
        <v>4867</v>
      </c>
      <c r="PWH349" s="16" t="s">
        <v>4867</v>
      </c>
      <c r="PWI349" s="16" t="s">
        <v>4867</v>
      </c>
      <c r="PWJ349" s="16" t="s">
        <v>4867</v>
      </c>
      <c r="PWK349" s="16" t="s">
        <v>4867</v>
      </c>
      <c r="PWL349" s="16" t="s">
        <v>4867</v>
      </c>
      <c r="PWM349" s="16" t="s">
        <v>4867</v>
      </c>
      <c r="PWN349" s="16" t="s">
        <v>4867</v>
      </c>
      <c r="PWO349" s="16" t="s">
        <v>4867</v>
      </c>
      <c r="PWP349" s="16" t="s">
        <v>4867</v>
      </c>
      <c r="PWQ349" s="16" t="s">
        <v>4867</v>
      </c>
      <c r="PWR349" s="16" t="s">
        <v>4867</v>
      </c>
      <c r="PWS349" s="16" t="s">
        <v>4867</v>
      </c>
      <c r="PWT349" s="16" t="s">
        <v>4867</v>
      </c>
      <c r="PWU349" s="16" t="s">
        <v>4867</v>
      </c>
      <c r="PWV349" s="16" t="s">
        <v>4867</v>
      </c>
      <c r="PWW349" s="16" t="s">
        <v>4867</v>
      </c>
      <c r="PWX349" s="16" t="s">
        <v>4867</v>
      </c>
      <c r="PWY349" s="16" t="s">
        <v>4867</v>
      </c>
      <c r="PWZ349" s="16" t="s">
        <v>4867</v>
      </c>
      <c r="PXA349" s="16" t="s">
        <v>4867</v>
      </c>
      <c r="PXB349" s="16" t="s">
        <v>4867</v>
      </c>
      <c r="PXC349" s="16" t="s">
        <v>4867</v>
      </c>
      <c r="PXD349" s="16" t="s">
        <v>4867</v>
      </c>
      <c r="PXE349" s="16" t="s">
        <v>4867</v>
      </c>
      <c r="PXF349" s="16" t="s">
        <v>4867</v>
      </c>
      <c r="PXG349" s="16" t="s">
        <v>4867</v>
      </c>
      <c r="PXH349" s="16" t="s">
        <v>4867</v>
      </c>
      <c r="PXI349" s="16" t="s">
        <v>4867</v>
      </c>
      <c r="PXJ349" s="16" t="s">
        <v>4867</v>
      </c>
      <c r="PXK349" s="16" t="s">
        <v>4867</v>
      </c>
      <c r="PXL349" s="16" t="s">
        <v>4867</v>
      </c>
      <c r="PXM349" s="16" t="s">
        <v>4867</v>
      </c>
      <c r="PXN349" s="16" t="s">
        <v>4867</v>
      </c>
      <c r="PXO349" s="16" t="s">
        <v>4867</v>
      </c>
      <c r="PXP349" s="16" t="s">
        <v>4867</v>
      </c>
      <c r="PXQ349" s="16" t="s">
        <v>4867</v>
      </c>
      <c r="PXR349" s="16" t="s">
        <v>4867</v>
      </c>
      <c r="PXS349" s="16" t="s">
        <v>4867</v>
      </c>
      <c r="PXT349" s="16" t="s">
        <v>4867</v>
      </c>
      <c r="PXU349" s="16" t="s">
        <v>4867</v>
      </c>
      <c r="PXV349" s="16" t="s">
        <v>4867</v>
      </c>
      <c r="PXW349" s="16" t="s">
        <v>4867</v>
      </c>
      <c r="PXX349" s="16" t="s">
        <v>4867</v>
      </c>
      <c r="PXY349" s="16" t="s">
        <v>4867</v>
      </c>
      <c r="PXZ349" s="16" t="s">
        <v>4867</v>
      </c>
      <c r="PYA349" s="16" t="s">
        <v>4867</v>
      </c>
      <c r="PYB349" s="16" t="s">
        <v>4867</v>
      </c>
      <c r="PYC349" s="16" t="s">
        <v>4867</v>
      </c>
      <c r="PYD349" s="16" t="s">
        <v>4867</v>
      </c>
      <c r="PYE349" s="16" t="s">
        <v>4867</v>
      </c>
      <c r="PYF349" s="16" t="s">
        <v>4867</v>
      </c>
      <c r="PYG349" s="16" t="s">
        <v>4867</v>
      </c>
      <c r="PYH349" s="16" t="s">
        <v>4867</v>
      </c>
      <c r="PYI349" s="16" t="s">
        <v>4867</v>
      </c>
      <c r="PYJ349" s="16" t="s">
        <v>4867</v>
      </c>
      <c r="PYK349" s="16" t="s">
        <v>4867</v>
      </c>
      <c r="PYL349" s="16" t="s">
        <v>4867</v>
      </c>
      <c r="PYM349" s="16" t="s">
        <v>4867</v>
      </c>
      <c r="PYN349" s="16" t="s">
        <v>4867</v>
      </c>
      <c r="PYO349" s="16" t="s">
        <v>4867</v>
      </c>
      <c r="PYP349" s="16" t="s">
        <v>4867</v>
      </c>
      <c r="PYQ349" s="16" t="s">
        <v>4867</v>
      </c>
      <c r="PYR349" s="16" t="s">
        <v>4867</v>
      </c>
      <c r="PYS349" s="16" t="s">
        <v>4867</v>
      </c>
      <c r="PYT349" s="16" t="s">
        <v>4867</v>
      </c>
      <c r="PYU349" s="16" t="s">
        <v>4867</v>
      </c>
      <c r="PYV349" s="16" t="s">
        <v>4867</v>
      </c>
      <c r="PYW349" s="16" t="s">
        <v>4867</v>
      </c>
      <c r="PYX349" s="16" t="s">
        <v>4867</v>
      </c>
      <c r="PYY349" s="16" t="s">
        <v>4867</v>
      </c>
      <c r="PYZ349" s="16" t="s">
        <v>4867</v>
      </c>
      <c r="PZA349" s="16" t="s">
        <v>4867</v>
      </c>
      <c r="PZB349" s="16" t="s">
        <v>4867</v>
      </c>
      <c r="PZC349" s="16" t="s">
        <v>4867</v>
      </c>
      <c r="PZD349" s="16" t="s">
        <v>4867</v>
      </c>
      <c r="PZE349" s="16" t="s">
        <v>4867</v>
      </c>
      <c r="PZF349" s="16" t="s">
        <v>4867</v>
      </c>
      <c r="PZG349" s="16" t="s">
        <v>4867</v>
      </c>
      <c r="PZH349" s="16" t="s">
        <v>4867</v>
      </c>
      <c r="PZI349" s="16" t="s">
        <v>4867</v>
      </c>
      <c r="PZJ349" s="16" t="s">
        <v>4867</v>
      </c>
      <c r="PZK349" s="16" t="s">
        <v>4867</v>
      </c>
      <c r="PZL349" s="16" t="s">
        <v>4867</v>
      </c>
      <c r="PZM349" s="16" t="s">
        <v>4867</v>
      </c>
      <c r="PZN349" s="16" t="s">
        <v>4867</v>
      </c>
      <c r="PZO349" s="16" t="s">
        <v>4867</v>
      </c>
      <c r="PZP349" s="16" t="s">
        <v>4867</v>
      </c>
      <c r="PZQ349" s="16" t="s">
        <v>4867</v>
      </c>
      <c r="PZR349" s="16" t="s">
        <v>4867</v>
      </c>
      <c r="PZS349" s="16" t="s">
        <v>4867</v>
      </c>
      <c r="PZT349" s="16" t="s">
        <v>4867</v>
      </c>
      <c r="PZU349" s="16" t="s">
        <v>4867</v>
      </c>
      <c r="PZV349" s="16" t="s">
        <v>4867</v>
      </c>
      <c r="PZW349" s="16" t="s">
        <v>4867</v>
      </c>
      <c r="PZX349" s="16" t="s">
        <v>4867</v>
      </c>
      <c r="PZY349" s="16" t="s">
        <v>4867</v>
      </c>
      <c r="PZZ349" s="16" t="s">
        <v>4867</v>
      </c>
      <c r="QAA349" s="16" t="s">
        <v>4867</v>
      </c>
      <c r="QAB349" s="16" t="s">
        <v>4867</v>
      </c>
      <c r="QAC349" s="16" t="s">
        <v>4867</v>
      </c>
      <c r="QAD349" s="16" t="s">
        <v>4867</v>
      </c>
      <c r="QAE349" s="16" t="s">
        <v>4867</v>
      </c>
      <c r="QAF349" s="16" t="s">
        <v>4867</v>
      </c>
      <c r="QAG349" s="16" t="s">
        <v>4867</v>
      </c>
      <c r="QAH349" s="16" t="s">
        <v>4867</v>
      </c>
      <c r="QAI349" s="16" t="s">
        <v>4867</v>
      </c>
      <c r="QAJ349" s="16" t="s">
        <v>4867</v>
      </c>
      <c r="QAK349" s="16" t="s">
        <v>4867</v>
      </c>
      <c r="QAL349" s="16" t="s">
        <v>4867</v>
      </c>
      <c r="QAM349" s="16" t="s">
        <v>4867</v>
      </c>
      <c r="QAN349" s="16" t="s">
        <v>4867</v>
      </c>
      <c r="QAO349" s="16" t="s">
        <v>4867</v>
      </c>
      <c r="QAP349" s="16" t="s">
        <v>4867</v>
      </c>
      <c r="QAQ349" s="16" t="s">
        <v>4867</v>
      </c>
      <c r="QAR349" s="16" t="s">
        <v>4867</v>
      </c>
      <c r="QAS349" s="16" t="s">
        <v>4867</v>
      </c>
      <c r="QAT349" s="16" t="s">
        <v>4867</v>
      </c>
      <c r="QAU349" s="16" t="s">
        <v>4867</v>
      </c>
      <c r="QAV349" s="16" t="s">
        <v>4867</v>
      </c>
      <c r="QAW349" s="16" t="s">
        <v>4867</v>
      </c>
      <c r="QAX349" s="16" t="s">
        <v>4867</v>
      </c>
      <c r="QAY349" s="16" t="s">
        <v>4867</v>
      </c>
      <c r="QAZ349" s="16" t="s">
        <v>4867</v>
      </c>
      <c r="QBA349" s="16" t="s">
        <v>4867</v>
      </c>
      <c r="QBB349" s="16" t="s">
        <v>4867</v>
      </c>
      <c r="QBC349" s="16" t="s">
        <v>4867</v>
      </c>
      <c r="QBD349" s="16" t="s">
        <v>4867</v>
      </c>
      <c r="QBE349" s="16" t="s">
        <v>4867</v>
      </c>
      <c r="QBF349" s="16" t="s">
        <v>4867</v>
      </c>
      <c r="QBG349" s="16" t="s">
        <v>4867</v>
      </c>
      <c r="QBH349" s="16" t="s">
        <v>4867</v>
      </c>
      <c r="QBI349" s="16" t="s">
        <v>4867</v>
      </c>
      <c r="QBJ349" s="16" t="s">
        <v>4867</v>
      </c>
      <c r="QBK349" s="16" t="s">
        <v>4867</v>
      </c>
      <c r="QBL349" s="16" t="s">
        <v>4867</v>
      </c>
      <c r="QBM349" s="16" t="s">
        <v>4867</v>
      </c>
      <c r="QBN349" s="16" t="s">
        <v>4867</v>
      </c>
      <c r="QBO349" s="16" t="s">
        <v>4867</v>
      </c>
      <c r="QBP349" s="16" t="s">
        <v>4867</v>
      </c>
      <c r="QBQ349" s="16" t="s">
        <v>4867</v>
      </c>
      <c r="QBR349" s="16" t="s">
        <v>4867</v>
      </c>
      <c r="QBS349" s="16" t="s">
        <v>4867</v>
      </c>
      <c r="QBT349" s="16" t="s">
        <v>4867</v>
      </c>
      <c r="QBU349" s="16" t="s">
        <v>4867</v>
      </c>
      <c r="QBV349" s="16" t="s">
        <v>4867</v>
      </c>
      <c r="QBW349" s="16" t="s">
        <v>4867</v>
      </c>
      <c r="QBX349" s="16" t="s">
        <v>4867</v>
      </c>
      <c r="QBY349" s="16" t="s">
        <v>4867</v>
      </c>
      <c r="QBZ349" s="16" t="s">
        <v>4867</v>
      </c>
      <c r="QCA349" s="16" t="s">
        <v>4867</v>
      </c>
      <c r="QCB349" s="16" t="s">
        <v>4867</v>
      </c>
      <c r="QCC349" s="16" t="s">
        <v>4867</v>
      </c>
      <c r="QCD349" s="16" t="s">
        <v>4867</v>
      </c>
      <c r="QCE349" s="16" t="s">
        <v>4867</v>
      </c>
      <c r="QCF349" s="16" t="s">
        <v>4867</v>
      </c>
      <c r="QCG349" s="16" t="s">
        <v>4867</v>
      </c>
      <c r="QCH349" s="16" t="s">
        <v>4867</v>
      </c>
      <c r="QCI349" s="16" t="s">
        <v>4867</v>
      </c>
      <c r="QCJ349" s="16" t="s">
        <v>4867</v>
      </c>
      <c r="QCK349" s="16" t="s">
        <v>4867</v>
      </c>
      <c r="QCL349" s="16" t="s">
        <v>4867</v>
      </c>
      <c r="QCM349" s="16" t="s">
        <v>4867</v>
      </c>
      <c r="QCN349" s="16" t="s">
        <v>4867</v>
      </c>
      <c r="QCO349" s="16" t="s">
        <v>4867</v>
      </c>
      <c r="QCP349" s="16" t="s">
        <v>4867</v>
      </c>
      <c r="QCQ349" s="16" t="s">
        <v>4867</v>
      </c>
      <c r="QCR349" s="16" t="s">
        <v>4867</v>
      </c>
      <c r="QCS349" s="16" t="s">
        <v>4867</v>
      </c>
      <c r="QCT349" s="16" t="s">
        <v>4867</v>
      </c>
      <c r="QCU349" s="16" t="s">
        <v>4867</v>
      </c>
      <c r="QCV349" s="16" t="s">
        <v>4867</v>
      </c>
      <c r="QCW349" s="16" t="s">
        <v>4867</v>
      </c>
      <c r="QCX349" s="16" t="s">
        <v>4867</v>
      </c>
      <c r="QCY349" s="16" t="s">
        <v>4867</v>
      </c>
      <c r="QCZ349" s="16" t="s">
        <v>4867</v>
      </c>
      <c r="QDA349" s="16" t="s">
        <v>4867</v>
      </c>
      <c r="QDB349" s="16" t="s">
        <v>4867</v>
      </c>
      <c r="QDC349" s="16" t="s">
        <v>4867</v>
      </c>
      <c r="QDD349" s="16" t="s">
        <v>4867</v>
      </c>
      <c r="QDE349" s="16" t="s">
        <v>4867</v>
      </c>
      <c r="QDF349" s="16" t="s">
        <v>4867</v>
      </c>
      <c r="QDG349" s="16" t="s">
        <v>4867</v>
      </c>
      <c r="QDH349" s="16" t="s">
        <v>4867</v>
      </c>
      <c r="QDI349" s="16" t="s">
        <v>4867</v>
      </c>
      <c r="QDJ349" s="16" t="s">
        <v>4867</v>
      </c>
      <c r="QDK349" s="16" t="s">
        <v>4867</v>
      </c>
      <c r="QDL349" s="16" t="s">
        <v>4867</v>
      </c>
      <c r="QDM349" s="16" t="s">
        <v>4867</v>
      </c>
      <c r="QDN349" s="16" t="s">
        <v>4867</v>
      </c>
      <c r="QDO349" s="16" t="s">
        <v>4867</v>
      </c>
      <c r="QDP349" s="16" t="s">
        <v>4867</v>
      </c>
      <c r="QDQ349" s="16" t="s">
        <v>4867</v>
      </c>
      <c r="QDR349" s="16" t="s">
        <v>4867</v>
      </c>
      <c r="QDS349" s="16" t="s">
        <v>4867</v>
      </c>
      <c r="QDT349" s="16" t="s">
        <v>4867</v>
      </c>
      <c r="QDU349" s="16" t="s">
        <v>4867</v>
      </c>
      <c r="QDV349" s="16" t="s">
        <v>4867</v>
      </c>
      <c r="QDW349" s="16" t="s">
        <v>4867</v>
      </c>
      <c r="QDX349" s="16" t="s">
        <v>4867</v>
      </c>
      <c r="QDY349" s="16" t="s">
        <v>4867</v>
      </c>
      <c r="QDZ349" s="16" t="s">
        <v>4867</v>
      </c>
      <c r="QEA349" s="16" t="s">
        <v>4867</v>
      </c>
      <c r="QEB349" s="16" t="s">
        <v>4867</v>
      </c>
      <c r="QEC349" s="16" t="s">
        <v>4867</v>
      </c>
      <c r="QED349" s="16" t="s">
        <v>4867</v>
      </c>
      <c r="QEE349" s="16" t="s">
        <v>4867</v>
      </c>
      <c r="QEF349" s="16" t="s">
        <v>4867</v>
      </c>
      <c r="QEG349" s="16" t="s">
        <v>4867</v>
      </c>
      <c r="QEH349" s="16" t="s">
        <v>4867</v>
      </c>
      <c r="QEI349" s="16" t="s">
        <v>4867</v>
      </c>
      <c r="QEJ349" s="16" t="s">
        <v>4867</v>
      </c>
      <c r="QEK349" s="16" t="s">
        <v>4867</v>
      </c>
      <c r="QEL349" s="16" t="s">
        <v>4867</v>
      </c>
      <c r="QEM349" s="16" t="s">
        <v>4867</v>
      </c>
      <c r="QEN349" s="16" t="s">
        <v>4867</v>
      </c>
      <c r="QEO349" s="16" t="s">
        <v>4867</v>
      </c>
      <c r="QEP349" s="16" t="s">
        <v>4867</v>
      </c>
      <c r="QEQ349" s="16" t="s">
        <v>4867</v>
      </c>
      <c r="QER349" s="16" t="s">
        <v>4867</v>
      </c>
      <c r="QES349" s="16" t="s">
        <v>4867</v>
      </c>
      <c r="QET349" s="16" t="s">
        <v>4867</v>
      </c>
      <c r="QEU349" s="16" t="s">
        <v>4867</v>
      </c>
      <c r="QEV349" s="16" t="s">
        <v>4867</v>
      </c>
      <c r="QEW349" s="16" t="s">
        <v>4867</v>
      </c>
      <c r="QEX349" s="16" t="s">
        <v>4867</v>
      </c>
      <c r="QEY349" s="16" t="s">
        <v>4867</v>
      </c>
      <c r="QEZ349" s="16" t="s">
        <v>4867</v>
      </c>
      <c r="QFA349" s="16" t="s">
        <v>4867</v>
      </c>
      <c r="QFB349" s="16" t="s">
        <v>4867</v>
      </c>
      <c r="QFC349" s="16" t="s">
        <v>4867</v>
      </c>
      <c r="QFD349" s="16" t="s">
        <v>4867</v>
      </c>
      <c r="QFE349" s="16" t="s">
        <v>4867</v>
      </c>
      <c r="QFF349" s="16" t="s">
        <v>4867</v>
      </c>
      <c r="QFG349" s="16" t="s">
        <v>4867</v>
      </c>
      <c r="QFH349" s="16" t="s">
        <v>4867</v>
      </c>
      <c r="QFI349" s="16" t="s">
        <v>4867</v>
      </c>
      <c r="QFJ349" s="16" t="s">
        <v>4867</v>
      </c>
      <c r="QFK349" s="16" t="s">
        <v>4867</v>
      </c>
      <c r="QFL349" s="16" t="s">
        <v>4867</v>
      </c>
      <c r="QFM349" s="16" t="s">
        <v>4867</v>
      </c>
      <c r="QFN349" s="16" t="s">
        <v>4867</v>
      </c>
      <c r="QFO349" s="16" t="s">
        <v>4867</v>
      </c>
      <c r="QFP349" s="16" t="s">
        <v>4867</v>
      </c>
      <c r="QFQ349" s="16" t="s">
        <v>4867</v>
      </c>
      <c r="QFR349" s="16" t="s">
        <v>4867</v>
      </c>
      <c r="QFS349" s="16" t="s">
        <v>4867</v>
      </c>
      <c r="QFT349" s="16" t="s">
        <v>4867</v>
      </c>
      <c r="QFU349" s="16" t="s">
        <v>4867</v>
      </c>
      <c r="QFV349" s="16" t="s">
        <v>4867</v>
      </c>
      <c r="QFW349" s="16" t="s">
        <v>4867</v>
      </c>
      <c r="QFX349" s="16" t="s">
        <v>4867</v>
      </c>
      <c r="QFY349" s="16" t="s">
        <v>4867</v>
      </c>
      <c r="QFZ349" s="16" t="s">
        <v>4867</v>
      </c>
      <c r="QGA349" s="16" t="s">
        <v>4867</v>
      </c>
      <c r="QGB349" s="16" t="s">
        <v>4867</v>
      </c>
      <c r="QGC349" s="16" t="s">
        <v>4867</v>
      </c>
      <c r="QGD349" s="16" t="s">
        <v>4867</v>
      </c>
      <c r="QGE349" s="16" t="s">
        <v>4867</v>
      </c>
      <c r="QGF349" s="16" t="s">
        <v>4867</v>
      </c>
      <c r="QGG349" s="16" t="s">
        <v>4867</v>
      </c>
      <c r="QGH349" s="16" t="s">
        <v>4867</v>
      </c>
      <c r="QGI349" s="16" t="s">
        <v>4867</v>
      </c>
      <c r="QGJ349" s="16" t="s">
        <v>4867</v>
      </c>
      <c r="QGK349" s="16" t="s">
        <v>4867</v>
      </c>
      <c r="QGL349" s="16" t="s">
        <v>4867</v>
      </c>
      <c r="QGM349" s="16" t="s">
        <v>4867</v>
      </c>
      <c r="QGN349" s="16" t="s">
        <v>4867</v>
      </c>
      <c r="QGO349" s="16" t="s">
        <v>4867</v>
      </c>
      <c r="QGP349" s="16" t="s">
        <v>4867</v>
      </c>
      <c r="QGQ349" s="16" t="s">
        <v>4867</v>
      </c>
      <c r="QGR349" s="16" t="s">
        <v>4867</v>
      </c>
      <c r="QGS349" s="16" t="s">
        <v>4867</v>
      </c>
      <c r="QGT349" s="16" t="s">
        <v>4867</v>
      </c>
      <c r="QGU349" s="16" t="s">
        <v>4867</v>
      </c>
      <c r="QGV349" s="16" t="s">
        <v>4867</v>
      </c>
      <c r="QGW349" s="16" t="s">
        <v>4867</v>
      </c>
      <c r="QGX349" s="16" t="s">
        <v>4867</v>
      </c>
      <c r="QGY349" s="16" t="s">
        <v>4867</v>
      </c>
      <c r="QGZ349" s="16" t="s">
        <v>4867</v>
      </c>
      <c r="QHA349" s="16" t="s">
        <v>4867</v>
      </c>
      <c r="QHB349" s="16" t="s">
        <v>4867</v>
      </c>
      <c r="QHC349" s="16" t="s">
        <v>4867</v>
      </c>
      <c r="QHD349" s="16" t="s">
        <v>4867</v>
      </c>
      <c r="QHE349" s="16" t="s">
        <v>4867</v>
      </c>
      <c r="QHF349" s="16" t="s">
        <v>4867</v>
      </c>
      <c r="QHG349" s="16" t="s">
        <v>4867</v>
      </c>
      <c r="QHH349" s="16" t="s">
        <v>4867</v>
      </c>
      <c r="QHI349" s="16" t="s">
        <v>4867</v>
      </c>
      <c r="QHJ349" s="16" t="s">
        <v>4867</v>
      </c>
      <c r="QHK349" s="16" t="s">
        <v>4867</v>
      </c>
      <c r="QHL349" s="16" t="s">
        <v>4867</v>
      </c>
      <c r="QHM349" s="16" t="s">
        <v>4867</v>
      </c>
      <c r="QHN349" s="16" t="s">
        <v>4867</v>
      </c>
      <c r="QHO349" s="16" t="s">
        <v>4867</v>
      </c>
      <c r="QHP349" s="16" t="s">
        <v>4867</v>
      </c>
      <c r="QHQ349" s="16" t="s">
        <v>4867</v>
      </c>
      <c r="QHR349" s="16" t="s">
        <v>4867</v>
      </c>
      <c r="QHS349" s="16" t="s">
        <v>4867</v>
      </c>
      <c r="QHT349" s="16" t="s">
        <v>4867</v>
      </c>
      <c r="QHU349" s="16" t="s">
        <v>4867</v>
      </c>
      <c r="QHV349" s="16" t="s">
        <v>4867</v>
      </c>
      <c r="QHW349" s="16" t="s">
        <v>4867</v>
      </c>
      <c r="QHX349" s="16" t="s">
        <v>4867</v>
      </c>
      <c r="QHY349" s="16" t="s">
        <v>4867</v>
      </c>
      <c r="QHZ349" s="16" t="s">
        <v>4867</v>
      </c>
      <c r="QIA349" s="16" t="s">
        <v>4867</v>
      </c>
      <c r="QIB349" s="16" t="s">
        <v>4867</v>
      </c>
      <c r="QIC349" s="16" t="s">
        <v>4867</v>
      </c>
      <c r="QID349" s="16" t="s">
        <v>4867</v>
      </c>
      <c r="QIE349" s="16" t="s">
        <v>4867</v>
      </c>
      <c r="QIF349" s="16" t="s">
        <v>4867</v>
      </c>
      <c r="QIG349" s="16" t="s">
        <v>4867</v>
      </c>
      <c r="QIH349" s="16" t="s">
        <v>4867</v>
      </c>
      <c r="QII349" s="16" t="s">
        <v>4867</v>
      </c>
      <c r="QIJ349" s="16" t="s">
        <v>4867</v>
      </c>
      <c r="QIK349" s="16" t="s">
        <v>4867</v>
      </c>
      <c r="QIL349" s="16" t="s">
        <v>4867</v>
      </c>
      <c r="QIM349" s="16" t="s">
        <v>4867</v>
      </c>
      <c r="QIN349" s="16" t="s">
        <v>4867</v>
      </c>
      <c r="QIO349" s="16" t="s">
        <v>4867</v>
      </c>
      <c r="QIP349" s="16" t="s">
        <v>4867</v>
      </c>
      <c r="QIQ349" s="16" t="s">
        <v>4867</v>
      </c>
      <c r="QIR349" s="16" t="s">
        <v>4867</v>
      </c>
      <c r="QIS349" s="16" t="s">
        <v>4867</v>
      </c>
      <c r="QIT349" s="16" t="s">
        <v>4867</v>
      </c>
      <c r="QIU349" s="16" t="s">
        <v>4867</v>
      </c>
      <c r="QIV349" s="16" t="s">
        <v>4867</v>
      </c>
      <c r="QIW349" s="16" t="s">
        <v>4867</v>
      </c>
      <c r="QIX349" s="16" t="s">
        <v>4867</v>
      </c>
      <c r="QIY349" s="16" t="s">
        <v>4867</v>
      </c>
      <c r="QIZ349" s="16" t="s">
        <v>4867</v>
      </c>
      <c r="QJA349" s="16" t="s">
        <v>4867</v>
      </c>
      <c r="QJB349" s="16" t="s">
        <v>4867</v>
      </c>
      <c r="QJC349" s="16" t="s">
        <v>4867</v>
      </c>
      <c r="QJD349" s="16" t="s">
        <v>4867</v>
      </c>
      <c r="QJE349" s="16" t="s">
        <v>4867</v>
      </c>
      <c r="QJF349" s="16" t="s">
        <v>4867</v>
      </c>
      <c r="QJG349" s="16" t="s">
        <v>4867</v>
      </c>
      <c r="QJH349" s="16" t="s">
        <v>4867</v>
      </c>
      <c r="QJI349" s="16" t="s">
        <v>4867</v>
      </c>
      <c r="QJJ349" s="16" t="s">
        <v>4867</v>
      </c>
      <c r="QJK349" s="16" t="s">
        <v>4867</v>
      </c>
      <c r="QJL349" s="16" t="s">
        <v>4867</v>
      </c>
      <c r="QJM349" s="16" t="s">
        <v>4867</v>
      </c>
      <c r="QJN349" s="16" t="s">
        <v>4867</v>
      </c>
      <c r="QJO349" s="16" t="s">
        <v>4867</v>
      </c>
      <c r="QJP349" s="16" t="s">
        <v>4867</v>
      </c>
      <c r="QJQ349" s="16" t="s">
        <v>4867</v>
      </c>
      <c r="QJR349" s="16" t="s">
        <v>4867</v>
      </c>
      <c r="QJS349" s="16" t="s">
        <v>4867</v>
      </c>
      <c r="QJT349" s="16" t="s">
        <v>4867</v>
      </c>
      <c r="QJU349" s="16" t="s">
        <v>4867</v>
      </c>
      <c r="QJV349" s="16" t="s">
        <v>4867</v>
      </c>
      <c r="QJW349" s="16" t="s">
        <v>4867</v>
      </c>
      <c r="QJX349" s="16" t="s">
        <v>4867</v>
      </c>
      <c r="QJY349" s="16" t="s">
        <v>4867</v>
      </c>
      <c r="QJZ349" s="16" t="s">
        <v>4867</v>
      </c>
      <c r="QKA349" s="16" t="s">
        <v>4867</v>
      </c>
      <c r="QKB349" s="16" t="s">
        <v>4867</v>
      </c>
      <c r="QKC349" s="16" t="s">
        <v>4867</v>
      </c>
      <c r="QKD349" s="16" t="s">
        <v>4867</v>
      </c>
      <c r="QKE349" s="16" t="s">
        <v>4867</v>
      </c>
      <c r="QKF349" s="16" t="s">
        <v>4867</v>
      </c>
      <c r="QKG349" s="16" t="s">
        <v>4867</v>
      </c>
      <c r="QKH349" s="16" t="s">
        <v>4867</v>
      </c>
      <c r="QKI349" s="16" t="s">
        <v>4867</v>
      </c>
      <c r="QKJ349" s="16" t="s">
        <v>4867</v>
      </c>
      <c r="QKK349" s="16" t="s">
        <v>4867</v>
      </c>
      <c r="QKL349" s="16" t="s">
        <v>4867</v>
      </c>
      <c r="QKM349" s="16" t="s">
        <v>4867</v>
      </c>
      <c r="QKN349" s="16" t="s">
        <v>4867</v>
      </c>
      <c r="QKO349" s="16" t="s">
        <v>4867</v>
      </c>
      <c r="QKP349" s="16" t="s">
        <v>4867</v>
      </c>
      <c r="QKQ349" s="16" t="s">
        <v>4867</v>
      </c>
      <c r="QKR349" s="16" t="s">
        <v>4867</v>
      </c>
      <c r="QKS349" s="16" t="s">
        <v>4867</v>
      </c>
      <c r="QKT349" s="16" t="s">
        <v>4867</v>
      </c>
      <c r="QKU349" s="16" t="s">
        <v>4867</v>
      </c>
      <c r="QKV349" s="16" t="s">
        <v>4867</v>
      </c>
      <c r="QKW349" s="16" t="s">
        <v>4867</v>
      </c>
      <c r="QKX349" s="16" t="s">
        <v>4867</v>
      </c>
      <c r="QKY349" s="16" t="s">
        <v>4867</v>
      </c>
      <c r="QKZ349" s="16" t="s">
        <v>4867</v>
      </c>
      <c r="QLA349" s="16" t="s">
        <v>4867</v>
      </c>
      <c r="QLB349" s="16" t="s">
        <v>4867</v>
      </c>
      <c r="QLC349" s="16" t="s">
        <v>4867</v>
      </c>
      <c r="QLD349" s="16" t="s">
        <v>4867</v>
      </c>
      <c r="QLE349" s="16" t="s">
        <v>4867</v>
      </c>
      <c r="QLF349" s="16" t="s">
        <v>4867</v>
      </c>
      <c r="QLG349" s="16" t="s">
        <v>4867</v>
      </c>
      <c r="QLH349" s="16" t="s">
        <v>4867</v>
      </c>
      <c r="QLI349" s="16" t="s">
        <v>4867</v>
      </c>
      <c r="QLJ349" s="16" t="s">
        <v>4867</v>
      </c>
      <c r="QLK349" s="16" t="s">
        <v>4867</v>
      </c>
      <c r="QLL349" s="16" t="s">
        <v>4867</v>
      </c>
      <c r="QLM349" s="16" t="s">
        <v>4867</v>
      </c>
      <c r="QLN349" s="16" t="s">
        <v>4867</v>
      </c>
      <c r="QLO349" s="16" t="s">
        <v>4867</v>
      </c>
      <c r="QLP349" s="16" t="s">
        <v>4867</v>
      </c>
      <c r="QLQ349" s="16" t="s">
        <v>4867</v>
      </c>
      <c r="QLR349" s="16" t="s">
        <v>4867</v>
      </c>
      <c r="QLS349" s="16" t="s">
        <v>4867</v>
      </c>
      <c r="QLT349" s="16" t="s">
        <v>4867</v>
      </c>
      <c r="QLU349" s="16" t="s">
        <v>4867</v>
      </c>
      <c r="QLV349" s="16" t="s">
        <v>4867</v>
      </c>
      <c r="QLW349" s="16" t="s">
        <v>4867</v>
      </c>
      <c r="QLX349" s="16" t="s">
        <v>4867</v>
      </c>
      <c r="QLY349" s="16" t="s">
        <v>4867</v>
      </c>
      <c r="QLZ349" s="16" t="s">
        <v>4867</v>
      </c>
      <c r="QMA349" s="16" t="s">
        <v>4867</v>
      </c>
      <c r="QMB349" s="16" t="s">
        <v>4867</v>
      </c>
      <c r="QMC349" s="16" t="s">
        <v>4867</v>
      </c>
      <c r="QMD349" s="16" t="s">
        <v>4867</v>
      </c>
      <c r="QME349" s="16" t="s">
        <v>4867</v>
      </c>
      <c r="QMF349" s="16" t="s">
        <v>4867</v>
      </c>
      <c r="QMG349" s="16" t="s">
        <v>4867</v>
      </c>
      <c r="QMH349" s="16" t="s">
        <v>4867</v>
      </c>
      <c r="QMI349" s="16" t="s">
        <v>4867</v>
      </c>
      <c r="QMJ349" s="16" t="s">
        <v>4867</v>
      </c>
      <c r="QMK349" s="16" t="s">
        <v>4867</v>
      </c>
      <c r="QML349" s="16" t="s">
        <v>4867</v>
      </c>
      <c r="QMM349" s="16" t="s">
        <v>4867</v>
      </c>
      <c r="QMN349" s="16" t="s">
        <v>4867</v>
      </c>
      <c r="QMO349" s="16" t="s">
        <v>4867</v>
      </c>
      <c r="QMP349" s="16" t="s">
        <v>4867</v>
      </c>
      <c r="QMQ349" s="16" t="s">
        <v>4867</v>
      </c>
      <c r="QMR349" s="16" t="s">
        <v>4867</v>
      </c>
      <c r="QMS349" s="16" t="s">
        <v>4867</v>
      </c>
      <c r="QMT349" s="16" t="s">
        <v>4867</v>
      </c>
      <c r="QMU349" s="16" t="s">
        <v>4867</v>
      </c>
      <c r="QMV349" s="16" t="s">
        <v>4867</v>
      </c>
      <c r="QMW349" s="16" t="s">
        <v>4867</v>
      </c>
      <c r="QMX349" s="16" t="s">
        <v>4867</v>
      </c>
      <c r="QMY349" s="16" t="s">
        <v>4867</v>
      </c>
      <c r="QMZ349" s="16" t="s">
        <v>4867</v>
      </c>
      <c r="QNA349" s="16" t="s">
        <v>4867</v>
      </c>
      <c r="QNB349" s="16" t="s">
        <v>4867</v>
      </c>
      <c r="QNC349" s="16" t="s">
        <v>4867</v>
      </c>
      <c r="QND349" s="16" t="s">
        <v>4867</v>
      </c>
      <c r="QNE349" s="16" t="s">
        <v>4867</v>
      </c>
      <c r="QNF349" s="16" t="s">
        <v>4867</v>
      </c>
      <c r="QNG349" s="16" t="s">
        <v>4867</v>
      </c>
      <c r="QNH349" s="16" t="s">
        <v>4867</v>
      </c>
      <c r="QNI349" s="16" t="s">
        <v>4867</v>
      </c>
      <c r="QNJ349" s="16" t="s">
        <v>4867</v>
      </c>
      <c r="QNK349" s="16" t="s">
        <v>4867</v>
      </c>
      <c r="QNL349" s="16" t="s">
        <v>4867</v>
      </c>
      <c r="QNM349" s="16" t="s">
        <v>4867</v>
      </c>
      <c r="QNN349" s="16" t="s">
        <v>4867</v>
      </c>
      <c r="QNO349" s="16" t="s">
        <v>4867</v>
      </c>
      <c r="QNP349" s="16" t="s">
        <v>4867</v>
      </c>
      <c r="QNQ349" s="16" t="s">
        <v>4867</v>
      </c>
      <c r="QNR349" s="16" t="s">
        <v>4867</v>
      </c>
      <c r="QNS349" s="16" t="s">
        <v>4867</v>
      </c>
      <c r="QNT349" s="16" t="s">
        <v>4867</v>
      </c>
      <c r="QNU349" s="16" t="s">
        <v>4867</v>
      </c>
      <c r="QNV349" s="16" t="s">
        <v>4867</v>
      </c>
      <c r="QNW349" s="16" t="s">
        <v>4867</v>
      </c>
      <c r="QNX349" s="16" t="s">
        <v>4867</v>
      </c>
      <c r="QNY349" s="16" t="s">
        <v>4867</v>
      </c>
      <c r="QNZ349" s="16" t="s">
        <v>4867</v>
      </c>
      <c r="QOA349" s="16" t="s">
        <v>4867</v>
      </c>
      <c r="QOB349" s="16" t="s">
        <v>4867</v>
      </c>
      <c r="QOC349" s="16" t="s">
        <v>4867</v>
      </c>
      <c r="QOD349" s="16" t="s">
        <v>4867</v>
      </c>
      <c r="QOE349" s="16" t="s">
        <v>4867</v>
      </c>
      <c r="QOF349" s="16" t="s">
        <v>4867</v>
      </c>
      <c r="QOG349" s="16" t="s">
        <v>4867</v>
      </c>
      <c r="QOH349" s="16" t="s">
        <v>4867</v>
      </c>
      <c r="QOI349" s="16" t="s">
        <v>4867</v>
      </c>
      <c r="QOJ349" s="16" t="s">
        <v>4867</v>
      </c>
      <c r="QOK349" s="16" t="s">
        <v>4867</v>
      </c>
      <c r="QOL349" s="16" t="s">
        <v>4867</v>
      </c>
      <c r="QOM349" s="16" t="s">
        <v>4867</v>
      </c>
      <c r="QON349" s="16" t="s">
        <v>4867</v>
      </c>
      <c r="QOO349" s="16" t="s">
        <v>4867</v>
      </c>
      <c r="QOP349" s="16" t="s">
        <v>4867</v>
      </c>
      <c r="QOQ349" s="16" t="s">
        <v>4867</v>
      </c>
      <c r="QOR349" s="16" t="s">
        <v>4867</v>
      </c>
      <c r="QOS349" s="16" t="s">
        <v>4867</v>
      </c>
      <c r="QOT349" s="16" t="s">
        <v>4867</v>
      </c>
      <c r="QOU349" s="16" t="s">
        <v>4867</v>
      </c>
      <c r="QOV349" s="16" t="s">
        <v>4867</v>
      </c>
      <c r="QOW349" s="16" t="s">
        <v>4867</v>
      </c>
      <c r="QOX349" s="16" t="s">
        <v>4867</v>
      </c>
      <c r="QOY349" s="16" t="s">
        <v>4867</v>
      </c>
      <c r="QOZ349" s="16" t="s">
        <v>4867</v>
      </c>
      <c r="QPA349" s="16" t="s">
        <v>4867</v>
      </c>
      <c r="QPB349" s="16" t="s">
        <v>4867</v>
      </c>
      <c r="QPC349" s="16" t="s">
        <v>4867</v>
      </c>
      <c r="QPD349" s="16" t="s">
        <v>4867</v>
      </c>
      <c r="QPE349" s="16" t="s">
        <v>4867</v>
      </c>
      <c r="QPF349" s="16" t="s">
        <v>4867</v>
      </c>
      <c r="QPG349" s="16" t="s">
        <v>4867</v>
      </c>
      <c r="QPH349" s="16" t="s">
        <v>4867</v>
      </c>
      <c r="QPI349" s="16" t="s">
        <v>4867</v>
      </c>
      <c r="QPJ349" s="16" t="s">
        <v>4867</v>
      </c>
      <c r="QPK349" s="16" t="s">
        <v>4867</v>
      </c>
      <c r="QPL349" s="16" t="s">
        <v>4867</v>
      </c>
      <c r="QPM349" s="16" t="s">
        <v>4867</v>
      </c>
      <c r="QPN349" s="16" t="s">
        <v>4867</v>
      </c>
      <c r="QPO349" s="16" t="s">
        <v>4867</v>
      </c>
      <c r="QPP349" s="16" t="s">
        <v>4867</v>
      </c>
      <c r="QPQ349" s="16" t="s">
        <v>4867</v>
      </c>
      <c r="QPR349" s="16" t="s">
        <v>4867</v>
      </c>
      <c r="QPS349" s="16" t="s">
        <v>4867</v>
      </c>
      <c r="QPT349" s="16" t="s">
        <v>4867</v>
      </c>
      <c r="QPU349" s="16" t="s">
        <v>4867</v>
      </c>
      <c r="QPV349" s="16" t="s">
        <v>4867</v>
      </c>
      <c r="QPW349" s="16" t="s">
        <v>4867</v>
      </c>
      <c r="QPX349" s="16" t="s">
        <v>4867</v>
      </c>
      <c r="QPY349" s="16" t="s">
        <v>4867</v>
      </c>
      <c r="QPZ349" s="16" t="s">
        <v>4867</v>
      </c>
      <c r="QQA349" s="16" t="s">
        <v>4867</v>
      </c>
      <c r="QQB349" s="16" t="s">
        <v>4867</v>
      </c>
      <c r="QQC349" s="16" t="s">
        <v>4867</v>
      </c>
      <c r="QQD349" s="16" t="s">
        <v>4867</v>
      </c>
      <c r="QQE349" s="16" t="s">
        <v>4867</v>
      </c>
      <c r="QQF349" s="16" t="s">
        <v>4867</v>
      </c>
      <c r="QQG349" s="16" t="s">
        <v>4867</v>
      </c>
      <c r="QQH349" s="16" t="s">
        <v>4867</v>
      </c>
      <c r="QQI349" s="16" t="s">
        <v>4867</v>
      </c>
      <c r="QQJ349" s="16" t="s">
        <v>4867</v>
      </c>
      <c r="QQK349" s="16" t="s">
        <v>4867</v>
      </c>
      <c r="QQL349" s="16" t="s">
        <v>4867</v>
      </c>
      <c r="QQM349" s="16" t="s">
        <v>4867</v>
      </c>
      <c r="QQN349" s="16" t="s">
        <v>4867</v>
      </c>
      <c r="QQO349" s="16" t="s">
        <v>4867</v>
      </c>
      <c r="QQP349" s="16" t="s">
        <v>4867</v>
      </c>
      <c r="QQQ349" s="16" t="s">
        <v>4867</v>
      </c>
      <c r="QQR349" s="16" t="s">
        <v>4867</v>
      </c>
      <c r="QQS349" s="16" t="s">
        <v>4867</v>
      </c>
      <c r="QQT349" s="16" t="s">
        <v>4867</v>
      </c>
      <c r="QQU349" s="16" t="s">
        <v>4867</v>
      </c>
      <c r="QQV349" s="16" t="s">
        <v>4867</v>
      </c>
      <c r="QQW349" s="16" t="s">
        <v>4867</v>
      </c>
      <c r="QQX349" s="16" t="s">
        <v>4867</v>
      </c>
      <c r="QQY349" s="16" t="s">
        <v>4867</v>
      </c>
      <c r="QQZ349" s="16" t="s">
        <v>4867</v>
      </c>
      <c r="QRA349" s="16" t="s">
        <v>4867</v>
      </c>
      <c r="QRB349" s="16" t="s">
        <v>4867</v>
      </c>
      <c r="QRC349" s="16" t="s">
        <v>4867</v>
      </c>
      <c r="QRD349" s="16" t="s">
        <v>4867</v>
      </c>
      <c r="QRE349" s="16" t="s">
        <v>4867</v>
      </c>
      <c r="QRF349" s="16" t="s">
        <v>4867</v>
      </c>
      <c r="QRG349" s="16" t="s">
        <v>4867</v>
      </c>
      <c r="QRH349" s="16" t="s">
        <v>4867</v>
      </c>
      <c r="QRI349" s="16" t="s">
        <v>4867</v>
      </c>
      <c r="QRJ349" s="16" t="s">
        <v>4867</v>
      </c>
      <c r="QRK349" s="16" t="s">
        <v>4867</v>
      </c>
      <c r="QRL349" s="16" t="s">
        <v>4867</v>
      </c>
      <c r="QRM349" s="16" t="s">
        <v>4867</v>
      </c>
      <c r="QRN349" s="16" t="s">
        <v>4867</v>
      </c>
      <c r="QRO349" s="16" t="s">
        <v>4867</v>
      </c>
      <c r="QRP349" s="16" t="s">
        <v>4867</v>
      </c>
      <c r="QRQ349" s="16" t="s">
        <v>4867</v>
      </c>
      <c r="QRR349" s="16" t="s">
        <v>4867</v>
      </c>
      <c r="QRS349" s="16" t="s">
        <v>4867</v>
      </c>
      <c r="QRT349" s="16" t="s">
        <v>4867</v>
      </c>
      <c r="QRU349" s="16" t="s">
        <v>4867</v>
      </c>
      <c r="QRV349" s="16" t="s">
        <v>4867</v>
      </c>
      <c r="QRW349" s="16" t="s">
        <v>4867</v>
      </c>
      <c r="QRX349" s="16" t="s">
        <v>4867</v>
      </c>
      <c r="QRY349" s="16" t="s">
        <v>4867</v>
      </c>
      <c r="QRZ349" s="16" t="s">
        <v>4867</v>
      </c>
      <c r="QSA349" s="16" t="s">
        <v>4867</v>
      </c>
      <c r="QSB349" s="16" t="s">
        <v>4867</v>
      </c>
      <c r="QSC349" s="16" t="s">
        <v>4867</v>
      </c>
      <c r="QSD349" s="16" t="s">
        <v>4867</v>
      </c>
      <c r="QSE349" s="16" t="s">
        <v>4867</v>
      </c>
      <c r="QSF349" s="16" t="s">
        <v>4867</v>
      </c>
      <c r="QSG349" s="16" t="s">
        <v>4867</v>
      </c>
      <c r="QSH349" s="16" t="s">
        <v>4867</v>
      </c>
      <c r="QSI349" s="16" t="s">
        <v>4867</v>
      </c>
      <c r="QSJ349" s="16" t="s">
        <v>4867</v>
      </c>
      <c r="QSK349" s="16" t="s">
        <v>4867</v>
      </c>
      <c r="QSL349" s="16" t="s">
        <v>4867</v>
      </c>
      <c r="QSM349" s="16" t="s">
        <v>4867</v>
      </c>
      <c r="QSN349" s="16" t="s">
        <v>4867</v>
      </c>
      <c r="QSO349" s="16" t="s">
        <v>4867</v>
      </c>
      <c r="QSP349" s="16" t="s">
        <v>4867</v>
      </c>
      <c r="QSQ349" s="16" t="s">
        <v>4867</v>
      </c>
      <c r="QSR349" s="16" t="s">
        <v>4867</v>
      </c>
      <c r="QSS349" s="16" t="s">
        <v>4867</v>
      </c>
      <c r="QST349" s="16" t="s">
        <v>4867</v>
      </c>
      <c r="QSU349" s="16" t="s">
        <v>4867</v>
      </c>
      <c r="QSV349" s="16" t="s">
        <v>4867</v>
      </c>
      <c r="QSW349" s="16" t="s">
        <v>4867</v>
      </c>
      <c r="QSX349" s="16" t="s">
        <v>4867</v>
      </c>
      <c r="QSY349" s="16" t="s">
        <v>4867</v>
      </c>
      <c r="QSZ349" s="16" t="s">
        <v>4867</v>
      </c>
      <c r="QTA349" s="16" t="s">
        <v>4867</v>
      </c>
      <c r="QTB349" s="16" t="s">
        <v>4867</v>
      </c>
      <c r="QTC349" s="16" t="s">
        <v>4867</v>
      </c>
      <c r="QTD349" s="16" t="s">
        <v>4867</v>
      </c>
      <c r="QTE349" s="16" t="s">
        <v>4867</v>
      </c>
      <c r="QTF349" s="16" t="s">
        <v>4867</v>
      </c>
      <c r="QTG349" s="16" t="s">
        <v>4867</v>
      </c>
      <c r="QTH349" s="16" t="s">
        <v>4867</v>
      </c>
      <c r="QTI349" s="16" t="s">
        <v>4867</v>
      </c>
      <c r="QTJ349" s="16" t="s">
        <v>4867</v>
      </c>
      <c r="QTK349" s="16" t="s">
        <v>4867</v>
      </c>
      <c r="QTL349" s="16" t="s">
        <v>4867</v>
      </c>
      <c r="QTM349" s="16" t="s">
        <v>4867</v>
      </c>
      <c r="QTN349" s="16" t="s">
        <v>4867</v>
      </c>
      <c r="QTO349" s="16" t="s">
        <v>4867</v>
      </c>
      <c r="QTP349" s="16" t="s">
        <v>4867</v>
      </c>
      <c r="QTQ349" s="16" t="s">
        <v>4867</v>
      </c>
      <c r="QTR349" s="16" t="s">
        <v>4867</v>
      </c>
      <c r="QTS349" s="16" t="s">
        <v>4867</v>
      </c>
      <c r="QTT349" s="16" t="s">
        <v>4867</v>
      </c>
      <c r="QTU349" s="16" t="s">
        <v>4867</v>
      </c>
      <c r="QTV349" s="16" t="s">
        <v>4867</v>
      </c>
      <c r="QTW349" s="16" t="s">
        <v>4867</v>
      </c>
      <c r="QTX349" s="16" t="s">
        <v>4867</v>
      </c>
      <c r="QTY349" s="16" t="s">
        <v>4867</v>
      </c>
      <c r="QTZ349" s="16" t="s">
        <v>4867</v>
      </c>
      <c r="QUA349" s="16" t="s">
        <v>4867</v>
      </c>
      <c r="QUB349" s="16" t="s">
        <v>4867</v>
      </c>
      <c r="QUC349" s="16" t="s">
        <v>4867</v>
      </c>
      <c r="QUD349" s="16" t="s">
        <v>4867</v>
      </c>
      <c r="QUE349" s="16" t="s">
        <v>4867</v>
      </c>
      <c r="QUF349" s="16" t="s">
        <v>4867</v>
      </c>
      <c r="QUG349" s="16" t="s">
        <v>4867</v>
      </c>
      <c r="QUH349" s="16" t="s">
        <v>4867</v>
      </c>
      <c r="QUI349" s="16" t="s">
        <v>4867</v>
      </c>
      <c r="QUJ349" s="16" t="s">
        <v>4867</v>
      </c>
      <c r="QUK349" s="16" t="s">
        <v>4867</v>
      </c>
      <c r="QUL349" s="16" t="s">
        <v>4867</v>
      </c>
      <c r="QUM349" s="16" t="s">
        <v>4867</v>
      </c>
      <c r="QUN349" s="16" t="s">
        <v>4867</v>
      </c>
      <c r="QUO349" s="16" t="s">
        <v>4867</v>
      </c>
      <c r="QUP349" s="16" t="s">
        <v>4867</v>
      </c>
      <c r="QUQ349" s="16" t="s">
        <v>4867</v>
      </c>
      <c r="QUR349" s="16" t="s">
        <v>4867</v>
      </c>
      <c r="QUS349" s="16" t="s">
        <v>4867</v>
      </c>
      <c r="QUT349" s="16" t="s">
        <v>4867</v>
      </c>
      <c r="QUU349" s="16" t="s">
        <v>4867</v>
      </c>
      <c r="QUV349" s="16" t="s">
        <v>4867</v>
      </c>
      <c r="QUW349" s="16" t="s">
        <v>4867</v>
      </c>
      <c r="QUX349" s="16" t="s">
        <v>4867</v>
      </c>
      <c r="QUY349" s="16" t="s">
        <v>4867</v>
      </c>
      <c r="QUZ349" s="16" t="s">
        <v>4867</v>
      </c>
      <c r="QVA349" s="16" t="s">
        <v>4867</v>
      </c>
      <c r="QVB349" s="16" t="s">
        <v>4867</v>
      </c>
      <c r="QVC349" s="16" t="s">
        <v>4867</v>
      </c>
      <c r="QVD349" s="16" t="s">
        <v>4867</v>
      </c>
      <c r="QVE349" s="16" t="s">
        <v>4867</v>
      </c>
      <c r="QVF349" s="16" t="s">
        <v>4867</v>
      </c>
      <c r="QVG349" s="16" t="s">
        <v>4867</v>
      </c>
      <c r="QVH349" s="16" t="s">
        <v>4867</v>
      </c>
      <c r="QVI349" s="16" t="s">
        <v>4867</v>
      </c>
      <c r="QVJ349" s="16" t="s">
        <v>4867</v>
      </c>
      <c r="QVK349" s="16" t="s">
        <v>4867</v>
      </c>
      <c r="QVL349" s="16" t="s">
        <v>4867</v>
      </c>
      <c r="QVM349" s="16" t="s">
        <v>4867</v>
      </c>
      <c r="QVN349" s="16" t="s">
        <v>4867</v>
      </c>
      <c r="QVO349" s="16" t="s">
        <v>4867</v>
      </c>
      <c r="QVP349" s="16" t="s">
        <v>4867</v>
      </c>
      <c r="QVQ349" s="16" t="s">
        <v>4867</v>
      </c>
      <c r="QVR349" s="16" t="s">
        <v>4867</v>
      </c>
      <c r="QVS349" s="16" t="s">
        <v>4867</v>
      </c>
      <c r="QVT349" s="16" t="s">
        <v>4867</v>
      </c>
      <c r="QVU349" s="16" t="s">
        <v>4867</v>
      </c>
      <c r="QVV349" s="16" t="s">
        <v>4867</v>
      </c>
      <c r="QVW349" s="16" t="s">
        <v>4867</v>
      </c>
      <c r="QVX349" s="16" t="s">
        <v>4867</v>
      </c>
      <c r="QVY349" s="16" t="s">
        <v>4867</v>
      </c>
      <c r="QVZ349" s="16" t="s">
        <v>4867</v>
      </c>
      <c r="QWA349" s="16" t="s">
        <v>4867</v>
      </c>
      <c r="QWB349" s="16" t="s">
        <v>4867</v>
      </c>
      <c r="QWC349" s="16" t="s">
        <v>4867</v>
      </c>
      <c r="QWD349" s="16" t="s">
        <v>4867</v>
      </c>
      <c r="QWE349" s="16" t="s">
        <v>4867</v>
      </c>
      <c r="QWF349" s="16" t="s">
        <v>4867</v>
      </c>
      <c r="QWG349" s="16" t="s">
        <v>4867</v>
      </c>
      <c r="QWH349" s="16" t="s">
        <v>4867</v>
      </c>
      <c r="QWI349" s="16" t="s">
        <v>4867</v>
      </c>
      <c r="QWJ349" s="16" t="s">
        <v>4867</v>
      </c>
      <c r="QWK349" s="16" t="s">
        <v>4867</v>
      </c>
      <c r="QWL349" s="16" t="s">
        <v>4867</v>
      </c>
      <c r="QWM349" s="16" t="s">
        <v>4867</v>
      </c>
      <c r="QWN349" s="16" t="s">
        <v>4867</v>
      </c>
      <c r="QWO349" s="16" t="s">
        <v>4867</v>
      </c>
      <c r="QWP349" s="16" t="s">
        <v>4867</v>
      </c>
      <c r="QWQ349" s="16" t="s">
        <v>4867</v>
      </c>
      <c r="QWR349" s="16" t="s">
        <v>4867</v>
      </c>
      <c r="QWS349" s="16" t="s">
        <v>4867</v>
      </c>
      <c r="QWT349" s="16" t="s">
        <v>4867</v>
      </c>
      <c r="QWU349" s="16" t="s">
        <v>4867</v>
      </c>
      <c r="QWV349" s="16" t="s">
        <v>4867</v>
      </c>
      <c r="QWW349" s="16" t="s">
        <v>4867</v>
      </c>
      <c r="QWX349" s="16" t="s">
        <v>4867</v>
      </c>
      <c r="QWY349" s="16" t="s">
        <v>4867</v>
      </c>
      <c r="QWZ349" s="16" t="s">
        <v>4867</v>
      </c>
      <c r="QXA349" s="16" t="s">
        <v>4867</v>
      </c>
      <c r="QXB349" s="16" t="s">
        <v>4867</v>
      </c>
      <c r="QXC349" s="16" t="s">
        <v>4867</v>
      </c>
      <c r="QXD349" s="16" t="s">
        <v>4867</v>
      </c>
      <c r="QXE349" s="16" t="s">
        <v>4867</v>
      </c>
      <c r="QXF349" s="16" t="s">
        <v>4867</v>
      </c>
      <c r="QXG349" s="16" t="s">
        <v>4867</v>
      </c>
      <c r="QXH349" s="16" t="s">
        <v>4867</v>
      </c>
      <c r="QXI349" s="16" t="s">
        <v>4867</v>
      </c>
      <c r="QXJ349" s="16" t="s">
        <v>4867</v>
      </c>
      <c r="QXK349" s="16" t="s">
        <v>4867</v>
      </c>
      <c r="QXL349" s="16" t="s">
        <v>4867</v>
      </c>
      <c r="QXM349" s="16" t="s">
        <v>4867</v>
      </c>
      <c r="QXN349" s="16" t="s">
        <v>4867</v>
      </c>
      <c r="QXO349" s="16" t="s">
        <v>4867</v>
      </c>
      <c r="QXP349" s="16" t="s">
        <v>4867</v>
      </c>
      <c r="QXQ349" s="16" t="s">
        <v>4867</v>
      </c>
      <c r="QXR349" s="16" t="s">
        <v>4867</v>
      </c>
      <c r="QXS349" s="16" t="s">
        <v>4867</v>
      </c>
      <c r="QXT349" s="16" t="s">
        <v>4867</v>
      </c>
      <c r="QXU349" s="16" t="s">
        <v>4867</v>
      </c>
      <c r="QXV349" s="16" t="s">
        <v>4867</v>
      </c>
      <c r="QXW349" s="16" t="s">
        <v>4867</v>
      </c>
      <c r="QXX349" s="16" t="s">
        <v>4867</v>
      </c>
      <c r="QXY349" s="16" t="s">
        <v>4867</v>
      </c>
      <c r="QXZ349" s="16" t="s">
        <v>4867</v>
      </c>
      <c r="QYA349" s="16" t="s">
        <v>4867</v>
      </c>
      <c r="QYB349" s="16" t="s">
        <v>4867</v>
      </c>
      <c r="QYC349" s="16" t="s">
        <v>4867</v>
      </c>
      <c r="QYD349" s="16" t="s">
        <v>4867</v>
      </c>
      <c r="QYE349" s="16" t="s">
        <v>4867</v>
      </c>
      <c r="QYF349" s="16" t="s">
        <v>4867</v>
      </c>
      <c r="QYG349" s="16" t="s">
        <v>4867</v>
      </c>
      <c r="QYH349" s="16" t="s">
        <v>4867</v>
      </c>
      <c r="QYI349" s="16" t="s">
        <v>4867</v>
      </c>
      <c r="QYJ349" s="16" t="s">
        <v>4867</v>
      </c>
      <c r="QYK349" s="16" t="s">
        <v>4867</v>
      </c>
      <c r="QYL349" s="16" t="s">
        <v>4867</v>
      </c>
      <c r="QYM349" s="16" t="s">
        <v>4867</v>
      </c>
      <c r="QYN349" s="16" t="s">
        <v>4867</v>
      </c>
      <c r="QYO349" s="16" t="s">
        <v>4867</v>
      </c>
      <c r="QYP349" s="16" t="s">
        <v>4867</v>
      </c>
      <c r="QYQ349" s="16" t="s">
        <v>4867</v>
      </c>
      <c r="QYR349" s="16" t="s">
        <v>4867</v>
      </c>
      <c r="QYS349" s="16" t="s">
        <v>4867</v>
      </c>
      <c r="QYT349" s="16" t="s">
        <v>4867</v>
      </c>
      <c r="QYU349" s="16" t="s">
        <v>4867</v>
      </c>
      <c r="QYV349" s="16" t="s">
        <v>4867</v>
      </c>
      <c r="QYW349" s="16" t="s">
        <v>4867</v>
      </c>
      <c r="QYX349" s="16" t="s">
        <v>4867</v>
      </c>
      <c r="QYY349" s="16" t="s">
        <v>4867</v>
      </c>
      <c r="QYZ349" s="16" t="s">
        <v>4867</v>
      </c>
      <c r="QZA349" s="16" t="s">
        <v>4867</v>
      </c>
      <c r="QZB349" s="16" t="s">
        <v>4867</v>
      </c>
      <c r="QZC349" s="16" t="s">
        <v>4867</v>
      </c>
      <c r="QZD349" s="16" t="s">
        <v>4867</v>
      </c>
      <c r="QZE349" s="16" t="s">
        <v>4867</v>
      </c>
      <c r="QZF349" s="16" t="s">
        <v>4867</v>
      </c>
      <c r="QZG349" s="16" t="s">
        <v>4867</v>
      </c>
      <c r="QZH349" s="16" t="s">
        <v>4867</v>
      </c>
      <c r="QZI349" s="16" t="s">
        <v>4867</v>
      </c>
      <c r="QZJ349" s="16" t="s">
        <v>4867</v>
      </c>
      <c r="QZK349" s="16" t="s">
        <v>4867</v>
      </c>
      <c r="QZL349" s="16" t="s">
        <v>4867</v>
      </c>
      <c r="QZM349" s="16" t="s">
        <v>4867</v>
      </c>
      <c r="QZN349" s="16" t="s">
        <v>4867</v>
      </c>
      <c r="QZO349" s="16" t="s">
        <v>4867</v>
      </c>
      <c r="QZP349" s="16" t="s">
        <v>4867</v>
      </c>
      <c r="QZQ349" s="16" t="s">
        <v>4867</v>
      </c>
      <c r="QZR349" s="16" t="s">
        <v>4867</v>
      </c>
      <c r="QZS349" s="16" t="s">
        <v>4867</v>
      </c>
      <c r="QZT349" s="16" t="s">
        <v>4867</v>
      </c>
      <c r="QZU349" s="16" t="s">
        <v>4867</v>
      </c>
      <c r="QZV349" s="16" t="s">
        <v>4867</v>
      </c>
      <c r="QZW349" s="16" t="s">
        <v>4867</v>
      </c>
      <c r="QZX349" s="16" t="s">
        <v>4867</v>
      </c>
      <c r="QZY349" s="16" t="s">
        <v>4867</v>
      </c>
      <c r="QZZ349" s="16" t="s">
        <v>4867</v>
      </c>
      <c r="RAA349" s="16" t="s">
        <v>4867</v>
      </c>
      <c r="RAB349" s="16" t="s">
        <v>4867</v>
      </c>
      <c r="RAC349" s="16" t="s">
        <v>4867</v>
      </c>
      <c r="RAD349" s="16" t="s">
        <v>4867</v>
      </c>
      <c r="RAE349" s="16" t="s">
        <v>4867</v>
      </c>
      <c r="RAF349" s="16" t="s">
        <v>4867</v>
      </c>
      <c r="RAG349" s="16" t="s">
        <v>4867</v>
      </c>
      <c r="RAH349" s="16" t="s">
        <v>4867</v>
      </c>
      <c r="RAI349" s="16" t="s">
        <v>4867</v>
      </c>
      <c r="RAJ349" s="16" t="s">
        <v>4867</v>
      </c>
      <c r="RAK349" s="16" t="s">
        <v>4867</v>
      </c>
      <c r="RAL349" s="16" t="s">
        <v>4867</v>
      </c>
      <c r="RAM349" s="16" t="s">
        <v>4867</v>
      </c>
      <c r="RAN349" s="16" t="s">
        <v>4867</v>
      </c>
      <c r="RAO349" s="16" t="s">
        <v>4867</v>
      </c>
      <c r="RAP349" s="16" t="s">
        <v>4867</v>
      </c>
      <c r="RAQ349" s="16" t="s">
        <v>4867</v>
      </c>
      <c r="RAR349" s="16" t="s">
        <v>4867</v>
      </c>
      <c r="RAS349" s="16" t="s">
        <v>4867</v>
      </c>
      <c r="RAT349" s="16" t="s">
        <v>4867</v>
      </c>
      <c r="RAU349" s="16" t="s">
        <v>4867</v>
      </c>
      <c r="RAV349" s="16" t="s">
        <v>4867</v>
      </c>
      <c r="RAW349" s="16" t="s">
        <v>4867</v>
      </c>
      <c r="RAX349" s="16" t="s">
        <v>4867</v>
      </c>
      <c r="RAY349" s="16" t="s">
        <v>4867</v>
      </c>
      <c r="RAZ349" s="16" t="s">
        <v>4867</v>
      </c>
      <c r="RBA349" s="16" t="s">
        <v>4867</v>
      </c>
      <c r="RBB349" s="16" t="s">
        <v>4867</v>
      </c>
      <c r="RBC349" s="16" t="s">
        <v>4867</v>
      </c>
      <c r="RBD349" s="16" t="s">
        <v>4867</v>
      </c>
      <c r="RBE349" s="16" t="s">
        <v>4867</v>
      </c>
      <c r="RBF349" s="16" t="s">
        <v>4867</v>
      </c>
      <c r="RBG349" s="16" t="s">
        <v>4867</v>
      </c>
      <c r="RBH349" s="16" t="s">
        <v>4867</v>
      </c>
      <c r="RBI349" s="16" t="s">
        <v>4867</v>
      </c>
      <c r="RBJ349" s="16" t="s">
        <v>4867</v>
      </c>
      <c r="RBK349" s="16" t="s">
        <v>4867</v>
      </c>
      <c r="RBL349" s="16" t="s">
        <v>4867</v>
      </c>
      <c r="RBM349" s="16" t="s">
        <v>4867</v>
      </c>
      <c r="RBN349" s="16" t="s">
        <v>4867</v>
      </c>
      <c r="RBO349" s="16" t="s">
        <v>4867</v>
      </c>
      <c r="RBP349" s="16" t="s">
        <v>4867</v>
      </c>
      <c r="RBQ349" s="16" t="s">
        <v>4867</v>
      </c>
      <c r="RBR349" s="16" t="s">
        <v>4867</v>
      </c>
      <c r="RBS349" s="16" t="s">
        <v>4867</v>
      </c>
      <c r="RBT349" s="16" t="s">
        <v>4867</v>
      </c>
      <c r="RBU349" s="16" t="s">
        <v>4867</v>
      </c>
      <c r="RBV349" s="16" t="s">
        <v>4867</v>
      </c>
      <c r="RBW349" s="16" t="s">
        <v>4867</v>
      </c>
      <c r="RBX349" s="16" t="s">
        <v>4867</v>
      </c>
      <c r="RBY349" s="16" t="s">
        <v>4867</v>
      </c>
      <c r="RBZ349" s="16" t="s">
        <v>4867</v>
      </c>
      <c r="RCA349" s="16" t="s">
        <v>4867</v>
      </c>
      <c r="RCB349" s="16" t="s">
        <v>4867</v>
      </c>
      <c r="RCC349" s="16" t="s">
        <v>4867</v>
      </c>
      <c r="RCD349" s="16" t="s">
        <v>4867</v>
      </c>
      <c r="RCE349" s="16" t="s">
        <v>4867</v>
      </c>
      <c r="RCF349" s="16" t="s">
        <v>4867</v>
      </c>
      <c r="RCG349" s="16" t="s">
        <v>4867</v>
      </c>
      <c r="RCH349" s="16" t="s">
        <v>4867</v>
      </c>
      <c r="RCI349" s="16" t="s">
        <v>4867</v>
      </c>
      <c r="RCJ349" s="16" t="s">
        <v>4867</v>
      </c>
      <c r="RCK349" s="16" t="s">
        <v>4867</v>
      </c>
      <c r="RCL349" s="16" t="s">
        <v>4867</v>
      </c>
      <c r="RCM349" s="16" t="s">
        <v>4867</v>
      </c>
      <c r="RCN349" s="16" t="s">
        <v>4867</v>
      </c>
      <c r="RCO349" s="16" t="s">
        <v>4867</v>
      </c>
      <c r="RCP349" s="16" t="s">
        <v>4867</v>
      </c>
      <c r="RCQ349" s="16" t="s">
        <v>4867</v>
      </c>
      <c r="RCR349" s="16" t="s">
        <v>4867</v>
      </c>
      <c r="RCS349" s="16" t="s">
        <v>4867</v>
      </c>
      <c r="RCT349" s="16" t="s">
        <v>4867</v>
      </c>
      <c r="RCU349" s="16" t="s">
        <v>4867</v>
      </c>
      <c r="RCV349" s="16" t="s">
        <v>4867</v>
      </c>
      <c r="RCW349" s="16" t="s">
        <v>4867</v>
      </c>
      <c r="RCX349" s="16" t="s">
        <v>4867</v>
      </c>
      <c r="RCY349" s="16" t="s">
        <v>4867</v>
      </c>
      <c r="RCZ349" s="16" t="s">
        <v>4867</v>
      </c>
      <c r="RDA349" s="16" t="s">
        <v>4867</v>
      </c>
      <c r="RDB349" s="16" t="s">
        <v>4867</v>
      </c>
      <c r="RDC349" s="16" t="s">
        <v>4867</v>
      </c>
      <c r="RDD349" s="16" t="s">
        <v>4867</v>
      </c>
      <c r="RDE349" s="16" t="s">
        <v>4867</v>
      </c>
      <c r="RDF349" s="16" t="s">
        <v>4867</v>
      </c>
      <c r="RDG349" s="16" t="s">
        <v>4867</v>
      </c>
      <c r="RDH349" s="16" t="s">
        <v>4867</v>
      </c>
      <c r="RDI349" s="16" t="s">
        <v>4867</v>
      </c>
      <c r="RDJ349" s="16" t="s">
        <v>4867</v>
      </c>
      <c r="RDK349" s="16" t="s">
        <v>4867</v>
      </c>
      <c r="RDL349" s="16" t="s">
        <v>4867</v>
      </c>
      <c r="RDM349" s="16" t="s">
        <v>4867</v>
      </c>
      <c r="RDN349" s="16" t="s">
        <v>4867</v>
      </c>
      <c r="RDO349" s="16" t="s">
        <v>4867</v>
      </c>
      <c r="RDP349" s="16" t="s">
        <v>4867</v>
      </c>
      <c r="RDQ349" s="16" t="s">
        <v>4867</v>
      </c>
      <c r="RDR349" s="16" t="s">
        <v>4867</v>
      </c>
      <c r="RDS349" s="16" t="s">
        <v>4867</v>
      </c>
      <c r="RDT349" s="16" t="s">
        <v>4867</v>
      </c>
      <c r="RDU349" s="16" t="s">
        <v>4867</v>
      </c>
      <c r="RDV349" s="16" t="s">
        <v>4867</v>
      </c>
      <c r="RDW349" s="16" t="s">
        <v>4867</v>
      </c>
      <c r="RDX349" s="16" t="s">
        <v>4867</v>
      </c>
      <c r="RDY349" s="16" t="s">
        <v>4867</v>
      </c>
      <c r="RDZ349" s="16" t="s">
        <v>4867</v>
      </c>
      <c r="REA349" s="16" t="s">
        <v>4867</v>
      </c>
      <c r="REB349" s="16" t="s">
        <v>4867</v>
      </c>
      <c r="REC349" s="16" t="s">
        <v>4867</v>
      </c>
      <c r="RED349" s="16" t="s">
        <v>4867</v>
      </c>
      <c r="REE349" s="16" t="s">
        <v>4867</v>
      </c>
      <c r="REF349" s="16" t="s">
        <v>4867</v>
      </c>
      <c r="REG349" s="16" t="s">
        <v>4867</v>
      </c>
      <c r="REH349" s="16" t="s">
        <v>4867</v>
      </c>
      <c r="REI349" s="16" t="s">
        <v>4867</v>
      </c>
      <c r="REJ349" s="16" t="s">
        <v>4867</v>
      </c>
      <c r="REK349" s="16" t="s">
        <v>4867</v>
      </c>
      <c r="REL349" s="16" t="s">
        <v>4867</v>
      </c>
      <c r="REM349" s="16" t="s">
        <v>4867</v>
      </c>
      <c r="REN349" s="16" t="s">
        <v>4867</v>
      </c>
      <c r="REO349" s="16" t="s">
        <v>4867</v>
      </c>
      <c r="REP349" s="16" t="s">
        <v>4867</v>
      </c>
      <c r="REQ349" s="16" t="s">
        <v>4867</v>
      </c>
      <c r="RER349" s="16" t="s">
        <v>4867</v>
      </c>
      <c r="RES349" s="16" t="s">
        <v>4867</v>
      </c>
      <c r="RET349" s="16" t="s">
        <v>4867</v>
      </c>
      <c r="REU349" s="16" t="s">
        <v>4867</v>
      </c>
      <c r="REV349" s="16" t="s">
        <v>4867</v>
      </c>
      <c r="REW349" s="16" t="s">
        <v>4867</v>
      </c>
      <c r="REX349" s="16" t="s">
        <v>4867</v>
      </c>
      <c r="REY349" s="16" t="s">
        <v>4867</v>
      </c>
      <c r="REZ349" s="16" t="s">
        <v>4867</v>
      </c>
      <c r="RFA349" s="16" t="s">
        <v>4867</v>
      </c>
      <c r="RFB349" s="16" t="s">
        <v>4867</v>
      </c>
      <c r="RFC349" s="16" t="s">
        <v>4867</v>
      </c>
      <c r="RFD349" s="16" t="s">
        <v>4867</v>
      </c>
      <c r="RFE349" s="16" t="s">
        <v>4867</v>
      </c>
      <c r="RFF349" s="16" t="s">
        <v>4867</v>
      </c>
      <c r="RFG349" s="16" t="s">
        <v>4867</v>
      </c>
      <c r="RFH349" s="16" t="s">
        <v>4867</v>
      </c>
      <c r="RFI349" s="16" t="s">
        <v>4867</v>
      </c>
      <c r="RFJ349" s="16" t="s">
        <v>4867</v>
      </c>
      <c r="RFK349" s="16" t="s">
        <v>4867</v>
      </c>
      <c r="RFL349" s="16" t="s">
        <v>4867</v>
      </c>
      <c r="RFM349" s="16" t="s">
        <v>4867</v>
      </c>
      <c r="RFN349" s="16" t="s">
        <v>4867</v>
      </c>
      <c r="RFO349" s="16" t="s">
        <v>4867</v>
      </c>
      <c r="RFP349" s="16" t="s">
        <v>4867</v>
      </c>
      <c r="RFQ349" s="16" t="s">
        <v>4867</v>
      </c>
      <c r="RFR349" s="16" t="s">
        <v>4867</v>
      </c>
      <c r="RFS349" s="16" t="s">
        <v>4867</v>
      </c>
      <c r="RFT349" s="16" t="s">
        <v>4867</v>
      </c>
      <c r="RFU349" s="16" t="s">
        <v>4867</v>
      </c>
      <c r="RFV349" s="16" t="s">
        <v>4867</v>
      </c>
      <c r="RFW349" s="16" t="s">
        <v>4867</v>
      </c>
      <c r="RFX349" s="16" t="s">
        <v>4867</v>
      </c>
      <c r="RFY349" s="16" t="s">
        <v>4867</v>
      </c>
      <c r="RFZ349" s="16" t="s">
        <v>4867</v>
      </c>
      <c r="RGA349" s="16" t="s">
        <v>4867</v>
      </c>
      <c r="RGB349" s="16" t="s">
        <v>4867</v>
      </c>
      <c r="RGC349" s="16" t="s">
        <v>4867</v>
      </c>
      <c r="RGD349" s="16" t="s">
        <v>4867</v>
      </c>
      <c r="RGE349" s="16" t="s">
        <v>4867</v>
      </c>
      <c r="RGF349" s="16" t="s">
        <v>4867</v>
      </c>
      <c r="RGG349" s="16" t="s">
        <v>4867</v>
      </c>
      <c r="RGH349" s="16" t="s">
        <v>4867</v>
      </c>
      <c r="RGI349" s="16" t="s">
        <v>4867</v>
      </c>
      <c r="RGJ349" s="16" t="s">
        <v>4867</v>
      </c>
      <c r="RGK349" s="16" t="s">
        <v>4867</v>
      </c>
      <c r="RGL349" s="16" t="s">
        <v>4867</v>
      </c>
      <c r="RGM349" s="16" t="s">
        <v>4867</v>
      </c>
      <c r="RGN349" s="16" t="s">
        <v>4867</v>
      </c>
      <c r="RGO349" s="16" t="s">
        <v>4867</v>
      </c>
      <c r="RGP349" s="16" t="s">
        <v>4867</v>
      </c>
      <c r="RGQ349" s="16" t="s">
        <v>4867</v>
      </c>
      <c r="RGR349" s="16" t="s">
        <v>4867</v>
      </c>
      <c r="RGS349" s="16" t="s">
        <v>4867</v>
      </c>
      <c r="RGT349" s="16" t="s">
        <v>4867</v>
      </c>
      <c r="RGU349" s="16" t="s">
        <v>4867</v>
      </c>
      <c r="RGV349" s="16" t="s">
        <v>4867</v>
      </c>
      <c r="RGW349" s="16" t="s">
        <v>4867</v>
      </c>
      <c r="RGX349" s="16" t="s">
        <v>4867</v>
      </c>
      <c r="RGY349" s="16" t="s">
        <v>4867</v>
      </c>
      <c r="RGZ349" s="16" t="s">
        <v>4867</v>
      </c>
      <c r="RHA349" s="16" t="s">
        <v>4867</v>
      </c>
      <c r="RHB349" s="16" t="s">
        <v>4867</v>
      </c>
      <c r="RHC349" s="16" t="s">
        <v>4867</v>
      </c>
      <c r="RHD349" s="16" t="s">
        <v>4867</v>
      </c>
      <c r="RHE349" s="16" t="s">
        <v>4867</v>
      </c>
      <c r="RHF349" s="16" t="s">
        <v>4867</v>
      </c>
      <c r="RHG349" s="16" t="s">
        <v>4867</v>
      </c>
      <c r="RHH349" s="16" t="s">
        <v>4867</v>
      </c>
      <c r="RHI349" s="16" t="s">
        <v>4867</v>
      </c>
      <c r="RHJ349" s="16" t="s">
        <v>4867</v>
      </c>
      <c r="RHK349" s="16" t="s">
        <v>4867</v>
      </c>
      <c r="RHL349" s="16" t="s">
        <v>4867</v>
      </c>
      <c r="RHM349" s="16" t="s">
        <v>4867</v>
      </c>
      <c r="RHN349" s="16" t="s">
        <v>4867</v>
      </c>
      <c r="RHO349" s="16" t="s">
        <v>4867</v>
      </c>
      <c r="RHP349" s="16" t="s">
        <v>4867</v>
      </c>
      <c r="RHQ349" s="16" t="s">
        <v>4867</v>
      </c>
      <c r="RHR349" s="16" t="s">
        <v>4867</v>
      </c>
      <c r="RHS349" s="16" t="s">
        <v>4867</v>
      </c>
      <c r="RHT349" s="16" t="s">
        <v>4867</v>
      </c>
      <c r="RHU349" s="16" t="s">
        <v>4867</v>
      </c>
      <c r="RHV349" s="16" t="s">
        <v>4867</v>
      </c>
      <c r="RHW349" s="16" t="s">
        <v>4867</v>
      </c>
      <c r="RHX349" s="16" t="s">
        <v>4867</v>
      </c>
      <c r="RHY349" s="16" t="s">
        <v>4867</v>
      </c>
      <c r="RHZ349" s="16" t="s">
        <v>4867</v>
      </c>
      <c r="RIA349" s="16" t="s">
        <v>4867</v>
      </c>
      <c r="RIB349" s="16" t="s">
        <v>4867</v>
      </c>
      <c r="RIC349" s="16" t="s">
        <v>4867</v>
      </c>
      <c r="RID349" s="16" t="s">
        <v>4867</v>
      </c>
      <c r="RIE349" s="16" t="s">
        <v>4867</v>
      </c>
      <c r="RIF349" s="16" t="s">
        <v>4867</v>
      </c>
      <c r="RIG349" s="16" t="s">
        <v>4867</v>
      </c>
      <c r="RIH349" s="16" t="s">
        <v>4867</v>
      </c>
      <c r="RII349" s="16" t="s">
        <v>4867</v>
      </c>
      <c r="RIJ349" s="16" t="s">
        <v>4867</v>
      </c>
      <c r="RIK349" s="16" t="s">
        <v>4867</v>
      </c>
      <c r="RIL349" s="16" t="s">
        <v>4867</v>
      </c>
      <c r="RIM349" s="16" t="s">
        <v>4867</v>
      </c>
      <c r="RIN349" s="16" t="s">
        <v>4867</v>
      </c>
      <c r="RIO349" s="16" t="s">
        <v>4867</v>
      </c>
      <c r="RIP349" s="16" t="s">
        <v>4867</v>
      </c>
      <c r="RIQ349" s="16" t="s">
        <v>4867</v>
      </c>
      <c r="RIR349" s="16" t="s">
        <v>4867</v>
      </c>
      <c r="RIS349" s="16" t="s">
        <v>4867</v>
      </c>
      <c r="RIT349" s="16" t="s">
        <v>4867</v>
      </c>
      <c r="RIU349" s="16" t="s">
        <v>4867</v>
      </c>
      <c r="RIV349" s="16" t="s">
        <v>4867</v>
      </c>
      <c r="RIW349" s="16" t="s">
        <v>4867</v>
      </c>
      <c r="RIX349" s="16" t="s">
        <v>4867</v>
      </c>
      <c r="RIY349" s="16" t="s">
        <v>4867</v>
      </c>
      <c r="RIZ349" s="16" t="s">
        <v>4867</v>
      </c>
      <c r="RJA349" s="16" t="s">
        <v>4867</v>
      </c>
      <c r="RJB349" s="16" t="s">
        <v>4867</v>
      </c>
      <c r="RJC349" s="16" t="s">
        <v>4867</v>
      </c>
      <c r="RJD349" s="16" t="s">
        <v>4867</v>
      </c>
      <c r="RJE349" s="16" t="s">
        <v>4867</v>
      </c>
      <c r="RJF349" s="16" t="s">
        <v>4867</v>
      </c>
      <c r="RJG349" s="16" t="s">
        <v>4867</v>
      </c>
      <c r="RJH349" s="16" t="s">
        <v>4867</v>
      </c>
      <c r="RJI349" s="16" t="s">
        <v>4867</v>
      </c>
      <c r="RJJ349" s="16" t="s">
        <v>4867</v>
      </c>
      <c r="RJK349" s="16" t="s">
        <v>4867</v>
      </c>
      <c r="RJL349" s="16" t="s">
        <v>4867</v>
      </c>
      <c r="RJM349" s="16" t="s">
        <v>4867</v>
      </c>
      <c r="RJN349" s="16" t="s">
        <v>4867</v>
      </c>
      <c r="RJO349" s="16" t="s">
        <v>4867</v>
      </c>
      <c r="RJP349" s="16" t="s">
        <v>4867</v>
      </c>
      <c r="RJQ349" s="16" t="s">
        <v>4867</v>
      </c>
      <c r="RJR349" s="16" t="s">
        <v>4867</v>
      </c>
      <c r="RJS349" s="16" t="s">
        <v>4867</v>
      </c>
      <c r="RJT349" s="16" t="s">
        <v>4867</v>
      </c>
      <c r="RJU349" s="16" t="s">
        <v>4867</v>
      </c>
      <c r="RJV349" s="16" t="s">
        <v>4867</v>
      </c>
      <c r="RJW349" s="16" t="s">
        <v>4867</v>
      </c>
      <c r="RJX349" s="16" t="s">
        <v>4867</v>
      </c>
      <c r="RJY349" s="16" t="s">
        <v>4867</v>
      </c>
      <c r="RJZ349" s="16" t="s">
        <v>4867</v>
      </c>
      <c r="RKA349" s="16" t="s">
        <v>4867</v>
      </c>
      <c r="RKB349" s="16" t="s">
        <v>4867</v>
      </c>
      <c r="RKC349" s="16" t="s">
        <v>4867</v>
      </c>
      <c r="RKD349" s="16" t="s">
        <v>4867</v>
      </c>
      <c r="RKE349" s="16" t="s">
        <v>4867</v>
      </c>
      <c r="RKF349" s="16" t="s">
        <v>4867</v>
      </c>
      <c r="RKG349" s="16" t="s">
        <v>4867</v>
      </c>
      <c r="RKH349" s="16" t="s">
        <v>4867</v>
      </c>
      <c r="RKI349" s="16" t="s">
        <v>4867</v>
      </c>
      <c r="RKJ349" s="16" t="s">
        <v>4867</v>
      </c>
      <c r="RKK349" s="16" t="s">
        <v>4867</v>
      </c>
      <c r="RKL349" s="16" t="s">
        <v>4867</v>
      </c>
      <c r="RKM349" s="16" t="s">
        <v>4867</v>
      </c>
      <c r="RKN349" s="16" t="s">
        <v>4867</v>
      </c>
      <c r="RKO349" s="16" t="s">
        <v>4867</v>
      </c>
      <c r="RKP349" s="16" t="s">
        <v>4867</v>
      </c>
      <c r="RKQ349" s="16" t="s">
        <v>4867</v>
      </c>
      <c r="RKR349" s="16" t="s">
        <v>4867</v>
      </c>
      <c r="RKS349" s="16" t="s">
        <v>4867</v>
      </c>
      <c r="RKT349" s="16" t="s">
        <v>4867</v>
      </c>
      <c r="RKU349" s="16" t="s">
        <v>4867</v>
      </c>
      <c r="RKV349" s="16" t="s">
        <v>4867</v>
      </c>
      <c r="RKW349" s="16" t="s">
        <v>4867</v>
      </c>
      <c r="RKX349" s="16" t="s">
        <v>4867</v>
      </c>
      <c r="RKY349" s="16" t="s">
        <v>4867</v>
      </c>
      <c r="RKZ349" s="16" t="s">
        <v>4867</v>
      </c>
      <c r="RLA349" s="16" t="s">
        <v>4867</v>
      </c>
      <c r="RLB349" s="16" t="s">
        <v>4867</v>
      </c>
      <c r="RLC349" s="16" t="s">
        <v>4867</v>
      </c>
      <c r="RLD349" s="16" t="s">
        <v>4867</v>
      </c>
      <c r="RLE349" s="16" t="s">
        <v>4867</v>
      </c>
      <c r="RLF349" s="16" t="s">
        <v>4867</v>
      </c>
      <c r="RLG349" s="16" t="s">
        <v>4867</v>
      </c>
      <c r="RLH349" s="16" t="s">
        <v>4867</v>
      </c>
      <c r="RLI349" s="16" t="s">
        <v>4867</v>
      </c>
      <c r="RLJ349" s="16" t="s">
        <v>4867</v>
      </c>
      <c r="RLK349" s="16" t="s">
        <v>4867</v>
      </c>
      <c r="RLL349" s="16" t="s">
        <v>4867</v>
      </c>
      <c r="RLM349" s="16" t="s">
        <v>4867</v>
      </c>
      <c r="RLN349" s="16" t="s">
        <v>4867</v>
      </c>
      <c r="RLO349" s="16" t="s">
        <v>4867</v>
      </c>
      <c r="RLP349" s="16" t="s">
        <v>4867</v>
      </c>
      <c r="RLQ349" s="16" t="s">
        <v>4867</v>
      </c>
      <c r="RLR349" s="16" t="s">
        <v>4867</v>
      </c>
      <c r="RLS349" s="16" t="s">
        <v>4867</v>
      </c>
      <c r="RLT349" s="16" t="s">
        <v>4867</v>
      </c>
      <c r="RLU349" s="16" t="s">
        <v>4867</v>
      </c>
      <c r="RLV349" s="16" t="s">
        <v>4867</v>
      </c>
      <c r="RLW349" s="16" t="s">
        <v>4867</v>
      </c>
      <c r="RLX349" s="16" t="s">
        <v>4867</v>
      </c>
      <c r="RLY349" s="16" t="s">
        <v>4867</v>
      </c>
      <c r="RLZ349" s="16" t="s">
        <v>4867</v>
      </c>
      <c r="RMA349" s="16" t="s">
        <v>4867</v>
      </c>
      <c r="RMB349" s="16" t="s">
        <v>4867</v>
      </c>
      <c r="RMC349" s="16" t="s">
        <v>4867</v>
      </c>
      <c r="RMD349" s="16" t="s">
        <v>4867</v>
      </c>
      <c r="RME349" s="16" t="s">
        <v>4867</v>
      </c>
      <c r="RMF349" s="16" t="s">
        <v>4867</v>
      </c>
      <c r="RMG349" s="16" t="s">
        <v>4867</v>
      </c>
      <c r="RMH349" s="16" t="s">
        <v>4867</v>
      </c>
      <c r="RMI349" s="16" t="s">
        <v>4867</v>
      </c>
      <c r="RMJ349" s="16" t="s">
        <v>4867</v>
      </c>
      <c r="RMK349" s="16" t="s">
        <v>4867</v>
      </c>
      <c r="RML349" s="16" t="s">
        <v>4867</v>
      </c>
      <c r="RMM349" s="16" t="s">
        <v>4867</v>
      </c>
      <c r="RMN349" s="16" t="s">
        <v>4867</v>
      </c>
      <c r="RMO349" s="16" t="s">
        <v>4867</v>
      </c>
      <c r="RMP349" s="16" t="s">
        <v>4867</v>
      </c>
      <c r="RMQ349" s="16" t="s">
        <v>4867</v>
      </c>
      <c r="RMR349" s="16" t="s">
        <v>4867</v>
      </c>
      <c r="RMS349" s="16" t="s">
        <v>4867</v>
      </c>
      <c r="RMT349" s="16" t="s">
        <v>4867</v>
      </c>
      <c r="RMU349" s="16" t="s">
        <v>4867</v>
      </c>
      <c r="RMV349" s="16" t="s">
        <v>4867</v>
      </c>
      <c r="RMW349" s="16" t="s">
        <v>4867</v>
      </c>
      <c r="RMX349" s="16" t="s">
        <v>4867</v>
      </c>
      <c r="RMY349" s="16" t="s">
        <v>4867</v>
      </c>
      <c r="RMZ349" s="16" t="s">
        <v>4867</v>
      </c>
      <c r="RNA349" s="16" t="s">
        <v>4867</v>
      </c>
      <c r="RNB349" s="16" t="s">
        <v>4867</v>
      </c>
      <c r="RNC349" s="16" t="s">
        <v>4867</v>
      </c>
      <c r="RND349" s="16" t="s">
        <v>4867</v>
      </c>
      <c r="RNE349" s="16" t="s">
        <v>4867</v>
      </c>
      <c r="RNF349" s="16" t="s">
        <v>4867</v>
      </c>
      <c r="RNG349" s="16" t="s">
        <v>4867</v>
      </c>
      <c r="RNH349" s="16" t="s">
        <v>4867</v>
      </c>
      <c r="RNI349" s="16" t="s">
        <v>4867</v>
      </c>
      <c r="RNJ349" s="16" t="s">
        <v>4867</v>
      </c>
      <c r="RNK349" s="16" t="s">
        <v>4867</v>
      </c>
      <c r="RNL349" s="16" t="s">
        <v>4867</v>
      </c>
      <c r="RNM349" s="16" t="s">
        <v>4867</v>
      </c>
      <c r="RNN349" s="16" t="s">
        <v>4867</v>
      </c>
      <c r="RNO349" s="16" t="s">
        <v>4867</v>
      </c>
      <c r="RNP349" s="16" t="s">
        <v>4867</v>
      </c>
      <c r="RNQ349" s="16" t="s">
        <v>4867</v>
      </c>
      <c r="RNR349" s="16" t="s">
        <v>4867</v>
      </c>
      <c r="RNS349" s="16" t="s">
        <v>4867</v>
      </c>
      <c r="RNT349" s="16" t="s">
        <v>4867</v>
      </c>
      <c r="RNU349" s="16" t="s">
        <v>4867</v>
      </c>
      <c r="RNV349" s="16" t="s">
        <v>4867</v>
      </c>
      <c r="RNW349" s="16" t="s">
        <v>4867</v>
      </c>
      <c r="RNX349" s="16" t="s">
        <v>4867</v>
      </c>
      <c r="RNY349" s="16" t="s">
        <v>4867</v>
      </c>
      <c r="RNZ349" s="16" t="s">
        <v>4867</v>
      </c>
      <c r="ROA349" s="16" t="s">
        <v>4867</v>
      </c>
      <c r="ROB349" s="16" t="s">
        <v>4867</v>
      </c>
      <c r="ROC349" s="16" t="s">
        <v>4867</v>
      </c>
      <c r="ROD349" s="16" t="s">
        <v>4867</v>
      </c>
      <c r="ROE349" s="16" t="s">
        <v>4867</v>
      </c>
      <c r="ROF349" s="16" t="s">
        <v>4867</v>
      </c>
      <c r="ROG349" s="16" t="s">
        <v>4867</v>
      </c>
      <c r="ROH349" s="16" t="s">
        <v>4867</v>
      </c>
      <c r="ROI349" s="16" t="s">
        <v>4867</v>
      </c>
      <c r="ROJ349" s="16" t="s">
        <v>4867</v>
      </c>
      <c r="ROK349" s="16" t="s">
        <v>4867</v>
      </c>
      <c r="ROL349" s="16" t="s">
        <v>4867</v>
      </c>
      <c r="ROM349" s="16" t="s">
        <v>4867</v>
      </c>
      <c r="RON349" s="16" t="s">
        <v>4867</v>
      </c>
      <c r="ROO349" s="16" t="s">
        <v>4867</v>
      </c>
      <c r="ROP349" s="16" t="s">
        <v>4867</v>
      </c>
      <c r="ROQ349" s="16" t="s">
        <v>4867</v>
      </c>
      <c r="ROR349" s="16" t="s">
        <v>4867</v>
      </c>
      <c r="ROS349" s="16" t="s">
        <v>4867</v>
      </c>
      <c r="ROT349" s="16" t="s">
        <v>4867</v>
      </c>
      <c r="ROU349" s="16" t="s">
        <v>4867</v>
      </c>
      <c r="ROV349" s="16" t="s">
        <v>4867</v>
      </c>
      <c r="ROW349" s="16" t="s">
        <v>4867</v>
      </c>
      <c r="ROX349" s="16" t="s">
        <v>4867</v>
      </c>
      <c r="ROY349" s="16" t="s">
        <v>4867</v>
      </c>
      <c r="ROZ349" s="16" t="s">
        <v>4867</v>
      </c>
      <c r="RPA349" s="16" t="s">
        <v>4867</v>
      </c>
      <c r="RPB349" s="16" t="s">
        <v>4867</v>
      </c>
      <c r="RPC349" s="16" t="s">
        <v>4867</v>
      </c>
      <c r="RPD349" s="16" t="s">
        <v>4867</v>
      </c>
      <c r="RPE349" s="16" t="s">
        <v>4867</v>
      </c>
      <c r="RPF349" s="16" t="s">
        <v>4867</v>
      </c>
      <c r="RPG349" s="16" t="s">
        <v>4867</v>
      </c>
      <c r="RPH349" s="16" t="s">
        <v>4867</v>
      </c>
      <c r="RPI349" s="16" t="s">
        <v>4867</v>
      </c>
      <c r="RPJ349" s="16" t="s">
        <v>4867</v>
      </c>
      <c r="RPK349" s="16" t="s">
        <v>4867</v>
      </c>
      <c r="RPL349" s="16" t="s">
        <v>4867</v>
      </c>
      <c r="RPM349" s="16" t="s">
        <v>4867</v>
      </c>
      <c r="RPN349" s="16" t="s">
        <v>4867</v>
      </c>
      <c r="RPO349" s="16" t="s">
        <v>4867</v>
      </c>
      <c r="RPP349" s="16" t="s">
        <v>4867</v>
      </c>
      <c r="RPQ349" s="16" t="s">
        <v>4867</v>
      </c>
      <c r="RPR349" s="16" t="s">
        <v>4867</v>
      </c>
      <c r="RPS349" s="16" t="s">
        <v>4867</v>
      </c>
      <c r="RPT349" s="16" t="s">
        <v>4867</v>
      </c>
      <c r="RPU349" s="16" t="s">
        <v>4867</v>
      </c>
      <c r="RPV349" s="16" t="s">
        <v>4867</v>
      </c>
      <c r="RPW349" s="16" t="s">
        <v>4867</v>
      </c>
      <c r="RPX349" s="16" t="s">
        <v>4867</v>
      </c>
      <c r="RPY349" s="16" t="s">
        <v>4867</v>
      </c>
      <c r="RPZ349" s="16" t="s">
        <v>4867</v>
      </c>
      <c r="RQA349" s="16" t="s">
        <v>4867</v>
      </c>
      <c r="RQB349" s="16" t="s">
        <v>4867</v>
      </c>
      <c r="RQC349" s="16" t="s">
        <v>4867</v>
      </c>
      <c r="RQD349" s="16" t="s">
        <v>4867</v>
      </c>
      <c r="RQE349" s="16" t="s">
        <v>4867</v>
      </c>
      <c r="RQF349" s="16" t="s">
        <v>4867</v>
      </c>
      <c r="RQG349" s="16" t="s">
        <v>4867</v>
      </c>
      <c r="RQH349" s="16" t="s">
        <v>4867</v>
      </c>
      <c r="RQI349" s="16" t="s">
        <v>4867</v>
      </c>
      <c r="RQJ349" s="16" t="s">
        <v>4867</v>
      </c>
      <c r="RQK349" s="16" t="s">
        <v>4867</v>
      </c>
      <c r="RQL349" s="16" t="s">
        <v>4867</v>
      </c>
      <c r="RQM349" s="16" t="s">
        <v>4867</v>
      </c>
      <c r="RQN349" s="16" t="s">
        <v>4867</v>
      </c>
      <c r="RQO349" s="16" t="s">
        <v>4867</v>
      </c>
      <c r="RQP349" s="16" t="s">
        <v>4867</v>
      </c>
      <c r="RQQ349" s="16" t="s">
        <v>4867</v>
      </c>
      <c r="RQR349" s="16" t="s">
        <v>4867</v>
      </c>
      <c r="RQS349" s="16" t="s">
        <v>4867</v>
      </c>
      <c r="RQT349" s="16" t="s">
        <v>4867</v>
      </c>
      <c r="RQU349" s="16" t="s">
        <v>4867</v>
      </c>
      <c r="RQV349" s="16" t="s">
        <v>4867</v>
      </c>
      <c r="RQW349" s="16" t="s">
        <v>4867</v>
      </c>
      <c r="RQX349" s="16" t="s">
        <v>4867</v>
      </c>
      <c r="RQY349" s="16" t="s">
        <v>4867</v>
      </c>
      <c r="RQZ349" s="16" t="s">
        <v>4867</v>
      </c>
      <c r="RRA349" s="16" t="s">
        <v>4867</v>
      </c>
      <c r="RRB349" s="16" t="s">
        <v>4867</v>
      </c>
      <c r="RRC349" s="16" t="s">
        <v>4867</v>
      </c>
      <c r="RRD349" s="16" t="s">
        <v>4867</v>
      </c>
      <c r="RRE349" s="16" t="s">
        <v>4867</v>
      </c>
      <c r="RRF349" s="16" t="s">
        <v>4867</v>
      </c>
      <c r="RRG349" s="16" t="s">
        <v>4867</v>
      </c>
      <c r="RRH349" s="16" t="s">
        <v>4867</v>
      </c>
      <c r="RRI349" s="16" t="s">
        <v>4867</v>
      </c>
      <c r="RRJ349" s="16" t="s">
        <v>4867</v>
      </c>
      <c r="RRK349" s="16" t="s">
        <v>4867</v>
      </c>
      <c r="RRL349" s="16" t="s">
        <v>4867</v>
      </c>
      <c r="RRM349" s="16" t="s">
        <v>4867</v>
      </c>
      <c r="RRN349" s="16" t="s">
        <v>4867</v>
      </c>
      <c r="RRO349" s="16" t="s">
        <v>4867</v>
      </c>
      <c r="RRP349" s="16" t="s">
        <v>4867</v>
      </c>
      <c r="RRQ349" s="16" t="s">
        <v>4867</v>
      </c>
      <c r="RRR349" s="16" t="s">
        <v>4867</v>
      </c>
      <c r="RRS349" s="16" t="s">
        <v>4867</v>
      </c>
      <c r="RRT349" s="16" t="s">
        <v>4867</v>
      </c>
      <c r="RRU349" s="16" t="s">
        <v>4867</v>
      </c>
      <c r="RRV349" s="16" t="s">
        <v>4867</v>
      </c>
      <c r="RRW349" s="16" t="s">
        <v>4867</v>
      </c>
      <c r="RRX349" s="16" t="s">
        <v>4867</v>
      </c>
      <c r="RRY349" s="16" t="s">
        <v>4867</v>
      </c>
      <c r="RRZ349" s="16" t="s">
        <v>4867</v>
      </c>
      <c r="RSA349" s="16" t="s">
        <v>4867</v>
      </c>
      <c r="RSB349" s="16" t="s">
        <v>4867</v>
      </c>
      <c r="RSC349" s="16" t="s">
        <v>4867</v>
      </c>
      <c r="RSD349" s="16" t="s">
        <v>4867</v>
      </c>
      <c r="RSE349" s="16" t="s">
        <v>4867</v>
      </c>
      <c r="RSF349" s="16" t="s">
        <v>4867</v>
      </c>
      <c r="RSG349" s="16" t="s">
        <v>4867</v>
      </c>
      <c r="RSH349" s="16" t="s">
        <v>4867</v>
      </c>
      <c r="RSI349" s="16" t="s">
        <v>4867</v>
      </c>
      <c r="RSJ349" s="16" t="s">
        <v>4867</v>
      </c>
      <c r="RSK349" s="16" t="s">
        <v>4867</v>
      </c>
      <c r="RSL349" s="16" t="s">
        <v>4867</v>
      </c>
      <c r="RSM349" s="16" t="s">
        <v>4867</v>
      </c>
      <c r="RSN349" s="16" t="s">
        <v>4867</v>
      </c>
      <c r="RSO349" s="16" t="s">
        <v>4867</v>
      </c>
      <c r="RSP349" s="16" t="s">
        <v>4867</v>
      </c>
      <c r="RSQ349" s="16" t="s">
        <v>4867</v>
      </c>
      <c r="RSR349" s="16" t="s">
        <v>4867</v>
      </c>
      <c r="RSS349" s="16" t="s">
        <v>4867</v>
      </c>
      <c r="RST349" s="16" t="s">
        <v>4867</v>
      </c>
      <c r="RSU349" s="16" t="s">
        <v>4867</v>
      </c>
      <c r="RSV349" s="16" t="s">
        <v>4867</v>
      </c>
      <c r="RSW349" s="16" t="s">
        <v>4867</v>
      </c>
      <c r="RSX349" s="16" t="s">
        <v>4867</v>
      </c>
      <c r="RSY349" s="16" t="s">
        <v>4867</v>
      </c>
      <c r="RSZ349" s="16" t="s">
        <v>4867</v>
      </c>
      <c r="RTA349" s="16" t="s">
        <v>4867</v>
      </c>
      <c r="RTB349" s="16" t="s">
        <v>4867</v>
      </c>
      <c r="RTC349" s="16" t="s">
        <v>4867</v>
      </c>
      <c r="RTD349" s="16" t="s">
        <v>4867</v>
      </c>
      <c r="RTE349" s="16" t="s">
        <v>4867</v>
      </c>
      <c r="RTF349" s="16" t="s">
        <v>4867</v>
      </c>
      <c r="RTG349" s="16" t="s">
        <v>4867</v>
      </c>
      <c r="RTH349" s="16" t="s">
        <v>4867</v>
      </c>
      <c r="RTI349" s="16" t="s">
        <v>4867</v>
      </c>
      <c r="RTJ349" s="16" t="s">
        <v>4867</v>
      </c>
      <c r="RTK349" s="16" t="s">
        <v>4867</v>
      </c>
      <c r="RTL349" s="16" t="s">
        <v>4867</v>
      </c>
      <c r="RTM349" s="16" t="s">
        <v>4867</v>
      </c>
      <c r="RTN349" s="16" t="s">
        <v>4867</v>
      </c>
      <c r="RTO349" s="16" t="s">
        <v>4867</v>
      </c>
      <c r="RTP349" s="16" t="s">
        <v>4867</v>
      </c>
      <c r="RTQ349" s="16" t="s">
        <v>4867</v>
      </c>
      <c r="RTR349" s="16" t="s">
        <v>4867</v>
      </c>
      <c r="RTS349" s="16" t="s">
        <v>4867</v>
      </c>
      <c r="RTT349" s="16" t="s">
        <v>4867</v>
      </c>
      <c r="RTU349" s="16" t="s">
        <v>4867</v>
      </c>
      <c r="RTV349" s="16" t="s">
        <v>4867</v>
      </c>
      <c r="RTW349" s="16" t="s">
        <v>4867</v>
      </c>
      <c r="RTX349" s="16" t="s">
        <v>4867</v>
      </c>
      <c r="RTY349" s="16" t="s">
        <v>4867</v>
      </c>
      <c r="RTZ349" s="16" t="s">
        <v>4867</v>
      </c>
      <c r="RUA349" s="16" t="s">
        <v>4867</v>
      </c>
      <c r="RUB349" s="16" t="s">
        <v>4867</v>
      </c>
      <c r="RUC349" s="16" t="s">
        <v>4867</v>
      </c>
      <c r="RUD349" s="16" t="s">
        <v>4867</v>
      </c>
      <c r="RUE349" s="16" t="s">
        <v>4867</v>
      </c>
      <c r="RUF349" s="16" t="s">
        <v>4867</v>
      </c>
      <c r="RUG349" s="16" t="s">
        <v>4867</v>
      </c>
      <c r="RUH349" s="16" t="s">
        <v>4867</v>
      </c>
      <c r="RUI349" s="16" t="s">
        <v>4867</v>
      </c>
      <c r="RUJ349" s="16" t="s">
        <v>4867</v>
      </c>
      <c r="RUK349" s="16" t="s">
        <v>4867</v>
      </c>
      <c r="RUL349" s="16" t="s">
        <v>4867</v>
      </c>
      <c r="RUM349" s="16" t="s">
        <v>4867</v>
      </c>
      <c r="RUN349" s="16" t="s">
        <v>4867</v>
      </c>
      <c r="RUO349" s="16" t="s">
        <v>4867</v>
      </c>
      <c r="RUP349" s="16" t="s">
        <v>4867</v>
      </c>
      <c r="RUQ349" s="16" t="s">
        <v>4867</v>
      </c>
      <c r="RUR349" s="16" t="s">
        <v>4867</v>
      </c>
      <c r="RUS349" s="16" t="s">
        <v>4867</v>
      </c>
      <c r="RUT349" s="16" t="s">
        <v>4867</v>
      </c>
      <c r="RUU349" s="16" t="s">
        <v>4867</v>
      </c>
      <c r="RUV349" s="16" t="s">
        <v>4867</v>
      </c>
      <c r="RUW349" s="16" t="s">
        <v>4867</v>
      </c>
      <c r="RUX349" s="16" t="s">
        <v>4867</v>
      </c>
      <c r="RUY349" s="16" t="s">
        <v>4867</v>
      </c>
      <c r="RUZ349" s="16" t="s">
        <v>4867</v>
      </c>
      <c r="RVA349" s="16" t="s">
        <v>4867</v>
      </c>
      <c r="RVB349" s="16" t="s">
        <v>4867</v>
      </c>
      <c r="RVC349" s="16" t="s">
        <v>4867</v>
      </c>
      <c r="RVD349" s="16" t="s">
        <v>4867</v>
      </c>
      <c r="RVE349" s="16" t="s">
        <v>4867</v>
      </c>
      <c r="RVF349" s="16" t="s">
        <v>4867</v>
      </c>
      <c r="RVG349" s="16" t="s">
        <v>4867</v>
      </c>
      <c r="RVH349" s="16" t="s">
        <v>4867</v>
      </c>
      <c r="RVI349" s="16" t="s">
        <v>4867</v>
      </c>
      <c r="RVJ349" s="16" t="s">
        <v>4867</v>
      </c>
      <c r="RVK349" s="16" t="s">
        <v>4867</v>
      </c>
      <c r="RVL349" s="16" t="s">
        <v>4867</v>
      </c>
      <c r="RVM349" s="16" t="s">
        <v>4867</v>
      </c>
      <c r="RVN349" s="16" t="s">
        <v>4867</v>
      </c>
      <c r="RVO349" s="16" t="s">
        <v>4867</v>
      </c>
      <c r="RVP349" s="16" t="s">
        <v>4867</v>
      </c>
      <c r="RVQ349" s="16" t="s">
        <v>4867</v>
      </c>
      <c r="RVR349" s="16" t="s">
        <v>4867</v>
      </c>
      <c r="RVS349" s="16" t="s">
        <v>4867</v>
      </c>
      <c r="RVT349" s="16" t="s">
        <v>4867</v>
      </c>
      <c r="RVU349" s="16" t="s">
        <v>4867</v>
      </c>
      <c r="RVV349" s="16" t="s">
        <v>4867</v>
      </c>
      <c r="RVW349" s="16" t="s">
        <v>4867</v>
      </c>
      <c r="RVX349" s="16" t="s">
        <v>4867</v>
      </c>
      <c r="RVY349" s="16" t="s">
        <v>4867</v>
      </c>
      <c r="RVZ349" s="16" t="s">
        <v>4867</v>
      </c>
      <c r="RWA349" s="16" t="s">
        <v>4867</v>
      </c>
      <c r="RWB349" s="16" t="s">
        <v>4867</v>
      </c>
      <c r="RWC349" s="16" t="s">
        <v>4867</v>
      </c>
      <c r="RWD349" s="16" t="s">
        <v>4867</v>
      </c>
      <c r="RWE349" s="16" t="s">
        <v>4867</v>
      </c>
      <c r="RWF349" s="16" t="s">
        <v>4867</v>
      </c>
      <c r="RWG349" s="16" t="s">
        <v>4867</v>
      </c>
      <c r="RWH349" s="16" t="s">
        <v>4867</v>
      </c>
      <c r="RWI349" s="16" t="s">
        <v>4867</v>
      </c>
      <c r="RWJ349" s="16" t="s">
        <v>4867</v>
      </c>
      <c r="RWK349" s="16" t="s">
        <v>4867</v>
      </c>
      <c r="RWL349" s="16" t="s">
        <v>4867</v>
      </c>
      <c r="RWM349" s="16" t="s">
        <v>4867</v>
      </c>
      <c r="RWN349" s="16" t="s">
        <v>4867</v>
      </c>
      <c r="RWO349" s="16" t="s">
        <v>4867</v>
      </c>
      <c r="RWP349" s="16" t="s">
        <v>4867</v>
      </c>
      <c r="RWQ349" s="16" t="s">
        <v>4867</v>
      </c>
      <c r="RWR349" s="16" t="s">
        <v>4867</v>
      </c>
      <c r="RWS349" s="16" t="s">
        <v>4867</v>
      </c>
      <c r="RWT349" s="16" t="s">
        <v>4867</v>
      </c>
      <c r="RWU349" s="16" t="s">
        <v>4867</v>
      </c>
      <c r="RWV349" s="16" t="s">
        <v>4867</v>
      </c>
      <c r="RWW349" s="16" t="s">
        <v>4867</v>
      </c>
      <c r="RWX349" s="16" t="s">
        <v>4867</v>
      </c>
      <c r="RWY349" s="16" t="s">
        <v>4867</v>
      </c>
      <c r="RWZ349" s="16" t="s">
        <v>4867</v>
      </c>
      <c r="RXA349" s="16" t="s">
        <v>4867</v>
      </c>
      <c r="RXB349" s="16" t="s">
        <v>4867</v>
      </c>
      <c r="RXC349" s="16" t="s">
        <v>4867</v>
      </c>
      <c r="RXD349" s="16" t="s">
        <v>4867</v>
      </c>
      <c r="RXE349" s="16" t="s">
        <v>4867</v>
      </c>
      <c r="RXF349" s="16" t="s">
        <v>4867</v>
      </c>
      <c r="RXG349" s="16" t="s">
        <v>4867</v>
      </c>
      <c r="RXH349" s="16" t="s">
        <v>4867</v>
      </c>
      <c r="RXI349" s="16" t="s">
        <v>4867</v>
      </c>
      <c r="RXJ349" s="16" t="s">
        <v>4867</v>
      </c>
      <c r="RXK349" s="16" t="s">
        <v>4867</v>
      </c>
      <c r="RXL349" s="16" t="s">
        <v>4867</v>
      </c>
      <c r="RXM349" s="16" t="s">
        <v>4867</v>
      </c>
      <c r="RXN349" s="16" t="s">
        <v>4867</v>
      </c>
      <c r="RXO349" s="16" t="s">
        <v>4867</v>
      </c>
      <c r="RXP349" s="16" t="s">
        <v>4867</v>
      </c>
      <c r="RXQ349" s="16" t="s">
        <v>4867</v>
      </c>
      <c r="RXR349" s="16" t="s">
        <v>4867</v>
      </c>
      <c r="RXS349" s="16" t="s">
        <v>4867</v>
      </c>
      <c r="RXT349" s="16" t="s">
        <v>4867</v>
      </c>
      <c r="RXU349" s="16" t="s">
        <v>4867</v>
      </c>
      <c r="RXV349" s="16" t="s">
        <v>4867</v>
      </c>
      <c r="RXW349" s="16" t="s">
        <v>4867</v>
      </c>
      <c r="RXX349" s="16" t="s">
        <v>4867</v>
      </c>
      <c r="RXY349" s="16" t="s">
        <v>4867</v>
      </c>
      <c r="RXZ349" s="16" t="s">
        <v>4867</v>
      </c>
      <c r="RYA349" s="16" t="s">
        <v>4867</v>
      </c>
      <c r="RYB349" s="16" t="s">
        <v>4867</v>
      </c>
      <c r="RYC349" s="16" t="s">
        <v>4867</v>
      </c>
      <c r="RYD349" s="16" t="s">
        <v>4867</v>
      </c>
      <c r="RYE349" s="16" t="s">
        <v>4867</v>
      </c>
      <c r="RYF349" s="16" t="s">
        <v>4867</v>
      </c>
      <c r="RYG349" s="16" t="s">
        <v>4867</v>
      </c>
      <c r="RYH349" s="16" t="s">
        <v>4867</v>
      </c>
      <c r="RYI349" s="16" t="s">
        <v>4867</v>
      </c>
      <c r="RYJ349" s="16" t="s">
        <v>4867</v>
      </c>
      <c r="RYK349" s="16" t="s">
        <v>4867</v>
      </c>
      <c r="RYL349" s="16" t="s">
        <v>4867</v>
      </c>
      <c r="RYM349" s="16" t="s">
        <v>4867</v>
      </c>
      <c r="RYN349" s="16" t="s">
        <v>4867</v>
      </c>
      <c r="RYO349" s="16" t="s">
        <v>4867</v>
      </c>
      <c r="RYP349" s="16" t="s">
        <v>4867</v>
      </c>
      <c r="RYQ349" s="16" t="s">
        <v>4867</v>
      </c>
      <c r="RYR349" s="16" t="s">
        <v>4867</v>
      </c>
      <c r="RYS349" s="16" t="s">
        <v>4867</v>
      </c>
      <c r="RYT349" s="16" t="s">
        <v>4867</v>
      </c>
      <c r="RYU349" s="16" t="s">
        <v>4867</v>
      </c>
      <c r="RYV349" s="16" t="s">
        <v>4867</v>
      </c>
      <c r="RYW349" s="16" t="s">
        <v>4867</v>
      </c>
      <c r="RYX349" s="16" t="s">
        <v>4867</v>
      </c>
      <c r="RYY349" s="16" t="s">
        <v>4867</v>
      </c>
      <c r="RYZ349" s="16" t="s">
        <v>4867</v>
      </c>
      <c r="RZA349" s="16" t="s">
        <v>4867</v>
      </c>
      <c r="RZB349" s="16" t="s">
        <v>4867</v>
      </c>
      <c r="RZC349" s="16" t="s">
        <v>4867</v>
      </c>
      <c r="RZD349" s="16" t="s">
        <v>4867</v>
      </c>
      <c r="RZE349" s="16" t="s">
        <v>4867</v>
      </c>
      <c r="RZF349" s="16" t="s">
        <v>4867</v>
      </c>
      <c r="RZG349" s="16" t="s">
        <v>4867</v>
      </c>
      <c r="RZH349" s="16" t="s">
        <v>4867</v>
      </c>
      <c r="RZI349" s="16" t="s">
        <v>4867</v>
      </c>
      <c r="RZJ349" s="16" t="s">
        <v>4867</v>
      </c>
      <c r="RZK349" s="16" t="s">
        <v>4867</v>
      </c>
      <c r="RZL349" s="16" t="s">
        <v>4867</v>
      </c>
      <c r="RZM349" s="16" t="s">
        <v>4867</v>
      </c>
      <c r="RZN349" s="16" t="s">
        <v>4867</v>
      </c>
      <c r="RZO349" s="16" t="s">
        <v>4867</v>
      </c>
      <c r="RZP349" s="16" t="s">
        <v>4867</v>
      </c>
      <c r="RZQ349" s="16" t="s">
        <v>4867</v>
      </c>
      <c r="RZR349" s="16" t="s">
        <v>4867</v>
      </c>
      <c r="RZS349" s="16" t="s">
        <v>4867</v>
      </c>
      <c r="RZT349" s="16" t="s">
        <v>4867</v>
      </c>
      <c r="RZU349" s="16" t="s">
        <v>4867</v>
      </c>
      <c r="RZV349" s="16" t="s">
        <v>4867</v>
      </c>
      <c r="RZW349" s="16" t="s">
        <v>4867</v>
      </c>
      <c r="RZX349" s="16" t="s">
        <v>4867</v>
      </c>
      <c r="RZY349" s="16" t="s">
        <v>4867</v>
      </c>
      <c r="RZZ349" s="16" t="s">
        <v>4867</v>
      </c>
      <c r="SAA349" s="16" t="s">
        <v>4867</v>
      </c>
      <c r="SAB349" s="16" t="s">
        <v>4867</v>
      </c>
      <c r="SAC349" s="16" t="s">
        <v>4867</v>
      </c>
      <c r="SAD349" s="16" t="s">
        <v>4867</v>
      </c>
      <c r="SAE349" s="16" t="s">
        <v>4867</v>
      </c>
      <c r="SAF349" s="16" t="s">
        <v>4867</v>
      </c>
      <c r="SAG349" s="16" t="s">
        <v>4867</v>
      </c>
      <c r="SAH349" s="16" t="s">
        <v>4867</v>
      </c>
      <c r="SAI349" s="16" t="s">
        <v>4867</v>
      </c>
      <c r="SAJ349" s="16" t="s">
        <v>4867</v>
      </c>
      <c r="SAK349" s="16" t="s">
        <v>4867</v>
      </c>
      <c r="SAL349" s="16" t="s">
        <v>4867</v>
      </c>
      <c r="SAM349" s="16" t="s">
        <v>4867</v>
      </c>
      <c r="SAN349" s="16" t="s">
        <v>4867</v>
      </c>
      <c r="SAO349" s="16" t="s">
        <v>4867</v>
      </c>
      <c r="SAP349" s="16" t="s">
        <v>4867</v>
      </c>
      <c r="SAQ349" s="16" t="s">
        <v>4867</v>
      </c>
      <c r="SAR349" s="16" t="s">
        <v>4867</v>
      </c>
      <c r="SAS349" s="16" t="s">
        <v>4867</v>
      </c>
      <c r="SAT349" s="16" t="s">
        <v>4867</v>
      </c>
      <c r="SAU349" s="16" t="s">
        <v>4867</v>
      </c>
      <c r="SAV349" s="16" t="s">
        <v>4867</v>
      </c>
      <c r="SAW349" s="16" t="s">
        <v>4867</v>
      </c>
      <c r="SAX349" s="16" t="s">
        <v>4867</v>
      </c>
      <c r="SAY349" s="16" t="s">
        <v>4867</v>
      </c>
      <c r="SAZ349" s="16" t="s">
        <v>4867</v>
      </c>
      <c r="SBA349" s="16" t="s">
        <v>4867</v>
      </c>
      <c r="SBB349" s="16" t="s">
        <v>4867</v>
      </c>
      <c r="SBC349" s="16" t="s">
        <v>4867</v>
      </c>
      <c r="SBD349" s="16" t="s">
        <v>4867</v>
      </c>
      <c r="SBE349" s="16" t="s">
        <v>4867</v>
      </c>
      <c r="SBF349" s="16" t="s">
        <v>4867</v>
      </c>
      <c r="SBG349" s="16" t="s">
        <v>4867</v>
      </c>
      <c r="SBH349" s="16" t="s">
        <v>4867</v>
      </c>
      <c r="SBI349" s="16" t="s">
        <v>4867</v>
      </c>
      <c r="SBJ349" s="16" t="s">
        <v>4867</v>
      </c>
      <c r="SBK349" s="16" t="s">
        <v>4867</v>
      </c>
      <c r="SBL349" s="16" t="s">
        <v>4867</v>
      </c>
      <c r="SBM349" s="16" t="s">
        <v>4867</v>
      </c>
      <c r="SBN349" s="16" t="s">
        <v>4867</v>
      </c>
      <c r="SBO349" s="16" t="s">
        <v>4867</v>
      </c>
      <c r="SBP349" s="16" t="s">
        <v>4867</v>
      </c>
      <c r="SBQ349" s="16" t="s">
        <v>4867</v>
      </c>
      <c r="SBR349" s="16" t="s">
        <v>4867</v>
      </c>
      <c r="SBS349" s="16" t="s">
        <v>4867</v>
      </c>
      <c r="SBT349" s="16" t="s">
        <v>4867</v>
      </c>
      <c r="SBU349" s="16" t="s">
        <v>4867</v>
      </c>
      <c r="SBV349" s="16" t="s">
        <v>4867</v>
      </c>
      <c r="SBW349" s="16" t="s">
        <v>4867</v>
      </c>
      <c r="SBX349" s="16" t="s">
        <v>4867</v>
      </c>
      <c r="SBY349" s="16" t="s">
        <v>4867</v>
      </c>
      <c r="SBZ349" s="16" t="s">
        <v>4867</v>
      </c>
      <c r="SCA349" s="16" t="s">
        <v>4867</v>
      </c>
      <c r="SCB349" s="16" t="s">
        <v>4867</v>
      </c>
      <c r="SCC349" s="16" t="s">
        <v>4867</v>
      </c>
      <c r="SCD349" s="16" t="s">
        <v>4867</v>
      </c>
      <c r="SCE349" s="16" t="s">
        <v>4867</v>
      </c>
      <c r="SCF349" s="16" t="s">
        <v>4867</v>
      </c>
      <c r="SCG349" s="16" t="s">
        <v>4867</v>
      </c>
      <c r="SCH349" s="16" t="s">
        <v>4867</v>
      </c>
      <c r="SCI349" s="16" t="s">
        <v>4867</v>
      </c>
      <c r="SCJ349" s="16" t="s">
        <v>4867</v>
      </c>
      <c r="SCK349" s="16" t="s">
        <v>4867</v>
      </c>
      <c r="SCL349" s="16" t="s">
        <v>4867</v>
      </c>
      <c r="SCM349" s="16" t="s">
        <v>4867</v>
      </c>
      <c r="SCN349" s="16" t="s">
        <v>4867</v>
      </c>
      <c r="SCO349" s="16" t="s">
        <v>4867</v>
      </c>
      <c r="SCP349" s="16" t="s">
        <v>4867</v>
      </c>
      <c r="SCQ349" s="16" t="s">
        <v>4867</v>
      </c>
      <c r="SCR349" s="16" t="s">
        <v>4867</v>
      </c>
      <c r="SCS349" s="16" t="s">
        <v>4867</v>
      </c>
      <c r="SCT349" s="16" t="s">
        <v>4867</v>
      </c>
      <c r="SCU349" s="16" t="s">
        <v>4867</v>
      </c>
      <c r="SCV349" s="16" t="s">
        <v>4867</v>
      </c>
      <c r="SCW349" s="16" t="s">
        <v>4867</v>
      </c>
      <c r="SCX349" s="16" t="s">
        <v>4867</v>
      </c>
      <c r="SCY349" s="16" t="s">
        <v>4867</v>
      </c>
      <c r="SCZ349" s="16" t="s">
        <v>4867</v>
      </c>
      <c r="SDA349" s="16" t="s">
        <v>4867</v>
      </c>
      <c r="SDB349" s="16" t="s">
        <v>4867</v>
      </c>
      <c r="SDC349" s="16" t="s">
        <v>4867</v>
      </c>
      <c r="SDD349" s="16" t="s">
        <v>4867</v>
      </c>
      <c r="SDE349" s="16" t="s">
        <v>4867</v>
      </c>
      <c r="SDF349" s="16" t="s">
        <v>4867</v>
      </c>
      <c r="SDG349" s="16" t="s">
        <v>4867</v>
      </c>
      <c r="SDH349" s="16" t="s">
        <v>4867</v>
      </c>
      <c r="SDI349" s="16" t="s">
        <v>4867</v>
      </c>
      <c r="SDJ349" s="16" t="s">
        <v>4867</v>
      </c>
      <c r="SDK349" s="16" t="s">
        <v>4867</v>
      </c>
      <c r="SDL349" s="16" t="s">
        <v>4867</v>
      </c>
      <c r="SDM349" s="16" t="s">
        <v>4867</v>
      </c>
      <c r="SDN349" s="16" t="s">
        <v>4867</v>
      </c>
      <c r="SDO349" s="16" t="s">
        <v>4867</v>
      </c>
      <c r="SDP349" s="16" t="s">
        <v>4867</v>
      </c>
      <c r="SDQ349" s="16" t="s">
        <v>4867</v>
      </c>
      <c r="SDR349" s="16" t="s">
        <v>4867</v>
      </c>
      <c r="SDS349" s="16" t="s">
        <v>4867</v>
      </c>
      <c r="SDT349" s="16" t="s">
        <v>4867</v>
      </c>
      <c r="SDU349" s="16" t="s">
        <v>4867</v>
      </c>
      <c r="SDV349" s="16" t="s">
        <v>4867</v>
      </c>
      <c r="SDW349" s="16" t="s">
        <v>4867</v>
      </c>
      <c r="SDX349" s="16" t="s">
        <v>4867</v>
      </c>
      <c r="SDY349" s="16" t="s">
        <v>4867</v>
      </c>
      <c r="SDZ349" s="16" t="s">
        <v>4867</v>
      </c>
      <c r="SEA349" s="16" t="s">
        <v>4867</v>
      </c>
      <c r="SEB349" s="16" t="s">
        <v>4867</v>
      </c>
      <c r="SEC349" s="16" t="s">
        <v>4867</v>
      </c>
      <c r="SED349" s="16" t="s">
        <v>4867</v>
      </c>
      <c r="SEE349" s="16" t="s">
        <v>4867</v>
      </c>
      <c r="SEF349" s="16" t="s">
        <v>4867</v>
      </c>
      <c r="SEG349" s="16" t="s">
        <v>4867</v>
      </c>
      <c r="SEH349" s="16" t="s">
        <v>4867</v>
      </c>
      <c r="SEI349" s="16" t="s">
        <v>4867</v>
      </c>
      <c r="SEJ349" s="16" t="s">
        <v>4867</v>
      </c>
      <c r="SEK349" s="16" t="s">
        <v>4867</v>
      </c>
      <c r="SEL349" s="16" t="s">
        <v>4867</v>
      </c>
      <c r="SEM349" s="16" t="s">
        <v>4867</v>
      </c>
      <c r="SEN349" s="16" t="s">
        <v>4867</v>
      </c>
      <c r="SEO349" s="16" t="s">
        <v>4867</v>
      </c>
      <c r="SEP349" s="16" t="s">
        <v>4867</v>
      </c>
      <c r="SEQ349" s="16" t="s">
        <v>4867</v>
      </c>
      <c r="SER349" s="16" t="s">
        <v>4867</v>
      </c>
      <c r="SES349" s="16" t="s">
        <v>4867</v>
      </c>
      <c r="SET349" s="16" t="s">
        <v>4867</v>
      </c>
      <c r="SEU349" s="16" t="s">
        <v>4867</v>
      </c>
      <c r="SEV349" s="16" t="s">
        <v>4867</v>
      </c>
      <c r="SEW349" s="16" t="s">
        <v>4867</v>
      </c>
      <c r="SEX349" s="16" t="s">
        <v>4867</v>
      </c>
      <c r="SEY349" s="16" t="s">
        <v>4867</v>
      </c>
      <c r="SEZ349" s="16" t="s">
        <v>4867</v>
      </c>
      <c r="SFA349" s="16" t="s">
        <v>4867</v>
      </c>
      <c r="SFB349" s="16" t="s">
        <v>4867</v>
      </c>
      <c r="SFC349" s="16" t="s">
        <v>4867</v>
      </c>
      <c r="SFD349" s="16" t="s">
        <v>4867</v>
      </c>
      <c r="SFE349" s="16" t="s">
        <v>4867</v>
      </c>
      <c r="SFF349" s="16" t="s">
        <v>4867</v>
      </c>
      <c r="SFG349" s="16" t="s">
        <v>4867</v>
      </c>
      <c r="SFH349" s="16" t="s">
        <v>4867</v>
      </c>
      <c r="SFI349" s="16" t="s">
        <v>4867</v>
      </c>
      <c r="SFJ349" s="16" t="s">
        <v>4867</v>
      </c>
      <c r="SFK349" s="16" t="s">
        <v>4867</v>
      </c>
      <c r="SFL349" s="16" t="s">
        <v>4867</v>
      </c>
      <c r="SFM349" s="16" t="s">
        <v>4867</v>
      </c>
      <c r="SFN349" s="16" t="s">
        <v>4867</v>
      </c>
      <c r="SFO349" s="16" t="s">
        <v>4867</v>
      </c>
      <c r="SFP349" s="16" t="s">
        <v>4867</v>
      </c>
      <c r="SFQ349" s="16" t="s">
        <v>4867</v>
      </c>
      <c r="SFR349" s="16" t="s">
        <v>4867</v>
      </c>
      <c r="SFS349" s="16" t="s">
        <v>4867</v>
      </c>
      <c r="SFT349" s="16" t="s">
        <v>4867</v>
      </c>
      <c r="SFU349" s="16" t="s">
        <v>4867</v>
      </c>
      <c r="SFV349" s="16" t="s">
        <v>4867</v>
      </c>
      <c r="SFW349" s="16" t="s">
        <v>4867</v>
      </c>
      <c r="SFX349" s="16" t="s">
        <v>4867</v>
      </c>
      <c r="SFY349" s="16" t="s">
        <v>4867</v>
      </c>
      <c r="SFZ349" s="16" t="s">
        <v>4867</v>
      </c>
      <c r="SGA349" s="16" t="s">
        <v>4867</v>
      </c>
      <c r="SGB349" s="16" t="s">
        <v>4867</v>
      </c>
      <c r="SGC349" s="16" t="s">
        <v>4867</v>
      </c>
      <c r="SGD349" s="16" t="s">
        <v>4867</v>
      </c>
      <c r="SGE349" s="16" t="s">
        <v>4867</v>
      </c>
      <c r="SGF349" s="16" t="s">
        <v>4867</v>
      </c>
      <c r="SGG349" s="16" t="s">
        <v>4867</v>
      </c>
      <c r="SGH349" s="16" t="s">
        <v>4867</v>
      </c>
      <c r="SGI349" s="16" t="s">
        <v>4867</v>
      </c>
      <c r="SGJ349" s="16" t="s">
        <v>4867</v>
      </c>
      <c r="SGK349" s="16" t="s">
        <v>4867</v>
      </c>
      <c r="SGL349" s="16" t="s">
        <v>4867</v>
      </c>
      <c r="SGM349" s="16" t="s">
        <v>4867</v>
      </c>
      <c r="SGN349" s="16" t="s">
        <v>4867</v>
      </c>
      <c r="SGO349" s="16" t="s">
        <v>4867</v>
      </c>
      <c r="SGP349" s="16" t="s">
        <v>4867</v>
      </c>
      <c r="SGQ349" s="16" t="s">
        <v>4867</v>
      </c>
      <c r="SGR349" s="16" t="s">
        <v>4867</v>
      </c>
      <c r="SGS349" s="16" t="s">
        <v>4867</v>
      </c>
      <c r="SGT349" s="16" t="s">
        <v>4867</v>
      </c>
      <c r="SGU349" s="16" t="s">
        <v>4867</v>
      </c>
      <c r="SGV349" s="16" t="s">
        <v>4867</v>
      </c>
      <c r="SGW349" s="16" t="s">
        <v>4867</v>
      </c>
      <c r="SGX349" s="16" t="s">
        <v>4867</v>
      </c>
      <c r="SGY349" s="16" t="s">
        <v>4867</v>
      </c>
      <c r="SGZ349" s="16" t="s">
        <v>4867</v>
      </c>
      <c r="SHA349" s="16" t="s">
        <v>4867</v>
      </c>
      <c r="SHB349" s="16" t="s">
        <v>4867</v>
      </c>
      <c r="SHC349" s="16" t="s">
        <v>4867</v>
      </c>
      <c r="SHD349" s="16" t="s">
        <v>4867</v>
      </c>
      <c r="SHE349" s="16" t="s">
        <v>4867</v>
      </c>
      <c r="SHF349" s="16" t="s">
        <v>4867</v>
      </c>
      <c r="SHG349" s="16" t="s">
        <v>4867</v>
      </c>
      <c r="SHH349" s="16" t="s">
        <v>4867</v>
      </c>
      <c r="SHI349" s="16" t="s">
        <v>4867</v>
      </c>
      <c r="SHJ349" s="16" t="s">
        <v>4867</v>
      </c>
      <c r="SHK349" s="16" t="s">
        <v>4867</v>
      </c>
      <c r="SHL349" s="16" t="s">
        <v>4867</v>
      </c>
      <c r="SHM349" s="16" t="s">
        <v>4867</v>
      </c>
      <c r="SHN349" s="16" t="s">
        <v>4867</v>
      </c>
      <c r="SHO349" s="16" t="s">
        <v>4867</v>
      </c>
      <c r="SHP349" s="16" t="s">
        <v>4867</v>
      </c>
      <c r="SHQ349" s="16" t="s">
        <v>4867</v>
      </c>
      <c r="SHR349" s="16" t="s">
        <v>4867</v>
      </c>
      <c r="SHS349" s="16" t="s">
        <v>4867</v>
      </c>
      <c r="SHT349" s="16" t="s">
        <v>4867</v>
      </c>
      <c r="SHU349" s="16" t="s">
        <v>4867</v>
      </c>
      <c r="SHV349" s="16" t="s">
        <v>4867</v>
      </c>
      <c r="SHW349" s="16" t="s">
        <v>4867</v>
      </c>
      <c r="SHX349" s="16" t="s">
        <v>4867</v>
      </c>
      <c r="SHY349" s="16" t="s">
        <v>4867</v>
      </c>
      <c r="SHZ349" s="16" t="s">
        <v>4867</v>
      </c>
      <c r="SIA349" s="16" t="s">
        <v>4867</v>
      </c>
      <c r="SIB349" s="16" t="s">
        <v>4867</v>
      </c>
      <c r="SIC349" s="16" t="s">
        <v>4867</v>
      </c>
      <c r="SID349" s="16" t="s">
        <v>4867</v>
      </c>
      <c r="SIE349" s="16" t="s">
        <v>4867</v>
      </c>
      <c r="SIF349" s="16" t="s">
        <v>4867</v>
      </c>
      <c r="SIG349" s="16" t="s">
        <v>4867</v>
      </c>
      <c r="SIH349" s="16" t="s">
        <v>4867</v>
      </c>
      <c r="SII349" s="16" t="s">
        <v>4867</v>
      </c>
      <c r="SIJ349" s="16" t="s">
        <v>4867</v>
      </c>
      <c r="SIK349" s="16" t="s">
        <v>4867</v>
      </c>
      <c r="SIL349" s="16" t="s">
        <v>4867</v>
      </c>
      <c r="SIM349" s="16" t="s">
        <v>4867</v>
      </c>
      <c r="SIN349" s="16" t="s">
        <v>4867</v>
      </c>
      <c r="SIO349" s="16" t="s">
        <v>4867</v>
      </c>
      <c r="SIP349" s="16" t="s">
        <v>4867</v>
      </c>
      <c r="SIQ349" s="16" t="s">
        <v>4867</v>
      </c>
      <c r="SIR349" s="16" t="s">
        <v>4867</v>
      </c>
      <c r="SIS349" s="16" t="s">
        <v>4867</v>
      </c>
      <c r="SIT349" s="16" t="s">
        <v>4867</v>
      </c>
      <c r="SIU349" s="16" t="s">
        <v>4867</v>
      </c>
      <c r="SIV349" s="16" t="s">
        <v>4867</v>
      </c>
      <c r="SIW349" s="16" t="s">
        <v>4867</v>
      </c>
      <c r="SIX349" s="16" t="s">
        <v>4867</v>
      </c>
      <c r="SIY349" s="16" t="s">
        <v>4867</v>
      </c>
      <c r="SIZ349" s="16" t="s">
        <v>4867</v>
      </c>
      <c r="SJA349" s="16" t="s">
        <v>4867</v>
      </c>
      <c r="SJB349" s="16" t="s">
        <v>4867</v>
      </c>
      <c r="SJC349" s="16" t="s">
        <v>4867</v>
      </c>
      <c r="SJD349" s="16" t="s">
        <v>4867</v>
      </c>
      <c r="SJE349" s="16" t="s">
        <v>4867</v>
      </c>
      <c r="SJF349" s="16" t="s">
        <v>4867</v>
      </c>
      <c r="SJG349" s="16" t="s">
        <v>4867</v>
      </c>
      <c r="SJH349" s="16" t="s">
        <v>4867</v>
      </c>
      <c r="SJI349" s="16" t="s">
        <v>4867</v>
      </c>
      <c r="SJJ349" s="16" t="s">
        <v>4867</v>
      </c>
      <c r="SJK349" s="16" t="s">
        <v>4867</v>
      </c>
      <c r="SJL349" s="16" t="s">
        <v>4867</v>
      </c>
      <c r="SJM349" s="16" t="s">
        <v>4867</v>
      </c>
      <c r="SJN349" s="16" t="s">
        <v>4867</v>
      </c>
      <c r="SJO349" s="16" t="s">
        <v>4867</v>
      </c>
      <c r="SJP349" s="16" t="s">
        <v>4867</v>
      </c>
      <c r="SJQ349" s="16" t="s">
        <v>4867</v>
      </c>
      <c r="SJR349" s="16" t="s">
        <v>4867</v>
      </c>
      <c r="SJS349" s="16" t="s">
        <v>4867</v>
      </c>
      <c r="SJT349" s="16" t="s">
        <v>4867</v>
      </c>
      <c r="SJU349" s="16" t="s">
        <v>4867</v>
      </c>
      <c r="SJV349" s="16" t="s">
        <v>4867</v>
      </c>
      <c r="SJW349" s="16" t="s">
        <v>4867</v>
      </c>
      <c r="SJX349" s="16" t="s">
        <v>4867</v>
      </c>
      <c r="SJY349" s="16" t="s">
        <v>4867</v>
      </c>
      <c r="SJZ349" s="16" t="s">
        <v>4867</v>
      </c>
      <c r="SKA349" s="16" t="s">
        <v>4867</v>
      </c>
      <c r="SKB349" s="16" t="s">
        <v>4867</v>
      </c>
      <c r="SKC349" s="16" t="s">
        <v>4867</v>
      </c>
      <c r="SKD349" s="16" t="s">
        <v>4867</v>
      </c>
      <c r="SKE349" s="16" t="s">
        <v>4867</v>
      </c>
      <c r="SKF349" s="16" t="s">
        <v>4867</v>
      </c>
      <c r="SKG349" s="16" t="s">
        <v>4867</v>
      </c>
      <c r="SKH349" s="16" t="s">
        <v>4867</v>
      </c>
      <c r="SKI349" s="16" t="s">
        <v>4867</v>
      </c>
      <c r="SKJ349" s="16" t="s">
        <v>4867</v>
      </c>
      <c r="SKK349" s="16" t="s">
        <v>4867</v>
      </c>
      <c r="SKL349" s="16" t="s">
        <v>4867</v>
      </c>
      <c r="SKM349" s="16" t="s">
        <v>4867</v>
      </c>
      <c r="SKN349" s="16" t="s">
        <v>4867</v>
      </c>
      <c r="SKO349" s="16" t="s">
        <v>4867</v>
      </c>
      <c r="SKP349" s="16" t="s">
        <v>4867</v>
      </c>
      <c r="SKQ349" s="16" t="s">
        <v>4867</v>
      </c>
      <c r="SKR349" s="16" t="s">
        <v>4867</v>
      </c>
      <c r="SKS349" s="16" t="s">
        <v>4867</v>
      </c>
      <c r="SKT349" s="16" t="s">
        <v>4867</v>
      </c>
      <c r="SKU349" s="16" t="s">
        <v>4867</v>
      </c>
      <c r="SKV349" s="16" t="s">
        <v>4867</v>
      </c>
      <c r="SKW349" s="16" t="s">
        <v>4867</v>
      </c>
      <c r="SKX349" s="16" t="s">
        <v>4867</v>
      </c>
      <c r="SKY349" s="16" t="s">
        <v>4867</v>
      </c>
      <c r="SKZ349" s="16" t="s">
        <v>4867</v>
      </c>
      <c r="SLA349" s="16" t="s">
        <v>4867</v>
      </c>
      <c r="SLB349" s="16" t="s">
        <v>4867</v>
      </c>
      <c r="SLC349" s="16" t="s">
        <v>4867</v>
      </c>
      <c r="SLD349" s="16" t="s">
        <v>4867</v>
      </c>
      <c r="SLE349" s="16" t="s">
        <v>4867</v>
      </c>
      <c r="SLF349" s="16" t="s">
        <v>4867</v>
      </c>
      <c r="SLG349" s="16" t="s">
        <v>4867</v>
      </c>
      <c r="SLH349" s="16" t="s">
        <v>4867</v>
      </c>
      <c r="SLI349" s="16" t="s">
        <v>4867</v>
      </c>
      <c r="SLJ349" s="16" t="s">
        <v>4867</v>
      </c>
      <c r="SLK349" s="16" t="s">
        <v>4867</v>
      </c>
      <c r="SLL349" s="16" t="s">
        <v>4867</v>
      </c>
      <c r="SLM349" s="16" t="s">
        <v>4867</v>
      </c>
      <c r="SLN349" s="16" t="s">
        <v>4867</v>
      </c>
      <c r="SLO349" s="16" t="s">
        <v>4867</v>
      </c>
      <c r="SLP349" s="16" t="s">
        <v>4867</v>
      </c>
      <c r="SLQ349" s="16" t="s">
        <v>4867</v>
      </c>
      <c r="SLR349" s="16" t="s">
        <v>4867</v>
      </c>
      <c r="SLS349" s="16" t="s">
        <v>4867</v>
      </c>
      <c r="SLT349" s="16" t="s">
        <v>4867</v>
      </c>
      <c r="SLU349" s="16" t="s">
        <v>4867</v>
      </c>
      <c r="SLV349" s="16" t="s">
        <v>4867</v>
      </c>
      <c r="SLW349" s="16" t="s">
        <v>4867</v>
      </c>
      <c r="SLX349" s="16" t="s">
        <v>4867</v>
      </c>
      <c r="SLY349" s="16" t="s">
        <v>4867</v>
      </c>
      <c r="SLZ349" s="16" t="s">
        <v>4867</v>
      </c>
      <c r="SMA349" s="16" t="s">
        <v>4867</v>
      </c>
      <c r="SMB349" s="16" t="s">
        <v>4867</v>
      </c>
      <c r="SMC349" s="16" t="s">
        <v>4867</v>
      </c>
      <c r="SMD349" s="16" t="s">
        <v>4867</v>
      </c>
      <c r="SME349" s="16" t="s">
        <v>4867</v>
      </c>
      <c r="SMF349" s="16" t="s">
        <v>4867</v>
      </c>
      <c r="SMG349" s="16" t="s">
        <v>4867</v>
      </c>
      <c r="SMH349" s="16" t="s">
        <v>4867</v>
      </c>
      <c r="SMI349" s="16" t="s">
        <v>4867</v>
      </c>
      <c r="SMJ349" s="16" t="s">
        <v>4867</v>
      </c>
      <c r="SMK349" s="16" t="s">
        <v>4867</v>
      </c>
      <c r="SML349" s="16" t="s">
        <v>4867</v>
      </c>
      <c r="SMM349" s="16" t="s">
        <v>4867</v>
      </c>
      <c r="SMN349" s="16" t="s">
        <v>4867</v>
      </c>
      <c r="SMO349" s="16" t="s">
        <v>4867</v>
      </c>
      <c r="SMP349" s="16" t="s">
        <v>4867</v>
      </c>
      <c r="SMQ349" s="16" t="s">
        <v>4867</v>
      </c>
      <c r="SMR349" s="16" t="s">
        <v>4867</v>
      </c>
      <c r="SMS349" s="16" t="s">
        <v>4867</v>
      </c>
      <c r="SMT349" s="16" t="s">
        <v>4867</v>
      </c>
      <c r="SMU349" s="16" t="s">
        <v>4867</v>
      </c>
      <c r="SMV349" s="16" t="s">
        <v>4867</v>
      </c>
      <c r="SMW349" s="16" t="s">
        <v>4867</v>
      </c>
      <c r="SMX349" s="16" t="s">
        <v>4867</v>
      </c>
      <c r="SMY349" s="16" t="s">
        <v>4867</v>
      </c>
      <c r="SMZ349" s="16" t="s">
        <v>4867</v>
      </c>
      <c r="SNA349" s="16" t="s">
        <v>4867</v>
      </c>
      <c r="SNB349" s="16" t="s">
        <v>4867</v>
      </c>
      <c r="SNC349" s="16" t="s">
        <v>4867</v>
      </c>
      <c r="SND349" s="16" t="s">
        <v>4867</v>
      </c>
      <c r="SNE349" s="16" t="s">
        <v>4867</v>
      </c>
      <c r="SNF349" s="16" t="s">
        <v>4867</v>
      </c>
      <c r="SNG349" s="16" t="s">
        <v>4867</v>
      </c>
      <c r="SNH349" s="16" t="s">
        <v>4867</v>
      </c>
      <c r="SNI349" s="16" t="s">
        <v>4867</v>
      </c>
      <c r="SNJ349" s="16" t="s">
        <v>4867</v>
      </c>
      <c r="SNK349" s="16" t="s">
        <v>4867</v>
      </c>
      <c r="SNL349" s="16" t="s">
        <v>4867</v>
      </c>
      <c r="SNM349" s="16" t="s">
        <v>4867</v>
      </c>
      <c r="SNN349" s="16" t="s">
        <v>4867</v>
      </c>
      <c r="SNO349" s="16" t="s">
        <v>4867</v>
      </c>
      <c r="SNP349" s="16" t="s">
        <v>4867</v>
      </c>
      <c r="SNQ349" s="16" t="s">
        <v>4867</v>
      </c>
      <c r="SNR349" s="16" t="s">
        <v>4867</v>
      </c>
      <c r="SNS349" s="16" t="s">
        <v>4867</v>
      </c>
      <c r="SNT349" s="16" t="s">
        <v>4867</v>
      </c>
      <c r="SNU349" s="16" t="s">
        <v>4867</v>
      </c>
      <c r="SNV349" s="16" t="s">
        <v>4867</v>
      </c>
      <c r="SNW349" s="16" t="s">
        <v>4867</v>
      </c>
      <c r="SNX349" s="16" t="s">
        <v>4867</v>
      </c>
      <c r="SNY349" s="16" t="s">
        <v>4867</v>
      </c>
      <c r="SNZ349" s="16" t="s">
        <v>4867</v>
      </c>
      <c r="SOA349" s="16" t="s">
        <v>4867</v>
      </c>
      <c r="SOB349" s="16" t="s">
        <v>4867</v>
      </c>
      <c r="SOC349" s="16" t="s">
        <v>4867</v>
      </c>
      <c r="SOD349" s="16" t="s">
        <v>4867</v>
      </c>
      <c r="SOE349" s="16" t="s">
        <v>4867</v>
      </c>
      <c r="SOF349" s="16" t="s">
        <v>4867</v>
      </c>
      <c r="SOG349" s="16" t="s">
        <v>4867</v>
      </c>
      <c r="SOH349" s="16" t="s">
        <v>4867</v>
      </c>
      <c r="SOI349" s="16" t="s">
        <v>4867</v>
      </c>
      <c r="SOJ349" s="16" t="s">
        <v>4867</v>
      </c>
      <c r="SOK349" s="16" t="s">
        <v>4867</v>
      </c>
      <c r="SOL349" s="16" t="s">
        <v>4867</v>
      </c>
      <c r="SOM349" s="16" t="s">
        <v>4867</v>
      </c>
      <c r="SON349" s="16" t="s">
        <v>4867</v>
      </c>
      <c r="SOO349" s="16" t="s">
        <v>4867</v>
      </c>
      <c r="SOP349" s="16" t="s">
        <v>4867</v>
      </c>
      <c r="SOQ349" s="16" t="s">
        <v>4867</v>
      </c>
      <c r="SOR349" s="16" t="s">
        <v>4867</v>
      </c>
      <c r="SOS349" s="16" t="s">
        <v>4867</v>
      </c>
      <c r="SOT349" s="16" t="s">
        <v>4867</v>
      </c>
      <c r="SOU349" s="16" t="s">
        <v>4867</v>
      </c>
      <c r="SOV349" s="16" t="s">
        <v>4867</v>
      </c>
      <c r="SOW349" s="16" t="s">
        <v>4867</v>
      </c>
      <c r="SOX349" s="16" t="s">
        <v>4867</v>
      </c>
      <c r="SOY349" s="16" t="s">
        <v>4867</v>
      </c>
      <c r="SOZ349" s="16" t="s">
        <v>4867</v>
      </c>
      <c r="SPA349" s="16" t="s">
        <v>4867</v>
      </c>
      <c r="SPB349" s="16" t="s">
        <v>4867</v>
      </c>
      <c r="SPC349" s="16" t="s">
        <v>4867</v>
      </c>
      <c r="SPD349" s="16" t="s">
        <v>4867</v>
      </c>
      <c r="SPE349" s="16" t="s">
        <v>4867</v>
      </c>
      <c r="SPF349" s="16" t="s">
        <v>4867</v>
      </c>
      <c r="SPG349" s="16" t="s">
        <v>4867</v>
      </c>
      <c r="SPH349" s="16" t="s">
        <v>4867</v>
      </c>
      <c r="SPI349" s="16" t="s">
        <v>4867</v>
      </c>
      <c r="SPJ349" s="16" t="s">
        <v>4867</v>
      </c>
      <c r="SPK349" s="16" t="s">
        <v>4867</v>
      </c>
      <c r="SPL349" s="16" t="s">
        <v>4867</v>
      </c>
      <c r="SPM349" s="16" t="s">
        <v>4867</v>
      </c>
      <c r="SPN349" s="16" t="s">
        <v>4867</v>
      </c>
      <c r="SPO349" s="16" t="s">
        <v>4867</v>
      </c>
      <c r="SPP349" s="16" t="s">
        <v>4867</v>
      </c>
      <c r="SPQ349" s="16" t="s">
        <v>4867</v>
      </c>
      <c r="SPR349" s="16" t="s">
        <v>4867</v>
      </c>
      <c r="SPS349" s="16" t="s">
        <v>4867</v>
      </c>
      <c r="SPT349" s="16" t="s">
        <v>4867</v>
      </c>
      <c r="SPU349" s="16" t="s">
        <v>4867</v>
      </c>
      <c r="SPV349" s="16" t="s">
        <v>4867</v>
      </c>
      <c r="SPW349" s="16" t="s">
        <v>4867</v>
      </c>
      <c r="SPX349" s="16" t="s">
        <v>4867</v>
      </c>
      <c r="SPY349" s="16" t="s">
        <v>4867</v>
      </c>
      <c r="SPZ349" s="16" t="s">
        <v>4867</v>
      </c>
      <c r="SQA349" s="16" t="s">
        <v>4867</v>
      </c>
      <c r="SQB349" s="16" t="s">
        <v>4867</v>
      </c>
      <c r="SQC349" s="16" t="s">
        <v>4867</v>
      </c>
      <c r="SQD349" s="16" t="s">
        <v>4867</v>
      </c>
      <c r="SQE349" s="16" t="s">
        <v>4867</v>
      </c>
      <c r="SQF349" s="16" t="s">
        <v>4867</v>
      </c>
      <c r="SQG349" s="16" t="s">
        <v>4867</v>
      </c>
      <c r="SQH349" s="16" t="s">
        <v>4867</v>
      </c>
      <c r="SQI349" s="16" t="s">
        <v>4867</v>
      </c>
      <c r="SQJ349" s="16" t="s">
        <v>4867</v>
      </c>
      <c r="SQK349" s="16" t="s">
        <v>4867</v>
      </c>
      <c r="SQL349" s="16" t="s">
        <v>4867</v>
      </c>
      <c r="SQM349" s="16" t="s">
        <v>4867</v>
      </c>
      <c r="SQN349" s="16" t="s">
        <v>4867</v>
      </c>
      <c r="SQO349" s="16" t="s">
        <v>4867</v>
      </c>
      <c r="SQP349" s="16" t="s">
        <v>4867</v>
      </c>
      <c r="SQQ349" s="16" t="s">
        <v>4867</v>
      </c>
      <c r="SQR349" s="16" t="s">
        <v>4867</v>
      </c>
      <c r="SQS349" s="16" t="s">
        <v>4867</v>
      </c>
      <c r="SQT349" s="16" t="s">
        <v>4867</v>
      </c>
      <c r="SQU349" s="16" t="s">
        <v>4867</v>
      </c>
      <c r="SQV349" s="16" t="s">
        <v>4867</v>
      </c>
      <c r="SQW349" s="16" t="s">
        <v>4867</v>
      </c>
      <c r="SQX349" s="16" t="s">
        <v>4867</v>
      </c>
      <c r="SQY349" s="16" t="s">
        <v>4867</v>
      </c>
      <c r="SQZ349" s="16" t="s">
        <v>4867</v>
      </c>
      <c r="SRA349" s="16" t="s">
        <v>4867</v>
      </c>
      <c r="SRB349" s="16" t="s">
        <v>4867</v>
      </c>
      <c r="SRC349" s="16" t="s">
        <v>4867</v>
      </c>
      <c r="SRD349" s="16" t="s">
        <v>4867</v>
      </c>
      <c r="SRE349" s="16" t="s">
        <v>4867</v>
      </c>
      <c r="SRF349" s="16" t="s">
        <v>4867</v>
      </c>
      <c r="SRG349" s="16" t="s">
        <v>4867</v>
      </c>
      <c r="SRH349" s="16" t="s">
        <v>4867</v>
      </c>
      <c r="SRI349" s="16" t="s">
        <v>4867</v>
      </c>
      <c r="SRJ349" s="16" t="s">
        <v>4867</v>
      </c>
      <c r="SRK349" s="16" t="s">
        <v>4867</v>
      </c>
      <c r="SRL349" s="16" t="s">
        <v>4867</v>
      </c>
      <c r="SRM349" s="16" t="s">
        <v>4867</v>
      </c>
      <c r="SRN349" s="16" t="s">
        <v>4867</v>
      </c>
      <c r="SRO349" s="16" t="s">
        <v>4867</v>
      </c>
      <c r="SRP349" s="16" t="s">
        <v>4867</v>
      </c>
      <c r="SRQ349" s="16" t="s">
        <v>4867</v>
      </c>
      <c r="SRR349" s="16" t="s">
        <v>4867</v>
      </c>
      <c r="SRS349" s="16" t="s">
        <v>4867</v>
      </c>
      <c r="SRT349" s="16" t="s">
        <v>4867</v>
      </c>
      <c r="SRU349" s="16" t="s">
        <v>4867</v>
      </c>
      <c r="SRV349" s="16" t="s">
        <v>4867</v>
      </c>
      <c r="SRW349" s="16" t="s">
        <v>4867</v>
      </c>
      <c r="SRX349" s="16" t="s">
        <v>4867</v>
      </c>
      <c r="SRY349" s="16" t="s">
        <v>4867</v>
      </c>
      <c r="SRZ349" s="16" t="s">
        <v>4867</v>
      </c>
      <c r="SSA349" s="16" t="s">
        <v>4867</v>
      </c>
      <c r="SSB349" s="16" t="s">
        <v>4867</v>
      </c>
      <c r="SSC349" s="16" t="s">
        <v>4867</v>
      </c>
      <c r="SSD349" s="16" t="s">
        <v>4867</v>
      </c>
      <c r="SSE349" s="16" t="s">
        <v>4867</v>
      </c>
      <c r="SSF349" s="16" t="s">
        <v>4867</v>
      </c>
      <c r="SSG349" s="16" t="s">
        <v>4867</v>
      </c>
      <c r="SSH349" s="16" t="s">
        <v>4867</v>
      </c>
      <c r="SSI349" s="16" t="s">
        <v>4867</v>
      </c>
      <c r="SSJ349" s="16" t="s">
        <v>4867</v>
      </c>
      <c r="SSK349" s="16" t="s">
        <v>4867</v>
      </c>
      <c r="SSL349" s="16" t="s">
        <v>4867</v>
      </c>
      <c r="SSM349" s="16" t="s">
        <v>4867</v>
      </c>
      <c r="SSN349" s="16" t="s">
        <v>4867</v>
      </c>
      <c r="SSO349" s="16" t="s">
        <v>4867</v>
      </c>
      <c r="SSP349" s="16" t="s">
        <v>4867</v>
      </c>
      <c r="SSQ349" s="16" t="s">
        <v>4867</v>
      </c>
      <c r="SSR349" s="16" t="s">
        <v>4867</v>
      </c>
      <c r="SSS349" s="16" t="s">
        <v>4867</v>
      </c>
      <c r="SST349" s="16" t="s">
        <v>4867</v>
      </c>
      <c r="SSU349" s="16" t="s">
        <v>4867</v>
      </c>
      <c r="SSV349" s="16" t="s">
        <v>4867</v>
      </c>
      <c r="SSW349" s="16" t="s">
        <v>4867</v>
      </c>
      <c r="SSX349" s="16" t="s">
        <v>4867</v>
      </c>
      <c r="SSY349" s="16" t="s">
        <v>4867</v>
      </c>
      <c r="SSZ349" s="16" t="s">
        <v>4867</v>
      </c>
      <c r="STA349" s="16" t="s">
        <v>4867</v>
      </c>
      <c r="STB349" s="16" t="s">
        <v>4867</v>
      </c>
      <c r="STC349" s="16" t="s">
        <v>4867</v>
      </c>
      <c r="STD349" s="16" t="s">
        <v>4867</v>
      </c>
      <c r="STE349" s="16" t="s">
        <v>4867</v>
      </c>
      <c r="STF349" s="16" t="s">
        <v>4867</v>
      </c>
      <c r="STG349" s="16" t="s">
        <v>4867</v>
      </c>
      <c r="STH349" s="16" t="s">
        <v>4867</v>
      </c>
      <c r="STI349" s="16" t="s">
        <v>4867</v>
      </c>
      <c r="STJ349" s="16" t="s">
        <v>4867</v>
      </c>
      <c r="STK349" s="16" t="s">
        <v>4867</v>
      </c>
      <c r="STL349" s="16" t="s">
        <v>4867</v>
      </c>
      <c r="STM349" s="16" t="s">
        <v>4867</v>
      </c>
      <c r="STN349" s="16" t="s">
        <v>4867</v>
      </c>
      <c r="STO349" s="16" t="s">
        <v>4867</v>
      </c>
      <c r="STP349" s="16" t="s">
        <v>4867</v>
      </c>
      <c r="STQ349" s="16" t="s">
        <v>4867</v>
      </c>
      <c r="STR349" s="16" t="s">
        <v>4867</v>
      </c>
      <c r="STS349" s="16" t="s">
        <v>4867</v>
      </c>
      <c r="STT349" s="16" t="s">
        <v>4867</v>
      </c>
      <c r="STU349" s="16" t="s">
        <v>4867</v>
      </c>
      <c r="STV349" s="16" t="s">
        <v>4867</v>
      </c>
      <c r="STW349" s="16" t="s">
        <v>4867</v>
      </c>
      <c r="STX349" s="16" t="s">
        <v>4867</v>
      </c>
      <c r="STY349" s="16" t="s">
        <v>4867</v>
      </c>
      <c r="STZ349" s="16" t="s">
        <v>4867</v>
      </c>
      <c r="SUA349" s="16" t="s">
        <v>4867</v>
      </c>
      <c r="SUB349" s="16" t="s">
        <v>4867</v>
      </c>
      <c r="SUC349" s="16" t="s">
        <v>4867</v>
      </c>
      <c r="SUD349" s="16" t="s">
        <v>4867</v>
      </c>
      <c r="SUE349" s="16" t="s">
        <v>4867</v>
      </c>
      <c r="SUF349" s="16" t="s">
        <v>4867</v>
      </c>
      <c r="SUG349" s="16" t="s">
        <v>4867</v>
      </c>
      <c r="SUH349" s="16" t="s">
        <v>4867</v>
      </c>
      <c r="SUI349" s="16" t="s">
        <v>4867</v>
      </c>
      <c r="SUJ349" s="16" t="s">
        <v>4867</v>
      </c>
      <c r="SUK349" s="16" t="s">
        <v>4867</v>
      </c>
      <c r="SUL349" s="16" t="s">
        <v>4867</v>
      </c>
      <c r="SUM349" s="16" t="s">
        <v>4867</v>
      </c>
      <c r="SUN349" s="16" t="s">
        <v>4867</v>
      </c>
      <c r="SUO349" s="16" t="s">
        <v>4867</v>
      </c>
      <c r="SUP349" s="16" t="s">
        <v>4867</v>
      </c>
      <c r="SUQ349" s="16" t="s">
        <v>4867</v>
      </c>
      <c r="SUR349" s="16" t="s">
        <v>4867</v>
      </c>
      <c r="SUS349" s="16" t="s">
        <v>4867</v>
      </c>
      <c r="SUT349" s="16" t="s">
        <v>4867</v>
      </c>
      <c r="SUU349" s="16" t="s">
        <v>4867</v>
      </c>
      <c r="SUV349" s="16" t="s">
        <v>4867</v>
      </c>
      <c r="SUW349" s="16" t="s">
        <v>4867</v>
      </c>
      <c r="SUX349" s="16" t="s">
        <v>4867</v>
      </c>
      <c r="SUY349" s="16" t="s">
        <v>4867</v>
      </c>
      <c r="SUZ349" s="16" t="s">
        <v>4867</v>
      </c>
      <c r="SVA349" s="16" t="s">
        <v>4867</v>
      </c>
      <c r="SVB349" s="16" t="s">
        <v>4867</v>
      </c>
      <c r="SVC349" s="16" t="s">
        <v>4867</v>
      </c>
      <c r="SVD349" s="16" t="s">
        <v>4867</v>
      </c>
      <c r="SVE349" s="16" t="s">
        <v>4867</v>
      </c>
      <c r="SVF349" s="16" t="s">
        <v>4867</v>
      </c>
      <c r="SVG349" s="16" t="s">
        <v>4867</v>
      </c>
      <c r="SVH349" s="16" t="s">
        <v>4867</v>
      </c>
      <c r="SVI349" s="16" t="s">
        <v>4867</v>
      </c>
      <c r="SVJ349" s="16" t="s">
        <v>4867</v>
      </c>
      <c r="SVK349" s="16" t="s">
        <v>4867</v>
      </c>
      <c r="SVL349" s="16" t="s">
        <v>4867</v>
      </c>
      <c r="SVM349" s="16" t="s">
        <v>4867</v>
      </c>
      <c r="SVN349" s="16" t="s">
        <v>4867</v>
      </c>
      <c r="SVO349" s="16" t="s">
        <v>4867</v>
      </c>
      <c r="SVP349" s="16" t="s">
        <v>4867</v>
      </c>
      <c r="SVQ349" s="16" t="s">
        <v>4867</v>
      </c>
      <c r="SVR349" s="16" t="s">
        <v>4867</v>
      </c>
      <c r="SVS349" s="16" t="s">
        <v>4867</v>
      </c>
      <c r="SVT349" s="16" t="s">
        <v>4867</v>
      </c>
      <c r="SVU349" s="16" t="s">
        <v>4867</v>
      </c>
      <c r="SVV349" s="16" t="s">
        <v>4867</v>
      </c>
      <c r="SVW349" s="16" t="s">
        <v>4867</v>
      </c>
      <c r="SVX349" s="16" t="s">
        <v>4867</v>
      </c>
      <c r="SVY349" s="16" t="s">
        <v>4867</v>
      </c>
      <c r="SVZ349" s="16" t="s">
        <v>4867</v>
      </c>
      <c r="SWA349" s="16" t="s">
        <v>4867</v>
      </c>
      <c r="SWB349" s="16" t="s">
        <v>4867</v>
      </c>
      <c r="SWC349" s="16" t="s">
        <v>4867</v>
      </c>
      <c r="SWD349" s="16" t="s">
        <v>4867</v>
      </c>
      <c r="SWE349" s="16" t="s">
        <v>4867</v>
      </c>
      <c r="SWF349" s="16" t="s">
        <v>4867</v>
      </c>
      <c r="SWG349" s="16" t="s">
        <v>4867</v>
      </c>
      <c r="SWH349" s="16" t="s">
        <v>4867</v>
      </c>
      <c r="SWI349" s="16" t="s">
        <v>4867</v>
      </c>
      <c r="SWJ349" s="16" t="s">
        <v>4867</v>
      </c>
      <c r="SWK349" s="16" t="s">
        <v>4867</v>
      </c>
      <c r="SWL349" s="16" t="s">
        <v>4867</v>
      </c>
      <c r="SWM349" s="16" t="s">
        <v>4867</v>
      </c>
      <c r="SWN349" s="16" t="s">
        <v>4867</v>
      </c>
      <c r="SWO349" s="16" t="s">
        <v>4867</v>
      </c>
      <c r="SWP349" s="16" t="s">
        <v>4867</v>
      </c>
      <c r="SWQ349" s="16" t="s">
        <v>4867</v>
      </c>
      <c r="SWR349" s="16" t="s">
        <v>4867</v>
      </c>
      <c r="SWS349" s="16" t="s">
        <v>4867</v>
      </c>
      <c r="SWT349" s="16" t="s">
        <v>4867</v>
      </c>
      <c r="SWU349" s="16" t="s">
        <v>4867</v>
      </c>
      <c r="SWV349" s="16" t="s">
        <v>4867</v>
      </c>
      <c r="SWW349" s="16" t="s">
        <v>4867</v>
      </c>
      <c r="SWX349" s="16" t="s">
        <v>4867</v>
      </c>
      <c r="SWY349" s="16" t="s">
        <v>4867</v>
      </c>
      <c r="SWZ349" s="16" t="s">
        <v>4867</v>
      </c>
      <c r="SXA349" s="16" t="s">
        <v>4867</v>
      </c>
      <c r="SXB349" s="16" t="s">
        <v>4867</v>
      </c>
      <c r="SXC349" s="16" t="s">
        <v>4867</v>
      </c>
      <c r="SXD349" s="16" t="s">
        <v>4867</v>
      </c>
      <c r="SXE349" s="16" t="s">
        <v>4867</v>
      </c>
      <c r="SXF349" s="16" t="s">
        <v>4867</v>
      </c>
      <c r="SXG349" s="16" t="s">
        <v>4867</v>
      </c>
      <c r="SXH349" s="16" t="s">
        <v>4867</v>
      </c>
      <c r="SXI349" s="16" t="s">
        <v>4867</v>
      </c>
      <c r="SXJ349" s="16" t="s">
        <v>4867</v>
      </c>
      <c r="SXK349" s="16" t="s">
        <v>4867</v>
      </c>
      <c r="SXL349" s="16" t="s">
        <v>4867</v>
      </c>
      <c r="SXM349" s="16" t="s">
        <v>4867</v>
      </c>
      <c r="SXN349" s="16" t="s">
        <v>4867</v>
      </c>
      <c r="SXO349" s="16" t="s">
        <v>4867</v>
      </c>
      <c r="SXP349" s="16" t="s">
        <v>4867</v>
      </c>
      <c r="SXQ349" s="16" t="s">
        <v>4867</v>
      </c>
      <c r="SXR349" s="16" t="s">
        <v>4867</v>
      </c>
      <c r="SXS349" s="16" t="s">
        <v>4867</v>
      </c>
      <c r="SXT349" s="16" t="s">
        <v>4867</v>
      </c>
      <c r="SXU349" s="16" t="s">
        <v>4867</v>
      </c>
      <c r="SXV349" s="16" t="s">
        <v>4867</v>
      </c>
      <c r="SXW349" s="16" t="s">
        <v>4867</v>
      </c>
      <c r="SXX349" s="16" t="s">
        <v>4867</v>
      </c>
      <c r="SXY349" s="16" t="s">
        <v>4867</v>
      </c>
      <c r="SXZ349" s="16" t="s">
        <v>4867</v>
      </c>
      <c r="SYA349" s="16" t="s">
        <v>4867</v>
      </c>
      <c r="SYB349" s="16" t="s">
        <v>4867</v>
      </c>
      <c r="SYC349" s="16" t="s">
        <v>4867</v>
      </c>
      <c r="SYD349" s="16" t="s">
        <v>4867</v>
      </c>
      <c r="SYE349" s="16" t="s">
        <v>4867</v>
      </c>
      <c r="SYF349" s="16" t="s">
        <v>4867</v>
      </c>
      <c r="SYG349" s="16" t="s">
        <v>4867</v>
      </c>
      <c r="SYH349" s="16" t="s">
        <v>4867</v>
      </c>
      <c r="SYI349" s="16" t="s">
        <v>4867</v>
      </c>
      <c r="SYJ349" s="16" t="s">
        <v>4867</v>
      </c>
      <c r="SYK349" s="16" t="s">
        <v>4867</v>
      </c>
      <c r="SYL349" s="16" t="s">
        <v>4867</v>
      </c>
      <c r="SYM349" s="16" t="s">
        <v>4867</v>
      </c>
      <c r="SYN349" s="16" t="s">
        <v>4867</v>
      </c>
      <c r="SYO349" s="16" t="s">
        <v>4867</v>
      </c>
      <c r="SYP349" s="16" t="s">
        <v>4867</v>
      </c>
      <c r="SYQ349" s="16" t="s">
        <v>4867</v>
      </c>
      <c r="SYR349" s="16" t="s">
        <v>4867</v>
      </c>
      <c r="SYS349" s="16" t="s">
        <v>4867</v>
      </c>
      <c r="SYT349" s="16" t="s">
        <v>4867</v>
      </c>
      <c r="SYU349" s="16" t="s">
        <v>4867</v>
      </c>
      <c r="SYV349" s="16" t="s">
        <v>4867</v>
      </c>
      <c r="SYW349" s="16" t="s">
        <v>4867</v>
      </c>
      <c r="SYX349" s="16" t="s">
        <v>4867</v>
      </c>
      <c r="SYY349" s="16" t="s">
        <v>4867</v>
      </c>
      <c r="SYZ349" s="16" t="s">
        <v>4867</v>
      </c>
      <c r="SZA349" s="16" t="s">
        <v>4867</v>
      </c>
      <c r="SZB349" s="16" t="s">
        <v>4867</v>
      </c>
      <c r="SZC349" s="16" t="s">
        <v>4867</v>
      </c>
      <c r="SZD349" s="16" t="s">
        <v>4867</v>
      </c>
      <c r="SZE349" s="16" t="s">
        <v>4867</v>
      </c>
      <c r="SZF349" s="16" t="s">
        <v>4867</v>
      </c>
      <c r="SZG349" s="16" t="s">
        <v>4867</v>
      </c>
      <c r="SZH349" s="16" t="s">
        <v>4867</v>
      </c>
      <c r="SZI349" s="16" t="s">
        <v>4867</v>
      </c>
      <c r="SZJ349" s="16" t="s">
        <v>4867</v>
      </c>
      <c r="SZK349" s="16" t="s">
        <v>4867</v>
      </c>
      <c r="SZL349" s="16" t="s">
        <v>4867</v>
      </c>
      <c r="SZM349" s="16" t="s">
        <v>4867</v>
      </c>
      <c r="SZN349" s="16" t="s">
        <v>4867</v>
      </c>
      <c r="SZO349" s="16" t="s">
        <v>4867</v>
      </c>
      <c r="SZP349" s="16" t="s">
        <v>4867</v>
      </c>
      <c r="SZQ349" s="16" t="s">
        <v>4867</v>
      </c>
      <c r="SZR349" s="16" t="s">
        <v>4867</v>
      </c>
      <c r="SZS349" s="16" t="s">
        <v>4867</v>
      </c>
      <c r="SZT349" s="16" t="s">
        <v>4867</v>
      </c>
      <c r="SZU349" s="16" t="s">
        <v>4867</v>
      </c>
      <c r="SZV349" s="16" t="s">
        <v>4867</v>
      </c>
      <c r="SZW349" s="16" t="s">
        <v>4867</v>
      </c>
      <c r="SZX349" s="16" t="s">
        <v>4867</v>
      </c>
      <c r="SZY349" s="16" t="s">
        <v>4867</v>
      </c>
      <c r="SZZ349" s="16" t="s">
        <v>4867</v>
      </c>
      <c r="TAA349" s="16" t="s">
        <v>4867</v>
      </c>
      <c r="TAB349" s="16" t="s">
        <v>4867</v>
      </c>
      <c r="TAC349" s="16" t="s">
        <v>4867</v>
      </c>
      <c r="TAD349" s="16" t="s">
        <v>4867</v>
      </c>
      <c r="TAE349" s="16" t="s">
        <v>4867</v>
      </c>
      <c r="TAF349" s="16" t="s">
        <v>4867</v>
      </c>
      <c r="TAG349" s="16" t="s">
        <v>4867</v>
      </c>
      <c r="TAH349" s="16" t="s">
        <v>4867</v>
      </c>
      <c r="TAI349" s="16" t="s">
        <v>4867</v>
      </c>
      <c r="TAJ349" s="16" t="s">
        <v>4867</v>
      </c>
      <c r="TAK349" s="16" t="s">
        <v>4867</v>
      </c>
      <c r="TAL349" s="16" t="s">
        <v>4867</v>
      </c>
      <c r="TAM349" s="16" t="s">
        <v>4867</v>
      </c>
      <c r="TAN349" s="16" t="s">
        <v>4867</v>
      </c>
      <c r="TAO349" s="16" t="s">
        <v>4867</v>
      </c>
      <c r="TAP349" s="16" t="s">
        <v>4867</v>
      </c>
      <c r="TAQ349" s="16" t="s">
        <v>4867</v>
      </c>
      <c r="TAR349" s="16" t="s">
        <v>4867</v>
      </c>
      <c r="TAS349" s="16" t="s">
        <v>4867</v>
      </c>
      <c r="TAT349" s="16" t="s">
        <v>4867</v>
      </c>
      <c r="TAU349" s="16" t="s">
        <v>4867</v>
      </c>
      <c r="TAV349" s="16" t="s">
        <v>4867</v>
      </c>
      <c r="TAW349" s="16" t="s">
        <v>4867</v>
      </c>
      <c r="TAX349" s="16" t="s">
        <v>4867</v>
      </c>
      <c r="TAY349" s="16" t="s">
        <v>4867</v>
      </c>
      <c r="TAZ349" s="16" t="s">
        <v>4867</v>
      </c>
      <c r="TBA349" s="16" t="s">
        <v>4867</v>
      </c>
      <c r="TBB349" s="16" t="s">
        <v>4867</v>
      </c>
      <c r="TBC349" s="16" t="s">
        <v>4867</v>
      </c>
      <c r="TBD349" s="16" t="s">
        <v>4867</v>
      </c>
      <c r="TBE349" s="16" t="s">
        <v>4867</v>
      </c>
      <c r="TBF349" s="16" t="s">
        <v>4867</v>
      </c>
      <c r="TBG349" s="16" t="s">
        <v>4867</v>
      </c>
      <c r="TBH349" s="16" t="s">
        <v>4867</v>
      </c>
      <c r="TBI349" s="16" t="s">
        <v>4867</v>
      </c>
      <c r="TBJ349" s="16" t="s">
        <v>4867</v>
      </c>
      <c r="TBK349" s="16" t="s">
        <v>4867</v>
      </c>
      <c r="TBL349" s="16" t="s">
        <v>4867</v>
      </c>
      <c r="TBM349" s="16" t="s">
        <v>4867</v>
      </c>
      <c r="TBN349" s="16" t="s">
        <v>4867</v>
      </c>
      <c r="TBO349" s="16" t="s">
        <v>4867</v>
      </c>
      <c r="TBP349" s="16" t="s">
        <v>4867</v>
      </c>
      <c r="TBQ349" s="16" t="s">
        <v>4867</v>
      </c>
      <c r="TBR349" s="16" t="s">
        <v>4867</v>
      </c>
      <c r="TBS349" s="16" t="s">
        <v>4867</v>
      </c>
      <c r="TBT349" s="16" t="s">
        <v>4867</v>
      </c>
      <c r="TBU349" s="16" t="s">
        <v>4867</v>
      </c>
      <c r="TBV349" s="16" t="s">
        <v>4867</v>
      </c>
      <c r="TBW349" s="16" t="s">
        <v>4867</v>
      </c>
      <c r="TBX349" s="16" t="s">
        <v>4867</v>
      </c>
      <c r="TBY349" s="16" t="s">
        <v>4867</v>
      </c>
      <c r="TBZ349" s="16" t="s">
        <v>4867</v>
      </c>
      <c r="TCA349" s="16" t="s">
        <v>4867</v>
      </c>
      <c r="TCB349" s="16" t="s">
        <v>4867</v>
      </c>
      <c r="TCC349" s="16" t="s">
        <v>4867</v>
      </c>
      <c r="TCD349" s="16" t="s">
        <v>4867</v>
      </c>
      <c r="TCE349" s="16" t="s">
        <v>4867</v>
      </c>
      <c r="TCF349" s="16" t="s">
        <v>4867</v>
      </c>
      <c r="TCG349" s="16" t="s">
        <v>4867</v>
      </c>
      <c r="TCH349" s="16" t="s">
        <v>4867</v>
      </c>
      <c r="TCI349" s="16" t="s">
        <v>4867</v>
      </c>
      <c r="TCJ349" s="16" t="s">
        <v>4867</v>
      </c>
      <c r="TCK349" s="16" t="s">
        <v>4867</v>
      </c>
      <c r="TCL349" s="16" t="s">
        <v>4867</v>
      </c>
      <c r="TCM349" s="16" t="s">
        <v>4867</v>
      </c>
      <c r="TCN349" s="16" t="s">
        <v>4867</v>
      </c>
      <c r="TCO349" s="16" t="s">
        <v>4867</v>
      </c>
      <c r="TCP349" s="16" t="s">
        <v>4867</v>
      </c>
      <c r="TCQ349" s="16" t="s">
        <v>4867</v>
      </c>
      <c r="TCR349" s="16" t="s">
        <v>4867</v>
      </c>
      <c r="TCS349" s="16" t="s">
        <v>4867</v>
      </c>
      <c r="TCT349" s="16" t="s">
        <v>4867</v>
      </c>
      <c r="TCU349" s="16" t="s">
        <v>4867</v>
      </c>
      <c r="TCV349" s="16" t="s">
        <v>4867</v>
      </c>
      <c r="TCW349" s="16" t="s">
        <v>4867</v>
      </c>
      <c r="TCX349" s="16" t="s">
        <v>4867</v>
      </c>
      <c r="TCY349" s="16" t="s">
        <v>4867</v>
      </c>
      <c r="TCZ349" s="16" t="s">
        <v>4867</v>
      </c>
      <c r="TDA349" s="16" t="s">
        <v>4867</v>
      </c>
      <c r="TDB349" s="16" t="s">
        <v>4867</v>
      </c>
      <c r="TDC349" s="16" t="s">
        <v>4867</v>
      </c>
      <c r="TDD349" s="16" t="s">
        <v>4867</v>
      </c>
      <c r="TDE349" s="16" t="s">
        <v>4867</v>
      </c>
      <c r="TDF349" s="16" t="s">
        <v>4867</v>
      </c>
      <c r="TDG349" s="16" t="s">
        <v>4867</v>
      </c>
      <c r="TDH349" s="16" t="s">
        <v>4867</v>
      </c>
      <c r="TDI349" s="16" t="s">
        <v>4867</v>
      </c>
      <c r="TDJ349" s="16" t="s">
        <v>4867</v>
      </c>
      <c r="TDK349" s="16" t="s">
        <v>4867</v>
      </c>
      <c r="TDL349" s="16" t="s">
        <v>4867</v>
      </c>
      <c r="TDM349" s="16" t="s">
        <v>4867</v>
      </c>
      <c r="TDN349" s="16" t="s">
        <v>4867</v>
      </c>
      <c r="TDO349" s="16" t="s">
        <v>4867</v>
      </c>
      <c r="TDP349" s="16" t="s">
        <v>4867</v>
      </c>
      <c r="TDQ349" s="16" t="s">
        <v>4867</v>
      </c>
      <c r="TDR349" s="16" t="s">
        <v>4867</v>
      </c>
      <c r="TDS349" s="16" t="s">
        <v>4867</v>
      </c>
      <c r="TDT349" s="16" t="s">
        <v>4867</v>
      </c>
      <c r="TDU349" s="16" t="s">
        <v>4867</v>
      </c>
      <c r="TDV349" s="16" t="s">
        <v>4867</v>
      </c>
      <c r="TDW349" s="16" t="s">
        <v>4867</v>
      </c>
      <c r="TDX349" s="16" t="s">
        <v>4867</v>
      </c>
      <c r="TDY349" s="16" t="s">
        <v>4867</v>
      </c>
      <c r="TDZ349" s="16" t="s">
        <v>4867</v>
      </c>
      <c r="TEA349" s="16" t="s">
        <v>4867</v>
      </c>
      <c r="TEB349" s="16" t="s">
        <v>4867</v>
      </c>
      <c r="TEC349" s="16" t="s">
        <v>4867</v>
      </c>
      <c r="TED349" s="16" t="s">
        <v>4867</v>
      </c>
      <c r="TEE349" s="16" t="s">
        <v>4867</v>
      </c>
      <c r="TEF349" s="16" t="s">
        <v>4867</v>
      </c>
      <c r="TEG349" s="16" t="s">
        <v>4867</v>
      </c>
      <c r="TEH349" s="16" t="s">
        <v>4867</v>
      </c>
      <c r="TEI349" s="16" t="s">
        <v>4867</v>
      </c>
      <c r="TEJ349" s="16" t="s">
        <v>4867</v>
      </c>
      <c r="TEK349" s="16" t="s">
        <v>4867</v>
      </c>
      <c r="TEL349" s="16" t="s">
        <v>4867</v>
      </c>
      <c r="TEM349" s="16" t="s">
        <v>4867</v>
      </c>
      <c r="TEN349" s="16" t="s">
        <v>4867</v>
      </c>
      <c r="TEO349" s="16" t="s">
        <v>4867</v>
      </c>
      <c r="TEP349" s="16" t="s">
        <v>4867</v>
      </c>
      <c r="TEQ349" s="16" t="s">
        <v>4867</v>
      </c>
      <c r="TER349" s="16" t="s">
        <v>4867</v>
      </c>
      <c r="TES349" s="16" t="s">
        <v>4867</v>
      </c>
      <c r="TET349" s="16" t="s">
        <v>4867</v>
      </c>
      <c r="TEU349" s="16" t="s">
        <v>4867</v>
      </c>
      <c r="TEV349" s="16" t="s">
        <v>4867</v>
      </c>
      <c r="TEW349" s="16" t="s">
        <v>4867</v>
      </c>
      <c r="TEX349" s="16" t="s">
        <v>4867</v>
      </c>
      <c r="TEY349" s="16" t="s">
        <v>4867</v>
      </c>
      <c r="TEZ349" s="16" t="s">
        <v>4867</v>
      </c>
      <c r="TFA349" s="16" t="s">
        <v>4867</v>
      </c>
      <c r="TFB349" s="16" t="s">
        <v>4867</v>
      </c>
      <c r="TFC349" s="16" t="s">
        <v>4867</v>
      </c>
      <c r="TFD349" s="16" t="s">
        <v>4867</v>
      </c>
      <c r="TFE349" s="16" t="s">
        <v>4867</v>
      </c>
      <c r="TFF349" s="16" t="s">
        <v>4867</v>
      </c>
      <c r="TFG349" s="16" t="s">
        <v>4867</v>
      </c>
      <c r="TFH349" s="16" t="s">
        <v>4867</v>
      </c>
      <c r="TFI349" s="16" t="s">
        <v>4867</v>
      </c>
      <c r="TFJ349" s="16" t="s">
        <v>4867</v>
      </c>
      <c r="TFK349" s="16" t="s">
        <v>4867</v>
      </c>
      <c r="TFL349" s="16" t="s">
        <v>4867</v>
      </c>
      <c r="TFM349" s="16" t="s">
        <v>4867</v>
      </c>
      <c r="TFN349" s="16" t="s">
        <v>4867</v>
      </c>
      <c r="TFO349" s="16" t="s">
        <v>4867</v>
      </c>
      <c r="TFP349" s="16" t="s">
        <v>4867</v>
      </c>
      <c r="TFQ349" s="16" t="s">
        <v>4867</v>
      </c>
      <c r="TFR349" s="16" t="s">
        <v>4867</v>
      </c>
      <c r="TFS349" s="16" t="s">
        <v>4867</v>
      </c>
      <c r="TFT349" s="16" t="s">
        <v>4867</v>
      </c>
      <c r="TFU349" s="16" t="s">
        <v>4867</v>
      </c>
      <c r="TFV349" s="16" t="s">
        <v>4867</v>
      </c>
      <c r="TFW349" s="16" t="s">
        <v>4867</v>
      </c>
      <c r="TFX349" s="16" t="s">
        <v>4867</v>
      </c>
      <c r="TFY349" s="16" t="s">
        <v>4867</v>
      </c>
      <c r="TFZ349" s="16" t="s">
        <v>4867</v>
      </c>
      <c r="TGA349" s="16" t="s">
        <v>4867</v>
      </c>
      <c r="TGB349" s="16" t="s">
        <v>4867</v>
      </c>
      <c r="TGC349" s="16" t="s">
        <v>4867</v>
      </c>
      <c r="TGD349" s="16" t="s">
        <v>4867</v>
      </c>
      <c r="TGE349" s="16" t="s">
        <v>4867</v>
      </c>
      <c r="TGF349" s="16" t="s">
        <v>4867</v>
      </c>
      <c r="TGG349" s="16" t="s">
        <v>4867</v>
      </c>
      <c r="TGH349" s="16" t="s">
        <v>4867</v>
      </c>
      <c r="TGI349" s="16" t="s">
        <v>4867</v>
      </c>
      <c r="TGJ349" s="16" t="s">
        <v>4867</v>
      </c>
      <c r="TGK349" s="16" t="s">
        <v>4867</v>
      </c>
      <c r="TGL349" s="16" t="s">
        <v>4867</v>
      </c>
      <c r="TGM349" s="16" t="s">
        <v>4867</v>
      </c>
      <c r="TGN349" s="16" t="s">
        <v>4867</v>
      </c>
      <c r="TGO349" s="16" t="s">
        <v>4867</v>
      </c>
      <c r="TGP349" s="16" t="s">
        <v>4867</v>
      </c>
      <c r="TGQ349" s="16" t="s">
        <v>4867</v>
      </c>
      <c r="TGR349" s="16" t="s">
        <v>4867</v>
      </c>
      <c r="TGS349" s="16" t="s">
        <v>4867</v>
      </c>
      <c r="TGT349" s="16" t="s">
        <v>4867</v>
      </c>
      <c r="TGU349" s="16" t="s">
        <v>4867</v>
      </c>
      <c r="TGV349" s="16" t="s">
        <v>4867</v>
      </c>
      <c r="TGW349" s="16" t="s">
        <v>4867</v>
      </c>
      <c r="TGX349" s="16" t="s">
        <v>4867</v>
      </c>
      <c r="TGY349" s="16" t="s">
        <v>4867</v>
      </c>
      <c r="TGZ349" s="16" t="s">
        <v>4867</v>
      </c>
      <c r="THA349" s="16" t="s">
        <v>4867</v>
      </c>
      <c r="THB349" s="16" t="s">
        <v>4867</v>
      </c>
      <c r="THC349" s="16" t="s">
        <v>4867</v>
      </c>
      <c r="THD349" s="16" t="s">
        <v>4867</v>
      </c>
      <c r="THE349" s="16" t="s">
        <v>4867</v>
      </c>
      <c r="THF349" s="16" t="s">
        <v>4867</v>
      </c>
      <c r="THG349" s="16" t="s">
        <v>4867</v>
      </c>
      <c r="THH349" s="16" t="s">
        <v>4867</v>
      </c>
      <c r="THI349" s="16" t="s">
        <v>4867</v>
      </c>
      <c r="THJ349" s="16" t="s">
        <v>4867</v>
      </c>
      <c r="THK349" s="16" t="s">
        <v>4867</v>
      </c>
      <c r="THL349" s="16" t="s">
        <v>4867</v>
      </c>
      <c r="THM349" s="16" t="s">
        <v>4867</v>
      </c>
      <c r="THN349" s="16" t="s">
        <v>4867</v>
      </c>
      <c r="THO349" s="16" t="s">
        <v>4867</v>
      </c>
      <c r="THP349" s="16" t="s">
        <v>4867</v>
      </c>
      <c r="THQ349" s="16" t="s">
        <v>4867</v>
      </c>
      <c r="THR349" s="16" t="s">
        <v>4867</v>
      </c>
      <c r="THS349" s="16" t="s">
        <v>4867</v>
      </c>
      <c r="THT349" s="16" t="s">
        <v>4867</v>
      </c>
      <c r="THU349" s="16" t="s">
        <v>4867</v>
      </c>
      <c r="THV349" s="16" t="s">
        <v>4867</v>
      </c>
      <c r="THW349" s="16" t="s">
        <v>4867</v>
      </c>
      <c r="THX349" s="16" t="s">
        <v>4867</v>
      </c>
      <c r="THY349" s="16" t="s">
        <v>4867</v>
      </c>
      <c r="THZ349" s="16" t="s">
        <v>4867</v>
      </c>
      <c r="TIA349" s="16" t="s">
        <v>4867</v>
      </c>
      <c r="TIB349" s="16" t="s">
        <v>4867</v>
      </c>
      <c r="TIC349" s="16" t="s">
        <v>4867</v>
      </c>
      <c r="TID349" s="16" t="s">
        <v>4867</v>
      </c>
      <c r="TIE349" s="16" t="s">
        <v>4867</v>
      </c>
      <c r="TIF349" s="16" t="s">
        <v>4867</v>
      </c>
      <c r="TIG349" s="16" t="s">
        <v>4867</v>
      </c>
      <c r="TIH349" s="16" t="s">
        <v>4867</v>
      </c>
      <c r="TII349" s="16" t="s">
        <v>4867</v>
      </c>
      <c r="TIJ349" s="16" t="s">
        <v>4867</v>
      </c>
      <c r="TIK349" s="16" t="s">
        <v>4867</v>
      </c>
      <c r="TIL349" s="16" t="s">
        <v>4867</v>
      </c>
      <c r="TIM349" s="16" t="s">
        <v>4867</v>
      </c>
      <c r="TIN349" s="16" t="s">
        <v>4867</v>
      </c>
      <c r="TIO349" s="16" t="s">
        <v>4867</v>
      </c>
      <c r="TIP349" s="16" t="s">
        <v>4867</v>
      </c>
      <c r="TIQ349" s="16" t="s">
        <v>4867</v>
      </c>
      <c r="TIR349" s="16" t="s">
        <v>4867</v>
      </c>
      <c r="TIS349" s="16" t="s">
        <v>4867</v>
      </c>
      <c r="TIT349" s="16" t="s">
        <v>4867</v>
      </c>
      <c r="TIU349" s="16" t="s">
        <v>4867</v>
      </c>
      <c r="TIV349" s="16" t="s">
        <v>4867</v>
      </c>
      <c r="TIW349" s="16" t="s">
        <v>4867</v>
      </c>
      <c r="TIX349" s="16" t="s">
        <v>4867</v>
      </c>
      <c r="TIY349" s="16" t="s">
        <v>4867</v>
      </c>
      <c r="TIZ349" s="16" t="s">
        <v>4867</v>
      </c>
      <c r="TJA349" s="16" t="s">
        <v>4867</v>
      </c>
      <c r="TJB349" s="16" t="s">
        <v>4867</v>
      </c>
      <c r="TJC349" s="16" t="s">
        <v>4867</v>
      </c>
      <c r="TJD349" s="16" t="s">
        <v>4867</v>
      </c>
      <c r="TJE349" s="16" t="s">
        <v>4867</v>
      </c>
      <c r="TJF349" s="16" t="s">
        <v>4867</v>
      </c>
      <c r="TJG349" s="16" t="s">
        <v>4867</v>
      </c>
      <c r="TJH349" s="16" t="s">
        <v>4867</v>
      </c>
      <c r="TJI349" s="16" t="s">
        <v>4867</v>
      </c>
      <c r="TJJ349" s="16" t="s">
        <v>4867</v>
      </c>
      <c r="TJK349" s="16" t="s">
        <v>4867</v>
      </c>
      <c r="TJL349" s="16" t="s">
        <v>4867</v>
      </c>
      <c r="TJM349" s="16" t="s">
        <v>4867</v>
      </c>
      <c r="TJN349" s="16" t="s">
        <v>4867</v>
      </c>
      <c r="TJO349" s="16" t="s">
        <v>4867</v>
      </c>
      <c r="TJP349" s="16" t="s">
        <v>4867</v>
      </c>
      <c r="TJQ349" s="16" t="s">
        <v>4867</v>
      </c>
      <c r="TJR349" s="16" t="s">
        <v>4867</v>
      </c>
      <c r="TJS349" s="16" t="s">
        <v>4867</v>
      </c>
      <c r="TJT349" s="16" t="s">
        <v>4867</v>
      </c>
      <c r="TJU349" s="16" t="s">
        <v>4867</v>
      </c>
      <c r="TJV349" s="16" t="s">
        <v>4867</v>
      </c>
      <c r="TJW349" s="16" t="s">
        <v>4867</v>
      </c>
      <c r="TJX349" s="16" t="s">
        <v>4867</v>
      </c>
      <c r="TJY349" s="16" t="s">
        <v>4867</v>
      </c>
      <c r="TJZ349" s="16" t="s">
        <v>4867</v>
      </c>
      <c r="TKA349" s="16" t="s">
        <v>4867</v>
      </c>
      <c r="TKB349" s="16" t="s">
        <v>4867</v>
      </c>
      <c r="TKC349" s="16" t="s">
        <v>4867</v>
      </c>
      <c r="TKD349" s="16" t="s">
        <v>4867</v>
      </c>
      <c r="TKE349" s="16" t="s">
        <v>4867</v>
      </c>
      <c r="TKF349" s="16" t="s">
        <v>4867</v>
      </c>
      <c r="TKG349" s="16" t="s">
        <v>4867</v>
      </c>
      <c r="TKH349" s="16" t="s">
        <v>4867</v>
      </c>
      <c r="TKI349" s="16" t="s">
        <v>4867</v>
      </c>
      <c r="TKJ349" s="16" t="s">
        <v>4867</v>
      </c>
      <c r="TKK349" s="16" t="s">
        <v>4867</v>
      </c>
      <c r="TKL349" s="16" t="s">
        <v>4867</v>
      </c>
      <c r="TKM349" s="16" t="s">
        <v>4867</v>
      </c>
      <c r="TKN349" s="16" t="s">
        <v>4867</v>
      </c>
      <c r="TKO349" s="16" t="s">
        <v>4867</v>
      </c>
      <c r="TKP349" s="16" t="s">
        <v>4867</v>
      </c>
      <c r="TKQ349" s="16" t="s">
        <v>4867</v>
      </c>
      <c r="TKR349" s="16" t="s">
        <v>4867</v>
      </c>
      <c r="TKS349" s="16" t="s">
        <v>4867</v>
      </c>
      <c r="TKT349" s="16" t="s">
        <v>4867</v>
      </c>
      <c r="TKU349" s="16" t="s">
        <v>4867</v>
      </c>
      <c r="TKV349" s="16" t="s">
        <v>4867</v>
      </c>
      <c r="TKW349" s="16" t="s">
        <v>4867</v>
      </c>
      <c r="TKX349" s="16" t="s">
        <v>4867</v>
      </c>
      <c r="TKY349" s="16" t="s">
        <v>4867</v>
      </c>
      <c r="TKZ349" s="16" t="s">
        <v>4867</v>
      </c>
      <c r="TLA349" s="16" t="s">
        <v>4867</v>
      </c>
      <c r="TLB349" s="16" t="s">
        <v>4867</v>
      </c>
      <c r="TLC349" s="16" t="s">
        <v>4867</v>
      </c>
      <c r="TLD349" s="16" t="s">
        <v>4867</v>
      </c>
      <c r="TLE349" s="16" t="s">
        <v>4867</v>
      </c>
      <c r="TLF349" s="16" t="s">
        <v>4867</v>
      </c>
      <c r="TLG349" s="16" t="s">
        <v>4867</v>
      </c>
      <c r="TLH349" s="16" t="s">
        <v>4867</v>
      </c>
      <c r="TLI349" s="16" t="s">
        <v>4867</v>
      </c>
      <c r="TLJ349" s="16" t="s">
        <v>4867</v>
      </c>
      <c r="TLK349" s="16" t="s">
        <v>4867</v>
      </c>
      <c r="TLL349" s="16" t="s">
        <v>4867</v>
      </c>
      <c r="TLM349" s="16" t="s">
        <v>4867</v>
      </c>
      <c r="TLN349" s="16" t="s">
        <v>4867</v>
      </c>
      <c r="TLO349" s="16" t="s">
        <v>4867</v>
      </c>
      <c r="TLP349" s="16" t="s">
        <v>4867</v>
      </c>
      <c r="TLQ349" s="16" t="s">
        <v>4867</v>
      </c>
      <c r="TLR349" s="16" t="s">
        <v>4867</v>
      </c>
      <c r="TLS349" s="16" t="s">
        <v>4867</v>
      </c>
      <c r="TLT349" s="16" t="s">
        <v>4867</v>
      </c>
      <c r="TLU349" s="16" t="s">
        <v>4867</v>
      </c>
      <c r="TLV349" s="16" t="s">
        <v>4867</v>
      </c>
      <c r="TLW349" s="16" t="s">
        <v>4867</v>
      </c>
      <c r="TLX349" s="16" t="s">
        <v>4867</v>
      </c>
      <c r="TLY349" s="16" t="s">
        <v>4867</v>
      </c>
      <c r="TLZ349" s="16" t="s">
        <v>4867</v>
      </c>
      <c r="TMA349" s="16" t="s">
        <v>4867</v>
      </c>
      <c r="TMB349" s="16" t="s">
        <v>4867</v>
      </c>
      <c r="TMC349" s="16" t="s">
        <v>4867</v>
      </c>
      <c r="TMD349" s="16" t="s">
        <v>4867</v>
      </c>
      <c r="TME349" s="16" t="s">
        <v>4867</v>
      </c>
      <c r="TMF349" s="16" t="s">
        <v>4867</v>
      </c>
      <c r="TMG349" s="16" t="s">
        <v>4867</v>
      </c>
      <c r="TMH349" s="16" t="s">
        <v>4867</v>
      </c>
      <c r="TMI349" s="16" t="s">
        <v>4867</v>
      </c>
      <c r="TMJ349" s="16" t="s">
        <v>4867</v>
      </c>
      <c r="TMK349" s="16" t="s">
        <v>4867</v>
      </c>
      <c r="TML349" s="16" t="s">
        <v>4867</v>
      </c>
      <c r="TMM349" s="16" t="s">
        <v>4867</v>
      </c>
      <c r="TMN349" s="16" t="s">
        <v>4867</v>
      </c>
      <c r="TMO349" s="16" t="s">
        <v>4867</v>
      </c>
      <c r="TMP349" s="16" t="s">
        <v>4867</v>
      </c>
      <c r="TMQ349" s="16" t="s">
        <v>4867</v>
      </c>
      <c r="TMR349" s="16" t="s">
        <v>4867</v>
      </c>
      <c r="TMS349" s="16" t="s">
        <v>4867</v>
      </c>
      <c r="TMT349" s="16" t="s">
        <v>4867</v>
      </c>
      <c r="TMU349" s="16" t="s">
        <v>4867</v>
      </c>
      <c r="TMV349" s="16" t="s">
        <v>4867</v>
      </c>
      <c r="TMW349" s="16" t="s">
        <v>4867</v>
      </c>
      <c r="TMX349" s="16" t="s">
        <v>4867</v>
      </c>
      <c r="TMY349" s="16" t="s">
        <v>4867</v>
      </c>
      <c r="TMZ349" s="16" t="s">
        <v>4867</v>
      </c>
      <c r="TNA349" s="16" t="s">
        <v>4867</v>
      </c>
      <c r="TNB349" s="16" t="s">
        <v>4867</v>
      </c>
      <c r="TNC349" s="16" t="s">
        <v>4867</v>
      </c>
      <c r="TND349" s="16" t="s">
        <v>4867</v>
      </c>
      <c r="TNE349" s="16" t="s">
        <v>4867</v>
      </c>
      <c r="TNF349" s="16" t="s">
        <v>4867</v>
      </c>
      <c r="TNG349" s="16" t="s">
        <v>4867</v>
      </c>
      <c r="TNH349" s="16" t="s">
        <v>4867</v>
      </c>
      <c r="TNI349" s="16" t="s">
        <v>4867</v>
      </c>
      <c r="TNJ349" s="16" t="s">
        <v>4867</v>
      </c>
      <c r="TNK349" s="16" t="s">
        <v>4867</v>
      </c>
      <c r="TNL349" s="16" t="s">
        <v>4867</v>
      </c>
      <c r="TNM349" s="16" t="s">
        <v>4867</v>
      </c>
      <c r="TNN349" s="16" t="s">
        <v>4867</v>
      </c>
      <c r="TNO349" s="16" t="s">
        <v>4867</v>
      </c>
      <c r="TNP349" s="16" t="s">
        <v>4867</v>
      </c>
      <c r="TNQ349" s="16" t="s">
        <v>4867</v>
      </c>
      <c r="TNR349" s="16" t="s">
        <v>4867</v>
      </c>
      <c r="TNS349" s="16" t="s">
        <v>4867</v>
      </c>
      <c r="TNT349" s="16" t="s">
        <v>4867</v>
      </c>
      <c r="TNU349" s="16" t="s">
        <v>4867</v>
      </c>
      <c r="TNV349" s="16" t="s">
        <v>4867</v>
      </c>
      <c r="TNW349" s="16" t="s">
        <v>4867</v>
      </c>
      <c r="TNX349" s="16" t="s">
        <v>4867</v>
      </c>
      <c r="TNY349" s="16" t="s">
        <v>4867</v>
      </c>
      <c r="TNZ349" s="16" t="s">
        <v>4867</v>
      </c>
      <c r="TOA349" s="16" t="s">
        <v>4867</v>
      </c>
      <c r="TOB349" s="16" t="s">
        <v>4867</v>
      </c>
      <c r="TOC349" s="16" t="s">
        <v>4867</v>
      </c>
      <c r="TOD349" s="16" t="s">
        <v>4867</v>
      </c>
      <c r="TOE349" s="16" t="s">
        <v>4867</v>
      </c>
      <c r="TOF349" s="16" t="s">
        <v>4867</v>
      </c>
      <c r="TOG349" s="16" t="s">
        <v>4867</v>
      </c>
      <c r="TOH349" s="16" t="s">
        <v>4867</v>
      </c>
      <c r="TOI349" s="16" t="s">
        <v>4867</v>
      </c>
      <c r="TOJ349" s="16" t="s">
        <v>4867</v>
      </c>
      <c r="TOK349" s="16" t="s">
        <v>4867</v>
      </c>
      <c r="TOL349" s="16" t="s">
        <v>4867</v>
      </c>
      <c r="TOM349" s="16" t="s">
        <v>4867</v>
      </c>
      <c r="TON349" s="16" t="s">
        <v>4867</v>
      </c>
      <c r="TOO349" s="16" t="s">
        <v>4867</v>
      </c>
      <c r="TOP349" s="16" t="s">
        <v>4867</v>
      </c>
      <c r="TOQ349" s="16" t="s">
        <v>4867</v>
      </c>
      <c r="TOR349" s="16" t="s">
        <v>4867</v>
      </c>
      <c r="TOS349" s="16" t="s">
        <v>4867</v>
      </c>
      <c r="TOT349" s="16" t="s">
        <v>4867</v>
      </c>
      <c r="TOU349" s="16" t="s">
        <v>4867</v>
      </c>
      <c r="TOV349" s="16" t="s">
        <v>4867</v>
      </c>
      <c r="TOW349" s="16" t="s">
        <v>4867</v>
      </c>
      <c r="TOX349" s="16" t="s">
        <v>4867</v>
      </c>
      <c r="TOY349" s="16" t="s">
        <v>4867</v>
      </c>
      <c r="TOZ349" s="16" t="s">
        <v>4867</v>
      </c>
      <c r="TPA349" s="16" t="s">
        <v>4867</v>
      </c>
      <c r="TPB349" s="16" t="s">
        <v>4867</v>
      </c>
      <c r="TPC349" s="16" t="s">
        <v>4867</v>
      </c>
      <c r="TPD349" s="16" t="s">
        <v>4867</v>
      </c>
      <c r="TPE349" s="16" t="s">
        <v>4867</v>
      </c>
      <c r="TPF349" s="16" t="s">
        <v>4867</v>
      </c>
      <c r="TPG349" s="16" t="s">
        <v>4867</v>
      </c>
      <c r="TPH349" s="16" t="s">
        <v>4867</v>
      </c>
      <c r="TPI349" s="16" t="s">
        <v>4867</v>
      </c>
      <c r="TPJ349" s="16" t="s">
        <v>4867</v>
      </c>
      <c r="TPK349" s="16" t="s">
        <v>4867</v>
      </c>
      <c r="TPL349" s="16" t="s">
        <v>4867</v>
      </c>
      <c r="TPM349" s="16" t="s">
        <v>4867</v>
      </c>
      <c r="TPN349" s="16" t="s">
        <v>4867</v>
      </c>
      <c r="TPO349" s="16" t="s">
        <v>4867</v>
      </c>
      <c r="TPP349" s="16" t="s">
        <v>4867</v>
      </c>
      <c r="TPQ349" s="16" t="s">
        <v>4867</v>
      </c>
      <c r="TPR349" s="16" t="s">
        <v>4867</v>
      </c>
      <c r="TPS349" s="16" t="s">
        <v>4867</v>
      </c>
      <c r="TPT349" s="16" t="s">
        <v>4867</v>
      </c>
      <c r="TPU349" s="16" t="s">
        <v>4867</v>
      </c>
      <c r="TPV349" s="16" t="s">
        <v>4867</v>
      </c>
      <c r="TPW349" s="16" t="s">
        <v>4867</v>
      </c>
      <c r="TPX349" s="16" t="s">
        <v>4867</v>
      </c>
      <c r="TPY349" s="16" t="s">
        <v>4867</v>
      </c>
      <c r="TPZ349" s="16" t="s">
        <v>4867</v>
      </c>
      <c r="TQA349" s="16" t="s">
        <v>4867</v>
      </c>
      <c r="TQB349" s="16" t="s">
        <v>4867</v>
      </c>
      <c r="TQC349" s="16" t="s">
        <v>4867</v>
      </c>
      <c r="TQD349" s="16" t="s">
        <v>4867</v>
      </c>
      <c r="TQE349" s="16" t="s">
        <v>4867</v>
      </c>
      <c r="TQF349" s="16" t="s">
        <v>4867</v>
      </c>
      <c r="TQG349" s="16" t="s">
        <v>4867</v>
      </c>
      <c r="TQH349" s="16" t="s">
        <v>4867</v>
      </c>
      <c r="TQI349" s="16" t="s">
        <v>4867</v>
      </c>
      <c r="TQJ349" s="16" t="s">
        <v>4867</v>
      </c>
      <c r="TQK349" s="16" t="s">
        <v>4867</v>
      </c>
      <c r="TQL349" s="16" t="s">
        <v>4867</v>
      </c>
      <c r="TQM349" s="16" t="s">
        <v>4867</v>
      </c>
      <c r="TQN349" s="16" t="s">
        <v>4867</v>
      </c>
      <c r="TQO349" s="16" t="s">
        <v>4867</v>
      </c>
      <c r="TQP349" s="16" t="s">
        <v>4867</v>
      </c>
      <c r="TQQ349" s="16" t="s">
        <v>4867</v>
      </c>
      <c r="TQR349" s="16" t="s">
        <v>4867</v>
      </c>
      <c r="TQS349" s="16" t="s">
        <v>4867</v>
      </c>
      <c r="TQT349" s="16" t="s">
        <v>4867</v>
      </c>
      <c r="TQU349" s="16" t="s">
        <v>4867</v>
      </c>
      <c r="TQV349" s="16" t="s">
        <v>4867</v>
      </c>
      <c r="TQW349" s="16" t="s">
        <v>4867</v>
      </c>
      <c r="TQX349" s="16" t="s">
        <v>4867</v>
      </c>
      <c r="TQY349" s="16" t="s">
        <v>4867</v>
      </c>
      <c r="TQZ349" s="16" t="s">
        <v>4867</v>
      </c>
      <c r="TRA349" s="16" t="s">
        <v>4867</v>
      </c>
      <c r="TRB349" s="16" t="s">
        <v>4867</v>
      </c>
      <c r="TRC349" s="16" t="s">
        <v>4867</v>
      </c>
      <c r="TRD349" s="16" t="s">
        <v>4867</v>
      </c>
      <c r="TRE349" s="16" t="s">
        <v>4867</v>
      </c>
      <c r="TRF349" s="16" t="s">
        <v>4867</v>
      </c>
      <c r="TRG349" s="16" t="s">
        <v>4867</v>
      </c>
      <c r="TRH349" s="16" t="s">
        <v>4867</v>
      </c>
      <c r="TRI349" s="16" t="s">
        <v>4867</v>
      </c>
      <c r="TRJ349" s="16" t="s">
        <v>4867</v>
      </c>
      <c r="TRK349" s="16" t="s">
        <v>4867</v>
      </c>
      <c r="TRL349" s="16" t="s">
        <v>4867</v>
      </c>
      <c r="TRM349" s="16" t="s">
        <v>4867</v>
      </c>
      <c r="TRN349" s="16" t="s">
        <v>4867</v>
      </c>
      <c r="TRO349" s="16" t="s">
        <v>4867</v>
      </c>
      <c r="TRP349" s="16" t="s">
        <v>4867</v>
      </c>
      <c r="TRQ349" s="16" t="s">
        <v>4867</v>
      </c>
      <c r="TRR349" s="16" t="s">
        <v>4867</v>
      </c>
      <c r="TRS349" s="16" t="s">
        <v>4867</v>
      </c>
      <c r="TRT349" s="16" t="s">
        <v>4867</v>
      </c>
      <c r="TRU349" s="16" t="s">
        <v>4867</v>
      </c>
      <c r="TRV349" s="16" t="s">
        <v>4867</v>
      </c>
      <c r="TRW349" s="16" t="s">
        <v>4867</v>
      </c>
      <c r="TRX349" s="16" t="s">
        <v>4867</v>
      </c>
      <c r="TRY349" s="16" t="s">
        <v>4867</v>
      </c>
      <c r="TRZ349" s="16" t="s">
        <v>4867</v>
      </c>
      <c r="TSA349" s="16" t="s">
        <v>4867</v>
      </c>
      <c r="TSB349" s="16" t="s">
        <v>4867</v>
      </c>
      <c r="TSC349" s="16" t="s">
        <v>4867</v>
      </c>
      <c r="TSD349" s="16" t="s">
        <v>4867</v>
      </c>
      <c r="TSE349" s="16" t="s">
        <v>4867</v>
      </c>
      <c r="TSF349" s="16" t="s">
        <v>4867</v>
      </c>
      <c r="TSG349" s="16" t="s">
        <v>4867</v>
      </c>
      <c r="TSH349" s="16" t="s">
        <v>4867</v>
      </c>
      <c r="TSI349" s="16" t="s">
        <v>4867</v>
      </c>
      <c r="TSJ349" s="16" t="s">
        <v>4867</v>
      </c>
      <c r="TSK349" s="16" t="s">
        <v>4867</v>
      </c>
      <c r="TSL349" s="16" t="s">
        <v>4867</v>
      </c>
      <c r="TSM349" s="16" t="s">
        <v>4867</v>
      </c>
      <c r="TSN349" s="16" t="s">
        <v>4867</v>
      </c>
      <c r="TSO349" s="16" t="s">
        <v>4867</v>
      </c>
      <c r="TSP349" s="16" t="s">
        <v>4867</v>
      </c>
      <c r="TSQ349" s="16" t="s">
        <v>4867</v>
      </c>
      <c r="TSR349" s="16" t="s">
        <v>4867</v>
      </c>
      <c r="TSS349" s="16" t="s">
        <v>4867</v>
      </c>
      <c r="TST349" s="16" t="s">
        <v>4867</v>
      </c>
      <c r="TSU349" s="16" t="s">
        <v>4867</v>
      </c>
      <c r="TSV349" s="16" t="s">
        <v>4867</v>
      </c>
      <c r="TSW349" s="16" t="s">
        <v>4867</v>
      </c>
      <c r="TSX349" s="16" t="s">
        <v>4867</v>
      </c>
      <c r="TSY349" s="16" t="s">
        <v>4867</v>
      </c>
      <c r="TSZ349" s="16" t="s">
        <v>4867</v>
      </c>
      <c r="TTA349" s="16" t="s">
        <v>4867</v>
      </c>
      <c r="TTB349" s="16" t="s">
        <v>4867</v>
      </c>
      <c r="TTC349" s="16" t="s">
        <v>4867</v>
      </c>
      <c r="TTD349" s="16" t="s">
        <v>4867</v>
      </c>
      <c r="TTE349" s="16" t="s">
        <v>4867</v>
      </c>
      <c r="TTF349" s="16" t="s">
        <v>4867</v>
      </c>
      <c r="TTG349" s="16" t="s">
        <v>4867</v>
      </c>
      <c r="TTH349" s="16" t="s">
        <v>4867</v>
      </c>
      <c r="TTI349" s="16" t="s">
        <v>4867</v>
      </c>
      <c r="TTJ349" s="16" t="s">
        <v>4867</v>
      </c>
      <c r="TTK349" s="16" t="s">
        <v>4867</v>
      </c>
      <c r="TTL349" s="16" t="s">
        <v>4867</v>
      </c>
      <c r="TTM349" s="16" t="s">
        <v>4867</v>
      </c>
      <c r="TTN349" s="16" t="s">
        <v>4867</v>
      </c>
      <c r="TTO349" s="16" t="s">
        <v>4867</v>
      </c>
      <c r="TTP349" s="16" t="s">
        <v>4867</v>
      </c>
      <c r="TTQ349" s="16" t="s">
        <v>4867</v>
      </c>
      <c r="TTR349" s="16" t="s">
        <v>4867</v>
      </c>
      <c r="TTS349" s="16" t="s">
        <v>4867</v>
      </c>
      <c r="TTT349" s="16" t="s">
        <v>4867</v>
      </c>
      <c r="TTU349" s="16" t="s">
        <v>4867</v>
      </c>
      <c r="TTV349" s="16" t="s">
        <v>4867</v>
      </c>
      <c r="TTW349" s="16" t="s">
        <v>4867</v>
      </c>
      <c r="TTX349" s="16" t="s">
        <v>4867</v>
      </c>
      <c r="TTY349" s="16" t="s">
        <v>4867</v>
      </c>
      <c r="TTZ349" s="16" t="s">
        <v>4867</v>
      </c>
      <c r="TUA349" s="16" t="s">
        <v>4867</v>
      </c>
      <c r="TUB349" s="16" t="s">
        <v>4867</v>
      </c>
      <c r="TUC349" s="16" t="s">
        <v>4867</v>
      </c>
      <c r="TUD349" s="16" t="s">
        <v>4867</v>
      </c>
      <c r="TUE349" s="16" t="s">
        <v>4867</v>
      </c>
      <c r="TUF349" s="16" t="s">
        <v>4867</v>
      </c>
      <c r="TUG349" s="16" t="s">
        <v>4867</v>
      </c>
      <c r="TUH349" s="16" t="s">
        <v>4867</v>
      </c>
      <c r="TUI349" s="16" t="s">
        <v>4867</v>
      </c>
      <c r="TUJ349" s="16" t="s">
        <v>4867</v>
      </c>
      <c r="TUK349" s="16" t="s">
        <v>4867</v>
      </c>
      <c r="TUL349" s="16" t="s">
        <v>4867</v>
      </c>
      <c r="TUM349" s="16" t="s">
        <v>4867</v>
      </c>
      <c r="TUN349" s="16" t="s">
        <v>4867</v>
      </c>
      <c r="TUO349" s="16" t="s">
        <v>4867</v>
      </c>
      <c r="TUP349" s="16" t="s">
        <v>4867</v>
      </c>
      <c r="TUQ349" s="16" t="s">
        <v>4867</v>
      </c>
      <c r="TUR349" s="16" t="s">
        <v>4867</v>
      </c>
      <c r="TUS349" s="16" t="s">
        <v>4867</v>
      </c>
      <c r="TUT349" s="16" t="s">
        <v>4867</v>
      </c>
      <c r="TUU349" s="16" t="s">
        <v>4867</v>
      </c>
      <c r="TUV349" s="16" t="s">
        <v>4867</v>
      </c>
      <c r="TUW349" s="16" t="s">
        <v>4867</v>
      </c>
      <c r="TUX349" s="16" t="s">
        <v>4867</v>
      </c>
      <c r="TUY349" s="16" t="s">
        <v>4867</v>
      </c>
      <c r="TUZ349" s="16" t="s">
        <v>4867</v>
      </c>
      <c r="TVA349" s="16" t="s">
        <v>4867</v>
      </c>
      <c r="TVB349" s="16" t="s">
        <v>4867</v>
      </c>
      <c r="TVC349" s="16" t="s">
        <v>4867</v>
      </c>
      <c r="TVD349" s="16" t="s">
        <v>4867</v>
      </c>
      <c r="TVE349" s="16" t="s">
        <v>4867</v>
      </c>
      <c r="TVF349" s="16" t="s">
        <v>4867</v>
      </c>
      <c r="TVG349" s="16" t="s">
        <v>4867</v>
      </c>
      <c r="TVH349" s="16" t="s">
        <v>4867</v>
      </c>
      <c r="TVI349" s="16" t="s">
        <v>4867</v>
      </c>
      <c r="TVJ349" s="16" t="s">
        <v>4867</v>
      </c>
      <c r="TVK349" s="16" t="s">
        <v>4867</v>
      </c>
      <c r="TVL349" s="16" t="s">
        <v>4867</v>
      </c>
      <c r="TVM349" s="16" t="s">
        <v>4867</v>
      </c>
      <c r="TVN349" s="16" t="s">
        <v>4867</v>
      </c>
      <c r="TVO349" s="16" t="s">
        <v>4867</v>
      </c>
      <c r="TVP349" s="16" t="s">
        <v>4867</v>
      </c>
      <c r="TVQ349" s="16" t="s">
        <v>4867</v>
      </c>
      <c r="TVR349" s="16" t="s">
        <v>4867</v>
      </c>
      <c r="TVS349" s="16" t="s">
        <v>4867</v>
      </c>
      <c r="TVT349" s="16" t="s">
        <v>4867</v>
      </c>
      <c r="TVU349" s="16" t="s">
        <v>4867</v>
      </c>
      <c r="TVV349" s="16" t="s">
        <v>4867</v>
      </c>
      <c r="TVW349" s="16" t="s">
        <v>4867</v>
      </c>
      <c r="TVX349" s="16" t="s">
        <v>4867</v>
      </c>
      <c r="TVY349" s="16" t="s">
        <v>4867</v>
      </c>
      <c r="TVZ349" s="16" t="s">
        <v>4867</v>
      </c>
      <c r="TWA349" s="16" t="s">
        <v>4867</v>
      </c>
      <c r="TWB349" s="16" t="s">
        <v>4867</v>
      </c>
      <c r="TWC349" s="16" t="s">
        <v>4867</v>
      </c>
      <c r="TWD349" s="16" t="s">
        <v>4867</v>
      </c>
      <c r="TWE349" s="16" t="s">
        <v>4867</v>
      </c>
      <c r="TWF349" s="16" t="s">
        <v>4867</v>
      </c>
      <c r="TWG349" s="16" t="s">
        <v>4867</v>
      </c>
      <c r="TWH349" s="16" t="s">
        <v>4867</v>
      </c>
      <c r="TWI349" s="16" t="s">
        <v>4867</v>
      </c>
      <c r="TWJ349" s="16" t="s">
        <v>4867</v>
      </c>
      <c r="TWK349" s="16" t="s">
        <v>4867</v>
      </c>
      <c r="TWL349" s="16" t="s">
        <v>4867</v>
      </c>
      <c r="TWM349" s="16" t="s">
        <v>4867</v>
      </c>
      <c r="TWN349" s="16" t="s">
        <v>4867</v>
      </c>
      <c r="TWO349" s="16" t="s">
        <v>4867</v>
      </c>
      <c r="TWP349" s="16" t="s">
        <v>4867</v>
      </c>
      <c r="TWQ349" s="16" t="s">
        <v>4867</v>
      </c>
      <c r="TWR349" s="16" t="s">
        <v>4867</v>
      </c>
      <c r="TWS349" s="16" t="s">
        <v>4867</v>
      </c>
      <c r="TWT349" s="16" t="s">
        <v>4867</v>
      </c>
      <c r="TWU349" s="16" t="s">
        <v>4867</v>
      </c>
      <c r="TWV349" s="16" t="s">
        <v>4867</v>
      </c>
      <c r="TWW349" s="16" t="s">
        <v>4867</v>
      </c>
      <c r="TWX349" s="16" t="s">
        <v>4867</v>
      </c>
      <c r="TWY349" s="16" t="s">
        <v>4867</v>
      </c>
      <c r="TWZ349" s="16" t="s">
        <v>4867</v>
      </c>
      <c r="TXA349" s="16" t="s">
        <v>4867</v>
      </c>
      <c r="TXB349" s="16" t="s">
        <v>4867</v>
      </c>
      <c r="TXC349" s="16" t="s">
        <v>4867</v>
      </c>
      <c r="TXD349" s="16" t="s">
        <v>4867</v>
      </c>
      <c r="TXE349" s="16" t="s">
        <v>4867</v>
      </c>
      <c r="TXF349" s="16" t="s">
        <v>4867</v>
      </c>
      <c r="TXG349" s="16" t="s">
        <v>4867</v>
      </c>
      <c r="TXH349" s="16" t="s">
        <v>4867</v>
      </c>
      <c r="TXI349" s="16" t="s">
        <v>4867</v>
      </c>
      <c r="TXJ349" s="16" t="s">
        <v>4867</v>
      </c>
      <c r="TXK349" s="16" t="s">
        <v>4867</v>
      </c>
      <c r="TXL349" s="16" t="s">
        <v>4867</v>
      </c>
      <c r="TXM349" s="16" t="s">
        <v>4867</v>
      </c>
      <c r="TXN349" s="16" t="s">
        <v>4867</v>
      </c>
      <c r="TXO349" s="16" t="s">
        <v>4867</v>
      </c>
      <c r="TXP349" s="16" t="s">
        <v>4867</v>
      </c>
      <c r="TXQ349" s="16" t="s">
        <v>4867</v>
      </c>
      <c r="TXR349" s="16" t="s">
        <v>4867</v>
      </c>
      <c r="TXS349" s="16" t="s">
        <v>4867</v>
      </c>
      <c r="TXT349" s="16" t="s">
        <v>4867</v>
      </c>
      <c r="TXU349" s="16" t="s">
        <v>4867</v>
      </c>
      <c r="TXV349" s="16" t="s">
        <v>4867</v>
      </c>
      <c r="TXW349" s="16" t="s">
        <v>4867</v>
      </c>
      <c r="TXX349" s="16" t="s">
        <v>4867</v>
      </c>
      <c r="TXY349" s="16" t="s">
        <v>4867</v>
      </c>
      <c r="TXZ349" s="16" t="s">
        <v>4867</v>
      </c>
      <c r="TYA349" s="16" t="s">
        <v>4867</v>
      </c>
      <c r="TYB349" s="16" t="s">
        <v>4867</v>
      </c>
      <c r="TYC349" s="16" t="s">
        <v>4867</v>
      </c>
      <c r="TYD349" s="16" t="s">
        <v>4867</v>
      </c>
      <c r="TYE349" s="16" t="s">
        <v>4867</v>
      </c>
      <c r="TYF349" s="16" t="s">
        <v>4867</v>
      </c>
      <c r="TYG349" s="16" t="s">
        <v>4867</v>
      </c>
      <c r="TYH349" s="16" t="s">
        <v>4867</v>
      </c>
      <c r="TYI349" s="16" t="s">
        <v>4867</v>
      </c>
      <c r="TYJ349" s="16" t="s">
        <v>4867</v>
      </c>
      <c r="TYK349" s="16" t="s">
        <v>4867</v>
      </c>
      <c r="TYL349" s="16" t="s">
        <v>4867</v>
      </c>
      <c r="TYM349" s="16" t="s">
        <v>4867</v>
      </c>
      <c r="TYN349" s="16" t="s">
        <v>4867</v>
      </c>
      <c r="TYO349" s="16" t="s">
        <v>4867</v>
      </c>
      <c r="TYP349" s="16" t="s">
        <v>4867</v>
      </c>
      <c r="TYQ349" s="16" t="s">
        <v>4867</v>
      </c>
      <c r="TYR349" s="16" t="s">
        <v>4867</v>
      </c>
      <c r="TYS349" s="16" t="s">
        <v>4867</v>
      </c>
      <c r="TYT349" s="16" t="s">
        <v>4867</v>
      </c>
      <c r="TYU349" s="16" t="s">
        <v>4867</v>
      </c>
      <c r="TYV349" s="16" t="s">
        <v>4867</v>
      </c>
      <c r="TYW349" s="16" t="s">
        <v>4867</v>
      </c>
      <c r="TYX349" s="16" t="s">
        <v>4867</v>
      </c>
      <c r="TYY349" s="16" t="s">
        <v>4867</v>
      </c>
      <c r="TYZ349" s="16" t="s">
        <v>4867</v>
      </c>
      <c r="TZA349" s="16" t="s">
        <v>4867</v>
      </c>
      <c r="TZB349" s="16" t="s">
        <v>4867</v>
      </c>
      <c r="TZC349" s="16" t="s">
        <v>4867</v>
      </c>
      <c r="TZD349" s="16" t="s">
        <v>4867</v>
      </c>
      <c r="TZE349" s="16" t="s">
        <v>4867</v>
      </c>
      <c r="TZF349" s="16" t="s">
        <v>4867</v>
      </c>
      <c r="TZG349" s="16" t="s">
        <v>4867</v>
      </c>
      <c r="TZH349" s="16" t="s">
        <v>4867</v>
      </c>
      <c r="TZI349" s="16" t="s">
        <v>4867</v>
      </c>
      <c r="TZJ349" s="16" t="s">
        <v>4867</v>
      </c>
      <c r="TZK349" s="16" t="s">
        <v>4867</v>
      </c>
      <c r="TZL349" s="16" t="s">
        <v>4867</v>
      </c>
      <c r="TZM349" s="16" t="s">
        <v>4867</v>
      </c>
      <c r="TZN349" s="16" t="s">
        <v>4867</v>
      </c>
      <c r="TZO349" s="16" t="s">
        <v>4867</v>
      </c>
      <c r="TZP349" s="16" t="s">
        <v>4867</v>
      </c>
      <c r="TZQ349" s="16" t="s">
        <v>4867</v>
      </c>
      <c r="TZR349" s="16" t="s">
        <v>4867</v>
      </c>
      <c r="TZS349" s="16" t="s">
        <v>4867</v>
      </c>
      <c r="TZT349" s="16" t="s">
        <v>4867</v>
      </c>
      <c r="TZU349" s="16" t="s">
        <v>4867</v>
      </c>
      <c r="TZV349" s="16" t="s">
        <v>4867</v>
      </c>
      <c r="TZW349" s="16" t="s">
        <v>4867</v>
      </c>
      <c r="TZX349" s="16" t="s">
        <v>4867</v>
      </c>
      <c r="TZY349" s="16" t="s">
        <v>4867</v>
      </c>
      <c r="TZZ349" s="16" t="s">
        <v>4867</v>
      </c>
      <c r="UAA349" s="16" t="s">
        <v>4867</v>
      </c>
      <c r="UAB349" s="16" t="s">
        <v>4867</v>
      </c>
      <c r="UAC349" s="16" t="s">
        <v>4867</v>
      </c>
      <c r="UAD349" s="16" t="s">
        <v>4867</v>
      </c>
      <c r="UAE349" s="16" t="s">
        <v>4867</v>
      </c>
      <c r="UAF349" s="16" t="s">
        <v>4867</v>
      </c>
      <c r="UAG349" s="16" t="s">
        <v>4867</v>
      </c>
      <c r="UAH349" s="16" t="s">
        <v>4867</v>
      </c>
      <c r="UAI349" s="16" t="s">
        <v>4867</v>
      </c>
      <c r="UAJ349" s="16" t="s">
        <v>4867</v>
      </c>
      <c r="UAK349" s="16" t="s">
        <v>4867</v>
      </c>
      <c r="UAL349" s="16" t="s">
        <v>4867</v>
      </c>
      <c r="UAM349" s="16" t="s">
        <v>4867</v>
      </c>
      <c r="UAN349" s="16" t="s">
        <v>4867</v>
      </c>
      <c r="UAO349" s="16" t="s">
        <v>4867</v>
      </c>
      <c r="UAP349" s="16" t="s">
        <v>4867</v>
      </c>
      <c r="UAQ349" s="16" t="s">
        <v>4867</v>
      </c>
      <c r="UAR349" s="16" t="s">
        <v>4867</v>
      </c>
      <c r="UAS349" s="16" t="s">
        <v>4867</v>
      </c>
      <c r="UAT349" s="16" t="s">
        <v>4867</v>
      </c>
      <c r="UAU349" s="16" t="s">
        <v>4867</v>
      </c>
      <c r="UAV349" s="16" t="s">
        <v>4867</v>
      </c>
      <c r="UAW349" s="16" t="s">
        <v>4867</v>
      </c>
      <c r="UAX349" s="16" t="s">
        <v>4867</v>
      </c>
      <c r="UAY349" s="16" t="s">
        <v>4867</v>
      </c>
      <c r="UAZ349" s="16" t="s">
        <v>4867</v>
      </c>
      <c r="UBA349" s="16" t="s">
        <v>4867</v>
      </c>
      <c r="UBB349" s="16" t="s">
        <v>4867</v>
      </c>
      <c r="UBC349" s="16" t="s">
        <v>4867</v>
      </c>
      <c r="UBD349" s="16" t="s">
        <v>4867</v>
      </c>
      <c r="UBE349" s="16" t="s">
        <v>4867</v>
      </c>
      <c r="UBF349" s="16" t="s">
        <v>4867</v>
      </c>
      <c r="UBG349" s="16" t="s">
        <v>4867</v>
      </c>
      <c r="UBH349" s="16" t="s">
        <v>4867</v>
      </c>
      <c r="UBI349" s="16" t="s">
        <v>4867</v>
      </c>
      <c r="UBJ349" s="16" t="s">
        <v>4867</v>
      </c>
      <c r="UBK349" s="16" t="s">
        <v>4867</v>
      </c>
      <c r="UBL349" s="16" t="s">
        <v>4867</v>
      </c>
      <c r="UBM349" s="16" t="s">
        <v>4867</v>
      </c>
      <c r="UBN349" s="16" t="s">
        <v>4867</v>
      </c>
      <c r="UBO349" s="16" t="s">
        <v>4867</v>
      </c>
      <c r="UBP349" s="16" t="s">
        <v>4867</v>
      </c>
      <c r="UBQ349" s="16" t="s">
        <v>4867</v>
      </c>
      <c r="UBR349" s="16" t="s">
        <v>4867</v>
      </c>
      <c r="UBS349" s="16" t="s">
        <v>4867</v>
      </c>
      <c r="UBT349" s="16" t="s">
        <v>4867</v>
      </c>
      <c r="UBU349" s="16" t="s">
        <v>4867</v>
      </c>
      <c r="UBV349" s="16" t="s">
        <v>4867</v>
      </c>
      <c r="UBW349" s="16" t="s">
        <v>4867</v>
      </c>
      <c r="UBX349" s="16" t="s">
        <v>4867</v>
      </c>
      <c r="UBY349" s="16" t="s">
        <v>4867</v>
      </c>
      <c r="UBZ349" s="16" t="s">
        <v>4867</v>
      </c>
      <c r="UCA349" s="16" t="s">
        <v>4867</v>
      </c>
      <c r="UCB349" s="16" t="s">
        <v>4867</v>
      </c>
      <c r="UCC349" s="16" t="s">
        <v>4867</v>
      </c>
      <c r="UCD349" s="16" t="s">
        <v>4867</v>
      </c>
      <c r="UCE349" s="16" t="s">
        <v>4867</v>
      </c>
      <c r="UCF349" s="16" t="s">
        <v>4867</v>
      </c>
      <c r="UCG349" s="16" t="s">
        <v>4867</v>
      </c>
      <c r="UCH349" s="16" t="s">
        <v>4867</v>
      </c>
      <c r="UCI349" s="16" t="s">
        <v>4867</v>
      </c>
      <c r="UCJ349" s="16" t="s">
        <v>4867</v>
      </c>
      <c r="UCK349" s="16" t="s">
        <v>4867</v>
      </c>
      <c r="UCL349" s="16" t="s">
        <v>4867</v>
      </c>
      <c r="UCM349" s="16" t="s">
        <v>4867</v>
      </c>
      <c r="UCN349" s="16" t="s">
        <v>4867</v>
      </c>
      <c r="UCO349" s="16" t="s">
        <v>4867</v>
      </c>
      <c r="UCP349" s="16" t="s">
        <v>4867</v>
      </c>
      <c r="UCQ349" s="16" t="s">
        <v>4867</v>
      </c>
      <c r="UCR349" s="16" t="s">
        <v>4867</v>
      </c>
      <c r="UCS349" s="16" t="s">
        <v>4867</v>
      </c>
      <c r="UCT349" s="16" t="s">
        <v>4867</v>
      </c>
      <c r="UCU349" s="16" t="s">
        <v>4867</v>
      </c>
      <c r="UCV349" s="16" t="s">
        <v>4867</v>
      </c>
      <c r="UCW349" s="16" t="s">
        <v>4867</v>
      </c>
      <c r="UCX349" s="16" t="s">
        <v>4867</v>
      </c>
      <c r="UCY349" s="16" t="s">
        <v>4867</v>
      </c>
      <c r="UCZ349" s="16" t="s">
        <v>4867</v>
      </c>
      <c r="UDA349" s="16" t="s">
        <v>4867</v>
      </c>
      <c r="UDB349" s="16" t="s">
        <v>4867</v>
      </c>
      <c r="UDC349" s="16" t="s">
        <v>4867</v>
      </c>
      <c r="UDD349" s="16" t="s">
        <v>4867</v>
      </c>
      <c r="UDE349" s="16" t="s">
        <v>4867</v>
      </c>
      <c r="UDF349" s="16" t="s">
        <v>4867</v>
      </c>
      <c r="UDG349" s="16" t="s">
        <v>4867</v>
      </c>
      <c r="UDH349" s="16" t="s">
        <v>4867</v>
      </c>
      <c r="UDI349" s="16" t="s">
        <v>4867</v>
      </c>
      <c r="UDJ349" s="16" t="s">
        <v>4867</v>
      </c>
      <c r="UDK349" s="16" t="s">
        <v>4867</v>
      </c>
      <c r="UDL349" s="16" t="s">
        <v>4867</v>
      </c>
      <c r="UDM349" s="16" t="s">
        <v>4867</v>
      </c>
      <c r="UDN349" s="16" t="s">
        <v>4867</v>
      </c>
      <c r="UDO349" s="16" t="s">
        <v>4867</v>
      </c>
      <c r="UDP349" s="16" t="s">
        <v>4867</v>
      </c>
      <c r="UDQ349" s="16" t="s">
        <v>4867</v>
      </c>
      <c r="UDR349" s="16" t="s">
        <v>4867</v>
      </c>
      <c r="UDS349" s="16" t="s">
        <v>4867</v>
      </c>
      <c r="UDT349" s="16" t="s">
        <v>4867</v>
      </c>
      <c r="UDU349" s="16" t="s">
        <v>4867</v>
      </c>
      <c r="UDV349" s="16" t="s">
        <v>4867</v>
      </c>
      <c r="UDW349" s="16" t="s">
        <v>4867</v>
      </c>
      <c r="UDX349" s="16" t="s">
        <v>4867</v>
      </c>
      <c r="UDY349" s="16" t="s">
        <v>4867</v>
      </c>
      <c r="UDZ349" s="16" t="s">
        <v>4867</v>
      </c>
      <c r="UEA349" s="16" t="s">
        <v>4867</v>
      </c>
      <c r="UEB349" s="16" t="s">
        <v>4867</v>
      </c>
      <c r="UEC349" s="16" t="s">
        <v>4867</v>
      </c>
      <c r="UED349" s="16" t="s">
        <v>4867</v>
      </c>
      <c r="UEE349" s="16" t="s">
        <v>4867</v>
      </c>
      <c r="UEF349" s="16" t="s">
        <v>4867</v>
      </c>
      <c r="UEG349" s="16" t="s">
        <v>4867</v>
      </c>
      <c r="UEH349" s="16" t="s">
        <v>4867</v>
      </c>
      <c r="UEI349" s="16" t="s">
        <v>4867</v>
      </c>
      <c r="UEJ349" s="16" t="s">
        <v>4867</v>
      </c>
      <c r="UEK349" s="16" t="s">
        <v>4867</v>
      </c>
      <c r="UEL349" s="16" t="s">
        <v>4867</v>
      </c>
      <c r="UEM349" s="16" t="s">
        <v>4867</v>
      </c>
      <c r="UEN349" s="16" t="s">
        <v>4867</v>
      </c>
      <c r="UEO349" s="16" t="s">
        <v>4867</v>
      </c>
      <c r="UEP349" s="16" t="s">
        <v>4867</v>
      </c>
      <c r="UEQ349" s="16" t="s">
        <v>4867</v>
      </c>
      <c r="UER349" s="16" t="s">
        <v>4867</v>
      </c>
      <c r="UES349" s="16" t="s">
        <v>4867</v>
      </c>
      <c r="UET349" s="16" t="s">
        <v>4867</v>
      </c>
      <c r="UEU349" s="16" t="s">
        <v>4867</v>
      </c>
      <c r="UEV349" s="16" t="s">
        <v>4867</v>
      </c>
      <c r="UEW349" s="16" t="s">
        <v>4867</v>
      </c>
      <c r="UEX349" s="16" t="s">
        <v>4867</v>
      </c>
      <c r="UEY349" s="16" t="s">
        <v>4867</v>
      </c>
      <c r="UEZ349" s="16" t="s">
        <v>4867</v>
      </c>
      <c r="UFA349" s="16" t="s">
        <v>4867</v>
      </c>
      <c r="UFB349" s="16" t="s">
        <v>4867</v>
      </c>
      <c r="UFC349" s="16" t="s">
        <v>4867</v>
      </c>
      <c r="UFD349" s="16" t="s">
        <v>4867</v>
      </c>
      <c r="UFE349" s="16" t="s">
        <v>4867</v>
      </c>
      <c r="UFF349" s="16" t="s">
        <v>4867</v>
      </c>
      <c r="UFG349" s="16" t="s">
        <v>4867</v>
      </c>
      <c r="UFH349" s="16" t="s">
        <v>4867</v>
      </c>
      <c r="UFI349" s="16" t="s">
        <v>4867</v>
      </c>
      <c r="UFJ349" s="16" t="s">
        <v>4867</v>
      </c>
      <c r="UFK349" s="16" t="s">
        <v>4867</v>
      </c>
      <c r="UFL349" s="16" t="s">
        <v>4867</v>
      </c>
      <c r="UFM349" s="16" t="s">
        <v>4867</v>
      </c>
      <c r="UFN349" s="16" t="s">
        <v>4867</v>
      </c>
      <c r="UFO349" s="16" t="s">
        <v>4867</v>
      </c>
      <c r="UFP349" s="16" t="s">
        <v>4867</v>
      </c>
      <c r="UFQ349" s="16" t="s">
        <v>4867</v>
      </c>
      <c r="UFR349" s="16" t="s">
        <v>4867</v>
      </c>
      <c r="UFS349" s="16" t="s">
        <v>4867</v>
      </c>
      <c r="UFT349" s="16" t="s">
        <v>4867</v>
      </c>
      <c r="UFU349" s="16" t="s">
        <v>4867</v>
      </c>
      <c r="UFV349" s="16" t="s">
        <v>4867</v>
      </c>
      <c r="UFW349" s="16" t="s">
        <v>4867</v>
      </c>
      <c r="UFX349" s="16" t="s">
        <v>4867</v>
      </c>
      <c r="UFY349" s="16" t="s">
        <v>4867</v>
      </c>
      <c r="UFZ349" s="16" t="s">
        <v>4867</v>
      </c>
      <c r="UGA349" s="16" t="s">
        <v>4867</v>
      </c>
      <c r="UGB349" s="16" t="s">
        <v>4867</v>
      </c>
      <c r="UGC349" s="16" t="s">
        <v>4867</v>
      </c>
      <c r="UGD349" s="16" t="s">
        <v>4867</v>
      </c>
      <c r="UGE349" s="16" t="s">
        <v>4867</v>
      </c>
      <c r="UGF349" s="16" t="s">
        <v>4867</v>
      </c>
      <c r="UGG349" s="16" t="s">
        <v>4867</v>
      </c>
      <c r="UGH349" s="16" t="s">
        <v>4867</v>
      </c>
      <c r="UGI349" s="16" t="s">
        <v>4867</v>
      </c>
      <c r="UGJ349" s="16" t="s">
        <v>4867</v>
      </c>
      <c r="UGK349" s="16" t="s">
        <v>4867</v>
      </c>
      <c r="UGL349" s="16" t="s">
        <v>4867</v>
      </c>
      <c r="UGM349" s="16" t="s">
        <v>4867</v>
      </c>
      <c r="UGN349" s="16" t="s">
        <v>4867</v>
      </c>
      <c r="UGO349" s="16" t="s">
        <v>4867</v>
      </c>
      <c r="UGP349" s="16" t="s">
        <v>4867</v>
      </c>
      <c r="UGQ349" s="16" t="s">
        <v>4867</v>
      </c>
      <c r="UGR349" s="16" t="s">
        <v>4867</v>
      </c>
      <c r="UGS349" s="16" t="s">
        <v>4867</v>
      </c>
      <c r="UGT349" s="16" t="s">
        <v>4867</v>
      </c>
      <c r="UGU349" s="16" t="s">
        <v>4867</v>
      </c>
      <c r="UGV349" s="16" t="s">
        <v>4867</v>
      </c>
      <c r="UGW349" s="16" t="s">
        <v>4867</v>
      </c>
      <c r="UGX349" s="16" t="s">
        <v>4867</v>
      </c>
      <c r="UGY349" s="16" t="s">
        <v>4867</v>
      </c>
      <c r="UGZ349" s="16" t="s">
        <v>4867</v>
      </c>
      <c r="UHA349" s="16" t="s">
        <v>4867</v>
      </c>
      <c r="UHB349" s="16" t="s">
        <v>4867</v>
      </c>
      <c r="UHC349" s="16" t="s">
        <v>4867</v>
      </c>
      <c r="UHD349" s="16" t="s">
        <v>4867</v>
      </c>
      <c r="UHE349" s="16" t="s">
        <v>4867</v>
      </c>
      <c r="UHF349" s="16" t="s">
        <v>4867</v>
      </c>
      <c r="UHG349" s="16" t="s">
        <v>4867</v>
      </c>
      <c r="UHH349" s="16" t="s">
        <v>4867</v>
      </c>
      <c r="UHI349" s="16" t="s">
        <v>4867</v>
      </c>
      <c r="UHJ349" s="16" t="s">
        <v>4867</v>
      </c>
      <c r="UHK349" s="16" t="s">
        <v>4867</v>
      </c>
      <c r="UHL349" s="16" t="s">
        <v>4867</v>
      </c>
      <c r="UHM349" s="16" t="s">
        <v>4867</v>
      </c>
      <c r="UHN349" s="16" t="s">
        <v>4867</v>
      </c>
      <c r="UHO349" s="16" t="s">
        <v>4867</v>
      </c>
      <c r="UHP349" s="16" t="s">
        <v>4867</v>
      </c>
      <c r="UHQ349" s="16" t="s">
        <v>4867</v>
      </c>
      <c r="UHR349" s="16" t="s">
        <v>4867</v>
      </c>
      <c r="UHS349" s="16" t="s">
        <v>4867</v>
      </c>
      <c r="UHT349" s="16" t="s">
        <v>4867</v>
      </c>
      <c r="UHU349" s="16" t="s">
        <v>4867</v>
      </c>
      <c r="UHV349" s="16" t="s">
        <v>4867</v>
      </c>
      <c r="UHW349" s="16" t="s">
        <v>4867</v>
      </c>
      <c r="UHX349" s="16" t="s">
        <v>4867</v>
      </c>
      <c r="UHY349" s="16" t="s">
        <v>4867</v>
      </c>
      <c r="UHZ349" s="16" t="s">
        <v>4867</v>
      </c>
      <c r="UIA349" s="16" t="s">
        <v>4867</v>
      </c>
      <c r="UIB349" s="16" t="s">
        <v>4867</v>
      </c>
      <c r="UIC349" s="16" t="s">
        <v>4867</v>
      </c>
      <c r="UID349" s="16" t="s">
        <v>4867</v>
      </c>
      <c r="UIE349" s="16" t="s">
        <v>4867</v>
      </c>
      <c r="UIF349" s="16" t="s">
        <v>4867</v>
      </c>
      <c r="UIG349" s="16" t="s">
        <v>4867</v>
      </c>
      <c r="UIH349" s="16" t="s">
        <v>4867</v>
      </c>
      <c r="UII349" s="16" t="s">
        <v>4867</v>
      </c>
      <c r="UIJ349" s="16" t="s">
        <v>4867</v>
      </c>
      <c r="UIK349" s="16" t="s">
        <v>4867</v>
      </c>
      <c r="UIL349" s="16" t="s">
        <v>4867</v>
      </c>
      <c r="UIM349" s="16" t="s">
        <v>4867</v>
      </c>
      <c r="UIN349" s="16" t="s">
        <v>4867</v>
      </c>
      <c r="UIO349" s="16" t="s">
        <v>4867</v>
      </c>
      <c r="UIP349" s="16" t="s">
        <v>4867</v>
      </c>
      <c r="UIQ349" s="16" t="s">
        <v>4867</v>
      </c>
      <c r="UIR349" s="16" t="s">
        <v>4867</v>
      </c>
      <c r="UIS349" s="16" t="s">
        <v>4867</v>
      </c>
      <c r="UIT349" s="16" t="s">
        <v>4867</v>
      </c>
      <c r="UIU349" s="16" t="s">
        <v>4867</v>
      </c>
      <c r="UIV349" s="16" t="s">
        <v>4867</v>
      </c>
      <c r="UIW349" s="16" t="s">
        <v>4867</v>
      </c>
      <c r="UIX349" s="16" t="s">
        <v>4867</v>
      </c>
      <c r="UIY349" s="16" t="s">
        <v>4867</v>
      </c>
      <c r="UIZ349" s="16" t="s">
        <v>4867</v>
      </c>
      <c r="UJA349" s="16" t="s">
        <v>4867</v>
      </c>
      <c r="UJB349" s="16" t="s">
        <v>4867</v>
      </c>
      <c r="UJC349" s="16" t="s">
        <v>4867</v>
      </c>
      <c r="UJD349" s="16" t="s">
        <v>4867</v>
      </c>
      <c r="UJE349" s="16" t="s">
        <v>4867</v>
      </c>
      <c r="UJF349" s="16" t="s">
        <v>4867</v>
      </c>
      <c r="UJG349" s="16" t="s">
        <v>4867</v>
      </c>
      <c r="UJH349" s="16" t="s">
        <v>4867</v>
      </c>
      <c r="UJI349" s="16" t="s">
        <v>4867</v>
      </c>
      <c r="UJJ349" s="16" t="s">
        <v>4867</v>
      </c>
      <c r="UJK349" s="16" t="s">
        <v>4867</v>
      </c>
      <c r="UJL349" s="16" t="s">
        <v>4867</v>
      </c>
      <c r="UJM349" s="16" t="s">
        <v>4867</v>
      </c>
      <c r="UJN349" s="16" t="s">
        <v>4867</v>
      </c>
      <c r="UJO349" s="16" t="s">
        <v>4867</v>
      </c>
      <c r="UJP349" s="16" t="s">
        <v>4867</v>
      </c>
      <c r="UJQ349" s="16" t="s">
        <v>4867</v>
      </c>
      <c r="UJR349" s="16" t="s">
        <v>4867</v>
      </c>
      <c r="UJS349" s="16" t="s">
        <v>4867</v>
      </c>
      <c r="UJT349" s="16" t="s">
        <v>4867</v>
      </c>
      <c r="UJU349" s="16" t="s">
        <v>4867</v>
      </c>
      <c r="UJV349" s="16" t="s">
        <v>4867</v>
      </c>
      <c r="UJW349" s="16" t="s">
        <v>4867</v>
      </c>
      <c r="UJX349" s="16" t="s">
        <v>4867</v>
      </c>
      <c r="UJY349" s="16" t="s">
        <v>4867</v>
      </c>
      <c r="UJZ349" s="16" t="s">
        <v>4867</v>
      </c>
      <c r="UKA349" s="16" t="s">
        <v>4867</v>
      </c>
      <c r="UKB349" s="16" t="s">
        <v>4867</v>
      </c>
      <c r="UKC349" s="16" t="s">
        <v>4867</v>
      </c>
      <c r="UKD349" s="16" t="s">
        <v>4867</v>
      </c>
      <c r="UKE349" s="16" t="s">
        <v>4867</v>
      </c>
      <c r="UKF349" s="16" t="s">
        <v>4867</v>
      </c>
      <c r="UKG349" s="16" t="s">
        <v>4867</v>
      </c>
      <c r="UKH349" s="16" t="s">
        <v>4867</v>
      </c>
      <c r="UKI349" s="16" t="s">
        <v>4867</v>
      </c>
      <c r="UKJ349" s="16" t="s">
        <v>4867</v>
      </c>
      <c r="UKK349" s="16" t="s">
        <v>4867</v>
      </c>
      <c r="UKL349" s="16" t="s">
        <v>4867</v>
      </c>
      <c r="UKM349" s="16" t="s">
        <v>4867</v>
      </c>
      <c r="UKN349" s="16" t="s">
        <v>4867</v>
      </c>
      <c r="UKO349" s="16" t="s">
        <v>4867</v>
      </c>
      <c r="UKP349" s="16" t="s">
        <v>4867</v>
      </c>
      <c r="UKQ349" s="16" t="s">
        <v>4867</v>
      </c>
      <c r="UKR349" s="16" t="s">
        <v>4867</v>
      </c>
      <c r="UKS349" s="16" t="s">
        <v>4867</v>
      </c>
      <c r="UKT349" s="16" t="s">
        <v>4867</v>
      </c>
      <c r="UKU349" s="16" t="s">
        <v>4867</v>
      </c>
      <c r="UKV349" s="16" t="s">
        <v>4867</v>
      </c>
      <c r="UKW349" s="16" t="s">
        <v>4867</v>
      </c>
      <c r="UKX349" s="16" t="s">
        <v>4867</v>
      </c>
      <c r="UKY349" s="16" t="s">
        <v>4867</v>
      </c>
      <c r="UKZ349" s="16" t="s">
        <v>4867</v>
      </c>
      <c r="ULA349" s="16" t="s">
        <v>4867</v>
      </c>
      <c r="ULB349" s="16" t="s">
        <v>4867</v>
      </c>
      <c r="ULC349" s="16" t="s">
        <v>4867</v>
      </c>
      <c r="ULD349" s="16" t="s">
        <v>4867</v>
      </c>
      <c r="ULE349" s="16" t="s">
        <v>4867</v>
      </c>
      <c r="ULF349" s="16" t="s">
        <v>4867</v>
      </c>
      <c r="ULG349" s="16" t="s">
        <v>4867</v>
      </c>
      <c r="ULH349" s="16" t="s">
        <v>4867</v>
      </c>
      <c r="ULI349" s="16" t="s">
        <v>4867</v>
      </c>
      <c r="ULJ349" s="16" t="s">
        <v>4867</v>
      </c>
      <c r="ULK349" s="16" t="s">
        <v>4867</v>
      </c>
      <c r="ULL349" s="16" t="s">
        <v>4867</v>
      </c>
      <c r="ULM349" s="16" t="s">
        <v>4867</v>
      </c>
      <c r="ULN349" s="16" t="s">
        <v>4867</v>
      </c>
      <c r="ULO349" s="16" t="s">
        <v>4867</v>
      </c>
      <c r="ULP349" s="16" t="s">
        <v>4867</v>
      </c>
      <c r="ULQ349" s="16" t="s">
        <v>4867</v>
      </c>
      <c r="ULR349" s="16" t="s">
        <v>4867</v>
      </c>
      <c r="ULS349" s="16" t="s">
        <v>4867</v>
      </c>
      <c r="ULT349" s="16" t="s">
        <v>4867</v>
      </c>
      <c r="ULU349" s="16" t="s">
        <v>4867</v>
      </c>
      <c r="ULV349" s="16" t="s">
        <v>4867</v>
      </c>
      <c r="ULW349" s="16" t="s">
        <v>4867</v>
      </c>
      <c r="ULX349" s="16" t="s">
        <v>4867</v>
      </c>
      <c r="ULY349" s="16" t="s">
        <v>4867</v>
      </c>
      <c r="ULZ349" s="16" t="s">
        <v>4867</v>
      </c>
      <c r="UMA349" s="16" t="s">
        <v>4867</v>
      </c>
      <c r="UMB349" s="16" t="s">
        <v>4867</v>
      </c>
      <c r="UMC349" s="16" t="s">
        <v>4867</v>
      </c>
      <c r="UMD349" s="16" t="s">
        <v>4867</v>
      </c>
      <c r="UME349" s="16" t="s">
        <v>4867</v>
      </c>
      <c r="UMF349" s="16" t="s">
        <v>4867</v>
      </c>
      <c r="UMG349" s="16" t="s">
        <v>4867</v>
      </c>
      <c r="UMH349" s="16" t="s">
        <v>4867</v>
      </c>
      <c r="UMI349" s="16" t="s">
        <v>4867</v>
      </c>
      <c r="UMJ349" s="16" t="s">
        <v>4867</v>
      </c>
      <c r="UMK349" s="16" t="s">
        <v>4867</v>
      </c>
      <c r="UML349" s="16" t="s">
        <v>4867</v>
      </c>
      <c r="UMM349" s="16" t="s">
        <v>4867</v>
      </c>
      <c r="UMN349" s="16" t="s">
        <v>4867</v>
      </c>
      <c r="UMO349" s="16" t="s">
        <v>4867</v>
      </c>
      <c r="UMP349" s="16" t="s">
        <v>4867</v>
      </c>
      <c r="UMQ349" s="16" t="s">
        <v>4867</v>
      </c>
      <c r="UMR349" s="16" t="s">
        <v>4867</v>
      </c>
      <c r="UMS349" s="16" t="s">
        <v>4867</v>
      </c>
      <c r="UMT349" s="16" t="s">
        <v>4867</v>
      </c>
      <c r="UMU349" s="16" t="s">
        <v>4867</v>
      </c>
      <c r="UMV349" s="16" t="s">
        <v>4867</v>
      </c>
      <c r="UMW349" s="16" t="s">
        <v>4867</v>
      </c>
      <c r="UMX349" s="16" t="s">
        <v>4867</v>
      </c>
      <c r="UMY349" s="16" t="s">
        <v>4867</v>
      </c>
      <c r="UMZ349" s="16" t="s">
        <v>4867</v>
      </c>
      <c r="UNA349" s="16" t="s">
        <v>4867</v>
      </c>
      <c r="UNB349" s="16" t="s">
        <v>4867</v>
      </c>
      <c r="UNC349" s="16" t="s">
        <v>4867</v>
      </c>
      <c r="UND349" s="16" t="s">
        <v>4867</v>
      </c>
      <c r="UNE349" s="16" t="s">
        <v>4867</v>
      </c>
      <c r="UNF349" s="16" t="s">
        <v>4867</v>
      </c>
      <c r="UNG349" s="16" t="s">
        <v>4867</v>
      </c>
      <c r="UNH349" s="16" t="s">
        <v>4867</v>
      </c>
      <c r="UNI349" s="16" t="s">
        <v>4867</v>
      </c>
      <c r="UNJ349" s="16" t="s">
        <v>4867</v>
      </c>
      <c r="UNK349" s="16" t="s">
        <v>4867</v>
      </c>
      <c r="UNL349" s="16" t="s">
        <v>4867</v>
      </c>
      <c r="UNM349" s="16" t="s">
        <v>4867</v>
      </c>
      <c r="UNN349" s="16" t="s">
        <v>4867</v>
      </c>
      <c r="UNO349" s="16" t="s">
        <v>4867</v>
      </c>
      <c r="UNP349" s="16" t="s">
        <v>4867</v>
      </c>
      <c r="UNQ349" s="16" t="s">
        <v>4867</v>
      </c>
      <c r="UNR349" s="16" t="s">
        <v>4867</v>
      </c>
      <c r="UNS349" s="16" t="s">
        <v>4867</v>
      </c>
      <c r="UNT349" s="16" t="s">
        <v>4867</v>
      </c>
      <c r="UNU349" s="16" t="s">
        <v>4867</v>
      </c>
      <c r="UNV349" s="16" t="s">
        <v>4867</v>
      </c>
      <c r="UNW349" s="16" t="s">
        <v>4867</v>
      </c>
      <c r="UNX349" s="16" t="s">
        <v>4867</v>
      </c>
      <c r="UNY349" s="16" t="s">
        <v>4867</v>
      </c>
      <c r="UNZ349" s="16" t="s">
        <v>4867</v>
      </c>
      <c r="UOA349" s="16" t="s">
        <v>4867</v>
      </c>
      <c r="UOB349" s="16" t="s">
        <v>4867</v>
      </c>
      <c r="UOC349" s="16" t="s">
        <v>4867</v>
      </c>
      <c r="UOD349" s="16" t="s">
        <v>4867</v>
      </c>
      <c r="UOE349" s="16" t="s">
        <v>4867</v>
      </c>
      <c r="UOF349" s="16" t="s">
        <v>4867</v>
      </c>
      <c r="UOG349" s="16" t="s">
        <v>4867</v>
      </c>
      <c r="UOH349" s="16" t="s">
        <v>4867</v>
      </c>
      <c r="UOI349" s="16" t="s">
        <v>4867</v>
      </c>
      <c r="UOJ349" s="16" t="s">
        <v>4867</v>
      </c>
      <c r="UOK349" s="16" t="s">
        <v>4867</v>
      </c>
      <c r="UOL349" s="16" t="s">
        <v>4867</v>
      </c>
      <c r="UOM349" s="16" t="s">
        <v>4867</v>
      </c>
      <c r="UON349" s="16" t="s">
        <v>4867</v>
      </c>
      <c r="UOO349" s="16" t="s">
        <v>4867</v>
      </c>
      <c r="UOP349" s="16" t="s">
        <v>4867</v>
      </c>
      <c r="UOQ349" s="16" t="s">
        <v>4867</v>
      </c>
      <c r="UOR349" s="16" t="s">
        <v>4867</v>
      </c>
      <c r="UOS349" s="16" t="s">
        <v>4867</v>
      </c>
      <c r="UOT349" s="16" t="s">
        <v>4867</v>
      </c>
      <c r="UOU349" s="16" t="s">
        <v>4867</v>
      </c>
      <c r="UOV349" s="16" t="s">
        <v>4867</v>
      </c>
      <c r="UOW349" s="16" t="s">
        <v>4867</v>
      </c>
      <c r="UOX349" s="16" t="s">
        <v>4867</v>
      </c>
      <c r="UOY349" s="16" t="s">
        <v>4867</v>
      </c>
      <c r="UOZ349" s="16" t="s">
        <v>4867</v>
      </c>
      <c r="UPA349" s="16" t="s">
        <v>4867</v>
      </c>
      <c r="UPB349" s="16" t="s">
        <v>4867</v>
      </c>
      <c r="UPC349" s="16" t="s">
        <v>4867</v>
      </c>
      <c r="UPD349" s="16" t="s">
        <v>4867</v>
      </c>
      <c r="UPE349" s="16" t="s">
        <v>4867</v>
      </c>
      <c r="UPF349" s="16" t="s">
        <v>4867</v>
      </c>
      <c r="UPG349" s="16" t="s">
        <v>4867</v>
      </c>
      <c r="UPH349" s="16" t="s">
        <v>4867</v>
      </c>
      <c r="UPI349" s="16" t="s">
        <v>4867</v>
      </c>
      <c r="UPJ349" s="16" t="s">
        <v>4867</v>
      </c>
      <c r="UPK349" s="16" t="s">
        <v>4867</v>
      </c>
      <c r="UPL349" s="16" t="s">
        <v>4867</v>
      </c>
      <c r="UPM349" s="16" t="s">
        <v>4867</v>
      </c>
      <c r="UPN349" s="16" t="s">
        <v>4867</v>
      </c>
      <c r="UPO349" s="16" t="s">
        <v>4867</v>
      </c>
      <c r="UPP349" s="16" t="s">
        <v>4867</v>
      </c>
      <c r="UPQ349" s="16" t="s">
        <v>4867</v>
      </c>
      <c r="UPR349" s="16" t="s">
        <v>4867</v>
      </c>
      <c r="UPS349" s="16" t="s">
        <v>4867</v>
      </c>
      <c r="UPT349" s="16" t="s">
        <v>4867</v>
      </c>
      <c r="UPU349" s="16" t="s">
        <v>4867</v>
      </c>
      <c r="UPV349" s="16" t="s">
        <v>4867</v>
      </c>
      <c r="UPW349" s="16" t="s">
        <v>4867</v>
      </c>
      <c r="UPX349" s="16" t="s">
        <v>4867</v>
      </c>
      <c r="UPY349" s="16" t="s">
        <v>4867</v>
      </c>
      <c r="UPZ349" s="16" t="s">
        <v>4867</v>
      </c>
      <c r="UQA349" s="16" t="s">
        <v>4867</v>
      </c>
      <c r="UQB349" s="16" t="s">
        <v>4867</v>
      </c>
      <c r="UQC349" s="16" t="s">
        <v>4867</v>
      </c>
      <c r="UQD349" s="16" t="s">
        <v>4867</v>
      </c>
      <c r="UQE349" s="16" t="s">
        <v>4867</v>
      </c>
      <c r="UQF349" s="16" t="s">
        <v>4867</v>
      </c>
      <c r="UQG349" s="16" t="s">
        <v>4867</v>
      </c>
      <c r="UQH349" s="16" t="s">
        <v>4867</v>
      </c>
      <c r="UQI349" s="16" t="s">
        <v>4867</v>
      </c>
      <c r="UQJ349" s="16" t="s">
        <v>4867</v>
      </c>
      <c r="UQK349" s="16" t="s">
        <v>4867</v>
      </c>
      <c r="UQL349" s="16" t="s">
        <v>4867</v>
      </c>
      <c r="UQM349" s="16" t="s">
        <v>4867</v>
      </c>
      <c r="UQN349" s="16" t="s">
        <v>4867</v>
      </c>
      <c r="UQO349" s="16" t="s">
        <v>4867</v>
      </c>
      <c r="UQP349" s="16" t="s">
        <v>4867</v>
      </c>
      <c r="UQQ349" s="16" t="s">
        <v>4867</v>
      </c>
      <c r="UQR349" s="16" t="s">
        <v>4867</v>
      </c>
      <c r="UQS349" s="16" t="s">
        <v>4867</v>
      </c>
      <c r="UQT349" s="16" t="s">
        <v>4867</v>
      </c>
      <c r="UQU349" s="16" t="s">
        <v>4867</v>
      </c>
      <c r="UQV349" s="16" t="s">
        <v>4867</v>
      </c>
      <c r="UQW349" s="16" t="s">
        <v>4867</v>
      </c>
      <c r="UQX349" s="16" t="s">
        <v>4867</v>
      </c>
      <c r="UQY349" s="16" t="s">
        <v>4867</v>
      </c>
      <c r="UQZ349" s="16" t="s">
        <v>4867</v>
      </c>
      <c r="URA349" s="16" t="s">
        <v>4867</v>
      </c>
      <c r="URB349" s="16" t="s">
        <v>4867</v>
      </c>
      <c r="URC349" s="16" t="s">
        <v>4867</v>
      </c>
      <c r="URD349" s="16" t="s">
        <v>4867</v>
      </c>
      <c r="URE349" s="16" t="s">
        <v>4867</v>
      </c>
      <c r="URF349" s="16" t="s">
        <v>4867</v>
      </c>
      <c r="URG349" s="16" t="s">
        <v>4867</v>
      </c>
      <c r="URH349" s="16" t="s">
        <v>4867</v>
      </c>
      <c r="URI349" s="16" t="s">
        <v>4867</v>
      </c>
      <c r="URJ349" s="16" t="s">
        <v>4867</v>
      </c>
      <c r="URK349" s="16" t="s">
        <v>4867</v>
      </c>
      <c r="URL349" s="16" t="s">
        <v>4867</v>
      </c>
      <c r="URM349" s="16" t="s">
        <v>4867</v>
      </c>
      <c r="URN349" s="16" t="s">
        <v>4867</v>
      </c>
      <c r="URO349" s="16" t="s">
        <v>4867</v>
      </c>
      <c r="URP349" s="16" t="s">
        <v>4867</v>
      </c>
      <c r="URQ349" s="16" t="s">
        <v>4867</v>
      </c>
      <c r="URR349" s="16" t="s">
        <v>4867</v>
      </c>
      <c r="URS349" s="16" t="s">
        <v>4867</v>
      </c>
      <c r="URT349" s="16" t="s">
        <v>4867</v>
      </c>
      <c r="URU349" s="16" t="s">
        <v>4867</v>
      </c>
      <c r="URV349" s="16" t="s">
        <v>4867</v>
      </c>
      <c r="URW349" s="16" t="s">
        <v>4867</v>
      </c>
      <c r="URX349" s="16" t="s">
        <v>4867</v>
      </c>
      <c r="URY349" s="16" t="s">
        <v>4867</v>
      </c>
      <c r="URZ349" s="16" t="s">
        <v>4867</v>
      </c>
      <c r="USA349" s="16" t="s">
        <v>4867</v>
      </c>
      <c r="USB349" s="16" t="s">
        <v>4867</v>
      </c>
      <c r="USC349" s="16" t="s">
        <v>4867</v>
      </c>
      <c r="USD349" s="16" t="s">
        <v>4867</v>
      </c>
      <c r="USE349" s="16" t="s">
        <v>4867</v>
      </c>
      <c r="USF349" s="16" t="s">
        <v>4867</v>
      </c>
      <c r="USG349" s="16" t="s">
        <v>4867</v>
      </c>
      <c r="USH349" s="16" t="s">
        <v>4867</v>
      </c>
      <c r="USI349" s="16" t="s">
        <v>4867</v>
      </c>
      <c r="USJ349" s="16" t="s">
        <v>4867</v>
      </c>
      <c r="USK349" s="16" t="s">
        <v>4867</v>
      </c>
      <c r="USL349" s="16" t="s">
        <v>4867</v>
      </c>
      <c r="USM349" s="16" t="s">
        <v>4867</v>
      </c>
      <c r="USN349" s="16" t="s">
        <v>4867</v>
      </c>
      <c r="USO349" s="16" t="s">
        <v>4867</v>
      </c>
      <c r="USP349" s="16" t="s">
        <v>4867</v>
      </c>
      <c r="USQ349" s="16" t="s">
        <v>4867</v>
      </c>
      <c r="USR349" s="16" t="s">
        <v>4867</v>
      </c>
      <c r="USS349" s="16" t="s">
        <v>4867</v>
      </c>
      <c r="UST349" s="16" t="s">
        <v>4867</v>
      </c>
      <c r="USU349" s="16" t="s">
        <v>4867</v>
      </c>
      <c r="USV349" s="16" t="s">
        <v>4867</v>
      </c>
      <c r="USW349" s="16" t="s">
        <v>4867</v>
      </c>
      <c r="USX349" s="16" t="s">
        <v>4867</v>
      </c>
      <c r="USY349" s="16" t="s">
        <v>4867</v>
      </c>
      <c r="USZ349" s="16" t="s">
        <v>4867</v>
      </c>
      <c r="UTA349" s="16" t="s">
        <v>4867</v>
      </c>
      <c r="UTB349" s="16" t="s">
        <v>4867</v>
      </c>
      <c r="UTC349" s="16" t="s">
        <v>4867</v>
      </c>
      <c r="UTD349" s="16" t="s">
        <v>4867</v>
      </c>
      <c r="UTE349" s="16" t="s">
        <v>4867</v>
      </c>
      <c r="UTF349" s="16" t="s">
        <v>4867</v>
      </c>
      <c r="UTG349" s="16" t="s">
        <v>4867</v>
      </c>
      <c r="UTH349" s="16" t="s">
        <v>4867</v>
      </c>
      <c r="UTI349" s="16" t="s">
        <v>4867</v>
      </c>
      <c r="UTJ349" s="16" t="s">
        <v>4867</v>
      </c>
      <c r="UTK349" s="16" t="s">
        <v>4867</v>
      </c>
      <c r="UTL349" s="16" t="s">
        <v>4867</v>
      </c>
      <c r="UTM349" s="16" t="s">
        <v>4867</v>
      </c>
      <c r="UTN349" s="16" t="s">
        <v>4867</v>
      </c>
      <c r="UTO349" s="16" t="s">
        <v>4867</v>
      </c>
      <c r="UTP349" s="16" t="s">
        <v>4867</v>
      </c>
      <c r="UTQ349" s="16" t="s">
        <v>4867</v>
      </c>
      <c r="UTR349" s="16" t="s">
        <v>4867</v>
      </c>
      <c r="UTS349" s="16" t="s">
        <v>4867</v>
      </c>
      <c r="UTT349" s="16" t="s">
        <v>4867</v>
      </c>
      <c r="UTU349" s="16" t="s">
        <v>4867</v>
      </c>
      <c r="UTV349" s="16" t="s">
        <v>4867</v>
      </c>
      <c r="UTW349" s="16" t="s">
        <v>4867</v>
      </c>
      <c r="UTX349" s="16" t="s">
        <v>4867</v>
      </c>
      <c r="UTY349" s="16" t="s">
        <v>4867</v>
      </c>
      <c r="UTZ349" s="16" t="s">
        <v>4867</v>
      </c>
      <c r="UUA349" s="16" t="s">
        <v>4867</v>
      </c>
      <c r="UUB349" s="16" t="s">
        <v>4867</v>
      </c>
      <c r="UUC349" s="16" t="s">
        <v>4867</v>
      </c>
      <c r="UUD349" s="16" t="s">
        <v>4867</v>
      </c>
      <c r="UUE349" s="16" t="s">
        <v>4867</v>
      </c>
      <c r="UUF349" s="16" t="s">
        <v>4867</v>
      </c>
      <c r="UUG349" s="16" t="s">
        <v>4867</v>
      </c>
      <c r="UUH349" s="16" t="s">
        <v>4867</v>
      </c>
      <c r="UUI349" s="16" t="s">
        <v>4867</v>
      </c>
      <c r="UUJ349" s="16" t="s">
        <v>4867</v>
      </c>
      <c r="UUK349" s="16" t="s">
        <v>4867</v>
      </c>
      <c r="UUL349" s="16" t="s">
        <v>4867</v>
      </c>
      <c r="UUM349" s="16" t="s">
        <v>4867</v>
      </c>
      <c r="UUN349" s="16" t="s">
        <v>4867</v>
      </c>
      <c r="UUO349" s="16" t="s">
        <v>4867</v>
      </c>
      <c r="UUP349" s="16" t="s">
        <v>4867</v>
      </c>
      <c r="UUQ349" s="16" t="s">
        <v>4867</v>
      </c>
      <c r="UUR349" s="16" t="s">
        <v>4867</v>
      </c>
      <c r="UUS349" s="16" t="s">
        <v>4867</v>
      </c>
      <c r="UUT349" s="16" t="s">
        <v>4867</v>
      </c>
      <c r="UUU349" s="16" t="s">
        <v>4867</v>
      </c>
      <c r="UUV349" s="16" t="s">
        <v>4867</v>
      </c>
      <c r="UUW349" s="16" t="s">
        <v>4867</v>
      </c>
      <c r="UUX349" s="16" t="s">
        <v>4867</v>
      </c>
      <c r="UUY349" s="16" t="s">
        <v>4867</v>
      </c>
      <c r="UUZ349" s="16" t="s">
        <v>4867</v>
      </c>
      <c r="UVA349" s="16" t="s">
        <v>4867</v>
      </c>
      <c r="UVB349" s="16" t="s">
        <v>4867</v>
      </c>
      <c r="UVC349" s="16" t="s">
        <v>4867</v>
      </c>
      <c r="UVD349" s="16" t="s">
        <v>4867</v>
      </c>
      <c r="UVE349" s="16" t="s">
        <v>4867</v>
      </c>
      <c r="UVF349" s="16" t="s">
        <v>4867</v>
      </c>
      <c r="UVG349" s="16" t="s">
        <v>4867</v>
      </c>
      <c r="UVH349" s="16" t="s">
        <v>4867</v>
      </c>
      <c r="UVI349" s="16" t="s">
        <v>4867</v>
      </c>
      <c r="UVJ349" s="16" t="s">
        <v>4867</v>
      </c>
      <c r="UVK349" s="16" t="s">
        <v>4867</v>
      </c>
      <c r="UVL349" s="16" t="s">
        <v>4867</v>
      </c>
      <c r="UVM349" s="16" t="s">
        <v>4867</v>
      </c>
      <c r="UVN349" s="16" t="s">
        <v>4867</v>
      </c>
      <c r="UVO349" s="16" t="s">
        <v>4867</v>
      </c>
      <c r="UVP349" s="16" t="s">
        <v>4867</v>
      </c>
      <c r="UVQ349" s="16" t="s">
        <v>4867</v>
      </c>
      <c r="UVR349" s="16" t="s">
        <v>4867</v>
      </c>
      <c r="UVS349" s="16" t="s">
        <v>4867</v>
      </c>
      <c r="UVT349" s="16" t="s">
        <v>4867</v>
      </c>
      <c r="UVU349" s="16" t="s">
        <v>4867</v>
      </c>
      <c r="UVV349" s="16" t="s">
        <v>4867</v>
      </c>
      <c r="UVW349" s="16" t="s">
        <v>4867</v>
      </c>
      <c r="UVX349" s="16" t="s">
        <v>4867</v>
      </c>
      <c r="UVY349" s="16" t="s">
        <v>4867</v>
      </c>
      <c r="UVZ349" s="16" t="s">
        <v>4867</v>
      </c>
      <c r="UWA349" s="16" t="s">
        <v>4867</v>
      </c>
      <c r="UWB349" s="16" t="s">
        <v>4867</v>
      </c>
      <c r="UWC349" s="16" t="s">
        <v>4867</v>
      </c>
      <c r="UWD349" s="16" t="s">
        <v>4867</v>
      </c>
      <c r="UWE349" s="16" t="s">
        <v>4867</v>
      </c>
      <c r="UWF349" s="16" t="s">
        <v>4867</v>
      </c>
      <c r="UWG349" s="16" t="s">
        <v>4867</v>
      </c>
      <c r="UWH349" s="16" t="s">
        <v>4867</v>
      </c>
      <c r="UWI349" s="16" t="s">
        <v>4867</v>
      </c>
      <c r="UWJ349" s="16" t="s">
        <v>4867</v>
      </c>
      <c r="UWK349" s="16" t="s">
        <v>4867</v>
      </c>
      <c r="UWL349" s="16" t="s">
        <v>4867</v>
      </c>
      <c r="UWM349" s="16" t="s">
        <v>4867</v>
      </c>
      <c r="UWN349" s="16" t="s">
        <v>4867</v>
      </c>
      <c r="UWO349" s="16" t="s">
        <v>4867</v>
      </c>
      <c r="UWP349" s="16" t="s">
        <v>4867</v>
      </c>
      <c r="UWQ349" s="16" t="s">
        <v>4867</v>
      </c>
      <c r="UWR349" s="16" t="s">
        <v>4867</v>
      </c>
      <c r="UWS349" s="16" t="s">
        <v>4867</v>
      </c>
      <c r="UWT349" s="16" t="s">
        <v>4867</v>
      </c>
      <c r="UWU349" s="16" t="s">
        <v>4867</v>
      </c>
      <c r="UWV349" s="16" t="s">
        <v>4867</v>
      </c>
      <c r="UWW349" s="16" t="s">
        <v>4867</v>
      </c>
      <c r="UWX349" s="16" t="s">
        <v>4867</v>
      </c>
      <c r="UWY349" s="16" t="s">
        <v>4867</v>
      </c>
      <c r="UWZ349" s="16" t="s">
        <v>4867</v>
      </c>
      <c r="UXA349" s="16" t="s">
        <v>4867</v>
      </c>
      <c r="UXB349" s="16" t="s">
        <v>4867</v>
      </c>
      <c r="UXC349" s="16" t="s">
        <v>4867</v>
      </c>
      <c r="UXD349" s="16" t="s">
        <v>4867</v>
      </c>
      <c r="UXE349" s="16" t="s">
        <v>4867</v>
      </c>
      <c r="UXF349" s="16" t="s">
        <v>4867</v>
      </c>
      <c r="UXG349" s="16" t="s">
        <v>4867</v>
      </c>
      <c r="UXH349" s="16" t="s">
        <v>4867</v>
      </c>
      <c r="UXI349" s="16" t="s">
        <v>4867</v>
      </c>
      <c r="UXJ349" s="16" t="s">
        <v>4867</v>
      </c>
      <c r="UXK349" s="16" t="s">
        <v>4867</v>
      </c>
      <c r="UXL349" s="16" t="s">
        <v>4867</v>
      </c>
      <c r="UXM349" s="16" t="s">
        <v>4867</v>
      </c>
      <c r="UXN349" s="16" t="s">
        <v>4867</v>
      </c>
      <c r="UXO349" s="16" t="s">
        <v>4867</v>
      </c>
      <c r="UXP349" s="16" t="s">
        <v>4867</v>
      </c>
      <c r="UXQ349" s="16" t="s">
        <v>4867</v>
      </c>
      <c r="UXR349" s="16" t="s">
        <v>4867</v>
      </c>
      <c r="UXS349" s="16" t="s">
        <v>4867</v>
      </c>
      <c r="UXT349" s="16" t="s">
        <v>4867</v>
      </c>
      <c r="UXU349" s="16" t="s">
        <v>4867</v>
      </c>
      <c r="UXV349" s="16" t="s">
        <v>4867</v>
      </c>
      <c r="UXW349" s="16" t="s">
        <v>4867</v>
      </c>
      <c r="UXX349" s="16" t="s">
        <v>4867</v>
      </c>
      <c r="UXY349" s="16" t="s">
        <v>4867</v>
      </c>
      <c r="UXZ349" s="16" t="s">
        <v>4867</v>
      </c>
      <c r="UYA349" s="16" t="s">
        <v>4867</v>
      </c>
      <c r="UYB349" s="16" t="s">
        <v>4867</v>
      </c>
      <c r="UYC349" s="16" t="s">
        <v>4867</v>
      </c>
      <c r="UYD349" s="16" t="s">
        <v>4867</v>
      </c>
      <c r="UYE349" s="16" t="s">
        <v>4867</v>
      </c>
      <c r="UYF349" s="16" t="s">
        <v>4867</v>
      </c>
      <c r="UYG349" s="16" t="s">
        <v>4867</v>
      </c>
      <c r="UYH349" s="16" t="s">
        <v>4867</v>
      </c>
      <c r="UYI349" s="16" t="s">
        <v>4867</v>
      </c>
      <c r="UYJ349" s="16" t="s">
        <v>4867</v>
      </c>
      <c r="UYK349" s="16" t="s">
        <v>4867</v>
      </c>
      <c r="UYL349" s="16" t="s">
        <v>4867</v>
      </c>
      <c r="UYM349" s="16" t="s">
        <v>4867</v>
      </c>
      <c r="UYN349" s="16" t="s">
        <v>4867</v>
      </c>
      <c r="UYO349" s="16" t="s">
        <v>4867</v>
      </c>
      <c r="UYP349" s="16" t="s">
        <v>4867</v>
      </c>
      <c r="UYQ349" s="16" t="s">
        <v>4867</v>
      </c>
      <c r="UYR349" s="16" t="s">
        <v>4867</v>
      </c>
      <c r="UYS349" s="16" t="s">
        <v>4867</v>
      </c>
      <c r="UYT349" s="16" t="s">
        <v>4867</v>
      </c>
      <c r="UYU349" s="16" t="s">
        <v>4867</v>
      </c>
      <c r="UYV349" s="16" t="s">
        <v>4867</v>
      </c>
      <c r="UYW349" s="16" t="s">
        <v>4867</v>
      </c>
      <c r="UYX349" s="16" t="s">
        <v>4867</v>
      </c>
      <c r="UYY349" s="16" t="s">
        <v>4867</v>
      </c>
      <c r="UYZ349" s="16" t="s">
        <v>4867</v>
      </c>
      <c r="UZA349" s="16" t="s">
        <v>4867</v>
      </c>
      <c r="UZB349" s="16" t="s">
        <v>4867</v>
      </c>
      <c r="UZC349" s="16" t="s">
        <v>4867</v>
      </c>
      <c r="UZD349" s="16" t="s">
        <v>4867</v>
      </c>
      <c r="UZE349" s="16" t="s">
        <v>4867</v>
      </c>
      <c r="UZF349" s="16" t="s">
        <v>4867</v>
      </c>
      <c r="UZG349" s="16" t="s">
        <v>4867</v>
      </c>
      <c r="UZH349" s="16" t="s">
        <v>4867</v>
      </c>
      <c r="UZI349" s="16" t="s">
        <v>4867</v>
      </c>
      <c r="UZJ349" s="16" t="s">
        <v>4867</v>
      </c>
      <c r="UZK349" s="16" t="s">
        <v>4867</v>
      </c>
      <c r="UZL349" s="16" t="s">
        <v>4867</v>
      </c>
      <c r="UZM349" s="16" t="s">
        <v>4867</v>
      </c>
      <c r="UZN349" s="16" t="s">
        <v>4867</v>
      </c>
      <c r="UZO349" s="16" t="s">
        <v>4867</v>
      </c>
      <c r="UZP349" s="16" t="s">
        <v>4867</v>
      </c>
      <c r="UZQ349" s="16" t="s">
        <v>4867</v>
      </c>
      <c r="UZR349" s="16" t="s">
        <v>4867</v>
      </c>
      <c r="UZS349" s="16" t="s">
        <v>4867</v>
      </c>
      <c r="UZT349" s="16" t="s">
        <v>4867</v>
      </c>
      <c r="UZU349" s="16" t="s">
        <v>4867</v>
      </c>
      <c r="UZV349" s="16" t="s">
        <v>4867</v>
      </c>
      <c r="UZW349" s="16" t="s">
        <v>4867</v>
      </c>
      <c r="UZX349" s="16" t="s">
        <v>4867</v>
      </c>
      <c r="UZY349" s="16" t="s">
        <v>4867</v>
      </c>
      <c r="UZZ349" s="16" t="s">
        <v>4867</v>
      </c>
      <c r="VAA349" s="16" t="s">
        <v>4867</v>
      </c>
      <c r="VAB349" s="16" t="s">
        <v>4867</v>
      </c>
      <c r="VAC349" s="16" t="s">
        <v>4867</v>
      </c>
      <c r="VAD349" s="16" t="s">
        <v>4867</v>
      </c>
      <c r="VAE349" s="16" t="s">
        <v>4867</v>
      </c>
      <c r="VAF349" s="16" t="s">
        <v>4867</v>
      </c>
      <c r="VAG349" s="16" t="s">
        <v>4867</v>
      </c>
      <c r="VAH349" s="16" t="s">
        <v>4867</v>
      </c>
      <c r="VAI349" s="16" t="s">
        <v>4867</v>
      </c>
      <c r="VAJ349" s="16" t="s">
        <v>4867</v>
      </c>
      <c r="VAK349" s="16" t="s">
        <v>4867</v>
      </c>
      <c r="VAL349" s="16" t="s">
        <v>4867</v>
      </c>
      <c r="VAM349" s="16" t="s">
        <v>4867</v>
      </c>
      <c r="VAN349" s="16" t="s">
        <v>4867</v>
      </c>
      <c r="VAO349" s="16" t="s">
        <v>4867</v>
      </c>
      <c r="VAP349" s="16" t="s">
        <v>4867</v>
      </c>
      <c r="VAQ349" s="16" t="s">
        <v>4867</v>
      </c>
      <c r="VAR349" s="16" t="s">
        <v>4867</v>
      </c>
      <c r="VAS349" s="16" t="s">
        <v>4867</v>
      </c>
      <c r="VAT349" s="16" t="s">
        <v>4867</v>
      </c>
      <c r="VAU349" s="16" t="s">
        <v>4867</v>
      </c>
      <c r="VAV349" s="16" t="s">
        <v>4867</v>
      </c>
      <c r="VAW349" s="16" t="s">
        <v>4867</v>
      </c>
      <c r="VAX349" s="16" t="s">
        <v>4867</v>
      </c>
      <c r="VAY349" s="16" t="s">
        <v>4867</v>
      </c>
      <c r="VAZ349" s="16" t="s">
        <v>4867</v>
      </c>
      <c r="VBA349" s="16" t="s">
        <v>4867</v>
      </c>
      <c r="VBB349" s="16" t="s">
        <v>4867</v>
      </c>
      <c r="VBC349" s="16" t="s">
        <v>4867</v>
      </c>
      <c r="VBD349" s="16" t="s">
        <v>4867</v>
      </c>
      <c r="VBE349" s="16" t="s">
        <v>4867</v>
      </c>
      <c r="VBF349" s="16" t="s">
        <v>4867</v>
      </c>
      <c r="VBG349" s="16" t="s">
        <v>4867</v>
      </c>
      <c r="VBH349" s="16" t="s">
        <v>4867</v>
      </c>
      <c r="VBI349" s="16" t="s">
        <v>4867</v>
      </c>
      <c r="VBJ349" s="16" t="s">
        <v>4867</v>
      </c>
      <c r="VBK349" s="16" t="s">
        <v>4867</v>
      </c>
      <c r="VBL349" s="16" t="s">
        <v>4867</v>
      </c>
      <c r="VBM349" s="16" t="s">
        <v>4867</v>
      </c>
      <c r="VBN349" s="16" t="s">
        <v>4867</v>
      </c>
      <c r="VBO349" s="16" t="s">
        <v>4867</v>
      </c>
      <c r="VBP349" s="16" t="s">
        <v>4867</v>
      </c>
      <c r="VBQ349" s="16" t="s">
        <v>4867</v>
      </c>
      <c r="VBR349" s="16" t="s">
        <v>4867</v>
      </c>
      <c r="VBS349" s="16" t="s">
        <v>4867</v>
      </c>
      <c r="VBT349" s="16" t="s">
        <v>4867</v>
      </c>
      <c r="VBU349" s="16" t="s">
        <v>4867</v>
      </c>
      <c r="VBV349" s="16" t="s">
        <v>4867</v>
      </c>
      <c r="VBW349" s="16" t="s">
        <v>4867</v>
      </c>
      <c r="VBX349" s="16" t="s">
        <v>4867</v>
      </c>
      <c r="VBY349" s="16" t="s">
        <v>4867</v>
      </c>
      <c r="VBZ349" s="16" t="s">
        <v>4867</v>
      </c>
      <c r="VCA349" s="16" t="s">
        <v>4867</v>
      </c>
      <c r="VCB349" s="16" t="s">
        <v>4867</v>
      </c>
      <c r="VCC349" s="16" t="s">
        <v>4867</v>
      </c>
      <c r="VCD349" s="16" t="s">
        <v>4867</v>
      </c>
      <c r="VCE349" s="16" t="s">
        <v>4867</v>
      </c>
      <c r="VCF349" s="16" t="s">
        <v>4867</v>
      </c>
      <c r="VCG349" s="16" t="s">
        <v>4867</v>
      </c>
      <c r="VCH349" s="16" t="s">
        <v>4867</v>
      </c>
      <c r="VCI349" s="16" t="s">
        <v>4867</v>
      </c>
      <c r="VCJ349" s="16" t="s">
        <v>4867</v>
      </c>
      <c r="VCK349" s="16" t="s">
        <v>4867</v>
      </c>
      <c r="VCL349" s="16" t="s">
        <v>4867</v>
      </c>
      <c r="VCM349" s="16" t="s">
        <v>4867</v>
      </c>
      <c r="VCN349" s="16" t="s">
        <v>4867</v>
      </c>
      <c r="VCO349" s="16" t="s">
        <v>4867</v>
      </c>
      <c r="VCP349" s="16" t="s">
        <v>4867</v>
      </c>
      <c r="VCQ349" s="16" t="s">
        <v>4867</v>
      </c>
      <c r="VCR349" s="16" t="s">
        <v>4867</v>
      </c>
      <c r="VCS349" s="16" t="s">
        <v>4867</v>
      </c>
      <c r="VCT349" s="16" t="s">
        <v>4867</v>
      </c>
      <c r="VCU349" s="16" t="s">
        <v>4867</v>
      </c>
      <c r="VCV349" s="16" t="s">
        <v>4867</v>
      </c>
      <c r="VCW349" s="16" t="s">
        <v>4867</v>
      </c>
      <c r="VCX349" s="16" t="s">
        <v>4867</v>
      </c>
      <c r="VCY349" s="16" t="s">
        <v>4867</v>
      </c>
      <c r="VCZ349" s="16" t="s">
        <v>4867</v>
      </c>
      <c r="VDA349" s="16" t="s">
        <v>4867</v>
      </c>
      <c r="VDB349" s="16" t="s">
        <v>4867</v>
      </c>
      <c r="VDC349" s="16" t="s">
        <v>4867</v>
      </c>
      <c r="VDD349" s="16" t="s">
        <v>4867</v>
      </c>
      <c r="VDE349" s="16" t="s">
        <v>4867</v>
      </c>
      <c r="VDF349" s="16" t="s">
        <v>4867</v>
      </c>
      <c r="VDG349" s="16" t="s">
        <v>4867</v>
      </c>
      <c r="VDH349" s="16" t="s">
        <v>4867</v>
      </c>
      <c r="VDI349" s="16" t="s">
        <v>4867</v>
      </c>
      <c r="VDJ349" s="16" t="s">
        <v>4867</v>
      </c>
      <c r="VDK349" s="16" t="s">
        <v>4867</v>
      </c>
      <c r="VDL349" s="16" t="s">
        <v>4867</v>
      </c>
      <c r="VDM349" s="16" t="s">
        <v>4867</v>
      </c>
      <c r="VDN349" s="16" t="s">
        <v>4867</v>
      </c>
      <c r="VDO349" s="16" t="s">
        <v>4867</v>
      </c>
      <c r="VDP349" s="16" t="s">
        <v>4867</v>
      </c>
      <c r="VDQ349" s="16" t="s">
        <v>4867</v>
      </c>
      <c r="VDR349" s="16" t="s">
        <v>4867</v>
      </c>
      <c r="VDS349" s="16" t="s">
        <v>4867</v>
      </c>
      <c r="VDT349" s="16" t="s">
        <v>4867</v>
      </c>
      <c r="VDU349" s="16" t="s">
        <v>4867</v>
      </c>
      <c r="VDV349" s="16" t="s">
        <v>4867</v>
      </c>
      <c r="VDW349" s="16" t="s">
        <v>4867</v>
      </c>
      <c r="VDX349" s="16" t="s">
        <v>4867</v>
      </c>
      <c r="VDY349" s="16" t="s">
        <v>4867</v>
      </c>
      <c r="VDZ349" s="16" t="s">
        <v>4867</v>
      </c>
      <c r="VEA349" s="16" t="s">
        <v>4867</v>
      </c>
      <c r="VEB349" s="16" t="s">
        <v>4867</v>
      </c>
      <c r="VEC349" s="16" t="s">
        <v>4867</v>
      </c>
      <c r="VED349" s="16" t="s">
        <v>4867</v>
      </c>
      <c r="VEE349" s="16" t="s">
        <v>4867</v>
      </c>
      <c r="VEF349" s="16" t="s">
        <v>4867</v>
      </c>
      <c r="VEG349" s="16" t="s">
        <v>4867</v>
      </c>
      <c r="VEH349" s="16" t="s">
        <v>4867</v>
      </c>
      <c r="VEI349" s="16" t="s">
        <v>4867</v>
      </c>
      <c r="VEJ349" s="16" t="s">
        <v>4867</v>
      </c>
      <c r="VEK349" s="16" t="s">
        <v>4867</v>
      </c>
      <c r="VEL349" s="16" t="s">
        <v>4867</v>
      </c>
      <c r="VEM349" s="16" t="s">
        <v>4867</v>
      </c>
      <c r="VEN349" s="16" t="s">
        <v>4867</v>
      </c>
      <c r="VEO349" s="16" t="s">
        <v>4867</v>
      </c>
      <c r="VEP349" s="16" t="s">
        <v>4867</v>
      </c>
      <c r="VEQ349" s="16" t="s">
        <v>4867</v>
      </c>
      <c r="VER349" s="16" t="s">
        <v>4867</v>
      </c>
      <c r="VES349" s="16" t="s">
        <v>4867</v>
      </c>
      <c r="VET349" s="16" t="s">
        <v>4867</v>
      </c>
      <c r="VEU349" s="16" t="s">
        <v>4867</v>
      </c>
      <c r="VEV349" s="16" t="s">
        <v>4867</v>
      </c>
      <c r="VEW349" s="16" t="s">
        <v>4867</v>
      </c>
      <c r="VEX349" s="16" t="s">
        <v>4867</v>
      </c>
      <c r="VEY349" s="16" t="s">
        <v>4867</v>
      </c>
      <c r="VEZ349" s="16" t="s">
        <v>4867</v>
      </c>
      <c r="VFA349" s="16" t="s">
        <v>4867</v>
      </c>
      <c r="VFB349" s="16" t="s">
        <v>4867</v>
      </c>
      <c r="VFC349" s="16" t="s">
        <v>4867</v>
      </c>
      <c r="VFD349" s="16" t="s">
        <v>4867</v>
      </c>
      <c r="VFE349" s="16" t="s">
        <v>4867</v>
      </c>
      <c r="VFF349" s="16" t="s">
        <v>4867</v>
      </c>
      <c r="VFG349" s="16" t="s">
        <v>4867</v>
      </c>
      <c r="VFH349" s="16" t="s">
        <v>4867</v>
      </c>
      <c r="VFI349" s="16" t="s">
        <v>4867</v>
      </c>
      <c r="VFJ349" s="16" t="s">
        <v>4867</v>
      </c>
      <c r="VFK349" s="16" t="s">
        <v>4867</v>
      </c>
      <c r="VFL349" s="16" t="s">
        <v>4867</v>
      </c>
      <c r="VFM349" s="16" t="s">
        <v>4867</v>
      </c>
      <c r="VFN349" s="16" t="s">
        <v>4867</v>
      </c>
      <c r="VFO349" s="16" t="s">
        <v>4867</v>
      </c>
      <c r="VFP349" s="16" t="s">
        <v>4867</v>
      </c>
      <c r="VFQ349" s="16" t="s">
        <v>4867</v>
      </c>
      <c r="VFR349" s="16" t="s">
        <v>4867</v>
      </c>
      <c r="VFS349" s="16" t="s">
        <v>4867</v>
      </c>
      <c r="VFT349" s="16" t="s">
        <v>4867</v>
      </c>
      <c r="VFU349" s="16" t="s">
        <v>4867</v>
      </c>
      <c r="VFV349" s="16" t="s">
        <v>4867</v>
      </c>
      <c r="VFW349" s="16" t="s">
        <v>4867</v>
      </c>
      <c r="VFX349" s="16" t="s">
        <v>4867</v>
      </c>
      <c r="VFY349" s="16" t="s">
        <v>4867</v>
      </c>
      <c r="VFZ349" s="16" t="s">
        <v>4867</v>
      </c>
      <c r="VGA349" s="16" t="s">
        <v>4867</v>
      </c>
      <c r="VGB349" s="16" t="s">
        <v>4867</v>
      </c>
      <c r="VGC349" s="16" t="s">
        <v>4867</v>
      </c>
      <c r="VGD349" s="16" t="s">
        <v>4867</v>
      </c>
      <c r="VGE349" s="16" t="s">
        <v>4867</v>
      </c>
      <c r="VGF349" s="16" t="s">
        <v>4867</v>
      </c>
      <c r="VGG349" s="16" t="s">
        <v>4867</v>
      </c>
      <c r="VGH349" s="16" t="s">
        <v>4867</v>
      </c>
      <c r="VGI349" s="16" t="s">
        <v>4867</v>
      </c>
      <c r="VGJ349" s="16" t="s">
        <v>4867</v>
      </c>
      <c r="VGK349" s="16" t="s">
        <v>4867</v>
      </c>
      <c r="VGL349" s="16" t="s">
        <v>4867</v>
      </c>
      <c r="VGM349" s="16" t="s">
        <v>4867</v>
      </c>
      <c r="VGN349" s="16" t="s">
        <v>4867</v>
      </c>
      <c r="VGO349" s="16" t="s">
        <v>4867</v>
      </c>
      <c r="VGP349" s="16" t="s">
        <v>4867</v>
      </c>
      <c r="VGQ349" s="16" t="s">
        <v>4867</v>
      </c>
      <c r="VGR349" s="16" t="s">
        <v>4867</v>
      </c>
      <c r="VGS349" s="16" t="s">
        <v>4867</v>
      </c>
      <c r="VGT349" s="16" t="s">
        <v>4867</v>
      </c>
      <c r="VGU349" s="16" t="s">
        <v>4867</v>
      </c>
      <c r="VGV349" s="16" t="s">
        <v>4867</v>
      </c>
      <c r="VGW349" s="16" t="s">
        <v>4867</v>
      </c>
      <c r="VGX349" s="16" t="s">
        <v>4867</v>
      </c>
      <c r="VGY349" s="16" t="s">
        <v>4867</v>
      </c>
      <c r="VGZ349" s="16" t="s">
        <v>4867</v>
      </c>
      <c r="VHA349" s="16" t="s">
        <v>4867</v>
      </c>
      <c r="VHB349" s="16" t="s">
        <v>4867</v>
      </c>
      <c r="VHC349" s="16" t="s">
        <v>4867</v>
      </c>
      <c r="VHD349" s="16" t="s">
        <v>4867</v>
      </c>
      <c r="VHE349" s="16" t="s">
        <v>4867</v>
      </c>
      <c r="VHF349" s="16" t="s">
        <v>4867</v>
      </c>
      <c r="VHG349" s="16" t="s">
        <v>4867</v>
      </c>
      <c r="VHH349" s="16" t="s">
        <v>4867</v>
      </c>
      <c r="VHI349" s="16" t="s">
        <v>4867</v>
      </c>
      <c r="VHJ349" s="16" t="s">
        <v>4867</v>
      </c>
      <c r="VHK349" s="16" t="s">
        <v>4867</v>
      </c>
      <c r="VHL349" s="16" t="s">
        <v>4867</v>
      </c>
      <c r="VHM349" s="16" t="s">
        <v>4867</v>
      </c>
      <c r="VHN349" s="16" t="s">
        <v>4867</v>
      </c>
      <c r="VHO349" s="16" t="s">
        <v>4867</v>
      </c>
      <c r="VHP349" s="16" t="s">
        <v>4867</v>
      </c>
      <c r="VHQ349" s="16" t="s">
        <v>4867</v>
      </c>
      <c r="VHR349" s="16" t="s">
        <v>4867</v>
      </c>
      <c r="VHS349" s="16" t="s">
        <v>4867</v>
      </c>
      <c r="VHT349" s="16" t="s">
        <v>4867</v>
      </c>
      <c r="VHU349" s="16" t="s">
        <v>4867</v>
      </c>
      <c r="VHV349" s="16" t="s">
        <v>4867</v>
      </c>
      <c r="VHW349" s="16" t="s">
        <v>4867</v>
      </c>
      <c r="VHX349" s="16" t="s">
        <v>4867</v>
      </c>
      <c r="VHY349" s="16" t="s">
        <v>4867</v>
      </c>
      <c r="VHZ349" s="16" t="s">
        <v>4867</v>
      </c>
      <c r="VIA349" s="16" t="s">
        <v>4867</v>
      </c>
      <c r="VIB349" s="16" t="s">
        <v>4867</v>
      </c>
      <c r="VIC349" s="16" t="s">
        <v>4867</v>
      </c>
      <c r="VID349" s="16" t="s">
        <v>4867</v>
      </c>
      <c r="VIE349" s="16" t="s">
        <v>4867</v>
      </c>
      <c r="VIF349" s="16" t="s">
        <v>4867</v>
      </c>
      <c r="VIG349" s="16" t="s">
        <v>4867</v>
      </c>
      <c r="VIH349" s="16" t="s">
        <v>4867</v>
      </c>
      <c r="VII349" s="16" t="s">
        <v>4867</v>
      </c>
      <c r="VIJ349" s="16" t="s">
        <v>4867</v>
      </c>
      <c r="VIK349" s="16" t="s">
        <v>4867</v>
      </c>
      <c r="VIL349" s="16" t="s">
        <v>4867</v>
      </c>
      <c r="VIM349" s="16" t="s">
        <v>4867</v>
      </c>
      <c r="VIN349" s="16" t="s">
        <v>4867</v>
      </c>
      <c r="VIO349" s="16" t="s">
        <v>4867</v>
      </c>
      <c r="VIP349" s="16" t="s">
        <v>4867</v>
      </c>
      <c r="VIQ349" s="16" t="s">
        <v>4867</v>
      </c>
      <c r="VIR349" s="16" t="s">
        <v>4867</v>
      </c>
      <c r="VIS349" s="16" t="s">
        <v>4867</v>
      </c>
      <c r="VIT349" s="16" t="s">
        <v>4867</v>
      </c>
      <c r="VIU349" s="16" t="s">
        <v>4867</v>
      </c>
      <c r="VIV349" s="16" t="s">
        <v>4867</v>
      </c>
      <c r="VIW349" s="16" t="s">
        <v>4867</v>
      </c>
      <c r="VIX349" s="16" t="s">
        <v>4867</v>
      </c>
      <c r="VIY349" s="16" t="s">
        <v>4867</v>
      </c>
      <c r="VIZ349" s="16" t="s">
        <v>4867</v>
      </c>
      <c r="VJA349" s="16" t="s">
        <v>4867</v>
      </c>
      <c r="VJB349" s="16" t="s">
        <v>4867</v>
      </c>
      <c r="VJC349" s="16" t="s">
        <v>4867</v>
      </c>
      <c r="VJD349" s="16" t="s">
        <v>4867</v>
      </c>
      <c r="VJE349" s="16" t="s">
        <v>4867</v>
      </c>
      <c r="VJF349" s="16" t="s">
        <v>4867</v>
      </c>
      <c r="VJG349" s="16" t="s">
        <v>4867</v>
      </c>
      <c r="VJH349" s="16" t="s">
        <v>4867</v>
      </c>
      <c r="VJI349" s="16" t="s">
        <v>4867</v>
      </c>
      <c r="VJJ349" s="16" t="s">
        <v>4867</v>
      </c>
      <c r="VJK349" s="16" t="s">
        <v>4867</v>
      </c>
      <c r="VJL349" s="16" t="s">
        <v>4867</v>
      </c>
      <c r="VJM349" s="16" t="s">
        <v>4867</v>
      </c>
      <c r="VJN349" s="16" t="s">
        <v>4867</v>
      </c>
      <c r="VJO349" s="16" t="s">
        <v>4867</v>
      </c>
      <c r="VJP349" s="16" t="s">
        <v>4867</v>
      </c>
      <c r="VJQ349" s="16" t="s">
        <v>4867</v>
      </c>
      <c r="VJR349" s="16" t="s">
        <v>4867</v>
      </c>
      <c r="VJS349" s="16" t="s">
        <v>4867</v>
      </c>
      <c r="VJT349" s="16" t="s">
        <v>4867</v>
      </c>
      <c r="VJU349" s="16" t="s">
        <v>4867</v>
      </c>
      <c r="VJV349" s="16" t="s">
        <v>4867</v>
      </c>
      <c r="VJW349" s="16" t="s">
        <v>4867</v>
      </c>
      <c r="VJX349" s="16" t="s">
        <v>4867</v>
      </c>
      <c r="VJY349" s="16" t="s">
        <v>4867</v>
      </c>
      <c r="VJZ349" s="16" t="s">
        <v>4867</v>
      </c>
      <c r="VKA349" s="16" t="s">
        <v>4867</v>
      </c>
      <c r="VKB349" s="16" t="s">
        <v>4867</v>
      </c>
      <c r="VKC349" s="16" t="s">
        <v>4867</v>
      </c>
      <c r="VKD349" s="16" t="s">
        <v>4867</v>
      </c>
      <c r="VKE349" s="16" t="s">
        <v>4867</v>
      </c>
      <c r="VKF349" s="16" t="s">
        <v>4867</v>
      </c>
      <c r="VKG349" s="16" t="s">
        <v>4867</v>
      </c>
      <c r="VKH349" s="16" t="s">
        <v>4867</v>
      </c>
      <c r="VKI349" s="16" t="s">
        <v>4867</v>
      </c>
      <c r="VKJ349" s="16" t="s">
        <v>4867</v>
      </c>
      <c r="VKK349" s="16" t="s">
        <v>4867</v>
      </c>
      <c r="VKL349" s="16" t="s">
        <v>4867</v>
      </c>
      <c r="VKM349" s="16" t="s">
        <v>4867</v>
      </c>
      <c r="VKN349" s="16" t="s">
        <v>4867</v>
      </c>
      <c r="VKO349" s="16" t="s">
        <v>4867</v>
      </c>
      <c r="VKP349" s="16" t="s">
        <v>4867</v>
      </c>
      <c r="VKQ349" s="16" t="s">
        <v>4867</v>
      </c>
      <c r="VKR349" s="16" t="s">
        <v>4867</v>
      </c>
      <c r="VKS349" s="16" t="s">
        <v>4867</v>
      </c>
      <c r="VKT349" s="16" t="s">
        <v>4867</v>
      </c>
      <c r="VKU349" s="16" t="s">
        <v>4867</v>
      </c>
      <c r="VKV349" s="16" t="s">
        <v>4867</v>
      </c>
      <c r="VKW349" s="16" t="s">
        <v>4867</v>
      </c>
      <c r="VKX349" s="16" t="s">
        <v>4867</v>
      </c>
      <c r="VKY349" s="16" t="s">
        <v>4867</v>
      </c>
      <c r="VKZ349" s="16" t="s">
        <v>4867</v>
      </c>
      <c r="VLA349" s="16" t="s">
        <v>4867</v>
      </c>
      <c r="VLB349" s="16" t="s">
        <v>4867</v>
      </c>
      <c r="VLC349" s="16" t="s">
        <v>4867</v>
      </c>
      <c r="VLD349" s="16" t="s">
        <v>4867</v>
      </c>
      <c r="VLE349" s="16" t="s">
        <v>4867</v>
      </c>
      <c r="VLF349" s="16" t="s">
        <v>4867</v>
      </c>
      <c r="VLG349" s="16" t="s">
        <v>4867</v>
      </c>
      <c r="VLH349" s="16" t="s">
        <v>4867</v>
      </c>
      <c r="VLI349" s="16" t="s">
        <v>4867</v>
      </c>
      <c r="VLJ349" s="16" t="s">
        <v>4867</v>
      </c>
      <c r="VLK349" s="16" t="s">
        <v>4867</v>
      </c>
      <c r="VLL349" s="16" t="s">
        <v>4867</v>
      </c>
      <c r="VLM349" s="16" t="s">
        <v>4867</v>
      </c>
      <c r="VLN349" s="16" t="s">
        <v>4867</v>
      </c>
      <c r="VLO349" s="16" t="s">
        <v>4867</v>
      </c>
      <c r="VLP349" s="16" t="s">
        <v>4867</v>
      </c>
      <c r="VLQ349" s="16" t="s">
        <v>4867</v>
      </c>
      <c r="VLR349" s="16" t="s">
        <v>4867</v>
      </c>
      <c r="VLS349" s="16" t="s">
        <v>4867</v>
      </c>
      <c r="VLT349" s="16" t="s">
        <v>4867</v>
      </c>
      <c r="VLU349" s="16" t="s">
        <v>4867</v>
      </c>
      <c r="VLV349" s="16" t="s">
        <v>4867</v>
      </c>
      <c r="VLW349" s="16" t="s">
        <v>4867</v>
      </c>
      <c r="VLX349" s="16" t="s">
        <v>4867</v>
      </c>
      <c r="VLY349" s="16" t="s">
        <v>4867</v>
      </c>
      <c r="VLZ349" s="16" t="s">
        <v>4867</v>
      </c>
      <c r="VMA349" s="16" t="s">
        <v>4867</v>
      </c>
      <c r="VMB349" s="16" t="s">
        <v>4867</v>
      </c>
      <c r="VMC349" s="16" t="s">
        <v>4867</v>
      </c>
      <c r="VMD349" s="16" t="s">
        <v>4867</v>
      </c>
      <c r="VME349" s="16" t="s">
        <v>4867</v>
      </c>
      <c r="VMF349" s="16" t="s">
        <v>4867</v>
      </c>
      <c r="VMG349" s="16" t="s">
        <v>4867</v>
      </c>
      <c r="VMH349" s="16" t="s">
        <v>4867</v>
      </c>
      <c r="VMI349" s="16" t="s">
        <v>4867</v>
      </c>
      <c r="VMJ349" s="16" t="s">
        <v>4867</v>
      </c>
      <c r="VMK349" s="16" t="s">
        <v>4867</v>
      </c>
      <c r="VML349" s="16" t="s">
        <v>4867</v>
      </c>
      <c r="VMM349" s="16" t="s">
        <v>4867</v>
      </c>
      <c r="VMN349" s="16" t="s">
        <v>4867</v>
      </c>
      <c r="VMO349" s="16" t="s">
        <v>4867</v>
      </c>
      <c r="VMP349" s="16" t="s">
        <v>4867</v>
      </c>
      <c r="VMQ349" s="16" t="s">
        <v>4867</v>
      </c>
      <c r="VMR349" s="16" t="s">
        <v>4867</v>
      </c>
      <c r="VMS349" s="16" t="s">
        <v>4867</v>
      </c>
      <c r="VMT349" s="16" t="s">
        <v>4867</v>
      </c>
      <c r="VMU349" s="16" t="s">
        <v>4867</v>
      </c>
      <c r="VMV349" s="16" t="s">
        <v>4867</v>
      </c>
      <c r="VMW349" s="16" t="s">
        <v>4867</v>
      </c>
      <c r="VMX349" s="16" t="s">
        <v>4867</v>
      </c>
      <c r="VMY349" s="16" t="s">
        <v>4867</v>
      </c>
      <c r="VMZ349" s="16" t="s">
        <v>4867</v>
      </c>
      <c r="VNA349" s="16" t="s">
        <v>4867</v>
      </c>
      <c r="VNB349" s="16" t="s">
        <v>4867</v>
      </c>
      <c r="VNC349" s="16" t="s">
        <v>4867</v>
      </c>
      <c r="VND349" s="16" t="s">
        <v>4867</v>
      </c>
      <c r="VNE349" s="16" t="s">
        <v>4867</v>
      </c>
      <c r="VNF349" s="16" t="s">
        <v>4867</v>
      </c>
      <c r="VNG349" s="16" t="s">
        <v>4867</v>
      </c>
      <c r="VNH349" s="16" t="s">
        <v>4867</v>
      </c>
      <c r="VNI349" s="16" t="s">
        <v>4867</v>
      </c>
      <c r="VNJ349" s="16" t="s">
        <v>4867</v>
      </c>
      <c r="VNK349" s="16" t="s">
        <v>4867</v>
      </c>
      <c r="VNL349" s="16" t="s">
        <v>4867</v>
      </c>
      <c r="VNM349" s="16" t="s">
        <v>4867</v>
      </c>
      <c r="VNN349" s="16" t="s">
        <v>4867</v>
      </c>
      <c r="VNO349" s="16" t="s">
        <v>4867</v>
      </c>
      <c r="VNP349" s="16" t="s">
        <v>4867</v>
      </c>
      <c r="VNQ349" s="16" t="s">
        <v>4867</v>
      </c>
      <c r="VNR349" s="16" t="s">
        <v>4867</v>
      </c>
      <c r="VNS349" s="16" t="s">
        <v>4867</v>
      </c>
      <c r="VNT349" s="16" t="s">
        <v>4867</v>
      </c>
      <c r="VNU349" s="16" t="s">
        <v>4867</v>
      </c>
      <c r="VNV349" s="16" t="s">
        <v>4867</v>
      </c>
      <c r="VNW349" s="16" t="s">
        <v>4867</v>
      </c>
      <c r="VNX349" s="16" t="s">
        <v>4867</v>
      </c>
      <c r="VNY349" s="16" t="s">
        <v>4867</v>
      </c>
      <c r="VNZ349" s="16" t="s">
        <v>4867</v>
      </c>
      <c r="VOA349" s="16" t="s">
        <v>4867</v>
      </c>
      <c r="VOB349" s="16" t="s">
        <v>4867</v>
      </c>
      <c r="VOC349" s="16" t="s">
        <v>4867</v>
      </c>
      <c r="VOD349" s="16" t="s">
        <v>4867</v>
      </c>
      <c r="VOE349" s="16" t="s">
        <v>4867</v>
      </c>
      <c r="VOF349" s="16" t="s">
        <v>4867</v>
      </c>
      <c r="VOG349" s="16" t="s">
        <v>4867</v>
      </c>
      <c r="VOH349" s="16" t="s">
        <v>4867</v>
      </c>
      <c r="VOI349" s="16" t="s">
        <v>4867</v>
      </c>
      <c r="VOJ349" s="16" t="s">
        <v>4867</v>
      </c>
      <c r="VOK349" s="16" t="s">
        <v>4867</v>
      </c>
      <c r="VOL349" s="16" t="s">
        <v>4867</v>
      </c>
      <c r="VOM349" s="16" t="s">
        <v>4867</v>
      </c>
      <c r="VON349" s="16" t="s">
        <v>4867</v>
      </c>
      <c r="VOO349" s="16" t="s">
        <v>4867</v>
      </c>
      <c r="VOP349" s="16" t="s">
        <v>4867</v>
      </c>
      <c r="VOQ349" s="16" t="s">
        <v>4867</v>
      </c>
      <c r="VOR349" s="16" t="s">
        <v>4867</v>
      </c>
      <c r="VOS349" s="16" t="s">
        <v>4867</v>
      </c>
      <c r="VOT349" s="16" t="s">
        <v>4867</v>
      </c>
      <c r="VOU349" s="16" t="s">
        <v>4867</v>
      </c>
      <c r="VOV349" s="16" t="s">
        <v>4867</v>
      </c>
      <c r="VOW349" s="16" t="s">
        <v>4867</v>
      </c>
      <c r="VOX349" s="16" t="s">
        <v>4867</v>
      </c>
      <c r="VOY349" s="16" t="s">
        <v>4867</v>
      </c>
      <c r="VOZ349" s="16" t="s">
        <v>4867</v>
      </c>
      <c r="VPA349" s="16" t="s">
        <v>4867</v>
      </c>
      <c r="VPB349" s="16" t="s">
        <v>4867</v>
      </c>
      <c r="VPC349" s="16" t="s">
        <v>4867</v>
      </c>
      <c r="VPD349" s="16" t="s">
        <v>4867</v>
      </c>
      <c r="VPE349" s="16" t="s">
        <v>4867</v>
      </c>
      <c r="VPF349" s="16" t="s">
        <v>4867</v>
      </c>
      <c r="VPG349" s="16" t="s">
        <v>4867</v>
      </c>
      <c r="VPH349" s="16" t="s">
        <v>4867</v>
      </c>
      <c r="VPI349" s="16" t="s">
        <v>4867</v>
      </c>
      <c r="VPJ349" s="16" t="s">
        <v>4867</v>
      </c>
      <c r="VPK349" s="16" t="s">
        <v>4867</v>
      </c>
      <c r="VPL349" s="16" t="s">
        <v>4867</v>
      </c>
      <c r="VPM349" s="16" t="s">
        <v>4867</v>
      </c>
      <c r="VPN349" s="16" t="s">
        <v>4867</v>
      </c>
      <c r="VPO349" s="16" t="s">
        <v>4867</v>
      </c>
      <c r="VPP349" s="16" t="s">
        <v>4867</v>
      </c>
      <c r="VPQ349" s="16" t="s">
        <v>4867</v>
      </c>
      <c r="VPR349" s="16" t="s">
        <v>4867</v>
      </c>
      <c r="VPS349" s="16" t="s">
        <v>4867</v>
      </c>
      <c r="VPT349" s="16" t="s">
        <v>4867</v>
      </c>
      <c r="VPU349" s="16" t="s">
        <v>4867</v>
      </c>
      <c r="VPV349" s="16" t="s">
        <v>4867</v>
      </c>
      <c r="VPW349" s="16" t="s">
        <v>4867</v>
      </c>
      <c r="VPX349" s="16" t="s">
        <v>4867</v>
      </c>
      <c r="VPY349" s="16" t="s">
        <v>4867</v>
      </c>
      <c r="VPZ349" s="16" t="s">
        <v>4867</v>
      </c>
      <c r="VQA349" s="16" t="s">
        <v>4867</v>
      </c>
      <c r="VQB349" s="16" t="s">
        <v>4867</v>
      </c>
      <c r="VQC349" s="16" t="s">
        <v>4867</v>
      </c>
      <c r="VQD349" s="16" t="s">
        <v>4867</v>
      </c>
      <c r="VQE349" s="16" t="s">
        <v>4867</v>
      </c>
      <c r="VQF349" s="16" t="s">
        <v>4867</v>
      </c>
      <c r="VQG349" s="16" t="s">
        <v>4867</v>
      </c>
      <c r="VQH349" s="16" t="s">
        <v>4867</v>
      </c>
      <c r="VQI349" s="16" t="s">
        <v>4867</v>
      </c>
      <c r="VQJ349" s="16" t="s">
        <v>4867</v>
      </c>
      <c r="VQK349" s="16" t="s">
        <v>4867</v>
      </c>
      <c r="VQL349" s="16" t="s">
        <v>4867</v>
      </c>
      <c r="VQM349" s="16" t="s">
        <v>4867</v>
      </c>
      <c r="VQN349" s="16" t="s">
        <v>4867</v>
      </c>
      <c r="VQO349" s="16" t="s">
        <v>4867</v>
      </c>
      <c r="VQP349" s="16" t="s">
        <v>4867</v>
      </c>
      <c r="VQQ349" s="16" t="s">
        <v>4867</v>
      </c>
      <c r="VQR349" s="16" t="s">
        <v>4867</v>
      </c>
      <c r="VQS349" s="16" t="s">
        <v>4867</v>
      </c>
      <c r="VQT349" s="16" t="s">
        <v>4867</v>
      </c>
      <c r="VQU349" s="16" t="s">
        <v>4867</v>
      </c>
      <c r="VQV349" s="16" t="s">
        <v>4867</v>
      </c>
      <c r="VQW349" s="16" t="s">
        <v>4867</v>
      </c>
      <c r="VQX349" s="16" t="s">
        <v>4867</v>
      </c>
      <c r="VQY349" s="16" t="s">
        <v>4867</v>
      </c>
      <c r="VQZ349" s="16" t="s">
        <v>4867</v>
      </c>
      <c r="VRA349" s="16" t="s">
        <v>4867</v>
      </c>
      <c r="VRB349" s="16" t="s">
        <v>4867</v>
      </c>
      <c r="VRC349" s="16" t="s">
        <v>4867</v>
      </c>
      <c r="VRD349" s="16" t="s">
        <v>4867</v>
      </c>
      <c r="VRE349" s="16" t="s">
        <v>4867</v>
      </c>
      <c r="VRF349" s="16" t="s">
        <v>4867</v>
      </c>
      <c r="VRG349" s="16" t="s">
        <v>4867</v>
      </c>
      <c r="VRH349" s="16" t="s">
        <v>4867</v>
      </c>
      <c r="VRI349" s="16" t="s">
        <v>4867</v>
      </c>
      <c r="VRJ349" s="16" t="s">
        <v>4867</v>
      </c>
      <c r="VRK349" s="16" t="s">
        <v>4867</v>
      </c>
      <c r="VRL349" s="16" t="s">
        <v>4867</v>
      </c>
      <c r="VRM349" s="16" t="s">
        <v>4867</v>
      </c>
      <c r="VRN349" s="16" t="s">
        <v>4867</v>
      </c>
      <c r="VRO349" s="16" t="s">
        <v>4867</v>
      </c>
      <c r="VRP349" s="16" t="s">
        <v>4867</v>
      </c>
      <c r="VRQ349" s="16" t="s">
        <v>4867</v>
      </c>
      <c r="VRR349" s="16" t="s">
        <v>4867</v>
      </c>
      <c r="VRS349" s="16" t="s">
        <v>4867</v>
      </c>
      <c r="VRT349" s="16" t="s">
        <v>4867</v>
      </c>
      <c r="VRU349" s="16" t="s">
        <v>4867</v>
      </c>
      <c r="VRV349" s="16" t="s">
        <v>4867</v>
      </c>
      <c r="VRW349" s="16" t="s">
        <v>4867</v>
      </c>
      <c r="VRX349" s="16" t="s">
        <v>4867</v>
      </c>
      <c r="VRY349" s="16" t="s">
        <v>4867</v>
      </c>
      <c r="VRZ349" s="16" t="s">
        <v>4867</v>
      </c>
      <c r="VSA349" s="16" t="s">
        <v>4867</v>
      </c>
      <c r="VSB349" s="16" t="s">
        <v>4867</v>
      </c>
      <c r="VSC349" s="16" t="s">
        <v>4867</v>
      </c>
      <c r="VSD349" s="16" t="s">
        <v>4867</v>
      </c>
      <c r="VSE349" s="16" t="s">
        <v>4867</v>
      </c>
      <c r="VSF349" s="16" t="s">
        <v>4867</v>
      </c>
      <c r="VSG349" s="16" t="s">
        <v>4867</v>
      </c>
      <c r="VSH349" s="16" t="s">
        <v>4867</v>
      </c>
      <c r="VSI349" s="16" t="s">
        <v>4867</v>
      </c>
      <c r="VSJ349" s="16" t="s">
        <v>4867</v>
      </c>
      <c r="VSK349" s="16" t="s">
        <v>4867</v>
      </c>
      <c r="VSL349" s="16" t="s">
        <v>4867</v>
      </c>
      <c r="VSM349" s="16" t="s">
        <v>4867</v>
      </c>
      <c r="VSN349" s="16" t="s">
        <v>4867</v>
      </c>
      <c r="VSO349" s="16" t="s">
        <v>4867</v>
      </c>
      <c r="VSP349" s="16" t="s">
        <v>4867</v>
      </c>
      <c r="VSQ349" s="16" t="s">
        <v>4867</v>
      </c>
      <c r="VSR349" s="16" t="s">
        <v>4867</v>
      </c>
      <c r="VSS349" s="16" t="s">
        <v>4867</v>
      </c>
      <c r="VST349" s="16" t="s">
        <v>4867</v>
      </c>
      <c r="VSU349" s="16" t="s">
        <v>4867</v>
      </c>
      <c r="VSV349" s="16" t="s">
        <v>4867</v>
      </c>
      <c r="VSW349" s="16" t="s">
        <v>4867</v>
      </c>
      <c r="VSX349" s="16" t="s">
        <v>4867</v>
      </c>
      <c r="VSY349" s="16" t="s">
        <v>4867</v>
      </c>
      <c r="VSZ349" s="16" t="s">
        <v>4867</v>
      </c>
      <c r="VTA349" s="16" t="s">
        <v>4867</v>
      </c>
      <c r="VTB349" s="16" t="s">
        <v>4867</v>
      </c>
      <c r="VTC349" s="16" t="s">
        <v>4867</v>
      </c>
      <c r="VTD349" s="16" t="s">
        <v>4867</v>
      </c>
      <c r="VTE349" s="16" t="s">
        <v>4867</v>
      </c>
      <c r="VTF349" s="16" t="s">
        <v>4867</v>
      </c>
      <c r="VTG349" s="16" t="s">
        <v>4867</v>
      </c>
      <c r="VTH349" s="16" t="s">
        <v>4867</v>
      </c>
      <c r="VTI349" s="16" t="s">
        <v>4867</v>
      </c>
      <c r="VTJ349" s="16" t="s">
        <v>4867</v>
      </c>
      <c r="VTK349" s="16" t="s">
        <v>4867</v>
      </c>
      <c r="VTL349" s="16" t="s">
        <v>4867</v>
      </c>
      <c r="VTM349" s="16" t="s">
        <v>4867</v>
      </c>
      <c r="VTN349" s="16" t="s">
        <v>4867</v>
      </c>
      <c r="VTO349" s="16" t="s">
        <v>4867</v>
      </c>
      <c r="VTP349" s="16" t="s">
        <v>4867</v>
      </c>
      <c r="VTQ349" s="16" t="s">
        <v>4867</v>
      </c>
      <c r="VTR349" s="16" t="s">
        <v>4867</v>
      </c>
      <c r="VTS349" s="16" t="s">
        <v>4867</v>
      </c>
      <c r="VTT349" s="16" t="s">
        <v>4867</v>
      </c>
      <c r="VTU349" s="16" t="s">
        <v>4867</v>
      </c>
      <c r="VTV349" s="16" t="s">
        <v>4867</v>
      </c>
      <c r="VTW349" s="16" t="s">
        <v>4867</v>
      </c>
      <c r="VTX349" s="16" t="s">
        <v>4867</v>
      </c>
      <c r="VTY349" s="16" t="s">
        <v>4867</v>
      </c>
      <c r="VTZ349" s="16" t="s">
        <v>4867</v>
      </c>
      <c r="VUA349" s="16" t="s">
        <v>4867</v>
      </c>
      <c r="VUB349" s="16" t="s">
        <v>4867</v>
      </c>
      <c r="VUC349" s="16" t="s">
        <v>4867</v>
      </c>
      <c r="VUD349" s="16" t="s">
        <v>4867</v>
      </c>
      <c r="VUE349" s="16" t="s">
        <v>4867</v>
      </c>
      <c r="VUF349" s="16" t="s">
        <v>4867</v>
      </c>
      <c r="VUG349" s="16" t="s">
        <v>4867</v>
      </c>
      <c r="VUH349" s="16" t="s">
        <v>4867</v>
      </c>
      <c r="VUI349" s="16" t="s">
        <v>4867</v>
      </c>
      <c r="VUJ349" s="16" t="s">
        <v>4867</v>
      </c>
      <c r="VUK349" s="16" t="s">
        <v>4867</v>
      </c>
      <c r="VUL349" s="16" t="s">
        <v>4867</v>
      </c>
      <c r="VUM349" s="16" t="s">
        <v>4867</v>
      </c>
      <c r="VUN349" s="16" t="s">
        <v>4867</v>
      </c>
      <c r="VUO349" s="16" t="s">
        <v>4867</v>
      </c>
      <c r="VUP349" s="16" t="s">
        <v>4867</v>
      </c>
      <c r="VUQ349" s="16" t="s">
        <v>4867</v>
      </c>
      <c r="VUR349" s="16" t="s">
        <v>4867</v>
      </c>
      <c r="VUS349" s="16" t="s">
        <v>4867</v>
      </c>
      <c r="VUT349" s="16" t="s">
        <v>4867</v>
      </c>
      <c r="VUU349" s="16" t="s">
        <v>4867</v>
      </c>
      <c r="VUV349" s="16" t="s">
        <v>4867</v>
      </c>
      <c r="VUW349" s="16" t="s">
        <v>4867</v>
      </c>
      <c r="VUX349" s="16" t="s">
        <v>4867</v>
      </c>
      <c r="VUY349" s="16" t="s">
        <v>4867</v>
      </c>
      <c r="VUZ349" s="16" t="s">
        <v>4867</v>
      </c>
      <c r="VVA349" s="16" t="s">
        <v>4867</v>
      </c>
      <c r="VVB349" s="16" t="s">
        <v>4867</v>
      </c>
      <c r="VVC349" s="16" t="s">
        <v>4867</v>
      </c>
      <c r="VVD349" s="16" t="s">
        <v>4867</v>
      </c>
      <c r="VVE349" s="16" t="s">
        <v>4867</v>
      </c>
      <c r="VVF349" s="16" t="s">
        <v>4867</v>
      </c>
      <c r="VVG349" s="16" t="s">
        <v>4867</v>
      </c>
      <c r="VVH349" s="16" t="s">
        <v>4867</v>
      </c>
      <c r="VVI349" s="16" t="s">
        <v>4867</v>
      </c>
      <c r="VVJ349" s="16" t="s">
        <v>4867</v>
      </c>
      <c r="VVK349" s="16" t="s">
        <v>4867</v>
      </c>
      <c r="VVL349" s="16" t="s">
        <v>4867</v>
      </c>
      <c r="VVM349" s="16" t="s">
        <v>4867</v>
      </c>
      <c r="VVN349" s="16" t="s">
        <v>4867</v>
      </c>
      <c r="VVO349" s="16" t="s">
        <v>4867</v>
      </c>
      <c r="VVP349" s="16" t="s">
        <v>4867</v>
      </c>
      <c r="VVQ349" s="16" t="s">
        <v>4867</v>
      </c>
      <c r="VVR349" s="16" t="s">
        <v>4867</v>
      </c>
      <c r="VVS349" s="16" t="s">
        <v>4867</v>
      </c>
      <c r="VVT349" s="16" t="s">
        <v>4867</v>
      </c>
      <c r="VVU349" s="16" t="s">
        <v>4867</v>
      </c>
      <c r="VVV349" s="16" t="s">
        <v>4867</v>
      </c>
      <c r="VVW349" s="16" t="s">
        <v>4867</v>
      </c>
      <c r="VVX349" s="16" t="s">
        <v>4867</v>
      </c>
      <c r="VVY349" s="16" t="s">
        <v>4867</v>
      </c>
      <c r="VVZ349" s="16" t="s">
        <v>4867</v>
      </c>
      <c r="VWA349" s="16" t="s">
        <v>4867</v>
      </c>
      <c r="VWB349" s="16" t="s">
        <v>4867</v>
      </c>
      <c r="VWC349" s="16" t="s">
        <v>4867</v>
      </c>
      <c r="VWD349" s="16" t="s">
        <v>4867</v>
      </c>
      <c r="VWE349" s="16" t="s">
        <v>4867</v>
      </c>
      <c r="VWF349" s="16" t="s">
        <v>4867</v>
      </c>
      <c r="VWG349" s="16" t="s">
        <v>4867</v>
      </c>
      <c r="VWH349" s="16" t="s">
        <v>4867</v>
      </c>
      <c r="VWI349" s="16" t="s">
        <v>4867</v>
      </c>
      <c r="VWJ349" s="16" t="s">
        <v>4867</v>
      </c>
      <c r="VWK349" s="16" t="s">
        <v>4867</v>
      </c>
      <c r="VWL349" s="16" t="s">
        <v>4867</v>
      </c>
      <c r="VWM349" s="16" t="s">
        <v>4867</v>
      </c>
      <c r="VWN349" s="16" t="s">
        <v>4867</v>
      </c>
      <c r="VWO349" s="16" t="s">
        <v>4867</v>
      </c>
      <c r="VWP349" s="16" t="s">
        <v>4867</v>
      </c>
      <c r="VWQ349" s="16" t="s">
        <v>4867</v>
      </c>
      <c r="VWR349" s="16" t="s">
        <v>4867</v>
      </c>
      <c r="VWS349" s="16" t="s">
        <v>4867</v>
      </c>
      <c r="VWT349" s="16" t="s">
        <v>4867</v>
      </c>
      <c r="VWU349" s="16" t="s">
        <v>4867</v>
      </c>
      <c r="VWV349" s="16" t="s">
        <v>4867</v>
      </c>
      <c r="VWW349" s="16" t="s">
        <v>4867</v>
      </c>
      <c r="VWX349" s="16" t="s">
        <v>4867</v>
      </c>
      <c r="VWY349" s="16" t="s">
        <v>4867</v>
      </c>
      <c r="VWZ349" s="16" t="s">
        <v>4867</v>
      </c>
      <c r="VXA349" s="16" t="s">
        <v>4867</v>
      </c>
      <c r="VXB349" s="16" t="s">
        <v>4867</v>
      </c>
      <c r="VXC349" s="16" t="s">
        <v>4867</v>
      </c>
      <c r="VXD349" s="16" t="s">
        <v>4867</v>
      </c>
      <c r="VXE349" s="16" t="s">
        <v>4867</v>
      </c>
      <c r="VXF349" s="16" t="s">
        <v>4867</v>
      </c>
      <c r="VXG349" s="16" t="s">
        <v>4867</v>
      </c>
      <c r="VXH349" s="16" t="s">
        <v>4867</v>
      </c>
      <c r="VXI349" s="16" t="s">
        <v>4867</v>
      </c>
      <c r="VXJ349" s="16" t="s">
        <v>4867</v>
      </c>
      <c r="VXK349" s="16" t="s">
        <v>4867</v>
      </c>
      <c r="VXL349" s="16" t="s">
        <v>4867</v>
      </c>
      <c r="VXM349" s="16" t="s">
        <v>4867</v>
      </c>
      <c r="VXN349" s="16" t="s">
        <v>4867</v>
      </c>
      <c r="VXO349" s="16" t="s">
        <v>4867</v>
      </c>
      <c r="VXP349" s="16" t="s">
        <v>4867</v>
      </c>
      <c r="VXQ349" s="16" t="s">
        <v>4867</v>
      </c>
      <c r="VXR349" s="16" t="s">
        <v>4867</v>
      </c>
      <c r="VXS349" s="16" t="s">
        <v>4867</v>
      </c>
      <c r="VXT349" s="16" t="s">
        <v>4867</v>
      </c>
      <c r="VXU349" s="16" t="s">
        <v>4867</v>
      </c>
      <c r="VXV349" s="16" t="s">
        <v>4867</v>
      </c>
      <c r="VXW349" s="16" t="s">
        <v>4867</v>
      </c>
      <c r="VXX349" s="16" t="s">
        <v>4867</v>
      </c>
      <c r="VXY349" s="16" t="s">
        <v>4867</v>
      </c>
      <c r="VXZ349" s="16" t="s">
        <v>4867</v>
      </c>
      <c r="VYA349" s="16" t="s">
        <v>4867</v>
      </c>
      <c r="VYB349" s="16" t="s">
        <v>4867</v>
      </c>
      <c r="VYC349" s="16" t="s">
        <v>4867</v>
      </c>
      <c r="VYD349" s="16" t="s">
        <v>4867</v>
      </c>
      <c r="VYE349" s="16" t="s">
        <v>4867</v>
      </c>
      <c r="VYF349" s="16" t="s">
        <v>4867</v>
      </c>
      <c r="VYG349" s="16" t="s">
        <v>4867</v>
      </c>
      <c r="VYH349" s="16" t="s">
        <v>4867</v>
      </c>
      <c r="VYI349" s="16" t="s">
        <v>4867</v>
      </c>
      <c r="VYJ349" s="16" t="s">
        <v>4867</v>
      </c>
      <c r="VYK349" s="16" t="s">
        <v>4867</v>
      </c>
      <c r="VYL349" s="16" t="s">
        <v>4867</v>
      </c>
      <c r="VYM349" s="16" t="s">
        <v>4867</v>
      </c>
      <c r="VYN349" s="16" t="s">
        <v>4867</v>
      </c>
      <c r="VYO349" s="16" t="s">
        <v>4867</v>
      </c>
      <c r="VYP349" s="16" t="s">
        <v>4867</v>
      </c>
      <c r="VYQ349" s="16" t="s">
        <v>4867</v>
      </c>
      <c r="VYR349" s="16" t="s">
        <v>4867</v>
      </c>
      <c r="VYS349" s="16" t="s">
        <v>4867</v>
      </c>
      <c r="VYT349" s="16" t="s">
        <v>4867</v>
      </c>
      <c r="VYU349" s="16" t="s">
        <v>4867</v>
      </c>
      <c r="VYV349" s="16" t="s">
        <v>4867</v>
      </c>
      <c r="VYW349" s="16" t="s">
        <v>4867</v>
      </c>
      <c r="VYX349" s="16" t="s">
        <v>4867</v>
      </c>
      <c r="VYY349" s="16" t="s">
        <v>4867</v>
      </c>
      <c r="VYZ349" s="16" t="s">
        <v>4867</v>
      </c>
      <c r="VZA349" s="16" t="s">
        <v>4867</v>
      </c>
      <c r="VZB349" s="16" t="s">
        <v>4867</v>
      </c>
      <c r="VZC349" s="16" t="s">
        <v>4867</v>
      </c>
      <c r="VZD349" s="16" t="s">
        <v>4867</v>
      </c>
      <c r="VZE349" s="16" t="s">
        <v>4867</v>
      </c>
      <c r="VZF349" s="16" t="s">
        <v>4867</v>
      </c>
      <c r="VZG349" s="16" t="s">
        <v>4867</v>
      </c>
      <c r="VZH349" s="16" t="s">
        <v>4867</v>
      </c>
      <c r="VZI349" s="16" t="s">
        <v>4867</v>
      </c>
      <c r="VZJ349" s="16" t="s">
        <v>4867</v>
      </c>
      <c r="VZK349" s="16" t="s">
        <v>4867</v>
      </c>
      <c r="VZL349" s="16" t="s">
        <v>4867</v>
      </c>
      <c r="VZM349" s="16" t="s">
        <v>4867</v>
      </c>
      <c r="VZN349" s="16" t="s">
        <v>4867</v>
      </c>
      <c r="VZO349" s="16" t="s">
        <v>4867</v>
      </c>
      <c r="VZP349" s="16" t="s">
        <v>4867</v>
      </c>
      <c r="VZQ349" s="16" t="s">
        <v>4867</v>
      </c>
      <c r="VZR349" s="16" t="s">
        <v>4867</v>
      </c>
      <c r="VZS349" s="16" t="s">
        <v>4867</v>
      </c>
      <c r="VZT349" s="16" t="s">
        <v>4867</v>
      </c>
      <c r="VZU349" s="16" t="s">
        <v>4867</v>
      </c>
      <c r="VZV349" s="16" t="s">
        <v>4867</v>
      </c>
      <c r="VZW349" s="16" t="s">
        <v>4867</v>
      </c>
      <c r="VZX349" s="16" t="s">
        <v>4867</v>
      </c>
      <c r="VZY349" s="16" t="s">
        <v>4867</v>
      </c>
      <c r="VZZ349" s="16" t="s">
        <v>4867</v>
      </c>
      <c r="WAA349" s="16" t="s">
        <v>4867</v>
      </c>
      <c r="WAB349" s="16" t="s">
        <v>4867</v>
      </c>
      <c r="WAC349" s="16" t="s">
        <v>4867</v>
      </c>
      <c r="WAD349" s="16" t="s">
        <v>4867</v>
      </c>
      <c r="WAE349" s="16" t="s">
        <v>4867</v>
      </c>
      <c r="WAF349" s="16" t="s">
        <v>4867</v>
      </c>
      <c r="WAG349" s="16" t="s">
        <v>4867</v>
      </c>
      <c r="WAH349" s="16" t="s">
        <v>4867</v>
      </c>
      <c r="WAI349" s="16" t="s">
        <v>4867</v>
      </c>
      <c r="WAJ349" s="16" t="s">
        <v>4867</v>
      </c>
      <c r="WAK349" s="16" t="s">
        <v>4867</v>
      </c>
      <c r="WAL349" s="16" t="s">
        <v>4867</v>
      </c>
      <c r="WAM349" s="16" t="s">
        <v>4867</v>
      </c>
      <c r="WAN349" s="16" t="s">
        <v>4867</v>
      </c>
      <c r="WAO349" s="16" t="s">
        <v>4867</v>
      </c>
      <c r="WAP349" s="16" t="s">
        <v>4867</v>
      </c>
      <c r="WAQ349" s="16" t="s">
        <v>4867</v>
      </c>
      <c r="WAR349" s="16" t="s">
        <v>4867</v>
      </c>
      <c r="WAS349" s="16" t="s">
        <v>4867</v>
      </c>
      <c r="WAT349" s="16" t="s">
        <v>4867</v>
      </c>
      <c r="WAU349" s="16" t="s">
        <v>4867</v>
      </c>
      <c r="WAV349" s="16" t="s">
        <v>4867</v>
      </c>
      <c r="WAW349" s="16" t="s">
        <v>4867</v>
      </c>
      <c r="WAX349" s="16" t="s">
        <v>4867</v>
      </c>
      <c r="WAY349" s="16" t="s">
        <v>4867</v>
      </c>
      <c r="WAZ349" s="16" t="s">
        <v>4867</v>
      </c>
      <c r="WBA349" s="16" t="s">
        <v>4867</v>
      </c>
      <c r="WBB349" s="16" t="s">
        <v>4867</v>
      </c>
      <c r="WBC349" s="16" t="s">
        <v>4867</v>
      </c>
      <c r="WBD349" s="16" t="s">
        <v>4867</v>
      </c>
      <c r="WBE349" s="16" t="s">
        <v>4867</v>
      </c>
      <c r="WBF349" s="16" t="s">
        <v>4867</v>
      </c>
      <c r="WBG349" s="16" t="s">
        <v>4867</v>
      </c>
      <c r="WBH349" s="16" t="s">
        <v>4867</v>
      </c>
      <c r="WBI349" s="16" t="s">
        <v>4867</v>
      </c>
      <c r="WBJ349" s="16" t="s">
        <v>4867</v>
      </c>
      <c r="WBK349" s="16" t="s">
        <v>4867</v>
      </c>
      <c r="WBL349" s="16" t="s">
        <v>4867</v>
      </c>
      <c r="WBM349" s="16" t="s">
        <v>4867</v>
      </c>
      <c r="WBN349" s="16" t="s">
        <v>4867</v>
      </c>
      <c r="WBO349" s="16" t="s">
        <v>4867</v>
      </c>
      <c r="WBP349" s="16" t="s">
        <v>4867</v>
      </c>
      <c r="WBQ349" s="16" t="s">
        <v>4867</v>
      </c>
      <c r="WBR349" s="16" t="s">
        <v>4867</v>
      </c>
      <c r="WBS349" s="16" t="s">
        <v>4867</v>
      </c>
      <c r="WBT349" s="16" t="s">
        <v>4867</v>
      </c>
      <c r="WBU349" s="16" t="s">
        <v>4867</v>
      </c>
      <c r="WBV349" s="16" t="s">
        <v>4867</v>
      </c>
      <c r="WBW349" s="16" t="s">
        <v>4867</v>
      </c>
      <c r="WBX349" s="16" t="s">
        <v>4867</v>
      </c>
      <c r="WBY349" s="16" t="s">
        <v>4867</v>
      </c>
      <c r="WBZ349" s="16" t="s">
        <v>4867</v>
      </c>
      <c r="WCA349" s="16" t="s">
        <v>4867</v>
      </c>
      <c r="WCB349" s="16" t="s">
        <v>4867</v>
      </c>
      <c r="WCC349" s="16" t="s">
        <v>4867</v>
      </c>
      <c r="WCD349" s="16" t="s">
        <v>4867</v>
      </c>
      <c r="WCE349" s="16" t="s">
        <v>4867</v>
      </c>
      <c r="WCF349" s="16" t="s">
        <v>4867</v>
      </c>
      <c r="WCG349" s="16" t="s">
        <v>4867</v>
      </c>
      <c r="WCH349" s="16" t="s">
        <v>4867</v>
      </c>
      <c r="WCI349" s="16" t="s">
        <v>4867</v>
      </c>
      <c r="WCJ349" s="16" t="s">
        <v>4867</v>
      </c>
      <c r="WCK349" s="16" t="s">
        <v>4867</v>
      </c>
      <c r="WCL349" s="16" t="s">
        <v>4867</v>
      </c>
      <c r="WCM349" s="16" t="s">
        <v>4867</v>
      </c>
      <c r="WCN349" s="16" t="s">
        <v>4867</v>
      </c>
      <c r="WCO349" s="16" t="s">
        <v>4867</v>
      </c>
      <c r="WCP349" s="16" t="s">
        <v>4867</v>
      </c>
      <c r="WCQ349" s="16" t="s">
        <v>4867</v>
      </c>
      <c r="WCR349" s="16" t="s">
        <v>4867</v>
      </c>
      <c r="WCS349" s="16" t="s">
        <v>4867</v>
      </c>
      <c r="WCT349" s="16" t="s">
        <v>4867</v>
      </c>
      <c r="WCU349" s="16" t="s">
        <v>4867</v>
      </c>
      <c r="WCV349" s="16" t="s">
        <v>4867</v>
      </c>
      <c r="WCW349" s="16" t="s">
        <v>4867</v>
      </c>
      <c r="WCX349" s="16" t="s">
        <v>4867</v>
      </c>
      <c r="WCY349" s="16" t="s">
        <v>4867</v>
      </c>
      <c r="WCZ349" s="16" t="s">
        <v>4867</v>
      </c>
      <c r="WDA349" s="16" t="s">
        <v>4867</v>
      </c>
      <c r="WDB349" s="16" t="s">
        <v>4867</v>
      </c>
      <c r="WDC349" s="16" t="s">
        <v>4867</v>
      </c>
      <c r="WDD349" s="16" t="s">
        <v>4867</v>
      </c>
      <c r="WDE349" s="16" t="s">
        <v>4867</v>
      </c>
      <c r="WDF349" s="16" t="s">
        <v>4867</v>
      </c>
      <c r="WDG349" s="16" t="s">
        <v>4867</v>
      </c>
      <c r="WDH349" s="16" t="s">
        <v>4867</v>
      </c>
      <c r="WDI349" s="16" t="s">
        <v>4867</v>
      </c>
      <c r="WDJ349" s="16" t="s">
        <v>4867</v>
      </c>
      <c r="WDK349" s="16" t="s">
        <v>4867</v>
      </c>
      <c r="WDL349" s="16" t="s">
        <v>4867</v>
      </c>
      <c r="WDM349" s="16" t="s">
        <v>4867</v>
      </c>
      <c r="WDN349" s="16" t="s">
        <v>4867</v>
      </c>
      <c r="WDO349" s="16" t="s">
        <v>4867</v>
      </c>
      <c r="WDP349" s="16" t="s">
        <v>4867</v>
      </c>
      <c r="WDQ349" s="16" t="s">
        <v>4867</v>
      </c>
      <c r="WDR349" s="16" t="s">
        <v>4867</v>
      </c>
      <c r="WDS349" s="16" t="s">
        <v>4867</v>
      </c>
      <c r="WDT349" s="16" t="s">
        <v>4867</v>
      </c>
      <c r="WDU349" s="16" t="s">
        <v>4867</v>
      </c>
      <c r="WDV349" s="16" t="s">
        <v>4867</v>
      </c>
      <c r="WDW349" s="16" t="s">
        <v>4867</v>
      </c>
      <c r="WDX349" s="16" t="s">
        <v>4867</v>
      </c>
      <c r="WDY349" s="16" t="s">
        <v>4867</v>
      </c>
      <c r="WDZ349" s="16" t="s">
        <v>4867</v>
      </c>
      <c r="WEA349" s="16" t="s">
        <v>4867</v>
      </c>
      <c r="WEB349" s="16" t="s">
        <v>4867</v>
      </c>
      <c r="WEC349" s="16" t="s">
        <v>4867</v>
      </c>
      <c r="WED349" s="16" t="s">
        <v>4867</v>
      </c>
      <c r="WEE349" s="16" t="s">
        <v>4867</v>
      </c>
      <c r="WEF349" s="16" t="s">
        <v>4867</v>
      </c>
      <c r="WEG349" s="16" t="s">
        <v>4867</v>
      </c>
      <c r="WEH349" s="16" t="s">
        <v>4867</v>
      </c>
      <c r="WEI349" s="16" t="s">
        <v>4867</v>
      </c>
      <c r="WEJ349" s="16" t="s">
        <v>4867</v>
      </c>
      <c r="WEK349" s="16" t="s">
        <v>4867</v>
      </c>
      <c r="WEL349" s="16" t="s">
        <v>4867</v>
      </c>
      <c r="WEM349" s="16" t="s">
        <v>4867</v>
      </c>
      <c r="WEN349" s="16" t="s">
        <v>4867</v>
      </c>
      <c r="WEO349" s="16" t="s">
        <v>4867</v>
      </c>
      <c r="WEP349" s="16" t="s">
        <v>4867</v>
      </c>
      <c r="WEQ349" s="16" t="s">
        <v>4867</v>
      </c>
      <c r="WER349" s="16" t="s">
        <v>4867</v>
      </c>
      <c r="WES349" s="16" t="s">
        <v>4867</v>
      </c>
      <c r="WET349" s="16" t="s">
        <v>4867</v>
      </c>
      <c r="WEU349" s="16" t="s">
        <v>4867</v>
      </c>
      <c r="WEV349" s="16" t="s">
        <v>4867</v>
      </c>
      <c r="WEW349" s="16" t="s">
        <v>4867</v>
      </c>
      <c r="WEX349" s="16" t="s">
        <v>4867</v>
      </c>
      <c r="WEY349" s="16" t="s">
        <v>4867</v>
      </c>
      <c r="WEZ349" s="16" t="s">
        <v>4867</v>
      </c>
      <c r="WFA349" s="16" t="s">
        <v>4867</v>
      </c>
      <c r="WFB349" s="16" t="s">
        <v>4867</v>
      </c>
      <c r="WFC349" s="16" t="s">
        <v>4867</v>
      </c>
      <c r="WFD349" s="16" t="s">
        <v>4867</v>
      </c>
      <c r="WFE349" s="16" t="s">
        <v>4867</v>
      </c>
      <c r="WFF349" s="16" t="s">
        <v>4867</v>
      </c>
      <c r="WFG349" s="16" t="s">
        <v>4867</v>
      </c>
      <c r="WFH349" s="16" t="s">
        <v>4867</v>
      </c>
      <c r="WFI349" s="16" t="s">
        <v>4867</v>
      </c>
      <c r="WFJ349" s="16" t="s">
        <v>4867</v>
      </c>
      <c r="WFK349" s="16" t="s">
        <v>4867</v>
      </c>
      <c r="WFL349" s="16" t="s">
        <v>4867</v>
      </c>
      <c r="WFM349" s="16" t="s">
        <v>4867</v>
      </c>
      <c r="WFN349" s="16" t="s">
        <v>4867</v>
      </c>
      <c r="WFO349" s="16" t="s">
        <v>4867</v>
      </c>
      <c r="WFP349" s="16" t="s">
        <v>4867</v>
      </c>
      <c r="WFQ349" s="16" t="s">
        <v>4867</v>
      </c>
      <c r="WFR349" s="16" t="s">
        <v>4867</v>
      </c>
      <c r="WFS349" s="16" t="s">
        <v>4867</v>
      </c>
      <c r="WFT349" s="16" t="s">
        <v>4867</v>
      </c>
      <c r="WFU349" s="16" t="s">
        <v>4867</v>
      </c>
      <c r="WFV349" s="16" t="s">
        <v>4867</v>
      </c>
      <c r="WFW349" s="16" t="s">
        <v>4867</v>
      </c>
      <c r="WFX349" s="16" t="s">
        <v>4867</v>
      </c>
      <c r="WFY349" s="16" t="s">
        <v>4867</v>
      </c>
      <c r="WFZ349" s="16" t="s">
        <v>4867</v>
      </c>
      <c r="WGA349" s="16" t="s">
        <v>4867</v>
      </c>
      <c r="WGB349" s="16" t="s">
        <v>4867</v>
      </c>
      <c r="WGC349" s="16" t="s">
        <v>4867</v>
      </c>
      <c r="WGD349" s="16" t="s">
        <v>4867</v>
      </c>
      <c r="WGE349" s="16" t="s">
        <v>4867</v>
      </c>
      <c r="WGF349" s="16" t="s">
        <v>4867</v>
      </c>
      <c r="WGG349" s="16" t="s">
        <v>4867</v>
      </c>
      <c r="WGH349" s="16" t="s">
        <v>4867</v>
      </c>
      <c r="WGI349" s="16" t="s">
        <v>4867</v>
      </c>
      <c r="WGJ349" s="16" t="s">
        <v>4867</v>
      </c>
      <c r="WGK349" s="16" t="s">
        <v>4867</v>
      </c>
      <c r="WGL349" s="16" t="s">
        <v>4867</v>
      </c>
      <c r="WGM349" s="16" t="s">
        <v>4867</v>
      </c>
      <c r="WGN349" s="16" t="s">
        <v>4867</v>
      </c>
      <c r="WGO349" s="16" t="s">
        <v>4867</v>
      </c>
      <c r="WGP349" s="16" t="s">
        <v>4867</v>
      </c>
      <c r="WGQ349" s="16" t="s">
        <v>4867</v>
      </c>
      <c r="WGR349" s="16" t="s">
        <v>4867</v>
      </c>
      <c r="WGS349" s="16" t="s">
        <v>4867</v>
      </c>
      <c r="WGT349" s="16" t="s">
        <v>4867</v>
      </c>
      <c r="WGU349" s="16" t="s">
        <v>4867</v>
      </c>
      <c r="WGV349" s="16" t="s">
        <v>4867</v>
      </c>
      <c r="WGW349" s="16" t="s">
        <v>4867</v>
      </c>
      <c r="WGX349" s="16" t="s">
        <v>4867</v>
      </c>
      <c r="WGY349" s="16" t="s">
        <v>4867</v>
      </c>
      <c r="WGZ349" s="16" t="s">
        <v>4867</v>
      </c>
      <c r="WHA349" s="16" t="s">
        <v>4867</v>
      </c>
      <c r="WHB349" s="16" t="s">
        <v>4867</v>
      </c>
      <c r="WHC349" s="16" t="s">
        <v>4867</v>
      </c>
      <c r="WHD349" s="16" t="s">
        <v>4867</v>
      </c>
      <c r="WHE349" s="16" t="s">
        <v>4867</v>
      </c>
      <c r="WHF349" s="16" t="s">
        <v>4867</v>
      </c>
      <c r="WHG349" s="16" t="s">
        <v>4867</v>
      </c>
      <c r="WHH349" s="16" t="s">
        <v>4867</v>
      </c>
      <c r="WHI349" s="16" t="s">
        <v>4867</v>
      </c>
      <c r="WHJ349" s="16" t="s">
        <v>4867</v>
      </c>
      <c r="WHK349" s="16" t="s">
        <v>4867</v>
      </c>
      <c r="WHL349" s="16" t="s">
        <v>4867</v>
      </c>
      <c r="WHM349" s="16" t="s">
        <v>4867</v>
      </c>
      <c r="WHN349" s="16" t="s">
        <v>4867</v>
      </c>
      <c r="WHO349" s="16" t="s">
        <v>4867</v>
      </c>
      <c r="WHP349" s="16" t="s">
        <v>4867</v>
      </c>
      <c r="WHQ349" s="16" t="s">
        <v>4867</v>
      </c>
      <c r="WHR349" s="16" t="s">
        <v>4867</v>
      </c>
      <c r="WHS349" s="16" t="s">
        <v>4867</v>
      </c>
      <c r="WHT349" s="16" t="s">
        <v>4867</v>
      </c>
      <c r="WHU349" s="16" t="s">
        <v>4867</v>
      </c>
      <c r="WHV349" s="16" t="s">
        <v>4867</v>
      </c>
      <c r="WHW349" s="16" t="s">
        <v>4867</v>
      </c>
      <c r="WHX349" s="16" t="s">
        <v>4867</v>
      </c>
      <c r="WHY349" s="16" t="s">
        <v>4867</v>
      </c>
      <c r="WHZ349" s="16" t="s">
        <v>4867</v>
      </c>
      <c r="WIA349" s="16" t="s">
        <v>4867</v>
      </c>
      <c r="WIB349" s="16" t="s">
        <v>4867</v>
      </c>
      <c r="WIC349" s="16" t="s">
        <v>4867</v>
      </c>
      <c r="WID349" s="16" t="s">
        <v>4867</v>
      </c>
      <c r="WIE349" s="16" t="s">
        <v>4867</v>
      </c>
      <c r="WIF349" s="16" t="s">
        <v>4867</v>
      </c>
      <c r="WIG349" s="16" t="s">
        <v>4867</v>
      </c>
      <c r="WIH349" s="16" t="s">
        <v>4867</v>
      </c>
      <c r="WII349" s="16" t="s">
        <v>4867</v>
      </c>
      <c r="WIJ349" s="16" t="s">
        <v>4867</v>
      </c>
      <c r="WIK349" s="16" t="s">
        <v>4867</v>
      </c>
      <c r="WIL349" s="16" t="s">
        <v>4867</v>
      </c>
      <c r="WIM349" s="16" t="s">
        <v>4867</v>
      </c>
      <c r="WIN349" s="16" t="s">
        <v>4867</v>
      </c>
      <c r="WIO349" s="16" t="s">
        <v>4867</v>
      </c>
      <c r="WIP349" s="16" t="s">
        <v>4867</v>
      </c>
      <c r="WIQ349" s="16" t="s">
        <v>4867</v>
      </c>
      <c r="WIR349" s="16" t="s">
        <v>4867</v>
      </c>
      <c r="WIS349" s="16" t="s">
        <v>4867</v>
      </c>
      <c r="WIT349" s="16" t="s">
        <v>4867</v>
      </c>
      <c r="WIU349" s="16" t="s">
        <v>4867</v>
      </c>
      <c r="WIV349" s="16" t="s">
        <v>4867</v>
      </c>
      <c r="WIW349" s="16" t="s">
        <v>4867</v>
      </c>
      <c r="WIX349" s="16" t="s">
        <v>4867</v>
      </c>
      <c r="WIY349" s="16" t="s">
        <v>4867</v>
      </c>
      <c r="WIZ349" s="16" t="s">
        <v>4867</v>
      </c>
      <c r="WJA349" s="16" t="s">
        <v>4867</v>
      </c>
      <c r="WJB349" s="16" t="s">
        <v>4867</v>
      </c>
      <c r="WJC349" s="16" t="s">
        <v>4867</v>
      </c>
      <c r="WJD349" s="16" t="s">
        <v>4867</v>
      </c>
      <c r="WJE349" s="16" t="s">
        <v>4867</v>
      </c>
      <c r="WJF349" s="16" t="s">
        <v>4867</v>
      </c>
      <c r="WJG349" s="16" t="s">
        <v>4867</v>
      </c>
      <c r="WJH349" s="16" t="s">
        <v>4867</v>
      </c>
      <c r="WJI349" s="16" t="s">
        <v>4867</v>
      </c>
      <c r="WJJ349" s="16" t="s">
        <v>4867</v>
      </c>
      <c r="WJK349" s="16" t="s">
        <v>4867</v>
      </c>
      <c r="WJL349" s="16" t="s">
        <v>4867</v>
      </c>
      <c r="WJM349" s="16" t="s">
        <v>4867</v>
      </c>
      <c r="WJN349" s="16" t="s">
        <v>4867</v>
      </c>
      <c r="WJO349" s="16" t="s">
        <v>4867</v>
      </c>
      <c r="WJP349" s="16" t="s">
        <v>4867</v>
      </c>
      <c r="WJQ349" s="16" t="s">
        <v>4867</v>
      </c>
      <c r="WJR349" s="16" t="s">
        <v>4867</v>
      </c>
      <c r="WJS349" s="16" t="s">
        <v>4867</v>
      </c>
      <c r="WJT349" s="16" t="s">
        <v>4867</v>
      </c>
      <c r="WJU349" s="16" t="s">
        <v>4867</v>
      </c>
      <c r="WJV349" s="16" t="s">
        <v>4867</v>
      </c>
      <c r="WJW349" s="16" t="s">
        <v>4867</v>
      </c>
      <c r="WJX349" s="16" t="s">
        <v>4867</v>
      </c>
      <c r="WJY349" s="16" t="s">
        <v>4867</v>
      </c>
      <c r="WJZ349" s="16" t="s">
        <v>4867</v>
      </c>
      <c r="WKA349" s="16" t="s">
        <v>4867</v>
      </c>
      <c r="WKB349" s="16" t="s">
        <v>4867</v>
      </c>
      <c r="WKC349" s="16" t="s">
        <v>4867</v>
      </c>
      <c r="WKD349" s="16" t="s">
        <v>4867</v>
      </c>
      <c r="WKE349" s="16" t="s">
        <v>4867</v>
      </c>
      <c r="WKF349" s="16" t="s">
        <v>4867</v>
      </c>
      <c r="WKG349" s="16" t="s">
        <v>4867</v>
      </c>
      <c r="WKH349" s="16" t="s">
        <v>4867</v>
      </c>
      <c r="WKI349" s="16" t="s">
        <v>4867</v>
      </c>
      <c r="WKJ349" s="16" t="s">
        <v>4867</v>
      </c>
      <c r="WKK349" s="16" t="s">
        <v>4867</v>
      </c>
      <c r="WKL349" s="16" t="s">
        <v>4867</v>
      </c>
      <c r="WKM349" s="16" t="s">
        <v>4867</v>
      </c>
      <c r="WKN349" s="16" t="s">
        <v>4867</v>
      </c>
      <c r="WKO349" s="16" t="s">
        <v>4867</v>
      </c>
      <c r="WKP349" s="16" t="s">
        <v>4867</v>
      </c>
      <c r="WKQ349" s="16" t="s">
        <v>4867</v>
      </c>
      <c r="WKR349" s="16" t="s">
        <v>4867</v>
      </c>
      <c r="WKS349" s="16" t="s">
        <v>4867</v>
      </c>
      <c r="WKT349" s="16" t="s">
        <v>4867</v>
      </c>
      <c r="WKU349" s="16" t="s">
        <v>4867</v>
      </c>
      <c r="WKV349" s="16" t="s">
        <v>4867</v>
      </c>
      <c r="WKW349" s="16" t="s">
        <v>4867</v>
      </c>
      <c r="WKX349" s="16" t="s">
        <v>4867</v>
      </c>
      <c r="WKY349" s="16" t="s">
        <v>4867</v>
      </c>
      <c r="WKZ349" s="16" t="s">
        <v>4867</v>
      </c>
      <c r="WLA349" s="16" t="s">
        <v>4867</v>
      </c>
      <c r="WLB349" s="16" t="s">
        <v>4867</v>
      </c>
      <c r="WLC349" s="16" t="s">
        <v>4867</v>
      </c>
      <c r="WLD349" s="16" t="s">
        <v>4867</v>
      </c>
      <c r="WLE349" s="16" t="s">
        <v>4867</v>
      </c>
      <c r="WLF349" s="16" t="s">
        <v>4867</v>
      </c>
      <c r="WLG349" s="16" t="s">
        <v>4867</v>
      </c>
      <c r="WLH349" s="16" t="s">
        <v>4867</v>
      </c>
      <c r="WLI349" s="16" t="s">
        <v>4867</v>
      </c>
      <c r="WLJ349" s="16" t="s">
        <v>4867</v>
      </c>
      <c r="WLK349" s="16" t="s">
        <v>4867</v>
      </c>
      <c r="WLL349" s="16" t="s">
        <v>4867</v>
      </c>
      <c r="WLM349" s="16" t="s">
        <v>4867</v>
      </c>
      <c r="WLN349" s="16" t="s">
        <v>4867</v>
      </c>
      <c r="WLO349" s="16" t="s">
        <v>4867</v>
      </c>
      <c r="WLP349" s="16" t="s">
        <v>4867</v>
      </c>
      <c r="WLQ349" s="16" t="s">
        <v>4867</v>
      </c>
      <c r="WLR349" s="16" t="s">
        <v>4867</v>
      </c>
      <c r="WLS349" s="16" t="s">
        <v>4867</v>
      </c>
      <c r="WLT349" s="16" t="s">
        <v>4867</v>
      </c>
      <c r="WLU349" s="16" t="s">
        <v>4867</v>
      </c>
      <c r="WLV349" s="16" t="s">
        <v>4867</v>
      </c>
      <c r="WLW349" s="16" t="s">
        <v>4867</v>
      </c>
      <c r="WLX349" s="16" t="s">
        <v>4867</v>
      </c>
      <c r="WLY349" s="16" t="s">
        <v>4867</v>
      </c>
      <c r="WLZ349" s="16" t="s">
        <v>4867</v>
      </c>
      <c r="WMA349" s="16" t="s">
        <v>4867</v>
      </c>
      <c r="WMB349" s="16" t="s">
        <v>4867</v>
      </c>
      <c r="WMC349" s="16" t="s">
        <v>4867</v>
      </c>
      <c r="WMD349" s="16" t="s">
        <v>4867</v>
      </c>
      <c r="WME349" s="16" t="s">
        <v>4867</v>
      </c>
      <c r="WMF349" s="16" t="s">
        <v>4867</v>
      </c>
      <c r="WMG349" s="16" t="s">
        <v>4867</v>
      </c>
      <c r="WMH349" s="16" t="s">
        <v>4867</v>
      </c>
      <c r="WMI349" s="16" t="s">
        <v>4867</v>
      </c>
      <c r="WMJ349" s="16" t="s">
        <v>4867</v>
      </c>
      <c r="WMK349" s="16" t="s">
        <v>4867</v>
      </c>
      <c r="WML349" s="16" t="s">
        <v>4867</v>
      </c>
      <c r="WMM349" s="16" t="s">
        <v>4867</v>
      </c>
      <c r="WMN349" s="16" t="s">
        <v>4867</v>
      </c>
      <c r="WMO349" s="16" t="s">
        <v>4867</v>
      </c>
      <c r="WMP349" s="16" t="s">
        <v>4867</v>
      </c>
      <c r="WMQ349" s="16" t="s">
        <v>4867</v>
      </c>
      <c r="WMR349" s="16" t="s">
        <v>4867</v>
      </c>
      <c r="WMS349" s="16" t="s">
        <v>4867</v>
      </c>
      <c r="WMT349" s="16" t="s">
        <v>4867</v>
      </c>
      <c r="WMU349" s="16" t="s">
        <v>4867</v>
      </c>
      <c r="WMV349" s="16" t="s">
        <v>4867</v>
      </c>
      <c r="WMW349" s="16" t="s">
        <v>4867</v>
      </c>
      <c r="WMX349" s="16" t="s">
        <v>4867</v>
      </c>
      <c r="WMY349" s="16" t="s">
        <v>4867</v>
      </c>
      <c r="WMZ349" s="16" t="s">
        <v>4867</v>
      </c>
      <c r="WNA349" s="16" t="s">
        <v>4867</v>
      </c>
      <c r="WNB349" s="16" t="s">
        <v>4867</v>
      </c>
      <c r="WNC349" s="16" t="s">
        <v>4867</v>
      </c>
      <c r="WND349" s="16" t="s">
        <v>4867</v>
      </c>
      <c r="WNE349" s="16" t="s">
        <v>4867</v>
      </c>
      <c r="WNF349" s="16" t="s">
        <v>4867</v>
      </c>
      <c r="WNG349" s="16" t="s">
        <v>4867</v>
      </c>
      <c r="WNH349" s="16" t="s">
        <v>4867</v>
      </c>
      <c r="WNI349" s="16" t="s">
        <v>4867</v>
      </c>
      <c r="WNJ349" s="16" t="s">
        <v>4867</v>
      </c>
      <c r="WNK349" s="16" t="s">
        <v>4867</v>
      </c>
      <c r="WNL349" s="16" t="s">
        <v>4867</v>
      </c>
      <c r="WNM349" s="16" t="s">
        <v>4867</v>
      </c>
      <c r="WNN349" s="16" t="s">
        <v>4867</v>
      </c>
      <c r="WNO349" s="16" t="s">
        <v>4867</v>
      </c>
      <c r="WNP349" s="16" t="s">
        <v>4867</v>
      </c>
      <c r="WNQ349" s="16" t="s">
        <v>4867</v>
      </c>
      <c r="WNR349" s="16" t="s">
        <v>4867</v>
      </c>
      <c r="WNS349" s="16" t="s">
        <v>4867</v>
      </c>
      <c r="WNT349" s="16" t="s">
        <v>4867</v>
      </c>
      <c r="WNU349" s="16" t="s">
        <v>4867</v>
      </c>
      <c r="WNV349" s="16" t="s">
        <v>4867</v>
      </c>
      <c r="WNW349" s="16" t="s">
        <v>4867</v>
      </c>
      <c r="WNX349" s="16" t="s">
        <v>4867</v>
      </c>
      <c r="WNY349" s="16" t="s">
        <v>4867</v>
      </c>
      <c r="WNZ349" s="16" t="s">
        <v>4867</v>
      </c>
      <c r="WOA349" s="16" t="s">
        <v>4867</v>
      </c>
      <c r="WOB349" s="16" t="s">
        <v>4867</v>
      </c>
      <c r="WOC349" s="16" t="s">
        <v>4867</v>
      </c>
      <c r="WOD349" s="16" t="s">
        <v>4867</v>
      </c>
      <c r="WOE349" s="16" t="s">
        <v>4867</v>
      </c>
      <c r="WOF349" s="16" t="s">
        <v>4867</v>
      </c>
      <c r="WOG349" s="16" t="s">
        <v>4867</v>
      </c>
      <c r="WOH349" s="16" t="s">
        <v>4867</v>
      </c>
      <c r="WOI349" s="16" t="s">
        <v>4867</v>
      </c>
      <c r="WOJ349" s="16" t="s">
        <v>4867</v>
      </c>
      <c r="WOK349" s="16" t="s">
        <v>4867</v>
      </c>
      <c r="WOL349" s="16" t="s">
        <v>4867</v>
      </c>
      <c r="WOM349" s="16" t="s">
        <v>4867</v>
      </c>
      <c r="WON349" s="16" t="s">
        <v>4867</v>
      </c>
      <c r="WOO349" s="16" t="s">
        <v>4867</v>
      </c>
      <c r="WOP349" s="16" t="s">
        <v>4867</v>
      </c>
      <c r="WOQ349" s="16" t="s">
        <v>4867</v>
      </c>
      <c r="WOR349" s="16" t="s">
        <v>4867</v>
      </c>
      <c r="WOS349" s="16" t="s">
        <v>4867</v>
      </c>
      <c r="WOT349" s="16" t="s">
        <v>4867</v>
      </c>
      <c r="WOU349" s="16" t="s">
        <v>4867</v>
      </c>
      <c r="WOV349" s="16" t="s">
        <v>4867</v>
      </c>
      <c r="WOW349" s="16" t="s">
        <v>4867</v>
      </c>
      <c r="WOX349" s="16" t="s">
        <v>4867</v>
      </c>
      <c r="WOY349" s="16" t="s">
        <v>4867</v>
      </c>
      <c r="WOZ349" s="16" t="s">
        <v>4867</v>
      </c>
      <c r="WPA349" s="16" t="s">
        <v>4867</v>
      </c>
      <c r="WPB349" s="16" t="s">
        <v>4867</v>
      </c>
      <c r="WPC349" s="16" t="s">
        <v>4867</v>
      </c>
      <c r="WPD349" s="16" t="s">
        <v>4867</v>
      </c>
      <c r="WPE349" s="16" t="s">
        <v>4867</v>
      </c>
      <c r="WPF349" s="16" t="s">
        <v>4867</v>
      </c>
      <c r="WPG349" s="16" t="s">
        <v>4867</v>
      </c>
      <c r="WPH349" s="16" t="s">
        <v>4867</v>
      </c>
      <c r="WPI349" s="16" t="s">
        <v>4867</v>
      </c>
      <c r="WPJ349" s="16" t="s">
        <v>4867</v>
      </c>
      <c r="WPK349" s="16" t="s">
        <v>4867</v>
      </c>
      <c r="WPL349" s="16" t="s">
        <v>4867</v>
      </c>
      <c r="WPM349" s="16" t="s">
        <v>4867</v>
      </c>
      <c r="WPN349" s="16" t="s">
        <v>4867</v>
      </c>
      <c r="WPO349" s="16" t="s">
        <v>4867</v>
      </c>
      <c r="WPP349" s="16" t="s">
        <v>4867</v>
      </c>
      <c r="WPQ349" s="16" t="s">
        <v>4867</v>
      </c>
      <c r="WPR349" s="16" t="s">
        <v>4867</v>
      </c>
      <c r="WPS349" s="16" t="s">
        <v>4867</v>
      </c>
      <c r="WPT349" s="16" t="s">
        <v>4867</v>
      </c>
      <c r="WPU349" s="16" t="s">
        <v>4867</v>
      </c>
      <c r="WPV349" s="16" t="s">
        <v>4867</v>
      </c>
      <c r="WPW349" s="16" t="s">
        <v>4867</v>
      </c>
      <c r="WPX349" s="16" t="s">
        <v>4867</v>
      </c>
      <c r="WPY349" s="16" t="s">
        <v>4867</v>
      </c>
      <c r="WPZ349" s="16" t="s">
        <v>4867</v>
      </c>
      <c r="WQA349" s="16" t="s">
        <v>4867</v>
      </c>
      <c r="WQB349" s="16" t="s">
        <v>4867</v>
      </c>
      <c r="WQC349" s="16" t="s">
        <v>4867</v>
      </c>
      <c r="WQD349" s="16" t="s">
        <v>4867</v>
      </c>
      <c r="WQE349" s="16" t="s">
        <v>4867</v>
      </c>
      <c r="WQF349" s="16" t="s">
        <v>4867</v>
      </c>
      <c r="WQG349" s="16" t="s">
        <v>4867</v>
      </c>
      <c r="WQH349" s="16" t="s">
        <v>4867</v>
      </c>
      <c r="WQI349" s="16" t="s">
        <v>4867</v>
      </c>
      <c r="WQJ349" s="16" t="s">
        <v>4867</v>
      </c>
      <c r="WQK349" s="16" t="s">
        <v>4867</v>
      </c>
      <c r="WQL349" s="16" t="s">
        <v>4867</v>
      </c>
      <c r="WQM349" s="16" t="s">
        <v>4867</v>
      </c>
      <c r="WQN349" s="16" t="s">
        <v>4867</v>
      </c>
      <c r="WQO349" s="16" t="s">
        <v>4867</v>
      </c>
      <c r="WQP349" s="16" t="s">
        <v>4867</v>
      </c>
      <c r="WQQ349" s="16" t="s">
        <v>4867</v>
      </c>
      <c r="WQR349" s="16" t="s">
        <v>4867</v>
      </c>
      <c r="WQS349" s="16" t="s">
        <v>4867</v>
      </c>
      <c r="WQT349" s="16" t="s">
        <v>4867</v>
      </c>
      <c r="WQU349" s="16" t="s">
        <v>4867</v>
      </c>
      <c r="WQV349" s="16" t="s">
        <v>4867</v>
      </c>
      <c r="WQW349" s="16" t="s">
        <v>4867</v>
      </c>
      <c r="WQX349" s="16" t="s">
        <v>4867</v>
      </c>
      <c r="WQY349" s="16" t="s">
        <v>4867</v>
      </c>
      <c r="WQZ349" s="16" t="s">
        <v>4867</v>
      </c>
      <c r="WRA349" s="16" t="s">
        <v>4867</v>
      </c>
      <c r="WRB349" s="16" t="s">
        <v>4867</v>
      </c>
      <c r="WRC349" s="16" t="s">
        <v>4867</v>
      </c>
      <c r="WRD349" s="16" t="s">
        <v>4867</v>
      </c>
      <c r="WRE349" s="16" t="s">
        <v>4867</v>
      </c>
      <c r="WRF349" s="16" t="s">
        <v>4867</v>
      </c>
      <c r="WRG349" s="16" t="s">
        <v>4867</v>
      </c>
      <c r="WRH349" s="16" t="s">
        <v>4867</v>
      </c>
      <c r="WRI349" s="16" t="s">
        <v>4867</v>
      </c>
      <c r="WRJ349" s="16" t="s">
        <v>4867</v>
      </c>
      <c r="WRK349" s="16" t="s">
        <v>4867</v>
      </c>
      <c r="WRL349" s="16" t="s">
        <v>4867</v>
      </c>
      <c r="WRM349" s="16" t="s">
        <v>4867</v>
      </c>
      <c r="WRN349" s="16" t="s">
        <v>4867</v>
      </c>
      <c r="WRO349" s="16" t="s">
        <v>4867</v>
      </c>
      <c r="WRP349" s="16" t="s">
        <v>4867</v>
      </c>
      <c r="WRQ349" s="16" t="s">
        <v>4867</v>
      </c>
      <c r="WRR349" s="16" t="s">
        <v>4867</v>
      </c>
      <c r="WRS349" s="16" t="s">
        <v>4867</v>
      </c>
      <c r="WRT349" s="16" t="s">
        <v>4867</v>
      </c>
      <c r="WRU349" s="16" t="s">
        <v>4867</v>
      </c>
      <c r="WRV349" s="16" t="s">
        <v>4867</v>
      </c>
      <c r="WRW349" s="16" t="s">
        <v>4867</v>
      </c>
      <c r="WRX349" s="16" t="s">
        <v>4867</v>
      </c>
      <c r="WRY349" s="16" t="s">
        <v>4867</v>
      </c>
      <c r="WRZ349" s="16" t="s">
        <v>4867</v>
      </c>
      <c r="WSA349" s="16" t="s">
        <v>4867</v>
      </c>
      <c r="WSB349" s="16" t="s">
        <v>4867</v>
      </c>
      <c r="WSC349" s="16" t="s">
        <v>4867</v>
      </c>
      <c r="WSD349" s="16" t="s">
        <v>4867</v>
      </c>
      <c r="WSE349" s="16" t="s">
        <v>4867</v>
      </c>
      <c r="WSF349" s="16" t="s">
        <v>4867</v>
      </c>
      <c r="WSG349" s="16" t="s">
        <v>4867</v>
      </c>
      <c r="WSH349" s="16" t="s">
        <v>4867</v>
      </c>
      <c r="WSI349" s="16" t="s">
        <v>4867</v>
      </c>
      <c r="WSJ349" s="16" t="s">
        <v>4867</v>
      </c>
      <c r="WSK349" s="16" t="s">
        <v>4867</v>
      </c>
      <c r="WSL349" s="16" t="s">
        <v>4867</v>
      </c>
      <c r="WSM349" s="16" t="s">
        <v>4867</v>
      </c>
      <c r="WSN349" s="16" t="s">
        <v>4867</v>
      </c>
      <c r="WSO349" s="16" t="s">
        <v>4867</v>
      </c>
      <c r="WSP349" s="16" t="s">
        <v>4867</v>
      </c>
      <c r="WSQ349" s="16" t="s">
        <v>4867</v>
      </c>
      <c r="WSR349" s="16" t="s">
        <v>4867</v>
      </c>
      <c r="WSS349" s="16" t="s">
        <v>4867</v>
      </c>
      <c r="WST349" s="16" t="s">
        <v>4867</v>
      </c>
      <c r="WSU349" s="16" t="s">
        <v>4867</v>
      </c>
      <c r="WSV349" s="16" t="s">
        <v>4867</v>
      </c>
      <c r="WSW349" s="16" t="s">
        <v>4867</v>
      </c>
      <c r="WSX349" s="16" t="s">
        <v>4867</v>
      </c>
      <c r="WSY349" s="16" t="s">
        <v>4867</v>
      </c>
      <c r="WSZ349" s="16" t="s">
        <v>4867</v>
      </c>
      <c r="WTA349" s="16" t="s">
        <v>4867</v>
      </c>
      <c r="WTB349" s="16" t="s">
        <v>4867</v>
      </c>
      <c r="WTC349" s="16" t="s">
        <v>4867</v>
      </c>
      <c r="WTD349" s="16" t="s">
        <v>4867</v>
      </c>
      <c r="WTE349" s="16" t="s">
        <v>4867</v>
      </c>
      <c r="WTF349" s="16" t="s">
        <v>4867</v>
      </c>
      <c r="WTG349" s="16" t="s">
        <v>4867</v>
      </c>
      <c r="WTH349" s="16" t="s">
        <v>4867</v>
      </c>
      <c r="WTI349" s="16" t="s">
        <v>4867</v>
      </c>
      <c r="WTJ349" s="16" t="s">
        <v>4867</v>
      </c>
      <c r="WTK349" s="16" t="s">
        <v>4867</v>
      </c>
      <c r="WTL349" s="16" t="s">
        <v>4867</v>
      </c>
      <c r="WTM349" s="16" t="s">
        <v>4867</v>
      </c>
      <c r="WTN349" s="16" t="s">
        <v>4867</v>
      </c>
      <c r="WTO349" s="16" t="s">
        <v>4867</v>
      </c>
      <c r="WTP349" s="16" t="s">
        <v>4867</v>
      </c>
      <c r="WTQ349" s="16" t="s">
        <v>4867</v>
      </c>
      <c r="WTR349" s="16" t="s">
        <v>4867</v>
      </c>
      <c r="WTS349" s="16" t="s">
        <v>4867</v>
      </c>
      <c r="WTT349" s="16" t="s">
        <v>4867</v>
      </c>
      <c r="WTU349" s="16" t="s">
        <v>4867</v>
      </c>
      <c r="WTV349" s="16" t="s">
        <v>4867</v>
      </c>
      <c r="WTW349" s="16" t="s">
        <v>4867</v>
      </c>
      <c r="WTX349" s="16" t="s">
        <v>4867</v>
      </c>
      <c r="WTY349" s="16" t="s">
        <v>4867</v>
      </c>
      <c r="WTZ349" s="16" t="s">
        <v>4867</v>
      </c>
      <c r="WUA349" s="16" t="s">
        <v>4867</v>
      </c>
      <c r="WUB349" s="16" t="s">
        <v>4867</v>
      </c>
      <c r="WUC349" s="16" t="s">
        <v>4867</v>
      </c>
      <c r="WUD349" s="16" t="s">
        <v>4867</v>
      </c>
      <c r="WUE349" s="16" t="s">
        <v>4867</v>
      </c>
      <c r="WUF349" s="16" t="s">
        <v>4867</v>
      </c>
      <c r="WUG349" s="16" t="s">
        <v>4867</v>
      </c>
      <c r="WUH349" s="16" t="s">
        <v>4867</v>
      </c>
      <c r="WUI349" s="16" t="s">
        <v>4867</v>
      </c>
      <c r="WUJ349" s="16" t="s">
        <v>4867</v>
      </c>
      <c r="WUK349" s="16" t="s">
        <v>4867</v>
      </c>
      <c r="WUL349" s="16" t="s">
        <v>4867</v>
      </c>
      <c r="WUM349" s="16" t="s">
        <v>4867</v>
      </c>
      <c r="WUN349" s="16" t="s">
        <v>4867</v>
      </c>
      <c r="WUO349" s="16" t="s">
        <v>4867</v>
      </c>
      <c r="WUP349" s="16" t="s">
        <v>4867</v>
      </c>
      <c r="WUQ349" s="16" t="s">
        <v>4867</v>
      </c>
      <c r="WUR349" s="16" t="s">
        <v>4867</v>
      </c>
      <c r="WUS349" s="16" t="s">
        <v>4867</v>
      </c>
      <c r="WUT349" s="16" t="s">
        <v>4867</v>
      </c>
      <c r="WUU349" s="16" t="s">
        <v>4867</v>
      </c>
      <c r="WUV349" s="16" t="s">
        <v>4867</v>
      </c>
      <c r="WUW349" s="16" t="s">
        <v>4867</v>
      </c>
      <c r="WUX349" s="16" t="s">
        <v>4867</v>
      </c>
      <c r="WUY349" s="16" t="s">
        <v>4867</v>
      </c>
      <c r="WUZ349" s="16" t="s">
        <v>4867</v>
      </c>
      <c r="WVA349" s="16" t="s">
        <v>4867</v>
      </c>
      <c r="WVB349" s="16" t="s">
        <v>4867</v>
      </c>
      <c r="WVC349" s="16" t="s">
        <v>4867</v>
      </c>
      <c r="WVD349" s="16" t="s">
        <v>4867</v>
      </c>
      <c r="WVE349" s="16" t="s">
        <v>4867</v>
      </c>
      <c r="WVF349" s="16" t="s">
        <v>4867</v>
      </c>
      <c r="WVG349" s="16" t="s">
        <v>4867</v>
      </c>
      <c r="WVH349" s="16" t="s">
        <v>4867</v>
      </c>
      <c r="WVI349" s="16" t="s">
        <v>4867</v>
      </c>
      <c r="WVJ349" s="16" t="s">
        <v>4867</v>
      </c>
      <c r="WVK349" s="16" t="s">
        <v>4867</v>
      </c>
      <c r="WVL349" s="16" t="s">
        <v>4867</v>
      </c>
      <c r="WVM349" s="16" t="s">
        <v>4867</v>
      </c>
      <c r="WVN349" s="16" t="s">
        <v>4867</v>
      </c>
      <c r="WVO349" s="16" t="s">
        <v>4867</v>
      </c>
      <c r="WVP349" s="16" t="s">
        <v>4867</v>
      </c>
      <c r="WVQ349" s="16" t="s">
        <v>4867</v>
      </c>
      <c r="WVR349" s="16" t="s">
        <v>4867</v>
      </c>
      <c r="WVS349" s="16" t="s">
        <v>4867</v>
      </c>
      <c r="WVT349" s="16" t="s">
        <v>4867</v>
      </c>
      <c r="WVU349" s="16" t="s">
        <v>4867</v>
      </c>
      <c r="WVV349" s="16" t="s">
        <v>4867</v>
      </c>
      <c r="WVW349" s="16" t="s">
        <v>4867</v>
      </c>
      <c r="WVX349" s="16" t="s">
        <v>4867</v>
      </c>
      <c r="WVY349" s="16" t="s">
        <v>4867</v>
      </c>
      <c r="WVZ349" s="16" t="s">
        <v>4867</v>
      </c>
      <c r="WWA349" s="16" t="s">
        <v>4867</v>
      </c>
      <c r="WWB349" s="16" t="s">
        <v>4867</v>
      </c>
      <c r="WWC349" s="16" t="s">
        <v>4867</v>
      </c>
      <c r="WWD349" s="16" t="s">
        <v>4867</v>
      </c>
      <c r="WWE349" s="16" t="s">
        <v>4867</v>
      </c>
      <c r="WWF349" s="16" t="s">
        <v>4867</v>
      </c>
      <c r="WWG349" s="16" t="s">
        <v>4867</v>
      </c>
      <c r="WWH349" s="16" t="s">
        <v>4867</v>
      </c>
      <c r="WWI349" s="16" t="s">
        <v>4867</v>
      </c>
      <c r="WWJ349" s="16" t="s">
        <v>4867</v>
      </c>
      <c r="WWK349" s="16" t="s">
        <v>4867</v>
      </c>
      <c r="WWL349" s="16" t="s">
        <v>4867</v>
      </c>
      <c r="WWM349" s="16" t="s">
        <v>4867</v>
      </c>
      <c r="WWN349" s="16" t="s">
        <v>4867</v>
      </c>
      <c r="WWO349" s="16" t="s">
        <v>4867</v>
      </c>
      <c r="WWP349" s="16" t="s">
        <v>4867</v>
      </c>
      <c r="WWQ349" s="16" t="s">
        <v>4867</v>
      </c>
      <c r="WWR349" s="16" t="s">
        <v>4867</v>
      </c>
      <c r="WWS349" s="16" t="s">
        <v>4867</v>
      </c>
      <c r="WWT349" s="16" t="s">
        <v>4867</v>
      </c>
      <c r="WWU349" s="16" t="s">
        <v>4867</v>
      </c>
      <c r="WWV349" s="16" t="s">
        <v>4867</v>
      </c>
      <c r="WWW349" s="16" t="s">
        <v>4867</v>
      </c>
      <c r="WWX349" s="16" t="s">
        <v>4867</v>
      </c>
      <c r="WWY349" s="16" t="s">
        <v>4867</v>
      </c>
      <c r="WWZ349" s="16" t="s">
        <v>4867</v>
      </c>
      <c r="WXA349" s="16" t="s">
        <v>4867</v>
      </c>
      <c r="WXB349" s="16" t="s">
        <v>4867</v>
      </c>
      <c r="WXC349" s="16" t="s">
        <v>4867</v>
      </c>
      <c r="WXD349" s="16" t="s">
        <v>4867</v>
      </c>
      <c r="WXE349" s="16" t="s">
        <v>4867</v>
      </c>
      <c r="WXF349" s="16" t="s">
        <v>4867</v>
      </c>
      <c r="WXG349" s="16" t="s">
        <v>4867</v>
      </c>
      <c r="WXH349" s="16" t="s">
        <v>4867</v>
      </c>
      <c r="WXI349" s="16" t="s">
        <v>4867</v>
      </c>
      <c r="WXJ349" s="16" t="s">
        <v>4867</v>
      </c>
      <c r="WXK349" s="16" t="s">
        <v>4867</v>
      </c>
      <c r="WXL349" s="16" t="s">
        <v>4867</v>
      </c>
      <c r="WXM349" s="16" t="s">
        <v>4867</v>
      </c>
      <c r="WXN349" s="16" t="s">
        <v>4867</v>
      </c>
      <c r="WXO349" s="16" t="s">
        <v>4867</v>
      </c>
      <c r="WXP349" s="16" t="s">
        <v>4867</v>
      </c>
      <c r="WXQ349" s="16" t="s">
        <v>4867</v>
      </c>
      <c r="WXR349" s="16" t="s">
        <v>4867</v>
      </c>
      <c r="WXS349" s="16" t="s">
        <v>4867</v>
      </c>
      <c r="WXT349" s="16" t="s">
        <v>4867</v>
      </c>
      <c r="WXU349" s="16" t="s">
        <v>4867</v>
      </c>
      <c r="WXV349" s="16" t="s">
        <v>4867</v>
      </c>
      <c r="WXW349" s="16" t="s">
        <v>4867</v>
      </c>
      <c r="WXX349" s="16" t="s">
        <v>4867</v>
      </c>
      <c r="WXY349" s="16" t="s">
        <v>4867</v>
      </c>
      <c r="WXZ349" s="16" t="s">
        <v>4867</v>
      </c>
      <c r="WYA349" s="16" t="s">
        <v>4867</v>
      </c>
      <c r="WYB349" s="16" t="s">
        <v>4867</v>
      </c>
      <c r="WYC349" s="16" t="s">
        <v>4867</v>
      </c>
      <c r="WYD349" s="16" t="s">
        <v>4867</v>
      </c>
      <c r="WYE349" s="16" t="s">
        <v>4867</v>
      </c>
      <c r="WYF349" s="16" t="s">
        <v>4867</v>
      </c>
      <c r="WYG349" s="16" t="s">
        <v>4867</v>
      </c>
      <c r="WYH349" s="16" t="s">
        <v>4867</v>
      </c>
      <c r="WYI349" s="16" t="s">
        <v>4867</v>
      </c>
      <c r="WYJ349" s="16" t="s">
        <v>4867</v>
      </c>
      <c r="WYK349" s="16" t="s">
        <v>4867</v>
      </c>
      <c r="WYL349" s="16" t="s">
        <v>4867</v>
      </c>
      <c r="WYM349" s="16" t="s">
        <v>4867</v>
      </c>
      <c r="WYN349" s="16" t="s">
        <v>4867</v>
      </c>
      <c r="WYO349" s="16" t="s">
        <v>4867</v>
      </c>
      <c r="WYP349" s="16" t="s">
        <v>4867</v>
      </c>
      <c r="WYQ349" s="16" t="s">
        <v>4867</v>
      </c>
      <c r="WYR349" s="16" t="s">
        <v>4867</v>
      </c>
      <c r="WYS349" s="16" t="s">
        <v>4867</v>
      </c>
      <c r="WYT349" s="16" t="s">
        <v>4867</v>
      </c>
      <c r="WYU349" s="16" t="s">
        <v>4867</v>
      </c>
      <c r="WYV349" s="16" t="s">
        <v>4867</v>
      </c>
      <c r="WYW349" s="16" t="s">
        <v>4867</v>
      </c>
      <c r="WYX349" s="16" t="s">
        <v>4867</v>
      </c>
      <c r="WYY349" s="16" t="s">
        <v>4867</v>
      </c>
      <c r="WYZ349" s="16" t="s">
        <v>4867</v>
      </c>
      <c r="WZA349" s="16" t="s">
        <v>4867</v>
      </c>
      <c r="WZB349" s="16" t="s">
        <v>4867</v>
      </c>
      <c r="WZC349" s="16" t="s">
        <v>4867</v>
      </c>
      <c r="WZD349" s="16" t="s">
        <v>4867</v>
      </c>
      <c r="WZE349" s="16" t="s">
        <v>4867</v>
      </c>
      <c r="WZF349" s="16" t="s">
        <v>4867</v>
      </c>
      <c r="WZG349" s="16" t="s">
        <v>4867</v>
      </c>
      <c r="WZH349" s="16" t="s">
        <v>4867</v>
      </c>
      <c r="WZI349" s="16" t="s">
        <v>4867</v>
      </c>
      <c r="WZJ349" s="16" t="s">
        <v>4867</v>
      </c>
      <c r="WZK349" s="16" t="s">
        <v>4867</v>
      </c>
      <c r="WZL349" s="16" t="s">
        <v>4867</v>
      </c>
      <c r="WZM349" s="16" t="s">
        <v>4867</v>
      </c>
      <c r="WZN349" s="16" t="s">
        <v>4867</v>
      </c>
      <c r="WZO349" s="16" t="s">
        <v>4867</v>
      </c>
      <c r="WZP349" s="16" t="s">
        <v>4867</v>
      </c>
      <c r="WZQ349" s="16" t="s">
        <v>4867</v>
      </c>
      <c r="WZR349" s="16" t="s">
        <v>4867</v>
      </c>
      <c r="WZS349" s="16" t="s">
        <v>4867</v>
      </c>
      <c r="WZT349" s="16" t="s">
        <v>4867</v>
      </c>
      <c r="WZU349" s="16" t="s">
        <v>4867</v>
      </c>
      <c r="WZV349" s="16" t="s">
        <v>4867</v>
      </c>
      <c r="WZW349" s="16" t="s">
        <v>4867</v>
      </c>
      <c r="WZX349" s="16" t="s">
        <v>4867</v>
      </c>
      <c r="WZY349" s="16" t="s">
        <v>4867</v>
      </c>
      <c r="WZZ349" s="16" t="s">
        <v>4867</v>
      </c>
      <c r="XAA349" s="16" t="s">
        <v>4867</v>
      </c>
      <c r="XAB349" s="16" t="s">
        <v>4867</v>
      </c>
      <c r="XAC349" s="16" t="s">
        <v>4867</v>
      </c>
      <c r="XAD349" s="16" t="s">
        <v>4867</v>
      </c>
      <c r="XAE349" s="16" t="s">
        <v>4867</v>
      </c>
      <c r="XAF349" s="16" t="s">
        <v>4867</v>
      </c>
      <c r="XAG349" s="16" t="s">
        <v>4867</v>
      </c>
      <c r="XAH349" s="16" t="s">
        <v>4867</v>
      </c>
      <c r="XAI349" s="16" t="s">
        <v>4867</v>
      </c>
      <c r="XAJ349" s="16" t="s">
        <v>4867</v>
      </c>
      <c r="XAK349" s="16" t="s">
        <v>4867</v>
      </c>
      <c r="XAL349" s="16" t="s">
        <v>4867</v>
      </c>
      <c r="XAM349" s="16" t="s">
        <v>4867</v>
      </c>
      <c r="XAN349" s="16" t="s">
        <v>4867</v>
      </c>
      <c r="XAO349" s="16" t="s">
        <v>4867</v>
      </c>
      <c r="XAP349" s="16" t="s">
        <v>4867</v>
      </c>
      <c r="XAQ349" s="16" t="s">
        <v>4867</v>
      </c>
      <c r="XAR349" s="16" t="s">
        <v>4867</v>
      </c>
      <c r="XAS349" s="16" t="s">
        <v>4867</v>
      </c>
      <c r="XAT349" s="16" t="s">
        <v>4867</v>
      </c>
      <c r="XAU349" s="16" t="s">
        <v>4867</v>
      </c>
      <c r="XAV349" s="16" t="s">
        <v>4867</v>
      </c>
      <c r="XAW349" s="16" t="s">
        <v>4867</v>
      </c>
      <c r="XAX349" s="16" t="s">
        <v>4867</v>
      </c>
      <c r="XAY349" s="16" t="s">
        <v>4867</v>
      </c>
      <c r="XAZ349" s="16" t="s">
        <v>4867</v>
      </c>
      <c r="XBA349" s="16" t="s">
        <v>4867</v>
      </c>
      <c r="XBB349" s="16" t="s">
        <v>4867</v>
      </c>
      <c r="XBC349" s="16" t="s">
        <v>4867</v>
      </c>
      <c r="XBD349" s="16" t="s">
        <v>4867</v>
      </c>
      <c r="XBE349" s="16" t="s">
        <v>4867</v>
      </c>
      <c r="XBF349" s="16" t="s">
        <v>4867</v>
      </c>
      <c r="XBG349" s="16" t="s">
        <v>4867</v>
      </c>
      <c r="XBH349" s="16" t="s">
        <v>4867</v>
      </c>
      <c r="XBI349" s="16" t="s">
        <v>4867</v>
      </c>
      <c r="XBJ349" s="16" t="s">
        <v>4867</v>
      </c>
      <c r="XBK349" s="16" t="s">
        <v>4867</v>
      </c>
      <c r="XBL349" s="16" t="s">
        <v>4867</v>
      </c>
      <c r="XBM349" s="16" t="s">
        <v>4867</v>
      </c>
      <c r="XBN349" s="16" t="s">
        <v>4867</v>
      </c>
      <c r="XBO349" s="16" t="s">
        <v>4867</v>
      </c>
      <c r="XBP349" s="16" t="s">
        <v>4867</v>
      </c>
      <c r="XBQ349" s="16" t="s">
        <v>4867</v>
      </c>
      <c r="XBR349" s="16" t="s">
        <v>4867</v>
      </c>
      <c r="XBS349" s="16" t="s">
        <v>4867</v>
      </c>
      <c r="XBT349" s="16" t="s">
        <v>4867</v>
      </c>
      <c r="XBU349" s="16" t="s">
        <v>4867</v>
      </c>
      <c r="XBV349" s="16" t="s">
        <v>4867</v>
      </c>
      <c r="XBW349" s="16" t="s">
        <v>4867</v>
      </c>
      <c r="XBX349" s="16" t="s">
        <v>4867</v>
      </c>
      <c r="XBY349" s="16" t="s">
        <v>4867</v>
      </c>
      <c r="XBZ349" s="16" t="s">
        <v>4867</v>
      </c>
      <c r="XCA349" s="16" t="s">
        <v>4867</v>
      </c>
      <c r="XCB349" s="16" t="s">
        <v>4867</v>
      </c>
      <c r="XCC349" s="16" t="s">
        <v>4867</v>
      </c>
      <c r="XCD349" s="16" t="s">
        <v>4867</v>
      </c>
      <c r="XCE349" s="16" t="s">
        <v>4867</v>
      </c>
      <c r="XCF349" s="16" t="s">
        <v>4867</v>
      </c>
      <c r="XCG349" s="16" t="s">
        <v>4867</v>
      </c>
      <c r="XCH349" s="16" t="s">
        <v>4867</v>
      </c>
      <c r="XCI349" s="16" t="s">
        <v>4867</v>
      </c>
      <c r="XCJ349" s="16" t="s">
        <v>4867</v>
      </c>
      <c r="XCK349" s="16" t="s">
        <v>4867</v>
      </c>
      <c r="XCL349" s="16" t="s">
        <v>4867</v>
      </c>
      <c r="XCM349" s="16" t="s">
        <v>4867</v>
      </c>
      <c r="XCN349" s="16" t="s">
        <v>4867</v>
      </c>
      <c r="XCO349" s="16" t="s">
        <v>4867</v>
      </c>
      <c r="XCP349" s="16" t="s">
        <v>4867</v>
      </c>
      <c r="XCQ349" s="16" t="s">
        <v>4867</v>
      </c>
      <c r="XCR349" s="16" t="s">
        <v>4867</v>
      </c>
      <c r="XCS349" s="16" t="s">
        <v>4867</v>
      </c>
      <c r="XCT349" s="16" t="s">
        <v>4867</v>
      </c>
      <c r="XCU349" s="16" t="s">
        <v>4867</v>
      </c>
      <c r="XCV349" s="16" t="s">
        <v>4867</v>
      </c>
      <c r="XCW349" s="16" t="s">
        <v>4867</v>
      </c>
      <c r="XCX349" s="16" t="s">
        <v>4867</v>
      </c>
      <c r="XCY349" s="16" t="s">
        <v>4867</v>
      </c>
      <c r="XCZ349" s="16" t="s">
        <v>4867</v>
      </c>
      <c r="XDA349" s="16" t="s">
        <v>4867</v>
      </c>
      <c r="XDB349" s="16" t="s">
        <v>4867</v>
      </c>
      <c r="XDC349" s="16" t="s">
        <v>4867</v>
      </c>
      <c r="XDD349" s="16" t="s">
        <v>4867</v>
      </c>
      <c r="XDE349" s="16" t="s">
        <v>4867</v>
      </c>
      <c r="XDF349" s="16" t="s">
        <v>4867</v>
      </c>
      <c r="XDG349" s="16" t="s">
        <v>4867</v>
      </c>
      <c r="XDH349" s="16" t="s">
        <v>4867</v>
      </c>
      <c r="XDI349" s="16" t="s">
        <v>4867</v>
      </c>
      <c r="XDJ349" s="16" t="s">
        <v>4867</v>
      </c>
      <c r="XDK349" s="16" t="s">
        <v>4867</v>
      </c>
      <c r="XDL349" s="16" t="s">
        <v>4867</v>
      </c>
      <c r="XDM349" s="16" t="s">
        <v>4867</v>
      </c>
      <c r="XDN349" s="16" t="s">
        <v>4867</v>
      </c>
      <c r="XDO349" s="16" t="s">
        <v>4867</v>
      </c>
      <c r="XDP349" s="16" t="s">
        <v>4867</v>
      </c>
      <c r="XDQ349" s="16" t="s">
        <v>4867</v>
      </c>
      <c r="XDR349" s="16" t="s">
        <v>4867</v>
      </c>
      <c r="XDS349" s="16" t="s">
        <v>4867</v>
      </c>
      <c r="XDT349" s="16" t="s">
        <v>4867</v>
      </c>
      <c r="XDU349" s="16" t="s">
        <v>4867</v>
      </c>
      <c r="XDV349" s="16" t="s">
        <v>4867</v>
      </c>
      <c r="XDW349" s="16" t="s">
        <v>4867</v>
      </c>
      <c r="XDX349" s="16" t="s">
        <v>4867</v>
      </c>
      <c r="XDY349" s="16" t="s">
        <v>4867</v>
      </c>
      <c r="XDZ349" s="16" t="s">
        <v>4867</v>
      </c>
      <c r="XEA349" s="16" t="s">
        <v>4867</v>
      </c>
      <c r="XEB349" s="16" t="s">
        <v>4867</v>
      </c>
      <c r="XEC349" s="16" t="s">
        <v>4867</v>
      </c>
      <c r="XED349" s="16" t="s">
        <v>4867</v>
      </c>
      <c r="XEE349" s="16" t="s">
        <v>4867</v>
      </c>
      <c r="XEF349" s="16" t="s">
        <v>4867</v>
      </c>
      <c r="XEG349" s="16" t="s">
        <v>4867</v>
      </c>
      <c r="XEH349" s="16" t="s">
        <v>4867</v>
      </c>
      <c r="XEI349" s="16" t="s">
        <v>4867</v>
      </c>
      <c r="XEJ349" s="16" t="s">
        <v>4867</v>
      </c>
      <c r="XEK349" s="16" t="s">
        <v>4867</v>
      </c>
      <c r="XEL349" s="16" t="s">
        <v>4867</v>
      </c>
      <c r="XEM349" s="16" t="s">
        <v>4867</v>
      </c>
      <c r="XEN349" s="16" t="s">
        <v>4867</v>
      </c>
      <c r="XEO349" s="16" t="s">
        <v>4867</v>
      </c>
      <c r="XEP349" s="16" t="s">
        <v>4867</v>
      </c>
      <c r="XEQ349" s="16" t="s">
        <v>4867</v>
      </c>
      <c r="XER349" s="16" t="s">
        <v>4867</v>
      </c>
      <c r="XES349" s="16" t="s">
        <v>4867</v>
      </c>
      <c r="XET349" s="16" t="s">
        <v>4867</v>
      </c>
      <c r="XEU349" s="16" t="s">
        <v>4867</v>
      </c>
      <c r="XEV349" s="16" t="s">
        <v>4867</v>
      </c>
      <c r="XEW349" s="16" t="s">
        <v>4867</v>
      </c>
      <c r="XEX349" s="16" t="s">
        <v>4867</v>
      </c>
      <c r="XEY349" s="16" t="s">
        <v>4867</v>
      </c>
      <c r="XEZ349" s="16" t="s">
        <v>4867</v>
      </c>
      <c r="XFA349" s="16" t="s">
        <v>4867</v>
      </c>
      <c r="XFB349" s="16" t="s">
        <v>4867</v>
      </c>
      <c r="XFC349" s="16" t="s">
        <v>4867</v>
      </c>
    </row>
  </sheetData>
  <autoFilter ref="A5:T346" xr:uid="{00000000-0001-0000-0400-000000000000}"/>
  <mergeCells count="6">
    <mergeCell ref="P2:P4"/>
    <mergeCell ref="F2:F4"/>
    <mergeCell ref="G2:G4"/>
    <mergeCell ref="H2:H4"/>
    <mergeCell ref="I2:J2"/>
    <mergeCell ref="K2:K4"/>
  </mergeCells>
  <phoneticPr fontId="37" type="noConversion"/>
  <conditionalFormatting sqref="Q1:R3 Q5:R6">
    <cfRule type="iconSet" priority="1276">
      <iconSet iconSet="3Symbols2" showValue="0">
        <cfvo type="percent" val="0"/>
        <cfvo type="num" val="0"/>
        <cfvo type="num" val="1"/>
      </iconSet>
    </cfRule>
  </conditionalFormatting>
  <conditionalFormatting sqref="S1:T3 S5:T6">
    <cfRule type="iconSet" priority="1228">
      <iconSet iconSet="3Symbols2" showValue="0">
        <cfvo type="percent" val="0"/>
        <cfvo type="num" val="0"/>
        <cfvo type="num" val="1"/>
      </iconSet>
    </cfRule>
  </conditionalFormatting>
  <conditionalFormatting sqref="P347:P1048576">
    <cfRule type="iconSet" priority="8126">
      <iconSet iconSet="3Symbols2" showValue="0">
        <cfvo type="percent" val="0"/>
        <cfvo type="num" val="0"/>
        <cfvo type="num" val="0"/>
      </iconSet>
    </cfRule>
  </conditionalFormatting>
  <conditionalFormatting sqref="Q347:R1048576">
    <cfRule type="iconSet" priority="8140">
      <iconSet iconSet="3Symbols2" showValue="0">
        <cfvo type="percent" val="0"/>
        <cfvo type="num" val="0"/>
        <cfvo type="num" val="0"/>
      </iconSet>
    </cfRule>
  </conditionalFormatting>
  <conditionalFormatting sqref="S347:T1048576">
    <cfRule type="iconSet" priority="8142">
      <iconSet iconSet="3Symbols2" showValue="0">
        <cfvo type="percent" val="0"/>
        <cfvo type="num" val="0"/>
        <cfvo type="num" val="0"/>
      </iconSet>
    </cfRule>
  </conditionalFormatting>
  <conditionalFormatting sqref="P345:P346 P123:P130 P281 P9 P101:P110 P142 P28:P29">
    <cfRule type="iconSet" priority="925">
      <iconSet iconSet="3Symbols2" showValue="0">
        <cfvo type="percent" val="0"/>
        <cfvo type="num" val="0"/>
        <cfvo type="num" val="0"/>
      </iconSet>
    </cfRule>
  </conditionalFormatting>
  <conditionalFormatting sqref="P8">
    <cfRule type="iconSet" priority="923">
      <iconSet iconSet="3Symbols2" showValue="0">
        <cfvo type="percent" val="0"/>
        <cfvo type="num" val="0"/>
        <cfvo type="num" val="0"/>
      </iconSet>
    </cfRule>
  </conditionalFormatting>
  <conditionalFormatting sqref="P100">
    <cfRule type="iconSet" priority="919">
      <iconSet iconSet="3Symbols2" showValue="0">
        <cfvo type="percent" val="0"/>
        <cfvo type="num" val="0"/>
        <cfvo type="num" val="0"/>
      </iconSet>
    </cfRule>
  </conditionalFormatting>
  <conditionalFormatting sqref="P112">
    <cfRule type="iconSet" priority="918">
      <iconSet iconSet="3Symbols2" showValue="0">
        <cfvo type="percent" val="0"/>
        <cfvo type="num" val="0"/>
        <cfvo type="num" val="0"/>
      </iconSet>
    </cfRule>
  </conditionalFormatting>
  <conditionalFormatting sqref="P122">
    <cfRule type="iconSet" priority="917">
      <iconSet iconSet="3Symbols2" showValue="0">
        <cfvo type="percent" val="0"/>
        <cfvo type="num" val="0"/>
        <cfvo type="num" val="0"/>
      </iconSet>
    </cfRule>
  </conditionalFormatting>
  <conditionalFormatting sqref="P132">
    <cfRule type="iconSet" priority="916">
      <iconSet iconSet="3Symbols2" showValue="0">
        <cfvo type="percent" val="0"/>
        <cfvo type="num" val="0"/>
        <cfvo type="num" val="0"/>
      </iconSet>
    </cfRule>
  </conditionalFormatting>
  <conditionalFormatting sqref="P282">
    <cfRule type="iconSet" priority="915">
      <iconSet iconSet="3Symbols2" showValue="0">
        <cfvo type="percent" val="0"/>
        <cfvo type="num" val="0"/>
        <cfvo type="num" val="0"/>
      </iconSet>
    </cfRule>
  </conditionalFormatting>
  <conditionalFormatting sqref="P99">
    <cfRule type="iconSet" priority="913">
      <iconSet iconSet="3Symbols2" showValue="0">
        <cfvo type="percent" val="0"/>
        <cfvo type="num" val="0"/>
        <cfvo type="num" val="0"/>
      </iconSet>
    </cfRule>
  </conditionalFormatting>
  <conditionalFormatting sqref="P7">
    <cfRule type="iconSet" priority="910">
      <iconSet iconSet="3Symbols2" showValue="0">
        <cfvo type="percent" val="0"/>
        <cfvo type="num" val="0"/>
        <cfvo type="num" val="0"/>
      </iconSet>
    </cfRule>
  </conditionalFormatting>
  <conditionalFormatting sqref="P67">
    <cfRule type="iconSet" priority="907">
      <iconSet iconSet="3Symbols2" showValue="0">
        <cfvo type="percent" val="0"/>
        <cfvo type="num" val="0"/>
        <cfvo type="num" val="0"/>
      </iconSet>
    </cfRule>
  </conditionalFormatting>
  <conditionalFormatting sqref="P111">
    <cfRule type="iconSet" priority="889">
      <iconSet iconSet="3Symbols2" showValue="0">
        <cfvo type="percent" val="0"/>
        <cfvo type="num" val="0"/>
        <cfvo type="num" val="0"/>
      </iconSet>
    </cfRule>
  </conditionalFormatting>
  <conditionalFormatting sqref="P121">
    <cfRule type="iconSet" priority="886">
      <iconSet iconSet="3Symbols2" showValue="0">
        <cfvo type="percent" val="0"/>
        <cfvo type="num" val="0"/>
        <cfvo type="num" val="0"/>
      </iconSet>
    </cfRule>
  </conditionalFormatting>
  <conditionalFormatting sqref="P131">
    <cfRule type="iconSet" priority="880">
      <iconSet iconSet="3Symbols2" showValue="0">
        <cfvo type="percent" val="0"/>
        <cfvo type="num" val="0"/>
        <cfvo type="num" val="0"/>
      </iconSet>
    </cfRule>
  </conditionalFormatting>
  <conditionalFormatting sqref="P153 P165 P177">
    <cfRule type="iconSet" priority="877">
      <iconSet iconSet="3Symbols2" showValue="0">
        <cfvo type="percent" val="0"/>
        <cfvo type="num" val="0"/>
        <cfvo type="num" val="0"/>
      </iconSet>
    </cfRule>
  </conditionalFormatting>
  <conditionalFormatting sqref="Q123:R130 Q101:R110">
    <cfRule type="iconSet" priority="736">
      <iconSet iconSet="3Symbols2" showValue="0">
        <cfvo type="percent" val="0"/>
        <cfvo type="num" val="0"/>
        <cfvo type="num" val="0"/>
      </iconSet>
    </cfRule>
  </conditionalFormatting>
  <conditionalFormatting sqref="Q345:R346">
    <cfRule type="iconSet" priority="706">
      <iconSet iconSet="3Symbols2" showValue="0">
        <cfvo type="percent" val="0"/>
        <cfvo type="num" val="0"/>
        <cfvo type="num" val="0"/>
      </iconSet>
    </cfRule>
  </conditionalFormatting>
  <conditionalFormatting sqref="Q8:R8">
    <cfRule type="iconSet" priority="704">
      <iconSet iconSet="3Symbols2" showValue="0">
        <cfvo type="percent" val="0"/>
        <cfvo type="num" val="0"/>
        <cfvo type="num" val="0"/>
      </iconSet>
    </cfRule>
  </conditionalFormatting>
  <conditionalFormatting sqref="Q100:R100">
    <cfRule type="iconSet" priority="700">
      <iconSet iconSet="3Symbols2" showValue="0">
        <cfvo type="percent" val="0"/>
        <cfvo type="num" val="0"/>
        <cfvo type="num" val="0"/>
      </iconSet>
    </cfRule>
  </conditionalFormatting>
  <conditionalFormatting sqref="Q112:R112">
    <cfRule type="iconSet" priority="699">
      <iconSet iconSet="3Symbols2" showValue="0">
        <cfvo type="percent" val="0"/>
        <cfvo type="num" val="0"/>
        <cfvo type="num" val="0"/>
      </iconSet>
    </cfRule>
  </conditionalFormatting>
  <conditionalFormatting sqref="Q122:R122">
    <cfRule type="iconSet" priority="698">
      <iconSet iconSet="3Symbols2" showValue="0">
        <cfvo type="percent" val="0"/>
        <cfvo type="num" val="0"/>
        <cfvo type="num" val="0"/>
      </iconSet>
    </cfRule>
  </conditionalFormatting>
  <conditionalFormatting sqref="Q132:R132">
    <cfRule type="iconSet" priority="697">
      <iconSet iconSet="3Symbols2" showValue="0">
        <cfvo type="percent" val="0"/>
        <cfvo type="num" val="0"/>
        <cfvo type="num" val="0"/>
      </iconSet>
    </cfRule>
  </conditionalFormatting>
  <conditionalFormatting sqref="Q282:R282">
    <cfRule type="iconSet" priority="696">
      <iconSet iconSet="3Symbols2" showValue="0">
        <cfvo type="percent" val="0"/>
        <cfvo type="num" val="0"/>
        <cfvo type="num" val="0"/>
      </iconSet>
    </cfRule>
  </conditionalFormatting>
  <conditionalFormatting sqref="Q99:R99">
    <cfRule type="iconSet" priority="695">
      <iconSet iconSet="3Symbols2" showValue="0">
        <cfvo type="percent" val="0"/>
        <cfvo type="num" val="0"/>
        <cfvo type="num" val="0"/>
      </iconSet>
    </cfRule>
  </conditionalFormatting>
  <conditionalFormatting sqref="Q7:R7">
    <cfRule type="iconSet" priority="694">
      <iconSet iconSet="3Symbols2" showValue="0">
        <cfvo type="percent" val="0"/>
        <cfvo type="num" val="0"/>
        <cfvo type="num" val="0"/>
      </iconSet>
    </cfRule>
  </conditionalFormatting>
  <conditionalFormatting sqref="Q67:R67">
    <cfRule type="iconSet" priority="693">
      <iconSet iconSet="3Symbols2" showValue="0">
        <cfvo type="percent" val="0"/>
        <cfvo type="num" val="0"/>
        <cfvo type="num" val="0"/>
      </iconSet>
    </cfRule>
  </conditionalFormatting>
  <conditionalFormatting sqref="Q111:R111">
    <cfRule type="iconSet" priority="687">
      <iconSet iconSet="3Symbols2" showValue="0">
        <cfvo type="percent" val="0"/>
        <cfvo type="num" val="0"/>
        <cfvo type="num" val="0"/>
      </iconSet>
    </cfRule>
  </conditionalFormatting>
  <conditionalFormatting sqref="Q121:R121">
    <cfRule type="iconSet" priority="686">
      <iconSet iconSet="3Symbols2" showValue="0">
        <cfvo type="percent" val="0"/>
        <cfvo type="num" val="0"/>
        <cfvo type="num" val="0"/>
      </iconSet>
    </cfRule>
  </conditionalFormatting>
  <conditionalFormatting sqref="Q131:R131">
    <cfRule type="iconSet" priority="684">
      <iconSet iconSet="3Symbols2" showValue="0">
        <cfvo type="percent" val="0"/>
        <cfvo type="num" val="0"/>
        <cfvo type="num" val="0"/>
      </iconSet>
    </cfRule>
  </conditionalFormatting>
  <conditionalFormatting sqref="Q153:R153 Q165:R165 Q177:R177">
    <cfRule type="iconSet" priority="683">
      <iconSet iconSet="3Symbols2" showValue="0">
        <cfvo type="percent" val="0"/>
        <cfvo type="num" val="0"/>
        <cfvo type="num" val="0"/>
      </iconSet>
    </cfRule>
  </conditionalFormatting>
  <conditionalFormatting sqref="Q281:R281">
    <cfRule type="iconSet" priority="680">
      <iconSet iconSet="3Symbols2" showValue="0">
        <cfvo type="percent" val="0"/>
        <cfvo type="num" val="0"/>
        <cfvo type="num" val="0"/>
      </iconSet>
    </cfRule>
  </conditionalFormatting>
  <conditionalFormatting sqref="Q113:R120">
    <cfRule type="iconSet" priority="679">
      <iconSet iconSet="3Symbols2" showValue="0">
        <cfvo type="percent" val="0"/>
        <cfvo type="num" val="0"/>
        <cfvo type="num" val="0"/>
      </iconSet>
    </cfRule>
  </conditionalFormatting>
  <conditionalFormatting sqref="S345:T346 S123:T130 S101:T110">
    <cfRule type="iconSet" priority="676">
      <iconSet iconSet="3Symbols2" showValue="0">
        <cfvo type="percent" val="0"/>
        <cfvo type="num" val="0"/>
        <cfvo type="num" val="0"/>
      </iconSet>
    </cfRule>
  </conditionalFormatting>
  <conditionalFormatting sqref="S8:T8">
    <cfRule type="iconSet" priority="674">
      <iconSet iconSet="3Symbols2" showValue="0">
        <cfvo type="percent" val="0"/>
        <cfvo type="num" val="0"/>
        <cfvo type="num" val="0"/>
      </iconSet>
    </cfRule>
  </conditionalFormatting>
  <conditionalFormatting sqref="S100:T100">
    <cfRule type="iconSet" priority="670">
      <iconSet iconSet="3Symbols2" showValue="0">
        <cfvo type="percent" val="0"/>
        <cfvo type="num" val="0"/>
        <cfvo type="num" val="0"/>
      </iconSet>
    </cfRule>
  </conditionalFormatting>
  <conditionalFormatting sqref="S112:T112">
    <cfRule type="iconSet" priority="669">
      <iconSet iconSet="3Symbols2" showValue="0">
        <cfvo type="percent" val="0"/>
        <cfvo type="num" val="0"/>
        <cfvo type="num" val="0"/>
      </iconSet>
    </cfRule>
  </conditionalFormatting>
  <conditionalFormatting sqref="S122:T122">
    <cfRule type="iconSet" priority="668">
      <iconSet iconSet="3Symbols2" showValue="0">
        <cfvo type="percent" val="0"/>
        <cfvo type="num" val="0"/>
        <cfvo type="num" val="0"/>
      </iconSet>
    </cfRule>
  </conditionalFormatting>
  <conditionalFormatting sqref="S132:T132">
    <cfRule type="iconSet" priority="667">
      <iconSet iconSet="3Symbols2" showValue="0">
        <cfvo type="percent" val="0"/>
        <cfvo type="num" val="0"/>
        <cfvo type="num" val="0"/>
      </iconSet>
    </cfRule>
  </conditionalFormatting>
  <conditionalFormatting sqref="S282:T282">
    <cfRule type="iconSet" priority="666">
      <iconSet iconSet="3Symbols2" showValue="0">
        <cfvo type="percent" val="0"/>
        <cfvo type="num" val="0"/>
        <cfvo type="num" val="0"/>
      </iconSet>
    </cfRule>
  </conditionalFormatting>
  <conditionalFormatting sqref="S99:T99">
    <cfRule type="iconSet" priority="665">
      <iconSet iconSet="3Symbols2" showValue="0">
        <cfvo type="percent" val="0"/>
        <cfvo type="num" val="0"/>
        <cfvo type="num" val="0"/>
      </iconSet>
    </cfRule>
  </conditionalFormatting>
  <conditionalFormatting sqref="S7:T7">
    <cfRule type="iconSet" priority="664">
      <iconSet iconSet="3Symbols2" showValue="0">
        <cfvo type="percent" val="0"/>
        <cfvo type="num" val="0"/>
        <cfvo type="num" val="0"/>
      </iconSet>
    </cfRule>
  </conditionalFormatting>
  <conditionalFormatting sqref="S67:T67">
    <cfRule type="iconSet" priority="663">
      <iconSet iconSet="3Symbols2" showValue="0">
        <cfvo type="percent" val="0"/>
        <cfvo type="num" val="0"/>
        <cfvo type="num" val="0"/>
      </iconSet>
    </cfRule>
  </conditionalFormatting>
  <conditionalFormatting sqref="S111:T111">
    <cfRule type="iconSet" priority="657">
      <iconSet iconSet="3Symbols2" showValue="0">
        <cfvo type="percent" val="0"/>
        <cfvo type="num" val="0"/>
        <cfvo type="num" val="0"/>
      </iconSet>
    </cfRule>
  </conditionalFormatting>
  <conditionalFormatting sqref="S121:T121">
    <cfRule type="iconSet" priority="656">
      <iconSet iconSet="3Symbols2" showValue="0">
        <cfvo type="percent" val="0"/>
        <cfvo type="num" val="0"/>
        <cfvo type="num" val="0"/>
      </iconSet>
    </cfRule>
  </conditionalFormatting>
  <conditionalFormatting sqref="S131:T131">
    <cfRule type="iconSet" priority="654">
      <iconSet iconSet="3Symbols2" showValue="0">
        <cfvo type="percent" val="0"/>
        <cfvo type="num" val="0"/>
        <cfvo type="num" val="0"/>
      </iconSet>
    </cfRule>
  </conditionalFormatting>
  <conditionalFormatting sqref="S153:T153 S165:T165 S177:T177">
    <cfRule type="iconSet" priority="653">
      <iconSet iconSet="3Symbols2" showValue="0">
        <cfvo type="percent" val="0"/>
        <cfvo type="num" val="0"/>
        <cfvo type="num" val="0"/>
      </iconSet>
    </cfRule>
  </conditionalFormatting>
  <conditionalFormatting sqref="S281:T281">
    <cfRule type="iconSet" priority="650">
      <iconSet iconSet="3Symbols2" showValue="0">
        <cfvo type="percent" val="0"/>
        <cfvo type="num" val="0"/>
        <cfvo type="num" val="0"/>
      </iconSet>
    </cfRule>
  </conditionalFormatting>
  <conditionalFormatting sqref="S113:T120">
    <cfRule type="iconSet" priority="649">
      <iconSet iconSet="3Symbols2" showValue="0">
        <cfvo type="percent" val="0"/>
        <cfvo type="num" val="0"/>
        <cfvo type="num" val="0"/>
      </iconSet>
    </cfRule>
  </conditionalFormatting>
  <conditionalFormatting sqref="O143:O152 P133:P135 N142:O142 K142:L142 P137:P141">
    <cfRule type="iconSet" priority="993">
      <iconSet iconSet="3Symbols2" showValue="0">
        <cfvo type="percent" val="0"/>
        <cfvo type="num" val="0"/>
        <cfvo type="num" val="0"/>
      </iconSet>
    </cfRule>
  </conditionalFormatting>
  <conditionalFormatting sqref="P113:P120">
    <cfRule type="iconSet" priority="504">
      <iconSet iconSet="3Symbols2" showValue="0">
        <cfvo type="percent" val="0"/>
        <cfvo type="num" val="0"/>
        <cfvo type="num" val="0"/>
      </iconSet>
    </cfRule>
  </conditionalFormatting>
  <conditionalFormatting sqref="P83">
    <cfRule type="iconSet" priority="476">
      <iconSet iconSet="3Symbols2" showValue="0">
        <cfvo type="percent" val="0"/>
        <cfvo type="num" val="0"/>
        <cfvo type="num" val="0"/>
      </iconSet>
    </cfRule>
  </conditionalFormatting>
  <conditionalFormatting sqref="J347:O1048576">
    <cfRule type="iconSet" priority="75558">
      <iconSet iconSet="3Symbols2" showValue="0">
        <cfvo type="percent" val="0"/>
        <cfvo type="num" val="0"/>
        <cfvo type="num" val="0"/>
      </iconSet>
    </cfRule>
  </conditionalFormatting>
  <conditionalFormatting sqref="J8">
    <cfRule type="iconSet" priority="75560">
      <iconSet iconSet="3Symbols2" showValue="0">
        <cfvo type="percent" val="0"/>
        <cfvo type="num" val="0"/>
        <cfvo type="num" val="0"/>
      </iconSet>
    </cfRule>
  </conditionalFormatting>
  <conditionalFormatting sqref="J100:O100">
    <cfRule type="iconSet" priority="75564">
      <iconSet iconSet="3Symbols2" showValue="0">
        <cfvo type="percent" val="0"/>
        <cfvo type="num" val="0"/>
        <cfvo type="num" val="0"/>
      </iconSet>
    </cfRule>
  </conditionalFormatting>
  <conditionalFormatting sqref="J112:O112">
    <cfRule type="iconSet" priority="75565">
      <iconSet iconSet="3Symbols2" showValue="0">
        <cfvo type="percent" val="0"/>
        <cfvo type="num" val="0"/>
        <cfvo type="num" val="0"/>
      </iconSet>
    </cfRule>
  </conditionalFormatting>
  <conditionalFormatting sqref="J122:O122">
    <cfRule type="iconSet" priority="75566">
      <iconSet iconSet="3Symbols2" showValue="0">
        <cfvo type="percent" val="0"/>
        <cfvo type="num" val="0"/>
        <cfvo type="num" val="0"/>
      </iconSet>
    </cfRule>
  </conditionalFormatting>
  <conditionalFormatting sqref="J132:O132">
    <cfRule type="iconSet" priority="75567">
      <iconSet iconSet="3Symbols2" showValue="0">
        <cfvo type="percent" val="0"/>
        <cfvo type="num" val="0"/>
        <cfvo type="num" val="0"/>
      </iconSet>
    </cfRule>
  </conditionalFormatting>
  <conditionalFormatting sqref="J282">
    <cfRule type="iconSet" priority="75568">
      <iconSet iconSet="3Symbols2" showValue="0">
        <cfvo type="percent" val="0"/>
        <cfvo type="num" val="0"/>
        <cfvo type="num" val="0"/>
      </iconSet>
    </cfRule>
  </conditionalFormatting>
  <conditionalFormatting sqref="J99">
    <cfRule type="iconSet" priority="75580">
      <iconSet iconSet="3Symbols2" showValue="0">
        <cfvo type="percent" val="0"/>
        <cfvo type="num" val="0"/>
        <cfvo type="num" val="0"/>
      </iconSet>
    </cfRule>
  </conditionalFormatting>
  <conditionalFormatting sqref="J7:O7">
    <cfRule type="iconSet" priority="75581">
      <iconSet iconSet="3Symbols2" showValue="0">
        <cfvo type="percent" val="0"/>
        <cfvo type="num" val="0"/>
        <cfvo type="num" val="0"/>
      </iconSet>
    </cfRule>
  </conditionalFormatting>
  <conditionalFormatting sqref="J67:L67">
    <cfRule type="iconSet" priority="75582">
      <iconSet iconSet="3Symbols2" showValue="0">
        <cfvo type="percent" val="0"/>
        <cfvo type="num" val="0"/>
        <cfvo type="num" val="0"/>
      </iconSet>
    </cfRule>
  </conditionalFormatting>
  <conditionalFormatting sqref="J111:O111">
    <cfRule type="iconSet" priority="75588">
      <iconSet iconSet="3Symbols2" showValue="0">
        <cfvo type="percent" val="0"/>
        <cfvo type="num" val="0"/>
        <cfvo type="num" val="0"/>
      </iconSet>
    </cfRule>
  </conditionalFormatting>
  <conditionalFormatting sqref="J121:O121">
    <cfRule type="iconSet" priority="75589">
      <iconSet iconSet="3Symbols2" showValue="0">
        <cfvo type="percent" val="0"/>
        <cfvo type="num" val="0"/>
        <cfvo type="num" val="0"/>
      </iconSet>
    </cfRule>
  </conditionalFormatting>
  <conditionalFormatting sqref="J131:O131">
    <cfRule type="iconSet" priority="75591">
      <iconSet iconSet="3Symbols2" showValue="0">
        <cfvo type="percent" val="0"/>
        <cfvo type="num" val="0"/>
        <cfvo type="num" val="0"/>
      </iconSet>
    </cfRule>
  </conditionalFormatting>
  <conditionalFormatting sqref="I153:O153 I165:O165 I177:O177">
    <cfRule type="iconSet" priority="75592">
      <iconSet iconSet="3Symbols2" showValue="0">
        <cfvo type="percent" val="0"/>
        <cfvo type="num" val="0"/>
        <cfvo type="num" val="0"/>
      </iconSet>
    </cfRule>
  </conditionalFormatting>
  <conditionalFormatting sqref="K281:L281">
    <cfRule type="iconSet" priority="75593">
      <iconSet iconSet="3Symbols2" showValue="0">
        <cfvo type="percent" val="0"/>
        <cfvo type="num" val="0"/>
        <cfvo type="num" val="0"/>
      </iconSet>
    </cfRule>
  </conditionalFormatting>
  <conditionalFormatting sqref="J345:O346 J101:O110 J281 J113:J120 J123:O130 J133:J152 J9:J21 J28:J66">
    <cfRule type="iconSet" priority="75630">
      <iconSet iconSet="3Symbols2" showValue="0">
        <cfvo type="percent" val="0"/>
        <cfvo type="num" val="0"/>
        <cfvo type="num" val="0"/>
      </iconSet>
    </cfRule>
  </conditionalFormatting>
  <conditionalFormatting sqref="K113:L120 N113:O120">
    <cfRule type="iconSet" priority="75652">
      <iconSet iconSet="3Symbols2" showValue="0">
        <cfvo type="percent" val="0"/>
        <cfvo type="num" val="0"/>
        <cfvo type="num" val="0"/>
      </iconSet>
    </cfRule>
  </conditionalFormatting>
  <conditionalFormatting sqref="L137:L142 L1:L3 L153:L154 L165:L166 L177:L178 L189:L190 L196:L197 K22:L26 L98:L135 L5:L21 L27:L83 L223:L1048576">
    <cfRule type="iconSet" priority="75653">
      <iconSet iconSet="3Symbols2" showValue="0">
        <cfvo type="percent" val="0"/>
        <cfvo type="num" val="0"/>
        <cfvo type="num" val="0"/>
      </iconSet>
    </cfRule>
  </conditionalFormatting>
  <conditionalFormatting sqref="J68 J69:L69">
    <cfRule type="iconSet" priority="75654">
      <iconSet iconSet="3Symbols2" showValue="0">
        <cfvo type="percent" val="0"/>
        <cfvo type="num" val="0"/>
        <cfvo type="num" val="0"/>
      </iconSet>
    </cfRule>
  </conditionalFormatting>
  <conditionalFormatting sqref="J83:L83">
    <cfRule type="iconSet" priority="75657">
      <iconSet iconSet="3Symbols2" showValue="0">
        <cfvo type="percent" val="0"/>
        <cfvo type="num" val="0"/>
        <cfvo type="num" val="0"/>
      </iconSet>
    </cfRule>
  </conditionalFormatting>
  <conditionalFormatting sqref="Q4:T4">
    <cfRule type="iconSet" priority="470">
      <iconSet iconSet="3Symbols2" showValue="0">
        <cfvo type="percent" val="0"/>
        <cfvo type="num" val="0"/>
        <cfvo type="num" val="1"/>
      </iconSet>
    </cfRule>
  </conditionalFormatting>
  <conditionalFormatting sqref="N143:N152">
    <cfRule type="iconSet" priority="458">
      <iconSet iconSet="3Symbols2" showValue="0">
        <cfvo type="percent" val="0"/>
        <cfvo type="num" val="0"/>
        <cfvo type="num" val="0"/>
      </iconSet>
    </cfRule>
  </conditionalFormatting>
  <conditionalFormatting sqref="Q133:R135 Q137:R152 R136">
    <cfRule type="iconSet" priority="93330">
      <iconSet iconSet="3Symbols2" showValue="0">
        <cfvo type="percent" val="0"/>
        <cfvo type="num" val="0"/>
        <cfvo type="num" val="0"/>
      </iconSet>
    </cfRule>
  </conditionalFormatting>
  <conditionalFormatting sqref="S133:T142 S143:S152">
    <cfRule type="iconSet" priority="93332">
      <iconSet iconSet="3Symbols2" showValue="0">
        <cfvo type="percent" val="0"/>
        <cfvo type="num" val="0"/>
        <cfvo type="num" val="0"/>
      </iconSet>
    </cfRule>
  </conditionalFormatting>
  <conditionalFormatting sqref="I345:I1048576 K179:K222 I1:I9 I137:I142 I333 I98:I135 I281:I282 I179:I224 I27:I83">
    <cfRule type="iconSet" priority="426">
      <iconSet iconSet="3Symbols2" showValue="0">
        <cfvo type="percent" val="0"/>
        <cfvo type="num" val="0"/>
        <cfvo type="num" val="1"/>
      </iconSet>
    </cfRule>
  </conditionalFormatting>
  <conditionalFormatting sqref="M142:M152">
    <cfRule type="iconSet" priority="425">
      <iconSet iconSet="3Symbols2" showValue="0">
        <cfvo type="percent" val="0"/>
        <cfvo type="num" val="0"/>
        <cfvo type="num" val="0"/>
      </iconSet>
    </cfRule>
  </conditionalFormatting>
  <conditionalFormatting sqref="M113:M120">
    <cfRule type="iconSet" priority="420">
      <iconSet iconSet="3Symbols2" showValue="0">
        <cfvo type="percent" val="0"/>
        <cfvo type="num" val="0"/>
        <cfvo type="num" val="0"/>
      </iconSet>
    </cfRule>
  </conditionalFormatting>
  <conditionalFormatting sqref="K143:K152 K84 K97">
    <cfRule type="iconSet" priority="414">
      <iconSet iconSet="3Symbols2" showValue="0">
        <cfvo type="percent" val="0"/>
        <cfvo type="num" val="0"/>
        <cfvo type="num" val="0"/>
      </iconSet>
    </cfRule>
  </conditionalFormatting>
  <conditionalFormatting sqref="K143:K152">
    <cfRule type="iconSet" priority="413">
      <iconSet iconSet="3Symbols2" showValue="0">
        <cfvo type="percent" val="0"/>
        <cfvo type="num" val="0"/>
        <cfvo type="num" val="0"/>
      </iconSet>
    </cfRule>
  </conditionalFormatting>
  <conditionalFormatting sqref="K136:L136">
    <cfRule type="iconSet" priority="412">
      <iconSet iconSet="3Symbols2" showValue="0">
        <cfvo type="percent" val="0"/>
        <cfvo type="num" val="0"/>
        <cfvo type="num" val="1"/>
      </iconSet>
    </cfRule>
  </conditionalFormatting>
  <conditionalFormatting sqref="P154">
    <cfRule type="iconSet" priority="411">
      <iconSet iconSet="3Symbols2" showValue="0">
        <cfvo type="percent" val="0"/>
        <cfvo type="num" val="0"/>
        <cfvo type="num" val="0"/>
      </iconSet>
    </cfRule>
  </conditionalFormatting>
  <conditionalFormatting sqref="O155:O164 N154:O154 K154:L154">
    <cfRule type="iconSet" priority="410">
      <iconSet iconSet="3Symbols2" showValue="0">
        <cfvo type="percent" val="0"/>
        <cfvo type="num" val="0"/>
        <cfvo type="num" val="0"/>
      </iconSet>
    </cfRule>
  </conditionalFormatting>
  <conditionalFormatting sqref="J154">
    <cfRule type="iconSet" priority="409">
      <iconSet iconSet="3Symbols2" showValue="0">
        <cfvo type="percent" val="0"/>
        <cfvo type="num" val="0"/>
        <cfvo type="num" val="0"/>
      </iconSet>
    </cfRule>
  </conditionalFormatting>
  <conditionalFormatting sqref="N155:N164">
    <cfRule type="iconSet" priority="408">
      <iconSet iconSet="3Symbols2" showValue="0">
        <cfvo type="percent" val="0"/>
        <cfvo type="num" val="0"/>
        <cfvo type="num" val="0"/>
      </iconSet>
    </cfRule>
  </conditionalFormatting>
  <conditionalFormatting sqref="Q154:R164">
    <cfRule type="iconSet" priority="407">
      <iconSet iconSet="3Symbols2" showValue="0">
        <cfvo type="percent" val="0"/>
        <cfvo type="num" val="0"/>
        <cfvo type="num" val="0"/>
      </iconSet>
    </cfRule>
  </conditionalFormatting>
  <conditionalFormatting sqref="S154:T154 S155:S164">
    <cfRule type="iconSet" priority="406">
      <iconSet iconSet="3Symbols2" showValue="0">
        <cfvo type="percent" val="0"/>
        <cfvo type="num" val="0"/>
        <cfvo type="num" val="0"/>
      </iconSet>
    </cfRule>
  </conditionalFormatting>
  <conditionalFormatting sqref="M154:M164">
    <cfRule type="iconSet" priority="405">
      <iconSet iconSet="3Symbols2" showValue="0">
        <cfvo type="percent" val="0"/>
        <cfvo type="num" val="0"/>
        <cfvo type="num" val="0"/>
      </iconSet>
    </cfRule>
  </conditionalFormatting>
  <conditionalFormatting sqref="K155:K164">
    <cfRule type="iconSet" priority="404">
      <iconSet iconSet="3Symbols2" showValue="0">
        <cfvo type="percent" val="0"/>
        <cfvo type="num" val="0"/>
        <cfvo type="num" val="0"/>
      </iconSet>
    </cfRule>
  </conditionalFormatting>
  <conditionalFormatting sqref="K155:K164">
    <cfRule type="iconSet" priority="403">
      <iconSet iconSet="3Symbols2" showValue="0">
        <cfvo type="percent" val="0"/>
        <cfvo type="num" val="0"/>
        <cfvo type="num" val="0"/>
      </iconSet>
    </cfRule>
  </conditionalFormatting>
  <conditionalFormatting sqref="P166">
    <cfRule type="iconSet" priority="402">
      <iconSet iconSet="3Symbols2" showValue="0">
        <cfvo type="percent" val="0"/>
        <cfvo type="num" val="0"/>
        <cfvo type="num" val="0"/>
      </iconSet>
    </cfRule>
  </conditionalFormatting>
  <conditionalFormatting sqref="O167:O176 N166:O166 K166:L166">
    <cfRule type="iconSet" priority="401">
      <iconSet iconSet="3Symbols2" showValue="0">
        <cfvo type="percent" val="0"/>
        <cfvo type="num" val="0"/>
        <cfvo type="num" val="0"/>
      </iconSet>
    </cfRule>
  </conditionalFormatting>
  <conditionalFormatting sqref="J166">
    <cfRule type="iconSet" priority="400">
      <iconSet iconSet="3Symbols2" showValue="0">
        <cfvo type="percent" val="0"/>
        <cfvo type="num" val="0"/>
        <cfvo type="num" val="0"/>
      </iconSet>
    </cfRule>
  </conditionalFormatting>
  <conditionalFormatting sqref="N167:N176">
    <cfRule type="iconSet" priority="399">
      <iconSet iconSet="3Symbols2" showValue="0">
        <cfvo type="percent" val="0"/>
        <cfvo type="num" val="0"/>
        <cfvo type="num" val="0"/>
      </iconSet>
    </cfRule>
  </conditionalFormatting>
  <conditionalFormatting sqref="Q166:R166">
    <cfRule type="iconSet" priority="398">
      <iconSet iconSet="3Symbols2" showValue="0">
        <cfvo type="percent" val="0"/>
        <cfvo type="num" val="0"/>
        <cfvo type="num" val="0"/>
      </iconSet>
    </cfRule>
  </conditionalFormatting>
  <conditionalFormatting sqref="S166:T166">
    <cfRule type="iconSet" priority="397">
      <iconSet iconSet="3Symbols2" showValue="0">
        <cfvo type="percent" val="0"/>
        <cfvo type="num" val="0"/>
        <cfvo type="num" val="0"/>
      </iconSet>
    </cfRule>
  </conditionalFormatting>
  <conditionalFormatting sqref="M166:M176">
    <cfRule type="iconSet" priority="396">
      <iconSet iconSet="3Symbols2" showValue="0">
        <cfvo type="percent" val="0"/>
        <cfvo type="num" val="0"/>
        <cfvo type="num" val="0"/>
      </iconSet>
    </cfRule>
  </conditionalFormatting>
  <conditionalFormatting sqref="K167:K176">
    <cfRule type="iconSet" priority="395">
      <iconSet iconSet="3Symbols2" showValue="0">
        <cfvo type="percent" val="0"/>
        <cfvo type="num" val="0"/>
        <cfvo type="num" val="0"/>
      </iconSet>
    </cfRule>
  </conditionalFormatting>
  <conditionalFormatting sqref="K167:K176">
    <cfRule type="iconSet" priority="394">
      <iconSet iconSet="3Symbols2" showValue="0">
        <cfvo type="percent" val="0"/>
        <cfvo type="num" val="0"/>
        <cfvo type="num" val="0"/>
      </iconSet>
    </cfRule>
  </conditionalFormatting>
  <conditionalFormatting sqref="P136:Q136">
    <cfRule type="iconSet" priority="386">
      <iconSet iconSet="3Symbols2" showValue="0">
        <cfvo type="percent" val="0"/>
        <cfvo type="num" val="0"/>
        <cfvo type="num" val="1"/>
      </iconSet>
    </cfRule>
  </conditionalFormatting>
  <conditionalFormatting sqref="P178">
    <cfRule type="iconSet" priority="384">
      <iconSet iconSet="3Symbols2" showValue="0">
        <cfvo type="percent" val="0"/>
        <cfvo type="num" val="0"/>
        <cfvo type="num" val="0"/>
      </iconSet>
    </cfRule>
  </conditionalFormatting>
  <conditionalFormatting sqref="P190">
    <cfRule type="iconSet" priority="383">
      <iconSet iconSet="3Symbols2" showValue="0">
        <cfvo type="percent" val="0"/>
        <cfvo type="num" val="0"/>
        <cfvo type="num" val="0"/>
      </iconSet>
    </cfRule>
  </conditionalFormatting>
  <conditionalFormatting sqref="P197">
    <cfRule type="iconSet" priority="382">
      <iconSet iconSet="3Symbols2" showValue="0">
        <cfvo type="percent" val="0"/>
        <cfvo type="num" val="0"/>
        <cfvo type="num" val="0"/>
      </iconSet>
    </cfRule>
  </conditionalFormatting>
  <conditionalFormatting sqref="P189">
    <cfRule type="iconSet" priority="381">
      <iconSet iconSet="3Symbols2" showValue="0">
        <cfvo type="percent" val="0"/>
        <cfvo type="num" val="0"/>
        <cfvo type="num" val="0"/>
      </iconSet>
    </cfRule>
  </conditionalFormatting>
  <conditionalFormatting sqref="P196">
    <cfRule type="iconSet" priority="379">
      <iconSet iconSet="3Symbols2" showValue="0">
        <cfvo type="percent" val="0"/>
        <cfvo type="num" val="0"/>
        <cfvo type="num" val="0"/>
      </iconSet>
    </cfRule>
  </conditionalFormatting>
  <conditionalFormatting sqref="Q178:R178">
    <cfRule type="iconSet" priority="377">
      <iconSet iconSet="3Symbols2" showValue="0">
        <cfvo type="percent" val="0"/>
        <cfvo type="num" val="0"/>
        <cfvo type="num" val="0"/>
      </iconSet>
    </cfRule>
  </conditionalFormatting>
  <conditionalFormatting sqref="Q190:R190">
    <cfRule type="iconSet" priority="376">
      <iconSet iconSet="3Symbols2" showValue="0">
        <cfvo type="percent" val="0"/>
        <cfvo type="num" val="0"/>
        <cfvo type="num" val="0"/>
      </iconSet>
    </cfRule>
  </conditionalFormatting>
  <conditionalFormatting sqref="Q197:R197">
    <cfRule type="iconSet" priority="375">
      <iconSet iconSet="3Symbols2" showValue="0">
        <cfvo type="percent" val="0"/>
        <cfvo type="num" val="0"/>
        <cfvo type="num" val="0"/>
      </iconSet>
    </cfRule>
  </conditionalFormatting>
  <conditionalFormatting sqref="Q189:R189">
    <cfRule type="iconSet" priority="374">
      <iconSet iconSet="3Symbols2" showValue="0">
        <cfvo type="percent" val="0"/>
        <cfvo type="num" val="0"/>
        <cfvo type="num" val="0"/>
      </iconSet>
    </cfRule>
  </conditionalFormatting>
  <conditionalFormatting sqref="Q196:R196">
    <cfRule type="iconSet" priority="372">
      <iconSet iconSet="3Symbols2" showValue="0">
        <cfvo type="percent" val="0"/>
        <cfvo type="num" val="0"/>
        <cfvo type="num" val="0"/>
      </iconSet>
    </cfRule>
  </conditionalFormatting>
  <conditionalFormatting sqref="S178:T178">
    <cfRule type="iconSet" priority="369">
      <iconSet iconSet="3Symbols2" showValue="0">
        <cfvo type="percent" val="0"/>
        <cfvo type="num" val="0"/>
        <cfvo type="num" val="0"/>
      </iconSet>
    </cfRule>
  </conditionalFormatting>
  <conditionalFormatting sqref="S190:T190">
    <cfRule type="iconSet" priority="368">
      <iconSet iconSet="3Symbols2" showValue="0">
        <cfvo type="percent" val="0"/>
        <cfvo type="num" val="0"/>
        <cfvo type="num" val="0"/>
      </iconSet>
    </cfRule>
  </conditionalFormatting>
  <conditionalFormatting sqref="S197:T197">
    <cfRule type="iconSet" priority="367">
      <iconSet iconSet="3Symbols2" showValue="0">
        <cfvo type="percent" val="0"/>
        <cfvo type="num" val="0"/>
        <cfvo type="num" val="0"/>
      </iconSet>
    </cfRule>
  </conditionalFormatting>
  <conditionalFormatting sqref="S189:T189">
    <cfRule type="iconSet" priority="366">
      <iconSet iconSet="3Symbols2" showValue="0">
        <cfvo type="percent" val="0"/>
        <cfvo type="num" val="0"/>
        <cfvo type="num" val="0"/>
      </iconSet>
    </cfRule>
  </conditionalFormatting>
  <conditionalFormatting sqref="S196:T196">
    <cfRule type="iconSet" priority="364">
      <iconSet iconSet="3Symbols2" showValue="0">
        <cfvo type="percent" val="0"/>
        <cfvo type="num" val="0"/>
        <cfvo type="num" val="0"/>
      </iconSet>
    </cfRule>
  </conditionalFormatting>
  <conditionalFormatting sqref="P223">
    <cfRule type="iconSet" priority="362">
      <iconSet iconSet="3Symbols2" showValue="0">
        <cfvo type="percent" val="0"/>
        <cfvo type="num" val="0"/>
        <cfvo type="num" val="0"/>
      </iconSet>
    </cfRule>
  </conditionalFormatting>
  <conditionalFormatting sqref="I178:O178">
    <cfRule type="iconSet" priority="360">
      <iconSet iconSet="3Symbols2" showValue="0">
        <cfvo type="percent" val="0"/>
        <cfvo type="num" val="0"/>
        <cfvo type="num" val="0"/>
      </iconSet>
    </cfRule>
  </conditionalFormatting>
  <conditionalFormatting sqref="J190 L190:M190 O190">
    <cfRule type="iconSet" priority="359">
      <iconSet iconSet="3Symbols2" showValue="0">
        <cfvo type="percent" val="0"/>
        <cfvo type="num" val="0"/>
        <cfvo type="num" val="0"/>
      </iconSet>
    </cfRule>
  </conditionalFormatting>
  <conditionalFormatting sqref="J197 L197:M197 O197">
    <cfRule type="iconSet" priority="358">
      <iconSet iconSet="3Symbols2" showValue="0">
        <cfvo type="percent" val="0"/>
        <cfvo type="num" val="0"/>
        <cfvo type="num" val="0"/>
      </iconSet>
    </cfRule>
  </conditionalFormatting>
  <conditionalFormatting sqref="J189 L189:M189 O189">
    <cfRule type="iconSet" priority="357">
      <iconSet iconSet="3Symbols2" showValue="0">
        <cfvo type="percent" val="0"/>
        <cfvo type="num" val="0"/>
        <cfvo type="num" val="0"/>
      </iconSet>
    </cfRule>
  </conditionalFormatting>
  <conditionalFormatting sqref="J196 L196:M196 O196">
    <cfRule type="iconSet" priority="355">
      <iconSet iconSet="3Symbols2" showValue="0">
        <cfvo type="percent" val="0"/>
        <cfvo type="num" val="0"/>
        <cfvo type="num" val="0"/>
      </iconSet>
    </cfRule>
  </conditionalFormatting>
  <conditionalFormatting sqref="M191:M195 O191:O195 J223">
    <cfRule type="iconSet" priority="354">
      <iconSet iconSet="3Symbols2" showValue="0">
        <cfvo type="percent" val="0"/>
        <cfvo type="num" val="0"/>
        <cfvo type="num" val="0"/>
      </iconSet>
    </cfRule>
  </conditionalFormatting>
  <conditionalFormatting sqref="O179:O188">
    <cfRule type="iconSet" priority="353">
      <iconSet iconSet="3Symbols2" showValue="0">
        <cfvo type="percent" val="0"/>
        <cfvo type="num" val="0"/>
        <cfvo type="num" val="0"/>
      </iconSet>
    </cfRule>
  </conditionalFormatting>
  <conditionalFormatting sqref="Q198:R200 R201 Q202:R208 R209 Q210:R216 R217 Q218:R223">
    <cfRule type="iconSet" priority="352">
      <iconSet iconSet="3Symbols2" showValue="0">
        <cfvo type="percent" val="0"/>
        <cfvo type="num" val="0"/>
        <cfvo type="num" val="0"/>
      </iconSet>
    </cfRule>
  </conditionalFormatting>
  <conditionalFormatting sqref="S223:T223 S198:S222">
    <cfRule type="iconSet" priority="351">
      <iconSet iconSet="3Symbols2" showValue="0">
        <cfvo type="percent" val="0"/>
        <cfvo type="num" val="0"/>
        <cfvo type="num" val="0"/>
      </iconSet>
    </cfRule>
  </conditionalFormatting>
  <conditionalFormatting sqref="M179:M188">
    <cfRule type="iconSet" priority="350">
      <iconSet iconSet="3Symbols2" showValue="0">
        <cfvo type="percent" val="0"/>
        <cfvo type="num" val="0"/>
        <cfvo type="num" val="0"/>
      </iconSet>
    </cfRule>
  </conditionalFormatting>
  <conditionalFormatting sqref="Q201">
    <cfRule type="iconSet" priority="348">
      <iconSet iconSet="3Symbols2" showValue="0">
        <cfvo type="percent" val="0"/>
        <cfvo type="num" val="0"/>
        <cfvo type="num" val="1"/>
      </iconSet>
    </cfRule>
  </conditionalFormatting>
  <conditionalFormatting sqref="L167:L176 L155:L164 L143:L152 L84 L97">
    <cfRule type="iconSet" priority="343">
      <iconSet iconSet="3Symbols2" showValue="0">
        <cfvo type="percent" val="0"/>
        <cfvo type="num" val="0"/>
        <cfvo type="num" val="0"/>
      </iconSet>
    </cfRule>
  </conditionalFormatting>
  <conditionalFormatting sqref="L167:L176">
    <cfRule type="iconSet" priority="342">
      <iconSet iconSet="3Symbols2" showValue="0">
        <cfvo type="percent" val="0"/>
        <cfvo type="num" val="0"/>
        <cfvo type="num" val="0"/>
      </iconSet>
    </cfRule>
  </conditionalFormatting>
  <conditionalFormatting sqref="L191:L195 L179:L188 L198:L222">
    <cfRule type="iconSet" priority="341">
      <iconSet iconSet="3Symbols2" showValue="0">
        <cfvo type="percent" val="0"/>
        <cfvo type="num" val="0"/>
        <cfvo type="num" val="1"/>
      </iconSet>
    </cfRule>
  </conditionalFormatting>
  <conditionalFormatting sqref="Q191:Q195">
    <cfRule type="iconSet" priority="108748">
      <iconSet iconSet="3Symbols2" showValue="0">
        <cfvo type="percent" val="0"/>
        <cfvo type="num" val="0"/>
        <cfvo type="num" val="0"/>
      </iconSet>
    </cfRule>
  </conditionalFormatting>
  <conditionalFormatting sqref="S191:T195">
    <cfRule type="iconSet" priority="108749">
      <iconSet iconSet="3Symbols2" showValue="0">
        <cfvo type="percent" val="0"/>
        <cfvo type="num" val="0"/>
        <cfvo type="num" val="0"/>
      </iconSet>
    </cfRule>
  </conditionalFormatting>
  <conditionalFormatting sqref="N179:N222">
    <cfRule type="iconSet" priority="108761">
      <iconSet iconSet="3Symbols2" showValue="0">
        <cfvo type="percent" val="0"/>
        <cfvo type="num" val="0"/>
        <cfvo type="num" val="1"/>
      </iconSet>
    </cfRule>
  </conditionalFormatting>
  <conditionalFormatting sqref="Q209">
    <cfRule type="iconSet" priority="340">
      <iconSet iconSet="3Symbols2" showValue="0">
        <cfvo type="percent" val="0"/>
        <cfvo type="num" val="0"/>
        <cfvo type="num" val="1"/>
      </iconSet>
    </cfRule>
  </conditionalFormatting>
  <conditionalFormatting sqref="Q217">
    <cfRule type="iconSet" priority="339">
      <iconSet iconSet="3Symbols2" showValue="0">
        <cfvo type="percent" val="0"/>
        <cfvo type="num" val="0"/>
        <cfvo type="num" val="1"/>
      </iconSet>
    </cfRule>
  </conditionalFormatting>
  <conditionalFormatting sqref="P27">
    <cfRule type="iconSet" priority="338">
      <iconSet iconSet="3Symbols2" showValue="0">
        <cfvo type="percent" val="0"/>
        <cfvo type="num" val="0"/>
        <cfvo type="num" val="0"/>
      </iconSet>
    </cfRule>
  </conditionalFormatting>
  <conditionalFormatting sqref="Q27:R27">
    <cfRule type="iconSet" priority="337">
      <iconSet iconSet="3Symbols2" showValue="0">
        <cfvo type="percent" val="0"/>
        <cfvo type="num" val="0"/>
        <cfvo type="num" val="0"/>
      </iconSet>
    </cfRule>
  </conditionalFormatting>
  <conditionalFormatting sqref="S27:T27">
    <cfRule type="iconSet" priority="336">
      <iconSet iconSet="3Symbols2" showValue="0">
        <cfvo type="percent" val="0"/>
        <cfvo type="num" val="0"/>
        <cfvo type="num" val="0"/>
      </iconSet>
    </cfRule>
  </conditionalFormatting>
  <conditionalFormatting sqref="J27:L27">
    <cfRule type="iconSet" priority="335">
      <iconSet iconSet="3Symbols2" showValue="0">
        <cfvo type="percent" val="0"/>
        <cfvo type="num" val="0"/>
        <cfvo type="num" val="0"/>
      </iconSet>
    </cfRule>
  </conditionalFormatting>
  <conditionalFormatting sqref="L324:L325 N324:O325">
    <cfRule type="iconSet" priority="315">
      <iconSet iconSet="3Symbols2" showValue="0">
        <cfvo type="percent" val="0"/>
        <cfvo type="num" val="0"/>
        <cfvo type="num" val="0"/>
      </iconSet>
    </cfRule>
  </conditionalFormatting>
  <conditionalFormatting sqref="M324:M325">
    <cfRule type="iconSet" priority="312">
      <iconSet iconSet="3Symbols2" showValue="0">
        <cfvo type="percent" val="0"/>
        <cfvo type="num" val="0"/>
        <cfvo type="num" val="0"/>
      </iconSet>
    </cfRule>
  </conditionalFormatting>
  <conditionalFormatting sqref="P323">
    <cfRule type="iconSet" priority="307">
      <iconSet iconSet="3Symbols2" showValue="0">
        <cfvo type="percent" val="0"/>
        <cfvo type="num" val="0"/>
        <cfvo type="num" val="0"/>
      </iconSet>
    </cfRule>
  </conditionalFormatting>
  <conditionalFormatting sqref="Q318:R323 Q300:R307">
    <cfRule type="iconSet" priority="304">
      <iconSet iconSet="3Symbols2" showValue="0">
        <cfvo type="percent" val="0"/>
        <cfvo type="num" val="0"/>
        <cfvo type="num" val="0"/>
      </iconSet>
    </cfRule>
  </conditionalFormatting>
  <conditionalFormatting sqref="S323:T323 S318:S322 S307:T307 S300:S306">
    <cfRule type="iconSet" priority="303">
      <iconSet iconSet="3Symbols2" showValue="0">
        <cfvo type="percent" val="0"/>
        <cfvo type="num" val="0"/>
        <cfvo type="num" val="0"/>
      </iconSet>
    </cfRule>
  </conditionalFormatting>
  <conditionalFormatting sqref="L300:L301 N300:O301">
    <cfRule type="iconSet" priority="302">
      <iconSet iconSet="3Symbols2" showValue="0">
        <cfvo type="percent" val="0"/>
        <cfvo type="num" val="0"/>
        <cfvo type="num" val="0"/>
      </iconSet>
    </cfRule>
  </conditionalFormatting>
  <conditionalFormatting sqref="N318:O323 L318:L323">
    <cfRule type="iconSet" priority="301">
      <iconSet iconSet="3Symbols2" showValue="0">
        <cfvo type="percent" val="0"/>
        <cfvo type="num" val="0"/>
        <cfvo type="num" val="0"/>
      </iconSet>
    </cfRule>
  </conditionalFormatting>
  <conditionalFormatting sqref="M300:M301">
    <cfRule type="iconSet" priority="299">
      <iconSet iconSet="3Symbols2" showValue="0">
        <cfvo type="percent" val="0"/>
        <cfvo type="num" val="0"/>
        <cfvo type="num" val="0"/>
      </iconSet>
    </cfRule>
  </conditionalFormatting>
  <conditionalFormatting sqref="M318:M323">
    <cfRule type="iconSet" priority="298">
      <iconSet iconSet="3Symbols2" showValue="0">
        <cfvo type="percent" val="0"/>
        <cfvo type="num" val="0"/>
        <cfvo type="num" val="0"/>
      </iconSet>
    </cfRule>
  </conditionalFormatting>
  <conditionalFormatting sqref="P318:P322 P300:P306">
    <cfRule type="iconSet" priority="297">
      <iconSet iconSet="3Symbols2" showValue="0">
        <cfvo type="percent" val="0"/>
        <cfvo type="num" val="0"/>
        <cfvo type="num" val="0"/>
      </iconSet>
    </cfRule>
  </conditionalFormatting>
  <conditionalFormatting sqref="T318:T322 T300:T306">
    <cfRule type="iconSet" priority="296">
      <iconSet iconSet="3Symbols2" showValue="0">
        <cfvo type="percent" val="0"/>
        <cfvo type="num" val="0"/>
        <cfvo type="num" val="0"/>
      </iconSet>
    </cfRule>
  </conditionalFormatting>
  <conditionalFormatting sqref="I318:I322 I300:I306">
    <cfRule type="iconSet" priority="295">
      <iconSet iconSet="3Symbols2" showValue="0">
        <cfvo type="percent" val="0"/>
        <cfvo type="num" val="0"/>
        <cfvo type="num" val="0"/>
      </iconSet>
    </cfRule>
  </conditionalFormatting>
  <conditionalFormatting sqref="I136 I10:I21">
    <cfRule type="iconSet" priority="109444">
      <iconSet iconSet="3Symbols2" showValue="0">
        <cfvo type="percent" val="0"/>
        <cfvo type="num" val="0"/>
        <cfvo type="num" val="0"/>
      </iconSet>
    </cfRule>
  </conditionalFormatting>
  <conditionalFormatting sqref="I323">
    <cfRule type="iconSet" priority="294">
      <iconSet iconSet="3Symbols2" showValue="0">
        <cfvo type="percent" val="0"/>
        <cfvo type="num" val="0"/>
        <cfvo type="num" val="0"/>
      </iconSet>
    </cfRule>
  </conditionalFormatting>
  <conditionalFormatting sqref="P337">
    <cfRule type="iconSet" priority="259">
      <iconSet iconSet="3Symbols2" showValue="0">
        <cfvo type="percent" val="0"/>
        <cfvo type="num" val="0"/>
        <cfvo type="num" val="0"/>
      </iconSet>
    </cfRule>
  </conditionalFormatting>
  <conditionalFormatting sqref="J334:J335">
    <cfRule type="iconSet" priority="258">
      <iconSet iconSet="3Symbols2" showValue="0">
        <cfvo type="percent" val="0"/>
        <cfvo type="num" val="0"/>
        <cfvo type="num" val="0"/>
      </iconSet>
    </cfRule>
  </conditionalFormatting>
  <conditionalFormatting sqref="Q334:R337">
    <cfRule type="iconSet" priority="257">
      <iconSet iconSet="3Symbols2" showValue="0">
        <cfvo type="percent" val="0"/>
        <cfvo type="num" val="0"/>
        <cfvo type="num" val="0"/>
      </iconSet>
    </cfRule>
  </conditionalFormatting>
  <conditionalFormatting sqref="S337:T337 S334:S336">
    <cfRule type="iconSet" priority="256">
      <iconSet iconSet="3Symbols2" showValue="0">
        <cfvo type="percent" val="0"/>
        <cfvo type="num" val="0"/>
        <cfvo type="num" val="0"/>
      </iconSet>
    </cfRule>
  </conditionalFormatting>
  <conditionalFormatting sqref="N334:O337">
    <cfRule type="iconSet" priority="255">
      <iconSet iconSet="3Symbols2" showValue="0">
        <cfvo type="percent" val="0"/>
        <cfvo type="num" val="0"/>
        <cfvo type="num" val="0"/>
      </iconSet>
    </cfRule>
  </conditionalFormatting>
  <conditionalFormatting sqref="J336:J337">
    <cfRule type="iconSet" priority="254">
      <iconSet iconSet="3Symbols2" showValue="0">
        <cfvo type="percent" val="0"/>
        <cfvo type="num" val="0"/>
        <cfvo type="num" val="0"/>
      </iconSet>
    </cfRule>
  </conditionalFormatting>
  <conditionalFormatting sqref="M334:M337">
    <cfRule type="iconSet" priority="253">
      <iconSet iconSet="3Symbols2" showValue="0">
        <cfvo type="percent" val="0"/>
        <cfvo type="num" val="0"/>
        <cfvo type="num" val="0"/>
      </iconSet>
    </cfRule>
  </conditionalFormatting>
  <conditionalFormatting sqref="P334:P336">
    <cfRule type="iconSet" priority="252">
      <iconSet iconSet="3Symbols2" showValue="0">
        <cfvo type="percent" val="0"/>
        <cfvo type="num" val="0"/>
        <cfvo type="num" val="0"/>
      </iconSet>
    </cfRule>
  </conditionalFormatting>
  <conditionalFormatting sqref="T334:T336">
    <cfRule type="iconSet" priority="251">
      <iconSet iconSet="3Symbols2" showValue="0">
        <cfvo type="percent" val="0"/>
        <cfvo type="num" val="0"/>
        <cfvo type="num" val="0"/>
      </iconSet>
    </cfRule>
  </conditionalFormatting>
  <conditionalFormatting sqref="I334:I336">
    <cfRule type="iconSet" priority="250">
      <iconSet iconSet="3Symbols2" showValue="0">
        <cfvo type="percent" val="0"/>
        <cfvo type="num" val="0"/>
        <cfvo type="num" val="0"/>
      </iconSet>
    </cfRule>
  </conditionalFormatting>
  <conditionalFormatting sqref="I337">
    <cfRule type="iconSet" priority="249">
      <iconSet iconSet="3Symbols2" showValue="0">
        <cfvo type="percent" val="0"/>
        <cfvo type="num" val="0"/>
        <cfvo type="num" val="0"/>
      </iconSet>
    </cfRule>
  </conditionalFormatting>
  <conditionalFormatting sqref="J339:J343">
    <cfRule type="iconSet" priority="248">
      <iconSet iconSet="3Symbols2" showValue="0">
        <cfvo type="percent" val="0"/>
        <cfvo type="num" val="0"/>
        <cfvo type="num" val="0"/>
      </iconSet>
    </cfRule>
  </conditionalFormatting>
  <conditionalFormatting sqref="J338">
    <cfRule type="iconSet" priority="247">
      <iconSet iconSet="3Symbols2" showValue="0">
        <cfvo type="percent" val="0"/>
        <cfvo type="num" val="0"/>
        <cfvo type="num" val="0"/>
      </iconSet>
    </cfRule>
  </conditionalFormatting>
  <conditionalFormatting sqref="N338:O339">
    <cfRule type="iconSet" priority="246">
      <iconSet iconSet="3Symbols2" showValue="0">
        <cfvo type="percent" val="0"/>
        <cfvo type="num" val="0"/>
        <cfvo type="num" val="0"/>
      </iconSet>
    </cfRule>
  </conditionalFormatting>
  <conditionalFormatting sqref="M338:M339">
    <cfRule type="iconSet" priority="245">
      <iconSet iconSet="3Symbols2" showValue="0">
        <cfvo type="percent" val="0"/>
        <cfvo type="num" val="0"/>
        <cfvo type="num" val="0"/>
      </iconSet>
    </cfRule>
  </conditionalFormatting>
  <conditionalFormatting sqref="Q338:R344">
    <cfRule type="iconSet" priority="244">
      <iconSet iconSet="3Symbols2" showValue="0">
        <cfvo type="percent" val="0"/>
        <cfvo type="num" val="0"/>
        <cfvo type="num" val="0"/>
      </iconSet>
    </cfRule>
  </conditionalFormatting>
  <conditionalFormatting sqref="N340:O344">
    <cfRule type="iconSet" priority="243">
      <iconSet iconSet="3Symbols2" showValue="0">
        <cfvo type="percent" val="0"/>
        <cfvo type="num" val="0"/>
        <cfvo type="num" val="0"/>
      </iconSet>
    </cfRule>
  </conditionalFormatting>
  <conditionalFormatting sqref="J344">
    <cfRule type="iconSet" priority="242">
      <iconSet iconSet="3Symbols2" showValue="0">
        <cfvo type="percent" val="0"/>
        <cfvo type="num" val="0"/>
        <cfvo type="num" val="0"/>
      </iconSet>
    </cfRule>
  </conditionalFormatting>
  <conditionalFormatting sqref="M340:M344">
    <cfRule type="iconSet" priority="241">
      <iconSet iconSet="3Symbols2" showValue="0">
        <cfvo type="percent" val="0"/>
        <cfvo type="num" val="0"/>
        <cfvo type="num" val="0"/>
      </iconSet>
    </cfRule>
  </conditionalFormatting>
  <conditionalFormatting sqref="L334:L344">
    <cfRule type="iconSet" priority="109564">
      <iconSet iconSet="3Symbols2" showValue="0">
        <cfvo type="percent" val="0"/>
        <cfvo type="num" val="0"/>
        <cfvo type="num" val="0"/>
      </iconSet>
    </cfRule>
  </conditionalFormatting>
  <conditionalFormatting sqref="K334:K344 K10:K21 K225:K280 K283:K332">
    <cfRule type="iconSet" priority="109566">
      <iconSet iconSet="3Symbols2" showValue="0">
        <cfvo type="percent" val="0"/>
        <cfvo type="num" val="0"/>
        <cfvo type="num" val="0"/>
      </iconSet>
    </cfRule>
  </conditionalFormatting>
  <conditionalFormatting sqref="P338:P344">
    <cfRule type="iconSet" priority="109570">
      <iconSet iconSet="3Symbols2" showValue="0">
        <cfvo type="percent" val="0"/>
        <cfvo type="num" val="0"/>
        <cfvo type="num" val="0"/>
      </iconSet>
    </cfRule>
  </conditionalFormatting>
  <conditionalFormatting sqref="T338:T344">
    <cfRule type="iconSet" priority="109572">
      <iconSet iconSet="3Symbols2" showValue="0">
        <cfvo type="percent" val="0"/>
        <cfvo type="num" val="0"/>
        <cfvo type="num" val="0"/>
      </iconSet>
    </cfRule>
  </conditionalFormatting>
  <conditionalFormatting sqref="I338:I344">
    <cfRule type="iconSet" priority="109574">
      <iconSet iconSet="3Symbols2" showValue="0">
        <cfvo type="percent" val="0"/>
        <cfvo type="num" val="0"/>
        <cfvo type="num" val="0"/>
      </iconSet>
    </cfRule>
  </conditionalFormatting>
  <conditionalFormatting sqref="S338:S344">
    <cfRule type="iconSet" priority="109577">
      <iconSet iconSet="3Symbols2" showValue="0">
        <cfvo type="percent" val="0"/>
        <cfvo type="num" val="0"/>
        <cfvo type="num" val="0"/>
      </iconSet>
    </cfRule>
  </conditionalFormatting>
  <conditionalFormatting sqref="P98">
    <cfRule type="iconSet" priority="240">
      <iconSet iconSet="3Symbols2" showValue="0">
        <cfvo type="percent" val="0"/>
        <cfvo type="num" val="0"/>
        <cfvo type="num" val="0"/>
      </iconSet>
    </cfRule>
  </conditionalFormatting>
  <conditionalFormatting sqref="J98">
    <cfRule type="iconSet" priority="239">
      <iconSet iconSet="3Symbols2" showValue="0">
        <cfvo type="percent" val="0"/>
        <cfvo type="num" val="0"/>
        <cfvo type="num" val="0"/>
      </iconSet>
    </cfRule>
  </conditionalFormatting>
  <conditionalFormatting sqref="Q98:R98">
    <cfRule type="iconSet" priority="238">
      <iconSet iconSet="3Symbols2" showValue="0">
        <cfvo type="percent" val="0"/>
        <cfvo type="num" val="0"/>
        <cfvo type="num" val="0"/>
      </iconSet>
    </cfRule>
  </conditionalFormatting>
  <conditionalFormatting sqref="S98:T98">
    <cfRule type="iconSet" priority="237">
      <iconSet iconSet="3Symbols2" showValue="0">
        <cfvo type="percent" val="0"/>
        <cfvo type="num" val="0"/>
        <cfvo type="num" val="0"/>
      </iconSet>
    </cfRule>
  </conditionalFormatting>
  <conditionalFormatting sqref="H279:H280 B101:D110 B113:D120 B123:D130 B133:D140 B143:D152 B155:D164 B167:D176 B179:D188 B191:D195 B198:D222 B335:D344 B9:D26 B29:D66 C69:D69 C83:D83 B84:D97 B225:D280 B70:D82 F225:G280 F69:H97 F29:H66 F9:H26 F335:H344 F198:H222 F191:H195 F179:H188 F167:H176 F155:H164 F143:H152 F133:H140 F123:H130 F113:H120 F101:H110 B283:D332 F283:H332">
    <cfRule type="expression" dxfId="35" priority="228">
      <formula>AND($K9=1,$P9&lt;&gt;1)</formula>
    </cfRule>
    <cfRule type="expression" dxfId="34" priority="229">
      <formula>OR($I9=1,$P9=1)</formula>
    </cfRule>
    <cfRule type="expression" dxfId="33" priority="230">
      <formula>($H9="NA")</formula>
    </cfRule>
  </conditionalFormatting>
  <conditionalFormatting sqref="R191:R195">
    <cfRule type="iconSet" priority="123">
      <iconSet iconSet="3Symbols2" showValue="0">
        <cfvo type="percent" val="0"/>
        <cfvo type="num" val="0"/>
        <cfvo type="num" val="1"/>
      </iconSet>
    </cfRule>
  </conditionalFormatting>
  <conditionalFormatting sqref="P191:P195">
    <cfRule type="iconSet" priority="122">
      <iconSet iconSet="3Symbols2" showValue="0">
        <cfvo type="percent" val="0"/>
        <cfvo type="num" val="0"/>
        <cfvo type="num" val="1"/>
      </iconSet>
    </cfRule>
  </conditionalFormatting>
  <conditionalFormatting sqref="P155:P164">
    <cfRule type="iconSet" priority="115">
      <iconSet iconSet="3Symbols2" showValue="0">
        <cfvo type="percent" val="0"/>
        <cfvo type="num" val="0"/>
        <cfvo type="num" val="0"/>
      </iconSet>
    </cfRule>
  </conditionalFormatting>
  <conditionalFormatting sqref="T155:T164">
    <cfRule type="iconSet" priority="114">
      <iconSet iconSet="3Symbols2" showValue="0">
        <cfvo type="percent" val="0"/>
        <cfvo type="num" val="0"/>
        <cfvo type="num" val="0"/>
      </iconSet>
    </cfRule>
  </conditionalFormatting>
  <conditionalFormatting sqref="Q167:R176">
    <cfRule type="iconSet" priority="113">
      <iconSet iconSet="3Symbols2" showValue="0">
        <cfvo type="percent" val="0"/>
        <cfvo type="num" val="0"/>
        <cfvo type="num" val="0"/>
      </iconSet>
    </cfRule>
  </conditionalFormatting>
  <conditionalFormatting sqref="S167:S176">
    <cfRule type="iconSet" priority="112">
      <iconSet iconSet="3Symbols2" showValue="0">
        <cfvo type="percent" val="0"/>
        <cfvo type="num" val="0"/>
        <cfvo type="num" val="0"/>
      </iconSet>
    </cfRule>
  </conditionalFormatting>
  <conditionalFormatting sqref="P167:P176">
    <cfRule type="iconSet" priority="111">
      <iconSet iconSet="3Symbols2" showValue="0">
        <cfvo type="percent" val="0"/>
        <cfvo type="num" val="0"/>
        <cfvo type="num" val="0"/>
      </iconSet>
    </cfRule>
  </conditionalFormatting>
  <conditionalFormatting sqref="T167:T176">
    <cfRule type="iconSet" priority="110">
      <iconSet iconSet="3Symbols2" showValue="0">
        <cfvo type="percent" val="0"/>
        <cfvo type="num" val="0"/>
        <cfvo type="num" val="0"/>
      </iconSet>
    </cfRule>
  </conditionalFormatting>
  <conditionalFormatting sqref="Q179:R188">
    <cfRule type="iconSet" priority="109">
      <iconSet iconSet="3Symbols2" showValue="0">
        <cfvo type="percent" val="0"/>
        <cfvo type="num" val="0"/>
        <cfvo type="num" val="0"/>
      </iconSet>
    </cfRule>
  </conditionalFormatting>
  <conditionalFormatting sqref="S179:S188">
    <cfRule type="iconSet" priority="108">
      <iconSet iconSet="3Symbols2" showValue="0">
        <cfvo type="percent" val="0"/>
        <cfvo type="num" val="0"/>
        <cfvo type="num" val="0"/>
      </iconSet>
    </cfRule>
  </conditionalFormatting>
  <conditionalFormatting sqref="P179:P188">
    <cfRule type="iconSet" priority="107">
      <iconSet iconSet="3Symbols2" showValue="0">
        <cfvo type="percent" val="0"/>
        <cfvo type="num" val="0"/>
        <cfvo type="num" val="0"/>
      </iconSet>
    </cfRule>
  </conditionalFormatting>
  <conditionalFormatting sqref="T179:T188">
    <cfRule type="iconSet" priority="106">
      <iconSet iconSet="3Symbols2" showValue="0">
        <cfvo type="percent" val="0"/>
        <cfvo type="num" val="0"/>
        <cfvo type="num" val="0"/>
      </iconSet>
    </cfRule>
  </conditionalFormatting>
  <conditionalFormatting sqref="P198:P222">
    <cfRule type="iconSet" priority="105">
      <iconSet iconSet="3Symbols2" showValue="0">
        <cfvo type="percent" val="0"/>
        <cfvo type="num" val="0"/>
        <cfvo type="num" val="1"/>
      </iconSet>
    </cfRule>
  </conditionalFormatting>
  <conditionalFormatting sqref="T198:T222">
    <cfRule type="iconSet" priority="104">
      <iconSet iconSet="3Symbols2" showValue="0">
        <cfvo type="percent" val="0"/>
        <cfvo type="num" val="0"/>
        <cfvo type="num" val="1"/>
      </iconSet>
    </cfRule>
  </conditionalFormatting>
  <conditionalFormatting sqref="P143:P152">
    <cfRule type="iconSet" priority="103">
      <iconSet iconSet="3Symbols2" showValue="0">
        <cfvo type="percent" val="0"/>
        <cfvo type="num" val="0"/>
        <cfvo type="num" val="0"/>
      </iconSet>
    </cfRule>
  </conditionalFormatting>
  <conditionalFormatting sqref="T143:T152">
    <cfRule type="iconSet" priority="102">
      <iconSet iconSet="3Symbols2" showValue="0">
        <cfvo type="percent" val="0"/>
        <cfvo type="num" val="0"/>
        <cfvo type="num" val="0"/>
      </iconSet>
    </cfRule>
  </conditionalFormatting>
  <conditionalFormatting sqref="P333">
    <cfRule type="iconSet" priority="101">
      <iconSet iconSet="3Symbols2" showValue="0">
        <cfvo type="percent" val="0"/>
        <cfvo type="num" val="0"/>
        <cfvo type="num" val="0"/>
      </iconSet>
    </cfRule>
  </conditionalFormatting>
  <conditionalFormatting sqref="J333">
    <cfRule type="iconSet" priority="100">
      <iconSet iconSet="3Symbols2" showValue="0">
        <cfvo type="percent" val="0"/>
        <cfvo type="num" val="0"/>
        <cfvo type="num" val="0"/>
      </iconSet>
    </cfRule>
  </conditionalFormatting>
  <conditionalFormatting sqref="Q333:R333">
    <cfRule type="iconSet" priority="99">
      <iconSet iconSet="3Symbols2" showValue="0">
        <cfvo type="percent" val="0"/>
        <cfvo type="num" val="0"/>
        <cfvo type="num" val="0"/>
      </iconSet>
    </cfRule>
  </conditionalFormatting>
  <conditionalFormatting sqref="S333:T333">
    <cfRule type="iconSet" priority="98">
      <iconSet iconSet="3Symbols2" showValue="0">
        <cfvo type="percent" val="0"/>
        <cfvo type="num" val="0"/>
        <cfvo type="num" val="0"/>
      </iconSet>
    </cfRule>
  </conditionalFormatting>
  <conditionalFormatting sqref="I143:I152">
    <cfRule type="iconSet" priority="85">
      <iconSet iconSet="3Symbols2" showValue="0">
        <cfvo type="percent" val="0"/>
        <cfvo type="num" val="0"/>
        <cfvo type="num" val="0"/>
      </iconSet>
    </cfRule>
  </conditionalFormatting>
  <conditionalFormatting sqref="I143:I152">
    <cfRule type="iconSet" priority="84">
      <iconSet iconSet="3Symbols2" showValue="0">
        <cfvo type="percent" val="0"/>
        <cfvo type="num" val="0"/>
        <cfvo type="num" val="0"/>
      </iconSet>
    </cfRule>
  </conditionalFormatting>
  <conditionalFormatting sqref="I154">
    <cfRule type="iconSet" priority="83">
      <iconSet iconSet="3Symbols2" showValue="0">
        <cfvo type="percent" val="0"/>
        <cfvo type="num" val="0"/>
        <cfvo type="num" val="0"/>
      </iconSet>
    </cfRule>
  </conditionalFormatting>
  <conditionalFormatting sqref="I155:I164">
    <cfRule type="iconSet" priority="82">
      <iconSet iconSet="3Symbols2" showValue="0">
        <cfvo type="percent" val="0"/>
        <cfvo type="num" val="0"/>
        <cfvo type="num" val="0"/>
      </iconSet>
    </cfRule>
  </conditionalFormatting>
  <conditionalFormatting sqref="I155:I164">
    <cfRule type="iconSet" priority="81">
      <iconSet iconSet="3Symbols2" showValue="0">
        <cfvo type="percent" val="0"/>
        <cfvo type="num" val="0"/>
        <cfvo type="num" val="0"/>
      </iconSet>
    </cfRule>
  </conditionalFormatting>
  <conditionalFormatting sqref="I166">
    <cfRule type="iconSet" priority="80">
      <iconSet iconSet="3Symbols2" showValue="0">
        <cfvo type="percent" val="0"/>
        <cfvo type="num" val="0"/>
        <cfvo type="num" val="0"/>
      </iconSet>
    </cfRule>
  </conditionalFormatting>
  <conditionalFormatting sqref="I167:I176">
    <cfRule type="iconSet" priority="79">
      <iconSet iconSet="3Symbols2" showValue="0">
        <cfvo type="percent" val="0"/>
        <cfvo type="num" val="0"/>
        <cfvo type="num" val="0"/>
      </iconSet>
    </cfRule>
  </conditionalFormatting>
  <conditionalFormatting sqref="I167:I176">
    <cfRule type="iconSet" priority="78">
      <iconSet iconSet="3Symbols2" showValue="0">
        <cfvo type="percent" val="0"/>
        <cfvo type="num" val="0"/>
        <cfvo type="num" val="0"/>
      </iconSet>
    </cfRule>
  </conditionalFormatting>
  <conditionalFormatting sqref="L291:L292 N291:O292">
    <cfRule type="iconSet" priority="75">
      <iconSet iconSet="3Symbols2" showValue="0">
        <cfvo type="percent" val="0"/>
        <cfvo type="num" val="0"/>
        <cfvo type="num" val="0"/>
      </iconSet>
    </cfRule>
  </conditionalFormatting>
  <conditionalFormatting sqref="M291:M292">
    <cfRule type="iconSet" priority="74">
      <iconSet iconSet="3Symbols2" showValue="0">
        <cfvo type="percent" val="0"/>
        <cfvo type="num" val="0"/>
        <cfvo type="num" val="0"/>
      </iconSet>
    </cfRule>
  </conditionalFormatting>
  <conditionalFormatting sqref="P291:P299">
    <cfRule type="iconSet" priority="73">
      <iconSet iconSet="3Symbols2" showValue="0">
        <cfvo type="percent" val="0"/>
        <cfvo type="num" val="0"/>
        <cfvo type="num" val="0"/>
      </iconSet>
    </cfRule>
  </conditionalFormatting>
  <conditionalFormatting sqref="T291:T299">
    <cfRule type="iconSet" priority="72">
      <iconSet iconSet="3Symbols2" showValue="0">
        <cfvo type="percent" val="0"/>
        <cfvo type="num" val="0"/>
        <cfvo type="num" val="0"/>
      </iconSet>
    </cfRule>
  </conditionalFormatting>
  <conditionalFormatting sqref="I291:I299">
    <cfRule type="iconSet" priority="71">
      <iconSet iconSet="3Symbols2" showValue="0">
        <cfvo type="percent" val="0"/>
        <cfvo type="num" val="0"/>
        <cfvo type="num" val="0"/>
      </iconSet>
    </cfRule>
  </conditionalFormatting>
  <conditionalFormatting sqref="P290">
    <cfRule type="iconSet" priority="70">
      <iconSet iconSet="3Symbols2" showValue="0">
        <cfvo type="percent" val="0"/>
        <cfvo type="num" val="0"/>
        <cfvo type="num" val="0"/>
      </iconSet>
    </cfRule>
  </conditionalFormatting>
  <conditionalFormatting sqref="Q283:R290">
    <cfRule type="iconSet" priority="69">
      <iconSet iconSet="3Symbols2" showValue="0">
        <cfvo type="percent" val="0"/>
        <cfvo type="num" val="0"/>
        <cfvo type="num" val="0"/>
      </iconSet>
    </cfRule>
  </conditionalFormatting>
  <conditionalFormatting sqref="S290:T290 S283:S289">
    <cfRule type="iconSet" priority="68">
      <iconSet iconSet="3Symbols2" showValue="0">
        <cfvo type="percent" val="0"/>
        <cfvo type="num" val="0"/>
        <cfvo type="num" val="0"/>
      </iconSet>
    </cfRule>
  </conditionalFormatting>
  <conditionalFormatting sqref="L283:L284 N283:O284">
    <cfRule type="iconSet" priority="67">
      <iconSet iconSet="3Symbols2" showValue="0">
        <cfvo type="percent" val="0"/>
        <cfvo type="num" val="0"/>
        <cfvo type="num" val="0"/>
      </iconSet>
    </cfRule>
  </conditionalFormatting>
  <conditionalFormatting sqref="N285:O290 L285:L290">
    <cfRule type="iconSet" priority="66">
      <iconSet iconSet="3Symbols2" showValue="0">
        <cfvo type="percent" val="0"/>
        <cfvo type="num" val="0"/>
        <cfvo type="num" val="0"/>
      </iconSet>
    </cfRule>
  </conditionalFormatting>
  <conditionalFormatting sqref="M283:M284">
    <cfRule type="iconSet" priority="65">
      <iconSet iconSet="3Symbols2" showValue="0">
        <cfvo type="percent" val="0"/>
        <cfvo type="num" val="0"/>
        <cfvo type="num" val="0"/>
      </iconSet>
    </cfRule>
  </conditionalFormatting>
  <conditionalFormatting sqref="M285:M290">
    <cfRule type="iconSet" priority="64">
      <iconSet iconSet="3Symbols2" showValue="0">
        <cfvo type="percent" val="0"/>
        <cfvo type="num" val="0"/>
        <cfvo type="num" val="0"/>
      </iconSet>
    </cfRule>
  </conditionalFormatting>
  <conditionalFormatting sqref="P283:P289">
    <cfRule type="iconSet" priority="63">
      <iconSet iconSet="3Symbols2" showValue="0">
        <cfvo type="percent" val="0"/>
        <cfvo type="num" val="0"/>
        <cfvo type="num" val="0"/>
      </iconSet>
    </cfRule>
  </conditionalFormatting>
  <conditionalFormatting sqref="T283:T289">
    <cfRule type="iconSet" priority="62">
      <iconSet iconSet="3Symbols2" showValue="0">
        <cfvo type="percent" val="0"/>
        <cfvo type="num" val="0"/>
        <cfvo type="num" val="0"/>
      </iconSet>
    </cfRule>
  </conditionalFormatting>
  <conditionalFormatting sqref="I283:I289">
    <cfRule type="iconSet" priority="61">
      <iconSet iconSet="3Symbols2" showValue="0">
        <cfvo type="percent" val="0"/>
        <cfvo type="num" val="0"/>
        <cfvo type="num" val="0"/>
      </iconSet>
    </cfRule>
  </conditionalFormatting>
  <conditionalFormatting sqref="Q291:R299">
    <cfRule type="iconSet" priority="60">
      <iconSet iconSet="3Symbols2" showValue="0">
        <cfvo type="percent" val="0"/>
        <cfvo type="num" val="0"/>
        <cfvo type="num" val="0"/>
      </iconSet>
    </cfRule>
  </conditionalFormatting>
  <conditionalFormatting sqref="S291:S299">
    <cfRule type="iconSet" priority="59">
      <iconSet iconSet="3Symbols2" showValue="0">
        <cfvo type="percent" val="0"/>
        <cfvo type="num" val="0"/>
        <cfvo type="num" val="0"/>
      </iconSet>
    </cfRule>
  </conditionalFormatting>
  <conditionalFormatting sqref="N293:O299 L293:L299">
    <cfRule type="iconSet" priority="58">
      <iconSet iconSet="3Symbols2" showValue="0">
        <cfvo type="percent" val="0"/>
        <cfvo type="num" val="0"/>
        <cfvo type="num" val="0"/>
      </iconSet>
    </cfRule>
  </conditionalFormatting>
  <conditionalFormatting sqref="M293:M299">
    <cfRule type="iconSet" priority="57">
      <iconSet iconSet="3Symbols2" showValue="0">
        <cfvo type="percent" val="0"/>
        <cfvo type="num" val="0"/>
        <cfvo type="num" val="0"/>
      </iconSet>
    </cfRule>
  </conditionalFormatting>
  <conditionalFormatting sqref="I290">
    <cfRule type="iconSet" priority="56">
      <iconSet iconSet="3Symbols2" showValue="0">
        <cfvo type="percent" val="0"/>
        <cfvo type="num" val="0"/>
        <cfvo type="num" val="0"/>
      </iconSet>
    </cfRule>
  </conditionalFormatting>
  <conditionalFormatting sqref="L308:L309 N308:O309">
    <cfRule type="iconSet" priority="52">
      <iconSet iconSet="3Symbols2" showValue="0">
        <cfvo type="percent" val="0"/>
        <cfvo type="num" val="0"/>
        <cfvo type="num" val="0"/>
      </iconSet>
    </cfRule>
  </conditionalFormatting>
  <conditionalFormatting sqref="M308:M309">
    <cfRule type="iconSet" priority="51">
      <iconSet iconSet="3Symbols2" showValue="0">
        <cfvo type="percent" val="0"/>
        <cfvo type="num" val="0"/>
        <cfvo type="num" val="0"/>
      </iconSet>
    </cfRule>
  </conditionalFormatting>
  <conditionalFormatting sqref="P308:P317">
    <cfRule type="iconSet" priority="50">
      <iconSet iconSet="3Symbols2" showValue="0">
        <cfvo type="percent" val="0"/>
        <cfvo type="num" val="0"/>
        <cfvo type="num" val="0"/>
      </iconSet>
    </cfRule>
  </conditionalFormatting>
  <conditionalFormatting sqref="T308:T317">
    <cfRule type="iconSet" priority="49">
      <iconSet iconSet="3Symbols2" showValue="0">
        <cfvo type="percent" val="0"/>
        <cfvo type="num" val="0"/>
        <cfvo type="num" val="0"/>
      </iconSet>
    </cfRule>
  </conditionalFormatting>
  <conditionalFormatting sqref="I308:I317">
    <cfRule type="iconSet" priority="48">
      <iconSet iconSet="3Symbols2" showValue="0">
        <cfvo type="percent" val="0"/>
        <cfvo type="num" val="0"/>
        <cfvo type="num" val="0"/>
      </iconSet>
    </cfRule>
  </conditionalFormatting>
  <conditionalFormatting sqref="P307">
    <cfRule type="iconSet" priority="47">
      <iconSet iconSet="3Symbols2" showValue="0">
        <cfvo type="percent" val="0"/>
        <cfvo type="num" val="0"/>
        <cfvo type="num" val="0"/>
      </iconSet>
    </cfRule>
  </conditionalFormatting>
  <conditionalFormatting sqref="N302:O307 L302:L307">
    <cfRule type="iconSet" priority="46">
      <iconSet iconSet="3Symbols2" showValue="0">
        <cfvo type="percent" val="0"/>
        <cfvo type="num" val="0"/>
        <cfvo type="num" val="0"/>
      </iconSet>
    </cfRule>
  </conditionalFormatting>
  <conditionalFormatting sqref="M302:M307">
    <cfRule type="iconSet" priority="45">
      <iconSet iconSet="3Symbols2" showValue="0">
        <cfvo type="percent" val="0"/>
        <cfvo type="num" val="0"/>
        <cfvo type="num" val="0"/>
      </iconSet>
    </cfRule>
  </conditionalFormatting>
  <conditionalFormatting sqref="Q308:R317">
    <cfRule type="iconSet" priority="44">
      <iconSet iconSet="3Symbols2" showValue="0">
        <cfvo type="percent" val="0"/>
        <cfvo type="num" val="0"/>
        <cfvo type="num" val="0"/>
      </iconSet>
    </cfRule>
  </conditionalFormatting>
  <conditionalFormatting sqref="S308:S317">
    <cfRule type="iconSet" priority="43">
      <iconSet iconSet="3Symbols2" showValue="0">
        <cfvo type="percent" val="0"/>
        <cfvo type="num" val="0"/>
        <cfvo type="num" val="0"/>
      </iconSet>
    </cfRule>
  </conditionalFormatting>
  <conditionalFormatting sqref="N310:O317 L310:L317">
    <cfRule type="iconSet" priority="42">
      <iconSet iconSet="3Symbols2" showValue="0">
        <cfvo type="percent" val="0"/>
        <cfvo type="num" val="0"/>
        <cfvo type="num" val="0"/>
      </iconSet>
    </cfRule>
  </conditionalFormatting>
  <conditionalFormatting sqref="M310:M317">
    <cfRule type="iconSet" priority="41">
      <iconSet iconSet="3Symbols2" showValue="0">
        <cfvo type="percent" val="0"/>
        <cfvo type="num" val="0"/>
        <cfvo type="num" val="0"/>
      </iconSet>
    </cfRule>
  </conditionalFormatting>
  <conditionalFormatting sqref="I307">
    <cfRule type="iconSet" priority="40">
      <iconSet iconSet="3Symbols2" showValue="0">
        <cfvo type="percent" val="0"/>
        <cfvo type="num" val="0"/>
        <cfvo type="num" val="0"/>
      </iconSet>
    </cfRule>
  </conditionalFormatting>
  <conditionalFormatting sqref="P324:P332">
    <cfRule type="iconSet" priority="162739">
      <iconSet iconSet="3Symbols2" showValue="0">
        <cfvo type="percent" val="0"/>
        <cfvo type="num" val="0"/>
        <cfvo type="num" val="0"/>
      </iconSet>
    </cfRule>
  </conditionalFormatting>
  <conditionalFormatting sqref="T324:T332">
    <cfRule type="iconSet" priority="162740">
      <iconSet iconSet="3Symbols2" showValue="0">
        <cfvo type="percent" val="0"/>
        <cfvo type="num" val="0"/>
        <cfvo type="num" val="0"/>
      </iconSet>
    </cfRule>
  </conditionalFormatting>
  <conditionalFormatting sqref="I324:I332">
    <cfRule type="iconSet" priority="162741">
      <iconSet iconSet="3Symbols2" showValue="0">
        <cfvo type="percent" val="0"/>
        <cfvo type="num" val="0"/>
        <cfvo type="num" val="0"/>
      </iconSet>
    </cfRule>
  </conditionalFormatting>
  <conditionalFormatting sqref="Q324:R332">
    <cfRule type="iconSet" priority="162742">
      <iconSet iconSet="3Symbols2" showValue="0">
        <cfvo type="percent" val="0"/>
        <cfvo type="num" val="0"/>
        <cfvo type="num" val="0"/>
      </iconSet>
    </cfRule>
  </conditionalFormatting>
  <conditionalFormatting sqref="S324:S332">
    <cfRule type="iconSet" priority="162743">
      <iconSet iconSet="3Symbols2" showValue="0">
        <cfvo type="percent" val="0"/>
        <cfvo type="num" val="0"/>
        <cfvo type="num" val="0"/>
      </iconSet>
    </cfRule>
  </conditionalFormatting>
  <conditionalFormatting sqref="N326:O332 L326:L332">
    <cfRule type="iconSet" priority="162744">
      <iconSet iconSet="3Symbols2" showValue="0">
        <cfvo type="percent" val="0"/>
        <cfvo type="num" val="0"/>
        <cfvo type="num" val="0"/>
      </iconSet>
    </cfRule>
  </conditionalFormatting>
  <conditionalFormatting sqref="M326:M332">
    <cfRule type="iconSet" priority="162746">
      <iconSet iconSet="3Symbols2" showValue="0">
        <cfvo type="percent" val="0"/>
        <cfvo type="num" val="0"/>
        <cfvo type="num" val="0"/>
      </iconSet>
    </cfRule>
  </conditionalFormatting>
  <conditionalFormatting sqref="H271:H278">
    <cfRule type="expression" dxfId="32" priority="37">
      <formula>AND($K271=1,$P271&lt;&gt;1)</formula>
    </cfRule>
    <cfRule type="expression" dxfId="31" priority="38">
      <formula>OR($I271=1,$P271=1)</formula>
    </cfRule>
    <cfRule type="expression" dxfId="30" priority="39">
      <formula>($H271="NA")</formula>
    </cfRule>
  </conditionalFormatting>
  <conditionalFormatting sqref="H263:H270">
    <cfRule type="expression" dxfId="29" priority="31">
      <formula>AND($K263=1,$P263&lt;&gt;1)</formula>
    </cfRule>
    <cfRule type="expression" dxfId="28" priority="32">
      <formula>OR($I263=1,$P263=1)</formula>
    </cfRule>
    <cfRule type="expression" dxfId="27" priority="33">
      <formula>($H263="NA")</formula>
    </cfRule>
  </conditionalFormatting>
  <conditionalFormatting sqref="H255:H262">
    <cfRule type="expression" dxfId="26" priority="28">
      <formula>AND($K255=1,$P255&lt;&gt;1)</formula>
    </cfRule>
    <cfRule type="expression" dxfId="25" priority="29">
      <formula>OR($I255=1,$P255=1)</formula>
    </cfRule>
    <cfRule type="expression" dxfId="24" priority="30">
      <formula>($H255="NA")</formula>
    </cfRule>
  </conditionalFormatting>
  <conditionalFormatting sqref="H246:H254">
    <cfRule type="expression" dxfId="23" priority="25">
      <formula>AND($K246=1,$P246&lt;&gt;1)</formula>
    </cfRule>
    <cfRule type="expression" dxfId="22" priority="26">
      <formula>OR($I246=1,$P246=1)</formula>
    </cfRule>
    <cfRule type="expression" dxfId="21" priority="27">
      <formula>($H246="NA")</formula>
    </cfRule>
  </conditionalFormatting>
  <conditionalFormatting sqref="H238:H245">
    <cfRule type="expression" dxfId="20" priority="22">
      <formula>AND($K238=1,$P238&lt;&gt;1)</formula>
    </cfRule>
    <cfRule type="expression" dxfId="19" priority="23">
      <formula>OR($I238=1,$P238=1)</formula>
    </cfRule>
    <cfRule type="expression" dxfId="18" priority="24">
      <formula>($H238="NA")</formula>
    </cfRule>
  </conditionalFormatting>
  <conditionalFormatting sqref="H233:H237">
    <cfRule type="expression" dxfId="17" priority="19">
      <formula>AND($K233=1,$P233&lt;&gt;1)</formula>
    </cfRule>
    <cfRule type="expression" dxfId="16" priority="20">
      <formula>OR($I233=1,$P233=1)</formula>
    </cfRule>
    <cfRule type="expression" dxfId="15" priority="21">
      <formula>($H233="NA")</formula>
    </cfRule>
  </conditionalFormatting>
  <conditionalFormatting sqref="H225:H232">
    <cfRule type="expression" dxfId="14" priority="16">
      <formula>AND($K225=1,$P225&lt;&gt;1)</formula>
    </cfRule>
    <cfRule type="expression" dxfId="13" priority="17">
      <formula>OR($I225=1,$P225=1)</formula>
    </cfRule>
    <cfRule type="expression" dxfId="12" priority="18">
      <formula>($H225="NA")</formula>
    </cfRule>
  </conditionalFormatting>
  <conditionalFormatting sqref="I225:I280">
    <cfRule type="iconSet" priority="163098">
      <iconSet iconSet="3Symbols2" showValue="0">
        <cfvo type="percent" val="0"/>
        <cfvo type="num" val="0"/>
        <cfvo type="num" val="0"/>
      </iconSet>
    </cfRule>
  </conditionalFormatting>
  <conditionalFormatting sqref="L225:L280">
    <cfRule type="iconSet" priority="163153">
      <iconSet iconSet="3Symbols2" showValue="0">
        <cfvo type="percent" val="0"/>
        <cfvo type="num" val="0"/>
        <cfvo type="num" val="0"/>
      </iconSet>
    </cfRule>
  </conditionalFormatting>
  <conditionalFormatting sqref="M1:M3 N19:O28 M5:M29 N97:O97 M97:M223 M224:O281 M30:O96 M282:M1048576">
    <cfRule type="iconSet" priority="163155">
      <iconSet iconSet="3Symbols2" showValue="0">
        <cfvo type="percent" val="0"/>
        <cfvo type="num" val="0"/>
        <cfvo type="num" val="0"/>
      </iconSet>
    </cfRule>
  </conditionalFormatting>
  <conditionalFormatting sqref="J224">
    <cfRule type="iconSet" priority="163289">
      <iconSet iconSet="3Symbols2" showValue="0">
        <cfvo type="percent" val="0"/>
        <cfvo type="num" val="0"/>
        <cfvo type="num" val="0"/>
      </iconSet>
    </cfRule>
  </conditionalFormatting>
  <conditionalFormatting sqref="P224:P280">
    <cfRule type="iconSet" priority="163290">
      <iconSet iconSet="3Symbols2" showValue="0">
        <cfvo type="percent" val="0"/>
        <cfvo type="num" val="0"/>
        <cfvo type="num" val="0"/>
      </iconSet>
    </cfRule>
  </conditionalFormatting>
  <conditionalFormatting sqref="Q224:R280">
    <cfRule type="iconSet" priority="163292">
      <iconSet iconSet="3Symbols2" showValue="0">
        <cfvo type="percent" val="0"/>
        <cfvo type="num" val="0"/>
        <cfvo type="num" val="0"/>
      </iconSet>
    </cfRule>
  </conditionalFormatting>
  <conditionalFormatting sqref="S224:T280">
    <cfRule type="iconSet" priority="163294">
      <iconSet iconSet="3Symbols2" showValue="0">
        <cfvo type="percent" val="0"/>
        <cfvo type="num" val="0"/>
        <cfvo type="num" val="0"/>
      </iconSet>
    </cfRule>
  </conditionalFormatting>
  <conditionalFormatting sqref="J198:J222 J191:J195 J179:J188 J167:J176 J155:J164 J22:J26 J84:J97 J225:J280 J70:J82 J283:J332">
    <cfRule type="iconSet" priority="163339">
      <iconSet iconSet="3Symbols2" showValue="0">
        <cfvo type="percent" val="0"/>
        <cfvo type="num" val="0"/>
        <cfvo type="num" val="0"/>
      </iconSet>
    </cfRule>
  </conditionalFormatting>
  <conditionalFormatting sqref="P10:P21">
    <cfRule type="iconSet" priority="163403">
      <iconSet iconSet="3Symbols2" showValue="0">
        <cfvo type="percent" val="0"/>
        <cfvo type="num" val="0"/>
        <cfvo type="num" val="0"/>
      </iconSet>
    </cfRule>
  </conditionalFormatting>
  <conditionalFormatting sqref="Q10:Q21">
    <cfRule type="iconSet" priority="163404">
      <iconSet iconSet="3Symbols2" showValue="0">
        <cfvo type="percent" val="0"/>
        <cfvo type="num" val="0"/>
        <cfvo type="num" val="0"/>
      </iconSet>
    </cfRule>
  </conditionalFormatting>
  <conditionalFormatting sqref="P22:P26">
    <cfRule type="iconSet" priority="163599">
      <iconSet iconSet="3Symbols2" showValue="0">
        <cfvo type="percent" val="0"/>
        <cfvo type="num" val="0"/>
        <cfvo type="num" val="0"/>
      </iconSet>
    </cfRule>
  </conditionalFormatting>
  <conditionalFormatting sqref="R22:R26">
    <cfRule type="iconSet" priority="163600">
      <iconSet iconSet="3Symbols2" showValue="0">
        <cfvo type="percent" val="0"/>
        <cfvo type="num" val="0"/>
        <cfvo type="num" val="0"/>
      </iconSet>
    </cfRule>
  </conditionalFormatting>
  <conditionalFormatting sqref="I22:I26">
    <cfRule type="iconSet" priority="163604">
      <iconSet iconSet="3Symbols2" showValue="0">
        <cfvo type="percent" val="0"/>
        <cfvo type="num" val="0"/>
        <cfvo type="num" val="0"/>
      </iconSet>
    </cfRule>
  </conditionalFormatting>
  <conditionalFormatting sqref="T22:T26">
    <cfRule type="iconSet" priority="163630">
      <iconSet iconSet="3Symbols2" showValue="0">
        <cfvo type="percent" val="0"/>
        <cfvo type="num" val="0"/>
        <cfvo type="num" val="0"/>
      </iconSet>
    </cfRule>
  </conditionalFormatting>
  <conditionalFormatting sqref="Q9:R9 Q22:Q26 Q28:R66">
    <cfRule type="iconSet" priority="164064">
      <iconSet iconSet="3Symbols2" showValue="0">
        <cfvo type="percent" val="0"/>
        <cfvo type="num" val="0"/>
        <cfvo type="num" val="0"/>
      </iconSet>
    </cfRule>
  </conditionalFormatting>
  <conditionalFormatting sqref="P30:P66">
    <cfRule type="iconSet" priority="164109">
      <iconSet iconSet="3Symbols2" showValue="0">
        <cfvo type="percent" val="0"/>
        <cfvo type="num" val="0"/>
        <cfvo type="num" val="0"/>
      </iconSet>
    </cfRule>
  </conditionalFormatting>
  <conditionalFormatting sqref="T30:T66">
    <cfRule type="iconSet" priority="164110">
      <iconSet iconSet="3Symbols2" showValue="0">
        <cfvo type="percent" val="0"/>
        <cfvo type="num" val="0"/>
        <cfvo type="num" val="0"/>
      </iconSet>
    </cfRule>
  </conditionalFormatting>
  <conditionalFormatting sqref="S22:S26 S9:T21 S28:T29 S30:S66">
    <cfRule type="iconSet" priority="164111">
      <iconSet iconSet="3Symbols2" showValue="0">
        <cfvo type="percent" val="0"/>
        <cfvo type="num" val="0"/>
        <cfvo type="num" val="0"/>
      </iconSet>
    </cfRule>
  </conditionalFormatting>
  <conditionalFormatting sqref="K77:L79">
    <cfRule type="iconSet" priority="10">
      <iconSet iconSet="3Symbols2" showValue="0">
        <cfvo type="percent" val="0"/>
        <cfvo type="num" val="0"/>
        <cfvo type="num" val="0"/>
      </iconSet>
    </cfRule>
  </conditionalFormatting>
  <conditionalFormatting sqref="K73:L75">
    <cfRule type="iconSet" priority="9">
      <iconSet iconSet="3Symbols2" showValue="0">
        <cfvo type="percent" val="0"/>
        <cfvo type="num" val="0"/>
        <cfvo type="num" val="0"/>
      </iconSet>
    </cfRule>
  </conditionalFormatting>
  <conditionalFormatting sqref="P68:P82">
    <cfRule type="iconSet" priority="164131">
      <iconSet iconSet="3Symbols2" showValue="0">
        <cfvo type="percent" val="0"/>
        <cfvo type="num" val="0"/>
        <cfvo type="num" val="0"/>
      </iconSet>
    </cfRule>
  </conditionalFormatting>
  <conditionalFormatting sqref="Q68:R82">
    <cfRule type="iconSet" priority="164132">
      <iconSet iconSet="3Symbols2" showValue="0">
        <cfvo type="percent" val="0"/>
        <cfvo type="num" val="0"/>
        <cfvo type="num" val="0"/>
      </iconSet>
    </cfRule>
  </conditionalFormatting>
  <conditionalFormatting sqref="S68:T82">
    <cfRule type="iconSet" priority="164133">
      <iconSet iconSet="3Symbols2" showValue="0">
        <cfvo type="percent" val="0"/>
        <cfvo type="num" val="0"/>
        <cfvo type="num" val="0"/>
      </iconSet>
    </cfRule>
  </conditionalFormatting>
  <conditionalFormatting sqref="K76:L76 K70:L72 K80:L82">
    <cfRule type="iconSet" priority="164243">
      <iconSet iconSet="3Symbols2" showValue="0">
        <cfvo type="percent" val="0"/>
        <cfvo type="num" val="0"/>
        <cfvo type="num" val="0"/>
      </iconSet>
    </cfRule>
  </conditionalFormatting>
  <conditionalFormatting sqref="L85:L96">
    <cfRule type="iconSet" priority="8">
      <iconSet iconSet="3Symbols2" showValue="0">
        <cfvo type="percent" val="0"/>
        <cfvo type="num" val="0"/>
        <cfvo type="num" val="0"/>
      </iconSet>
    </cfRule>
  </conditionalFormatting>
  <conditionalFormatting sqref="I85:I96">
    <cfRule type="iconSet" priority="7">
      <iconSet iconSet="3Symbols2" showValue="0">
        <cfvo type="percent" val="0"/>
        <cfvo type="num" val="0"/>
        <cfvo type="num" val="1"/>
      </iconSet>
    </cfRule>
  </conditionalFormatting>
  <conditionalFormatting sqref="K92:L94">
    <cfRule type="iconSet" priority="6">
      <iconSet iconSet="3Symbols2" showValue="0">
        <cfvo type="percent" val="0"/>
        <cfvo type="num" val="0"/>
        <cfvo type="num" val="0"/>
      </iconSet>
    </cfRule>
  </conditionalFormatting>
  <conditionalFormatting sqref="K88:L90">
    <cfRule type="iconSet" priority="5">
      <iconSet iconSet="3Symbols2" showValue="0">
        <cfvo type="percent" val="0"/>
        <cfvo type="num" val="0"/>
        <cfvo type="num" val="0"/>
      </iconSet>
    </cfRule>
  </conditionalFormatting>
  <conditionalFormatting sqref="P85:P96">
    <cfRule type="iconSet" priority="4">
      <iconSet iconSet="3Symbols2" showValue="0">
        <cfvo type="percent" val="0"/>
        <cfvo type="num" val="0"/>
        <cfvo type="num" val="0"/>
      </iconSet>
    </cfRule>
  </conditionalFormatting>
  <conditionalFormatting sqref="Q85:R96">
    <cfRule type="iconSet" priority="3">
      <iconSet iconSet="3Symbols2" showValue="0">
        <cfvo type="percent" val="0"/>
        <cfvo type="num" val="0"/>
        <cfvo type="num" val="0"/>
      </iconSet>
    </cfRule>
  </conditionalFormatting>
  <conditionalFormatting sqref="S85:T96">
    <cfRule type="iconSet" priority="2">
      <iconSet iconSet="3Symbols2" showValue="0">
        <cfvo type="percent" val="0"/>
        <cfvo type="num" val="0"/>
        <cfvo type="num" val="0"/>
      </iconSet>
    </cfRule>
  </conditionalFormatting>
  <conditionalFormatting sqref="K95:L96 K91:L91 K85:L87">
    <cfRule type="iconSet" priority="1">
      <iconSet iconSet="3Symbols2" showValue="0">
        <cfvo type="percent" val="0"/>
        <cfvo type="num" val="0"/>
        <cfvo type="num" val="0"/>
      </iconSet>
    </cfRule>
  </conditionalFormatting>
  <conditionalFormatting sqref="Q83:R84 Q97:R97">
    <cfRule type="iconSet" priority="164263">
      <iconSet iconSet="3Symbols2" showValue="0">
        <cfvo type="percent" val="0"/>
        <cfvo type="num" val="0"/>
        <cfvo type="num" val="0"/>
      </iconSet>
    </cfRule>
  </conditionalFormatting>
  <conditionalFormatting sqref="S83:T83 S84 S97">
    <cfRule type="iconSet" priority="164265">
      <iconSet iconSet="3Symbols2" showValue="0">
        <cfvo type="percent" val="0"/>
        <cfvo type="num" val="0"/>
        <cfvo type="num" val="0"/>
      </iconSet>
    </cfRule>
  </conditionalFormatting>
  <conditionalFormatting sqref="P84 P97">
    <cfRule type="iconSet" priority="164348">
      <iconSet iconSet="3Symbols2" showValue="0">
        <cfvo type="percent" val="0"/>
        <cfvo type="num" val="0"/>
        <cfvo type="num" val="0"/>
      </iconSet>
    </cfRule>
  </conditionalFormatting>
  <conditionalFormatting sqref="T84 T97">
    <cfRule type="iconSet" priority="164350">
      <iconSet iconSet="3Symbols2" showValue="0">
        <cfvo type="percent" val="0"/>
        <cfvo type="num" val="0"/>
        <cfvo type="num" val="0"/>
      </iconSet>
    </cfRule>
  </conditionalFormatting>
  <conditionalFormatting sqref="I84 I97">
    <cfRule type="iconSet" priority="164352">
      <iconSet iconSet="3Symbols2" showValue="0">
        <cfvo type="percent" val="0"/>
        <cfvo type="num" val="0"/>
        <cfvo type="num" val="0"/>
      </iconSet>
    </cfRule>
  </conditionalFormatting>
  <pageMargins left="0.7" right="0.7" top="0.75" bottom="0.75" header="0.3" footer="0.3"/>
  <pageSetup scale="6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C2:AN526"/>
  <sheetViews>
    <sheetView topLeftCell="A66" zoomScaleNormal="85" workbookViewId="0">
      <selection activeCell="A72" sqref="A72:XFD95"/>
    </sheetView>
  </sheetViews>
  <sheetFormatPr defaultColWidth="9" defaultRowHeight="12.75"/>
  <cols>
    <col min="1" max="2" width="0.5703125" style="47" customWidth="1"/>
    <col min="3" max="3" width="9" style="47" customWidth="1"/>
    <col min="4" max="4" width="24" style="47" customWidth="1"/>
    <col min="5" max="6" width="12.5703125" style="47" customWidth="1"/>
    <col min="7" max="8" width="11.5703125" style="47" customWidth="1"/>
    <col min="9" max="10" width="0.5703125" style="47" customWidth="1"/>
    <col min="11" max="11" width="9" style="47" customWidth="1"/>
    <col min="12" max="12" width="17.42578125" style="47" customWidth="1"/>
    <col min="13" max="14" width="9" style="47" customWidth="1"/>
    <col min="15" max="16" width="0.5703125" style="47" customWidth="1"/>
    <col min="17" max="17" width="9" style="47" customWidth="1"/>
    <col min="18" max="18" width="24" style="47" customWidth="1"/>
    <col min="19" max="20" width="12.5703125" style="47" customWidth="1"/>
    <col min="21" max="22" width="11.5703125" style="47" customWidth="1"/>
    <col min="23" max="24" width="0.5703125" style="47" customWidth="1"/>
    <col min="25" max="28" width="12.42578125" style="47" customWidth="1"/>
    <col min="29" max="30" width="9" style="47" customWidth="1"/>
    <col min="31" max="33" width="9" style="47"/>
    <col min="34" max="36" width="0" style="47" hidden="1" customWidth="1"/>
    <col min="37" max="37" width="13.42578125" style="47" hidden="1" customWidth="1"/>
    <col min="38" max="38" width="20.5703125" style="270" hidden="1" customWidth="1"/>
    <col min="39" max="39" width="66" style="47" hidden="1" customWidth="1"/>
    <col min="40" max="40" width="13.7109375" style="47" hidden="1" customWidth="1"/>
    <col min="41" max="44" width="0" style="47" hidden="1" customWidth="1"/>
    <col min="45" max="16384" width="9" style="47"/>
  </cols>
  <sheetData>
    <row r="2" spans="3:39">
      <c r="D2" s="102"/>
      <c r="E2" s="103" t="s">
        <v>5</v>
      </c>
      <c r="F2" s="103" t="s">
        <v>12</v>
      </c>
      <c r="G2" s="103" t="s">
        <v>18826</v>
      </c>
      <c r="H2" s="103" t="s">
        <v>19</v>
      </c>
      <c r="R2" s="102"/>
      <c r="S2" s="103" t="s">
        <v>5</v>
      </c>
      <c r="T2" s="103" t="s">
        <v>12</v>
      </c>
      <c r="U2" s="103" t="s">
        <v>18826</v>
      </c>
      <c r="V2" s="103" t="s">
        <v>19</v>
      </c>
      <c r="Y2" s="103" t="s">
        <v>5</v>
      </c>
      <c r="Z2" s="103" t="s">
        <v>12</v>
      </c>
      <c r="AA2" s="103" t="s">
        <v>18826</v>
      </c>
      <c r="AB2" s="103" t="s">
        <v>19</v>
      </c>
      <c r="AK2" s="281" t="s">
        <v>18827</v>
      </c>
      <c r="AL2" s="282" t="s">
        <v>18828</v>
      </c>
      <c r="AM2" s="281" t="s">
        <v>18829</v>
      </c>
    </row>
    <row r="3" spans="3:39" ht="25.5">
      <c r="D3" s="102"/>
      <c r="E3" s="102"/>
      <c r="F3" s="102"/>
      <c r="G3" s="102"/>
      <c r="H3" s="102"/>
      <c r="R3" s="102"/>
      <c r="S3" s="102"/>
      <c r="T3" s="102"/>
      <c r="U3" s="102"/>
      <c r="V3" s="102"/>
      <c r="AK3" s="283" t="s">
        <v>18830</v>
      </c>
      <c r="AL3" s="284" t="s">
        <v>18831</v>
      </c>
      <c r="AM3" s="285" t="s">
        <v>18832</v>
      </c>
    </row>
    <row r="4" spans="3:39" ht="25.5">
      <c r="D4" s="102" t="s">
        <v>226</v>
      </c>
      <c r="E4" s="104">
        <f>SUM(E6:E20)</f>
        <v>1151.8861999999999</v>
      </c>
      <c r="F4" s="104">
        <f>SUM(F6:F20)</f>
        <v>449.21936316625931</v>
      </c>
      <c r="G4" s="104">
        <f>SUM(G6:G20)</f>
        <v>240.54326303129014</v>
      </c>
      <c r="H4" s="104">
        <f>SUM(H6:H20)</f>
        <v>19.065515699999999</v>
      </c>
      <c r="R4" s="102" t="s">
        <v>226</v>
      </c>
      <c r="S4" s="104">
        <f>SUM(S6:S20)</f>
        <v>1209.7517112098858</v>
      </c>
      <c r="T4" s="104">
        <f>SUM(T6:T20)</f>
        <v>451.63097631554234</v>
      </c>
      <c r="U4" s="104">
        <f>SUM(U6:U20)</f>
        <v>107.32762016664665</v>
      </c>
      <c r="V4" s="104">
        <f>SUM(V6:V20)</f>
        <v>20.786853902037858</v>
      </c>
      <c r="AK4" s="283" t="s">
        <v>18833</v>
      </c>
      <c r="AL4" s="284" t="s">
        <v>18834</v>
      </c>
      <c r="AM4" s="285" t="s">
        <v>18835</v>
      </c>
    </row>
    <row r="5" spans="3:39">
      <c r="D5" s="102"/>
      <c r="E5" s="104"/>
      <c r="F5" s="104"/>
      <c r="G5" s="104"/>
      <c r="H5" s="104"/>
      <c r="R5" s="102"/>
      <c r="S5" s="104"/>
      <c r="T5" s="104"/>
      <c r="U5" s="104"/>
      <c r="V5" s="104"/>
      <c r="AK5" s="283" t="s">
        <v>18836</v>
      </c>
      <c r="AL5" s="284" t="s">
        <v>18837</v>
      </c>
      <c r="AM5" s="283" t="s">
        <v>18838</v>
      </c>
    </row>
    <row r="6" spans="3:39">
      <c r="C6" s="109">
        <f>E6/$E$4</f>
        <v>9.2535182728988336E-2</v>
      </c>
      <c r="D6" s="102" t="s">
        <v>18839</v>
      </c>
      <c r="E6" s="104">
        <v>106.59</v>
      </c>
      <c r="F6" s="104">
        <v>82.405000000000001</v>
      </c>
      <c r="G6" s="104">
        <v>11.97</v>
      </c>
      <c r="H6" s="104"/>
      <c r="Q6" s="109">
        <f t="shared" ref="Q6:Q19" si="0">S6/$S$4</f>
        <v>9.0799835917131005E-2</v>
      </c>
      <c r="R6" s="102" t="s">
        <v>18839</v>
      </c>
      <c r="S6" s="104">
        <f>Y6/10^7</f>
        <v>109.84525687832608</v>
      </c>
      <c r="T6" s="104">
        <f t="shared" ref="T6:T19" si="1">Z6/10^7</f>
        <v>83.882509719176824</v>
      </c>
      <c r="U6" s="104">
        <f t="shared" ref="U6:U19" si="2">AA6/10^7</f>
        <v>13.0021954</v>
      </c>
      <c r="V6" s="104">
        <f t="shared" ref="V6:V19" si="3">AB6/10^7</f>
        <v>0</v>
      </c>
      <c r="Y6" s="47">
        <v>1098452568.7832608</v>
      </c>
      <c r="Z6" s="47">
        <v>838825097.19176817</v>
      </c>
      <c r="AA6" s="47">
        <v>130021954</v>
      </c>
      <c r="AK6" s="283" t="s">
        <v>18840</v>
      </c>
      <c r="AL6" s="284" t="s">
        <v>18841</v>
      </c>
      <c r="AM6" s="283" t="s">
        <v>18842</v>
      </c>
    </row>
    <row r="7" spans="3:39">
      <c r="C7" s="109">
        <f t="shared" ref="C7:C19" si="4">E7/$E$4</f>
        <v>0</v>
      </c>
      <c r="D7" s="102" t="s">
        <v>18843</v>
      </c>
      <c r="E7" s="104"/>
      <c r="F7" s="104"/>
      <c r="G7" s="104"/>
      <c r="H7" s="104"/>
      <c r="Q7" s="109">
        <f t="shared" si="0"/>
        <v>0</v>
      </c>
      <c r="R7" s="102" t="s">
        <v>18843</v>
      </c>
      <c r="S7" s="104">
        <f t="shared" ref="S7:S19" si="5">Y7/10^7</f>
        <v>0</v>
      </c>
      <c r="T7" s="104">
        <f t="shared" si="1"/>
        <v>0</v>
      </c>
      <c r="U7" s="104">
        <f t="shared" si="2"/>
        <v>0</v>
      </c>
      <c r="V7" s="104">
        <f t="shared" si="3"/>
        <v>0</v>
      </c>
      <c r="AK7" s="283" t="s">
        <v>18844</v>
      </c>
      <c r="AL7" s="284" t="s">
        <v>18837</v>
      </c>
      <c r="AM7" s="283" t="s">
        <v>18845</v>
      </c>
    </row>
    <row r="8" spans="3:39">
      <c r="C8" s="109">
        <f t="shared" si="4"/>
        <v>4.2696926137321553E-2</v>
      </c>
      <c r="D8" s="102" t="s">
        <v>18846</v>
      </c>
      <c r="E8" s="104">
        <v>49.182000000000002</v>
      </c>
      <c r="F8" s="104">
        <v>32.770000000000003</v>
      </c>
      <c r="G8" s="104">
        <v>7.9530000000000003</v>
      </c>
      <c r="H8" s="104"/>
      <c r="Q8" s="109">
        <f t="shared" si="0"/>
        <v>4.0346966368940959E-2</v>
      </c>
      <c r="R8" s="102" t="s">
        <v>18846</v>
      </c>
      <c r="S8" s="104">
        <f t="shared" si="5"/>
        <v>48.809811606954035</v>
      </c>
      <c r="T8" s="104">
        <f t="shared" si="1"/>
        <v>32.798775924220976</v>
      </c>
      <c r="U8" s="104">
        <f t="shared" si="2"/>
        <v>7.5115096456167567</v>
      </c>
      <c r="V8" s="104">
        <f t="shared" si="3"/>
        <v>1.7532171384043824E-2</v>
      </c>
      <c r="Y8" s="47">
        <v>488098116.06954032</v>
      </c>
      <c r="Z8" s="47">
        <v>327987759.24220973</v>
      </c>
      <c r="AA8" s="47">
        <v>75115096.456167564</v>
      </c>
      <c r="AB8" s="47">
        <v>175321.71384043823</v>
      </c>
      <c r="AK8" s="283" t="s">
        <v>18847</v>
      </c>
      <c r="AL8" s="284" t="s">
        <v>18848</v>
      </c>
      <c r="AM8" s="283" t="s">
        <v>18849</v>
      </c>
    </row>
    <row r="9" spans="3:39">
      <c r="C9" s="109">
        <f t="shared" si="4"/>
        <v>5.9189874833121547E-2</v>
      </c>
      <c r="D9" s="102" t="s">
        <v>18850</v>
      </c>
      <c r="E9" s="104">
        <v>68.180000000000007</v>
      </c>
      <c r="F9" s="104">
        <v>47.28</v>
      </c>
      <c r="G9" s="104">
        <v>9.7803000000000004</v>
      </c>
      <c r="H9" s="104">
        <v>0.39400000000000002</v>
      </c>
      <c r="Q9" s="109">
        <f t="shared" si="0"/>
        <v>5.7400836718134216E-2</v>
      </c>
      <c r="R9" s="102" t="s">
        <v>18850</v>
      </c>
      <c r="S9" s="104">
        <f t="shared" si="5"/>
        <v>69.440760444642109</v>
      </c>
      <c r="T9" s="104">
        <f t="shared" si="1"/>
        <v>47.453251012416459</v>
      </c>
      <c r="U9" s="104">
        <f t="shared" si="2"/>
        <v>10.080854740397417</v>
      </c>
      <c r="V9" s="104">
        <f t="shared" si="3"/>
        <v>0.40244867217852337</v>
      </c>
      <c r="Y9" s="47">
        <v>694407604.44642115</v>
      </c>
      <c r="Z9" s="47">
        <v>474532510.12416458</v>
      </c>
      <c r="AA9" s="47">
        <v>100808547.40397418</v>
      </c>
      <c r="AB9" s="47">
        <v>4024486.7217852338</v>
      </c>
    </row>
    <row r="10" spans="3:39">
      <c r="C10" s="109">
        <f t="shared" si="4"/>
        <v>5.9783683492344995E-2</v>
      </c>
      <c r="D10" s="102" t="s">
        <v>18851</v>
      </c>
      <c r="E10" s="104">
        <v>68.864000000000004</v>
      </c>
      <c r="F10" s="104">
        <v>48.006500000000003</v>
      </c>
      <c r="G10" s="104">
        <v>9.8800000000000008</v>
      </c>
      <c r="H10" s="104">
        <v>0.39400000000000002</v>
      </c>
      <c r="Q10" s="109">
        <f t="shared" si="0"/>
        <v>5.8198036473368527E-2</v>
      </c>
      <c r="R10" s="102" t="s">
        <v>18851</v>
      </c>
      <c r="S10" s="104">
        <f t="shared" si="5"/>
        <v>70.405174212712922</v>
      </c>
      <c r="T10" s="104">
        <f t="shared" si="1"/>
        <v>48.297643572990992</v>
      </c>
      <c r="U10" s="104">
        <f t="shared" si="2"/>
        <v>10.137701016397418</v>
      </c>
      <c r="V10" s="104">
        <f t="shared" si="3"/>
        <v>0.40244867217852337</v>
      </c>
      <c r="Y10" s="47">
        <v>704051742.1271292</v>
      </c>
      <c r="Z10" s="47">
        <v>482976435.7299099</v>
      </c>
      <c r="AA10" s="47">
        <v>101377010.16397418</v>
      </c>
      <c r="AB10" s="47">
        <v>4024486.7217852338</v>
      </c>
    </row>
    <row r="11" spans="3:39">
      <c r="C11" s="109">
        <f t="shared" si="4"/>
        <v>5.9783683492344995E-2</v>
      </c>
      <c r="D11" s="102" t="s">
        <v>18852</v>
      </c>
      <c r="E11" s="104">
        <v>68.864000000000004</v>
      </c>
      <c r="F11" s="104">
        <v>48.006500000000003</v>
      </c>
      <c r="G11" s="104">
        <v>9.8800000000000008</v>
      </c>
      <c r="H11" s="104">
        <v>0.39400000000000002</v>
      </c>
      <c r="Q11" s="109">
        <f t="shared" si="0"/>
        <v>5.8263099674362502E-2</v>
      </c>
      <c r="R11" s="102" t="s">
        <v>18852</v>
      </c>
      <c r="S11" s="104">
        <f t="shared" si="5"/>
        <v>70.483884531452176</v>
      </c>
      <c r="T11" s="104">
        <f t="shared" si="1"/>
        <v>48.370003096550242</v>
      </c>
      <c r="U11" s="104">
        <f t="shared" si="2"/>
        <v>10.137701016397418</v>
      </c>
      <c r="V11" s="104">
        <f t="shared" si="3"/>
        <v>0.40244867217852337</v>
      </c>
      <c r="Y11" s="47">
        <v>704838845.31452179</v>
      </c>
      <c r="Z11" s="47">
        <v>483700030.96550244</v>
      </c>
      <c r="AA11" s="47">
        <v>101377010.16397418</v>
      </c>
      <c r="AB11" s="47">
        <v>4024486.7217852338</v>
      </c>
    </row>
    <row r="12" spans="3:39">
      <c r="C12" s="109">
        <f t="shared" si="4"/>
        <v>5.9783683492344995E-2</v>
      </c>
      <c r="D12" s="102" t="s">
        <v>18853</v>
      </c>
      <c r="E12" s="104">
        <v>68.864000000000004</v>
      </c>
      <c r="F12" s="104">
        <v>48.006500000000003</v>
      </c>
      <c r="G12" s="104">
        <v>9.8800000000000008</v>
      </c>
      <c r="H12" s="104">
        <v>0.39400000000000002</v>
      </c>
      <c r="Q12" s="109">
        <f t="shared" si="0"/>
        <v>5.8198051534533835E-2</v>
      </c>
      <c r="R12" s="102" t="s">
        <v>18853</v>
      </c>
      <c r="S12" s="104">
        <f t="shared" si="5"/>
        <v>70.405192432983426</v>
      </c>
      <c r="T12" s="104">
        <f t="shared" si="1"/>
        <v>48.297661865990989</v>
      </c>
      <c r="U12" s="104">
        <f t="shared" si="2"/>
        <v>10.137700943667925</v>
      </c>
      <c r="V12" s="104">
        <f t="shared" si="3"/>
        <v>0.40244867217852337</v>
      </c>
      <c r="Y12" s="47">
        <v>704051924.32983422</v>
      </c>
      <c r="Z12" s="47">
        <v>482976618.6599099</v>
      </c>
      <c r="AA12" s="47">
        <v>101377009.43667924</v>
      </c>
      <c r="AB12" s="47">
        <v>4024486.7217852338</v>
      </c>
    </row>
    <row r="13" spans="3:39">
      <c r="C13" s="109">
        <f t="shared" si="4"/>
        <v>6.0127467452948051E-2</v>
      </c>
      <c r="D13" s="102" t="s">
        <v>18854</v>
      </c>
      <c r="E13" s="104">
        <v>69.260000000000005</v>
      </c>
      <c r="F13" s="104">
        <v>48.125999999999998</v>
      </c>
      <c r="G13" s="104">
        <v>9.8800000000000008</v>
      </c>
      <c r="H13" s="104">
        <v>0.39400000000000002</v>
      </c>
      <c r="K13" s="47" t="s">
        <v>18855</v>
      </c>
      <c r="L13" s="47" t="s">
        <v>18856</v>
      </c>
      <c r="M13" s="47" t="s">
        <v>18857</v>
      </c>
      <c r="Q13" s="109">
        <f t="shared" si="0"/>
        <v>5.8366022643091701E-2</v>
      </c>
      <c r="R13" s="102" t="s">
        <v>18854</v>
      </c>
      <c r="S13" s="104">
        <f t="shared" si="5"/>
        <v>70.608395768995123</v>
      </c>
      <c r="T13" s="104">
        <f t="shared" si="1"/>
        <v>48.489180486238411</v>
      </c>
      <c r="U13" s="104">
        <f t="shared" si="2"/>
        <v>10.137700943667925</v>
      </c>
      <c r="V13" s="104">
        <f t="shared" si="3"/>
        <v>0.40244867217852337</v>
      </c>
      <c r="Y13" s="47">
        <v>706083957.6899513</v>
      </c>
      <c r="Z13" s="47">
        <v>484891804.86238414</v>
      </c>
      <c r="AA13" s="47">
        <v>101377009.43667924</v>
      </c>
      <c r="AB13" s="47">
        <v>4024486.7217852338</v>
      </c>
    </row>
    <row r="14" spans="3:39">
      <c r="C14" s="109">
        <f t="shared" si="4"/>
        <v>4.1701168049413213E-2</v>
      </c>
      <c r="D14" s="102" t="s">
        <v>18858</v>
      </c>
      <c r="E14" s="104">
        <v>48.034999999999997</v>
      </c>
      <c r="F14" s="104">
        <v>31.6</v>
      </c>
      <c r="G14" s="104">
        <v>7.84</v>
      </c>
      <c r="H14" s="104"/>
      <c r="K14" s="47" t="s">
        <v>1275</v>
      </c>
      <c r="L14" s="47">
        <v>0.11105338454237289</v>
      </c>
      <c r="M14" s="47">
        <v>524</v>
      </c>
      <c r="N14" s="47">
        <f>M14*L14</f>
        <v>58.191973500203396</v>
      </c>
      <c r="Q14" s="109">
        <f t="shared" si="0"/>
        <v>3.9238652806838782E-2</v>
      </c>
      <c r="R14" s="102" t="s">
        <v>18858</v>
      </c>
      <c r="S14" s="104">
        <f t="shared" si="5"/>
        <v>47.469027378643808</v>
      </c>
      <c r="T14" s="104">
        <f t="shared" si="1"/>
        <v>31.622783162851071</v>
      </c>
      <c r="U14" s="104">
        <f t="shared" si="2"/>
        <v>7.3460472456167567</v>
      </c>
      <c r="V14" s="104">
        <f t="shared" si="3"/>
        <v>1.7532171384043824E-2</v>
      </c>
      <c r="Y14" s="47">
        <v>474690273.78643811</v>
      </c>
      <c r="Z14" s="47">
        <v>316227831.62851071</v>
      </c>
      <c r="AA14" s="47">
        <v>73460472.456167564</v>
      </c>
      <c r="AB14" s="47">
        <v>175321.71384043823</v>
      </c>
    </row>
    <row r="15" spans="3:39">
      <c r="C15" s="109">
        <f t="shared" si="4"/>
        <v>0</v>
      </c>
      <c r="D15" s="102" t="s">
        <v>18859</v>
      </c>
      <c r="E15" s="104"/>
      <c r="F15" s="104"/>
      <c r="G15" s="104"/>
      <c r="H15" s="104"/>
      <c r="K15" s="47" t="s">
        <v>1357</v>
      </c>
      <c r="L15" s="47">
        <v>0.15194500009322034</v>
      </c>
      <c r="M15" s="47">
        <f>44*5</f>
        <v>220</v>
      </c>
      <c r="N15" s="47">
        <f t="shared" ref="N15:N20" si="6">M15*L15</f>
        <v>33.427900020508474</v>
      </c>
      <c r="Q15" s="109">
        <f t="shared" si="0"/>
        <v>0</v>
      </c>
      <c r="R15" s="102" t="s">
        <v>18859</v>
      </c>
      <c r="S15" s="104">
        <f t="shared" si="5"/>
        <v>0</v>
      </c>
      <c r="T15" s="104">
        <f t="shared" si="1"/>
        <v>0</v>
      </c>
      <c r="U15" s="104">
        <f t="shared" si="2"/>
        <v>0</v>
      </c>
      <c r="V15" s="104">
        <f t="shared" si="3"/>
        <v>0</v>
      </c>
    </row>
    <row r="16" spans="3:39">
      <c r="C16" s="109">
        <f t="shared" si="4"/>
        <v>5.0022302550373467E-2</v>
      </c>
      <c r="D16" s="102" t="s">
        <v>18860</v>
      </c>
      <c r="E16" s="104">
        <v>57.62</v>
      </c>
      <c r="F16" s="104">
        <v>37.299999999999997</v>
      </c>
      <c r="G16" s="104">
        <v>3.5</v>
      </c>
      <c r="H16" s="104">
        <v>4.4800000000000004</v>
      </c>
      <c r="K16" s="47" t="s">
        <v>18861</v>
      </c>
      <c r="L16" s="47">
        <v>9.5780134542372899E-2</v>
      </c>
      <c r="M16" s="47">
        <f>6*5</f>
        <v>30</v>
      </c>
      <c r="N16" s="47">
        <f t="shared" si="6"/>
        <v>2.8734040362711868</v>
      </c>
      <c r="Q16" s="109">
        <f t="shared" si="0"/>
        <v>4.8506702984562285E-2</v>
      </c>
      <c r="R16" s="102" t="s">
        <v>18860</v>
      </c>
      <c r="S16" s="104">
        <f t="shared" si="5"/>
        <v>58.681066940723895</v>
      </c>
      <c r="T16" s="104">
        <f t="shared" si="1"/>
        <v>38.227688373259618</v>
      </c>
      <c r="U16" s="104">
        <f t="shared" si="2"/>
        <v>7.3460472456167567</v>
      </c>
      <c r="V16" s="104">
        <f t="shared" si="3"/>
        <v>4.4781881971477553</v>
      </c>
      <c r="Y16" s="47">
        <v>586810669.40723896</v>
      </c>
      <c r="Z16" s="47">
        <v>382276883.73259616</v>
      </c>
      <c r="AA16" s="47">
        <v>73460472.456167564</v>
      </c>
      <c r="AB16" s="47">
        <v>44781881.971477553</v>
      </c>
    </row>
    <row r="17" spans="3:28">
      <c r="C17" s="109">
        <f t="shared" si="4"/>
        <v>0.41048325780793277</v>
      </c>
      <c r="D17" s="102" t="s">
        <v>185</v>
      </c>
      <c r="E17" s="104">
        <v>472.83</v>
      </c>
      <c r="F17" s="104"/>
      <c r="G17" s="104">
        <f>N21</f>
        <v>123.14336303129014</v>
      </c>
      <c r="H17" s="104">
        <f>47*76131/10^7</f>
        <v>0.35781570000000001</v>
      </c>
      <c r="K17" s="47" t="s">
        <v>18862</v>
      </c>
      <c r="L17" s="47">
        <v>0.13169323454237289</v>
      </c>
      <c r="M17" s="47">
        <f>6*5</f>
        <v>30</v>
      </c>
      <c r="N17" s="47">
        <f t="shared" si="6"/>
        <v>3.9507970362711866</v>
      </c>
      <c r="Q17" s="109">
        <f t="shared" si="0"/>
        <v>0.42979747489306241</v>
      </c>
      <c r="R17" s="102" t="s">
        <v>185</v>
      </c>
      <c r="S17" s="104">
        <f t="shared" si="5"/>
        <v>519.94823072557017</v>
      </c>
      <c r="T17" s="104">
        <f t="shared" si="1"/>
        <v>0.98416692971545416</v>
      </c>
      <c r="U17" s="104">
        <f t="shared" si="2"/>
        <v>5.4292122000000003</v>
      </c>
      <c r="V17" s="104">
        <f t="shared" si="3"/>
        <v>2.5840958999999999</v>
      </c>
      <c r="Y17" s="47">
        <v>5199482307.255702</v>
      </c>
      <c r="Z17" s="47">
        <v>9841669.2971545421</v>
      </c>
      <c r="AA17" s="47">
        <v>54292122</v>
      </c>
      <c r="AB17" s="47">
        <v>25840959</v>
      </c>
    </row>
    <row r="18" spans="3:28" ht="25.5">
      <c r="C18" s="109">
        <f t="shared" si="4"/>
        <v>5.2205677956728716E-2</v>
      </c>
      <c r="D18" s="105" t="s">
        <v>18863</v>
      </c>
      <c r="E18" s="104">
        <v>60.134999999999998</v>
      </c>
      <c r="F18" s="104">
        <v>21.163563166259259</v>
      </c>
      <c r="G18" s="104">
        <v>35.745100000000001</v>
      </c>
      <c r="H18" s="104">
        <v>9.8768999999999991</v>
      </c>
      <c r="K18" s="47" t="s">
        <v>1628</v>
      </c>
      <c r="L18" s="47">
        <v>0.18187386716101694</v>
      </c>
      <c r="M18" s="47">
        <f>12*5</f>
        <v>60</v>
      </c>
      <c r="N18" s="47">
        <f t="shared" si="6"/>
        <v>10.912432029661016</v>
      </c>
      <c r="Q18" s="109">
        <f t="shared" si="0"/>
        <v>4.9467818909603389E-2</v>
      </c>
      <c r="R18" s="105" t="s">
        <v>18863</v>
      </c>
      <c r="S18" s="104">
        <f t="shared" si="5"/>
        <v>59.843778575713444</v>
      </c>
      <c r="T18" s="104">
        <f t="shared" si="1"/>
        <v>21.843832209257876</v>
      </c>
      <c r="U18" s="104">
        <f t="shared" si="2"/>
        <v>16.060949769268298</v>
      </c>
      <c r="V18" s="104">
        <f t="shared" si="3"/>
        <v>9.2964147324059994</v>
      </c>
      <c r="Y18" s="252">
        <v>598437785.75713444</v>
      </c>
      <c r="Z18" s="47">
        <v>218438322.09257877</v>
      </c>
      <c r="AA18" s="47">
        <v>160609497.69268298</v>
      </c>
      <c r="AB18" s="47">
        <v>92964147.324059993</v>
      </c>
    </row>
    <row r="19" spans="3:28">
      <c r="C19" s="109">
        <f t="shared" si="4"/>
        <v>1.1687092006137411E-2</v>
      </c>
      <c r="D19" s="102" t="s">
        <v>209</v>
      </c>
      <c r="E19" s="104">
        <v>13.462199999999999</v>
      </c>
      <c r="F19" s="104">
        <v>4.5552999999999999</v>
      </c>
      <c r="G19" s="104">
        <v>1.0914999999999999</v>
      </c>
      <c r="H19" s="104">
        <v>2.3807999999999998</v>
      </c>
      <c r="K19" s="47" t="s">
        <v>2133</v>
      </c>
      <c r="L19" s="47">
        <v>0.21094443601694918</v>
      </c>
      <c r="M19" s="47">
        <v>48</v>
      </c>
      <c r="N19" s="47">
        <f t="shared" si="6"/>
        <v>10.12533292881356</v>
      </c>
      <c r="Q19" s="109">
        <f t="shared" si="0"/>
        <v>1.1416501076370496E-2</v>
      </c>
      <c r="R19" s="102" t="s">
        <v>209</v>
      </c>
      <c r="S19" s="104">
        <f t="shared" si="5"/>
        <v>13.811131713168711</v>
      </c>
      <c r="T19" s="104">
        <f t="shared" si="1"/>
        <v>1.3634799628734</v>
      </c>
      <c r="U19" s="104">
        <f t="shared" si="2"/>
        <v>0</v>
      </c>
      <c r="V19" s="104">
        <f t="shared" si="3"/>
        <v>2.3808473688234</v>
      </c>
      <c r="Y19" s="47">
        <v>138111317.1316871</v>
      </c>
      <c r="Z19" s="47">
        <v>13634799.628734</v>
      </c>
      <c r="AB19" s="47">
        <v>23808473.688234001</v>
      </c>
    </row>
    <row r="20" spans="3:28">
      <c r="D20" s="102"/>
      <c r="E20" s="104"/>
      <c r="F20" s="104"/>
      <c r="G20" s="104"/>
      <c r="H20" s="104"/>
      <c r="K20" s="47" t="s">
        <v>2236</v>
      </c>
      <c r="L20" s="47">
        <f>L19*(4500/5185)</f>
        <v>0.18307617397806583</v>
      </c>
      <c r="M20" s="47">
        <v>20</v>
      </c>
      <c r="N20" s="47">
        <f t="shared" si="6"/>
        <v>3.6615234795613167</v>
      </c>
      <c r="R20" s="102"/>
      <c r="S20" s="104"/>
      <c r="T20" s="104"/>
      <c r="U20" s="104"/>
      <c r="V20" s="104"/>
    </row>
    <row r="21" spans="3:28">
      <c r="D21" s="102"/>
      <c r="E21" s="104"/>
      <c r="F21" s="104"/>
      <c r="G21" s="104"/>
      <c r="H21" s="104"/>
      <c r="M21" s="107">
        <f>SUM(M14:M20)</f>
        <v>932</v>
      </c>
      <c r="N21" s="107">
        <f>SUM(N14:N20)</f>
        <v>123.14336303129014</v>
      </c>
      <c r="R21" s="102"/>
      <c r="S21" s="104"/>
      <c r="T21" s="104"/>
      <c r="U21" s="104"/>
      <c r="V21" s="104"/>
    </row>
    <row r="22" spans="3:28">
      <c r="D22" s="106" t="s">
        <v>18864</v>
      </c>
      <c r="E22" s="104"/>
      <c r="F22" s="104"/>
      <c r="G22" s="104"/>
      <c r="H22" s="104"/>
      <c r="R22" s="106" t="s">
        <v>18864</v>
      </c>
      <c r="S22" s="104"/>
      <c r="T22" s="104"/>
      <c r="U22" s="104"/>
      <c r="V22" s="104"/>
    </row>
    <row r="23" spans="3:28">
      <c r="D23" s="102"/>
      <c r="E23" s="104">
        <f>E4*5%*10^7</f>
        <v>575943100</v>
      </c>
      <c r="F23" s="104">
        <f>F4*3%*10^7</f>
        <v>134765808.94987777</v>
      </c>
      <c r="G23" s="104">
        <f>G4*2%*10^7</f>
        <v>48108652.606258027</v>
      </c>
      <c r="H23" s="104">
        <f>H4*7%*10^7</f>
        <v>13345860.99</v>
      </c>
      <c r="R23" s="102"/>
      <c r="S23" s="104">
        <f>S4*5%</f>
        <v>60.487585560494296</v>
      </c>
      <c r="T23" s="104">
        <f>T4*3%</f>
        <v>13.548929289466269</v>
      </c>
      <c r="U23" s="104">
        <f>U4*2%</f>
        <v>2.1465524033329331</v>
      </c>
      <c r="V23" s="104">
        <f>V4*7%</f>
        <v>1.4550797731426501</v>
      </c>
    </row>
    <row r="24" spans="3:28">
      <c r="D24" s="102"/>
      <c r="E24" s="104">
        <f>'Design Fee'!W5</f>
        <v>57.594310000000007</v>
      </c>
      <c r="F24" s="104">
        <f>'Design Fee'!BG5</f>
        <v>13.476580894987778</v>
      </c>
      <c r="G24" s="104">
        <f>'Design Fee'!CQ5</f>
        <v>4.8108652606258024</v>
      </c>
      <c r="H24" s="104">
        <f>'Design Fee'!EA5</f>
        <v>1.334586099</v>
      </c>
      <c r="R24" s="102"/>
      <c r="S24" s="104"/>
      <c r="T24" s="104"/>
      <c r="U24" s="104"/>
      <c r="V24" s="104"/>
    </row>
    <row r="25" spans="3:28">
      <c r="D25" s="102"/>
      <c r="E25" s="104">
        <f>E23-E24</f>
        <v>575943042.40568995</v>
      </c>
      <c r="F25" s="104">
        <f>F23-F24</f>
        <v>134765795.47329688</v>
      </c>
      <c r="G25" s="104">
        <f>G23-G24</f>
        <v>48108647.795392767</v>
      </c>
      <c r="H25" s="104">
        <f>H23-H24</f>
        <v>13345859.655413901</v>
      </c>
      <c r="R25" s="102"/>
      <c r="S25" s="104">
        <f>S23-S24</f>
        <v>60.487585560494296</v>
      </c>
      <c r="T25" s="104">
        <f>T23-T24</f>
        <v>13.548929289466269</v>
      </c>
      <c r="U25" s="104">
        <f>U23-U24</f>
        <v>2.1465524033329331</v>
      </c>
      <c r="V25" s="104">
        <f>V23-V24</f>
        <v>1.4550797731426501</v>
      </c>
    </row>
    <row r="56" spans="38:40" ht="18.75">
      <c r="AL56" s="271" t="s">
        <v>18865</v>
      </c>
      <c r="AM56" s="272" t="s">
        <v>18866</v>
      </c>
      <c r="AN56" s="272" t="s">
        <v>18867</v>
      </c>
    </row>
    <row r="57" spans="38:40">
      <c r="AL57" s="273"/>
      <c r="AM57" s="274" t="s">
        <v>18868</v>
      </c>
      <c r="AN57" s="273"/>
    </row>
    <row r="58" spans="38:40" ht="14.25">
      <c r="AL58" s="275">
        <v>7</v>
      </c>
      <c r="AM58" s="276" t="s">
        <v>64</v>
      </c>
      <c r="AN58" s="277">
        <v>0.21817600000000006</v>
      </c>
    </row>
    <row r="59" spans="38:40">
      <c r="AL59" s="273"/>
      <c r="AM59" s="274" t="s">
        <v>18869</v>
      </c>
      <c r="AN59" s="273"/>
    </row>
    <row r="60" spans="38:40" ht="14.25">
      <c r="AL60" s="275">
        <v>1</v>
      </c>
      <c r="AM60" s="276" t="s">
        <v>52</v>
      </c>
      <c r="AN60" s="277">
        <v>6.2334000000000014E-2</v>
      </c>
    </row>
    <row r="61" spans="38:40" ht="14.25">
      <c r="AL61" s="278">
        <v>3</v>
      </c>
      <c r="AM61" s="279" t="s">
        <v>56</v>
      </c>
      <c r="AN61" s="277">
        <v>0.12466800000000003</v>
      </c>
    </row>
    <row r="62" spans="38:40" ht="14.25">
      <c r="AL62" s="275">
        <v>4</v>
      </c>
      <c r="AM62" s="276" t="s">
        <v>88</v>
      </c>
      <c r="AN62" s="277">
        <v>6.2334000000000014E-2</v>
      </c>
    </row>
    <row r="63" spans="38:40" ht="14.25">
      <c r="AL63" s="278">
        <v>5</v>
      </c>
      <c r="AM63" s="279" t="s">
        <v>90</v>
      </c>
      <c r="AN63" s="277">
        <v>6.2334000000000014E-2</v>
      </c>
    </row>
    <row r="64" spans="38:40" ht="14.25">
      <c r="AL64" s="278">
        <v>6</v>
      </c>
      <c r="AM64" s="279" t="s">
        <v>64</v>
      </c>
      <c r="AN64" s="277">
        <v>0.12466800000000003</v>
      </c>
    </row>
    <row r="65" spans="38:40" ht="14.25">
      <c r="AL65" s="278">
        <v>7</v>
      </c>
      <c r="AM65" s="276" t="s">
        <v>67</v>
      </c>
      <c r="AN65" s="277">
        <v>6.2334000000000014E-2</v>
      </c>
    </row>
    <row r="66" spans="38:40" ht="14.25">
      <c r="AL66" s="278">
        <v>8</v>
      </c>
      <c r="AM66" s="276" t="s">
        <v>69</v>
      </c>
      <c r="AN66" s="277">
        <v>6.2334000000000014E-2</v>
      </c>
    </row>
    <row r="67" spans="38:40" ht="14.25">
      <c r="AL67" s="278">
        <v>9</v>
      </c>
      <c r="AM67" s="279" t="s">
        <v>71</v>
      </c>
      <c r="AN67" s="277">
        <v>6.2334000000000014E-2</v>
      </c>
    </row>
    <row r="68" spans="38:40">
      <c r="AL68" s="273"/>
      <c r="AM68" s="274" t="s">
        <v>18870</v>
      </c>
      <c r="AN68" s="273"/>
    </row>
    <row r="69" spans="38:40" ht="14.25">
      <c r="AL69" s="278">
        <v>3</v>
      </c>
      <c r="AM69" s="276" t="s">
        <v>154</v>
      </c>
      <c r="AN69" s="277">
        <v>0.79942500000000005</v>
      </c>
    </row>
    <row r="70" spans="38:40">
      <c r="AL70" s="273"/>
      <c r="AM70" s="274" t="s">
        <v>209</v>
      </c>
      <c r="AN70" s="273"/>
    </row>
    <row r="71" spans="38:40" ht="14.25">
      <c r="AL71" s="278">
        <v>3</v>
      </c>
      <c r="AM71" s="280" t="s">
        <v>215</v>
      </c>
      <c r="AN71" s="277">
        <v>3.3655499999999998E-2</v>
      </c>
    </row>
    <row r="507" spans="4:4">
      <c r="D507" s="124"/>
    </row>
    <row r="508" spans="4:4">
      <c r="D508" s="124"/>
    </row>
    <row r="509" spans="4:4">
      <c r="D509" s="124"/>
    </row>
    <row r="510" spans="4:4">
      <c r="D510" s="124"/>
    </row>
    <row r="511" spans="4:4">
      <c r="D511" s="124"/>
    </row>
    <row r="512" spans="4:4">
      <c r="D512" s="124"/>
    </row>
    <row r="513" spans="4:4">
      <c r="D513" s="124"/>
    </row>
    <row r="514" spans="4:4">
      <c r="D514" s="124"/>
    </row>
    <row r="515" spans="4:4">
      <c r="D515" s="124"/>
    </row>
    <row r="516" spans="4:4">
      <c r="D516" s="124"/>
    </row>
    <row r="517" spans="4:4">
      <c r="D517" s="124"/>
    </row>
    <row r="518" spans="4:4">
      <c r="D518" s="124"/>
    </row>
    <row r="519" spans="4:4">
      <c r="D519" s="124"/>
    </row>
    <row r="520" spans="4:4">
      <c r="D520" s="124"/>
    </row>
    <row r="521" spans="4:4">
      <c r="D521" s="124"/>
    </row>
    <row r="522" spans="4:4">
      <c r="D522" s="124"/>
    </row>
    <row r="523" spans="4:4">
      <c r="D523" s="124"/>
    </row>
    <row r="524" spans="4:4">
      <c r="D524" s="124"/>
    </row>
    <row r="525" spans="4:4">
      <c r="D525" s="124"/>
    </row>
    <row r="526" spans="4:4">
      <c r="D526" s="124"/>
    </row>
  </sheetData>
  <sheetProtection selectLockedCells="1" selectUnlockedCells="1"/>
  <phoneticPr fontId="37" type="noConversion"/>
  <conditionalFormatting sqref="AL57:AM67">
    <cfRule type="expression" dxfId="11" priority="33">
      <formula>OR(CELL("col")=COLUMN(),CELL("rom")=ROW())</formula>
    </cfRule>
  </conditionalFormatting>
  <conditionalFormatting sqref="AL68:AM68 AM69">
    <cfRule type="expression" dxfId="10" priority="31">
      <formula>OR(CELL("col")=COLUMN(),CELL("rom")=ROW())</formula>
    </cfRule>
  </conditionalFormatting>
  <conditionalFormatting sqref="AL69">
    <cfRule type="expression" dxfId="9" priority="30">
      <formula>OR(CELL("col")=COLUMN(),CELL("rom")=ROW())</formula>
    </cfRule>
  </conditionalFormatting>
  <conditionalFormatting sqref="AL70:AM70 AM71">
    <cfRule type="expression" dxfId="8" priority="29">
      <formula>OR(CELL("col")=COLUMN(),CELL("rom")=ROW())</formula>
    </cfRule>
  </conditionalFormatting>
  <conditionalFormatting sqref="AL71">
    <cfRule type="expression" dxfId="7" priority="28">
      <formula>OR(CELL("col")=COLUMN(),CELL("rom")=ROW())</formula>
    </cfRule>
  </conditionalFormatting>
  <conditionalFormatting sqref="AN57">
    <cfRule type="expression" dxfId="6" priority="26">
      <formula>OR(CELL("col")=COLUMN(),CELL("rom")=ROW())</formula>
    </cfRule>
  </conditionalFormatting>
  <conditionalFormatting sqref="AN59">
    <cfRule type="expression" dxfId="5" priority="25">
      <formula>OR(CELL("col")=COLUMN(),CELL("rom")=ROW())</formula>
    </cfRule>
  </conditionalFormatting>
  <conditionalFormatting sqref="AN68">
    <cfRule type="expression" dxfId="4" priority="24">
      <formula>OR(CELL("col")=COLUMN(),CELL("rom")=ROW())</formula>
    </cfRule>
  </conditionalFormatting>
  <conditionalFormatting sqref="AN70">
    <cfRule type="expression" dxfId="3" priority="23">
      <formula>OR(CELL("col")=COLUMN(),CELL("rom")=ROW())</formula>
    </cfRule>
  </conditionalFormatting>
  <conditionalFormatting sqref="D507:D526">
    <cfRule type="expression" dxfId="2" priority="1">
      <formula>AND($L507=1,$Q507&lt;&gt;1)</formula>
    </cfRule>
    <cfRule type="expression" dxfId="1" priority="2">
      <formula>OR($J507=1,$Q507=1)</formula>
    </cfRule>
    <cfRule type="expression" dxfId="0" priority="3">
      <formula>($I507="NA")</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2:AK160"/>
  <sheetViews>
    <sheetView workbookViewId="0">
      <pane xSplit="5" ySplit="4" topLeftCell="G5" activePane="bottomRight" state="frozen"/>
      <selection pane="bottomRight" activeCell="H169" sqref="H169"/>
      <selection pane="bottomLeft" activeCell="A5" sqref="A5"/>
      <selection pane="topRight" activeCell="F1" sqref="F1"/>
    </sheetView>
  </sheetViews>
  <sheetFormatPr defaultColWidth="8.5703125" defaultRowHeight="12.75" outlineLevelRow="2"/>
  <cols>
    <col min="1" max="1" width="8.5703125" style="16"/>
    <col min="2" max="2" width="3.42578125" style="17" bestFit="1" customWidth="1"/>
    <col min="3" max="3" width="5.5703125" style="17" bestFit="1" customWidth="1"/>
    <col min="4" max="4" width="7" style="20" customWidth="1"/>
    <col min="5" max="5" width="50.42578125" style="16" bestFit="1" customWidth="1"/>
    <col min="6" max="6" width="0.5703125" style="16" customWidth="1"/>
    <col min="7" max="7" width="8.42578125" style="16" bestFit="1" customWidth="1"/>
    <col min="8" max="8" width="11.42578125" style="16" bestFit="1" customWidth="1"/>
    <col min="9" max="9" width="5.5703125" style="40" bestFit="1" customWidth="1"/>
    <col min="10" max="10" width="10" style="19" bestFit="1" customWidth="1"/>
    <col min="11" max="11" width="8" style="19" customWidth="1"/>
    <col min="12" max="12" width="10.42578125" style="19" bestFit="1" customWidth="1"/>
    <col min="13" max="24" width="10.42578125" style="19" customWidth="1"/>
    <col min="25" max="25" width="10.42578125" style="19" bestFit="1" customWidth="1"/>
    <col min="26" max="37" width="10.42578125" style="19" customWidth="1"/>
    <col min="38" max="16384" width="8.5703125" style="16"/>
  </cols>
  <sheetData>
    <row r="2" spans="1:37" s="1" customFormat="1" ht="12.75" customHeight="1">
      <c r="A2" s="21" t="s">
        <v>260</v>
      </c>
      <c r="B2" s="22"/>
      <c r="C2" s="23"/>
      <c r="D2" s="24"/>
      <c r="E2" s="22"/>
      <c r="F2" s="25"/>
      <c r="G2" s="706" t="s">
        <v>261</v>
      </c>
      <c r="H2" s="706" t="s">
        <v>262</v>
      </c>
      <c r="I2" s="707" t="s">
        <v>263</v>
      </c>
      <c r="J2" s="707" t="s">
        <v>264</v>
      </c>
      <c r="K2" s="707"/>
      <c r="L2" s="708" t="s">
        <v>18871</v>
      </c>
      <c r="M2" s="44"/>
      <c r="N2" s="44"/>
      <c r="O2" s="44"/>
      <c r="P2" s="44"/>
      <c r="Q2" s="44"/>
      <c r="R2" s="44"/>
      <c r="S2" s="44"/>
      <c r="T2" s="44"/>
      <c r="U2" s="44"/>
      <c r="V2" s="44"/>
      <c r="W2" s="44"/>
      <c r="X2" s="44"/>
      <c r="Y2" s="703" t="s">
        <v>18872</v>
      </c>
      <c r="Z2" s="44"/>
      <c r="AA2" s="44"/>
      <c r="AB2" s="44"/>
      <c r="AC2" s="44"/>
      <c r="AD2" s="44"/>
      <c r="AE2" s="44"/>
      <c r="AF2" s="44"/>
      <c r="AG2" s="44"/>
      <c r="AH2" s="44"/>
      <c r="AI2" s="44"/>
      <c r="AJ2" s="44"/>
      <c r="AK2" s="44"/>
    </row>
    <row r="3" spans="1:37" s="1" customFormat="1" ht="3" customHeight="1">
      <c r="A3" s="21"/>
      <c r="B3" s="22"/>
      <c r="C3" s="23"/>
      <c r="D3" s="24"/>
      <c r="E3" s="22"/>
      <c r="F3" s="25"/>
      <c r="G3" s="706"/>
      <c r="H3" s="706"/>
      <c r="I3" s="707"/>
      <c r="J3" s="29"/>
      <c r="K3" s="30"/>
      <c r="L3" s="708"/>
      <c r="M3" s="44"/>
      <c r="N3" s="44"/>
      <c r="O3" s="44"/>
      <c r="P3" s="44"/>
      <c r="Q3" s="44"/>
      <c r="R3" s="44"/>
      <c r="S3" s="44"/>
      <c r="T3" s="44"/>
      <c r="U3" s="44"/>
      <c r="V3" s="44"/>
      <c r="W3" s="44"/>
      <c r="X3" s="44"/>
      <c r="Y3" s="704"/>
      <c r="Z3" s="44"/>
      <c r="AA3" s="44"/>
      <c r="AB3" s="44"/>
      <c r="AC3" s="44"/>
      <c r="AD3" s="44"/>
      <c r="AE3" s="44"/>
      <c r="AF3" s="44"/>
      <c r="AG3" s="44"/>
      <c r="AH3" s="44"/>
      <c r="AI3" s="44"/>
      <c r="AJ3" s="44"/>
      <c r="AK3" s="44"/>
    </row>
    <row r="4" spans="1:37" s="1" customFormat="1" ht="18">
      <c r="A4" s="31" t="s">
        <v>18408</v>
      </c>
      <c r="B4" s="32"/>
      <c r="C4" s="33"/>
      <c r="D4" s="34"/>
      <c r="E4" s="32"/>
      <c r="F4" s="25"/>
      <c r="G4" s="706"/>
      <c r="H4" s="706"/>
      <c r="I4" s="707"/>
      <c r="J4" s="45" t="s">
        <v>18873</v>
      </c>
      <c r="K4" s="5" t="s">
        <v>4871</v>
      </c>
      <c r="L4" s="708"/>
      <c r="M4" s="43" t="s">
        <v>18874</v>
      </c>
      <c r="N4" s="43" t="s">
        <v>18875</v>
      </c>
      <c r="O4" s="43" t="s">
        <v>18876</v>
      </c>
      <c r="P4" s="43" t="s">
        <v>18877</v>
      </c>
      <c r="Q4" s="43" t="s">
        <v>18878</v>
      </c>
      <c r="R4" s="43" t="s">
        <v>18879</v>
      </c>
      <c r="S4" s="43" t="s">
        <v>18880</v>
      </c>
      <c r="T4" s="43" t="s">
        <v>18881</v>
      </c>
      <c r="U4" s="43" t="s">
        <v>18882</v>
      </c>
      <c r="V4" s="43" t="s">
        <v>18883</v>
      </c>
      <c r="W4" s="43" t="s">
        <v>18884</v>
      </c>
      <c r="X4" s="43" t="s">
        <v>18885</v>
      </c>
      <c r="Y4" s="705"/>
      <c r="Z4" s="43" t="s">
        <v>18874</v>
      </c>
      <c r="AA4" s="43" t="s">
        <v>18875</v>
      </c>
      <c r="AB4" s="43" t="s">
        <v>18876</v>
      </c>
      <c r="AC4" s="43" t="s">
        <v>18877</v>
      </c>
      <c r="AD4" s="43" t="s">
        <v>18878</v>
      </c>
      <c r="AE4" s="43" t="s">
        <v>18879</v>
      </c>
      <c r="AF4" s="43" t="s">
        <v>18880</v>
      </c>
      <c r="AG4" s="43" t="s">
        <v>18881</v>
      </c>
      <c r="AH4" s="43" t="s">
        <v>18882</v>
      </c>
      <c r="AI4" s="43" t="s">
        <v>18883</v>
      </c>
      <c r="AJ4" s="43" t="s">
        <v>18884</v>
      </c>
      <c r="AK4" s="43" t="s">
        <v>18885</v>
      </c>
    </row>
    <row r="5" spans="1:37" s="1" customFormat="1" ht="3" customHeight="1">
      <c r="A5" s="21"/>
      <c r="B5" s="22"/>
      <c r="C5" s="23"/>
      <c r="D5" s="24"/>
      <c r="E5" s="22"/>
      <c r="F5" s="25"/>
      <c r="G5" s="22"/>
      <c r="H5" s="26"/>
      <c r="I5" s="26"/>
      <c r="J5" s="27"/>
      <c r="K5" s="28"/>
      <c r="L5" s="29"/>
      <c r="M5" s="29"/>
      <c r="N5" s="29"/>
      <c r="O5" s="29"/>
      <c r="P5" s="29"/>
      <c r="Q5" s="29"/>
      <c r="R5" s="29"/>
      <c r="S5" s="29"/>
      <c r="T5" s="29"/>
      <c r="U5" s="29"/>
      <c r="V5" s="29"/>
      <c r="W5" s="29"/>
      <c r="X5" s="29"/>
      <c r="Y5" s="30"/>
      <c r="Z5" s="29"/>
      <c r="AA5" s="29"/>
      <c r="AB5" s="29"/>
      <c r="AC5" s="29"/>
      <c r="AD5" s="29"/>
      <c r="AE5" s="29"/>
      <c r="AF5" s="29"/>
      <c r="AG5" s="29"/>
      <c r="AH5" s="29"/>
      <c r="AI5" s="29"/>
      <c r="AJ5" s="29"/>
      <c r="AK5" s="29"/>
    </row>
    <row r="6" spans="1:37" s="18" customFormat="1">
      <c r="A6" s="21" t="s">
        <v>300</v>
      </c>
      <c r="B6" s="7"/>
      <c r="C6" s="7"/>
      <c r="D6" s="6"/>
      <c r="E6" s="8"/>
      <c r="F6" s="8"/>
      <c r="G6" s="41" t="s">
        <v>261</v>
      </c>
      <c r="H6" s="41" t="s">
        <v>262</v>
      </c>
      <c r="I6" s="42" t="s">
        <v>263</v>
      </c>
      <c r="J6" s="3"/>
      <c r="K6" s="3"/>
      <c r="L6" s="3"/>
      <c r="M6" s="3"/>
      <c r="N6" s="3"/>
      <c r="O6" s="3"/>
      <c r="P6" s="3"/>
      <c r="Q6" s="3"/>
      <c r="R6" s="3"/>
      <c r="S6" s="3"/>
      <c r="T6" s="3"/>
      <c r="U6" s="3"/>
      <c r="V6" s="3"/>
      <c r="W6" s="3"/>
      <c r="X6" s="3"/>
      <c r="Y6" s="3"/>
      <c r="Z6" s="3"/>
      <c r="AA6" s="3"/>
      <c r="AB6" s="3"/>
      <c r="AC6" s="3"/>
      <c r="AD6" s="3"/>
      <c r="AE6" s="3"/>
      <c r="AF6" s="3"/>
      <c r="AG6" s="3"/>
      <c r="AH6" s="3"/>
      <c r="AI6" s="3"/>
      <c r="AJ6" s="3"/>
      <c r="AK6" s="3"/>
    </row>
    <row r="7" spans="1:37" outlineLevel="1">
      <c r="A7" s="9"/>
      <c r="B7" s="7" t="s">
        <v>19</v>
      </c>
      <c r="C7" s="10" t="s">
        <v>18886</v>
      </c>
      <c r="D7" s="6"/>
      <c r="E7" s="39" t="s">
        <v>18887</v>
      </c>
      <c r="F7" s="36"/>
      <c r="G7" s="7" t="s">
        <v>303</v>
      </c>
      <c r="H7" s="4" t="str">
        <f>CONCATENATE(B7,"-",G7,"-",I7)</f>
        <v>LS-T01-4</v>
      </c>
      <c r="I7" s="37">
        <v>4</v>
      </c>
      <c r="J7" s="12">
        <v>1</v>
      </c>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row>
    <row r="8" spans="1:37" ht="3" customHeight="1">
      <c r="A8" s="9"/>
      <c r="B8" s="7"/>
      <c r="C8" s="10"/>
      <c r="D8" s="6"/>
      <c r="E8" s="39"/>
      <c r="F8" s="36"/>
      <c r="G8" s="7"/>
      <c r="H8" s="4"/>
      <c r="I8" s="37"/>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row>
    <row r="9" spans="1:37" s="18" customFormat="1">
      <c r="A9" s="21" t="s">
        <v>430</v>
      </c>
      <c r="B9" s="7"/>
      <c r="C9" s="7"/>
      <c r="D9" s="6"/>
      <c r="E9" s="39"/>
      <c r="F9" s="8"/>
      <c r="G9" s="41" t="s">
        <v>261</v>
      </c>
      <c r="H9" s="41" t="s">
        <v>262</v>
      </c>
      <c r="I9" s="42" t="s">
        <v>263</v>
      </c>
      <c r="J9" s="3"/>
      <c r="K9" s="3"/>
      <c r="L9" s="3"/>
      <c r="M9" s="3"/>
      <c r="N9" s="3"/>
      <c r="O9" s="3"/>
      <c r="P9" s="3"/>
      <c r="Q9" s="3"/>
      <c r="R9" s="3"/>
      <c r="S9" s="3"/>
      <c r="T9" s="3"/>
      <c r="U9" s="3"/>
      <c r="V9" s="3"/>
      <c r="W9" s="3"/>
      <c r="X9" s="3"/>
      <c r="Y9" s="3"/>
      <c r="Z9" s="3"/>
      <c r="AA9" s="3"/>
      <c r="AB9" s="3"/>
      <c r="AC9" s="3"/>
      <c r="AD9" s="3"/>
      <c r="AE9" s="3"/>
      <c r="AF9" s="3"/>
      <c r="AG9" s="3"/>
      <c r="AH9" s="3"/>
      <c r="AI9" s="3"/>
      <c r="AJ9" s="3"/>
      <c r="AK9" s="3"/>
    </row>
    <row r="10" spans="1:37" outlineLevel="1">
      <c r="A10" s="9"/>
      <c r="B10" s="7" t="s">
        <v>19</v>
      </c>
      <c r="C10" s="7" t="s">
        <v>433</v>
      </c>
      <c r="D10" s="6"/>
      <c r="E10" s="39" t="s">
        <v>18888</v>
      </c>
      <c r="F10" s="36"/>
      <c r="G10" s="7" t="s">
        <v>433</v>
      </c>
      <c r="H10" s="4" t="str">
        <f>CONCATENATE(B10,"-",G10,"-",I10)</f>
        <v>LS-T2V-4</v>
      </c>
      <c r="I10" s="37">
        <v>4</v>
      </c>
      <c r="J10" s="12">
        <v>1</v>
      </c>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row>
    <row r="11" spans="1:37" ht="3" customHeight="1">
      <c r="A11" s="9"/>
      <c r="B11" s="7"/>
      <c r="C11" s="10"/>
      <c r="D11" s="6"/>
      <c r="E11" s="39"/>
      <c r="F11" s="36"/>
      <c r="G11" s="7"/>
      <c r="H11" s="4"/>
      <c r="I11" s="37"/>
      <c r="J11" s="11"/>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row>
    <row r="12" spans="1:37" s="18" customFormat="1">
      <c r="A12" s="21" t="s">
        <v>619</v>
      </c>
      <c r="B12" s="7"/>
      <c r="C12" s="7"/>
      <c r="D12" s="6"/>
      <c r="E12" s="39"/>
      <c r="F12" s="8"/>
      <c r="G12" s="41" t="s">
        <v>261</v>
      </c>
      <c r="H12" s="41" t="s">
        <v>262</v>
      </c>
      <c r="I12" s="42" t="s">
        <v>263</v>
      </c>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row>
    <row r="13" spans="1:37" outlineLevel="1">
      <c r="A13" s="9"/>
      <c r="B13" s="7" t="s">
        <v>19</v>
      </c>
      <c r="C13" s="10" t="s">
        <v>622</v>
      </c>
      <c r="D13" s="6"/>
      <c r="E13" s="39" t="s">
        <v>18889</v>
      </c>
      <c r="F13" s="36"/>
      <c r="G13" s="10" t="s">
        <v>622</v>
      </c>
      <c r="H13" s="4" t="str">
        <f>CONCATENATE(B13,"-",G13,"-",I13)</f>
        <v>LS-T2S-4</v>
      </c>
      <c r="I13" s="37">
        <v>4</v>
      </c>
      <c r="J13" s="12">
        <v>1</v>
      </c>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row>
    <row r="14" spans="1:37" s="18" customFormat="1" outlineLevel="2">
      <c r="A14" s="13"/>
      <c r="B14" s="7" t="s">
        <v>19</v>
      </c>
      <c r="C14" s="10" t="s">
        <v>622</v>
      </c>
      <c r="D14" s="6"/>
      <c r="E14" s="39" t="s">
        <v>18890</v>
      </c>
      <c r="F14" s="36"/>
      <c r="G14" s="10" t="s">
        <v>622</v>
      </c>
      <c r="H14" s="4" t="str">
        <f>CONCATENATE("LS-",G14,"-",I14)</f>
        <v>LS-T2S-4</v>
      </c>
      <c r="I14" s="37">
        <v>4</v>
      </c>
      <c r="J14" s="12">
        <v>1</v>
      </c>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row>
    <row r="15" spans="1:37" s="18" customFormat="1" outlineLevel="2">
      <c r="A15" s="13"/>
      <c r="B15" s="7" t="s">
        <v>19</v>
      </c>
      <c r="C15" s="10" t="s">
        <v>622</v>
      </c>
      <c r="D15" s="6"/>
      <c r="E15" s="39" t="s">
        <v>18559</v>
      </c>
      <c r="F15" s="36"/>
      <c r="G15" s="10" t="s">
        <v>622</v>
      </c>
      <c r="H15" s="4" t="str">
        <f t="shared" ref="H15:H23" si="0">CONCATENATE("LS-",G15,"-",I15)</f>
        <v>LS-T2S-4</v>
      </c>
      <c r="I15" s="37">
        <v>4</v>
      </c>
      <c r="J15" s="12">
        <v>1</v>
      </c>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row>
    <row r="16" spans="1:37" s="18" customFormat="1" outlineLevel="2">
      <c r="A16" s="13"/>
      <c r="B16" s="7" t="s">
        <v>19</v>
      </c>
      <c r="C16" s="10" t="s">
        <v>622</v>
      </c>
      <c r="D16" s="6"/>
      <c r="E16" s="39" t="s">
        <v>18560</v>
      </c>
      <c r="F16" s="36"/>
      <c r="G16" s="10" t="s">
        <v>622</v>
      </c>
      <c r="H16" s="4" t="str">
        <f t="shared" si="0"/>
        <v>LS-T2S-4</v>
      </c>
      <c r="I16" s="37">
        <v>4</v>
      </c>
      <c r="J16" s="12">
        <v>1</v>
      </c>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row>
    <row r="17" spans="1:12" s="18" customFormat="1" outlineLevel="2">
      <c r="A17" s="13"/>
      <c r="B17" s="7" t="s">
        <v>19</v>
      </c>
      <c r="C17" s="10" t="s">
        <v>622</v>
      </c>
      <c r="D17" s="6"/>
      <c r="E17" s="39" t="s">
        <v>18891</v>
      </c>
      <c r="F17" s="36"/>
      <c r="G17" s="10" t="s">
        <v>622</v>
      </c>
      <c r="H17" s="4" t="str">
        <f t="shared" si="0"/>
        <v>LS-T2S-4</v>
      </c>
      <c r="I17" s="37">
        <v>4</v>
      </c>
      <c r="J17" s="12">
        <v>1</v>
      </c>
      <c r="K17" s="12"/>
      <c r="L17" s="12"/>
    </row>
    <row r="18" spans="1:12" s="18" customFormat="1" outlineLevel="2">
      <c r="A18" s="13"/>
      <c r="B18" s="7" t="s">
        <v>19</v>
      </c>
      <c r="C18" s="10" t="s">
        <v>622</v>
      </c>
      <c r="D18" s="6"/>
      <c r="E18" s="39" t="s">
        <v>18892</v>
      </c>
      <c r="F18" s="36"/>
      <c r="G18" s="10" t="s">
        <v>622</v>
      </c>
      <c r="H18" s="4" t="str">
        <f t="shared" si="0"/>
        <v>LS-T2S-4</v>
      </c>
      <c r="I18" s="37">
        <v>4</v>
      </c>
      <c r="J18" s="12">
        <v>1</v>
      </c>
      <c r="K18" s="12"/>
      <c r="L18" s="12"/>
    </row>
    <row r="19" spans="1:12" s="18" customFormat="1" outlineLevel="2">
      <c r="A19" s="13"/>
      <c r="B19" s="7" t="s">
        <v>19</v>
      </c>
      <c r="C19" s="10" t="s">
        <v>622</v>
      </c>
      <c r="D19" s="6"/>
      <c r="E19" s="39" t="s">
        <v>18564</v>
      </c>
      <c r="F19" s="36"/>
      <c r="G19" s="10" t="s">
        <v>622</v>
      </c>
      <c r="H19" s="4" t="str">
        <f t="shared" si="0"/>
        <v>LS-T2S-4</v>
      </c>
      <c r="I19" s="37">
        <v>4</v>
      </c>
      <c r="J19" s="12">
        <v>1</v>
      </c>
      <c r="K19" s="12"/>
    </row>
    <row r="20" spans="1:12" s="18" customFormat="1" outlineLevel="2">
      <c r="A20" s="13"/>
      <c r="B20" s="7" t="s">
        <v>19</v>
      </c>
      <c r="C20" s="10" t="s">
        <v>622</v>
      </c>
      <c r="D20" s="6"/>
      <c r="E20" s="39" t="s">
        <v>18562</v>
      </c>
      <c r="F20" s="36"/>
      <c r="G20" s="10" t="s">
        <v>622</v>
      </c>
      <c r="H20" s="4" t="str">
        <f t="shared" si="0"/>
        <v>LS-T2S-4</v>
      </c>
      <c r="I20" s="37">
        <v>4</v>
      </c>
      <c r="J20" s="12">
        <v>1</v>
      </c>
      <c r="K20" s="12"/>
    </row>
    <row r="21" spans="1:12" s="18" customFormat="1" outlineLevel="2">
      <c r="A21" s="13"/>
      <c r="B21" s="7" t="s">
        <v>19</v>
      </c>
      <c r="C21" s="10" t="s">
        <v>622</v>
      </c>
      <c r="D21" s="6"/>
      <c r="E21" s="39" t="s">
        <v>3932</v>
      </c>
      <c r="F21" s="36"/>
      <c r="G21" s="10" t="s">
        <v>622</v>
      </c>
      <c r="H21" s="4" t="str">
        <f t="shared" si="0"/>
        <v>LS-T2S-4</v>
      </c>
      <c r="I21" s="37">
        <v>4</v>
      </c>
      <c r="J21" s="12">
        <v>1</v>
      </c>
      <c r="K21" s="12"/>
    </row>
    <row r="22" spans="1:12" s="18" customFormat="1" outlineLevel="2">
      <c r="A22" s="13"/>
      <c r="B22" s="7" t="s">
        <v>19</v>
      </c>
      <c r="C22" s="10" t="s">
        <v>622</v>
      </c>
      <c r="D22" s="6"/>
      <c r="E22" s="39" t="s">
        <v>18565</v>
      </c>
      <c r="F22" s="36"/>
      <c r="G22" s="10" t="s">
        <v>622</v>
      </c>
      <c r="H22" s="4" t="str">
        <f t="shared" si="0"/>
        <v>LS-T2S-4</v>
      </c>
      <c r="I22" s="37">
        <v>4</v>
      </c>
      <c r="J22" s="12">
        <v>1</v>
      </c>
      <c r="K22" s="12"/>
    </row>
    <row r="23" spans="1:12" s="18" customFormat="1" outlineLevel="2">
      <c r="A23" s="13"/>
      <c r="B23" s="7" t="s">
        <v>19</v>
      </c>
      <c r="C23" s="10" t="s">
        <v>622</v>
      </c>
      <c r="D23" s="6"/>
      <c r="E23" s="39" t="s">
        <v>18566</v>
      </c>
      <c r="F23" s="36"/>
      <c r="G23" s="10" t="s">
        <v>622</v>
      </c>
      <c r="H23" s="4" t="str">
        <f t="shared" si="0"/>
        <v>LS-T2S-4</v>
      </c>
      <c r="I23" s="37">
        <v>4</v>
      </c>
      <c r="J23" s="12">
        <v>1</v>
      </c>
      <c r="K23" s="12"/>
    </row>
    <row r="24" spans="1:12" ht="3" customHeight="1">
      <c r="A24" s="9"/>
      <c r="B24" s="7"/>
      <c r="C24" s="10"/>
      <c r="D24" s="6"/>
      <c r="E24" s="39"/>
      <c r="F24" s="36"/>
      <c r="G24" s="7"/>
      <c r="H24" s="4"/>
      <c r="I24" s="37"/>
      <c r="J24" s="11"/>
      <c r="K24" s="12"/>
      <c r="L24" s="12"/>
    </row>
    <row r="25" spans="1:12" s="18" customFormat="1">
      <c r="A25" s="21" t="s">
        <v>826</v>
      </c>
      <c r="B25" s="7"/>
      <c r="C25" s="7"/>
      <c r="D25" s="6"/>
      <c r="E25" s="39"/>
      <c r="F25" s="8"/>
      <c r="G25" s="41" t="s">
        <v>261</v>
      </c>
      <c r="H25" s="41" t="s">
        <v>262</v>
      </c>
      <c r="I25" s="42" t="s">
        <v>263</v>
      </c>
      <c r="J25" s="3"/>
      <c r="K25" s="3"/>
      <c r="L25" s="3"/>
    </row>
    <row r="26" spans="1:12" outlineLevel="1">
      <c r="A26" s="9"/>
      <c r="B26" s="7" t="s">
        <v>19</v>
      </c>
      <c r="C26" s="10" t="s">
        <v>18893</v>
      </c>
      <c r="D26" s="6"/>
      <c r="E26" s="39" t="s">
        <v>18894</v>
      </c>
      <c r="F26" s="36"/>
      <c r="G26" s="10" t="s">
        <v>828</v>
      </c>
      <c r="H26" s="4" t="str">
        <f>CONCATENATE(B26,"-",G26,"-",I26)</f>
        <v>LS-TXV-4</v>
      </c>
      <c r="I26" s="37">
        <v>4</v>
      </c>
      <c r="J26" s="11"/>
      <c r="K26" s="12"/>
      <c r="L26" s="12">
        <v>1</v>
      </c>
    </row>
    <row r="27" spans="1:12" ht="3" customHeight="1">
      <c r="A27" s="9"/>
      <c r="B27" s="7"/>
      <c r="C27" s="10"/>
      <c r="D27" s="6"/>
      <c r="E27" s="39"/>
      <c r="F27" s="36"/>
      <c r="G27" s="7"/>
      <c r="H27" s="4"/>
      <c r="I27" s="37"/>
      <c r="J27" s="11"/>
      <c r="K27" s="12"/>
      <c r="L27" s="12"/>
    </row>
    <row r="28" spans="1:12" s="18" customFormat="1">
      <c r="A28" s="21" t="s">
        <v>950</v>
      </c>
      <c r="B28" s="7"/>
      <c r="C28" s="7"/>
      <c r="D28" s="6"/>
      <c r="E28" s="39"/>
      <c r="F28" s="8"/>
      <c r="G28" s="41" t="s">
        <v>261</v>
      </c>
      <c r="H28" s="41" t="s">
        <v>262</v>
      </c>
      <c r="I28" s="42" t="s">
        <v>263</v>
      </c>
      <c r="J28" s="3"/>
      <c r="K28" s="3"/>
      <c r="L28" s="3"/>
    </row>
    <row r="29" spans="1:12" outlineLevel="1">
      <c r="A29" s="9"/>
      <c r="B29" s="7" t="s">
        <v>19</v>
      </c>
      <c r="C29" s="10" t="s">
        <v>18895</v>
      </c>
      <c r="D29" s="6"/>
      <c r="E29" s="39" t="s">
        <v>18896</v>
      </c>
      <c r="F29" s="36"/>
      <c r="G29" s="10" t="s">
        <v>953</v>
      </c>
      <c r="H29" s="4" t="str">
        <f>CONCATENATE(B29,"-",G29,"-",I29)</f>
        <v>LS-TXS-4</v>
      </c>
      <c r="I29" s="37">
        <v>4</v>
      </c>
      <c r="J29" s="12"/>
      <c r="K29" s="12"/>
      <c r="L29" s="12">
        <v>1</v>
      </c>
    </row>
    <row r="30" spans="1:12" s="18" customFormat="1" outlineLevel="2">
      <c r="A30" s="13"/>
      <c r="B30" s="7" t="s">
        <v>19</v>
      </c>
      <c r="C30" s="10" t="s">
        <v>18895</v>
      </c>
      <c r="D30" s="6"/>
      <c r="E30" s="39" t="s">
        <v>18890</v>
      </c>
      <c r="F30" s="36"/>
      <c r="G30" s="10" t="s">
        <v>953</v>
      </c>
      <c r="H30" s="4" t="str">
        <f>CONCATENATE("LS-",G30,"-",I30)</f>
        <v>LS-TXS-4</v>
      </c>
      <c r="I30" s="37">
        <v>4</v>
      </c>
      <c r="J30" s="12"/>
      <c r="K30" s="12"/>
      <c r="L30" s="12">
        <v>1</v>
      </c>
    </row>
    <row r="31" spans="1:12" s="18" customFormat="1" outlineLevel="2">
      <c r="A31" s="13"/>
      <c r="B31" s="7" t="s">
        <v>19</v>
      </c>
      <c r="C31" s="10" t="s">
        <v>18895</v>
      </c>
      <c r="D31" s="6"/>
      <c r="E31" s="39" t="s">
        <v>18559</v>
      </c>
      <c r="F31" s="36"/>
      <c r="G31" s="10" t="s">
        <v>953</v>
      </c>
      <c r="H31" s="4" t="str">
        <f t="shared" ref="H31:H39" si="1">CONCATENATE("LS-",G31,"-",I31)</f>
        <v>LS-TXS-4</v>
      </c>
      <c r="I31" s="37">
        <v>4</v>
      </c>
      <c r="J31" s="12"/>
      <c r="K31" s="12"/>
      <c r="L31" s="12">
        <v>1</v>
      </c>
    </row>
    <row r="32" spans="1:12" s="18" customFormat="1" outlineLevel="2">
      <c r="A32" s="13"/>
      <c r="B32" s="7" t="s">
        <v>19</v>
      </c>
      <c r="C32" s="10" t="s">
        <v>18895</v>
      </c>
      <c r="D32" s="6"/>
      <c r="E32" s="39" t="s">
        <v>18560</v>
      </c>
      <c r="F32" s="36"/>
      <c r="G32" s="10" t="s">
        <v>953</v>
      </c>
      <c r="H32" s="4" t="str">
        <f t="shared" si="1"/>
        <v>LS-TXS-4</v>
      </c>
      <c r="I32" s="37">
        <v>4</v>
      </c>
      <c r="J32" s="12"/>
      <c r="K32" s="12"/>
      <c r="L32" s="12">
        <v>1</v>
      </c>
    </row>
    <row r="33" spans="1:12" s="18" customFormat="1" outlineLevel="2">
      <c r="A33" s="13"/>
      <c r="B33" s="7" t="s">
        <v>19</v>
      </c>
      <c r="C33" s="10" t="s">
        <v>18895</v>
      </c>
      <c r="D33" s="6"/>
      <c r="E33" s="39" t="s">
        <v>18891</v>
      </c>
      <c r="F33" s="36"/>
      <c r="G33" s="10" t="s">
        <v>953</v>
      </c>
      <c r="H33" s="4" t="str">
        <f t="shared" si="1"/>
        <v>LS-TXS-4</v>
      </c>
      <c r="I33" s="37">
        <v>4</v>
      </c>
      <c r="J33" s="12"/>
      <c r="K33" s="12"/>
      <c r="L33" s="12">
        <v>1</v>
      </c>
    </row>
    <row r="34" spans="1:12" s="18" customFormat="1" outlineLevel="2">
      <c r="A34" s="13"/>
      <c r="B34" s="7" t="s">
        <v>19</v>
      </c>
      <c r="C34" s="10" t="s">
        <v>18895</v>
      </c>
      <c r="D34" s="6"/>
      <c r="E34" s="39" t="s">
        <v>18892</v>
      </c>
      <c r="F34" s="36"/>
      <c r="G34" s="10" t="s">
        <v>953</v>
      </c>
      <c r="H34" s="4" t="str">
        <f t="shared" si="1"/>
        <v>LS-TXS-4</v>
      </c>
      <c r="I34" s="37">
        <v>4</v>
      </c>
      <c r="J34" s="12"/>
      <c r="K34" s="12"/>
      <c r="L34" s="12">
        <v>1</v>
      </c>
    </row>
    <row r="35" spans="1:12" s="18" customFormat="1" outlineLevel="2">
      <c r="A35" s="13"/>
      <c r="B35" s="7" t="s">
        <v>19</v>
      </c>
      <c r="C35" s="10" t="s">
        <v>18895</v>
      </c>
      <c r="D35" s="6"/>
      <c r="E35" s="39" t="s">
        <v>18564</v>
      </c>
      <c r="F35" s="36"/>
      <c r="G35" s="10" t="s">
        <v>953</v>
      </c>
      <c r="H35" s="4" t="str">
        <f t="shared" si="1"/>
        <v>LS-TXS-4</v>
      </c>
      <c r="I35" s="37">
        <v>4</v>
      </c>
      <c r="J35" s="12"/>
      <c r="K35" s="12"/>
      <c r="L35" s="12">
        <v>1</v>
      </c>
    </row>
    <row r="36" spans="1:12" s="18" customFormat="1" outlineLevel="2">
      <c r="A36" s="13"/>
      <c r="B36" s="7" t="s">
        <v>19</v>
      </c>
      <c r="C36" s="10" t="s">
        <v>18895</v>
      </c>
      <c r="D36" s="6"/>
      <c r="E36" s="39" t="s">
        <v>18562</v>
      </c>
      <c r="F36" s="36"/>
      <c r="G36" s="10" t="s">
        <v>953</v>
      </c>
      <c r="H36" s="4" t="str">
        <f t="shared" si="1"/>
        <v>LS-TXS-4</v>
      </c>
      <c r="I36" s="37">
        <v>4</v>
      </c>
      <c r="J36" s="12"/>
      <c r="K36" s="12"/>
      <c r="L36" s="12">
        <v>1</v>
      </c>
    </row>
    <row r="37" spans="1:12" s="18" customFormat="1" outlineLevel="2">
      <c r="A37" s="13"/>
      <c r="B37" s="7" t="s">
        <v>19</v>
      </c>
      <c r="C37" s="10" t="s">
        <v>18895</v>
      </c>
      <c r="D37" s="6"/>
      <c r="E37" s="39" t="s">
        <v>3932</v>
      </c>
      <c r="F37" s="36"/>
      <c r="G37" s="10" t="s">
        <v>953</v>
      </c>
      <c r="H37" s="4" t="str">
        <f t="shared" si="1"/>
        <v>LS-TXS-4</v>
      </c>
      <c r="I37" s="37">
        <v>4</v>
      </c>
      <c r="J37" s="12"/>
      <c r="K37" s="12"/>
      <c r="L37" s="12">
        <v>1</v>
      </c>
    </row>
    <row r="38" spans="1:12" s="18" customFormat="1" outlineLevel="2">
      <c r="A38" s="13"/>
      <c r="B38" s="7" t="s">
        <v>19</v>
      </c>
      <c r="C38" s="10" t="s">
        <v>18895</v>
      </c>
      <c r="D38" s="6"/>
      <c r="E38" s="39" t="s">
        <v>18565</v>
      </c>
      <c r="F38" s="36"/>
      <c r="G38" s="10" t="s">
        <v>953</v>
      </c>
      <c r="H38" s="4" t="str">
        <f t="shared" si="1"/>
        <v>LS-TXS-4</v>
      </c>
      <c r="I38" s="37">
        <v>4</v>
      </c>
      <c r="J38" s="12"/>
      <c r="K38" s="12"/>
      <c r="L38" s="12">
        <v>1</v>
      </c>
    </row>
    <row r="39" spans="1:12" s="18" customFormat="1" outlineLevel="2">
      <c r="A39" s="13"/>
      <c r="B39" s="7" t="s">
        <v>19</v>
      </c>
      <c r="C39" s="10" t="s">
        <v>18895</v>
      </c>
      <c r="D39" s="6"/>
      <c r="E39" s="39" t="s">
        <v>18566</v>
      </c>
      <c r="F39" s="36"/>
      <c r="G39" s="10" t="s">
        <v>953</v>
      </c>
      <c r="H39" s="4" t="str">
        <f t="shared" si="1"/>
        <v>LS-TXS-4</v>
      </c>
      <c r="I39" s="37">
        <v>4</v>
      </c>
      <c r="J39" s="12"/>
      <c r="K39" s="12"/>
      <c r="L39" s="12"/>
    </row>
    <row r="40" spans="1:12" ht="3" customHeight="1">
      <c r="A40" s="9"/>
      <c r="B40" s="7"/>
      <c r="C40" s="10"/>
      <c r="D40" s="6"/>
      <c r="E40" s="39"/>
      <c r="F40" s="36"/>
      <c r="G40" s="7"/>
      <c r="H40" s="4"/>
      <c r="I40" s="37"/>
      <c r="J40" s="11"/>
      <c r="K40" s="12"/>
      <c r="L40" s="12"/>
    </row>
    <row r="41" spans="1:12" s="18" customFormat="1">
      <c r="A41" s="21" t="s">
        <v>1015</v>
      </c>
      <c r="B41" s="7"/>
      <c r="C41" s="7"/>
      <c r="D41" s="6"/>
      <c r="E41" s="39"/>
      <c r="F41" s="8"/>
      <c r="G41" s="41" t="s">
        <v>261</v>
      </c>
      <c r="H41" s="41" t="s">
        <v>262</v>
      </c>
      <c r="I41" s="42" t="s">
        <v>263</v>
      </c>
      <c r="J41" s="3"/>
      <c r="K41" s="3"/>
      <c r="L41" s="3"/>
    </row>
    <row r="42" spans="1:12" outlineLevel="1">
      <c r="A42" s="9"/>
      <c r="B42" s="7" t="s">
        <v>19</v>
      </c>
      <c r="C42" s="7" t="s">
        <v>1018</v>
      </c>
      <c r="D42" s="6"/>
      <c r="E42" s="39" t="s">
        <v>18897</v>
      </c>
      <c r="F42" s="36"/>
      <c r="G42" s="7" t="s">
        <v>1018</v>
      </c>
      <c r="H42" s="4" t="str">
        <f>CONCATENATE(B42,"-",G42,"-",I42)</f>
        <v>LS-T6V-4</v>
      </c>
      <c r="I42" s="37">
        <v>4</v>
      </c>
      <c r="J42" s="12">
        <v>1</v>
      </c>
      <c r="K42" s="12"/>
      <c r="L42" s="12"/>
    </row>
    <row r="43" spans="1:12" ht="3" customHeight="1">
      <c r="A43" s="9"/>
      <c r="B43" s="7"/>
      <c r="C43" s="10"/>
      <c r="D43" s="6"/>
      <c r="E43" s="39"/>
      <c r="F43" s="36"/>
      <c r="G43" s="7"/>
      <c r="H43" s="4"/>
      <c r="I43" s="37"/>
      <c r="J43" s="11"/>
      <c r="K43" s="12"/>
      <c r="L43" s="12"/>
    </row>
    <row r="44" spans="1:12" s="18" customFormat="1">
      <c r="A44" s="21" t="s">
        <v>1028</v>
      </c>
      <c r="B44" s="7"/>
      <c r="C44" s="7"/>
      <c r="D44" s="6"/>
      <c r="E44" s="39"/>
      <c r="F44" s="8"/>
      <c r="G44" s="41" t="s">
        <v>261</v>
      </c>
      <c r="H44" s="41" t="s">
        <v>262</v>
      </c>
      <c r="I44" s="42" t="s">
        <v>263</v>
      </c>
      <c r="J44" s="3"/>
      <c r="K44" s="3"/>
      <c r="L44" s="3"/>
    </row>
    <row r="45" spans="1:12" outlineLevel="1">
      <c r="A45" s="9"/>
      <c r="B45" s="7" t="s">
        <v>19</v>
      </c>
      <c r="C45" s="10" t="s">
        <v>1030</v>
      </c>
      <c r="D45" s="6"/>
      <c r="E45" s="39" t="s">
        <v>18898</v>
      </c>
      <c r="F45" s="36"/>
      <c r="G45" s="10" t="s">
        <v>1030</v>
      </c>
      <c r="H45" s="4" t="str">
        <f>CONCATENATE(B45,"-",G45,"-",I45)</f>
        <v>LS-T6S-4</v>
      </c>
      <c r="I45" s="37">
        <v>4</v>
      </c>
      <c r="J45" s="12"/>
      <c r="K45" s="12"/>
      <c r="L45" s="12">
        <v>1</v>
      </c>
    </row>
    <row r="46" spans="1:12" s="18" customFormat="1" outlineLevel="2">
      <c r="A46" s="13"/>
      <c r="B46" s="7" t="s">
        <v>19</v>
      </c>
      <c r="C46" s="10" t="s">
        <v>1030</v>
      </c>
      <c r="D46" s="6"/>
      <c r="E46" s="39" t="s">
        <v>18890</v>
      </c>
      <c r="F46" s="36"/>
      <c r="G46" s="10" t="s">
        <v>1030</v>
      </c>
      <c r="H46" s="4" t="str">
        <f>CONCATENATE("LS-",G46,"-",I46)</f>
        <v>LS-T6S-4</v>
      </c>
      <c r="I46" s="37">
        <v>4</v>
      </c>
      <c r="J46" s="12"/>
      <c r="K46" s="12"/>
      <c r="L46" s="12">
        <v>1</v>
      </c>
    </row>
    <row r="47" spans="1:12" s="18" customFormat="1" outlineLevel="2">
      <c r="A47" s="13"/>
      <c r="B47" s="7" t="s">
        <v>19</v>
      </c>
      <c r="C47" s="10" t="s">
        <v>1030</v>
      </c>
      <c r="D47" s="6"/>
      <c r="E47" s="39" t="s">
        <v>18559</v>
      </c>
      <c r="F47" s="36"/>
      <c r="G47" s="10" t="s">
        <v>1030</v>
      </c>
      <c r="H47" s="4" t="str">
        <f t="shared" ref="H47:H55" si="2">CONCATENATE("LS-",G47,"-",I47)</f>
        <v>LS-T6S-4</v>
      </c>
      <c r="I47" s="37">
        <v>4</v>
      </c>
      <c r="J47" s="12"/>
      <c r="K47" s="12"/>
      <c r="L47" s="12">
        <v>1</v>
      </c>
    </row>
    <row r="48" spans="1:12" s="18" customFormat="1" outlineLevel="2">
      <c r="A48" s="13"/>
      <c r="B48" s="7" t="s">
        <v>19</v>
      </c>
      <c r="C48" s="10" t="s">
        <v>1030</v>
      </c>
      <c r="D48" s="6"/>
      <c r="E48" s="39" t="s">
        <v>18560</v>
      </c>
      <c r="F48" s="36"/>
      <c r="G48" s="10" t="s">
        <v>1030</v>
      </c>
      <c r="H48" s="4" t="str">
        <f t="shared" si="2"/>
        <v>LS-T6S-4</v>
      </c>
      <c r="I48" s="37">
        <v>4</v>
      </c>
      <c r="J48" s="12"/>
      <c r="K48" s="12"/>
      <c r="L48" s="12">
        <v>1</v>
      </c>
    </row>
    <row r="49" spans="1:12" s="18" customFormat="1" outlineLevel="2">
      <c r="A49" s="13"/>
      <c r="B49" s="7" t="s">
        <v>19</v>
      </c>
      <c r="C49" s="10" t="s">
        <v>1030</v>
      </c>
      <c r="D49" s="6"/>
      <c r="E49" s="39" t="s">
        <v>18891</v>
      </c>
      <c r="F49" s="36"/>
      <c r="G49" s="10" t="s">
        <v>1030</v>
      </c>
      <c r="H49" s="4" t="str">
        <f t="shared" si="2"/>
        <v>LS-T6S-4</v>
      </c>
      <c r="I49" s="37">
        <v>4</v>
      </c>
      <c r="J49" s="12"/>
      <c r="K49" s="12"/>
      <c r="L49" s="12">
        <v>1</v>
      </c>
    </row>
    <row r="50" spans="1:12" s="18" customFormat="1" outlineLevel="2">
      <c r="A50" s="13"/>
      <c r="B50" s="7" t="s">
        <v>19</v>
      </c>
      <c r="C50" s="10" t="s">
        <v>1030</v>
      </c>
      <c r="D50" s="6"/>
      <c r="E50" s="39" t="s">
        <v>18892</v>
      </c>
      <c r="F50" s="36"/>
      <c r="G50" s="10" t="s">
        <v>1030</v>
      </c>
      <c r="H50" s="4" t="str">
        <f t="shared" si="2"/>
        <v>LS-T6S-4</v>
      </c>
      <c r="I50" s="37">
        <v>4</v>
      </c>
      <c r="J50" s="12"/>
      <c r="K50" s="12"/>
      <c r="L50" s="12">
        <v>1</v>
      </c>
    </row>
    <row r="51" spans="1:12" s="18" customFormat="1" outlineLevel="2">
      <c r="A51" s="13"/>
      <c r="B51" s="7" t="s">
        <v>19</v>
      </c>
      <c r="C51" s="10" t="s">
        <v>1030</v>
      </c>
      <c r="D51" s="6"/>
      <c r="E51" s="39" t="s">
        <v>18564</v>
      </c>
      <c r="F51" s="36"/>
      <c r="G51" s="10" t="s">
        <v>1030</v>
      </c>
      <c r="H51" s="4" t="str">
        <f t="shared" si="2"/>
        <v>LS-T6S-4</v>
      </c>
      <c r="I51" s="37">
        <v>4</v>
      </c>
      <c r="J51" s="12"/>
      <c r="K51" s="12"/>
      <c r="L51" s="12">
        <v>1</v>
      </c>
    </row>
    <row r="52" spans="1:12" s="18" customFormat="1" outlineLevel="2">
      <c r="A52" s="13"/>
      <c r="B52" s="7" t="s">
        <v>19</v>
      </c>
      <c r="C52" s="10" t="s">
        <v>1030</v>
      </c>
      <c r="D52" s="6"/>
      <c r="E52" s="39" t="s">
        <v>18562</v>
      </c>
      <c r="F52" s="36"/>
      <c r="G52" s="10" t="s">
        <v>1030</v>
      </c>
      <c r="H52" s="4" t="str">
        <f t="shared" si="2"/>
        <v>LS-T6S-4</v>
      </c>
      <c r="I52" s="37">
        <v>4</v>
      </c>
      <c r="J52" s="12"/>
      <c r="K52" s="12"/>
      <c r="L52" s="12">
        <v>1</v>
      </c>
    </row>
    <row r="53" spans="1:12" s="18" customFormat="1" outlineLevel="2">
      <c r="A53" s="13"/>
      <c r="B53" s="7" t="s">
        <v>19</v>
      </c>
      <c r="C53" s="10" t="s">
        <v>1030</v>
      </c>
      <c r="D53" s="6"/>
      <c r="E53" s="39" t="s">
        <v>3932</v>
      </c>
      <c r="F53" s="36"/>
      <c r="G53" s="10" t="s">
        <v>1030</v>
      </c>
      <c r="H53" s="4" t="str">
        <f t="shared" si="2"/>
        <v>LS-T6S-4</v>
      </c>
      <c r="I53" s="37">
        <v>4</v>
      </c>
      <c r="J53" s="12"/>
      <c r="K53" s="12"/>
      <c r="L53" s="12">
        <v>1</v>
      </c>
    </row>
    <row r="54" spans="1:12" s="18" customFormat="1" outlineLevel="2">
      <c r="A54" s="13"/>
      <c r="B54" s="7" t="s">
        <v>19</v>
      </c>
      <c r="C54" s="10" t="s">
        <v>1030</v>
      </c>
      <c r="D54" s="6"/>
      <c r="E54" s="39" t="s">
        <v>18565</v>
      </c>
      <c r="F54" s="36"/>
      <c r="G54" s="10" t="s">
        <v>1030</v>
      </c>
      <c r="H54" s="4" t="str">
        <f t="shared" si="2"/>
        <v>LS-T6S-4</v>
      </c>
      <c r="I54" s="37">
        <v>4</v>
      </c>
      <c r="J54" s="12"/>
      <c r="K54" s="12"/>
      <c r="L54" s="12">
        <v>1</v>
      </c>
    </row>
    <row r="55" spans="1:12" s="18" customFormat="1" outlineLevel="2">
      <c r="A55" s="13"/>
      <c r="B55" s="7" t="s">
        <v>19</v>
      </c>
      <c r="C55" s="10" t="s">
        <v>1030</v>
      </c>
      <c r="D55" s="6"/>
      <c r="E55" s="39" t="s">
        <v>18566</v>
      </c>
      <c r="F55" s="36"/>
      <c r="G55" s="10" t="s">
        <v>1030</v>
      </c>
      <c r="H55" s="4" t="str">
        <f t="shared" si="2"/>
        <v>LS-T6S-4</v>
      </c>
      <c r="I55" s="37">
        <v>4</v>
      </c>
      <c r="J55" s="12"/>
      <c r="K55" s="12"/>
      <c r="L55" s="12">
        <v>1</v>
      </c>
    </row>
    <row r="56" spans="1:12" ht="3" customHeight="1">
      <c r="A56" s="9"/>
      <c r="B56" s="7"/>
      <c r="C56" s="10"/>
      <c r="D56" s="6"/>
      <c r="E56" s="39"/>
      <c r="F56" s="36"/>
      <c r="G56" s="7"/>
      <c r="H56" s="4"/>
      <c r="I56" s="37"/>
      <c r="J56" s="11"/>
      <c r="K56" s="12"/>
      <c r="L56" s="12"/>
    </row>
    <row r="57" spans="1:12" s="18" customFormat="1">
      <c r="A57" s="21" t="s">
        <v>1083</v>
      </c>
      <c r="B57" s="7"/>
      <c r="C57" s="7"/>
      <c r="D57" s="6"/>
      <c r="E57" s="39"/>
      <c r="F57" s="8"/>
      <c r="G57" s="41" t="s">
        <v>261</v>
      </c>
      <c r="H57" s="41" t="s">
        <v>262</v>
      </c>
      <c r="I57" s="42" t="s">
        <v>263</v>
      </c>
      <c r="J57" s="3"/>
      <c r="K57" s="3"/>
      <c r="L57" s="3"/>
    </row>
    <row r="58" spans="1:12" outlineLevel="1">
      <c r="A58" s="9"/>
      <c r="B58" s="7" t="s">
        <v>19</v>
      </c>
      <c r="C58" s="10" t="s">
        <v>18899</v>
      </c>
      <c r="D58" s="6"/>
      <c r="E58" s="39" t="s">
        <v>18900</v>
      </c>
      <c r="F58" s="36"/>
      <c r="G58" s="10" t="s">
        <v>1086</v>
      </c>
      <c r="H58" s="4" t="str">
        <f>CONCATENATE(B58,"-",G58,"-",I58)</f>
        <v>LS-T07-4</v>
      </c>
      <c r="I58" s="37">
        <v>4</v>
      </c>
      <c r="J58" s="12">
        <v>1</v>
      </c>
      <c r="K58" s="12"/>
      <c r="L58" s="12"/>
    </row>
    <row r="59" spans="1:12" ht="3" customHeight="1">
      <c r="A59" s="9"/>
      <c r="B59" s="7"/>
      <c r="C59" s="10"/>
      <c r="D59" s="6"/>
      <c r="E59" s="39"/>
      <c r="F59" s="36"/>
      <c r="G59" s="7"/>
      <c r="H59" s="4"/>
      <c r="I59" s="37"/>
      <c r="J59" s="11"/>
      <c r="K59" s="12"/>
      <c r="L59" s="12"/>
    </row>
    <row r="60" spans="1:12" s="18" customFormat="1">
      <c r="A60" s="21" t="s">
        <v>18901</v>
      </c>
      <c r="B60" s="7"/>
      <c r="C60" s="7"/>
      <c r="D60" s="6"/>
      <c r="E60" s="8"/>
      <c r="F60" s="8"/>
      <c r="G60" s="41" t="s">
        <v>261</v>
      </c>
      <c r="H60" s="41" t="s">
        <v>262</v>
      </c>
      <c r="I60" s="42" t="s">
        <v>263</v>
      </c>
      <c r="J60" s="3"/>
      <c r="K60" s="3"/>
      <c r="L60" s="3"/>
    </row>
    <row r="61" spans="1:12" outlineLevel="1">
      <c r="A61" s="9"/>
      <c r="B61" s="7" t="s">
        <v>19</v>
      </c>
      <c r="C61" s="10" t="s">
        <v>18902</v>
      </c>
      <c r="D61" s="6"/>
      <c r="E61" s="39" t="s">
        <v>18887</v>
      </c>
      <c r="F61" s="36"/>
      <c r="G61" s="7" t="s">
        <v>18903</v>
      </c>
      <c r="H61" s="4" t="str">
        <f>CONCATENATE(B61,"-",G61,"-",I61)</f>
        <v>LS-T08-4</v>
      </c>
      <c r="I61" s="37">
        <v>4</v>
      </c>
      <c r="J61" s="12">
        <v>1</v>
      </c>
      <c r="K61" s="12"/>
      <c r="L61" s="12"/>
    </row>
    <row r="62" spans="1:12" s="18" customFormat="1">
      <c r="A62" s="21" t="s">
        <v>18904</v>
      </c>
      <c r="B62" s="7"/>
      <c r="C62" s="7"/>
      <c r="D62" s="6"/>
      <c r="E62" s="39"/>
      <c r="F62" s="8"/>
      <c r="G62" s="41" t="s">
        <v>261</v>
      </c>
      <c r="H62" s="41" t="s">
        <v>262</v>
      </c>
      <c r="I62" s="42" t="s">
        <v>263</v>
      </c>
      <c r="J62" s="3"/>
      <c r="K62" s="3"/>
      <c r="L62" s="3"/>
    </row>
    <row r="63" spans="1:12" outlineLevel="1">
      <c r="A63" s="9"/>
      <c r="B63" s="7" t="s">
        <v>19</v>
      </c>
      <c r="C63" s="10" t="s">
        <v>18905</v>
      </c>
      <c r="D63" s="6"/>
      <c r="E63" s="39" t="s">
        <v>18906</v>
      </c>
      <c r="F63" s="38"/>
      <c r="G63" s="10" t="s">
        <v>18907</v>
      </c>
      <c r="H63" s="4" t="str">
        <f>CONCATENATE(B63,"-",G63,"-",I63)</f>
        <v>LS-T09-4</v>
      </c>
      <c r="I63" s="37">
        <v>4</v>
      </c>
      <c r="J63" s="11"/>
      <c r="K63" s="12"/>
      <c r="L63" s="12">
        <v>1</v>
      </c>
    </row>
    <row r="65" spans="1:12" s="18" customFormat="1">
      <c r="A65" s="6" t="s">
        <v>18908</v>
      </c>
      <c r="B65" s="6"/>
      <c r="C65" s="7"/>
      <c r="D65" s="6"/>
      <c r="E65" s="39"/>
      <c r="F65" s="8"/>
      <c r="G65" s="8"/>
      <c r="H65" s="8"/>
      <c r="I65" s="35"/>
      <c r="J65" s="3"/>
      <c r="K65" s="3"/>
      <c r="L65" s="3"/>
    </row>
    <row r="66" spans="1:12" s="18" customFormat="1" outlineLevel="1">
      <c r="A66" s="13"/>
      <c r="B66" s="7" t="s">
        <v>19</v>
      </c>
      <c r="C66" s="10" t="s">
        <v>18909</v>
      </c>
      <c r="D66" s="6"/>
      <c r="E66" s="39" t="s">
        <v>18890</v>
      </c>
      <c r="F66" s="36"/>
      <c r="G66" s="10" t="s">
        <v>18511</v>
      </c>
      <c r="H66" s="4" t="str">
        <f>CONCATENATE("LS-",G66,"-",I66)</f>
        <v>LS-V01-3</v>
      </c>
      <c r="I66" s="37">
        <v>3</v>
      </c>
      <c r="J66" s="12"/>
      <c r="K66" s="12"/>
      <c r="L66" s="12">
        <v>1</v>
      </c>
    </row>
    <row r="67" spans="1:12" s="18" customFormat="1" outlineLevel="1">
      <c r="A67" s="13"/>
      <c r="B67" s="7" t="s">
        <v>19</v>
      </c>
      <c r="C67" s="10" t="s">
        <v>18909</v>
      </c>
      <c r="D67" s="6"/>
      <c r="E67" s="39" t="s">
        <v>18559</v>
      </c>
      <c r="F67" s="36"/>
      <c r="G67" s="10" t="s">
        <v>18511</v>
      </c>
      <c r="H67" s="4" t="str">
        <f t="shared" ref="H67:H74" si="3">CONCATENATE("LS-",G67,"-",I67)</f>
        <v>LS-V01-3</v>
      </c>
      <c r="I67" s="37">
        <v>3</v>
      </c>
      <c r="J67" s="12"/>
      <c r="K67" s="12"/>
      <c r="L67" s="12">
        <v>1</v>
      </c>
    </row>
    <row r="68" spans="1:12" s="18" customFormat="1" outlineLevel="1">
      <c r="A68" s="13"/>
      <c r="B68" s="7" t="s">
        <v>19</v>
      </c>
      <c r="C68" s="10" t="s">
        <v>18909</v>
      </c>
      <c r="D68" s="6"/>
      <c r="E68" s="39" t="s">
        <v>18560</v>
      </c>
      <c r="F68" s="36"/>
      <c r="G68" s="10" t="s">
        <v>18511</v>
      </c>
      <c r="H68" s="4" t="str">
        <f t="shared" si="3"/>
        <v>LS-V01-3</v>
      </c>
      <c r="I68" s="37">
        <v>3</v>
      </c>
      <c r="J68" s="12"/>
      <c r="K68" s="12"/>
      <c r="L68" s="12">
        <v>1</v>
      </c>
    </row>
    <row r="69" spans="1:12" s="18" customFormat="1" outlineLevel="1">
      <c r="A69" s="13"/>
      <c r="B69" s="7" t="s">
        <v>19</v>
      </c>
      <c r="C69" s="10" t="s">
        <v>18909</v>
      </c>
      <c r="D69" s="6"/>
      <c r="E69" s="39" t="s">
        <v>18891</v>
      </c>
      <c r="F69" s="36"/>
      <c r="G69" s="10" t="s">
        <v>18511</v>
      </c>
      <c r="H69" s="4" t="str">
        <f t="shared" si="3"/>
        <v>LS-V01-3</v>
      </c>
      <c r="I69" s="37">
        <v>3</v>
      </c>
      <c r="J69" s="12"/>
      <c r="K69" s="12"/>
      <c r="L69" s="12">
        <v>1</v>
      </c>
    </row>
    <row r="70" spans="1:12" s="18" customFormat="1" outlineLevel="1">
      <c r="A70" s="13"/>
      <c r="B70" s="7" t="s">
        <v>19</v>
      </c>
      <c r="C70" s="10" t="s">
        <v>18909</v>
      </c>
      <c r="D70" s="6"/>
      <c r="E70" s="39" t="s">
        <v>18892</v>
      </c>
      <c r="F70" s="36"/>
      <c r="G70" s="10" t="s">
        <v>18511</v>
      </c>
      <c r="H70" s="4" t="str">
        <f t="shared" si="3"/>
        <v>LS-V01-3</v>
      </c>
      <c r="I70" s="37">
        <v>3</v>
      </c>
      <c r="J70" s="12"/>
      <c r="K70" s="12"/>
      <c r="L70" s="12">
        <v>1</v>
      </c>
    </row>
    <row r="71" spans="1:12" s="18" customFormat="1" outlineLevel="1">
      <c r="A71" s="13"/>
      <c r="B71" s="7" t="s">
        <v>19</v>
      </c>
      <c r="C71" s="10" t="s">
        <v>18909</v>
      </c>
      <c r="D71" s="6"/>
      <c r="E71" s="39" t="s">
        <v>18564</v>
      </c>
      <c r="F71" s="36"/>
      <c r="G71" s="10" t="s">
        <v>18511</v>
      </c>
      <c r="H71" s="4" t="str">
        <f t="shared" si="3"/>
        <v>LS-V01-3</v>
      </c>
      <c r="I71" s="37">
        <v>3</v>
      </c>
      <c r="J71" s="12"/>
      <c r="K71" s="12"/>
      <c r="L71" s="12">
        <v>1</v>
      </c>
    </row>
    <row r="72" spans="1:12" s="18" customFormat="1" outlineLevel="1">
      <c r="A72" s="13"/>
      <c r="B72" s="7" t="s">
        <v>19</v>
      </c>
      <c r="C72" s="10" t="s">
        <v>18909</v>
      </c>
      <c r="D72" s="6"/>
      <c r="E72" s="39" t="s">
        <v>18562</v>
      </c>
      <c r="F72" s="36"/>
      <c r="G72" s="10" t="s">
        <v>18511</v>
      </c>
      <c r="H72" s="4" t="str">
        <f t="shared" si="3"/>
        <v>LS-V01-3</v>
      </c>
      <c r="I72" s="37">
        <v>3</v>
      </c>
      <c r="J72" s="12"/>
      <c r="K72" s="12"/>
      <c r="L72" s="12">
        <v>1</v>
      </c>
    </row>
    <row r="73" spans="1:12" s="18" customFormat="1" outlineLevel="1">
      <c r="A73" s="13"/>
      <c r="B73" s="7" t="s">
        <v>19</v>
      </c>
      <c r="C73" s="10" t="s">
        <v>18909</v>
      </c>
      <c r="D73" s="6"/>
      <c r="E73" s="39" t="s">
        <v>3932</v>
      </c>
      <c r="F73" s="36"/>
      <c r="G73" s="10" t="s">
        <v>18511</v>
      </c>
      <c r="H73" s="4" t="str">
        <f t="shared" si="3"/>
        <v>LS-V01-3</v>
      </c>
      <c r="I73" s="37">
        <v>3</v>
      </c>
      <c r="J73" s="12"/>
      <c r="K73" s="12"/>
      <c r="L73" s="12">
        <v>1</v>
      </c>
    </row>
    <row r="74" spans="1:12" s="18" customFormat="1" outlineLevel="1">
      <c r="A74" s="13"/>
      <c r="B74" s="7" t="s">
        <v>19</v>
      </c>
      <c r="C74" s="10" t="s">
        <v>18909</v>
      </c>
      <c r="D74" s="6"/>
      <c r="E74" s="39" t="s">
        <v>18566</v>
      </c>
      <c r="F74" s="36"/>
      <c r="G74" s="10" t="s">
        <v>18511</v>
      </c>
      <c r="H74" s="4" t="str">
        <f t="shared" si="3"/>
        <v>LS-V01-3</v>
      </c>
      <c r="I74" s="37">
        <v>3</v>
      </c>
      <c r="J74" s="12"/>
      <c r="K74" s="12"/>
      <c r="L74" s="12">
        <v>1</v>
      </c>
    </row>
    <row r="75" spans="1:12" s="18" customFormat="1">
      <c r="A75" s="6" t="s">
        <v>18910</v>
      </c>
      <c r="B75" s="6"/>
      <c r="C75" s="7"/>
      <c r="D75" s="6"/>
      <c r="E75" s="39"/>
      <c r="F75" s="8"/>
      <c r="G75" s="8"/>
      <c r="H75" s="8"/>
      <c r="I75" s="35"/>
      <c r="J75" s="3"/>
      <c r="K75" s="3"/>
      <c r="L75" s="3"/>
    </row>
    <row r="76" spans="1:12" s="18" customFormat="1" outlineLevel="1">
      <c r="A76" s="13"/>
      <c r="B76" s="7" t="s">
        <v>19</v>
      </c>
      <c r="C76" s="10" t="s">
        <v>18909</v>
      </c>
      <c r="D76" s="6"/>
      <c r="E76" s="39" t="s">
        <v>18890</v>
      </c>
      <c r="F76" s="36"/>
      <c r="G76" s="10" t="s">
        <v>18537</v>
      </c>
      <c r="H76" s="4" t="str">
        <f>CONCATENATE("LS-",G76,"-",I76)</f>
        <v>LS-V03-3</v>
      </c>
      <c r="I76" s="37">
        <v>3</v>
      </c>
      <c r="J76" s="12"/>
      <c r="K76" s="12"/>
      <c r="L76" s="12">
        <v>1</v>
      </c>
    </row>
    <row r="77" spans="1:12" s="18" customFormat="1" outlineLevel="1">
      <c r="A77" s="13"/>
      <c r="B77" s="7" t="s">
        <v>19</v>
      </c>
      <c r="C77" s="10" t="s">
        <v>18909</v>
      </c>
      <c r="D77" s="6"/>
      <c r="E77" s="39" t="s">
        <v>18559</v>
      </c>
      <c r="F77" s="36"/>
      <c r="G77" s="10" t="s">
        <v>18537</v>
      </c>
      <c r="H77" s="4" t="str">
        <f t="shared" ref="H77:H84" si="4">CONCATENATE("LS-",G77,"-",I77)</f>
        <v>LS-V03-3</v>
      </c>
      <c r="I77" s="37">
        <v>3</v>
      </c>
      <c r="J77" s="12"/>
      <c r="K77" s="12"/>
      <c r="L77" s="12">
        <v>1</v>
      </c>
    </row>
    <row r="78" spans="1:12" s="18" customFormat="1" outlineLevel="1">
      <c r="A78" s="13"/>
      <c r="B78" s="7" t="s">
        <v>19</v>
      </c>
      <c r="C78" s="10" t="s">
        <v>18909</v>
      </c>
      <c r="D78" s="6"/>
      <c r="E78" s="39" t="s">
        <v>18560</v>
      </c>
      <c r="F78" s="36"/>
      <c r="G78" s="10" t="s">
        <v>18537</v>
      </c>
      <c r="H78" s="4" t="str">
        <f t="shared" si="4"/>
        <v>LS-V03-3</v>
      </c>
      <c r="I78" s="37">
        <v>3</v>
      </c>
      <c r="J78" s="12"/>
      <c r="K78" s="12"/>
      <c r="L78" s="12">
        <v>1</v>
      </c>
    </row>
    <row r="79" spans="1:12" s="18" customFormat="1" outlineLevel="1">
      <c r="A79" s="13"/>
      <c r="B79" s="7" t="s">
        <v>19</v>
      </c>
      <c r="C79" s="10" t="s">
        <v>18909</v>
      </c>
      <c r="D79" s="6"/>
      <c r="E79" s="39" t="s">
        <v>18891</v>
      </c>
      <c r="F79" s="36"/>
      <c r="G79" s="10" t="s">
        <v>18537</v>
      </c>
      <c r="H79" s="4" t="str">
        <f t="shared" si="4"/>
        <v>LS-V03-3</v>
      </c>
      <c r="I79" s="37">
        <v>3</v>
      </c>
      <c r="J79" s="12"/>
      <c r="K79" s="12"/>
      <c r="L79" s="12">
        <v>1</v>
      </c>
    </row>
    <row r="80" spans="1:12" s="18" customFormat="1" outlineLevel="1">
      <c r="A80" s="13"/>
      <c r="B80" s="7" t="s">
        <v>19</v>
      </c>
      <c r="C80" s="10" t="s">
        <v>18909</v>
      </c>
      <c r="D80" s="6"/>
      <c r="E80" s="39" t="s">
        <v>18892</v>
      </c>
      <c r="F80" s="36"/>
      <c r="G80" s="10" t="s">
        <v>18537</v>
      </c>
      <c r="H80" s="4" t="str">
        <f t="shared" si="4"/>
        <v>LS-V03-3</v>
      </c>
      <c r="I80" s="37">
        <v>3</v>
      </c>
      <c r="J80" s="12"/>
      <c r="K80" s="12"/>
      <c r="L80" s="12">
        <v>1</v>
      </c>
    </row>
    <row r="81" spans="1:12" s="18" customFormat="1" outlineLevel="1">
      <c r="A81" s="13"/>
      <c r="B81" s="7" t="s">
        <v>19</v>
      </c>
      <c r="C81" s="10" t="s">
        <v>18909</v>
      </c>
      <c r="D81" s="6"/>
      <c r="E81" s="39" t="s">
        <v>18564</v>
      </c>
      <c r="F81" s="36"/>
      <c r="G81" s="10" t="s">
        <v>18537</v>
      </c>
      <c r="H81" s="4" t="str">
        <f t="shared" si="4"/>
        <v>LS-V03-3</v>
      </c>
      <c r="I81" s="37">
        <v>3</v>
      </c>
      <c r="J81" s="12"/>
      <c r="K81" s="12"/>
      <c r="L81" s="12">
        <v>1</v>
      </c>
    </row>
    <row r="82" spans="1:12" s="18" customFormat="1" outlineLevel="1">
      <c r="A82" s="13"/>
      <c r="B82" s="7" t="s">
        <v>19</v>
      </c>
      <c r="C82" s="10" t="s">
        <v>18909</v>
      </c>
      <c r="D82" s="6"/>
      <c r="E82" s="39" t="s">
        <v>18562</v>
      </c>
      <c r="F82" s="36"/>
      <c r="G82" s="10" t="s">
        <v>18537</v>
      </c>
      <c r="H82" s="4" t="str">
        <f t="shared" si="4"/>
        <v>LS-V03-3</v>
      </c>
      <c r="I82" s="37">
        <v>3</v>
      </c>
      <c r="J82" s="12"/>
      <c r="K82" s="12"/>
      <c r="L82" s="12">
        <v>1</v>
      </c>
    </row>
    <row r="83" spans="1:12" s="18" customFormat="1" outlineLevel="1">
      <c r="A83" s="13"/>
      <c r="B83" s="7" t="s">
        <v>19</v>
      </c>
      <c r="C83" s="10" t="s">
        <v>18909</v>
      </c>
      <c r="D83" s="6"/>
      <c r="E83" s="39" t="s">
        <v>3932</v>
      </c>
      <c r="F83" s="36"/>
      <c r="G83" s="10" t="s">
        <v>18537</v>
      </c>
      <c r="H83" s="4" t="str">
        <f t="shared" si="4"/>
        <v>LS-V03-3</v>
      </c>
      <c r="I83" s="37">
        <v>3</v>
      </c>
      <c r="J83" s="12"/>
      <c r="K83" s="12"/>
      <c r="L83" s="12">
        <v>1</v>
      </c>
    </row>
    <row r="84" spans="1:12" s="18" customFormat="1" outlineLevel="1">
      <c r="A84" s="13"/>
      <c r="B84" s="7" t="s">
        <v>19</v>
      </c>
      <c r="C84" s="10" t="s">
        <v>18909</v>
      </c>
      <c r="D84" s="6"/>
      <c r="E84" s="39" t="s">
        <v>18566</v>
      </c>
      <c r="F84" s="36"/>
      <c r="G84" s="10" t="s">
        <v>18537</v>
      </c>
      <c r="H84" s="4" t="str">
        <f t="shared" si="4"/>
        <v>LS-V03-3</v>
      </c>
      <c r="I84" s="37">
        <v>3</v>
      </c>
      <c r="J84" s="12"/>
      <c r="K84" s="12"/>
      <c r="L84" s="12">
        <v>1</v>
      </c>
    </row>
    <row r="85" spans="1:12" ht="3" customHeight="1">
      <c r="A85" s="9"/>
      <c r="B85" s="7"/>
      <c r="C85" s="10"/>
      <c r="D85" s="6"/>
      <c r="E85" s="39"/>
      <c r="F85" s="36"/>
      <c r="G85" s="7"/>
      <c r="H85" s="4"/>
      <c r="I85" s="37"/>
      <c r="J85" s="11"/>
      <c r="K85" s="12"/>
      <c r="L85" s="12"/>
    </row>
    <row r="86" spans="1:12">
      <c r="A86" s="2" t="s">
        <v>1271</v>
      </c>
      <c r="B86" s="7"/>
      <c r="C86" s="7"/>
      <c r="D86" s="6"/>
      <c r="E86" s="39"/>
      <c r="F86" s="8"/>
      <c r="G86" s="41" t="s">
        <v>261</v>
      </c>
      <c r="H86" s="41" t="s">
        <v>262</v>
      </c>
      <c r="I86" s="42" t="s">
        <v>263</v>
      </c>
      <c r="J86" s="3"/>
      <c r="K86" s="3"/>
      <c r="L86" s="3"/>
    </row>
    <row r="87" spans="1:12" s="18" customFormat="1" outlineLevel="1">
      <c r="A87" s="6"/>
      <c r="B87" s="6" t="s">
        <v>17967</v>
      </c>
      <c r="C87" s="7"/>
      <c r="D87" s="6"/>
      <c r="E87" s="39"/>
      <c r="F87" s="8"/>
      <c r="G87" s="8"/>
      <c r="H87" s="8"/>
      <c r="I87" s="35"/>
      <c r="J87" s="3"/>
      <c r="K87" s="3"/>
      <c r="L87" s="3"/>
    </row>
    <row r="88" spans="1:12" s="18" customFormat="1" outlineLevel="2">
      <c r="A88" s="13"/>
      <c r="B88" s="7" t="s">
        <v>19</v>
      </c>
      <c r="C88" s="10" t="s">
        <v>2133</v>
      </c>
      <c r="D88" s="6"/>
      <c r="E88" s="39" t="s">
        <v>18890</v>
      </c>
      <c r="F88" s="36"/>
      <c r="G88" s="10" t="s">
        <v>2133</v>
      </c>
      <c r="H88" s="4" t="str">
        <f>CONCATENATE("LS-",G88,"-",I88)</f>
        <v>LS-V50-1</v>
      </c>
      <c r="I88" s="37">
        <v>1</v>
      </c>
      <c r="J88" s="12">
        <v>1</v>
      </c>
      <c r="K88" s="12"/>
      <c r="L88" s="12"/>
    </row>
    <row r="89" spans="1:12" s="18" customFormat="1" outlineLevel="2">
      <c r="A89" s="13"/>
      <c r="B89" s="7" t="s">
        <v>19</v>
      </c>
      <c r="C89" s="10" t="s">
        <v>2133</v>
      </c>
      <c r="D89" s="6"/>
      <c r="E89" s="39" t="s">
        <v>18559</v>
      </c>
      <c r="F89" s="36"/>
      <c r="G89" s="10" t="s">
        <v>2133</v>
      </c>
      <c r="H89" s="4" t="str">
        <f t="shared" ref="H89:H97" si="5">CONCATENATE("LS-",G89,"-",I89)</f>
        <v>LS-V50-1</v>
      </c>
      <c r="I89" s="37">
        <v>1</v>
      </c>
      <c r="J89" s="12">
        <v>1</v>
      </c>
      <c r="K89" s="12"/>
      <c r="L89" s="12"/>
    </row>
    <row r="90" spans="1:12" s="18" customFormat="1" outlineLevel="2">
      <c r="A90" s="13"/>
      <c r="B90" s="7" t="s">
        <v>19</v>
      </c>
      <c r="C90" s="10" t="s">
        <v>2133</v>
      </c>
      <c r="D90" s="6"/>
      <c r="E90" s="39" t="s">
        <v>18560</v>
      </c>
      <c r="F90" s="36"/>
      <c r="G90" s="10" t="s">
        <v>2133</v>
      </c>
      <c r="H90" s="4" t="str">
        <f t="shared" si="5"/>
        <v>LS-V50-1</v>
      </c>
      <c r="I90" s="37">
        <v>1</v>
      </c>
      <c r="J90" s="12">
        <v>1</v>
      </c>
      <c r="K90" s="12"/>
      <c r="L90" s="12"/>
    </row>
    <row r="91" spans="1:12" s="18" customFormat="1" outlineLevel="2">
      <c r="A91" s="13"/>
      <c r="B91" s="7" t="s">
        <v>19</v>
      </c>
      <c r="C91" s="10" t="s">
        <v>2133</v>
      </c>
      <c r="D91" s="6"/>
      <c r="E91" s="39" t="s">
        <v>18891</v>
      </c>
      <c r="F91" s="36"/>
      <c r="G91" s="10" t="s">
        <v>2133</v>
      </c>
      <c r="H91" s="4" t="str">
        <f t="shared" si="5"/>
        <v>LS-V50-1</v>
      </c>
      <c r="I91" s="37">
        <v>1</v>
      </c>
      <c r="J91" s="12">
        <v>1</v>
      </c>
      <c r="K91" s="12"/>
      <c r="L91" s="12"/>
    </row>
    <row r="92" spans="1:12" s="18" customFormat="1" outlineLevel="2">
      <c r="A92" s="13"/>
      <c r="B92" s="7" t="s">
        <v>19</v>
      </c>
      <c r="C92" s="10" t="s">
        <v>2133</v>
      </c>
      <c r="D92" s="6"/>
      <c r="E92" s="39" t="s">
        <v>18892</v>
      </c>
      <c r="F92" s="36"/>
      <c r="G92" s="10" t="s">
        <v>2133</v>
      </c>
      <c r="H92" s="4" t="str">
        <f t="shared" si="5"/>
        <v>LS-V50-1</v>
      </c>
      <c r="I92" s="37">
        <v>1</v>
      </c>
      <c r="J92" s="12">
        <v>1</v>
      </c>
      <c r="K92" s="12"/>
      <c r="L92" s="12"/>
    </row>
    <row r="93" spans="1:12" s="18" customFormat="1" outlineLevel="2">
      <c r="A93" s="13"/>
      <c r="B93" s="7" t="s">
        <v>19</v>
      </c>
      <c r="C93" s="10" t="s">
        <v>2133</v>
      </c>
      <c r="D93" s="6"/>
      <c r="E93" s="39" t="s">
        <v>18564</v>
      </c>
      <c r="F93" s="36"/>
      <c r="G93" s="10" t="s">
        <v>2133</v>
      </c>
      <c r="H93" s="4" t="str">
        <f t="shared" si="5"/>
        <v>LS-V50-1</v>
      </c>
      <c r="I93" s="37">
        <v>1</v>
      </c>
      <c r="J93" s="12">
        <v>1</v>
      </c>
      <c r="K93" s="12"/>
      <c r="L93" s="12"/>
    </row>
    <row r="94" spans="1:12" s="18" customFormat="1" outlineLevel="2">
      <c r="A94" s="13"/>
      <c r="B94" s="7" t="s">
        <v>19</v>
      </c>
      <c r="C94" s="10" t="s">
        <v>2133</v>
      </c>
      <c r="D94" s="6"/>
      <c r="E94" s="39" t="s">
        <v>18562</v>
      </c>
      <c r="F94" s="36"/>
      <c r="G94" s="10" t="s">
        <v>2133</v>
      </c>
      <c r="H94" s="4" t="str">
        <f t="shared" si="5"/>
        <v>LS-V50-1</v>
      </c>
      <c r="I94" s="37">
        <v>1</v>
      </c>
      <c r="J94" s="12">
        <v>1</v>
      </c>
      <c r="K94" s="12"/>
      <c r="L94" s="12"/>
    </row>
    <row r="95" spans="1:12" s="18" customFormat="1" outlineLevel="2">
      <c r="A95" s="13"/>
      <c r="B95" s="7" t="s">
        <v>19</v>
      </c>
      <c r="C95" s="10" t="s">
        <v>2133</v>
      </c>
      <c r="D95" s="6"/>
      <c r="E95" s="39" t="s">
        <v>3932</v>
      </c>
      <c r="F95" s="36"/>
      <c r="G95" s="10" t="s">
        <v>2133</v>
      </c>
      <c r="H95" s="4" t="str">
        <f t="shared" si="5"/>
        <v>LS-V50-1</v>
      </c>
      <c r="I95" s="37">
        <v>1</v>
      </c>
      <c r="J95" s="12">
        <v>1</v>
      </c>
      <c r="K95" s="12"/>
      <c r="L95" s="12"/>
    </row>
    <row r="96" spans="1:12" s="18" customFormat="1" outlineLevel="2">
      <c r="A96" s="13"/>
      <c r="B96" s="7" t="s">
        <v>19</v>
      </c>
      <c r="C96" s="10" t="s">
        <v>2133</v>
      </c>
      <c r="D96" s="6"/>
      <c r="E96" s="39" t="s">
        <v>18565</v>
      </c>
      <c r="F96" s="36"/>
      <c r="G96" s="10" t="s">
        <v>2133</v>
      </c>
      <c r="H96" s="4" t="str">
        <f t="shared" si="5"/>
        <v>LS-V50-1</v>
      </c>
      <c r="I96" s="37">
        <v>1</v>
      </c>
      <c r="J96" s="12">
        <v>1</v>
      </c>
      <c r="K96" s="12"/>
      <c r="L96" s="12"/>
    </row>
    <row r="97" spans="1:12" s="18" customFormat="1" outlineLevel="2">
      <c r="A97" s="13"/>
      <c r="B97" s="7" t="s">
        <v>19</v>
      </c>
      <c r="C97" s="10" t="s">
        <v>2133</v>
      </c>
      <c r="D97" s="6"/>
      <c r="E97" s="39" t="s">
        <v>18566</v>
      </c>
      <c r="F97" s="36"/>
      <c r="G97" s="10" t="s">
        <v>2133</v>
      </c>
      <c r="H97" s="4" t="str">
        <f t="shared" si="5"/>
        <v>LS-V50-1</v>
      </c>
      <c r="I97" s="37">
        <v>1</v>
      </c>
      <c r="J97" s="12">
        <v>1</v>
      </c>
      <c r="K97" s="12"/>
      <c r="L97" s="12"/>
    </row>
    <row r="98" spans="1:12" ht="3" customHeight="1" outlineLevel="1">
      <c r="A98" s="9"/>
      <c r="B98" s="7"/>
      <c r="C98" s="10"/>
      <c r="D98" s="6"/>
      <c r="E98" s="39"/>
      <c r="F98" s="36"/>
      <c r="G98" s="7"/>
      <c r="H98" s="4"/>
      <c r="I98" s="37"/>
      <c r="J98" s="11"/>
      <c r="K98" s="12"/>
      <c r="L98" s="12"/>
    </row>
    <row r="99" spans="1:12" s="18" customFormat="1" outlineLevel="1">
      <c r="A99" s="6"/>
      <c r="B99" s="6" t="s">
        <v>18032</v>
      </c>
      <c r="C99" s="7"/>
      <c r="D99" s="6"/>
      <c r="E99" s="39"/>
      <c r="F99" s="8"/>
      <c r="G99" s="8"/>
      <c r="H99" s="8"/>
      <c r="I99" s="35"/>
      <c r="J99" s="3"/>
      <c r="K99" s="3"/>
      <c r="L99" s="3"/>
    </row>
    <row r="100" spans="1:12" s="18" customFormat="1" outlineLevel="2">
      <c r="A100" s="13"/>
      <c r="B100" s="7" t="s">
        <v>19</v>
      </c>
      <c r="C100" s="10" t="s">
        <v>1357</v>
      </c>
      <c r="D100" s="6"/>
      <c r="E100" s="39" t="s">
        <v>18890</v>
      </c>
      <c r="F100" s="36"/>
      <c r="G100" s="10" t="s">
        <v>1357</v>
      </c>
      <c r="H100" s="4" t="str">
        <f t="shared" ref="H100:H107" si="6">CONCATENATE("LS-",G100,"-",I100)</f>
        <v>LS-L30-1</v>
      </c>
      <c r="I100" s="37">
        <v>1</v>
      </c>
      <c r="J100" s="12">
        <v>1</v>
      </c>
      <c r="K100" s="12"/>
      <c r="L100" s="12"/>
    </row>
    <row r="101" spans="1:12" s="18" customFormat="1" outlineLevel="2">
      <c r="A101" s="13"/>
      <c r="B101" s="7" t="s">
        <v>19</v>
      </c>
      <c r="C101" s="10" t="s">
        <v>1357</v>
      </c>
      <c r="D101" s="6"/>
      <c r="E101" s="39" t="s">
        <v>18559</v>
      </c>
      <c r="F101" s="36"/>
      <c r="G101" s="10" t="s">
        <v>1357</v>
      </c>
      <c r="H101" s="4" t="str">
        <f t="shared" si="6"/>
        <v>LS-L30-1</v>
      </c>
      <c r="I101" s="37">
        <v>1</v>
      </c>
      <c r="J101" s="12">
        <v>1</v>
      </c>
      <c r="K101" s="12"/>
      <c r="L101" s="12"/>
    </row>
    <row r="102" spans="1:12" s="18" customFormat="1" outlineLevel="2">
      <c r="A102" s="13"/>
      <c r="B102" s="7" t="s">
        <v>19</v>
      </c>
      <c r="C102" s="10" t="s">
        <v>1357</v>
      </c>
      <c r="D102" s="6"/>
      <c r="E102" s="39" t="s">
        <v>18560</v>
      </c>
      <c r="F102" s="36"/>
      <c r="G102" s="10" t="s">
        <v>1357</v>
      </c>
      <c r="H102" s="4" t="str">
        <f t="shared" si="6"/>
        <v>LS-L30-1</v>
      </c>
      <c r="I102" s="37">
        <v>1</v>
      </c>
      <c r="J102" s="12">
        <v>1</v>
      </c>
      <c r="K102" s="12"/>
      <c r="L102" s="12"/>
    </row>
    <row r="103" spans="1:12" s="18" customFormat="1" outlineLevel="2">
      <c r="A103" s="13"/>
      <c r="B103" s="7" t="s">
        <v>19</v>
      </c>
      <c r="C103" s="10" t="s">
        <v>1357</v>
      </c>
      <c r="D103" s="6"/>
      <c r="E103" s="39" t="s">
        <v>18891</v>
      </c>
      <c r="F103" s="36"/>
      <c r="G103" s="10" t="s">
        <v>1357</v>
      </c>
      <c r="H103" s="4" t="str">
        <f t="shared" si="6"/>
        <v>LS-L30-1</v>
      </c>
      <c r="I103" s="37">
        <v>1</v>
      </c>
      <c r="J103" s="12">
        <v>1</v>
      </c>
      <c r="K103" s="12"/>
      <c r="L103" s="12"/>
    </row>
    <row r="104" spans="1:12" s="18" customFormat="1" outlineLevel="2">
      <c r="A104" s="13"/>
      <c r="B104" s="7" t="s">
        <v>19</v>
      </c>
      <c r="C104" s="10" t="s">
        <v>1357</v>
      </c>
      <c r="D104" s="6"/>
      <c r="E104" s="39" t="s">
        <v>18892</v>
      </c>
      <c r="F104" s="36"/>
      <c r="G104" s="10" t="s">
        <v>1357</v>
      </c>
      <c r="H104" s="4" t="str">
        <f t="shared" si="6"/>
        <v>LS-L30-1</v>
      </c>
      <c r="I104" s="37">
        <v>1</v>
      </c>
      <c r="J104" s="12">
        <v>1</v>
      </c>
      <c r="K104" s="12"/>
      <c r="L104" s="12"/>
    </row>
    <row r="105" spans="1:12" s="18" customFormat="1" outlineLevel="2">
      <c r="A105" s="13"/>
      <c r="B105" s="7" t="s">
        <v>19</v>
      </c>
      <c r="C105" s="10" t="s">
        <v>1357</v>
      </c>
      <c r="D105" s="6"/>
      <c r="E105" s="39" t="s">
        <v>18564</v>
      </c>
      <c r="F105" s="36"/>
      <c r="G105" s="10" t="s">
        <v>1357</v>
      </c>
      <c r="H105" s="4" t="str">
        <f t="shared" si="6"/>
        <v>LS-L30-1</v>
      </c>
      <c r="I105" s="37">
        <v>1</v>
      </c>
      <c r="J105" s="12">
        <v>1</v>
      </c>
      <c r="K105" s="12"/>
      <c r="L105" s="12"/>
    </row>
    <row r="106" spans="1:12" s="18" customFormat="1" outlineLevel="2">
      <c r="A106" s="13"/>
      <c r="B106" s="7" t="s">
        <v>19</v>
      </c>
      <c r="C106" s="10" t="s">
        <v>1357</v>
      </c>
      <c r="D106" s="6"/>
      <c r="E106" s="39" t="s">
        <v>18562</v>
      </c>
      <c r="F106" s="36"/>
      <c r="G106" s="10" t="s">
        <v>1357</v>
      </c>
      <c r="H106" s="4" t="str">
        <f t="shared" si="6"/>
        <v>LS-L30-1</v>
      </c>
      <c r="I106" s="37">
        <v>1</v>
      </c>
      <c r="J106" s="12">
        <v>1</v>
      </c>
      <c r="K106" s="12"/>
      <c r="L106" s="12"/>
    </row>
    <row r="107" spans="1:12" s="18" customFormat="1" outlineLevel="2">
      <c r="A107" s="13"/>
      <c r="B107" s="7" t="s">
        <v>19</v>
      </c>
      <c r="C107" s="10" t="s">
        <v>1357</v>
      </c>
      <c r="D107" s="6"/>
      <c r="E107" s="39" t="s">
        <v>3932</v>
      </c>
      <c r="F107" s="36"/>
      <c r="G107" s="10" t="s">
        <v>1357</v>
      </c>
      <c r="H107" s="4" t="str">
        <f t="shared" si="6"/>
        <v>LS-L30-1</v>
      </c>
      <c r="I107" s="37">
        <v>1</v>
      </c>
      <c r="J107" s="12">
        <v>1</v>
      </c>
      <c r="K107" s="12"/>
      <c r="L107" s="12"/>
    </row>
    <row r="108" spans="1:12" ht="3" customHeight="1" outlineLevel="1">
      <c r="A108" s="9"/>
      <c r="B108" s="7"/>
      <c r="C108" s="10"/>
      <c r="D108" s="6"/>
      <c r="E108" s="39"/>
      <c r="F108" s="36"/>
      <c r="G108" s="7"/>
      <c r="H108" s="4"/>
      <c r="I108" s="37"/>
      <c r="J108" s="11"/>
      <c r="K108" s="12"/>
      <c r="L108" s="12"/>
    </row>
    <row r="109" spans="1:12" s="18" customFormat="1" outlineLevel="1">
      <c r="A109" s="6"/>
      <c r="B109" s="6" t="s">
        <v>17999</v>
      </c>
      <c r="C109" s="7"/>
      <c r="D109" s="6"/>
      <c r="E109" s="39"/>
      <c r="F109" s="8"/>
      <c r="G109" s="8"/>
      <c r="H109" s="8"/>
      <c r="I109" s="35"/>
      <c r="J109" s="3"/>
      <c r="K109" s="3"/>
      <c r="L109" s="3"/>
    </row>
    <row r="110" spans="1:12" s="18" customFormat="1" outlineLevel="2">
      <c r="A110" s="13"/>
      <c r="B110" s="7" t="s">
        <v>19</v>
      </c>
      <c r="C110" s="10" t="s">
        <v>2236</v>
      </c>
      <c r="D110" s="6"/>
      <c r="E110" s="39" t="s">
        <v>18890</v>
      </c>
      <c r="F110" s="36"/>
      <c r="G110" s="10" t="s">
        <v>2236</v>
      </c>
      <c r="H110" s="4" t="str">
        <f t="shared" ref="H110:H117" si="7">CONCATENATE("LS-",G110,"-",I110)</f>
        <v>LS-V40-1</v>
      </c>
      <c r="I110" s="37">
        <v>1</v>
      </c>
      <c r="J110" s="12"/>
      <c r="K110" s="12"/>
      <c r="L110" s="12">
        <v>1</v>
      </c>
    </row>
    <row r="111" spans="1:12" s="18" customFormat="1" outlineLevel="2">
      <c r="A111" s="13"/>
      <c r="B111" s="7" t="s">
        <v>19</v>
      </c>
      <c r="C111" s="10" t="s">
        <v>2236</v>
      </c>
      <c r="D111" s="6"/>
      <c r="E111" s="39" t="s">
        <v>18559</v>
      </c>
      <c r="F111" s="36"/>
      <c r="G111" s="10" t="s">
        <v>2236</v>
      </c>
      <c r="H111" s="4" t="str">
        <f t="shared" si="7"/>
        <v>LS-V40-1</v>
      </c>
      <c r="I111" s="37">
        <v>1</v>
      </c>
      <c r="J111" s="12"/>
      <c r="K111" s="12"/>
      <c r="L111" s="12">
        <v>1</v>
      </c>
    </row>
    <row r="112" spans="1:12" s="18" customFormat="1" outlineLevel="2">
      <c r="A112" s="13"/>
      <c r="B112" s="7" t="s">
        <v>19</v>
      </c>
      <c r="C112" s="10" t="s">
        <v>2236</v>
      </c>
      <c r="D112" s="6"/>
      <c r="E112" s="39" t="s">
        <v>18560</v>
      </c>
      <c r="F112" s="36"/>
      <c r="G112" s="10" t="s">
        <v>2236</v>
      </c>
      <c r="H112" s="4" t="str">
        <f t="shared" si="7"/>
        <v>LS-V40-1</v>
      </c>
      <c r="I112" s="37">
        <v>1</v>
      </c>
      <c r="J112" s="12"/>
      <c r="K112" s="12"/>
      <c r="L112" s="12">
        <v>1</v>
      </c>
    </row>
    <row r="113" spans="2:12" s="18" customFormat="1" outlineLevel="2">
      <c r="B113" s="7" t="s">
        <v>19</v>
      </c>
      <c r="C113" s="10" t="s">
        <v>2236</v>
      </c>
      <c r="D113" s="6"/>
      <c r="E113" s="39" t="s">
        <v>18891</v>
      </c>
      <c r="F113" s="36"/>
      <c r="G113" s="10" t="s">
        <v>2236</v>
      </c>
      <c r="H113" s="4" t="str">
        <f t="shared" si="7"/>
        <v>LS-V40-1</v>
      </c>
      <c r="I113" s="37">
        <v>1</v>
      </c>
      <c r="J113" s="12"/>
      <c r="K113" s="12"/>
      <c r="L113" s="12">
        <v>1</v>
      </c>
    </row>
    <row r="114" spans="2:12" s="18" customFormat="1" outlineLevel="2">
      <c r="B114" s="7" t="s">
        <v>19</v>
      </c>
      <c r="C114" s="10" t="s">
        <v>2236</v>
      </c>
      <c r="D114" s="6"/>
      <c r="E114" s="39" t="s">
        <v>18892</v>
      </c>
      <c r="F114" s="36"/>
      <c r="G114" s="10" t="s">
        <v>2236</v>
      </c>
      <c r="H114" s="4" t="str">
        <f t="shared" si="7"/>
        <v>LS-V40-1</v>
      </c>
      <c r="I114" s="37">
        <v>1</v>
      </c>
      <c r="J114" s="12"/>
      <c r="K114" s="12"/>
      <c r="L114" s="12">
        <v>1</v>
      </c>
    </row>
    <row r="115" spans="2:12" s="18" customFormat="1" outlineLevel="2">
      <c r="B115" s="7" t="s">
        <v>19</v>
      </c>
      <c r="C115" s="10" t="s">
        <v>2236</v>
      </c>
      <c r="D115" s="6"/>
      <c r="E115" s="39" t="s">
        <v>18564</v>
      </c>
      <c r="F115" s="36"/>
      <c r="G115" s="10" t="s">
        <v>2236</v>
      </c>
      <c r="H115" s="4" t="str">
        <f t="shared" si="7"/>
        <v>LS-V40-1</v>
      </c>
      <c r="I115" s="37">
        <v>1</v>
      </c>
      <c r="J115" s="12"/>
      <c r="K115" s="12"/>
      <c r="L115" s="12">
        <v>1</v>
      </c>
    </row>
    <row r="116" spans="2:12" s="18" customFormat="1" outlineLevel="2">
      <c r="B116" s="7" t="s">
        <v>19</v>
      </c>
      <c r="C116" s="10" t="s">
        <v>2236</v>
      </c>
      <c r="D116" s="6"/>
      <c r="E116" s="39" t="s">
        <v>18562</v>
      </c>
      <c r="F116" s="36"/>
      <c r="G116" s="10" t="s">
        <v>2236</v>
      </c>
      <c r="H116" s="4" t="str">
        <f t="shared" si="7"/>
        <v>LS-V40-1</v>
      </c>
      <c r="I116" s="37">
        <v>1</v>
      </c>
      <c r="J116" s="12"/>
      <c r="K116" s="12"/>
      <c r="L116" s="12">
        <v>1</v>
      </c>
    </row>
    <row r="117" spans="2:12" s="18" customFormat="1" outlineLevel="2">
      <c r="B117" s="7" t="s">
        <v>19</v>
      </c>
      <c r="C117" s="10" t="s">
        <v>2236</v>
      </c>
      <c r="D117" s="6"/>
      <c r="E117" s="39" t="s">
        <v>3932</v>
      </c>
      <c r="F117" s="36"/>
      <c r="G117" s="10" t="s">
        <v>2236</v>
      </c>
      <c r="H117" s="4" t="str">
        <f t="shared" si="7"/>
        <v>LS-V40-1</v>
      </c>
      <c r="I117" s="37">
        <v>1</v>
      </c>
      <c r="J117" s="12"/>
      <c r="K117" s="12"/>
      <c r="L117" s="12">
        <v>1</v>
      </c>
    </row>
    <row r="118" spans="2:12" ht="3" customHeight="1" outlineLevel="1">
      <c r="B118" s="7"/>
      <c r="C118" s="10"/>
      <c r="D118" s="6"/>
      <c r="E118" s="39"/>
      <c r="F118" s="36"/>
      <c r="G118" s="7"/>
      <c r="H118" s="4"/>
      <c r="I118" s="37"/>
      <c r="J118" s="11"/>
      <c r="K118" s="12"/>
      <c r="L118" s="12"/>
    </row>
    <row r="119" spans="2:12" s="18" customFormat="1" outlineLevel="1">
      <c r="B119" s="6" t="s">
        <v>18009</v>
      </c>
      <c r="C119" s="7"/>
      <c r="D119" s="6"/>
      <c r="E119" s="39"/>
      <c r="F119" s="8"/>
      <c r="G119" s="8"/>
      <c r="H119" s="8"/>
      <c r="I119" s="35"/>
      <c r="J119" s="3"/>
      <c r="K119" s="3"/>
      <c r="L119" s="3"/>
    </row>
    <row r="120" spans="2:12" s="18" customFormat="1" outlineLevel="2">
      <c r="B120" s="7" t="s">
        <v>19</v>
      </c>
      <c r="C120" s="10" t="s">
        <v>1275</v>
      </c>
      <c r="D120" s="6"/>
      <c r="E120" s="39" t="s">
        <v>18890</v>
      </c>
      <c r="F120" s="36"/>
      <c r="G120" s="10" t="s">
        <v>1275</v>
      </c>
      <c r="H120" s="4" t="str">
        <f t="shared" ref="H120:H126" si="8">CONCATENATE("LS-",G120,"-",I120)</f>
        <v>LS-C20-1</v>
      </c>
      <c r="I120" s="37">
        <v>1</v>
      </c>
      <c r="J120" s="12">
        <v>1</v>
      </c>
      <c r="K120" s="12"/>
      <c r="L120" s="12"/>
    </row>
    <row r="121" spans="2:12" s="18" customFormat="1" outlineLevel="2">
      <c r="B121" s="7" t="s">
        <v>19</v>
      </c>
      <c r="C121" s="10" t="s">
        <v>1275</v>
      </c>
      <c r="D121" s="6"/>
      <c r="E121" s="39" t="s">
        <v>18559</v>
      </c>
      <c r="F121" s="36"/>
      <c r="G121" s="10" t="s">
        <v>1275</v>
      </c>
      <c r="H121" s="4" t="str">
        <f t="shared" si="8"/>
        <v>LS-C20-1</v>
      </c>
      <c r="I121" s="37">
        <v>1</v>
      </c>
      <c r="J121" s="12">
        <v>1</v>
      </c>
      <c r="K121" s="12"/>
      <c r="L121" s="12"/>
    </row>
    <row r="122" spans="2:12" s="18" customFormat="1" outlineLevel="2">
      <c r="B122" s="7" t="s">
        <v>19</v>
      </c>
      <c r="C122" s="10" t="s">
        <v>1275</v>
      </c>
      <c r="D122" s="6"/>
      <c r="E122" s="39" t="s">
        <v>18560</v>
      </c>
      <c r="F122" s="36"/>
      <c r="G122" s="10" t="s">
        <v>1275</v>
      </c>
      <c r="H122" s="4" t="str">
        <f t="shared" si="8"/>
        <v>LS-C20-1</v>
      </c>
      <c r="I122" s="37">
        <v>1</v>
      </c>
      <c r="J122" s="12">
        <v>1</v>
      </c>
      <c r="K122" s="12"/>
      <c r="L122" s="12"/>
    </row>
    <row r="123" spans="2:12" s="18" customFormat="1" outlineLevel="2">
      <c r="B123" s="7" t="s">
        <v>19</v>
      </c>
      <c r="C123" s="10" t="s">
        <v>1275</v>
      </c>
      <c r="D123" s="6"/>
      <c r="E123" s="39" t="s">
        <v>18891</v>
      </c>
      <c r="F123" s="36"/>
      <c r="G123" s="10" t="s">
        <v>1275</v>
      </c>
      <c r="H123" s="4" t="str">
        <f t="shared" si="8"/>
        <v>LS-C20-1</v>
      </c>
      <c r="I123" s="37">
        <v>1</v>
      </c>
      <c r="J123" s="12">
        <v>1</v>
      </c>
      <c r="K123" s="12"/>
      <c r="L123" s="12"/>
    </row>
    <row r="124" spans="2:12" s="18" customFormat="1" outlineLevel="2">
      <c r="B124" s="7" t="s">
        <v>19</v>
      </c>
      <c r="C124" s="10" t="s">
        <v>1275</v>
      </c>
      <c r="D124" s="6"/>
      <c r="E124" s="39" t="s">
        <v>18892</v>
      </c>
      <c r="F124" s="36"/>
      <c r="G124" s="10" t="s">
        <v>1275</v>
      </c>
      <c r="H124" s="4" t="str">
        <f t="shared" si="8"/>
        <v>LS-C20-1</v>
      </c>
      <c r="I124" s="37">
        <v>1</v>
      </c>
      <c r="J124" s="12">
        <v>1</v>
      </c>
      <c r="K124" s="12"/>
      <c r="L124" s="12"/>
    </row>
    <row r="125" spans="2:12" s="18" customFormat="1" outlineLevel="2">
      <c r="B125" s="7" t="s">
        <v>19</v>
      </c>
      <c r="C125" s="10" t="s">
        <v>1275</v>
      </c>
      <c r="D125" s="6"/>
      <c r="E125" s="39" t="s">
        <v>18562</v>
      </c>
      <c r="F125" s="36"/>
      <c r="G125" s="10" t="s">
        <v>1275</v>
      </c>
      <c r="H125" s="4" t="str">
        <f t="shared" si="8"/>
        <v>LS-C20-1</v>
      </c>
      <c r="I125" s="37">
        <v>1</v>
      </c>
      <c r="J125" s="12">
        <v>1</v>
      </c>
      <c r="K125" s="12"/>
      <c r="L125" s="12"/>
    </row>
    <row r="126" spans="2:12" s="18" customFormat="1" outlineLevel="2">
      <c r="B126" s="7" t="s">
        <v>19</v>
      </c>
      <c r="C126" s="10" t="s">
        <v>1275</v>
      </c>
      <c r="D126" s="6"/>
      <c r="E126" s="39" t="s">
        <v>3932</v>
      </c>
      <c r="F126" s="36"/>
      <c r="G126" s="10" t="s">
        <v>1275</v>
      </c>
      <c r="H126" s="4" t="str">
        <f t="shared" si="8"/>
        <v>LS-C20-1</v>
      </c>
      <c r="I126" s="37">
        <v>1</v>
      </c>
      <c r="J126" s="12">
        <v>1</v>
      </c>
      <c r="K126" s="12"/>
      <c r="L126" s="12"/>
    </row>
    <row r="127" spans="2:12" ht="3" customHeight="1" outlineLevel="1">
      <c r="B127" s="7"/>
      <c r="C127" s="10"/>
      <c r="D127" s="6"/>
      <c r="E127" s="39"/>
      <c r="F127" s="36"/>
      <c r="G127" s="7"/>
      <c r="H127" s="4"/>
      <c r="I127" s="37"/>
      <c r="J127" s="11"/>
      <c r="K127" s="12"/>
      <c r="L127" s="12"/>
    </row>
    <row r="128" spans="2:12" s="18" customFormat="1" outlineLevel="1">
      <c r="B128" s="6" t="s">
        <v>18056</v>
      </c>
      <c r="C128" s="7"/>
      <c r="D128" s="6"/>
      <c r="E128" s="39"/>
      <c r="F128" s="8"/>
      <c r="G128" s="8"/>
      <c r="H128" s="8"/>
      <c r="I128" s="35"/>
      <c r="J128" s="3"/>
      <c r="K128" s="3"/>
      <c r="L128" s="3"/>
    </row>
    <row r="129" spans="1:12" s="18" customFormat="1" outlineLevel="2">
      <c r="A129" s="13"/>
      <c r="B129" s="7" t="s">
        <v>19</v>
      </c>
      <c r="C129" s="10" t="s">
        <v>1628</v>
      </c>
      <c r="D129" s="6"/>
      <c r="E129" s="39" t="s">
        <v>18890</v>
      </c>
      <c r="F129" s="36"/>
      <c r="G129" s="10" t="s">
        <v>1628</v>
      </c>
      <c r="H129" s="4" t="str">
        <f t="shared" ref="H129:H136" si="9">CONCATENATE("LS-",G129,"-",I129)</f>
        <v>LS-L45-1</v>
      </c>
      <c r="I129" s="37">
        <v>1</v>
      </c>
      <c r="J129" s="12"/>
      <c r="K129" s="12"/>
      <c r="L129" s="12">
        <v>1</v>
      </c>
    </row>
    <row r="130" spans="1:12" s="18" customFormat="1" outlineLevel="2">
      <c r="A130" s="13"/>
      <c r="B130" s="7" t="s">
        <v>19</v>
      </c>
      <c r="C130" s="10" t="s">
        <v>1628</v>
      </c>
      <c r="D130" s="6"/>
      <c r="E130" s="39" t="s">
        <v>18559</v>
      </c>
      <c r="F130" s="36"/>
      <c r="G130" s="10" t="s">
        <v>1628</v>
      </c>
      <c r="H130" s="4" t="str">
        <f t="shared" si="9"/>
        <v>LS-L45-1</v>
      </c>
      <c r="I130" s="37">
        <v>1</v>
      </c>
      <c r="J130" s="12"/>
      <c r="K130" s="12"/>
      <c r="L130" s="12">
        <v>1</v>
      </c>
    </row>
    <row r="131" spans="1:12" s="18" customFormat="1" outlineLevel="2">
      <c r="A131" s="13"/>
      <c r="B131" s="7" t="s">
        <v>19</v>
      </c>
      <c r="C131" s="10" t="s">
        <v>1628</v>
      </c>
      <c r="D131" s="6"/>
      <c r="E131" s="39" t="s">
        <v>18560</v>
      </c>
      <c r="F131" s="36"/>
      <c r="G131" s="10" t="s">
        <v>1628</v>
      </c>
      <c r="H131" s="4" t="str">
        <f t="shared" si="9"/>
        <v>LS-L45-1</v>
      </c>
      <c r="I131" s="37">
        <v>1</v>
      </c>
      <c r="J131" s="12"/>
      <c r="K131" s="12"/>
      <c r="L131" s="12">
        <v>1</v>
      </c>
    </row>
    <row r="132" spans="1:12" s="18" customFormat="1" outlineLevel="2">
      <c r="A132" s="13"/>
      <c r="B132" s="7" t="s">
        <v>19</v>
      </c>
      <c r="C132" s="10" t="s">
        <v>1628</v>
      </c>
      <c r="D132" s="6"/>
      <c r="E132" s="39" t="s">
        <v>18891</v>
      </c>
      <c r="F132" s="36"/>
      <c r="G132" s="10" t="s">
        <v>1628</v>
      </c>
      <c r="H132" s="4" t="str">
        <f t="shared" si="9"/>
        <v>LS-L45-1</v>
      </c>
      <c r="I132" s="37">
        <v>1</v>
      </c>
      <c r="J132" s="12"/>
      <c r="K132" s="12"/>
      <c r="L132" s="12">
        <v>1</v>
      </c>
    </row>
    <row r="133" spans="1:12" s="18" customFormat="1" outlineLevel="2">
      <c r="A133" s="13"/>
      <c r="B133" s="7" t="s">
        <v>19</v>
      </c>
      <c r="C133" s="10" t="s">
        <v>1628</v>
      </c>
      <c r="D133" s="6"/>
      <c r="E133" s="39" t="s">
        <v>18892</v>
      </c>
      <c r="F133" s="36"/>
      <c r="G133" s="10" t="s">
        <v>1628</v>
      </c>
      <c r="H133" s="4" t="str">
        <f t="shared" si="9"/>
        <v>LS-L45-1</v>
      </c>
      <c r="I133" s="37">
        <v>1</v>
      </c>
      <c r="J133" s="12"/>
      <c r="K133" s="12"/>
      <c r="L133" s="12">
        <v>1</v>
      </c>
    </row>
    <row r="134" spans="1:12" s="18" customFormat="1" outlineLevel="2">
      <c r="A134" s="13"/>
      <c r="B134" s="7" t="s">
        <v>19</v>
      </c>
      <c r="C134" s="10" t="s">
        <v>1628</v>
      </c>
      <c r="D134" s="6"/>
      <c r="E134" s="39" t="s">
        <v>18564</v>
      </c>
      <c r="F134" s="36"/>
      <c r="G134" s="10" t="s">
        <v>1628</v>
      </c>
      <c r="H134" s="4" t="str">
        <f t="shared" si="9"/>
        <v>LS-L45-1</v>
      </c>
      <c r="I134" s="37">
        <v>1</v>
      </c>
      <c r="J134" s="12"/>
      <c r="K134" s="12"/>
      <c r="L134" s="12">
        <v>1</v>
      </c>
    </row>
    <row r="135" spans="1:12" s="18" customFormat="1" outlineLevel="2">
      <c r="A135" s="13"/>
      <c r="B135" s="7" t="s">
        <v>19</v>
      </c>
      <c r="C135" s="10" t="s">
        <v>1628</v>
      </c>
      <c r="D135" s="6"/>
      <c r="E135" s="39" t="s">
        <v>18562</v>
      </c>
      <c r="F135" s="36"/>
      <c r="G135" s="10" t="s">
        <v>1628</v>
      </c>
      <c r="H135" s="4" t="str">
        <f t="shared" si="9"/>
        <v>LS-L45-1</v>
      </c>
      <c r="I135" s="37">
        <v>1</v>
      </c>
      <c r="J135" s="12"/>
      <c r="K135" s="12"/>
      <c r="L135" s="12">
        <v>1</v>
      </c>
    </row>
    <row r="136" spans="1:12" s="18" customFormat="1" outlineLevel="2">
      <c r="A136" s="13"/>
      <c r="B136" s="7" t="s">
        <v>19</v>
      </c>
      <c r="C136" s="10" t="s">
        <v>1628</v>
      </c>
      <c r="D136" s="6"/>
      <c r="E136" s="39" t="s">
        <v>3932</v>
      </c>
      <c r="F136" s="36"/>
      <c r="G136" s="10" t="s">
        <v>1628</v>
      </c>
      <c r="H136" s="4" t="str">
        <f t="shared" si="9"/>
        <v>LS-L45-1</v>
      </c>
      <c r="I136" s="37">
        <v>1</v>
      </c>
      <c r="J136" s="12"/>
      <c r="K136" s="12"/>
      <c r="L136" s="12">
        <v>1</v>
      </c>
    </row>
    <row r="137" spans="1:12" ht="3" customHeight="1">
      <c r="A137" s="9"/>
      <c r="B137" s="7"/>
      <c r="C137" s="10"/>
      <c r="D137" s="6"/>
      <c r="E137" s="39"/>
      <c r="F137" s="36"/>
      <c r="G137" s="7"/>
      <c r="H137" s="4"/>
      <c r="I137" s="37"/>
      <c r="J137" s="11"/>
      <c r="K137" s="12"/>
      <c r="L137" s="12"/>
    </row>
    <row r="138" spans="1:12" s="18" customFormat="1" ht="14.25" customHeight="1">
      <c r="A138" s="21" t="s">
        <v>204</v>
      </c>
      <c r="B138" s="7"/>
      <c r="C138" s="7"/>
      <c r="D138" s="6"/>
      <c r="E138" s="39"/>
      <c r="F138" s="8"/>
      <c r="G138" s="41" t="s">
        <v>261</v>
      </c>
      <c r="H138" s="41" t="s">
        <v>262</v>
      </c>
      <c r="I138" s="42" t="s">
        <v>263</v>
      </c>
      <c r="J138" s="3"/>
      <c r="K138" s="3"/>
      <c r="L138" s="3"/>
    </row>
    <row r="139" spans="1:12" s="18" customFormat="1" ht="14.25" customHeight="1" outlineLevel="1">
      <c r="A139" s="14"/>
      <c r="B139" s="7" t="s">
        <v>19</v>
      </c>
      <c r="C139" s="7" t="s">
        <v>18911</v>
      </c>
      <c r="D139" s="15"/>
      <c r="E139" s="39" t="s">
        <v>18912</v>
      </c>
      <c r="F139" s="36"/>
      <c r="G139" s="10" t="s">
        <v>4396</v>
      </c>
      <c r="H139" s="4" t="str">
        <f t="shared" ref="H139:H151" si="10">CONCATENATE(B139,"-",G139,"-",I139)</f>
        <v>LS-SDV-1</v>
      </c>
      <c r="I139" s="37">
        <v>1</v>
      </c>
      <c r="J139" s="11"/>
      <c r="K139" s="12"/>
      <c r="L139" s="12">
        <v>1</v>
      </c>
    </row>
    <row r="140" spans="1:12" s="18" customFormat="1" ht="14.25" customHeight="1" outlineLevel="1">
      <c r="A140" s="14"/>
      <c r="B140" s="7" t="s">
        <v>19</v>
      </c>
      <c r="C140" s="7" t="s">
        <v>18911</v>
      </c>
      <c r="D140" s="15"/>
      <c r="E140" s="39" t="s">
        <v>18890</v>
      </c>
      <c r="F140" s="36"/>
      <c r="G140" s="10" t="s">
        <v>4396</v>
      </c>
      <c r="H140" s="4" t="str">
        <f t="shared" si="10"/>
        <v>LS-SDV-2</v>
      </c>
      <c r="I140" s="37">
        <v>2</v>
      </c>
      <c r="J140" s="11"/>
      <c r="K140" s="12"/>
      <c r="L140" s="12">
        <v>1</v>
      </c>
    </row>
    <row r="141" spans="1:12" s="18" customFormat="1" ht="14.25" customHeight="1" outlineLevel="1">
      <c r="A141" s="14"/>
      <c r="B141" s="7" t="s">
        <v>19</v>
      </c>
      <c r="C141" s="7" t="s">
        <v>18911</v>
      </c>
      <c r="D141" s="15"/>
      <c r="E141" s="39" t="s">
        <v>18559</v>
      </c>
      <c r="F141" s="36"/>
      <c r="G141" s="10" t="s">
        <v>4396</v>
      </c>
      <c r="H141" s="4" t="str">
        <f t="shared" si="10"/>
        <v>LS-SDV-1</v>
      </c>
      <c r="I141" s="37">
        <v>1</v>
      </c>
      <c r="J141" s="11"/>
      <c r="K141" s="12"/>
      <c r="L141" s="12">
        <v>1</v>
      </c>
    </row>
    <row r="142" spans="1:12" s="18" customFormat="1" ht="14.25" customHeight="1" outlineLevel="1">
      <c r="A142" s="14"/>
      <c r="B142" s="7" t="s">
        <v>19</v>
      </c>
      <c r="C142" s="7" t="s">
        <v>18911</v>
      </c>
      <c r="D142" s="15"/>
      <c r="E142" s="39" t="s">
        <v>18913</v>
      </c>
      <c r="F142" s="36"/>
      <c r="G142" s="10" t="s">
        <v>4396</v>
      </c>
      <c r="H142" s="4" t="str">
        <f t="shared" si="10"/>
        <v>LS-SDV-2</v>
      </c>
      <c r="I142" s="37">
        <v>2</v>
      </c>
      <c r="J142" s="11"/>
      <c r="K142" s="12"/>
      <c r="L142" s="12">
        <v>1</v>
      </c>
    </row>
    <row r="143" spans="1:12" s="18" customFormat="1" ht="14.25" customHeight="1" outlineLevel="1">
      <c r="A143" s="14"/>
      <c r="B143" s="7" t="s">
        <v>19</v>
      </c>
      <c r="C143" s="7" t="s">
        <v>18911</v>
      </c>
      <c r="D143" s="15"/>
      <c r="E143" s="39" t="s">
        <v>18560</v>
      </c>
      <c r="F143" s="36"/>
      <c r="G143" s="10" t="s">
        <v>4396</v>
      </c>
      <c r="H143" s="4" t="str">
        <f t="shared" si="10"/>
        <v>LS-SDV-2</v>
      </c>
      <c r="I143" s="37">
        <v>2</v>
      </c>
      <c r="J143" s="11"/>
      <c r="K143" s="12"/>
      <c r="L143" s="12">
        <v>1</v>
      </c>
    </row>
    <row r="144" spans="1:12" s="18" customFormat="1" outlineLevel="1">
      <c r="A144" s="14"/>
      <c r="B144" s="7" t="s">
        <v>19</v>
      </c>
      <c r="C144" s="7" t="s">
        <v>18911</v>
      </c>
      <c r="D144" s="15"/>
      <c r="E144" s="39" t="s">
        <v>18891</v>
      </c>
      <c r="F144" s="36"/>
      <c r="G144" s="10" t="s">
        <v>4396</v>
      </c>
      <c r="H144" s="4" t="str">
        <f t="shared" si="10"/>
        <v>LS-SDV-1</v>
      </c>
      <c r="I144" s="37">
        <v>1</v>
      </c>
      <c r="J144" s="11"/>
      <c r="K144" s="12"/>
      <c r="L144" s="12">
        <v>1</v>
      </c>
    </row>
    <row r="145" spans="1:12" s="18" customFormat="1" ht="14.25" customHeight="1" outlineLevel="1">
      <c r="A145" s="14"/>
      <c r="B145" s="7" t="s">
        <v>19</v>
      </c>
      <c r="C145" s="7" t="s">
        <v>18911</v>
      </c>
      <c r="D145" s="15"/>
      <c r="E145" s="39" t="s">
        <v>18892</v>
      </c>
      <c r="F145" s="36"/>
      <c r="G145" s="10" t="s">
        <v>4396</v>
      </c>
      <c r="H145" s="4" t="str">
        <f t="shared" si="10"/>
        <v>LS-SDV-1</v>
      </c>
      <c r="I145" s="37">
        <v>1</v>
      </c>
      <c r="J145" s="11"/>
      <c r="K145" s="12"/>
      <c r="L145" s="12">
        <v>1</v>
      </c>
    </row>
    <row r="146" spans="1:12" s="18" customFormat="1" ht="14.25" customHeight="1" outlineLevel="1">
      <c r="A146" s="14"/>
      <c r="B146" s="7" t="s">
        <v>19</v>
      </c>
      <c r="C146" s="7" t="s">
        <v>18911</v>
      </c>
      <c r="D146" s="15"/>
      <c r="E146" s="39" t="s">
        <v>18914</v>
      </c>
      <c r="F146" s="36"/>
      <c r="G146" s="10" t="s">
        <v>4396</v>
      </c>
      <c r="H146" s="4" t="str">
        <f t="shared" si="10"/>
        <v>LS-SDV-1</v>
      </c>
      <c r="I146" s="37">
        <v>1</v>
      </c>
      <c r="J146" s="11"/>
      <c r="K146" s="12"/>
      <c r="L146" s="12">
        <v>1</v>
      </c>
    </row>
    <row r="147" spans="1:12" s="18" customFormat="1" ht="14.25" customHeight="1" outlineLevel="1">
      <c r="A147" s="14"/>
      <c r="B147" s="7" t="s">
        <v>19</v>
      </c>
      <c r="C147" s="7" t="s">
        <v>18911</v>
      </c>
      <c r="D147" s="15"/>
      <c r="E147" s="39" t="s">
        <v>18564</v>
      </c>
      <c r="F147" s="36"/>
      <c r="G147" s="10" t="s">
        <v>4396</v>
      </c>
      <c r="H147" s="4" t="str">
        <f t="shared" si="10"/>
        <v>LS-SDV-9</v>
      </c>
      <c r="I147" s="37">
        <v>9</v>
      </c>
      <c r="J147" s="11"/>
      <c r="K147" s="12"/>
      <c r="L147" s="12">
        <v>1</v>
      </c>
    </row>
    <row r="148" spans="1:12" s="18" customFormat="1" ht="14.25" customHeight="1" outlineLevel="1">
      <c r="A148" s="14"/>
      <c r="B148" s="7" t="s">
        <v>19</v>
      </c>
      <c r="C148" s="7" t="s">
        <v>18911</v>
      </c>
      <c r="D148" s="15"/>
      <c r="E148" s="39" t="s">
        <v>18562</v>
      </c>
      <c r="F148" s="36"/>
      <c r="G148" s="10" t="s">
        <v>4396</v>
      </c>
      <c r="H148" s="4" t="str">
        <f t="shared" si="10"/>
        <v>LS-SDV-9</v>
      </c>
      <c r="I148" s="37">
        <v>9</v>
      </c>
      <c r="J148" s="11"/>
      <c r="K148" s="12"/>
      <c r="L148" s="12">
        <v>1</v>
      </c>
    </row>
    <row r="149" spans="1:12" s="18" customFormat="1" ht="14.25" customHeight="1" outlineLevel="1">
      <c r="A149" s="14"/>
      <c r="B149" s="7" t="s">
        <v>19</v>
      </c>
      <c r="C149" s="7" t="s">
        <v>18911</v>
      </c>
      <c r="D149" s="15"/>
      <c r="E149" s="39" t="s">
        <v>3932</v>
      </c>
      <c r="F149" s="36"/>
      <c r="G149" s="10" t="s">
        <v>4396</v>
      </c>
      <c r="H149" s="4" t="str">
        <f t="shared" si="10"/>
        <v>LS-SDV-2</v>
      </c>
      <c r="I149" s="37">
        <v>2</v>
      </c>
      <c r="J149" s="11"/>
      <c r="K149" s="12"/>
      <c r="L149" s="12">
        <v>1</v>
      </c>
    </row>
    <row r="150" spans="1:12" s="18" customFormat="1" ht="14.25" customHeight="1" outlineLevel="1">
      <c r="A150" s="14"/>
      <c r="B150" s="7" t="s">
        <v>19</v>
      </c>
      <c r="C150" s="7" t="s">
        <v>18911</v>
      </c>
      <c r="D150" s="15"/>
      <c r="E150" s="39" t="s">
        <v>18915</v>
      </c>
      <c r="F150" s="36"/>
      <c r="G150" s="10" t="s">
        <v>4396</v>
      </c>
      <c r="H150" s="4" t="str">
        <f t="shared" si="10"/>
        <v>LS-SDV-9</v>
      </c>
      <c r="I150" s="37">
        <v>9</v>
      </c>
      <c r="J150" s="11"/>
      <c r="K150" s="12"/>
      <c r="L150" s="12">
        <v>1</v>
      </c>
    </row>
    <row r="151" spans="1:12" s="18" customFormat="1" ht="14.25" customHeight="1" outlineLevel="1">
      <c r="A151" s="14"/>
      <c r="B151" s="7" t="s">
        <v>19</v>
      </c>
      <c r="C151" s="7" t="s">
        <v>18911</v>
      </c>
      <c r="D151" s="15"/>
      <c r="E151" s="39" t="s">
        <v>18916</v>
      </c>
      <c r="F151" s="36"/>
      <c r="G151" s="10" t="s">
        <v>4396</v>
      </c>
      <c r="H151" s="4" t="str">
        <f t="shared" si="10"/>
        <v>LS-SDV-9</v>
      </c>
      <c r="I151" s="37">
        <v>9</v>
      </c>
      <c r="J151" s="11"/>
      <c r="K151" s="12"/>
      <c r="L151" s="12">
        <v>1</v>
      </c>
    </row>
    <row r="152" spans="1:12" ht="3" customHeight="1">
      <c r="A152" s="9"/>
      <c r="B152" s="7"/>
      <c r="C152" s="10"/>
      <c r="D152" s="6"/>
      <c r="E152" s="39"/>
      <c r="F152" s="36"/>
      <c r="G152" s="7"/>
      <c r="H152" s="4"/>
      <c r="I152" s="37"/>
      <c r="J152" s="11"/>
      <c r="K152" s="12"/>
      <c r="L152" s="12"/>
    </row>
    <row r="153" spans="1:12" s="18" customFormat="1" ht="14.25" customHeight="1">
      <c r="A153" s="21" t="s">
        <v>29</v>
      </c>
      <c r="B153" s="7"/>
      <c r="C153" s="7"/>
      <c r="D153" s="6"/>
      <c r="E153" s="39"/>
      <c r="F153" s="8"/>
      <c r="G153" s="41" t="s">
        <v>261</v>
      </c>
      <c r="H153" s="41" t="s">
        <v>262</v>
      </c>
      <c r="I153" s="42" t="s">
        <v>263</v>
      </c>
      <c r="J153" s="3"/>
      <c r="K153" s="3"/>
      <c r="L153" s="3"/>
    </row>
    <row r="154" spans="1:12" s="18" customFormat="1" ht="14.25" customHeight="1" outlineLevel="1">
      <c r="A154" s="14"/>
      <c r="B154" s="7" t="s">
        <v>19</v>
      </c>
      <c r="C154" s="7" t="s">
        <v>18917</v>
      </c>
      <c r="D154" s="15"/>
      <c r="E154" s="39" t="s">
        <v>18918</v>
      </c>
      <c r="F154" s="36"/>
      <c r="G154" s="10" t="s">
        <v>4628</v>
      </c>
      <c r="H154" s="4" t="str">
        <f t="shared" ref="H154:H160" si="11">CONCATENATE(B154,"-",G154,"-",I154)</f>
        <v>LS-AMN-2</v>
      </c>
      <c r="I154" s="37">
        <v>2</v>
      </c>
      <c r="J154" s="11"/>
      <c r="K154" s="12"/>
      <c r="L154" s="12">
        <v>1</v>
      </c>
    </row>
    <row r="155" spans="1:12" s="18" customFormat="1" ht="14.25" customHeight="1" outlineLevel="1">
      <c r="A155" s="14"/>
      <c r="B155" s="7" t="s">
        <v>19</v>
      </c>
      <c r="C155" s="7" t="s">
        <v>18917</v>
      </c>
      <c r="D155" s="15"/>
      <c r="E155" s="39" t="s">
        <v>18919</v>
      </c>
      <c r="F155" s="36"/>
      <c r="G155" s="10" t="s">
        <v>4628</v>
      </c>
      <c r="H155" s="4" t="str">
        <f t="shared" si="11"/>
        <v>LS-AMN-2</v>
      </c>
      <c r="I155" s="37">
        <v>2</v>
      </c>
      <c r="J155" s="11"/>
      <c r="K155" s="12"/>
      <c r="L155" s="12">
        <v>1</v>
      </c>
    </row>
    <row r="156" spans="1:12" s="18" customFormat="1" ht="14.25" customHeight="1" outlineLevel="1">
      <c r="A156" s="14"/>
      <c r="B156" s="7" t="s">
        <v>19</v>
      </c>
      <c r="C156" s="7" t="s">
        <v>18917</v>
      </c>
      <c r="D156" s="15"/>
      <c r="E156" s="39" t="s">
        <v>18920</v>
      </c>
      <c r="F156" s="36"/>
      <c r="G156" s="10" t="s">
        <v>4628</v>
      </c>
      <c r="H156" s="4" t="str">
        <f t="shared" si="11"/>
        <v>LS-AMN-3</v>
      </c>
      <c r="I156" s="37">
        <v>3</v>
      </c>
      <c r="J156" s="11"/>
      <c r="K156" s="12"/>
      <c r="L156" s="12">
        <v>1</v>
      </c>
    </row>
    <row r="157" spans="1:12" s="18" customFormat="1" ht="14.25" customHeight="1" outlineLevel="1">
      <c r="A157" s="14"/>
      <c r="B157" s="7" t="s">
        <v>19</v>
      </c>
      <c r="C157" s="7" t="s">
        <v>4628</v>
      </c>
      <c r="D157" s="15"/>
      <c r="E157" s="39" t="s">
        <v>18921</v>
      </c>
      <c r="F157" s="36"/>
      <c r="G157" s="10" t="s">
        <v>4628</v>
      </c>
      <c r="H157" s="4" t="str">
        <f t="shared" si="11"/>
        <v>LS-AMN-4</v>
      </c>
      <c r="I157" s="37">
        <v>4</v>
      </c>
      <c r="J157" s="11"/>
      <c r="K157" s="11"/>
      <c r="L157" s="12">
        <v>1</v>
      </c>
    </row>
    <row r="158" spans="1:12" s="18" customFormat="1" ht="14.25" customHeight="1" outlineLevel="1">
      <c r="A158" s="14"/>
      <c r="B158" s="7" t="s">
        <v>19</v>
      </c>
      <c r="C158" s="7" t="s">
        <v>4628</v>
      </c>
      <c r="D158" s="15"/>
      <c r="E158" s="39" t="s">
        <v>18922</v>
      </c>
      <c r="F158" s="36"/>
      <c r="G158" s="10" t="s">
        <v>4628</v>
      </c>
      <c r="H158" s="4" t="str">
        <f t="shared" si="11"/>
        <v>LS-AMN-4</v>
      </c>
      <c r="I158" s="37">
        <v>4</v>
      </c>
      <c r="J158" s="11"/>
      <c r="K158" s="12"/>
      <c r="L158" s="12">
        <v>1</v>
      </c>
    </row>
    <row r="159" spans="1:12" s="18" customFormat="1" ht="14.25" customHeight="1" outlineLevel="1">
      <c r="A159" s="14"/>
      <c r="B159" s="7" t="s">
        <v>19</v>
      </c>
      <c r="C159" s="7" t="s">
        <v>4628</v>
      </c>
      <c r="D159" s="15"/>
      <c r="E159" s="39" t="s">
        <v>18923</v>
      </c>
      <c r="F159" s="36"/>
      <c r="G159" s="10" t="s">
        <v>4628</v>
      </c>
      <c r="H159" s="4" t="str">
        <f t="shared" si="11"/>
        <v>LS-AMN-4</v>
      </c>
      <c r="I159" s="37">
        <v>4</v>
      </c>
      <c r="J159" s="11"/>
      <c r="K159" s="12"/>
      <c r="L159" s="12">
        <v>1</v>
      </c>
    </row>
    <row r="160" spans="1:12" s="18" customFormat="1" ht="14.25" customHeight="1" outlineLevel="1">
      <c r="A160" s="14"/>
      <c r="B160" s="7" t="s">
        <v>19</v>
      </c>
      <c r="C160" s="7" t="s">
        <v>4628</v>
      </c>
      <c r="D160" s="15"/>
      <c r="E160" s="39" t="s">
        <v>18924</v>
      </c>
      <c r="F160" s="36"/>
      <c r="G160" s="10" t="s">
        <v>4628</v>
      </c>
      <c r="H160" s="4" t="str">
        <f t="shared" si="11"/>
        <v>LS-AMN-4</v>
      </c>
      <c r="I160" s="37">
        <v>4</v>
      </c>
      <c r="J160" s="11"/>
      <c r="K160" s="12"/>
      <c r="L160" s="12">
        <v>1</v>
      </c>
    </row>
  </sheetData>
  <mergeCells count="6">
    <mergeCell ref="Y2:Y4"/>
    <mergeCell ref="G2:G4"/>
    <mergeCell ref="H2:H4"/>
    <mergeCell ref="I2:I4"/>
    <mergeCell ref="J2:K2"/>
    <mergeCell ref="L2:L4"/>
  </mergeCells>
  <conditionalFormatting sqref="K161:N1048576 K63 K139:K151 K129:K136 K120:N126 K6:N8 K10:N10 K13 K26 K29 K42:N42 K45 K58:N58 K88:N97 K100:K107 K156:K160">
    <cfRule type="iconSet" priority="652">
      <iconSet iconSet="3Symbols2" showValue="0">
        <cfvo type="percent" val="0"/>
        <cfvo type="num" val="0"/>
        <cfvo type="num" val="0"/>
      </iconSet>
    </cfRule>
  </conditionalFormatting>
  <conditionalFormatting sqref="K110:K117">
    <cfRule type="iconSet" priority="651">
      <iconSet iconSet="3Symbols2" showValue="0">
        <cfvo type="percent" val="0"/>
        <cfvo type="num" val="0"/>
        <cfvo type="num" val="0"/>
      </iconSet>
    </cfRule>
  </conditionalFormatting>
  <conditionalFormatting sqref="K9:N9">
    <cfRule type="iconSet" priority="650">
      <iconSet iconSet="3Symbols2" showValue="0">
        <cfvo type="percent" val="0"/>
        <cfvo type="num" val="0"/>
        <cfvo type="num" val="0"/>
      </iconSet>
    </cfRule>
  </conditionalFormatting>
  <conditionalFormatting sqref="K12:N12">
    <cfRule type="iconSet" priority="649">
      <iconSet iconSet="3Symbols2" showValue="0">
        <cfvo type="percent" val="0"/>
        <cfvo type="num" val="0"/>
        <cfvo type="num" val="0"/>
      </iconSet>
    </cfRule>
  </conditionalFormatting>
  <conditionalFormatting sqref="K25:N25">
    <cfRule type="iconSet" priority="648">
      <iconSet iconSet="3Symbols2" showValue="0">
        <cfvo type="percent" val="0"/>
        <cfvo type="num" val="0"/>
        <cfvo type="num" val="0"/>
      </iconSet>
    </cfRule>
  </conditionalFormatting>
  <conditionalFormatting sqref="K28:N28">
    <cfRule type="iconSet" priority="647">
      <iconSet iconSet="3Symbols2" showValue="0">
        <cfvo type="percent" val="0"/>
        <cfvo type="num" val="0"/>
        <cfvo type="num" val="0"/>
      </iconSet>
    </cfRule>
  </conditionalFormatting>
  <conditionalFormatting sqref="K41:N41">
    <cfRule type="iconSet" priority="646">
      <iconSet iconSet="3Symbols2" showValue="0">
        <cfvo type="percent" val="0"/>
        <cfvo type="num" val="0"/>
        <cfvo type="num" val="0"/>
      </iconSet>
    </cfRule>
  </conditionalFormatting>
  <conditionalFormatting sqref="K44:N44">
    <cfRule type="iconSet" priority="645">
      <iconSet iconSet="3Symbols2" showValue="0">
        <cfvo type="percent" val="0"/>
        <cfvo type="num" val="0"/>
        <cfvo type="num" val="0"/>
      </iconSet>
    </cfRule>
  </conditionalFormatting>
  <conditionalFormatting sqref="K57:N57">
    <cfRule type="iconSet" priority="644">
      <iconSet iconSet="3Symbols2" showValue="0">
        <cfvo type="percent" val="0"/>
        <cfvo type="num" val="0"/>
        <cfvo type="num" val="0"/>
      </iconSet>
    </cfRule>
  </conditionalFormatting>
  <conditionalFormatting sqref="K87:N87">
    <cfRule type="iconSet" priority="643">
      <iconSet iconSet="3Symbols2" showValue="0">
        <cfvo type="percent" val="0"/>
        <cfvo type="num" val="0"/>
        <cfvo type="num" val="0"/>
      </iconSet>
    </cfRule>
  </conditionalFormatting>
  <conditionalFormatting sqref="K99:N99">
    <cfRule type="iconSet" priority="642">
      <iconSet iconSet="3Symbols2" showValue="0">
        <cfvo type="percent" val="0"/>
        <cfvo type="num" val="0"/>
        <cfvo type="num" val="0"/>
      </iconSet>
    </cfRule>
  </conditionalFormatting>
  <conditionalFormatting sqref="K109:N109">
    <cfRule type="iconSet" priority="641">
      <iconSet iconSet="3Symbols2" showValue="0">
        <cfvo type="percent" val="0"/>
        <cfvo type="num" val="0"/>
        <cfvo type="num" val="0"/>
      </iconSet>
    </cfRule>
  </conditionalFormatting>
  <conditionalFormatting sqref="K119:N119">
    <cfRule type="iconSet" priority="640">
      <iconSet iconSet="3Symbols2" showValue="0">
        <cfvo type="percent" val="0"/>
        <cfvo type="num" val="0"/>
        <cfvo type="num" val="0"/>
      </iconSet>
    </cfRule>
  </conditionalFormatting>
  <conditionalFormatting sqref="K128:N128">
    <cfRule type="iconSet" priority="639">
      <iconSet iconSet="3Symbols2" showValue="0">
        <cfvo type="percent" val="0"/>
        <cfvo type="num" val="0"/>
        <cfvo type="num" val="0"/>
      </iconSet>
    </cfRule>
  </conditionalFormatting>
  <conditionalFormatting sqref="K62:N62">
    <cfRule type="iconSet" priority="638">
      <iconSet iconSet="3Symbols2" showValue="0">
        <cfvo type="percent" val="0"/>
        <cfvo type="num" val="0"/>
        <cfvo type="num" val="0"/>
      </iconSet>
    </cfRule>
  </conditionalFormatting>
  <conditionalFormatting sqref="K138:N138">
    <cfRule type="iconSet" priority="637">
      <iconSet iconSet="3Symbols2" showValue="0">
        <cfvo type="percent" val="0"/>
        <cfvo type="num" val="0"/>
        <cfvo type="num" val="0"/>
      </iconSet>
    </cfRule>
  </conditionalFormatting>
  <conditionalFormatting sqref="K153:N153">
    <cfRule type="iconSet" priority="636">
      <iconSet iconSet="3Symbols2" showValue="0">
        <cfvo type="percent" val="0"/>
        <cfvo type="num" val="0"/>
        <cfvo type="num" val="0"/>
      </iconSet>
    </cfRule>
  </conditionalFormatting>
  <conditionalFormatting sqref="Y156:Y1048576 Y63 Y139:Y151 Y129:Y136 Y120:Y126 Y6:Y8 Y10 Y13 Y26 Y29 Y42 Y45 Y58 Y88:Y97 Y100:Y107">
    <cfRule type="iconSet" priority="635">
      <iconSet iconSet="3Symbols2" showValue="0">
        <cfvo type="percent" val="0"/>
        <cfvo type="num" val="0"/>
        <cfvo type="num" val="0"/>
      </iconSet>
    </cfRule>
  </conditionalFormatting>
  <conditionalFormatting sqref="Y110:Y117">
    <cfRule type="iconSet" priority="634">
      <iconSet iconSet="3Symbols2" showValue="0">
        <cfvo type="percent" val="0"/>
        <cfvo type="num" val="0"/>
        <cfvo type="num" val="0"/>
      </iconSet>
    </cfRule>
  </conditionalFormatting>
  <conditionalFormatting sqref="Y9">
    <cfRule type="iconSet" priority="633">
      <iconSet iconSet="3Symbols2" showValue="0">
        <cfvo type="percent" val="0"/>
        <cfvo type="num" val="0"/>
        <cfvo type="num" val="0"/>
      </iconSet>
    </cfRule>
  </conditionalFormatting>
  <conditionalFormatting sqref="Y12">
    <cfRule type="iconSet" priority="632">
      <iconSet iconSet="3Symbols2" showValue="0">
        <cfvo type="percent" val="0"/>
        <cfvo type="num" val="0"/>
        <cfvo type="num" val="0"/>
      </iconSet>
    </cfRule>
  </conditionalFormatting>
  <conditionalFormatting sqref="Y25">
    <cfRule type="iconSet" priority="631">
      <iconSet iconSet="3Symbols2" showValue="0">
        <cfvo type="percent" val="0"/>
        <cfvo type="num" val="0"/>
        <cfvo type="num" val="0"/>
      </iconSet>
    </cfRule>
  </conditionalFormatting>
  <conditionalFormatting sqref="Y28">
    <cfRule type="iconSet" priority="630">
      <iconSet iconSet="3Symbols2" showValue="0">
        <cfvo type="percent" val="0"/>
        <cfvo type="num" val="0"/>
        <cfvo type="num" val="0"/>
      </iconSet>
    </cfRule>
  </conditionalFormatting>
  <conditionalFormatting sqref="Y41">
    <cfRule type="iconSet" priority="629">
      <iconSet iconSet="3Symbols2" showValue="0">
        <cfvo type="percent" val="0"/>
        <cfvo type="num" val="0"/>
        <cfvo type="num" val="0"/>
      </iconSet>
    </cfRule>
  </conditionalFormatting>
  <conditionalFormatting sqref="Y44">
    <cfRule type="iconSet" priority="628">
      <iconSet iconSet="3Symbols2" showValue="0">
        <cfvo type="percent" val="0"/>
        <cfvo type="num" val="0"/>
        <cfvo type="num" val="0"/>
      </iconSet>
    </cfRule>
  </conditionalFormatting>
  <conditionalFormatting sqref="Y57">
    <cfRule type="iconSet" priority="627">
      <iconSet iconSet="3Symbols2" showValue="0">
        <cfvo type="percent" val="0"/>
        <cfvo type="num" val="0"/>
        <cfvo type="num" val="0"/>
      </iconSet>
    </cfRule>
  </conditionalFormatting>
  <conditionalFormatting sqref="Y87">
    <cfRule type="iconSet" priority="626">
      <iconSet iconSet="3Symbols2" showValue="0">
        <cfvo type="percent" val="0"/>
        <cfvo type="num" val="0"/>
        <cfvo type="num" val="0"/>
      </iconSet>
    </cfRule>
  </conditionalFormatting>
  <conditionalFormatting sqref="Y99">
    <cfRule type="iconSet" priority="625">
      <iconSet iconSet="3Symbols2" showValue="0">
        <cfvo type="percent" val="0"/>
        <cfvo type="num" val="0"/>
        <cfvo type="num" val="0"/>
      </iconSet>
    </cfRule>
  </conditionalFormatting>
  <conditionalFormatting sqref="Y109">
    <cfRule type="iconSet" priority="624">
      <iconSet iconSet="3Symbols2" showValue="0">
        <cfvo type="percent" val="0"/>
        <cfvo type="num" val="0"/>
        <cfvo type="num" val="0"/>
      </iconSet>
    </cfRule>
  </conditionalFormatting>
  <conditionalFormatting sqref="Y119">
    <cfRule type="iconSet" priority="623">
      <iconSet iconSet="3Symbols2" showValue="0">
        <cfvo type="percent" val="0"/>
        <cfvo type="num" val="0"/>
        <cfvo type="num" val="0"/>
      </iconSet>
    </cfRule>
  </conditionalFormatting>
  <conditionalFormatting sqref="Y128">
    <cfRule type="iconSet" priority="622">
      <iconSet iconSet="3Symbols2" showValue="0">
        <cfvo type="percent" val="0"/>
        <cfvo type="num" val="0"/>
        <cfvo type="num" val="0"/>
      </iconSet>
    </cfRule>
  </conditionalFormatting>
  <conditionalFormatting sqref="Y62">
    <cfRule type="iconSet" priority="621">
      <iconSet iconSet="3Symbols2" showValue="0">
        <cfvo type="percent" val="0"/>
        <cfvo type="num" val="0"/>
        <cfvo type="num" val="0"/>
      </iconSet>
    </cfRule>
  </conditionalFormatting>
  <conditionalFormatting sqref="Y138">
    <cfRule type="iconSet" priority="620">
      <iconSet iconSet="3Symbols2" showValue="0">
        <cfvo type="percent" val="0"/>
        <cfvo type="num" val="0"/>
        <cfvo type="num" val="0"/>
      </iconSet>
    </cfRule>
  </conditionalFormatting>
  <conditionalFormatting sqref="Y153">
    <cfRule type="iconSet" priority="619">
      <iconSet iconSet="3Symbols2" showValue="0">
        <cfvo type="percent" val="0"/>
        <cfvo type="num" val="0"/>
        <cfvo type="num" val="0"/>
      </iconSet>
    </cfRule>
  </conditionalFormatting>
  <conditionalFormatting sqref="K86:N86">
    <cfRule type="iconSet" priority="618">
      <iconSet iconSet="3Symbols2" showValue="0">
        <cfvo type="percent" val="0"/>
        <cfvo type="num" val="0"/>
        <cfvo type="num" val="0"/>
      </iconSet>
    </cfRule>
  </conditionalFormatting>
  <conditionalFormatting sqref="Y86">
    <cfRule type="iconSet" priority="617">
      <iconSet iconSet="3Symbols2" showValue="0">
        <cfvo type="percent" val="0"/>
        <cfvo type="num" val="0"/>
        <cfvo type="num" val="0"/>
      </iconSet>
    </cfRule>
  </conditionalFormatting>
  <conditionalFormatting sqref="K1:N1 K5:N5 J1:J5 L2:N4 Y2">
    <cfRule type="iconSet" priority="616">
      <iconSet iconSet="3Symbols2" showValue="0">
        <cfvo type="percent" val="0"/>
        <cfvo type="num" val="0"/>
        <cfvo type="num" val="1"/>
      </iconSet>
    </cfRule>
  </conditionalFormatting>
  <conditionalFormatting sqref="J156:J1048576 J63 J139:J151 J129:J136 J120:J126 J26 J29 J45 J88:J97 J6">
    <cfRule type="iconSet" priority="653">
      <iconSet iconSet="3Symbols2" showValue="0">
        <cfvo type="percent" val="0"/>
        <cfvo type="num" val="0"/>
        <cfvo type="num" val="0"/>
      </iconSet>
    </cfRule>
  </conditionalFormatting>
  <conditionalFormatting sqref="J110:J117">
    <cfRule type="iconSet" priority="654">
      <iconSet iconSet="3Symbols2" showValue="0">
        <cfvo type="percent" val="0"/>
        <cfvo type="num" val="0"/>
        <cfvo type="num" val="0"/>
      </iconSet>
    </cfRule>
  </conditionalFormatting>
  <conditionalFormatting sqref="J12">
    <cfRule type="iconSet" priority="655">
      <iconSet iconSet="3Symbols2" showValue="0">
        <cfvo type="percent" val="0"/>
        <cfvo type="num" val="0"/>
        <cfvo type="num" val="0"/>
      </iconSet>
    </cfRule>
  </conditionalFormatting>
  <conditionalFormatting sqref="J25">
    <cfRule type="iconSet" priority="656">
      <iconSet iconSet="3Symbols2" showValue="0">
        <cfvo type="percent" val="0"/>
        <cfvo type="num" val="0"/>
        <cfvo type="num" val="0"/>
      </iconSet>
    </cfRule>
  </conditionalFormatting>
  <conditionalFormatting sqref="J28">
    <cfRule type="iconSet" priority="657">
      <iconSet iconSet="3Symbols2" showValue="0">
        <cfvo type="percent" val="0"/>
        <cfvo type="num" val="0"/>
        <cfvo type="num" val="0"/>
      </iconSet>
    </cfRule>
  </conditionalFormatting>
  <conditionalFormatting sqref="J41">
    <cfRule type="iconSet" priority="658">
      <iconSet iconSet="3Symbols2" showValue="0">
        <cfvo type="percent" val="0"/>
        <cfvo type="num" val="0"/>
        <cfvo type="num" val="0"/>
      </iconSet>
    </cfRule>
  </conditionalFormatting>
  <conditionalFormatting sqref="J44">
    <cfRule type="iconSet" priority="659">
      <iconSet iconSet="3Symbols2" showValue="0">
        <cfvo type="percent" val="0"/>
        <cfvo type="num" val="0"/>
        <cfvo type="num" val="0"/>
      </iconSet>
    </cfRule>
  </conditionalFormatting>
  <conditionalFormatting sqref="J57">
    <cfRule type="iconSet" priority="660">
      <iconSet iconSet="3Symbols2" showValue="0">
        <cfvo type="percent" val="0"/>
        <cfvo type="num" val="0"/>
        <cfvo type="num" val="0"/>
      </iconSet>
    </cfRule>
  </conditionalFormatting>
  <conditionalFormatting sqref="J87">
    <cfRule type="iconSet" priority="661">
      <iconSet iconSet="3Symbols2" showValue="0">
        <cfvo type="percent" val="0"/>
        <cfvo type="num" val="0"/>
        <cfvo type="num" val="0"/>
      </iconSet>
    </cfRule>
  </conditionalFormatting>
  <conditionalFormatting sqref="J99">
    <cfRule type="iconSet" priority="662">
      <iconSet iconSet="3Symbols2" showValue="0">
        <cfvo type="percent" val="0"/>
        <cfvo type="num" val="0"/>
        <cfvo type="num" val="0"/>
      </iconSet>
    </cfRule>
  </conditionalFormatting>
  <conditionalFormatting sqref="J109">
    <cfRule type="iconSet" priority="663">
      <iconSet iconSet="3Symbols2" showValue="0">
        <cfvo type="percent" val="0"/>
        <cfvo type="num" val="0"/>
        <cfvo type="num" val="0"/>
      </iconSet>
    </cfRule>
  </conditionalFormatting>
  <conditionalFormatting sqref="J119">
    <cfRule type="iconSet" priority="664">
      <iconSet iconSet="3Symbols2" showValue="0">
        <cfvo type="percent" val="0"/>
        <cfvo type="num" val="0"/>
        <cfvo type="num" val="0"/>
      </iconSet>
    </cfRule>
  </conditionalFormatting>
  <conditionalFormatting sqref="J128">
    <cfRule type="iconSet" priority="665">
      <iconSet iconSet="3Symbols2" showValue="0">
        <cfvo type="percent" val="0"/>
        <cfvo type="num" val="0"/>
        <cfvo type="num" val="0"/>
      </iconSet>
    </cfRule>
  </conditionalFormatting>
  <conditionalFormatting sqref="J62">
    <cfRule type="iconSet" priority="666">
      <iconSet iconSet="3Symbols2" showValue="0">
        <cfvo type="percent" val="0"/>
        <cfvo type="num" val="0"/>
        <cfvo type="num" val="0"/>
      </iconSet>
    </cfRule>
  </conditionalFormatting>
  <conditionalFormatting sqref="J138">
    <cfRule type="iconSet" priority="667">
      <iconSet iconSet="3Symbols2" showValue="0">
        <cfvo type="percent" val="0"/>
        <cfvo type="num" val="0"/>
        <cfvo type="num" val="0"/>
      </iconSet>
    </cfRule>
  </conditionalFormatting>
  <conditionalFormatting sqref="J153">
    <cfRule type="iconSet" priority="668">
      <iconSet iconSet="3Symbols2" showValue="0">
        <cfvo type="percent" val="0"/>
        <cfvo type="num" val="0"/>
        <cfvo type="num" val="0"/>
      </iconSet>
    </cfRule>
  </conditionalFormatting>
  <conditionalFormatting sqref="J86">
    <cfRule type="iconSet" priority="669">
      <iconSet iconSet="3Symbols2" showValue="0">
        <cfvo type="percent" val="0"/>
        <cfvo type="num" val="0"/>
        <cfvo type="num" val="0"/>
      </iconSet>
    </cfRule>
  </conditionalFormatting>
  <conditionalFormatting sqref="K11:N11">
    <cfRule type="iconSet" priority="614">
      <iconSet iconSet="3Symbols2" showValue="0">
        <cfvo type="percent" val="0"/>
        <cfvo type="num" val="0"/>
        <cfvo type="num" val="0"/>
      </iconSet>
    </cfRule>
  </conditionalFormatting>
  <conditionalFormatting sqref="Y11">
    <cfRule type="iconSet" priority="613">
      <iconSet iconSet="3Symbols2" showValue="0">
        <cfvo type="percent" val="0"/>
        <cfvo type="num" val="0"/>
        <cfvo type="num" val="0"/>
      </iconSet>
    </cfRule>
  </conditionalFormatting>
  <conditionalFormatting sqref="J11">
    <cfRule type="iconSet" priority="615">
      <iconSet iconSet="3Symbols2" showValue="0">
        <cfvo type="percent" val="0"/>
        <cfvo type="num" val="0"/>
        <cfvo type="num" val="0"/>
      </iconSet>
    </cfRule>
  </conditionalFormatting>
  <conditionalFormatting sqref="K24:N24">
    <cfRule type="iconSet" priority="611">
      <iconSet iconSet="3Symbols2" showValue="0">
        <cfvo type="percent" val="0"/>
        <cfvo type="num" val="0"/>
        <cfvo type="num" val="0"/>
      </iconSet>
    </cfRule>
  </conditionalFormatting>
  <conditionalFormatting sqref="Y24">
    <cfRule type="iconSet" priority="610">
      <iconSet iconSet="3Symbols2" showValue="0">
        <cfvo type="percent" val="0"/>
        <cfvo type="num" val="0"/>
        <cfvo type="num" val="0"/>
      </iconSet>
    </cfRule>
  </conditionalFormatting>
  <conditionalFormatting sqref="J24">
    <cfRule type="iconSet" priority="612">
      <iconSet iconSet="3Symbols2" showValue="0">
        <cfvo type="percent" val="0"/>
        <cfvo type="num" val="0"/>
        <cfvo type="num" val="0"/>
      </iconSet>
    </cfRule>
  </conditionalFormatting>
  <conditionalFormatting sqref="K27:N27">
    <cfRule type="iconSet" priority="608">
      <iconSet iconSet="3Symbols2" showValue="0">
        <cfvo type="percent" val="0"/>
        <cfvo type="num" val="0"/>
        <cfvo type="num" val="0"/>
      </iconSet>
    </cfRule>
  </conditionalFormatting>
  <conditionalFormatting sqref="Y27">
    <cfRule type="iconSet" priority="607">
      <iconSet iconSet="3Symbols2" showValue="0">
        <cfvo type="percent" val="0"/>
        <cfvo type="num" val="0"/>
        <cfvo type="num" val="0"/>
      </iconSet>
    </cfRule>
  </conditionalFormatting>
  <conditionalFormatting sqref="J27">
    <cfRule type="iconSet" priority="609">
      <iconSet iconSet="3Symbols2" showValue="0">
        <cfvo type="percent" val="0"/>
        <cfvo type="num" val="0"/>
        <cfvo type="num" val="0"/>
      </iconSet>
    </cfRule>
  </conditionalFormatting>
  <conditionalFormatting sqref="K40:N40">
    <cfRule type="iconSet" priority="605">
      <iconSet iconSet="3Symbols2" showValue="0">
        <cfvo type="percent" val="0"/>
        <cfvo type="num" val="0"/>
        <cfvo type="num" val="0"/>
      </iconSet>
    </cfRule>
  </conditionalFormatting>
  <conditionalFormatting sqref="Y40">
    <cfRule type="iconSet" priority="604">
      <iconSet iconSet="3Symbols2" showValue="0">
        <cfvo type="percent" val="0"/>
        <cfvo type="num" val="0"/>
        <cfvo type="num" val="0"/>
      </iconSet>
    </cfRule>
  </conditionalFormatting>
  <conditionalFormatting sqref="J40">
    <cfRule type="iconSet" priority="606">
      <iconSet iconSet="3Symbols2" showValue="0">
        <cfvo type="percent" val="0"/>
        <cfvo type="num" val="0"/>
        <cfvo type="num" val="0"/>
      </iconSet>
    </cfRule>
  </conditionalFormatting>
  <conditionalFormatting sqref="K43:N43">
    <cfRule type="iconSet" priority="602">
      <iconSet iconSet="3Symbols2" showValue="0">
        <cfvo type="percent" val="0"/>
        <cfvo type="num" val="0"/>
        <cfvo type="num" val="0"/>
      </iconSet>
    </cfRule>
  </conditionalFormatting>
  <conditionalFormatting sqref="Y43">
    <cfRule type="iconSet" priority="601">
      <iconSet iconSet="3Symbols2" showValue="0">
        <cfvo type="percent" val="0"/>
        <cfvo type="num" val="0"/>
        <cfvo type="num" val="0"/>
      </iconSet>
    </cfRule>
  </conditionalFormatting>
  <conditionalFormatting sqref="J43">
    <cfRule type="iconSet" priority="603">
      <iconSet iconSet="3Symbols2" showValue="0">
        <cfvo type="percent" val="0"/>
        <cfvo type="num" val="0"/>
        <cfvo type="num" val="0"/>
      </iconSet>
    </cfRule>
  </conditionalFormatting>
  <conditionalFormatting sqref="K56:N56">
    <cfRule type="iconSet" priority="599">
      <iconSet iconSet="3Symbols2" showValue="0">
        <cfvo type="percent" val="0"/>
        <cfvo type="num" val="0"/>
        <cfvo type="num" val="0"/>
      </iconSet>
    </cfRule>
  </conditionalFormatting>
  <conditionalFormatting sqref="Y56">
    <cfRule type="iconSet" priority="598">
      <iconSet iconSet="3Symbols2" showValue="0">
        <cfvo type="percent" val="0"/>
        <cfvo type="num" val="0"/>
        <cfvo type="num" val="0"/>
      </iconSet>
    </cfRule>
  </conditionalFormatting>
  <conditionalFormatting sqref="J56">
    <cfRule type="iconSet" priority="600">
      <iconSet iconSet="3Symbols2" showValue="0">
        <cfvo type="percent" val="0"/>
        <cfvo type="num" val="0"/>
        <cfvo type="num" val="0"/>
      </iconSet>
    </cfRule>
  </conditionalFormatting>
  <conditionalFormatting sqref="K59:N59">
    <cfRule type="iconSet" priority="596">
      <iconSet iconSet="3Symbols2" showValue="0">
        <cfvo type="percent" val="0"/>
        <cfvo type="num" val="0"/>
        <cfvo type="num" val="0"/>
      </iconSet>
    </cfRule>
  </conditionalFormatting>
  <conditionalFormatting sqref="Y59">
    <cfRule type="iconSet" priority="595">
      <iconSet iconSet="3Symbols2" showValue="0">
        <cfvo type="percent" val="0"/>
        <cfvo type="num" val="0"/>
        <cfvo type="num" val="0"/>
      </iconSet>
    </cfRule>
  </conditionalFormatting>
  <conditionalFormatting sqref="J59">
    <cfRule type="iconSet" priority="597">
      <iconSet iconSet="3Symbols2" showValue="0">
        <cfvo type="percent" val="0"/>
        <cfvo type="num" val="0"/>
        <cfvo type="num" val="0"/>
      </iconSet>
    </cfRule>
  </conditionalFormatting>
  <conditionalFormatting sqref="K98:N98">
    <cfRule type="iconSet" priority="593">
      <iconSet iconSet="3Symbols2" showValue="0">
        <cfvo type="percent" val="0"/>
        <cfvo type="num" val="0"/>
        <cfvo type="num" val="0"/>
      </iconSet>
    </cfRule>
  </conditionalFormatting>
  <conditionalFormatting sqref="Y98">
    <cfRule type="iconSet" priority="592">
      <iconSet iconSet="3Symbols2" showValue="0">
        <cfvo type="percent" val="0"/>
        <cfvo type="num" val="0"/>
        <cfvo type="num" val="0"/>
      </iconSet>
    </cfRule>
  </conditionalFormatting>
  <conditionalFormatting sqref="J98">
    <cfRule type="iconSet" priority="594">
      <iconSet iconSet="3Symbols2" showValue="0">
        <cfvo type="percent" val="0"/>
        <cfvo type="num" val="0"/>
        <cfvo type="num" val="0"/>
      </iconSet>
    </cfRule>
  </conditionalFormatting>
  <conditionalFormatting sqref="K108:N108">
    <cfRule type="iconSet" priority="590">
      <iconSet iconSet="3Symbols2" showValue="0">
        <cfvo type="percent" val="0"/>
        <cfvo type="num" val="0"/>
        <cfvo type="num" val="0"/>
      </iconSet>
    </cfRule>
  </conditionalFormatting>
  <conditionalFormatting sqref="Y108">
    <cfRule type="iconSet" priority="589">
      <iconSet iconSet="3Symbols2" showValue="0">
        <cfvo type="percent" val="0"/>
        <cfvo type="num" val="0"/>
        <cfvo type="num" val="0"/>
      </iconSet>
    </cfRule>
  </conditionalFormatting>
  <conditionalFormatting sqref="J108">
    <cfRule type="iconSet" priority="591">
      <iconSet iconSet="3Symbols2" showValue="0">
        <cfvo type="percent" val="0"/>
        <cfvo type="num" val="0"/>
        <cfvo type="num" val="0"/>
      </iconSet>
    </cfRule>
  </conditionalFormatting>
  <conditionalFormatting sqref="K118:N118">
    <cfRule type="iconSet" priority="587">
      <iconSet iconSet="3Symbols2" showValue="0">
        <cfvo type="percent" val="0"/>
        <cfvo type="num" val="0"/>
        <cfvo type="num" val="0"/>
      </iconSet>
    </cfRule>
  </conditionalFormatting>
  <conditionalFormatting sqref="Y118">
    <cfRule type="iconSet" priority="586">
      <iconSet iconSet="3Symbols2" showValue="0">
        <cfvo type="percent" val="0"/>
        <cfvo type="num" val="0"/>
        <cfvo type="num" val="0"/>
      </iconSet>
    </cfRule>
  </conditionalFormatting>
  <conditionalFormatting sqref="J118">
    <cfRule type="iconSet" priority="588">
      <iconSet iconSet="3Symbols2" showValue="0">
        <cfvo type="percent" val="0"/>
        <cfvo type="num" val="0"/>
        <cfvo type="num" val="0"/>
      </iconSet>
    </cfRule>
  </conditionalFormatting>
  <conditionalFormatting sqref="K127:N127">
    <cfRule type="iconSet" priority="584">
      <iconSet iconSet="3Symbols2" showValue="0">
        <cfvo type="percent" val="0"/>
        <cfvo type="num" val="0"/>
        <cfvo type="num" val="0"/>
      </iconSet>
    </cfRule>
  </conditionalFormatting>
  <conditionalFormatting sqref="Y127">
    <cfRule type="iconSet" priority="583">
      <iconSet iconSet="3Symbols2" showValue="0">
        <cfvo type="percent" val="0"/>
        <cfvo type="num" val="0"/>
        <cfvo type="num" val="0"/>
      </iconSet>
    </cfRule>
  </conditionalFormatting>
  <conditionalFormatting sqref="J127">
    <cfRule type="iconSet" priority="585">
      <iconSet iconSet="3Symbols2" showValue="0">
        <cfvo type="percent" val="0"/>
        <cfvo type="num" val="0"/>
        <cfvo type="num" val="0"/>
      </iconSet>
    </cfRule>
  </conditionalFormatting>
  <conditionalFormatting sqref="K137:N137">
    <cfRule type="iconSet" priority="581">
      <iconSet iconSet="3Symbols2" showValue="0">
        <cfvo type="percent" val="0"/>
        <cfvo type="num" val="0"/>
        <cfvo type="num" val="0"/>
      </iconSet>
    </cfRule>
  </conditionalFormatting>
  <conditionalFormatting sqref="Y137">
    <cfRule type="iconSet" priority="580">
      <iconSet iconSet="3Symbols2" showValue="0">
        <cfvo type="percent" val="0"/>
        <cfvo type="num" val="0"/>
        <cfvo type="num" val="0"/>
      </iconSet>
    </cfRule>
  </conditionalFormatting>
  <conditionalFormatting sqref="J137">
    <cfRule type="iconSet" priority="582">
      <iconSet iconSet="3Symbols2" showValue="0">
        <cfvo type="percent" val="0"/>
        <cfvo type="num" val="0"/>
        <cfvo type="num" val="0"/>
      </iconSet>
    </cfRule>
  </conditionalFormatting>
  <conditionalFormatting sqref="K152:N152">
    <cfRule type="iconSet" priority="578">
      <iconSet iconSet="3Symbols2" showValue="0">
        <cfvo type="percent" val="0"/>
        <cfvo type="num" val="0"/>
        <cfvo type="num" val="0"/>
      </iconSet>
    </cfRule>
  </conditionalFormatting>
  <conditionalFormatting sqref="Y152">
    <cfRule type="iconSet" priority="577">
      <iconSet iconSet="3Symbols2" showValue="0">
        <cfvo type="percent" val="0"/>
        <cfvo type="num" val="0"/>
        <cfvo type="num" val="0"/>
      </iconSet>
    </cfRule>
  </conditionalFormatting>
  <conditionalFormatting sqref="J152">
    <cfRule type="iconSet" priority="579">
      <iconSet iconSet="3Symbols2" showValue="0">
        <cfvo type="percent" val="0"/>
        <cfvo type="num" val="0"/>
        <cfvo type="num" val="0"/>
      </iconSet>
    </cfRule>
  </conditionalFormatting>
  <conditionalFormatting sqref="K155">
    <cfRule type="iconSet" priority="575">
      <iconSet iconSet="3Symbols2" showValue="0">
        <cfvo type="percent" val="0"/>
        <cfvo type="num" val="0"/>
        <cfvo type="num" val="0"/>
      </iconSet>
    </cfRule>
  </conditionalFormatting>
  <conditionalFormatting sqref="Y155">
    <cfRule type="iconSet" priority="574">
      <iconSet iconSet="3Symbols2" showValue="0">
        <cfvo type="percent" val="0"/>
        <cfvo type="num" val="0"/>
        <cfvo type="num" val="0"/>
      </iconSet>
    </cfRule>
  </conditionalFormatting>
  <conditionalFormatting sqref="J155">
    <cfRule type="iconSet" priority="576">
      <iconSet iconSet="3Symbols2" showValue="0">
        <cfvo type="percent" val="0"/>
        <cfvo type="num" val="0"/>
        <cfvo type="num" val="0"/>
      </iconSet>
    </cfRule>
  </conditionalFormatting>
  <conditionalFormatting sqref="K154">
    <cfRule type="iconSet" priority="572">
      <iconSet iconSet="3Symbols2" showValue="0">
        <cfvo type="percent" val="0"/>
        <cfvo type="num" val="0"/>
        <cfvo type="num" val="0"/>
      </iconSet>
    </cfRule>
  </conditionalFormatting>
  <conditionalFormatting sqref="Y154">
    <cfRule type="iconSet" priority="571">
      <iconSet iconSet="3Symbols2" showValue="0">
        <cfvo type="percent" val="0"/>
        <cfvo type="num" val="0"/>
        <cfvo type="num" val="0"/>
      </iconSet>
    </cfRule>
  </conditionalFormatting>
  <conditionalFormatting sqref="J154">
    <cfRule type="iconSet" priority="573">
      <iconSet iconSet="3Symbols2" showValue="0">
        <cfvo type="percent" val="0"/>
        <cfvo type="num" val="0"/>
        <cfvo type="num" val="0"/>
      </iconSet>
    </cfRule>
  </conditionalFormatting>
  <conditionalFormatting sqref="K65:N65">
    <cfRule type="iconSet" priority="569">
      <iconSet iconSet="3Symbols2" showValue="0">
        <cfvo type="percent" val="0"/>
        <cfvo type="num" val="0"/>
        <cfvo type="num" val="0"/>
      </iconSet>
    </cfRule>
  </conditionalFormatting>
  <conditionalFormatting sqref="Y65">
    <cfRule type="iconSet" priority="568">
      <iconSet iconSet="3Symbols2" showValue="0">
        <cfvo type="percent" val="0"/>
        <cfvo type="num" val="0"/>
        <cfvo type="num" val="0"/>
      </iconSet>
    </cfRule>
  </conditionalFormatting>
  <conditionalFormatting sqref="J65">
    <cfRule type="iconSet" priority="570">
      <iconSet iconSet="3Symbols2" showValue="0">
        <cfvo type="percent" val="0"/>
        <cfvo type="num" val="0"/>
        <cfvo type="num" val="0"/>
      </iconSet>
    </cfRule>
  </conditionalFormatting>
  <conditionalFormatting sqref="K85:N85">
    <cfRule type="iconSet" priority="566">
      <iconSet iconSet="3Symbols2" showValue="0">
        <cfvo type="percent" val="0"/>
        <cfvo type="num" val="0"/>
        <cfvo type="num" val="0"/>
      </iconSet>
    </cfRule>
  </conditionalFormatting>
  <conditionalFormatting sqref="Y85">
    <cfRule type="iconSet" priority="565">
      <iconSet iconSet="3Symbols2" showValue="0">
        <cfvo type="percent" val="0"/>
        <cfvo type="num" val="0"/>
        <cfvo type="num" val="0"/>
      </iconSet>
    </cfRule>
  </conditionalFormatting>
  <conditionalFormatting sqref="J85">
    <cfRule type="iconSet" priority="567">
      <iconSet iconSet="3Symbols2" showValue="0">
        <cfvo type="percent" val="0"/>
        <cfvo type="num" val="0"/>
        <cfvo type="num" val="0"/>
      </iconSet>
    </cfRule>
  </conditionalFormatting>
  <conditionalFormatting sqref="K64:N64">
    <cfRule type="iconSet" priority="670">
      <iconSet iconSet="3Symbols2" showValue="0">
        <cfvo type="percent" val="0"/>
        <cfvo type="num" val="0"/>
        <cfvo type="num" val="0"/>
      </iconSet>
    </cfRule>
  </conditionalFormatting>
  <conditionalFormatting sqref="Y64">
    <cfRule type="iconSet" priority="671">
      <iconSet iconSet="3Symbols2" showValue="0">
        <cfvo type="percent" val="0"/>
        <cfvo type="num" val="0"/>
        <cfvo type="num" val="0"/>
      </iconSet>
    </cfRule>
  </conditionalFormatting>
  <conditionalFormatting sqref="J64">
    <cfRule type="iconSet" priority="672">
      <iconSet iconSet="3Symbols2" showValue="0">
        <cfvo type="percent" val="0"/>
        <cfvo type="num" val="0"/>
        <cfvo type="num" val="0"/>
      </iconSet>
    </cfRule>
  </conditionalFormatting>
  <conditionalFormatting sqref="K66:K74">
    <cfRule type="iconSet" priority="673">
      <iconSet iconSet="3Symbols2" showValue="0">
        <cfvo type="percent" val="0"/>
        <cfvo type="num" val="0"/>
        <cfvo type="num" val="0"/>
      </iconSet>
    </cfRule>
  </conditionalFormatting>
  <conditionalFormatting sqref="Y66:Y74">
    <cfRule type="iconSet" priority="674">
      <iconSet iconSet="3Symbols2" showValue="0">
        <cfvo type="percent" val="0"/>
        <cfvo type="num" val="0"/>
        <cfvo type="num" val="0"/>
      </iconSet>
    </cfRule>
  </conditionalFormatting>
  <conditionalFormatting sqref="J66:J74">
    <cfRule type="iconSet" priority="675">
      <iconSet iconSet="3Symbols2" showValue="0">
        <cfvo type="percent" val="0"/>
        <cfvo type="num" val="0"/>
        <cfvo type="num" val="0"/>
      </iconSet>
    </cfRule>
  </conditionalFormatting>
  <conditionalFormatting sqref="K14:K23">
    <cfRule type="iconSet" priority="564">
      <iconSet iconSet="3Symbols2" showValue="0">
        <cfvo type="percent" val="0"/>
        <cfvo type="num" val="0"/>
        <cfvo type="num" val="0"/>
      </iconSet>
    </cfRule>
  </conditionalFormatting>
  <conditionalFormatting sqref="Y14:Y23">
    <cfRule type="iconSet" priority="563">
      <iconSet iconSet="3Symbols2" showValue="0">
        <cfvo type="percent" val="0"/>
        <cfvo type="num" val="0"/>
        <cfvo type="num" val="0"/>
      </iconSet>
    </cfRule>
  </conditionalFormatting>
  <conditionalFormatting sqref="K30:K39">
    <cfRule type="iconSet" priority="561">
      <iconSet iconSet="3Symbols2" showValue="0">
        <cfvo type="percent" val="0"/>
        <cfvo type="num" val="0"/>
        <cfvo type="num" val="0"/>
      </iconSet>
    </cfRule>
  </conditionalFormatting>
  <conditionalFormatting sqref="Y30:Y39">
    <cfRule type="iconSet" priority="560">
      <iconSet iconSet="3Symbols2" showValue="0">
        <cfvo type="percent" val="0"/>
        <cfvo type="num" val="0"/>
        <cfvo type="num" val="0"/>
      </iconSet>
    </cfRule>
  </conditionalFormatting>
  <conditionalFormatting sqref="J30:J39">
    <cfRule type="iconSet" priority="562">
      <iconSet iconSet="3Symbols2" showValue="0">
        <cfvo type="percent" val="0"/>
        <cfvo type="num" val="0"/>
        <cfvo type="num" val="0"/>
      </iconSet>
    </cfRule>
  </conditionalFormatting>
  <conditionalFormatting sqref="K46:K55">
    <cfRule type="iconSet" priority="558">
      <iconSet iconSet="3Symbols2" showValue="0">
        <cfvo type="percent" val="0"/>
        <cfvo type="num" val="0"/>
        <cfvo type="num" val="0"/>
      </iconSet>
    </cfRule>
  </conditionalFormatting>
  <conditionalFormatting sqref="Y46:Y55">
    <cfRule type="iconSet" priority="557">
      <iconSet iconSet="3Symbols2" showValue="0">
        <cfvo type="percent" val="0"/>
        <cfvo type="num" val="0"/>
        <cfvo type="num" val="0"/>
      </iconSet>
    </cfRule>
  </conditionalFormatting>
  <conditionalFormatting sqref="J46:J55">
    <cfRule type="iconSet" priority="559">
      <iconSet iconSet="3Symbols2" showValue="0">
        <cfvo type="percent" val="0"/>
        <cfvo type="num" val="0"/>
        <cfvo type="num" val="0"/>
      </iconSet>
    </cfRule>
  </conditionalFormatting>
  <conditionalFormatting sqref="J7:J8 J10">
    <cfRule type="iconSet" priority="556">
      <iconSet iconSet="3Symbols2" showValue="0">
        <cfvo type="percent" val="0"/>
        <cfvo type="num" val="0"/>
        <cfvo type="num" val="0"/>
      </iconSet>
    </cfRule>
  </conditionalFormatting>
  <conditionalFormatting sqref="J9">
    <cfRule type="iconSet" priority="555">
      <iconSet iconSet="3Symbols2" showValue="0">
        <cfvo type="percent" val="0"/>
        <cfvo type="num" val="0"/>
        <cfvo type="num" val="0"/>
      </iconSet>
    </cfRule>
  </conditionalFormatting>
  <conditionalFormatting sqref="J42">
    <cfRule type="iconSet" priority="554">
      <iconSet iconSet="3Symbols2" showValue="0">
        <cfvo type="percent" val="0"/>
        <cfvo type="num" val="0"/>
        <cfvo type="num" val="0"/>
      </iconSet>
    </cfRule>
  </conditionalFormatting>
  <conditionalFormatting sqref="J58">
    <cfRule type="iconSet" priority="553">
      <iconSet iconSet="3Symbols2" showValue="0">
        <cfvo type="percent" val="0"/>
        <cfvo type="num" val="0"/>
        <cfvo type="num" val="0"/>
      </iconSet>
    </cfRule>
  </conditionalFormatting>
  <conditionalFormatting sqref="L13:N18 M19:N23 J19:J23">
    <cfRule type="iconSet" priority="552">
      <iconSet iconSet="3Symbols2" showValue="0">
        <cfvo type="percent" val="0"/>
        <cfvo type="num" val="0"/>
        <cfvo type="num" val="0"/>
      </iconSet>
    </cfRule>
  </conditionalFormatting>
  <conditionalFormatting sqref="L26:N26">
    <cfRule type="iconSet" priority="551">
      <iconSet iconSet="3Symbols2" showValue="0">
        <cfvo type="percent" val="0"/>
        <cfvo type="num" val="0"/>
        <cfvo type="num" val="0"/>
      </iconSet>
    </cfRule>
  </conditionalFormatting>
  <conditionalFormatting sqref="L29:N39">
    <cfRule type="iconSet" priority="550">
      <iconSet iconSet="3Symbols2" showValue="0">
        <cfvo type="percent" val="0"/>
        <cfvo type="num" val="0"/>
        <cfvo type="num" val="0"/>
      </iconSet>
    </cfRule>
  </conditionalFormatting>
  <conditionalFormatting sqref="L63:N63 L45:N51 L53:N55">
    <cfRule type="iconSet" priority="549">
      <iconSet iconSet="3Symbols2" showValue="0">
        <cfvo type="percent" val="0"/>
        <cfvo type="num" val="0"/>
        <cfvo type="num" val="0"/>
      </iconSet>
    </cfRule>
  </conditionalFormatting>
  <conditionalFormatting sqref="L66:N74">
    <cfRule type="iconSet" priority="548">
      <iconSet iconSet="3Symbols2" showValue="0">
        <cfvo type="percent" val="0"/>
        <cfvo type="num" val="0"/>
        <cfvo type="num" val="0"/>
      </iconSet>
    </cfRule>
  </conditionalFormatting>
  <conditionalFormatting sqref="L100:N107">
    <cfRule type="iconSet" priority="547">
      <iconSet iconSet="3Symbols2" showValue="0">
        <cfvo type="percent" val="0"/>
        <cfvo type="num" val="0"/>
        <cfvo type="num" val="0"/>
      </iconSet>
    </cfRule>
  </conditionalFormatting>
  <conditionalFormatting sqref="L110:N117">
    <cfRule type="iconSet" priority="546">
      <iconSet iconSet="3Symbols2" showValue="0">
        <cfvo type="percent" val="0"/>
        <cfvo type="num" val="0"/>
        <cfvo type="num" val="0"/>
      </iconSet>
    </cfRule>
  </conditionalFormatting>
  <conditionalFormatting sqref="L129:N136">
    <cfRule type="iconSet" priority="545">
      <iconSet iconSet="3Symbols2" showValue="0">
        <cfvo type="percent" val="0"/>
        <cfvo type="num" val="0"/>
        <cfvo type="num" val="0"/>
      </iconSet>
    </cfRule>
  </conditionalFormatting>
  <conditionalFormatting sqref="L139:N151">
    <cfRule type="iconSet" priority="544">
      <iconSet iconSet="3Symbols2" showValue="0">
        <cfvo type="percent" val="0"/>
        <cfvo type="num" val="0"/>
        <cfvo type="num" val="0"/>
      </iconSet>
    </cfRule>
  </conditionalFormatting>
  <conditionalFormatting sqref="L154:N160">
    <cfRule type="iconSet" priority="543">
      <iconSet iconSet="3Symbols2" showValue="0">
        <cfvo type="percent" val="0"/>
        <cfvo type="num" val="0"/>
        <cfvo type="num" val="0"/>
      </iconSet>
    </cfRule>
  </conditionalFormatting>
  <conditionalFormatting sqref="K75:N75">
    <cfRule type="iconSet" priority="538">
      <iconSet iconSet="3Symbols2" showValue="0">
        <cfvo type="percent" val="0"/>
        <cfvo type="num" val="0"/>
        <cfvo type="num" val="0"/>
      </iconSet>
    </cfRule>
  </conditionalFormatting>
  <conditionalFormatting sqref="Y75">
    <cfRule type="iconSet" priority="537">
      <iconSet iconSet="3Symbols2" showValue="0">
        <cfvo type="percent" val="0"/>
        <cfvo type="num" val="0"/>
        <cfvo type="num" val="0"/>
      </iconSet>
    </cfRule>
  </conditionalFormatting>
  <conditionalFormatting sqref="J75">
    <cfRule type="iconSet" priority="539">
      <iconSet iconSet="3Symbols2" showValue="0">
        <cfvo type="percent" val="0"/>
        <cfvo type="num" val="0"/>
        <cfvo type="num" val="0"/>
      </iconSet>
    </cfRule>
  </conditionalFormatting>
  <conditionalFormatting sqref="K76:K84">
    <cfRule type="iconSet" priority="540">
      <iconSet iconSet="3Symbols2" showValue="0">
        <cfvo type="percent" val="0"/>
        <cfvo type="num" val="0"/>
        <cfvo type="num" val="0"/>
      </iconSet>
    </cfRule>
  </conditionalFormatting>
  <conditionalFormatting sqref="Y76:Y84">
    <cfRule type="iconSet" priority="541">
      <iconSet iconSet="3Symbols2" showValue="0">
        <cfvo type="percent" val="0"/>
        <cfvo type="num" val="0"/>
        <cfvo type="num" val="0"/>
      </iconSet>
    </cfRule>
  </conditionalFormatting>
  <conditionalFormatting sqref="J76:J84">
    <cfRule type="iconSet" priority="542">
      <iconSet iconSet="3Symbols2" showValue="0">
        <cfvo type="percent" val="0"/>
        <cfvo type="num" val="0"/>
        <cfvo type="num" val="0"/>
      </iconSet>
    </cfRule>
  </conditionalFormatting>
  <conditionalFormatting sqref="L76:N84">
    <cfRule type="iconSet" priority="536">
      <iconSet iconSet="3Symbols2" showValue="0">
        <cfvo type="percent" val="0"/>
        <cfvo type="num" val="0"/>
        <cfvo type="num" val="0"/>
      </iconSet>
    </cfRule>
  </conditionalFormatting>
  <conditionalFormatting sqref="K60:N61">
    <cfRule type="iconSet" priority="534">
      <iconSet iconSet="3Symbols2" showValue="0">
        <cfvo type="percent" val="0"/>
        <cfvo type="num" val="0"/>
        <cfvo type="num" val="0"/>
      </iconSet>
    </cfRule>
  </conditionalFormatting>
  <conditionalFormatting sqref="Y60:Y61">
    <cfRule type="iconSet" priority="533">
      <iconSet iconSet="3Symbols2" showValue="0">
        <cfvo type="percent" val="0"/>
        <cfvo type="num" val="0"/>
        <cfvo type="num" val="0"/>
      </iconSet>
    </cfRule>
  </conditionalFormatting>
  <conditionalFormatting sqref="J60">
    <cfRule type="iconSet" priority="535">
      <iconSet iconSet="3Symbols2" showValue="0">
        <cfvo type="percent" val="0"/>
        <cfvo type="num" val="0"/>
        <cfvo type="num" val="0"/>
      </iconSet>
    </cfRule>
  </conditionalFormatting>
  <conditionalFormatting sqref="J61">
    <cfRule type="iconSet" priority="532">
      <iconSet iconSet="3Symbols2" showValue="0">
        <cfvo type="percent" val="0"/>
        <cfvo type="num" val="0"/>
        <cfvo type="num" val="0"/>
      </iconSet>
    </cfRule>
  </conditionalFormatting>
  <conditionalFormatting sqref="L52:N52">
    <cfRule type="iconSet" priority="531">
      <iconSet iconSet="3Symbols2" showValue="0">
        <cfvo type="percent" val="0"/>
        <cfvo type="num" val="0"/>
        <cfvo type="num" val="0"/>
      </iconSet>
    </cfRule>
  </conditionalFormatting>
  <conditionalFormatting sqref="O161:P1048576 O120:P126 O6:P8 O10:P10 O42:P42 O58:P58 O88:P97">
    <cfRule type="iconSet" priority="529">
      <iconSet iconSet="3Symbols2" showValue="0">
        <cfvo type="percent" val="0"/>
        <cfvo type="num" val="0"/>
        <cfvo type="num" val="0"/>
      </iconSet>
    </cfRule>
  </conditionalFormatting>
  <conditionalFormatting sqref="O9:P9">
    <cfRule type="iconSet" priority="528">
      <iconSet iconSet="3Symbols2" showValue="0">
        <cfvo type="percent" val="0"/>
        <cfvo type="num" val="0"/>
        <cfvo type="num" val="0"/>
      </iconSet>
    </cfRule>
  </conditionalFormatting>
  <conditionalFormatting sqref="O12:P12">
    <cfRule type="iconSet" priority="527">
      <iconSet iconSet="3Symbols2" showValue="0">
        <cfvo type="percent" val="0"/>
        <cfvo type="num" val="0"/>
        <cfvo type="num" val="0"/>
      </iconSet>
    </cfRule>
  </conditionalFormatting>
  <conditionalFormatting sqref="O25:P25">
    <cfRule type="iconSet" priority="526">
      <iconSet iconSet="3Symbols2" showValue="0">
        <cfvo type="percent" val="0"/>
        <cfvo type="num" val="0"/>
        <cfvo type="num" val="0"/>
      </iconSet>
    </cfRule>
  </conditionalFormatting>
  <conditionalFormatting sqref="O28:P28">
    <cfRule type="iconSet" priority="525">
      <iconSet iconSet="3Symbols2" showValue="0">
        <cfvo type="percent" val="0"/>
        <cfvo type="num" val="0"/>
        <cfvo type="num" val="0"/>
      </iconSet>
    </cfRule>
  </conditionalFormatting>
  <conditionalFormatting sqref="O41:P41">
    <cfRule type="iconSet" priority="524">
      <iconSet iconSet="3Symbols2" showValue="0">
        <cfvo type="percent" val="0"/>
        <cfvo type="num" val="0"/>
        <cfvo type="num" val="0"/>
      </iconSet>
    </cfRule>
  </conditionalFormatting>
  <conditionalFormatting sqref="O44:P44">
    <cfRule type="iconSet" priority="523">
      <iconSet iconSet="3Symbols2" showValue="0">
        <cfvo type="percent" val="0"/>
        <cfvo type="num" val="0"/>
        <cfvo type="num" val="0"/>
      </iconSet>
    </cfRule>
  </conditionalFormatting>
  <conditionalFormatting sqref="O57:P57">
    <cfRule type="iconSet" priority="522">
      <iconSet iconSet="3Symbols2" showValue="0">
        <cfvo type="percent" val="0"/>
        <cfvo type="num" val="0"/>
        <cfvo type="num" val="0"/>
      </iconSet>
    </cfRule>
  </conditionalFormatting>
  <conditionalFormatting sqref="O87:P87">
    <cfRule type="iconSet" priority="521">
      <iconSet iconSet="3Symbols2" showValue="0">
        <cfvo type="percent" val="0"/>
        <cfvo type="num" val="0"/>
        <cfvo type="num" val="0"/>
      </iconSet>
    </cfRule>
  </conditionalFormatting>
  <conditionalFormatting sqref="O99:P99">
    <cfRule type="iconSet" priority="520">
      <iconSet iconSet="3Symbols2" showValue="0">
        <cfvo type="percent" val="0"/>
        <cfvo type="num" val="0"/>
        <cfvo type="num" val="0"/>
      </iconSet>
    </cfRule>
  </conditionalFormatting>
  <conditionalFormatting sqref="O109:P109">
    <cfRule type="iconSet" priority="519">
      <iconSet iconSet="3Symbols2" showValue="0">
        <cfvo type="percent" val="0"/>
        <cfvo type="num" val="0"/>
        <cfvo type="num" val="0"/>
      </iconSet>
    </cfRule>
  </conditionalFormatting>
  <conditionalFormatting sqref="O119:P119">
    <cfRule type="iconSet" priority="518">
      <iconSet iconSet="3Symbols2" showValue="0">
        <cfvo type="percent" val="0"/>
        <cfvo type="num" val="0"/>
        <cfvo type="num" val="0"/>
      </iconSet>
    </cfRule>
  </conditionalFormatting>
  <conditionalFormatting sqref="O128:P128">
    <cfRule type="iconSet" priority="517">
      <iconSet iconSet="3Symbols2" showValue="0">
        <cfvo type="percent" val="0"/>
        <cfvo type="num" val="0"/>
        <cfvo type="num" val="0"/>
      </iconSet>
    </cfRule>
  </conditionalFormatting>
  <conditionalFormatting sqref="O62:P62">
    <cfRule type="iconSet" priority="516">
      <iconSet iconSet="3Symbols2" showValue="0">
        <cfvo type="percent" val="0"/>
        <cfvo type="num" val="0"/>
        <cfvo type="num" val="0"/>
      </iconSet>
    </cfRule>
  </conditionalFormatting>
  <conditionalFormatting sqref="O138:P138">
    <cfRule type="iconSet" priority="515">
      <iconSet iconSet="3Symbols2" showValue="0">
        <cfvo type="percent" val="0"/>
        <cfvo type="num" val="0"/>
        <cfvo type="num" val="0"/>
      </iconSet>
    </cfRule>
  </conditionalFormatting>
  <conditionalFormatting sqref="O153:P153">
    <cfRule type="iconSet" priority="514">
      <iconSet iconSet="3Symbols2" showValue="0">
        <cfvo type="percent" val="0"/>
        <cfvo type="num" val="0"/>
        <cfvo type="num" val="0"/>
      </iconSet>
    </cfRule>
  </conditionalFormatting>
  <conditionalFormatting sqref="O86:P86">
    <cfRule type="iconSet" priority="513">
      <iconSet iconSet="3Symbols2" showValue="0">
        <cfvo type="percent" val="0"/>
        <cfvo type="num" val="0"/>
        <cfvo type="num" val="0"/>
      </iconSet>
    </cfRule>
  </conditionalFormatting>
  <conditionalFormatting sqref="O1:P5">
    <cfRule type="iconSet" priority="512">
      <iconSet iconSet="3Symbols2" showValue="0">
        <cfvo type="percent" val="0"/>
        <cfvo type="num" val="0"/>
        <cfvo type="num" val="1"/>
      </iconSet>
    </cfRule>
  </conditionalFormatting>
  <conditionalFormatting sqref="O11:P11">
    <cfRule type="iconSet" priority="511">
      <iconSet iconSet="3Symbols2" showValue="0">
        <cfvo type="percent" val="0"/>
        <cfvo type="num" val="0"/>
        <cfvo type="num" val="0"/>
      </iconSet>
    </cfRule>
  </conditionalFormatting>
  <conditionalFormatting sqref="O24:P24">
    <cfRule type="iconSet" priority="510">
      <iconSet iconSet="3Symbols2" showValue="0">
        <cfvo type="percent" val="0"/>
        <cfvo type="num" val="0"/>
        <cfvo type="num" val="0"/>
      </iconSet>
    </cfRule>
  </conditionalFormatting>
  <conditionalFormatting sqref="O27:P27">
    <cfRule type="iconSet" priority="509">
      <iconSet iconSet="3Symbols2" showValue="0">
        <cfvo type="percent" val="0"/>
        <cfvo type="num" val="0"/>
        <cfvo type="num" val="0"/>
      </iconSet>
    </cfRule>
  </conditionalFormatting>
  <conditionalFormatting sqref="O40:P40">
    <cfRule type="iconSet" priority="508">
      <iconSet iconSet="3Symbols2" showValue="0">
        <cfvo type="percent" val="0"/>
        <cfvo type="num" val="0"/>
        <cfvo type="num" val="0"/>
      </iconSet>
    </cfRule>
  </conditionalFormatting>
  <conditionalFormatting sqref="O43:P43">
    <cfRule type="iconSet" priority="507">
      <iconSet iconSet="3Symbols2" showValue="0">
        <cfvo type="percent" val="0"/>
        <cfvo type="num" val="0"/>
        <cfvo type="num" val="0"/>
      </iconSet>
    </cfRule>
  </conditionalFormatting>
  <conditionalFormatting sqref="O56:P56">
    <cfRule type="iconSet" priority="506">
      <iconSet iconSet="3Symbols2" showValue="0">
        <cfvo type="percent" val="0"/>
        <cfvo type="num" val="0"/>
        <cfvo type="num" val="0"/>
      </iconSet>
    </cfRule>
  </conditionalFormatting>
  <conditionalFormatting sqref="O59:P59">
    <cfRule type="iconSet" priority="505">
      <iconSet iconSet="3Symbols2" showValue="0">
        <cfvo type="percent" val="0"/>
        <cfvo type="num" val="0"/>
        <cfvo type="num" val="0"/>
      </iconSet>
    </cfRule>
  </conditionalFormatting>
  <conditionalFormatting sqref="O98:P98">
    <cfRule type="iconSet" priority="504">
      <iconSet iconSet="3Symbols2" showValue="0">
        <cfvo type="percent" val="0"/>
        <cfvo type="num" val="0"/>
        <cfvo type="num" val="0"/>
      </iconSet>
    </cfRule>
  </conditionalFormatting>
  <conditionalFormatting sqref="O108:P108">
    <cfRule type="iconSet" priority="503">
      <iconSet iconSet="3Symbols2" showValue="0">
        <cfvo type="percent" val="0"/>
        <cfvo type="num" val="0"/>
        <cfvo type="num" val="0"/>
      </iconSet>
    </cfRule>
  </conditionalFormatting>
  <conditionalFormatting sqref="O118:P118">
    <cfRule type="iconSet" priority="502">
      <iconSet iconSet="3Symbols2" showValue="0">
        <cfvo type="percent" val="0"/>
        <cfvo type="num" val="0"/>
        <cfvo type="num" val="0"/>
      </iconSet>
    </cfRule>
  </conditionalFormatting>
  <conditionalFormatting sqref="O127:P127">
    <cfRule type="iconSet" priority="501">
      <iconSet iconSet="3Symbols2" showValue="0">
        <cfvo type="percent" val="0"/>
        <cfvo type="num" val="0"/>
        <cfvo type="num" val="0"/>
      </iconSet>
    </cfRule>
  </conditionalFormatting>
  <conditionalFormatting sqref="O137:P137">
    <cfRule type="iconSet" priority="500">
      <iconSet iconSet="3Symbols2" showValue="0">
        <cfvo type="percent" val="0"/>
        <cfvo type="num" val="0"/>
        <cfvo type="num" val="0"/>
      </iconSet>
    </cfRule>
  </conditionalFormatting>
  <conditionalFormatting sqref="O152:P152">
    <cfRule type="iconSet" priority="499">
      <iconSet iconSet="3Symbols2" showValue="0">
        <cfvo type="percent" val="0"/>
        <cfvo type="num" val="0"/>
        <cfvo type="num" val="0"/>
      </iconSet>
    </cfRule>
  </conditionalFormatting>
  <conditionalFormatting sqref="O65:P65">
    <cfRule type="iconSet" priority="498">
      <iconSet iconSet="3Symbols2" showValue="0">
        <cfvo type="percent" val="0"/>
        <cfvo type="num" val="0"/>
        <cfvo type="num" val="0"/>
      </iconSet>
    </cfRule>
  </conditionalFormatting>
  <conditionalFormatting sqref="O85:P85">
    <cfRule type="iconSet" priority="497">
      <iconSet iconSet="3Symbols2" showValue="0">
        <cfvo type="percent" val="0"/>
        <cfvo type="num" val="0"/>
        <cfvo type="num" val="0"/>
      </iconSet>
    </cfRule>
  </conditionalFormatting>
  <conditionalFormatting sqref="O64:P64">
    <cfRule type="iconSet" priority="530">
      <iconSet iconSet="3Symbols2" showValue="0">
        <cfvo type="percent" val="0"/>
        <cfvo type="num" val="0"/>
        <cfvo type="num" val="0"/>
      </iconSet>
    </cfRule>
  </conditionalFormatting>
  <conditionalFormatting sqref="O13:P23">
    <cfRule type="iconSet" priority="496">
      <iconSet iconSet="3Symbols2" showValue="0">
        <cfvo type="percent" val="0"/>
        <cfvo type="num" val="0"/>
        <cfvo type="num" val="0"/>
      </iconSet>
    </cfRule>
  </conditionalFormatting>
  <conditionalFormatting sqref="O26:P26">
    <cfRule type="iconSet" priority="495">
      <iconSet iconSet="3Symbols2" showValue="0">
        <cfvo type="percent" val="0"/>
        <cfvo type="num" val="0"/>
        <cfvo type="num" val="0"/>
      </iconSet>
    </cfRule>
  </conditionalFormatting>
  <conditionalFormatting sqref="O29:P39">
    <cfRule type="iconSet" priority="494">
      <iconSet iconSet="3Symbols2" showValue="0">
        <cfvo type="percent" val="0"/>
        <cfvo type="num" val="0"/>
        <cfvo type="num" val="0"/>
      </iconSet>
    </cfRule>
  </conditionalFormatting>
  <conditionalFormatting sqref="O63:P63 O45:P51 O53:P55">
    <cfRule type="iconSet" priority="493">
      <iconSet iconSet="3Symbols2" showValue="0">
        <cfvo type="percent" val="0"/>
        <cfvo type="num" val="0"/>
        <cfvo type="num" val="0"/>
      </iconSet>
    </cfRule>
  </conditionalFormatting>
  <conditionalFormatting sqref="O66:P74">
    <cfRule type="iconSet" priority="492">
      <iconSet iconSet="3Symbols2" showValue="0">
        <cfvo type="percent" val="0"/>
        <cfvo type="num" val="0"/>
        <cfvo type="num" val="0"/>
      </iconSet>
    </cfRule>
  </conditionalFormatting>
  <conditionalFormatting sqref="O100:P107">
    <cfRule type="iconSet" priority="491">
      <iconSet iconSet="3Symbols2" showValue="0">
        <cfvo type="percent" val="0"/>
        <cfvo type="num" val="0"/>
        <cfvo type="num" val="0"/>
      </iconSet>
    </cfRule>
  </conditionalFormatting>
  <conditionalFormatting sqref="O110:P117">
    <cfRule type="iconSet" priority="490">
      <iconSet iconSet="3Symbols2" showValue="0">
        <cfvo type="percent" val="0"/>
        <cfvo type="num" val="0"/>
        <cfvo type="num" val="0"/>
      </iconSet>
    </cfRule>
  </conditionalFormatting>
  <conditionalFormatting sqref="O129:P136">
    <cfRule type="iconSet" priority="489">
      <iconSet iconSet="3Symbols2" showValue="0">
        <cfvo type="percent" val="0"/>
        <cfvo type="num" val="0"/>
        <cfvo type="num" val="0"/>
      </iconSet>
    </cfRule>
  </conditionalFormatting>
  <conditionalFormatting sqref="O139:P151">
    <cfRule type="iconSet" priority="488">
      <iconSet iconSet="3Symbols2" showValue="0">
        <cfvo type="percent" val="0"/>
        <cfvo type="num" val="0"/>
        <cfvo type="num" val="0"/>
      </iconSet>
    </cfRule>
  </conditionalFormatting>
  <conditionalFormatting sqref="O154:P160">
    <cfRule type="iconSet" priority="487">
      <iconSet iconSet="3Symbols2" showValue="0">
        <cfvo type="percent" val="0"/>
        <cfvo type="num" val="0"/>
        <cfvo type="num" val="0"/>
      </iconSet>
    </cfRule>
  </conditionalFormatting>
  <conditionalFormatting sqref="O75:P75">
    <cfRule type="iconSet" priority="486">
      <iconSet iconSet="3Symbols2" showValue="0">
        <cfvo type="percent" val="0"/>
        <cfvo type="num" val="0"/>
        <cfvo type="num" val="0"/>
      </iconSet>
    </cfRule>
  </conditionalFormatting>
  <conditionalFormatting sqref="O76:P84">
    <cfRule type="iconSet" priority="485">
      <iconSet iconSet="3Symbols2" showValue="0">
        <cfvo type="percent" val="0"/>
        <cfvo type="num" val="0"/>
        <cfvo type="num" val="0"/>
      </iconSet>
    </cfRule>
  </conditionalFormatting>
  <conditionalFormatting sqref="O60:P61">
    <cfRule type="iconSet" priority="484">
      <iconSet iconSet="3Symbols2" showValue="0">
        <cfvo type="percent" val="0"/>
        <cfvo type="num" val="0"/>
        <cfvo type="num" val="0"/>
      </iconSet>
    </cfRule>
  </conditionalFormatting>
  <conditionalFormatting sqref="O52:P52">
    <cfRule type="iconSet" priority="483">
      <iconSet iconSet="3Symbols2" showValue="0">
        <cfvo type="percent" val="0"/>
        <cfvo type="num" val="0"/>
        <cfvo type="num" val="0"/>
      </iconSet>
    </cfRule>
  </conditionalFormatting>
  <conditionalFormatting sqref="Q161:R1048576 Q120:R126 Q6:R8 Q10:R10 Q42:R42 Q58:R58 Q88:R97">
    <cfRule type="iconSet" priority="481">
      <iconSet iconSet="3Symbols2" showValue="0">
        <cfvo type="percent" val="0"/>
        <cfvo type="num" val="0"/>
        <cfvo type="num" val="0"/>
      </iconSet>
    </cfRule>
  </conditionalFormatting>
  <conditionalFormatting sqref="Q9:R9">
    <cfRule type="iconSet" priority="480">
      <iconSet iconSet="3Symbols2" showValue="0">
        <cfvo type="percent" val="0"/>
        <cfvo type="num" val="0"/>
        <cfvo type="num" val="0"/>
      </iconSet>
    </cfRule>
  </conditionalFormatting>
  <conditionalFormatting sqref="Q12:R12">
    <cfRule type="iconSet" priority="479">
      <iconSet iconSet="3Symbols2" showValue="0">
        <cfvo type="percent" val="0"/>
        <cfvo type="num" val="0"/>
        <cfvo type="num" val="0"/>
      </iconSet>
    </cfRule>
  </conditionalFormatting>
  <conditionalFormatting sqref="Q25:R25">
    <cfRule type="iconSet" priority="478">
      <iconSet iconSet="3Symbols2" showValue="0">
        <cfvo type="percent" val="0"/>
        <cfvo type="num" val="0"/>
        <cfvo type="num" val="0"/>
      </iconSet>
    </cfRule>
  </conditionalFormatting>
  <conditionalFormatting sqref="Q28:R28">
    <cfRule type="iconSet" priority="477">
      <iconSet iconSet="3Symbols2" showValue="0">
        <cfvo type="percent" val="0"/>
        <cfvo type="num" val="0"/>
        <cfvo type="num" val="0"/>
      </iconSet>
    </cfRule>
  </conditionalFormatting>
  <conditionalFormatting sqref="Q41:R41">
    <cfRule type="iconSet" priority="476">
      <iconSet iconSet="3Symbols2" showValue="0">
        <cfvo type="percent" val="0"/>
        <cfvo type="num" val="0"/>
        <cfvo type="num" val="0"/>
      </iconSet>
    </cfRule>
  </conditionalFormatting>
  <conditionalFormatting sqref="Q44:R44">
    <cfRule type="iconSet" priority="475">
      <iconSet iconSet="3Symbols2" showValue="0">
        <cfvo type="percent" val="0"/>
        <cfvo type="num" val="0"/>
        <cfvo type="num" val="0"/>
      </iconSet>
    </cfRule>
  </conditionalFormatting>
  <conditionalFormatting sqref="Q57:R57">
    <cfRule type="iconSet" priority="474">
      <iconSet iconSet="3Symbols2" showValue="0">
        <cfvo type="percent" val="0"/>
        <cfvo type="num" val="0"/>
        <cfvo type="num" val="0"/>
      </iconSet>
    </cfRule>
  </conditionalFormatting>
  <conditionalFormatting sqref="Q87:R87">
    <cfRule type="iconSet" priority="473">
      <iconSet iconSet="3Symbols2" showValue="0">
        <cfvo type="percent" val="0"/>
        <cfvo type="num" val="0"/>
        <cfvo type="num" val="0"/>
      </iconSet>
    </cfRule>
  </conditionalFormatting>
  <conditionalFormatting sqref="Q99:R99">
    <cfRule type="iconSet" priority="472">
      <iconSet iconSet="3Symbols2" showValue="0">
        <cfvo type="percent" val="0"/>
        <cfvo type="num" val="0"/>
        <cfvo type="num" val="0"/>
      </iconSet>
    </cfRule>
  </conditionalFormatting>
  <conditionalFormatting sqref="Q109:R109">
    <cfRule type="iconSet" priority="471">
      <iconSet iconSet="3Symbols2" showValue="0">
        <cfvo type="percent" val="0"/>
        <cfvo type="num" val="0"/>
        <cfvo type="num" val="0"/>
      </iconSet>
    </cfRule>
  </conditionalFormatting>
  <conditionalFormatting sqref="Q119:R119">
    <cfRule type="iconSet" priority="470">
      <iconSet iconSet="3Symbols2" showValue="0">
        <cfvo type="percent" val="0"/>
        <cfvo type="num" val="0"/>
        <cfvo type="num" val="0"/>
      </iconSet>
    </cfRule>
  </conditionalFormatting>
  <conditionalFormatting sqref="Q128:R128">
    <cfRule type="iconSet" priority="469">
      <iconSet iconSet="3Symbols2" showValue="0">
        <cfvo type="percent" val="0"/>
        <cfvo type="num" val="0"/>
        <cfvo type="num" val="0"/>
      </iconSet>
    </cfRule>
  </conditionalFormatting>
  <conditionalFormatting sqref="Q62:R62">
    <cfRule type="iconSet" priority="468">
      <iconSet iconSet="3Symbols2" showValue="0">
        <cfvo type="percent" val="0"/>
        <cfvo type="num" val="0"/>
        <cfvo type="num" val="0"/>
      </iconSet>
    </cfRule>
  </conditionalFormatting>
  <conditionalFormatting sqref="Q138:R138">
    <cfRule type="iconSet" priority="467">
      <iconSet iconSet="3Symbols2" showValue="0">
        <cfvo type="percent" val="0"/>
        <cfvo type="num" val="0"/>
        <cfvo type="num" val="0"/>
      </iconSet>
    </cfRule>
  </conditionalFormatting>
  <conditionalFormatting sqref="Q153:R153">
    <cfRule type="iconSet" priority="466">
      <iconSet iconSet="3Symbols2" showValue="0">
        <cfvo type="percent" val="0"/>
        <cfvo type="num" val="0"/>
        <cfvo type="num" val="0"/>
      </iconSet>
    </cfRule>
  </conditionalFormatting>
  <conditionalFormatting sqref="Q86:R86">
    <cfRule type="iconSet" priority="465">
      <iconSet iconSet="3Symbols2" showValue="0">
        <cfvo type="percent" val="0"/>
        <cfvo type="num" val="0"/>
        <cfvo type="num" val="0"/>
      </iconSet>
    </cfRule>
  </conditionalFormatting>
  <conditionalFormatting sqref="Q1:R5">
    <cfRule type="iconSet" priority="464">
      <iconSet iconSet="3Symbols2" showValue="0">
        <cfvo type="percent" val="0"/>
        <cfvo type="num" val="0"/>
        <cfvo type="num" val="1"/>
      </iconSet>
    </cfRule>
  </conditionalFormatting>
  <conditionalFormatting sqref="Q11:R11">
    <cfRule type="iconSet" priority="463">
      <iconSet iconSet="3Symbols2" showValue="0">
        <cfvo type="percent" val="0"/>
        <cfvo type="num" val="0"/>
        <cfvo type="num" val="0"/>
      </iconSet>
    </cfRule>
  </conditionalFormatting>
  <conditionalFormatting sqref="Q24:R24">
    <cfRule type="iconSet" priority="462">
      <iconSet iconSet="3Symbols2" showValue="0">
        <cfvo type="percent" val="0"/>
        <cfvo type="num" val="0"/>
        <cfvo type="num" val="0"/>
      </iconSet>
    </cfRule>
  </conditionalFormatting>
  <conditionalFormatting sqref="Q27:R27">
    <cfRule type="iconSet" priority="461">
      <iconSet iconSet="3Symbols2" showValue="0">
        <cfvo type="percent" val="0"/>
        <cfvo type="num" val="0"/>
        <cfvo type="num" val="0"/>
      </iconSet>
    </cfRule>
  </conditionalFormatting>
  <conditionalFormatting sqref="Q40:R40">
    <cfRule type="iconSet" priority="460">
      <iconSet iconSet="3Symbols2" showValue="0">
        <cfvo type="percent" val="0"/>
        <cfvo type="num" val="0"/>
        <cfvo type="num" val="0"/>
      </iconSet>
    </cfRule>
  </conditionalFormatting>
  <conditionalFormatting sqref="Q43:R43">
    <cfRule type="iconSet" priority="459">
      <iconSet iconSet="3Symbols2" showValue="0">
        <cfvo type="percent" val="0"/>
        <cfvo type="num" val="0"/>
        <cfvo type="num" val="0"/>
      </iconSet>
    </cfRule>
  </conditionalFormatting>
  <conditionalFormatting sqref="Q56:R56">
    <cfRule type="iconSet" priority="458">
      <iconSet iconSet="3Symbols2" showValue="0">
        <cfvo type="percent" val="0"/>
        <cfvo type="num" val="0"/>
        <cfvo type="num" val="0"/>
      </iconSet>
    </cfRule>
  </conditionalFormatting>
  <conditionalFormatting sqref="Q59:R59">
    <cfRule type="iconSet" priority="457">
      <iconSet iconSet="3Symbols2" showValue="0">
        <cfvo type="percent" val="0"/>
        <cfvo type="num" val="0"/>
        <cfvo type="num" val="0"/>
      </iconSet>
    </cfRule>
  </conditionalFormatting>
  <conditionalFormatting sqref="Q98:R98">
    <cfRule type="iconSet" priority="456">
      <iconSet iconSet="3Symbols2" showValue="0">
        <cfvo type="percent" val="0"/>
        <cfvo type="num" val="0"/>
        <cfvo type="num" val="0"/>
      </iconSet>
    </cfRule>
  </conditionalFormatting>
  <conditionalFormatting sqref="Q108:R108">
    <cfRule type="iconSet" priority="455">
      <iconSet iconSet="3Symbols2" showValue="0">
        <cfvo type="percent" val="0"/>
        <cfvo type="num" val="0"/>
        <cfvo type="num" val="0"/>
      </iconSet>
    </cfRule>
  </conditionalFormatting>
  <conditionalFormatting sqref="Q118:R118">
    <cfRule type="iconSet" priority="454">
      <iconSet iconSet="3Symbols2" showValue="0">
        <cfvo type="percent" val="0"/>
        <cfvo type="num" val="0"/>
        <cfvo type="num" val="0"/>
      </iconSet>
    </cfRule>
  </conditionalFormatting>
  <conditionalFormatting sqref="Q127:R127">
    <cfRule type="iconSet" priority="453">
      <iconSet iconSet="3Symbols2" showValue="0">
        <cfvo type="percent" val="0"/>
        <cfvo type="num" val="0"/>
        <cfvo type="num" val="0"/>
      </iconSet>
    </cfRule>
  </conditionalFormatting>
  <conditionalFormatting sqref="Q137:R137">
    <cfRule type="iconSet" priority="452">
      <iconSet iconSet="3Symbols2" showValue="0">
        <cfvo type="percent" val="0"/>
        <cfvo type="num" val="0"/>
        <cfvo type="num" val="0"/>
      </iconSet>
    </cfRule>
  </conditionalFormatting>
  <conditionalFormatting sqref="Q152:R152">
    <cfRule type="iconSet" priority="451">
      <iconSet iconSet="3Symbols2" showValue="0">
        <cfvo type="percent" val="0"/>
        <cfvo type="num" val="0"/>
        <cfvo type="num" val="0"/>
      </iconSet>
    </cfRule>
  </conditionalFormatting>
  <conditionalFormatting sqref="Q65:R65">
    <cfRule type="iconSet" priority="450">
      <iconSet iconSet="3Symbols2" showValue="0">
        <cfvo type="percent" val="0"/>
        <cfvo type="num" val="0"/>
        <cfvo type="num" val="0"/>
      </iconSet>
    </cfRule>
  </conditionalFormatting>
  <conditionalFormatting sqref="Q85:R85">
    <cfRule type="iconSet" priority="449">
      <iconSet iconSet="3Symbols2" showValue="0">
        <cfvo type="percent" val="0"/>
        <cfvo type="num" val="0"/>
        <cfvo type="num" val="0"/>
      </iconSet>
    </cfRule>
  </conditionalFormatting>
  <conditionalFormatting sqref="Q64:R64">
    <cfRule type="iconSet" priority="482">
      <iconSet iconSet="3Symbols2" showValue="0">
        <cfvo type="percent" val="0"/>
        <cfvo type="num" val="0"/>
        <cfvo type="num" val="0"/>
      </iconSet>
    </cfRule>
  </conditionalFormatting>
  <conditionalFormatting sqref="Q13:R23">
    <cfRule type="iconSet" priority="448">
      <iconSet iconSet="3Symbols2" showValue="0">
        <cfvo type="percent" val="0"/>
        <cfvo type="num" val="0"/>
        <cfvo type="num" val="0"/>
      </iconSet>
    </cfRule>
  </conditionalFormatting>
  <conditionalFormatting sqref="Q26:R26">
    <cfRule type="iconSet" priority="447">
      <iconSet iconSet="3Symbols2" showValue="0">
        <cfvo type="percent" val="0"/>
        <cfvo type="num" val="0"/>
        <cfvo type="num" val="0"/>
      </iconSet>
    </cfRule>
  </conditionalFormatting>
  <conditionalFormatting sqref="Q29:R39">
    <cfRule type="iconSet" priority="446">
      <iconSet iconSet="3Symbols2" showValue="0">
        <cfvo type="percent" val="0"/>
        <cfvo type="num" val="0"/>
        <cfvo type="num" val="0"/>
      </iconSet>
    </cfRule>
  </conditionalFormatting>
  <conditionalFormatting sqref="Q63:R63 Q45:R51 Q53:R55">
    <cfRule type="iconSet" priority="445">
      <iconSet iconSet="3Symbols2" showValue="0">
        <cfvo type="percent" val="0"/>
        <cfvo type="num" val="0"/>
        <cfvo type="num" val="0"/>
      </iconSet>
    </cfRule>
  </conditionalFormatting>
  <conditionalFormatting sqref="Q66:R74">
    <cfRule type="iconSet" priority="444">
      <iconSet iconSet="3Symbols2" showValue="0">
        <cfvo type="percent" val="0"/>
        <cfvo type="num" val="0"/>
        <cfvo type="num" val="0"/>
      </iconSet>
    </cfRule>
  </conditionalFormatting>
  <conditionalFormatting sqref="Q100:R107">
    <cfRule type="iconSet" priority="443">
      <iconSet iconSet="3Symbols2" showValue="0">
        <cfvo type="percent" val="0"/>
        <cfvo type="num" val="0"/>
        <cfvo type="num" val="0"/>
      </iconSet>
    </cfRule>
  </conditionalFormatting>
  <conditionalFormatting sqref="Q110:R117">
    <cfRule type="iconSet" priority="442">
      <iconSet iconSet="3Symbols2" showValue="0">
        <cfvo type="percent" val="0"/>
        <cfvo type="num" val="0"/>
        <cfvo type="num" val="0"/>
      </iconSet>
    </cfRule>
  </conditionalFormatting>
  <conditionalFormatting sqref="Q129:R136">
    <cfRule type="iconSet" priority="441">
      <iconSet iconSet="3Symbols2" showValue="0">
        <cfvo type="percent" val="0"/>
        <cfvo type="num" val="0"/>
        <cfvo type="num" val="0"/>
      </iconSet>
    </cfRule>
  </conditionalFormatting>
  <conditionalFormatting sqref="Q139:R151">
    <cfRule type="iconSet" priority="440">
      <iconSet iconSet="3Symbols2" showValue="0">
        <cfvo type="percent" val="0"/>
        <cfvo type="num" val="0"/>
        <cfvo type="num" val="0"/>
      </iconSet>
    </cfRule>
  </conditionalFormatting>
  <conditionalFormatting sqref="Q154:R160">
    <cfRule type="iconSet" priority="439">
      <iconSet iconSet="3Symbols2" showValue="0">
        <cfvo type="percent" val="0"/>
        <cfvo type="num" val="0"/>
        <cfvo type="num" val="0"/>
      </iconSet>
    </cfRule>
  </conditionalFormatting>
  <conditionalFormatting sqref="Q75:R75">
    <cfRule type="iconSet" priority="438">
      <iconSet iconSet="3Symbols2" showValue="0">
        <cfvo type="percent" val="0"/>
        <cfvo type="num" val="0"/>
        <cfvo type="num" val="0"/>
      </iconSet>
    </cfRule>
  </conditionalFormatting>
  <conditionalFormatting sqref="Q76:R84">
    <cfRule type="iconSet" priority="437">
      <iconSet iconSet="3Symbols2" showValue="0">
        <cfvo type="percent" val="0"/>
        <cfvo type="num" val="0"/>
        <cfvo type="num" val="0"/>
      </iconSet>
    </cfRule>
  </conditionalFormatting>
  <conditionalFormatting sqref="Q60:R61">
    <cfRule type="iconSet" priority="436">
      <iconSet iconSet="3Symbols2" showValue="0">
        <cfvo type="percent" val="0"/>
        <cfvo type="num" val="0"/>
        <cfvo type="num" val="0"/>
      </iconSet>
    </cfRule>
  </conditionalFormatting>
  <conditionalFormatting sqref="Q52:R52">
    <cfRule type="iconSet" priority="435">
      <iconSet iconSet="3Symbols2" showValue="0">
        <cfvo type="percent" val="0"/>
        <cfvo type="num" val="0"/>
        <cfvo type="num" val="0"/>
      </iconSet>
    </cfRule>
  </conditionalFormatting>
  <conditionalFormatting sqref="S161:T1048576 S120:T126 S6:T8 S10:T10 S42:T42 S58:T58 S88:T97">
    <cfRule type="iconSet" priority="433">
      <iconSet iconSet="3Symbols2" showValue="0">
        <cfvo type="percent" val="0"/>
        <cfvo type="num" val="0"/>
        <cfvo type="num" val="0"/>
      </iconSet>
    </cfRule>
  </conditionalFormatting>
  <conditionalFormatting sqref="S9:T9">
    <cfRule type="iconSet" priority="432">
      <iconSet iconSet="3Symbols2" showValue="0">
        <cfvo type="percent" val="0"/>
        <cfvo type="num" val="0"/>
        <cfvo type="num" val="0"/>
      </iconSet>
    </cfRule>
  </conditionalFormatting>
  <conditionalFormatting sqref="S12:T12">
    <cfRule type="iconSet" priority="431">
      <iconSet iconSet="3Symbols2" showValue="0">
        <cfvo type="percent" val="0"/>
        <cfvo type="num" val="0"/>
        <cfvo type="num" val="0"/>
      </iconSet>
    </cfRule>
  </conditionalFormatting>
  <conditionalFormatting sqref="S25:T25">
    <cfRule type="iconSet" priority="430">
      <iconSet iconSet="3Symbols2" showValue="0">
        <cfvo type="percent" val="0"/>
        <cfvo type="num" val="0"/>
        <cfvo type="num" val="0"/>
      </iconSet>
    </cfRule>
  </conditionalFormatting>
  <conditionalFormatting sqref="S28:T28">
    <cfRule type="iconSet" priority="429">
      <iconSet iconSet="3Symbols2" showValue="0">
        <cfvo type="percent" val="0"/>
        <cfvo type="num" val="0"/>
        <cfvo type="num" val="0"/>
      </iconSet>
    </cfRule>
  </conditionalFormatting>
  <conditionalFormatting sqref="S41:T41">
    <cfRule type="iconSet" priority="428">
      <iconSet iconSet="3Symbols2" showValue="0">
        <cfvo type="percent" val="0"/>
        <cfvo type="num" val="0"/>
        <cfvo type="num" val="0"/>
      </iconSet>
    </cfRule>
  </conditionalFormatting>
  <conditionalFormatting sqref="S44:T44">
    <cfRule type="iconSet" priority="427">
      <iconSet iconSet="3Symbols2" showValue="0">
        <cfvo type="percent" val="0"/>
        <cfvo type="num" val="0"/>
        <cfvo type="num" val="0"/>
      </iconSet>
    </cfRule>
  </conditionalFormatting>
  <conditionalFormatting sqref="S57:T57">
    <cfRule type="iconSet" priority="426">
      <iconSet iconSet="3Symbols2" showValue="0">
        <cfvo type="percent" val="0"/>
        <cfvo type="num" val="0"/>
        <cfvo type="num" val="0"/>
      </iconSet>
    </cfRule>
  </conditionalFormatting>
  <conditionalFormatting sqref="S87:T87">
    <cfRule type="iconSet" priority="425">
      <iconSet iconSet="3Symbols2" showValue="0">
        <cfvo type="percent" val="0"/>
        <cfvo type="num" val="0"/>
        <cfvo type="num" val="0"/>
      </iconSet>
    </cfRule>
  </conditionalFormatting>
  <conditionalFormatting sqref="S99:T99">
    <cfRule type="iconSet" priority="424">
      <iconSet iconSet="3Symbols2" showValue="0">
        <cfvo type="percent" val="0"/>
        <cfvo type="num" val="0"/>
        <cfvo type="num" val="0"/>
      </iconSet>
    </cfRule>
  </conditionalFormatting>
  <conditionalFormatting sqref="S109:T109">
    <cfRule type="iconSet" priority="423">
      <iconSet iconSet="3Symbols2" showValue="0">
        <cfvo type="percent" val="0"/>
        <cfvo type="num" val="0"/>
        <cfvo type="num" val="0"/>
      </iconSet>
    </cfRule>
  </conditionalFormatting>
  <conditionalFormatting sqref="S119:T119">
    <cfRule type="iconSet" priority="422">
      <iconSet iconSet="3Symbols2" showValue="0">
        <cfvo type="percent" val="0"/>
        <cfvo type="num" val="0"/>
        <cfvo type="num" val="0"/>
      </iconSet>
    </cfRule>
  </conditionalFormatting>
  <conditionalFormatting sqref="S128:T128">
    <cfRule type="iconSet" priority="421">
      <iconSet iconSet="3Symbols2" showValue="0">
        <cfvo type="percent" val="0"/>
        <cfvo type="num" val="0"/>
        <cfvo type="num" val="0"/>
      </iconSet>
    </cfRule>
  </conditionalFormatting>
  <conditionalFormatting sqref="S62:T62">
    <cfRule type="iconSet" priority="420">
      <iconSet iconSet="3Symbols2" showValue="0">
        <cfvo type="percent" val="0"/>
        <cfvo type="num" val="0"/>
        <cfvo type="num" val="0"/>
      </iconSet>
    </cfRule>
  </conditionalFormatting>
  <conditionalFormatting sqref="S138:T138">
    <cfRule type="iconSet" priority="419">
      <iconSet iconSet="3Symbols2" showValue="0">
        <cfvo type="percent" val="0"/>
        <cfvo type="num" val="0"/>
        <cfvo type="num" val="0"/>
      </iconSet>
    </cfRule>
  </conditionalFormatting>
  <conditionalFormatting sqref="S153:T153">
    <cfRule type="iconSet" priority="418">
      <iconSet iconSet="3Symbols2" showValue="0">
        <cfvo type="percent" val="0"/>
        <cfvo type="num" val="0"/>
        <cfvo type="num" val="0"/>
      </iconSet>
    </cfRule>
  </conditionalFormatting>
  <conditionalFormatting sqref="S86:T86">
    <cfRule type="iconSet" priority="417">
      <iconSet iconSet="3Symbols2" showValue="0">
        <cfvo type="percent" val="0"/>
        <cfvo type="num" val="0"/>
        <cfvo type="num" val="0"/>
      </iconSet>
    </cfRule>
  </conditionalFormatting>
  <conditionalFormatting sqref="S1:T5">
    <cfRule type="iconSet" priority="416">
      <iconSet iconSet="3Symbols2" showValue="0">
        <cfvo type="percent" val="0"/>
        <cfvo type="num" val="0"/>
        <cfvo type="num" val="1"/>
      </iconSet>
    </cfRule>
  </conditionalFormatting>
  <conditionalFormatting sqref="S11:T11">
    <cfRule type="iconSet" priority="415">
      <iconSet iconSet="3Symbols2" showValue="0">
        <cfvo type="percent" val="0"/>
        <cfvo type="num" val="0"/>
        <cfvo type="num" val="0"/>
      </iconSet>
    </cfRule>
  </conditionalFormatting>
  <conditionalFormatting sqref="S24:T24">
    <cfRule type="iconSet" priority="414">
      <iconSet iconSet="3Symbols2" showValue="0">
        <cfvo type="percent" val="0"/>
        <cfvo type="num" val="0"/>
        <cfvo type="num" val="0"/>
      </iconSet>
    </cfRule>
  </conditionalFormatting>
  <conditionalFormatting sqref="S27:T27">
    <cfRule type="iconSet" priority="413">
      <iconSet iconSet="3Symbols2" showValue="0">
        <cfvo type="percent" val="0"/>
        <cfvo type="num" val="0"/>
        <cfvo type="num" val="0"/>
      </iconSet>
    </cfRule>
  </conditionalFormatting>
  <conditionalFormatting sqref="S40:T40">
    <cfRule type="iconSet" priority="412">
      <iconSet iconSet="3Symbols2" showValue="0">
        <cfvo type="percent" val="0"/>
        <cfvo type="num" val="0"/>
        <cfvo type="num" val="0"/>
      </iconSet>
    </cfRule>
  </conditionalFormatting>
  <conditionalFormatting sqref="S43:T43">
    <cfRule type="iconSet" priority="411">
      <iconSet iconSet="3Symbols2" showValue="0">
        <cfvo type="percent" val="0"/>
        <cfvo type="num" val="0"/>
        <cfvo type="num" val="0"/>
      </iconSet>
    </cfRule>
  </conditionalFormatting>
  <conditionalFormatting sqref="S56:T56">
    <cfRule type="iconSet" priority="410">
      <iconSet iconSet="3Symbols2" showValue="0">
        <cfvo type="percent" val="0"/>
        <cfvo type="num" val="0"/>
        <cfvo type="num" val="0"/>
      </iconSet>
    </cfRule>
  </conditionalFormatting>
  <conditionalFormatting sqref="S59:T59">
    <cfRule type="iconSet" priority="409">
      <iconSet iconSet="3Symbols2" showValue="0">
        <cfvo type="percent" val="0"/>
        <cfvo type="num" val="0"/>
        <cfvo type="num" val="0"/>
      </iconSet>
    </cfRule>
  </conditionalFormatting>
  <conditionalFormatting sqref="S98:T98">
    <cfRule type="iconSet" priority="408">
      <iconSet iconSet="3Symbols2" showValue="0">
        <cfvo type="percent" val="0"/>
        <cfvo type="num" val="0"/>
        <cfvo type="num" val="0"/>
      </iconSet>
    </cfRule>
  </conditionalFormatting>
  <conditionalFormatting sqref="S108:T108">
    <cfRule type="iconSet" priority="407">
      <iconSet iconSet="3Symbols2" showValue="0">
        <cfvo type="percent" val="0"/>
        <cfvo type="num" val="0"/>
        <cfvo type="num" val="0"/>
      </iconSet>
    </cfRule>
  </conditionalFormatting>
  <conditionalFormatting sqref="S118:T118">
    <cfRule type="iconSet" priority="406">
      <iconSet iconSet="3Symbols2" showValue="0">
        <cfvo type="percent" val="0"/>
        <cfvo type="num" val="0"/>
        <cfvo type="num" val="0"/>
      </iconSet>
    </cfRule>
  </conditionalFormatting>
  <conditionalFormatting sqref="S127:T127">
    <cfRule type="iconSet" priority="405">
      <iconSet iconSet="3Symbols2" showValue="0">
        <cfvo type="percent" val="0"/>
        <cfvo type="num" val="0"/>
        <cfvo type="num" val="0"/>
      </iconSet>
    </cfRule>
  </conditionalFormatting>
  <conditionalFormatting sqref="S137:T137">
    <cfRule type="iconSet" priority="404">
      <iconSet iconSet="3Symbols2" showValue="0">
        <cfvo type="percent" val="0"/>
        <cfvo type="num" val="0"/>
        <cfvo type="num" val="0"/>
      </iconSet>
    </cfRule>
  </conditionalFormatting>
  <conditionalFormatting sqref="S152:T152">
    <cfRule type="iconSet" priority="403">
      <iconSet iconSet="3Symbols2" showValue="0">
        <cfvo type="percent" val="0"/>
        <cfvo type="num" val="0"/>
        <cfvo type="num" val="0"/>
      </iconSet>
    </cfRule>
  </conditionalFormatting>
  <conditionalFormatting sqref="S65:T65">
    <cfRule type="iconSet" priority="402">
      <iconSet iconSet="3Symbols2" showValue="0">
        <cfvo type="percent" val="0"/>
        <cfvo type="num" val="0"/>
        <cfvo type="num" val="0"/>
      </iconSet>
    </cfRule>
  </conditionalFormatting>
  <conditionalFormatting sqref="S85:T85">
    <cfRule type="iconSet" priority="401">
      <iconSet iconSet="3Symbols2" showValue="0">
        <cfvo type="percent" val="0"/>
        <cfvo type="num" val="0"/>
        <cfvo type="num" val="0"/>
      </iconSet>
    </cfRule>
  </conditionalFormatting>
  <conditionalFormatting sqref="S64:T64">
    <cfRule type="iconSet" priority="434">
      <iconSet iconSet="3Symbols2" showValue="0">
        <cfvo type="percent" val="0"/>
        <cfvo type="num" val="0"/>
        <cfvo type="num" val="0"/>
      </iconSet>
    </cfRule>
  </conditionalFormatting>
  <conditionalFormatting sqref="S13:T23">
    <cfRule type="iconSet" priority="400">
      <iconSet iconSet="3Symbols2" showValue="0">
        <cfvo type="percent" val="0"/>
        <cfvo type="num" val="0"/>
        <cfvo type="num" val="0"/>
      </iconSet>
    </cfRule>
  </conditionalFormatting>
  <conditionalFormatting sqref="S26:T26">
    <cfRule type="iconSet" priority="399">
      <iconSet iconSet="3Symbols2" showValue="0">
        <cfvo type="percent" val="0"/>
        <cfvo type="num" val="0"/>
        <cfvo type="num" val="0"/>
      </iconSet>
    </cfRule>
  </conditionalFormatting>
  <conditionalFormatting sqref="S29:T39">
    <cfRule type="iconSet" priority="398">
      <iconSet iconSet="3Symbols2" showValue="0">
        <cfvo type="percent" val="0"/>
        <cfvo type="num" val="0"/>
        <cfvo type="num" val="0"/>
      </iconSet>
    </cfRule>
  </conditionalFormatting>
  <conditionalFormatting sqref="S63:T63 S45:T51 S53:T55">
    <cfRule type="iconSet" priority="397">
      <iconSet iconSet="3Symbols2" showValue="0">
        <cfvo type="percent" val="0"/>
        <cfvo type="num" val="0"/>
        <cfvo type="num" val="0"/>
      </iconSet>
    </cfRule>
  </conditionalFormatting>
  <conditionalFormatting sqref="S66:T74">
    <cfRule type="iconSet" priority="396">
      <iconSet iconSet="3Symbols2" showValue="0">
        <cfvo type="percent" val="0"/>
        <cfvo type="num" val="0"/>
        <cfvo type="num" val="0"/>
      </iconSet>
    </cfRule>
  </conditionalFormatting>
  <conditionalFormatting sqref="S100:T107">
    <cfRule type="iconSet" priority="395">
      <iconSet iconSet="3Symbols2" showValue="0">
        <cfvo type="percent" val="0"/>
        <cfvo type="num" val="0"/>
        <cfvo type="num" val="0"/>
      </iconSet>
    </cfRule>
  </conditionalFormatting>
  <conditionalFormatting sqref="S110:T117">
    <cfRule type="iconSet" priority="394">
      <iconSet iconSet="3Symbols2" showValue="0">
        <cfvo type="percent" val="0"/>
        <cfvo type="num" val="0"/>
        <cfvo type="num" val="0"/>
      </iconSet>
    </cfRule>
  </conditionalFormatting>
  <conditionalFormatting sqref="S129:T136">
    <cfRule type="iconSet" priority="393">
      <iconSet iconSet="3Symbols2" showValue="0">
        <cfvo type="percent" val="0"/>
        <cfvo type="num" val="0"/>
        <cfvo type="num" val="0"/>
      </iconSet>
    </cfRule>
  </conditionalFormatting>
  <conditionalFormatting sqref="S139:T151">
    <cfRule type="iconSet" priority="392">
      <iconSet iconSet="3Symbols2" showValue="0">
        <cfvo type="percent" val="0"/>
        <cfvo type="num" val="0"/>
        <cfvo type="num" val="0"/>
      </iconSet>
    </cfRule>
  </conditionalFormatting>
  <conditionalFormatting sqref="S154:T160">
    <cfRule type="iconSet" priority="391">
      <iconSet iconSet="3Symbols2" showValue="0">
        <cfvo type="percent" val="0"/>
        <cfvo type="num" val="0"/>
        <cfvo type="num" val="0"/>
      </iconSet>
    </cfRule>
  </conditionalFormatting>
  <conditionalFormatting sqref="S75:T75">
    <cfRule type="iconSet" priority="390">
      <iconSet iconSet="3Symbols2" showValue="0">
        <cfvo type="percent" val="0"/>
        <cfvo type="num" val="0"/>
        <cfvo type="num" val="0"/>
      </iconSet>
    </cfRule>
  </conditionalFormatting>
  <conditionalFormatting sqref="S76:T84">
    <cfRule type="iconSet" priority="389">
      <iconSet iconSet="3Symbols2" showValue="0">
        <cfvo type="percent" val="0"/>
        <cfvo type="num" val="0"/>
        <cfvo type="num" val="0"/>
      </iconSet>
    </cfRule>
  </conditionalFormatting>
  <conditionalFormatting sqref="S60:T61">
    <cfRule type="iconSet" priority="388">
      <iconSet iconSet="3Symbols2" showValue="0">
        <cfvo type="percent" val="0"/>
        <cfvo type="num" val="0"/>
        <cfvo type="num" val="0"/>
      </iconSet>
    </cfRule>
  </conditionalFormatting>
  <conditionalFormatting sqref="S52:T52">
    <cfRule type="iconSet" priority="387">
      <iconSet iconSet="3Symbols2" showValue="0">
        <cfvo type="percent" val="0"/>
        <cfvo type="num" val="0"/>
        <cfvo type="num" val="0"/>
      </iconSet>
    </cfRule>
  </conditionalFormatting>
  <conditionalFormatting sqref="U161:V1048576 U120:V126 U6:V8 U10:V10 U42:V42 U58:V58 U88:V97">
    <cfRule type="iconSet" priority="385">
      <iconSet iconSet="3Symbols2" showValue="0">
        <cfvo type="percent" val="0"/>
        <cfvo type="num" val="0"/>
        <cfvo type="num" val="0"/>
      </iconSet>
    </cfRule>
  </conditionalFormatting>
  <conditionalFormatting sqref="U9:V9">
    <cfRule type="iconSet" priority="384">
      <iconSet iconSet="3Symbols2" showValue="0">
        <cfvo type="percent" val="0"/>
        <cfvo type="num" val="0"/>
        <cfvo type="num" val="0"/>
      </iconSet>
    </cfRule>
  </conditionalFormatting>
  <conditionalFormatting sqref="U12:V12">
    <cfRule type="iconSet" priority="383">
      <iconSet iconSet="3Symbols2" showValue="0">
        <cfvo type="percent" val="0"/>
        <cfvo type="num" val="0"/>
        <cfvo type="num" val="0"/>
      </iconSet>
    </cfRule>
  </conditionalFormatting>
  <conditionalFormatting sqref="U25:V25">
    <cfRule type="iconSet" priority="382">
      <iconSet iconSet="3Symbols2" showValue="0">
        <cfvo type="percent" val="0"/>
        <cfvo type="num" val="0"/>
        <cfvo type="num" val="0"/>
      </iconSet>
    </cfRule>
  </conditionalFormatting>
  <conditionalFormatting sqref="U28:V28">
    <cfRule type="iconSet" priority="381">
      <iconSet iconSet="3Symbols2" showValue="0">
        <cfvo type="percent" val="0"/>
        <cfvo type="num" val="0"/>
        <cfvo type="num" val="0"/>
      </iconSet>
    </cfRule>
  </conditionalFormatting>
  <conditionalFormatting sqref="U41:V41">
    <cfRule type="iconSet" priority="380">
      <iconSet iconSet="3Symbols2" showValue="0">
        <cfvo type="percent" val="0"/>
        <cfvo type="num" val="0"/>
        <cfvo type="num" val="0"/>
      </iconSet>
    </cfRule>
  </conditionalFormatting>
  <conditionalFormatting sqref="U44:V44">
    <cfRule type="iconSet" priority="379">
      <iconSet iconSet="3Symbols2" showValue="0">
        <cfvo type="percent" val="0"/>
        <cfvo type="num" val="0"/>
        <cfvo type="num" val="0"/>
      </iconSet>
    </cfRule>
  </conditionalFormatting>
  <conditionalFormatting sqref="U57:V57">
    <cfRule type="iconSet" priority="378">
      <iconSet iconSet="3Symbols2" showValue="0">
        <cfvo type="percent" val="0"/>
        <cfvo type="num" val="0"/>
        <cfvo type="num" val="0"/>
      </iconSet>
    </cfRule>
  </conditionalFormatting>
  <conditionalFormatting sqref="U87:V87">
    <cfRule type="iconSet" priority="377">
      <iconSet iconSet="3Symbols2" showValue="0">
        <cfvo type="percent" val="0"/>
        <cfvo type="num" val="0"/>
        <cfvo type="num" val="0"/>
      </iconSet>
    </cfRule>
  </conditionalFormatting>
  <conditionalFormatting sqref="U99:V99">
    <cfRule type="iconSet" priority="376">
      <iconSet iconSet="3Symbols2" showValue="0">
        <cfvo type="percent" val="0"/>
        <cfvo type="num" val="0"/>
        <cfvo type="num" val="0"/>
      </iconSet>
    </cfRule>
  </conditionalFormatting>
  <conditionalFormatting sqref="U109:V109">
    <cfRule type="iconSet" priority="375">
      <iconSet iconSet="3Symbols2" showValue="0">
        <cfvo type="percent" val="0"/>
        <cfvo type="num" val="0"/>
        <cfvo type="num" val="0"/>
      </iconSet>
    </cfRule>
  </conditionalFormatting>
  <conditionalFormatting sqref="U119:V119">
    <cfRule type="iconSet" priority="374">
      <iconSet iconSet="3Symbols2" showValue="0">
        <cfvo type="percent" val="0"/>
        <cfvo type="num" val="0"/>
        <cfvo type="num" val="0"/>
      </iconSet>
    </cfRule>
  </conditionalFormatting>
  <conditionalFormatting sqref="U128:V128">
    <cfRule type="iconSet" priority="373">
      <iconSet iconSet="3Symbols2" showValue="0">
        <cfvo type="percent" val="0"/>
        <cfvo type="num" val="0"/>
        <cfvo type="num" val="0"/>
      </iconSet>
    </cfRule>
  </conditionalFormatting>
  <conditionalFormatting sqref="U62:V62">
    <cfRule type="iconSet" priority="372">
      <iconSet iconSet="3Symbols2" showValue="0">
        <cfvo type="percent" val="0"/>
        <cfvo type="num" val="0"/>
        <cfvo type="num" val="0"/>
      </iconSet>
    </cfRule>
  </conditionalFormatting>
  <conditionalFormatting sqref="U138:V138">
    <cfRule type="iconSet" priority="371">
      <iconSet iconSet="3Symbols2" showValue="0">
        <cfvo type="percent" val="0"/>
        <cfvo type="num" val="0"/>
        <cfvo type="num" val="0"/>
      </iconSet>
    </cfRule>
  </conditionalFormatting>
  <conditionalFormatting sqref="U153:V153">
    <cfRule type="iconSet" priority="370">
      <iconSet iconSet="3Symbols2" showValue="0">
        <cfvo type="percent" val="0"/>
        <cfvo type="num" val="0"/>
        <cfvo type="num" val="0"/>
      </iconSet>
    </cfRule>
  </conditionalFormatting>
  <conditionalFormatting sqref="U86:V86">
    <cfRule type="iconSet" priority="369">
      <iconSet iconSet="3Symbols2" showValue="0">
        <cfvo type="percent" val="0"/>
        <cfvo type="num" val="0"/>
        <cfvo type="num" val="0"/>
      </iconSet>
    </cfRule>
  </conditionalFormatting>
  <conditionalFormatting sqref="U1:V5">
    <cfRule type="iconSet" priority="368">
      <iconSet iconSet="3Symbols2" showValue="0">
        <cfvo type="percent" val="0"/>
        <cfvo type="num" val="0"/>
        <cfvo type="num" val="1"/>
      </iconSet>
    </cfRule>
  </conditionalFormatting>
  <conditionalFormatting sqref="U11:V11">
    <cfRule type="iconSet" priority="367">
      <iconSet iconSet="3Symbols2" showValue="0">
        <cfvo type="percent" val="0"/>
        <cfvo type="num" val="0"/>
        <cfvo type="num" val="0"/>
      </iconSet>
    </cfRule>
  </conditionalFormatting>
  <conditionalFormatting sqref="U24:V24">
    <cfRule type="iconSet" priority="366">
      <iconSet iconSet="3Symbols2" showValue="0">
        <cfvo type="percent" val="0"/>
        <cfvo type="num" val="0"/>
        <cfvo type="num" val="0"/>
      </iconSet>
    </cfRule>
  </conditionalFormatting>
  <conditionalFormatting sqref="U27:V27">
    <cfRule type="iconSet" priority="365">
      <iconSet iconSet="3Symbols2" showValue="0">
        <cfvo type="percent" val="0"/>
        <cfvo type="num" val="0"/>
        <cfvo type="num" val="0"/>
      </iconSet>
    </cfRule>
  </conditionalFormatting>
  <conditionalFormatting sqref="U40:V40">
    <cfRule type="iconSet" priority="364">
      <iconSet iconSet="3Symbols2" showValue="0">
        <cfvo type="percent" val="0"/>
        <cfvo type="num" val="0"/>
        <cfvo type="num" val="0"/>
      </iconSet>
    </cfRule>
  </conditionalFormatting>
  <conditionalFormatting sqref="U43:V43">
    <cfRule type="iconSet" priority="363">
      <iconSet iconSet="3Symbols2" showValue="0">
        <cfvo type="percent" val="0"/>
        <cfvo type="num" val="0"/>
        <cfvo type="num" val="0"/>
      </iconSet>
    </cfRule>
  </conditionalFormatting>
  <conditionalFormatting sqref="U56:V56">
    <cfRule type="iconSet" priority="362">
      <iconSet iconSet="3Symbols2" showValue="0">
        <cfvo type="percent" val="0"/>
        <cfvo type="num" val="0"/>
        <cfvo type="num" val="0"/>
      </iconSet>
    </cfRule>
  </conditionalFormatting>
  <conditionalFormatting sqref="U59:V59">
    <cfRule type="iconSet" priority="361">
      <iconSet iconSet="3Symbols2" showValue="0">
        <cfvo type="percent" val="0"/>
        <cfvo type="num" val="0"/>
        <cfvo type="num" val="0"/>
      </iconSet>
    </cfRule>
  </conditionalFormatting>
  <conditionalFormatting sqref="U98:V98">
    <cfRule type="iconSet" priority="360">
      <iconSet iconSet="3Symbols2" showValue="0">
        <cfvo type="percent" val="0"/>
        <cfvo type="num" val="0"/>
        <cfvo type="num" val="0"/>
      </iconSet>
    </cfRule>
  </conditionalFormatting>
  <conditionalFormatting sqref="U108:V108">
    <cfRule type="iconSet" priority="359">
      <iconSet iconSet="3Symbols2" showValue="0">
        <cfvo type="percent" val="0"/>
        <cfvo type="num" val="0"/>
        <cfvo type="num" val="0"/>
      </iconSet>
    </cfRule>
  </conditionalFormatting>
  <conditionalFormatting sqref="U118:V118">
    <cfRule type="iconSet" priority="358">
      <iconSet iconSet="3Symbols2" showValue="0">
        <cfvo type="percent" val="0"/>
        <cfvo type="num" val="0"/>
        <cfvo type="num" val="0"/>
      </iconSet>
    </cfRule>
  </conditionalFormatting>
  <conditionalFormatting sqref="U127:V127">
    <cfRule type="iconSet" priority="357">
      <iconSet iconSet="3Symbols2" showValue="0">
        <cfvo type="percent" val="0"/>
        <cfvo type="num" val="0"/>
        <cfvo type="num" val="0"/>
      </iconSet>
    </cfRule>
  </conditionalFormatting>
  <conditionalFormatting sqref="U137:V137">
    <cfRule type="iconSet" priority="356">
      <iconSet iconSet="3Symbols2" showValue="0">
        <cfvo type="percent" val="0"/>
        <cfvo type="num" val="0"/>
        <cfvo type="num" val="0"/>
      </iconSet>
    </cfRule>
  </conditionalFormatting>
  <conditionalFormatting sqref="U152:V152">
    <cfRule type="iconSet" priority="355">
      <iconSet iconSet="3Symbols2" showValue="0">
        <cfvo type="percent" val="0"/>
        <cfvo type="num" val="0"/>
        <cfvo type="num" val="0"/>
      </iconSet>
    </cfRule>
  </conditionalFormatting>
  <conditionalFormatting sqref="U65:V65">
    <cfRule type="iconSet" priority="354">
      <iconSet iconSet="3Symbols2" showValue="0">
        <cfvo type="percent" val="0"/>
        <cfvo type="num" val="0"/>
        <cfvo type="num" val="0"/>
      </iconSet>
    </cfRule>
  </conditionalFormatting>
  <conditionalFormatting sqref="U85:V85">
    <cfRule type="iconSet" priority="353">
      <iconSet iconSet="3Symbols2" showValue="0">
        <cfvo type="percent" val="0"/>
        <cfvo type="num" val="0"/>
        <cfvo type="num" val="0"/>
      </iconSet>
    </cfRule>
  </conditionalFormatting>
  <conditionalFormatting sqref="U64:V64">
    <cfRule type="iconSet" priority="386">
      <iconSet iconSet="3Symbols2" showValue="0">
        <cfvo type="percent" val="0"/>
        <cfvo type="num" val="0"/>
        <cfvo type="num" val="0"/>
      </iconSet>
    </cfRule>
  </conditionalFormatting>
  <conditionalFormatting sqref="U13:V23">
    <cfRule type="iconSet" priority="352">
      <iconSet iconSet="3Symbols2" showValue="0">
        <cfvo type="percent" val="0"/>
        <cfvo type="num" val="0"/>
        <cfvo type="num" val="0"/>
      </iconSet>
    </cfRule>
  </conditionalFormatting>
  <conditionalFormatting sqref="U26:V26">
    <cfRule type="iconSet" priority="351">
      <iconSet iconSet="3Symbols2" showValue="0">
        <cfvo type="percent" val="0"/>
        <cfvo type="num" val="0"/>
        <cfvo type="num" val="0"/>
      </iconSet>
    </cfRule>
  </conditionalFormatting>
  <conditionalFormatting sqref="U29:V39">
    <cfRule type="iconSet" priority="350">
      <iconSet iconSet="3Symbols2" showValue="0">
        <cfvo type="percent" val="0"/>
        <cfvo type="num" val="0"/>
        <cfvo type="num" val="0"/>
      </iconSet>
    </cfRule>
  </conditionalFormatting>
  <conditionalFormatting sqref="U63:V63 U45:V51 U53:V55">
    <cfRule type="iconSet" priority="349">
      <iconSet iconSet="3Symbols2" showValue="0">
        <cfvo type="percent" val="0"/>
        <cfvo type="num" val="0"/>
        <cfvo type="num" val="0"/>
      </iconSet>
    </cfRule>
  </conditionalFormatting>
  <conditionalFormatting sqref="U66:V74">
    <cfRule type="iconSet" priority="348">
      <iconSet iconSet="3Symbols2" showValue="0">
        <cfvo type="percent" val="0"/>
        <cfvo type="num" val="0"/>
        <cfvo type="num" val="0"/>
      </iconSet>
    </cfRule>
  </conditionalFormatting>
  <conditionalFormatting sqref="U100:V107">
    <cfRule type="iconSet" priority="347">
      <iconSet iconSet="3Symbols2" showValue="0">
        <cfvo type="percent" val="0"/>
        <cfvo type="num" val="0"/>
        <cfvo type="num" val="0"/>
      </iconSet>
    </cfRule>
  </conditionalFormatting>
  <conditionalFormatting sqref="U110:V117">
    <cfRule type="iconSet" priority="346">
      <iconSet iconSet="3Symbols2" showValue="0">
        <cfvo type="percent" val="0"/>
        <cfvo type="num" val="0"/>
        <cfvo type="num" val="0"/>
      </iconSet>
    </cfRule>
  </conditionalFormatting>
  <conditionalFormatting sqref="U129:V136">
    <cfRule type="iconSet" priority="345">
      <iconSet iconSet="3Symbols2" showValue="0">
        <cfvo type="percent" val="0"/>
        <cfvo type="num" val="0"/>
        <cfvo type="num" val="0"/>
      </iconSet>
    </cfRule>
  </conditionalFormatting>
  <conditionalFormatting sqref="U139:V151">
    <cfRule type="iconSet" priority="344">
      <iconSet iconSet="3Symbols2" showValue="0">
        <cfvo type="percent" val="0"/>
        <cfvo type="num" val="0"/>
        <cfvo type="num" val="0"/>
      </iconSet>
    </cfRule>
  </conditionalFormatting>
  <conditionalFormatting sqref="U154:V160">
    <cfRule type="iconSet" priority="343">
      <iconSet iconSet="3Symbols2" showValue="0">
        <cfvo type="percent" val="0"/>
        <cfvo type="num" val="0"/>
        <cfvo type="num" val="0"/>
      </iconSet>
    </cfRule>
  </conditionalFormatting>
  <conditionalFormatting sqref="U75:V75">
    <cfRule type="iconSet" priority="342">
      <iconSet iconSet="3Symbols2" showValue="0">
        <cfvo type="percent" val="0"/>
        <cfvo type="num" val="0"/>
        <cfvo type="num" val="0"/>
      </iconSet>
    </cfRule>
  </conditionalFormatting>
  <conditionalFormatting sqref="U76:V84">
    <cfRule type="iconSet" priority="341">
      <iconSet iconSet="3Symbols2" showValue="0">
        <cfvo type="percent" val="0"/>
        <cfvo type="num" val="0"/>
        <cfvo type="num" val="0"/>
      </iconSet>
    </cfRule>
  </conditionalFormatting>
  <conditionalFormatting sqref="U60:V61">
    <cfRule type="iconSet" priority="340">
      <iconSet iconSet="3Symbols2" showValue="0">
        <cfvo type="percent" val="0"/>
        <cfvo type="num" val="0"/>
        <cfvo type="num" val="0"/>
      </iconSet>
    </cfRule>
  </conditionalFormatting>
  <conditionalFormatting sqref="U52:V52">
    <cfRule type="iconSet" priority="339">
      <iconSet iconSet="3Symbols2" showValue="0">
        <cfvo type="percent" val="0"/>
        <cfvo type="num" val="0"/>
        <cfvo type="num" val="0"/>
      </iconSet>
    </cfRule>
  </conditionalFormatting>
  <conditionalFormatting sqref="W161:X1048576 W120:X126 W6:X8 W10:X10 W42:X42 W58:X58 W88:X97">
    <cfRule type="iconSet" priority="337">
      <iconSet iconSet="3Symbols2" showValue="0">
        <cfvo type="percent" val="0"/>
        <cfvo type="num" val="0"/>
        <cfvo type="num" val="0"/>
      </iconSet>
    </cfRule>
  </conditionalFormatting>
  <conditionalFormatting sqref="W9:X9">
    <cfRule type="iconSet" priority="336">
      <iconSet iconSet="3Symbols2" showValue="0">
        <cfvo type="percent" val="0"/>
        <cfvo type="num" val="0"/>
        <cfvo type="num" val="0"/>
      </iconSet>
    </cfRule>
  </conditionalFormatting>
  <conditionalFormatting sqref="W12:X12">
    <cfRule type="iconSet" priority="335">
      <iconSet iconSet="3Symbols2" showValue="0">
        <cfvo type="percent" val="0"/>
        <cfvo type="num" val="0"/>
        <cfvo type="num" val="0"/>
      </iconSet>
    </cfRule>
  </conditionalFormatting>
  <conditionalFormatting sqref="W25:X25">
    <cfRule type="iconSet" priority="334">
      <iconSet iconSet="3Symbols2" showValue="0">
        <cfvo type="percent" val="0"/>
        <cfvo type="num" val="0"/>
        <cfvo type="num" val="0"/>
      </iconSet>
    </cfRule>
  </conditionalFormatting>
  <conditionalFormatting sqref="W28:X28">
    <cfRule type="iconSet" priority="333">
      <iconSet iconSet="3Symbols2" showValue="0">
        <cfvo type="percent" val="0"/>
        <cfvo type="num" val="0"/>
        <cfvo type="num" val="0"/>
      </iconSet>
    </cfRule>
  </conditionalFormatting>
  <conditionalFormatting sqref="W41:X41">
    <cfRule type="iconSet" priority="332">
      <iconSet iconSet="3Symbols2" showValue="0">
        <cfvo type="percent" val="0"/>
        <cfvo type="num" val="0"/>
        <cfvo type="num" val="0"/>
      </iconSet>
    </cfRule>
  </conditionalFormatting>
  <conditionalFormatting sqref="W44:X44">
    <cfRule type="iconSet" priority="331">
      <iconSet iconSet="3Symbols2" showValue="0">
        <cfvo type="percent" val="0"/>
        <cfvo type="num" val="0"/>
        <cfvo type="num" val="0"/>
      </iconSet>
    </cfRule>
  </conditionalFormatting>
  <conditionalFormatting sqref="W57:X57">
    <cfRule type="iconSet" priority="330">
      <iconSet iconSet="3Symbols2" showValue="0">
        <cfvo type="percent" val="0"/>
        <cfvo type="num" val="0"/>
        <cfvo type="num" val="0"/>
      </iconSet>
    </cfRule>
  </conditionalFormatting>
  <conditionalFormatting sqref="W87:X87">
    <cfRule type="iconSet" priority="329">
      <iconSet iconSet="3Symbols2" showValue="0">
        <cfvo type="percent" val="0"/>
        <cfvo type="num" val="0"/>
        <cfvo type="num" val="0"/>
      </iconSet>
    </cfRule>
  </conditionalFormatting>
  <conditionalFormatting sqref="W99:X99">
    <cfRule type="iconSet" priority="328">
      <iconSet iconSet="3Symbols2" showValue="0">
        <cfvo type="percent" val="0"/>
        <cfvo type="num" val="0"/>
        <cfvo type="num" val="0"/>
      </iconSet>
    </cfRule>
  </conditionalFormatting>
  <conditionalFormatting sqref="W109:X109">
    <cfRule type="iconSet" priority="327">
      <iconSet iconSet="3Symbols2" showValue="0">
        <cfvo type="percent" val="0"/>
        <cfvo type="num" val="0"/>
        <cfvo type="num" val="0"/>
      </iconSet>
    </cfRule>
  </conditionalFormatting>
  <conditionalFormatting sqref="W119:X119">
    <cfRule type="iconSet" priority="326">
      <iconSet iconSet="3Symbols2" showValue="0">
        <cfvo type="percent" val="0"/>
        <cfvo type="num" val="0"/>
        <cfvo type="num" val="0"/>
      </iconSet>
    </cfRule>
  </conditionalFormatting>
  <conditionalFormatting sqref="W128:X128">
    <cfRule type="iconSet" priority="325">
      <iconSet iconSet="3Symbols2" showValue="0">
        <cfvo type="percent" val="0"/>
        <cfvo type="num" val="0"/>
        <cfvo type="num" val="0"/>
      </iconSet>
    </cfRule>
  </conditionalFormatting>
  <conditionalFormatting sqref="W62:X62">
    <cfRule type="iconSet" priority="324">
      <iconSet iconSet="3Symbols2" showValue="0">
        <cfvo type="percent" val="0"/>
        <cfvo type="num" val="0"/>
        <cfvo type="num" val="0"/>
      </iconSet>
    </cfRule>
  </conditionalFormatting>
  <conditionalFormatting sqref="W138:X138">
    <cfRule type="iconSet" priority="323">
      <iconSet iconSet="3Symbols2" showValue="0">
        <cfvo type="percent" val="0"/>
        <cfvo type="num" val="0"/>
        <cfvo type="num" val="0"/>
      </iconSet>
    </cfRule>
  </conditionalFormatting>
  <conditionalFormatting sqref="W153:X153">
    <cfRule type="iconSet" priority="322">
      <iconSet iconSet="3Symbols2" showValue="0">
        <cfvo type="percent" val="0"/>
        <cfvo type="num" val="0"/>
        <cfvo type="num" val="0"/>
      </iconSet>
    </cfRule>
  </conditionalFormatting>
  <conditionalFormatting sqref="W86:X86">
    <cfRule type="iconSet" priority="321">
      <iconSet iconSet="3Symbols2" showValue="0">
        <cfvo type="percent" val="0"/>
        <cfvo type="num" val="0"/>
        <cfvo type="num" val="0"/>
      </iconSet>
    </cfRule>
  </conditionalFormatting>
  <conditionalFormatting sqref="W1:X5">
    <cfRule type="iconSet" priority="320">
      <iconSet iconSet="3Symbols2" showValue="0">
        <cfvo type="percent" val="0"/>
        <cfvo type="num" val="0"/>
        <cfvo type="num" val="1"/>
      </iconSet>
    </cfRule>
  </conditionalFormatting>
  <conditionalFormatting sqref="W11:X11">
    <cfRule type="iconSet" priority="319">
      <iconSet iconSet="3Symbols2" showValue="0">
        <cfvo type="percent" val="0"/>
        <cfvo type="num" val="0"/>
        <cfvo type="num" val="0"/>
      </iconSet>
    </cfRule>
  </conditionalFormatting>
  <conditionalFormatting sqref="W24:X24">
    <cfRule type="iconSet" priority="318">
      <iconSet iconSet="3Symbols2" showValue="0">
        <cfvo type="percent" val="0"/>
        <cfvo type="num" val="0"/>
        <cfvo type="num" val="0"/>
      </iconSet>
    </cfRule>
  </conditionalFormatting>
  <conditionalFormatting sqref="W27:X27">
    <cfRule type="iconSet" priority="317">
      <iconSet iconSet="3Symbols2" showValue="0">
        <cfvo type="percent" val="0"/>
        <cfvo type="num" val="0"/>
        <cfvo type="num" val="0"/>
      </iconSet>
    </cfRule>
  </conditionalFormatting>
  <conditionalFormatting sqref="W40:X40">
    <cfRule type="iconSet" priority="316">
      <iconSet iconSet="3Symbols2" showValue="0">
        <cfvo type="percent" val="0"/>
        <cfvo type="num" val="0"/>
        <cfvo type="num" val="0"/>
      </iconSet>
    </cfRule>
  </conditionalFormatting>
  <conditionalFormatting sqref="W43:X43">
    <cfRule type="iconSet" priority="315">
      <iconSet iconSet="3Symbols2" showValue="0">
        <cfvo type="percent" val="0"/>
        <cfvo type="num" val="0"/>
        <cfvo type="num" val="0"/>
      </iconSet>
    </cfRule>
  </conditionalFormatting>
  <conditionalFormatting sqref="W56:X56">
    <cfRule type="iconSet" priority="314">
      <iconSet iconSet="3Symbols2" showValue="0">
        <cfvo type="percent" val="0"/>
        <cfvo type="num" val="0"/>
        <cfvo type="num" val="0"/>
      </iconSet>
    </cfRule>
  </conditionalFormatting>
  <conditionalFormatting sqref="W59:X59">
    <cfRule type="iconSet" priority="313">
      <iconSet iconSet="3Symbols2" showValue="0">
        <cfvo type="percent" val="0"/>
        <cfvo type="num" val="0"/>
        <cfvo type="num" val="0"/>
      </iconSet>
    </cfRule>
  </conditionalFormatting>
  <conditionalFormatting sqref="W98:X98">
    <cfRule type="iconSet" priority="312">
      <iconSet iconSet="3Symbols2" showValue="0">
        <cfvo type="percent" val="0"/>
        <cfvo type="num" val="0"/>
        <cfvo type="num" val="0"/>
      </iconSet>
    </cfRule>
  </conditionalFormatting>
  <conditionalFormatting sqref="W108:X108">
    <cfRule type="iconSet" priority="311">
      <iconSet iconSet="3Symbols2" showValue="0">
        <cfvo type="percent" val="0"/>
        <cfvo type="num" val="0"/>
        <cfvo type="num" val="0"/>
      </iconSet>
    </cfRule>
  </conditionalFormatting>
  <conditionalFormatting sqref="W118:X118">
    <cfRule type="iconSet" priority="310">
      <iconSet iconSet="3Symbols2" showValue="0">
        <cfvo type="percent" val="0"/>
        <cfvo type="num" val="0"/>
        <cfvo type="num" val="0"/>
      </iconSet>
    </cfRule>
  </conditionalFormatting>
  <conditionalFormatting sqref="W127:X127">
    <cfRule type="iconSet" priority="309">
      <iconSet iconSet="3Symbols2" showValue="0">
        <cfvo type="percent" val="0"/>
        <cfvo type="num" val="0"/>
        <cfvo type="num" val="0"/>
      </iconSet>
    </cfRule>
  </conditionalFormatting>
  <conditionalFormatting sqref="W137:X137">
    <cfRule type="iconSet" priority="308">
      <iconSet iconSet="3Symbols2" showValue="0">
        <cfvo type="percent" val="0"/>
        <cfvo type="num" val="0"/>
        <cfvo type="num" val="0"/>
      </iconSet>
    </cfRule>
  </conditionalFormatting>
  <conditionalFormatting sqref="W152:X152">
    <cfRule type="iconSet" priority="307">
      <iconSet iconSet="3Symbols2" showValue="0">
        <cfvo type="percent" val="0"/>
        <cfvo type="num" val="0"/>
        <cfvo type="num" val="0"/>
      </iconSet>
    </cfRule>
  </conditionalFormatting>
  <conditionalFormatting sqref="W65:X65">
    <cfRule type="iconSet" priority="306">
      <iconSet iconSet="3Symbols2" showValue="0">
        <cfvo type="percent" val="0"/>
        <cfvo type="num" val="0"/>
        <cfvo type="num" val="0"/>
      </iconSet>
    </cfRule>
  </conditionalFormatting>
  <conditionalFormatting sqref="W85:X85">
    <cfRule type="iconSet" priority="305">
      <iconSet iconSet="3Symbols2" showValue="0">
        <cfvo type="percent" val="0"/>
        <cfvo type="num" val="0"/>
        <cfvo type="num" val="0"/>
      </iconSet>
    </cfRule>
  </conditionalFormatting>
  <conditionalFormatting sqref="W64:X64">
    <cfRule type="iconSet" priority="338">
      <iconSet iconSet="3Symbols2" showValue="0">
        <cfvo type="percent" val="0"/>
        <cfvo type="num" val="0"/>
        <cfvo type="num" val="0"/>
      </iconSet>
    </cfRule>
  </conditionalFormatting>
  <conditionalFormatting sqref="W13:X23">
    <cfRule type="iconSet" priority="304">
      <iconSet iconSet="3Symbols2" showValue="0">
        <cfvo type="percent" val="0"/>
        <cfvo type="num" val="0"/>
        <cfvo type="num" val="0"/>
      </iconSet>
    </cfRule>
  </conditionalFormatting>
  <conditionalFormatting sqref="W26:X26">
    <cfRule type="iconSet" priority="303">
      <iconSet iconSet="3Symbols2" showValue="0">
        <cfvo type="percent" val="0"/>
        <cfvo type="num" val="0"/>
        <cfvo type="num" val="0"/>
      </iconSet>
    </cfRule>
  </conditionalFormatting>
  <conditionalFormatting sqref="W29:X39">
    <cfRule type="iconSet" priority="302">
      <iconSet iconSet="3Symbols2" showValue="0">
        <cfvo type="percent" val="0"/>
        <cfvo type="num" val="0"/>
        <cfvo type="num" val="0"/>
      </iconSet>
    </cfRule>
  </conditionalFormatting>
  <conditionalFormatting sqref="W63:X63 W45:X51 W53:X55">
    <cfRule type="iconSet" priority="301">
      <iconSet iconSet="3Symbols2" showValue="0">
        <cfvo type="percent" val="0"/>
        <cfvo type="num" val="0"/>
        <cfvo type="num" val="0"/>
      </iconSet>
    </cfRule>
  </conditionalFormatting>
  <conditionalFormatting sqref="W66:X74">
    <cfRule type="iconSet" priority="300">
      <iconSet iconSet="3Symbols2" showValue="0">
        <cfvo type="percent" val="0"/>
        <cfvo type="num" val="0"/>
        <cfvo type="num" val="0"/>
      </iconSet>
    </cfRule>
  </conditionalFormatting>
  <conditionalFormatting sqref="W100:X107">
    <cfRule type="iconSet" priority="299">
      <iconSet iconSet="3Symbols2" showValue="0">
        <cfvo type="percent" val="0"/>
        <cfvo type="num" val="0"/>
        <cfvo type="num" val="0"/>
      </iconSet>
    </cfRule>
  </conditionalFormatting>
  <conditionalFormatting sqref="W110:X117">
    <cfRule type="iconSet" priority="298">
      <iconSet iconSet="3Symbols2" showValue="0">
        <cfvo type="percent" val="0"/>
        <cfvo type="num" val="0"/>
        <cfvo type="num" val="0"/>
      </iconSet>
    </cfRule>
  </conditionalFormatting>
  <conditionalFormatting sqref="W129:X136">
    <cfRule type="iconSet" priority="297">
      <iconSet iconSet="3Symbols2" showValue="0">
        <cfvo type="percent" val="0"/>
        <cfvo type="num" val="0"/>
        <cfvo type="num" val="0"/>
      </iconSet>
    </cfRule>
  </conditionalFormatting>
  <conditionalFormatting sqref="W139:X151">
    <cfRule type="iconSet" priority="296">
      <iconSet iconSet="3Symbols2" showValue="0">
        <cfvo type="percent" val="0"/>
        <cfvo type="num" val="0"/>
        <cfvo type="num" val="0"/>
      </iconSet>
    </cfRule>
  </conditionalFormatting>
  <conditionalFormatting sqref="W154:X160">
    <cfRule type="iconSet" priority="295">
      <iconSet iconSet="3Symbols2" showValue="0">
        <cfvo type="percent" val="0"/>
        <cfvo type="num" val="0"/>
        <cfvo type="num" val="0"/>
      </iconSet>
    </cfRule>
  </conditionalFormatting>
  <conditionalFormatting sqref="W75:X75">
    <cfRule type="iconSet" priority="294">
      <iconSet iconSet="3Symbols2" showValue="0">
        <cfvo type="percent" val="0"/>
        <cfvo type="num" val="0"/>
        <cfvo type="num" val="0"/>
      </iconSet>
    </cfRule>
  </conditionalFormatting>
  <conditionalFormatting sqref="W76:X84">
    <cfRule type="iconSet" priority="293">
      <iconSet iconSet="3Symbols2" showValue="0">
        <cfvo type="percent" val="0"/>
        <cfvo type="num" val="0"/>
        <cfvo type="num" val="0"/>
      </iconSet>
    </cfRule>
  </conditionalFormatting>
  <conditionalFormatting sqref="W60:X61">
    <cfRule type="iconSet" priority="292">
      <iconSet iconSet="3Symbols2" showValue="0">
        <cfvo type="percent" val="0"/>
        <cfvo type="num" val="0"/>
        <cfvo type="num" val="0"/>
      </iconSet>
    </cfRule>
  </conditionalFormatting>
  <conditionalFormatting sqref="W52:X52">
    <cfRule type="iconSet" priority="291">
      <iconSet iconSet="3Symbols2" showValue="0">
        <cfvo type="percent" val="0"/>
        <cfvo type="num" val="0"/>
        <cfvo type="num" val="0"/>
      </iconSet>
    </cfRule>
  </conditionalFormatting>
  <conditionalFormatting sqref="Z161:AA1048576 Z120:AA126 Z6:AA8 Z10:AA10 Z42:AA42 Z58:AA58 Z88:AA97">
    <cfRule type="iconSet" priority="289">
      <iconSet iconSet="3Symbols2" showValue="0">
        <cfvo type="percent" val="0"/>
        <cfvo type="num" val="0"/>
        <cfvo type="num" val="0"/>
      </iconSet>
    </cfRule>
  </conditionalFormatting>
  <conditionalFormatting sqref="Z9:AA9">
    <cfRule type="iconSet" priority="288">
      <iconSet iconSet="3Symbols2" showValue="0">
        <cfvo type="percent" val="0"/>
        <cfvo type="num" val="0"/>
        <cfvo type="num" val="0"/>
      </iconSet>
    </cfRule>
  </conditionalFormatting>
  <conditionalFormatting sqref="Z12:AA12">
    <cfRule type="iconSet" priority="287">
      <iconSet iconSet="3Symbols2" showValue="0">
        <cfvo type="percent" val="0"/>
        <cfvo type="num" val="0"/>
        <cfvo type="num" val="0"/>
      </iconSet>
    </cfRule>
  </conditionalFormatting>
  <conditionalFormatting sqref="Z25:AA25">
    <cfRule type="iconSet" priority="286">
      <iconSet iconSet="3Symbols2" showValue="0">
        <cfvo type="percent" val="0"/>
        <cfvo type="num" val="0"/>
        <cfvo type="num" val="0"/>
      </iconSet>
    </cfRule>
  </conditionalFormatting>
  <conditionalFormatting sqref="Z28:AA28">
    <cfRule type="iconSet" priority="285">
      <iconSet iconSet="3Symbols2" showValue="0">
        <cfvo type="percent" val="0"/>
        <cfvo type="num" val="0"/>
        <cfvo type="num" val="0"/>
      </iconSet>
    </cfRule>
  </conditionalFormatting>
  <conditionalFormatting sqref="Z41:AA41">
    <cfRule type="iconSet" priority="284">
      <iconSet iconSet="3Symbols2" showValue="0">
        <cfvo type="percent" val="0"/>
        <cfvo type="num" val="0"/>
        <cfvo type="num" val="0"/>
      </iconSet>
    </cfRule>
  </conditionalFormatting>
  <conditionalFormatting sqref="Z44:AA44">
    <cfRule type="iconSet" priority="283">
      <iconSet iconSet="3Symbols2" showValue="0">
        <cfvo type="percent" val="0"/>
        <cfvo type="num" val="0"/>
        <cfvo type="num" val="0"/>
      </iconSet>
    </cfRule>
  </conditionalFormatting>
  <conditionalFormatting sqref="Z57:AA57">
    <cfRule type="iconSet" priority="282">
      <iconSet iconSet="3Symbols2" showValue="0">
        <cfvo type="percent" val="0"/>
        <cfvo type="num" val="0"/>
        <cfvo type="num" val="0"/>
      </iconSet>
    </cfRule>
  </conditionalFormatting>
  <conditionalFormatting sqref="Z87:AA87">
    <cfRule type="iconSet" priority="281">
      <iconSet iconSet="3Symbols2" showValue="0">
        <cfvo type="percent" val="0"/>
        <cfvo type="num" val="0"/>
        <cfvo type="num" val="0"/>
      </iconSet>
    </cfRule>
  </conditionalFormatting>
  <conditionalFormatting sqref="Z99:AA99">
    <cfRule type="iconSet" priority="280">
      <iconSet iconSet="3Symbols2" showValue="0">
        <cfvo type="percent" val="0"/>
        <cfvo type="num" val="0"/>
        <cfvo type="num" val="0"/>
      </iconSet>
    </cfRule>
  </conditionalFormatting>
  <conditionalFormatting sqref="Z109:AA109">
    <cfRule type="iconSet" priority="279">
      <iconSet iconSet="3Symbols2" showValue="0">
        <cfvo type="percent" val="0"/>
        <cfvo type="num" val="0"/>
        <cfvo type="num" val="0"/>
      </iconSet>
    </cfRule>
  </conditionalFormatting>
  <conditionalFormatting sqref="Z119:AA119">
    <cfRule type="iconSet" priority="278">
      <iconSet iconSet="3Symbols2" showValue="0">
        <cfvo type="percent" val="0"/>
        <cfvo type="num" val="0"/>
        <cfvo type="num" val="0"/>
      </iconSet>
    </cfRule>
  </conditionalFormatting>
  <conditionalFormatting sqref="Z128:AA128">
    <cfRule type="iconSet" priority="277">
      <iconSet iconSet="3Symbols2" showValue="0">
        <cfvo type="percent" val="0"/>
        <cfvo type="num" val="0"/>
        <cfvo type="num" val="0"/>
      </iconSet>
    </cfRule>
  </conditionalFormatting>
  <conditionalFormatting sqref="Z62:AA62">
    <cfRule type="iconSet" priority="276">
      <iconSet iconSet="3Symbols2" showValue="0">
        <cfvo type="percent" val="0"/>
        <cfvo type="num" val="0"/>
        <cfvo type="num" val="0"/>
      </iconSet>
    </cfRule>
  </conditionalFormatting>
  <conditionalFormatting sqref="Z138:AA138">
    <cfRule type="iconSet" priority="275">
      <iconSet iconSet="3Symbols2" showValue="0">
        <cfvo type="percent" val="0"/>
        <cfvo type="num" val="0"/>
        <cfvo type="num" val="0"/>
      </iconSet>
    </cfRule>
  </conditionalFormatting>
  <conditionalFormatting sqref="Z153:AA153">
    <cfRule type="iconSet" priority="274">
      <iconSet iconSet="3Symbols2" showValue="0">
        <cfvo type="percent" val="0"/>
        <cfvo type="num" val="0"/>
        <cfvo type="num" val="0"/>
      </iconSet>
    </cfRule>
  </conditionalFormatting>
  <conditionalFormatting sqref="Z86:AA86">
    <cfRule type="iconSet" priority="273">
      <iconSet iconSet="3Symbols2" showValue="0">
        <cfvo type="percent" val="0"/>
        <cfvo type="num" val="0"/>
        <cfvo type="num" val="0"/>
      </iconSet>
    </cfRule>
  </conditionalFormatting>
  <conditionalFormatting sqref="Z1:AA5">
    <cfRule type="iconSet" priority="272">
      <iconSet iconSet="3Symbols2" showValue="0">
        <cfvo type="percent" val="0"/>
        <cfvo type="num" val="0"/>
        <cfvo type="num" val="1"/>
      </iconSet>
    </cfRule>
  </conditionalFormatting>
  <conditionalFormatting sqref="Z11:AA11">
    <cfRule type="iconSet" priority="271">
      <iconSet iconSet="3Symbols2" showValue="0">
        <cfvo type="percent" val="0"/>
        <cfvo type="num" val="0"/>
        <cfvo type="num" val="0"/>
      </iconSet>
    </cfRule>
  </conditionalFormatting>
  <conditionalFormatting sqref="Z24:AA24">
    <cfRule type="iconSet" priority="270">
      <iconSet iconSet="3Symbols2" showValue="0">
        <cfvo type="percent" val="0"/>
        <cfvo type="num" val="0"/>
        <cfvo type="num" val="0"/>
      </iconSet>
    </cfRule>
  </conditionalFormatting>
  <conditionalFormatting sqref="Z27:AA27">
    <cfRule type="iconSet" priority="269">
      <iconSet iconSet="3Symbols2" showValue="0">
        <cfvo type="percent" val="0"/>
        <cfvo type="num" val="0"/>
        <cfvo type="num" val="0"/>
      </iconSet>
    </cfRule>
  </conditionalFormatting>
  <conditionalFormatting sqref="Z40:AA40">
    <cfRule type="iconSet" priority="268">
      <iconSet iconSet="3Symbols2" showValue="0">
        <cfvo type="percent" val="0"/>
        <cfvo type="num" val="0"/>
        <cfvo type="num" val="0"/>
      </iconSet>
    </cfRule>
  </conditionalFormatting>
  <conditionalFormatting sqref="Z43:AA43">
    <cfRule type="iconSet" priority="267">
      <iconSet iconSet="3Symbols2" showValue="0">
        <cfvo type="percent" val="0"/>
        <cfvo type="num" val="0"/>
        <cfvo type="num" val="0"/>
      </iconSet>
    </cfRule>
  </conditionalFormatting>
  <conditionalFormatting sqref="Z56:AA56">
    <cfRule type="iconSet" priority="266">
      <iconSet iconSet="3Symbols2" showValue="0">
        <cfvo type="percent" val="0"/>
        <cfvo type="num" val="0"/>
        <cfvo type="num" val="0"/>
      </iconSet>
    </cfRule>
  </conditionalFormatting>
  <conditionalFormatting sqref="Z59:AA59">
    <cfRule type="iconSet" priority="265">
      <iconSet iconSet="3Symbols2" showValue="0">
        <cfvo type="percent" val="0"/>
        <cfvo type="num" val="0"/>
        <cfvo type="num" val="0"/>
      </iconSet>
    </cfRule>
  </conditionalFormatting>
  <conditionalFormatting sqref="Z98:AA98">
    <cfRule type="iconSet" priority="264">
      <iconSet iconSet="3Symbols2" showValue="0">
        <cfvo type="percent" val="0"/>
        <cfvo type="num" val="0"/>
        <cfvo type="num" val="0"/>
      </iconSet>
    </cfRule>
  </conditionalFormatting>
  <conditionalFormatting sqref="Z108:AA108">
    <cfRule type="iconSet" priority="263">
      <iconSet iconSet="3Symbols2" showValue="0">
        <cfvo type="percent" val="0"/>
        <cfvo type="num" val="0"/>
        <cfvo type="num" val="0"/>
      </iconSet>
    </cfRule>
  </conditionalFormatting>
  <conditionalFormatting sqref="Z118:AA118">
    <cfRule type="iconSet" priority="262">
      <iconSet iconSet="3Symbols2" showValue="0">
        <cfvo type="percent" val="0"/>
        <cfvo type="num" val="0"/>
        <cfvo type="num" val="0"/>
      </iconSet>
    </cfRule>
  </conditionalFormatting>
  <conditionalFormatting sqref="Z127:AA127">
    <cfRule type="iconSet" priority="261">
      <iconSet iconSet="3Symbols2" showValue="0">
        <cfvo type="percent" val="0"/>
        <cfvo type="num" val="0"/>
        <cfvo type="num" val="0"/>
      </iconSet>
    </cfRule>
  </conditionalFormatting>
  <conditionalFormatting sqref="Z137:AA137">
    <cfRule type="iconSet" priority="260">
      <iconSet iconSet="3Symbols2" showValue="0">
        <cfvo type="percent" val="0"/>
        <cfvo type="num" val="0"/>
        <cfvo type="num" val="0"/>
      </iconSet>
    </cfRule>
  </conditionalFormatting>
  <conditionalFormatting sqref="Z152:AA152">
    <cfRule type="iconSet" priority="259">
      <iconSet iconSet="3Symbols2" showValue="0">
        <cfvo type="percent" val="0"/>
        <cfvo type="num" val="0"/>
        <cfvo type="num" val="0"/>
      </iconSet>
    </cfRule>
  </conditionalFormatting>
  <conditionalFormatting sqref="Z65:AA65">
    <cfRule type="iconSet" priority="258">
      <iconSet iconSet="3Symbols2" showValue="0">
        <cfvo type="percent" val="0"/>
        <cfvo type="num" val="0"/>
        <cfvo type="num" val="0"/>
      </iconSet>
    </cfRule>
  </conditionalFormatting>
  <conditionalFormatting sqref="Z85:AA85">
    <cfRule type="iconSet" priority="257">
      <iconSet iconSet="3Symbols2" showValue="0">
        <cfvo type="percent" val="0"/>
        <cfvo type="num" val="0"/>
        <cfvo type="num" val="0"/>
      </iconSet>
    </cfRule>
  </conditionalFormatting>
  <conditionalFormatting sqref="Z64:AA64">
    <cfRule type="iconSet" priority="290">
      <iconSet iconSet="3Symbols2" showValue="0">
        <cfvo type="percent" val="0"/>
        <cfvo type="num" val="0"/>
        <cfvo type="num" val="0"/>
      </iconSet>
    </cfRule>
  </conditionalFormatting>
  <conditionalFormatting sqref="Z13:AA23">
    <cfRule type="iconSet" priority="256">
      <iconSet iconSet="3Symbols2" showValue="0">
        <cfvo type="percent" val="0"/>
        <cfvo type="num" val="0"/>
        <cfvo type="num" val="0"/>
      </iconSet>
    </cfRule>
  </conditionalFormatting>
  <conditionalFormatting sqref="Z26:AA26">
    <cfRule type="iconSet" priority="255">
      <iconSet iconSet="3Symbols2" showValue="0">
        <cfvo type="percent" val="0"/>
        <cfvo type="num" val="0"/>
        <cfvo type="num" val="0"/>
      </iconSet>
    </cfRule>
  </conditionalFormatting>
  <conditionalFormatting sqref="Z29:AA39">
    <cfRule type="iconSet" priority="254">
      <iconSet iconSet="3Symbols2" showValue="0">
        <cfvo type="percent" val="0"/>
        <cfvo type="num" val="0"/>
        <cfvo type="num" val="0"/>
      </iconSet>
    </cfRule>
  </conditionalFormatting>
  <conditionalFormatting sqref="Z63:AA63 Z45:AA51 Z53:AA55">
    <cfRule type="iconSet" priority="253">
      <iconSet iconSet="3Symbols2" showValue="0">
        <cfvo type="percent" val="0"/>
        <cfvo type="num" val="0"/>
        <cfvo type="num" val="0"/>
      </iconSet>
    </cfRule>
  </conditionalFormatting>
  <conditionalFormatting sqref="Z66:AA74">
    <cfRule type="iconSet" priority="252">
      <iconSet iconSet="3Symbols2" showValue="0">
        <cfvo type="percent" val="0"/>
        <cfvo type="num" val="0"/>
        <cfvo type="num" val="0"/>
      </iconSet>
    </cfRule>
  </conditionalFormatting>
  <conditionalFormatting sqref="Z100:AA107">
    <cfRule type="iconSet" priority="251">
      <iconSet iconSet="3Symbols2" showValue="0">
        <cfvo type="percent" val="0"/>
        <cfvo type="num" val="0"/>
        <cfvo type="num" val="0"/>
      </iconSet>
    </cfRule>
  </conditionalFormatting>
  <conditionalFormatting sqref="Z110:AA117">
    <cfRule type="iconSet" priority="250">
      <iconSet iconSet="3Symbols2" showValue="0">
        <cfvo type="percent" val="0"/>
        <cfvo type="num" val="0"/>
        <cfvo type="num" val="0"/>
      </iconSet>
    </cfRule>
  </conditionalFormatting>
  <conditionalFormatting sqref="Z129:AA136">
    <cfRule type="iconSet" priority="249">
      <iconSet iconSet="3Symbols2" showValue="0">
        <cfvo type="percent" val="0"/>
        <cfvo type="num" val="0"/>
        <cfvo type="num" val="0"/>
      </iconSet>
    </cfRule>
  </conditionalFormatting>
  <conditionalFormatting sqref="Z139:AA151">
    <cfRule type="iconSet" priority="248">
      <iconSet iconSet="3Symbols2" showValue="0">
        <cfvo type="percent" val="0"/>
        <cfvo type="num" val="0"/>
        <cfvo type="num" val="0"/>
      </iconSet>
    </cfRule>
  </conditionalFormatting>
  <conditionalFormatting sqref="Z154:AA160">
    <cfRule type="iconSet" priority="247">
      <iconSet iconSet="3Symbols2" showValue="0">
        <cfvo type="percent" val="0"/>
        <cfvo type="num" val="0"/>
        <cfvo type="num" val="0"/>
      </iconSet>
    </cfRule>
  </conditionalFormatting>
  <conditionalFormatting sqref="Z75:AA75">
    <cfRule type="iconSet" priority="246">
      <iconSet iconSet="3Symbols2" showValue="0">
        <cfvo type="percent" val="0"/>
        <cfvo type="num" val="0"/>
        <cfvo type="num" val="0"/>
      </iconSet>
    </cfRule>
  </conditionalFormatting>
  <conditionalFormatting sqref="Z76:AA84">
    <cfRule type="iconSet" priority="245">
      <iconSet iconSet="3Symbols2" showValue="0">
        <cfvo type="percent" val="0"/>
        <cfvo type="num" val="0"/>
        <cfvo type="num" val="0"/>
      </iconSet>
    </cfRule>
  </conditionalFormatting>
  <conditionalFormatting sqref="Z60:AA61">
    <cfRule type="iconSet" priority="244">
      <iconSet iconSet="3Symbols2" showValue="0">
        <cfvo type="percent" val="0"/>
        <cfvo type="num" val="0"/>
        <cfvo type="num" val="0"/>
      </iconSet>
    </cfRule>
  </conditionalFormatting>
  <conditionalFormatting sqref="Z52:AA52">
    <cfRule type="iconSet" priority="243">
      <iconSet iconSet="3Symbols2" showValue="0">
        <cfvo type="percent" val="0"/>
        <cfvo type="num" val="0"/>
        <cfvo type="num" val="0"/>
      </iconSet>
    </cfRule>
  </conditionalFormatting>
  <conditionalFormatting sqref="AB161:AC1048576 AB120:AC126 AB6:AC8 AB10:AC10 AB42:AC42 AB58:AC58 AB88:AC97">
    <cfRule type="iconSet" priority="241">
      <iconSet iconSet="3Symbols2" showValue="0">
        <cfvo type="percent" val="0"/>
        <cfvo type="num" val="0"/>
        <cfvo type="num" val="0"/>
      </iconSet>
    </cfRule>
  </conditionalFormatting>
  <conditionalFormatting sqref="AB9:AC9">
    <cfRule type="iconSet" priority="240">
      <iconSet iconSet="3Symbols2" showValue="0">
        <cfvo type="percent" val="0"/>
        <cfvo type="num" val="0"/>
        <cfvo type="num" val="0"/>
      </iconSet>
    </cfRule>
  </conditionalFormatting>
  <conditionalFormatting sqref="AB12:AC12">
    <cfRule type="iconSet" priority="239">
      <iconSet iconSet="3Symbols2" showValue="0">
        <cfvo type="percent" val="0"/>
        <cfvo type="num" val="0"/>
        <cfvo type="num" val="0"/>
      </iconSet>
    </cfRule>
  </conditionalFormatting>
  <conditionalFormatting sqref="AB25:AC25">
    <cfRule type="iconSet" priority="238">
      <iconSet iconSet="3Symbols2" showValue="0">
        <cfvo type="percent" val="0"/>
        <cfvo type="num" val="0"/>
        <cfvo type="num" val="0"/>
      </iconSet>
    </cfRule>
  </conditionalFormatting>
  <conditionalFormatting sqref="AB28:AC28">
    <cfRule type="iconSet" priority="237">
      <iconSet iconSet="3Symbols2" showValue="0">
        <cfvo type="percent" val="0"/>
        <cfvo type="num" val="0"/>
        <cfvo type="num" val="0"/>
      </iconSet>
    </cfRule>
  </conditionalFormatting>
  <conditionalFormatting sqref="AB41:AC41">
    <cfRule type="iconSet" priority="236">
      <iconSet iconSet="3Symbols2" showValue="0">
        <cfvo type="percent" val="0"/>
        <cfvo type="num" val="0"/>
        <cfvo type="num" val="0"/>
      </iconSet>
    </cfRule>
  </conditionalFormatting>
  <conditionalFormatting sqref="AB44:AC44">
    <cfRule type="iconSet" priority="235">
      <iconSet iconSet="3Symbols2" showValue="0">
        <cfvo type="percent" val="0"/>
        <cfvo type="num" val="0"/>
        <cfvo type="num" val="0"/>
      </iconSet>
    </cfRule>
  </conditionalFormatting>
  <conditionalFormatting sqref="AB57:AC57">
    <cfRule type="iconSet" priority="234">
      <iconSet iconSet="3Symbols2" showValue="0">
        <cfvo type="percent" val="0"/>
        <cfvo type="num" val="0"/>
        <cfvo type="num" val="0"/>
      </iconSet>
    </cfRule>
  </conditionalFormatting>
  <conditionalFormatting sqref="AB87:AC87">
    <cfRule type="iconSet" priority="233">
      <iconSet iconSet="3Symbols2" showValue="0">
        <cfvo type="percent" val="0"/>
        <cfvo type="num" val="0"/>
        <cfvo type="num" val="0"/>
      </iconSet>
    </cfRule>
  </conditionalFormatting>
  <conditionalFormatting sqref="AB99:AC99">
    <cfRule type="iconSet" priority="232">
      <iconSet iconSet="3Symbols2" showValue="0">
        <cfvo type="percent" val="0"/>
        <cfvo type="num" val="0"/>
        <cfvo type="num" val="0"/>
      </iconSet>
    </cfRule>
  </conditionalFormatting>
  <conditionalFormatting sqref="AB109:AC109">
    <cfRule type="iconSet" priority="231">
      <iconSet iconSet="3Symbols2" showValue="0">
        <cfvo type="percent" val="0"/>
        <cfvo type="num" val="0"/>
        <cfvo type="num" val="0"/>
      </iconSet>
    </cfRule>
  </conditionalFormatting>
  <conditionalFormatting sqref="AB119:AC119">
    <cfRule type="iconSet" priority="230">
      <iconSet iconSet="3Symbols2" showValue="0">
        <cfvo type="percent" val="0"/>
        <cfvo type="num" val="0"/>
        <cfvo type="num" val="0"/>
      </iconSet>
    </cfRule>
  </conditionalFormatting>
  <conditionalFormatting sqref="AB128:AC128">
    <cfRule type="iconSet" priority="229">
      <iconSet iconSet="3Symbols2" showValue="0">
        <cfvo type="percent" val="0"/>
        <cfvo type="num" val="0"/>
        <cfvo type="num" val="0"/>
      </iconSet>
    </cfRule>
  </conditionalFormatting>
  <conditionalFormatting sqref="AB62:AC62">
    <cfRule type="iconSet" priority="228">
      <iconSet iconSet="3Symbols2" showValue="0">
        <cfvo type="percent" val="0"/>
        <cfvo type="num" val="0"/>
        <cfvo type="num" val="0"/>
      </iconSet>
    </cfRule>
  </conditionalFormatting>
  <conditionalFormatting sqref="AB138:AC138">
    <cfRule type="iconSet" priority="227">
      <iconSet iconSet="3Symbols2" showValue="0">
        <cfvo type="percent" val="0"/>
        <cfvo type="num" val="0"/>
        <cfvo type="num" val="0"/>
      </iconSet>
    </cfRule>
  </conditionalFormatting>
  <conditionalFormatting sqref="AB153:AC153">
    <cfRule type="iconSet" priority="226">
      <iconSet iconSet="3Symbols2" showValue="0">
        <cfvo type="percent" val="0"/>
        <cfvo type="num" val="0"/>
        <cfvo type="num" val="0"/>
      </iconSet>
    </cfRule>
  </conditionalFormatting>
  <conditionalFormatting sqref="AB86:AC86">
    <cfRule type="iconSet" priority="225">
      <iconSet iconSet="3Symbols2" showValue="0">
        <cfvo type="percent" val="0"/>
        <cfvo type="num" val="0"/>
        <cfvo type="num" val="0"/>
      </iconSet>
    </cfRule>
  </conditionalFormatting>
  <conditionalFormatting sqref="AB1:AC5">
    <cfRule type="iconSet" priority="224">
      <iconSet iconSet="3Symbols2" showValue="0">
        <cfvo type="percent" val="0"/>
        <cfvo type="num" val="0"/>
        <cfvo type="num" val="1"/>
      </iconSet>
    </cfRule>
  </conditionalFormatting>
  <conditionalFormatting sqref="AB11:AC11">
    <cfRule type="iconSet" priority="223">
      <iconSet iconSet="3Symbols2" showValue="0">
        <cfvo type="percent" val="0"/>
        <cfvo type="num" val="0"/>
        <cfvo type="num" val="0"/>
      </iconSet>
    </cfRule>
  </conditionalFormatting>
  <conditionalFormatting sqref="AB24:AC24">
    <cfRule type="iconSet" priority="222">
      <iconSet iconSet="3Symbols2" showValue="0">
        <cfvo type="percent" val="0"/>
        <cfvo type="num" val="0"/>
        <cfvo type="num" val="0"/>
      </iconSet>
    </cfRule>
  </conditionalFormatting>
  <conditionalFormatting sqref="AB27:AC27">
    <cfRule type="iconSet" priority="221">
      <iconSet iconSet="3Symbols2" showValue="0">
        <cfvo type="percent" val="0"/>
        <cfvo type="num" val="0"/>
        <cfvo type="num" val="0"/>
      </iconSet>
    </cfRule>
  </conditionalFormatting>
  <conditionalFormatting sqref="AB40:AC40">
    <cfRule type="iconSet" priority="220">
      <iconSet iconSet="3Symbols2" showValue="0">
        <cfvo type="percent" val="0"/>
        <cfvo type="num" val="0"/>
        <cfvo type="num" val="0"/>
      </iconSet>
    </cfRule>
  </conditionalFormatting>
  <conditionalFormatting sqref="AB43:AC43">
    <cfRule type="iconSet" priority="219">
      <iconSet iconSet="3Symbols2" showValue="0">
        <cfvo type="percent" val="0"/>
        <cfvo type="num" val="0"/>
        <cfvo type="num" val="0"/>
      </iconSet>
    </cfRule>
  </conditionalFormatting>
  <conditionalFormatting sqref="AB56:AC56">
    <cfRule type="iconSet" priority="218">
      <iconSet iconSet="3Symbols2" showValue="0">
        <cfvo type="percent" val="0"/>
        <cfvo type="num" val="0"/>
        <cfvo type="num" val="0"/>
      </iconSet>
    </cfRule>
  </conditionalFormatting>
  <conditionalFormatting sqref="AB59:AC59">
    <cfRule type="iconSet" priority="217">
      <iconSet iconSet="3Symbols2" showValue="0">
        <cfvo type="percent" val="0"/>
        <cfvo type="num" val="0"/>
        <cfvo type="num" val="0"/>
      </iconSet>
    </cfRule>
  </conditionalFormatting>
  <conditionalFormatting sqref="AB98:AC98">
    <cfRule type="iconSet" priority="216">
      <iconSet iconSet="3Symbols2" showValue="0">
        <cfvo type="percent" val="0"/>
        <cfvo type="num" val="0"/>
        <cfvo type="num" val="0"/>
      </iconSet>
    </cfRule>
  </conditionalFormatting>
  <conditionalFormatting sqref="AB108:AC108">
    <cfRule type="iconSet" priority="215">
      <iconSet iconSet="3Symbols2" showValue="0">
        <cfvo type="percent" val="0"/>
        <cfvo type="num" val="0"/>
        <cfvo type="num" val="0"/>
      </iconSet>
    </cfRule>
  </conditionalFormatting>
  <conditionalFormatting sqref="AB118:AC118">
    <cfRule type="iconSet" priority="214">
      <iconSet iconSet="3Symbols2" showValue="0">
        <cfvo type="percent" val="0"/>
        <cfvo type="num" val="0"/>
        <cfvo type="num" val="0"/>
      </iconSet>
    </cfRule>
  </conditionalFormatting>
  <conditionalFormatting sqref="AB127:AC127">
    <cfRule type="iconSet" priority="213">
      <iconSet iconSet="3Symbols2" showValue="0">
        <cfvo type="percent" val="0"/>
        <cfvo type="num" val="0"/>
        <cfvo type="num" val="0"/>
      </iconSet>
    </cfRule>
  </conditionalFormatting>
  <conditionalFormatting sqref="AB137:AC137">
    <cfRule type="iconSet" priority="212">
      <iconSet iconSet="3Symbols2" showValue="0">
        <cfvo type="percent" val="0"/>
        <cfvo type="num" val="0"/>
        <cfvo type="num" val="0"/>
      </iconSet>
    </cfRule>
  </conditionalFormatting>
  <conditionalFormatting sqref="AB152:AC152">
    <cfRule type="iconSet" priority="211">
      <iconSet iconSet="3Symbols2" showValue="0">
        <cfvo type="percent" val="0"/>
        <cfvo type="num" val="0"/>
        <cfvo type="num" val="0"/>
      </iconSet>
    </cfRule>
  </conditionalFormatting>
  <conditionalFormatting sqref="AB65:AC65">
    <cfRule type="iconSet" priority="210">
      <iconSet iconSet="3Symbols2" showValue="0">
        <cfvo type="percent" val="0"/>
        <cfvo type="num" val="0"/>
        <cfvo type="num" val="0"/>
      </iconSet>
    </cfRule>
  </conditionalFormatting>
  <conditionalFormatting sqref="AB85:AC85">
    <cfRule type="iconSet" priority="209">
      <iconSet iconSet="3Symbols2" showValue="0">
        <cfvo type="percent" val="0"/>
        <cfvo type="num" val="0"/>
        <cfvo type="num" val="0"/>
      </iconSet>
    </cfRule>
  </conditionalFormatting>
  <conditionalFormatting sqref="AB64:AC64">
    <cfRule type="iconSet" priority="242">
      <iconSet iconSet="3Symbols2" showValue="0">
        <cfvo type="percent" val="0"/>
        <cfvo type="num" val="0"/>
        <cfvo type="num" val="0"/>
      </iconSet>
    </cfRule>
  </conditionalFormatting>
  <conditionalFormatting sqref="AB13:AC23">
    <cfRule type="iconSet" priority="208">
      <iconSet iconSet="3Symbols2" showValue="0">
        <cfvo type="percent" val="0"/>
        <cfvo type="num" val="0"/>
        <cfvo type="num" val="0"/>
      </iconSet>
    </cfRule>
  </conditionalFormatting>
  <conditionalFormatting sqref="AB26:AC26">
    <cfRule type="iconSet" priority="207">
      <iconSet iconSet="3Symbols2" showValue="0">
        <cfvo type="percent" val="0"/>
        <cfvo type="num" val="0"/>
        <cfvo type="num" val="0"/>
      </iconSet>
    </cfRule>
  </conditionalFormatting>
  <conditionalFormatting sqref="AB29:AC39">
    <cfRule type="iconSet" priority="206">
      <iconSet iconSet="3Symbols2" showValue="0">
        <cfvo type="percent" val="0"/>
        <cfvo type="num" val="0"/>
        <cfvo type="num" val="0"/>
      </iconSet>
    </cfRule>
  </conditionalFormatting>
  <conditionalFormatting sqref="AB63:AC63 AB45:AC51 AB53:AC55">
    <cfRule type="iconSet" priority="205">
      <iconSet iconSet="3Symbols2" showValue="0">
        <cfvo type="percent" val="0"/>
        <cfvo type="num" val="0"/>
        <cfvo type="num" val="0"/>
      </iconSet>
    </cfRule>
  </conditionalFormatting>
  <conditionalFormatting sqref="AB66:AC74">
    <cfRule type="iconSet" priority="204">
      <iconSet iconSet="3Symbols2" showValue="0">
        <cfvo type="percent" val="0"/>
        <cfvo type="num" val="0"/>
        <cfvo type="num" val="0"/>
      </iconSet>
    </cfRule>
  </conditionalFormatting>
  <conditionalFormatting sqref="AB100:AC107">
    <cfRule type="iconSet" priority="203">
      <iconSet iconSet="3Symbols2" showValue="0">
        <cfvo type="percent" val="0"/>
        <cfvo type="num" val="0"/>
        <cfvo type="num" val="0"/>
      </iconSet>
    </cfRule>
  </conditionalFormatting>
  <conditionalFormatting sqref="AB110:AC117">
    <cfRule type="iconSet" priority="202">
      <iconSet iconSet="3Symbols2" showValue="0">
        <cfvo type="percent" val="0"/>
        <cfvo type="num" val="0"/>
        <cfvo type="num" val="0"/>
      </iconSet>
    </cfRule>
  </conditionalFormatting>
  <conditionalFormatting sqref="AB129:AC136">
    <cfRule type="iconSet" priority="201">
      <iconSet iconSet="3Symbols2" showValue="0">
        <cfvo type="percent" val="0"/>
        <cfvo type="num" val="0"/>
        <cfvo type="num" val="0"/>
      </iconSet>
    </cfRule>
  </conditionalFormatting>
  <conditionalFormatting sqref="AB139:AC151">
    <cfRule type="iconSet" priority="200">
      <iconSet iconSet="3Symbols2" showValue="0">
        <cfvo type="percent" val="0"/>
        <cfvo type="num" val="0"/>
        <cfvo type="num" val="0"/>
      </iconSet>
    </cfRule>
  </conditionalFormatting>
  <conditionalFormatting sqref="AB154:AC160">
    <cfRule type="iconSet" priority="199">
      <iconSet iconSet="3Symbols2" showValue="0">
        <cfvo type="percent" val="0"/>
        <cfvo type="num" val="0"/>
        <cfvo type="num" val="0"/>
      </iconSet>
    </cfRule>
  </conditionalFormatting>
  <conditionalFormatting sqref="AB75:AC75">
    <cfRule type="iconSet" priority="198">
      <iconSet iconSet="3Symbols2" showValue="0">
        <cfvo type="percent" val="0"/>
        <cfvo type="num" val="0"/>
        <cfvo type="num" val="0"/>
      </iconSet>
    </cfRule>
  </conditionalFormatting>
  <conditionalFormatting sqref="AB76:AC84">
    <cfRule type="iconSet" priority="197">
      <iconSet iconSet="3Symbols2" showValue="0">
        <cfvo type="percent" val="0"/>
        <cfvo type="num" val="0"/>
        <cfvo type="num" val="0"/>
      </iconSet>
    </cfRule>
  </conditionalFormatting>
  <conditionalFormatting sqref="AB60:AC61">
    <cfRule type="iconSet" priority="196">
      <iconSet iconSet="3Symbols2" showValue="0">
        <cfvo type="percent" val="0"/>
        <cfvo type="num" val="0"/>
        <cfvo type="num" val="0"/>
      </iconSet>
    </cfRule>
  </conditionalFormatting>
  <conditionalFormatting sqref="AB52:AC52">
    <cfRule type="iconSet" priority="195">
      <iconSet iconSet="3Symbols2" showValue="0">
        <cfvo type="percent" val="0"/>
        <cfvo type="num" val="0"/>
        <cfvo type="num" val="0"/>
      </iconSet>
    </cfRule>
  </conditionalFormatting>
  <conditionalFormatting sqref="AD161:AE1048576 AD120:AE126 AD6:AE8 AD10:AE10 AD42:AE42 AD58:AE58 AD88:AE97">
    <cfRule type="iconSet" priority="193">
      <iconSet iconSet="3Symbols2" showValue="0">
        <cfvo type="percent" val="0"/>
        <cfvo type="num" val="0"/>
        <cfvo type="num" val="0"/>
      </iconSet>
    </cfRule>
  </conditionalFormatting>
  <conditionalFormatting sqref="AD9:AE9">
    <cfRule type="iconSet" priority="192">
      <iconSet iconSet="3Symbols2" showValue="0">
        <cfvo type="percent" val="0"/>
        <cfvo type="num" val="0"/>
        <cfvo type="num" val="0"/>
      </iconSet>
    </cfRule>
  </conditionalFormatting>
  <conditionalFormatting sqref="AD12:AE12">
    <cfRule type="iconSet" priority="191">
      <iconSet iconSet="3Symbols2" showValue="0">
        <cfvo type="percent" val="0"/>
        <cfvo type="num" val="0"/>
        <cfvo type="num" val="0"/>
      </iconSet>
    </cfRule>
  </conditionalFormatting>
  <conditionalFormatting sqref="AD25:AE25">
    <cfRule type="iconSet" priority="190">
      <iconSet iconSet="3Symbols2" showValue="0">
        <cfvo type="percent" val="0"/>
        <cfvo type="num" val="0"/>
        <cfvo type="num" val="0"/>
      </iconSet>
    </cfRule>
  </conditionalFormatting>
  <conditionalFormatting sqref="AD28:AE28">
    <cfRule type="iconSet" priority="189">
      <iconSet iconSet="3Symbols2" showValue="0">
        <cfvo type="percent" val="0"/>
        <cfvo type="num" val="0"/>
        <cfvo type="num" val="0"/>
      </iconSet>
    </cfRule>
  </conditionalFormatting>
  <conditionalFormatting sqref="AD41:AE41">
    <cfRule type="iconSet" priority="188">
      <iconSet iconSet="3Symbols2" showValue="0">
        <cfvo type="percent" val="0"/>
        <cfvo type="num" val="0"/>
        <cfvo type="num" val="0"/>
      </iconSet>
    </cfRule>
  </conditionalFormatting>
  <conditionalFormatting sqref="AD44:AE44">
    <cfRule type="iconSet" priority="187">
      <iconSet iconSet="3Symbols2" showValue="0">
        <cfvo type="percent" val="0"/>
        <cfvo type="num" val="0"/>
        <cfvo type="num" val="0"/>
      </iconSet>
    </cfRule>
  </conditionalFormatting>
  <conditionalFormatting sqref="AD57:AE57">
    <cfRule type="iconSet" priority="186">
      <iconSet iconSet="3Symbols2" showValue="0">
        <cfvo type="percent" val="0"/>
        <cfvo type="num" val="0"/>
        <cfvo type="num" val="0"/>
      </iconSet>
    </cfRule>
  </conditionalFormatting>
  <conditionalFormatting sqref="AD87:AE87">
    <cfRule type="iconSet" priority="185">
      <iconSet iconSet="3Symbols2" showValue="0">
        <cfvo type="percent" val="0"/>
        <cfvo type="num" val="0"/>
        <cfvo type="num" val="0"/>
      </iconSet>
    </cfRule>
  </conditionalFormatting>
  <conditionalFormatting sqref="AD99:AE99">
    <cfRule type="iconSet" priority="184">
      <iconSet iconSet="3Symbols2" showValue="0">
        <cfvo type="percent" val="0"/>
        <cfvo type="num" val="0"/>
        <cfvo type="num" val="0"/>
      </iconSet>
    </cfRule>
  </conditionalFormatting>
  <conditionalFormatting sqref="AD109:AE109">
    <cfRule type="iconSet" priority="183">
      <iconSet iconSet="3Symbols2" showValue="0">
        <cfvo type="percent" val="0"/>
        <cfvo type="num" val="0"/>
        <cfvo type="num" val="0"/>
      </iconSet>
    </cfRule>
  </conditionalFormatting>
  <conditionalFormatting sqref="AD119:AE119">
    <cfRule type="iconSet" priority="182">
      <iconSet iconSet="3Symbols2" showValue="0">
        <cfvo type="percent" val="0"/>
        <cfvo type="num" val="0"/>
        <cfvo type="num" val="0"/>
      </iconSet>
    </cfRule>
  </conditionalFormatting>
  <conditionalFormatting sqref="AD128:AE128">
    <cfRule type="iconSet" priority="181">
      <iconSet iconSet="3Symbols2" showValue="0">
        <cfvo type="percent" val="0"/>
        <cfvo type="num" val="0"/>
        <cfvo type="num" val="0"/>
      </iconSet>
    </cfRule>
  </conditionalFormatting>
  <conditionalFormatting sqref="AD62:AE62">
    <cfRule type="iconSet" priority="180">
      <iconSet iconSet="3Symbols2" showValue="0">
        <cfvo type="percent" val="0"/>
        <cfvo type="num" val="0"/>
        <cfvo type="num" val="0"/>
      </iconSet>
    </cfRule>
  </conditionalFormatting>
  <conditionalFormatting sqref="AD138:AE138">
    <cfRule type="iconSet" priority="179">
      <iconSet iconSet="3Symbols2" showValue="0">
        <cfvo type="percent" val="0"/>
        <cfvo type="num" val="0"/>
        <cfvo type="num" val="0"/>
      </iconSet>
    </cfRule>
  </conditionalFormatting>
  <conditionalFormatting sqref="AD153:AE153">
    <cfRule type="iconSet" priority="178">
      <iconSet iconSet="3Symbols2" showValue="0">
        <cfvo type="percent" val="0"/>
        <cfvo type="num" val="0"/>
        <cfvo type="num" val="0"/>
      </iconSet>
    </cfRule>
  </conditionalFormatting>
  <conditionalFormatting sqref="AD86:AE86">
    <cfRule type="iconSet" priority="177">
      <iconSet iconSet="3Symbols2" showValue="0">
        <cfvo type="percent" val="0"/>
        <cfvo type="num" val="0"/>
        <cfvo type="num" val="0"/>
      </iconSet>
    </cfRule>
  </conditionalFormatting>
  <conditionalFormatting sqref="AD1:AE5">
    <cfRule type="iconSet" priority="176">
      <iconSet iconSet="3Symbols2" showValue="0">
        <cfvo type="percent" val="0"/>
        <cfvo type="num" val="0"/>
        <cfvo type="num" val="1"/>
      </iconSet>
    </cfRule>
  </conditionalFormatting>
  <conditionalFormatting sqref="AD11:AE11">
    <cfRule type="iconSet" priority="175">
      <iconSet iconSet="3Symbols2" showValue="0">
        <cfvo type="percent" val="0"/>
        <cfvo type="num" val="0"/>
        <cfvo type="num" val="0"/>
      </iconSet>
    </cfRule>
  </conditionalFormatting>
  <conditionalFormatting sqref="AD24:AE24">
    <cfRule type="iconSet" priority="174">
      <iconSet iconSet="3Symbols2" showValue="0">
        <cfvo type="percent" val="0"/>
        <cfvo type="num" val="0"/>
        <cfvo type="num" val="0"/>
      </iconSet>
    </cfRule>
  </conditionalFormatting>
  <conditionalFormatting sqref="AD27:AE27">
    <cfRule type="iconSet" priority="173">
      <iconSet iconSet="3Symbols2" showValue="0">
        <cfvo type="percent" val="0"/>
        <cfvo type="num" val="0"/>
        <cfvo type="num" val="0"/>
      </iconSet>
    </cfRule>
  </conditionalFormatting>
  <conditionalFormatting sqref="AD40:AE40">
    <cfRule type="iconSet" priority="172">
      <iconSet iconSet="3Symbols2" showValue="0">
        <cfvo type="percent" val="0"/>
        <cfvo type="num" val="0"/>
        <cfvo type="num" val="0"/>
      </iconSet>
    </cfRule>
  </conditionalFormatting>
  <conditionalFormatting sqref="AD43:AE43">
    <cfRule type="iconSet" priority="171">
      <iconSet iconSet="3Symbols2" showValue="0">
        <cfvo type="percent" val="0"/>
        <cfvo type="num" val="0"/>
        <cfvo type="num" val="0"/>
      </iconSet>
    </cfRule>
  </conditionalFormatting>
  <conditionalFormatting sqref="AD56:AE56">
    <cfRule type="iconSet" priority="170">
      <iconSet iconSet="3Symbols2" showValue="0">
        <cfvo type="percent" val="0"/>
        <cfvo type="num" val="0"/>
        <cfvo type="num" val="0"/>
      </iconSet>
    </cfRule>
  </conditionalFormatting>
  <conditionalFormatting sqref="AD59:AE59">
    <cfRule type="iconSet" priority="169">
      <iconSet iconSet="3Symbols2" showValue="0">
        <cfvo type="percent" val="0"/>
        <cfvo type="num" val="0"/>
        <cfvo type="num" val="0"/>
      </iconSet>
    </cfRule>
  </conditionalFormatting>
  <conditionalFormatting sqref="AD98:AE98">
    <cfRule type="iconSet" priority="168">
      <iconSet iconSet="3Symbols2" showValue="0">
        <cfvo type="percent" val="0"/>
        <cfvo type="num" val="0"/>
        <cfvo type="num" val="0"/>
      </iconSet>
    </cfRule>
  </conditionalFormatting>
  <conditionalFormatting sqref="AD108:AE108">
    <cfRule type="iconSet" priority="167">
      <iconSet iconSet="3Symbols2" showValue="0">
        <cfvo type="percent" val="0"/>
        <cfvo type="num" val="0"/>
        <cfvo type="num" val="0"/>
      </iconSet>
    </cfRule>
  </conditionalFormatting>
  <conditionalFormatting sqref="AD118:AE118">
    <cfRule type="iconSet" priority="166">
      <iconSet iconSet="3Symbols2" showValue="0">
        <cfvo type="percent" val="0"/>
        <cfvo type="num" val="0"/>
        <cfvo type="num" val="0"/>
      </iconSet>
    </cfRule>
  </conditionalFormatting>
  <conditionalFormatting sqref="AD127:AE127">
    <cfRule type="iconSet" priority="165">
      <iconSet iconSet="3Symbols2" showValue="0">
        <cfvo type="percent" val="0"/>
        <cfvo type="num" val="0"/>
        <cfvo type="num" val="0"/>
      </iconSet>
    </cfRule>
  </conditionalFormatting>
  <conditionalFormatting sqref="AD137:AE137">
    <cfRule type="iconSet" priority="164">
      <iconSet iconSet="3Symbols2" showValue="0">
        <cfvo type="percent" val="0"/>
        <cfvo type="num" val="0"/>
        <cfvo type="num" val="0"/>
      </iconSet>
    </cfRule>
  </conditionalFormatting>
  <conditionalFormatting sqref="AD152:AE152">
    <cfRule type="iconSet" priority="163">
      <iconSet iconSet="3Symbols2" showValue="0">
        <cfvo type="percent" val="0"/>
        <cfvo type="num" val="0"/>
        <cfvo type="num" val="0"/>
      </iconSet>
    </cfRule>
  </conditionalFormatting>
  <conditionalFormatting sqref="AD65:AE65">
    <cfRule type="iconSet" priority="162">
      <iconSet iconSet="3Symbols2" showValue="0">
        <cfvo type="percent" val="0"/>
        <cfvo type="num" val="0"/>
        <cfvo type="num" val="0"/>
      </iconSet>
    </cfRule>
  </conditionalFormatting>
  <conditionalFormatting sqref="AD85:AE85">
    <cfRule type="iconSet" priority="161">
      <iconSet iconSet="3Symbols2" showValue="0">
        <cfvo type="percent" val="0"/>
        <cfvo type="num" val="0"/>
        <cfvo type="num" val="0"/>
      </iconSet>
    </cfRule>
  </conditionalFormatting>
  <conditionalFormatting sqref="AD64:AE64">
    <cfRule type="iconSet" priority="194">
      <iconSet iconSet="3Symbols2" showValue="0">
        <cfvo type="percent" val="0"/>
        <cfvo type="num" val="0"/>
        <cfvo type="num" val="0"/>
      </iconSet>
    </cfRule>
  </conditionalFormatting>
  <conditionalFormatting sqref="AD13:AE23">
    <cfRule type="iconSet" priority="160">
      <iconSet iconSet="3Symbols2" showValue="0">
        <cfvo type="percent" val="0"/>
        <cfvo type="num" val="0"/>
        <cfvo type="num" val="0"/>
      </iconSet>
    </cfRule>
  </conditionalFormatting>
  <conditionalFormatting sqref="AD26:AE26">
    <cfRule type="iconSet" priority="159">
      <iconSet iconSet="3Symbols2" showValue="0">
        <cfvo type="percent" val="0"/>
        <cfvo type="num" val="0"/>
        <cfvo type="num" val="0"/>
      </iconSet>
    </cfRule>
  </conditionalFormatting>
  <conditionalFormatting sqref="AD29:AE39">
    <cfRule type="iconSet" priority="158">
      <iconSet iconSet="3Symbols2" showValue="0">
        <cfvo type="percent" val="0"/>
        <cfvo type="num" val="0"/>
        <cfvo type="num" val="0"/>
      </iconSet>
    </cfRule>
  </conditionalFormatting>
  <conditionalFormatting sqref="AD63:AE63 AD45:AE51 AD53:AE55">
    <cfRule type="iconSet" priority="157">
      <iconSet iconSet="3Symbols2" showValue="0">
        <cfvo type="percent" val="0"/>
        <cfvo type="num" val="0"/>
        <cfvo type="num" val="0"/>
      </iconSet>
    </cfRule>
  </conditionalFormatting>
  <conditionalFormatting sqref="AD66:AE74">
    <cfRule type="iconSet" priority="156">
      <iconSet iconSet="3Symbols2" showValue="0">
        <cfvo type="percent" val="0"/>
        <cfvo type="num" val="0"/>
        <cfvo type="num" val="0"/>
      </iconSet>
    </cfRule>
  </conditionalFormatting>
  <conditionalFormatting sqref="AD100:AE107">
    <cfRule type="iconSet" priority="155">
      <iconSet iconSet="3Symbols2" showValue="0">
        <cfvo type="percent" val="0"/>
        <cfvo type="num" val="0"/>
        <cfvo type="num" val="0"/>
      </iconSet>
    </cfRule>
  </conditionalFormatting>
  <conditionalFormatting sqref="AD110:AE117">
    <cfRule type="iconSet" priority="154">
      <iconSet iconSet="3Symbols2" showValue="0">
        <cfvo type="percent" val="0"/>
        <cfvo type="num" val="0"/>
        <cfvo type="num" val="0"/>
      </iconSet>
    </cfRule>
  </conditionalFormatting>
  <conditionalFormatting sqref="AD129:AE136">
    <cfRule type="iconSet" priority="153">
      <iconSet iconSet="3Symbols2" showValue="0">
        <cfvo type="percent" val="0"/>
        <cfvo type="num" val="0"/>
        <cfvo type="num" val="0"/>
      </iconSet>
    </cfRule>
  </conditionalFormatting>
  <conditionalFormatting sqref="AD139:AE151">
    <cfRule type="iconSet" priority="152">
      <iconSet iconSet="3Symbols2" showValue="0">
        <cfvo type="percent" val="0"/>
        <cfvo type="num" val="0"/>
        <cfvo type="num" val="0"/>
      </iconSet>
    </cfRule>
  </conditionalFormatting>
  <conditionalFormatting sqref="AD154:AE160">
    <cfRule type="iconSet" priority="151">
      <iconSet iconSet="3Symbols2" showValue="0">
        <cfvo type="percent" val="0"/>
        <cfvo type="num" val="0"/>
        <cfvo type="num" val="0"/>
      </iconSet>
    </cfRule>
  </conditionalFormatting>
  <conditionalFormatting sqref="AD75:AE75">
    <cfRule type="iconSet" priority="150">
      <iconSet iconSet="3Symbols2" showValue="0">
        <cfvo type="percent" val="0"/>
        <cfvo type="num" val="0"/>
        <cfvo type="num" val="0"/>
      </iconSet>
    </cfRule>
  </conditionalFormatting>
  <conditionalFormatting sqref="AD76:AE84">
    <cfRule type="iconSet" priority="149">
      <iconSet iconSet="3Symbols2" showValue="0">
        <cfvo type="percent" val="0"/>
        <cfvo type="num" val="0"/>
        <cfvo type="num" val="0"/>
      </iconSet>
    </cfRule>
  </conditionalFormatting>
  <conditionalFormatting sqref="AD60:AE61">
    <cfRule type="iconSet" priority="148">
      <iconSet iconSet="3Symbols2" showValue="0">
        <cfvo type="percent" val="0"/>
        <cfvo type="num" val="0"/>
        <cfvo type="num" val="0"/>
      </iconSet>
    </cfRule>
  </conditionalFormatting>
  <conditionalFormatting sqref="AD52:AE52">
    <cfRule type="iconSet" priority="147">
      <iconSet iconSet="3Symbols2" showValue="0">
        <cfvo type="percent" val="0"/>
        <cfvo type="num" val="0"/>
        <cfvo type="num" val="0"/>
      </iconSet>
    </cfRule>
  </conditionalFormatting>
  <conditionalFormatting sqref="AF161:AG1048576 AF120:AG126 AF6:AG8 AF10:AG10 AF42:AG42 AF58:AG58 AF88:AG97">
    <cfRule type="iconSet" priority="145">
      <iconSet iconSet="3Symbols2" showValue="0">
        <cfvo type="percent" val="0"/>
        <cfvo type="num" val="0"/>
        <cfvo type="num" val="0"/>
      </iconSet>
    </cfRule>
  </conditionalFormatting>
  <conditionalFormatting sqref="AF9:AG9">
    <cfRule type="iconSet" priority="144">
      <iconSet iconSet="3Symbols2" showValue="0">
        <cfvo type="percent" val="0"/>
        <cfvo type="num" val="0"/>
        <cfvo type="num" val="0"/>
      </iconSet>
    </cfRule>
  </conditionalFormatting>
  <conditionalFormatting sqref="AF12:AG12">
    <cfRule type="iconSet" priority="143">
      <iconSet iconSet="3Symbols2" showValue="0">
        <cfvo type="percent" val="0"/>
        <cfvo type="num" val="0"/>
        <cfvo type="num" val="0"/>
      </iconSet>
    </cfRule>
  </conditionalFormatting>
  <conditionalFormatting sqref="AF25:AG25">
    <cfRule type="iconSet" priority="142">
      <iconSet iconSet="3Symbols2" showValue="0">
        <cfvo type="percent" val="0"/>
        <cfvo type="num" val="0"/>
        <cfvo type="num" val="0"/>
      </iconSet>
    </cfRule>
  </conditionalFormatting>
  <conditionalFormatting sqref="AF28:AG28">
    <cfRule type="iconSet" priority="141">
      <iconSet iconSet="3Symbols2" showValue="0">
        <cfvo type="percent" val="0"/>
        <cfvo type="num" val="0"/>
        <cfvo type="num" val="0"/>
      </iconSet>
    </cfRule>
  </conditionalFormatting>
  <conditionalFormatting sqref="AF41:AG41">
    <cfRule type="iconSet" priority="140">
      <iconSet iconSet="3Symbols2" showValue="0">
        <cfvo type="percent" val="0"/>
        <cfvo type="num" val="0"/>
        <cfvo type="num" val="0"/>
      </iconSet>
    </cfRule>
  </conditionalFormatting>
  <conditionalFormatting sqref="AF44:AG44">
    <cfRule type="iconSet" priority="139">
      <iconSet iconSet="3Symbols2" showValue="0">
        <cfvo type="percent" val="0"/>
        <cfvo type="num" val="0"/>
        <cfvo type="num" val="0"/>
      </iconSet>
    </cfRule>
  </conditionalFormatting>
  <conditionalFormatting sqref="AF57:AG57">
    <cfRule type="iconSet" priority="138">
      <iconSet iconSet="3Symbols2" showValue="0">
        <cfvo type="percent" val="0"/>
        <cfvo type="num" val="0"/>
        <cfvo type="num" val="0"/>
      </iconSet>
    </cfRule>
  </conditionalFormatting>
  <conditionalFormatting sqref="AF87:AG87">
    <cfRule type="iconSet" priority="137">
      <iconSet iconSet="3Symbols2" showValue="0">
        <cfvo type="percent" val="0"/>
        <cfvo type="num" val="0"/>
        <cfvo type="num" val="0"/>
      </iconSet>
    </cfRule>
  </conditionalFormatting>
  <conditionalFormatting sqref="AF99:AG99">
    <cfRule type="iconSet" priority="136">
      <iconSet iconSet="3Symbols2" showValue="0">
        <cfvo type="percent" val="0"/>
        <cfvo type="num" val="0"/>
        <cfvo type="num" val="0"/>
      </iconSet>
    </cfRule>
  </conditionalFormatting>
  <conditionalFormatting sqref="AF109:AG109">
    <cfRule type="iconSet" priority="135">
      <iconSet iconSet="3Symbols2" showValue="0">
        <cfvo type="percent" val="0"/>
        <cfvo type="num" val="0"/>
        <cfvo type="num" val="0"/>
      </iconSet>
    </cfRule>
  </conditionalFormatting>
  <conditionalFormatting sqref="AF119:AG119">
    <cfRule type="iconSet" priority="134">
      <iconSet iconSet="3Symbols2" showValue="0">
        <cfvo type="percent" val="0"/>
        <cfvo type="num" val="0"/>
        <cfvo type="num" val="0"/>
      </iconSet>
    </cfRule>
  </conditionalFormatting>
  <conditionalFormatting sqref="AF128:AG128">
    <cfRule type="iconSet" priority="133">
      <iconSet iconSet="3Symbols2" showValue="0">
        <cfvo type="percent" val="0"/>
        <cfvo type="num" val="0"/>
        <cfvo type="num" val="0"/>
      </iconSet>
    </cfRule>
  </conditionalFormatting>
  <conditionalFormatting sqref="AF62:AG62">
    <cfRule type="iconSet" priority="132">
      <iconSet iconSet="3Symbols2" showValue="0">
        <cfvo type="percent" val="0"/>
        <cfvo type="num" val="0"/>
        <cfvo type="num" val="0"/>
      </iconSet>
    </cfRule>
  </conditionalFormatting>
  <conditionalFormatting sqref="AF138:AG138">
    <cfRule type="iconSet" priority="131">
      <iconSet iconSet="3Symbols2" showValue="0">
        <cfvo type="percent" val="0"/>
        <cfvo type="num" val="0"/>
        <cfvo type="num" val="0"/>
      </iconSet>
    </cfRule>
  </conditionalFormatting>
  <conditionalFormatting sqref="AF153:AG153">
    <cfRule type="iconSet" priority="130">
      <iconSet iconSet="3Symbols2" showValue="0">
        <cfvo type="percent" val="0"/>
        <cfvo type="num" val="0"/>
        <cfvo type="num" val="0"/>
      </iconSet>
    </cfRule>
  </conditionalFormatting>
  <conditionalFormatting sqref="AF86:AG86">
    <cfRule type="iconSet" priority="129">
      <iconSet iconSet="3Symbols2" showValue="0">
        <cfvo type="percent" val="0"/>
        <cfvo type="num" val="0"/>
        <cfvo type="num" val="0"/>
      </iconSet>
    </cfRule>
  </conditionalFormatting>
  <conditionalFormatting sqref="AF1:AG5">
    <cfRule type="iconSet" priority="128">
      <iconSet iconSet="3Symbols2" showValue="0">
        <cfvo type="percent" val="0"/>
        <cfvo type="num" val="0"/>
        <cfvo type="num" val="1"/>
      </iconSet>
    </cfRule>
  </conditionalFormatting>
  <conditionalFormatting sqref="AF11:AG11">
    <cfRule type="iconSet" priority="127">
      <iconSet iconSet="3Symbols2" showValue="0">
        <cfvo type="percent" val="0"/>
        <cfvo type="num" val="0"/>
        <cfvo type="num" val="0"/>
      </iconSet>
    </cfRule>
  </conditionalFormatting>
  <conditionalFormatting sqref="AF24:AG24">
    <cfRule type="iconSet" priority="126">
      <iconSet iconSet="3Symbols2" showValue="0">
        <cfvo type="percent" val="0"/>
        <cfvo type="num" val="0"/>
        <cfvo type="num" val="0"/>
      </iconSet>
    </cfRule>
  </conditionalFormatting>
  <conditionalFormatting sqref="AF27:AG27">
    <cfRule type="iconSet" priority="125">
      <iconSet iconSet="3Symbols2" showValue="0">
        <cfvo type="percent" val="0"/>
        <cfvo type="num" val="0"/>
        <cfvo type="num" val="0"/>
      </iconSet>
    </cfRule>
  </conditionalFormatting>
  <conditionalFormatting sqref="AF40:AG40">
    <cfRule type="iconSet" priority="124">
      <iconSet iconSet="3Symbols2" showValue="0">
        <cfvo type="percent" val="0"/>
        <cfvo type="num" val="0"/>
        <cfvo type="num" val="0"/>
      </iconSet>
    </cfRule>
  </conditionalFormatting>
  <conditionalFormatting sqref="AF43:AG43">
    <cfRule type="iconSet" priority="123">
      <iconSet iconSet="3Symbols2" showValue="0">
        <cfvo type="percent" val="0"/>
        <cfvo type="num" val="0"/>
        <cfvo type="num" val="0"/>
      </iconSet>
    </cfRule>
  </conditionalFormatting>
  <conditionalFormatting sqref="AF56:AG56">
    <cfRule type="iconSet" priority="122">
      <iconSet iconSet="3Symbols2" showValue="0">
        <cfvo type="percent" val="0"/>
        <cfvo type="num" val="0"/>
        <cfvo type="num" val="0"/>
      </iconSet>
    </cfRule>
  </conditionalFormatting>
  <conditionalFormatting sqref="AF59:AG59">
    <cfRule type="iconSet" priority="121">
      <iconSet iconSet="3Symbols2" showValue="0">
        <cfvo type="percent" val="0"/>
        <cfvo type="num" val="0"/>
        <cfvo type="num" val="0"/>
      </iconSet>
    </cfRule>
  </conditionalFormatting>
  <conditionalFormatting sqref="AF98:AG98">
    <cfRule type="iconSet" priority="120">
      <iconSet iconSet="3Symbols2" showValue="0">
        <cfvo type="percent" val="0"/>
        <cfvo type="num" val="0"/>
        <cfvo type="num" val="0"/>
      </iconSet>
    </cfRule>
  </conditionalFormatting>
  <conditionalFormatting sqref="AF108:AG108">
    <cfRule type="iconSet" priority="119">
      <iconSet iconSet="3Symbols2" showValue="0">
        <cfvo type="percent" val="0"/>
        <cfvo type="num" val="0"/>
        <cfvo type="num" val="0"/>
      </iconSet>
    </cfRule>
  </conditionalFormatting>
  <conditionalFormatting sqref="AF118:AG118">
    <cfRule type="iconSet" priority="118">
      <iconSet iconSet="3Symbols2" showValue="0">
        <cfvo type="percent" val="0"/>
        <cfvo type="num" val="0"/>
        <cfvo type="num" val="0"/>
      </iconSet>
    </cfRule>
  </conditionalFormatting>
  <conditionalFormatting sqref="AF127:AG127">
    <cfRule type="iconSet" priority="117">
      <iconSet iconSet="3Symbols2" showValue="0">
        <cfvo type="percent" val="0"/>
        <cfvo type="num" val="0"/>
        <cfvo type="num" val="0"/>
      </iconSet>
    </cfRule>
  </conditionalFormatting>
  <conditionalFormatting sqref="AF137:AG137">
    <cfRule type="iconSet" priority="116">
      <iconSet iconSet="3Symbols2" showValue="0">
        <cfvo type="percent" val="0"/>
        <cfvo type="num" val="0"/>
        <cfvo type="num" val="0"/>
      </iconSet>
    </cfRule>
  </conditionalFormatting>
  <conditionalFormatting sqref="AF152:AG152">
    <cfRule type="iconSet" priority="115">
      <iconSet iconSet="3Symbols2" showValue="0">
        <cfvo type="percent" val="0"/>
        <cfvo type="num" val="0"/>
        <cfvo type="num" val="0"/>
      </iconSet>
    </cfRule>
  </conditionalFormatting>
  <conditionalFormatting sqref="AF65:AG65">
    <cfRule type="iconSet" priority="114">
      <iconSet iconSet="3Symbols2" showValue="0">
        <cfvo type="percent" val="0"/>
        <cfvo type="num" val="0"/>
        <cfvo type="num" val="0"/>
      </iconSet>
    </cfRule>
  </conditionalFormatting>
  <conditionalFormatting sqref="AF85:AG85">
    <cfRule type="iconSet" priority="113">
      <iconSet iconSet="3Symbols2" showValue="0">
        <cfvo type="percent" val="0"/>
        <cfvo type="num" val="0"/>
        <cfvo type="num" val="0"/>
      </iconSet>
    </cfRule>
  </conditionalFormatting>
  <conditionalFormatting sqref="AF64:AG64">
    <cfRule type="iconSet" priority="146">
      <iconSet iconSet="3Symbols2" showValue="0">
        <cfvo type="percent" val="0"/>
        <cfvo type="num" val="0"/>
        <cfvo type="num" val="0"/>
      </iconSet>
    </cfRule>
  </conditionalFormatting>
  <conditionalFormatting sqref="AF13:AG23">
    <cfRule type="iconSet" priority="112">
      <iconSet iconSet="3Symbols2" showValue="0">
        <cfvo type="percent" val="0"/>
        <cfvo type="num" val="0"/>
        <cfvo type="num" val="0"/>
      </iconSet>
    </cfRule>
  </conditionalFormatting>
  <conditionalFormatting sqref="AF26:AG26">
    <cfRule type="iconSet" priority="111">
      <iconSet iconSet="3Symbols2" showValue="0">
        <cfvo type="percent" val="0"/>
        <cfvo type="num" val="0"/>
        <cfvo type="num" val="0"/>
      </iconSet>
    </cfRule>
  </conditionalFormatting>
  <conditionalFormatting sqref="AF29:AG39">
    <cfRule type="iconSet" priority="110">
      <iconSet iconSet="3Symbols2" showValue="0">
        <cfvo type="percent" val="0"/>
        <cfvo type="num" val="0"/>
        <cfvo type="num" val="0"/>
      </iconSet>
    </cfRule>
  </conditionalFormatting>
  <conditionalFormatting sqref="AF63:AG63 AF45:AG51 AF53:AG55">
    <cfRule type="iconSet" priority="109">
      <iconSet iconSet="3Symbols2" showValue="0">
        <cfvo type="percent" val="0"/>
        <cfvo type="num" val="0"/>
        <cfvo type="num" val="0"/>
      </iconSet>
    </cfRule>
  </conditionalFormatting>
  <conditionalFormatting sqref="AF66:AG74">
    <cfRule type="iconSet" priority="108">
      <iconSet iconSet="3Symbols2" showValue="0">
        <cfvo type="percent" val="0"/>
        <cfvo type="num" val="0"/>
        <cfvo type="num" val="0"/>
      </iconSet>
    </cfRule>
  </conditionalFormatting>
  <conditionalFormatting sqref="AF100:AG107">
    <cfRule type="iconSet" priority="107">
      <iconSet iconSet="3Symbols2" showValue="0">
        <cfvo type="percent" val="0"/>
        <cfvo type="num" val="0"/>
        <cfvo type="num" val="0"/>
      </iconSet>
    </cfRule>
  </conditionalFormatting>
  <conditionalFormatting sqref="AF110:AG117">
    <cfRule type="iconSet" priority="106">
      <iconSet iconSet="3Symbols2" showValue="0">
        <cfvo type="percent" val="0"/>
        <cfvo type="num" val="0"/>
        <cfvo type="num" val="0"/>
      </iconSet>
    </cfRule>
  </conditionalFormatting>
  <conditionalFormatting sqref="AF129:AG136">
    <cfRule type="iconSet" priority="105">
      <iconSet iconSet="3Symbols2" showValue="0">
        <cfvo type="percent" val="0"/>
        <cfvo type="num" val="0"/>
        <cfvo type="num" val="0"/>
      </iconSet>
    </cfRule>
  </conditionalFormatting>
  <conditionalFormatting sqref="AF139:AG151">
    <cfRule type="iconSet" priority="104">
      <iconSet iconSet="3Symbols2" showValue="0">
        <cfvo type="percent" val="0"/>
        <cfvo type="num" val="0"/>
        <cfvo type="num" val="0"/>
      </iconSet>
    </cfRule>
  </conditionalFormatting>
  <conditionalFormatting sqref="AF154:AG160">
    <cfRule type="iconSet" priority="103">
      <iconSet iconSet="3Symbols2" showValue="0">
        <cfvo type="percent" val="0"/>
        <cfvo type="num" val="0"/>
        <cfvo type="num" val="0"/>
      </iconSet>
    </cfRule>
  </conditionalFormatting>
  <conditionalFormatting sqref="AF75:AG75">
    <cfRule type="iconSet" priority="102">
      <iconSet iconSet="3Symbols2" showValue="0">
        <cfvo type="percent" val="0"/>
        <cfvo type="num" val="0"/>
        <cfvo type="num" val="0"/>
      </iconSet>
    </cfRule>
  </conditionalFormatting>
  <conditionalFormatting sqref="AF76:AG84">
    <cfRule type="iconSet" priority="101">
      <iconSet iconSet="3Symbols2" showValue="0">
        <cfvo type="percent" val="0"/>
        <cfvo type="num" val="0"/>
        <cfvo type="num" val="0"/>
      </iconSet>
    </cfRule>
  </conditionalFormatting>
  <conditionalFormatting sqref="AF60:AG61">
    <cfRule type="iconSet" priority="100">
      <iconSet iconSet="3Symbols2" showValue="0">
        <cfvo type="percent" val="0"/>
        <cfvo type="num" val="0"/>
        <cfvo type="num" val="0"/>
      </iconSet>
    </cfRule>
  </conditionalFormatting>
  <conditionalFormatting sqref="AF52:AG52">
    <cfRule type="iconSet" priority="99">
      <iconSet iconSet="3Symbols2" showValue="0">
        <cfvo type="percent" val="0"/>
        <cfvo type="num" val="0"/>
        <cfvo type="num" val="0"/>
      </iconSet>
    </cfRule>
  </conditionalFormatting>
  <conditionalFormatting sqref="AH161:AI1048576 AH120:AI126 AH6:AI8 AH10:AI10 AH42:AI42 AH58:AI58 AH88:AI97">
    <cfRule type="iconSet" priority="97">
      <iconSet iconSet="3Symbols2" showValue="0">
        <cfvo type="percent" val="0"/>
        <cfvo type="num" val="0"/>
        <cfvo type="num" val="0"/>
      </iconSet>
    </cfRule>
  </conditionalFormatting>
  <conditionalFormatting sqref="AH9:AI9">
    <cfRule type="iconSet" priority="96">
      <iconSet iconSet="3Symbols2" showValue="0">
        <cfvo type="percent" val="0"/>
        <cfvo type="num" val="0"/>
        <cfvo type="num" val="0"/>
      </iconSet>
    </cfRule>
  </conditionalFormatting>
  <conditionalFormatting sqref="AH12:AI12">
    <cfRule type="iconSet" priority="95">
      <iconSet iconSet="3Symbols2" showValue="0">
        <cfvo type="percent" val="0"/>
        <cfvo type="num" val="0"/>
        <cfvo type="num" val="0"/>
      </iconSet>
    </cfRule>
  </conditionalFormatting>
  <conditionalFormatting sqref="AH25:AI25">
    <cfRule type="iconSet" priority="94">
      <iconSet iconSet="3Symbols2" showValue="0">
        <cfvo type="percent" val="0"/>
        <cfvo type="num" val="0"/>
        <cfvo type="num" val="0"/>
      </iconSet>
    </cfRule>
  </conditionalFormatting>
  <conditionalFormatting sqref="AH28:AI28">
    <cfRule type="iconSet" priority="93">
      <iconSet iconSet="3Symbols2" showValue="0">
        <cfvo type="percent" val="0"/>
        <cfvo type="num" val="0"/>
        <cfvo type="num" val="0"/>
      </iconSet>
    </cfRule>
  </conditionalFormatting>
  <conditionalFormatting sqref="AH41:AI41">
    <cfRule type="iconSet" priority="92">
      <iconSet iconSet="3Symbols2" showValue="0">
        <cfvo type="percent" val="0"/>
        <cfvo type="num" val="0"/>
        <cfvo type="num" val="0"/>
      </iconSet>
    </cfRule>
  </conditionalFormatting>
  <conditionalFormatting sqref="AH44:AI44">
    <cfRule type="iconSet" priority="91">
      <iconSet iconSet="3Symbols2" showValue="0">
        <cfvo type="percent" val="0"/>
        <cfvo type="num" val="0"/>
        <cfvo type="num" val="0"/>
      </iconSet>
    </cfRule>
  </conditionalFormatting>
  <conditionalFormatting sqref="AH57:AI57">
    <cfRule type="iconSet" priority="90">
      <iconSet iconSet="3Symbols2" showValue="0">
        <cfvo type="percent" val="0"/>
        <cfvo type="num" val="0"/>
        <cfvo type="num" val="0"/>
      </iconSet>
    </cfRule>
  </conditionalFormatting>
  <conditionalFormatting sqref="AH87:AI87">
    <cfRule type="iconSet" priority="89">
      <iconSet iconSet="3Symbols2" showValue="0">
        <cfvo type="percent" val="0"/>
        <cfvo type="num" val="0"/>
        <cfvo type="num" val="0"/>
      </iconSet>
    </cfRule>
  </conditionalFormatting>
  <conditionalFormatting sqref="AH99:AI99">
    <cfRule type="iconSet" priority="88">
      <iconSet iconSet="3Symbols2" showValue="0">
        <cfvo type="percent" val="0"/>
        <cfvo type="num" val="0"/>
        <cfvo type="num" val="0"/>
      </iconSet>
    </cfRule>
  </conditionalFormatting>
  <conditionalFormatting sqref="AH109:AI109">
    <cfRule type="iconSet" priority="87">
      <iconSet iconSet="3Symbols2" showValue="0">
        <cfvo type="percent" val="0"/>
        <cfvo type="num" val="0"/>
        <cfvo type="num" val="0"/>
      </iconSet>
    </cfRule>
  </conditionalFormatting>
  <conditionalFormatting sqref="AH119:AI119">
    <cfRule type="iconSet" priority="86">
      <iconSet iconSet="3Symbols2" showValue="0">
        <cfvo type="percent" val="0"/>
        <cfvo type="num" val="0"/>
        <cfvo type="num" val="0"/>
      </iconSet>
    </cfRule>
  </conditionalFormatting>
  <conditionalFormatting sqref="AH128:AI128">
    <cfRule type="iconSet" priority="85">
      <iconSet iconSet="3Symbols2" showValue="0">
        <cfvo type="percent" val="0"/>
        <cfvo type="num" val="0"/>
        <cfvo type="num" val="0"/>
      </iconSet>
    </cfRule>
  </conditionalFormatting>
  <conditionalFormatting sqref="AH62:AI62">
    <cfRule type="iconSet" priority="84">
      <iconSet iconSet="3Symbols2" showValue="0">
        <cfvo type="percent" val="0"/>
        <cfvo type="num" val="0"/>
        <cfvo type="num" val="0"/>
      </iconSet>
    </cfRule>
  </conditionalFormatting>
  <conditionalFormatting sqref="AH138:AI138">
    <cfRule type="iconSet" priority="83">
      <iconSet iconSet="3Symbols2" showValue="0">
        <cfvo type="percent" val="0"/>
        <cfvo type="num" val="0"/>
        <cfvo type="num" val="0"/>
      </iconSet>
    </cfRule>
  </conditionalFormatting>
  <conditionalFormatting sqref="AH153:AI153">
    <cfRule type="iconSet" priority="82">
      <iconSet iconSet="3Symbols2" showValue="0">
        <cfvo type="percent" val="0"/>
        <cfvo type="num" val="0"/>
        <cfvo type="num" val="0"/>
      </iconSet>
    </cfRule>
  </conditionalFormatting>
  <conditionalFormatting sqref="AH86:AI86">
    <cfRule type="iconSet" priority="81">
      <iconSet iconSet="3Symbols2" showValue="0">
        <cfvo type="percent" val="0"/>
        <cfvo type="num" val="0"/>
        <cfvo type="num" val="0"/>
      </iconSet>
    </cfRule>
  </conditionalFormatting>
  <conditionalFormatting sqref="AH1:AI5">
    <cfRule type="iconSet" priority="80">
      <iconSet iconSet="3Symbols2" showValue="0">
        <cfvo type="percent" val="0"/>
        <cfvo type="num" val="0"/>
        <cfvo type="num" val="1"/>
      </iconSet>
    </cfRule>
  </conditionalFormatting>
  <conditionalFormatting sqref="AH11:AI11">
    <cfRule type="iconSet" priority="79">
      <iconSet iconSet="3Symbols2" showValue="0">
        <cfvo type="percent" val="0"/>
        <cfvo type="num" val="0"/>
        <cfvo type="num" val="0"/>
      </iconSet>
    </cfRule>
  </conditionalFormatting>
  <conditionalFormatting sqref="AH24:AI24">
    <cfRule type="iconSet" priority="78">
      <iconSet iconSet="3Symbols2" showValue="0">
        <cfvo type="percent" val="0"/>
        <cfvo type="num" val="0"/>
        <cfvo type="num" val="0"/>
      </iconSet>
    </cfRule>
  </conditionalFormatting>
  <conditionalFormatting sqref="AH27:AI27">
    <cfRule type="iconSet" priority="77">
      <iconSet iconSet="3Symbols2" showValue="0">
        <cfvo type="percent" val="0"/>
        <cfvo type="num" val="0"/>
        <cfvo type="num" val="0"/>
      </iconSet>
    </cfRule>
  </conditionalFormatting>
  <conditionalFormatting sqref="AH40:AI40">
    <cfRule type="iconSet" priority="76">
      <iconSet iconSet="3Symbols2" showValue="0">
        <cfvo type="percent" val="0"/>
        <cfvo type="num" val="0"/>
        <cfvo type="num" val="0"/>
      </iconSet>
    </cfRule>
  </conditionalFormatting>
  <conditionalFormatting sqref="AH43:AI43">
    <cfRule type="iconSet" priority="75">
      <iconSet iconSet="3Symbols2" showValue="0">
        <cfvo type="percent" val="0"/>
        <cfvo type="num" val="0"/>
        <cfvo type="num" val="0"/>
      </iconSet>
    </cfRule>
  </conditionalFormatting>
  <conditionalFormatting sqref="AH56:AI56">
    <cfRule type="iconSet" priority="74">
      <iconSet iconSet="3Symbols2" showValue="0">
        <cfvo type="percent" val="0"/>
        <cfvo type="num" val="0"/>
        <cfvo type="num" val="0"/>
      </iconSet>
    </cfRule>
  </conditionalFormatting>
  <conditionalFormatting sqref="AH59:AI59">
    <cfRule type="iconSet" priority="73">
      <iconSet iconSet="3Symbols2" showValue="0">
        <cfvo type="percent" val="0"/>
        <cfvo type="num" val="0"/>
        <cfvo type="num" val="0"/>
      </iconSet>
    </cfRule>
  </conditionalFormatting>
  <conditionalFormatting sqref="AH98:AI98">
    <cfRule type="iconSet" priority="72">
      <iconSet iconSet="3Symbols2" showValue="0">
        <cfvo type="percent" val="0"/>
        <cfvo type="num" val="0"/>
        <cfvo type="num" val="0"/>
      </iconSet>
    </cfRule>
  </conditionalFormatting>
  <conditionalFormatting sqref="AH108:AI108">
    <cfRule type="iconSet" priority="71">
      <iconSet iconSet="3Symbols2" showValue="0">
        <cfvo type="percent" val="0"/>
        <cfvo type="num" val="0"/>
        <cfvo type="num" val="0"/>
      </iconSet>
    </cfRule>
  </conditionalFormatting>
  <conditionalFormatting sqref="AH118:AI118">
    <cfRule type="iconSet" priority="70">
      <iconSet iconSet="3Symbols2" showValue="0">
        <cfvo type="percent" val="0"/>
        <cfvo type="num" val="0"/>
        <cfvo type="num" val="0"/>
      </iconSet>
    </cfRule>
  </conditionalFormatting>
  <conditionalFormatting sqref="AH127:AI127">
    <cfRule type="iconSet" priority="69">
      <iconSet iconSet="3Symbols2" showValue="0">
        <cfvo type="percent" val="0"/>
        <cfvo type="num" val="0"/>
        <cfvo type="num" val="0"/>
      </iconSet>
    </cfRule>
  </conditionalFormatting>
  <conditionalFormatting sqref="AH137:AI137">
    <cfRule type="iconSet" priority="68">
      <iconSet iconSet="3Symbols2" showValue="0">
        <cfvo type="percent" val="0"/>
        <cfvo type="num" val="0"/>
        <cfvo type="num" val="0"/>
      </iconSet>
    </cfRule>
  </conditionalFormatting>
  <conditionalFormatting sqref="AH152:AI152">
    <cfRule type="iconSet" priority="67">
      <iconSet iconSet="3Symbols2" showValue="0">
        <cfvo type="percent" val="0"/>
        <cfvo type="num" val="0"/>
        <cfvo type="num" val="0"/>
      </iconSet>
    </cfRule>
  </conditionalFormatting>
  <conditionalFormatting sqref="AH65:AI65">
    <cfRule type="iconSet" priority="66">
      <iconSet iconSet="3Symbols2" showValue="0">
        <cfvo type="percent" val="0"/>
        <cfvo type="num" val="0"/>
        <cfvo type="num" val="0"/>
      </iconSet>
    </cfRule>
  </conditionalFormatting>
  <conditionalFormatting sqref="AH85:AI85">
    <cfRule type="iconSet" priority="65">
      <iconSet iconSet="3Symbols2" showValue="0">
        <cfvo type="percent" val="0"/>
        <cfvo type="num" val="0"/>
        <cfvo type="num" val="0"/>
      </iconSet>
    </cfRule>
  </conditionalFormatting>
  <conditionalFormatting sqref="AH64:AI64">
    <cfRule type="iconSet" priority="98">
      <iconSet iconSet="3Symbols2" showValue="0">
        <cfvo type="percent" val="0"/>
        <cfvo type="num" val="0"/>
        <cfvo type="num" val="0"/>
      </iconSet>
    </cfRule>
  </conditionalFormatting>
  <conditionalFormatting sqref="AH13:AI23">
    <cfRule type="iconSet" priority="64">
      <iconSet iconSet="3Symbols2" showValue="0">
        <cfvo type="percent" val="0"/>
        <cfvo type="num" val="0"/>
        <cfvo type="num" val="0"/>
      </iconSet>
    </cfRule>
  </conditionalFormatting>
  <conditionalFormatting sqref="AH26:AI26">
    <cfRule type="iconSet" priority="63">
      <iconSet iconSet="3Symbols2" showValue="0">
        <cfvo type="percent" val="0"/>
        <cfvo type="num" val="0"/>
        <cfvo type="num" val="0"/>
      </iconSet>
    </cfRule>
  </conditionalFormatting>
  <conditionalFormatting sqref="AH29:AI39">
    <cfRule type="iconSet" priority="62">
      <iconSet iconSet="3Symbols2" showValue="0">
        <cfvo type="percent" val="0"/>
        <cfvo type="num" val="0"/>
        <cfvo type="num" val="0"/>
      </iconSet>
    </cfRule>
  </conditionalFormatting>
  <conditionalFormatting sqref="AH63:AI63 AH45:AI51 AH53:AI55">
    <cfRule type="iconSet" priority="61">
      <iconSet iconSet="3Symbols2" showValue="0">
        <cfvo type="percent" val="0"/>
        <cfvo type="num" val="0"/>
        <cfvo type="num" val="0"/>
      </iconSet>
    </cfRule>
  </conditionalFormatting>
  <conditionalFormatting sqref="AH66:AI74">
    <cfRule type="iconSet" priority="60">
      <iconSet iconSet="3Symbols2" showValue="0">
        <cfvo type="percent" val="0"/>
        <cfvo type="num" val="0"/>
        <cfvo type="num" val="0"/>
      </iconSet>
    </cfRule>
  </conditionalFormatting>
  <conditionalFormatting sqref="AH100:AI107">
    <cfRule type="iconSet" priority="59">
      <iconSet iconSet="3Symbols2" showValue="0">
        <cfvo type="percent" val="0"/>
        <cfvo type="num" val="0"/>
        <cfvo type="num" val="0"/>
      </iconSet>
    </cfRule>
  </conditionalFormatting>
  <conditionalFormatting sqref="AH110:AI117">
    <cfRule type="iconSet" priority="58">
      <iconSet iconSet="3Symbols2" showValue="0">
        <cfvo type="percent" val="0"/>
        <cfvo type="num" val="0"/>
        <cfvo type="num" val="0"/>
      </iconSet>
    </cfRule>
  </conditionalFormatting>
  <conditionalFormatting sqref="AH129:AI136">
    <cfRule type="iconSet" priority="57">
      <iconSet iconSet="3Symbols2" showValue="0">
        <cfvo type="percent" val="0"/>
        <cfvo type="num" val="0"/>
        <cfvo type="num" val="0"/>
      </iconSet>
    </cfRule>
  </conditionalFormatting>
  <conditionalFormatting sqref="AH139:AI151">
    <cfRule type="iconSet" priority="56">
      <iconSet iconSet="3Symbols2" showValue="0">
        <cfvo type="percent" val="0"/>
        <cfvo type="num" val="0"/>
        <cfvo type="num" val="0"/>
      </iconSet>
    </cfRule>
  </conditionalFormatting>
  <conditionalFormatting sqref="AH154:AI160">
    <cfRule type="iconSet" priority="55">
      <iconSet iconSet="3Symbols2" showValue="0">
        <cfvo type="percent" val="0"/>
        <cfvo type="num" val="0"/>
        <cfvo type="num" val="0"/>
      </iconSet>
    </cfRule>
  </conditionalFormatting>
  <conditionalFormatting sqref="AH75:AI75">
    <cfRule type="iconSet" priority="54">
      <iconSet iconSet="3Symbols2" showValue="0">
        <cfvo type="percent" val="0"/>
        <cfvo type="num" val="0"/>
        <cfvo type="num" val="0"/>
      </iconSet>
    </cfRule>
  </conditionalFormatting>
  <conditionalFormatting sqref="AH76:AI84">
    <cfRule type="iconSet" priority="53">
      <iconSet iconSet="3Symbols2" showValue="0">
        <cfvo type="percent" val="0"/>
        <cfvo type="num" val="0"/>
        <cfvo type="num" val="0"/>
      </iconSet>
    </cfRule>
  </conditionalFormatting>
  <conditionalFormatting sqref="AH60:AI61">
    <cfRule type="iconSet" priority="52">
      <iconSet iconSet="3Symbols2" showValue="0">
        <cfvo type="percent" val="0"/>
        <cfvo type="num" val="0"/>
        <cfvo type="num" val="0"/>
      </iconSet>
    </cfRule>
  </conditionalFormatting>
  <conditionalFormatting sqref="AH52:AI52">
    <cfRule type="iconSet" priority="51">
      <iconSet iconSet="3Symbols2" showValue="0">
        <cfvo type="percent" val="0"/>
        <cfvo type="num" val="0"/>
        <cfvo type="num" val="0"/>
      </iconSet>
    </cfRule>
  </conditionalFormatting>
  <conditionalFormatting sqref="AJ161:AK1048576 AJ120:AK126 AJ6:AK8 AJ10:AK10 AJ42:AK42 AJ58:AK58 AJ88:AK97">
    <cfRule type="iconSet" priority="49">
      <iconSet iconSet="3Symbols2" showValue="0">
        <cfvo type="percent" val="0"/>
        <cfvo type="num" val="0"/>
        <cfvo type="num" val="0"/>
      </iconSet>
    </cfRule>
  </conditionalFormatting>
  <conditionalFormatting sqref="AJ9:AK9">
    <cfRule type="iconSet" priority="48">
      <iconSet iconSet="3Symbols2" showValue="0">
        <cfvo type="percent" val="0"/>
        <cfvo type="num" val="0"/>
        <cfvo type="num" val="0"/>
      </iconSet>
    </cfRule>
  </conditionalFormatting>
  <conditionalFormatting sqref="AJ12:AK12">
    <cfRule type="iconSet" priority="47">
      <iconSet iconSet="3Symbols2" showValue="0">
        <cfvo type="percent" val="0"/>
        <cfvo type="num" val="0"/>
        <cfvo type="num" val="0"/>
      </iconSet>
    </cfRule>
  </conditionalFormatting>
  <conditionalFormatting sqref="AJ25:AK25">
    <cfRule type="iconSet" priority="46">
      <iconSet iconSet="3Symbols2" showValue="0">
        <cfvo type="percent" val="0"/>
        <cfvo type="num" val="0"/>
        <cfvo type="num" val="0"/>
      </iconSet>
    </cfRule>
  </conditionalFormatting>
  <conditionalFormatting sqref="AJ28:AK28">
    <cfRule type="iconSet" priority="45">
      <iconSet iconSet="3Symbols2" showValue="0">
        <cfvo type="percent" val="0"/>
        <cfvo type="num" val="0"/>
        <cfvo type="num" val="0"/>
      </iconSet>
    </cfRule>
  </conditionalFormatting>
  <conditionalFormatting sqref="AJ41:AK41">
    <cfRule type="iconSet" priority="44">
      <iconSet iconSet="3Symbols2" showValue="0">
        <cfvo type="percent" val="0"/>
        <cfvo type="num" val="0"/>
        <cfvo type="num" val="0"/>
      </iconSet>
    </cfRule>
  </conditionalFormatting>
  <conditionalFormatting sqref="AJ44:AK44">
    <cfRule type="iconSet" priority="43">
      <iconSet iconSet="3Symbols2" showValue="0">
        <cfvo type="percent" val="0"/>
        <cfvo type="num" val="0"/>
        <cfvo type="num" val="0"/>
      </iconSet>
    </cfRule>
  </conditionalFormatting>
  <conditionalFormatting sqref="AJ57:AK57">
    <cfRule type="iconSet" priority="42">
      <iconSet iconSet="3Symbols2" showValue="0">
        <cfvo type="percent" val="0"/>
        <cfvo type="num" val="0"/>
        <cfvo type="num" val="0"/>
      </iconSet>
    </cfRule>
  </conditionalFormatting>
  <conditionalFormatting sqref="AJ87:AK87">
    <cfRule type="iconSet" priority="41">
      <iconSet iconSet="3Symbols2" showValue="0">
        <cfvo type="percent" val="0"/>
        <cfvo type="num" val="0"/>
        <cfvo type="num" val="0"/>
      </iconSet>
    </cfRule>
  </conditionalFormatting>
  <conditionalFormatting sqref="AJ99:AK99">
    <cfRule type="iconSet" priority="40">
      <iconSet iconSet="3Symbols2" showValue="0">
        <cfvo type="percent" val="0"/>
        <cfvo type="num" val="0"/>
        <cfvo type="num" val="0"/>
      </iconSet>
    </cfRule>
  </conditionalFormatting>
  <conditionalFormatting sqref="AJ109:AK109">
    <cfRule type="iconSet" priority="39">
      <iconSet iconSet="3Symbols2" showValue="0">
        <cfvo type="percent" val="0"/>
        <cfvo type="num" val="0"/>
        <cfvo type="num" val="0"/>
      </iconSet>
    </cfRule>
  </conditionalFormatting>
  <conditionalFormatting sqref="AJ119:AK119">
    <cfRule type="iconSet" priority="38">
      <iconSet iconSet="3Symbols2" showValue="0">
        <cfvo type="percent" val="0"/>
        <cfvo type="num" val="0"/>
        <cfvo type="num" val="0"/>
      </iconSet>
    </cfRule>
  </conditionalFormatting>
  <conditionalFormatting sqref="AJ128:AK128">
    <cfRule type="iconSet" priority="37">
      <iconSet iconSet="3Symbols2" showValue="0">
        <cfvo type="percent" val="0"/>
        <cfvo type="num" val="0"/>
        <cfvo type="num" val="0"/>
      </iconSet>
    </cfRule>
  </conditionalFormatting>
  <conditionalFormatting sqref="AJ62:AK62">
    <cfRule type="iconSet" priority="36">
      <iconSet iconSet="3Symbols2" showValue="0">
        <cfvo type="percent" val="0"/>
        <cfvo type="num" val="0"/>
        <cfvo type="num" val="0"/>
      </iconSet>
    </cfRule>
  </conditionalFormatting>
  <conditionalFormatting sqref="AJ138:AK138">
    <cfRule type="iconSet" priority="35">
      <iconSet iconSet="3Symbols2" showValue="0">
        <cfvo type="percent" val="0"/>
        <cfvo type="num" val="0"/>
        <cfvo type="num" val="0"/>
      </iconSet>
    </cfRule>
  </conditionalFormatting>
  <conditionalFormatting sqref="AJ153:AK153">
    <cfRule type="iconSet" priority="34">
      <iconSet iconSet="3Symbols2" showValue="0">
        <cfvo type="percent" val="0"/>
        <cfvo type="num" val="0"/>
        <cfvo type="num" val="0"/>
      </iconSet>
    </cfRule>
  </conditionalFormatting>
  <conditionalFormatting sqref="AJ86:AK86">
    <cfRule type="iconSet" priority="33">
      <iconSet iconSet="3Symbols2" showValue="0">
        <cfvo type="percent" val="0"/>
        <cfvo type="num" val="0"/>
        <cfvo type="num" val="0"/>
      </iconSet>
    </cfRule>
  </conditionalFormatting>
  <conditionalFormatting sqref="AJ1:AK5">
    <cfRule type="iconSet" priority="32">
      <iconSet iconSet="3Symbols2" showValue="0">
        <cfvo type="percent" val="0"/>
        <cfvo type="num" val="0"/>
        <cfvo type="num" val="1"/>
      </iconSet>
    </cfRule>
  </conditionalFormatting>
  <conditionalFormatting sqref="AJ11:AK11">
    <cfRule type="iconSet" priority="31">
      <iconSet iconSet="3Symbols2" showValue="0">
        <cfvo type="percent" val="0"/>
        <cfvo type="num" val="0"/>
        <cfvo type="num" val="0"/>
      </iconSet>
    </cfRule>
  </conditionalFormatting>
  <conditionalFormatting sqref="AJ24:AK24">
    <cfRule type="iconSet" priority="30">
      <iconSet iconSet="3Symbols2" showValue="0">
        <cfvo type="percent" val="0"/>
        <cfvo type="num" val="0"/>
        <cfvo type="num" val="0"/>
      </iconSet>
    </cfRule>
  </conditionalFormatting>
  <conditionalFormatting sqref="AJ27:AK27">
    <cfRule type="iconSet" priority="29">
      <iconSet iconSet="3Symbols2" showValue="0">
        <cfvo type="percent" val="0"/>
        <cfvo type="num" val="0"/>
        <cfvo type="num" val="0"/>
      </iconSet>
    </cfRule>
  </conditionalFormatting>
  <conditionalFormatting sqref="AJ40:AK40">
    <cfRule type="iconSet" priority="28">
      <iconSet iconSet="3Symbols2" showValue="0">
        <cfvo type="percent" val="0"/>
        <cfvo type="num" val="0"/>
        <cfvo type="num" val="0"/>
      </iconSet>
    </cfRule>
  </conditionalFormatting>
  <conditionalFormatting sqref="AJ43:AK43">
    <cfRule type="iconSet" priority="27">
      <iconSet iconSet="3Symbols2" showValue="0">
        <cfvo type="percent" val="0"/>
        <cfvo type="num" val="0"/>
        <cfvo type="num" val="0"/>
      </iconSet>
    </cfRule>
  </conditionalFormatting>
  <conditionalFormatting sqref="AJ56:AK56">
    <cfRule type="iconSet" priority="26">
      <iconSet iconSet="3Symbols2" showValue="0">
        <cfvo type="percent" val="0"/>
        <cfvo type="num" val="0"/>
        <cfvo type="num" val="0"/>
      </iconSet>
    </cfRule>
  </conditionalFormatting>
  <conditionalFormatting sqref="AJ59:AK59">
    <cfRule type="iconSet" priority="25">
      <iconSet iconSet="3Symbols2" showValue="0">
        <cfvo type="percent" val="0"/>
        <cfvo type="num" val="0"/>
        <cfvo type="num" val="0"/>
      </iconSet>
    </cfRule>
  </conditionalFormatting>
  <conditionalFormatting sqref="AJ98:AK98">
    <cfRule type="iconSet" priority="24">
      <iconSet iconSet="3Symbols2" showValue="0">
        <cfvo type="percent" val="0"/>
        <cfvo type="num" val="0"/>
        <cfvo type="num" val="0"/>
      </iconSet>
    </cfRule>
  </conditionalFormatting>
  <conditionalFormatting sqref="AJ108:AK108">
    <cfRule type="iconSet" priority="23">
      <iconSet iconSet="3Symbols2" showValue="0">
        <cfvo type="percent" val="0"/>
        <cfvo type="num" val="0"/>
        <cfvo type="num" val="0"/>
      </iconSet>
    </cfRule>
  </conditionalFormatting>
  <conditionalFormatting sqref="AJ118:AK118">
    <cfRule type="iconSet" priority="22">
      <iconSet iconSet="3Symbols2" showValue="0">
        <cfvo type="percent" val="0"/>
        <cfvo type="num" val="0"/>
        <cfvo type="num" val="0"/>
      </iconSet>
    </cfRule>
  </conditionalFormatting>
  <conditionalFormatting sqref="AJ127:AK127">
    <cfRule type="iconSet" priority="21">
      <iconSet iconSet="3Symbols2" showValue="0">
        <cfvo type="percent" val="0"/>
        <cfvo type="num" val="0"/>
        <cfvo type="num" val="0"/>
      </iconSet>
    </cfRule>
  </conditionalFormatting>
  <conditionalFormatting sqref="AJ137:AK137">
    <cfRule type="iconSet" priority="20">
      <iconSet iconSet="3Symbols2" showValue="0">
        <cfvo type="percent" val="0"/>
        <cfvo type="num" val="0"/>
        <cfvo type="num" val="0"/>
      </iconSet>
    </cfRule>
  </conditionalFormatting>
  <conditionalFormatting sqref="AJ152:AK152">
    <cfRule type="iconSet" priority="19">
      <iconSet iconSet="3Symbols2" showValue="0">
        <cfvo type="percent" val="0"/>
        <cfvo type="num" val="0"/>
        <cfvo type="num" val="0"/>
      </iconSet>
    </cfRule>
  </conditionalFormatting>
  <conditionalFormatting sqref="AJ65:AK65">
    <cfRule type="iconSet" priority="18">
      <iconSet iconSet="3Symbols2" showValue="0">
        <cfvo type="percent" val="0"/>
        <cfvo type="num" val="0"/>
        <cfvo type="num" val="0"/>
      </iconSet>
    </cfRule>
  </conditionalFormatting>
  <conditionalFormatting sqref="AJ85:AK85">
    <cfRule type="iconSet" priority="17">
      <iconSet iconSet="3Symbols2" showValue="0">
        <cfvo type="percent" val="0"/>
        <cfvo type="num" val="0"/>
        <cfvo type="num" val="0"/>
      </iconSet>
    </cfRule>
  </conditionalFormatting>
  <conditionalFormatting sqref="AJ64:AK64">
    <cfRule type="iconSet" priority="50">
      <iconSet iconSet="3Symbols2" showValue="0">
        <cfvo type="percent" val="0"/>
        <cfvo type="num" val="0"/>
        <cfvo type="num" val="0"/>
      </iconSet>
    </cfRule>
  </conditionalFormatting>
  <conditionalFormatting sqref="AJ13:AK23">
    <cfRule type="iconSet" priority="16">
      <iconSet iconSet="3Symbols2" showValue="0">
        <cfvo type="percent" val="0"/>
        <cfvo type="num" val="0"/>
        <cfvo type="num" val="0"/>
      </iconSet>
    </cfRule>
  </conditionalFormatting>
  <conditionalFormatting sqref="AJ26:AK26">
    <cfRule type="iconSet" priority="15">
      <iconSet iconSet="3Symbols2" showValue="0">
        <cfvo type="percent" val="0"/>
        <cfvo type="num" val="0"/>
        <cfvo type="num" val="0"/>
      </iconSet>
    </cfRule>
  </conditionalFormatting>
  <conditionalFormatting sqref="AJ29:AK39">
    <cfRule type="iconSet" priority="14">
      <iconSet iconSet="3Symbols2" showValue="0">
        <cfvo type="percent" val="0"/>
        <cfvo type="num" val="0"/>
        <cfvo type="num" val="0"/>
      </iconSet>
    </cfRule>
  </conditionalFormatting>
  <conditionalFormatting sqref="AJ63:AK63 AJ45:AK51 AJ53:AK55">
    <cfRule type="iconSet" priority="13">
      <iconSet iconSet="3Symbols2" showValue="0">
        <cfvo type="percent" val="0"/>
        <cfvo type="num" val="0"/>
        <cfvo type="num" val="0"/>
      </iconSet>
    </cfRule>
  </conditionalFormatting>
  <conditionalFormatting sqref="AJ66:AK74">
    <cfRule type="iconSet" priority="12">
      <iconSet iconSet="3Symbols2" showValue="0">
        <cfvo type="percent" val="0"/>
        <cfvo type="num" val="0"/>
        <cfvo type="num" val="0"/>
      </iconSet>
    </cfRule>
  </conditionalFormatting>
  <conditionalFormatting sqref="AJ100:AK107">
    <cfRule type="iconSet" priority="11">
      <iconSet iconSet="3Symbols2" showValue="0">
        <cfvo type="percent" val="0"/>
        <cfvo type="num" val="0"/>
        <cfvo type="num" val="0"/>
      </iconSet>
    </cfRule>
  </conditionalFormatting>
  <conditionalFormatting sqref="AJ110:AK117">
    <cfRule type="iconSet" priority="10">
      <iconSet iconSet="3Symbols2" showValue="0">
        <cfvo type="percent" val="0"/>
        <cfvo type="num" val="0"/>
        <cfvo type="num" val="0"/>
      </iconSet>
    </cfRule>
  </conditionalFormatting>
  <conditionalFormatting sqref="AJ129:AK136">
    <cfRule type="iconSet" priority="9">
      <iconSet iconSet="3Symbols2" showValue="0">
        <cfvo type="percent" val="0"/>
        <cfvo type="num" val="0"/>
        <cfvo type="num" val="0"/>
      </iconSet>
    </cfRule>
  </conditionalFormatting>
  <conditionalFormatting sqref="AJ139:AK151">
    <cfRule type="iconSet" priority="8">
      <iconSet iconSet="3Symbols2" showValue="0">
        <cfvo type="percent" val="0"/>
        <cfvo type="num" val="0"/>
        <cfvo type="num" val="0"/>
      </iconSet>
    </cfRule>
  </conditionalFormatting>
  <conditionalFormatting sqref="AJ154:AK160">
    <cfRule type="iconSet" priority="7">
      <iconSet iconSet="3Symbols2" showValue="0">
        <cfvo type="percent" val="0"/>
        <cfvo type="num" val="0"/>
        <cfvo type="num" val="0"/>
      </iconSet>
    </cfRule>
  </conditionalFormatting>
  <conditionalFormatting sqref="AJ75:AK75">
    <cfRule type="iconSet" priority="6">
      <iconSet iconSet="3Symbols2" showValue="0">
        <cfvo type="percent" val="0"/>
        <cfvo type="num" val="0"/>
        <cfvo type="num" val="0"/>
      </iconSet>
    </cfRule>
  </conditionalFormatting>
  <conditionalFormatting sqref="AJ76:AK84">
    <cfRule type="iconSet" priority="5">
      <iconSet iconSet="3Symbols2" showValue="0">
        <cfvo type="percent" val="0"/>
        <cfvo type="num" val="0"/>
        <cfvo type="num" val="0"/>
      </iconSet>
    </cfRule>
  </conditionalFormatting>
  <conditionalFormatting sqref="AJ60:AK61">
    <cfRule type="iconSet" priority="4">
      <iconSet iconSet="3Symbols2" showValue="0">
        <cfvo type="percent" val="0"/>
        <cfvo type="num" val="0"/>
        <cfvo type="num" val="0"/>
      </iconSet>
    </cfRule>
  </conditionalFormatting>
  <conditionalFormatting sqref="AJ52:AK52">
    <cfRule type="iconSet" priority="3">
      <iconSet iconSet="3Symbols2" showValue="0">
        <cfvo type="percent" val="0"/>
        <cfvo type="num" val="0"/>
        <cfvo type="num" val="0"/>
      </iconSet>
    </cfRule>
  </conditionalFormatting>
  <conditionalFormatting sqref="J100:J107">
    <cfRule type="iconSet" priority="2">
      <iconSet iconSet="3Symbols2" showValue="0">
        <cfvo type="percent" val="0"/>
        <cfvo type="num" val="0"/>
        <cfvo type="num" val="0"/>
      </iconSet>
    </cfRule>
  </conditionalFormatting>
  <conditionalFormatting sqref="J13:J18">
    <cfRule type="iconSet" priority="1">
      <iconSet iconSet="3Symbols2" showValue="0">
        <cfvo type="percent" val="0"/>
        <cfvo type="num" val="0"/>
        <cfvo type="num" val="0"/>
      </iconSet>
    </cfRule>
  </conditionalFormatting>
  <pageMargins left="0.7" right="0.7" top="0.75" bottom="0.75" header="0.3" footer="0.3"/>
  <pageSetup scale="6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ject_x0020_ID xmlns="49aa8661-6080-4b43-bc71-085039b820b1" xsi:nil="true"/>
    <SharedWithUsers xmlns="1c3b6138-399c-48b0-9249-b80d30773e06">
      <UserInfo>
        <DisplayName>Intern Cpmo</DisplayName>
        <AccountId>640</AccountId>
        <AccountType/>
      </UserInfo>
      <UserInfo>
        <DisplayName>Praveen Kumar T</DisplayName>
        <AccountId>276</AccountId>
        <AccountType/>
      </UserInfo>
    </SharedWithUsers>
    <lcf76f155ced4ddcb4097134ff3c332f xmlns="49aa8661-6080-4b43-bc71-085039b820b1">
      <Terms xmlns="http://schemas.microsoft.com/office/infopath/2007/PartnerControls"/>
    </lcf76f155ced4ddcb4097134ff3c332f>
    <TaxCatchAll xmlns="1c3b6138-399c-48b0-9249-b80d30773e06" xsi:nil="true"/>
    <Date xmlns="49aa8661-6080-4b43-bc71-085039b820b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DD897DA54605B49B405063084F36B18" ma:contentTypeVersion="20" ma:contentTypeDescription="Create a new document." ma:contentTypeScope="" ma:versionID="8e49a77346c11593ab61173684718027">
  <xsd:schema xmlns:xsd="http://www.w3.org/2001/XMLSchema" xmlns:xs="http://www.w3.org/2001/XMLSchema" xmlns:p="http://schemas.microsoft.com/office/2006/metadata/properties" xmlns:ns2="49aa8661-6080-4b43-bc71-085039b820b1" xmlns:ns3="1c3b6138-399c-48b0-9249-b80d30773e06" targetNamespace="http://schemas.microsoft.com/office/2006/metadata/properties" ma:root="true" ma:fieldsID="09eda505c641c40898b9000e5b821d33" ns2:_="" ns3:_="">
    <xsd:import namespace="49aa8661-6080-4b43-bc71-085039b820b1"/>
    <xsd:import namespace="1c3b6138-399c-48b0-9249-b80d30773e06"/>
    <xsd:element name="properties">
      <xsd:complexType>
        <xsd:sequence>
          <xsd:element name="documentManagement">
            <xsd:complexType>
              <xsd:all>
                <xsd:element ref="ns2:Project_x0020_ID" minOccurs="0"/>
                <xsd:element ref="ns2:MediaServiceMetadata" minOccurs="0"/>
                <xsd:element ref="ns2:MediaServiceFastMetadata" minOccurs="0"/>
                <xsd:element ref="ns3:SharedWithUsers" minOccurs="0"/>
                <xsd:element ref="ns3:SharedWithDetails" minOccurs="0"/>
                <xsd:element ref="ns2:MediaServiceEventHashCode" minOccurs="0"/>
                <xsd:element ref="ns2:MediaServiceGenerationTime" minOccurs="0"/>
                <xsd:element ref="ns2:MediaServiceAutoTags" minOccurs="0"/>
                <xsd:element ref="ns2:MediaServiceOCR" minOccurs="0"/>
                <xsd:element ref="ns2:MediaServiceDateTaken" minOccurs="0"/>
                <xsd:element ref="ns2:MediaServiceLocation"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Dat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9aa8661-6080-4b43-bc71-085039b820b1" elementFormDefault="qualified">
    <xsd:import namespace="http://schemas.microsoft.com/office/2006/documentManagement/types"/>
    <xsd:import namespace="http://schemas.microsoft.com/office/infopath/2007/PartnerControls"/>
    <xsd:element name="Project_x0020_ID" ma:index="8" nillable="true" ma:displayName="Project ID" ma:description="Choose the project this file belongs to." ma:format="Dropdown" ma:internalName="Project_x0020_ID">
      <xsd:simpleType>
        <xsd:restriction base="dms:Choice">
          <xsd:enumeration value="0053"/>
          <xsd:enumeration value="53P2"/>
          <xsd:enumeration value="0056"/>
          <xsd:enumeration value="0057"/>
          <xsd:enumeration value="0059"/>
          <xsd:enumeration value="0063"/>
          <xsd:enumeration value="0064"/>
          <xsd:enumeration value="0065"/>
          <xsd:enumeration value="0066"/>
          <xsd:enumeration value="0068"/>
          <xsd:enumeration value="0072"/>
          <xsd:enumeration value="0072P2"/>
        </xsd:restriction>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AutoTags" ma:index="15" nillable="true" ma:displayName="MediaServiceAutoTags" ma:internalName="MediaServiceAutoTags"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MediaLengthInSeconds" ma:hidden="true"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0847c990-d389-4210-8462-c9e2e523623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Date" ma:index="26" nillable="true" ma:displayName="Date" ma:format="DateOnly" ma:internalName="Date">
      <xsd:simpleType>
        <xsd:restriction base="dms:DateTime"/>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c3b6138-399c-48b0-9249-b80d30773e06"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95ca2bca-3b04-4f84-afc4-e9479d6563b0}" ma:internalName="TaxCatchAll" ma:showField="CatchAllData" ma:web="1c3b6138-399c-48b0-9249-b80d30773e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7A6D57-C275-4E2C-923D-F4DA147A8FF6}"/>
</file>

<file path=customXml/itemProps2.xml><?xml version="1.0" encoding="utf-8"?>
<ds:datastoreItem xmlns:ds="http://schemas.openxmlformats.org/officeDocument/2006/customXml" ds:itemID="{07B51EE0-0FDF-4F89-8149-E751F8B26C96}"/>
</file>

<file path=customXml/itemProps3.xml><?xml version="1.0" encoding="utf-8"?>
<ds:datastoreItem xmlns:ds="http://schemas.openxmlformats.org/officeDocument/2006/customXml" ds:itemID="{BC2A7EB4-AE88-44E7-A2D8-C7FB2CCA83A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Kamal Sagar</dc:creator>
  <cp:keywords/>
  <dc:description/>
  <cp:lastModifiedBy>Bhuvan V math</cp:lastModifiedBy>
  <cp:revision/>
  <dcterms:created xsi:type="dcterms:W3CDTF">2019-10-13T06:20:14Z</dcterms:created>
  <dcterms:modified xsi:type="dcterms:W3CDTF">2026-06-22T07:25:03Z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0x010100FDD897DA54605B49B405063084F36B18</vt:lpwstr>
  </property>
  <property fmtid="{D5CDD505-2E9C-101B-9397-08002B2CF9AE}" pid="3" name="MediaServiceImageTags">
    <vt:lpwstr/>
  </property>
</Properties>
</file>